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theme/themeOverride2.xml" ContentType="application/vnd.openxmlformats-officedocument.themeOverride+xml"/>
  <Override PartName="/xl/charts/chart6.xml" ContentType="application/vnd.openxmlformats-officedocument.drawingml.chart+xml"/>
  <Override PartName="/xl/drawings/drawing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5.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theme/themeOverride3.xml" ContentType="application/vnd.openxmlformats-officedocument.themeOverride+xml"/>
  <Override PartName="/xl/charts/chart22.xml" ContentType="application/vnd.openxmlformats-officedocument.drawingml.chart+xml"/>
  <Override PartName="/xl/theme/themeOverride4.xml" ContentType="application/vnd.openxmlformats-officedocument.themeOverride+xml"/>
  <Override PartName="/xl/charts/chart2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24.xml" ContentType="application/vnd.openxmlformats-officedocument.drawingml.chart+xml"/>
  <Override PartName="/xl/drawings/drawing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0" yWindow="48" windowWidth="14808" windowHeight="7776" tabRatio="875"/>
  </bookViews>
  <sheets>
    <sheet name="Guide" sheetId="25" r:id="rId1"/>
    <sheet name="Depreciation" sheetId="20" r:id="rId2"/>
    <sheet name="2014StudyClassification" sheetId="15" r:id="rId3"/>
    <sheet name="2014StudyData" sheetId="117" r:id="rId4"/>
    <sheet name="2014StudyExample" sheetId="115" r:id="rId5"/>
    <sheet name="2018UpdateData" sheetId="119" r:id="rId6"/>
    <sheet name="StudytoUpdateComparison" sheetId="118" r:id="rId7"/>
    <sheet name="2018UpdateClassification" sheetId="114" r:id="rId8"/>
    <sheet name="2018UpdateExample" sheetId="116" r:id="rId9"/>
    <sheet name="Existing Asset Chart" sheetId="88" r:id="rId10"/>
    <sheet name="Func AL Subs" sheetId="2" r:id="rId11"/>
    <sheet name="Func AL Lines" sheetId="3" r:id="rId12"/>
    <sheet name="Func ATCO Subs" sheetId="84" r:id="rId13"/>
    <sheet name="Func ATCO Lines" sheetId="83" r:id="rId14"/>
    <sheet name="Func Enmax" sheetId="8" r:id="rId15"/>
    <sheet name="Func EPCOR" sheetId="7" r:id="rId16"/>
    <sheet name="Func Future Lines 2015" sheetId="89" r:id="rId17"/>
    <sheet name="Func Future Lines 2016" sheetId="99" r:id="rId18"/>
    <sheet name="Func Future Lines 2017" sheetId="100" r:id="rId19"/>
    <sheet name="Func Future Lines 2018" sheetId="101" r:id="rId20"/>
    <sheet name="Func Future Lines 2019" sheetId="102" r:id="rId21"/>
    <sheet name="Func Future Lines 2020" sheetId="103" r:id="rId22"/>
    <sheet name="Func Future Subs 2015" sheetId="98" r:id="rId23"/>
    <sheet name="Func Future Subs 2016" sheetId="104" r:id="rId24"/>
    <sheet name="Func Future Subs 2017" sheetId="105" r:id="rId25"/>
    <sheet name="Func Future Subs 2018" sheetId="106" r:id="rId26"/>
    <sheet name="Func Future Subs 2019" sheetId="107" r:id="rId27"/>
    <sheet name="Func Future Subs 2020" sheetId="108" r:id="rId28"/>
    <sheet name="Func Results 2015" sheetId="37" r:id="rId29"/>
    <sheet name="Func Results 2016" sheetId="109" r:id="rId30"/>
    <sheet name="Func Results 2017" sheetId="110" r:id="rId31"/>
    <sheet name="Func Results 2018" sheetId="111" r:id="rId32"/>
    <sheet name="Func Results 2019" sheetId="112" r:id="rId33"/>
    <sheet name="Func Results 2020" sheetId="113" r:id="rId34"/>
    <sheet name="Results for report" sheetId="44" r:id="rId35"/>
    <sheet name="O&amp;M --&gt;" sheetId="49" r:id="rId36"/>
    <sheet name="Sum 1.0" sheetId="50" r:id="rId37"/>
    <sheet name="Sum 2.0" sheetId="51" r:id="rId38"/>
    <sheet name="Sum 3.0" sheetId="52" r:id="rId39"/>
    <sheet name="Sum 3.1" sheetId="53" r:id="rId40"/>
    <sheet name="AL Sch 1.0" sheetId="56" r:id="rId41"/>
    <sheet name="AL Sch 2.0" sheetId="57" r:id="rId42"/>
    <sheet name="AL Sch 3.0" sheetId="58" r:id="rId43"/>
    <sheet name="AL Sch 4.0" sheetId="59" r:id="rId44"/>
    <sheet name="AL Sch 5.0" sheetId="60" r:id="rId45"/>
    <sheet name="AL Sch 5.1" sheetId="61" r:id="rId46"/>
    <sheet name="AL Sch 5.2" sheetId="62" r:id="rId47"/>
    <sheet name="AL Sch 5.3" sheetId="63" r:id="rId48"/>
    <sheet name="AT Sch 1.0" sheetId="64" r:id="rId49"/>
    <sheet name="AT Sch 2.0" sheetId="65" r:id="rId50"/>
    <sheet name="AT Sch 3.0" sheetId="66" r:id="rId51"/>
    <sheet name="AT Sch 4.0" sheetId="67" r:id="rId52"/>
    <sheet name="AT Sch 5.0" sheetId="68" r:id="rId53"/>
    <sheet name="AT Sch 5.1" sheetId="69" r:id="rId54"/>
    <sheet name="AT Sch 5.2" sheetId="70" r:id="rId55"/>
    <sheet name="EN Sch 1.0" sheetId="71" r:id="rId56"/>
    <sheet name="EN Sch 4.0" sheetId="72" r:id="rId57"/>
    <sheet name="EN Sch 5.0" sheetId="73" r:id="rId58"/>
    <sheet name="EN Sch 5.1" sheetId="74" r:id="rId59"/>
    <sheet name="EP Sch 1.0" sheetId="75" r:id="rId60"/>
    <sheet name="EP Sch 2.0" sheetId="76" r:id="rId61"/>
    <sheet name="EP Sch 3.0" sheetId="77" r:id="rId62"/>
    <sheet name="EP Sch 4.0" sheetId="78" r:id="rId63"/>
    <sheet name="EP Sch 5.0" sheetId="79" r:id="rId64"/>
    <sheet name="EP Sch 5.1" sheetId="80" r:id="rId65"/>
    <sheet name="EP Sch 5.2" sheetId="81" r:id="rId66"/>
  </sheets>
  <externalReferences>
    <externalReference r:id="rId67"/>
    <externalReference r:id="rId68"/>
  </externalReferences>
  <definedNames>
    <definedName name="_xlnm._FilterDatabase" localSheetId="5" hidden="1">'2018UpdateData'!$A$175:$X$305</definedName>
    <definedName name="_xlnm._FilterDatabase" localSheetId="11" hidden="1">'Func AL Lines'!$A$4:$X$4</definedName>
    <definedName name="_xlnm._FilterDatabase" localSheetId="10" hidden="1">'Func AL Subs'!$A$1:$W$348</definedName>
    <definedName name="_xlnm._FilterDatabase" localSheetId="13" hidden="1">'Func ATCO Lines'!$A$4:$V$4</definedName>
    <definedName name="_xlnm._FilterDatabase" localSheetId="12" hidden="1">'Func ATCO Subs'!$A$4:$AD$227</definedName>
    <definedName name="_xlnm._FilterDatabase" localSheetId="16" hidden="1">'Func Future Lines 2015'!$A$3:$W$277</definedName>
    <definedName name="_xlnm._FilterDatabase" localSheetId="17" hidden="1">'Func Future Lines 2016'!$A$3:$W$277</definedName>
    <definedName name="_xlnm._FilterDatabase" localSheetId="18" hidden="1">'Func Future Lines 2017'!$A$3:$W$277</definedName>
    <definedName name="_xlnm._FilterDatabase" localSheetId="19" hidden="1">'Func Future Lines 2018'!$A$3:$W$277</definedName>
    <definedName name="_xlnm._FilterDatabase" localSheetId="20" hidden="1">'Func Future Lines 2019'!$A$3:$W$277</definedName>
    <definedName name="_xlnm._FilterDatabase" localSheetId="21" hidden="1">'Func Future Lines 2020'!$A$3:$R$277</definedName>
    <definedName name="_xlnm._FilterDatabase" localSheetId="22" hidden="1">'Func Future Subs 2015'!$A$2:$Y$354</definedName>
    <definedName name="_xlnm._FilterDatabase" localSheetId="23" hidden="1">'Func Future Subs 2016'!$A$2:$AE$352</definedName>
    <definedName name="_xlnm._FilterDatabase" localSheetId="24" hidden="1">'Func Future Subs 2017'!$A$2:$AE$352</definedName>
    <definedName name="_xlnm._FilterDatabase" localSheetId="25" hidden="1">'Func Future Subs 2018'!$A$2:$AE$352</definedName>
    <definedName name="_xlnm._FilterDatabase" localSheetId="26" hidden="1">'Func Future Subs 2019'!$A$2:$Y$354</definedName>
    <definedName name="_xlnm._FilterDatabase" localSheetId="27" hidden="1">'Func Future Subs 2020'!$A$2:$Y$354</definedName>
    <definedName name="a" localSheetId="4" hidden="1">{#N/A,#N/A,FALSE,"Account Codes"}</definedName>
    <definedName name="a" localSheetId="8" hidden="1">{#N/A,#N/A,FALSE,"Account Codes"}</definedName>
    <definedName name="a" localSheetId="43" hidden="1">{#N/A,#N/A,FALSE,"Account Codes"}</definedName>
    <definedName name="a" localSheetId="45" hidden="1">{#N/A,#N/A,FALSE,"Account Codes"}</definedName>
    <definedName name="a" localSheetId="48" hidden="1">{#N/A,#N/A,FALSE,"Account Codes"}</definedName>
    <definedName name="a" localSheetId="49" hidden="1">{#N/A,#N/A,FALSE,"Account Codes"}</definedName>
    <definedName name="a" localSheetId="50" hidden="1">{#N/A,#N/A,FALSE,"Account Codes"}</definedName>
    <definedName name="a" localSheetId="54" hidden="1">{#N/A,#N/A,FALSE,"Account Codes"}</definedName>
    <definedName name="a" localSheetId="56" hidden="1">{#N/A,#N/A,FALSE,"Account Codes"}</definedName>
    <definedName name="a" localSheetId="58" hidden="1">{#N/A,#N/A,FALSE,"Account Codes"}</definedName>
    <definedName name="a" localSheetId="62" hidden="1">{#N/A,#N/A,FALSE,"Account Codes"}</definedName>
    <definedName name="a" localSheetId="63" hidden="1">{#N/A,#N/A,FALSE,"Account Codes"}</definedName>
    <definedName name="a" localSheetId="65" hidden="1">{#N/A,#N/A,FALSE,"Account Codes"}</definedName>
    <definedName name="a" localSheetId="37" hidden="1">{#N/A,#N/A,FALSE,"Account Codes"}</definedName>
    <definedName name="a" localSheetId="39" hidden="1">{#N/A,#N/A,FALSE,"Account Codes"}</definedName>
    <definedName name="a" hidden="1">{#N/A,#N/A,FALSE,"Account Codes"}</definedName>
    <definedName name="ccc" localSheetId="4" hidden="1">{#N/A,#N/A,FALSE,"TEC Consolidated"}</definedName>
    <definedName name="ccc" localSheetId="8" hidden="1">{#N/A,#N/A,FALSE,"TEC Consolidated"}</definedName>
    <definedName name="ccc" localSheetId="40" hidden="1">{#N/A,#N/A,FALSE,"TEC Consolidated"}</definedName>
    <definedName name="ccc" localSheetId="41" hidden="1">{#N/A,#N/A,FALSE,"TEC Consolidated"}</definedName>
    <definedName name="ccc" localSheetId="43" hidden="1">{#N/A,#N/A,FALSE,"TEC Consolidated"}</definedName>
    <definedName name="ccc" localSheetId="45" hidden="1">{#N/A,#N/A,FALSE,"TEC Consolidated"}</definedName>
    <definedName name="ccc" localSheetId="48" hidden="1">{#N/A,#N/A,FALSE,"TEC Consolidated"}</definedName>
    <definedName name="ccc" localSheetId="49" hidden="1">{#N/A,#N/A,FALSE,"TEC Consolidated"}</definedName>
    <definedName name="ccc" localSheetId="50" hidden="1">{#N/A,#N/A,FALSE,"TEC Consolidated"}</definedName>
    <definedName name="ccc" localSheetId="54" hidden="1">{#N/A,#N/A,FALSE,"TEC Consolidated"}</definedName>
    <definedName name="ccc" localSheetId="56" hidden="1">{#N/A,#N/A,FALSE,"TEC Consolidated"}</definedName>
    <definedName name="ccc" localSheetId="58" hidden="1">{#N/A,#N/A,FALSE,"TEC Consolidated"}</definedName>
    <definedName name="ccc" localSheetId="62" hidden="1">{#N/A,#N/A,FALSE,"TEC Consolidated"}</definedName>
    <definedName name="ccc" localSheetId="63" hidden="1">{#N/A,#N/A,FALSE,"TEC Consolidated"}</definedName>
    <definedName name="ccc" localSheetId="65" hidden="1">{#N/A,#N/A,FALSE,"TEC Consolidated"}</definedName>
    <definedName name="ccc" localSheetId="37" hidden="1">{#N/A,#N/A,FALSE,"TEC Consolidated"}</definedName>
    <definedName name="ccc" localSheetId="39" hidden="1">{#N/A,#N/A,FALSE,"TEC Consolidated"}</definedName>
    <definedName name="ccc" hidden="1">{#N/A,#N/A,FALSE,"TEC Consolidated"}</definedName>
    <definedName name="Con_Code">'[1]Line Data'!$P$20:$Q$70</definedName>
    <definedName name="Line_Cost">'[1]Line Data'!$Q$3:$W$17</definedName>
    <definedName name="LinNumVsLen" localSheetId="11">'Func AL Lines'!#REF!</definedName>
    <definedName name="LinNumVsLen" localSheetId="13">'Func ATCO Lines'!#REF!</definedName>
    <definedName name="LinNumVsLen">'[2]AL Lines'!$E$426:$F$970</definedName>
    <definedName name="POD">[1]POD!$A$2:$M$429</definedName>
    <definedName name="_xlnm.Print_Area" localSheetId="2">'2014StudyClassification'!$A$1:$F$95</definedName>
    <definedName name="_xlnm.Print_Area" localSheetId="3">'2014StudyData'!$A$1:$O$144</definedName>
    <definedName name="_xlnm.Print_Area" localSheetId="4">'2014StudyExample'!$A$1:$J$26</definedName>
    <definedName name="_xlnm.Print_Area" localSheetId="7">'2018UpdateClassification'!$A$1:$E$95</definedName>
    <definedName name="_xlnm.Print_Area" localSheetId="5">'2018UpdateData'!$A$1:$X$305</definedName>
    <definedName name="_xlnm.Print_Area" localSheetId="8">'2018UpdateExample'!$A$1:$J$26</definedName>
    <definedName name="_xlnm.Print_Area" localSheetId="40">'AL Sch 1.0'!$A$1:$K$41</definedName>
    <definedName name="_xlnm.Print_Area" localSheetId="41">'AL Sch 2.0'!$A$1:$K$56</definedName>
    <definedName name="_xlnm.Print_Area" localSheetId="42">'AL Sch 3.0'!$A$1:$K$18</definedName>
    <definedName name="_xlnm.Print_Area" localSheetId="43">'AL Sch 4.0'!$A$1:$K$51</definedName>
    <definedName name="_xlnm.Print_Area" localSheetId="44">'AL Sch 5.0'!$A$1:$K$43</definedName>
    <definedName name="_xlnm.Print_Area" localSheetId="45">'AL Sch 5.1'!$A$1:$E$40</definedName>
    <definedName name="_xlnm.Print_Area" localSheetId="46">'AL Sch 5.2'!$A$1:$J$42</definedName>
    <definedName name="_xlnm.Print_Area" localSheetId="47">'AL Sch 5.3'!$A$1:$K$42</definedName>
    <definedName name="_xlnm.Print_Area" localSheetId="48">'AT Sch 1.0'!$A$1:$I$41</definedName>
    <definedName name="_xlnm.Print_Area" localSheetId="49">'AT Sch 2.0'!$A$1:$I$29</definedName>
    <definedName name="_xlnm.Print_Area" localSheetId="50">'AT Sch 3.0'!$A$1:$I$24</definedName>
    <definedName name="_xlnm.Print_Area" localSheetId="51">'AT Sch 4.0'!$A$1:$I$56</definedName>
    <definedName name="_xlnm.Print_Area" localSheetId="52">'AT Sch 5.0'!$A$1:$E$41</definedName>
    <definedName name="_xlnm.Print_Area" localSheetId="53">'AT Sch 5.1'!$A$1:$I$50</definedName>
    <definedName name="_xlnm.Print_Area" localSheetId="54">'AT Sch 5.2'!$A$1:$I$29</definedName>
    <definedName name="_xlnm.Print_Area" localSheetId="55">'EN Sch 1.0'!$A$1:$I$34</definedName>
    <definedName name="_xlnm.Print_Area" localSheetId="56">'EN Sch 4.0'!$A$1:$I$36</definedName>
    <definedName name="_xlnm.Print_Area" localSheetId="57">'EN Sch 5.0'!$A$1:$E$24</definedName>
    <definedName name="_xlnm.Print_Area" localSheetId="58">'EN Sch 5.1'!$A$1:$I$39</definedName>
    <definedName name="_xlnm.Print_Area" localSheetId="59">'EP Sch 1.0'!$A$1:$I$40</definedName>
    <definedName name="_xlnm.Print_Area" localSheetId="60">'EP Sch 2.0'!$A$1:$I$20</definedName>
    <definedName name="_xlnm.Print_Area" localSheetId="61">'EP Sch 3.0'!$A$1:$I$27</definedName>
    <definedName name="_xlnm.Print_Area" localSheetId="62">'EP Sch 4.0'!$A$1:$I$49</definedName>
    <definedName name="_xlnm.Print_Area" localSheetId="63">'EP Sch 5.0'!$A$1:$E$44</definedName>
    <definedName name="_xlnm.Print_Area" localSheetId="64">'EP Sch 5.1'!$A$1:$I$52</definedName>
    <definedName name="_xlnm.Print_Area" localSheetId="65">'EP Sch 5.2'!$A$1:$I$17</definedName>
    <definedName name="_xlnm.Print_Area" localSheetId="11">'Func AL Lines'!$U$1:$X$14</definedName>
    <definedName name="_xlnm.Print_Area" localSheetId="10">'Func AL Subs'!$Y$1:$AB$18</definedName>
    <definedName name="_xlnm.Print_Area" localSheetId="13">'Func ATCO Lines'!$S$1:$V$16</definedName>
    <definedName name="_xlnm.Print_Area" localSheetId="12">'Func ATCO Subs'!$W$1:$Z$17</definedName>
    <definedName name="_xlnm.Print_Area" localSheetId="14">'Func Enmax'!$A$1:$D$23</definedName>
    <definedName name="_xlnm.Print_Area" localSheetId="15">'Func EPCOR'!$A$1:$D$26</definedName>
    <definedName name="_xlnm.Print_Area" localSheetId="16">'Func Future Lines 2015'!$A$1:$R$279</definedName>
    <definedName name="_xlnm.Print_Area" localSheetId="17">'Func Future Lines 2016'!$A$1:$R$279</definedName>
    <definedName name="_xlnm.Print_Area" localSheetId="18">'Func Future Lines 2017'!$A$1:$R$279</definedName>
    <definedName name="_xlnm.Print_Area" localSheetId="19">'Func Future Lines 2018'!$A$1:$R$279</definedName>
    <definedName name="_xlnm.Print_Area" localSheetId="20">'Func Future Lines 2019'!$A$1:$R$279</definedName>
    <definedName name="_xlnm.Print_Area" localSheetId="21">'Func Future Lines 2020'!$A$1:$R$279</definedName>
    <definedName name="_xlnm.Print_Area" localSheetId="22">'Func Future Subs 2015'!$A$1:$Y$356</definedName>
    <definedName name="_xlnm.Print_Area" localSheetId="23">'Func Future Subs 2016'!$A$1:$Y$356</definedName>
    <definedName name="_xlnm.Print_Area" localSheetId="24">'Func Future Subs 2017'!$A$1:$Y$356</definedName>
    <definedName name="_xlnm.Print_Area" localSheetId="25">'Func Future Subs 2018'!$A$1:$Y$356</definedName>
    <definedName name="_xlnm.Print_Area" localSheetId="26">'Func Future Subs 2019'!$A$1:$Y$356</definedName>
    <definedName name="_xlnm.Print_Area" localSheetId="27">'Func Future Subs 2020'!$A$1:$Y$356</definedName>
    <definedName name="_xlnm.Print_Area" localSheetId="28">'Func Results 2015'!$A$1:$M$102</definedName>
    <definedName name="_xlnm.Print_Area" localSheetId="29">'Func Results 2016'!$A$1:$L$103</definedName>
    <definedName name="_xlnm.Print_Area" localSheetId="30">'Func Results 2017'!$A$1:$L$103</definedName>
    <definedName name="_xlnm.Print_Area" localSheetId="31">'Func Results 2018'!$A$1:$L$102</definedName>
    <definedName name="_xlnm.Print_Area" localSheetId="32">'Func Results 2019'!$A$1:$L$102</definedName>
    <definedName name="_xlnm.Print_Area" localSheetId="33">'Func Results 2020'!$A$1:$L$102</definedName>
    <definedName name="_xlnm.Print_Area" localSheetId="0">Guide!$A$1:$M$35</definedName>
    <definedName name="_xlnm.Print_Area" localSheetId="35">'O&amp;M --&gt;'!$A$1:$C$39</definedName>
    <definedName name="_xlnm.Print_Area" localSheetId="34">'Results for report'!$B$1:$K$92</definedName>
    <definedName name="_xlnm.Print_Area" localSheetId="6">StudytoUpdateComparison!$A$1:$Z$148</definedName>
    <definedName name="_xlnm.Print_Area" localSheetId="36">'Sum 1.0'!$A$1:$M$46</definedName>
    <definedName name="_xlnm.Print_Area" localSheetId="37">'Sum 2.0'!$A$1:$J$39</definedName>
    <definedName name="_xlnm.Print_Area" localSheetId="38">'Sum 3.0'!$A$1:$M$61</definedName>
    <definedName name="_xlnm.Print_Area" localSheetId="39">'Sum 3.1'!$A$1:$I$21</definedName>
    <definedName name="_xlnm.Print_Titles" localSheetId="11">'Func AL Lines'!$1:$4</definedName>
    <definedName name="_xlnm.Print_Titles" localSheetId="10">'Func AL Subs'!$1:$4</definedName>
    <definedName name="_xlnm.Print_Titles" localSheetId="13">'Func ATCO Lines'!$1:$4</definedName>
    <definedName name="_xlnm.Print_Titles" localSheetId="12">'Func ATCO Subs'!$1:$4</definedName>
    <definedName name="_xlnm.Print_Titles" localSheetId="14">'Func Enmax'!$4:$4</definedName>
    <definedName name="_xlnm.Print_Titles" localSheetId="15">'Func EPCOR'!$1:$1</definedName>
    <definedName name="Sub_Name" localSheetId="12">'Func ATCO Subs'!$AK$5:$AK$342</definedName>
    <definedName name="Sub_Name">'Func AL Subs'!$AM$5:$AM$491</definedName>
    <definedName name="sub_pod" localSheetId="12">'Func ATCO Subs'!$AL$5:$AL$342</definedName>
    <definedName name="sub_pod">'Func AL Subs'!$AN$5:$AN$491</definedName>
    <definedName name="sub_sts" localSheetId="12">'Func ATCO Subs'!$AM$5:$AM$342</definedName>
    <definedName name="sub_sts">'Func AL Subs'!$AO$5:$AO$491</definedName>
    <definedName name="sub_total" localSheetId="12">'Func ATCO Subs'!$AN$5:$AN$342</definedName>
    <definedName name="sub_total">'Func AL Subs'!$AP$5:$AP$491</definedName>
    <definedName name="TempQuery" localSheetId="14">'Func Enmax'!#REF!</definedName>
    <definedName name="TempQuery" localSheetId="15">'Func EPCOR'!#REF!</definedName>
    <definedName name="Trans">[1]POD!$B$458:$C$460</definedName>
    <definedName name="Trans_Cond">'[1]Line Raw'!$O$24:$Q$58</definedName>
    <definedName name="Trans_database">'[2]AESO Database'!$A$1:$F$367</definedName>
    <definedName name="Volt_Based">[1]POD!$B$453:$C$457</definedName>
    <definedName name="wrn.Account._.Codes." localSheetId="4" hidden="1">{#N/A,#N/A,FALSE,"Account Codes"}</definedName>
    <definedName name="wrn.Account._.Codes." localSheetId="8" hidden="1">{#N/A,#N/A,FALSE,"Account Codes"}</definedName>
    <definedName name="wrn.Account._.Codes." localSheetId="40" hidden="1">{#N/A,#N/A,FALSE,"Account Codes"}</definedName>
    <definedName name="wrn.Account._.Codes." localSheetId="41" hidden="1">{#N/A,#N/A,FALSE,"Account Codes"}</definedName>
    <definedName name="wrn.Account._.Codes." localSheetId="43" hidden="1">{#N/A,#N/A,FALSE,"Account Codes"}</definedName>
    <definedName name="wrn.Account._.Codes." localSheetId="45" hidden="1">{#N/A,#N/A,FALSE,"Account Codes"}</definedName>
    <definedName name="wrn.Account._.Codes." localSheetId="48" hidden="1">{#N/A,#N/A,FALSE,"Account Codes"}</definedName>
    <definedName name="wrn.Account._.Codes." localSheetId="49" hidden="1">{#N/A,#N/A,FALSE,"Account Codes"}</definedName>
    <definedName name="wrn.Account._.Codes." localSheetId="50" hidden="1">{#N/A,#N/A,FALSE,"Account Codes"}</definedName>
    <definedName name="wrn.Account._.Codes." localSheetId="54" hidden="1">{#N/A,#N/A,FALSE,"Account Codes"}</definedName>
    <definedName name="wrn.Account._.Codes." localSheetId="56" hidden="1">{#N/A,#N/A,FALSE,"Account Codes"}</definedName>
    <definedName name="wrn.Account._.Codes." localSheetId="58" hidden="1">{#N/A,#N/A,FALSE,"Account Codes"}</definedName>
    <definedName name="wrn.Account._.Codes." localSheetId="62" hidden="1">{#N/A,#N/A,FALSE,"Account Codes"}</definedName>
    <definedName name="wrn.Account._.Codes." localSheetId="63" hidden="1">{#N/A,#N/A,FALSE,"Account Codes"}</definedName>
    <definedName name="wrn.Account._.Codes." localSheetId="65" hidden="1">{#N/A,#N/A,FALSE,"Account Codes"}</definedName>
    <definedName name="wrn.Account._.Codes." localSheetId="37" hidden="1">{#N/A,#N/A,FALSE,"Account Codes"}</definedName>
    <definedName name="wrn.Account._.Codes." localSheetId="39" hidden="1">{#N/A,#N/A,FALSE,"Account Codes"}</definedName>
    <definedName name="wrn.Account._.Codes." hidden="1">{#N/A,#N/A,FALSE,"Account Codes"}</definedName>
    <definedName name="wrn.Bank._.LOC." localSheetId="4" hidden="1">{#N/A,#N/A,FALSE,"Bank LOC(U.S.Canada)"}</definedName>
    <definedName name="wrn.Bank._.LOC." localSheetId="8" hidden="1">{#N/A,#N/A,FALSE,"Bank LOC(U.S.Canada)"}</definedName>
    <definedName name="wrn.Bank._.LOC." localSheetId="40" hidden="1">{#N/A,#N/A,FALSE,"Bank LOC(U.S.Canada)"}</definedName>
    <definedName name="wrn.Bank._.LOC." localSheetId="41" hidden="1">{#N/A,#N/A,FALSE,"Bank LOC(U.S.Canada)"}</definedName>
    <definedName name="wrn.Bank._.LOC." localSheetId="43" hidden="1">{#N/A,#N/A,FALSE,"Bank LOC(U.S.Canada)"}</definedName>
    <definedName name="wrn.Bank._.LOC." localSheetId="45" hidden="1">{#N/A,#N/A,FALSE,"Bank LOC(U.S.Canada)"}</definedName>
    <definedName name="wrn.Bank._.LOC." localSheetId="48" hidden="1">{#N/A,#N/A,FALSE,"Bank LOC(U.S.Canada)"}</definedName>
    <definedName name="wrn.Bank._.LOC." localSheetId="49" hidden="1">{#N/A,#N/A,FALSE,"Bank LOC(U.S.Canada)"}</definedName>
    <definedName name="wrn.Bank._.LOC." localSheetId="50" hidden="1">{#N/A,#N/A,FALSE,"Bank LOC(U.S.Canada)"}</definedName>
    <definedName name="wrn.Bank._.LOC." localSheetId="54" hidden="1">{#N/A,#N/A,FALSE,"Bank LOC(U.S.Canada)"}</definedName>
    <definedName name="wrn.Bank._.LOC." localSheetId="56" hidden="1">{#N/A,#N/A,FALSE,"Bank LOC(U.S.Canada)"}</definedName>
    <definedName name="wrn.Bank._.LOC." localSheetId="58" hidden="1">{#N/A,#N/A,FALSE,"Bank LOC(U.S.Canada)"}</definedName>
    <definedName name="wrn.Bank._.LOC." localSheetId="62" hidden="1">{#N/A,#N/A,FALSE,"Bank LOC(U.S.Canada)"}</definedName>
    <definedName name="wrn.Bank._.LOC." localSheetId="63" hidden="1">{#N/A,#N/A,FALSE,"Bank LOC(U.S.Canada)"}</definedName>
    <definedName name="wrn.Bank._.LOC." localSheetId="65" hidden="1">{#N/A,#N/A,FALSE,"Bank LOC(U.S.Canada)"}</definedName>
    <definedName name="wrn.Bank._.LOC." localSheetId="37" hidden="1">{#N/A,#N/A,FALSE,"Bank LOC(U.S.Canada)"}</definedName>
    <definedName name="wrn.Bank._.LOC." localSheetId="39" hidden="1">{#N/A,#N/A,FALSE,"Bank LOC(U.S.Canada)"}</definedName>
    <definedName name="wrn.Bank._.LOC." hidden="1">{#N/A,#N/A,FALSE,"Bank LOC(U.S.Canada)"}</definedName>
    <definedName name="wrn.Key._.Assumptions." localSheetId="4" hidden="1">{#N/A,#N/A,FALSE,"Key Assumptions"}</definedName>
    <definedName name="wrn.Key._.Assumptions." localSheetId="8" hidden="1">{#N/A,#N/A,FALSE,"Key Assumptions"}</definedName>
    <definedName name="wrn.Key._.Assumptions." localSheetId="40" hidden="1">{#N/A,#N/A,FALSE,"Key Assumptions"}</definedName>
    <definedName name="wrn.Key._.Assumptions." localSheetId="41" hidden="1">{#N/A,#N/A,FALSE,"Key Assumptions"}</definedName>
    <definedName name="wrn.Key._.Assumptions." localSheetId="43" hidden="1">{#N/A,#N/A,FALSE,"Key Assumptions"}</definedName>
    <definedName name="wrn.Key._.Assumptions." localSheetId="45" hidden="1">{#N/A,#N/A,FALSE,"Key Assumptions"}</definedName>
    <definedName name="wrn.Key._.Assumptions." localSheetId="48" hidden="1">{#N/A,#N/A,FALSE,"Key Assumptions"}</definedName>
    <definedName name="wrn.Key._.Assumptions." localSheetId="49" hidden="1">{#N/A,#N/A,FALSE,"Key Assumptions"}</definedName>
    <definedName name="wrn.Key._.Assumptions." localSheetId="50" hidden="1">{#N/A,#N/A,FALSE,"Key Assumptions"}</definedName>
    <definedName name="wrn.Key._.Assumptions." localSheetId="54" hidden="1">{#N/A,#N/A,FALSE,"Key Assumptions"}</definedName>
    <definedName name="wrn.Key._.Assumptions." localSheetId="56" hidden="1">{#N/A,#N/A,FALSE,"Key Assumptions"}</definedName>
    <definedName name="wrn.Key._.Assumptions." localSheetId="58" hidden="1">{#N/A,#N/A,FALSE,"Key Assumptions"}</definedName>
    <definedName name="wrn.Key._.Assumptions." localSheetId="62" hidden="1">{#N/A,#N/A,FALSE,"Key Assumptions"}</definedName>
    <definedName name="wrn.Key._.Assumptions." localSheetId="63" hidden="1">{#N/A,#N/A,FALSE,"Key Assumptions"}</definedName>
    <definedName name="wrn.Key._.Assumptions." localSheetId="65" hidden="1">{#N/A,#N/A,FALSE,"Key Assumptions"}</definedName>
    <definedName name="wrn.Key._.Assumptions." localSheetId="37" hidden="1">{#N/A,#N/A,FALSE,"Key Assumptions"}</definedName>
    <definedName name="wrn.Key._.Assumptions." localSheetId="39" hidden="1">{#N/A,#N/A,FALSE,"Key Assumptions"}</definedName>
    <definedName name="wrn.Key._.Assumptions." hidden="1">{#N/A,#N/A,FALSE,"Key Assumptions"}</definedName>
    <definedName name="wrn.Summary." localSheetId="4" hidden="1">{#N/A,#N/A,FALSE,"Summary"}</definedName>
    <definedName name="wrn.Summary." localSheetId="8" hidden="1">{#N/A,#N/A,FALSE,"Summary"}</definedName>
    <definedName name="wrn.Summary." localSheetId="40" hidden="1">{#N/A,#N/A,FALSE,"Summary"}</definedName>
    <definedName name="wrn.Summary." localSheetId="41" hidden="1">{#N/A,#N/A,FALSE,"Summary"}</definedName>
    <definedName name="wrn.Summary." localSheetId="43" hidden="1">{#N/A,#N/A,FALSE,"Summary"}</definedName>
    <definedName name="wrn.Summary." localSheetId="45" hidden="1">{#N/A,#N/A,FALSE,"Summary"}</definedName>
    <definedName name="wrn.Summary." localSheetId="48" hidden="1">{#N/A,#N/A,FALSE,"Summary"}</definedName>
    <definedName name="wrn.Summary." localSheetId="49" hidden="1">{#N/A,#N/A,FALSE,"Summary"}</definedName>
    <definedName name="wrn.Summary." localSheetId="50" hidden="1">{#N/A,#N/A,FALSE,"Summary"}</definedName>
    <definedName name="wrn.Summary." localSheetId="54" hidden="1">{#N/A,#N/A,FALSE,"Summary"}</definedName>
    <definedName name="wrn.Summary." localSheetId="56" hidden="1">{#N/A,#N/A,FALSE,"Summary"}</definedName>
    <definedName name="wrn.Summary." localSheetId="58" hidden="1">{#N/A,#N/A,FALSE,"Summary"}</definedName>
    <definedName name="wrn.Summary." localSheetId="62" hidden="1">{#N/A,#N/A,FALSE,"Summary"}</definedName>
    <definedName name="wrn.Summary." localSheetId="63" hidden="1">{#N/A,#N/A,FALSE,"Summary"}</definedName>
    <definedName name="wrn.Summary." localSheetId="65" hidden="1">{#N/A,#N/A,FALSE,"Summary"}</definedName>
    <definedName name="wrn.Summary." localSheetId="37" hidden="1">{#N/A,#N/A,FALSE,"Summary"}</definedName>
    <definedName name="wrn.Summary." localSheetId="39" hidden="1">{#N/A,#N/A,FALSE,"Summary"}</definedName>
    <definedName name="wrn.Summary." hidden="1">{#N/A,#N/A,FALSE,"Summary"}</definedName>
    <definedName name="wrn.TEC._.Consolidated." localSheetId="4" hidden="1">{#N/A,#N/A,FALSE,"TEC Consolidated"}</definedName>
    <definedName name="wrn.TEC._.Consolidated." localSheetId="8" hidden="1">{#N/A,#N/A,FALSE,"TEC Consolidated"}</definedName>
    <definedName name="wrn.TEC._.Consolidated." localSheetId="40" hidden="1">{#N/A,#N/A,FALSE,"TEC Consolidated"}</definedName>
    <definedName name="wrn.TEC._.Consolidated." localSheetId="41" hidden="1">{#N/A,#N/A,FALSE,"TEC Consolidated"}</definedName>
    <definedName name="wrn.TEC._.Consolidated." localSheetId="43" hidden="1">{#N/A,#N/A,FALSE,"TEC Consolidated"}</definedName>
    <definedName name="wrn.TEC._.Consolidated." localSheetId="45" hidden="1">{#N/A,#N/A,FALSE,"TEC Consolidated"}</definedName>
    <definedName name="wrn.TEC._.Consolidated." localSheetId="48" hidden="1">{#N/A,#N/A,FALSE,"TEC Consolidated"}</definedName>
    <definedName name="wrn.TEC._.Consolidated." localSheetId="49" hidden="1">{#N/A,#N/A,FALSE,"TEC Consolidated"}</definedName>
    <definedName name="wrn.TEC._.Consolidated." localSheetId="50" hidden="1">{#N/A,#N/A,FALSE,"TEC Consolidated"}</definedName>
    <definedName name="wrn.TEC._.Consolidated." localSheetId="54" hidden="1">{#N/A,#N/A,FALSE,"TEC Consolidated"}</definedName>
    <definedName name="wrn.TEC._.Consolidated." localSheetId="56" hidden="1">{#N/A,#N/A,FALSE,"TEC Consolidated"}</definedName>
    <definedName name="wrn.TEC._.Consolidated." localSheetId="58" hidden="1">{#N/A,#N/A,FALSE,"TEC Consolidated"}</definedName>
    <definedName name="wrn.TEC._.Consolidated." localSheetId="62" hidden="1">{#N/A,#N/A,FALSE,"TEC Consolidated"}</definedName>
    <definedName name="wrn.TEC._.Consolidated." localSheetId="63" hidden="1">{#N/A,#N/A,FALSE,"TEC Consolidated"}</definedName>
    <definedName name="wrn.TEC._.Consolidated." localSheetId="65" hidden="1">{#N/A,#N/A,FALSE,"TEC Consolidated"}</definedName>
    <definedName name="wrn.TEC._.Consolidated." localSheetId="37" hidden="1">{#N/A,#N/A,FALSE,"TEC Consolidated"}</definedName>
    <definedName name="wrn.TEC._.Consolidated." localSheetId="39" hidden="1">{#N/A,#N/A,FALSE,"TEC Consolidated"}</definedName>
    <definedName name="wrn.TEC._.Consolidated." hidden="1">{#N/A,#N/A,FALSE,"TEC Consolidated"}</definedName>
  </definedNames>
  <calcPr calcId="145621"/>
</workbook>
</file>

<file path=xl/calcChain.xml><?xml version="1.0" encoding="utf-8"?>
<calcChain xmlns="http://schemas.openxmlformats.org/spreadsheetml/2006/main">
  <c r="F8" i="118" l="1"/>
  <c r="F7" i="118"/>
  <c r="Y15" i="119"/>
  <c r="R305" i="119"/>
  <c r="X304" i="119"/>
  <c r="Y304" i="119" s="1"/>
  <c r="X303" i="119"/>
  <c r="Y303" i="119" s="1"/>
  <c r="X302" i="119"/>
  <c r="Y302" i="119" s="1"/>
  <c r="Y301" i="119"/>
  <c r="X301" i="119"/>
  <c r="X300" i="119"/>
  <c r="Y300" i="119" s="1"/>
  <c r="Y299" i="119"/>
  <c r="X299" i="119"/>
  <c r="X298" i="119"/>
  <c r="Y298" i="119" s="1"/>
  <c r="X297" i="119"/>
  <c r="Y297" i="119" s="1"/>
  <c r="X296" i="119"/>
  <c r="Y296" i="119" s="1"/>
  <c r="X295" i="119"/>
  <c r="Y295" i="119" s="1"/>
  <c r="X294" i="119"/>
  <c r="Y294" i="119" s="1"/>
  <c r="X293" i="119"/>
  <c r="Y293" i="119" s="1"/>
  <c r="X292" i="119"/>
  <c r="Y292" i="119" s="1"/>
  <c r="X291" i="119"/>
  <c r="Y291" i="119" s="1"/>
  <c r="Y290" i="119"/>
  <c r="X290" i="119"/>
  <c r="X289" i="119"/>
  <c r="Y289" i="119" s="1"/>
  <c r="Y288" i="119"/>
  <c r="X288" i="119"/>
  <c r="X287" i="119"/>
  <c r="Y287" i="119" s="1"/>
  <c r="X286" i="119"/>
  <c r="Y286" i="119" s="1"/>
  <c r="X285" i="119"/>
  <c r="Y285" i="119" s="1"/>
  <c r="X284" i="119"/>
  <c r="Y284" i="119" s="1"/>
  <c r="X283" i="119"/>
  <c r="Y283" i="119" s="1"/>
  <c r="X282" i="119"/>
  <c r="Y282" i="119" s="1"/>
  <c r="X281" i="119"/>
  <c r="Y281" i="119" s="1"/>
  <c r="X280" i="119"/>
  <c r="Y280" i="119" s="1"/>
  <c r="Y279" i="119"/>
  <c r="X279" i="119"/>
  <c r="X278" i="119"/>
  <c r="Y278" i="119" s="1"/>
  <c r="X277" i="119"/>
  <c r="Y277" i="119" s="1"/>
  <c r="X276" i="119"/>
  <c r="Y276" i="119" s="1"/>
  <c r="X275" i="119"/>
  <c r="Y275" i="119" s="1"/>
  <c r="X274" i="119"/>
  <c r="Y274" i="119" s="1"/>
  <c r="X273" i="119"/>
  <c r="Y273" i="119" s="1"/>
  <c r="X272" i="119"/>
  <c r="Y272" i="119" s="1"/>
  <c r="X271" i="119"/>
  <c r="Y271" i="119" s="1"/>
  <c r="X270" i="119"/>
  <c r="Y270" i="119" s="1"/>
  <c r="X269" i="119"/>
  <c r="Y269" i="119" s="1"/>
  <c r="X268" i="119"/>
  <c r="Y268" i="119" s="1"/>
  <c r="X267" i="119"/>
  <c r="Y267" i="119" s="1"/>
  <c r="X266" i="119"/>
  <c r="Y266" i="119" s="1"/>
  <c r="X265" i="119"/>
  <c r="Y265" i="119" s="1"/>
  <c r="Y264" i="119"/>
  <c r="X264" i="119"/>
  <c r="X263" i="119"/>
  <c r="Y263" i="119" s="1"/>
  <c r="X262" i="119"/>
  <c r="Y262" i="119" s="1"/>
  <c r="X261" i="119"/>
  <c r="Y261" i="119" s="1"/>
  <c r="X260" i="119"/>
  <c r="Y260" i="119" s="1"/>
  <c r="X259" i="119"/>
  <c r="Y259" i="119" s="1"/>
  <c r="Y258" i="119"/>
  <c r="X258" i="119"/>
  <c r="X257" i="119"/>
  <c r="Y257" i="119" s="1"/>
  <c r="X256" i="119"/>
  <c r="Y256" i="119" s="1"/>
  <c r="X255" i="119"/>
  <c r="Y255" i="119" s="1"/>
  <c r="X254" i="119"/>
  <c r="Y254" i="119" s="1"/>
  <c r="X253" i="119"/>
  <c r="Y253" i="119" s="1"/>
  <c r="X252" i="119"/>
  <c r="Y252" i="119" s="1"/>
  <c r="X251" i="119"/>
  <c r="Y251" i="119" s="1"/>
  <c r="X250" i="119"/>
  <c r="Y250" i="119" s="1"/>
  <c r="X249" i="119"/>
  <c r="Y249" i="119" s="1"/>
  <c r="X248" i="119"/>
  <c r="Y248" i="119" s="1"/>
  <c r="X247" i="119"/>
  <c r="Y247" i="119" s="1"/>
  <c r="X246" i="119"/>
  <c r="Y246" i="119" s="1"/>
  <c r="X245" i="119"/>
  <c r="Y245" i="119" s="1"/>
  <c r="X244" i="119"/>
  <c r="Y244" i="119" s="1"/>
  <c r="X243" i="119"/>
  <c r="Y243" i="119" s="1"/>
  <c r="X242" i="119"/>
  <c r="Y242" i="119" s="1"/>
  <c r="X241" i="119"/>
  <c r="Y241" i="119" s="1"/>
  <c r="X240" i="119"/>
  <c r="Y240" i="119" s="1"/>
  <c r="X239" i="119"/>
  <c r="Y239" i="119" s="1"/>
  <c r="X238" i="119"/>
  <c r="Y238" i="119" s="1"/>
  <c r="X237" i="119"/>
  <c r="Y237" i="119" s="1"/>
  <c r="X236" i="119"/>
  <c r="Y236" i="119" s="1"/>
  <c r="X235" i="119"/>
  <c r="Y235" i="119" s="1"/>
  <c r="X234" i="119"/>
  <c r="Y234" i="119" s="1"/>
  <c r="X233" i="119"/>
  <c r="Y233" i="119" s="1"/>
  <c r="X232" i="119"/>
  <c r="Y232" i="119" s="1"/>
  <c r="Y231" i="119"/>
  <c r="X231" i="119"/>
  <c r="X230" i="119"/>
  <c r="Y230" i="119" s="1"/>
  <c r="X229" i="119"/>
  <c r="Y229" i="119" s="1"/>
  <c r="X228" i="119"/>
  <c r="Y228" i="119" s="1"/>
  <c r="X227" i="119"/>
  <c r="Y227" i="119" s="1"/>
  <c r="X226" i="119"/>
  <c r="Y226" i="119" s="1"/>
  <c r="X225" i="119"/>
  <c r="Y225" i="119" s="1"/>
  <c r="X224" i="119"/>
  <c r="Y224" i="119" s="1"/>
  <c r="X223" i="119"/>
  <c r="Y223" i="119" s="1"/>
  <c r="X222" i="119"/>
  <c r="Y222" i="119" s="1"/>
  <c r="X221" i="119"/>
  <c r="Y221" i="119" s="1"/>
  <c r="X220" i="119"/>
  <c r="Y220" i="119" s="1"/>
  <c r="X219" i="119"/>
  <c r="Y219" i="119" s="1"/>
  <c r="X218" i="119"/>
  <c r="Y218" i="119" s="1"/>
  <c r="X217" i="119"/>
  <c r="Y217" i="119" s="1"/>
  <c r="X216" i="119"/>
  <c r="Y216" i="119" s="1"/>
  <c r="X215" i="119"/>
  <c r="Y215" i="119" s="1"/>
  <c r="X214" i="119"/>
  <c r="Y214" i="119" s="1"/>
  <c r="X213" i="119"/>
  <c r="Y213" i="119" s="1"/>
  <c r="X212" i="119"/>
  <c r="Y212" i="119" s="1"/>
  <c r="X211" i="119"/>
  <c r="Y211" i="119" s="1"/>
  <c r="X210" i="119"/>
  <c r="Y210" i="119" s="1"/>
  <c r="X209" i="119"/>
  <c r="Y209" i="119" s="1"/>
  <c r="X208" i="119"/>
  <c r="Y208" i="119" s="1"/>
  <c r="X207" i="119"/>
  <c r="Y207" i="119" s="1"/>
  <c r="X206" i="119"/>
  <c r="Y206" i="119" s="1"/>
  <c r="X205" i="119"/>
  <c r="Y205" i="119" s="1"/>
  <c r="X204" i="119"/>
  <c r="Y204" i="119" s="1"/>
  <c r="X203" i="119"/>
  <c r="Y203" i="119" s="1"/>
  <c r="X202" i="119"/>
  <c r="Y202" i="119" s="1"/>
  <c r="X201" i="119"/>
  <c r="Y201" i="119" s="1"/>
  <c r="X200" i="119"/>
  <c r="Y200" i="119" s="1"/>
  <c r="X199" i="119"/>
  <c r="Y199" i="119" s="1"/>
  <c r="X198" i="119"/>
  <c r="Y198" i="119" s="1"/>
  <c r="X197" i="119"/>
  <c r="Y197" i="119" s="1"/>
  <c r="X196" i="119"/>
  <c r="Y196" i="119" s="1"/>
  <c r="X195" i="119"/>
  <c r="Y195" i="119" s="1"/>
  <c r="X194" i="119"/>
  <c r="Y194" i="119" s="1"/>
  <c r="X193" i="119"/>
  <c r="Y193" i="119" s="1"/>
  <c r="X192" i="119"/>
  <c r="Y192" i="119" s="1"/>
  <c r="X191" i="119"/>
  <c r="Y191" i="119" s="1"/>
  <c r="X190" i="119"/>
  <c r="Y190" i="119" s="1"/>
  <c r="X189" i="119"/>
  <c r="Y189" i="119" s="1"/>
  <c r="X188" i="119"/>
  <c r="Y188" i="119" s="1"/>
  <c r="X187" i="119"/>
  <c r="Y187" i="119" s="1"/>
  <c r="X186" i="119"/>
  <c r="Y186" i="119" s="1"/>
  <c r="X185" i="119"/>
  <c r="Y185" i="119" s="1"/>
  <c r="X184" i="119"/>
  <c r="Y184" i="119" s="1"/>
  <c r="X183" i="119"/>
  <c r="Y183" i="119" s="1"/>
  <c r="X182" i="119"/>
  <c r="Y182" i="119" s="1"/>
  <c r="X181" i="119"/>
  <c r="Y181" i="119" s="1"/>
  <c r="X180" i="119"/>
  <c r="Y180" i="119" s="1"/>
  <c r="X179" i="119"/>
  <c r="Y179" i="119" s="1"/>
  <c r="X178" i="119"/>
  <c r="Y178" i="119" s="1"/>
  <c r="X177" i="119"/>
  <c r="R174" i="119"/>
  <c r="X173" i="119"/>
  <c r="Y173" i="119" s="1"/>
  <c r="X172" i="119"/>
  <c r="Y172" i="119" s="1"/>
  <c r="X171" i="119"/>
  <c r="Y171" i="119" s="1"/>
  <c r="X170" i="119"/>
  <c r="Y170" i="119" s="1"/>
  <c r="X169" i="119"/>
  <c r="Y169" i="119" s="1"/>
  <c r="X168" i="119"/>
  <c r="Y168" i="119" s="1"/>
  <c r="X167" i="119"/>
  <c r="Y167" i="119" s="1"/>
  <c r="X166" i="119"/>
  <c r="Y166" i="119" s="1"/>
  <c r="X165" i="119"/>
  <c r="Y165" i="119" s="1"/>
  <c r="X164" i="119"/>
  <c r="Y164" i="119" s="1"/>
  <c r="X163" i="119"/>
  <c r="Y163" i="119" s="1"/>
  <c r="X162" i="119"/>
  <c r="Y162" i="119" s="1"/>
  <c r="X161" i="119"/>
  <c r="Y161" i="119" s="1"/>
  <c r="X160" i="119"/>
  <c r="Y160" i="119" s="1"/>
  <c r="X159" i="119"/>
  <c r="Y159" i="119" s="1"/>
  <c r="X158" i="119"/>
  <c r="Y158" i="119" s="1"/>
  <c r="X157" i="119"/>
  <c r="Y157" i="119" s="1"/>
  <c r="X156" i="119"/>
  <c r="Y156" i="119" s="1"/>
  <c r="X155" i="119"/>
  <c r="Y155" i="119" s="1"/>
  <c r="X154" i="119"/>
  <c r="Y154" i="119" s="1"/>
  <c r="X153" i="119"/>
  <c r="Y153" i="119" s="1"/>
  <c r="X152" i="119"/>
  <c r="Y152" i="119" s="1"/>
  <c r="X151" i="119"/>
  <c r="Y151" i="119" s="1"/>
  <c r="X150" i="119"/>
  <c r="Y150" i="119" s="1"/>
  <c r="X149" i="119"/>
  <c r="Y149" i="119" s="1"/>
  <c r="X148" i="119"/>
  <c r="Y148" i="119" s="1"/>
  <c r="X147" i="119"/>
  <c r="Y147" i="119" s="1"/>
  <c r="X146" i="119"/>
  <c r="Y146" i="119" s="1"/>
  <c r="X145" i="119"/>
  <c r="Y145" i="119" s="1"/>
  <c r="X144" i="119"/>
  <c r="Y144" i="119" s="1"/>
  <c r="X143" i="119"/>
  <c r="Y143" i="119" s="1"/>
  <c r="X142" i="119"/>
  <c r="Y142" i="119" s="1"/>
  <c r="X141" i="119"/>
  <c r="Y141" i="119" s="1"/>
  <c r="X140" i="119"/>
  <c r="Y140" i="119" s="1"/>
  <c r="X139" i="119"/>
  <c r="Y139" i="119" s="1"/>
  <c r="X138" i="119"/>
  <c r="Y138" i="119" s="1"/>
  <c r="X137" i="119"/>
  <c r="Y137" i="119" s="1"/>
  <c r="X136" i="119"/>
  <c r="Y136" i="119" s="1"/>
  <c r="X135" i="119"/>
  <c r="Y135" i="119" s="1"/>
  <c r="X134" i="119"/>
  <c r="Y134" i="119" s="1"/>
  <c r="X133" i="119"/>
  <c r="Y133" i="119" s="1"/>
  <c r="X132" i="119"/>
  <c r="Y132" i="119" s="1"/>
  <c r="X131" i="119"/>
  <c r="Y131" i="119" s="1"/>
  <c r="X130" i="119"/>
  <c r="Y130" i="119" s="1"/>
  <c r="X129" i="119"/>
  <c r="Y129" i="119" s="1"/>
  <c r="X128" i="119"/>
  <c r="Y128" i="119" s="1"/>
  <c r="X127" i="119"/>
  <c r="Y127" i="119" s="1"/>
  <c r="X126" i="119"/>
  <c r="Y126" i="119" s="1"/>
  <c r="X125" i="119"/>
  <c r="Y125" i="119" s="1"/>
  <c r="X124" i="119"/>
  <c r="Y124" i="119" s="1"/>
  <c r="X123" i="119"/>
  <c r="Y123" i="119" s="1"/>
  <c r="X122" i="119"/>
  <c r="Y122" i="119" s="1"/>
  <c r="X121" i="119"/>
  <c r="Y121" i="119" s="1"/>
  <c r="X120" i="119"/>
  <c r="Y120" i="119" s="1"/>
  <c r="X119" i="119"/>
  <c r="Y119" i="119" s="1"/>
  <c r="X118" i="119"/>
  <c r="Y118" i="119" s="1"/>
  <c r="X117" i="119"/>
  <c r="Y117" i="119" s="1"/>
  <c r="X116" i="119"/>
  <c r="Y116" i="119" s="1"/>
  <c r="X115" i="119"/>
  <c r="Y115" i="119" s="1"/>
  <c r="X114" i="119"/>
  <c r="Y114" i="119" s="1"/>
  <c r="X113" i="119"/>
  <c r="Y113" i="119" s="1"/>
  <c r="X112" i="119"/>
  <c r="Y112" i="119" s="1"/>
  <c r="X111" i="119"/>
  <c r="Y111" i="119" s="1"/>
  <c r="X110" i="119"/>
  <c r="Y110" i="119" s="1"/>
  <c r="X109" i="119"/>
  <c r="Y109" i="119" s="1"/>
  <c r="X108" i="119"/>
  <c r="Y108" i="119" s="1"/>
  <c r="X107" i="119"/>
  <c r="Y107" i="119" s="1"/>
  <c r="X106" i="119"/>
  <c r="Y106" i="119" s="1"/>
  <c r="X105" i="119"/>
  <c r="Y105" i="119" s="1"/>
  <c r="X104" i="119"/>
  <c r="Y104" i="119" s="1"/>
  <c r="X103" i="119"/>
  <c r="Y103" i="119" s="1"/>
  <c r="X102" i="119"/>
  <c r="Y102" i="119" s="1"/>
  <c r="X101" i="119"/>
  <c r="Y101" i="119" s="1"/>
  <c r="X100" i="119"/>
  <c r="Y100" i="119" s="1"/>
  <c r="R95" i="119"/>
  <c r="X94" i="119"/>
  <c r="Y94" i="119" s="1"/>
  <c r="X93" i="119"/>
  <c r="Y93" i="119" s="1"/>
  <c r="X92" i="119"/>
  <c r="Y92" i="119" s="1"/>
  <c r="X91" i="119"/>
  <c r="Y91" i="119" s="1"/>
  <c r="X90" i="119"/>
  <c r="Y90" i="119" s="1"/>
  <c r="X89" i="119"/>
  <c r="Y89" i="119" s="1"/>
  <c r="X88" i="119"/>
  <c r="Y88" i="119" s="1"/>
  <c r="X87" i="119"/>
  <c r="Y87" i="119" s="1"/>
  <c r="X86" i="119"/>
  <c r="Y86" i="119" s="1"/>
  <c r="X85" i="119"/>
  <c r="Y85" i="119" s="1"/>
  <c r="X84" i="119"/>
  <c r="Y84" i="119" s="1"/>
  <c r="X83" i="119"/>
  <c r="Y83" i="119" s="1"/>
  <c r="X82" i="119"/>
  <c r="Y82" i="119" s="1"/>
  <c r="X81" i="119"/>
  <c r="Y81" i="119" s="1"/>
  <c r="X80" i="119"/>
  <c r="Y80" i="119" s="1"/>
  <c r="X79" i="119"/>
  <c r="Y79" i="119" s="1"/>
  <c r="X78" i="119"/>
  <c r="Y78" i="119" s="1"/>
  <c r="X77" i="119"/>
  <c r="Y77" i="119" s="1"/>
  <c r="X76" i="119"/>
  <c r="Y76" i="119" s="1"/>
  <c r="X75" i="119"/>
  <c r="Y75" i="119" s="1"/>
  <c r="X74" i="119"/>
  <c r="Y74" i="119" s="1"/>
  <c r="X73" i="119"/>
  <c r="Y73" i="119" s="1"/>
  <c r="X72" i="119"/>
  <c r="Y72" i="119" s="1"/>
  <c r="X71" i="119"/>
  <c r="Y71" i="119" s="1"/>
  <c r="X70" i="119"/>
  <c r="Y70" i="119" s="1"/>
  <c r="X69" i="119"/>
  <c r="Y69" i="119" s="1"/>
  <c r="X68" i="119"/>
  <c r="Y68" i="119" s="1"/>
  <c r="X67" i="119"/>
  <c r="Y67" i="119" s="1"/>
  <c r="X66" i="119"/>
  <c r="Y66" i="119" s="1"/>
  <c r="X65" i="119"/>
  <c r="Y65" i="119" s="1"/>
  <c r="X64" i="119"/>
  <c r="Y64" i="119" s="1"/>
  <c r="X63" i="119"/>
  <c r="Y63" i="119" s="1"/>
  <c r="X62" i="119"/>
  <c r="Y62" i="119" s="1"/>
  <c r="X61" i="119"/>
  <c r="Y61" i="119" s="1"/>
  <c r="X60" i="119"/>
  <c r="Y60" i="119" s="1"/>
  <c r="X59" i="119"/>
  <c r="Y59" i="119" s="1"/>
  <c r="X58" i="119"/>
  <c r="Y58" i="119" s="1"/>
  <c r="X57" i="119"/>
  <c r="Y57" i="119" s="1"/>
  <c r="X56" i="119"/>
  <c r="Y56" i="119" s="1"/>
  <c r="X55" i="119"/>
  <c r="Y55" i="119" s="1"/>
  <c r="X54" i="119"/>
  <c r="Y54" i="119" s="1"/>
  <c r="X53" i="119"/>
  <c r="Y53" i="119" s="1"/>
  <c r="X52" i="119"/>
  <c r="Y52" i="119" s="1"/>
  <c r="X51" i="119"/>
  <c r="Y51" i="119" s="1"/>
  <c r="X50" i="119"/>
  <c r="Y50" i="119" s="1"/>
  <c r="X49" i="119"/>
  <c r="R45" i="119"/>
  <c r="X44" i="119"/>
  <c r="Y44" i="119" s="1"/>
  <c r="X43" i="119"/>
  <c r="Y43" i="119" s="1"/>
  <c r="X42" i="119"/>
  <c r="Y42" i="119" s="1"/>
  <c r="X41" i="119"/>
  <c r="Y41" i="119" s="1"/>
  <c r="X40" i="119"/>
  <c r="Y40" i="119" s="1"/>
  <c r="X39" i="119"/>
  <c r="Y39" i="119" s="1"/>
  <c r="X38" i="119"/>
  <c r="Y38" i="119" s="1"/>
  <c r="X37" i="119"/>
  <c r="Y37" i="119" s="1"/>
  <c r="X36" i="119"/>
  <c r="Y36" i="119" s="1"/>
  <c r="X35" i="119"/>
  <c r="Y35" i="119" s="1"/>
  <c r="X34" i="119"/>
  <c r="Y34" i="119" s="1"/>
  <c r="X33" i="119"/>
  <c r="Y33" i="119" s="1"/>
  <c r="X32" i="119"/>
  <c r="Y32" i="119" s="1"/>
  <c r="X31" i="119"/>
  <c r="Y31" i="119" s="1"/>
  <c r="X30" i="119"/>
  <c r="Y30" i="119" s="1"/>
  <c r="X29" i="119"/>
  <c r="Y29" i="119" s="1"/>
  <c r="X28" i="119"/>
  <c r="Y28" i="119" s="1"/>
  <c r="X27" i="119"/>
  <c r="Y27" i="119" s="1"/>
  <c r="X26" i="119"/>
  <c r="Y26" i="119" s="1"/>
  <c r="X25" i="119"/>
  <c r="Y25" i="119" s="1"/>
  <c r="X24" i="119"/>
  <c r="Y24" i="119" s="1"/>
  <c r="X23" i="119"/>
  <c r="Y23" i="119" s="1"/>
  <c r="X22" i="119"/>
  <c r="Y22" i="119" s="1"/>
  <c r="X21" i="119"/>
  <c r="Y21" i="119" s="1"/>
  <c r="X20" i="119"/>
  <c r="Y20" i="119" s="1"/>
  <c r="X19" i="119"/>
  <c r="Y19" i="119" s="1"/>
  <c r="X18" i="119"/>
  <c r="Y18" i="119" s="1"/>
  <c r="X17" i="119"/>
  <c r="Y17" i="119" s="1"/>
  <c r="X16" i="119"/>
  <c r="Y16" i="119" s="1"/>
  <c r="X15" i="119"/>
  <c r="O144" i="118"/>
  <c r="O141" i="118"/>
  <c r="V140" i="118"/>
  <c r="W140" i="118" s="1"/>
  <c r="U140" i="118"/>
  <c r="T140" i="118"/>
  <c r="S140" i="118"/>
  <c r="R140" i="118"/>
  <c r="O140" i="118"/>
  <c r="O139" i="118"/>
  <c r="V138" i="118"/>
  <c r="Y138" i="118" s="1"/>
  <c r="Z138" i="118" s="1"/>
  <c r="U138" i="118"/>
  <c r="W138" i="118" s="1"/>
  <c r="T138" i="118"/>
  <c r="S138" i="118"/>
  <c r="R138" i="118"/>
  <c r="O138" i="118"/>
  <c r="V137" i="118"/>
  <c r="U137" i="118"/>
  <c r="T137" i="118"/>
  <c r="S137" i="118"/>
  <c r="R137" i="118"/>
  <c r="O137" i="118"/>
  <c r="V136" i="118"/>
  <c r="Y136" i="118" s="1"/>
  <c r="Z136" i="118" s="1"/>
  <c r="U136" i="118"/>
  <c r="T136" i="118"/>
  <c r="S136" i="118"/>
  <c r="R136" i="118"/>
  <c r="O136" i="118"/>
  <c r="V135" i="118"/>
  <c r="Y135" i="118" s="1"/>
  <c r="Z135" i="118" s="1"/>
  <c r="U135" i="118"/>
  <c r="T135" i="118"/>
  <c r="S135" i="118"/>
  <c r="R135" i="118"/>
  <c r="O135" i="118"/>
  <c r="V134" i="118"/>
  <c r="U134" i="118"/>
  <c r="T134" i="118"/>
  <c r="S134" i="118"/>
  <c r="R134" i="118"/>
  <c r="O134" i="118"/>
  <c r="O133" i="118"/>
  <c r="V132" i="118"/>
  <c r="Y132" i="118" s="1"/>
  <c r="Z132" i="118" s="1"/>
  <c r="U132" i="118"/>
  <c r="T132" i="118"/>
  <c r="S132" i="118"/>
  <c r="R132" i="118"/>
  <c r="O132" i="118"/>
  <c r="V131" i="118"/>
  <c r="Y131" i="118" s="1"/>
  <c r="Z131" i="118" s="1"/>
  <c r="U131" i="118"/>
  <c r="T131" i="118"/>
  <c r="S131" i="118"/>
  <c r="R131" i="118"/>
  <c r="O131" i="118"/>
  <c r="V130" i="118"/>
  <c r="Y130" i="118" s="1"/>
  <c r="Z130" i="118" s="1"/>
  <c r="U130" i="118"/>
  <c r="T130" i="118"/>
  <c r="S130" i="118"/>
  <c r="R130" i="118"/>
  <c r="O130" i="118"/>
  <c r="V129" i="118"/>
  <c r="Y129" i="118" s="1"/>
  <c r="Z129" i="118" s="1"/>
  <c r="U129" i="118"/>
  <c r="T129" i="118"/>
  <c r="S129" i="118"/>
  <c r="R129" i="118"/>
  <c r="O129" i="118"/>
  <c r="V128" i="118"/>
  <c r="Y128" i="118" s="1"/>
  <c r="Z128" i="118" s="1"/>
  <c r="U128" i="118"/>
  <c r="T128" i="118"/>
  <c r="S128" i="118"/>
  <c r="R128" i="118"/>
  <c r="O128" i="118"/>
  <c r="V127" i="118"/>
  <c r="Y127" i="118" s="1"/>
  <c r="Z127" i="118" s="1"/>
  <c r="U127" i="118"/>
  <c r="T127" i="118"/>
  <c r="S127" i="118"/>
  <c r="R127" i="118"/>
  <c r="O127" i="118"/>
  <c r="V126" i="118"/>
  <c r="Y126" i="118" s="1"/>
  <c r="Z126" i="118" s="1"/>
  <c r="U126" i="118"/>
  <c r="T126" i="118"/>
  <c r="S126" i="118"/>
  <c r="R126" i="118"/>
  <c r="O126" i="118"/>
  <c r="V125" i="118"/>
  <c r="Y125" i="118" s="1"/>
  <c r="Z125" i="118" s="1"/>
  <c r="U125" i="118"/>
  <c r="T125" i="118"/>
  <c r="S125" i="118"/>
  <c r="R125" i="118"/>
  <c r="O125" i="118"/>
  <c r="V124" i="118"/>
  <c r="Y124" i="118" s="1"/>
  <c r="Z124" i="118" s="1"/>
  <c r="U124" i="118"/>
  <c r="T124" i="118"/>
  <c r="S124" i="118"/>
  <c r="R124" i="118"/>
  <c r="O124" i="118"/>
  <c r="V123" i="118"/>
  <c r="Y123" i="118" s="1"/>
  <c r="Z123" i="118" s="1"/>
  <c r="U123" i="118"/>
  <c r="W123" i="118" s="1"/>
  <c r="T123" i="118"/>
  <c r="S123" i="118"/>
  <c r="R123" i="118"/>
  <c r="O123" i="118"/>
  <c r="V122" i="118"/>
  <c r="Y122" i="118" s="1"/>
  <c r="Z122" i="118" s="1"/>
  <c r="U122" i="118"/>
  <c r="T122" i="118"/>
  <c r="S122" i="118"/>
  <c r="R122" i="118"/>
  <c r="O122" i="118"/>
  <c r="O121" i="118"/>
  <c r="V120" i="118"/>
  <c r="Y120" i="118" s="1"/>
  <c r="Z120" i="118" s="1"/>
  <c r="U120" i="118"/>
  <c r="W120" i="118" s="1"/>
  <c r="T120" i="118"/>
  <c r="S120" i="118"/>
  <c r="R120" i="118"/>
  <c r="O120" i="118"/>
  <c r="V119" i="118"/>
  <c r="Y119" i="118" s="1"/>
  <c r="Z119" i="118" s="1"/>
  <c r="U119" i="118"/>
  <c r="T119" i="118"/>
  <c r="S119" i="118"/>
  <c r="R119" i="118"/>
  <c r="O119" i="118"/>
  <c r="V118" i="118"/>
  <c r="Y118" i="118" s="1"/>
  <c r="Z118" i="118" s="1"/>
  <c r="U118" i="118"/>
  <c r="T118" i="118"/>
  <c r="S118" i="118"/>
  <c r="R118" i="118"/>
  <c r="O118" i="118"/>
  <c r="O117" i="118"/>
  <c r="O116" i="118"/>
  <c r="V115" i="118"/>
  <c r="Y115" i="118" s="1"/>
  <c r="Z115" i="118" s="1"/>
  <c r="U115" i="118"/>
  <c r="T115" i="118"/>
  <c r="S115" i="118"/>
  <c r="R115" i="118"/>
  <c r="O115" i="118"/>
  <c r="O114" i="118"/>
  <c r="V113" i="118"/>
  <c r="U113" i="118"/>
  <c r="T113" i="118"/>
  <c r="S113" i="118"/>
  <c r="R113" i="118"/>
  <c r="O113" i="118"/>
  <c r="V112" i="118"/>
  <c r="Y112" i="118" s="1"/>
  <c r="Z112" i="118" s="1"/>
  <c r="U112" i="118"/>
  <c r="T112" i="118"/>
  <c r="S112" i="118"/>
  <c r="R112" i="118"/>
  <c r="O112" i="118"/>
  <c r="V111" i="118"/>
  <c r="Y111" i="118" s="1"/>
  <c r="Z111" i="118" s="1"/>
  <c r="U111" i="118"/>
  <c r="T111" i="118"/>
  <c r="S111" i="118"/>
  <c r="R111" i="118"/>
  <c r="O111" i="118"/>
  <c r="V110" i="118"/>
  <c r="Y110" i="118" s="1"/>
  <c r="Z110" i="118" s="1"/>
  <c r="U110" i="118"/>
  <c r="T110" i="118"/>
  <c r="S110" i="118"/>
  <c r="R110" i="118"/>
  <c r="O110" i="118"/>
  <c r="O109" i="118"/>
  <c r="V108" i="118"/>
  <c r="Y108" i="118" s="1"/>
  <c r="Z108" i="118" s="1"/>
  <c r="U108" i="118"/>
  <c r="T108" i="118"/>
  <c r="S108" i="118"/>
  <c r="R108" i="118"/>
  <c r="O108" i="118"/>
  <c r="V107" i="118"/>
  <c r="Y107" i="118" s="1"/>
  <c r="Z107" i="118" s="1"/>
  <c r="U107" i="118"/>
  <c r="T107" i="118"/>
  <c r="S107" i="118"/>
  <c r="R107" i="118"/>
  <c r="O107" i="118"/>
  <c r="V106" i="118"/>
  <c r="U106" i="118"/>
  <c r="T106" i="118"/>
  <c r="S106" i="118"/>
  <c r="R106" i="118"/>
  <c r="O106" i="118"/>
  <c r="V105" i="118"/>
  <c r="Y105" i="118" s="1"/>
  <c r="Z105" i="118" s="1"/>
  <c r="U105" i="118"/>
  <c r="T105" i="118"/>
  <c r="S105" i="118"/>
  <c r="R105" i="118"/>
  <c r="O105" i="118"/>
  <c r="V104" i="118"/>
  <c r="Y104" i="118" s="1"/>
  <c r="Z104" i="118" s="1"/>
  <c r="U104" i="118"/>
  <c r="T104" i="118"/>
  <c r="S104" i="118"/>
  <c r="R104" i="118"/>
  <c r="O104" i="118"/>
  <c r="V103" i="118"/>
  <c r="Y103" i="118" s="1"/>
  <c r="Z103" i="118" s="1"/>
  <c r="U103" i="118"/>
  <c r="W103" i="118" s="1"/>
  <c r="T103" i="118"/>
  <c r="S103" i="118"/>
  <c r="R103" i="118"/>
  <c r="O103" i="118"/>
  <c r="V102" i="118"/>
  <c r="Y102" i="118" s="1"/>
  <c r="Z102" i="118" s="1"/>
  <c r="U102" i="118"/>
  <c r="T102" i="118"/>
  <c r="S102" i="118"/>
  <c r="R102" i="118"/>
  <c r="O102" i="118"/>
  <c r="V101" i="118"/>
  <c r="Y101" i="118" s="1"/>
  <c r="Z101" i="118" s="1"/>
  <c r="U101" i="118"/>
  <c r="T101" i="118"/>
  <c r="S101" i="118"/>
  <c r="R101" i="118"/>
  <c r="O101" i="118"/>
  <c r="V100" i="118"/>
  <c r="U100" i="118"/>
  <c r="T100" i="118"/>
  <c r="S100" i="118"/>
  <c r="R100" i="118"/>
  <c r="O100" i="118"/>
  <c r="O145" i="118" s="1"/>
  <c r="O146" i="118" s="1"/>
  <c r="V99" i="118"/>
  <c r="Y99" i="118" s="1"/>
  <c r="U99" i="118"/>
  <c r="T99" i="118"/>
  <c r="S99" i="118"/>
  <c r="R99" i="118"/>
  <c r="O99" i="118"/>
  <c r="O93" i="118"/>
  <c r="V90" i="118"/>
  <c r="Y90" i="118" s="1"/>
  <c r="Z90" i="118" s="1"/>
  <c r="U90" i="118"/>
  <c r="T90" i="118"/>
  <c r="S90" i="118"/>
  <c r="R90" i="118"/>
  <c r="O90" i="118"/>
  <c r="Y89" i="118"/>
  <c r="Z89" i="118" s="1"/>
  <c r="O89" i="118"/>
  <c r="O88" i="118"/>
  <c r="V87" i="118"/>
  <c r="U87" i="118"/>
  <c r="T87" i="118"/>
  <c r="S87" i="118"/>
  <c r="R87" i="118"/>
  <c r="O87" i="118"/>
  <c r="V86" i="118"/>
  <c r="Y86" i="118" s="1"/>
  <c r="Z86" i="118" s="1"/>
  <c r="U86" i="118"/>
  <c r="T86" i="118"/>
  <c r="S86" i="118"/>
  <c r="R86" i="118"/>
  <c r="O86" i="118"/>
  <c r="V85" i="118"/>
  <c r="Y85" i="118" s="1"/>
  <c r="Z85" i="118" s="1"/>
  <c r="U85" i="118"/>
  <c r="T85" i="118"/>
  <c r="S85" i="118"/>
  <c r="R85" i="118"/>
  <c r="O85" i="118"/>
  <c r="V84" i="118"/>
  <c r="U84" i="118"/>
  <c r="T84" i="118"/>
  <c r="S84" i="118"/>
  <c r="R84" i="118"/>
  <c r="O84" i="118"/>
  <c r="V83" i="118"/>
  <c r="Y83" i="118" s="1"/>
  <c r="Z83" i="118" s="1"/>
  <c r="U83" i="118"/>
  <c r="W83" i="118" s="1"/>
  <c r="T83" i="118"/>
  <c r="S83" i="118"/>
  <c r="R83" i="118"/>
  <c r="O83" i="118"/>
  <c r="O82" i="118"/>
  <c r="V81" i="118"/>
  <c r="Y81" i="118" s="1"/>
  <c r="Z81" i="118" s="1"/>
  <c r="U81" i="118"/>
  <c r="T81" i="118"/>
  <c r="S81" i="118"/>
  <c r="R81" i="118"/>
  <c r="O81" i="118"/>
  <c r="V80" i="118"/>
  <c r="U80" i="118"/>
  <c r="T80" i="118"/>
  <c r="S80" i="118"/>
  <c r="R80" i="118"/>
  <c r="O80" i="118"/>
  <c r="V79" i="118"/>
  <c r="Y79" i="118" s="1"/>
  <c r="Z79" i="118" s="1"/>
  <c r="U79" i="118"/>
  <c r="T79" i="118"/>
  <c r="S79" i="118"/>
  <c r="R79" i="118"/>
  <c r="O79" i="118"/>
  <c r="V78" i="118"/>
  <c r="Y78" i="118" s="1"/>
  <c r="Z78" i="118" s="1"/>
  <c r="U78" i="118"/>
  <c r="T78" i="118"/>
  <c r="S78" i="118"/>
  <c r="R78" i="118"/>
  <c r="O78" i="118"/>
  <c r="V77" i="118"/>
  <c r="U77" i="118"/>
  <c r="T77" i="118"/>
  <c r="S77" i="118"/>
  <c r="R77" i="118"/>
  <c r="O77" i="118"/>
  <c r="V76" i="118"/>
  <c r="U76" i="118"/>
  <c r="T76" i="118"/>
  <c r="S76" i="118"/>
  <c r="R76" i="118"/>
  <c r="O76" i="118"/>
  <c r="V75" i="118"/>
  <c r="Y75" i="118" s="1"/>
  <c r="Z75" i="118" s="1"/>
  <c r="U75" i="118"/>
  <c r="T75" i="118"/>
  <c r="S75" i="118"/>
  <c r="R75" i="118"/>
  <c r="O75" i="118"/>
  <c r="O74" i="118"/>
  <c r="V73" i="118"/>
  <c r="U73" i="118"/>
  <c r="T73" i="118"/>
  <c r="S73" i="118"/>
  <c r="R73" i="118"/>
  <c r="O73" i="118"/>
  <c r="V72" i="118"/>
  <c r="U72" i="118"/>
  <c r="T72" i="118"/>
  <c r="S72" i="118"/>
  <c r="R72" i="118"/>
  <c r="O72" i="118"/>
  <c r="V71" i="118"/>
  <c r="U71" i="118"/>
  <c r="T71" i="118"/>
  <c r="S71" i="118"/>
  <c r="R71" i="118"/>
  <c r="O71" i="118"/>
  <c r="V70" i="118"/>
  <c r="Y70" i="118" s="1"/>
  <c r="Z70" i="118" s="1"/>
  <c r="U70" i="118"/>
  <c r="T70" i="118"/>
  <c r="S70" i="118"/>
  <c r="R70" i="118"/>
  <c r="O70" i="118"/>
  <c r="O69" i="118"/>
  <c r="V68" i="118"/>
  <c r="Y68" i="118" s="1"/>
  <c r="U68" i="118"/>
  <c r="T68" i="118"/>
  <c r="S68" i="118"/>
  <c r="R68" i="118"/>
  <c r="O68" i="118"/>
  <c r="O61" i="118"/>
  <c r="V58" i="118"/>
  <c r="Y58" i="118" s="1"/>
  <c r="Z58" i="118" s="1"/>
  <c r="U58" i="118"/>
  <c r="T58" i="118"/>
  <c r="S58" i="118"/>
  <c r="R58" i="118"/>
  <c r="O58" i="118"/>
  <c r="Y57" i="118"/>
  <c r="Z57" i="118" s="1"/>
  <c r="V57" i="118"/>
  <c r="W57" i="118" s="1"/>
  <c r="U57" i="118"/>
  <c r="T57" i="118"/>
  <c r="S57" i="118"/>
  <c r="R57" i="118"/>
  <c r="O57" i="118"/>
  <c r="V56" i="118"/>
  <c r="Y56" i="118" s="1"/>
  <c r="Z56" i="118" s="1"/>
  <c r="U56" i="118"/>
  <c r="T56" i="118"/>
  <c r="S56" i="118"/>
  <c r="R56" i="118"/>
  <c r="O56" i="118"/>
  <c r="O55" i="118"/>
  <c r="V54" i="118"/>
  <c r="Y54" i="118" s="1"/>
  <c r="Z54" i="118" s="1"/>
  <c r="U54" i="118"/>
  <c r="T54" i="118"/>
  <c r="S54" i="118"/>
  <c r="R54" i="118"/>
  <c r="O54" i="118"/>
  <c r="V53" i="118"/>
  <c r="Y53" i="118" s="1"/>
  <c r="Z53" i="118" s="1"/>
  <c r="U53" i="118"/>
  <c r="T53" i="118"/>
  <c r="S53" i="118"/>
  <c r="R53" i="118"/>
  <c r="O53" i="118"/>
  <c r="V52" i="118"/>
  <c r="U52" i="118"/>
  <c r="T52" i="118"/>
  <c r="S52" i="118"/>
  <c r="R52" i="118"/>
  <c r="O52" i="118"/>
  <c r="V51" i="118"/>
  <c r="W51" i="118" s="1"/>
  <c r="U51" i="118"/>
  <c r="T51" i="118"/>
  <c r="S51" i="118"/>
  <c r="R51" i="118"/>
  <c r="O51" i="118"/>
  <c r="V50" i="118"/>
  <c r="Y50" i="118" s="1"/>
  <c r="Z50" i="118" s="1"/>
  <c r="U50" i="118"/>
  <c r="T50" i="118"/>
  <c r="S50" i="118"/>
  <c r="R50" i="118"/>
  <c r="O50" i="118"/>
  <c r="O49" i="118"/>
  <c r="O62" i="118" s="1"/>
  <c r="O63" i="118" s="1"/>
  <c r="O64" i="118" s="1"/>
  <c r="V48" i="118"/>
  <c r="W48" i="118" s="1"/>
  <c r="U48" i="118"/>
  <c r="T48" i="118"/>
  <c r="S48" i="118"/>
  <c r="R48" i="118"/>
  <c r="O48" i="118"/>
  <c r="V47" i="118"/>
  <c r="W47" i="118" s="1"/>
  <c r="U47" i="118"/>
  <c r="T47" i="118"/>
  <c r="S47" i="118"/>
  <c r="R47" i="118"/>
  <c r="O47" i="118"/>
  <c r="V46" i="118"/>
  <c r="Y46" i="118" s="1"/>
  <c r="Z46" i="118" s="1"/>
  <c r="U46" i="118"/>
  <c r="T46" i="118"/>
  <c r="S46" i="118"/>
  <c r="R46" i="118"/>
  <c r="O46" i="118"/>
  <c r="V45" i="118"/>
  <c r="Y45" i="118" s="1"/>
  <c r="Z45" i="118" s="1"/>
  <c r="U45" i="118"/>
  <c r="T45" i="118"/>
  <c r="S45" i="118"/>
  <c r="R45" i="118"/>
  <c r="O45" i="118"/>
  <c r="V44" i="118"/>
  <c r="W44" i="118" s="1"/>
  <c r="U44" i="118"/>
  <c r="T44" i="118"/>
  <c r="S44" i="118"/>
  <c r="R44" i="118"/>
  <c r="O44" i="118"/>
  <c r="O38" i="118"/>
  <c r="V35" i="118"/>
  <c r="Z35" i="118" s="1"/>
  <c r="U35" i="118"/>
  <c r="T35" i="118"/>
  <c r="S35" i="118"/>
  <c r="R35" i="118"/>
  <c r="O35" i="118"/>
  <c r="V34" i="118"/>
  <c r="Z34" i="118" s="1"/>
  <c r="U34" i="118"/>
  <c r="W34" i="118" s="1"/>
  <c r="T34" i="118"/>
  <c r="S34" i="118"/>
  <c r="R34" i="118"/>
  <c r="O34" i="118"/>
  <c r="V33" i="118"/>
  <c r="U33" i="118"/>
  <c r="T33" i="118"/>
  <c r="S33" i="118"/>
  <c r="R33" i="118"/>
  <c r="O33" i="118"/>
  <c r="V32" i="118"/>
  <c r="Z32" i="118" s="1"/>
  <c r="U32" i="118"/>
  <c r="T32" i="118"/>
  <c r="S32" i="118"/>
  <c r="R32" i="118"/>
  <c r="O32" i="118"/>
  <c r="V31" i="118"/>
  <c r="Y31" i="118" s="1"/>
  <c r="U31" i="118"/>
  <c r="T31" i="118"/>
  <c r="S31" i="118"/>
  <c r="R31" i="118"/>
  <c r="O31" i="118"/>
  <c r="V30" i="118"/>
  <c r="Z30" i="118" s="1"/>
  <c r="U30" i="118"/>
  <c r="T30" i="118"/>
  <c r="S30" i="118"/>
  <c r="R30" i="118"/>
  <c r="O30" i="118"/>
  <c r="V29" i="118"/>
  <c r="Z29" i="118" s="1"/>
  <c r="U29" i="118"/>
  <c r="T29" i="118"/>
  <c r="S29" i="118"/>
  <c r="R29" i="118"/>
  <c r="O29" i="118"/>
  <c r="V28" i="118"/>
  <c r="U28" i="118"/>
  <c r="T28" i="118"/>
  <c r="S28" i="118"/>
  <c r="R28" i="118"/>
  <c r="O28" i="118"/>
  <c r="V27" i="118"/>
  <c r="Z27" i="118" s="1"/>
  <c r="U27" i="118"/>
  <c r="T27" i="118"/>
  <c r="S27" i="118"/>
  <c r="R27" i="118"/>
  <c r="O27" i="118"/>
  <c r="V26" i="118"/>
  <c r="Z26" i="118" s="1"/>
  <c r="U26" i="118"/>
  <c r="T26" i="118"/>
  <c r="S26" i="118"/>
  <c r="R26" i="118"/>
  <c r="O26" i="118"/>
  <c r="O25" i="118"/>
  <c r="V24" i="118"/>
  <c r="Z24" i="118" s="1"/>
  <c r="U24" i="118"/>
  <c r="T24" i="118"/>
  <c r="S24" i="118"/>
  <c r="R24" i="118"/>
  <c r="O24" i="118"/>
  <c r="V23" i="118"/>
  <c r="W23" i="118" s="1"/>
  <c r="U23" i="118"/>
  <c r="T23" i="118"/>
  <c r="S23" i="118"/>
  <c r="R23" i="118"/>
  <c r="O23" i="118"/>
  <c r="V22" i="118"/>
  <c r="Z22" i="118" s="1"/>
  <c r="U22" i="118"/>
  <c r="T22" i="118"/>
  <c r="S22" i="118"/>
  <c r="R22" i="118"/>
  <c r="O22" i="118"/>
  <c r="V21" i="118"/>
  <c r="Z21" i="118" s="1"/>
  <c r="U21" i="118"/>
  <c r="W21" i="118" s="1"/>
  <c r="T21" i="118"/>
  <c r="S21" i="118"/>
  <c r="R21" i="118"/>
  <c r="O21" i="118"/>
  <c r="V20" i="118"/>
  <c r="U20" i="118"/>
  <c r="T20" i="118"/>
  <c r="S20" i="118"/>
  <c r="R20" i="118"/>
  <c r="O20" i="118"/>
  <c r="V19" i="118"/>
  <c r="Z19" i="118" s="1"/>
  <c r="U19" i="118"/>
  <c r="T19" i="118"/>
  <c r="S19" i="118"/>
  <c r="R19" i="118"/>
  <c r="O19" i="118"/>
  <c r="V18" i="118"/>
  <c r="Z18" i="118" s="1"/>
  <c r="U18" i="118"/>
  <c r="T18" i="118"/>
  <c r="S18" i="118"/>
  <c r="R18" i="118"/>
  <c r="O18" i="118"/>
  <c r="V17" i="118"/>
  <c r="U17" i="118"/>
  <c r="T17" i="118"/>
  <c r="S17" i="118"/>
  <c r="R17" i="118"/>
  <c r="O17" i="118"/>
  <c r="O39" i="118" s="1"/>
  <c r="O40" i="118" s="1"/>
  <c r="Y16" i="118"/>
  <c r="V16" i="118"/>
  <c r="U16" i="118"/>
  <c r="W16" i="118" s="1"/>
  <c r="T16" i="118"/>
  <c r="S16" i="118"/>
  <c r="R16" i="118"/>
  <c r="O16" i="118"/>
  <c r="O142" i="117"/>
  <c r="O139" i="117"/>
  <c r="Q139" i="117" s="1"/>
  <c r="O138" i="117"/>
  <c r="Q138" i="117" s="1"/>
  <c r="O137" i="117"/>
  <c r="Q137" i="117" s="1"/>
  <c r="O136" i="117"/>
  <c r="Q136" i="117" s="1"/>
  <c r="Q135" i="117"/>
  <c r="O135" i="117"/>
  <c r="O134" i="117"/>
  <c r="Q134" i="117" s="1"/>
  <c r="O133" i="117"/>
  <c r="Q133" i="117" s="1"/>
  <c r="O132" i="117"/>
  <c r="Q132" i="117" s="1"/>
  <c r="O131" i="117"/>
  <c r="Q131" i="117" s="1"/>
  <c r="O130" i="117"/>
  <c r="Q130" i="117" s="1"/>
  <c r="O129" i="117"/>
  <c r="Q129" i="117" s="1"/>
  <c r="O128" i="117"/>
  <c r="Q128" i="117" s="1"/>
  <c r="O127" i="117"/>
  <c r="Q127" i="117" s="1"/>
  <c r="O126" i="117"/>
  <c r="Q126" i="117" s="1"/>
  <c r="O125" i="117"/>
  <c r="Q125" i="117" s="1"/>
  <c r="Q124" i="117"/>
  <c r="O124" i="117"/>
  <c r="O123" i="117"/>
  <c r="Q123" i="117" s="1"/>
  <c r="O122" i="117"/>
  <c r="Q122" i="117" s="1"/>
  <c r="O121" i="117"/>
  <c r="Q121" i="117" s="1"/>
  <c r="O120" i="117"/>
  <c r="Q120" i="117" s="1"/>
  <c r="Q119" i="117"/>
  <c r="O119" i="117"/>
  <c r="O118" i="117"/>
  <c r="Q118" i="117" s="1"/>
  <c r="O117" i="117"/>
  <c r="Q117" i="117" s="1"/>
  <c r="O116" i="117"/>
  <c r="Q116" i="117" s="1"/>
  <c r="O115" i="117"/>
  <c r="Q115" i="117" s="1"/>
  <c r="O114" i="117"/>
  <c r="Q114" i="117" s="1"/>
  <c r="O113" i="117"/>
  <c r="Q113" i="117" s="1"/>
  <c r="O112" i="117"/>
  <c r="Q112" i="117" s="1"/>
  <c r="O111" i="117"/>
  <c r="Q111" i="117" s="1"/>
  <c r="O110" i="117"/>
  <c r="Q110" i="117" s="1"/>
  <c r="O109" i="117"/>
  <c r="Q109" i="117" s="1"/>
  <c r="Q108" i="117"/>
  <c r="O108" i="117"/>
  <c r="O107" i="117"/>
  <c r="Q107" i="117" s="1"/>
  <c r="O106" i="117"/>
  <c r="Q106" i="117" s="1"/>
  <c r="O105" i="117"/>
  <c r="Q105" i="117" s="1"/>
  <c r="O104" i="117"/>
  <c r="Q104" i="117" s="1"/>
  <c r="Q103" i="117"/>
  <c r="O103" i="117"/>
  <c r="O102" i="117"/>
  <c r="Q102" i="117" s="1"/>
  <c r="O101" i="117"/>
  <c r="Q101" i="117" s="1"/>
  <c r="O100" i="117"/>
  <c r="Q100" i="117" s="1"/>
  <c r="O99" i="117"/>
  <c r="Q99" i="117" s="1"/>
  <c r="O98" i="117"/>
  <c r="Q98" i="117" s="1"/>
  <c r="O97" i="117"/>
  <c r="Q97" i="117" s="1"/>
  <c r="O91" i="117"/>
  <c r="O88" i="117"/>
  <c r="Q88" i="117" s="1"/>
  <c r="O87" i="117"/>
  <c r="Q87" i="117" s="1"/>
  <c r="O86" i="117"/>
  <c r="Q86" i="117" s="1"/>
  <c r="O85" i="117"/>
  <c r="Q85" i="117" s="1"/>
  <c r="O84" i="117"/>
  <c r="Q84" i="117" s="1"/>
  <c r="O83" i="117"/>
  <c r="Q83" i="117" s="1"/>
  <c r="O82" i="117"/>
  <c r="Q82" i="117" s="1"/>
  <c r="O81" i="117"/>
  <c r="Q81" i="117" s="1"/>
  <c r="O80" i="117"/>
  <c r="Q80" i="117" s="1"/>
  <c r="O79" i="117"/>
  <c r="Q79" i="117" s="1"/>
  <c r="O78" i="117"/>
  <c r="Q78" i="117" s="1"/>
  <c r="O77" i="117"/>
  <c r="Q77" i="117" s="1"/>
  <c r="O76" i="117"/>
  <c r="Q76" i="117" s="1"/>
  <c r="O75" i="117"/>
  <c r="Q75" i="117" s="1"/>
  <c r="O74" i="117"/>
  <c r="Q74" i="117" s="1"/>
  <c r="O73" i="117"/>
  <c r="Q73" i="117" s="1"/>
  <c r="O72" i="117"/>
  <c r="Q72" i="117" s="1"/>
  <c r="Q71" i="117"/>
  <c r="O71" i="117"/>
  <c r="O70" i="117"/>
  <c r="Q70" i="117" s="1"/>
  <c r="O69" i="117"/>
  <c r="Q69" i="117" s="1"/>
  <c r="O68" i="117"/>
  <c r="Q68" i="117" s="1"/>
  <c r="Q67" i="117"/>
  <c r="O67" i="117"/>
  <c r="O66" i="117"/>
  <c r="O60" i="117"/>
  <c r="O57" i="117"/>
  <c r="Q57" i="117" s="1"/>
  <c r="O56" i="117"/>
  <c r="Q56" i="117" s="1"/>
  <c r="O55" i="117"/>
  <c r="Q55" i="117" s="1"/>
  <c r="Q54" i="117"/>
  <c r="O54" i="117"/>
  <c r="O53" i="117"/>
  <c r="Q53" i="117" s="1"/>
  <c r="O52" i="117"/>
  <c r="Q52" i="117" s="1"/>
  <c r="O51" i="117"/>
  <c r="Q51" i="117" s="1"/>
  <c r="O50" i="117"/>
  <c r="Q50" i="117" s="1"/>
  <c r="O49" i="117"/>
  <c r="Q49" i="117" s="1"/>
  <c r="O48" i="117"/>
  <c r="Q48" i="117" s="1"/>
  <c r="O47" i="117"/>
  <c r="Q47" i="117" s="1"/>
  <c r="O46" i="117"/>
  <c r="Q46" i="117" s="1"/>
  <c r="O45" i="117"/>
  <c r="Q45" i="117" s="1"/>
  <c r="O44" i="117"/>
  <c r="Q43" i="117"/>
  <c r="O43" i="117"/>
  <c r="O37" i="117"/>
  <c r="Q34" i="117"/>
  <c r="O34" i="117"/>
  <c r="O33" i="117"/>
  <c r="Q33" i="117" s="1"/>
  <c r="O32" i="117"/>
  <c r="Q32" i="117" s="1"/>
  <c r="O31" i="117"/>
  <c r="Q31" i="117" s="1"/>
  <c r="Q30" i="117"/>
  <c r="O30" i="117"/>
  <c r="O29" i="117"/>
  <c r="Q29" i="117" s="1"/>
  <c r="O28" i="117"/>
  <c r="Q28" i="117" s="1"/>
  <c r="O27" i="117"/>
  <c r="Q27" i="117" s="1"/>
  <c r="O26" i="117"/>
  <c r="Q26" i="117" s="1"/>
  <c r="O25" i="117"/>
  <c r="Q25" i="117" s="1"/>
  <c r="O24" i="117"/>
  <c r="Q24" i="117" s="1"/>
  <c r="O23" i="117"/>
  <c r="Q23" i="117" s="1"/>
  <c r="O22" i="117"/>
  <c r="Q22" i="117" s="1"/>
  <c r="O21" i="117"/>
  <c r="Q21" i="117" s="1"/>
  <c r="O20" i="117"/>
  <c r="Q20" i="117" s="1"/>
  <c r="O19" i="117"/>
  <c r="Q19" i="117" s="1"/>
  <c r="O18" i="117"/>
  <c r="Q18" i="117" s="1"/>
  <c r="O17" i="117"/>
  <c r="Q17" i="117" s="1"/>
  <c r="O16" i="117"/>
  <c r="Q16" i="117" s="1"/>
  <c r="O15" i="117"/>
  <c r="Q15" i="117" s="1"/>
  <c r="W110" i="118" l="1"/>
  <c r="W108" i="118"/>
  <c r="W105" i="118"/>
  <c r="W107" i="118"/>
  <c r="W127" i="118"/>
  <c r="W131" i="118"/>
  <c r="W71" i="118"/>
  <c r="W102" i="118"/>
  <c r="W119" i="118"/>
  <c r="W125" i="118"/>
  <c r="W129" i="118"/>
  <c r="W99" i="118"/>
  <c r="W26" i="118"/>
  <c r="W30" i="118"/>
  <c r="W115" i="118"/>
  <c r="W118" i="118"/>
  <c r="W128" i="118"/>
  <c r="Y30" i="118"/>
  <c r="W32" i="118"/>
  <c r="W19" i="118"/>
  <c r="Z31" i="118"/>
  <c r="Y32" i="118"/>
  <c r="W56" i="118"/>
  <c r="W58" i="118"/>
  <c r="W70" i="118"/>
  <c r="W76" i="118"/>
  <c r="W85" i="118"/>
  <c r="W101" i="118"/>
  <c r="W112" i="118"/>
  <c r="W122" i="118"/>
  <c r="W35" i="118"/>
  <c r="W75" i="118"/>
  <c r="W79" i="118"/>
  <c r="W126" i="118"/>
  <c r="W130" i="118"/>
  <c r="W18" i="118"/>
  <c r="N60" i="118"/>
  <c r="W111" i="118"/>
  <c r="W136" i="118"/>
  <c r="W38" i="118"/>
  <c r="Y22" i="118"/>
  <c r="Y24" i="118"/>
  <c r="W46" i="118"/>
  <c r="Y47" i="118"/>
  <c r="Z47" i="118" s="1"/>
  <c r="Y48" i="118"/>
  <c r="Z48" i="118" s="1"/>
  <c r="Y51" i="118"/>
  <c r="Z51" i="118" s="1"/>
  <c r="W80" i="118"/>
  <c r="W124" i="118"/>
  <c r="W27" i="118"/>
  <c r="W86" i="118"/>
  <c r="Z23" i="118"/>
  <c r="Y27" i="118"/>
  <c r="Y76" i="118"/>
  <c r="Z76" i="118" s="1"/>
  <c r="V60" i="118"/>
  <c r="Y34" i="118"/>
  <c r="Y35" i="118"/>
  <c r="W45" i="118"/>
  <c r="Y18" i="118"/>
  <c r="Y19" i="118"/>
  <c r="W31" i="118"/>
  <c r="Y44" i="118"/>
  <c r="W78" i="118"/>
  <c r="Y80" i="118"/>
  <c r="Z80" i="118" s="1"/>
  <c r="W90" i="118"/>
  <c r="Y23" i="118"/>
  <c r="Y26" i="118"/>
  <c r="W29" i="118"/>
  <c r="W89" i="118"/>
  <c r="X45" i="119"/>
  <c r="W24" i="118"/>
  <c r="Y140" i="118"/>
  <c r="Z140" i="118" s="1"/>
  <c r="W22" i="118"/>
  <c r="W104" i="118"/>
  <c r="W132" i="118"/>
  <c r="V37" i="118"/>
  <c r="Y17" i="118"/>
  <c r="W17" i="118"/>
  <c r="Y33" i="118"/>
  <c r="W33" i="118"/>
  <c r="Z68" i="118"/>
  <c r="O38" i="117"/>
  <c r="O39" i="117" s="1"/>
  <c r="Z17" i="118"/>
  <c r="Z33" i="118"/>
  <c r="W61" i="118"/>
  <c r="W52" i="118"/>
  <c r="Y52" i="118"/>
  <c r="Z52" i="118" s="1"/>
  <c r="W77" i="118"/>
  <c r="Y77" i="118"/>
  <c r="Z77" i="118" s="1"/>
  <c r="Y71" i="118"/>
  <c r="Z71" i="118" s="1"/>
  <c r="W144" i="118"/>
  <c r="Z20" i="118"/>
  <c r="W20" i="118"/>
  <c r="Y20" i="118"/>
  <c r="O92" i="117"/>
  <c r="O93" i="117" s="1"/>
  <c r="Q66" i="117"/>
  <c r="W87" i="118"/>
  <c r="Y87" i="118"/>
  <c r="Z87" i="118" s="1"/>
  <c r="N92" i="118"/>
  <c r="O94" i="118"/>
  <c r="O95" i="118" s="1"/>
  <c r="O148" i="118" s="1"/>
  <c r="N143" i="118"/>
  <c r="N37" i="118"/>
  <c r="W28" i="118"/>
  <c r="Z28" i="118"/>
  <c r="Y28" i="118"/>
  <c r="Y84" i="118"/>
  <c r="Z84" i="118" s="1"/>
  <c r="W84" i="118"/>
  <c r="Y137" i="118"/>
  <c r="Z137" i="118" s="1"/>
  <c r="W137" i="118"/>
  <c r="Y73" i="118"/>
  <c r="Z73" i="118" s="1"/>
  <c r="W73" i="118"/>
  <c r="V143" i="118"/>
  <c r="Y100" i="118"/>
  <c r="Z100" i="118" s="1"/>
  <c r="W100" i="118"/>
  <c r="O61" i="117"/>
  <c r="O62" i="117" s="1"/>
  <c r="H6" i="117" s="1"/>
  <c r="Y72" i="118"/>
  <c r="Z72" i="118" s="1"/>
  <c r="W72" i="118"/>
  <c r="O143" i="117"/>
  <c r="O144" i="117" s="1"/>
  <c r="Y113" i="118"/>
  <c r="Z113" i="118" s="1"/>
  <c r="W113" i="118"/>
  <c r="W106" i="118"/>
  <c r="Y106" i="118"/>
  <c r="Z106" i="118" s="1"/>
  <c r="Y134" i="118"/>
  <c r="Z134" i="118" s="1"/>
  <c r="W134" i="118"/>
  <c r="X305" i="119"/>
  <c r="Y177" i="119"/>
  <c r="V92" i="118"/>
  <c r="Q44" i="117"/>
  <c r="Z16" i="118"/>
  <c r="W50" i="118"/>
  <c r="W93" i="118"/>
  <c r="Z99" i="118"/>
  <c r="X95" i="119"/>
  <c r="Y49" i="119"/>
  <c r="W53" i="118"/>
  <c r="W54" i="118"/>
  <c r="W68" i="118"/>
  <c r="Y21" i="118"/>
  <c r="Y29" i="118"/>
  <c r="W81" i="118"/>
  <c r="W135" i="118"/>
  <c r="X174" i="119"/>
  <c r="C21" i="113"/>
  <c r="C21" i="112"/>
  <c r="W40" i="118" l="1"/>
  <c r="Z40" i="118" s="1"/>
  <c r="Y60" i="118"/>
  <c r="Z60" i="118" s="1"/>
  <c r="Z44" i="118"/>
  <c r="I7" i="119"/>
  <c r="W62" i="118"/>
  <c r="W39" i="118"/>
  <c r="W145" i="118"/>
  <c r="Y37" i="118"/>
  <c r="Z37" i="118" s="1"/>
  <c r="W63" i="118"/>
  <c r="Y143" i="118"/>
  <c r="Z143" i="118" s="1"/>
  <c r="W146" i="118"/>
  <c r="Y92" i="118"/>
  <c r="Z92" i="118" s="1"/>
  <c r="W94" i="118"/>
  <c r="W95" i="118"/>
  <c r="Z95" i="118" s="1"/>
  <c r="I8" i="119"/>
  <c r="H7" i="117"/>
  <c r="I4" i="108"/>
  <c r="I5" i="108"/>
  <c r="J5" i="108"/>
  <c r="K5" i="108"/>
  <c r="L5" i="108"/>
  <c r="I6" i="108"/>
  <c r="J6" i="108"/>
  <c r="K6" i="108"/>
  <c r="L6" i="108"/>
  <c r="I7" i="108"/>
  <c r="J7" i="108"/>
  <c r="K7" i="108"/>
  <c r="L7" i="108"/>
  <c r="I8" i="108"/>
  <c r="J8" i="108"/>
  <c r="I9" i="108"/>
  <c r="J9" i="108"/>
  <c r="I10" i="108"/>
  <c r="J10" i="108"/>
  <c r="I11" i="108"/>
  <c r="J11" i="108"/>
  <c r="I12" i="108"/>
  <c r="J12" i="108"/>
  <c r="I21" i="108"/>
  <c r="J21" i="108"/>
  <c r="K21" i="108"/>
  <c r="L21" i="108"/>
  <c r="I22" i="108"/>
  <c r="J22" i="108"/>
  <c r="K22" i="108"/>
  <c r="I23" i="108"/>
  <c r="J23" i="108"/>
  <c r="K23" i="108"/>
  <c r="L23" i="108"/>
  <c r="I24" i="108"/>
  <c r="J24" i="108"/>
  <c r="K24" i="108"/>
  <c r="L24" i="108"/>
  <c r="I25" i="108"/>
  <c r="J25" i="108"/>
  <c r="K25" i="108"/>
  <c r="L25" i="108"/>
  <c r="I26" i="108"/>
  <c r="J26" i="108"/>
  <c r="K26" i="108"/>
  <c r="L26" i="108"/>
  <c r="I35" i="108"/>
  <c r="I36" i="108"/>
  <c r="I37" i="108"/>
  <c r="I38" i="108"/>
  <c r="I39" i="108"/>
  <c r="I40" i="108"/>
  <c r="I41" i="108"/>
  <c r="I42" i="108"/>
  <c r="I43" i="108"/>
  <c r="I44" i="108"/>
  <c r="I45" i="108"/>
  <c r="J45" i="108"/>
  <c r="I46" i="108"/>
  <c r="J46" i="108"/>
  <c r="I47" i="108"/>
  <c r="J47" i="108"/>
  <c r="I48" i="108"/>
  <c r="J48" i="108"/>
  <c r="I49" i="108"/>
  <c r="J49" i="108"/>
  <c r="I50" i="108"/>
  <c r="J50" i="108"/>
  <c r="I51" i="108"/>
  <c r="J51" i="108"/>
  <c r="I52" i="108"/>
  <c r="J52" i="108"/>
  <c r="I53" i="108"/>
  <c r="J53" i="108"/>
  <c r="I54" i="108"/>
  <c r="J54" i="108"/>
  <c r="I55" i="108"/>
  <c r="J55" i="108"/>
  <c r="I56" i="108"/>
  <c r="J56" i="108"/>
  <c r="I57" i="108"/>
  <c r="J57" i="108"/>
  <c r="I58" i="108"/>
  <c r="J58" i="108"/>
  <c r="I59" i="108"/>
  <c r="J59" i="108"/>
  <c r="I60" i="108"/>
  <c r="J60" i="108"/>
  <c r="I61" i="108"/>
  <c r="J61" i="108"/>
  <c r="I62" i="108"/>
  <c r="J62" i="108"/>
  <c r="I63" i="108"/>
  <c r="J63" i="108"/>
  <c r="I64" i="108"/>
  <c r="J64" i="108"/>
  <c r="I65" i="108"/>
  <c r="J65" i="108"/>
  <c r="I66" i="108"/>
  <c r="J66" i="108"/>
  <c r="I67" i="108"/>
  <c r="J67" i="108"/>
  <c r="I68" i="108"/>
  <c r="J68" i="108"/>
  <c r="I69" i="108"/>
  <c r="J69" i="108"/>
  <c r="I70" i="108"/>
  <c r="J70" i="108"/>
  <c r="I71" i="108"/>
  <c r="J71" i="108"/>
  <c r="I72" i="108"/>
  <c r="J72" i="108"/>
  <c r="I73" i="108"/>
  <c r="J73" i="108"/>
  <c r="I74" i="108"/>
  <c r="J74" i="108"/>
  <c r="I75" i="108"/>
  <c r="J75" i="108"/>
  <c r="I76" i="108"/>
  <c r="J76" i="108"/>
  <c r="I77" i="108"/>
  <c r="J77" i="108"/>
  <c r="I78" i="108"/>
  <c r="J78" i="108"/>
  <c r="I79" i="108"/>
  <c r="J79" i="108"/>
  <c r="I80" i="108"/>
  <c r="J80" i="108"/>
  <c r="I81" i="108"/>
  <c r="J81" i="108"/>
  <c r="I82" i="108"/>
  <c r="J82" i="108"/>
  <c r="I83" i="108"/>
  <c r="J83" i="108"/>
  <c r="I84" i="108"/>
  <c r="J84" i="108"/>
  <c r="I85" i="108"/>
  <c r="J85" i="108"/>
  <c r="I86" i="108"/>
  <c r="J86" i="108"/>
  <c r="I87" i="108"/>
  <c r="J87" i="108"/>
  <c r="I88" i="108"/>
  <c r="J88" i="108"/>
  <c r="I89" i="108"/>
  <c r="J89" i="108"/>
  <c r="I90" i="108"/>
  <c r="J90" i="108"/>
  <c r="I91" i="108"/>
  <c r="J91" i="108"/>
  <c r="I92" i="108"/>
  <c r="J92" i="108"/>
  <c r="I93" i="108"/>
  <c r="J93" i="108"/>
  <c r="I94" i="108"/>
  <c r="J94" i="108"/>
  <c r="I95" i="108"/>
  <c r="J95" i="108"/>
  <c r="I96" i="108"/>
  <c r="J96" i="108"/>
  <c r="I97" i="108"/>
  <c r="J97" i="108"/>
  <c r="I98" i="108"/>
  <c r="J98" i="108"/>
  <c r="I99" i="108"/>
  <c r="J99" i="108"/>
  <c r="I100" i="108"/>
  <c r="J100" i="108"/>
  <c r="I101" i="108"/>
  <c r="J101" i="108"/>
  <c r="I102" i="108"/>
  <c r="J102" i="108"/>
  <c r="I103" i="108"/>
  <c r="J103" i="108"/>
  <c r="I104" i="108"/>
  <c r="J104" i="108"/>
  <c r="I105" i="108"/>
  <c r="J105" i="108"/>
  <c r="I106" i="108"/>
  <c r="J106" i="108"/>
  <c r="I107" i="108"/>
  <c r="J107" i="108"/>
  <c r="I108" i="108"/>
  <c r="J108" i="108"/>
  <c r="I109" i="108"/>
  <c r="J109" i="108"/>
  <c r="I110" i="108"/>
  <c r="J110" i="108"/>
  <c r="I111" i="108"/>
  <c r="J111" i="108"/>
  <c r="I112" i="108"/>
  <c r="J112" i="108"/>
  <c r="I113" i="108"/>
  <c r="J113" i="108"/>
  <c r="I114" i="108"/>
  <c r="J114" i="108"/>
  <c r="I115" i="108"/>
  <c r="J115" i="108"/>
  <c r="I116" i="108"/>
  <c r="J116" i="108"/>
  <c r="I117" i="108"/>
  <c r="J117" i="108"/>
  <c r="I118" i="108"/>
  <c r="J118" i="108"/>
  <c r="I119" i="108"/>
  <c r="J119" i="108"/>
  <c r="I120" i="108"/>
  <c r="J120" i="108"/>
  <c r="I121" i="108"/>
  <c r="J121" i="108"/>
  <c r="I122" i="108"/>
  <c r="J122" i="108"/>
  <c r="I123" i="108"/>
  <c r="J123" i="108"/>
  <c r="I124" i="108"/>
  <c r="J124" i="108"/>
  <c r="I125" i="108"/>
  <c r="J125" i="108"/>
  <c r="I126" i="108"/>
  <c r="J126" i="108"/>
  <c r="I127" i="108"/>
  <c r="J127" i="108"/>
  <c r="I128" i="108"/>
  <c r="J128" i="108"/>
  <c r="I129" i="108"/>
  <c r="J129" i="108"/>
  <c r="I130" i="108"/>
  <c r="J130" i="108"/>
  <c r="I131" i="108"/>
  <c r="J131" i="108"/>
  <c r="I132" i="108"/>
  <c r="J132" i="108"/>
  <c r="I133" i="108"/>
  <c r="J133" i="108"/>
  <c r="I134" i="108"/>
  <c r="J134" i="108"/>
  <c r="I135" i="108"/>
  <c r="J135" i="108"/>
  <c r="I136" i="108"/>
  <c r="J136" i="108"/>
  <c r="I137" i="108"/>
  <c r="J137" i="108"/>
  <c r="I138" i="108"/>
  <c r="J138" i="108"/>
  <c r="I139" i="108"/>
  <c r="J139" i="108"/>
  <c r="I140" i="108"/>
  <c r="J140" i="108"/>
  <c r="I141" i="108"/>
  <c r="J141" i="108"/>
  <c r="I142" i="108"/>
  <c r="J142" i="108"/>
  <c r="I143" i="108"/>
  <c r="J143" i="108"/>
  <c r="I144" i="108"/>
  <c r="J144" i="108"/>
  <c r="I145" i="108"/>
  <c r="J145" i="108"/>
  <c r="I146" i="108"/>
  <c r="J146" i="108"/>
  <c r="I147" i="108"/>
  <c r="J147" i="108"/>
  <c r="I148" i="108"/>
  <c r="J148" i="108"/>
  <c r="I149" i="108"/>
  <c r="J149" i="108"/>
  <c r="I150" i="108"/>
  <c r="J150" i="108"/>
  <c r="I156" i="108"/>
  <c r="I157" i="108"/>
  <c r="I158" i="108"/>
  <c r="I159" i="108"/>
  <c r="I160" i="108"/>
  <c r="I161" i="108"/>
  <c r="I162" i="108"/>
  <c r="I185" i="108"/>
  <c r="I186" i="108"/>
  <c r="I187" i="108"/>
  <c r="I188" i="108"/>
  <c r="I189" i="108"/>
  <c r="I190" i="108"/>
  <c r="I191" i="108"/>
  <c r="I192" i="108"/>
  <c r="I193" i="108"/>
  <c r="I194" i="108"/>
  <c r="I195" i="108"/>
  <c r="I196" i="108"/>
  <c r="I211" i="108"/>
  <c r="J211" i="108"/>
  <c r="K211" i="108"/>
  <c r="L211" i="108"/>
  <c r="M211" i="108"/>
  <c r="N211" i="108"/>
  <c r="O211" i="108"/>
  <c r="I212" i="108"/>
  <c r="J212" i="108"/>
  <c r="K212" i="108"/>
  <c r="L212" i="108"/>
  <c r="M212" i="108"/>
  <c r="N212" i="108"/>
  <c r="O212" i="108"/>
  <c r="I213" i="108"/>
  <c r="J213" i="108"/>
  <c r="K213" i="108"/>
  <c r="L213" i="108"/>
  <c r="M213" i="108"/>
  <c r="N213" i="108"/>
  <c r="O213" i="108"/>
  <c r="I214" i="108"/>
  <c r="J214" i="108"/>
  <c r="K214" i="108"/>
  <c r="L214" i="108"/>
  <c r="M214" i="108"/>
  <c r="N214" i="108"/>
  <c r="O214" i="108"/>
  <c r="I215" i="108"/>
  <c r="J215" i="108"/>
  <c r="K215" i="108"/>
  <c r="L215" i="108"/>
  <c r="M215" i="108"/>
  <c r="N215" i="108"/>
  <c r="O215" i="108"/>
  <c r="I216" i="108"/>
  <c r="J216" i="108"/>
  <c r="K216" i="108"/>
  <c r="I217" i="108"/>
  <c r="J217" i="108"/>
  <c r="K217" i="108"/>
  <c r="I218" i="108"/>
  <c r="J218" i="108"/>
  <c r="K218" i="108"/>
  <c r="I219" i="108"/>
  <c r="J219" i="108"/>
  <c r="K219" i="108"/>
  <c r="I220" i="108"/>
  <c r="J220" i="108"/>
  <c r="K220" i="108"/>
  <c r="I221" i="108"/>
  <c r="J221" i="108"/>
  <c r="I222" i="108"/>
  <c r="J222" i="108"/>
  <c r="I223" i="108"/>
  <c r="J223" i="108"/>
  <c r="I224" i="108"/>
  <c r="J224" i="108"/>
  <c r="I225" i="108"/>
  <c r="J225" i="108"/>
  <c r="K225" i="108"/>
  <c r="L225" i="108"/>
  <c r="I226" i="108"/>
  <c r="J226" i="108"/>
  <c r="K226" i="108"/>
  <c r="L226" i="108"/>
  <c r="I227" i="108"/>
  <c r="I228" i="108"/>
  <c r="I229" i="108"/>
  <c r="I230" i="108"/>
  <c r="I237" i="108"/>
  <c r="J237" i="108"/>
  <c r="K237" i="108"/>
  <c r="L237" i="108"/>
  <c r="I238" i="108"/>
  <c r="J238" i="108"/>
  <c r="K238" i="108"/>
  <c r="L238" i="108"/>
  <c r="I239" i="108"/>
  <c r="J239" i="108"/>
  <c r="I240" i="108"/>
  <c r="J240" i="108"/>
  <c r="K240" i="108"/>
  <c r="I245" i="108"/>
  <c r="J245" i="108"/>
  <c r="I246" i="108"/>
  <c r="J246" i="108"/>
  <c r="I247" i="108"/>
  <c r="J247" i="108"/>
  <c r="I248" i="108"/>
  <c r="J248" i="108"/>
  <c r="I249" i="108"/>
  <c r="J249" i="108"/>
  <c r="I250" i="108"/>
  <c r="J250" i="108"/>
  <c r="I251" i="108"/>
  <c r="J251" i="108"/>
  <c r="I252" i="108"/>
  <c r="J252" i="108"/>
  <c r="I253" i="108"/>
  <c r="J253" i="108"/>
  <c r="K253" i="108"/>
  <c r="I254" i="108"/>
  <c r="J254" i="108"/>
  <c r="K254" i="108"/>
  <c r="I255" i="108"/>
  <c r="J255" i="108"/>
  <c r="K255" i="108"/>
  <c r="I256" i="108"/>
  <c r="J256" i="108"/>
  <c r="K256" i="108"/>
  <c r="I257" i="108"/>
  <c r="J257" i="108"/>
  <c r="K257" i="108"/>
  <c r="I259" i="108"/>
  <c r="J259" i="108"/>
  <c r="K259" i="108"/>
  <c r="L259" i="108"/>
  <c r="I260" i="108"/>
  <c r="J260" i="108"/>
  <c r="K260" i="108"/>
  <c r="L260" i="108"/>
  <c r="I261" i="108"/>
  <c r="J261" i="108"/>
  <c r="K261" i="108"/>
  <c r="L261" i="108"/>
  <c r="I262" i="108"/>
  <c r="J262" i="108"/>
  <c r="K262" i="108"/>
  <c r="L262" i="108"/>
  <c r="I269" i="108"/>
  <c r="I270" i="108"/>
  <c r="I271" i="108"/>
  <c r="I274" i="108"/>
  <c r="J274" i="108"/>
  <c r="I275" i="108"/>
  <c r="J275" i="108"/>
  <c r="I276" i="108"/>
  <c r="J276" i="108"/>
  <c r="I277" i="108"/>
  <c r="J277" i="108"/>
  <c r="I278" i="108"/>
  <c r="J278" i="108"/>
  <c r="I282" i="108"/>
  <c r="J282" i="108"/>
  <c r="K282" i="108"/>
  <c r="L282" i="108"/>
  <c r="I284" i="108"/>
  <c r="J284" i="108"/>
  <c r="I285" i="108"/>
  <c r="J285" i="108"/>
  <c r="I286" i="108"/>
  <c r="J286" i="108"/>
  <c r="I287" i="108"/>
  <c r="J287" i="108"/>
  <c r="I288" i="108"/>
  <c r="J288" i="108"/>
  <c r="I289" i="108"/>
  <c r="J289" i="108"/>
  <c r="I290" i="108"/>
  <c r="J290" i="108"/>
  <c r="I291" i="108"/>
  <c r="J291" i="108"/>
  <c r="K291" i="108"/>
  <c r="L291" i="108"/>
  <c r="I294" i="108"/>
  <c r="J294" i="108"/>
  <c r="K294" i="108"/>
  <c r="L294" i="108"/>
  <c r="M294" i="108"/>
  <c r="I295" i="108"/>
  <c r="J295" i="108"/>
  <c r="K295" i="108"/>
  <c r="L295" i="108"/>
  <c r="I296" i="108"/>
  <c r="J296" i="108"/>
  <c r="K296" i="108"/>
  <c r="L296" i="108"/>
  <c r="I297" i="108"/>
  <c r="J297" i="108"/>
  <c r="K297" i="108"/>
  <c r="L297" i="108"/>
  <c r="I299" i="108"/>
  <c r="J299" i="108"/>
  <c r="K299" i="108"/>
  <c r="L299" i="108"/>
  <c r="I300" i="108"/>
  <c r="J300" i="108"/>
  <c r="K300" i="108"/>
  <c r="L300" i="108"/>
  <c r="I301" i="108"/>
  <c r="I302" i="108"/>
  <c r="I304" i="108"/>
  <c r="I305" i="108"/>
  <c r="I306" i="108"/>
  <c r="J306" i="108"/>
  <c r="K306" i="108"/>
  <c r="I310" i="108"/>
  <c r="I312" i="108"/>
  <c r="I313" i="108"/>
  <c r="I314" i="108"/>
  <c r="I315" i="108"/>
  <c r="I316" i="108"/>
  <c r="J316" i="108"/>
  <c r="I317" i="108"/>
  <c r="J317" i="108"/>
  <c r="I318" i="108"/>
  <c r="I319" i="108"/>
  <c r="J319" i="108"/>
  <c r="K319" i="108"/>
  <c r="I320" i="108"/>
  <c r="J320" i="108"/>
  <c r="K320" i="108"/>
  <c r="I321" i="108"/>
  <c r="I322" i="108"/>
  <c r="I323" i="108"/>
  <c r="J323" i="108"/>
  <c r="I324" i="108"/>
  <c r="J324" i="108"/>
  <c r="I325" i="108"/>
  <c r="I327" i="108"/>
  <c r="I328" i="108"/>
  <c r="J328" i="108"/>
  <c r="K328" i="108"/>
  <c r="I329" i="108"/>
  <c r="J329" i="108"/>
  <c r="K329" i="108"/>
  <c r="I330" i="108"/>
  <c r="J330" i="108"/>
  <c r="K330" i="108"/>
  <c r="I331" i="108"/>
  <c r="I332" i="108"/>
  <c r="I333" i="108"/>
  <c r="I334" i="108"/>
  <c r="J334" i="108"/>
  <c r="I335" i="108"/>
  <c r="J335" i="108"/>
  <c r="I336" i="108"/>
  <c r="J336" i="108"/>
  <c r="I337" i="108"/>
  <c r="I338" i="108"/>
  <c r="I339" i="108"/>
  <c r="I340" i="108"/>
  <c r="I341" i="108"/>
  <c r="I342" i="108"/>
  <c r="I343" i="108"/>
  <c r="I344" i="108"/>
  <c r="J344" i="108"/>
  <c r="K344" i="108"/>
  <c r="I345" i="108"/>
  <c r="J345" i="108"/>
  <c r="K345" i="108"/>
  <c r="I346" i="108"/>
  <c r="J346" i="108"/>
  <c r="K346" i="108"/>
  <c r="I347" i="108"/>
  <c r="J347" i="108"/>
  <c r="K347" i="108"/>
  <c r="I348" i="108"/>
  <c r="J348" i="108"/>
  <c r="I349" i="108"/>
  <c r="J349" i="108"/>
  <c r="I350" i="108"/>
  <c r="J350" i="108"/>
  <c r="I351" i="108"/>
  <c r="J351" i="108"/>
  <c r="I352" i="108"/>
  <c r="J352" i="108"/>
  <c r="K352" i="108"/>
  <c r="L352" i="108"/>
  <c r="M352" i="108"/>
  <c r="X352" i="108"/>
  <c r="I353" i="108"/>
  <c r="J353" i="108"/>
  <c r="K353" i="108"/>
  <c r="L353" i="108"/>
  <c r="M353" i="108"/>
  <c r="N353" i="108"/>
  <c r="O353" i="108"/>
  <c r="I354" i="108"/>
  <c r="J354" i="108"/>
  <c r="K354" i="108"/>
  <c r="L354" i="108"/>
  <c r="M354" i="108"/>
  <c r="N354" i="108"/>
  <c r="O354" i="108"/>
  <c r="I4" i="107"/>
  <c r="I5" i="107"/>
  <c r="J5" i="107"/>
  <c r="K5" i="107"/>
  <c r="L5" i="107"/>
  <c r="I6" i="107"/>
  <c r="J6" i="107"/>
  <c r="K6" i="107"/>
  <c r="L6" i="107"/>
  <c r="I7" i="107"/>
  <c r="J7" i="107"/>
  <c r="K7" i="107"/>
  <c r="L7" i="107"/>
  <c r="I8" i="107"/>
  <c r="J8" i="107"/>
  <c r="I9" i="107"/>
  <c r="J9" i="107"/>
  <c r="I10" i="107"/>
  <c r="J10" i="107"/>
  <c r="I11" i="107"/>
  <c r="J11" i="107"/>
  <c r="I12" i="107"/>
  <c r="J12" i="107"/>
  <c r="I21" i="107"/>
  <c r="J21" i="107"/>
  <c r="K21" i="107"/>
  <c r="L21" i="107"/>
  <c r="I22" i="107"/>
  <c r="J22" i="107"/>
  <c r="K22" i="107"/>
  <c r="I23" i="107"/>
  <c r="J23" i="107"/>
  <c r="K23" i="107"/>
  <c r="L23" i="107"/>
  <c r="I24" i="107"/>
  <c r="J24" i="107"/>
  <c r="K24" i="107"/>
  <c r="L24" i="107"/>
  <c r="I25" i="107"/>
  <c r="J25" i="107"/>
  <c r="K25" i="107"/>
  <c r="L25" i="107"/>
  <c r="I26" i="107"/>
  <c r="J26" i="107"/>
  <c r="K26" i="107"/>
  <c r="L26" i="107"/>
  <c r="I35" i="107"/>
  <c r="I36" i="107"/>
  <c r="I37" i="107"/>
  <c r="I38" i="107"/>
  <c r="I39" i="107"/>
  <c r="I40" i="107"/>
  <c r="I41" i="107"/>
  <c r="I42" i="107"/>
  <c r="I43" i="107"/>
  <c r="I44" i="107"/>
  <c r="I45" i="107"/>
  <c r="J45" i="107"/>
  <c r="I46" i="107"/>
  <c r="J46" i="107"/>
  <c r="I47" i="107"/>
  <c r="J47" i="107"/>
  <c r="I48" i="107"/>
  <c r="J48" i="107"/>
  <c r="I49" i="107"/>
  <c r="J49" i="107"/>
  <c r="I50" i="107"/>
  <c r="J50" i="107"/>
  <c r="I51" i="107"/>
  <c r="J51" i="107"/>
  <c r="I52" i="107"/>
  <c r="J52" i="107"/>
  <c r="I53" i="107"/>
  <c r="J53" i="107"/>
  <c r="I54" i="107"/>
  <c r="J54" i="107"/>
  <c r="I55" i="107"/>
  <c r="J55" i="107"/>
  <c r="I56" i="107"/>
  <c r="J56" i="107"/>
  <c r="I57" i="107"/>
  <c r="J57" i="107"/>
  <c r="I58" i="107"/>
  <c r="J58" i="107"/>
  <c r="I59" i="107"/>
  <c r="J59" i="107"/>
  <c r="I60" i="107"/>
  <c r="J60" i="107"/>
  <c r="I61" i="107"/>
  <c r="J61" i="107"/>
  <c r="I62" i="107"/>
  <c r="J62" i="107"/>
  <c r="I63" i="107"/>
  <c r="J63" i="107"/>
  <c r="I64" i="107"/>
  <c r="J64" i="107"/>
  <c r="I65" i="107"/>
  <c r="J65" i="107"/>
  <c r="I66" i="107"/>
  <c r="J66" i="107"/>
  <c r="I67" i="107"/>
  <c r="J67" i="107"/>
  <c r="I68" i="107"/>
  <c r="J68" i="107"/>
  <c r="I69" i="107"/>
  <c r="J69" i="107"/>
  <c r="I70" i="107"/>
  <c r="J70" i="107"/>
  <c r="I71" i="107"/>
  <c r="J71" i="107"/>
  <c r="I72" i="107"/>
  <c r="J72" i="107"/>
  <c r="I73" i="107"/>
  <c r="J73" i="107"/>
  <c r="I74" i="107"/>
  <c r="J74" i="107"/>
  <c r="I75" i="107"/>
  <c r="J75" i="107"/>
  <c r="I76" i="107"/>
  <c r="J76" i="107"/>
  <c r="I77" i="107"/>
  <c r="J77" i="107"/>
  <c r="I78" i="107"/>
  <c r="J78" i="107"/>
  <c r="I79" i="107"/>
  <c r="J79" i="107"/>
  <c r="I80" i="107"/>
  <c r="J80" i="107"/>
  <c r="I81" i="107"/>
  <c r="J81" i="107"/>
  <c r="I82" i="107"/>
  <c r="J82" i="107"/>
  <c r="I83" i="107"/>
  <c r="J83" i="107"/>
  <c r="I84" i="107"/>
  <c r="J84" i="107"/>
  <c r="I85" i="107"/>
  <c r="J85" i="107"/>
  <c r="I86" i="107"/>
  <c r="J86" i="107"/>
  <c r="I87" i="107"/>
  <c r="J87" i="107"/>
  <c r="I88" i="107"/>
  <c r="J88" i="107"/>
  <c r="I89" i="107"/>
  <c r="J89" i="107"/>
  <c r="I90" i="107"/>
  <c r="J90" i="107"/>
  <c r="I91" i="107"/>
  <c r="J91" i="107"/>
  <c r="I92" i="107"/>
  <c r="J92" i="107"/>
  <c r="I93" i="107"/>
  <c r="J93" i="107"/>
  <c r="I94" i="107"/>
  <c r="J94" i="107"/>
  <c r="I95" i="107"/>
  <c r="J95" i="107"/>
  <c r="I96" i="107"/>
  <c r="J96" i="107"/>
  <c r="I97" i="107"/>
  <c r="J97" i="107"/>
  <c r="I98" i="107"/>
  <c r="J98" i="107"/>
  <c r="I99" i="107"/>
  <c r="J99" i="107"/>
  <c r="I100" i="107"/>
  <c r="J100" i="107"/>
  <c r="I101" i="107"/>
  <c r="J101" i="107"/>
  <c r="I102" i="107"/>
  <c r="J102" i="107"/>
  <c r="I103" i="107"/>
  <c r="J103" i="107"/>
  <c r="I104" i="107"/>
  <c r="J104" i="107"/>
  <c r="I105" i="107"/>
  <c r="J105" i="107"/>
  <c r="I106" i="107"/>
  <c r="J106" i="107"/>
  <c r="I107" i="107"/>
  <c r="J107" i="107"/>
  <c r="I108" i="107"/>
  <c r="J108" i="107"/>
  <c r="I109" i="107"/>
  <c r="J109" i="107"/>
  <c r="I110" i="107"/>
  <c r="J110" i="107"/>
  <c r="I111" i="107"/>
  <c r="J111" i="107"/>
  <c r="I112" i="107"/>
  <c r="J112" i="107"/>
  <c r="I113" i="107"/>
  <c r="J113" i="107"/>
  <c r="I114" i="107"/>
  <c r="J114" i="107"/>
  <c r="I115" i="107"/>
  <c r="J115" i="107"/>
  <c r="I116" i="107"/>
  <c r="J116" i="107"/>
  <c r="I117" i="107"/>
  <c r="J117" i="107"/>
  <c r="I118" i="107"/>
  <c r="J118" i="107"/>
  <c r="I119" i="107"/>
  <c r="J119" i="107"/>
  <c r="I120" i="107"/>
  <c r="J120" i="107"/>
  <c r="I121" i="107"/>
  <c r="J121" i="107"/>
  <c r="I122" i="107"/>
  <c r="J122" i="107"/>
  <c r="I123" i="107"/>
  <c r="J123" i="107"/>
  <c r="I124" i="107"/>
  <c r="J124" i="107"/>
  <c r="I125" i="107"/>
  <c r="J125" i="107"/>
  <c r="I126" i="107"/>
  <c r="J126" i="107"/>
  <c r="I127" i="107"/>
  <c r="J127" i="107"/>
  <c r="I128" i="107"/>
  <c r="J128" i="107"/>
  <c r="I129" i="107"/>
  <c r="J129" i="107"/>
  <c r="I130" i="107"/>
  <c r="J130" i="107"/>
  <c r="I131" i="107"/>
  <c r="J131" i="107"/>
  <c r="I132" i="107"/>
  <c r="J132" i="107"/>
  <c r="I133" i="107"/>
  <c r="J133" i="107"/>
  <c r="I134" i="107"/>
  <c r="J134" i="107"/>
  <c r="I135" i="107"/>
  <c r="J135" i="107"/>
  <c r="I136" i="107"/>
  <c r="J136" i="107"/>
  <c r="I137" i="107"/>
  <c r="J137" i="107"/>
  <c r="I138" i="107"/>
  <c r="J138" i="107"/>
  <c r="I139" i="107"/>
  <c r="J139" i="107"/>
  <c r="I140" i="107"/>
  <c r="J140" i="107"/>
  <c r="I141" i="107"/>
  <c r="J141" i="107"/>
  <c r="I142" i="107"/>
  <c r="J142" i="107"/>
  <c r="I143" i="107"/>
  <c r="J143" i="107"/>
  <c r="I144" i="107"/>
  <c r="J144" i="107"/>
  <c r="I145" i="107"/>
  <c r="J145" i="107"/>
  <c r="I146" i="107"/>
  <c r="J146" i="107"/>
  <c r="I147" i="107"/>
  <c r="J147" i="107"/>
  <c r="I148" i="107"/>
  <c r="J148" i="107"/>
  <c r="I149" i="107"/>
  <c r="J149" i="107"/>
  <c r="I150" i="107"/>
  <c r="J150" i="107"/>
  <c r="I156" i="107"/>
  <c r="I157" i="107"/>
  <c r="I158" i="107"/>
  <c r="I159" i="107"/>
  <c r="I160" i="107"/>
  <c r="I161" i="107"/>
  <c r="I162" i="107"/>
  <c r="I185" i="107"/>
  <c r="I186" i="107"/>
  <c r="I187" i="107"/>
  <c r="I188" i="107"/>
  <c r="I189" i="107"/>
  <c r="I190" i="107"/>
  <c r="I191" i="107"/>
  <c r="I192" i="107"/>
  <c r="I193" i="107"/>
  <c r="I194" i="107"/>
  <c r="I195" i="107"/>
  <c r="I196" i="107"/>
  <c r="I211" i="107"/>
  <c r="J211" i="107"/>
  <c r="K211" i="107"/>
  <c r="L211" i="107"/>
  <c r="M211" i="107"/>
  <c r="N211" i="107"/>
  <c r="O211" i="107"/>
  <c r="I212" i="107"/>
  <c r="J212" i="107"/>
  <c r="K212" i="107"/>
  <c r="L212" i="107"/>
  <c r="M212" i="107"/>
  <c r="N212" i="107"/>
  <c r="O212" i="107"/>
  <c r="I213" i="107"/>
  <c r="J213" i="107"/>
  <c r="K213" i="107"/>
  <c r="L213" i="107"/>
  <c r="M213" i="107"/>
  <c r="N213" i="107"/>
  <c r="O213" i="107"/>
  <c r="I214" i="107"/>
  <c r="J214" i="107"/>
  <c r="K214" i="107"/>
  <c r="L214" i="107"/>
  <c r="M214" i="107"/>
  <c r="N214" i="107"/>
  <c r="O214" i="107"/>
  <c r="I215" i="107"/>
  <c r="J215" i="107"/>
  <c r="K215" i="107"/>
  <c r="L215" i="107"/>
  <c r="M215" i="107"/>
  <c r="N215" i="107"/>
  <c r="O215" i="107"/>
  <c r="I216" i="107"/>
  <c r="J216" i="107"/>
  <c r="K216" i="107"/>
  <c r="I217" i="107"/>
  <c r="J217" i="107"/>
  <c r="K217" i="107"/>
  <c r="I218" i="107"/>
  <c r="J218" i="107"/>
  <c r="K218" i="107"/>
  <c r="I219" i="107"/>
  <c r="J219" i="107"/>
  <c r="K219" i="107"/>
  <c r="I220" i="107"/>
  <c r="J220" i="107"/>
  <c r="K220" i="107"/>
  <c r="I221" i="107"/>
  <c r="J221" i="107"/>
  <c r="I222" i="107"/>
  <c r="J222" i="107"/>
  <c r="I223" i="107"/>
  <c r="J223" i="107"/>
  <c r="I224" i="107"/>
  <c r="J224" i="107"/>
  <c r="I225" i="107"/>
  <c r="J225" i="107"/>
  <c r="K225" i="107"/>
  <c r="L225" i="107"/>
  <c r="I226" i="107"/>
  <c r="J226" i="107"/>
  <c r="K226" i="107"/>
  <c r="L226" i="107"/>
  <c r="I227" i="107"/>
  <c r="I228" i="107"/>
  <c r="I229" i="107"/>
  <c r="I230" i="107"/>
  <c r="I237" i="107"/>
  <c r="J237" i="107"/>
  <c r="K237" i="107"/>
  <c r="L237" i="107"/>
  <c r="I238" i="107"/>
  <c r="J238" i="107"/>
  <c r="K238" i="107"/>
  <c r="L238" i="107"/>
  <c r="I239" i="107"/>
  <c r="J239" i="107"/>
  <c r="I240" i="107"/>
  <c r="J240" i="107"/>
  <c r="K240" i="107"/>
  <c r="I245" i="107"/>
  <c r="J245" i="107"/>
  <c r="I246" i="107"/>
  <c r="J246" i="107"/>
  <c r="I247" i="107"/>
  <c r="J247" i="107"/>
  <c r="I248" i="107"/>
  <c r="J248" i="107"/>
  <c r="I249" i="107"/>
  <c r="J249" i="107"/>
  <c r="I250" i="107"/>
  <c r="J250" i="107"/>
  <c r="I251" i="107"/>
  <c r="J251" i="107"/>
  <c r="I252" i="107"/>
  <c r="J252" i="107"/>
  <c r="I253" i="107"/>
  <c r="J253" i="107"/>
  <c r="K253" i="107"/>
  <c r="I254" i="107"/>
  <c r="J254" i="107"/>
  <c r="K254" i="107"/>
  <c r="I255" i="107"/>
  <c r="J255" i="107"/>
  <c r="K255" i="107"/>
  <c r="I256" i="107"/>
  <c r="J256" i="107"/>
  <c r="K256" i="107"/>
  <c r="I257" i="107"/>
  <c r="J257" i="107"/>
  <c r="K257" i="107"/>
  <c r="I259" i="107"/>
  <c r="J259" i="107"/>
  <c r="K259" i="107"/>
  <c r="L259" i="107"/>
  <c r="I260" i="107"/>
  <c r="J260" i="107"/>
  <c r="K260" i="107"/>
  <c r="L260" i="107"/>
  <c r="I261" i="107"/>
  <c r="J261" i="107"/>
  <c r="K261" i="107"/>
  <c r="L261" i="107"/>
  <c r="I262" i="107"/>
  <c r="J262" i="107"/>
  <c r="K262" i="107"/>
  <c r="L262" i="107"/>
  <c r="I269" i="107"/>
  <c r="I270" i="107"/>
  <c r="I271" i="107"/>
  <c r="I274" i="107"/>
  <c r="J274" i="107"/>
  <c r="I275" i="107"/>
  <c r="J275" i="107"/>
  <c r="I276" i="107"/>
  <c r="J276" i="107"/>
  <c r="I277" i="107"/>
  <c r="J277" i="107"/>
  <c r="I278" i="107"/>
  <c r="J278" i="107"/>
  <c r="I282" i="107"/>
  <c r="J282" i="107"/>
  <c r="K282" i="107"/>
  <c r="L282" i="107"/>
  <c r="I284" i="107"/>
  <c r="J284" i="107"/>
  <c r="I285" i="107"/>
  <c r="J285" i="107"/>
  <c r="I286" i="107"/>
  <c r="J286" i="107"/>
  <c r="I287" i="107"/>
  <c r="J287" i="107"/>
  <c r="I288" i="107"/>
  <c r="J288" i="107"/>
  <c r="I289" i="107"/>
  <c r="J289" i="107"/>
  <c r="I290" i="107"/>
  <c r="J290" i="107"/>
  <c r="I291" i="107"/>
  <c r="J291" i="107"/>
  <c r="K291" i="107"/>
  <c r="L291" i="107"/>
  <c r="I294" i="107"/>
  <c r="J294" i="107"/>
  <c r="K294" i="107"/>
  <c r="L294" i="107"/>
  <c r="M294" i="107"/>
  <c r="O294" i="107"/>
  <c r="I295" i="107"/>
  <c r="J295" i="107"/>
  <c r="K295" i="107"/>
  <c r="L295" i="107"/>
  <c r="I296" i="107"/>
  <c r="J296" i="107"/>
  <c r="K296" i="107"/>
  <c r="L296" i="107"/>
  <c r="I297" i="107"/>
  <c r="J297" i="107"/>
  <c r="K297" i="107"/>
  <c r="L297" i="107"/>
  <c r="I299" i="107"/>
  <c r="J299" i="107"/>
  <c r="K299" i="107"/>
  <c r="L299" i="107"/>
  <c r="I300" i="107"/>
  <c r="J300" i="107"/>
  <c r="K300" i="107"/>
  <c r="L300" i="107"/>
  <c r="I301" i="107"/>
  <c r="I302" i="107"/>
  <c r="I304" i="107"/>
  <c r="I305" i="107"/>
  <c r="I306" i="107"/>
  <c r="J306" i="107"/>
  <c r="K306" i="107"/>
  <c r="I310" i="107"/>
  <c r="I312" i="107"/>
  <c r="I313" i="107"/>
  <c r="I314" i="107"/>
  <c r="I315" i="107"/>
  <c r="I316" i="107"/>
  <c r="J316" i="107"/>
  <c r="I317" i="107"/>
  <c r="J317" i="107"/>
  <c r="I318" i="107"/>
  <c r="I319" i="107"/>
  <c r="J319" i="107"/>
  <c r="K319" i="107"/>
  <c r="I320" i="107"/>
  <c r="J320" i="107"/>
  <c r="K320" i="107"/>
  <c r="I321" i="107"/>
  <c r="I322" i="107"/>
  <c r="I323" i="107"/>
  <c r="J323" i="107"/>
  <c r="I324" i="107"/>
  <c r="J324" i="107"/>
  <c r="I325" i="107"/>
  <c r="I327" i="107"/>
  <c r="I328" i="107"/>
  <c r="J328" i="107"/>
  <c r="K328" i="107"/>
  <c r="I329" i="107"/>
  <c r="J329" i="107"/>
  <c r="K329" i="107"/>
  <c r="I330" i="107"/>
  <c r="J330" i="107"/>
  <c r="K330" i="107"/>
  <c r="I331" i="107"/>
  <c r="I332" i="107"/>
  <c r="I333" i="107"/>
  <c r="I334" i="107"/>
  <c r="J334" i="107"/>
  <c r="I335" i="107"/>
  <c r="J335" i="107"/>
  <c r="I336" i="107"/>
  <c r="J336" i="107"/>
  <c r="I337" i="107"/>
  <c r="I338" i="107"/>
  <c r="I339" i="107"/>
  <c r="I340" i="107"/>
  <c r="I341" i="107"/>
  <c r="I342" i="107"/>
  <c r="I343" i="107"/>
  <c r="I344" i="107"/>
  <c r="J344" i="107"/>
  <c r="K344" i="107"/>
  <c r="I345" i="107"/>
  <c r="J345" i="107"/>
  <c r="K345" i="107"/>
  <c r="I346" i="107"/>
  <c r="J346" i="107"/>
  <c r="K346" i="107"/>
  <c r="I347" i="107"/>
  <c r="J347" i="107"/>
  <c r="K347" i="107"/>
  <c r="I348" i="107"/>
  <c r="J348" i="107"/>
  <c r="I349" i="107"/>
  <c r="J349" i="107"/>
  <c r="I350" i="107"/>
  <c r="J350" i="107"/>
  <c r="I351" i="107"/>
  <c r="J351" i="107"/>
  <c r="I352" i="107"/>
  <c r="J352" i="107"/>
  <c r="K352" i="107"/>
  <c r="L352" i="107"/>
  <c r="M352" i="107"/>
  <c r="O352" i="107"/>
  <c r="X352" i="107"/>
  <c r="I353" i="107"/>
  <c r="J353" i="107"/>
  <c r="K353" i="107"/>
  <c r="L353" i="107"/>
  <c r="M353" i="107"/>
  <c r="N353" i="107"/>
  <c r="O353" i="107"/>
  <c r="I354" i="107"/>
  <c r="J354" i="107"/>
  <c r="K354" i="107"/>
  <c r="L354" i="107"/>
  <c r="M354" i="107"/>
  <c r="N354" i="107"/>
  <c r="O354" i="107"/>
  <c r="I4" i="106"/>
  <c r="I5" i="106"/>
  <c r="J5" i="106"/>
  <c r="K5" i="106"/>
  <c r="L5" i="106"/>
  <c r="O5" i="106"/>
  <c r="I6" i="106"/>
  <c r="J6" i="106"/>
  <c r="K6" i="106"/>
  <c r="L6" i="106"/>
  <c r="O6" i="106"/>
  <c r="I7" i="106"/>
  <c r="J7" i="106"/>
  <c r="K7" i="106"/>
  <c r="L7" i="106"/>
  <c r="O7" i="106"/>
  <c r="I8" i="106"/>
  <c r="J8" i="106"/>
  <c r="I9" i="106"/>
  <c r="J9" i="106"/>
  <c r="I10" i="106"/>
  <c r="J10" i="106"/>
  <c r="I11" i="106"/>
  <c r="J11" i="106"/>
  <c r="I12" i="106"/>
  <c r="J12" i="106"/>
  <c r="I21" i="106"/>
  <c r="J21" i="106"/>
  <c r="K21" i="106"/>
  <c r="L21" i="106"/>
  <c r="O21" i="106"/>
  <c r="I22" i="106"/>
  <c r="J22" i="106"/>
  <c r="K22" i="106"/>
  <c r="I23" i="106"/>
  <c r="J23" i="106"/>
  <c r="K23" i="106"/>
  <c r="L23" i="106"/>
  <c r="O23" i="106"/>
  <c r="I24" i="106"/>
  <c r="J24" i="106"/>
  <c r="K24" i="106"/>
  <c r="L24" i="106"/>
  <c r="O24" i="106"/>
  <c r="I25" i="106"/>
  <c r="J25" i="106"/>
  <c r="K25" i="106"/>
  <c r="L25" i="106"/>
  <c r="O25" i="106"/>
  <c r="I26" i="106"/>
  <c r="J26" i="106"/>
  <c r="K26" i="106"/>
  <c r="L26" i="106"/>
  <c r="O26" i="106"/>
  <c r="I35" i="106"/>
  <c r="I36" i="106"/>
  <c r="I37" i="106"/>
  <c r="I38" i="106"/>
  <c r="I39" i="106"/>
  <c r="I40" i="106"/>
  <c r="I41" i="106"/>
  <c r="I42" i="106"/>
  <c r="I43" i="106"/>
  <c r="I44" i="106"/>
  <c r="I45" i="106"/>
  <c r="J45" i="106"/>
  <c r="I46" i="106"/>
  <c r="J46" i="106"/>
  <c r="I47" i="106"/>
  <c r="J47" i="106"/>
  <c r="I48" i="106"/>
  <c r="J48" i="106"/>
  <c r="I49" i="106"/>
  <c r="J49" i="106"/>
  <c r="I50" i="106"/>
  <c r="J50" i="106"/>
  <c r="I51" i="106"/>
  <c r="J51" i="106"/>
  <c r="I52" i="106"/>
  <c r="J52" i="106"/>
  <c r="I53" i="106"/>
  <c r="J53" i="106"/>
  <c r="I54" i="106"/>
  <c r="J54" i="106"/>
  <c r="I55" i="106"/>
  <c r="J55" i="106"/>
  <c r="I56" i="106"/>
  <c r="J56" i="106"/>
  <c r="I57" i="106"/>
  <c r="J57" i="106"/>
  <c r="I58" i="106"/>
  <c r="J58" i="106"/>
  <c r="I59" i="106"/>
  <c r="J59" i="106"/>
  <c r="I60" i="106"/>
  <c r="J60" i="106"/>
  <c r="I61" i="106"/>
  <c r="J61" i="106"/>
  <c r="I62" i="106"/>
  <c r="J62" i="106"/>
  <c r="I63" i="106"/>
  <c r="J63" i="106"/>
  <c r="I64" i="106"/>
  <c r="J64" i="106"/>
  <c r="I65" i="106"/>
  <c r="J65" i="106"/>
  <c r="I66" i="106"/>
  <c r="J66" i="106"/>
  <c r="I67" i="106"/>
  <c r="J67" i="106"/>
  <c r="I68" i="106"/>
  <c r="J68" i="106"/>
  <c r="I69" i="106"/>
  <c r="J69" i="106"/>
  <c r="I70" i="106"/>
  <c r="J70" i="106"/>
  <c r="I71" i="106"/>
  <c r="J71" i="106"/>
  <c r="I72" i="106"/>
  <c r="J72" i="106"/>
  <c r="I73" i="106"/>
  <c r="J73" i="106"/>
  <c r="I74" i="106"/>
  <c r="J74" i="106"/>
  <c r="I75" i="106"/>
  <c r="J75" i="106"/>
  <c r="I76" i="106"/>
  <c r="J76" i="106"/>
  <c r="I77" i="106"/>
  <c r="J77" i="106"/>
  <c r="I78" i="106"/>
  <c r="J78" i="106"/>
  <c r="I79" i="106"/>
  <c r="J79" i="106"/>
  <c r="I80" i="106"/>
  <c r="J80" i="106"/>
  <c r="I81" i="106"/>
  <c r="J81" i="106"/>
  <c r="I82" i="106"/>
  <c r="J82" i="106"/>
  <c r="I83" i="106"/>
  <c r="J83" i="106"/>
  <c r="I84" i="106"/>
  <c r="J84" i="106"/>
  <c r="I85" i="106"/>
  <c r="J85" i="106"/>
  <c r="I86" i="106"/>
  <c r="J86" i="106"/>
  <c r="I87" i="106"/>
  <c r="J87" i="106"/>
  <c r="I88" i="106"/>
  <c r="J88" i="106"/>
  <c r="I89" i="106"/>
  <c r="J89" i="106"/>
  <c r="I90" i="106"/>
  <c r="J90" i="106"/>
  <c r="I91" i="106"/>
  <c r="J91" i="106"/>
  <c r="I92" i="106"/>
  <c r="J92" i="106"/>
  <c r="I93" i="106"/>
  <c r="J93" i="106"/>
  <c r="I94" i="106"/>
  <c r="J94" i="106"/>
  <c r="I95" i="106"/>
  <c r="J95" i="106"/>
  <c r="I96" i="106"/>
  <c r="J96" i="106"/>
  <c r="I97" i="106"/>
  <c r="J97" i="106"/>
  <c r="I98" i="106"/>
  <c r="J98" i="106"/>
  <c r="I99" i="106"/>
  <c r="J99" i="106"/>
  <c r="I100" i="106"/>
  <c r="J100" i="106"/>
  <c r="I101" i="106"/>
  <c r="J101" i="106"/>
  <c r="I102" i="106"/>
  <c r="J102" i="106"/>
  <c r="I103" i="106"/>
  <c r="J103" i="106"/>
  <c r="I104" i="106"/>
  <c r="J104" i="106"/>
  <c r="I105" i="106"/>
  <c r="J105" i="106"/>
  <c r="I106" i="106"/>
  <c r="J106" i="106"/>
  <c r="I107" i="106"/>
  <c r="J107" i="106"/>
  <c r="I108" i="106"/>
  <c r="J108" i="106"/>
  <c r="I109" i="106"/>
  <c r="J109" i="106"/>
  <c r="I110" i="106"/>
  <c r="J110" i="106"/>
  <c r="I111" i="106"/>
  <c r="J111" i="106"/>
  <c r="I112" i="106"/>
  <c r="J112" i="106"/>
  <c r="I113" i="106"/>
  <c r="J113" i="106"/>
  <c r="I114" i="106"/>
  <c r="J114" i="106"/>
  <c r="I115" i="106"/>
  <c r="J115" i="106"/>
  <c r="I116" i="106"/>
  <c r="J116" i="106"/>
  <c r="I117" i="106"/>
  <c r="J117" i="106"/>
  <c r="I118" i="106"/>
  <c r="J118" i="106"/>
  <c r="I119" i="106"/>
  <c r="J119" i="106"/>
  <c r="I120" i="106"/>
  <c r="J120" i="106"/>
  <c r="I121" i="106"/>
  <c r="J121" i="106"/>
  <c r="I122" i="106"/>
  <c r="J122" i="106"/>
  <c r="I123" i="106"/>
  <c r="J123" i="106"/>
  <c r="I124" i="106"/>
  <c r="J124" i="106"/>
  <c r="I125" i="106"/>
  <c r="J125" i="106"/>
  <c r="I126" i="106"/>
  <c r="J126" i="106"/>
  <c r="I127" i="106"/>
  <c r="J127" i="106"/>
  <c r="I128" i="106"/>
  <c r="J128" i="106"/>
  <c r="I129" i="106"/>
  <c r="J129" i="106"/>
  <c r="I130" i="106"/>
  <c r="J130" i="106"/>
  <c r="I131" i="106"/>
  <c r="J131" i="106"/>
  <c r="I132" i="106"/>
  <c r="J132" i="106"/>
  <c r="I133" i="106"/>
  <c r="J133" i="106"/>
  <c r="I134" i="106"/>
  <c r="J134" i="106"/>
  <c r="I135" i="106"/>
  <c r="J135" i="106"/>
  <c r="I136" i="106"/>
  <c r="J136" i="106"/>
  <c r="I137" i="106"/>
  <c r="J137" i="106"/>
  <c r="I138" i="106"/>
  <c r="J138" i="106"/>
  <c r="I139" i="106"/>
  <c r="J139" i="106"/>
  <c r="I140" i="106"/>
  <c r="J140" i="106"/>
  <c r="I141" i="106"/>
  <c r="J141" i="106"/>
  <c r="I142" i="106"/>
  <c r="J142" i="106"/>
  <c r="I143" i="106"/>
  <c r="J143" i="106"/>
  <c r="I144" i="106"/>
  <c r="J144" i="106"/>
  <c r="I145" i="106"/>
  <c r="J145" i="106"/>
  <c r="I146" i="106"/>
  <c r="J146" i="106"/>
  <c r="I147" i="106"/>
  <c r="J147" i="106"/>
  <c r="I148" i="106"/>
  <c r="J148" i="106"/>
  <c r="I149" i="106"/>
  <c r="J149" i="106"/>
  <c r="I150" i="106"/>
  <c r="J150" i="106"/>
  <c r="I156" i="106"/>
  <c r="I157" i="106"/>
  <c r="I158" i="106"/>
  <c r="I159" i="106"/>
  <c r="I160" i="106"/>
  <c r="I161" i="106"/>
  <c r="I162" i="106"/>
  <c r="I185" i="106"/>
  <c r="I186" i="106"/>
  <c r="I187" i="106"/>
  <c r="I188" i="106"/>
  <c r="I189" i="106"/>
  <c r="I190" i="106"/>
  <c r="I191" i="106"/>
  <c r="I192" i="106"/>
  <c r="I193" i="106"/>
  <c r="I194" i="106"/>
  <c r="I195" i="106"/>
  <c r="I196" i="106"/>
  <c r="I211" i="106"/>
  <c r="J211" i="106"/>
  <c r="K211" i="106"/>
  <c r="L211" i="106"/>
  <c r="M211" i="106"/>
  <c r="N211" i="106"/>
  <c r="O211" i="106"/>
  <c r="I212" i="106"/>
  <c r="J212" i="106"/>
  <c r="K212" i="106"/>
  <c r="L212" i="106"/>
  <c r="M212" i="106"/>
  <c r="N212" i="106"/>
  <c r="O212" i="106"/>
  <c r="I213" i="106"/>
  <c r="J213" i="106"/>
  <c r="K213" i="106"/>
  <c r="L213" i="106"/>
  <c r="M213" i="106"/>
  <c r="N213" i="106"/>
  <c r="O213" i="106"/>
  <c r="I214" i="106"/>
  <c r="J214" i="106"/>
  <c r="K214" i="106"/>
  <c r="L214" i="106"/>
  <c r="M214" i="106"/>
  <c r="N214" i="106"/>
  <c r="O214" i="106"/>
  <c r="I215" i="106"/>
  <c r="J215" i="106"/>
  <c r="K215" i="106"/>
  <c r="L215" i="106"/>
  <c r="M215" i="106"/>
  <c r="N215" i="106"/>
  <c r="O215" i="106"/>
  <c r="I216" i="106"/>
  <c r="J216" i="106"/>
  <c r="K216" i="106"/>
  <c r="I217" i="106"/>
  <c r="J217" i="106"/>
  <c r="K217" i="106"/>
  <c r="I218" i="106"/>
  <c r="J218" i="106"/>
  <c r="K218" i="106"/>
  <c r="I219" i="106"/>
  <c r="J219" i="106"/>
  <c r="K219" i="106"/>
  <c r="I220" i="106"/>
  <c r="J220" i="106"/>
  <c r="K220" i="106"/>
  <c r="I221" i="106"/>
  <c r="J221" i="106"/>
  <c r="I222" i="106"/>
  <c r="J222" i="106"/>
  <c r="I223" i="106"/>
  <c r="J223" i="106"/>
  <c r="I224" i="106"/>
  <c r="J224" i="106"/>
  <c r="I225" i="106"/>
  <c r="J225" i="106"/>
  <c r="K225" i="106"/>
  <c r="L225" i="106"/>
  <c r="O225" i="106"/>
  <c r="I226" i="106"/>
  <c r="J226" i="106"/>
  <c r="K226" i="106"/>
  <c r="L226" i="106"/>
  <c r="O226" i="106"/>
  <c r="I227" i="106"/>
  <c r="I228" i="106"/>
  <c r="I229" i="106"/>
  <c r="I230" i="106"/>
  <c r="I237" i="106"/>
  <c r="J237" i="106"/>
  <c r="K237" i="106"/>
  <c r="L237" i="106"/>
  <c r="O237" i="106"/>
  <c r="I238" i="106"/>
  <c r="J238" i="106"/>
  <c r="K238" i="106"/>
  <c r="L238" i="106"/>
  <c r="O238" i="106"/>
  <c r="I239" i="106"/>
  <c r="J239" i="106"/>
  <c r="I240" i="106"/>
  <c r="J240" i="106"/>
  <c r="K240" i="106"/>
  <c r="I245" i="106"/>
  <c r="J245" i="106"/>
  <c r="I246" i="106"/>
  <c r="J246" i="106"/>
  <c r="I247" i="106"/>
  <c r="J247" i="106"/>
  <c r="I248" i="106"/>
  <c r="J248" i="106"/>
  <c r="I249" i="106"/>
  <c r="J249" i="106"/>
  <c r="I250" i="106"/>
  <c r="J250" i="106"/>
  <c r="I251" i="106"/>
  <c r="J251" i="106"/>
  <c r="I252" i="106"/>
  <c r="J252" i="106"/>
  <c r="I253" i="106"/>
  <c r="J253" i="106"/>
  <c r="K253" i="106"/>
  <c r="I254" i="106"/>
  <c r="J254" i="106"/>
  <c r="K254" i="106"/>
  <c r="I255" i="106"/>
  <c r="J255" i="106"/>
  <c r="K255" i="106"/>
  <c r="I256" i="106"/>
  <c r="J256" i="106"/>
  <c r="K256" i="106"/>
  <c r="I257" i="106"/>
  <c r="J257" i="106"/>
  <c r="K257" i="106"/>
  <c r="Q257" i="106"/>
  <c r="I259" i="106"/>
  <c r="J259" i="106"/>
  <c r="K259" i="106"/>
  <c r="L259" i="106"/>
  <c r="O259" i="106"/>
  <c r="I260" i="106"/>
  <c r="J260" i="106"/>
  <c r="K260" i="106"/>
  <c r="L260" i="106"/>
  <c r="O260" i="106"/>
  <c r="I261" i="106"/>
  <c r="J261" i="106"/>
  <c r="K261" i="106"/>
  <c r="L261" i="106"/>
  <c r="O261" i="106"/>
  <c r="I262" i="106"/>
  <c r="J262" i="106"/>
  <c r="K262" i="106"/>
  <c r="L262" i="106"/>
  <c r="O262" i="106"/>
  <c r="I269" i="106"/>
  <c r="I270" i="106"/>
  <c r="I271" i="106"/>
  <c r="I274" i="106"/>
  <c r="J274" i="106"/>
  <c r="I275" i="106"/>
  <c r="J275" i="106"/>
  <c r="I276" i="106"/>
  <c r="J276" i="106"/>
  <c r="I277" i="106"/>
  <c r="J277" i="106"/>
  <c r="I278" i="106"/>
  <c r="J278" i="106"/>
  <c r="I282" i="106"/>
  <c r="J282" i="106"/>
  <c r="K282" i="106"/>
  <c r="L282" i="106"/>
  <c r="O282" i="106"/>
  <c r="I284" i="106"/>
  <c r="J284" i="106"/>
  <c r="I285" i="106"/>
  <c r="J285" i="106"/>
  <c r="I286" i="106"/>
  <c r="J286" i="106"/>
  <c r="I287" i="106"/>
  <c r="J287" i="106"/>
  <c r="I288" i="106"/>
  <c r="J288" i="106"/>
  <c r="I289" i="106"/>
  <c r="J289" i="106"/>
  <c r="I290" i="106"/>
  <c r="J290" i="106"/>
  <c r="I291" i="106"/>
  <c r="J291" i="106"/>
  <c r="K291" i="106"/>
  <c r="L291" i="106"/>
  <c r="O291" i="106"/>
  <c r="I294" i="106"/>
  <c r="J294" i="106"/>
  <c r="K294" i="106"/>
  <c r="L294" i="106"/>
  <c r="M294" i="106"/>
  <c r="O294" i="106"/>
  <c r="I295" i="106"/>
  <c r="J295" i="106"/>
  <c r="K295" i="106"/>
  <c r="L295" i="106"/>
  <c r="O295" i="106"/>
  <c r="I296" i="106"/>
  <c r="J296" i="106"/>
  <c r="K296" i="106"/>
  <c r="L296" i="106"/>
  <c r="O296" i="106"/>
  <c r="I297" i="106"/>
  <c r="J297" i="106"/>
  <c r="K297" i="106"/>
  <c r="L297" i="106"/>
  <c r="O297" i="106"/>
  <c r="I299" i="106"/>
  <c r="J299" i="106"/>
  <c r="K299" i="106"/>
  <c r="L299" i="106"/>
  <c r="O299" i="106"/>
  <c r="I300" i="106"/>
  <c r="J300" i="106"/>
  <c r="K300" i="106"/>
  <c r="L300" i="106"/>
  <c r="O300" i="106"/>
  <c r="I301" i="106"/>
  <c r="I302" i="106"/>
  <c r="I304" i="106"/>
  <c r="I305" i="106"/>
  <c r="I306" i="106"/>
  <c r="J306" i="106"/>
  <c r="K306" i="106"/>
  <c r="I310" i="106"/>
  <c r="I312" i="106"/>
  <c r="I313" i="106"/>
  <c r="I314" i="106"/>
  <c r="I315" i="106"/>
  <c r="I316" i="106"/>
  <c r="J316" i="106"/>
  <c r="I317" i="106"/>
  <c r="J317" i="106"/>
  <c r="I318" i="106"/>
  <c r="I319" i="106"/>
  <c r="J319" i="106"/>
  <c r="K319" i="106"/>
  <c r="I320" i="106"/>
  <c r="J320" i="106"/>
  <c r="K320" i="106"/>
  <c r="I321" i="106"/>
  <c r="I322" i="106"/>
  <c r="I323" i="106"/>
  <c r="J323" i="106"/>
  <c r="I324" i="106"/>
  <c r="J324" i="106"/>
  <c r="I325" i="106"/>
  <c r="I327" i="106"/>
  <c r="I328" i="106"/>
  <c r="J328" i="106"/>
  <c r="K328" i="106"/>
  <c r="I329" i="106"/>
  <c r="J329" i="106"/>
  <c r="K329" i="106"/>
  <c r="I330" i="106"/>
  <c r="J330" i="106"/>
  <c r="K330" i="106"/>
  <c r="I331" i="106"/>
  <c r="I332" i="106"/>
  <c r="I333" i="106"/>
  <c r="I334" i="106"/>
  <c r="J334" i="106"/>
  <c r="I335" i="106"/>
  <c r="J335" i="106"/>
  <c r="I336" i="106"/>
  <c r="J336" i="106"/>
  <c r="I337" i="106"/>
  <c r="I338" i="106"/>
  <c r="I339" i="106"/>
  <c r="I340" i="106"/>
  <c r="I341" i="106"/>
  <c r="I342" i="106"/>
  <c r="I343" i="106"/>
  <c r="I344" i="106"/>
  <c r="J344" i="106"/>
  <c r="K344" i="106"/>
  <c r="I345" i="106"/>
  <c r="J345" i="106"/>
  <c r="K345" i="106"/>
  <c r="I346" i="106"/>
  <c r="J346" i="106"/>
  <c r="K346" i="106"/>
  <c r="I347" i="106"/>
  <c r="J347" i="106"/>
  <c r="K347" i="106"/>
  <c r="I348" i="106"/>
  <c r="J348" i="106"/>
  <c r="I349" i="106"/>
  <c r="J349" i="106"/>
  <c r="I350" i="106"/>
  <c r="J350" i="106"/>
  <c r="I351" i="106"/>
  <c r="J351" i="106"/>
  <c r="I352" i="106"/>
  <c r="J352" i="106"/>
  <c r="K352" i="106"/>
  <c r="L352" i="106"/>
  <c r="M352" i="106"/>
  <c r="O352" i="106"/>
  <c r="X352" i="106"/>
  <c r="I353" i="106"/>
  <c r="J353" i="106"/>
  <c r="K353" i="106"/>
  <c r="L353" i="106"/>
  <c r="M353" i="106"/>
  <c r="N353" i="106"/>
  <c r="O353" i="106"/>
  <c r="I354" i="106"/>
  <c r="J354" i="106"/>
  <c r="K354" i="106"/>
  <c r="L354" i="106"/>
  <c r="M354" i="106"/>
  <c r="N354" i="106"/>
  <c r="O354" i="106"/>
  <c r="I4" i="105"/>
  <c r="I5" i="105"/>
  <c r="J5" i="105"/>
  <c r="K5" i="105"/>
  <c r="L5" i="105"/>
  <c r="O5" i="105"/>
  <c r="I6" i="105"/>
  <c r="J6" i="105"/>
  <c r="K6" i="105"/>
  <c r="L6" i="105"/>
  <c r="O6" i="105"/>
  <c r="I7" i="105"/>
  <c r="J7" i="105"/>
  <c r="K7" i="105"/>
  <c r="L7" i="105"/>
  <c r="O7" i="105"/>
  <c r="I8" i="105"/>
  <c r="J8" i="105"/>
  <c r="I9" i="105"/>
  <c r="J9" i="105"/>
  <c r="I10" i="105"/>
  <c r="J10" i="105"/>
  <c r="I11" i="105"/>
  <c r="J11" i="105"/>
  <c r="I12" i="105"/>
  <c r="J12" i="105"/>
  <c r="I21" i="105"/>
  <c r="J21" i="105"/>
  <c r="K21" i="105"/>
  <c r="L21" i="105"/>
  <c r="O21" i="105"/>
  <c r="I22" i="105"/>
  <c r="J22" i="105"/>
  <c r="K22" i="105"/>
  <c r="O22" i="105"/>
  <c r="I23" i="105"/>
  <c r="J23" i="105"/>
  <c r="K23" i="105"/>
  <c r="L23" i="105"/>
  <c r="O23" i="105"/>
  <c r="I24" i="105"/>
  <c r="J24" i="105"/>
  <c r="K24" i="105"/>
  <c r="L24" i="105"/>
  <c r="O24" i="105"/>
  <c r="I25" i="105"/>
  <c r="J25" i="105"/>
  <c r="K25" i="105"/>
  <c r="L25" i="105"/>
  <c r="O25" i="105"/>
  <c r="I26" i="105"/>
  <c r="J26" i="105"/>
  <c r="K26" i="105"/>
  <c r="L26" i="105"/>
  <c r="O26" i="105"/>
  <c r="I35" i="105"/>
  <c r="I36" i="105"/>
  <c r="I37" i="105"/>
  <c r="I38" i="105"/>
  <c r="I39" i="105"/>
  <c r="I40" i="105"/>
  <c r="I41" i="105"/>
  <c r="I42" i="105"/>
  <c r="I43" i="105"/>
  <c r="I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Q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P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6" i="105"/>
  <c r="I157" i="105"/>
  <c r="I158" i="105"/>
  <c r="I159" i="105"/>
  <c r="I160" i="105"/>
  <c r="I161" i="105"/>
  <c r="I162" i="105"/>
  <c r="I185" i="105"/>
  <c r="I186" i="105"/>
  <c r="I187" i="105"/>
  <c r="I188" i="105"/>
  <c r="I189" i="105"/>
  <c r="I190" i="105"/>
  <c r="I191" i="105"/>
  <c r="I192" i="105"/>
  <c r="I193" i="105"/>
  <c r="I194" i="105"/>
  <c r="I195" i="105"/>
  <c r="I196" i="105"/>
  <c r="I211" i="105"/>
  <c r="J211" i="105"/>
  <c r="K211" i="105"/>
  <c r="L211" i="105"/>
  <c r="M211" i="105"/>
  <c r="N211" i="105"/>
  <c r="O211" i="105"/>
  <c r="I212" i="105"/>
  <c r="J212" i="105"/>
  <c r="K212" i="105"/>
  <c r="L212" i="105"/>
  <c r="M212" i="105"/>
  <c r="N212" i="105"/>
  <c r="O212" i="105"/>
  <c r="I213" i="105"/>
  <c r="J213" i="105"/>
  <c r="K213" i="105"/>
  <c r="L213" i="105"/>
  <c r="M213" i="105"/>
  <c r="N213" i="105"/>
  <c r="O213" i="105"/>
  <c r="I214" i="105"/>
  <c r="J214" i="105"/>
  <c r="K214" i="105"/>
  <c r="L214" i="105"/>
  <c r="M214" i="105"/>
  <c r="N214" i="105"/>
  <c r="O214" i="105"/>
  <c r="I215" i="105"/>
  <c r="J215" i="105"/>
  <c r="K215" i="105"/>
  <c r="L215" i="105"/>
  <c r="M215" i="105"/>
  <c r="N215" i="105"/>
  <c r="O215" i="105"/>
  <c r="I216" i="105"/>
  <c r="J216" i="105"/>
  <c r="K216" i="105"/>
  <c r="O216" i="105"/>
  <c r="I217" i="105"/>
  <c r="J217" i="105"/>
  <c r="K217" i="105"/>
  <c r="O217" i="105"/>
  <c r="I218" i="105"/>
  <c r="J218" i="105"/>
  <c r="K218" i="105"/>
  <c r="O218" i="105"/>
  <c r="I219" i="105"/>
  <c r="J219" i="105"/>
  <c r="K219" i="105"/>
  <c r="O219" i="105"/>
  <c r="I220" i="105"/>
  <c r="J220" i="105"/>
  <c r="K220" i="105"/>
  <c r="O220" i="105"/>
  <c r="I221" i="105"/>
  <c r="J221" i="105"/>
  <c r="I222" i="105"/>
  <c r="J222" i="105"/>
  <c r="I223" i="105"/>
  <c r="J223" i="105"/>
  <c r="I224" i="105"/>
  <c r="J224" i="105"/>
  <c r="I225" i="105"/>
  <c r="J225" i="105"/>
  <c r="K225" i="105"/>
  <c r="L225" i="105"/>
  <c r="O225" i="105"/>
  <c r="I226" i="105"/>
  <c r="J226" i="105"/>
  <c r="K226" i="105"/>
  <c r="L226" i="105"/>
  <c r="O226" i="105"/>
  <c r="I227" i="105"/>
  <c r="I228" i="105"/>
  <c r="I229" i="105"/>
  <c r="I230" i="105"/>
  <c r="I237" i="105"/>
  <c r="J237" i="105"/>
  <c r="K237" i="105"/>
  <c r="L237" i="105"/>
  <c r="O237" i="105"/>
  <c r="I238" i="105"/>
  <c r="J238" i="105"/>
  <c r="K238" i="105"/>
  <c r="L238" i="105"/>
  <c r="O238" i="105"/>
  <c r="I239" i="105"/>
  <c r="J239" i="105"/>
  <c r="I240" i="105"/>
  <c r="J240" i="105"/>
  <c r="K240" i="105"/>
  <c r="O240" i="105"/>
  <c r="I245" i="105"/>
  <c r="J245" i="105"/>
  <c r="I246" i="105"/>
  <c r="J246" i="105"/>
  <c r="I247" i="105"/>
  <c r="J247" i="105"/>
  <c r="I248" i="105"/>
  <c r="J248" i="105"/>
  <c r="I249" i="105"/>
  <c r="J249" i="105"/>
  <c r="I250" i="105"/>
  <c r="J250" i="105"/>
  <c r="I251" i="105"/>
  <c r="J251" i="105"/>
  <c r="I252" i="105"/>
  <c r="J252" i="105"/>
  <c r="I253" i="105"/>
  <c r="J253" i="105"/>
  <c r="K253" i="105"/>
  <c r="O253" i="105"/>
  <c r="I254" i="105"/>
  <c r="J254" i="105"/>
  <c r="K254" i="105"/>
  <c r="O254" i="105"/>
  <c r="I255" i="105"/>
  <c r="J255" i="105"/>
  <c r="K255" i="105"/>
  <c r="O255" i="105"/>
  <c r="I256" i="105"/>
  <c r="J256" i="105"/>
  <c r="K256" i="105"/>
  <c r="O256" i="105"/>
  <c r="I257" i="105"/>
  <c r="J257" i="105"/>
  <c r="K257" i="105"/>
  <c r="O257" i="105"/>
  <c r="I259" i="105"/>
  <c r="J259" i="105"/>
  <c r="K259" i="105"/>
  <c r="L259" i="105"/>
  <c r="O259" i="105"/>
  <c r="I260" i="105"/>
  <c r="J260" i="105"/>
  <c r="K260" i="105"/>
  <c r="L260" i="105"/>
  <c r="O260" i="105"/>
  <c r="I261" i="105"/>
  <c r="J261" i="105"/>
  <c r="K261" i="105"/>
  <c r="L261" i="105"/>
  <c r="O261" i="105"/>
  <c r="I262" i="105"/>
  <c r="J262" i="105"/>
  <c r="K262" i="105"/>
  <c r="L262" i="105"/>
  <c r="O262" i="105"/>
  <c r="I269" i="105"/>
  <c r="I270" i="105"/>
  <c r="I271" i="105"/>
  <c r="I274" i="105"/>
  <c r="J274" i="105"/>
  <c r="I275" i="105"/>
  <c r="J275" i="105"/>
  <c r="I276" i="105"/>
  <c r="J276" i="105"/>
  <c r="I277" i="105"/>
  <c r="J277" i="105"/>
  <c r="I278" i="105"/>
  <c r="J278" i="105"/>
  <c r="I282" i="105"/>
  <c r="J282" i="105"/>
  <c r="K282" i="105"/>
  <c r="L282" i="105"/>
  <c r="O282" i="105"/>
  <c r="I284" i="105"/>
  <c r="J284" i="105"/>
  <c r="I285" i="105"/>
  <c r="J285" i="105"/>
  <c r="I286" i="105"/>
  <c r="J286" i="105"/>
  <c r="I287" i="105"/>
  <c r="J287" i="105"/>
  <c r="I288" i="105"/>
  <c r="J288" i="105"/>
  <c r="I289" i="105"/>
  <c r="J289" i="105"/>
  <c r="I290" i="105"/>
  <c r="J290" i="105"/>
  <c r="I291" i="105"/>
  <c r="J291" i="105"/>
  <c r="K291" i="105"/>
  <c r="L291" i="105"/>
  <c r="O291" i="105"/>
  <c r="I294" i="105"/>
  <c r="J294" i="105"/>
  <c r="K294" i="105"/>
  <c r="L294" i="105"/>
  <c r="M294" i="105"/>
  <c r="O294" i="105"/>
  <c r="I295" i="105"/>
  <c r="J295" i="105"/>
  <c r="K295" i="105"/>
  <c r="L295" i="105"/>
  <c r="O295" i="105"/>
  <c r="I296" i="105"/>
  <c r="J296" i="105"/>
  <c r="K296" i="105"/>
  <c r="L296" i="105"/>
  <c r="O296" i="105"/>
  <c r="I297" i="105"/>
  <c r="J297" i="105"/>
  <c r="K297" i="105"/>
  <c r="L297" i="105"/>
  <c r="O297" i="105"/>
  <c r="I299" i="105"/>
  <c r="J299" i="105"/>
  <c r="K299" i="105"/>
  <c r="L299" i="105"/>
  <c r="O299" i="105"/>
  <c r="I300" i="105"/>
  <c r="J300" i="105"/>
  <c r="K300" i="105"/>
  <c r="L300" i="105"/>
  <c r="O300" i="105"/>
  <c r="I301" i="105"/>
  <c r="I302" i="105"/>
  <c r="I304" i="105"/>
  <c r="I305" i="105"/>
  <c r="I306" i="105"/>
  <c r="J306" i="105"/>
  <c r="K306" i="105"/>
  <c r="O306" i="105"/>
  <c r="I310" i="105"/>
  <c r="I312" i="105"/>
  <c r="I313" i="105"/>
  <c r="I314" i="105"/>
  <c r="I315" i="105"/>
  <c r="I316" i="105"/>
  <c r="J316" i="105"/>
  <c r="I317" i="105"/>
  <c r="J317" i="105"/>
  <c r="I318" i="105"/>
  <c r="I319" i="105"/>
  <c r="J319" i="105"/>
  <c r="K319" i="105"/>
  <c r="O319" i="105"/>
  <c r="I320" i="105"/>
  <c r="J320" i="105"/>
  <c r="K320" i="105"/>
  <c r="O320" i="105"/>
  <c r="I321" i="105"/>
  <c r="I322" i="105"/>
  <c r="I323" i="105"/>
  <c r="J323" i="105"/>
  <c r="I324" i="105"/>
  <c r="J324" i="105"/>
  <c r="I325" i="105"/>
  <c r="I327" i="105"/>
  <c r="I328" i="105"/>
  <c r="J328" i="105"/>
  <c r="K328" i="105"/>
  <c r="O328" i="105"/>
  <c r="I329" i="105"/>
  <c r="J329" i="105"/>
  <c r="K329" i="105"/>
  <c r="O329" i="105"/>
  <c r="I330" i="105"/>
  <c r="J330" i="105"/>
  <c r="K330" i="105"/>
  <c r="O330" i="105"/>
  <c r="I331" i="105"/>
  <c r="I332" i="105"/>
  <c r="I333" i="105"/>
  <c r="I334" i="105"/>
  <c r="J334" i="105"/>
  <c r="I335" i="105"/>
  <c r="J335" i="105"/>
  <c r="I336" i="105"/>
  <c r="J336" i="105"/>
  <c r="I337" i="105"/>
  <c r="I338" i="105"/>
  <c r="I339" i="105"/>
  <c r="I340" i="105"/>
  <c r="I341" i="105"/>
  <c r="I342" i="105"/>
  <c r="I343" i="105"/>
  <c r="I344" i="105"/>
  <c r="J344" i="105"/>
  <c r="K344" i="105"/>
  <c r="O344" i="105"/>
  <c r="I345" i="105"/>
  <c r="J345" i="105"/>
  <c r="K345" i="105"/>
  <c r="O345" i="105"/>
  <c r="I346" i="105"/>
  <c r="J346" i="105"/>
  <c r="K346" i="105"/>
  <c r="O346" i="105"/>
  <c r="I347" i="105"/>
  <c r="J347" i="105"/>
  <c r="K347" i="105"/>
  <c r="O347" i="105"/>
  <c r="I348" i="105"/>
  <c r="J348" i="105"/>
  <c r="I349" i="105"/>
  <c r="J349" i="105"/>
  <c r="I350" i="105"/>
  <c r="J350" i="105"/>
  <c r="I351" i="105"/>
  <c r="J351" i="105"/>
  <c r="I352" i="105"/>
  <c r="J352" i="105"/>
  <c r="K352" i="105"/>
  <c r="L352" i="105"/>
  <c r="M352" i="105"/>
  <c r="O352" i="105"/>
  <c r="X352" i="105"/>
  <c r="I353" i="105"/>
  <c r="J353" i="105"/>
  <c r="K353" i="105"/>
  <c r="L353" i="105"/>
  <c r="M353" i="105"/>
  <c r="N353" i="105"/>
  <c r="O353" i="105"/>
  <c r="I354" i="105"/>
  <c r="J354" i="105"/>
  <c r="K354" i="105"/>
  <c r="L354" i="105"/>
  <c r="M354" i="105"/>
  <c r="N354" i="105"/>
  <c r="O354" i="105"/>
  <c r="I4" i="104"/>
  <c r="I5" i="104"/>
  <c r="J5" i="104"/>
  <c r="K5" i="104"/>
  <c r="L5" i="104"/>
  <c r="O5" i="104"/>
  <c r="I6" i="104"/>
  <c r="J6" i="104"/>
  <c r="K6" i="104"/>
  <c r="L6" i="104"/>
  <c r="O6" i="104"/>
  <c r="I7" i="104"/>
  <c r="J7" i="104"/>
  <c r="K7" i="104"/>
  <c r="L7" i="104"/>
  <c r="O7" i="104"/>
  <c r="I8" i="104"/>
  <c r="J8" i="104"/>
  <c r="O8" i="104"/>
  <c r="I9" i="104"/>
  <c r="J9" i="104"/>
  <c r="O9" i="104"/>
  <c r="I10" i="104"/>
  <c r="J10" i="104"/>
  <c r="O10" i="104"/>
  <c r="I11" i="104"/>
  <c r="J11" i="104"/>
  <c r="O11" i="104"/>
  <c r="I12" i="104"/>
  <c r="J12" i="104"/>
  <c r="O12" i="104"/>
  <c r="I21" i="104"/>
  <c r="J21" i="104"/>
  <c r="K21" i="104"/>
  <c r="L21" i="104"/>
  <c r="O21" i="104"/>
  <c r="I22" i="104"/>
  <c r="J22" i="104"/>
  <c r="K22" i="104"/>
  <c r="O22" i="104"/>
  <c r="I23" i="104"/>
  <c r="J23" i="104"/>
  <c r="K23" i="104"/>
  <c r="L23" i="104"/>
  <c r="O23" i="104"/>
  <c r="I24" i="104"/>
  <c r="J24" i="104"/>
  <c r="K24" i="104"/>
  <c r="L24" i="104"/>
  <c r="O24" i="104"/>
  <c r="I25" i="104"/>
  <c r="J25" i="104"/>
  <c r="K25" i="104"/>
  <c r="L25" i="104"/>
  <c r="O25" i="104"/>
  <c r="I26" i="104"/>
  <c r="J26" i="104"/>
  <c r="K26" i="104"/>
  <c r="L26" i="104"/>
  <c r="O26" i="104"/>
  <c r="P32" i="104"/>
  <c r="I35" i="104"/>
  <c r="I36" i="104"/>
  <c r="I37" i="104"/>
  <c r="I38" i="104"/>
  <c r="I39" i="104"/>
  <c r="I40" i="104"/>
  <c r="I41" i="104"/>
  <c r="I42" i="104"/>
  <c r="I43" i="104"/>
  <c r="I44" i="104"/>
  <c r="I45" i="104"/>
  <c r="J45" i="104"/>
  <c r="O45" i="104"/>
  <c r="I46" i="104"/>
  <c r="J46" i="104"/>
  <c r="O46" i="104"/>
  <c r="I47" i="104"/>
  <c r="J47" i="104"/>
  <c r="O47" i="104"/>
  <c r="I48" i="104"/>
  <c r="J48" i="104"/>
  <c r="O48" i="104"/>
  <c r="I49" i="104"/>
  <c r="J49" i="104"/>
  <c r="O49" i="104"/>
  <c r="I50" i="104"/>
  <c r="J50" i="104"/>
  <c r="O50" i="104"/>
  <c r="I51" i="104"/>
  <c r="J51" i="104"/>
  <c r="O51" i="104"/>
  <c r="I52" i="104"/>
  <c r="J52" i="104"/>
  <c r="O52" i="104"/>
  <c r="I53" i="104"/>
  <c r="J53" i="104"/>
  <c r="O53" i="104"/>
  <c r="I54" i="104"/>
  <c r="J54" i="104"/>
  <c r="O54" i="104"/>
  <c r="I55" i="104"/>
  <c r="J55" i="104"/>
  <c r="O55" i="104"/>
  <c r="I56" i="104"/>
  <c r="J56" i="104"/>
  <c r="O56" i="104"/>
  <c r="I57" i="104"/>
  <c r="J57" i="104"/>
  <c r="O57" i="104"/>
  <c r="I58" i="104"/>
  <c r="J58" i="104"/>
  <c r="O58" i="104"/>
  <c r="I59" i="104"/>
  <c r="J59" i="104"/>
  <c r="O59" i="104"/>
  <c r="I60" i="104"/>
  <c r="J60" i="104"/>
  <c r="O60" i="104"/>
  <c r="I61" i="104"/>
  <c r="J61" i="104"/>
  <c r="O61" i="104"/>
  <c r="I62" i="104"/>
  <c r="J62" i="104"/>
  <c r="O62" i="104"/>
  <c r="I63" i="104"/>
  <c r="J63" i="104"/>
  <c r="O63" i="104"/>
  <c r="I64" i="104"/>
  <c r="J64" i="104"/>
  <c r="O64" i="104"/>
  <c r="I65" i="104"/>
  <c r="J65" i="104"/>
  <c r="O65" i="104"/>
  <c r="I66" i="104"/>
  <c r="J66" i="104"/>
  <c r="O66" i="104"/>
  <c r="I67" i="104"/>
  <c r="J67" i="104"/>
  <c r="O67" i="104"/>
  <c r="I68" i="104"/>
  <c r="J68" i="104"/>
  <c r="O68" i="104"/>
  <c r="I69" i="104"/>
  <c r="J69" i="104"/>
  <c r="O69" i="104"/>
  <c r="I70" i="104"/>
  <c r="J70" i="104"/>
  <c r="O70" i="104"/>
  <c r="I71" i="104"/>
  <c r="J71" i="104"/>
  <c r="O71" i="104"/>
  <c r="I72" i="104"/>
  <c r="J72" i="104"/>
  <c r="O72" i="104"/>
  <c r="I73" i="104"/>
  <c r="J73" i="104"/>
  <c r="O73" i="104"/>
  <c r="I74" i="104"/>
  <c r="J74" i="104"/>
  <c r="O74" i="104"/>
  <c r="I75" i="104"/>
  <c r="J75" i="104"/>
  <c r="O75" i="104"/>
  <c r="I76" i="104"/>
  <c r="J76" i="104"/>
  <c r="O76" i="104"/>
  <c r="I77" i="104"/>
  <c r="J77" i="104"/>
  <c r="O77" i="104"/>
  <c r="I78" i="104"/>
  <c r="J78" i="104"/>
  <c r="O78" i="104"/>
  <c r="I79" i="104"/>
  <c r="J79" i="104"/>
  <c r="O79" i="104"/>
  <c r="I80" i="104"/>
  <c r="J80" i="104"/>
  <c r="O80" i="104"/>
  <c r="I81" i="104"/>
  <c r="J81" i="104"/>
  <c r="O81" i="104"/>
  <c r="I82" i="104"/>
  <c r="J82" i="104"/>
  <c r="O82" i="104"/>
  <c r="I83" i="104"/>
  <c r="J83" i="104"/>
  <c r="O83" i="104"/>
  <c r="I84" i="104"/>
  <c r="J84" i="104"/>
  <c r="O84" i="104"/>
  <c r="I85" i="104"/>
  <c r="J85" i="104"/>
  <c r="O85" i="104"/>
  <c r="I86" i="104"/>
  <c r="J86" i="104"/>
  <c r="O86" i="104"/>
  <c r="I87" i="104"/>
  <c r="J87" i="104"/>
  <c r="O87" i="104"/>
  <c r="I88" i="104"/>
  <c r="J88" i="104"/>
  <c r="O88" i="104"/>
  <c r="I89" i="104"/>
  <c r="J89" i="104"/>
  <c r="O89" i="104"/>
  <c r="I90" i="104"/>
  <c r="J90" i="104"/>
  <c r="O90" i="104"/>
  <c r="I91" i="104"/>
  <c r="J91" i="104"/>
  <c r="O91" i="104"/>
  <c r="I92" i="104"/>
  <c r="J92" i="104"/>
  <c r="O92" i="104"/>
  <c r="I93" i="104"/>
  <c r="J93" i="104"/>
  <c r="O93" i="104"/>
  <c r="I94" i="104"/>
  <c r="J94" i="104"/>
  <c r="O94" i="104"/>
  <c r="I95" i="104"/>
  <c r="J95" i="104"/>
  <c r="O95" i="104"/>
  <c r="I96" i="104"/>
  <c r="J96" i="104"/>
  <c r="O96" i="104"/>
  <c r="I97" i="104"/>
  <c r="J97" i="104"/>
  <c r="O97" i="104"/>
  <c r="I98" i="104"/>
  <c r="J98" i="104"/>
  <c r="O98" i="104"/>
  <c r="I99" i="104"/>
  <c r="J99" i="104"/>
  <c r="O99" i="104"/>
  <c r="I100" i="104"/>
  <c r="J100" i="104"/>
  <c r="O100" i="104"/>
  <c r="P100" i="104"/>
  <c r="I101" i="104"/>
  <c r="J101" i="104"/>
  <c r="O101" i="104"/>
  <c r="I102" i="104"/>
  <c r="J102" i="104"/>
  <c r="O102" i="104"/>
  <c r="I103" i="104"/>
  <c r="J103" i="104"/>
  <c r="O103" i="104"/>
  <c r="I104" i="104"/>
  <c r="J104" i="104"/>
  <c r="O104" i="104"/>
  <c r="I105" i="104"/>
  <c r="J105" i="104"/>
  <c r="O105" i="104"/>
  <c r="I106" i="104"/>
  <c r="J106" i="104"/>
  <c r="O106" i="104"/>
  <c r="I107" i="104"/>
  <c r="J107" i="104"/>
  <c r="O107" i="104"/>
  <c r="I108" i="104"/>
  <c r="J108" i="104"/>
  <c r="O108" i="104"/>
  <c r="I109" i="104"/>
  <c r="J109" i="104"/>
  <c r="O109" i="104"/>
  <c r="I110" i="104"/>
  <c r="J110" i="104"/>
  <c r="O110" i="104"/>
  <c r="I111" i="104"/>
  <c r="J111" i="104"/>
  <c r="O111" i="104"/>
  <c r="I112" i="104"/>
  <c r="J112" i="104"/>
  <c r="O112" i="104"/>
  <c r="I113" i="104"/>
  <c r="J113" i="104"/>
  <c r="O113" i="104"/>
  <c r="I114" i="104"/>
  <c r="J114" i="104"/>
  <c r="O114" i="104"/>
  <c r="I115" i="104"/>
  <c r="J115" i="104"/>
  <c r="O115" i="104"/>
  <c r="I116" i="104"/>
  <c r="J116" i="104"/>
  <c r="O116" i="104"/>
  <c r="I117" i="104"/>
  <c r="J117" i="104"/>
  <c r="O117" i="104"/>
  <c r="I118" i="104"/>
  <c r="J118" i="104"/>
  <c r="O118" i="104"/>
  <c r="I119" i="104"/>
  <c r="J119" i="104"/>
  <c r="O119" i="104"/>
  <c r="I120" i="104"/>
  <c r="J120" i="104"/>
  <c r="O120" i="104"/>
  <c r="I121" i="104"/>
  <c r="J121" i="104"/>
  <c r="O121" i="104"/>
  <c r="I122" i="104"/>
  <c r="J122" i="104"/>
  <c r="O122" i="104"/>
  <c r="I123" i="104"/>
  <c r="J123" i="104"/>
  <c r="O123" i="104"/>
  <c r="I124" i="104"/>
  <c r="J124" i="104"/>
  <c r="O124" i="104"/>
  <c r="I125" i="104"/>
  <c r="J125" i="104"/>
  <c r="O125" i="104"/>
  <c r="I126" i="104"/>
  <c r="J126" i="104"/>
  <c r="O126" i="104"/>
  <c r="I127" i="104"/>
  <c r="J127" i="104"/>
  <c r="O127" i="104"/>
  <c r="I128" i="104"/>
  <c r="J128" i="104"/>
  <c r="O128" i="104"/>
  <c r="I129" i="104"/>
  <c r="J129" i="104"/>
  <c r="O129" i="104"/>
  <c r="I130" i="104"/>
  <c r="J130" i="104"/>
  <c r="O130" i="104"/>
  <c r="I131" i="104"/>
  <c r="J131" i="104"/>
  <c r="O131" i="104"/>
  <c r="I132" i="104"/>
  <c r="J132" i="104"/>
  <c r="O132" i="104"/>
  <c r="I133" i="104"/>
  <c r="J133" i="104"/>
  <c r="O133" i="104"/>
  <c r="P133" i="104"/>
  <c r="I134" i="104"/>
  <c r="J134" i="104"/>
  <c r="O134" i="104"/>
  <c r="I135" i="104"/>
  <c r="J135" i="104"/>
  <c r="O135" i="104"/>
  <c r="I136" i="104"/>
  <c r="J136" i="104"/>
  <c r="O136" i="104"/>
  <c r="I137" i="104"/>
  <c r="J137" i="104"/>
  <c r="O137" i="104"/>
  <c r="I138" i="104"/>
  <c r="J138" i="104"/>
  <c r="O138" i="104"/>
  <c r="I139" i="104"/>
  <c r="J139" i="104"/>
  <c r="O139" i="104"/>
  <c r="I140" i="104"/>
  <c r="J140" i="104"/>
  <c r="O140" i="104"/>
  <c r="I141" i="104"/>
  <c r="J141" i="104"/>
  <c r="O141" i="104"/>
  <c r="I142" i="104"/>
  <c r="J142" i="104"/>
  <c r="O142" i="104"/>
  <c r="I143" i="104"/>
  <c r="J143" i="104"/>
  <c r="O143" i="104"/>
  <c r="I144" i="104"/>
  <c r="J144" i="104"/>
  <c r="O144" i="104"/>
  <c r="I145" i="104"/>
  <c r="J145" i="104"/>
  <c r="O145" i="104"/>
  <c r="I146" i="104"/>
  <c r="J146" i="104"/>
  <c r="O146" i="104"/>
  <c r="I147" i="104"/>
  <c r="J147" i="104"/>
  <c r="O147" i="104"/>
  <c r="I148" i="104"/>
  <c r="J148" i="104"/>
  <c r="O148" i="104"/>
  <c r="I149" i="104"/>
  <c r="J149" i="104"/>
  <c r="O149" i="104"/>
  <c r="I150" i="104"/>
  <c r="J150" i="104"/>
  <c r="O150" i="104"/>
  <c r="Q155" i="104"/>
  <c r="I156" i="104"/>
  <c r="I157" i="104"/>
  <c r="I158" i="104"/>
  <c r="I159" i="104"/>
  <c r="I160" i="104"/>
  <c r="I161" i="104"/>
  <c r="I162" i="104"/>
  <c r="P165" i="104"/>
  <c r="P173" i="104"/>
  <c r="I185" i="104"/>
  <c r="I186" i="104"/>
  <c r="I187" i="104"/>
  <c r="I188" i="104"/>
  <c r="I189" i="104"/>
  <c r="P189" i="104"/>
  <c r="I190" i="104"/>
  <c r="I191" i="104"/>
  <c r="I192" i="104"/>
  <c r="I193" i="104"/>
  <c r="Q193" i="104"/>
  <c r="I194" i="104"/>
  <c r="I195" i="104"/>
  <c r="I196" i="104"/>
  <c r="Q210" i="104"/>
  <c r="I211" i="104"/>
  <c r="J211" i="104"/>
  <c r="K211" i="104"/>
  <c r="L211" i="104"/>
  <c r="M211" i="104"/>
  <c r="N211" i="104"/>
  <c r="O211" i="104"/>
  <c r="I212" i="104"/>
  <c r="J212" i="104"/>
  <c r="K212" i="104"/>
  <c r="L212" i="104"/>
  <c r="M212" i="104"/>
  <c r="N212" i="104"/>
  <c r="O212" i="104"/>
  <c r="I213" i="104"/>
  <c r="J213" i="104"/>
  <c r="K213" i="104"/>
  <c r="L213" i="104"/>
  <c r="M213" i="104"/>
  <c r="N213" i="104"/>
  <c r="O213" i="104"/>
  <c r="I214" i="104"/>
  <c r="J214" i="104"/>
  <c r="K214" i="104"/>
  <c r="L214" i="104"/>
  <c r="M214" i="104"/>
  <c r="N214" i="104"/>
  <c r="O214" i="104"/>
  <c r="I215" i="104"/>
  <c r="J215" i="104"/>
  <c r="K215" i="104"/>
  <c r="L215" i="104"/>
  <c r="M215" i="104"/>
  <c r="N215" i="104"/>
  <c r="O215" i="104"/>
  <c r="I216" i="104"/>
  <c r="J216" i="104"/>
  <c r="K216" i="104"/>
  <c r="O216" i="104"/>
  <c r="I217" i="104"/>
  <c r="J217" i="104"/>
  <c r="K217" i="104"/>
  <c r="O217" i="104"/>
  <c r="I218" i="104"/>
  <c r="J218" i="104"/>
  <c r="K218" i="104"/>
  <c r="O218" i="104"/>
  <c r="I219" i="104"/>
  <c r="J219" i="104"/>
  <c r="K219" i="104"/>
  <c r="O219" i="104"/>
  <c r="I220" i="104"/>
  <c r="J220" i="104"/>
  <c r="K220" i="104"/>
  <c r="O220" i="104"/>
  <c r="I221" i="104"/>
  <c r="J221" i="104"/>
  <c r="O221" i="104"/>
  <c r="I222" i="104"/>
  <c r="J222" i="104"/>
  <c r="O222" i="104"/>
  <c r="I223" i="104"/>
  <c r="J223" i="104"/>
  <c r="O223" i="104"/>
  <c r="I224" i="104"/>
  <c r="J224" i="104"/>
  <c r="O224" i="104"/>
  <c r="I225" i="104"/>
  <c r="J225" i="104"/>
  <c r="K225" i="104"/>
  <c r="L225" i="104"/>
  <c r="O225" i="104"/>
  <c r="I226" i="104"/>
  <c r="J226" i="104"/>
  <c r="K226" i="104"/>
  <c r="L226" i="104"/>
  <c r="O226" i="104"/>
  <c r="I227" i="104"/>
  <c r="Q227" i="104"/>
  <c r="I228" i="104"/>
  <c r="I229" i="104"/>
  <c r="I230" i="104"/>
  <c r="I237" i="104"/>
  <c r="J237" i="104"/>
  <c r="K237" i="104"/>
  <c r="L237" i="104"/>
  <c r="O237" i="104"/>
  <c r="I238" i="104"/>
  <c r="J238" i="104"/>
  <c r="K238" i="104"/>
  <c r="L238" i="104"/>
  <c r="O238" i="104"/>
  <c r="I239" i="104"/>
  <c r="J239" i="104"/>
  <c r="O239" i="104"/>
  <c r="I240" i="104"/>
  <c r="J240" i="104"/>
  <c r="K240" i="104"/>
  <c r="O240" i="104"/>
  <c r="I245" i="104"/>
  <c r="J245" i="104"/>
  <c r="O245" i="104"/>
  <c r="I246" i="104"/>
  <c r="J246" i="104"/>
  <c r="O246" i="104"/>
  <c r="I247" i="104"/>
  <c r="J247" i="104"/>
  <c r="O247" i="104"/>
  <c r="I248" i="104"/>
  <c r="J248" i="104"/>
  <c r="O248" i="104"/>
  <c r="I249" i="104"/>
  <c r="J249" i="104"/>
  <c r="O249" i="104"/>
  <c r="I250" i="104"/>
  <c r="J250" i="104"/>
  <c r="O250" i="104"/>
  <c r="I251" i="104"/>
  <c r="J251" i="104"/>
  <c r="O251" i="104"/>
  <c r="I252" i="104"/>
  <c r="J252" i="104"/>
  <c r="O252" i="104"/>
  <c r="I253" i="104"/>
  <c r="J253" i="104"/>
  <c r="K253" i="104"/>
  <c r="O253" i="104"/>
  <c r="I254" i="104"/>
  <c r="J254" i="104"/>
  <c r="K254" i="104"/>
  <c r="O254" i="104"/>
  <c r="I255" i="104"/>
  <c r="J255" i="104"/>
  <c r="K255" i="104"/>
  <c r="O255" i="104"/>
  <c r="I256" i="104"/>
  <c r="J256" i="104"/>
  <c r="K256" i="104"/>
  <c r="O256" i="104"/>
  <c r="I257" i="104"/>
  <c r="J257" i="104"/>
  <c r="K257" i="104"/>
  <c r="O257" i="104"/>
  <c r="I259" i="104"/>
  <c r="J259" i="104"/>
  <c r="K259" i="104"/>
  <c r="L259" i="104"/>
  <c r="O259" i="104"/>
  <c r="I260" i="104"/>
  <c r="J260" i="104"/>
  <c r="K260" i="104"/>
  <c r="L260" i="104"/>
  <c r="O260" i="104"/>
  <c r="I261" i="104"/>
  <c r="J261" i="104"/>
  <c r="K261" i="104"/>
  <c r="L261" i="104"/>
  <c r="O261" i="104"/>
  <c r="Q261" i="104"/>
  <c r="T261" i="104" s="1"/>
  <c r="I262" i="104"/>
  <c r="J262" i="104"/>
  <c r="K262" i="104"/>
  <c r="L262" i="104"/>
  <c r="O262" i="104"/>
  <c r="P265" i="104"/>
  <c r="Q266" i="104"/>
  <c r="I269" i="104"/>
  <c r="I270" i="104"/>
  <c r="I271" i="104"/>
  <c r="I274" i="104"/>
  <c r="J274" i="104"/>
  <c r="O274" i="104"/>
  <c r="I275" i="104"/>
  <c r="J275" i="104"/>
  <c r="O275" i="104"/>
  <c r="I276" i="104"/>
  <c r="J276" i="104"/>
  <c r="O276" i="104"/>
  <c r="I277" i="104"/>
  <c r="J277" i="104"/>
  <c r="O277" i="104"/>
  <c r="I278" i="104"/>
  <c r="J278" i="104"/>
  <c r="O278" i="104"/>
  <c r="P279" i="104"/>
  <c r="I282" i="104"/>
  <c r="J282" i="104"/>
  <c r="K282" i="104"/>
  <c r="L282" i="104"/>
  <c r="O282" i="104"/>
  <c r="I284" i="104"/>
  <c r="J284" i="104"/>
  <c r="O284" i="104"/>
  <c r="P284" i="104"/>
  <c r="I285" i="104"/>
  <c r="J285" i="104"/>
  <c r="O285" i="104"/>
  <c r="I286" i="104"/>
  <c r="J286" i="104"/>
  <c r="O286" i="104"/>
  <c r="I287" i="104"/>
  <c r="J287" i="104"/>
  <c r="O287" i="104"/>
  <c r="I288" i="104"/>
  <c r="J288" i="104"/>
  <c r="O288" i="104"/>
  <c r="I289" i="104"/>
  <c r="J289" i="104"/>
  <c r="O289" i="104"/>
  <c r="I290" i="104"/>
  <c r="J290" i="104"/>
  <c r="O290" i="104"/>
  <c r="I291" i="104"/>
  <c r="J291" i="104"/>
  <c r="K291" i="104"/>
  <c r="L291" i="104"/>
  <c r="O291" i="104"/>
  <c r="I294" i="104"/>
  <c r="J294" i="104"/>
  <c r="K294" i="104"/>
  <c r="L294" i="104"/>
  <c r="M294" i="104"/>
  <c r="O294" i="104"/>
  <c r="I295" i="104"/>
  <c r="J295" i="104"/>
  <c r="K295" i="104"/>
  <c r="L295" i="104"/>
  <c r="O295" i="104"/>
  <c r="I296" i="104"/>
  <c r="J296" i="104"/>
  <c r="K296" i="104"/>
  <c r="L296" i="104"/>
  <c r="O296" i="104"/>
  <c r="I297" i="104"/>
  <c r="J297" i="104"/>
  <c r="K297" i="104"/>
  <c r="L297" i="104"/>
  <c r="O297" i="104"/>
  <c r="I299" i="104"/>
  <c r="J299" i="104"/>
  <c r="K299" i="104"/>
  <c r="L299" i="104"/>
  <c r="O299" i="104"/>
  <c r="I300" i="104"/>
  <c r="J300" i="104"/>
  <c r="K300" i="104"/>
  <c r="L300" i="104"/>
  <c r="O300" i="104"/>
  <c r="Q300" i="104"/>
  <c r="T300" i="104" s="1"/>
  <c r="I301" i="104"/>
  <c r="I302" i="104"/>
  <c r="I304" i="104"/>
  <c r="I305" i="104"/>
  <c r="I306" i="104"/>
  <c r="J306" i="104"/>
  <c r="K306" i="104"/>
  <c r="O306" i="104"/>
  <c r="I310" i="104"/>
  <c r="I312" i="104"/>
  <c r="I313" i="104"/>
  <c r="I314" i="104"/>
  <c r="I315" i="104"/>
  <c r="I316" i="104"/>
  <c r="J316" i="104"/>
  <c r="O316" i="104"/>
  <c r="I317" i="104"/>
  <c r="J317" i="104"/>
  <c r="O317" i="104"/>
  <c r="I318" i="104"/>
  <c r="I319" i="104"/>
  <c r="J319" i="104"/>
  <c r="K319" i="104"/>
  <c r="O319" i="104"/>
  <c r="I320" i="104"/>
  <c r="J320" i="104"/>
  <c r="K320" i="104"/>
  <c r="O320" i="104"/>
  <c r="I321" i="104"/>
  <c r="I322" i="104"/>
  <c r="I323" i="104"/>
  <c r="J323" i="104"/>
  <c r="O323" i="104"/>
  <c r="I324" i="104"/>
  <c r="J324" i="104"/>
  <c r="O324" i="104"/>
  <c r="I325" i="104"/>
  <c r="I327" i="104"/>
  <c r="I328" i="104"/>
  <c r="J328" i="104"/>
  <c r="K328" i="104"/>
  <c r="O328" i="104"/>
  <c r="I329" i="104"/>
  <c r="J329" i="104"/>
  <c r="K329" i="104"/>
  <c r="O329" i="104"/>
  <c r="I330" i="104"/>
  <c r="J330" i="104"/>
  <c r="K330" i="104"/>
  <c r="O330" i="104"/>
  <c r="I331" i="104"/>
  <c r="I332" i="104"/>
  <c r="I333" i="104"/>
  <c r="I334" i="104"/>
  <c r="J334" i="104"/>
  <c r="O334" i="104"/>
  <c r="I335" i="104"/>
  <c r="J335" i="104"/>
  <c r="O335" i="104"/>
  <c r="I336" i="104"/>
  <c r="J336" i="104"/>
  <c r="O336" i="104"/>
  <c r="I337" i="104"/>
  <c r="I338" i="104"/>
  <c r="I339" i="104"/>
  <c r="I340" i="104"/>
  <c r="I341" i="104"/>
  <c r="I342" i="104"/>
  <c r="I343" i="104"/>
  <c r="I344" i="104"/>
  <c r="J344" i="104"/>
  <c r="K344" i="104"/>
  <c r="O344" i="104"/>
  <c r="I345" i="104"/>
  <c r="J345" i="104"/>
  <c r="K345" i="104"/>
  <c r="O345" i="104"/>
  <c r="I346" i="104"/>
  <c r="J346" i="104"/>
  <c r="K346" i="104"/>
  <c r="O346" i="104"/>
  <c r="I347" i="104"/>
  <c r="J347" i="104"/>
  <c r="K347" i="104"/>
  <c r="O347" i="104"/>
  <c r="I348" i="104"/>
  <c r="J348" i="104"/>
  <c r="O348" i="104"/>
  <c r="I349" i="104"/>
  <c r="J349" i="104"/>
  <c r="O349" i="104"/>
  <c r="I350" i="104"/>
  <c r="J350" i="104"/>
  <c r="O350" i="104"/>
  <c r="I351" i="104"/>
  <c r="J351" i="104"/>
  <c r="O351" i="104"/>
  <c r="I352" i="104"/>
  <c r="J352" i="104"/>
  <c r="K352" i="104"/>
  <c r="L352" i="104"/>
  <c r="M352" i="104"/>
  <c r="O352" i="104"/>
  <c r="X352" i="104"/>
  <c r="I353" i="104"/>
  <c r="J353" i="104"/>
  <c r="K353" i="104"/>
  <c r="L353" i="104"/>
  <c r="M353" i="104"/>
  <c r="N353" i="104"/>
  <c r="O353" i="104"/>
  <c r="I354" i="104"/>
  <c r="J354" i="104"/>
  <c r="K354" i="104"/>
  <c r="L354" i="104"/>
  <c r="M354" i="104"/>
  <c r="N354" i="104"/>
  <c r="O354" i="104"/>
  <c r="I4" i="98"/>
  <c r="O4" i="98"/>
  <c r="I5" i="98"/>
  <c r="J5" i="98"/>
  <c r="K5" i="98"/>
  <c r="L5" i="98"/>
  <c r="O5" i="98"/>
  <c r="I6" i="98"/>
  <c r="J6" i="98"/>
  <c r="K6" i="98"/>
  <c r="L6" i="98"/>
  <c r="O6" i="98"/>
  <c r="I7" i="98"/>
  <c r="J7" i="98"/>
  <c r="K7" i="98"/>
  <c r="L7" i="98"/>
  <c r="O7" i="98"/>
  <c r="I8" i="98"/>
  <c r="J8" i="98"/>
  <c r="O8" i="98"/>
  <c r="I9" i="98"/>
  <c r="J9" i="98"/>
  <c r="O9" i="98"/>
  <c r="Q9" i="104"/>
  <c r="T9" i="104" s="1"/>
  <c r="I10" i="98"/>
  <c r="J10" i="98"/>
  <c r="O10" i="98"/>
  <c r="I11" i="98"/>
  <c r="J11" i="98"/>
  <c r="O11" i="98"/>
  <c r="Q11" i="105"/>
  <c r="I12" i="98"/>
  <c r="J12" i="98"/>
  <c r="O12" i="98"/>
  <c r="P15" i="105"/>
  <c r="P16" i="104"/>
  <c r="R18" i="98"/>
  <c r="I21" i="98"/>
  <c r="J21" i="98"/>
  <c r="K21" i="98"/>
  <c r="L21" i="98"/>
  <c r="O21" i="98"/>
  <c r="T21" i="98" s="1"/>
  <c r="I22" i="98"/>
  <c r="J22" i="98"/>
  <c r="K22" i="98"/>
  <c r="O22" i="98"/>
  <c r="I23" i="98"/>
  <c r="J23" i="98"/>
  <c r="K23" i="98"/>
  <c r="L23" i="98"/>
  <c r="O23" i="98"/>
  <c r="Q23" i="104"/>
  <c r="I24" i="98"/>
  <c r="J24" i="98"/>
  <c r="K24" i="98"/>
  <c r="L24" i="98"/>
  <c r="O24" i="98"/>
  <c r="I25" i="98"/>
  <c r="J25" i="98"/>
  <c r="K25" i="98"/>
  <c r="L25" i="98"/>
  <c r="O25" i="98"/>
  <c r="I26" i="98"/>
  <c r="J26" i="98"/>
  <c r="K26" i="98"/>
  <c r="L26" i="98"/>
  <c r="O26" i="98"/>
  <c r="Q26" i="104"/>
  <c r="R29" i="98"/>
  <c r="Q31" i="106"/>
  <c r="Q33" i="104"/>
  <c r="R34" i="98"/>
  <c r="I35" i="98"/>
  <c r="O35" i="98"/>
  <c r="I36" i="98"/>
  <c r="O36" i="98"/>
  <c r="I37" i="98"/>
  <c r="O37" i="98"/>
  <c r="I38" i="98"/>
  <c r="O38" i="98"/>
  <c r="S38" i="98" s="1"/>
  <c r="Q38" i="105"/>
  <c r="I39" i="98"/>
  <c r="O39" i="98"/>
  <c r="I40" i="98"/>
  <c r="O40" i="98"/>
  <c r="P40" i="104"/>
  <c r="I41" i="98"/>
  <c r="O41" i="98"/>
  <c r="Q41" i="104"/>
  <c r="I42" i="98"/>
  <c r="O42" i="98"/>
  <c r="Q42" i="104"/>
  <c r="I43" i="98"/>
  <c r="O43" i="98"/>
  <c r="I44" i="98"/>
  <c r="O44" i="98"/>
  <c r="S44" i="98" s="1"/>
  <c r="I45" i="98"/>
  <c r="J45" i="98"/>
  <c r="O45" i="98"/>
  <c r="T45" i="98" s="1"/>
  <c r="I46" i="98"/>
  <c r="J46" i="98"/>
  <c r="O46" i="98"/>
  <c r="P46" i="104"/>
  <c r="I47" i="98"/>
  <c r="J47" i="98"/>
  <c r="O47" i="98"/>
  <c r="P47" i="104"/>
  <c r="S47" i="104" s="1"/>
  <c r="I48" i="98"/>
  <c r="J48" i="98"/>
  <c r="O48" i="98"/>
  <c r="I49" i="98"/>
  <c r="J49" i="98"/>
  <c r="O49" i="98"/>
  <c r="Q49" i="106"/>
  <c r="I50" i="98"/>
  <c r="J50" i="98"/>
  <c r="O50" i="98"/>
  <c r="I51" i="98"/>
  <c r="J51" i="98"/>
  <c r="O51" i="98"/>
  <c r="I52" i="98"/>
  <c r="J52" i="98"/>
  <c r="O52" i="98"/>
  <c r="Q52" i="105"/>
  <c r="I53" i="98"/>
  <c r="J53" i="98"/>
  <c r="O53" i="98"/>
  <c r="P53" i="104"/>
  <c r="I54" i="98"/>
  <c r="J54" i="98"/>
  <c r="O54" i="98"/>
  <c r="I55" i="98"/>
  <c r="J55" i="98"/>
  <c r="O55" i="98"/>
  <c r="I56" i="98"/>
  <c r="J56" i="98"/>
  <c r="O56" i="98"/>
  <c r="T56" i="98" s="1"/>
  <c r="Q56" i="104"/>
  <c r="I57" i="98"/>
  <c r="J57" i="98"/>
  <c r="O57" i="98"/>
  <c r="I58" i="98"/>
  <c r="J58" i="98"/>
  <c r="O58" i="98"/>
  <c r="T58" i="98" s="1"/>
  <c r="I59" i="98"/>
  <c r="J59" i="98"/>
  <c r="O59" i="98"/>
  <c r="I60" i="98"/>
  <c r="J60" i="98"/>
  <c r="O60" i="98"/>
  <c r="I61" i="98"/>
  <c r="J61" i="98"/>
  <c r="O61" i="98"/>
  <c r="S61" i="98" s="1"/>
  <c r="I62" i="98"/>
  <c r="J62" i="98"/>
  <c r="O62" i="98"/>
  <c r="R62" i="98"/>
  <c r="I63" i="98"/>
  <c r="J63" i="98"/>
  <c r="O63" i="98"/>
  <c r="P63" i="104"/>
  <c r="I64" i="98"/>
  <c r="J64" i="98"/>
  <c r="O64" i="98"/>
  <c r="I65" i="98"/>
  <c r="J65" i="98"/>
  <c r="O65" i="98"/>
  <c r="Q65" i="104"/>
  <c r="I66" i="98"/>
  <c r="J66" i="98"/>
  <c r="O66" i="98"/>
  <c r="I67" i="98"/>
  <c r="J67" i="98"/>
  <c r="O67" i="98"/>
  <c r="Q67" i="104"/>
  <c r="I68" i="98"/>
  <c r="J68" i="98"/>
  <c r="O68" i="98"/>
  <c r="I69" i="98"/>
  <c r="J69" i="98"/>
  <c r="O69" i="98"/>
  <c r="I70" i="98"/>
  <c r="J70" i="98"/>
  <c r="O70" i="98"/>
  <c r="I71" i="98"/>
  <c r="J71" i="98"/>
  <c r="O71" i="98"/>
  <c r="I72" i="98"/>
  <c r="J72" i="98"/>
  <c r="O72" i="98"/>
  <c r="T72" i="98" s="1"/>
  <c r="P72" i="104"/>
  <c r="I73" i="98"/>
  <c r="J73" i="98"/>
  <c r="O73" i="98"/>
  <c r="P73" i="104"/>
  <c r="I74" i="98"/>
  <c r="J74" i="98"/>
  <c r="O74" i="98"/>
  <c r="I75" i="98"/>
  <c r="J75" i="98"/>
  <c r="O75" i="98"/>
  <c r="Q75" i="104"/>
  <c r="I76" i="98"/>
  <c r="J76" i="98"/>
  <c r="O76" i="98"/>
  <c r="I77" i="98"/>
  <c r="J77" i="98"/>
  <c r="O77" i="98"/>
  <c r="I78" i="98"/>
  <c r="J78" i="98"/>
  <c r="O78" i="98"/>
  <c r="I79" i="98"/>
  <c r="J79" i="98"/>
  <c r="O79" i="98"/>
  <c r="I80" i="98"/>
  <c r="J80" i="98"/>
  <c r="O80" i="98"/>
  <c r="P80" i="104"/>
  <c r="I81" i="98"/>
  <c r="J81" i="98"/>
  <c r="O81" i="98"/>
  <c r="S81" i="98" s="1"/>
  <c r="Q81" i="104"/>
  <c r="I82" i="98"/>
  <c r="J82" i="98"/>
  <c r="O82" i="98"/>
  <c r="P82" i="104"/>
  <c r="I83" i="98"/>
  <c r="J83" i="98"/>
  <c r="O83" i="98"/>
  <c r="I84" i="98"/>
  <c r="J84" i="98"/>
  <c r="O84" i="98"/>
  <c r="I85" i="98"/>
  <c r="J85" i="98"/>
  <c r="O85" i="98"/>
  <c r="I86" i="98"/>
  <c r="J86" i="98"/>
  <c r="O86" i="98"/>
  <c r="Q86" i="104"/>
  <c r="T86" i="104" s="1"/>
  <c r="I87" i="98"/>
  <c r="J87" i="98"/>
  <c r="O87" i="98"/>
  <c r="I88" i="98"/>
  <c r="J88" i="98"/>
  <c r="O88" i="98"/>
  <c r="I89" i="98"/>
  <c r="J89" i="98"/>
  <c r="O89" i="98"/>
  <c r="Q89" i="105"/>
  <c r="I90" i="98"/>
  <c r="J90" i="98"/>
  <c r="O90" i="98"/>
  <c r="I91" i="98"/>
  <c r="J91" i="98"/>
  <c r="O91" i="98"/>
  <c r="P91" i="104"/>
  <c r="Q91" i="104"/>
  <c r="I92" i="98"/>
  <c r="J92" i="98"/>
  <c r="O92" i="98"/>
  <c r="S92" i="98"/>
  <c r="I93" i="98"/>
  <c r="J93" i="98"/>
  <c r="O93" i="98"/>
  <c r="I94" i="98"/>
  <c r="J94" i="98"/>
  <c r="O94" i="98"/>
  <c r="I95" i="98"/>
  <c r="J95" i="98"/>
  <c r="O95" i="98"/>
  <c r="P95" i="104"/>
  <c r="T95" i="98"/>
  <c r="I96" i="98"/>
  <c r="J96" i="98"/>
  <c r="O96" i="98"/>
  <c r="I97" i="98"/>
  <c r="J97" i="98"/>
  <c r="O97" i="98"/>
  <c r="Q97" i="104"/>
  <c r="I98" i="98"/>
  <c r="J98" i="98"/>
  <c r="O98" i="98"/>
  <c r="I99" i="98"/>
  <c r="J99" i="98"/>
  <c r="O99" i="98"/>
  <c r="Q99" i="104"/>
  <c r="I100" i="98"/>
  <c r="J100" i="98"/>
  <c r="O100" i="98"/>
  <c r="R100" i="98"/>
  <c r="I101" i="98"/>
  <c r="J101" i="98"/>
  <c r="O101" i="98"/>
  <c r="I102" i="98"/>
  <c r="J102" i="98"/>
  <c r="O102" i="98"/>
  <c r="I103" i="98"/>
  <c r="J103" i="98"/>
  <c r="O103" i="98"/>
  <c r="R103" i="98"/>
  <c r="Q103" i="104"/>
  <c r="I104" i="98"/>
  <c r="J104" i="98"/>
  <c r="O104" i="98"/>
  <c r="I105" i="98"/>
  <c r="J105" i="98"/>
  <c r="O105" i="98"/>
  <c r="I106" i="98"/>
  <c r="J106" i="98"/>
  <c r="O106" i="98"/>
  <c r="P106" i="104"/>
  <c r="Q106" i="104"/>
  <c r="I107" i="98"/>
  <c r="J107" i="98"/>
  <c r="O107" i="98"/>
  <c r="S107" i="98" s="1"/>
  <c r="I108" i="98"/>
  <c r="J108" i="98"/>
  <c r="O108" i="98"/>
  <c r="P108" i="104"/>
  <c r="R108" i="98"/>
  <c r="I109" i="98"/>
  <c r="J109" i="98"/>
  <c r="O109" i="98"/>
  <c r="Q109" i="104"/>
  <c r="T109" i="104" s="1"/>
  <c r="I110" i="98"/>
  <c r="J110" i="98"/>
  <c r="O110" i="98"/>
  <c r="I111" i="98"/>
  <c r="J111" i="98"/>
  <c r="O111" i="98"/>
  <c r="I112" i="98"/>
  <c r="J112" i="98"/>
  <c r="O112" i="98"/>
  <c r="T112" i="98" s="1"/>
  <c r="I113" i="98"/>
  <c r="J113" i="98"/>
  <c r="O113" i="98"/>
  <c r="P113" i="104"/>
  <c r="I114" i="98"/>
  <c r="J114" i="98"/>
  <c r="O114" i="98"/>
  <c r="I115" i="98"/>
  <c r="J115" i="98"/>
  <c r="O115" i="98"/>
  <c r="I116" i="98"/>
  <c r="J116" i="98"/>
  <c r="O116" i="98"/>
  <c r="Q116" i="104"/>
  <c r="I117" i="98"/>
  <c r="J117" i="98"/>
  <c r="O117" i="98"/>
  <c r="I118" i="98"/>
  <c r="J118" i="98"/>
  <c r="O118" i="98"/>
  <c r="I119" i="98"/>
  <c r="J119" i="98"/>
  <c r="O119" i="98"/>
  <c r="I120" i="98"/>
  <c r="J120" i="98"/>
  <c r="O120" i="98"/>
  <c r="P120" i="104"/>
  <c r="I121" i="98"/>
  <c r="J121" i="98"/>
  <c r="O121" i="98"/>
  <c r="I122" i="98"/>
  <c r="J122" i="98"/>
  <c r="O122" i="98"/>
  <c r="Q122" i="104"/>
  <c r="I123" i="98"/>
  <c r="J123" i="98"/>
  <c r="O123" i="98"/>
  <c r="Q123" i="105"/>
  <c r="I124" i="98"/>
  <c r="J124" i="98"/>
  <c r="O124" i="98"/>
  <c r="I125" i="98"/>
  <c r="J125" i="98"/>
  <c r="O125" i="98"/>
  <c r="P125" i="105"/>
  <c r="I126" i="98"/>
  <c r="J126" i="98"/>
  <c r="O126" i="98"/>
  <c r="I127" i="98"/>
  <c r="J127" i="98"/>
  <c r="O127" i="98"/>
  <c r="T127" i="98" s="1"/>
  <c r="Q127" i="104"/>
  <c r="I128" i="98"/>
  <c r="J128" i="98"/>
  <c r="O128" i="98"/>
  <c r="I129" i="98"/>
  <c r="J129" i="98"/>
  <c r="O129" i="98"/>
  <c r="I130" i="98"/>
  <c r="J130" i="98"/>
  <c r="O130" i="98"/>
  <c r="P130" i="104"/>
  <c r="I131" i="98"/>
  <c r="J131" i="98"/>
  <c r="O131" i="98"/>
  <c r="I132" i="98"/>
  <c r="J132" i="98"/>
  <c r="O132" i="98"/>
  <c r="P132" i="104"/>
  <c r="I133" i="98"/>
  <c r="J133" i="98"/>
  <c r="O133" i="98"/>
  <c r="I134" i="98"/>
  <c r="J134" i="98"/>
  <c r="O134" i="98"/>
  <c r="T134" i="98" s="1"/>
  <c r="P134" i="104"/>
  <c r="I135" i="98"/>
  <c r="J135" i="98"/>
  <c r="O135" i="98"/>
  <c r="Q135" i="104"/>
  <c r="T135" i="104" s="1"/>
  <c r="I136" i="98"/>
  <c r="J136" i="98"/>
  <c r="O136" i="98"/>
  <c r="T136" i="98" s="1"/>
  <c r="I137" i="98"/>
  <c r="J137" i="98"/>
  <c r="O137" i="98"/>
  <c r="S137" i="98" s="1"/>
  <c r="I138" i="98"/>
  <c r="J138" i="98"/>
  <c r="O138" i="98"/>
  <c r="I139" i="98"/>
  <c r="J139" i="98"/>
  <c r="O139" i="98"/>
  <c r="I140" i="98"/>
  <c r="J140" i="98"/>
  <c r="O140" i="98"/>
  <c r="P140" i="104"/>
  <c r="Q140" i="104"/>
  <c r="I141" i="98"/>
  <c r="J141" i="98"/>
  <c r="O141" i="98"/>
  <c r="T141" i="98" s="1"/>
  <c r="I142" i="98"/>
  <c r="J142" i="98"/>
  <c r="O142" i="98"/>
  <c r="P142" i="104"/>
  <c r="Q142" i="104"/>
  <c r="I143" i="98"/>
  <c r="J143" i="98"/>
  <c r="O143" i="98"/>
  <c r="I144" i="98"/>
  <c r="J144" i="98"/>
  <c r="O144" i="98"/>
  <c r="S144" i="98" s="1"/>
  <c r="Q144" i="104"/>
  <c r="I145" i="98"/>
  <c r="J145" i="98"/>
  <c r="O145" i="98"/>
  <c r="I146" i="98"/>
  <c r="J146" i="98"/>
  <c r="O146" i="98"/>
  <c r="T146" i="98" s="1"/>
  <c r="I147" i="98"/>
  <c r="J147" i="98"/>
  <c r="O147" i="98"/>
  <c r="S147" i="98" s="1"/>
  <c r="P147" i="104"/>
  <c r="I148" i="98"/>
  <c r="J148" i="98"/>
  <c r="O148" i="98"/>
  <c r="R148" i="98"/>
  <c r="R148" i="104" s="1"/>
  <c r="I149" i="98"/>
  <c r="J149" i="98"/>
  <c r="O149" i="98"/>
  <c r="P149" i="104"/>
  <c r="I150" i="98"/>
  <c r="J150" i="98"/>
  <c r="O150" i="98"/>
  <c r="P153" i="104"/>
  <c r="I156" i="98"/>
  <c r="O156" i="98"/>
  <c r="P156" i="104"/>
  <c r="Q156" i="104"/>
  <c r="I157" i="98"/>
  <c r="O157" i="98"/>
  <c r="I158" i="98"/>
  <c r="O158" i="98"/>
  <c r="P158" i="104"/>
  <c r="I159" i="98"/>
  <c r="O159" i="98"/>
  <c r="I160" i="98"/>
  <c r="O160" i="98"/>
  <c r="Q160" i="104"/>
  <c r="I161" i="98"/>
  <c r="O161" i="98"/>
  <c r="P161" i="104"/>
  <c r="I162" i="98"/>
  <c r="O162" i="98"/>
  <c r="Q170" i="104"/>
  <c r="Q172" i="105"/>
  <c r="Q173" i="104"/>
  <c r="Q174" i="106"/>
  <c r="P175" i="104"/>
  <c r="Q175" i="104"/>
  <c r="P177" i="104"/>
  <c r="Q178" i="104"/>
  <c r="P179" i="104"/>
  <c r="R180" i="98"/>
  <c r="R181" i="98"/>
  <c r="R181" i="104" s="1"/>
  <c r="Q182" i="104"/>
  <c r="P183" i="104"/>
  <c r="P184" i="104"/>
  <c r="I185" i="98"/>
  <c r="O185" i="98"/>
  <c r="I186" i="98"/>
  <c r="O186" i="98"/>
  <c r="Q186" i="104"/>
  <c r="I187" i="98"/>
  <c r="O187" i="98"/>
  <c r="T187" i="98" s="1"/>
  <c r="I188" i="98"/>
  <c r="O188" i="98"/>
  <c r="Q188" i="104"/>
  <c r="I189" i="98"/>
  <c r="O189" i="98"/>
  <c r="I190" i="98"/>
  <c r="O190" i="98"/>
  <c r="Q190" i="105"/>
  <c r="I191" i="98"/>
  <c r="O191" i="98"/>
  <c r="P191" i="104"/>
  <c r="I192" i="98"/>
  <c r="O192" i="98"/>
  <c r="P192" i="104"/>
  <c r="I193" i="98"/>
  <c r="O193" i="98"/>
  <c r="Q193" i="106"/>
  <c r="I194" i="98"/>
  <c r="O194" i="98"/>
  <c r="I195" i="98"/>
  <c r="O195" i="98"/>
  <c r="P195" i="104"/>
  <c r="I196" i="98"/>
  <c r="O196" i="98"/>
  <c r="P196" i="104"/>
  <c r="Q196" i="104"/>
  <c r="P197" i="104"/>
  <c r="Q198" i="104"/>
  <c r="P203" i="105"/>
  <c r="Q203" i="104"/>
  <c r="Q205" i="105"/>
  <c r="P206" i="104"/>
  <c r="Q206" i="104"/>
  <c r="P207" i="104"/>
  <c r="P210" i="105"/>
  <c r="I211" i="98"/>
  <c r="J211" i="98"/>
  <c r="K211" i="98"/>
  <c r="L211" i="98"/>
  <c r="M211" i="98"/>
  <c r="N211" i="98"/>
  <c r="O211" i="98"/>
  <c r="I212" i="98"/>
  <c r="J212" i="98"/>
  <c r="K212" i="98"/>
  <c r="L212" i="98"/>
  <c r="M212" i="98"/>
  <c r="N212" i="98"/>
  <c r="O212" i="98"/>
  <c r="P212" i="104"/>
  <c r="Q212" i="104"/>
  <c r="I213" i="98"/>
  <c r="J213" i="98"/>
  <c r="K213" i="98"/>
  <c r="L213" i="98"/>
  <c r="M213" i="98"/>
  <c r="N213" i="98"/>
  <c r="O213" i="98"/>
  <c r="I214" i="98"/>
  <c r="J214" i="98"/>
  <c r="K214" i="98"/>
  <c r="L214" i="98"/>
  <c r="M214" i="98"/>
  <c r="N214" i="98"/>
  <c r="O214" i="98"/>
  <c r="I215" i="98"/>
  <c r="J215" i="98"/>
  <c r="K215" i="98"/>
  <c r="L215" i="98"/>
  <c r="M215" i="98"/>
  <c r="N215" i="98"/>
  <c r="O215" i="98"/>
  <c r="P215" i="104"/>
  <c r="I216" i="98"/>
  <c r="J216" i="98"/>
  <c r="K216" i="98"/>
  <c r="O216" i="98"/>
  <c r="I217" i="98"/>
  <c r="J217" i="98"/>
  <c r="K217" i="98"/>
  <c r="O217" i="98"/>
  <c r="I218" i="98"/>
  <c r="J218" i="98"/>
  <c r="K218" i="98"/>
  <c r="O218" i="98"/>
  <c r="S218" i="98" s="1"/>
  <c r="Q218" i="105"/>
  <c r="I219" i="98"/>
  <c r="J219" i="98"/>
  <c r="K219" i="98"/>
  <c r="O219" i="98"/>
  <c r="Q219" i="104"/>
  <c r="I220" i="98"/>
  <c r="J220" i="98"/>
  <c r="K220" i="98"/>
  <c r="O220" i="98"/>
  <c r="I221" i="98"/>
  <c r="J221" i="98"/>
  <c r="O221" i="98"/>
  <c r="P221" i="104"/>
  <c r="R221" i="98"/>
  <c r="I222" i="98"/>
  <c r="J222" i="98"/>
  <c r="O222" i="98"/>
  <c r="P222" i="104"/>
  <c r="S222" i="104" s="1"/>
  <c r="Q222" i="104"/>
  <c r="I223" i="98"/>
  <c r="J223" i="98"/>
  <c r="O223" i="98"/>
  <c r="Q223" i="104"/>
  <c r="I224" i="98"/>
  <c r="J224" i="98"/>
  <c r="O224" i="98"/>
  <c r="Q224" i="104"/>
  <c r="I225" i="98"/>
  <c r="J225" i="98"/>
  <c r="K225" i="98"/>
  <c r="L225" i="98"/>
  <c r="O225" i="98"/>
  <c r="P225" i="104"/>
  <c r="I226" i="98"/>
  <c r="J226" i="98"/>
  <c r="K226" i="98"/>
  <c r="L226" i="98"/>
  <c r="O226" i="98"/>
  <c r="P226" i="104"/>
  <c r="Q226" i="104"/>
  <c r="I227" i="98"/>
  <c r="O227" i="98"/>
  <c r="I228" i="98"/>
  <c r="O228" i="98"/>
  <c r="I229" i="98"/>
  <c r="O229" i="98"/>
  <c r="Q229" i="104"/>
  <c r="I230" i="98"/>
  <c r="O230" i="98"/>
  <c r="P230" i="104"/>
  <c r="P231" i="106"/>
  <c r="P232" i="104"/>
  <c r="P235" i="104"/>
  <c r="Q236" i="104"/>
  <c r="I237" i="98"/>
  <c r="J237" i="98"/>
  <c r="K237" i="98"/>
  <c r="L237" i="98"/>
  <c r="O237" i="98"/>
  <c r="P237" i="104"/>
  <c r="Q237" i="104"/>
  <c r="I238" i="98"/>
  <c r="J238" i="98"/>
  <c r="K238" i="98"/>
  <c r="L238" i="98"/>
  <c r="O238" i="98"/>
  <c r="P238" i="104"/>
  <c r="I239" i="98"/>
  <c r="J239" i="98"/>
  <c r="O239" i="98"/>
  <c r="P239" i="104"/>
  <c r="Q239" i="104"/>
  <c r="I240" i="98"/>
  <c r="J240" i="98"/>
  <c r="K240" i="98"/>
  <c r="O240" i="98"/>
  <c r="Q240" i="104"/>
  <c r="R241" i="98"/>
  <c r="Q242" i="104"/>
  <c r="P243" i="104"/>
  <c r="P244" i="104"/>
  <c r="I245" i="98"/>
  <c r="J245" i="98"/>
  <c r="O245" i="98"/>
  <c r="Q245" i="104"/>
  <c r="I246" i="98"/>
  <c r="J246" i="98"/>
  <c r="O246" i="98"/>
  <c r="P246" i="104"/>
  <c r="Q246" i="104"/>
  <c r="I247" i="98"/>
  <c r="J247" i="98"/>
  <c r="O247" i="98"/>
  <c r="P247" i="105"/>
  <c r="T247" i="98"/>
  <c r="I248" i="98"/>
  <c r="J248" i="98"/>
  <c r="O248" i="98"/>
  <c r="P248" i="104"/>
  <c r="Q248" i="104"/>
  <c r="I249" i="98"/>
  <c r="J249" i="98"/>
  <c r="O249" i="98"/>
  <c r="P249" i="104"/>
  <c r="I250" i="98"/>
  <c r="J250" i="98"/>
  <c r="O250" i="98"/>
  <c r="I251" i="98"/>
  <c r="J251" i="98"/>
  <c r="O251" i="98"/>
  <c r="I252" i="98"/>
  <c r="J252" i="98"/>
  <c r="O252" i="98"/>
  <c r="Q252" i="104"/>
  <c r="I253" i="98"/>
  <c r="J253" i="98"/>
  <c r="K253" i="98"/>
  <c r="O253" i="98"/>
  <c r="I254" i="98"/>
  <c r="J254" i="98"/>
  <c r="K254" i="98"/>
  <c r="O254" i="98"/>
  <c r="I255" i="98"/>
  <c r="J255" i="98"/>
  <c r="K255" i="98"/>
  <c r="O255" i="98"/>
  <c r="I256" i="98"/>
  <c r="J256" i="98"/>
  <c r="K256" i="98"/>
  <c r="O256" i="98"/>
  <c r="P256" i="104"/>
  <c r="Q256" i="105"/>
  <c r="I257" i="98"/>
  <c r="J257" i="98"/>
  <c r="K257" i="98"/>
  <c r="O257" i="98"/>
  <c r="R257" i="98"/>
  <c r="Q257" i="104"/>
  <c r="P258" i="104"/>
  <c r="Q258" i="105"/>
  <c r="R258" i="98"/>
  <c r="I259" i="98"/>
  <c r="J259" i="98"/>
  <c r="K259" i="98"/>
  <c r="L259" i="98"/>
  <c r="O259" i="98"/>
  <c r="P259" i="104"/>
  <c r="I260" i="98"/>
  <c r="J260" i="98"/>
  <c r="K260" i="98"/>
  <c r="L260" i="98"/>
  <c r="O260" i="98"/>
  <c r="P260" i="104"/>
  <c r="I261" i="98"/>
  <c r="J261" i="98"/>
  <c r="K261" i="98"/>
  <c r="L261" i="98"/>
  <c r="O261" i="98"/>
  <c r="P261" i="106"/>
  <c r="S261" i="106" s="1"/>
  <c r="R261" i="98"/>
  <c r="I262" i="98"/>
  <c r="J262" i="98"/>
  <c r="K262" i="98"/>
  <c r="L262" i="98"/>
  <c r="O262" i="98"/>
  <c r="P263" i="104"/>
  <c r="Q263" i="104"/>
  <c r="Q264" i="104"/>
  <c r="R266" i="98"/>
  <c r="Q267" i="104"/>
  <c r="I269" i="98"/>
  <c r="O269" i="98"/>
  <c r="I270" i="98"/>
  <c r="O270" i="98"/>
  <c r="Q270" i="104"/>
  <c r="I271" i="98"/>
  <c r="O271" i="98"/>
  <c r="P271" i="104"/>
  <c r="Q271" i="104"/>
  <c r="P272" i="104"/>
  <c r="Q273" i="105"/>
  <c r="I274" i="98"/>
  <c r="J274" i="98"/>
  <c r="O274" i="98"/>
  <c r="I275" i="98"/>
  <c r="J275" i="98"/>
  <c r="O275" i="98"/>
  <c r="I276" i="98"/>
  <c r="J276" i="98"/>
  <c r="O276" i="98"/>
  <c r="P276" i="104"/>
  <c r="I277" i="98"/>
  <c r="J277" i="98"/>
  <c r="O277" i="98"/>
  <c r="P277" i="104"/>
  <c r="I278" i="98"/>
  <c r="J278" i="98"/>
  <c r="O278" i="98"/>
  <c r="P278" i="104"/>
  <c r="S278" i="104" s="1"/>
  <c r="Q279" i="104"/>
  <c r="Q280" i="104"/>
  <c r="P281" i="104"/>
  <c r="Q281" i="105"/>
  <c r="I282" i="98"/>
  <c r="J282" i="98"/>
  <c r="K282" i="98"/>
  <c r="L282" i="98"/>
  <c r="O282" i="98"/>
  <c r="P282" i="104"/>
  <c r="Q282" i="107"/>
  <c r="Q283" i="104"/>
  <c r="I284" i="98"/>
  <c r="J284" i="98"/>
  <c r="O284" i="98"/>
  <c r="Q284" i="104"/>
  <c r="I285" i="98"/>
  <c r="J285" i="98"/>
  <c r="O285" i="98"/>
  <c r="Q285" i="104"/>
  <c r="I286" i="98"/>
  <c r="J286" i="98"/>
  <c r="O286" i="98"/>
  <c r="P286" i="104"/>
  <c r="S286" i="104" s="1"/>
  <c r="I287" i="98"/>
  <c r="J287" i="98"/>
  <c r="O287" i="98"/>
  <c r="P287" i="104"/>
  <c r="I288" i="98"/>
  <c r="J288" i="98"/>
  <c r="O288" i="98"/>
  <c r="I289" i="98"/>
  <c r="J289" i="98"/>
  <c r="O289" i="98"/>
  <c r="P289" i="104"/>
  <c r="Q289" i="104"/>
  <c r="I290" i="98"/>
  <c r="J290" i="98"/>
  <c r="O290" i="98"/>
  <c r="I291" i="98"/>
  <c r="J291" i="98"/>
  <c r="K291" i="98"/>
  <c r="L291" i="98"/>
  <c r="O291" i="98"/>
  <c r="P291" i="104"/>
  <c r="P293" i="105"/>
  <c r="I294" i="98"/>
  <c r="J294" i="98"/>
  <c r="K294" i="98"/>
  <c r="L294" i="98"/>
  <c r="M294" i="98"/>
  <c r="O294" i="98"/>
  <c r="P294" i="104"/>
  <c r="I295" i="98"/>
  <c r="J295" i="98"/>
  <c r="K295" i="98"/>
  <c r="L295" i="98"/>
  <c r="O295" i="98"/>
  <c r="T295" i="98"/>
  <c r="I296" i="98"/>
  <c r="J296" i="98"/>
  <c r="K296" i="98"/>
  <c r="L296" i="98"/>
  <c r="O296" i="98"/>
  <c r="P296" i="104"/>
  <c r="Q296" i="104"/>
  <c r="R296" i="98"/>
  <c r="I297" i="98"/>
  <c r="J297" i="98"/>
  <c r="K297" i="98"/>
  <c r="L297" i="98"/>
  <c r="O297" i="98"/>
  <c r="Q297" i="104"/>
  <c r="Q298" i="104"/>
  <c r="I299" i="98"/>
  <c r="J299" i="98"/>
  <c r="K299" i="98"/>
  <c r="L299" i="98"/>
  <c r="O299" i="98"/>
  <c r="P299" i="104"/>
  <c r="I300" i="98"/>
  <c r="J300" i="98"/>
  <c r="K300" i="98"/>
  <c r="L300" i="98"/>
  <c r="O300" i="98"/>
  <c r="I301" i="98"/>
  <c r="O301" i="98"/>
  <c r="I302" i="98"/>
  <c r="O302" i="98"/>
  <c r="Q302" i="104"/>
  <c r="P303" i="104"/>
  <c r="I304" i="98"/>
  <c r="O304" i="98"/>
  <c r="R304" i="98"/>
  <c r="I305" i="98"/>
  <c r="O305" i="98"/>
  <c r="I306" i="98"/>
  <c r="J306" i="98"/>
  <c r="K306" i="98"/>
  <c r="O306" i="98"/>
  <c r="P306" i="106"/>
  <c r="P308" i="104"/>
  <c r="P309" i="104"/>
  <c r="Q309" i="104"/>
  <c r="I310" i="98"/>
  <c r="O310" i="98"/>
  <c r="Q311" i="104"/>
  <c r="I312" i="98"/>
  <c r="O312" i="98"/>
  <c r="Q312" i="104"/>
  <c r="I313" i="98"/>
  <c r="O313" i="98"/>
  <c r="Q313" i="104"/>
  <c r="I314" i="98"/>
  <c r="O314" i="98"/>
  <c r="P314" i="104"/>
  <c r="I315" i="98"/>
  <c r="O315" i="98"/>
  <c r="I316" i="98"/>
  <c r="J316" i="98"/>
  <c r="O316" i="98"/>
  <c r="P316" i="104"/>
  <c r="Q316" i="104"/>
  <c r="I317" i="98"/>
  <c r="J317" i="98"/>
  <c r="O317" i="98"/>
  <c r="P317" i="104"/>
  <c r="I318" i="98"/>
  <c r="O318" i="98"/>
  <c r="P318" i="104"/>
  <c r="Q318" i="104"/>
  <c r="I319" i="98"/>
  <c r="J319" i="98"/>
  <c r="K319" i="98"/>
  <c r="O319" i="98"/>
  <c r="P319" i="104"/>
  <c r="I320" i="98"/>
  <c r="J320" i="98"/>
  <c r="K320" i="98"/>
  <c r="O320" i="98"/>
  <c r="Q320" i="104"/>
  <c r="I321" i="98"/>
  <c r="O321" i="98"/>
  <c r="P321" i="106"/>
  <c r="Q321" i="104"/>
  <c r="I322" i="98"/>
  <c r="O322" i="98"/>
  <c r="Q322" i="104"/>
  <c r="I323" i="98"/>
  <c r="J323" i="98"/>
  <c r="O323" i="98"/>
  <c r="P323" i="104"/>
  <c r="I324" i="98"/>
  <c r="J324" i="98"/>
  <c r="O324" i="98"/>
  <c r="R324" i="98"/>
  <c r="Q324" i="104"/>
  <c r="I325" i="98"/>
  <c r="O325" i="98"/>
  <c r="P325" i="104"/>
  <c r="P326" i="104"/>
  <c r="I327" i="98"/>
  <c r="O327" i="98"/>
  <c r="Q327" i="104"/>
  <c r="I328" i="98"/>
  <c r="J328" i="98"/>
  <c r="K328" i="98"/>
  <c r="O328" i="98"/>
  <c r="S328" i="98" s="1"/>
  <c r="Q328" i="105"/>
  <c r="I329" i="98"/>
  <c r="J329" i="98"/>
  <c r="K329" i="98"/>
  <c r="O329" i="98"/>
  <c r="I330" i="98"/>
  <c r="J330" i="98"/>
  <c r="K330" i="98"/>
  <c r="O330" i="98"/>
  <c r="P330" i="104"/>
  <c r="Q330" i="105"/>
  <c r="I331" i="98"/>
  <c r="O331" i="98"/>
  <c r="P331" i="104"/>
  <c r="I332" i="98"/>
  <c r="O332" i="98"/>
  <c r="I333" i="98"/>
  <c r="O333" i="98"/>
  <c r="P333" i="104"/>
  <c r="I334" i="98"/>
  <c r="J334" i="98"/>
  <c r="O334" i="98"/>
  <c r="I335" i="98"/>
  <c r="J335" i="98"/>
  <c r="O335" i="98"/>
  <c r="P335" i="104"/>
  <c r="I336" i="98"/>
  <c r="J336" i="98"/>
  <c r="O336" i="98"/>
  <c r="Q336" i="104"/>
  <c r="I337" i="98"/>
  <c r="O337" i="98"/>
  <c r="I338" i="98"/>
  <c r="O338" i="98"/>
  <c r="I339" i="98"/>
  <c r="O339" i="98"/>
  <c r="I340" i="98"/>
  <c r="O340" i="98"/>
  <c r="P340" i="104"/>
  <c r="I341" i="98"/>
  <c r="O341" i="98"/>
  <c r="I342" i="98"/>
  <c r="O342" i="98"/>
  <c r="I343" i="98"/>
  <c r="O343" i="98"/>
  <c r="P343" i="104"/>
  <c r="I344" i="98"/>
  <c r="J344" i="98"/>
  <c r="K344" i="98"/>
  <c r="O344" i="98"/>
  <c r="S344" i="98" s="1"/>
  <c r="I345" i="98"/>
  <c r="J345" i="98"/>
  <c r="K345" i="98"/>
  <c r="O345" i="98"/>
  <c r="P345" i="104"/>
  <c r="S345" i="104" s="1"/>
  <c r="I346" i="98"/>
  <c r="J346" i="98"/>
  <c r="K346" i="98"/>
  <c r="O346" i="98"/>
  <c r="Q346" i="104"/>
  <c r="T346" i="104" s="1"/>
  <c r="I347" i="98"/>
  <c r="J347" i="98"/>
  <c r="K347" i="98"/>
  <c r="O347" i="98"/>
  <c r="Q347" i="105"/>
  <c r="I348" i="98"/>
  <c r="J348" i="98"/>
  <c r="O348" i="98"/>
  <c r="P348" i="104"/>
  <c r="I349" i="98"/>
  <c r="J349" i="98"/>
  <c r="O349" i="98"/>
  <c r="Q349" i="104"/>
  <c r="I350" i="98"/>
  <c r="J350" i="98"/>
  <c r="O350" i="98"/>
  <c r="P350" i="104"/>
  <c r="I351" i="98"/>
  <c r="J351" i="98"/>
  <c r="O351" i="98"/>
  <c r="P351" i="104"/>
  <c r="I352" i="98"/>
  <c r="J352" i="98"/>
  <c r="K352" i="98"/>
  <c r="L352" i="98"/>
  <c r="M352" i="98"/>
  <c r="O352" i="98"/>
  <c r="X352" i="98"/>
  <c r="I353" i="98"/>
  <c r="J353" i="98"/>
  <c r="K353" i="98"/>
  <c r="L353" i="98"/>
  <c r="M353" i="98"/>
  <c r="N353" i="98"/>
  <c r="O353" i="98"/>
  <c r="Q353" i="104"/>
  <c r="I354" i="98"/>
  <c r="J354" i="98"/>
  <c r="K354" i="98"/>
  <c r="L354" i="98"/>
  <c r="M354" i="98"/>
  <c r="N354" i="98"/>
  <c r="O354" i="98"/>
  <c r="P354" i="105"/>
  <c r="Q354" i="105"/>
  <c r="T354" i="105" s="1"/>
  <c r="Y354" i="105" s="1"/>
  <c r="S106" i="104" l="1"/>
  <c r="S317" i="104"/>
  <c r="S120" i="104"/>
  <c r="S351" i="104"/>
  <c r="T75" i="104"/>
  <c r="S323" i="104"/>
  <c r="S276" i="104"/>
  <c r="T245" i="104"/>
  <c r="S147" i="104"/>
  <c r="S294" i="104"/>
  <c r="S259" i="104"/>
  <c r="S248" i="104"/>
  <c r="S330" i="104"/>
  <c r="T349" i="104"/>
  <c r="T347" i="105"/>
  <c r="S282" i="104"/>
  <c r="S112" i="98"/>
  <c r="T67" i="104"/>
  <c r="T248" i="104"/>
  <c r="T297" i="104"/>
  <c r="T99" i="104"/>
  <c r="T81" i="104"/>
  <c r="S100" i="104"/>
  <c r="W148" i="118"/>
  <c r="Z146" i="118"/>
  <c r="Z63" i="118"/>
  <c r="W64" i="118"/>
  <c r="S299" i="104"/>
  <c r="S80" i="104"/>
  <c r="S319" i="104"/>
  <c r="T284" i="104"/>
  <c r="T240" i="104"/>
  <c r="S63" i="104"/>
  <c r="T330" i="105"/>
  <c r="S287" i="104"/>
  <c r="S277" i="104"/>
  <c r="T224" i="104"/>
  <c r="S136" i="98"/>
  <c r="S132" i="104"/>
  <c r="T140" i="104"/>
  <c r="T103" i="104"/>
  <c r="T353" i="104"/>
  <c r="Y353" i="104" s="1"/>
  <c r="T328" i="105"/>
  <c r="S260" i="104"/>
  <c r="S246" i="104"/>
  <c r="S140" i="104"/>
  <c r="U103" i="98"/>
  <c r="S289" i="104"/>
  <c r="R75" i="98"/>
  <c r="R75" i="106" s="1"/>
  <c r="S72" i="104"/>
  <c r="R30" i="98"/>
  <c r="R30" i="105" s="1"/>
  <c r="R345" i="98"/>
  <c r="R345" i="106" s="1"/>
  <c r="S331" i="98"/>
  <c r="T85" i="98"/>
  <c r="T74" i="98"/>
  <c r="T23" i="104"/>
  <c r="S352" i="98"/>
  <c r="W352" i="98" s="1"/>
  <c r="R340" i="98"/>
  <c r="R340" i="104" s="1"/>
  <c r="T331" i="98"/>
  <c r="S306" i="98"/>
  <c r="T301" i="98"/>
  <c r="T255" i="98"/>
  <c r="T248" i="98"/>
  <c r="T245" i="98"/>
  <c r="R226" i="98"/>
  <c r="R226" i="107" s="1"/>
  <c r="S221" i="104"/>
  <c r="R193" i="98"/>
  <c r="R193" i="105" s="1"/>
  <c r="S189" i="98"/>
  <c r="S187" i="98"/>
  <c r="S185" i="98"/>
  <c r="S108" i="104"/>
  <c r="T97" i="104"/>
  <c r="S91" i="98"/>
  <c r="S90" i="98"/>
  <c r="R66" i="98"/>
  <c r="R66" i="104" s="1"/>
  <c r="T57" i="98"/>
  <c r="R31" i="98"/>
  <c r="R31" i="105" s="1"/>
  <c r="T296" i="104"/>
  <c r="S296" i="104"/>
  <c r="T257" i="104"/>
  <c r="R200" i="98"/>
  <c r="R200" i="108" s="1"/>
  <c r="R151" i="98"/>
  <c r="S149" i="104"/>
  <c r="S126" i="98"/>
  <c r="R113" i="98"/>
  <c r="U113" i="98" s="1"/>
  <c r="S95" i="104"/>
  <c r="S59" i="98"/>
  <c r="S45" i="98"/>
  <c r="S249" i="104"/>
  <c r="R42" i="98"/>
  <c r="T237" i="104"/>
  <c r="T194" i="98"/>
  <c r="T140" i="98"/>
  <c r="T116" i="104"/>
  <c r="Q205" i="104"/>
  <c r="P259" i="105"/>
  <c r="S259" i="105" s="1"/>
  <c r="Q123" i="104"/>
  <c r="T123" i="104" s="1"/>
  <c r="R67" i="98"/>
  <c r="P226" i="105"/>
  <c r="S226" i="105" s="1"/>
  <c r="T322" i="98"/>
  <c r="T337" i="98"/>
  <c r="S315" i="98"/>
  <c r="S313" i="98"/>
  <c r="S291" i="104"/>
  <c r="T261" i="98"/>
  <c r="T257" i="98"/>
  <c r="T253" i="98"/>
  <c r="S237" i="104"/>
  <c r="T229" i="98"/>
  <c r="S220" i="98"/>
  <c r="T144" i="104"/>
  <c r="S84" i="98"/>
  <c r="R74" i="98"/>
  <c r="R74" i="108" s="1"/>
  <c r="R63" i="98"/>
  <c r="U63" i="98" s="1"/>
  <c r="S62" i="98"/>
  <c r="S43" i="98"/>
  <c r="R21" i="98"/>
  <c r="R21" i="105" s="1"/>
  <c r="T9" i="98"/>
  <c r="S348" i="104"/>
  <c r="S270" i="98"/>
  <c r="S314" i="98"/>
  <c r="T312" i="98"/>
  <c r="T251" i="98"/>
  <c r="T25" i="98"/>
  <c r="Q330" i="104"/>
  <c r="T330" i="104" s="1"/>
  <c r="Q258" i="104"/>
  <c r="Q327" i="107"/>
  <c r="T352" i="98"/>
  <c r="S351" i="98"/>
  <c r="T320" i="98"/>
  <c r="T304" i="98"/>
  <c r="T296" i="98"/>
  <c r="T318" i="98"/>
  <c r="T277" i="98"/>
  <c r="T269" i="98"/>
  <c r="T252" i="98"/>
  <c r="S226" i="98"/>
  <c r="R196" i="98"/>
  <c r="R196" i="104" s="1"/>
  <c r="T148" i="98"/>
  <c r="S133" i="98"/>
  <c r="R122" i="98"/>
  <c r="R122" i="104" s="1"/>
  <c r="U122" i="104" s="1"/>
  <c r="T89" i="98"/>
  <c r="S83" i="98"/>
  <c r="T56" i="104"/>
  <c r="R22" i="98"/>
  <c r="R22" i="108" s="1"/>
  <c r="S9" i="98"/>
  <c r="R6" i="98"/>
  <c r="U6" i="98" s="1"/>
  <c r="S134" i="104"/>
  <c r="Q198" i="106"/>
  <c r="S325" i="98"/>
  <c r="T325" i="98"/>
  <c r="T216" i="98"/>
  <c r="T102" i="98"/>
  <c r="T81" i="98"/>
  <c r="S67" i="98"/>
  <c r="S350" i="104"/>
  <c r="R341" i="98"/>
  <c r="R341" i="105" s="1"/>
  <c r="R335" i="98"/>
  <c r="R335" i="105" s="1"/>
  <c r="T316" i="104"/>
  <c r="T285" i="98"/>
  <c r="S238" i="98"/>
  <c r="T212" i="104"/>
  <c r="S161" i="98"/>
  <c r="T157" i="98"/>
  <c r="S143" i="98"/>
  <c r="S120" i="98"/>
  <c r="T117" i="98"/>
  <c r="S105" i="98"/>
  <c r="T103" i="98"/>
  <c r="S96" i="98"/>
  <c r="S75" i="98"/>
  <c r="R46" i="98"/>
  <c r="R46" i="107" s="1"/>
  <c r="S22" i="98"/>
  <c r="S6" i="98"/>
  <c r="Q354" i="104"/>
  <c r="T354" i="104" s="1"/>
  <c r="Y354" i="104" s="1"/>
  <c r="Q190" i="104"/>
  <c r="P192" i="105"/>
  <c r="T218" i="105"/>
  <c r="S217" i="98"/>
  <c r="R170" i="98"/>
  <c r="R170" i="106" s="1"/>
  <c r="S324" i="98"/>
  <c r="T221" i="98"/>
  <c r="S192" i="98"/>
  <c r="T158" i="98"/>
  <c r="T142" i="104"/>
  <c r="R130" i="98"/>
  <c r="R130" i="105" s="1"/>
  <c r="R127" i="98"/>
  <c r="R127" i="108" s="1"/>
  <c r="S58" i="98"/>
  <c r="Q304" i="104"/>
  <c r="P180" i="104"/>
  <c r="P125" i="104"/>
  <c r="S125" i="104" s="1"/>
  <c r="T327" i="98"/>
  <c r="R112" i="98"/>
  <c r="R112" i="106" s="1"/>
  <c r="S73" i="98"/>
  <c r="R26" i="98"/>
  <c r="R26" i="107" s="1"/>
  <c r="Q102" i="105"/>
  <c r="S294" i="98"/>
  <c r="S345" i="98"/>
  <c r="T338" i="98"/>
  <c r="S336" i="98"/>
  <c r="R321" i="98"/>
  <c r="R321" i="105" s="1"/>
  <c r="T249" i="98"/>
  <c r="S246" i="98"/>
  <c r="T239" i="98"/>
  <c r="S230" i="98"/>
  <c r="S225" i="98"/>
  <c r="R205" i="98"/>
  <c r="R205" i="107" s="1"/>
  <c r="S142" i="104"/>
  <c r="S113" i="98"/>
  <c r="S104" i="98"/>
  <c r="S21" i="98"/>
  <c r="Q328" i="104"/>
  <c r="P200" i="104"/>
  <c r="R241" i="108"/>
  <c r="R241" i="107"/>
  <c r="R241" i="105"/>
  <c r="R241" i="106"/>
  <c r="R241" i="104"/>
  <c r="R22" i="105"/>
  <c r="R335" i="108"/>
  <c r="R335" i="106"/>
  <c r="R335" i="104"/>
  <c r="U335" i="104" s="1"/>
  <c r="R46" i="108"/>
  <c r="R46" i="105"/>
  <c r="R46" i="106"/>
  <c r="U340" i="98"/>
  <c r="R340" i="107"/>
  <c r="R340" i="106"/>
  <c r="R340" i="105"/>
  <c r="R170" i="108"/>
  <c r="R170" i="107"/>
  <c r="U148" i="104"/>
  <c r="R26" i="104"/>
  <c r="U26" i="104" s="1"/>
  <c r="P353" i="108"/>
  <c r="S353" i="108" s="1"/>
  <c r="W353" i="108" s="1"/>
  <c r="P353" i="106"/>
  <c r="S353" i="106" s="1"/>
  <c r="W353" i="106" s="1"/>
  <c r="P353" i="107"/>
  <c r="S353" i="107" s="1"/>
  <c r="W353" i="107" s="1"/>
  <c r="P353" i="105"/>
  <c r="S353" i="105" s="1"/>
  <c r="W353" i="105" s="1"/>
  <c r="P349" i="108"/>
  <c r="P349" i="106"/>
  <c r="P349" i="107"/>
  <c r="P349" i="104"/>
  <c r="S349" i="104" s="1"/>
  <c r="T342" i="98"/>
  <c r="Q342" i="108"/>
  <c r="Q342" i="107"/>
  <c r="Q342" i="106"/>
  <c r="Q342" i="105"/>
  <c r="Q342" i="104"/>
  <c r="Q339" i="108"/>
  <c r="Q339" i="107"/>
  <c r="Q339" i="106"/>
  <c r="Q339" i="105"/>
  <c r="T339" i="98"/>
  <c r="T334" i="98"/>
  <c r="Q334" i="108"/>
  <c r="Q334" i="106"/>
  <c r="Q334" i="107"/>
  <c r="Q334" i="105"/>
  <c r="Q332" i="108"/>
  <c r="Q332" i="107"/>
  <c r="Q332" i="106"/>
  <c r="Q332" i="105"/>
  <c r="T329" i="98"/>
  <c r="Q329" i="108"/>
  <c r="Q329" i="106"/>
  <c r="Q329" i="107"/>
  <c r="Q329" i="105"/>
  <c r="Q326" i="108"/>
  <c r="Q326" i="107"/>
  <c r="Q326" i="106"/>
  <c r="Q326" i="105"/>
  <c r="Q326" i="104"/>
  <c r="Q323" i="108"/>
  <c r="Q323" i="106"/>
  <c r="Q323" i="105"/>
  <c r="Q323" i="107"/>
  <c r="Q323" i="104"/>
  <c r="T323" i="104" s="1"/>
  <c r="R320" i="98"/>
  <c r="P320" i="108"/>
  <c r="P320" i="107"/>
  <c r="P320" i="106"/>
  <c r="P320" i="104"/>
  <c r="S320" i="104" s="1"/>
  <c r="P311" i="108"/>
  <c r="P311" i="107"/>
  <c r="P311" i="105"/>
  <c r="P311" i="106"/>
  <c r="P311" i="104"/>
  <c r="T310" i="98"/>
  <c r="Q310" i="108"/>
  <c r="Q310" i="106"/>
  <c r="Q310" i="107"/>
  <c r="Q310" i="105"/>
  <c r="Q305" i="108"/>
  <c r="Q305" i="107"/>
  <c r="Q305" i="106"/>
  <c r="Q305" i="105"/>
  <c r="P297" i="108"/>
  <c r="P297" i="107"/>
  <c r="P297" i="105"/>
  <c r="S297" i="105" s="1"/>
  <c r="P297" i="106"/>
  <c r="S297" i="106" s="1"/>
  <c r="Q292" i="108"/>
  <c r="Q292" i="107"/>
  <c r="Q292" i="106"/>
  <c r="Q292" i="105"/>
  <c r="T291" i="98"/>
  <c r="Q291" i="108"/>
  <c r="Q291" i="106"/>
  <c r="T291" i="106" s="1"/>
  <c r="Q291" i="105"/>
  <c r="T291" i="105" s="1"/>
  <c r="Q291" i="107"/>
  <c r="Q291" i="104"/>
  <c r="T291" i="104" s="1"/>
  <c r="Q290" i="108"/>
  <c r="Q290" i="107"/>
  <c r="P283" i="108"/>
  <c r="P283" i="107"/>
  <c r="P283" i="105"/>
  <c r="P283" i="106"/>
  <c r="P283" i="104"/>
  <c r="P280" i="108"/>
  <c r="P280" i="107"/>
  <c r="P280" i="105"/>
  <c r="P280" i="106"/>
  <c r="P275" i="108"/>
  <c r="P275" i="107"/>
  <c r="P275" i="106"/>
  <c r="P275" i="105"/>
  <c r="T274" i="98"/>
  <c r="Q274" i="107"/>
  <c r="Q274" i="106"/>
  <c r="Q274" i="108"/>
  <c r="Q274" i="105"/>
  <c r="Q272" i="108"/>
  <c r="Q272" i="105"/>
  <c r="Q272" i="106"/>
  <c r="Q272" i="107"/>
  <c r="Q268" i="108"/>
  <c r="Q268" i="106"/>
  <c r="Q268" i="107"/>
  <c r="Q268" i="105"/>
  <c r="P267" i="108"/>
  <c r="P267" i="107"/>
  <c r="P267" i="106"/>
  <c r="P267" i="105"/>
  <c r="P254" i="108"/>
  <c r="P254" i="106"/>
  <c r="P254" i="107"/>
  <c r="P254" i="105"/>
  <c r="S254" i="105" s="1"/>
  <c r="R254" i="98"/>
  <c r="Q250" i="108"/>
  <c r="Q250" i="107"/>
  <c r="Q250" i="105"/>
  <c r="Q250" i="106"/>
  <c r="Q250" i="104"/>
  <c r="T228" i="98"/>
  <c r="Q228" i="108"/>
  <c r="Q228" i="107"/>
  <c r="Q228" i="106"/>
  <c r="Q228" i="104"/>
  <c r="P213" i="108"/>
  <c r="S213" i="108" s="1"/>
  <c r="P213" i="107"/>
  <c r="S213" i="107" s="1"/>
  <c r="P213" i="106"/>
  <c r="S213" i="106" s="1"/>
  <c r="P213" i="105"/>
  <c r="S213" i="105" s="1"/>
  <c r="P209" i="108"/>
  <c r="P209" i="107"/>
  <c r="P209" i="106"/>
  <c r="P209" i="105"/>
  <c r="P209" i="104"/>
  <c r="P208" i="108"/>
  <c r="P208" i="107"/>
  <c r="P208" i="106"/>
  <c r="P208" i="105"/>
  <c r="Q201" i="108"/>
  <c r="Q201" i="105"/>
  <c r="Q201" i="107"/>
  <c r="Q201" i="104"/>
  <c r="R200" i="106"/>
  <c r="R200" i="104"/>
  <c r="P188" i="108"/>
  <c r="P188" i="107"/>
  <c r="P188" i="106"/>
  <c r="P188" i="105"/>
  <c r="P188" i="104"/>
  <c r="Q176" i="108"/>
  <c r="Q176" i="107"/>
  <c r="Q176" i="106"/>
  <c r="Q176" i="105"/>
  <c r="Q176" i="104"/>
  <c r="Q166" i="108"/>
  <c r="Q166" i="107"/>
  <c r="Q166" i="106"/>
  <c r="Q166" i="105"/>
  <c r="T161" i="98"/>
  <c r="Q161" i="108"/>
  <c r="Q161" i="107"/>
  <c r="Q161" i="106"/>
  <c r="Q161" i="105"/>
  <c r="Q161" i="104"/>
  <c r="P160" i="108"/>
  <c r="P160" i="107"/>
  <c r="P160" i="106"/>
  <c r="P160" i="105"/>
  <c r="P160" i="104"/>
  <c r="S160" i="98"/>
  <c r="R154" i="98"/>
  <c r="Q154" i="108"/>
  <c r="Q154" i="107"/>
  <c r="Q154" i="105"/>
  <c r="Q154" i="106"/>
  <c r="Q154" i="104"/>
  <c r="P146" i="108"/>
  <c r="P146" i="107"/>
  <c r="P146" i="106"/>
  <c r="P146" i="105"/>
  <c r="P146" i="104"/>
  <c r="S146" i="104" s="1"/>
  <c r="R144" i="98"/>
  <c r="Q144" i="108"/>
  <c r="Q144" i="107"/>
  <c r="Q144" i="106"/>
  <c r="Q144" i="105"/>
  <c r="P138" i="108"/>
  <c r="P138" i="107"/>
  <c r="P138" i="105"/>
  <c r="P138" i="106"/>
  <c r="P138" i="104"/>
  <c r="S138" i="104" s="1"/>
  <c r="R138" i="98"/>
  <c r="U138" i="98" s="1"/>
  <c r="T137" i="98"/>
  <c r="Q137" i="108"/>
  <c r="Q137" i="107"/>
  <c r="Q137" i="106"/>
  <c r="Q137" i="105"/>
  <c r="R129" i="98"/>
  <c r="P129" i="108"/>
  <c r="P129" i="107"/>
  <c r="P129" i="106"/>
  <c r="P129" i="105"/>
  <c r="Q128" i="108"/>
  <c r="Q128" i="107"/>
  <c r="Q128" i="106"/>
  <c r="Q128" i="105"/>
  <c r="Q128" i="104"/>
  <c r="T128" i="104" s="1"/>
  <c r="P119" i="108"/>
  <c r="P119" i="107"/>
  <c r="P119" i="105"/>
  <c r="P119" i="106"/>
  <c r="P119" i="104"/>
  <c r="S119" i="104" s="1"/>
  <c r="Q118" i="108"/>
  <c r="Q118" i="107"/>
  <c r="Q118" i="106"/>
  <c r="Q118" i="105"/>
  <c r="T118" i="98"/>
  <c r="P111" i="107"/>
  <c r="P111" i="108"/>
  <c r="P111" i="106"/>
  <c r="P111" i="105"/>
  <c r="R111" i="98"/>
  <c r="Q110" i="108"/>
  <c r="Q110" i="107"/>
  <c r="Q110" i="105"/>
  <c r="Q110" i="106"/>
  <c r="Q110" i="104"/>
  <c r="T110" i="104" s="1"/>
  <c r="T110" i="98"/>
  <c r="R99" i="98"/>
  <c r="P99" i="108"/>
  <c r="P99" i="107"/>
  <c r="P99" i="105"/>
  <c r="P99" i="106"/>
  <c r="P99" i="104"/>
  <c r="S99" i="104" s="1"/>
  <c r="Q98" i="108"/>
  <c r="Q98" i="107"/>
  <c r="Q98" i="105"/>
  <c r="Q98" i="106"/>
  <c r="Q98" i="104"/>
  <c r="T98" i="104" s="1"/>
  <c r="Q83" i="108"/>
  <c r="Q83" i="107"/>
  <c r="Q83" i="106"/>
  <c r="Q83" i="105"/>
  <c r="Q83" i="104"/>
  <c r="T83" i="104" s="1"/>
  <c r="S82" i="98"/>
  <c r="R75" i="107"/>
  <c r="R75" i="105"/>
  <c r="R75" i="104"/>
  <c r="U75" i="104" s="1"/>
  <c r="U67" i="98"/>
  <c r="R67" i="108"/>
  <c r="R67" i="107"/>
  <c r="R67" i="106"/>
  <c r="R67" i="105"/>
  <c r="R67" i="104"/>
  <c r="U66" i="98"/>
  <c r="R66" i="108"/>
  <c r="R66" i="107"/>
  <c r="R66" i="105"/>
  <c r="U62" i="98"/>
  <c r="R62" i="108"/>
  <c r="R62" i="107"/>
  <c r="R62" i="105"/>
  <c r="R62" i="106"/>
  <c r="R62" i="104"/>
  <c r="Q52" i="108"/>
  <c r="Q52" i="107"/>
  <c r="Q52" i="106"/>
  <c r="Q52" i="104"/>
  <c r="T52" i="104" s="1"/>
  <c r="P51" i="108"/>
  <c r="P51" i="107"/>
  <c r="P51" i="106"/>
  <c r="P51" i="104"/>
  <c r="S51" i="104" s="1"/>
  <c r="P51" i="105"/>
  <c r="S51" i="98"/>
  <c r="Q50" i="108"/>
  <c r="Q50" i="107"/>
  <c r="Q50" i="106"/>
  <c r="Q50" i="105"/>
  <c r="Q50" i="104"/>
  <c r="T50" i="104" s="1"/>
  <c r="Q49" i="108"/>
  <c r="Q49" i="107"/>
  <c r="Q49" i="105"/>
  <c r="Q49" i="104"/>
  <c r="T49" i="104" s="1"/>
  <c r="Q37" i="108"/>
  <c r="Q37" i="105"/>
  <c r="Q37" i="106"/>
  <c r="Q37" i="107"/>
  <c r="Q37" i="104"/>
  <c r="Q36" i="108"/>
  <c r="Q36" i="107"/>
  <c r="Q36" i="106"/>
  <c r="Q36" i="105"/>
  <c r="Q36" i="104"/>
  <c r="R34" i="108"/>
  <c r="R34" i="107"/>
  <c r="R34" i="105"/>
  <c r="R34" i="106"/>
  <c r="R34" i="104"/>
  <c r="P33" i="108"/>
  <c r="P33" i="107"/>
  <c r="P33" i="106"/>
  <c r="P33" i="105"/>
  <c r="P24" i="108"/>
  <c r="P24" i="107"/>
  <c r="P24" i="105"/>
  <c r="S24" i="105" s="1"/>
  <c r="P24" i="106"/>
  <c r="S24" i="106" s="1"/>
  <c r="Q13" i="108"/>
  <c r="Q13" i="107"/>
  <c r="Q13" i="106"/>
  <c r="Q13" i="105"/>
  <c r="Q13" i="104"/>
  <c r="Q12" i="108"/>
  <c r="Q12" i="107"/>
  <c r="Q12" i="105"/>
  <c r="Q12" i="106"/>
  <c r="Q12" i="104"/>
  <c r="T12" i="104" s="1"/>
  <c r="S254" i="104"/>
  <c r="P247" i="104"/>
  <c r="S247" i="104" s="1"/>
  <c r="P231" i="104"/>
  <c r="P213" i="104"/>
  <c r="S213" i="104" s="1"/>
  <c r="Q118" i="104"/>
  <c r="T118" i="104" s="1"/>
  <c r="R74" i="104"/>
  <c r="U74" i="104" s="1"/>
  <c r="P349" i="105"/>
  <c r="Q290" i="105"/>
  <c r="P136" i="105"/>
  <c r="Q201" i="106"/>
  <c r="S353" i="98"/>
  <c r="W353" i="98" s="1"/>
  <c r="R350" i="98"/>
  <c r="T345" i="98"/>
  <c r="Q345" i="108"/>
  <c r="Q345" i="107"/>
  <c r="Q345" i="106"/>
  <c r="Q345" i="105"/>
  <c r="T345" i="105" s="1"/>
  <c r="Q345" i="104"/>
  <c r="T345" i="104" s="1"/>
  <c r="S342" i="98"/>
  <c r="P342" i="108"/>
  <c r="P342" i="106"/>
  <c r="P342" i="107"/>
  <c r="P342" i="105"/>
  <c r="R339" i="98"/>
  <c r="U339" i="98" s="1"/>
  <c r="P339" i="108"/>
  <c r="P339" i="106"/>
  <c r="P339" i="105"/>
  <c r="P339" i="107"/>
  <c r="Q338" i="108"/>
  <c r="Q338" i="106"/>
  <c r="Q338" i="105"/>
  <c r="Q338" i="107"/>
  <c r="R334" i="98"/>
  <c r="P334" i="108"/>
  <c r="P334" i="107"/>
  <c r="P334" i="106"/>
  <c r="P334" i="104"/>
  <c r="P332" i="108"/>
  <c r="P332" i="107"/>
  <c r="P332" i="106"/>
  <c r="P332" i="105"/>
  <c r="R332" i="98"/>
  <c r="S329" i="98"/>
  <c r="P329" i="108"/>
  <c r="P329" i="107"/>
  <c r="P329" i="105"/>
  <c r="S329" i="105" s="1"/>
  <c r="P329" i="106"/>
  <c r="P329" i="104"/>
  <c r="S329" i="104" s="1"/>
  <c r="P326" i="108"/>
  <c r="P326" i="106"/>
  <c r="P326" i="107"/>
  <c r="P326" i="105"/>
  <c r="Q322" i="108"/>
  <c r="Q322" i="107"/>
  <c r="Q322" i="105"/>
  <c r="Q322" i="106"/>
  <c r="T319" i="98"/>
  <c r="Q319" i="108"/>
  <c r="Q319" i="107"/>
  <c r="Q319" i="105"/>
  <c r="T319" i="105" s="1"/>
  <c r="Q319" i="106"/>
  <c r="T315" i="98"/>
  <c r="Q315" i="108"/>
  <c r="Q315" i="106"/>
  <c r="Q315" i="105"/>
  <c r="Q315" i="107"/>
  <c r="P310" i="108"/>
  <c r="P310" i="107"/>
  <c r="P310" i="106"/>
  <c r="P310" i="105"/>
  <c r="P310" i="104"/>
  <c r="P305" i="108"/>
  <c r="P305" i="107"/>
  <c r="P305" i="106"/>
  <c r="P305" i="105"/>
  <c r="P305" i="104"/>
  <c r="P302" i="108"/>
  <c r="P302" i="107"/>
  <c r="P302" i="106"/>
  <c r="P302" i="105"/>
  <c r="P302" i="104"/>
  <c r="R296" i="108"/>
  <c r="R296" i="106"/>
  <c r="R296" i="107"/>
  <c r="R296" i="105"/>
  <c r="R296" i="104"/>
  <c r="U296" i="104" s="1"/>
  <c r="R293" i="98"/>
  <c r="P293" i="108"/>
  <c r="P293" i="107"/>
  <c r="P293" i="106"/>
  <c r="P292" i="108"/>
  <c r="P292" i="107"/>
  <c r="P292" i="106"/>
  <c r="P292" i="105"/>
  <c r="R290" i="98"/>
  <c r="U290" i="98" s="1"/>
  <c r="P290" i="108"/>
  <c r="P290" i="107"/>
  <c r="P290" i="105"/>
  <c r="P290" i="106"/>
  <c r="P290" i="104"/>
  <c r="S290" i="104" s="1"/>
  <c r="P274" i="108"/>
  <c r="P274" i="107"/>
  <c r="P274" i="106"/>
  <c r="P274" i="105"/>
  <c r="P274" i="104"/>
  <c r="S274" i="104" s="1"/>
  <c r="P272" i="108"/>
  <c r="P272" i="107"/>
  <c r="P272" i="106"/>
  <c r="P272" i="105"/>
  <c r="P271" i="108"/>
  <c r="P271" i="107"/>
  <c r="P271" i="106"/>
  <c r="Q269" i="108"/>
  <c r="Q269" i="107"/>
  <c r="Q269" i="106"/>
  <c r="Q269" i="105"/>
  <c r="P268" i="108"/>
  <c r="P268" i="107"/>
  <c r="P268" i="105"/>
  <c r="P268" i="106"/>
  <c r="P253" i="108"/>
  <c r="P253" i="107"/>
  <c r="P253" i="106"/>
  <c r="P253" i="105"/>
  <c r="S253" i="105" s="1"/>
  <c r="Q251" i="108"/>
  <c r="Q251" i="107"/>
  <c r="Q251" i="106"/>
  <c r="P250" i="108"/>
  <c r="P250" i="107"/>
  <c r="P250" i="106"/>
  <c r="P250" i="105"/>
  <c r="R250" i="98"/>
  <c r="Q249" i="108"/>
  <c r="Q249" i="107"/>
  <c r="Q249" i="105"/>
  <c r="Q249" i="106"/>
  <c r="Q249" i="104"/>
  <c r="T249" i="104" s="1"/>
  <c r="Q230" i="108"/>
  <c r="Q230" i="107"/>
  <c r="Q230" i="106"/>
  <c r="Q230" i="104"/>
  <c r="Q230" i="105"/>
  <c r="R229" i="98"/>
  <c r="U229" i="98" s="1"/>
  <c r="P229" i="108"/>
  <c r="P229" i="107"/>
  <c r="P229" i="106"/>
  <c r="P229" i="105"/>
  <c r="Q225" i="107"/>
  <c r="Q225" i="108"/>
  <c r="Q225" i="106"/>
  <c r="T225" i="106" s="1"/>
  <c r="Q225" i="105"/>
  <c r="T225" i="105" s="1"/>
  <c r="Q225" i="104"/>
  <c r="T225" i="104" s="1"/>
  <c r="R224" i="98"/>
  <c r="Q224" i="108"/>
  <c r="Q224" i="107"/>
  <c r="Q224" i="106"/>
  <c r="Q224" i="105"/>
  <c r="Q217" i="108"/>
  <c r="Q217" i="107"/>
  <c r="Q217" i="105"/>
  <c r="T217" i="105" s="1"/>
  <c r="Q217" i="106"/>
  <c r="S213" i="98"/>
  <c r="R212" i="98"/>
  <c r="Q202" i="108"/>
  <c r="Q202" i="107"/>
  <c r="Q202" i="106"/>
  <c r="Q202" i="105"/>
  <c r="Q202" i="104"/>
  <c r="P201" i="108"/>
  <c r="P201" i="107"/>
  <c r="P201" i="106"/>
  <c r="P201" i="104"/>
  <c r="R201" i="98"/>
  <c r="Q177" i="108"/>
  <c r="Q177" i="107"/>
  <c r="Q177" i="106"/>
  <c r="Q177" i="105"/>
  <c r="P176" i="108"/>
  <c r="P176" i="107"/>
  <c r="P176" i="105"/>
  <c r="P176" i="106"/>
  <c r="P176" i="104"/>
  <c r="Q167" i="108"/>
  <c r="Q167" i="107"/>
  <c r="Q167" i="106"/>
  <c r="Q167" i="105"/>
  <c r="Q167" i="104"/>
  <c r="R165" i="98"/>
  <c r="Q165" i="108"/>
  <c r="Q165" i="106"/>
  <c r="Q165" i="105"/>
  <c r="Q165" i="107"/>
  <c r="Q164" i="108"/>
  <c r="Q164" i="107"/>
  <c r="Q164" i="106"/>
  <c r="Q164" i="104"/>
  <c r="Q164" i="105"/>
  <c r="P163" i="108"/>
  <c r="P163" i="107"/>
  <c r="P163" i="106"/>
  <c r="P159" i="108"/>
  <c r="P159" i="107"/>
  <c r="P159" i="105"/>
  <c r="P159" i="106"/>
  <c r="P159" i="104"/>
  <c r="S159" i="98"/>
  <c r="Q155" i="107"/>
  <c r="Q155" i="106"/>
  <c r="Q155" i="105"/>
  <c r="Q155" i="108"/>
  <c r="P154" i="108"/>
  <c r="P154" i="107"/>
  <c r="P154" i="106"/>
  <c r="P154" i="104"/>
  <c r="P154" i="105"/>
  <c r="P128" i="108"/>
  <c r="P128" i="107"/>
  <c r="P128" i="105"/>
  <c r="P128" i="106"/>
  <c r="P128" i="104"/>
  <c r="S128" i="104" s="1"/>
  <c r="S128" i="98"/>
  <c r="P118" i="108"/>
  <c r="P118" i="107"/>
  <c r="P118" i="106"/>
  <c r="P118" i="105"/>
  <c r="P118" i="104"/>
  <c r="S118" i="104" s="1"/>
  <c r="P109" i="108"/>
  <c r="P109" i="107"/>
  <c r="P109" i="106"/>
  <c r="P109" i="105"/>
  <c r="P109" i="104"/>
  <c r="S109" i="104" s="1"/>
  <c r="R108" i="108"/>
  <c r="R108" i="107"/>
  <c r="R108" i="105"/>
  <c r="R108" i="106"/>
  <c r="R108" i="104"/>
  <c r="U108" i="98"/>
  <c r="R98" i="98"/>
  <c r="U98" i="98" s="1"/>
  <c r="P97" i="108"/>
  <c r="P97" i="107"/>
  <c r="P97" i="105"/>
  <c r="P97" i="106"/>
  <c r="Q90" i="108"/>
  <c r="Q90" i="107"/>
  <c r="Q90" i="106"/>
  <c r="Q90" i="105"/>
  <c r="Q90" i="104"/>
  <c r="T90" i="104" s="1"/>
  <c r="T88" i="98"/>
  <c r="Q88" i="108"/>
  <c r="Q88" i="107"/>
  <c r="Q88" i="106"/>
  <c r="Q88" i="105"/>
  <c r="R82" i="98"/>
  <c r="R50" i="98"/>
  <c r="U50" i="98" s="1"/>
  <c r="P49" i="108"/>
  <c r="P49" i="107"/>
  <c r="P49" i="105"/>
  <c r="P49" i="106"/>
  <c r="P49" i="104"/>
  <c r="S49" i="104" s="1"/>
  <c r="Q48" i="108"/>
  <c r="Q48" i="106"/>
  <c r="Q48" i="105"/>
  <c r="Q48" i="107"/>
  <c r="Q48" i="104"/>
  <c r="T48" i="104" s="1"/>
  <c r="T48" i="98"/>
  <c r="P35" i="108"/>
  <c r="P35" i="107"/>
  <c r="P35" i="105"/>
  <c r="P35" i="106"/>
  <c r="P35" i="104"/>
  <c r="S23" i="98"/>
  <c r="P23" i="108"/>
  <c r="P23" i="107"/>
  <c r="P23" i="105"/>
  <c r="S23" i="105" s="1"/>
  <c r="P23" i="106"/>
  <c r="S23" i="106" s="1"/>
  <c r="P23" i="104"/>
  <c r="S23" i="104" s="1"/>
  <c r="Q14" i="108"/>
  <c r="Q14" i="106"/>
  <c r="Q14" i="107"/>
  <c r="Q14" i="105"/>
  <c r="Q14" i="104"/>
  <c r="P13" i="108"/>
  <c r="P13" i="107"/>
  <c r="P13" i="106"/>
  <c r="P13" i="105"/>
  <c r="P13" i="104"/>
  <c r="R13" i="98"/>
  <c r="P11" i="108"/>
  <c r="P11" i="107"/>
  <c r="P11" i="106"/>
  <c r="P11" i="105"/>
  <c r="P11" i="104"/>
  <c r="S11" i="104" s="1"/>
  <c r="Q10" i="108"/>
  <c r="Q10" i="107"/>
  <c r="Q10" i="106"/>
  <c r="Q10" i="105"/>
  <c r="Q10" i="104"/>
  <c r="T10" i="104" s="1"/>
  <c r="P354" i="104"/>
  <c r="S354" i="104" s="1"/>
  <c r="W354" i="104" s="1"/>
  <c r="Q310" i="104"/>
  <c r="P261" i="104"/>
  <c r="S261" i="104" s="1"/>
  <c r="P250" i="104"/>
  <c r="S250" i="104" s="1"/>
  <c r="Q241" i="104"/>
  <c r="Q217" i="104"/>
  <c r="T217" i="104" s="1"/>
  <c r="P185" i="104"/>
  <c r="Q166" i="104"/>
  <c r="Q72" i="104"/>
  <c r="T72" i="104" s="1"/>
  <c r="Q45" i="104"/>
  <c r="T45" i="104" s="1"/>
  <c r="Q263" i="105"/>
  <c r="P261" i="105"/>
  <c r="S261" i="105" s="1"/>
  <c r="Q251" i="105"/>
  <c r="Q352" i="108"/>
  <c r="Q352" i="107"/>
  <c r="T352" i="107" s="1"/>
  <c r="Q352" i="105"/>
  <c r="T352" i="105" s="1"/>
  <c r="Q352" i="106"/>
  <c r="T352" i="106" s="1"/>
  <c r="Q352" i="104"/>
  <c r="T352" i="104" s="1"/>
  <c r="Q350" i="108"/>
  <c r="Q350" i="107"/>
  <c r="Q350" i="106"/>
  <c r="Q350" i="105"/>
  <c r="Q350" i="104"/>
  <c r="T350" i="104" s="1"/>
  <c r="T350" i="98"/>
  <c r="R348" i="98"/>
  <c r="P345" i="108"/>
  <c r="P345" i="107"/>
  <c r="P345" i="106"/>
  <c r="P345" i="105"/>
  <c r="S345" i="105" s="1"/>
  <c r="R338" i="98"/>
  <c r="P338" i="108"/>
  <c r="P338" i="107"/>
  <c r="P338" i="106"/>
  <c r="P338" i="105"/>
  <c r="P338" i="104"/>
  <c r="Q337" i="108"/>
  <c r="Q337" i="107"/>
  <c r="Q337" i="106"/>
  <c r="Q337" i="105"/>
  <c r="Q337" i="104"/>
  <c r="R333" i="98"/>
  <c r="Q328" i="108"/>
  <c r="Q328" i="106"/>
  <c r="Q328" i="107"/>
  <c r="R325" i="98"/>
  <c r="U325" i="98" s="1"/>
  <c r="Q325" i="108"/>
  <c r="Q325" i="107"/>
  <c r="Q325" i="105"/>
  <c r="Q325" i="106"/>
  <c r="R322" i="98"/>
  <c r="P322" i="107"/>
  <c r="P322" i="108"/>
  <c r="P322" i="105"/>
  <c r="P322" i="106"/>
  <c r="P322" i="104"/>
  <c r="P319" i="108"/>
  <c r="P319" i="107"/>
  <c r="P319" i="106"/>
  <c r="P319" i="105"/>
  <c r="S319" i="105" s="1"/>
  <c r="P315" i="108"/>
  <c r="P315" i="107"/>
  <c r="P315" i="106"/>
  <c r="P315" i="105"/>
  <c r="P315" i="104"/>
  <c r="S305" i="98"/>
  <c r="Q301" i="108"/>
  <c r="Q301" i="107"/>
  <c r="Q301" i="106"/>
  <c r="Q301" i="105"/>
  <c r="T300" i="98"/>
  <c r="Q300" i="108"/>
  <c r="Q300" i="107"/>
  <c r="Q300" i="106"/>
  <c r="T300" i="106" s="1"/>
  <c r="Q300" i="105"/>
  <c r="T300" i="105" s="1"/>
  <c r="Q296" i="108"/>
  <c r="Q296" i="107"/>
  <c r="Q296" i="106"/>
  <c r="T296" i="106" s="1"/>
  <c r="P273" i="108"/>
  <c r="P273" i="107"/>
  <c r="P273" i="105"/>
  <c r="P273" i="106"/>
  <c r="P270" i="108"/>
  <c r="P270" i="107"/>
  <c r="P270" i="106"/>
  <c r="P270" i="105"/>
  <c r="Q262" i="108"/>
  <c r="Q262" i="107"/>
  <c r="Q262" i="105"/>
  <c r="T262" i="105" s="1"/>
  <c r="Q262" i="104"/>
  <c r="T262" i="104" s="1"/>
  <c r="Q262" i="106"/>
  <c r="T262" i="106" s="1"/>
  <c r="P252" i="107"/>
  <c r="P252" i="108"/>
  <c r="P252" i="106"/>
  <c r="P252" i="105"/>
  <c r="P252" i="104"/>
  <c r="S252" i="104" s="1"/>
  <c r="R249" i="98"/>
  <c r="U249" i="98" s="1"/>
  <c r="R248" i="98"/>
  <c r="P248" i="108"/>
  <c r="P248" i="107"/>
  <c r="P248" i="105"/>
  <c r="P248" i="106"/>
  <c r="Q247" i="108"/>
  <c r="Q247" i="107"/>
  <c r="Q247" i="105"/>
  <c r="Q247" i="106"/>
  <c r="Q246" i="108"/>
  <c r="Q246" i="107"/>
  <c r="Q246" i="106"/>
  <c r="Q246" i="105"/>
  <c r="Q244" i="108"/>
  <c r="Q244" i="107"/>
  <c r="Q244" i="106"/>
  <c r="Q244" i="104"/>
  <c r="Q244" i="105"/>
  <c r="R225" i="98"/>
  <c r="U225" i="98" s="1"/>
  <c r="P224" i="108"/>
  <c r="P224" i="107"/>
  <c r="P224" i="105"/>
  <c r="P224" i="106"/>
  <c r="P224" i="104"/>
  <c r="S224" i="104" s="1"/>
  <c r="Q223" i="108"/>
  <c r="Q223" i="107"/>
  <c r="Q223" i="106"/>
  <c r="Q223" i="105"/>
  <c r="T223" i="98"/>
  <c r="R217" i="98"/>
  <c r="R202" i="98"/>
  <c r="P202" i="108"/>
  <c r="P202" i="106"/>
  <c r="P202" i="107"/>
  <c r="P202" i="105"/>
  <c r="P202" i="104"/>
  <c r="R187" i="98"/>
  <c r="P187" i="108"/>
  <c r="P187" i="107"/>
  <c r="P187" i="106"/>
  <c r="P187" i="105"/>
  <c r="P177" i="108"/>
  <c r="P177" i="106"/>
  <c r="P177" i="107"/>
  <c r="P177" i="105"/>
  <c r="Q169" i="108"/>
  <c r="Q169" i="107"/>
  <c r="Q169" i="106"/>
  <c r="Q169" i="105"/>
  <c r="Q169" i="104"/>
  <c r="Q168" i="108"/>
  <c r="Q168" i="105"/>
  <c r="Q168" i="106"/>
  <c r="Q168" i="107"/>
  <c r="P167" i="108"/>
  <c r="P167" i="107"/>
  <c r="P167" i="106"/>
  <c r="P167" i="104"/>
  <c r="P167" i="105"/>
  <c r="R167" i="98"/>
  <c r="P165" i="108"/>
  <c r="P165" i="107"/>
  <c r="P165" i="106"/>
  <c r="P165" i="105"/>
  <c r="P164" i="108"/>
  <c r="P164" i="107"/>
  <c r="P164" i="105"/>
  <c r="P164" i="104"/>
  <c r="R164" i="98"/>
  <c r="P158" i="108"/>
  <c r="P158" i="107"/>
  <c r="P158" i="105"/>
  <c r="P158" i="106"/>
  <c r="Q156" i="108"/>
  <c r="Q156" i="107"/>
  <c r="Q156" i="105"/>
  <c r="Q156" i="106"/>
  <c r="Q143" i="108"/>
  <c r="Q143" i="107"/>
  <c r="Q143" i="105"/>
  <c r="Q143" i="106"/>
  <c r="Q143" i="104"/>
  <c r="T143" i="104" s="1"/>
  <c r="Q136" i="108"/>
  <c r="Q136" i="107"/>
  <c r="Q136" i="105"/>
  <c r="Q136" i="106"/>
  <c r="Q136" i="104"/>
  <c r="T136" i="104" s="1"/>
  <c r="Q117" i="108"/>
  <c r="Q117" i="107"/>
  <c r="Q117" i="105"/>
  <c r="Q117" i="106"/>
  <c r="Q117" i="104"/>
  <c r="T117" i="104" s="1"/>
  <c r="T116" i="98"/>
  <c r="Q116" i="108"/>
  <c r="Q116" i="107"/>
  <c r="Q116" i="105"/>
  <c r="Q116" i="106"/>
  <c r="Q108" i="108"/>
  <c r="Q108" i="107"/>
  <c r="Q108" i="106"/>
  <c r="Q108" i="105"/>
  <c r="Q108" i="104"/>
  <c r="T108" i="104" s="1"/>
  <c r="Q106" i="108"/>
  <c r="Q106" i="107"/>
  <c r="Q106" i="106"/>
  <c r="Q106" i="105"/>
  <c r="Q105" i="107"/>
  <c r="Q105" i="108"/>
  <c r="Q105" i="105"/>
  <c r="Q105" i="106"/>
  <c r="Q105" i="104"/>
  <c r="T105" i="104" s="1"/>
  <c r="P96" i="108"/>
  <c r="P96" i="107"/>
  <c r="P96" i="106"/>
  <c r="P96" i="105"/>
  <c r="P96" i="104"/>
  <c r="S96" i="104" s="1"/>
  <c r="R90" i="98"/>
  <c r="Q89" i="108"/>
  <c r="Q89" i="107"/>
  <c r="Q89" i="106"/>
  <c r="Q89" i="104"/>
  <c r="T89" i="104" s="1"/>
  <c r="P88" i="108"/>
  <c r="P88" i="107"/>
  <c r="P88" i="105"/>
  <c r="P88" i="106"/>
  <c r="P88" i="104"/>
  <c r="S88" i="104" s="1"/>
  <c r="P75" i="108"/>
  <c r="P75" i="107"/>
  <c r="P75" i="105"/>
  <c r="P75" i="106"/>
  <c r="P75" i="104"/>
  <c r="S75" i="104" s="1"/>
  <c r="P66" i="108"/>
  <c r="P66" i="107"/>
  <c r="P66" i="105"/>
  <c r="P66" i="106"/>
  <c r="P66" i="104"/>
  <c r="S66" i="104" s="1"/>
  <c r="P62" i="108"/>
  <c r="P62" i="107"/>
  <c r="P62" i="106"/>
  <c r="P62" i="105"/>
  <c r="P62" i="104"/>
  <c r="S62" i="104" s="1"/>
  <c r="T61" i="98"/>
  <c r="Q61" i="108"/>
  <c r="Q61" i="107"/>
  <c r="Q61" i="106"/>
  <c r="Q61" i="105"/>
  <c r="Q61" i="104"/>
  <c r="T61" i="104" s="1"/>
  <c r="P48" i="108"/>
  <c r="P48" i="107"/>
  <c r="P48" i="105"/>
  <c r="P48" i="104"/>
  <c r="S48" i="104" s="1"/>
  <c r="P48" i="106"/>
  <c r="Q47" i="108"/>
  <c r="Q47" i="106"/>
  <c r="Q47" i="105"/>
  <c r="Q47" i="107"/>
  <c r="Q47" i="104"/>
  <c r="T47" i="104" s="1"/>
  <c r="P34" i="108"/>
  <c r="P34" i="107"/>
  <c r="P34" i="106"/>
  <c r="P34" i="105"/>
  <c r="P34" i="104"/>
  <c r="Q27" i="108"/>
  <c r="Q27" i="105"/>
  <c r="Q27" i="106"/>
  <c r="Q27" i="107"/>
  <c r="Q27" i="104"/>
  <c r="R15" i="98"/>
  <c r="R14" i="98"/>
  <c r="P10" i="108"/>
  <c r="P10" i="107"/>
  <c r="P10" i="106"/>
  <c r="P10" i="105"/>
  <c r="P10" i="104"/>
  <c r="R10" i="98"/>
  <c r="U10" i="98" s="1"/>
  <c r="Q9" i="108"/>
  <c r="Q9" i="107"/>
  <c r="Q9" i="105"/>
  <c r="Q9" i="106"/>
  <c r="T8" i="98"/>
  <c r="Q8" i="108"/>
  <c r="Q8" i="107"/>
  <c r="Q8" i="106"/>
  <c r="Q8" i="105"/>
  <c r="Q8" i="104"/>
  <c r="T8" i="104" s="1"/>
  <c r="Q325" i="104"/>
  <c r="T320" i="104"/>
  <c r="Q319" i="104"/>
  <c r="T319" i="104" s="1"/>
  <c r="T285" i="104"/>
  <c r="P253" i="104"/>
  <c r="S253" i="104" s="1"/>
  <c r="Q251" i="104"/>
  <c r="T251" i="104" s="1"/>
  <c r="S225" i="104"/>
  <c r="Q168" i="104"/>
  <c r="Q88" i="104"/>
  <c r="T88" i="104" s="1"/>
  <c r="T65" i="104"/>
  <c r="P333" i="105"/>
  <c r="P163" i="105"/>
  <c r="R352" i="98"/>
  <c r="V352" i="98" s="1"/>
  <c r="P352" i="108"/>
  <c r="P352" i="106"/>
  <c r="S352" i="106" s="1"/>
  <c r="W352" i="106" s="1"/>
  <c r="P352" i="107"/>
  <c r="S352" i="107" s="1"/>
  <c r="W352" i="107" s="1"/>
  <c r="P352" i="105"/>
  <c r="S352" i="105" s="1"/>
  <c r="W352" i="105" s="1"/>
  <c r="Q348" i="108"/>
  <c r="Q348" i="107"/>
  <c r="Q348" i="106"/>
  <c r="Q348" i="105"/>
  <c r="Q348" i="104"/>
  <c r="T348" i="104" s="1"/>
  <c r="S337" i="98"/>
  <c r="P337" i="108"/>
  <c r="P337" i="107"/>
  <c r="P337" i="106"/>
  <c r="P337" i="105"/>
  <c r="T333" i="98"/>
  <c r="Q333" i="108"/>
  <c r="Q333" i="107"/>
  <c r="Q333" i="106"/>
  <c r="Q333" i="105"/>
  <c r="T314" i="98"/>
  <c r="Q314" i="108"/>
  <c r="Q314" i="106"/>
  <c r="Q314" i="105"/>
  <c r="Q314" i="107"/>
  <c r="Q314" i="104"/>
  <c r="R309" i="98"/>
  <c r="P309" i="108"/>
  <c r="P309" i="107"/>
  <c r="P309" i="106"/>
  <c r="P309" i="105"/>
  <c r="Q307" i="108"/>
  <c r="Q307" i="107"/>
  <c r="Q307" i="106"/>
  <c r="Q307" i="105"/>
  <c r="Q307" i="104"/>
  <c r="R304" i="107"/>
  <c r="R304" i="108"/>
  <c r="R304" i="106"/>
  <c r="R304" i="105"/>
  <c r="R304" i="104"/>
  <c r="R300" i="98"/>
  <c r="P300" i="108"/>
  <c r="P300" i="107"/>
  <c r="P300" i="105"/>
  <c r="S300" i="105" s="1"/>
  <c r="P300" i="106"/>
  <c r="S300" i="106" s="1"/>
  <c r="P300" i="104"/>
  <c r="S300" i="104" s="1"/>
  <c r="Q288" i="108"/>
  <c r="Q288" i="106"/>
  <c r="Q288" i="105"/>
  <c r="Q288" i="107"/>
  <c r="Q286" i="108"/>
  <c r="Q286" i="107"/>
  <c r="Q286" i="106"/>
  <c r="Q286" i="105"/>
  <c r="P262" i="108"/>
  <c r="P262" i="107"/>
  <c r="P262" i="105"/>
  <c r="S262" i="105" s="1"/>
  <c r="P262" i="106"/>
  <c r="S262" i="106" s="1"/>
  <c r="R262" i="98"/>
  <c r="U262" i="98" s="1"/>
  <c r="U261" i="98"/>
  <c r="R261" i="108"/>
  <c r="R261" i="106"/>
  <c r="R261" i="107"/>
  <c r="R261" i="105"/>
  <c r="U261" i="105" s="1"/>
  <c r="R261" i="104"/>
  <c r="P245" i="108"/>
  <c r="P245" i="107"/>
  <c r="P245" i="105"/>
  <c r="P245" i="106"/>
  <c r="Q241" i="108"/>
  <c r="Q241" i="107"/>
  <c r="Q241" i="106"/>
  <c r="Q241" i="105"/>
  <c r="P240" i="108"/>
  <c r="P240" i="107"/>
  <c r="P240" i="106"/>
  <c r="P240" i="105"/>
  <c r="S240" i="105" s="1"/>
  <c r="P240" i="104"/>
  <c r="S240" i="104" s="1"/>
  <c r="Q233" i="108"/>
  <c r="Q233" i="107"/>
  <c r="Q233" i="105"/>
  <c r="P223" i="108"/>
  <c r="P223" i="107"/>
  <c r="P223" i="106"/>
  <c r="P223" i="105"/>
  <c r="P223" i="104"/>
  <c r="S223" i="104" s="1"/>
  <c r="R221" i="108"/>
  <c r="R221" i="107"/>
  <c r="R221" i="105"/>
  <c r="R221" i="106"/>
  <c r="R216" i="98"/>
  <c r="Q216" i="108"/>
  <c r="Q216" i="107"/>
  <c r="Q216" i="106"/>
  <c r="Q216" i="105"/>
  <c r="T216" i="105" s="1"/>
  <c r="Q216" i="104"/>
  <c r="T216" i="104" s="1"/>
  <c r="Q204" i="108"/>
  <c r="Q204" i="107"/>
  <c r="Q204" i="105"/>
  <c r="Q204" i="106"/>
  <c r="Q204" i="104"/>
  <c r="T195" i="98"/>
  <c r="Q195" i="108"/>
  <c r="Q195" i="107"/>
  <c r="Q195" i="106"/>
  <c r="Q195" i="105"/>
  <c r="Q195" i="104"/>
  <c r="Q184" i="108"/>
  <c r="Q184" i="106"/>
  <c r="Q184" i="107"/>
  <c r="Q184" i="104"/>
  <c r="Q184" i="105"/>
  <c r="R181" i="108"/>
  <c r="R181" i="107"/>
  <c r="R181" i="106"/>
  <c r="R181" i="105"/>
  <c r="R180" i="108"/>
  <c r="R180" i="107"/>
  <c r="R180" i="105"/>
  <c r="R180" i="106"/>
  <c r="R180" i="104"/>
  <c r="P168" i="108"/>
  <c r="P168" i="107"/>
  <c r="P168" i="106"/>
  <c r="P168" i="104"/>
  <c r="R168" i="98"/>
  <c r="P168" i="105"/>
  <c r="Q142" i="108"/>
  <c r="Q142" i="107"/>
  <c r="Q142" i="106"/>
  <c r="Q142" i="105"/>
  <c r="T142" i="98"/>
  <c r="Q135" i="108"/>
  <c r="Q135" i="107"/>
  <c r="Q135" i="106"/>
  <c r="Q135" i="105"/>
  <c r="T125" i="98"/>
  <c r="Q125" i="108"/>
  <c r="Q125" i="107"/>
  <c r="Q125" i="105"/>
  <c r="Q125" i="106"/>
  <c r="S116" i="98"/>
  <c r="P116" i="108"/>
  <c r="P116" i="107"/>
  <c r="P116" i="106"/>
  <c r="P116" i="105"/>
  <c r="R116" i="98"/>
  <c r="U116" i="98" s="1"/>
  <c r="P116" i="104"/>
  <c r="S116" i="104" s="1"/>
  <c r="P107" i="108"/>
  <c r="P107" i="107"/>
  <c r="P107" i="106"/>
  <c r="P107" i="105"/>
  <c r="P107" i="104"/>
  <c r="S107" i="104" s="1"/>
  <c r="R104" i="98"/>
  <c r="Q104" i="108"/>
  <c r="Q104" i="107"/>
  <c r="Q104" i="106"/>
  <c r="Q104" i="105"/>
  <c r="Q104" i="104"/>
  <c r="T104" i="104" s="1"/>
  <c r="T104" i="98"/>
  <c r="R87" i="98"/>
  <c r="U87" i="98" s="1"/>
  <c r="P87" i="108"/>
  <c r="P87" i="107"/>
  <c r="P87" i="105"/>
  <c r="P87" i="104"/>
  <c r="S87" i="104" s="1"/>
  <c r="P87" i="106"/>
  <c r="P82" i="108"/>
  <c r="P82" i="107"/>
  <c r="P82" i="105"/>
  <c r="P82" i="106"/>
  <c r="R74" i="107"/>
  <c r="R74" i="106"/>
  <c r="P60" i="108"/>
  <c r="P60" i="107"/>
  <c r="P60" i="106"/>
  <c r="P60" i="105"/>
  <c r="T22" i="98"/>
  <c r="Q22" i="108"/>
  <c r="Q22" i="107"/>
  <c r="Q22" i="106"/>
  <c r="Q22" i="104"/>
  <c r="T22" i="104" s="1"/>
  <c r="P8" i="108"/>
  <c r="P8" i="107"/>
  <c r="P8" i="106"/>
  <c r="P8" i="105"/>
  <c r="P8" i="104"/>
  <c r="S8" i="104" s="1"/>
  <c r="Q333" i="104"/>
  <c r="P297" i="104"/>
  <c r="S297" i="104" s="1"/>
  <c r="R221" i="104"/>
  <c r="T351" i="98"/>
  <c r="Q347" i="107"/>
  <c r="Q347" i="108"/>
  <c r="Q347" i="106"/>
  <c r="P341" i="108"/>
  <c r="P341" i="106"/>
  <c r="P341" i="107"/>
  <c r="P341" i="105"/>
  <c r="S341" i="98"/>
  <c r="Q318" i="108"/>
  <c r="Q318" i="107"/>
  <c r="Q318" i="106"/>
  <c r="Q318" i="105"/>
  <c r="Q304" i="108"/>
  <c r="Q304" i="107"/>
  <c r="Q304" i="106"/>
  <c r="Q304" i="105"/>
  <c r="T299" i="98"/>
  <c r="Q299" i="108"/>
  <c r="Q299" i="106"/>
  <c r="T299" i="106" s="1"/>
  <c r="Q299" i="107"/>
  <c r="Q299" i="105"/>
  <c r="T299" i="105" s="1"/>
  <c r="Q299" i="104"/>
  <c r="T299" i="104" s="1"/>
  <c r="P286" i="108"/>
  <c r="P286" i="106"/>
  <c r="P286" i="105"/>
  <c r="P286" i="107"/>
  <c r="Q260" i="108"/>
  <c r="Q260" i="107"/>
  <c r="Q260" i="106"/>
  <c r="T260" i="106" s="1"/>
  <c r="Q260" i="105"/>
  <c r="T260" i="105" s="1"/>
  <c r="Q260" i="104"/>
  <c r="T260" i="104" s="1"/>
  <c r="S239" i="98"/>
  <c r="P239" i="108"/>
  <c r="P239" i="107"/>
  <c r="P239" i="106"/>
  <c r="P239" i="105"/>
  <c r="P234" i="108"/>
  <c r="P234" i="107"/>
  <c r="P234" i="106"/>
  <c r="P234" i="105"/>
  <c r="P234" i="104"/>
  <c r="R234" i="98"/>
  <c r="P233" i="108"/>
  <c r="P233" i="107"/>
  <c r="P233" i="106"/>
  <c r="R233" i="98"/>
  <c r="P222" i="108"/>
  <c r="P222" i="107"/>
  <c r="P222" i="105"/>
  <c r="P222" i="106"/>
  <c r="Q220" i="108"/>
  <c r="Q220" i="107"/>
  <c r="Q220" i="106"/>
  <c r="Q220" i="105"/>
  <c r="T220" i="105" s="1"/>
  <c r="T219" i="98"/>
  <c r="Q219" i="108"/>
  <c r="Q219" i="107"/>
  <c r="Q219" i="105"/>
  <c r="T219" i="105" s="1"/>
  <c r="Q219" i="106"/>
  <c r="P216" i="108"/>
  <c r="P216" i="107"/>
  <c r="P216" i="106"/>
  <c r="P216" i="105"/>
  <c r="S216" i="105" s="1"/>
  <c r="S216" i="98"/>
  <c r="Q215" i="108"/>
  <c r="T215" i="108" s="1"/>
  <c r="Q215" i="107"/>
  <c r="T215" i="107" s="1"/>
  <c r="Q215" i="106"/>
  <c r="T215" i="106" s="1"/>
  <c r="Q215" i="105"/>
  <c r="Q215" i="104"/>
  <c r="T215" i="104" s="1"/>
  <c r="T215" i="98"/>
  <c r="Q211" i="108"/>
  <c r="T211" i="108" s="1"/>
  <c r="Q211" i="107"/>
  <c r="T211" i="107" s="1"/>
  <c r="Q211" i="105"/>
  <c r="T211" i="105" s="1"/>
  <c r="Q211" i="106"/>
  <c r="T211" i="106" s="1"/>
  <c r="Q211" i="104"/>
  <c r="T211" i="104" s="1"/>
  <c r="T211" i="98"/>
  <c r="P205" i="108"/>
  <c r="P205" i="107"/>
  <c r="P205" i="106"/>
  <c r="P205" i="105"/>
  <c r="P205" i="104"/>
  <c r="P204" i="108"/>
  <c r="P204" i="107"/>
  <c r="P204" i="105"/>
  <c r="P204" i="106"/>
  <c r="R204" i="98"/>
  <c r="Q197" i="107"/>
  <c r="Q197" i="108"/>
  <c r="Q197" i="106"/>
  <c r="Q197" i="105"/>
  <c r="Q197" i="104"/>
  <c r="P195" i="108"/>
  <c r="P195" i="107"/>
  <c r="P195" i="105"/>
  <c r="P195" i="106"/>
  <c r="Q194" i="107"/>
  <c r="Q194" i="106"/>
  <c r="Q194" i="105"/>
  <c r="Q194" i="108"/>
  <c r="Q194" i="104"/>
  <c r="R193" i="104"/>
  <c r="P185" i="108"/>
  <c r="P185" i="107"/>
  <c r="P185" i="106"/>
  <c r="P185" i="105"/>
  <c r="P183" i="108"/>
  <c r="P183" i="107"/>
  <c r="P183" i="106"/>
  <c r="P183" i="105"/>
  <c r="R182" i="98"/>
  <c r="P182" i="108"/>
  <c r="P182" i="107"/>
  <c r="P182" i="106"/>
  <c r="P182" i="104"/>
  <c r="P182" i="105"/>
  <c r="P178" i="108"/>
  <c r="P178" i="107"/>
  <c r="P178" i="105"/>
  <c r="P178" i="106"/>
  <c r="P178" i="104"/>
  <c r="Q172" i="107"/>
  <c r="Q172" i="108"/>
  <c r="Q172" i="106"/>
  <c r="Q172" i="104"/>
  <c r="Q171" i="108"/>
  <c r="Q171" i="107"/>
  <c r="Q171" i="106"/>
  <c r="Q171" i="105"/>
  <c r="P170" i="108"/>
  <c r="P170" i="107"/>
  <c r="P170" i="106"/>
  <c r="P170" i="104"/>
  <c r="P170" i="105"/>
  <c r="P157" i="108"/>
  <c r="P157" i="107"/>
  <c r="P157" i="106"/>
  <c r="P157" i="105"/>
  <c r="P157" i="104"/>
  <c r="R151" i="108"/>
  <c r="R151" i="107"/>
  <c r="R151" i="106"/>
  <c r="R151" i="104"/>
  <c r="R151" i="105"/>
  <c r="Q150" i="108"/>
  <c r="Q150" i="107"/>
  <c r="Q150" i="106"/>
  <c r="Q150" i="105"/>
  <c r="T150" i="98"/>
  <c r="R135" i="98"/>
  <c r="U135" i="98" s="1"/>
  <c r="Q134" i="108"/>
  <c r="Q134" i="107"/>
  <c r="Q134" i="106"/>
  <c r="Q134" i="105"/>
  <c r="Q134" i="104"/>
  <c r="T134" i="104" s="1"/>
  <c r="Q126" i="108"/>
  <c r="Q126" i="107"/>
  <c r="Q126" i="106"/>
  <c r="Q126" i="105"/>
  <c r="Q126" i="104"/>
  <c r="T126" i="104" s="1"/>
  <c r="T126" i="98"/>
  <c r="P124" i="107"/>
  <c r="P124" i="108"/>
  <c r="P124" i="106"/>
  <c r="P124" i="105"/>
  <c r="P124" i="104"/>
  <c r="S124" i="104" s="1"/>
  <c r="T123" i="98"/>
  <c r="Q123" i="108"/>
  <c r="Q123" i="107"/>
  <c r="Q123" i="106"/>
  <c r="P115" i="108"/>
  <c r="P115" i="107"/>
  <c r="P115" i="106"/>
  <c r="P115" i="105"/>
  <c r="P115" i="104"/>
  <c r="S115" i="104" s="1"/>
  <c r="T113" i="98"/>
  <c r="Q113" i="108"/>
  <c r="Q113" i="107"/>
  <c r="Q113" i="106"/>
  <c r="Q113" i="105"/>
  <c r="R103" i="108"/>
  <c r="R103" i="107"/>
  <c r="R103" i="106"/>
  <c r="R103" i="105"/>
  <c r="R103" i="104"/>
  <c r="P94" i="108"/>
  <c r="P94" i="107"/>
  <c r="P94" i="105"/>
  <c r="P94" i="106"/>
  <c r="P94" i="104"/>
  <c r="S94" i="104" s="1"/>
  <c r="S94" i="98"/>
  <c r="P86" i="108"/>
  <c r="P86" i="107"/>
  <c r="P86" i="105"/>
  <c r="P86" i="106"/>
  <c r="P86" i="104"/>
  <c r="S86" i="104" s="1"/>
  <c r="T80" i="98"/>
  <c r="Q80" i="108"/>
  <c r="Q80" i="105"/>
  <c r="Q80" i="107"/>
  <c r="Q80" i="106"/>
  <c r="Q80" i="104"/>
  <c r="T80" i="104" s="1"/>
  <c r="P79" i="108"/>
  <c r="P79" i="107"/>
  <c r="P79" i="105"/>
  <c r="P79" i="106"/>
  <c r="P79" i="104"/>
  <c r="S79" i="104" s="1"/>
  <c r="Q78" i="108"/>
  <c r="Q78" i="107"/>
  <c r="Q78" i="106"/>
  <c r="Q78" i="104"/>
  <c r="T78" i="104" s="1"/>
  <c r="T77" i="98"/>
  <c r="Q77" i="108"/>
  <c r="Q77" i="107"/>
  <c r="Q77" i="105"/>
  <c r="Q77" i="106"/>
  <c r="Q77" i="104"/>
  <c r="Q74" i="108"/>
  <c r="Q74" i="107"/>
  <c r="Q74" i="106"/>
  <c r="Q74" i="105"/>
  <c r="Q74" i="104"/>
  <c r="T74" i="104" s="1"/>
  <c r="P64" i="108"/>
  <c r="P64" i="107"/>
  <c r="P64" i="106"/>
  <c r="P64" i="105"/>
  <c r="P59" i="107"/>
  <c r="P59" i="108"/>
  <c r="P59" i="106"/>
  <c r="P59" i="105"/>
  <c r="Q58" i="108"/>
  <c r="Q58" i="107"/>
  <c r="Q58" i="105"/>
  <c r="Q58" i="106"/>
  <c r="Q58" i="104"/>
  <c r="T58" i="104" s="1"/>
  <c r="T55" i="98"/>
  <c r="Q55" i="108"/>
  <c r="Q55" i="107"/>
  <c r="Q55" i="106"/>
  <c r="Q55" i="105"/>
  <c r="Q55" i="104"/>
  <c r="T55" i="104" s="1"/>
  <c r="T54" i="98"/>
  <c r="Q54" i="108"/>
  <c r="Q54" i="107"/>
  <c r="Q54" i="105"/>
  <c r="Q54" i="106"/>
  <c r="Q45" i="108"/>
  <c r="Q45" i="107"/>
  <c r="Q45" i="105"/>
  <c r="Q45" i="106"/>
  <c r="R42" i="108"/>
  <c r="R42" i="107"/>
  <c r="R42" i="106"/>
  <c r="R42" i="105"/>
  <c r="R42" i="104"/>
  <c r="Q30" i="108"/>
  <c r="Q30" i="107"/>
  <c r="Q30" i="105"/>
  <c r="Q30" i="106"/>
  <c r="Q30" i="104"/>
  <c r="R29" i="108"/>
  <c r="R29" i="107"/>
  <c r="R29" i="106"/>
  <c r="R29" i="105"/>
  <c r="R29" i="104"/>
  <c r="Q28" i="108"/>
  <c r="Q28" i="107"/>
  <c r="Q28" i="106"/>
  <c r="Q28" i="104"/>
  <c r="Q28" i="105"/>
  <c r="P26" i="108"/>
  <c r="P26" i="107"/>
  <c r="P26" i="105"/>
  <c r="S26" i="105" s="1"/>
  <c r="P26" i="106"/>
  <c r="S26" i="106" s="1"/>
  <c r="P26" i="104"/>
  <c r="S26" i="104" s="1"/>
  <c r="R18" i="108"/>
  <c r="R18" i="107"/>
  <c r="R18" i="105"/>
  <c r="R18" i="106"/>
  <c r="R18" i="104"/>
  <c r="Q16" i="108"/>
  <c r="Q16" i="106"/>
  <c r="Q16" i="105"/>
  <c r="Q16" i="107"/>
  <c r="Q16" i="104"/>
  <c r="P15" i="108"/>
  <c r="P15" i="107"/>
  <c r="P15" i="106"/>
  <c r="P15" i="104"/>
  <c r="P7" i="108"/>
  <c r="P7" i="107"/>
  <c r="P7" i="106"/>
  <c r="S7" i="106" s="1"/>
  <c r="P7" i="105"/>
  <c r="S7" i="105" s="1"/>
  <c r="P7" i="104"/>
  <c r="S7" i="104" s="1"/>
  <c r="P353" i="104"/>
  <c r="S353" i="104" s="1"/>
  <c r="W353" i="104" s="1"/>
  <c r="Q340" i="104"/>
  <c r="Q339" i="104"/>
  <c r="Q338" i="104"/>
  <c r="P337" i="104"/>
  <c r="Q334" i="104"/>
  <c r="T334" i="104" s="1"/>
  <c r="P332" i="104"/>
  <c r="Q329" i="104"/>
  <c r="T329" i="104" s="1"/>
  <c r="Q292" i="104"/>
  <c r="Q290" i="104"/>
  <c r="T290" i="104" s="1"/>
  <c r="P280" i="104"/>
  <c r="Q233" i="104"/>
  <c r="T223" i="104"/>
  <c r="Q220" i="104"/>
  <c r="T220" i="104" s="1"/>
  <c r="T219" i="104"/>
  <c r="P208" i="104"/>
  <c r="P203" i="104"/>
  <c r="P129" i="104"/>
  <c r="S129" i="104" s="1"/>
  <c r="P59" i="104"/>
  <c r="S59" i="104" s="1"/>
  <c r="Q54" i="104"/>
  <c r="T54" i="104" s="1"/>
  <c r="P233" i="105"/>
  <c r="Q233" i="106"/>
  <c r="T354" i="98"/>
  <c r="Y354" i="98" s="1"/>
  <c r="Q354" i="108"/>
  <c r="T354" i="108" s="1"/>
  <c r="Y354" i="108" s="1"/>
  <c r="Q354" i="107"/>
  <c r="T354" i="107" s="1"/>
  <c r="Y354" i="107" s="1"/>
  <c r="Q354" i="106"/>
  <c r="T354" i="106" s="1"/>
  <c r="Y354" i="106" s="1"/>
  <c r="S349" i="98"/>
  <c r="S348" i="98"/>
  <c r="R347" i="98"/>
  <c r="P347" i="108"/>
  <c r="P347" i="107"/>
  <c r="P347" i="106"/>
  <c r="P347" i="105"/>
  <c r="S347" i="105" s="1"/>
  <c r="Q343" i="108"/>
  <c r="Q343" i="107"/>
  <c r="Q343" i="105"/>
  <c r="Q343" i="106"/>
  <c r="T343" i="98"/>
  <c r="R331" i="98"/>
  <c r="P331" i="108"/>
  <c r="P331" i="107"/>
  <c r="P331" i="106"/>
  <c r="P331" i="105"/>
  <c r="S327" i="98"/>
  <c r="P327" i="107"/>
  <c r="P327" i="106"/>
  <c r="P327" i="108"/>
  <c r="P327" i="105"/>
  <c r="P327" i="104"/>
  <c r="Q324" i="108"/>
  <c r="Q324" i="107"/>
  <c r="Q324" i="106"/>
  <c r="T321" i="98"/>
  <c r="Q321" i="108"/>
  <c r="Q321" i="107"/>
  <c r="Q321" i="106"/>
  <c r="Q321" i="105"/>
  <c r="P318" i="108"/>
  <c r="P318" i="107"/>
  <c r="P318" i="106"/>
  <c r="P318" i="105"/>
  <c r="Q317" i="108"/>
  <c r="Q317" i="107"/>
  <c r="Q317" i="106"/>
  <c r="Q317" i="104"/>
  <c r="T317" i="104" s="1"/>
  <c r="Q317" i="105"/>
  <c r="P313" i="107"/>
  <c r="P313" i="108"/>
  <c r="P313" i="105"/>
  <c r="P313" i="106"/>
  <c r="P313" i="104"/>
  <c r="Q306" i="108"/>
  <c r="Q306" i="107"/>
  <c r="Q306" i="106"/>
  <c r="Q306" i="105"/>
  <c r="T306" i="105" s="1"/>
  <c r="R299" i="98"/>
  <c r="P299" i="108"/>
  <c r="P299" i="107"/>
  <c r="P299" i="106"/>
  <c r="S299" i="106" s="1"/>
  <c r="P299" i="105"/>
  <c r="S299" i="105" s="1"/>
  <c r="P295" i="108"/>
  <c r="P295" i="106"/>
  <c r="S295" i="106" s="1"/>
  <c r="P295" i="107"/>
  <c r="P295" i="105"/>
  <c r="S295" i="105" s="1"/>
  <c r="Q278" i="108"/>
  <c r="Q278" i="106"/>
  <c r="Q278" i="107"/>
  <c r="Q278" i="104"/>
  <c r="T278" i="104" s="1"/>
  <c r="Q278" i="105"/>
  <c r="R266" i="108"/>
  <c r="R266" i="107"/>
  <c r="R266" i="106"/>
  <c r="R266" i="105"/>
  <c r="Q265" i="108"/>
  <c r="Q265" i="106"/>
  <c r="Q265" i="107"/>
  <c r="Q265" i="105"/>
  <c r="Q265" i="104"/>
  <c r="R264" i="98"/>
  <c r="P264" i="108"/>
  <c r="P264" i="107"/>
  <c r="P264" i="106"/>
  <c r="P264" i="105"/>
  <c r="P264" i="104"/>
  <c r="P261" i="108"/>
  <c r="P261" i="107"/>
  <c r="R260" i="98"/>
  <c r="P260" i="108"/>
  <c r="P260" i="107"/>
  <c r="P260" i="106"/>
  <c r="S260" i="106" s="1"/>
  <c r="P260" i="105"/>
  <c r="S260" i="105" s="1"/>
  <c r="Q256" i="107"/>
  <c r="Q256" i="108"/>
  <c r="Q256" i="106"/>
  <c r="Q256" i="104"/>
  <c r="T256" i="104" s="1"/>
  <c r="P242" i="108"/>
  <c r="P242" i="107"/>
  <c r="P242" i="106"/>
  <c r="P242" i="105"/>
  <c r="P242" i="104"/>
  <c r="P238" i="108"/>
  <c r="P238" i="107"/>
  <c r="P238" i="106"/>
  <c r="S238" i="106" s="1"/>
  <c r="P238" i="105"/>
  <c r="S238" i="105" s="1"/>
  <c r="Q237" i="108"/>
  <c r="Q237" i="107"/>
  <c r="Q237" i="106"/>
  <c r="T237" i="106" s="1"/>
  <c r="Q237" i="105"/>
  <c r="T237" i="105" s="1"/>
  <c r="P235" i="107"/>
  <c r="P235" i="108"/>
  <c r="P235" i="106"/>
  <c r="P235" i="105"/>
  <c r="R232" i="98"/>
  <c r="P232" i="108"/>
  <c r="P232" i="107"/>
  <c r="P232" i="106"/>
  <c r="P232" i="105"/>
  <c r="S221" i="98"/>
  <c r="P221" i="108"/>
  <c r="P221" i="107"/>
  <c r="P221" i="106"/>
  <c r="P221" i="105"/>
  <c r="P219" i="108"/>
  <c r="P219" i="107"/>
  <c r="P219" i="106"/>
  <c r="P219" i="104"/>
  <c r="S219" i="104" s="1"/>
  <c r="Q214" i="108"/>
  <c r="T214" i="108" s="1"/>
  <c r="Q214" i="107"/>
  <c r="T214" i="107" s="1"/>
  <c r="Q214" i="106"/>
  <c r="T214" i="106" s="1"/>
  <c r="Q214" i="105"/>
  <c r="T214" i="105" s="1"/>
  <c r="P211" i="108"/>
  <c r="S211" i="108" s="1"/>
  <c r="P211" i="107"/>
  <c r="S211" i="107" s="1"/>
  <c r="P211" i="106"/>
  <c r="S211" i="106" s="1"/>
  <c r="P211" i="104"/>
  <c r="S211" i="104" s="1"/>
  <c r="Q207" i="108"/>
  <c r="Q207" i="106"/>
  <c r="Q207" i="105"/>
  <c r="Q207" i="107"/>
  <c r="Q207" i="104"/>
  <c r="P206" i="108"/>
  <c r="P206" i="106"/>
  <c r="P206" i="107"/>
  <c r="P206" i="105"/>
  <c r="Q198" i="108"/>
  <c r="Q198" i="107"/>
  <c r="Q198" i="105"/>
  <c r="P197" i="108"/>
  <c r="P197" i="107"/>
  <c r="P197" i="106"/>
  <c r="P197" i="105"/>
  <c r="R197" i="98"/>
  <c r="P196" i="108"/>
  <c r="P196" i="107"/>
  <c r="P196" i="106"/>
  <c r="P196" i="105"/>
  <c r="T193" i="98"/>
  <c r="Q193" i="108"/>
  <c r="Q193" i="107"/>
  <c r="Q193" i="105"/>
  <c r="Q191" i="108"/>
  <c r="Q191" i="107"/>
  <c r="Q191" i="106"/>
  <c r="Q191" i="105"/>
  <c r="Q191" i="104"/>
  <c r="T191" i="98"/>
  <c r="P181" i="108"/>
  <c r="P181" i="107"/>
  <c r="P181" i="105"/>
  <c r="P181" i="106"/>
  <c r="P181" i="104"/>
  <c r="P180" i="108"/>
  <c r="P180" i="107"/>
  <c r="P180" i="106"/>
  <c r="P180" i="105"/>
  <c r="P171" i="108"/>
  <c r="P171" i="107"/>
  <c r="P171" i="106"/>
  <c r="P171" i="105"/>
  <c r="P171" i="104"/>
  <c r="S157" i="98"/>
  <c r="Q151" i="108"/>
  <c r="Q151" i="107"/>
  <c r="Q151" i="106"/>
  <c r="Q151" i="105"/>
  <c r="Q151" i="104"/>
  <c r="P150" i="108"/>
  <c r="P150" i="107"/>
  <c r="P150" i="106"/>
  <c r="P150" i="105"/>
  <c r="P150" i="104"/>
  <c r="S150" i="104" s="1"/>
  <c r="R133" i="98"/>
  <c r="Q133" i="108"/>
  <c r="Q133" i="107"/>
  <c r="Q133" i="106"/>
  <c r="Q133" i="105"/>
  <c r="T133" i="98"/>
  <c r="Q132" i="108"/>
  <c r="Q132" i="107"/>
  <c r="Q132" i="106"/>
  <c r="Q132" i="105"/>
  <c r="Q132" i="104"/>
  <c r="T132" i="104" s="1"/>
  <c r="P123" i="108"/>
  <c r="P123" i="106"/>
  <c r="P123" i="105"/>
  <c r="P123" i="107"/>
  <c r="P123" i="104"/>
  <c r="S123" i="104" s="1"/>
  <c r="Q122" i="108"/>
  <c r="Q122" i="107"/>
  <c r="Q122" i="105"/>
  <c r="Q122" i="106"/>
  <c r="T121" i="98"/>
  <c r="Q121" i="107"/>
  <c r="Q121" i="108"/>
  <c r="Q121" i="106"/>
  <c r="Q121" i="104"/>
  <c r="T121" i="104" s="1"/>
  <c r="Q121" i="105"/>
  <c r="Q112" i="108"/>
  <c r="Q112" i="107"/>
  <c r="Q112" i="106"/>
  <c r="Q112" i="105"/>
  <c r="Q112" i="104"/>
  <c r="T112" i="104" s="1"/>
  <c r="U100" i="98"/>
  <c r="R100" i="108"/>
  <c r="R100" i="107"/>
  <c r="R100" i="106"/>
  <c r="R100" i="105"/>
  <c r="R100" i="104"/>
  <c r="S93" i="98"/>
  <c r="P93" i="108"/>
  <c r="P93" i="105"/>
  <c r="P93" i="106"/>
  <c r="P93" i="107"/>
  <c r="P93" i="104"/>
  <c r="S93" i="104" s="1"/>
  <c r="S86" i="98"/>
  <c r="P85" i="108"/>
  <c r="P85" i="107"/>
  <c r="P85" i="106"/>
  <c r="P85" i="105"/>
  <c r="P85" i="104"/>
  <c r="S85" i="104" s="1"/>
  <c r="R81" i="98"/>
  <c r="P81" i="108"/>
  <c r="P81" i="107"/>
  <c r="P81" i="106"/>
  <c r="P81" i="104"/>
  <c r="S81" i="104" s="1"/>
  <c r="P81" i="105"/>
  <c r="R78" i="98"/>
  <c r="U78" i="98" s="1"/>
  <c r="P77" i="108"/>
  <c r="P77" i="107"/>
  <c r="P77" i="106"/>
  <c r="P77" i="105"/>
  <c r="P77" i="104"/>
  <c r="S77" i="104" s="1"/>
  <c r="Q76" i="108"/>
  <c r="Q76" i="107"/>
  <c r="Q76" i="105"/>
  <c r="Q76" i="106"/>
  <c r="Q76" i="104"/>
  <c r="T76" i="104" s="1"/>
  <c r="T76" i="98"/>
  <c r="Q73" i="108"/>
  <c r="Q73" i="107"/>
  <c r="Q73" i="105"/>
  <c r="Q73" i="106"/>
  <c r="Q73" i="104"/>
  <c r="T73" i="104" s="1"/>
  <c r="T73" i="98"/>
  <c r="T70" i="98"/>
  <c r="Q70" i="108"/>
  <c r="Q70" i="107"/>
  <c r="Q70" i="106"/>
  <c r="Q70" i="105"/>
  <c r="Q70" i="104"/>
  <c r="T70" i="104" s="1"/>
  <c r="Q69" i="108"/>
  <c r="Q69" i="107"/>
  <c r="Q69" i="106"/>
  <c r="Q69" i="105"/>
  <c r="Q69" i="104"/>
  <c r="T69" i="104" s="1"/>
  <c r="R63" i="108"/>
  <c r="R63" i="107"/>
  <c r="R63" i="106"/>
  <c r="R63" i="105"/>
  <c r="R58" i="98"/>
  <c r="U58" i="98" s="1"/>
  <c r="Q57" i="108"/>
  <c r="Q57" i="107"/>
  <c r="Q57" i="106"/>
  <c r="Q57" i="105"/>
  <c r="Q57" i="104"/>
  <c r="T57" i="104" s="1"/>
  <c r="Q56" i="108"/>
  <c r="Q56" i="107"/>
  <c r="Q56" i="105"/>
  <c r="Q56" i="106"/>
  <c r="P54" i="108"/>
  <c r="P54" i="107"/>
  <c r="P54" i="106"/>
  <c r="P54" i="105"/>
  <c r="P54" i="104"/>
  <c r="S54" i="104" s="1"/>
  <c r="Q53" i="108"/>
  <c r="Q53" i="107"/>
  <c r="Q53" i="106"/>
  <c r="Q53" i="105"/>
  <c r="Q53" i="104"/>
  <c r="T53" i="104" s="1"/>
  <c r="R45" i="98"/>
  <c r="U45" i="98" s="1"/>
  <c r="Q44" i="107"/>
  <c r="Q44" i="108"/>
  <c r="Q44" i="106"/>
  <c r="Q44" i="105"/>
  <c r="T44" i="98"/>
  <c r="Q44" i="104"/>
  <c r="Q43" i="108"/>
  <c r="Q43" i="107"/>
  <c r="Q43" i="105"/>
  <c r="Q43" i="106"/>
  <c r="Q43" i="104"/>
  <c r="T39" i="98"/>
  <c r="Q39" i="108"/>
  <c r="Q39" i="107"/>
  <c r="Q39" i="106"/>
  <c r="Q39" i="105"/>
  <c r="Q39" i="104"/>
  <c r="R28" i="98"/>
  <c r="P28" i="108"/>
  <c r="P28" i="107"/>
  <c r="P28" i="104"/>
  <c r="P28" i="105"/>
  <c r="P28" i="106"/>
  <c r="Q21" i="108"/>
  <c r="Q21" i="107"/>
  <c r="Q21" i="105"/>
  <c r="T21" i="105" s="1"/>
  <c r="Q21" i="106"/>
  <c r="T21" i="106" s="1"/>
  <c r="Q21" i="104"/>
  <c r="T21" i="104" s="1"/>
  <c r="Q20" i="108"/>
  <c r="Q20" i="107"/>
  <c r="Q20" i="105"/>
  <c r="Q20" i="106"/>
  <c r="Q20" i="104"/>
  <c r="R19" i="98"/>
  <c r="Q19" i="108"/>
  <c r="Q19" i="107"/>
  <c r="Q19" i="105"/>
  <c r="Q19" i="106"/>
  <c r="Q19" i="104"/>
  <c r="P339" i="104"/>
  <c r="Q315" i="104"/>
  <c r="Q306" i="104"/>
  <c r="T306" i="104" s="1"/>
  <c r="Q305" i="104"/>
  <c r="P292" i="104"/>
  <c r="Q288" i="104"/>
  <c r="T288" i="104" s="1"/>
  <c r="Q269" i="104"/>
  <c r="R266" i="104"/>
  <c r="P262" i="104"/>
  <c r="S262" i="104" s="1"/>
  <c r="P233" i="104"/>
  <c r="Q177" i="104"/>
  <c r="Q165" i="104"/>
  <c r="Q150" i="104"/>
  <c r="T150" i="104" s="1"/>
  <c r="Q133" i="104"/>
  <c r="T133" i="104" s="1"/>
  <c r="P111" i="104"/>
  <c r="S111" i="104" s="1"/>
  <c r="R63" i="104"/>
  <c r="P60" i="104"/>
  <c r="S60" i="104" s="1"/>
  <c r="S46" i="104"/>
  <c r="P33" i="104"/>
  <c r="P24" i="104"/>
  <c r="S24" i="104" s="1"/>
  <c r="P219" i="105"/>
  <c r="S219" i="105" s="1"/>
  <c r="P211" i="105"/>
  <c r="S211" i="105" s="1"/>
  <c r="Q78" i="105"/>
  <c r="Q290" i="106"/>
  <c r="S350" i="98"/>
  <c r="P350" i="108"/>
  <c r="P350" i="107"/>
  <c r="P350" i="106"/>
  <c r="P350" i="105"/>
  <c r="Q344" i="108"/>
  <c r="Q344" i="106"/>
  <c r="Q344" i="107"/>
  <c r="Q344" i="105"/>
  <c r="T344" i="105" s="1"/>
  <c r="T341" i="98"/>
  <c r="Q341" i="108"/>
  <c r="Q341" i="107"/>
  <c r="Q341" i="106"/>
  <c r="Q341" i="105"/>
  <c r="Q341" i="104"/>
  <c r="Q336" i="108"/>
  <c r="Q336" i="106"/>
  <c r="Q336" i="107"/>
  <c r="Q336" i="105"/>
  <c r="P328" i="108"/>
  <c r="P328" i="107"/>
  <c r="P328" i="105"/>
  <c r="S328" i="105" s="1"/>
  <c r="P328" i="106"/>
  <c r="P328" i="104"/>
  <c r="S328" i="104" s="1"/>
  <c r="Q308" i="108"/>
  <c r="Q308" i="107"/>
  <c r="Q308" i="105"/>
  <c r="Q308" i="106"/>
  <c r="P301" i="108"/>
  <c r="P301" i="107"/>
  <c r="P301" i="106"/>
  <c r="P301" i="105"/>
  <c r="P301" i="104"/>
  <c r="R301" i="98"/>
  <c r="R289" i="98"/>
  <c r="U289" i="98" s="1"/>
  <c r="P289" i="108"/>
  <c r="P289" i="107"/>
  <c r="P289" i="106"/>
  <c r="P289" i="105"/>
  <c r="T287" i="98"/>
  <c r="Q287" i="108"/>
  <c r="Q287" i="107"/>
  <c r="Q287" i="106"/>
  <c r="Q287" i="105"/>
  <c r="Q287" i="104"/>
  <c r="T287" i="104" s="1"/>
  <c r="Q263" i="108"/>
  <c r="Q263" i="107"/>
  <c r="Q263" i="106"/>
  <c r="S247" i="98"/>
  <c r="P247" i="108"/>
  <c r="P247" i="106"/>
  <c r="P247" i="107"/>
  <c r="R247" i="98"/>
  <c r="Q243" i="108"/>
  <c r="Q243" i="107"/>
  <c r="Q243" i="106"/>
  <c r="Q243" i="105"/>
  <c r="Q234" i="108"/>
  <c r="Q234" i="107"/>
  <c r="Q234" i="106"/>
  <c r="Q234" i="105"/>
  <c r="Q231" i="108"/>
  <c r="Q231" i="107"/>
  <c r="Q231" i="106"/>
  <c r="Q231" i="105"/>
  <c r="Q231" i="104"/>
  <c r="P212" i="108"/>
  <c r="S212" i="108" s="1"/>
  <c r="P212" i="107"/>
  <c r="S212" i="107" s="1"/>
  <c r="P212" i="106"/>
  <c r="S212" i="106" s="1"/>
  <c r="P212" i="105"/>
  <c r="S212" i="105" s="1"/>
  <c r="P203" i="108"/>
  <c r="P203" i="107"/>
  <c r="P203" i="106"/>
  <c r="S186" i="98"/>
  <c r="P186" i="108"/>
  <c r="P186" i="107"/>
  <c r="P186" i="106"/>
  <c r="P186" i="105"/>
  <c r="P186" i="104"/>
  <c r="Q179" i="108"/>
  <c r="Q179" i="105"/>
  <c r="Q179" i="107"/>
  <c r="Q179" i="106"/>
  <c r="Q179" i="104"/>
  <c r="P156" i="108"/>
  <c r="P156" i="107"/>
  <c r="P156" i="106"/>
  <c r="P156" i="105"/>
  <c r="P143" i="108"/>
  <c r="P143" i="107"/>
  <c r="P143" i="106"/>
  <c r="P143" i="105"/>
  <c r="P143" i="104"/>
  <c r="S143" i="104" s="1"/>
  <c r="R143" i="98"/>
  <c r="P136" i="108"/>
  <c r="P136" i="107"/>
  <c r="P136" i="106"/>
  <c r="P136" i="104"/>
  <c r="S136" i="104" s="1"/>
  <c r="R136" i="98"/>
  <c r="P127" i="108"/>
  <c r="P127" i="107"/>
  <c r="P127" i="106"/>
  <c r="P127" i="104"/>
  <c r="S127" i="104" s="1"/>
  <c r="S127" i="98"/>
  <c r="T124" i="98"/>
  <c r="Q124" i="108"/>
  <c r="Q124" i="107"/>
  <c r="Q124" i="106"/>
  <c r="Q124" i="105"/>
  <c r="Q124" i="104"/>
  <c r="T124" i="104" s="1"/>
  <c r="Q114" i="108"/>
  <c r="Q114" i="106"/>
  <c r="Q114" i="107"/>
  <c r="Q114" i="105"/>
  <c r="Q114" i="104"/>
  <c r="T114" i="104" s="1"/>
  <c r="S95" i="98"/>
  <c r="P95" i="108"/>
  <c r="P95" i="107"/>
  <c r="P95" i="105"/>
  <c r="P95" i="106"/>
  <c r="Q94" i="108"/>
  <c r="Q94" i="107"/>
  <c r="Q94" i="106"/>
  <c r="Q94" i="104"/>
  <c r="T94" i="104" s="1"/>
  <c r="Q94" i="105"/>
  <c r="T79" i="98"/>
  <c r="Q79" i="108"/>
  <c r="Q79" i="107"/>
  <c r="Q79" i="106"/>
  <c r="Q79" i="105"/>
  <c r="Q79" i="104"/>
  <c r="T79" i="104" s="1"/>
  <c r="R65" i="98"/>
  <c r="U65" i="98" s="1"/>
  <c r="P65" i="108"/>
  <c r="P65" i="107"/>
  <c r="P65" i="105"/>
  <c r="P65" i="106"/>
  <c r="P65" i="104"/>
  <c r="S65" i="104" s="1"/>
  <c r="Q64" i="108"/>
  <c r="Q64" i="107"/>
  <c r="Q64" i="106"/>
  <c r="Q64" i="105"/>
  <c r="Q64" i="104"/>
  <c r="T64" i="104" s="1"/>
  <c r="T64" i="98"/>
  <c r="T46" i="98"/>
  <c r="Q46" i="108"/>
  <c r="Q46" i="107"/>
  <c r="Q46" i="106"/>
  <c r="Q46" i="105"/>
  <c r="Q46" i="104"/>
  <c r="T46" i="104" s="1"/>
  <c r="R30" i="108"/>
  <c r="R30" i="107"/>
  <c r="R30" i="104"/>
  <c r="T7" i="98"/>
  <c r="Q7" i="108"/>
  <c r="Q7" i="105"/>
  <c r="T7" i="105" s="1"/>
  <c r="Q7" i="107"/>
  <c r="Q332" i="104"/>
  <c r="P245" i="104"/>
  <c r="S245" i="104" s="1"/>
  <c r="Q243" i="104"/>
  <c r="Q7" i="104"/>
  <c r="T7" i="104" s="1"/>
  <c r="P320" i="105"/>
  <c r="S320" i="105" s="1"/>
  <c r="Q228" i="105"/>
  <c r="Q7" i="106"/>
  <c r="T7" i="106" s="1"/>
  <c r="P348" i="108"/>
  <c r="P348" i="107"/>
  <c r="P348" i="106"/>
  <c r="P348" i="105"/>
  <c r="R344" i="98"/>
  <c r="P344" i="108"/>
  <c r="P344" i="107"/>
  <c r="P344" i="106"/>
  <c r="P344" i="105"/>
  <c r="S344" i="105" s="1"/>
  <c r="P344" i="104"/>
  <c r="S344" i="104" s="1"/>
  <c r="P333" i="108"/>
  <c r="P333" i="106"/>
  <c r="P333" i="107"/>
  <c r="S333" i="98"/>
  <c r="Q331" i="108"/>
  <c r="Q331" i="107"/>
  <c r="Q331" i="106"/>
  <c r="Q331" i="105"/>
  <c r="Q331" i="104"/>
  <c r="R324" i="108"/>
  <c r="R324" i="107"/>
  <c r="R324" i="106"/>
  <c r="R324" i="105"/>
  <c r="R324" i="104"/>
  <c r="P308" i="108"/>
  <c r="P308" i="107"/>
  <c r="P308" i="106"/>
  <c r="P308" i="105"/>
  <c r="P307" i="108"/>
  <c r="P307" i="107"/>
  <c r="P307" i="106"/>
  <c r="P307" i="105"/>
  <c r="Q295" i="108"/>
  <c r="Q295" i="107"/>
  <c r="Q295" i="106"/>
  <c r="T295" i="106" s="1"/>
  <c r="Q295" i="105"/>
  <c r="T295" i="105" s="1"/>
  <c r="P288" i="108"/>
  <c r="P288" i="107"/>
  <c r="P288" i="105"/>
  <c r="P288" i="106"/>
  <c r="P288" i="104"/>
  <c r="S288" i="104" s="1"/>
  <c r="Q264" i="108"/>
  <c r="Q264" i="107"/>
  <c r="Q264" i="105"/>
  <c r="Q264" i="106"/>
  <c r="R263" i="98"/>
  <c r="Q259" i="108"/>
  <c r="Q259" i="107"/>
  <c r="Q259" i="106"/>
  <c r="T259" i="106" s="1"/>
  <c r="Q259" i="105"/>
  <c r="T259" i="105" s="1"/>
  <c r="Q259" i="104"/>
  <c r="T259" i="104" s="1"/>
  <c r="R258" i="108"/>
  <c r="R258" i="106"/>
  <c r="R258" i="105"/>
  <c r="R258" i="107"/>
  <c r="R258" i="104"/>
  <c r="R257" i="108"/>
  <c r="R257" i="107"/>
  <c r="R257" i="106"/>
  <c r="R257" i="105"/>
  <c r="R257" i="104"/>
  <c r="R243" i="98"/>
  <c r="Q235" i="108"/>
  <c r="Q235" i="107"/>
  <c r="Q235" i="106"/>
  <c r="Q235" i="105"/>
  <c r="Q235" i="104"/>
  <c r="P231" i="108"/>
  <c r="P231" i="107"/>
  <c r="P231" i="105"/>
  <c r="R354" i="98"/>
  <c r="U354" i="98" s="1"/>
  <c r="X354" i="98" s="1"/>
  <c r="P354" i="108"/>
  <c r="P354" i="107"/>
  <c r="S354" i="107" s="1"/>
  <c r="W354" i="107" s="1"/>
  <c r="P354" i="106"/>
  <c r="S354" i="106" s="1"/>
  <c r="W354" i="106" s="1"/>
  <c r="R353" i="98"/>
  <c r="V353" i="98" s="1"/>
  <c r="Q351" i="108"/>
  <c r="Q351" i="107"/>
  <c r="Q351" i="106"/>
  <c r="Q351" i="105"/>
  <c r="Q351" i="104"/>
  <c r="T351" i="104" s="1"/>
  <c r="R349" i="98"/>
  <c r="R343" i="98"/>
  <c r="U343" i="98" s="1"/>
  <c r="P343" i="108"/>
  <c r="P343" i="106"/>
  <c r="P343" i="107"/>
  <c r="Q340" i="108"/>
  <c r="Q340" i="107"/>
  <c r="Q340" i="106"/>
  <c r="Q340" i="105"/>
  <c r="T335" i="98"/>
  <c r="Q335" i="108"/>
  <c r="Q335" i="107"/>
  <c r="Q335" i="106"/>
  <c r="Q335" i="105"/>
  <c r="Q335" i="104"/>
  <c r="T335" i="104" s="1"/>
  <c r="T332" i="98"/>
  <c r="Q330" i="108"/>
  <c r="Q330" i="107"/>
  <c r="T330" i="98"/>
  <c r="P324" i="108"/>
  <c r="P324" i="107"/>
  <c r="P324" i="106"/>
  <c r="P324" i="105"/>
  <c r="P324" i="104"/>
  <c r="S324" i="104" s="1"/>
  <c r="S321" i="98"/>
  <c r="P321" i="108"/>
  <c r="P321" i="107"/>
  <c r="P321" i="105"/>
  <c r="P321" i="104"/>
  <c r="Q316" i="108"/>
  <c r="Q316" i="107"/>
  <c r="Q316" i="106"/>
  <c r="Q316" i="105"/>
  <c r="Q312" i="108"/>
  <c r="Q312" i="107"/>
  <c r="Q312" i="106"/>
  <c r="Q312" i="105"/>
  <c r="P306" i="108"/>
  <c r="P306" i="107"/>
  <c r="P306" i="105"/>
  <c r="S306" i="105" s="1"/>
  <c r="P306" i="104"/>
  <c r="S306" i="104" s="1"/>
  <c r="Q303" i="108"/>
  <c r="Q303" i="106"/>
  <c r="Q303" i="107"/>
  <c r="Q303" i="105"/>
  <c r="Q303" i="104"/>
  <c r="R297" i="98"/>
  <c r="U297" i="98" s="1"/>
  <c r="P285" i="108"/>
  <c r="P285" i="106"/>
  <c r="P285" i="107"/>
  <c r="P285" i="105"/>
  <c r="P285" i="104"/>
  <c r="S285" i="104" s="1"/>
  <c r="T284" i="98"/>
  <c r="Q284" i="108"/>
  <c r="Q284" i="107"/>
  <c r="Q284" i="105"/>
  <c r="Q284" i="106"/>
  <c r="R283" i="98"/>
  <c r="Q282" i="108"/>
  <c r="Q282" i="106"/>
  <c r="T282" i="106" s="1"/>
  <c r="Q282" i="105"/>
  <c r="T282" i="105" s="1"/>
  <c r="Q282" i="104"/>
  <c r="T282" i="104" s="1"/>
  <c r="Q279" i="108"/>
  <c r="Q279" i="107"/>
  <c r="Q279" i="106"/>
  <c r="Q279" i="105"/>
  <c r="P278" i="108"/>
  <c r="P278" i="107"/>
  <c r="P278" i="106"/>
  <c r="P278" i="105"/>
  <c r="R267" i="98"/>
  <c r="P258" i="108"/>
  <c r="P258" i="107"/>
  <c r="P258" i="106"/>
  <c r="P258" i="105"/>
  <c r="P257" i="108"/>
  <c r="P257" i="107"/>
  <c r="P257" i="106"/>
  <c r="P257" i="105"/>
  <c r="S257" i="105" s="1"/>
  <c r="P257" i="104"/>
  <c r="S257" i="104" s="1"/>
  <c r="Q255" i="108"/>
  <c r="Q255" i="107"/>
  <c r="Q255" i="106"/>
  <c r="Q255" i="105"/>
  <c r="T255" i="105" s="1"/>
  <c r="Q255" i="104"/>
  <c r="T255" i="104" s="1"/>
  <c r="P236" i="108"/>
  <c r="P236" i="107"/>
  <c r="P236" i="105"/>
  <c r="P236" i="106"/>
  <c r="P236" i="104"/>
  <c r="R226" i="108"/>
  <c r="R226" i="105"/>
  <c r="R226" i="104"/>
  <c r="U226" i="104" s="1"/>
  <c r="T218" i="98"/>
  <c r="Q218" i="108"/>
  <c r="Q218" i="107"/>
  <c r="Q218" i="106"/>
  <c r="Q218" i="104"/>
  <c r="T218" i="104" s="1"/>
  <c r="P214" i="108"/>
  <c r="S214" i="108" s="1"/>
  <c r="P214" i="106"/>
  <c r="S214" i="106" s="1"/>
  <c r="P214" i="107"/>
  <c r="S214" i="107" s="1"/>
  <c r="P214" i="105"/>
  <c r="S214" i="105" s="1"/>
  <c r="P214" i="104"/>
  <c r="S214" i="104" s="1"/>
  <c r="R209" i="98"/>
  <c r="R208" i="98"/>
  <c r="P207" i="108"/>
  <c r="P207" i="107"/>
  <c r="P207" i="106"/>
  <c r="P207" i="105"/>
  <c r="T192" i="98"/>
  <c r="Q192" i="108"/>
  <c r="Q192" i="106"/>
  <c r="Q192" i="107"/>
  <c r="Q192" i="105"/>
  <c r="Q192" i="104"/>
  <c r="P191" i="108"/>
  <c r="P191" i="107"/>
  <c r="P191" i="105"/>
  <c r="P191" i="106"/>
  <c r="S190" i="98"/>
  <c r="P190" i="108"/>
  <c r="P190" i="107"/>
  <c r="P190" i="105"/>
  <c r="P190" i="106"/>
  <c r="P190" i="104"/>
  <c r="Q174" i="108"/>
  <c r="Q174" i="107"/>
  <c r="Q174" i="104"/>
  <c r="P173" i="108"/>
  <c r="P173" i="107"/>
  <c r="P173" i="106"/>
  <c r="P173" i="105"/>
  <c r="Q162" i="108"/>
  <c r="Q162" i="107"/>
  <c r="Q162" i="106"/>
  <c r="Q162" i="104"/>
  <c r="Q162" i="105"/>
  <c r="Q153" i="108"/>
  <c r="Q153" i="107"/>
  <c r="Q153" i="106"/>
  <c r="Q153" i="104"/>
  <c r="P152" i="108"/>
  <c r="P152" i="107"/>
  <c r="P152" i="106"/>
  <c r="P152" i="105"/>
  <c r="P149" i="108"/>
  <c r="P149" i="107"/>
  <c r="P149" i="105"/>
  <c r="P149" i="106"/>
  <c r="R148" i="107"/>
  <c r="R148" i="108"/>
  <c r="R148" i="106"/>
  <c r="R148" i="105"/>
  <c r="P141" i="108"/>
  <c r="P141" i="107"/>
  <c r="P141" i="106"/>
  <c r="P141" i="105"/>
  <c r="P141" i="104"/>
  <c r="S141" i="104" s="1"/>
  <c r="Q140" i="108"/>
  <c r="Q140" i="107"/>
  <c r="Q140" i="106"/>
  <c r="Q140" i="105"/>
  <c r="P132" i="108"/>
  <c r="P132" i="105"/>
  <c r="P132" i="106"/>
  <c r="P132" i="107"/>
  <c r="Q131" i="108"/>
  <c r="Q131" i="107"/>
  <c r="Q131" i="106"/>
  <c r="Q131" i="105"/>
  <c r="Q131" i="104"/>
  <c r="R122" i="107"/>
  <c r="P121" i="108"/>
  <c r="P121" i="107"/>
  <c r="P121" i="106"/>
  <c r="P121" i="105"/>
  <c r="P121" i="104"/>
  <c r="S121" i="104" s="1"/>
  <c r="S121" i="98"/>
  <c r="R119" i="98"/>
  <c r="S111" i="98"/>
  <c r="P103" i="108"/>
  <c r="P103" i="107"/>
  <c r="P103" i="106"/>
  <c r="P103" i="105"/>
  <c r="P103" i="104"/>
  <c r="S103" i="104" s="1"/>
  <c r="S103" i="98"/>
  <c r="Q102" i="108"/>
  <c r="Q102" i="107"/>
  <c r="Q102" i="106"/>
  <c r="Q102" i="104"/>
  <c r="T102" i="104" s="1"/>
  <c r="Q101" i="108"/>
  <c r="Q101" i="107"/>
  <c r="Q101" i="106"/>
  <c r="Q101" i="105"/>
  <c r="P92" i="108"/>
  <c r="P92" i="105"/>
  <c r="P92" i="106"/>
  <c r="P92" i="107"/>
  <c r="P92" i="104"/>
  <c r="S92" i="104" s="1"/>
  <c r="T91" i="98"/>
  <c r="Q91" i="108"/>
  <c r="Q91" i="107"/>
  <c r="Q91" i="106"/>
  <c r="Q91" i="105"/>
  <c r="Q84" i="108"/>
  <c r="Q84" i="107"/>
  <c r="Q84" i="106"/>
  <c r="Q84" i="105"/>
  <c r="Q84" i="104"/>
  <c r="T84" i="104" s="1"/>
  <c r="T84" i="98"/>
  <c r="T83" i="98"/>
  <c r="P76" i="108"/>
  <c r="P76" i="107"/>
  <c r="P76" i="105"/>
  <c r="P76" i="106"/>
  <c r="P76" i="104"/>
  <c r="S76" i="104" s="1"/>
  <c r="Q72" i="107"/>
  <c r="Q72" i="108"/>
  <c r="Q72" i="106"/>
  <c r="Q72" i="105"/>
  <c r="T71" i="98"/>
  <c r="Q71" i="108"/>
  <c r="Q71" i="107"/>
  <c r="Q71" i="106"/>
  <c r="Q71" i="105"/>
  <c r="Q71" i="104"/>
  <c r="T71" i="104" s="1"/>
  <c r="R69" i="98"/>
  <c r="P69" i="108"/>
  <c r="P69" i="107"/>
  <c r="P69" i="106"/>
  <c r="P69" i="105"/>
  <c r="P69" i="104"/>
  <c r="S69" i="104" s="1"/>
  <c r="P53" i="108"/>
  <c r="P53" i="107"/>
  <c r="P53" i="105"/>
  <c r="P53" i="106"/>
  <c r="R53" i="98"/>
  <c r="U53" i="98" s="1"/>
  <c r="T52" i="98"/>
  <c r="P42" i="108"/>
  <c r="P42" i="107"/>
  <c r="P42" i="106"/>
  <c r="P42" i="104"/>
  <c r="P42" i="105"/>
  <c r="T40" i="98"/>
  <c r="Q40" i="108"/>
  <c r="Q40" i="107"/>
  <c r="Q40" i="105"/>
  <c r="Q40" i="106"/>
  <c r="Q40" i="104"/>
  <c r="T38" i="98"/>
  <c r="Q38" i="108"/>
  <c r="Q38" i="107"/>
  <c r="Q38" i="106"/>
  <c r="Q38" i="104"/>
  <c r="T37" i="98"/>
  <c r="P31" i="108"/>
  <c r="P31" i="107"/>
  <c r="P31" i="106"/>
  <c r="P31" i="105"/>
  <c r="P31" i="104"/>
  <c r="P29" i="108"/>
  <c r="P29" i="107"/>
  <c r="P29" i="105"/>
  <c r="P29" i="106"/>
  <c r="P29" i="104"/>
  <c r="P25" i="108"/>
  <c r="P25" i="107"/>
  <c r="P25" i="106"/>
  <c r="S25" i="106" s="1"/>
  <c r="P25" i="105"/>
  <c r="S25" i="105" s="1"/>
  <c r="P25" i="104"/>
  <c r="S25" i="104" s="1"/>
  <c r="R20" i="98"/>
  <c r="P20" i="108"/>
  <c r="P20" i="107"/>
  <c r="P20" i="106"/>
  <c r="P20" i="105"/>
  <c r="P20" i="104"/>
  <c r="P18" i="108"/>
  <c r="P18" i="107"/>
  <c r="P18" i="106"/>
  <c r="P18" i="104"/>
  <c r="P18" i="105"/>
  <c r="R17" i="98"/>
  <c r="P17" i="108"/>
  <c r="P17" i="107"/>
  <c r="P17" i="106"/>
  <c r="P17" i="105"/>
  <c r="P17" i="104"/>
  <c r="T6" i="98"/>
  <c r="Q6" i="108"/>
  <c r="Q6" i="107"/>
  <c r="Q6" i="105"/>
  <c r="T6" i="105" s="1"/>
  <c r="Q6" i="106"/>
  <c r="T6" i="106" s="1"/>
  <c r="Q6" i="104"/>
  <c r="T6" i="104" s="1"/>
  <c r="Q5" i="108"/>
  <c r="Q5" i="106"/>
  <c r="T5" i="106" s="1"/>
  <c r="Q5" i="107"/>
  <c r="Q5" i="105"/>
  <c r="T5" i="105" s="1"/>
  <c r="Q5" i="104"/>
  <c r="T5" i="104" s="1"/>
  <c r="Q347" i="104"/>
  <c r="T347" i="104" s="1"/>
  <c r="P341" i="104"/>
  <c r="S335" i="104"/>
  <c r="P307" i="104"/>
  <c r="Q295" i="104"/>
  <c r="T295" i="104" s="1"/>
  <c r="P293" i="104"/>
  <c r="P275" i="104"/>
  <c r="S275" i="104" s="1"/>
  <c r="Q268" i="104"/>
  <c r="Q234" i="104"/>
  <c r="P229" i="104"/>
  <c r="P163" i="104"/>
  <c r="P152" i="104"/>
  <c r="Q137" i="104"/>
  <c r="T137" i="104" s="1"/>
  <c r="Q113" i="104"/>
  <c r="T113" i="104" s="1"/>
  <c r="P343" i="105"/>
  <c r="P334" i="105"/>
  <c r="P271" i="105"/>
  <c r="Q330" i="106"/>
  <c r="T353" i="98"/>
  <c r="Y353" i="98" s="1"/>
  <c r="Q353" i="108"/>
  <c r="T353" i="108" s="1"/>
  <c r="Y353" i="108" s="1"/>
  <c r="Q353" i="107"/>
  <c r="Q353" i="106"/>
  <c r="T353" i="106" s="1"/>
  <c r="Y353" i="106" s="1"/>
  <c r="Q353" i="105"/>
  <c r="T353" i="105" s="1"/>
  <c r="Y353" i="105" s="1"/>
  <c r="R351" i="98"/>
  <c r="P351" i="108"/>
  <c r="P351" i="107"/>
  <c r="P351" i="106"/>
  <c r="P351" i="105"/>
  <c r="R346" i="98"/>
  <c r="U346" i="98" s="1"/>
  <c r="P346" i="108"/>
  <c r="P346" i="106"/>
  <c r="P346" i="107"/>
  <c r="P346" i="105"/>
  <c r="S346" i="105" s="1"/>
  <c r="P346" i="104"/>
  <c r="S346" i="104" s="1"/>
  <c r="R342" i="98"/>
  <c r="P340" i="108"/>
  <c r="P340" i="107"/>
  <c r="P340" i="106"/>
  <c r="P340" i="105"/>
  <c r="S335" i="98"/>
  <c r="P335" i="108"/>
  <c r="P335" i="107"/>
  <c r="P335" i="105"/>
  <c r="P335" i="106"/>
  <c r="S334" i="98"/>
  <c r="S332" i="98"/>
  <c r="P330" i="108"/>
  <c r="P330" i="107"/>
  <c r="P330" i="106"/>
  <c r="P330" i="105"/>
  <c r="R326" i="98"/>
  <c r="T324" i="98"/>
  <c r="T323" i="98"/>
  <c r="R316" i="98"/>
  <c r="U316" i="98" s="1"/>
  <c r="P316" i="108"/>
  <c r="P316" i="107"/>
  <c r="P316" i="106"/>
  <c r="P316" i="105"/>
  <c r="R312" i="98"/>
  <c r="P312" i="108"/>
  <c r="P312" i="106"/>
  <c r="P312" i="107"/>
  <c r="P312" i="105"/>
  <c r="P312" i="104"/>
  <c r="Q311" i="108"/>
  <c r="Q311" i="107"/>
  <c r="Q311" i="106"/>
  <c r="Q311" i="105"/>
  <c r="R305" i="98"/>
  <c r="R303" i="98"/>
  <c r="P303" i="108"/>
  <c r="P303" i="107"/>
  <c r="P303" i="106"/>
  <c r="P303" i="105"/>
  <c r="R302" i="98"/>
  <c r="P298" i="108"/>
  <c r="P298" i="107"/>
  <c r="P298" i="106"/>
  <c r="P298" i="105"/>
  <c r="P298" i="104"/>
  <c r="Q297" i="108"/>
  <c r="Q297" i="106"/>
  <c r="T297" i="106" s="1"/>
  <c r="Q297" i="107"/>
  <c r="Q297" i="105"/>
  <c r="T297" i="105" s="1"/>
  <c r="P294" i="108"/>
  <c r="P294" i="107"/>
  <c r="S294" i="107" s="1"/>
  <c r="P294" i="106"/>
  <c r="S294" i="106" s="1"/>
  <c r="P294" i="105"/>
  <c r="S294" i="105" s="1"/>
  <c r="P284" i="108"/>
  <c r="P284" i="106"/>
  <c r="P284" i="107"/>
  <c r="P284" i="105"/>
  <c r="P282" i="108"/>
  <c r="P282" i="107"/>
  <c r="P282" i="106"/>
  <c r="S282" i="106" s="1"/>
  <c r="P282" i="105"/>
  <c r="R282" i="98"/>
  <c r="U282" i="98" s="1"/>
  <c r="Q281" i="108"/>
  <c r="Q281" i="107"/>
  <c r="Q281" i="106"/>
  <c r="Q281" i="104"/>
  <c r="Q280" i="108"/>
  <c r="Q280" i="107"/>
  <c r="Q280" i="106"/>
  <c r="Q280" i="105"/>
  <c r="P279" i="108"/>
  <c r="P279" i="107"/>
  <c r="P279" i="106"/>
  <c r="P279" i="105"/>
  <c r="P277" i="108"/>
  <c r="P277" i="107"/>
  <c r="P277" i="106"/>
  <c r="P277" i="105"/>
  <c r="Q276" i="108"/>
  <c r="Q276" i="105"/>
  <c r="Q276" i="107"/>
  <c r="Q276" i="106"/>
  <c r="Q276" i="104"/>
  <c r="T276" i="104" s="1"/>
  <c r="T275" i="98"/>
  <c r="Q275" i="108"/>
  <c r="Q275" i="107"/>
  <c r="Q275" i="105"/>
  <c r="Q275" i="106"/>
  <c r="Q275" i="104"/>
  <c r="T275" i="104" s="1"/>
  <c r="P266" i="108"/>
  <c r="P266" i="107"/>
  <c r="P266" i="105"/>
  <c r="P266" i="106"/>
  <c r="P266" i="104"/>
  <c r="T256" i="98"/>
  <c r="S255" i="98"/>
  <c r="P255" i="108"/>
  <c r="P255" i="107"/>
  <c r="P255" i="105"/>
  <c r="S255" i="105" s="1"/>
  <c r="P255" i="106"/>
  <c r="R255" i="98"/>
  <c r="Q254" i="108"/>
  <c r="Q254" i="107"/>
  <c r="Q254" i="106"/>
  <c r="Q254" i="105"/>
  <c r="T254" i="105" s="1"/>
  <c r="Q254" i="104"/>
  <c r="T254" i="104" s="1"/>
  <c r="T237" i="98"/>
  <c r="T227" i="98"/>
  <c r="Q227" i="108"/>
  <c r="Q227" i="107"/>
  <c r="Q227" i="106"/>
  <c r="Q227" i="105"/>
  <c r="T226" i="98"/>
  <c r="Q226" i="108"/>
  <c r="Q226" i="107"/>
  <c r="Q226" i="106"/>
  <c r="T226" i="106" s="1"/>
  <c r="Q226" i="105"/>
  <c r="T225" i="98"/>
  <c r="P218" i="108"/>
  <c r="P218" i="107"/>
  <c r="P218" i="106"/>
  <c r="P218" i="105"/>
  <c r="S218" i="105" s="1"/>
  <c r="P218" i="104"/>
  <c r="S218" i="104" s="1"/>
  <c r="R218" i="98"/>
  <c r="T217" i="98"/>
  <c r="R210" i="98"/>
  <c r="Q210" i="108"/>
  <c r="Q210" i="107"/>
  <c r="Q210" i="106"/>
  <c r="Q210" i="105"/>
  <c r="Q200" i="108"/>
  <c r="Q200" i="106"/>
  <c r="Q200" i="105"/>
  <c r="Q200" i="107"/>
  <c r="Q200" i="104"/>
  <c r="P199" i="108"/>
  <c r="P199" i="107"/>
  <c r="P199" i="106"/>
  <c r="P199" i="105"/>
  <c r="P199" i="104"/>
  <c r="R192" i="98"/>
  <c r="P189" i="108"/>
  <c r="P189" i="106"/>
  <c r="P189" i="107"/>
  <c r="P189" i="105"/>
  <c r="Q188" i="108"/>
  <c r="Q188" i="107"/>
  <c r="Q188" i="106"/>
  <c r="Q188" i="105"/>
  <c r="T188" i="98"/>
  <c r="Q175" i="108"/>
  <c r="Q175" i="107"/>
  <c r="Q175" i="106"/>
  <c r="Q175" i="105"/>
  <c r="P174" i="108"/>
  <c r="P174" i="107"/>
  <c r="P174" i="105"/>
  <c r="P174" i="104"/>
  <c r="R174" i="98"/>
  <c r="P174" i="106"/>
  <c r="P162" i="108"/>
  <c r="P162" i="107"/>
  <c r="P162" i="106"/>
  <c r="P162" i="105"/>
  <c r="P162" i="104"/>
  <c r="R161" i="98"/>
  <c r="T160" i="98"/>
  <c r="Q160" i="108"/>
  <c r="Q160" i="107"/>
  <c r="Q160" i="106"/>
  <c r="Q160" i="105"/>
  <c r="R159" i="98"/>
  <c r="Q148" i="108"/>
  <c r="Q148" i="107"/>
  <c r="Q148" i="106"/>
  <c r="Q148" i="104"/>
  <c r="T148" i="104" s="1"/>
  <c r="T147" i="98"/>
  <c r="Q147" i="108"/>
  <c r="Q147" i="107"/>
  <c r="Q147" i="106"/>
  <c r="Q147" i="105"/>
  <c r="T145" i="98"/>
  <c r="Q145" i="107"/>
  <c r="Q145" i="108"/>
  <c r="Q145" i="106"/>
  <c r="Q145" i="105"/>
  <c r="Q145" i="104"/>
  <c r="T145" i="104" s="1"/>
  <c r="T144" i="98"/>
  <c r="R140" i="98"/>
  <c r="P139" i="108"/>
  <c r="P139" i="107"/>
  <c r="P139" i="106"/>
  <c r="P139" i="105"/>
  <c r="P139" i="104"/>
  <c r="S139" i="104" s="1"/>
  <c r="Q138" i="108"/>
  <c r="Q138" i="107"/>
  <c r="Q138" i="106"/>
  <c r="Q138" i="105"/>
  <c r="Q138" i="104"/>
  <c r="T138" i="104" s="1"/>
  <c r="R131" i="98"/>
  <c r="U131" i="98" s="1"/>
  <c r="P131" i="108"/>
  <c r="P131" i="107"/>
  <c r="P131" i="105"/>
  <c r="P131" i="106"/>
  <c r="P131" i="104"/>
  <c r="S131" i="104" s="1"/>
  <c r="T130" i="98"/>
  <c r="Q130" i="108"/>
  <c r="Q130" i="107"/>
  <c r="Q130" i="106"/>
  <c r="Q130" i="105"/>
  <c r="Q130" i="104"/>
  <c r="T130" i="104" s="1"/>
  <c r="T129" i="98"/>
  <c r="Q129" i="108"/>
  <c r="Q129" i="107"/>
  <c r="Q129" i="106"/>
  <c r="Q129" i="105"/>
  <c r="Q129" i="104"/>
  <c r="T129" i="104" s="1"/>
  <c r="T122" i="98"/>
  <c r="P120" i="108"/>
  <c r="P120" i="107"/>
  <c r="P120" i="105"/>
  <c r="P120" i="106"/>
  <c r="Q111" i="108"/>
  <c r="Q111" i="107"/>
  <c r="Q111" i="106"/>
  <c r="Q111" i="105"/>
  <c r="Q111" i="104"/>
  <c r="T111" i="104" s="1"/>
  <c r="R102" i="98"/>
  <c r="P102" i="108"/>
  <c r="P102" i="105"/>
  <c r="P102" i="107"/>
  <c r="P102" i="106"/>
  <c r="P102" i="104"/>
  <c r="S102" i="104" s="1"/>
  <c r="S102" i="98"/>
  <c r="P100" i="108"/>
  <c r="P100" i="107"/>
  <c r="P100" i="106"/>
  <c r="P100" i="105"/>
  <c r="T98" i="98"/>
  <c r="P91" i="108"/>
  <c r="P91" i="107"/>
  <c r="P91" i="106"/>
  <c r="P91" i="105"/>
  <c r="R91" i="98"/>
  <c r="U91" i="98" s="1"/>
  <c r="T90" i="98"/>
  <c r="P84" i="108"/>
  <c r="P84" i="107"/>
  <c r="P84" i="106"/>
  <c r="P84" i="105"/>
  <c r="P84" i="104"/>
  <c r="S84" i="104" s="1"/>
  <c r="R84" i="98"/>
  <c r="R83" i="98"/>
  <c r="U83" i="98" s="1"/>
  <c r="P68" i="108"/>
  <c r="P68" i="107"/>
  <c r="P68" i="105"/>
  <c r="P68" i="106"/>
  <c r="P68" i="104"/>
  <c r="S68" i="104" s="1"/>
  <c r="T67" i="98"/>
  <c r="Q67" i="108"/>
  <c r="Q67" i="107"/>
  <c r="Q67" i="106"/>
  <c r="Q67" i="105"/>
  <c r="P63" i="108"/>
  <c r="P63" i="107"/>
  <c r="P63" i="106"/>
  <c r="P63" i="105"/>
  <c r="R52" i="98"/>
  <c r="Q51" i="108"/>
  <c r="Q51" i="107"/>
  <c r="Q51" i="105"/>
  <c r="Q51" i="106"/>
  <c r="Q51" i="104"/>
  <c r="T51" i="104" s="1"/>
  <c r="R41" i="98"/>
  <c r="P41" i="108"/>
  <c r="P41" i="107"/>
  <c r="P41" i="106"/>
  <c r="P41" i="105"/>
  <c r="P41" i="104"/>
  <c r="P38" i="108"/>
  <c r="P38" i="107"/>
  <c r="P38" i="106"/>
  <c r="P38" i="105"/>
  <c r="P38" i="104"/>
  <c r="R38" i="98"/>
  <c r="R37" i="98"/>
  <c r="T36" i="98"/>
  <c r="S35" i="98"/>
  <c r="Q33" i="108"/>
  <c r="Q33" i="107"/>
  <c r="Q33" i="105"/>
  <c r="Q33" i="106"/>
  <c r="P32" i="108"/>
  <c r="P32" i="107"/>
  <c r="P32" i="105"/>
  <c r="P32" i="106"/>
  <c r="Q24" i="108"/>
  <c r="Q24" i="107"/>
  <c r="Q24" i="105"/>
  <c r="T24" i="105" s="1"/>
  <c r="Q24" i="106"/>
  <c r="T24" i="106" s="1"/>
  <c r="Q24" i="104"/>
  <c r="T24" i="104" s="1"/>
  <c r="T24" i="98"/>
  <c r="T12" i="98"/>
  <c r="S11" i="98"/>
  <c r="P5" i="108"/>
  <c r="P5" i="107"/>
  <c r="P5" i="106"/>
  <c r="P5" i="105"/>
  <c r="S5" i="105" s="1"/>
  <c r="P5" i="104"/>
  <c r="S5" i="104" s="1"/>
  <c r="R5" i="98"/>
  <c r="Q4" i="108"/>
  <c r="Q4" i="107"/>
  <c r="Q4" i="106"/>
  <c r="Q4" i="104"/>
  <c r="Q4" i="105"/>
  <c r="T4" i="98"/>
  <c r="P352" i="104"/>
  <c r="S352" i="104" s="1"/>
  <c r="W352" i="104" s="1"/>
  <c r="P347" i="104"/>
  <c r="S347" i="104" s="1"/>
  <c r="Q344" i="104"/>
  <c r="T344" i="104" s="1"/>
  <c r="Q343" i="104"/>
  <c r="P342" i="104"/>
  <c r="Q308" i="104"/>
  <c r="Q301" i="104"/>
  <c r="P295" i="104"/>
  <c r="S295" i="104" s="1"/>
  <c r="Q286" i="104"/>
  <c r="T286" i="104" s="1"/>
  <c r="Q274" i="104"/>
  <c r="T274" i="104" s="1"/>
  <c r="P273" i="104"/>
  <c r="Q272" i="104"/>
  <c r="P270" i="104"/>
  <c r="P268" i="104"/>
  <c r="P267" i="104"/>
  <c r="U257" i="104"/>
  <c r="P255" i="104"/>
  <c r="S255" i="104" s="1"/>
  <c r="P254" i="104"/>
  <c r="Q247" i="104"/>
  <c r="T247" i="104" s="1"/>
  <c r="P216" i="104"/>
  <c r="S216" i="104" s="1"/>
  <c r="Q214" i="104"/>
  <c r="T214" i="104" s="1"/>
  <c r="P204" i="104"/>
  <c r="P187" i="104"/>
  <c r="Q171" i="104"/>
  <c r="Q147" i="104"/>
  <c r="T147" i="104" s="1"/>
  <c r="S130" i="104"/>
  <c r="Q125" i="104"/>
  <c r="T125" i="104" s="1"/>
  <c r="Q101" i="104"/>
  <c r="T101" i="104" s="1"/>
  <c r="P97" i="104"/>
  <c r="S97" i="104" s="1"/>
  <c r="P64" i="104"/>
  <c r="S64" i="104" s="1"/>
  <c r="T329" i="105"/>
  <c r="Q324" i="105"/>
  <c r="Q296" i="105"/>
  <c r="T296" i="105" s="1"/>
  <c r="P201" i="105"/>
  <c r="Q174" i="105"/>
  <c r="Q153" i="105"/>
  <c r="Q148" i="105"/>
  <c r="P127" i="105"/>
  <c r="Q22" i="105"/>
  <c r="T22" i="105" s="1"/>
  <c r="P164" i="106"/>
  <c r="Q302" i="108"/>
  <c r="Q302" i="106"/>
  <c r="Q302" i="105"/>
  <c r="Q302" i="107"/>
  <c r="T297" i="98"/>
  <c r="Q294" i="108"/>
  <c r="Q294" i="106"/>
  <c r="T294" i="106" s="1"/>
  <c r="Q294" i="105"/>
  <c r="T294" i="105" s="1"/>
  <c r="Q294" i="107"/>
  <c r="T294" i="107" s="1"/>
  <c r="P291" i="108"/>
  <c r="P291" i="107"/>
  <c r="P291" i="106"/>
  <c r="S291" i="106" s="1"/>
  <c r="P291" i="105"/>
  <c r="S291" i="105" s="1"/>
  <c r="P287" i="108"/>
  <c r="P287" i="106"/>
  <c r="P287" i="105"/>
  <c r="P287" i="107"/>
  <c r="Q283" i="107"/>
  <c r="Q283" i="106"/>
  <c r="Q283" i="108"/>
  <c r="Q283" i="105"/>
  <c r="S278" i="98"/>
  <c r="Q277" i="108"/>
  <c r="Q277" i="107"/>
  <c r="Q277" i="106"/>
  <c r="Q277" i="105"/>
  <c r="Q273" i="106"/>
  <c r="Q273" i="108"/>
  <c r="Q273" i="107"/>
  <c r="P269" i="108"/>
  <c r="P269" i="106"/>
  <c r="P269" i="105"/>
  <c r="P269" i="107"/>
  <c r="P265" i="108"/>
  <c r="P265" i="107"/>
  <c r="P265" i="105"/>
  <c r="P265" i="106"/>
  <c r="Q261" i="108"/>
  <c r="Q261" i="107"/>
  <c r="Q261" i="106"/>
  <c r="T261" i="106" s="1"/>
  <c r="Q261" i="105"/>
  <c r="T261" i="105" s="1"/>
  <c r="Q257" i="108"/>
  <c r="Q257" i="107"/>
  <c r="Q257" i="105"/>
  <c r="S251" i="98"/>
  <c r="P251" i="108"/>
  <c r="P251" i="107"/>
  <c r="P251" i="106"/>
  <c r="P251" i="105"/>
  <c r="P244" i="108"/>
  <c r="P244" i="107"/>
  <c r="P244" i="106"/>
  <c r="P244" i="105"/>
  <c r="Q242" i="108"/>
  <c r="Q242" i="107"/>
  <c r="Q242" i="106"/>
  <c r="Q242" i="105"/>
  <c r="Q238" i="108"/>
  <c r="Q238" i="107"/>
  <c r="Q238" i="106"/>
  <c r="T238" i="106" s="1"/>
  <c r="Q238" i="105"/>
  <c r="T238" i="105" s="1"/>
  <c r="P230" i="108"/>
  <c r="P230" i="107"/>
  <c r="P230" i="106"/>
  <c r="P230" i="105"/>
  <c r="Q229" i="108"/>
  <c r="Q229" i="106"/>
  <c r="Q229" i="107"/>
  <c r="Q229" i="105"/>
  <c r="P226" i="108"/>
  <c r="P226" i="107"/>
  <c r="P226" i="106"/>
  <c r="S226" i="106" s="1"/>
  <c r="P220" i="108"/>
  <c r="P220" i="107"/>
  <c r="P220" i="105"/>
  <c r="S220" i="105" s="1"/>
  <c r="P220" i="106"/>
  <c r="P220" i="104"/>
  <c r="S220" i="104" s="1"/>
  <c r="S214" i="98"/>
  <c r="Q213" i="108"/>
  <c r="T213" i="108" s="1"/>
  <c r="Q213" i="107"/>
  <c r="T213" i="107" s="1"/>
  <c r="Q213" i="106"/>
  <c r="T213" i="106" s="1"/>
  <c r="Q213" i="105"/>
  <c r="T213" i="105" s="1"/>
  <c r="Q213" i="104"/>
  <c r="T213" i="104" s="1"/>
  <c r="Q208" i="108"/>
  <c r="Q208" i="106"/>
  <c r="Q208" i="105"/>
  <c r="Q208" i="107"/>
  <c r="Q208" i="104"/>
  <c r="P198" i="108"/>
  <c r="P198" i="107"/>
  <c r="P198" i="106"/>
  <c r="P198" i="105"/>
  <c r="P198" i="104"/>
  <c r="P193" i="108"/>
  <c r="P193" i="107"/>
  <c r="P193" i="106"/>
  <c r="P193" i="105"/>
  <c r="T190" i="98"/>
  <c r="Q190" i="108"/>
  <c r="Q190" i="106"/>
  <c r="Q190" i="107"/>
  <c r="Q185" i="108"/>
  <c r="Q185" i="107"/>
  <c r="Q185" i="106"/>
  <c r="Q185" i="105"/>
  <c r="Q185" i="104"/>
  <c r="Q182" i="108"/>
  <c r="Q182" i="107"/>
  <c r="Q182" i="106"/>
  <c r="Q182" i="105"/>
  <c r="Q180" i="108"/>
  <c r="Q180" i="106"/>
  <c r="Q180" i="107"/>
  <c r="Q180" i="104"/>
  <c r="Q180" i="105"/>
  <c r="Q173" i="108"/>
  <c r="Q173" i="106"/>
  <c r="Q173" i="105"/>
  <c r="Q173" i="107"/>
  <c r="Q170" i="108"/>
  <c r="Q170" i="107"/>
  <c r="Q170" i="105"/>
  <c r="Q170" i="106"/>
  <c r="Q163" i="108"/>
  <c r="Q163" i="107"/>
  <c r="Q163" i="105"/>
  <c r="Q163" i="106"/>
  <c r="P161" i="108"/>
  <c r="P161" i="107"/>
  <c r="P161" i="106"/>
  <c r="P161" i="105"/>
  <c r="Q158" i="108"/>
  <c r="Q158" i="107"/>
  <c r="Q158" i="106"/>
  <c r="Q158" i="105"/>
  <c r="T156" i="98"/>
  <c r="P155" i="108"/>
  <c r="P155" i="107"/>
  <c r="P155" i="106"/>
  <c r="P155" i="105"/>
  <c r="P155" i="104"/>
  <c r="P151" i="108"/>
  <c r="P151" i="107"/>
  <c r="P151" i="105"/>
  <c r="P151" i="106"/>
  <c r="P151" i="104"/>
  <c r="P148" i="108"/>
  <c r="P148" i="107"/>
  <c r="P148" i="105"/>
  <c r="P148" i="106"/>
  <c r="P148" i="104"/>
  <c r="S148" i="104" s="1"/>
  <c r="P145" i="108"/>
  <c r="P145" i="107"/>
  <c r="P145" i="105"/>
  <c r="P145" i="106"/>
  <c r="P145" i="104"/>
  <c r="S145" i="104" s="1"/>
  <c r="R141" i="98"/>
  <c r="U141" i="98" s="1"/>
  <c r="Q141" i="108"/>
  <c r="Q141" i="107"/>
  <c r="Q141" i="106"/>
  <c r="Q141" i="105"/>
  <c r="Q141" i="104"/>
  <c r="T141" i="104" s="1"/>
  <c r="P134" i="108"/>
  <c r="P134" i="107"/>
  <c r="P134" i="105"/>
  <c r="P134" i="106"/>
  <c r="T132" i="98"/>
  <c r="Q120" i="108"/>
  <c r="Q120" i="107"/>
  <c r="Q120" i="106"/>
  <c r="Q120" i="105"/>
  <c r="T115" i="98"/>
  <c r="Q115" i="108"/>
  <c r="Q115" i="107"/>
  <c r="Q115" i="105"/>
  <c r="Q115" i="106"/>
  <c r="Q115" i="104"/>
  <c r="T115" i="104" s="1"/>
  <c r="P113" i="108"/>
  <c r="P113" i="107"/>
  <c r="P113" i="106"/>
  <c r="P113" i="105"/>
  <c r="P106" i="108"/>
  <c r="P106" i="107"/>
  <c r="P106" i="106"/>
  <c r="P106" i="105"/>
  <c r="P104" i="108"/>
  <c r="P104" i="107"/>
  <c r="P104" i="105"/>
  <c r="P104" i="106"/>
  <c r="Q99" i="108"/>
  <c r="Q99" i="107"/>
  <c r="Q99" i="106"/>
  <c r="Q99" i="105"/>
  <c r="T96" i="98"/>
  <c r="Q96" i="108"/>
  <c r="Q96" i="107"/>
  <c r="Q96" i="105"/>
  <c r="Q96" i="106"/>
  <c r="T93" i="98"/>
  <c r="Q93" i="108"/>
  <c r="Q93" i="107"/>
  <c r="Q93" i="106"/>
  <c r="Q93" i="104"/>
  <c r="T93" i="104" s="1"/>
  <c r="Q93" i="105"/>
  <c r="R89" i="98"/>
  <c r="P89" i="108"/>
  <c r="P89" i="107"/>
  <c r="P89" i="106"/>
  <c r="P89" i="105"/>
  <c r="P89" i="104"/>
  <c r="S89" i="104" s="1"/>
  <c r="Q85" i="108"/>
  <c r="Q85" i="107"/>
  <c r="Q85" i="106"/>
  <c r="Q85" i="105"/>
  <c r="Q85" i="104"/>
  <c r="T85" i="104" s="1"/>
  <c r="Q82" i="108"/>
  <c r="Q82" i="107"/>
  <c r="Q82" i="106"/>
  <c r="Q82" i="105"/>
  <c r="P80" i="108"/>
  <c r="P80" i="107"/>
  <c r="P80" i="106"/>
  <c r="P80" i="105"/>
  <c r="S77" i="98"/>
  <c r="Q75" i="108"/>
  <c r="Q75" i="107"/>
  <c r="Q75" i="105"/>
  <c r="Q75" i="106"/>
  <c r="P74" i="108"/>
  <c r="P74" i="107"/>
  <c r="P74" i="106"/>
  <c r="P74" i="105"/>
  <c r="P72" i="108"/>
  <c r="P72" i="107"/>
  <c r="P72" i="105"/>
  <c r="P72" i="106"/>
  <c r="T68" i="98"/>
  <c r="Q68" i="108"/>
  <c r="Q68" i="107"/>
  <c r="Q68" i="106"/>
  <c r="Q68" i="104"/>
  <c r="T68" i="104" s="1"/>
  <c r="Q68" i="105"/>
  <c r="Q66" i="108"/>
  <c r="Q66" i="107"/>
  <c r="Q66" i="106"/>
  <c r="Q66" i="105"/>
  <c r="Q66" i="104"/>
  <c r="T66" i="104" s="1"/>
  <c r="T62" i="98"/>
  <c r="Q62" i="108"/>
  <c r="Q62" i="107"/>
  <c r="Q62" i="106"/>
  <c r="Q62" i="105"/>
  <c r="Q62" i="104"/>
  <c r="T62" i="104" s="1"/>
  <c r="Q59" i="108"/>
  <c r="Q59" i="107"/>
  <c r="Q59" i="106"/>
  <c r="Q59" i="105"/>
  <c r="Q59" i="104"/>
  <c r="T59" i="104" s="1"/>
  <c r="P57" i="108"/>
  <c r="P57" i="107"/>
  <c r="P57" i="105"/>
  <c r="P57" i="106"/>
  <c r="P57" i="104"/>
  <c r="S57" i="104" s="1"/>
  <c r="P52" i="108"/>
  <c r="P52" i="107"/>
  <c r="P52" i="105"/>
  <c r="P52" i="106"/>
  <c r="P52" i="104"/>
  <c r="S52" i="104" s="1"/>
  <c r="T49" i="98"/>
  <c r="S46" i="98"/>
  <c r="P46" i="108"/>
  <c r="P46" i="107"/>
  <c r="P46" i="106"/>
  <c r="P46" i="105"/>
  <c r="R44" i="98"/>
  <c r="U44" i="98" s="1"/>
  <c r="P44" i="108"/>
  <c r="P44" i="107"/>
  <c r="P44" i="106"/>
  <c r="P44" i="105"/>
  <c r="P44" i="104"/>
  <c r="Q41" i="108"/>
  <c r="Q41" i="107"/>
  <c r="Q41" i="105"/>
  <c r="Q41" i="106"/>
  <c r="P37" i="108"/>
  <c r="P37" i="107"/>
  <c r="P37" i="106"/>
  <c r="P37" i="105"/>
  <c r="P37" i="104"/>
  <c r="Q34" i="108"/>
  <c r="Q34" i="107"/>
  <c r="Q34" i="105"/>
  <c r="Q34" i="106"/>
  <c r="Q34" i="104"/>
  <c r="P30" i="108"/>
  <c r="P30" i="107"/>
  <c r="P30" i="106"/>
  <c r="P30" i="105"/>
  <c r="P30" i="104"/>
  <c r="P27" i="108"/>
  <c r="P27" i="107"/>
  <c r="P27" i="106"/>
  <c r="P27" i="105"/>
  <c r="P27" i="104"/>
  <c r="P22" i="108"/>
  <c r="P22" i="107"/>
  <c r="P22" i="105"/>
  <c r="S22" i="105" s="1"/>
  <c r="P22" i="106"/>
  <c r="P22" i="104"/>
  <c r="S22" i="104" s="1"/>
  <c r="Q17" i="108"/>
  <c r="Q17" i="107"/>
  <c r="Q17" i="106"/>
  <c r="Q17" i="105"/>
  <c r="Q17" i="104"/>
  <c r="P6" i="108"/>
  <c r="P6" i="107"/>
  <c r="P6" i="106"/>
  <c r="S6" i="106" s="1"/>
  <c r="P6" i="105"/>
  <c r="S6" i="105" s="1"/>
  <c r="P6" i="104"/>
  <c r="S6" i="104" s="1"/>
  <c r="Q277" i="104"/>
  <c r="T277" i="104" s="1"/>
  <c r="P166" i="104"/>
  <c r="Q158" i="104"/>
  <c r="P144" i="104"/>
  <c r="S144" i="104" s="1"/>
  <c r="P137" i="104"/>
  <c r="S137" i="104" s="1"/>
  <c r="P135" i="104"/>
  <c r="S135" i="104" s="1"/>
  <c r="P104" i="104"/>
  <c r="S104" i="104" s="1"/>
  <c r="P249" i="105"/>
  <c r="T349" i="98"/>
  <c r="Q349" i="108"/>
  <c r="Q349" i="107"/>
  <c r="Q349" i="106"/>
  <c r="Q349" i="105"/>
  <c r="T347" i="98"/>
  <c r="T346" i="98"/>
  <c r="Q346" i="108"/>
  <c r="Q346" i="107"/>
  <c r="Q346" i="106"/>
  <c r="Q346" i="105"/>
  <c r="T346" i="105" s="1"/>
  <c r="T344" i="98"/>
  <c r="S340" i="98"/>
  <c r="P336" i="108"/>
  <c r="P336" i="107"/>
  <c r="P336" i="106"/>
  <c r="P336" i="105"/>
  <c r="Q327" i="108"/>
  <c r="Q327" i="106"/>
  <c r="Q327" i="105"/>
  <c r="P325" i="108"/>
  <c r="P325" i="107"/>
  <c r="P325" i="106"/>
  <c r="P325" i="105"/>
  <c r="R323" i="98"/>
  <c r="P323" i="108"/>
  <c r="P323" i="107"/>
  <c r="P323" i="106"/>
  <c r="P323" i="105"/>
  <c r="Q320" i="108"/>
  <c r="Q320" i="106"/>
  <c r="Q320" i="105"/>
  <c r="T320" i="105" s="1"/>
  <c r="Q320" i="107"/>
  <c r="R317" i="98"/>
  <c r="U317" i="98" s="1"/>
  <c r="P317" i="108"/>
  <c r="P317" i="107"/>
  <c r="P317" i="106"/>
  <c r="P317" i="105"/>
  <c r="P314" i="107"/>
  <c r="P314" i="108"/>
  <c r="P314" i="106"/>
  <c r="Q313" i="108"/>
  <c r="Q313" i="107"/>
  <c r="Q313" i="106"/>
  <c r="Q313" i="105"/>
  <c r="Q309" i="108"/>
  <c r="Q309" i="107"/>
  <c r="Q309" i="106"/>
  <c r="Q309" i="105"/>
  <c r="S304" i="98"/>
  <c r="P304" i="108"/>
  <c r="P304" i="106"/>
  <c r="P304" i="107"/>
  <c r="P304" i="105"/>
  <c r="Q298" i="108"/>
  <c r="Q298" i="107"/>
  <c r="Q298" i="106"/>
  <c r="Q298" i="105"/>
  <c r="S296" i="98"/>
  <c r="P296" i="108"/>
  <c r="P296" i="106"/>
  <c r="S296" i="106" s="1"/>
  <c r="P296" i="107"/>
  <c r="P296" i="105"/>
  <c r="S296" i="105" s="1"/>
  <c r="Q293" i="107"/>
  <c r="Q293" i="108"/>
  <c r="Q293" i="106"/>
  <c r="Q293" i="105"/>
  <c r="T289" i="98"/>
  <c r="Q289" i="108"/>
  <c r="Q289" i="107"/>
  <c r="Q289" i="105"/>
  <c r="Q289" i="106"/>
  <c r="S286" i="98"/>
  <c r="Q285" i="108"/>
  <c r="Q285" i="107"/>
  <c r="Q285" i="106"/>
  <c r="Q285" i="105"/>
  <c r="P281" i="108"/>
  <c r="P281" i="107"/>
  <c r="P281" i="106"/>
  <c r="P281" i="105"/>
  <c r="P276" i="108"/>
  <c r="P276" i="107"/>
  <c r="P276" i="106"/>
  <c r="P276" i="105"/>
  <c r="T271" i="98"/>
  <c r="Q271" i="108"/>
  <c r="Q271" i="107"/>
  <c r="Q271" i="105"/>
  <c r="Q271" i="106"/>
  <c r="Q267" i="108"/>
  <c r="Q267" i="107"/>
  <c r="Q267" i="106"/>
  <c r="Q267" i="105"/>
  <c r="R259" i="98"/>
  <c r="P259" i="108"/>
  <c r="P259" i="107"/>
  <c r="P259" i="106"/>
  <c r="S259" i="106" s="1"/>
  <c r="P256" i="108"/>
  <c r="P256" i="106"/>
  <c r="P256" i="105"/>
  <c r="S256" i="105" s="1"/>
  <c r="P256" i="107"/>
  <c r="Q253" i="108"/>
  <c r="Q253" i="107"/>
  <c r="Q253" i="106"/>
  <c r="Q253" i="105"/>
  <c r="T253" i="105" s="1"/>
  <c r="P246" i="107"/>
  <c r="P246" i="108"/>
  <c r="P246" i="106"/>
  <c r="P246" i="105"/>
  <c r="P241" i="108"/>
  <c r="P241" i="107"/>
  <c r="P241" i="106"/>
  <c r="P241" i="105"/>
  <c r="Q240" i="107"/>
  <c r="Q240" i="106"/>
  <c r="Q240" i="108"/>
  <c r="Q240" i="105"/>
  <c r="T240" i="105" s="1"/>
  <c r="P237" i="108"/>
  <c r="P237" i="107"/>
  <c r="P237" i="106"/>
  <c r="S237" i="106" s="1"/>
  <c r="P237" i="105"/>
  <c r="S237" i="105" s="1"/>
  <c r="Q236" i="108"/>
  <c r="Q236" i="107"/>
  <c r="Q236" i="106"/>
  <c r="Q236" i="105"/>
  <c r="Q232" i="108"/>
  <c r="Q232" i="107"/>
  <c r="Q232" i="105"/>
  <c r="Q232" i="106"/>
  <c r="Q232" i="104"/>
  <c r="R228" i="98"/>
  <c r="P228" i="108"/>
  <c r="P228" i="107"/>
  <c r="P228" i="105"/>
  <c r="P228" i="106"/>
  <c r="P228" i="104"/>
  <c r="Q222" i="108"/>
  <c r="Q222" i="107"/>
  <c r="Q222" i="106"/>
  <c r="Q222" i="105"/>
  <c r="Q212" i="108"/>
  <c r="T212" i="108" s="1"/>
  <c r="Q212" i="107"/>
  <c r="T212" i="107" s="1"/>
  <c r="Q212" i="106"/>
  <c r="T212" i="106" s="1"/>
  <c r="Q212" i="105"/>
  <c r="T212" i="105" s="1"/>
  <c r="P210" i="108"/>
  <c r="P210" i="107"/>
  <c r="P210" i="106"/>
  <c r="Q206" i="107"/>
  <c r="Q206" i="105"/>
  <c r="Q206" i="106"/>
  <c r="Q206" i="108"/>
  <c r="Q203" i="108"/>
  <c r="Q203" i="107"/>
  <c r="Q203" i="105"/>
  <c r="Q203" i="106"/>
  <c r="R194" i="98"/>
  <c r="P194" i="108"/>
  <c r="P194" i="107"/>
  <c r="P194" i="106"/>
  <c r="P194" i="105"/>
  <c r="Q189" i="108"/>
  <c r="Q189" i="107"/>
  <c r="Q189" i="106"/>
  <c r="Q189" i="105"/>
  <c r="Q189" i="104"/>
  <c r="Q187" i="108"/>
  <c r="Q187" i="107"/>
  <c r="Q187" i="106"/>
  <c r="Q187" i="105"/>
  <c r="Q187" i="104"/>
  <c r="P184" i="108"/>
  <c r="P184" i="107"/>
  <c r="P184" i="105"/>
  <c r="P179" i="108"/>
  <c r="P179" i="107"/>
  <c r="P179" i="105"/>
  <c r="P179" i="106"/>
  <c r="P172" i="108"/>
  <c r="P172" i="107"/>
  <c r="P172" i="105"/>
  <c r="P172" i="106"/>
  <c r="P172" i="104"/>
  <c r="P169" i="108"/>
  <c r="P169" i="107"/>
  <c r="P169" i="105"/>
  <c r="P169" i="106"/>
  <c r="P169" i="104"/>
  <c r="P153" i="108"/>
  <c r="P153" i="107"/>
  <c r="P153" i="105"/>
  <c r="P153" i="106"/>
  <c r="Q152" i="108"/>
  <c r="Q152" i="106"/>
  <c r="Q152" i="107"/>
  <c r="Q152" i="105"/>
  <c r="Q149" i="108"/>
  <c r="Q149" i="107"/>
  <c r="Q149" i="106"/>
  <c r="Q149" i="105"/>
  <c r="Q149" i="104"/>
  <c r="T149" i="104" s="1"/>
  <c r="P147" i="108"/>
  <c r="P147" i="107"/>
  <c r="P147" i="105"/>
  <c r="P147" i="106"/>
  <c r="T143" i="98"/>
  <c r="T138" i="98"/>
  <c r="S131" i="98"/>
  <c r="R126" i="98"/>
  <c r="P126" i="108"/>
  <c r="P126" i="107"/>
  <c r="P126" i="106"/>
  <c r="P126" i="105"/>
  <c r="P126" i="104"/>
  <c r="S126" i="104" s="1"/>
  <c r="S123" i="98"/>
  <c r="Q119" i="107"/>
  <c r="Q119" i="108"/>
  <c r="Q119" i="106"/>
  <c r="Q119" i="105"/>
  <c r="Q119" i="104"/>
  <c r="T119" i="104" s="1"/>
  <c r="R117" i="98"/>
  <c r="P117" i="108"/>
  <c r="P117" i="107"/>
  <c r="P117" i="106"/>
  <c r="P117" i="105"/>
  <c r="P117" i="104"/>
  <c r="S117" i="104" s="1"/>
  <c r="P114" i="108"/>
  <c r="P114" i="107"/>
  <c r="P114" i="105"/>
  <c r="P114" i="106"/>
  <c r="P114" i="104"/>
  <c r="S114" i="104" s="1"/>
  <c r="T111" i="98"/>
  <c r="P108" i="108"/>
  <c r="P108" i="107"/>
  <c r="P108" i="106"/>
  <c r="P108" i="105"/>
  <c r="P105" i="108"/>
  <c r="P105" i="107"/>
  <c r="P105" i="106"/>
  <c r="P105" i="104"/>
  <c r="S105" i="104" s="1"/>
  <c r="P105" i="105"/>
  <c r="R101" i="98"/>
  <c r="U101" i="98" s="1"/>
  <c r="P101" i="108"/>
  <c r="P101" i="105"/>
  <c r="P101" i="106"/>
  <c r="P101" i="104"/>
  <c r="S101" i="104" s="1"/>
  <c r="P101" i="107"/>
  <c r="Q95" i="108"/>
  <c r="Q95" i="107"/>
  <c r="Q95" i="106"/>
  <c r="Q95" i="105"/>
  <c r="Q92" i="108"/>
  <c r="Q92" i="107"/>
  <c r="Q92" i="106"/>
  <c r="Q92" i="105"/>
  <c r="Q92" i="104"/>
  <c r="T92" i="104" s="1"/>
  <c r="Q87" i="108"/>
  <c r="Q87" i="107"/>
  <c r="Q87" i="106"/>
  <c r="Q87" i="104"/>
  <c r="T87" i="104" s="1"/>
  <c r="P83" i="108"/>
  <c r="P83" i="107"/>
  <c r="P83" i="106"/>
  <c r="P83" i="105"/>
  <c r="P83" i="104"/>
  <c r="S83" i="104" s="1"/>
  <c r="S71" i="98"/>
  <c r="P71" i="107"/>
  <c r="P71" i="108"/>
  <c r="P71" i="105"/>
  <c r="P71" i="106"/>
  <c r="P71" i="104"/>
  <c r="S71" i="104" s="1"/>
  <c r="Q65" i="108"/>
  <c r="Q65" i="107"/>
  <c r="Q65" i="106"/>
  <c r="Q65" i="105"/>
  <c r="Q63" i="108"/>
  <c r="Q63" i="105"/>
  <c r="Q63" i="106"/>
  <c r="Q63" i="107"/>
  <c r="Q63" i="104"/>
  <c r="T63" i="104" s="1"/>
  <c r="P56" i="108"/>
  <c r="P56" i="107"/>
  <c r="P56" i="105"/>
  <c r="P56" i="106"/>
  <c r="P56" i="104"/>
  <c r="S56" i="104" s="1"/>
  <c r="P43" i="108"/>
  <c r="P43" i="107"/>
  <c r="P43" i="106"/>
  <c r="P43" i="104"/>
  <c r="P43" i="105"/>
  <c r="P40" i="108"/>
  <c r="P40" i="107"/>
  <c r="P40" i="105"/>
  <c r="P40" i="106"/>
  <c r="P36" i="108"/>
  <c r="P36" i="107"/>
  <c r="P36" i="106"/>
  <c r="P36" i="105"/>
  <c r="Q32" i="108"/>
  <c r="Q32" i="107"/>
  <c r="Q32" i="106"/>
  <c r="Q32" i="105"/>
  <c r="Q32" i="104"/>
  <c r="Q29" i="108"/>
  <c r="Q29" i="107"/>
  <c r="Q29" i="106"/>
  <c r="Q29" i="104"/>
  <c r="Q29" i="105"/>
  <c r="Q26" i="108"/>
  <c r="Q26" i="107"/>
  <c r="Q26" i="105"/>
  <c r="T26" i="105" s="1"/>
  <c r="Q26" i="106"/>
  <c r="T26" i="106" s="1"/>
  <c r="Q23" i="108"/>
  <c r="Q23" i="107"/>
  <c r="Q23" i="106"/>
  <c r="T23" i="106" s="1"/>
  <c r="Q23" i="105"/>
  <c r="T23" i="105" s="1"/>
  <c r="P19" i="108"/>
  <c r="P19" i="107"/>
  <c r="P19" i="106"/>
  <c r="P19" i="105"/>
  <c r="P19" i="104"/>
  <c r="P16" i="108"/>
  <c r="P16" i="107"/>
  <c r="P16" i="106"/>
  <c r="P16" i="105"/>
  <c r="Q15" i="108"/>
  <c r="Q15" i="107"/>
  <c r="Q15" i="106"/>
  <c r="Q15" i="105"/>
  <c r="Q15" i="104"/>
  <c r="R12" i="98"/>
  <c r="P12" i="108"/>
  <c r="P12" i="107"/>
  <c r="P12" i="106"/>
  <c r="P12" i="105"/>
  <c r="T5" i="98"/>
  <c r="Q293" i="104"/>
  <c r="S284" i="104"/>
  <c r="Q273" i="104"/>
  <c r="Q253" i="104"/>
  <c r="T253" i="104" s="1"/>
  <c r="P251" i="104"/>
  <c r="S251" i="104" s="1"/>
  <c r="T246" i="104"/>
  <c r="Q163" i="104"/>
  <c r="Q152" i="104"/>
  <c r="T106" i="104"/>
  <c r="Q95" i="104"/>
  <c r="T95" i="104" s="1"/>
  <c r="Q82" i="104"/>
  <c r="P36" i="104"/>
  <c r="P184" i="106"/>
  <c r="Q270" i="108"/>
  <c r="Q270" i="107"/>
  <c r="Q270" i="106"/>
  <c r="Q270" i="105"/>
  <c r="Q266" i="108"/>
  <c r="Q266" i="107"/>
  <c r="Q266" i="106"/>
  <c r="Q266" i="105"/>
  <c r="P263" i="108"/>
  <c r="P263" i="107"/>
  <c r="P263" i="106"/>
  <c r="P263" i="105"/>
  <c r="Q258" i="108"/>
  <c r="Q258" i="107"/>
  <c r="Q258" i="106"/>
  <c r="Q252" i="108"/>
  <c r="Q252" i="105"/>
  <c r="Q252" i="106"/>
  <c r="Q252" i="107"/>
  <c r="P249" i="108"/>
  <c r="P249" i="106"/>
  <c r="P249" i="107"/>
  <c r="Q248" i="108"/>
  <c r="Q248" i="107"/>
  <c r="Q248" i="106"/>
  <c r="Q248" i="105"/>
  <c r="Q245" i="108"/>
  <c r="Q245" i="106"/>
  <c r="Q245" i="107"/>
  <c r="Q245" i="105"/>
  <c r="P243" i="108"/>
  <c r="P243" i="106"/>
  <c r="P243" i="105"/>
  <c r="P243" i="107"/>
  <c r="S240" i="98"/>
  <c r="Q239" i="107"/>
  <c r="Q239" i="108"/>
  <c r="Q239" i="106"/>
  <c r="Q239" i="105"/>
  <c r="S227" i="98"/>
  <c r="P227" i="108"/>
  <c r="P227" i="107"/>
  <c r="P227" i="106"/>
  <c r="P227" i="105"/>
  <c r="P225" i="108"/>
  <c r="P225" i="107"/>
  <c r="P225" i="106"/>
  <c r="S225" i="106" s="1"/>
  <c r="P225" i="105"/>
  <c r="S225" i="105" s="1"/>
  <c r="S222" i="98"/>
  <c r="Q221" i="108"/>
  <c r="Q221" i="107"/>
  <c r="Q221" i="106"/>
  <c r="Q221" i="105"/>
  <c r="P217" i="108"/>
  <c r="P217" i="107"/>
  <c r="P217" i="106"/>
  <c r="P217" i="105"/>
  <c r="S217" i="105" s="1"/>
  <c r="P217" i="104"/>
  <c r="S217" i="104" s="1"/>
  <c r="P215" i="108"/>
  <c r="S215" i="108" s="1"/>
  <c r="P215" i="107"/>
  <c r="P215" i="106"/>
  <c r="S215" i="106" s="1"/>
  <c r="P215" i="105"/>
  <c r="Q209" i="108"/>
  <c r="Q209" i="107"/>
  <c r="Q209" i="106"/>
  <c r="Q209" i="105"/>
  <c r="Q209" i="104"/>
  <c r="Q205" i="108"/>
  <c r="Q205" i="107"/>
  <c r="Q205" i="106"/>
  <c r="P200" i="108"/>
  <c r="P200" i="107"/>
  <c r="P200" i="106"/>
  <c r="P200" i="105"/>
  <c r="Q199" i="107"/>
  <c r="Q199" i="105"/>
  <c r="Q199" i="108"/>
  <c r="Q199" i="106"/>
  <c r="Q199" i="104"/>
  <c r="Q196" i="108"/>
  <c r="Q196" i="107"/>
  <c r="Q196" i="105"/>
  <c r="Q196" i="106"/>
  <c r="S193" i="98"/>
  <c r="P192" i="108"/>
  <c r="P192" i="107"/>
  <c r="P192" i="106"/>
  <c r="Q186" i="108"/>
  <c r="Q186" i="107"/>
  <c r="Q186" i="106"/>
  <c r="Q186" i="105"/>
  <c r="Q183" i="108"/>
  <c r="Q183" i="107"/>
  <c r="Q183" i="106"/>
  <c r="Q183" i="105"/>
  <c r="Q181" i="108"/>
  <c r="Q181" i="106"/>
  <c r="Q181" i="107"/>
  <c r="Q181" i="105"/>
  <c r="Q181" i="104"/>
  <c r="Q178" i="108"/>
  <c r="Q178" i="107"/>
  <c r="Q178" i="106"/>
  <c r="Q178" i="105"/>
  <c r="P175" i="108"/>
  <c r="P175" i="107"/>
  <c r="P175" i="106"/>
  <c r="R166" i="98"/>
  <c r="P166" i="108"/>
  <c r="P166" i="107"/>
  <c r="P166" i="106"/>
  <c r="P166" i="105"/>
  <c r="Q159" i="107"/>
  <c r="Q159" i="108"/>
  <c r="Q159" i="105"/>
  <c r="Q159" i="106"/>
  <c r="Q159" i="104"/>
  <c r="R157" i="98"/>
  <c r="Q157" i="108"/>
  <c r="Q157" i="107"/>
  <c r="Q157" i="106"/>
  <c r="Q157" i="105"/>
  <c r="Q157" i="104"/>
  <c r="S149" i="98"/>
  <c r="Q146" i="108"/>
  <c r="Q146" i="107"/>
  <c r="Q146" i="106"/>
  <c r="Q146" i="105"/>
  <c r="Q146" i="104"/>
  <c r="T146" i="104" s="1"/>
  <c r="P144" i="108"/>
  <c r="P144" i="107"/>
  <c r="P144" i="106"/>
  <c r="P144" i="105"/>
  <c r="P142" i="108"/>
  <c r="P142" i="107"/>
  <c r="P142" i="105"/>
  <c r="P142" i="106"/>
  <c r="P140" i="108"/>
  <c r="P140" i="107"/>
  <c r="P140" i="105"/>
  <c r="P140" i="106"/>
  <c r="T139" i="98"/>
  <c r="Q139" i="108"/>
  <c r="Q139" i="107"/>
  <c r="Q139" i="106"/>
  <c r="Q139" i="105"/>
  <c r="Q139" i="104"/>
  <c r="T139" i="104" s="1"/>
  <c r="P137" i="108"/>
  <c r="P137" i="107"/>
  <c r="P137" i="106"/>
  <c r="P137" i="105"/>
  <c r="P135" i="108"/>
  <c r="P135" i="107"/>
  <c r="P135" i="106"/>
  <c r="P135" i="105"/>
  <c r="P133" i="108"/>
  <c r="P133" i="107"/>
  <c r="P133" i="105"/>
  <c r="P133" i="106"/>
  <c r="S130" i="98"/>
  <c r="P130" i="108"/>
  <c r="P130" i="107"/>
  <c r="P130" i="106"/>
  <c r="P130" i="105"/>
  <c r="Q127" i="108"/>
  <c r="Q127" i="107"/>
  <c r="Q127" i="106"/>
  <c r="Q127" i="105"/>
  <c r="P125" i="108"/>
  <c r="P125" i="107"/>
  <c r="P125" i="106"/>
  <c r="P122" i="108"/>
  <c r="P122" i="107"/>
  <c r="P122" i="106"/>
  <c r="P122" i="105"/>
  <c r="P112" i="108"/>
  <c r="P112" i="107"/>
  <c r="P112" i="106"/>
  <c r="P112" i="105"/>
  <c r="P112" i="104"/>
  <c r="S112" i="104" s="1"/>
  <c r="P110" i="108"/>
  <c r="P110" i="107"/>
  <c r="P110" i="106"/>
  <c r="P110" i="104"/>
  <c r="S110" i="104" s="1"/>
  <c r="T109" i="98"/>
  <c r="Q109" i="108"/>
  <c r="Q109" i="107"/>
  <c r="Q109" i="106"/>
  <c r="Q109" i="105"/>
  <c r="T107" i="98"/>
  <c r="Q107" i="108"/>
  <c r="Q107" i="107"/>
  <c r="Q107" i="105"/>
  <c r="Q107" i="106"/>
  <c r="Q107" i="104"/>
  <c r="T107" i="104" s="1"/>
  <c r="Q103" i="108"/>
  <c r="Q103" i="107"/>
  <c r="Q103" i="106"/>
  <c r="Q103" i="105"/>
  <c r="Q100" i="108"/>
  <c r="Q100" i="107"/>
  <c r="Q100" i="105"/>
  <c r="Q100" i="104"/>
  <c r="T100" i="104" s="1"/>
  <c r="P98" i="108"/>
  <c r="P98" i="107"/>
  <c r="P98" i="105"/>
  <c r="P98" i="106"/>
  <c r="P98" i="104"/>
  <c r="S98" i="104" s="1"/>
  <c r="T97" i="98"/>
  <c r="Q97" i="108"/>
  <c r="Q97" i="107"/>
  <c r="Q97" i="106"/>
  <c r="Q97" i="105"/>
  <c r="P90" i="108"/>
  <c r="P90" i="107"/>
  <c r="P90" i="105"/>
  <c r="P90" i="104"/>
  <c r="S90" i="104" s="1"/>
  <c r="P90" i="106"/>
  <c r="Q86" i="108"/>
  <c r="Q86" i="107"/>
  <c r="Q86" i="106"/>
  <c r="Q86" i="105"/>
  <c r="T82" i="98"/>
  <c r="Q81" i="108"/>
  <c r="Q81" i="107"/>
  <c r="Q81" i="106"/>
  <c r="Q81" i="105"/>
  <c r="P78" i="108"/>
  <c r="P78" i="107"/>
  <c r="P78" i="105"/>
  <c r="P78" i="104"/>
  <c r="S78" i="104" s="1"/>
  <c r="P78" i="106"/>
  <c r="T75" i="98"/>
  <c r="S74" i="98"/>
  <c r="R73" i="98"/>
  <c r="P73" i="108"/>
  <c r="P73" i="107"/>
  <c r="P73" i="106"/>
  <c r="P73" i="105"/>
  <c r="P70" i="108"/>
  <c r="P70" i="107"/>
  <c r="P70" i="105"/>
  <c r="P70" i="106"/>
  <c r="P70" i="104"/>
  <c r="S70" i="104" s="1"/>
  <c r="P67" i="108"/>
  <c r="P67" i="106"/>
  <c r="P67" i="105"/>
  <c r="P67" i="107"/>
  <c r="P67" i="104"/>
  <c r="S67" i="104" s="1"/>
  <c r="P61" i="108"/>
  <c r="P61" i="107"/>
  <c r="P61" i="105"/>
  <c r="P61" i="106"/>
  <c r="P61" i="104"/>
  <c r="S61" i="104" s="1"/>
  <c r="T60" i="98"/>
  <c r="Q60" i="108"/>
  <c r="Q60" i="107"/>
  <c r="Q60" i="106"/>
  <c r="Q60" i="104"/>
  <c r="T60" i="104" s="1"/>
  <c r="Q60" i="105"/>
  <c r="P58" i="108"/>
  <c r="P58" i="107"/>
  <c r="P58" i="106"/>
  <c r="P58" i="104"/>
  <c r="S58" i="104" s="1"/>
  <c r="P58" i="105"/>
  <c r="P55" i="108"/>
  <c r="P55" i="107"/>
  <c r="P55" i="105"/>
  <c r="P55" i="106"/>
  <c r="P55" i="104"/>
  <c r="S55" i="104" s="1"/>
  <c r="S52" i="98"/>
  <c r="P50" i="108"/>
  <c r="P50" i="107"/>
  <c r="P50" i="106"/>
  <c r="P50" i="105"/>
  <c r="P50" i="104"/>
  <c r="S50" i="104" s="1"/>
  <c r="S47" i="98"/>
  <c r="P47" i="108"/>
  <c r="P47" i="107"/>
  <c r="P47" i="106"/>
  <c r="P47" i="105"/>
  <c r="P45" i="108"/>
  <c r="P45" i="107"/>
  <c r="P45" i="106"/>
  <c r="P45" i="105"/>
  <c r="Q42" i="108"/>
  <c r="Q42" i="107"/>
  <c r="Q42" i="105"/>
  <c r="Q42" i="106"/>
  <c r="S39" i="98"/>
  <c r="P39" i="108"/>
  <c r="P39" i="107"/>
  <c r="P39" i="105"/>
  <c r="P39" i="106"/>
  <c r="P39" i="104"/>
  <c r="S37" i="98"/>
  <c r="Q35" i="108"/>
  <c r="Q35" i="107"/>
  <c r="Q35" i="106"/>
  <c r="Q35" i="104"/>
  <c r="Q35" i="105"/>
  <c r="Q31" i="108"/>
  <c r="Q31" i="107"/>
  <c r="Q31" i="105"/>
  <c r="Q31" i="104"/>
  <c r="Q25" i="108"/>
  <c r="Q25" i="107"/>
  <c r="Q25" i="106"/>
  <c r="T25" i="106" s="1"/>
  <c r="Q25" i="104"/>
  <c r="T25" i="104" s="1"/>
  <c r="Q25" i="105"/>
  <c r="T25" i="105" s="1"/>
  <c r="P21" i="108"/>
  <c r="P21" i="107"/>
  <c r="P21" i="106"/>
  <c r="S21" i="106" s="1"/>
  <c r="P21" i="105"/>
  <c r="S21" i="105" s="1"/>
  <c r="P21" i="104"/>
  <c r="S21" i="104" s="1"/>
  <c r="Q18" i="108"/>
  <c r="Q18" i="107"/>
  <c r="Q18" i="106"/>
  <c r="Q18" i="105"/>
  <c r="Q18" i="104"/>
  <c r="P14" i="108"/>
  <c r="P14" i="107"/>
  <c r="P14" i="105"/>
  <c r="P14" i="106"/>
  <c r="P14" i="104"/>
  <c r="Q11" i="108"/>
  <c r="Q11" i="107"/>
  <c r="Q11" i="106"/>
  <c r="Q11" i="104"/>
  <c r="T11" i="104" s="1"/>
  <c r="R9" i="98"/>
  <c r="P9" i="108"/>
  <c r="P9" i="107"/>
  <c r="P9" i="106"/>
  <c r="P9" i="105"/>
  <c r="P4" i="108"/>
  <c r="P4" i="107"/>
  <c r="P4" i="105"/>
  <c r="P4" i="106"/>
  <c r="P4" i="104"/>
  <c r="P336" i="104"/>
  <c r="S336" i="104" s="1"/>
  <c r="P304" i="104"/>
  <c r="Q294" i="104"/>
  <c r="T294" i="104" s="1"/>
  <c r="P269" i="104"/>
  <c r="P241" i="104"/>
  <c r="Q238" i="104"/>
  <c r="T238" i="104" s="1"/>
  <c r="P227" i="104"/>
  <c r="Q221" i="104"/>
  <c r="T221" i="104" s="1"/>
  <c r="P210" i="104"/>
  <c r="P194" i="104"/>
  <c r="P193" i="104"/>
  <c r="Q183" i="104"/>
  <c r="P122" i="104"/>
  <c r="S122" i="104" s="1"/>
  <c r="Q120" i="104"/>
  <c r="T120" i="104" s="1"/>
  <c r="Q96" i="104"/>
  <c r="T96" i="104" s="1"/>
  <c r="P74" i="104"/>
  <c r="S74" i="104" s="1"/>
  <c r="P45" i="104"/>
  <c r="S45" i="104" s="1"/>
  <c r="P12" i="104"/>
  <c r="S12" i="104" s="1"/>
  <c r="P9" i="104"/>
  <c r="S9" i="104" s="1"/>
  <c r="P314" i="105"/>
  <c r="P175" i="105"/>
  <c r="Q100" i="106"/>
  <c r="S212" i="104"/>
  <c r="S133" i="104"/>
  <c r="T257" i="105"/>
  <c r="U296" i="105"/>
  <c r="S215" i="105"/>
  <c r="S73" i="104"/>
  <c r="S330" i="105"/>
  <c r="S282" i="105"/>
  <c r="S354" i="108"/>
  <c r="W354" i="108" s="1"/>
  <c r="T353" i="107"/>
  <c r="Y353" i="107" s="1"/>
  <c r="S215" i="107"/>
  <c r="S5" i="106"/>
  <c r="S354" i="105"/>
  <c r="W354" i="105" s="1"/>
  <c r="U257" i="105"/>
  <c r="T256" i="105"/>
  <c r="T226" i="105"/>
  <c r="T215" i="105"/>
  <c r="S334" i="104"/>
  <c r="T336" i="104"/>
  <c r="S316" i="104"/>
  <c r="T328" i="104"/>
  <c r="S256" i="104"/>
  <c r="S238" i="104"/>
  <c r="S215" i="104"/>
  <c r="S239" i="104"/>
  <c r="T239" i="104"/>
  <c r="T131" i="104"/>
  <c r="T226" i="104"/>
  <c r="T222" i="104"/>
  <c r="T324" i="104"/>
  <c r="T252" i="104"/>
  <c r="T250" i="104"/>
  <c r="S226" i="104"/>
  <c r="T289" i="104"/>
  <c r="S113" i="104"/>
  <c r="T122" i="104"/>
  <c r="S91" i="104"/>
  <c r="T127" i="104"/>
  <c r="T77" i="104"/>
  <c r="S53" i="104"/>
  <c r="T91" i="104"/>
  <c r="T82" i="104"/>
  <c r="S82" i="104"/>
  <c r="T26" i="104"/>
  <c r="S10" i="104"/>
  <c r="U344" i="98"/>
  <c r="U334" i="98"/>
  <c r="R246" i="98"/>
  <c r="T246" i="98"/>
  <c r="R178" i="98"/>
  <c r="T94" i="98"/>
  <c r="R94" i="98"/>
  <c r="R11" i="98"/>
  <c r="T11" i="98"/>
  <c r="R4" i="98"/>
  <c r="S4" i="98"/>
  <c r="S343" i="98"/>
  <c r="T328" i="98"/>
  <c r="R319" i="98"/>
  <c r="S319" i="98"/>
  <c r="S317" i="98"/>
  <c r="S302" i="98"/>
  <c r="T302" i="98"/>
  <c r="S295" i="98"/>
  <c r="R295" i="98"/>
  <c r="R288" i="98"/>
  <c r="S288" i="98"/>
  <c r="R284" i="98"/>
  <c r="S284" i="98"/>
  <c r="R281" i="98"/>
  <c r="S253" i="98"/>
  <c r="R253" i="98"/>
  <c r="S212" i="98"/>
  <c r="T212" i="98"/>
  <c r="T189" i="98"/>
  <c r="R189" i="98"/>
  <c r="R177" i="98"/>
  <c r="R171" i="98"/>
  <c r="R329" i="98"/>
  <c r="R328" i="98"/>
  <c r="S320" i="98"/>
  <c r="T317" i="98"/>
  <c r="R314" i="98"/>
  <c r="S312" i="98"/>
  <c r="R298" i="98"/>
  <c r="U296" i="98"/>
  <c r="S289" i="98"/>
  <c r="T259" i="98"/>
  <c r="R242" i="98"/>
  <c r="R238" i="98"/>
  <c r="T238" i="98"/>
  <c r="R173" i="98"/>
  <c r="T159" i="98"/>
  <c r="U148" i="98"/>
  <c r="R8" i="98"/>
  <c r="S8" i="98"/>
  <c r="T348" i="98"/>
  <c r="T340" i="98"/>
  <c r="U335" i="98"/>
  <c r="R306" i="98"/>
  <c r="T306" i="98"/>
  <c r="R271" i="98"/>
  <c r="S271" i="98"/>
  <c r="S269" i="98"/>
  <c r="R269" i="98"/>
  <c r="U259" i="98"/>
  <c r="S347" i="98"/>
  <c r="U322" i="98"/>
  <c r="R315" i="98"/>
  <c r="R287" i="98"/>
  <c r="S287" i="98"/>
  <c r="S285" i="98"/>
  <c r="R285" i="98"/>
  <c r="S256" i="98"/>
  <c r="R256" i="98"/>
  <c r="R252" i="98"/>
  <c r="S252" i="98"/>
  <c r="R240" i="98"/>
  <c r="T240" i="98"/>
  <c r="S219" i="98"/>
  <c r="R219" i="98"/>
  <c r="R172" i="98"/>
  <c r="R121" i="98"/>
  <c r="S119" i="98"/>
  <c r="T119" i="98"/>
  <c r="R308" i="98"/>
  <c r="R176" i="98"/>
  <c r="U304" i="98"/>
  <c r="S339" i="98"/>
  <c r="S346" i="98"/>
  <c r="S338" i="98"/>
  <c r="R337" i="98"/>
  <c r="T336" i="98"/>
  <c r="R330" i="98"/>
  <c r="R327" i="98"/>
  <c r="U324" i="98"/>
  <c r="S318" i="98"/>
  <c r="R318" i="98"/>
  <c r="S316" i="98"/>
  <c r="R313" i="98"/>
  <c r="T313" i="98"/>
  <c r="T305" i="98"/>
  <c r="S290" i="98"/>
  <c r="R280" i="98"/>
  <c r="T270" i="98"/>
  <c r="R270" i="98"/>
  <c r="S260" i="98"/>
  <c r="S254" i="98"/>
  <c r="T254" i="98"/>
  <c r="R251" i="98"/>
  <c r="U221" i="98"/>
  <c r="S124" i="98"/>
  <c r="R124" i="98"/>
  <c r="T286" i="98"/>
  <c r="R286" i="98"/>
  <c r="R276" i="98"/>
  <c r="S276" i="98"/>
  <c r="R163" i="98"/>
  <c r="R139" i="98"/>
  <c r="S139" i="98"/>
  <c r="T135" i="98"/>
  <c r="S135" i="98"/>
  <c r="S354" i="98"/>
  <c r="W354" i="98" s="1"/>
  <c r="R336" i="98"/>
  <c r="S323" i="98"/>
  <c r="T316" i="98"/>
  <c r="R307" i="98"/>
  <c r="S300" i="98"/>
  <c r="R292" i="98"/>
  <c r="R279" i="98"/>
  <c r="R272" i="98"/>
  <c r="R268" i="98"/>
  <c r="R265" i="98"/>
  <c r="S249" i="98"/>
  <c r="S228" i="98"/>
  <c r="T224" i="98"/>
  <c r="S224" i="98"/>
  <c r="R152" i="98"/>
  <c r="R311" i="98"/>
  <c r="S310" i="98"/>
  <c r="S301" i="98"/>
  <c r="R294" i="98"/>
  <c r="T294" i="98"/>
  <c r="T290" i="98"/>
  <c r="T276" i="98"/>
  <c r="R273" i="98"/>
  <c r="S262" i="98"/>
  <c r="T262" i="98"/>
  <c r="T260" i="98"/>
  <c r="S257" i="98"/>
  <c r="R222" i="98"/>
  <c r="T222" i="98"/>
  <c r="R214" i="98"/>
  <c r="T214" i="98"/>
  <c r="R155" i="98"/>
  <c r="S330" i="98"/>
  <c r="S322" i="98"/>
  <c r="S291" i="98"/>
  <c r="R291" i="98"/>
  <c r="T282" i="98"/>
  <c r="R274" i="98"/>
  <c r="S274" i="98"/>
  <c r="R183" i="98"/>
  <c r="S146" i="98"/>
  <c r="R146" i="98"/>
  <c r="R142" i="98"/>
  <c r="S142" i="98"/>
  <c r="T128" i="98"/>
  <c r="R128" i="98"/>
  <c r="T23" i="98"/>
  <c r="R23" i="98"/>
  <c r="S297" i="98"/>
  <c r="T288" i="98"/>
  <c r="S282" i="98"/>
  <c r="R277" i="98"/>
  <c r="S277" i="98"/>
  <c r="S261" i="98"/>
  <c r="S250" i="98"/>
  <c r="R213" i="98"/>
  <c r="T213" i="98"/>
  <c r="R206" i="98"/>
  <c r="R198" i="98"/>
  <c r="S191" i="98"/>
  <c r="R191" i="98"/>
  <c r="R150" i="98"/>
  <c r="S150" i="98"/>
  <c r="R310" i="98"/>
  <c r="S299" i="98"/>
  <c r="R278" i="98"/>
  <c r="T278" i="98"/>
  <c r="S275" i="98"/>
  <c r="R275" i="98"/>
  <c r="S259" i="98"/>
  <c r="U257" i="98"/>
  <c r="U254" i="98"/>
  <c r="S248" i="98"/>
  <c r="S245" i="98"/>
  <c r="R245" i="98"/>
  <c r="S237" i="98"/>
  <c r="R237" i="98"/>
  <c r="R215" i="98"/>
  <c r="S215" i="98"/>
  <c r="S188" i="98"/>
  <c r="R188" i="98"/>
  <c r="R184" i="98"/>
  <c r="T162" i="98"/>
  <c r="R162" i="98"/>
  <c r="S156" i="98"/>
  <c r="R156" i="98"/>
  <c r="R149" i="98"/>
  <c r="T149" i="98"/>
  <c r="T250" i="98"/>
  <c r="R236" i="98"/>
  <c r="R230" i="98"/>
  <c r="T230" i="98"/>
  <c r="R203" i="98"/>
  <c r="R195" i="98"/>
  <c r="S195" i="98"/>
  <c r="R186" i="98"/>
  <c r="T186" i="98"/>
  <c r="R179" i="98"/>
  <c r="R175" i="98"/>
  <c r="S141" i="98"/>
  <c r="T106" i="98"/>
  <c r="R97" i="98"/>
  <c r="S97" i="98"/>
  <c r="S70" i="98"/>
  <c r="R70" i="98"/>
  <c r="T53" i="98"/>
  <c r="S53" i="98"/>
  <c r="R239" i="98"/>
  <c r="R235" i="98"/>
  <c r="R231" i="98"/>
  <c r="R160" i="98"/>
  <c r="S145" i="98"/>
  <c r="R145" i="98"/>
  <c r="R134" i="98"/>
  <c r="S134" i="98"/>
  <c r="T220" i="98"/>
  <c r="S196" i="98"/>
  <c r="T196" i="98"/>
  <c r="U187" i="98"/>
  <c r="T185" i="98"/>
  <c r="R185" i="98"/>
  <c r="S132" i="98"/>
  <c r="R132" i="98"/>
  <c r="R59" i="98"/>
  <c r="T59" i="98"/>
  <c r="R57" i="98"/>
  <c r="S57" i="98"/>
  <c r="S42" i="98"/>
  <c r="T42" i="98"/>
  <c r="R244" i="98"/>
  <c r="S229" i="98"/>
  <c r="R227" i="98"/>
  <c r="R223" i="98"/>
  <c r="S223" i="98"/>
  <c r="R220" i="98"/>
  <c r="R211" i="98"/>
  <c r="S211" i="98"/>
  <c r="R207" i="98"/>
  <c r="R199" i="98"/>
  <c r="R190" i="98"/>
  <c r="R169" i="98"/>
  <c r="R158" i="98"/>
  <c r="S158" i="98"/>
  <c r="R153" i="98"/>
  <c r="S129" i="98"/>
  <c r="S162" i="98"/>
  <c r="T105" i="98"/>
  <c r="R105" i="98"/>
  <c r="R147" i="98"/>
  <c r="R137" i="98"/>
  <c r="T120" i="98"/>
  <c r="R120" i="98"/>
  <c r="R115" i="98"/>
  <c r="S115" i="98"/>
  <c r="T47" i="98"/>
  <c r="R47" i="98"/>
  <c r="S194" i="98"/>
  <c r="S148" i="98"/>
  <c r="S140" i="98"/>
  <c r="R118" i="98"/>
  <c r="S118" i="98"/>
  <c r="R114" i="98"/>
  <c r="T114" i="98"/>
  <c r="T92" i="98"/>
  <c r="R92" i="98"/>
  <c r="S138" i="98"/>
  <c r="R125" i="98"/>
  <c r="R110" i="98"/>
  <c r="S110" i="98"/>
  <c r="S106" i="98"/>
  <c r="R106" i="98"/>
  <c r="T100" i="98"/>
  <c r="T86" i="98"/>
  <c r="R86" i="98"/>
  <c r="T65" i="98"/>
  <c r="R54" i="98"/>
  <c r="S54" i="98"/>
  <c r="R93" i="98"/>
  <c r="S68" i="98"/>
  <c r="R68" i="98"/>
  <c r="R56" i="98"/>
  <c r="S56" i="98"/>
  <c r="U42" i="98"/>
  <c r="R36" i="98"/>
  <c r="S36" i="98"/>
  <c r="S7" i="98"/>
  <c r="R7" i="98"/>
  <c r="R49" i="98"/>
  <c r="S49" i="98"/>
  <c r="R27" i="98"/>
  <c r="R25" i="98"/>
  <c r="S25" i="98"/>
  <c r="S10" i="98"/>
  <c r="T10" i="98"/>
  <c r="T131" i="98"/>
  <c r="T101" i="98"/>
  <c r="R88" i="98"/>
  <c r="S88" i="98"/>
  <c r="S60" i="98"/>
  <c r="R60" i="98"/>
  <c r="R51" i="98"/>
  <c r="T51" i="98"/>
  <c r="R123" i="98"/>
  <c r="S114" i="98"/>
  <c r="R109" i="98"/>
  <c r="S100" i="98"/>
  <c r="R96" i="98"/>
  <c r="R80" i="98"/>
  <c r="S80" i="98"/>
  <c r="S78" i="98"/>
  <c r="R76" i="98"/>
  <c r="S76" i="98"/>
  <c r="S50" i="98"/>
  <c r="T50" i="98"/>
  <c r="R40" i="98"/>
  <c r="S40" i="98"/>
  <c r="R32" i="98"/>
  <c r="S5" i="98"/>
  <c r="R107" i="98"/>
  <c r="S99" i="98"/>
  <c r="S98" i="98"/>
  <c r="R95" i="98"/>
  <c r="S89" i="98"/>
  <c r="S79" i="98"/>
  <c r="R79" i="98"/>
  <c r="R77" i="98"/>
  <c r="R71" i="98"/>
  <c r="S69" i="98"/>
  <c r="S12" i="98"/>
  <c r="T108" i="98"/>
  <c r="T99" i="98"/>
  <c r="T69" i="98"/>
  <c r="R61" i="98"/>
  <c r="R43" i="98"/>
  <c r="T43" i="98"/>
  <c r="R33" i="98"/>
  <c r="R24" i="98"/>
  <c r="S24" i="98"/>
  <c r="S122" i="98"/>
  <c r="S108" i="98"/>
  <c r="S87" i="98"/>
  <c r="R85" i="98"/>
  <c r="S85" i="98"/>
  <c r="U69" i="98"/>
  <c r="S66" i="98"/>
  <c r="T66" i="98"/>
  <c r="R64" i="98"/>
  <c r="S64" i="98"/>
  <c r="T41" i="98"/>
  <c r="S41" i="98"/>
  <c r="R35" i="98"/>
  <c r="T35" i="98"/>
  <c r="T87" i="98"/>
  <c r="T78" i="98"/>
  <c r="S55" i="98"/>
  <c r="R16" i="98"/>
  <c r="U5" i="98"/>
  <c r="S125" i="98"/>
  <c r="S117" i="98"/>
  <c r="S109" i="98"/>
  <c r="S101" i="98"/>
  <c r="R72" i="98"/>
  <c r="S72" i="98"/>
  <c r="T63" i="98"/>
  <c r="R48" i="98"/>
  <c r="S48" i="98"/>
  <c r="S65" i="98"/>
  <c r="S63" i="98"/>
  <c r="R55" i="98"/>
  <c r="U41" i="98"/>
  <c r="R39" i="98"/>
  <c r="S26" i="98"/>
  <c r="T26" i="98"/>
  <c r="G41" i="67"/>
  <c r="F41" i="67"/>
  <c r="E41" i="67"/>
  <c r="D41" i="67"/>
  <c r="I23" i="66"/>
  <c r="H23" i="66"/>
  <c r="G23" i="66"/>
  <c r="F23" i="66"/>
  <c r="E23" i="66"/>
  <c r="D23" i="66"/>
  <c r="I22" i="66"/>
  <c r="G22" i="66"/>
  <c r="F22" i="66"/>
  <c r="E22" i="66"/>
  <c r="D22" i="66"/>
  <c r="H21" i="66"/>
  <c r="G21" i="66"/>
  <c r="F21" i="66"/>
  <c r="E21" i="66"/>
  <c r="D21" i="66"/>
  <c r="I20" i="66"/>
  <c r="H20" i="66"/>
  <c r="F20" i="66"/>
  <c r="I28" i="65"/>
  <c r="H28" i="65"/>
  <c r="G28" i="65"/>
  <c r="F28" i="65"/>
  <c r="E28" i="65"/>
  <c r="D28" i="65"/>
  <c r="I27" i="65"/>
  <c r="H27" i="65"/>
  <c r="G27" i="65"/>
  <c r="F27" i="65"/>
  <c r="Z64" i="118" l="1"/>
  <c r="G7" i="118"/>
  <c r="Z148" i="118"/>
  <c r="G8" i="118"/>
  <c r="R122" i="108"/>
  <c r="R113" i="108"/>
  <c r="U226" i="98"/>
  <c r="U112" i="98"/>
  <c r="U75" i="98"/>
  <c r="R226" i="106"/>
  <c r="U226" i="106" s="1"/>
  <c r="R31" i="108"/>
  <c r="R75" i="108"/>
  <c r="R200" i="107"/>
  <c r="R170" i="104"/>
  <c r="R340" i="108"/>
  <c r="R335" i="107"/>
  <c r="R205" i="108"/>
  <c r="R205" i="106"/>
  <c r="U46" i="98"/>
  <c r="R21" i="108"/>
  <c r="U74" i="98"/>
  <c r="R200" i="105"/>
  <c r="R170" i="105"/>
  <c r="R74" i="105"/>
  <c r="R46" i="104"/>
  <c r="U46" i="104" s="1"/>
  <c r="R341" i="104"/>
  <c r="R341" i="107"/>
  <c r="R122" i="105"/>
  <c r="R345" i="104"/>
  <c r="U341" i="98"/>
  <c r="R21" i="106"/>
  <c r="U21" i="106" s="1"/>
  <c r="R113" i="105"/>
  <c r="R345" i="105"/>
  <c r="U345" i="105" s="1"/>
  <c r="R31" i="106"/>
  <c r="R130" i="107"/>
  <c r="R345" i="107"/>
  <c r="U193" i="98"/>
  <c r="R21" i="107"/>
  <c r="R122" i="106"/>
  <c r="R30" i="106"/>
  <c r="R113" i="107"/>
  <c r="R31" i="107"/>
  <c r="R66" i="106"/>
  <c r="R130" i="108"/>
  <c r="R345" i="108"/>
  <c r="R341" i="106"/>
  <c r="R205" i="105"/>
  <c r="R130" i="104"/>
  <c r="U345" i="98"/>
  <c r="V354" i="98"/>
  <c r="R193" i="106"/>
  <c r="R22" i="106"/>
  <c r="U21" i="98"/>
  <c r="R21" i="104"/>
  <c r="U21" i="104" s="1"/>
  <c r="R113" i="104"/>
  <c r="U113" i="104" s="1"/>
  <c r="R31" i="104"/>
  <c r="R193" i="107"/>
  <c r="R22" i="107"/>
  <c r="U22" i="98"/>
  <c r="U122" i="98"/>
  <c r="R112" i="108"/>
  <c r="R113" i="106"/>
  <c r="R193" i="108"/>
  <c r="R205" i="104"/>
  <c r="R321" i="104"/>
  <c r="U321" i="98"/>
  <c r="R196" i="105"/>
  <c r="U127" i="98"/>
  <c r="U352" i="98"/>
  <c r="Y352" i="98" s="1"/>
  <c r="R112" i="107"/>
  <c r="R130" i="106"/>
  <c r="U26" i="98"/>
  <c r="R341" i="108"/>
  <c r="R22" i="104"/>
  <c r="U22" i="104" s="1"/>
  <c r="R6" i="104"/>
  <c r="U6" i="104" s="1"/>
  <c r="H35" i="67"/>
  <c r="H39" i="67" s="1"/>
  <c r="D35" i="67"/>
  <c r="D39" i="67" s="1"/>
  <c r="R112" i="104"/>
  <c r="U112" i="104" s="1"/>
  <c r="R321" i="107"/>
  <c r="R196" i="106"/>
  <c r="R127" i="106"/>
  <c r="R26" i="108"/>
  <c r="R6" i="107"/>
  <c r="R26" i="106"/>
  <c r="U26" i="106" s="1"/>
  <c r="R127" i="104"/>
  <c r="U127" i="104" s="1"/>
  <c r="U130" i="98"/>
  <c r="R112" i="105"/>
  <c r="R321" i="108"/>
  <c r="R196" i="107"/>
  <c r="R127" i="107"/>
  <c r="R6" i="108"/>
  <c r="R26" i="105"/>
  <c r="U26" i="105" s="1"/>
  <c r="U196" i="98"/>
  <c r="R127" i="105"/>
  <c r="R6" i="105"/>
  <c r="U6" i="105" s="1"/>
  <c r="R321" i="106"/>
  <c r="R6" i="106"/>
  <c r="U6" i="106" s="1"/>
  <c r="R196" i="108"/>
  <c r="R86" i="108"/>
  <c r="R86" i="107"/>
  <c r="R86" i="105"/>
  <c r="R86" i="106"/>
  <c r="R86" i="104"/>
  <c r="U130" i="104"/>
  <c r="R20" i="108"/>
  <c r="R20" i="107"/>
  <c r="R20" i="106"/>
  <c r="R20" i="105"/>
  <c r="R20" i="104"/>
  <c r="R119" i="108"/>
  <c r="R119" i="107"/>
  <c r="R119" i="106"/>
  <c r="R119" i="105"/>
  <c r="R119" i="104"/>
  <c r="R208" i="108"/>
  <c r="R208" i="107"/>
  <c r="R208" i="105"/>
  <c r="R208" i="104"/>
  <c r="R208" i="106"/>
  <c r="R243" i="108"/>
  <c r="R243" i="107"/>
  <c r="R243" i="105"/>
  <c r="R243" i="106"/>
  <c r="R243" i="104"/>
  <c r="R247" i="108"/>
  <c r="R247" i="107"/>
  <c r="R247" i="106"/>
  <c r="R247" i="104"/>
  <c r="R247" i="105"/>
  <c r="U247" i="98"/>
  <c r="R299" i="107"/>
  <c r="R299" i="108"/>
  <c r="R299" i="106"/>
  <c r="R299" i="105"/>
  <c r="R299" i="104"/>
  <c r="U104" i="98"/>
  <c r="R104" i="108"/>
  <c r="R104" i="107"/>
  <c r="R104" i="105"/>
  <c r="R104" i="106"/>
  <c r="R104" i="104"/>
  <c r="U82" i="98"/>
  <c r="R82" i="108"/>
  <c r="R82" i="107"/>
  <c r="R82" i="106"/>
  <c r="R82" i="105"/>
  <c r="R82" i="104"/>
  <c r="R224" i="108"/>
  <c r="R224" i="107"/>
  <c r="R224" i="106"/>
  <c r="R224" i="105"/>
  <c r="R224" i="104"/>
  <c r="U224" i="98"/>
  <c r="R332" i="108"/>
  <c r="R332" i="107"/>
  <c r="R332" i="105"/>
  <c r="R332" i="106"/>
  <c r="R332" i="104"/>
  <c r="U332" i="98"/>
  <c r="U144" i="98"/>
  <c r="R144" i="108"/>
  <c r="R144" i="107"/>
  <c r="R144" i="105"/>
  <c r="R144" i="106"/>
  <c r="R144" i="104"/>
  <c r="R72" i="108"/>
  <c r="R72" i="107"/>
  <c r="R72" i="106"/>
  <c r="R72" i="105"/>
  <c r="R72" i="104"/>
  <c r="R7" i="108"/>
  <c r="R7" i="107"/>
  <c r="R7" i="106"/>
  <c r="R7" i="105"/>
  <c r="R7" i="104"/>
  <c r="R92" i="108"/>
  <c r="R92" i="107"/>
  <c r="R92" i="106"/>
  <c r="R92" i="105"/>
  <c r="R92" i="104"/>
  <c r="R169" i="108"/>
  <c r="R169" i="107"/>
  <c r="R169" i="106"/>
  <c r="R169" i="104"/>
  <c r="R169" i="105"/>
  <c r="R211" i="108"/>
  <c r="R211" i="107"/>
  <c r="R211" i="106"/>
  <c r="R211" i="105"/>
  <c r="R211" i="104"/>
  <c r="R132" i="108"/>
  <c r="R132" i="107"/>
  <c r="R132" i="105"/>
  <c r="R132" i="106"/>
  <c r="R132" i="104"/>
  <c r="R149" i="107"/>
  <c r="R149" i="108"/>
  <c r="R149" i="106"/>
  <c r="R149" i="105"/>
  <c r="R149" i="104"/>
  <c r="R184" i="108"/>
  <c r="R184" i="107"/>
  <c r="R184" i="106"/>
  <c r="R184" i="105"/>
  <c r="R184" i="104"/>
  <c r="R245" i="108"/>
  <c r="R245" i="107"/>
  <c r="R245" i="105"/>
  <c r="R245" i="106"/>
  <c r="R245" i="104"/>
  <c r="R310" i="108"/>
  <c r="R310" i="106"/>
  <c r="R310" i="105"/>
  <c r="R310" i="107"/>
  <c r="R310" i="104"/>
  <c r="R183" i="108"/>
  <c r="R183" i="107"/>
  <c r="R183" i="105"/>
  <c r="R183" i="106"/>
  <c r="R183" i="104"/>
  <c r="R337" i="108"/>
  <c r="R337" i="107"/>
  <c r="R337" i="106"/>
  <c r="R337" i="105"/>
  <c r="R337" i="104"/>
  <c r="R172" i="108"/>
  <c r="R172" i="107"/>
  <c r="R172" i="106"/>
  <c r="R172" i="105"/>
  <c r="R172" i="104"/>
  <c r="R288" i="108"/>
  <c r="R288" i="107"/>
  <c r="R288" i="106"/>
  <c r="R288" i="105"/>
  <c r="R288" i="104"/>
  <c r="R218" i="108"/>
  <c r="R218" i="106"/>
  <c r="R218" i="107"/>
  <c r="R218" i="105"/>
  <c r="R218" i="104"/>
  <c r="U218" i="98"/>
  <c r="R351" i="108"/>
  <c r="R351" i="106"/>
  <c r="R351" i="105"/>
  <c r="R351" i="107"/>
  <c r="R351" i="104"/>
  <c r="R136" i="108"/>
  <c r="R136" i="107"/>
  <c r="R136" i="106"/>
  <c r="R136" i="105"/>
  <c r="R136" i="104"/>
  <c r="U136" i="98"/>
  <c r="R58" i="108"/>
  <c r="R58" i="107"/>
  <c r="R58" i="106"/>
  <c r="R58" i="105"/>
  <c r="R58" i="104"/>
  <c r="U81" i="98"/>
  <c r="R81" i="108"/>
  <c r="R81" i="107"/>
  <c r="R81" i="106"/>
  <c r="R81" i="105"/>
  <c r="R81" i="104"/>
  <c r="R260" i="108"/>
  <c r="R260" i="107"/>
  <c r="R260" i="106"/>
  <c r="R260" i="105"/>
  <c r="R260" i="104"/>
  <c r="U260" i="98"/>
  <c r="R264" i="107"/>
  <c r="R264" i="108"/>
  <c r="R264" i="106"/>
  <c r="R264" i="105"/>
  <c r="R264" i="104"/>
  <c r="R87" i="108"/>
  <c r="R87" i="107"/>
  <c r="R87" i="106"/>
  <c r="R87" i="105"/>
  <c r="R87" i="104"/>
  <c r="U338" i="98"/>
  <c r="R338" i="107"/>
  <c r="R338" i="108"/>
  <c r="R338" i="106"/>
  <c r="R338" i="104"/>
  <c r="R338" i="105"/>
  <c r="U108" i="104"/>
  <c r="U67" i="104"/>
  <c r="R43" i="108"/>
  <c r="R43" i="107"/>
  <c r="R43" i="106"/>
  <c r="R43" i="105"/>
  <c r="R43" i="104"/>
  <c r="R71" i="108"/>
  <c r="R71" i="107"/>
  <c r="R71" i="105"/>
  <c r="R71" i="106"/>
  <c r="R71" i="104"/>
  <c r="R109" i="108"/>
  <c r="R109" i="107"/>
  <c r="R109" i="106"/>
  <c r="R109" i="105"/>
  <c r="R109" i="104"/>
  <c r="R88" i="108"/>
  <c r="R88" i="107"/>
  <c r="R88" i="106"/>
  <c r="R88" i="105"/>
  <c r="R88" i="104"/>
  <c r="R56" i="107"/>
  <c r="R56" i="108"/>
  <c r="R56" i="106"/>
  <c r="R56" i="105"/>
  <c r="R56" i="104"/>
  <c r="R220" i="108"/>
  <c r="R220" i="106"/>
  <c r="R220" i="107"/>
  <c r="R220" i="104"/>
  <c r="R220" i="105"/>
  <c r="R134" i="108"/>
  <c r="R134" i="107"/>
  <c r="R134" i="106"/>
  <c r="R134" i="105"/>
  <c r="R134" i="104"/>
  <c r="R70" i="108"/>
  <c r="R70" i="107"/>
  <c r="R70" i="105"/>
  <c r="R70" i="106"/>
  <c r="R70" i="104"/>
  <c r="R195" i="108"/>
  <c r="R195" i="106"/>
  <c r="R195" i="107"/>
  <c r="R195" i="105"/>
  <c r="R195" i="104"/>
  <c r="R230" i="108"/>
  <c r="R230" i="107"/>
  <c r="R230" i="106"/>
  <c r="R230" i="105"/>
  <c r="R230" i="104"/>
  <c r="R188" i="108"/>
  <c r="R188" i="107"/>
  <c r="R188" i="105"/>
  <c r="R188" i="106"/>
  <c r="R188" i="104"/>
  <c r="R275" i="108"/>
  <c r="R275" i="107"/>
  <c r="R275" i="106"/>
  <c r="R275" i="105"/>
  <c r="R275" i="104"/>
  <c r="R198" i="108"/>
  <c r="R198" i="106"/>
  <c r="R198" i="107"/>
  <c r="R198" i="105"/>
  <c r="R198" i="104"/>
  <c r="R142" i="108"/>
  <c r="R142" i="107"/>
  <c r="R142" i="106"/>
  <c r="R142" i="105"/>
  <c r="R142" i="104"/>
  <c r="R222" i="108"/>
  <c r="R222" i="107"/>
  <c r="R222" i="106"/>
  <c r="R222" i="105"/>
  <c r="R222" i="104"/>
  <c r="R307" i="108"/>
  <c r="R307" i="107"/>
  <c r="R307" i="106"/>
  <c r="R307" i="105"/>
  <c r="R307" i="104"/>
  <c r="R219" i="108"/>
  <c r="R219" i="106"/>
  <c r="R219" i="107"/>
  <c r="R219" i="105"/>
  <c r="R219" i="104"/>
  <c r="R252" i="108"/>
  <c r="R252" i="106"/>
  <c r="R252" i="105"/>
  <c r="R252" i="107"/>
  <c r="R252" i="104"/>
  <c r="R171" i="108"/>
  <c r="R171" i="107"/>
  <c r="R171" i="106"/>
  <c r="R171" i="105"/>
  <c r="R171" i="104"/>
  <c r="R178" i="108"/>
  <c r="R178" i="107"/>
  <c r="R178" i="106"/>
  <c r="R178" i="105"/>
  <c r="R178" i="104"/>
  <c r="U351" i="98"/>
  <c r="R101" i="108"/>
  <c r="R101" i="107"/>
  <c r="R101" i="106"/>
  <c r="R101" i="105"/>
  <c r="R101" i="104"/>
  <c r="R228" i="108"/>
  <c r="R228" i="106"/>
  <c r="R228" i="107"/>
  <c r="R228" i="105"/>
  <c r="R228" i="104"/>
  <c r="U228" i="98"/>
  <c r="R131" i="108"/>
  <c r="R131" i="107"/>
  <c r="R131" i="105"/>
  <c r="R131" i="106"/>
  <c r="R131" i="104"/>
  <c r="U21" i="105"/>
  <c r="U353" i="98"/>
  <c r="X353" i="98" s="1"/>
  <c r="R353" i="108"/>
  <c r="R353" i="106"/>
  <c r="R353" i="107"/>
  <c r="R353" i="105"/>
  <c r="R353" i="104"/>
  <c r="R65" i="108"/>
  <c r="R65" i="107"/>
  <c r="R65" i="106"/>
  <c r="R65" i="105"/>
  <c r="R65" i="104"/>
  <c r="R19" i="108"/>
  <c r="R19" i="107"/>
  <c r="R19" i="104"/>
  <c r="R19" i="105"/>
  <c r="R19" i="106"/>
  <c r="R262" i="108"/>
  <c r="R262" i="107"/>
  <c r="R262" i="106"/>
  <c r="R262" i="105"/>
  <c r="R262" i="104"/>
  <c r="R14" i="108"/>
  <c r="R14" i="107"/>
  <c r="R14" i="106"/>
  <c r="R14" i="105"/>
  <c r="R14" i="104"/>
  <c r="R167" i="108"/>
  <c r="R167" i="107"/>
  <c r="R167" i="106"/>
  <c r="R167" i="105"/>
  <c r="R167" i="104"/>
  <c r="R325" i="108"/>
  <c r="R325" i="107"/>
  <c r="R325" i="105"/>
  <c r="R325" i="104"/>
  <c r="R325" i="106"/>
  <c r="R96" i="108"/>
  <c r="R96" i="107"/>
  <c r="R96" i="106"/>
  <c r="R96" i="105"/>
  <c r="R96" i="104"/>
  <c r="R49" i="108"/>
  <c r="R49" i="107"/>
  <c r="R49" i="106"/>
  <c r="R49" i="105"/>
  <c r="R49" i="104"/>
  <c r="R93" i="108"/>
  <c r="R93" i="107"/>
  <c r="R93" i="105"/>
  <c r="R93" i="106"/>
  <c r="R93" i="104"/>
  <c r="R147" i="108"/>
  <c r="R147" i="107"/>
  <c r="R147" i="106"/>
  <c r="R147" i="105"/>
  <c r="R147" i="104"/>
  <c r="R121" i="108"/>
  <c r="R121" i="107"/>
  <c r="R121" i="106"/>
  <c r="R121" i="105"/>
  <c r="R121" i="104"/>
  <c r="R173" i="108"/>
  <c r="R173" i="107"/>
  <c r="R173" i="106"/>
  <c r="R173" i="105"/>
  <c r="R173" i="104"/>
  <c r="R77" i="108"/>
  <c r="R77" i="107"/>
  <c r="R77" i="106"/>
  <c r="R77" i="105"/>
  <c r="R77" i="104"/>
  <c r="R156" i="108"/>
  <c r="R156" i="106"/>
  <c r="R156" i="107"/>
  <c r="R156" i="104"/>
  <c r="R156" i="105"/>
  <c r="R23" i="108"/>
  <c r="R23" i="107"/>
  <c r="R23" i="106"/>
  <c r="R23" i="105"/>
  <c r="R23" i="104"/>
  <c r="R253" i="108"/>
  <c r="R253" i="107"/>
  <c r="R253" i="106"/>
  <c r="R253" i="105"/>
  <c r="R253" i="104"/>
  <c r="R37" i="108"/>
  <c r="R37" i="107"/>
  <c r="R37" i="106"/>
  <c r="R37" i="105"/>
  <c r="R37" i="104"/>
  <c r="R305" i="108"/>
  <c r="R305" i="105"/>
  <c r="R305" i="107"/>
  <c r="R305" i="106"/>
  <c r="R305" i="104"/>
  <c r="U305" i="98"/>
  <c r="R316" i="108"/>
  <c r="R316" i="107"/>
  <c r="R316" i="106"/>
  <c r="R316" i="105"/>
  <c r="R316" i="104"/>
  <c r="R135" i="108"/>
  <c r="R135" i="107"/>
  <c r="R135" i="106"/>
  <c r="R135" i="105"/>
  <c r="R135" i="104"/>
  <c r="I35" i="67"/>
  <c r="I39" i="67" s="1"/>
  <c r="E35" i="67"/>
  <c r="E39" i="67" s="1"/>
  <c r="R79" i="108"/>
  <c r="R79" i="107"/>
  <c r="R79" i="106"/>
  <c r="R79" i="105"/>
  <c r="R79" i="104"/>
  <c r="R76" i="108"/>
  <c r="R76" i="107"/>
  <c r="R76" i="106"/>
  <c r="R76" i="105"/>
  <c r="R76" i="104"/>
  <c r="R123" i="108"/>
  <c r="R123" i="107"/>
  <c r="R123" i="106"/>
  <c r="R123" i="105"/>
  <c r="R123" i="104"/>
  <c r="R25" i="108"/>
  <c r="R25" i="107"/>
  <c r="R25" i="105"/>
  <c r="R25" i="106"/>
  <c r="R25" i="104"/>
  <c r="R114" i="108"/>
  <c r="R114" i="107"/>
  <c r="R114" i="105"/>
  <c r="R114" i="106"/>
  <c r="R114" i="104"/>
  <c r="R115" i="108"/>
  <c r="R115" i="107"/>
  <c r="R115" i="106"/>
  <c r="R115" i="105"/>
  <c r="R115" i="104"/>
  <c r="R190" i="108"/>
  <c r="R190" i="107"/>
  <c r="R190" i="106"/>
  <c r="R190" i="105"/>
  <c r="R190" i="104"/>
  <c r="R223" i="108"/>
  <c r="R223" i="107"/>
  <c r="R223" i="106"/>
  <c r="R223" i="105"/>
  <c r="R223" i="104"/>
  <c r="R57" i="108"/>
  <c r="R57" i="107"/>
  <c r="R57" i="106"/>
  <c r="R57" i="105"/>
  <c r="R57" i="104"/>
  <c r="R206" i="108"/>
  <c r="R206" i="107"/>
  <c r="R206" i="106"/>
  <c r="R206" i="105"/>
  <c r="R206" i="104"/>
  <c r="R315" i="108"/>
  <c r="R315" i="107"/>
  <c r="R315" i="106"/>
  <c r="R315" i="105"/>
  <c r="R315" i="104"/>
  <c r="U157" i="98"/>
  <c r="R157" i="108"/>
  <c r="R157" i="106"/>
  <c r="R157" i="105"/>
  <c r="R157" i="104"/>
  <c r="R157" i="107"/>
  <c r="R17" i="108"/>
  <c r="R17" i="107"/>
  <c r="R17" i="106"/>
  <c r="R17" i="105"/>
  <c r="R17" i="104"/>
  <c r="R349" i="108"/>
  <c r="R349" i="107"/>
  <c r="R349" i="106"/>
  <c r="R349" i="105"/>
  <c r="R349" i="104"/>
  <c r="U349" i="98"/>
  <c r="R133" i="108"/>
  <c r="R133" i="107"/>
  <c r="R133" i="105"/>
  <c r="R133" i="106"/>
  <c r="R133" i="104"/>
  <c r="U133" i="98"/>
  <c r="R168" i="108"/>
  <c r="R168" i="107"/>
  <c r="R168" i="106"/>
  <c r="R168" i="105"/>
  <c r="R168" i="104"/>
  <c r="R99" i="108"/>
  <c r="R99" i="107"/>
  <c r="R99" i="105"/>
  <c r="R99" i="106"/>
  <c r="R99" i="104"/>
  <c r="R129" i="108"/>
  <c r="R129" i="107"/>
  <c r="R129" i="105"/>
  <c r="R129" i="106"/>
  <c r="R129" i="104"/>
  <c r="D24" i="65"/>
  <c r="H24" i="65"/>
  <c r="R55" i="108"/>
  <c r="R55" i="107"/>
  <c r="R55" i="106"/>
  <c r="R55" i="105"/>
  <c r="R55" i="104"/>
  <c r="R64" i="108"/>
  <c r="R64" i="106"/>
  <c r="R64" i="105"/>
  <c r="R64" i="107"/>
  <c r="R64" i="104"/>
  <c r="R85" i="108"/>
  <c r="R85" i="107"/>
  <c r="R85" i="105"/>
  <c r="R85" i="106"/>
  <c r="R85" i="104"/>
  <c r="R61" i="108"/>
  <c r="R61" i="107"/>
  <c r="R61" i="105"/>
  <c r="R61" i="106"/>
  <c r="R61" i="104"/>
  <c r="R68" i="108"/>
  <c r="R68" i="107"/>
  <c r="R68" i="106"/>
  <c r="R68" i="105"/>
  <c r="R68" i="104"/>
  <c r="R54" i="108"/>
  <c r="R54" i="107"/>
  <c r="R54" i="106"/>
  <c r="R54" i="104"/>
  <c r="R54" i="105"/>
  <c r="R120" i="108"/>
  <c r="R120" i="107"/>
  <c r="R120" i="106"/>
  <c r="R120" i="105"/>
  <c r="R120" i="104"/>
  <c r="R227" i="108"/>
  <c r="R227" i="107"/>
  <c r="R227" i="105"/>
  <c r="R227" i="106"/>
  <c r="R227" i="104"/>
  <c r="R231" i="107"/>
  <c r="R231" i="106"/>
  <c r="R231" i="108"/>
  <c r="R231" i="105"/>
  <c r="R231" i="104"/>
  <c r="R97" i="108"/>
  <c r="R97" i="107"/>
  <c r="R97" i="106"/>
  <c r="R97" i="105"/>
  <c r="R97" i="104"/>
  <c r="R175" i="108"/>
  <c r="R175" i="107"/>
  <c r="R175" i="106"/>
  <c r="R175" i="105"/>
  <c r="R175" i="104"/>
  <c r="R162" i="108"/>
  <c r="R162" i="107"/>
  <c r="R162" i="106"/>
  <c r="R162" i="105"/>
  <c r="R162" i="104"/>
  <c r="R215" i="108"/>
  <c r="R215" i="107"/>
  <c r="R215" i="106"/>
  <c r="R215" i="104"/>
  <c r="R215" i="105"/>
  <c r="R278" i="108"/>
  <c r="R278" i="107"/>
  <c r="R278" i="105"/>
  <c r="R278" i="106"/>
  <c r="R278" i="104"/>
  <c r="R272" i="108"/>
  <c r="R272" i="107"/>
  <c r="R272" i="105"/>
  <c r="R272" i="106"/>
  <c r="R272" i="104"/>
  <c r="U299" i="98"/>
  <c r="R238" i="108"/>
  <c r="R238" i="107"/>
  <c r="R238" i="106"/>
  <c r="R238" i="105"/>
  <c r="R238" i="104"/>
  <c r="R4" i="108"/>
  <c r="R4" i="107"/>
  <c r="R4" i="105"/>
  <c r="R4" i="106"/>
  <c r="R4" i="104"/>
  <c r="R52" i="108"/>
  <c r="R52" i="107"/>
  <c r="R52" i="105"/>
  <c r="R52" i="106"/>
  <c r="R52" i="104"/>
  <c r="U52" i="98"/>
  <c r="R161" i="108"/>
  <c r="R161" i="107"/>
  <c r="R161" i="105"/>
  <c r="R161" i="106"/>
  <c r="U161" i="98"/>
  <c r="R161" i="104"/>
  <c r="R302" i="108"/>
  <c r="R302" i="107"/>
  <c r="R302" i="106"/>
  <c r="R302" i="105"/>
  <c r="R302" i="104"/>
  <c r="U302" i="98"/>
  <c r="U345" i="104"/>
  <c r="R331" i="108"/>
  <c r="R331" i="107"/>
  <c r="R331" i="106"/>
  <c r="R331" i="105"/>
  <c r="R331" i="104"/>
  <c r="U331" i="98"/>
  <c r="R300" i="108"/>
  <c r="R300" i="106"/>
  <c r="R300" i="105"/>
  <c r="R300" i="107"/>
  <c r="R300" i="104"/>
  <c r="U300" i="98"/>
  <c r="U62" i="104"/>
  <c r="R33" i="108"/>
  <c r="R33" i="107"/>
  <c r="R33" i="106"/>
  <c r="R33" i="105"/>
  <c r="R33" i="104"/>
  <c r="R40" i="108"/>
  <c r="R40" i="107"/>
  <c r="R40" i="106"/>
  <c r="R40" i="105"/>
  <c r="R40" i="104"/>
  <c r="R158" i="108"/>
  <c r="R158" i="106"/>
  <c r="R158" i="107"/>
  <c r="R158" i="104"/>
  <c r="R158" i="105"/>
  <c r="R186" i="108"/>
  <c r="R186" i="107"/>
  <c r="R186" i="106"/>
  <c r="R186" i="105"/>
  <c r="R186" i="104"/>
  <c r="R191" i="108"/>
  <c r="R191" i="107"/>
  <c r="R191" i="106"/>
  <c r="R191" i="105"/>
  <c r="R191" i="104"/>
  <c r="R39" i="108"/>
  <c r="R39" i="107"/>
  <c r="R39" i="106"/>
  <c r="R39" i="105"/>
  <c r="R39" i="104"/>
  <c r="R16" i="108"/>
  <c r="R16" i="107"/>
  <c r="R16" i="105"/>
  <c r="R16" i="106"/>
  <c r="R16" i="104"/>
  <c r="R24" i="108"/>
  <c r="R24" i="107"/>
  <c r="R24" i="106"/>
  <c r="R24" i="105"/>
  <c r="R24" i="104"/>
  <c r="R107" i="107"/>
  <c r="R107" i="108"/>
  <c r="R107" i="106"/>
  <c r="R107" i="105"/>
  <c r="R107" i="104"/>
  <c r="R106" i="108"/>
  <c r="R106" i="107"/>
  <c r="R106" i="106"/>
  <c r="R106" i="104"/>
  <c r="R106" i="105"/>
  <c r="R145" i="108"/>
  <c r="R145" i="107"/>
  <c r="R145" i="106"/>
  <c r="R145" i="105"/>
  <c r="R145" i="104"/>
  <c r="R236" i="108"/>
  <c r="R236" i="107"/>
  <c r="R236" i="106"/>
  <c r="R236" i="105"/>
  <c r="R236" i="104"/>
  <c r="R146" i="108"/>
  <c r="R146" i="107"/>
  <c r="R146" i="106"/>
  <c r="R146" i="104"/>
  <c r="R146" i="105"/>
  <c r="R126" i="108"/>
  <c r="R126" i="107"/>
  <c r="R126" i="106"/>
  <c r="R126" i="105"/>
  <c r="R126" i="104"/>
  <c r="U126" i="98"/>
  <c r="R283" i="108"/>
  <c r="R283" i="107"/>
  <c r="R283" i="106"/>
  <c r="R283" i="105"/>
  <c r="R283" i="104"/>
  <c r="U301" i="98"/>
  <c r="R301" i="108"/>
  <c r="R301" i="107"/>
  <c r="R301" i="106"/>
  <c r="R301" i="105"/>
  <c r="R301" i="104"/>
  <c r="R15" i="108"/>
  <c r="R15" i="107"/>
  <c r="R15" i="105"/>
  <c r="R15" i="106"/>
  <c r="R15" i="104"/>
  <c r="U66" i="104"/>
  <c r="R154" i="108"/>
  <c r="R154" i="107"/>
  <c r="R154" i="106"/>
  <c r="R154" i="105"/>
  <c r="R154" i="104"/>
  <c r="E24" i="65"/>
  <c r="R48" i="108"/>
  <c r="R48" i="107"/>
  <c r="R48" i="105"/>
  <c r="R48" i="106"/>
  <c r="R48" i="104"/>
  <c r="R32" i="108"/>
  <c r="R32" i="107"/>
  <c r="R32" i="105"/>
  <c r="R32" i="106"/>
  <c r="R32" i="104"/>
  <c r="R51" i="108"/>
  <c r="R51" i="107"/>
  <c r="R51" i="106"/>
  <c r="R51" i="105"/>
  <c r="R51" i="104"/>
  <c r="R27" i="108"/>
  <c r="R27" i="107"/>
  <c r="R27" i="106"/>
  <c r="R27" i="105"/>
  <c r="R27" i="104"/>
  <c r="R36" i="108"/>
  <c r="R36" i="107"/>
  <c r="R36" i="106"/>
  <c r="R36" i="105"/>
  <c r="R36" i="104"/>
  <c r="R110" i="108"/>
  <c r="R110" i="106"/>
  <c r="R110" i="105"/>
  <c r="R110" i="107"/>
  <c r="R110" i="104"/>
  <c r="R118" i="108"/>
  <c r="R118" i="105"/>
  <c r="R118" i="107"/>
  <c r="R118" i="104"/>
  <c r="R118" i="106"/>
  <c r="R153" i="108"/>
  <c r="R153" i="107"/>
  <c r="R153" i="105"/>
  <c r="R153" i="106"/>
  <c r="R153" i="104"/>
  <c r="R199" i="108"/>
  <c r="R199" i="107"/>
  <c r="R199" i="106"/>
  <c r="R199" i="105"/>
  <c r="R199" i="104"/>
  <c r="R59" i="108"/>
  <c r="R59" i="107"/>
  <c r="R59" i="105"/>
  <c r="R59" i="106"/>
  <c r="R59" i="104"/>
  <c r="R185" i="108"/>
  <c r="R185" i="107"/>
  <c r="R185" i="105"/>
  <c r="R185" i="106"/>
  <c r="R185" i="104"/>
  <c r="R235" i="108"/>
  <c r="R235" i="107"/>
  <c r="R235" i="106"/>
  <c r="R235" i="105"/>
  <c r="R235" i="104"/>
  <c r="R179" i="108"/>
  <c r="R179" i="107"/>
  <c r="R179" i="106"/>
  <c r="R179" i="105"/>
  <c r="R179" i="104"/>
  <c r="R203" i="108"/>
  <c r="R203" i="107"/>
  <c r="R203" i="106"/>
  <c r="R203" i="105"/>
  <c r="R203" i="104"/>
  <c r="U119" i="98"/>
  <c r="R150" i="108"/>
  <c r="R150" i="107"/>
  <c r="R150" i="106"/>
  <c r="R150" i="105"/>
  <c r="R150" i="104"/>
  <c r="R274" i="108"/>
  <c r="R274" i="107"/>
  <c r="R274" i="106"/>
  <c r="R274" i="105"/>
  <c r="R274" i="104"/>
  <c r="R279" i="108"/>
  <c r="R279" i="106"/>
  <c r="R279" i="107"/>
  <c r="R279" i="105"/>
  <c r="R279" i="104"/>
  <c r="R270" i="108"/>
  <c r="R270" i="106"/>
  <c r="R270" i="107"/>
  <c r="R270" i="105"/>
  <c r="R270" i="104"/>
  <c r="R242" i="108"/>
  <c r="R242" i="107"/>
  <c r="R242" i="105"/>
  <c r="R242" i="106"/>
  <c r="R242" i="104"/>
  <c r="R166" i="107"/>
  <c r="R166" i="108"/>
  <c r="R166" i="106"/>
  <c r="R166" i="105"/>
  <c r="R166" i="104"/>
  <c r="U323" i="98"/>
  <c r="R323" i="108"/>
  <c r="R323" i="107"/>
  <c r="R323" i="106"/>
  <c r="R323" i="105"/>
  <c r="R323" i="104"/>
  <c r="U192" i="98"/>
  <c r="R192" i="108"/>
  <c r="R192" i="107"/>
  <c r="R192" i="106"/>
  <c r="R192" i="105"/>
  <c r="R192" i="104"/>
  <c r="U226" i="105"/>
  <c r="R267" i="108"/>
  <c r="R267" i="107"/>
  <c r="R267" i="106"/>
  <c r="R267" i="105"/>
  <c r="R267" i="104"/>
  <c r="R344" i="108"/>
  <c r="R344" i="107"/>
  <c r="R344" i="106"/>
  <c r="R344" i="105"/>
  <c r="R344" i="104"/>
  <c r="R197" i="108"/>
  <c r="R197" i="106"/>
  <c r="R197" i="105"/>
  <c r="R197" i="107"/>
  <c r="R197" i="104"/>
  <c r="U221" i="104"/>
  <c r="R248" i="108"/>
  <c r="R248" i="107"/>
  <c r="R248" i="105"/>
  <c r="R248" i="106"/>
  <c r="R248" i="104"/>
  <c r="U333" i="98"/>
  <c r="R333" i="108"/>
  <c r="R333" i="107"/>
  <c r="R333" i="106"/>
  <c r="R333" i="105"/>
  <c r="R333" i="104"/>
  <c r="U348" i="98"/>
  <c r="R348" i="108"/>
  <c r="R348" i="106"/>
  <c r="R348" i="107"/>
  <c r="R348" i="105"/>
  <c r="R348" i="104"/>
  <c r="R212" i="108"/>
  <c r="R212" i="107"/>
  <c r="R212" i="106"/>
  <c r="R212" i="105"/>
  <c r="R212" i="104"/>
  <c r="R250" i="108"/>
  <c r="R250" i="107"/>
  <c r="R250" i="106"/>
  <c r="R250" i="105"/>
  <c r="R250" i="104"/>
  <c r="U250" i="98"/>
  <c r="R350" i="108"/>
  <c r="R350" i="107"/>
  <c r="R350" i="106"/>
  <c r="R350" i="105"/>
  <c r="R350" i="104"/>
  <c r="U350" i="98"/>
  <c r="R254" i="107"/>
  <c r="R254" i="108"/>
  <c r="R254" i="106"/>
  <c r="R254" i="105"/>
  <c r="R254" i="104"/>
  <c r="R35" i="108"/>
  <c r="R35" i="105"/>
  <c r="R35" i="106"/>
  <c r="R35" i="107"/>
  <c r="R35" i="104"/>
  <c r="U99" i="98"/>
  <c r="U37" i="98"/>
  <c r="R95" i="108"/>
  <c r="R95" i="107"/>
  <c r="R95" i="106"/>
  <c r="R95" i="105"/>
  <c r="R95" i="104"/>
  <c r="R80" i="108"/>
  <c r="R80" i="107"/>
  <c r="R80" i="106"/>
  <c r="R80" i="105"/>
  <c r="R80" i="104"/>
  <c r="R60" i="108"/>
  <c r="R60" i="107"/>
  <c r="R60" i="105"/>
  <c r="R60" i="106"/>
  <c r="R60" i="104"/>
  <c r="R125" i="108"/>
  <c r="R125" i="107"/>
  <c r="R125" i="105"/>
  <c r="R125" i="106"/>
  <c r="R125" i="104"/>
  <c r="R47" i="108"/>
  <c r="R47" i="107"/>
  <c r="R47" i="106"/>
  <c r="R47" i="105"/>
  <c r="R47" i="104"/>
  <c r="R137" i="108"/>
  <c r="R137" i="107"/>
  <c r="R137" i="105"/>
  <c r="R137" i="106"/>
  <c r="R137" i="104"/>
  <c r="R105" i="108"/>
  <c r="R105" i="107"/>
  <c r="R105" i="106"/>
  <c r="R105" i="105"/>
  <c r="R105" i="104"/>
  <c r="R207" i="108"/>
  <c r="R207" i="107"/>
  <c r="R207" i="105"/>
  <c r="R207" i="106"/>
  <c r="R207" i="104"/>
  <c r="R244" i="108"/>
  <c r="R244" i="107"/>
  <c r="R244" i="105"/>
  <c r="R244" i="106"/>
  <c r="R244" i="104"/>
  <c r="R160" i="107"/>
  <c r="R160" i="108"/>
  <c r="R160" i="105"/>
  <c r="R160" i="106"/>
  <c r="R160" i="104"/>
  <c r="R239" i="108"/>
  <c r="R239" i="105"/>
  <c r="R239" i="107"/>
  <c r="R239" i="106"/>
  <c r="R239" i="104"/>
  <c r="U129" i="98"/>
  <c r="R237" i="108"/>
  <c r="R237" i="106"/>
  <c r="R237" i="107"/>
  <c r="R237" i="105"/>
  <c r="R237" i="104"/>
  <c r="R213" i="108"/>
  <c r="R213" i="107"/>
  <c r="R213" i="106"/>
  <c r="R213" i="105"/>
  <c r="R213" i="104"/>
  <c r="R277" i="108"/>
  <c r="R277" i="105"/>
  <c r="R277" i="107"/>
  <c r="R277" i="106"/>
  <c r="R277" i="104"/>
  <c r="R128" i="108"/>
  <c r="R128" i="107"/>
  <c r="R128" i="105"/>
  <c r="R128" i="106"/>
  <c r="R128" i="104"/>
  <c r="R294" i="108"/>
  <c r="R294" i="107"/>
  <c r="R294" i="106"/>
  <c r="R294" i="105"/>
  <c r="R294" i="104"/>
  <c r="R292" i="108"/>
  <c r="R292" i="107"/>
  <c r="R292" i="105"/>
  <c r="R292" i="106"/>
  <c r="R292" i="104"/>
  <c r="R286" i="108"/>
  <c r="R286" i="107"/>
  <c r="R286" i="105"/>
  <c r="R286" i="106"/>
  <c r="R286" i="104"/>
  <c r="R330" i="108"/>
  <c r="R330" i="107"/>
  <c r="R330" i="106"/>
  <c r="R330" i="105"/>
  <c r="R330" i="104"/>
  <c r="R285" i="107"/>
  <c r="R285" i="108"/>
  <c r="R285" i="106"/>
  <c r="R285" i="105"/>
  <c r="R285" i="104"/>
  <c r="U248" i="98"/>
  <c r="U212" i="98"/>
  <c r="R284" i="108"/>
  <c r="R284" i="106"/>
  <c r="R284" i="105"/>
  <c r="R284" i="107"/>
  <c r="R284" i="104"/>
  <c r="R11" i="108"/>
  <c r="R11" i="106"/>
  <c r="R11" i="105"/>
  <c r="R11" i="107"/>
  <c r="R11" i="104"/>
  <c r="U103" i="104"/>
  <c r="R117" i="108"/>
  <c r="R117" i="107"/>
  <c r="R117" i="106"/>
  <c r="R117" i="104"/>
  <c r="U117" i="98"/>
  <c r="R117" i="105"/>
  <c r="R41" i="108"/>
  <c r="R41" i="107"/>
  <c r="R41" i="105"/>
  <c r="R41" i="106"/>
  <c r="R41" i="104"/>
  <c r="R84" i="108"/>
  <c r="R84" i="107"/>
  <c r="R84" i="106"/>
  <c r="R84" i="105"/>
  <c r="U84" i="98"/>
  <c r="R84" i="104"/>
  <c r="R159" i="108"/>
  <c r="R159" i="107"/>
  <c r="R159" i="106"/>
  <c r="R159" i="104"/>
  <c r="R159" i="105"/>
  <c r="U159" i="98"/>
  <c r="R53" i="108"/>
  <c r="R53" i="107"/>
  <c r="R53" i="106"/>
  <c r="R53" i="105"/>
  <c r="R53" i="104"/>
  <c r="R347" i="108"/>
  <c r="R347" i="107"/>
  <c r="R347" i="106"/>
  <c r="R347" i="105"/>
  <c r="R347" i="104"/>
  <c r="U347" i="98"/>
  <c r="R204" i="108"/>
  <c r="R204" i="107"/>
  <c r="R204" i="106"/>
  <c r="R204" i="105"/>
  <c r="R204" i="104"/>
  <c r="R233" i="108"/>
  <c r="R233" i="107"/>
  <c r="R233" i="106"/>
  <c r="R233" i="105"/>
  <c r="R233" i="104"/>
  <c r="U261" i="106"/>
  <c r="R90" i="108"/>
  <c r="R90" i="106"/>
  <c r="R90" i="105"/>
  <c r="R90" i="107"/>
  <c r="U90" i="98"/>
  <c r="R90" i="104"/>
  <c r="R202" i="108"/>
  <c r="R202" i="107"/>
  <c r="R202" i="105"/>
  <c r="R202" i="104"/>
  <c r="R202" i="106"/>
  <c r="R291" i="108"/>
  <c r="R291" i="107"/>
  <c r="R291" i="105"/>
  <c r="R291" i="106"/>
  <c r="R291" i="104"/>
  <c r="R214" i="108"/>
  <c r="R214" i="107"/>
  <c r="R214" i="105"/>
  <c r="R214" i="106"/>
  <c r="R214" i="104"/>
  <c r="R268" i="108"/>
  <c r="R268" i="107"/>
  <c r="R268" i="106"/>
  <c r="R268" i="105"/>
  <c r="R268" i="104"/>
  <c r="R318" i="108"/>
  <c r="R318" i="107"/>
  <c r="R318" i="106"/>
  <c r="R318" i="105"/>
  <c r="R318" i="104"/>
  <c r="R308" i="108"/>
  <c r="R308" i="106"/>
  <c r="R308" i="107"/>
  <c r="R308" i="105"/>
  <c r="R308" i="104"/>
  <c r="R287" i="108"/>
  <c r="R287" i="107"/>
  <c r="R287" i="106"/>
  <c r="R287" i="105"/>
  <c r="R287" i="104"/>
  <c r="R306" i="108"/>
  <c r="R306" i="107"/>
  <c r="R306" i="106"/>
  <c r="R306" i="105"/>
  <c r="R306" i="104"/>
  <c r="R298" i="108"/>
  <c r="R298" i="107"/>
  <c r="R298" i="106"/>
  <c r="R298" i="105"/>
  <c r="R298" i="104"/>
  <c r="R328" i="108"/>
  <c r="R328" i="107"/>
  <c r="R328" i="106"/>
  <c r="R328" i="105"/>
  <c r="R328" i="104"/>
  <c r="R189" i="108"/>
  <c r="R189" i="107"/>
  <c r="R189" i="106"/>
  <c r="R189" i="105"/>
  <c r="R189" i="104"/>
  <c r="R319" i="108"/>
  <c r="R319" i="107"/>
  <c r="R319" i="106"/>
  <c r="R319" i="105"/>
  <c r="R319" i="104"/>
  <c r="R94" i="108"/>
  <c r="R94" i="107"/>
  <c r="R94" i="106"/>
  <c r="R94" i="105"/>
  <c r="R94" i="104"/>
  <c r="R73" i="108"/>
  <c r="R73" i="107"/>
  <c r="R73" i="106"/>
  <c r="R73" i="104"/>
  <c r="U73" i="98"/>
  <c r="R73" i="105"/>
  <c r="R12" i="108"/>
  <c r="R12" i="107"/>
  <c r="R12" i="106"/>
  <c r="R12" i="105"/>
  <c r="U12" i="98"/>
  <c r="R12" i="104"/>
  <c r="R194" i="108"/>
  <c r="R194" i="107"/>
  <c r="R194" i="106"/>
  <c r="R194" i="105"/>
  <c r="R194" i="104"/>
  <c r="U194" i="98"/>
  <c r="R259" i="108"/>
  <c r="R259" i="107"/>
  <c r="R259" i="105"/>
  <c r="R259" i="106"/>
  <c r="R259" i="104"/>
  <c r="R210" i="108"/>
  <c r="R210" i="107"/>
  <c r="R210" i="105"/>
  <c r="R210" i="106"/>
  <c r="R210" i="104"/>
  <c r="R282" i="108"/>
  <c r="R282" i="107"/>
  <c r="R282" i="106"/>
  <c r="R282" i="105"/>
  <c r="R282" i="104"/>
  <c r="U312" i="98"/>
  <c r="R312" i="108"/>
  <c r="R312" i="107"/>
  <c r="R312" i="106"/>
  <c r="R312" i="104"/>
  <c r="R312" i="105"/>
  <c r="R326" i="106"/>
  <c r="R326" i="108"/>
  <c r="R326" i="107"/>
  <c r="R326" i="105"/>
  <c r="R326" i="104"/>
  <c r="R342" i="108"/>
  <c r="R342" i="106"/>
  <c r="R342" i="107"/>
  <c r="R342" i="105"/>
  <c r="R342" i="104"/>
  <c r="U342" i="98"/>
  <c r="R209" i="108"/>
  <c r="R209" i="107"/>
  <c r="R209" i="106"/>
  <c r="R209" i="105"/>
  <c r="R209" i="104"/>
  <c r="R297" i="108"/>
  <c r="R297" i="107"/>
  <c r="R297" i="106"/>
  <c r="R297" i="104"/>
  <c r="R297" i="105"/>
  <c r="R143" i="108"/>
  <c r="R143" i="107"/>
  <c r="R143" i="106"/>
  <c r="R143" i="105"/>
  <c r="R143" i="104"/>
  <c r="U143" i="98"/>
  <c r="R232" i="108"/>
  <c r="R232" i="107"/>
  <c r="R232" i="106"/>
  <c r="R232" i="105"/>
  <c r="R232" i="104"/>
  <c r="R216" i="108"/>
  <c r="R216" i="107"/>
  <c r="R216" i="105"/>
  <c r="R216" i="104"/>
  <c r="R216" i="106"/>
  <c r="U216" i="98"/>
  <c r="R352" i="108"/>
  <c r="R352" i="107"/>
  <c r="R352" i="106"/>
  <c r="R352" i="105"/>
  <c r="R352" i="104"/>
  <c r="R164" i="108"/>
  <c r="R164" i="107"/>
  <c r="R164" i="105"/>
  <c r="R164" i="104"/>
  <c r="R164" i="106"/>
  <c r="R249" i="108"/>
  <c r="R249" i="107"/>
  <c r="R249" i="106"/>
  <c r="R249" i="105"/>
  <c r="R249" i="104"/>
  <c r="R13" i="108"/>
  <c r="R13" i="107"/>
  <c r="R13" i="106"/>
  <c r="R13" i="105"/>
  <c r="R13" i="104"/>
  <c r="R201" i="108"/>
  <c r="R201" i="107"/>
  <c r="R201" i="106"/>
  <c r="R201" i="105"/>
  <c r="R201" i="104"/>
  <c r="R229" i="107"/>
  <c r="R229" i="106"/>
  <c r="R229" i="105"/>
  <c r="R229" i="108"/>
  <c r="R229" i="104"/>
  <c r="R290" i="108"/>
  <c r="R290" i="106"/>
  <c r="R290" i="107"/>
  <c r="R290" i="104"/>
  <c r="R290" i="105"/>
  <c r="R293" i="108"/>
  <c r="R293" i="106"/>
  <c r="R293" i="107"/>
  <c r="R293" i="105"/>
  <c r="R293" i="104"/>
  <c r="R334" i="107"/>
  <c r="R334" i="108"/>
  <c r="R334" i="106"/>
  <c r="R334" i="105"/>
  <c r="R334" i="104"/>
  <c r="U320" i="98"/>
  <c r="R320" i="108"/>
  <c r="R320" i="107"/>
  <c r="R320" i="106"/>
  <c r="R320" i="105"/>
  <c r="R320" i="104"/>
  <c r="R163" i="108"/>
  <c r="R163" i="107"/>
  <c r="R163" i="106"/>
  <c r="R163" i="105"/>
  <c r="R163" i="104"/>
  <c r="R124" i="108"/>
  <c r="R124" i="107"/>
  <c r="R124" i="106"/>
  <c r="R124" i="105"/>
  <c r="R124" i="104"/>
  <c r="R269" i="108"/>
  <c r="R269" i="107"/>
  <c r="R269" i="106"/>
  <c r="R269" i="105"/>
  <c r="R269" i="104"/>
  <c r="R329" i="107"/>
  <c r="R329" i="108"/>
  <c r="R329" i="106"/>
  <c r="R329" i="104"/>
  <c r="R329" i="105"/>
  <c r="R281" i="108"/>
  <c r="R281" i="105"/>
  <c r="R281" i="106"/>
  <c r="R281" i="104"/>
  <c r="R281" i="107"/>
  <c r="R246" i="108"/>
  <c r="R246" i="107"/>
  <c r="R246" i="106"/>
  <c r="R246" i="105"/>
  <c r="R246" i="104"/>
  <c r="U9" i="98"/>
  <c r="R9" i="108"/>
  <c r="R9" i="107"/>
  <c r="R9" i="106"/>
  <c r="R9" i="104"/>
  <c r="R9" i="105"/>
  <c r="R5" i="105"/>
  <c r="R5" i="107"/>
  <c r="R5" i="106"/>
  <c r="R5" i="108"/>
  <c r="R5" i="104"/>
  <c r="U255" i="98"/>
  <c r="R255" i="108"/>
  <c r="R255" i="107"/>
  <c r="R255" i="106"/>
  <c r="R255" i="105"/>
  <c r="R255" i="104"/>
  <c r="R354" i="108"/>
  <c r="R354" i="107"/>
  <c r="R354" i="106"/>
  <c r="R354" i="105"/>
  <c r="R354" i="104"/>
  <c r="U324" i="104"/>
  <c r="U100" i="104"/>
  <c r="R187" i="107"/>
  <c r="R187" i="108"/>
  <c r="R187" i="106"/>
  <c r="R187" i="105"/>
  <c r="R187" i="104"/>
  <c r="U217" i="98"/>
  <c r="R217" i="108"/>
  <c r="R217" i="106"/>
  <c r="R217" i="105"/>
  <c r="R217" i="107"/>
  <c r="R217" i="104"/>
  <c r="R50" i="108"/>
  <c r="R50" i="107"/>
  <c r="R50" i="105"/>
  <c r="R50" i="104"/>
  <c r="R50" i="106"/>
  <c r="R98" i="108"/>
  <c r="R98" i="107"/>
  <c r="R98" i="106"/>
  <c r="R98" i="104"/>
  <c r="R98" i="105"/>
  <c r="R339" i="108"/>
  <c r="R339" i="107"/>
  <c r="R339" i="106"/>
  <c r="R339" i="105"/>
  <c r="R339" i="104"/>
  <c r="R138" i="108"/>
  <c r="R138" i="107"/>
  <c r="R138" i="105"/>
  <c r="R138" i="106"/>
  <c r="R138" i="104"/>
  <c r="R273" i="108"/>
  <c r="R273" i="106"/>
  <c r="R273" i="107"/>
  <c r="R273" i="105"/>
  <c r="R273" i="104"/>
  <c r="R311" i="108"/>
  <c r="R311" i="107"/>
  <c r="R311" i="105"/>
  <c r="R311" i="106"/>
  <c r="R311" i="104"/>
  <c r="R276" i="108"/>
  <c r="R276" i="107"/>
  <c r="R276" i="106"/>
  <c r="R276" i="105"/>
  <c r="R276" i="104"/>
  <c r="R251" i="108"/>
  <c r="R251" i="107"/>
  <c r="R251" i="105"/>
  <c r="R251" i="106"/>
  <c r="R251" i="104"/>
  <c r="R280" i="108"/>
  <c r="R280" i="107"/>
  <c r="R280" i="106"/>
  <c r="R280" i="105"/>
  <c r="R280" i="104"/>
  <c r="R327" i="108"/>
  <c r="R327" i="107"/>
  <c r="R327" i="106"/>
  <c r="R327" i="105"/>
  <c r="R327" i="104"/>
  <c r="R271" i="108"/>
  <c r="R271" i="107"/>
  <c r="R271" i="106"/>
  <c r="R271" i="105"/>
  <c r="R271" i="104"/>
  <c r="R8" i="108"/>
  <c r="R8" i="107"/>
  <c r="R8" i="106"/>
  <c r="R8" i="105"/>
  <c r="R8" i="104"/>
  <c r="R314" i="108"/>
  <c r="R314" i="107"/>
  <c r="R314" i="105"/>
  <c r="R314" i="106"/>
  <c r="R314" i="104"/>
  <c r="R89" i="108"/>
  <c r="R89" i="107"/>
  <c r="R89" i="105"/>
  <c r="R89" i="104"/>
  <c r="R89" i="106"/>
  <c r="U89" i="98"/>
  <c r="R141" i="108"/>
  <c r="R141" i="107"/>
  <c r="R141" i="106"/>
  <c r="R141" i="105"/>
  <c r="R141" i="104"/>
  <c r="U38" i="98"/>
  <c r="R38" i="108"/>
  <c r="R38" i="107"/>
  <c r="R38" i="105"/>
  <c r="R38" i="106"/>
  <c r="R38" i="104"/>
  <c r="R174" i="108"/>
  <c r="R174" i="107"/>
  <c r="R174" i="106"/>
  <c r="R174" i="105"/>
  <c r="R174" i="104"/>
  <c r="R303" i="107"/>
  <c r="R303" i="108"/>
  <c r="R303" i="106"/>
  <c r="R303" i="105"/>
  <c r="R303" i="104"/>
  <c r="R263" i="108"/>
  <c r="R263" i="107"/>
  <c r="R263" i="106"/>
  <c r="R263" i="105"/>
  <c r="R263" i="104"/>
  <c r="R289" i="108"/>
  <c r="R289" i="106"/>
  <c r="R289" i="107"/>
  <c r="R289" i="105"/>
  <c r="R289" i="104"/>
  <c r="U63" i="104"/>
  <c r="R28" i="108"/>
  <c r="R28" i="107"/>
  <c r="R28" i="106"/>
  <c r="R28" i="105"/>
  <c r="R28" i="104"/>
  <c r="R78" i="108"/>
  <c r="R78" i="107"/>
  <c r="R78" i="106"/>
  <c r="R78" i="105"/>
  <c r="R78" i="104"/>
  <c r="U261" i="104"/>
  <c r="R309" i="108"/>
  <c r="R309" i="107"/>
  <c r="R309" i="106"/>
  <c r="R309" i="105"/>
  <c r="R309" i="104"/>
  <c r="R10" i="108"/>
  <c r="R10" i="107"/>
  <c r="R10" i="105"/>
  <c r="R10" i="106"/>
  <c r="R10" i="104"/>
  <c r="R225" i="108"/>
  <c r="R225" i="107"/>
  <c r="R225" i="105"/>
  <c r="R225" i="106"/>
  <c r="R225" i="104"/>
  <c r="U296" i="106"/>
  <c r="R155" i="108"/>
  <c r="R155" i="107"/>
  <c r="R155" i="105"/>
  <c r="R155" i="106"/>
  <c r="R155" i="104"/>
  <c r="R152" i="108"/>
  <c r="R152" i="107"/>
  <c r="R152" i="106"/>
  <c r="R152" i="104"/>
  <c r="R152" i="105"/>
  <c r="R265" i="108"/>
  <c r="R265" i="107"/>
  <c r="R265" i="106"/>
  <c r="R265" i="105"/>
  <c r="R265" i="104"/>
  <c r="R336" i="108"/>
  <c r="R336" i="105"/>
  <c r="R336" i="107"/>
  <c r="R336" i="106"/>
  <c r="R336" i="104"/>
  <c r="R139" i="108"/>
  <c r="R139" i="107"/>
  <c r="R139" i="105"/>
  <c r="R139" i="106"/>
  <c r="R139" i="104"/>
  <c r="R313" i="108"/>
  <c r="R313" i="107"/>
  <c r="R313" i="106"/>
  <c r="R313" i="105"/>
  <c r="R313" i="104"/>
  <c r="R176" i="108"/>
  <c r="R176" i="106"/>
  <c r="R176" i="105"/>
  <c r="R176" i="107"/>
  <c r="R176" i="104"/>
  <c r="R240" i="108"/>
  <c r="R240" i="106"/>
  <c r="R240" i="105"/>
  <c r="R240" i="107"/>
  <c r="R240" i="104"/>
  <c r="R256" i="108"/>
  <c r="R256" i="105"/>
  <c r="R256" i="106"/>
  <c r="R256" i="107"/>
  <c r="R256" i="104"/>
  <c r="R177" i="108"/>
  <c r="R177" i="107"/>
  <c r="R177" i="106"/>
  <c r="R177" i="105"/>
  <c r="R177" i="104"/>
  <c r="R295" i="108"/>
  <c r="R295" i="107"/>
  <c r="R295" i="106"/>
  <c r="R295" i="105"/>
  <c r="R295" i="104"/>
  <c r="R317" i="108"/>
  <c r="R317" i="107"/>
  <c r="R317" i="105"/>
  <c r="R317" i="106"/>
  <c r="R317" i="104"/>
  <c r="R44" i="108"/>
  <c r="R44" i="107"/>
  <c r="R44" i="105"/>
  <c r="R44" i="104"/>
  <c r="R44" i="106"/>
  <c r="R83" i="108"/>
  <c r="R83" i="107"/>
  <c r="R83" i="106"/>
  <c r="R83" i="105"/>
  <c r="R83" i="104"/>
  <c r="R91" i="108"/>
  <c r="R91" i="107"/>
  <c r="R91" i="105"/>
  <c r="R91" i="104"/>
  <c r="R91" i="106"/>
  <c r="U102" i="98"/>
  <c r="R102" i="108"/>
  <c r="R102" i="107"/>
  <c r="R102" i="106"/>
  <c r="R102" i="105"/>
  <c r="R102" i="104"/>
  <c r="R140" i="108"/>
  <c r="R140" i="107"/>
  <c r="R140" i="106"/>
  <c r="R140" i="104"/>
  <c r="R140" i="105"/>
  <c r="U140" i="98"/>
  <c r="R346" i="108"/>
  <c r="R346" i="107"/>
  <c r="R346" i="106"/>
  <c r="R346" i="105"/>
  <c r="R346" i="104"/>
  <c r="R69" i="108"/>
  <c r="R69" i="107"/>
  <c r="R69" i="105"/>
  <c r="R69" i="106"/>
  <c r="R69" i="104"/>
  <c r="R343" i="108"/>
  <c r="R343" i="107"/>
  <c r="R343" i="106"/>
  <c r="R343" i="104"/>
  <c r="R343" i="105"/>
  <c r="R45" i="108"/>
  <c r="R45" i="107"/>
  <c r="R45" i="106"/>
  <c r="R45" i="105"/>
  <c r="R45" i="104"/>
  <c r="R182" i="108"/>
  <c r="R182" i="107"/>
  <c r="R182" i="105"/>
  <c r="R182" i="106"/>
  <c r="R182" i="104"/>
  <c r="R234" i="108"/>
  <c r="R234" i="106"/>
  <c r="R234" i="107"/>
  <c r="R234" i="105"/>
  <c r="R234" i="104"/>
  <c r="R116" i="108"/>
  <c r="R116" i="107"/>
  <c r="R116" i="106"/>
  <c r="R116" i="105"/>
  <c r="R116" i="104"/>
  <c r="R322" i="108"/>
  <c r="R322" i="107"/>
  <c r="R322" i="106"/>
  <c r="R322" i="105"/>
  <c r="R322" i="104"/>
  <c r="R165" i="108"/>
  <c r="R165" i="107"/>
  <c r="R165" i="106"/>
  <c r="R165" i="105"/>
  <c r="R165" i="104"/>
  <c r="R111" i="108"/>
  <c r="R111" i="107"/>
  <c r="R111" i="106"/>
  <c r="R111" i="105"/>
  <c r="U111" i="98"/>
  <c r="R111" i="104"/>
  <c r="U22" i="105"/>
  <c r="U24" i="98"/>
  <c r="U96" i="98"/>
  <c r="U36" i="98"/>
  <c r="U54" i="98"/>
  <c r="U23" i="98"/>
  <c r="U291" i="98"/>
  <c r="U276" i="98"/>
  <c r="U94" i="98"/>
  <c r="U110" i="98"/>
  <c r="U251" i="98"/>
  <c r="U287" i="98"/>
  <c r="U49" i="98"/>
  <c r="U139" i="98"/>
  <c r="U327" i="98"/>
  <c r="U107" i="98"/>
  <c r="U88" i="98"/>
  <c r="U7" i="98"/>
  <c r="U86" i="98"/>
  <c r="U188" i="98"/>
  <c r="U294" i="98"/>
  <c r="U286" i="98"/>
  <c r="U330" i="98"/>
  <c r="U269" i="98"/>
  <c r="U284" i="98"/>
  <c r="U246" i="98"/>
  <c r="U55" i="98"/>
  <c r="U76" i="98"/>
  <c r="U123" i="98"/>
  <c r="U56" i="98"/>
  <c r="U118" i="98"/>
  <c r="U137" i="98"/>
  <c r="U190" i="98"/>
  <c r="U223" i="98"/>
  <c r="U57" i="98"/>
  <c r="U239" i="98"/>
  <c r="U156" i="98"/>
  <c r="U191" i="98"/>
  <c r="U213" i="98"/>
  <c r="U277" i="98"/>
  <c r="U128" i="98"/>
  <c r="U222" i="98"/>
  <c r="U313" i="98"/>
  <c r="U219" i="98"/>
  <c r="U315" i="98"/>
  <c r="U115" i="98"/>
  <c r="U158" i="98"/>
  <c r="U237" i="98"/>
  <c r="U319" i="98"/>
  <c r="U64" i="98"/>
  <c r="U230" i="98"/>
  <c r="U314" i="98"/>
  <c r="U85" i="98"/>
  <c r="U77" i="98"/>
  <c r="U93" i="98"/>
  <c r="U160" i="98"/>
  <c r="U245" i="98"/>
  <c r="U214" i="98"/>
  <c r="U79" i="98"/>
  <c r="U48" i="98"/>
  <c r="U147" i="98"/>
  <c r="U105" i="98"/>
  <c r="U227" i="98"/>
  <c r="U134" i="98"/>
  <c r="U275" i="98"/>
  <c r="U310" i="98"/>
  <c r="U274" i="98"/>
  <c r="U124" i="98"/>
  <c r="U337" i="98"/>
  <c r="U328" i="98"/>
  <c r="U189" i="98"/>
  <c r="U288" i="98"/>
  <c r="U4" i="98"/>
  <c r="U72" i="98"/>
  <c r="U40" i="98"/>
  <c r="U278" i="98"/>
  <c r="U146" i="98"/>
  <c r="U71" i="98"/>
  <c r="U195" i="98"/>
  <c r="U336" i="98"/>
  <c r="U61" i="98"/>
  <c r="U109" i="98"/>
  <c r="U125" i="98"/>
  <c r="U220" i="98"/>
  <c r="U150" i="98"/>
  <c r="U306" i="98"/>
  <c r="U51" i="98"/>
  <c r="U25" i="98"/>
  <c r="U106" i="98"/>
  <c r="U59" i="98"/>
  <c r="U145" i="98"/>
  <c r="U162" i="98"/>
  <c r="U215" i="98"/>
  <c r="U318" i="98"/>
  <c r="U252" i="98"/>
  <c r="U285" i="98"/>
  <c r="U271" i="98"/>
  <c r="U329" i="98"/>
  <c r="U253" i="98"/>
  <c r="U295" i="98"/>
  <c r="U185" i="98"/>
  <c r="U270" i="98"/>
  <c r="U211" i="98"/>
  <c r="U132" i="98"/>
  <c r="U39" i="98"/>
  <c r="U35" i="98"/>
  <c r="U114" i="98"/>
  <c r="U120" i="98"/>
  <c r="U97" i="98"/>
  <c r="U149" i="98"/>
  <c r="U43" i="98"/>
  <c r="U95" i="98"/>
  <c r="U80" i="98"/>
  <c r="U60" i="98"/>
  <c r="U68" i="98"/>
  <c r="U92" i="98"/>
  <c r="U47" i="98"/>
  <c r="U70" i="98"/>
  <c r="U186" i="98"/>
  <c r="U142" i="98"/>
  <c r="U121" i="98"/>
  <c r="U240" i="98"/>
  <c r="U256" i="98"/>
  <c r="U8" i="98"/>
  <c r="U238" i="98"/>
  <c r="U11" i="98"/>
  <c r="E47" i="67"/>
  <c r="E40" i="67" s="1"/>
  <c r="G47" i="67"/>
  <c r="G40" i="67" s="1"/>
  <c r="F24" i="65"/>
  <c r="H47" i="67"/>
  <c r="H40" i="67" s="1"/>
  <c r="G24" i="65"/>
  <c r="I14" i="66"/>
  <c r="I47" i="67"/>
  <c r="I40" i="67" s="1"/>
  <c r="F29" i="65"/>
  <c r="F35" i="67"/>
  <c r="F39" i="67" s="1"/>
  <c r="D47" i="67"/>
  <c r="D40" i="67" s="1"/>
  <c r="G35" i="67"/>
  <c r="G39" i="67" s="1"/>
  <c r="F47" i="67"/>
  <c r="I24" i="65"/>
  <c r="D14" i="66"/>
  <c r="E14" i="66"/>
  <c r="H41" i="67"/>
  <c r="I41" i="67"/>
  <c r="F24" i="66"/>
  <c r="F14" i="66"/>
  <c r="H14" i="66"/>
  <c r="D20" i="66"/>
  <c r="D24" i="66" s="1"/>
  <c r="H22" i="66"/>
  <c r="H24" i="66" s="1"/>
  <c r="G20" i="66"/>
  <c r="G24" i="66" s="1"/>
  <c r="I21" i="66"/>
  <c r="I24" i="66" s="1"/>
  <c r="G14" i="66"/>
  <c r="E20" i="66"/>
  <c r="E24" i="66" s="1"/>
  <c r="G29" i="65"/>
  <c r="H29" i="65"/>
  <c r="I29" i="65"/>
  <c r="D27" i="65"/>
  <c r="D29" i="65" s="1"/>
  <c r="E27" i="65"/>
  <c r="E29" i="65" s="1"/>
  <c r="U216" i="105" l="1"/>
  <c r="U259" i="104"/>
  <c r="U24" i="105"/>
  <c r="U238" i="104"/>
  <c r="U86" i="104"/>
  <c r="U124" i="104"/>
  <c r="U45" i="104"/>
  <c r="U346" i="105"/>
  <c r="U83" i="104"/>
  <c r="U295" i="106"/>
  <c r="V354" i="105"/>
  <c r="U354" i="105"/>
  <c r="X354" i="105" s="1"/>
  <c r="U259" i="105"/>
  <c r="U109" i="104"/>
  <c r="U69" i="104"/>
  <c r="U256" i="104"/>
  <c r="V354" i="106"/>
  <c r="U354" i="106"/>
  <c r="X354" i="106" s="1"/>
  <c r="U347" i="104"/>
  <c r="U254" i="104"/>
  <c r="U92" i="104"/>
  <c r="U214" i="105"/>
  <c r="U98" i="104"/>
  <c r="U77" i="104"/>
  <c r="U24" i="106"/>
  <c r="U225" i="104"/>
  <c r="U5" i="106"/>
  <c r="U246" i="104"/>
  <c r="V352" i="108"/>
  <c r="U319" i="104"/>
  <c r="U259" i="106"/>
  <c r="U249" i="104"/>
  <c r="U282" i="104"/>
  <c r="U330" i="105"/>
  <c r="U248" i="104"/>
  <c r="U323" i="104"/>
  <c r="U329" i="104"/>
  <c r="U24" i="104"/>
  <c r="U297" i="106"/>
  <c r="U256" i="105"/>
  <c r="U225" i="105"/>
  <c r="U282" i="105"/>
  <c r="U212" i="106"/>
  <c r="U91" i="104"/>
  <c r="U78" i="104"/>
  <c r="U276" i="104"/>
  <c r="U214" i="107"/>
  <c r="U65" i="104"/>
  <c r="U211" i="107"/>
  <c r="U346" i="104"/>
  <c r="U295" i="104"/>
  <c r="U240" i="104"/>
  <c r="V352" i="105"/>
  <c r="U352" i="105"/>
  <c r="Y352" i="105" s="1"/>
  <c r="U216" i="104"/>
  <c r="U214" i="108"/>
  <c r="U84" i="104"/>
  <c r="U129" i="104"/>
  <c r="U57" i="104"/>
  <c r="U93" i="104"/>
  <c r="U225" i="106"/>
  <c r="U10" i="104"/>
  <c r="U289" i="104"/>
  <c r="U8" i="104"/>
  <c r="U217" i="104"/>
  <c r="U354" i="107"/>
  <c r="X354" i="107" s="1"/>
  <c r="V354" i="107"/>
  <c r="U347" i="105"/>
  <c r="U213" i="104"/>
  <c r="U80" i="104"/>
  <c r="U348" i="104"/>
  <c r="U68" i="104"/>
  <c r="V353" i="104"/>
  <c r="U353" i="104"/>
  <c r="X353" i="104" s="1"/>
  <c r="U7" i="105"/>
  <c r="U12" i="104"/>
  <c r="U330" i="104"/>
  <c r="U294" i="104"/>
  <c r="U47" i="104"/>
  <c r="U275" i="104"/>
  <c r="U81" i="104"/>
  <c r="U7" i="106"/>
  <c r="U306" i="105"/>
  <c r="U284" i="104"/>
  <c r="U239" i="104"/>
  <c r="U126" i="104"/>
  <c r="U300" i="106"/>
  <c r="U97" i="104"/>
  <c r="U23" i="104"/>
  <c r="U96" i="104"/>
  <c r="U211" i="108"/>
  <c r="U299" i="106"/>
  <c r="U117" i="104"/>
  <c r="U51" i="104"/>
  <c r="U253" i="104"/>
  <c r="U121" i="104"/>
  <c r="U262" i="105"/>
  <c r="U218" i="104"/>
  <c r="U72" i="104"/>
  <c r="U317" i="104"/>
  <c r="U138" i="104"/>
  <c r="U143" i="104"/>
  <c r="U237" i="104"/>
  <c r="U212" i="104"/>
  <c r="U344" i="104"/>
  <c r="U110" i="104"/>
  <c r="U146" i="104"/>
  <c r="U262" i="106"/>
  <c r="U260" i="104"/>
  <c r="U218" i="105"/>
  <c r="U128" i="104"/>
  <c r="U237" i="105"/>
  <c r="U212" i="105"/>
  <c r="U344" i="105"/>
  <c r="U52" i="104"/>
  <c r="U61" i="104"/>
  <c r="U133" i="104"/>
  <c r="U123" i="104"/>
  <c r="U217" i="105"/>
  <c r="V354" i="108"/>
  <c r="U354" i="108"/>
  <c r="X354" i="108" s="1"/>
  <c r="U5" i="104"/>
  <c r="U320" i="104"/>
  <c r="U334" i="104"/>
  <c r="U297" i="105"/>
  <c r="U282" i="106"/>
  <c r="U319" i="105"/>
  <c r="U291" i="104"/>
  <c r="U285" i="104"/>
  <c r="U294" i="105"/>
  <c r="U213" i="105"/>
  <c r="U237" i="106"/>
  <c r="U254" i="105"/>
  <c r="U250" i="104"/>
  <c r="U212" i="107"/>
  <c r="U59" i="104"/>
  <c r="U48" i="104"/>
  <c r="U107" i="104"/>
  <c r="U238" i="105"/>
  <c r="U215" i="105"/>
  <c r="U55" i="104"/>
  <c r="U316" i="104"/>
  <c r="U253" i="105"/>
  <c r="U23" i="105"/>
  <c r="U147" i="104"/>
  <c r="V353" i="105"/>
  <c r="U353" i="105"/>
  <c r="X353" i="105" s="1"/>
  <c r="U219" i="104"/>
  <c r="U88" i="104"/>
  <c r="U260" i="105"/>
  <c r="U58" i="104"/>
  <c r="U136" i="104"/>
  <c r="U111" i="104"/>
  <c r="U295" i="105"/>
  <c r="U336" i="104"/>
  <c r="U251" i="104"/>
  <c r="U9" i="104"/>
  <c r="U329" i="105"/>
  <c r="U320" i="105"/>
  <c r="V352" i="104"/>
  <c r="U352" i="104"/>
  <c r="Y352" i="104" s="1"/>
  <c r="U297" i="104"/>
  <c r="U73" i="104"/>
  <c r="U291" i="106"/>
  <c r="U90" i="104"/>
  <c r="U294" i="106"/>
  <c r="U213" i="106"/>
  <c r="U137" i="104"/>
  <c r="U60" i="104"/>
  <c r="U212" i="108"/>
  <c r="U238" i="106"/>
  <c r="U215" i="104"/>
  <c r="U120" i="104"/>
  <c r="U54" i="104"/>
  <c r="U64" i="104"/>
  <c r="U23" i="106"/>
  <c r="U353" i="107"/>
  <c r="X353" i="107" s="1"/>
  <c r="V353" i="107"/>
  <c r="U219" i="105"/>
  <c r="U134" i="104"/>
  <c r="U260" i="106"/>
  <c r="U288" i="104"/>
  <c r="U245" i="104"/>
  <c r="U224" i="104"/>
  <c r="U104" i="104"/>
  <c r="U119" i="104"/>
  <c r="U291" i="105"/>
  <c r="U11" i="104"/>
  <c r="U294" i="107"/>
  <c r="U213" i="107"/>
  <c r="U300" i="104"/>
  <c r="U215" i="106"/>
  <c r="U223" i="104"/>
  <c r="U114" i="104"/>
  <c r="U353" i="106"/>
  <c r="X353" i="106" s="1"/>
  <c r="V353" i="106"/>
  <c r="U101" i="104"/>
  <c r="U220" i="105"/>
  <c r="U211" i="104"/>
  <c r="U144" i="104"/>
  <c r="U82" i="104"/>
  <c r="U299" i="104"/>
  <c r="U102" i="104"/>
  <c r="U141" i="104"/>
  <c r="U89" i="104"/>
  <c r="U50" i="104"/>
  <c r="U255" i="104"/>
  <c r="U290" i="104"/>
  <c r="V352" i="106"/>
  <c r="U352" i="106"/>
  <c r="Y352" i="106" s="1"/>
  <c r="U328" i="105"/>
  <c r="U287" i="104"/>
  <c r="U214" i="104"/>
  <c r="U286" i="104"/>
  <c r="U213" i="108"/>
  <c r="U125" i="104"/>
  <c r="U150" i="104"/>
  <c r="U106" i="104"/>
  <c r="U278" i="104"/>
  <c r="U215" i="107"/>
  <c r="U99" i="104"/>
  <c r="U349" i="104"/>
  <c r="U25" i="106"/>
  <c r="U353" i="108"/>
  <c r="X353" i="108" s="1"/>
  <c r="V353" i="108"/>
  <c r="U131" i="104"/>
  <c r="U252" i="104"/>
  <c r="U220" i="104"/>
  <c r="U71" i="104"/>
  <c r="U87" i="104"/>
  <c r="U351" i="104"/>
  <c r="U149" i="104"/>
  <c r="U211" i="105"/>
  <c r="U94" i="104"/>
  <c r="U328" i="104"/>
  <c r="U277" i="104"/>
  <c r="U118" i="104"/>
  <c r="U145" i="104"/>
  <c r="U25" i="104"/>
  <c r="U79" i="104"/>
  <c r="U49" i="104"/>
  <c r="U142" i="104"/>
  <c r="U56" i="104"/>
  <c r="U116" i="104"/>
  <c r="U140" i="104"/>
  <c r="U240" i="105"/>
  <c r="U139" i="104"/>
  <c r="V354" i="104"/>
  <c r="U354" i="104"/>
  <c r="X354" i="104" s="1"/>
  <c r="U255" i="105"/>
  <c r="U5" i="105"/>
  <c r="U352" i="107"/>
  <c r="Y352" i="107" s="1"/>
  <c r="V352" i="107"/>
  <c r="U306" i="104"/>
  <c r="U214" i="106"/>
  <c r="U53" i="104"/>
  <c r="U105" i="104"/>
  <c r="U95" i="104"/>
  <c r="U350" i="104"/>
  <c r="U274" i="104"/>
  <c r="U300" i="105"/>
  <c r="U215" i="108"/>
  <c r="U85" i="104"/>
  <c r="U115" i="104"/>
  <c r="U25" i="105"/>
  <c r="U76" i="104"/>
  <c r="U135" i="104"/>
  <c r="U262" i="104"/>
  <c r="U222" i="104"/>
  <c r="U70" i="104"/>
  <c r="U132" i="104"/>
  <c r="U211" i="106"/>
  <c r="U7" i="104"/>
  <c r="U299" i="105"/>
  <c r="U247" i="104"/>
  <c r="F40" i="67"/>
  <c r="D7" i="66" l="1"/>
  <c r="D16" i="66" s="1"/>
  <c r="E7" i="66"/>
  <c r="E16" i="66" s="1"/>
  <c r="F7" i="66"/>
  <c r="F16" i="66" s="1"/>
  <c r="G7" i="66"/>
  <c r="G16" i="66" s="1"/>
  <c r="H7" i="66"/>
  <c r="H16" i="66" s="1"/>
  <c r="I7" i="66"/>
  <c r="I16" i="66" s="1"/>
  <c r="E18" i="67"/>
  <c r="F18" i="67"/>
  <c r="G18" i="67"/>
  <c r="H18" i="67"/>
  <c r="I18" i="67"/>
  <c r="D18" i="67"/>
  <c r="D38" i="67" l="1"/>
  <c r="D54" i="67"/>
  <c r="I38" i="67"/>
  <c r="I54" i="67"/>
  <c r="H38" i="67"/>
  <c r="H54" i="67"/>
  <c r="G54" i="67"/>
  <c r="G38" i="67"/>
  <c r="F54" i="67"/>
  <c r="F38" i="67"/>
  <c r="E38" i="67"/>
  <c r="E54" i="67"/>
  <c r="C4" i="110"/>
  <c r="C4" i="109"/>
  <c r="C4" i="37"/>
  <c r="R4" i="89" l="1"/>
  <c r="J5" i="89"/>
  <c r="K5" i="89"/>
  <c r="P5" i="89"/>
  <c r="R5" i="89" s="1"/>
  <c r="Q5" i="89"/>
  <c r="J6" i="89"/>
  <c r="K6" i="89"/>
  <c r="P6" i="89"/>
  <c r="R6" i="89" s="1"/>
  <c r="Q6" i="89"/>
  <c r="R7" i="89"/>
  <c r="R8" i="89"/>
  <c r="Q9" i="89"/>
  <c r="J10" i="89"/>
  <c r="K10" i="89"/>
  <c r="L10" i="89"/>
  <c r="M10" i="89"/>
  <c r="P10" i="89"/>
  <c r="R10" i="89" s="1"/>
  <c r="Q10" i="89"/>
  <c r="R11" i="89"/>
  <c r="R12" i="89"/>
  <c r="R13" i="89"/>
  <c r="Q14" i="89"/>
  <c r="Q15" i="89"/>
  <c r="Q16" i="89"/>
  <c r="Q17" i="89"/>
  <c r="Q18" i="89"/>
  <c r="Q19" i="89"/>
  <c r="Q20" i="89"/>
  <c r="R21" i="89"/>
  <c r="R22" i="89"/>
  <c r="R23" i="89"/>
  <c r="R24" i="89"/>
  <c r="J25" i="89"/>
  <c r="K25" i="89"/>
  <c r="L25" i="89"/>
  <c r="M25" i="89"/>
  <c r="P25" i="89"/>
  <c r="Q25" i="89" s="1"/>
  <c r="R25" i="89"/>
  <c r="J26" i="89"/>
  <c r="K26" i="89"/>
  <c r="L26" i="89"/>
  <c r="M26" i="89"/>
  <c r="P26" i="89"/>
  <c r="Q26" i="89" s="1"/>
  <c r="R26" i="89"/>
  <c r="J27" i="89"/>
  <c r="K27" i="89"/>
  <c r="L27" i="89"/>
  <c r="M27" i="89"/>
  <c r="P27" i="89"/>
  <c r="Q27" i="89" s="1"/>
  <c r="R27" i="89"/>
  <c r="J28" i="89"/>
  <c r="K28" i="89"/>
  <c r="L28" i="89"/>
  <c r="M28" i="89"/>
  <c r="P28" i="89"/>
  <c r="Q28" i="89" s="1"/>
  <c r="R28" i="89"/>
  <c r="R29" i="89"/>
  <c r="R30" i="89"/>
  <c r="R31" i="89"/>
  <c r="Q32" i="89"/>
  <c r="Q33" i="89"/>
  <c r="R34" i="89"/>
  <c r="Q35" i="89"/>
  <c r="Q36" i="89"/>
  <c r="R37" i="89"/>
  <c r="R38" i="89"/>
  <c r="R39" i="89"/>
  <c r="R40" i="89"/>
  <c r="R41" i="89"/>
  <c r="R42" i="89"/>
  <c r="R43" i="89"/>
  <c r="R44" i="89"/>
  <c r="R45" i="89"/>
  <c r="J46" i="89"/>
  <c r="P46" i="89"/>
  <c r="Q46" i="89" s="1"/>
  <c r="R46" i="89"/>
  <c r="J47" i="89"/>
  <c r="P47" i="89"/>
  <c r="Q47" i="89" s="1"/>
  <c r="R47" i="89"/>
  <c r="J48" i="89"/>
  <c r="P48" i="89"/>
  <c r="Q48" i="89" s="1"/>
  <c r="R48" i="89"/>
  <c r="J49" i="89"/>
  <c r="P49" i="89"/>
  <c r="Q49" i="89" s="1"/>
  <c r="R49" i="89"/>
  <c r="J50" i="89"/>
  <c r="P50" i="89"/>
  <c r="Q50" i="89" s="1"/>
  <c r="R50" i="89"/>
  <c r="J51" i="89"/>
  <c r="P51" i="89"/>
  <c r="Q51" i="89" s="1"/>
  <c r="R51" i="89"/>
  <c r="J52" i="89"/>
  <c r="P52" i="89"/>
  <c r="Q52" i="89" s="1"/>
  <c r="R52" i="89"/>
  <c r="J53" i="89"/>
  <c r="P53" i="89"/>
  <c r="Q53" i="89" s="1"/>
  <c r="R53" i="89"/>
  <c r="J54" i="89"/>
  <c r="P54" i="89"/>
  <c r="Q54" i="89" s="1"/>
  <c r="R54" i="89"/>
  <c r="J55" i="89"/>
  <c r="P55" i="89"/>
  <c r="Q55" i="89" s="1"/>
  <c r="R55" i="89"/>
  <c r="J56" i="89"/>
  <c r="P56" i="89"/>
  <c r="Q56" i="89" s="1"/>
  <c r="R56" i="89"/>
  <c r="J57" i="89"/>
  <c r="P57" i="89"/>
  <c r="Q57" i="89" s="1"/>
  <c r="R57" i="89"/>
  <c r="J58" i="89"/>
  <c r="P58" i="89"/>
  <c r="Q58" i="89" s="1"/>
  <c r="R58" i="89"/>
  <c r="J59" i="89"/>
  <c r="P59" i="89"/>
  <c r="Q59" i="89" s="1"/>
  <c r="R59" i="89"/>
  <c r="J60" i="89"/>
  <c r="P60" i="89"/>
  <c r="Q60" i="89" s="1"/>
  <c r="R60" i="89"/>
  <c r="J61" i="89"/>
  <c r="K61" i="89"/>
  <c r="P61" i="89"/>
  <c r="R61" i="89" s="1"/>
  <c r="Q61" i="89"/>
  <c r="J62" i="89"/>
  <c r="K62" i="89"/>
  <c r="P62" i="89"/>
  <c r="R62" i="89" s="1"/>
  <c r="Q62" i="89"/>
  <c r="J63" i="89"/>
  <c r="K63" i="89"/>
  <c r="P63" i="89"/>
  <c r="R63" i="89" s="1"/>
  <c r="Q63" i="89"/>
  <c r="J64" i="89"/>
  <c r="K64" i="89"/>
  <c r="P64" i="89"/>
  <c r="R64" i="89" s="1"/>
  <c r="Q64" i="89"/>
  <c r="J65" i="89"/>
  <c r="K65" i="89"/>
  <c r="P65" i="89"/>
  <c r="R65" i="89" s="1"/>
  <c r="Q65" i="89"/>
  <c r="J66" i="89"/>
  <c r="K66" i="89"/>
  <c r="P66" i="89"/>
  <c r="R66" i="89" s="1"/>
  <c r="Q66" i="89"/>
  <c r="J67" i="89"/>
  <c r="K67" i="89"/>
  <c r="P67" i="89"/>
  <c r="R67" i="89" s="1"/>
  <c r="Q67" i="89"/>
  <c r="J68" i="89"/>
  <c r="K68" i="89"/>
  <c r="P68" i="89"/>
  <c r="R68" i="89" s="1"/>
  <c r="Q68" i="89"/>
  <c r="J69" i="89"/>
  <c r="K69" i="89"/>
  <c r="P69" i="89"/>
  <c r="R69" i="89" s="1"/>
  <c r="Q69" i="89"/>
  <c r="J70" i="89"/>
  <c r="K70" i="89"/>
  <c r="P70" i="89"/>
  <c r="R70" i="89" s="1"/>
  <c r="Q70" i="89"/>
  <c r="J71" i="89"/>
  <c r="K71" i="89"/>
  <c r="P71" i="89"/>
  <c r="R71" i="89" s="1"/>
  <c r="Q71" i="89"/>
  <c r="J72" i="89"/>
  <c r="K72" i="89"/>
  <c r="P72" i="89"/>
  <c r="R72" i="89" s="1"/>
  <c r="Q72" i="89"/>
  <c r="J73" i="89"/>
  <c r="K73" i="89"/>
  <c r="P73" i="89"/>
  <c r="R73" i="89" s="1"/>
  <c r="Q73" i="89"/>
  <c r="J74" i="89"/>
  <c r="K74" i="89"/>
  <c r="P74" i="89"/>
  <c r="R74" i="89" s="1"/>
  <c r="Q74" i="89"/>
  <c r="J75" i="89"/>
  <c r="K75" i="89"/>
  <c r="P75" i="89"/>
  <c r="Q75" i="89"/>
  <c r="R75" i="89"/>
  <c r="J76" i="89"/>
  <c r="K76" i="89"/>
  <c r="P76" i="89"/>
  <c r="R76" i="89" s="1"/>
  <c r="Q76" i="89"/>
  <c r="J77" i="89"/>
  <c r="K77" i="89"/>
  <c r="P77" i="89"/>
  <c r="R77" i="89" s="1"/>
  <c r="Q77" i="89"/>
  <c r="J78" i="89"/>
  <c r="K78" i="89"/>
  <c r="P78" i="89"/>
  <c r="R78" i="89" s="1"/>
  <c r="Q78" i="89"/>
  <c r="J79" i="89"/>
  <c r="K79" i="89"/>
  <c r="P79" i="89"/>
  <c r="R79" i="89" s="1"/>
  <c r="Q79" i="89"/>
  <c r="J80" i="89"/>
  <c r="K80" i="89"/>
  <c r="P80" i="89"/>
  <c r="R80" i="89" s="1"/>
  <c r="Q80" i="89"/>
  <c r="J81" i="89"/>
  <c r="K81" i="89"/>
  <c r="P81" i="89"/>
  <c r="R81" i="89" s="1"/>
  <c r="Q81" i="89"/>
  <c r="J82" i="89"/>
  <c r="K82" i="89"/>
  <c r="P82" i="89"/>
  <c r="R82" i="89" s="1"/>
  <c r="Q82" i="89"/>
  <c r="J83" i="89"/>
  <c r="K83" i="89"/>
  <c r="P83" i="89"/>
  <c r="R83" i="89" s="1"/>
  <c r="Q83" i="89"/>
  <c r="J84" i="89"/>
  <c r="K84" i="89"/>
  <c r="P84" i="89"/>
  <c r="R84" i="89" s="1"/>
  <c r="Q84" i="89"/>
  <c r="J85" i="89"/>
  <c r="K85" i="89"/>
  <c r="P85" i="89"/>
  <c r="R85" i="89" s="1"/>
  <c r="Q85" i="89"/>
  <c r="J86" i="89"/>
  <c r="K86" i="89"/>
  <c r="P86" i="89"/>
  <c r="R86" i="89" s="1"/>
  <c r="Q86" i="89"/>
  <c r="J87" i="89"/>
  <c r="K87" i="89"/>
  <c r="P87" i="89"/>
  <c r="Q87" i="89"/>
  <c r="R87" i="89"/>
  <c r="J88" i="89"/>
  <c r="K88" i="89"/>
  <c r="P88" i="89"/>
  <c r="R88" i="89" s="1"/>
  <c r="Q88" i="89"/>
  <c r="J89" i="89"/>
  <c r="K89" i="89"/>
  <c r="P89" i="89"/>
  <c r="Q89" i="89" s="1"/>
  <c r="R89" i="89"/>
  <c r="J90" i="89"/>
  <c r="K90" i="89"/>
  <c r="P90" i="89"/>
  <c r="Q90" i="89" s="1"/>
  <c r="R90" i="89"/>
  <c r="J91" i="89"/>
  <c r="K91" i="89"/>
  <c r="P91" i="89"/>
  <c r="R91" i="89" s="1"/>
  <c r="Q91" i="89"/>
  <c r="J92" i="89"/>
  <c r="K92" i="89"/>
  <c r="P92" i="89"/>
  <c r="R92" i="89" s="1"/>
  <c r="Q92" i="89"/>
  <c r="J93" i="89"/>
  <c r="K93" i="89"/>
  <c r="P93" i="89"/>
  <c r="R93" i="89" s="1"/>
  <c r="Q93" i="89"/>
  <c r="J94" i="89"/>
  <c r="K94" i="89"/>
  <c r="P94" i="89"/>
  <c r="R94" i="89" s="1"/>
  <c r="Q94" i="89"/>
  <c r="J95" i="89"/>
  <c r="K95" i="89"/>
  <c r="P95" i="89"/>
  <c r="R95" i="89" s="1"/>
  <c r="Q95" i="89"/>
  <c r="J96" i="89"/>
  <c r="K96" i="89"/>
  <c r="P96" i="89"/>
  <c r="R96" i="89" s="1"/>
  <c r="Q96" i="89"/>
  <c r="J97" i="89"/>
  <c r="K97" i="89"/>
  <c r="P97" i="89"/>
  <c r="R97" i="89" s="1"/>
  <c r="Q97" i="89"/>
  <c r="J98" i="89"/>
  <c r="K98" i="89"/>
  <c r="P98" i="89"/>
  <c r="Q98" i="89" s="1"/>
  <c r="R98" i="89"/>
  <c r="J99" i="89"/>
  <c r="K99" i="89"/>
  <c r="P99" i="89"/>
  <c r="Q99" i="89" s="1"/>
  <c r="R99" i="89"/>
  <c r="J100" i="89"/>
  <c r="K100" i="89"/>
  <c r="P100" i="89"/>
  <c r="Q100" i="89" s="1"/>
  <c r="R100" i="89"/>
  <c r="J101" i="89"/>
  <c r="K101" i="89"/>
  <c r="P101" i="89"/>
  <c r="Q101" i="89" s="1"/>
  <c r="R101" i="89"/>
  <c r="J102" i="89"/>
  <c r="K102" i="89"/>
  <c r="P102" i="89"/>
  <c r="Q102" i="89" s="1"/>
  <c r="R102" i="89"/>
  <c r="J103" i="89"/>
  <c r="K103" i="89"/>
  <c r="P103" i="89"/>
  <c r="Q103" i="89" s="1"/>
  <c r="R103" i="89"/>
  <c r="J104" i="89"/>
  <c r="K104" i="89"/>
  <c r="P104" i="89"/>
  <c r="R104" i="89" s="1"/>
  <c r="Q104" i="89"/>
  <c r="J105" i="89"/>
  <c r="K105" i="89"/>
  <c r="P105" i="89"/>
  <c r="R105" i="89" s="1"/>
  <c r="Q105" i="89"/>
  <c r="J106" i="89"/>
  <c r="K106" i="89"/>
  <c r="P106" i="89"/>
  <c r="Q106" i="89" s="1"/>
  <c r="R106" i="89"/>
  <c r="J107" i="89"/>
  <c r="K107" i="89"/>
  <c r="P107" i="89"/>
  <c r="Q107" i="89" s="1"/>
  <c r="R107" i="89"/>
  <c r="J108" i="89"/>
  <c r="K108" i="89"/>
  <c r="P108" i="89"/>
  <c r="R108" i="89" s="1"/>
  <c r="Q108" i="89"/>
  <c r="J109" i="89"/>
  <c r="K109" i="89"/>
  <c r="P109" i="89"/>
  <c r="R109" i="89" s="1"/>
  <c r="Q109" i="89"/>
  <c r="J110" i="89"/>
  <c r="K110" i="89"/>
  <c r="P110" i="89"/>
  <c r="R110" i="89" s="1"/>
  <c r="Q110" i="89"/>
  <c r="J111" i="89"/>
  <c r="K111" i="89"/>
  <c r="P111" i="89"/>
  <c r="R111" i="89" s="1"/>
  <c r="Q111" i="89"/>
  <c r="J112" i="89"/>
  <c r="K112" i="89"/>
  <c r="P112" i="89"/>
  <c r="R112" i="89" s="1"/>
  <c r="Q112" i="89"/>
  <c r="J113" i="89"/>
  <c r="K113" i="89"/>
  <c r="P113" i="89"/>
  <c r="R113" i="89" s="1"/>
  <c r="Q113" i="89"/>
  <c r="J114" i="89"/>
  <c r="K114" i="89"/>
  <c r="P114" i="89"/>
  <c r="R114" i="89" s="1"/>
  <c r="Q114" i="89"/>
  <c r="J115" i="89"/>
  <c r="K115" i="89"/>
  <c r="P115" i="89"/>
  <c r="R115" i="89" s="1"/>
  <c r="Q115" i="89"/>
  <c r="J116" i="89"/>
  <c r="K116" i="89"/>
  <c r="P116" i="89"/>
  <c r="R116" i="89" s="1"/>
  <c r="Q116" i="89"/>
  <c r="J117" i="89"/>
  <c r="K117" i="89"/>
  <c r="P117" i="89"/>
  <c r="Q117" i="89" s="1"/>
  <c r="R117" i="89"/>
  <c r="Q118" i="89"/>
  <c r="R119" i="89"/>
  <c r="R120" i="89"/>
  <c r="R121" i="89"/>
  <c r="R122" i="89"/>
  <c r="Q123" i="89"/>
  <c r="Q124" i="89"/>
  <c r="Q125" i="89"/>
  <c r="R126" i="89"/>
  <c r="R127" i="89"/>
  <c r="R128" i="89"/>
  <c r="R129" i="89"/>
  <c r="Q130" i="89"/>
  <c r="Q131" i="89"/>
  <c r="J132" i="89"/>
  <c r="P132" i="89"/>
  <c r="R132" i="89" s="1"/>
  <c r="Q132" i="89"/>
  <c r="J133" i="89"/>
  <c r="P133" i="89"/>
  <c r="R133" i="89" s="1"/>
  <c r="Q133" i="89"/>
  <c r="J134" i="89"/>
  <c r="P134" i="89"/>
  <c r="R134" i="89" s="1"/>
  <c r="Q134" i="89"/>
  <c r="J135" i="89"/>
  <c r="P135" i="89"/>
  <c r="R135" i="89" s="1"/>
  <c r="Q135" i="89"/>
  <c r="J136" i="89"/>
  <c r="P136" i="89"/>
  <c r="R136" i="89" s="1"/>
  <c r="Q136" i="89"/>
  <c r="J137" i="89"/>
  <c r="P137" i="89"/>
  <c r="R137" i="89" s="1"/>
  <c r="Q137" i="89"/>
  <c r="R138" i="89"/>
  <c r="R139" i="89"/>
  <c r="R140" i="89"/>
  <c r="R141" i="89"/>
  <c r="Q142" i="89"/>
  <c r="R143" i="89"/>
  <c r="R144" i="89"/>
  <c r="R145" i="89"/>
  <c r="R146" i="89"/>
  <c r="R147" i="89"/>
  <c r="R148" i="89"/>
  <c r="R149" i="89"/>
  <c r="R150" i="89"/>
  <c r="R151" i="89"/>
  <c r="R152" i="89"/>
  <c r="R153" i="89"/>
  <c r="R154" i="89"/>
  <c r="R155" i="89"/>
  <c r="Q156" i="89"/>
  <c r="Q157" i="89"/>
  <c r="Q158" i="89"/>
  <c r="Q159" i="89"/>
  <c r="Q160" i="89"/>
  <c r="Q161" i="89"/>
  <c r="R162" i="89"/>
  <c r="R163" i="89"/>
  <c r="R164" i="89"/>
  <c r="R165" i="89"/>
  <c r="R166" i="89"/>
  <c r="R167" i="89"/>
  <c r="J168" i="89"/>
  <c r="P168" i="89"/>
  <c r="Q168" i="89" s="1"/>
  <c r="R168" i="89"/>
  <c r="J169" i="89"/>
  <c r="P169" i="89"/>
  <c r="Q169" i="89" s="1"/>
  <c r="R169" i="89"/>
  <c r="J170" i="89"/>
  <c r="P170" i="89"/>
  <c r="Q170" i="89" s="1"/>
  <c r="R170" i="89"/>
  <c r="J171" i="89"/>
  <c r="P171" i="89"/>
  <c r="Q171" i="89" s="1"/>
  <c r="R171" i="89"/>
  <c r="J172" i="89"/>
  <c r="P172" i="89"/>
  <c r="R172" i="89" s="1"/>
  <c r="Q172" i="89"/>
  <c r="J173" i="89"/>
  <c r="P173" i="89"/>
  <c r="R173" i="89" s="1"/>
  <c r="Q173" i="89"/>
  <c r="J174" i="89"/>
  <c r="P174" i="89"/>
  <c r="Q174" i="89" s="1"/>
  <c r="R174" i="89"/>
  <c r="J175" i="89"/>
  <c r="P175" i="89"/>
  <c r="Q175" i="89" s="1"/>
  <c r="R175" i="89"/>
  <c r="R176" i="89"/>
  <c r="R177" i="89"/>
  <c r="R178" i="89"/>
  <c r="R179" i="89"/>
  <c r="R180" i="89"/>
  <c r="R181" i="89"/>
  <c r="R182" i="89"/>
  <c r="Q183" i="89"/>
  <c r="Q184" i="89"/>
  <c r="Q185" i="89"/>
  <c r="Q186" i="89"/>
  <c r="Q187" i="89"/>
  <c r="Q188" i="89"/>
  <c r="Q189" i="89"/>
  <c r="R190" i="89"/>
  <c r="R191" i="89"/>
  <c r="R192" i="89"/>
  <c r="R193" i="89"/>
  <c r="R194" i="89"/>
  <c r="R195" i="89"/>
  <c r="R196" i="89"/>
  <c r="R197" i="89"/>
  <c r="Q198" i="89"/>
  <c r="Q199" i="89"/>
  <c r="J200" i="89"/>
  <c r="K200" i="89"/>
  <c r="L200" i="89"/>
  <c r="M200" i="89"/>
  <c r="N200" i="89"/>
  <c r="O200" i="89"/>
  <c r="P200" i="89"/>
  <c r="Q200" i="89" s="1"/>
  <c r="R200" i="89"/>
  <c r="J201" i="89"/>
  <c r="K201" i="89"/>
  <c r="L201" i="89"/>
  <c r="M201" i="89"/>
  <c r="N201" i="89"/>
  <c r="O201" i="89"/>
  <c r="P201" i="89"/>
  <c r="Q201" i="89" s="1"/>
  <c r="R201" i="89"/>
  <c r="J202" i="89"/>
  <c r="K202" i="89"/>
  <c r="L202" i="89"/>
  <c r="M202" i="89"/>
  <c r="N202" i="89"/>
  <c r="O202" i="89"/>
  <c r="P202" i="89"/>
  <c r="Q202" i="89" s="1"/>
  <c r="R202" i="89"/>
  <c r="J203" i="89"/>
  <c r="K203" i="89"/>
  <c r="L203" i="89"/>
  <c r="P203" i="89"/>
  <c r="Q203" i="89" s="1"/>
  <c r="R203" i="89"/>
  <c r="J204" i="89"/>
  <c r="K204" i="89"/>
  <c r="L204" i="89"/>
  <c r="P204" i="89"/>
  <c r="Q204" i="89" s="1"/>
  <c r="R204" i="89"/>
  <c r="J205" i="89"/>
  <c r="K205" i="89"/>
  <c r="L205" i="89"/>
  <c r="P205" i="89"/>
  <c r="Q205" i="89" s="1"/>
  <c r="R205" i="89"/>
  <c r="J206" i="89"/>
  <c r="K206" i="89"/>
  <c r="L206" i="89"/>
  <c r="P206" i="89"/>
  <c r="Q206" i="89" s="1"/>
  <c r="R206" i="89"/>
  <c r="J207" i="89"/>
  <c r="K207" i="89"/>
  <c r="L207" i="89"/>
  <c r="P207" i="89"/>
  <c r="Q207" i="89" s="1"/>
  <c r="R207" i="89"/>
  <c r="J208" i="89"/>
  <c r="K208" i="89"/>
  <c r="P208" i="89"/>
  <c r="R208" i="89" s="1"/>
  <c r="Q208" i="89"/>
  <c r="J209" i="89"/>
  <c r="K209" i="89"/>
  <c r="P209" i="89"/>
  <c r="R209" i="89" s="1"/>
  <c r="Q209" i="89"/>
  <c r="J210" i="89"/>
  <c r="K210" i="89"/>
  <c r="L210" i="89"/>
  <c r="M210" i="89"/>
  <c r="P210" i="89"/>
  <c r="R210" i="89" s="1"/>
  <c r="Q210" i="89"/>
  <c r="J211" i="89"/>
  <c r="K211" i="89"/>
  <c r="L211" i="89"/>
  <c r="M211" i="89"/>
  <c r="P211" i="89"/>
  <c r="R211" i="89" s="1"/>
  <c r="Q211" i="89"/>
  <c r="J212" i="89"/>
  <c r="P212" i="89"/>
  <c r="R212" i="89" s="1"/>
  <c r="Q212" i="89"/>
  <c r="J213" i="89"/>
  <c r="P213" i="89"/>
  <c r="R213" i="89" s="1"/>
  <c r="Q213" i="89"/>
  <c r="J214" i="89"/>
  <c r="P214" i="89"/>
  <c r="R214" i="89" s="1"/>
  <c r="Q214" i="89"/>
  <c r="J215" i="89"/>
  <c r="P215" i="89"/>
  <c r="R215" i="89" s="1"/>
  <c r="Q215" i="89"/>
  <c r="J216" i="89"/>
  <c r="P216" i="89"/>
  <c r="R216" i="89" s="1"/>
  <c r="Q216" i="89"/>
  <c r="R217" i="89"/>
  <c r="Q218" i="89"/>
  <c r="J219" i="89"/>
  <c r="K219" i="89"/>
  <c r="L219" i="89"/>
  <c r="M219" i="89"/>
  <c r="P219" i="89"/>
  <c r="Q219" i="89" s="1"/>
  <c r="R219" i="89"/>
  <c r="J220" i="89"/>
  <c r="K220" i="89"/>
  <c r="L220" i="89"/>
  <c r="M220" i="89"/>
  <c r="P220" i="89"/>
  <c r="Q220" i="89" s="1"/>
  <c r="R220" i="89"/>
  <c r="J221" i="89"/>
  <c r="K221" i="89"/>
  <c r="P221" i="89"/>
  <c r="R221" i="89" s="1"/>
  <c r="Q221" i="89"/>
  <c r="J222" i="89"/>
  <c r="K222" i="89"/>
  <c r="P222" i="89"/>
  <c r="R222" i="89" s="1"/>
  <c r="Q222" i="89"/>
  <c r="J223" i="89"/>
  <c r="K223" i="89"/>
  <c r="L223" i="89"/>
  <c r="P223" i="89"/>
  <c r="R223" i="89" s="1"/>
  <c r="Q223" i="89"/>
  <c r="Q224" i="89"/>
  <c r="J225" i="89"/>
  <c r="K225" i="89"/>
  <c r="P225" i="89"/>
  <c r="Q225" i="89" s="1"/>
  <c r="R225" i="89"/>
  <c r="J226" i="89"/>
  <c r="K226" i="89"/>
  <c r="P226" i="89"/>
  <c r="R226" i="89" s="1"/>
  <c r="Q226" i="89"/>
  <c r="J227" i="89"/>
  <c r="K227" i="89"/>
  <c r="P227" i="89"/>
  <c r="R227" i="89" s="1"/>
  <c r="Q227" i="89"/>
  <c r="J228" i="89"/>
  <c r="K228" i="89"/>
  <c r="P228" i="89"/>
  <c r="R228" i="89" s="1"/>
  <c r="Q228" i="89"/>
  <c r="J229" i="89"/>
  <c r="K229" i="89"/>
  <c r="L229" i="89"/>
  <c r="P229" i="89"/>
  <c r="R229" i="89" s="1"/>
  <c r="Q229" i="89"/>
  <c r="R230" i="89"/>
  <c r="Q231" i="89"/>
  <c r="Q232" i="89"/>
  <c r="Q233" i="89"/>
  <c r="Q234" i="89"/>
  <c r="R235" i="89"/>
  <c r="J236" i="89"/>
  <c r="P236" i="89"/>
  <c r="Q236" i="89" s="1"/>
  <c r="R236" i="89"/>
  <c r="Q237" i="89"/>
  <c r="J238" i="89"/>
  <c r="K238" i="89"/>
  <c r="P238" i="89"/>
  <c r="R238" i="89" s="1"/>
  <c r="Q238" i="89"/>
  <c r="J239" i="89"/>
  <c r="K239" i="89"/>
  <c r="P239" i="89"/>
  <c r="R239" i="89" s="1"/>
  <c r="Q239" i="89"/>
  <c r="J240" i="89"/>
  <c r="K240" i="89"/>
  <c r="P240" i="89"/>
  <c r="R240" i="89" s="1"/>
  <c r="Q240" i="89"/>
  <c r="J241" i="89"/>
  <c r="K241" i="89"/>
  <c r="L241" i="89"/>
  <c r="M241" i="89"/>
  <c r="P241" i="89"/>
  <c r="R241" i="89" s="1"/>
  <c r="Q241" i="89"/>
  <c r="J242" i="89"/>
  <c r="K242" i="89"/>
  <c r="L242" i="89"/>
  <c r="M242" i="89"/>
  <c r="P242" i="89"/>
  <c r="Q242" i="89" s="1"/>
  <c r="R242" i="89"/>
  <c r="J243" i="89"/>
  <c r="K243" i="89"/>
  <c r="P243" i="89"/>
  <c r="Q243" i="89" s="1"/>
  <c r="R243" i="89"/>
  <c r="J244" i="89"/>
  <c r="K244" i="89"/>
  <c r="P244" i="89"/>
  <c r="R244" i="89" s="1"/>
  <c r="Q244" i="89"/>
  <c r="J245" i="89"/>
  <c r="K245" i="89"/>
  <c r="L245" i="89"/>
  <c r="M245" i="89"/>
  <c r="P245" i="89"/>
  <c r="Q245" i="89" s="1"/>
  <c r="R245" i="89"/>
  <c r="J246" i="89"/>
  <c r="K246" i="89"/>
  <c r="L246" i="89"/>
  <c r="M246" i="89"/>
  <c r="P246" i="89"/>
  <c r="Q246" i="89" s="1"/>
  <c r="R246" i="89"/>
  <c r="J247" i="89"/>
  <c r="K247" i="89"/>
  <c r="L247" i="89"/>
  <c r="M247" i="89"/>
  <c r="P247" i="89"/>
  <c r="Q247" i="89" s="1"/>
  <c r="R247" i="89"/>
  <c r="J248" i="89"/>
  <c r="K248" i="89"/>
  <c r="L248" i="89"/>
  <c r="M248" i="89"/>
  <c r="P248" i="89"/>
  <c r="Q248" i="89" s="1"/>
  <c r="R248" i="89"/>
  <c r="J249" i="89"/>
  <c r="K249" i="89"/>
  <c r="L249" i="89"/>
  <c r="M249" i="89"/>
  <c r="P249" i="89"/>
  <c r="Q249" i="89" s="1"/>
  <c r="R249" i="89"/>
  <c r="J250" i="89"/>
  <c r="K250" i="89"/>
  <c r="L250" i="89"/>
  <c r="M250" i="89"/>
  <c r="P250" i="89"/>
  <c r="Q250" i="89" s="1"/>
  <c r="R250" i="89"/>
  <c r="J251" i="89"/>
  <c r="K251" i="89"/>
  <c r="L251" i="89"/>
  <c r="M251" i="89"/>
  <c r="P251" i="89"/>
  <c r="Q251" i="89" s="1"/>
  <c r="R251" i="89"/>
  <c r="J252" i="89"/>
  <c r="K252" i="89"/>
  <c r="L252" i="89"/>
  <c r="M252" i="89"/>
  <c r="P252" i="89"/>
  <c r="Q252" i="89" s="1"/>
  <c r="R252" i="89"/>
  <c r="J253" i="89"/>
  <c r="K253" i="89"/>
  <c r="L253" i="89"/>
  <c r="M253" i="89"/>
  <c r="P253" i="89"/>
  <c r="R253" i="89" s="1"/>
  <c r="Q253" i="89"/>
  <c r="J254" i="89"/>
  <c r="K254" i="89"/>
  <c r="L254" i="89"/>
  <c r="M254" i="89"/>
  <c r="P254" i="89"/>
  <c r="R254" i="89" s="1"/>
  <c r="Q254" i="89"/>
  <c r="J255" i="89"/>
  <c r="P255" i="89"/>
  <c r="Q255" i="89" s="1"/>
  <c r="R255" i="89"/>
  <c r="J256" i="89"/>
  <c r="P256" i="89"/>
  <c r="Q256" i="89" s="1"/>
  <c r="R256" i="89"/>
  <c r="Q257" i="89"/>
  <c r="J258" i="89"/>
  <c r="P258" i="89"/>
  <c r="Q258" i="89"/>
  <c r="R258" i="89"/>
  <c r="J259" i="89"/>
  <c r="P259" i="89"/>
  <c r="R259" i="89" s="1"/>
  <c r="Q259" i="89"/>
  <c r="J260" i="89"/>
  <c r="K260" i="89"/>
  <c r="P260" i="89"/>
  <c r="Q260" i="89" s="1"/>
  <c r="R260" i="89"/>
  <c r="J261" i="89"/>
  <c r="K261" i="89"/>
  <c r="P261" i="89"/>
  <c r="Q261" i="89" s="1"/>
  <c r="R261" i="89"/>
  <c r="J262" i="89"/>
  <c r="K262" i="89"/>
  <c r="L262" i="89"/>
  <c r="P262" i="89"/>
  <c r="R262" i="89" s="1"/>
  <c r="Q262" i="89"/>
  <c r="J263" i="89"/>
  <c r="K263" i="89"/>
  <c r="L263" i="89"/>
  <c r="P263" i="89"/>
  <c r="R263" i="89" s="1"/>
  <c r="Q263" i="89"/>
  <c r="J264" i="89"/>
  <c r="K264" i="89"/>
  <c r="P264" i="89"/>
  <c r="R264" i="89" s="1"/>
  <c r="Q264" i="89"/>
  <c r="J265" i="89"/>
  <c r="K265" i="89"/>
  <c r="L265" i="89"/>
  <c r="P265" i="89"/>
  <c r="R265" i="89" s="1"/>
  <c r="Q265" i="89"/>
  <c r="J266" i="89"/>
  <c r="K266" i="89"/>
  <c r="P266" i="89"/>
  <c r="R266" i="89" s="1"/>
  <c r="Q266" i="89"/>
  <c r="J267" i="89"/>
  <c r="P267" i="89"/>
  <c r="R267" i="89" s="1"/>
  <c r="Q267" i="89"/>
  <c r="J268" i="89"/>
  <c r="P268" i="89"/>
  <c r="R268" i="89" s="1"/>
  <c r="Q268" i="89"/>
  <c r="J269" i="89"/>
  <c r="P269" i="89"/>
  <c r="R269" i="89" s="1"/>
  <c r="Q269" i="89"/>
  <c r="J270" i="89"/>
  <c r="K270" i="89"/>
  <c r="L270" i="89"/>
  <c r="P270" i="89"/>
  <c r="Q270" i="89" s="1"/>
  <c r="R270" i="89"/>
  <c r="J271" i="89"/>
  <c r="K271" i="89"/>
  <c r="P271" i="89"/>
  <c r="R271" i="89" s="1"/>
  <c r="Q271" i="89"/>
  <c r="J272" i="89"/>
  <c r="K272" i="89"/>
  <c r="L272" i="89"/>
  <c r="M272" i="89"/>
  <c r="N272" i="89"/>
  <c r="O272" i="89"/>
  <c r="P272" i="89"/>
  <c r="R272" i="89" s="1"/>
  <c r="Q272" i="89"/>
  <c r="J273" i="89"/>
  <c r="K273" i="89"/>
  <c r="L273" i="89"/>
  <c r="M273" i="89"/>
  <c r="N273" i="89"/>
  <c r="P273" i="89"/>
  <c r="R273" i="89" s="1"/>
  <c r="Q273" i="89"/>
  <c r="J274" i="89"/>
  <c r="K274" i="89"/>
  <c r="L274" i="89"/>
  <c r="M274" i="89"/>
  <c r="N274" i="89"/>
  <c r="P274" i="89"/>
  <c r="R274" i="89" s="1"/>
  <c r="Q274" i="89"/>
  <c r="J275" i="89"/>
  <c r="K275" i="89"/>
  <c r="L275" i="89"/>
  <c r="M275" i="89"/>
  <c r="N275" i="89"/>
  <c r="O275" i="89"/>
  <c r="P275" i="89"/>
  <c r="R275" i="89" s="1"/>
  <c r="Q275" i="89"/>
  <c r="J276" i="89"/>
  <c r="K276" i="89"/>
  <c r="L276" i="89"/>
  <c r="M276" i="89"/>
  <c r="N276" i="89"/>
  <c r="O276" i="89"/>
  <c r="P276" i="89"/>
  <c r="R276" i="89" s="1"/>
  <c r="Q276" i="89"/>
  <c r="J277" i="89"/>
  <c r="K277" i="89"/>
  <c r="L277" i="89"/>
  <c r="M277" i="89"/>
  <c r="P277" i="89"/>
  <c r="Q277" i="89" s="1"/>
  <c r="R277" i="89"/>
  <c r="T8" i="84"/>
  <c r="R9" i="84"/>
  <c r="R12" i="84"/>
  <c r="T12" i="84"/>
  <c r="R13" i="84"/>
  <c r="R15" i="84"/>
  <c r="R17" i="84"/>
  <c r="T20" i="84"/>
  <c r="R21" i="84"/>
  <c r="R23" i="84"/>
  <c r="T24" i="84"/>
  <c r="R27" i="84"/>
  <c r="R29" i="84"/>
  <c r="T30" i="84"/>
  <c r="R31" i="84"/>
  <c r="T32" i="84"/>
  <c r="R34" i="84"/>
  <c r="R35" i="84"/>
  <c r="T36" i="84"/>
  <c r="T37" i="84"/>
  <c r="R41" i="84"/>
  <c r="T42" i="84"/>
  <c r="R44" i="84"/>
  <c r="R45" i="84"/>
  <c r="R46" i="84"/>
  <c r="R48" i="84"/>
  <c r="T49" i="84"/>
  <c r="T52" i="84"/>
  <c r="T54" i="84"/>
  <c r="T64" i="84"/>
  <c r="T65" i="84"/>
  <c r="T66" i="84"/>
  <c r="R68" i="84"/>
  <c r="R70" i="84"/>
  <c r="T71" i="84"/>
  <c r="T72" i="84"/>
  <c r="R77" i="84"/>
  <c r="T78" i="84"/>
  <c r="R78" i="84"/>
  <c r="R80" i="84"/>
  <c r="R81" i="84"/>
  <c r="T85" i="84"/>
  <c r="R89" i="84"/>
  <c r="T95" i="84"/>
  <c r="T96" i="84"/>
  <c r="R96" i="84"/>
  <c r="R99" i="84"/>
  <c r="T104" i="84"/>
  <c r="R105" i="84"/>
  <c r="T109" i="84"/>
  <c r="T111" i="84"/>
  <c r="T112" i="84"/>
  <c r="R114" i="84"/>
  <c r="R117" i="84"/>
  <c r="T120" i="84"/>
  <c r="R123" i="84"/>
  <c r="R132" i="84"/>
  <c r="R135" i="84"/>
  <c r="T138" i="84"/>
  <c r="T140" i="84"/>
  <c r="T141" i="84"/>
  <c r="R142" i="84"/>
  <c r="R145" i="84"/>
  <c r="R147" i="84"/>
  <c r="R150" i="84"/>
  <c r="T151" i="84"/>
  <c r="R152" i="84"/>
  <c r="T156" i="84"/>
  <c r="T165" i="84"/>
  <c r="T167" i="84"/>
  <c r="R170" i="84"/>
  <c r="T171" i="84"/>
  <c r="T172" i="84"/>
  <c r="R175" i="84"/>
  <c r="R179" i="84"/>
  <c r="T181" i="84"/>
  <c r="R186" i="84"/>
  <c r="R187" i="84"/>
  <c r="R189" i="84"/>
  <c r="R190" i="84"/>
  <c r="T192" i="84"/>
  <c r="T195" i="84"/>
  <c r="R199" i="84"/>
  <c r="R201" i="84"/>
  <c r="R204" i="84"/>
  <c r="R205" i="84"/>
  <c r="T206" i="84"/>
  <c r="T207" i="84"/>
  <c r="R210" i="84"/>
  <c r="T211" i="84"/>
  <c r="T212" i="84"/>
  <c r="T213" i="84"/>
  <c r="R217" i="84"/>
  <c r="T221" i="84"/>
  <c r="T223" i="84"/>
  <c r="T225" i="84"/>
  <c r="T226" i="84"/>
  <c r="N6" i="83"/>
  <c r="Q6" i="83"/>
  <c r="Q7" i="83"/>
  <c r="Q8" i="83"/>
  <c r="Q9" i="83"/>
  <c r="P10" i="83"/>
  <c r="Q10" i="83"/>
  <c r="Q11" i="83"/>
  <c r="P11" i="83"/>
  <c r="N12" i="83"/>
  <c r="Q12" i="83"/>
  <c r="M13" i="83"/>
  <c r="Q13" i="83"/>
  <c r="Q14" i="83"/>
  <c r="O15" i="83"/>
  <c r="Q15" i="83"/>
  <c r="N16" i="83"/>
  <c r="Q16" i="83"/>
  <c r="Q17" i="83"/>
  <c r="Q18" i="83"/>
  <c r="O19" i="83"/>
  <c r="Q19" i="83"/>
  <c r="P20" i="83"/>
  <c r="Q20" i="83"/>
  <c r="Q21" i="83"/>
  <c r="Q22" i="83"/>
  <c r="Q23" i="83"/>
  <c r="Q24" i="83"/>
  <c r="N25" i="83"/>
  <c r="Q25" i="83"/>
  <c r="Q26" i="83"/>
  <c r="Q27" i="83"/>
  <c r="Q28" i="83"/>
  <c r="N29" i="83"/>
  <c r="Q29" i="83"/>
  <c r="N30" i="83"/>
  <c r="Q30" i="83"/>
  <c r="Q31" i="83"/>
  <c r="N32" i="83"/>
  <c r="Q32" i="83"/>
  <c r="N33" i="83"/>
  <c r="Q33" i="83"/>
  <c r="P34" i="83"/>
  <c r="Q34" i="83"/>
  <c r="Q35" i="83"/>
  <c r="Q36" i="83"/>
  <c r="Q37" i="83"/>
  <c r="P38" i="83"/>
  <c r="Q38" i="83"/>
  <c r="Q39" i="83"/>
  <c r="P40" i="83"/>
  <c r="Q40" i="83"/>
  <c r="O41" i="83"/>
  <c r="Q41" i="83"/>
  <c r="M42" i="83"/>
  <c r="Q42" i="83"/>
  <c r="M43" i="83"/>
  <c r="Q43" i="83"/>
  <c r="Q44" i="83"/>
  <c r="Q45" i="83"/>
  <c r="N46" i="83"/>
  <c r="Q46" i="83"/>
  <c r="Q47" i="83"/>
  <c r="Q48" i="83"/>
  <c r="N49" i="83"/>
  <c r="Q49" i="83"/>
  <c r="Q50" i="83"/>
  <c r="P51" i="83"/>
  <c r="Q51" i="83"/>
  <c r="Q54" i="83"/>
  <c r="L55" i="83"/>
  <c r="Q55" i="83"/>
  <c r="Q57" i="83"/>
  <c r="L58" i="83"/>
  <c r="Q59" i="83"/>
  <c r="Q60" i="83"/>
  <c r="L61" i="83"/>
  <c r="Q63" i="83"/>
  <c r="N64" i="83"/>
  <c r="Q64" i="83"/>
  <c r="Q65" i="83"/>
  <c r="M67" i="83"/>
  <c r="Q67" i="83"/>
  <c r="P68" i="83"/>
  <c r="Q68" i="83"/>
  <c r="Q70" i="83"/>
  <c r="L72" i="83"/>
  <c r="Q72" i="83"/>
  <c r="L74" i="83"/>
  <c r="L75" i="83"/>
  <c r="Q75" i="83"/>
  <c r="N75" i="83"/>
  <c r="N76" i="83"/>
  <c r="Q76" i="83"/>
  <c r="M77" i="83"/>
  <c r="Q77" i="83"/>
  <c r="O78" i="83"/>
  <c r="Q78" i="83"/>
  <c r="Q79" i="83"/>
  <c r="P80" i="83"/>
  <c r="Q80" i="83"/>
  <c r="N81" i="83"/>
  <c r="Q81" i="83"/>
  <c r="Q82" i="83"/>
  <c r="L84" i="83"/>
  <c r="Q86" i="83"/>
  <c r="M87" i="83"/>
  <c r="Q87" i="83"/>
  <c r="O88" i="83"/>
  <c r="Q88" i="83"/>
  <c r="Q89" i="83"/>
  <c r="N90" i="83"/>
  <c r="Q90" i="83"/>
  <c r="P91" i="83"/>
  <c r="Q91" i="83"/>
  <c r="P92" i="83"/>
  <c r="Q92" i="83"/>
  <c r="Q93" i="83"/>
  <c r="Q94" i="83"/>
  <c r="P95" i="83"/>
  <c r="Q95" i="83"/>
  <c r="M95" i="83"/>
  <c r="P96" i="83"/>
  <c r="Q96" i="83"/>
  <c r="Q97" i="83"/>
  <c r="Q98" i="83"/>
  <c r="M99" i="83"/>
  <c r="Q99" i="83"/>
  <c r="Q100" i="83"/>
  <c r="P101" i="83"/>
  <c r="Q101" i="83"/>
  <c r="M101" i="83"/>
  <c r="N101" i="83"/>
  <c r="Q102" i="83"/>
  <c r="M103" i="83"/>
  <c r="Q103" i="83"/>
  <c r="Q104" i="83"/>
  <c r="O105" i="83"/>
  <c r="Q105" i="83"/>
  <c r="Q106" i="83"/>
  <c r="Q107" i="83"/>
  <c r="Q108" i="83"/>
  <c r="Q109" i="83"/>
  <c r="Q110" i="83"/>
  <c r="Q111" i="83"/>
  <c r="Q112" i="83"/>
  <c r="P113" i="83"/>
  <c r="Q113" i="83"/>
  <c r="M113" i="83"/>
  <c r="O114" i="83"/>
  <c r="Q114" i="83"/>
  <c r="Q115" i="83"/>
  <c r="Q116" i="83"/>
  <c r="O117" i="83"/>
  <c r="Q117" i="83"/>
  <c r="Q118" i="83"/>
  <c r="N118" i="83"/>
  <c r="Q119" i="83"/>
  <c r="Q120" i="83"/>
  <c r="M121" i="83"/>
  <c r="Q121" i="83"/>
  <c r="N121" i="83"/>
  <c r="O122" i="83"/>
  <c r="Q122" i="83"/>
  <c r="Q123" i="83"/>
  <c r="Q124" i="83"/>
  <c r="P124" i="83"/>
  <c r="Q125" i="83"/>
  <c r="Q126" i="83"/>
  <c r="P127" i="83"/>
  <c r="Q127" i="83"/>
  <c r="M127" i="83"/>
  <c r="Q128" i="83"/>
  <c r="Q129" i="83"/>
  <c r="Q130" i="83"/>
  <c r="M131" i="83"/>
  <c r="Q131" i="83"/>
  <c r="Q132" i="83"/>
  <c r="M133" i="83"/>
  <c r="Q133" i="83"/>
  <c r="Q134" i="83"/>
  <c r="Q135" i="83"/>
  <c r="Q136" i="83"/>
  <c r="Q137" i="83"/>
  <c r="M138" i="83"/>
  <c r="Q138" i="83"/>
  <c r="Q139" i="83"/>
  <c r="Q140" i="83"/>
  <c r="M141" i="83"/>
  <c r="Q141" i="83"/>
  <c r="Q142" i="83"/>
  <c r="M143" i="83"/>
  <c r="Q143" i="83"/>
  <c r="O144" i="83"/>
  <c r="Q144" i="83"/>
  <c r="M145" i="83"/>
  <c r="Q145" i="83"/>
  <c r="Q146" i="83"/>
  <c r="N147" i="83"/>
  <c r="Q147" i="83"/>
  <c r="N148" i="83"/>
  <c r="Q148" i="83"/>
  <c r="P149" i="83"/>
  <c r="Q149" i="83"/>
  <c r="P150" i="83"/>
  <c r="Q150" i="83"/>
  <c r="Q151" i="83"/>
  <c r="Q152" i="83"/>
  <c r="P153" i="83"/>
  <c r="Q153" i="83"/>
  <c r="O154" i="83"/>
  <c r="Q154" i="83"/>
  <c r="Q155" i="83"/>
  <c r="Q156" i="83"/>
  <c r="Q157" i="83"/>
  <c r="N158" i="83"/>
  <c r="Q158" i="83"/>
  <c r="Q159" i="83"/>
  <c r="Q160" i="83"/>
  <c r="N161" i="83"/>
  <c r="Q161" i="83"/>
  <c r="N162" i="83"/>
  <c r="Q162" i="83"/>
  <c r="Q163" i="83"/>
  <c r="Q164" i="83"/>
  <c r="P165" i="83"/>
  <c r="Q165" i="83"/>
  <c r="Q166" i="83"/>
  <c r="O167" i="83"/>
  <c r="Q167" i="83"/>
  <c r="Q168" i="83"/>
  <c r="Q169" i="83"/>
  <c r="L170" i="83"/>
  <c r="Q171" i="83"/>
  <c r="L173" i="83"/>
  <c r="N173" i="83"/>
  <c r="Q174" i="83"/>
  <c r="L175" i="83"/>
  <c r="L179" i="83"/>
  <c r="L180" i="83"/>
  <c r="Q180" i="83"/>
  <c r="Q182" i="83"/>
  <c r="L183" i="83"/>
  <c r="Q184" i="83"/>
  <c r="L186" i="83"/>
  <c r="Q187" i="83"/>
  <c r="L188" i="83"/>
  <c r="Q188" i="83"/>
  <c r="Q189" i="83"/>
  <c r="Q190" i="83"/>
  <c r="L191" i="83"/>
  <c r="Q194" i="83"/>
  <c r="Q197" i="83"/>
  <c r="Q198" i="83"/>
  <c r="L199" i="83"/>
  <c r="L200" i="83"/>
  <c r="Q200" i="83"/>
  <c r="L201" i="83"/>
  <c r="Q201" i="83"/>
  <c r="L202" i="83"/>
  <c r="Q203" i="83"/>
  <c r="Q204" i="83"/>
  <c r="Q206" i="83"/>
  <c r="L207" i="83"/>
  <c r="M208" i="83"/>
  <c r="L209" i="83"/>
  <c r="Q209" i="83"/>
  <c r="L210" i="83"/>
  <c r="Q211" i="83"/>
  <c r="Q212" i="83"/>
  <c r="Q213" i="83"/>
  <c r="L214" i="83"/>
  <c r="Q215" i="83"/>
  <c r="P217" i="83"/>
  <c r="Q217" i="83"/>
  <c r="Q218" i="83"/>
  <c r="Q219" i="83"/>
  <c r="L220" i="83"/>
  <c r="Q221" i="83"/>
  <c r="L222" i="83"/>
  <c r="L223" i="83"/>
  <c r="Q224" i="83"/>
  <c r="L225" i="83"/>
  <c r="Q225" i="83"/>
  <c r="Q226" i="83"/>
  <c r="L228" i="83"/>
  <c r="L230" i="83"/>
  <c r="Q233" i="83"/>
  <c r="Q234" i="83"/>
  <c r="Q235" i="83"/>
  <c r="L236" i="83"/>
  <c r="L237" i="83"/>
  <c r="Q237" i="83"/>
  <c r="Q238" i="83"/>
  <c r="Q239" i="83"/>
  <c r="L240" i="83"/>
  <c r="L241" i="83"/>
  <c r="Q241" i="83"/>
  <c r="Q242" i="83"/>
  <c r="Q243" i="83"/>
  <c r="L244" i="83"/>
  <c r="Q244" i="83"/>
  <c r="Q245" i="83"/>
  <c r="Q247" i="83"/>
  <c r="Q248" i="83"/>
  <c r="L249" i="83"/>
  <c r="L250" i="83"/>
  <c r="Q250" i="83"/>
  <c r="Q251" i="83"/>
  <c r="L252" i="83"/>
  <c r="Q252" i="83"/>
  <c r="N253" i="83"/>
  <c r="L254" i="83"/>
  <c r="Q254" i="83"/>
  <c r="Q255" i="83"/>
  <c r="Q256" i="83"/>
  <c r="Q257" i="83"/>
  <c r="L258" i="83"/>
  <c r="Q260" i="83"/>
  <c r="L262" i="83"/>
  <c r="Q263" i="83"/>
  <c r="L264" i="83"/>
  <c r="Q264" i="83"/>
  <c r="L265" i="83"/>
  <c r="L267" i="83"/>
  <c r="P268" i="83"/>
  <c r="Q268" i="83"/>
  <c r="L269" i="83"/>
  <c r="Q269" i="83"/>
  <c r="Q270" i="83"/>
  <c r="P271" i="83"/>
  <c r="Q271" i="83"/>
  <c r="L272" i="83"/>
  <c r="L274" i="83"/>
  <c r="Q275" i="83"/>
  <c r="Q277" i="83"/>
  <c r="L278" i="83"/>
  <c r="O278" i="83"/>
  <c r="L279" i="83"/>
  <c r="Q279" i="83"/>
  <c r="Q280" i="83"/>
  <c r="L282" i="83"/>
  <c r="M283" i="83"/>
  <c r="Q283" i="83"/>
  <c r="L284" i="83"/>
  <c r="L285" i="83"/>
  <c r="Q286" i="83"/>
  <c r="Q287" i="83"/>
  <c r="M287" i="83"/>
  <c r="L288" i="83"/>
  <c r="Q288" i="83"/>
  <c r="L289" i="83"/>
  <c r="Q289" i="83"/>
  <c r="L290" i="83"/>
  <c r="Q291" i="83"/>
  <c r="L292" i="83"/>
  <c r="Q293" i="83"/>
  <c r="Q295" i="83"/>
  <c r="L297" i="83"/>
  <c r="Q300" i="83"/>
  <c r="P301" i="83"/>
  <c r="Q301" i="83"/>
  <c r="L302" i="83"/>
  <c r="O303" i="83"/>
  <c r="Q303" i="83"/>
  <c r="L305" i="83"/>
  <c r="Q306" i="83"/>
  <c r="Q307" i="83"/>
  <c r="L310" i="83"/>
  <c r="N312" i="83"/>
  <c r="Q312" i="83"/>
  <c r="Q314" i="83"/>
  <c r="Q315" i="83"/>
  <c r="Q316" i="83"/>
  <c r="Q317" i="83"/>
  <c r="Q318" i="83"/>
  <c r="Q319" i="83"/>
  <c r="Q320" i="83"/>
  <c r="Q321" i="83"/>
  <c r="M322" i="83"/>
  <c r="Q322" i="83"/>
  <c r="Q323" i="83"/>
  <c r="O324" i="83"/>
  <c r="Q324" i="83"/>
  <c r="Q325" i="83"/>
  <c r="P325" i="83"/>
  <c r="P326" i="83"/>
  <c r="Q326" i="83"/>
  <c r="P327" i="83"/>
  <c r="Q327" i="83"/>
  <c r="Q328" i="83"/>
  <c r="Q329" i="83"/>
  <c r="P330" i="83"/>
  <c r="Q330" i="83"/>
  <c r="Q331" i="83"/>
  <c r="Q332" i="83"/>
  <c r="Q333" i="83"/>
  <c r="M334" i="83"/>
  <c r="Q334" i="83"/>
  <c r="Q335" i="83"/>
  <c r="Q336" i="83"/>
  <c r="M337" i="83"/>
  <c r="Q337" i="83"/>
  <c r="Q338" i="83"/>
  <c r="Q339" i="83"/>
  <c r="Q340" i="83"/>
  <c r="P341" i="83"/>
  <c r="Q341" i="83"/>
  <c r="N342" i="83"/>
  <c r="Q342" i="83"/>
  <c r="P343" i="83"/>
  <c r="Q343" i="83"/>
  <c r="P344" i="83"/>
  <c r="Q344" i="83"/>
  <c r="M345" i="83"/>
  <c r="Q345" i="83"/>
  <c r="Q346" i="83"/>
  <c r="Q347" i="83"/>
  <c r="Q348" i="83"/>
  <c r="Q349" i="83"/>
  <c r="M350" i="83"/>
  <c r="Q350" i="83"/>
  <c r="Q351" i="83"/>
  <c r="Q352" i="83"/>
  <c r="M353" i="83"/>
  <c r="Q353" i="83"/>
  <c r="N354" i="83"/>
  <c r="Q354" i="83"/>
  <c r="Q355" i="83"/>
  <c r="N356" i="83"/>
  <c r="Q356" i="83"/>
  <c r="Q357" i="83"/>
  <c r="O358" i="83"/>
  <c r="Q358" i="83"/>
  <c r="O359" i="83"/>
  <c r="Q359" i="83"/>
  <c r="N360" i="83"/>
  <c r="Q360" i="83"/>
  <c r="Q361" i="83"/>
  <c r="O362" i="83"/>
  <c r="Q362" i="83"/>
  <c r="N363" i="83"/>
  <c r="Q363" i="83"/>
  <c r="Q364" i="83"/>
  <c r="P365" i="83"/>
  <c r="Q365" i="83"/>
  <c r="Q366" i="83"/>
  <c r="Q367" i="83"/>
  <c r="P368" i="83"/>
  <c r="Q368" i="83"/>
  <c r="Q369" i="83"/>
  <c r="Q370" i="83"/>
  <c r="O371" i="83"/>
  <c r="Q371" i="83"/>
  <c r="M372" i="83"/>
  <c r="Q372" i="83"/>
  <c r="Q373" i="83"/>
  <c r="Q374" i="83"/>
  <c r="Q375" i="83"/>
  <c r="Q376" i="83"/>
  <c r="Q377" i="83"/>
  <c r="Q378" i="83"/>
  <c r="L379" i="83"/>
  <c r="Q380" i="83"/>
  <c r="Q382" i="83"/>
  <c r="L383" i="83"/>
  <c r="Q383" i="83"/>
  <c r="Q385" i="83"/>
  <c r="L386" i="83"/>
  <c r="L388" i="83"/>
  <c r="Q389" i="83"/>
  <c r="Q390" i="83"/>
  <c r="M391" i="83"/>
  <c r="Q392" i="83"/>
  <c r="L394" i="83"/>
  <c r="Q398" i="83"/>
  <c r="L399" i="83"/>
  <c r="Q399" i="83"/>
  <c r="Q400" i="83"/>
  <c r="M401" i="83"/>
  <c r="Q401" i="83"/>
  <c r="Q402" i="83"/>
  <c r="Q403" i="83"/>
  <c r="L404" i="83"/>
  <c r="L405" i="83"/>
  <c r="L406" i="83"/>
  <c r="Q406" i="83"/>
  <c r="Q407" i="83"/>
  <c r="L408" i="83"/>
  <c r="P409" i="83"/>
  <c r="Q409" i="83"/>
  <c r="L411" i="83"/>
  <c r="Q413" i="83"/>
  <c r="Q414" i="83"/>
  <c r="L416" i="83"/>
  <c r="Q416" i="83"/>
  <c r="Q417" i="83"/>
  <c r="M418" i="83"/>
  <c r="Q418" i="83"/>
  <c r="M419" i="83"/>
  <c r="Q419" i="83"/>
  <c r="O420" i="83"/>
  <c r="Q420" i="83"/>
  <c r="N421" i="83"/>
  <c r="Q421" i="83"/>
  <c r="M422" i="83"/>
  <c r="Q422" i="83"/>
  <c r="N422" i="83"/>
  <c r="P423" i="83"/>
  <c r="Q423" i="83"/>
  <c r="L424" i="83"/>
  <c r="Q425" i="83"/>
  <c r="Q426" i="83"/>
  <c r="L427" i="83"/>
  <c r="L429" i="83"/>
  <c r="Q430" i="83"/>
  <c r="Q431" i="83"/>
  <c r="Q432" i="83"/>
  <c r="M433" i="83"/>
  <c r="Q433" i="83"/>
  <c r="P434" i="83"/>
  <c r="Q434" i="83"/>
  <c r="P435" i="83"/>
  <c r="Q435" i="83"/>
  <c r="W9" i="2"/>
  <c r="W13" i="2"/>
  <c r="U16" i="2"/>
  <c r="U19" i="2"/>
  <c r="W19" i="2"/>
  <c r="U20" i="2"/>
  <c r="W21" i="2"/>
  <c r="W24" i="2"/>
  <c r="U25" i="2"/>
  <c r="W25" i="2"/>
  <c r="W27" i="2"/>
  <c r="W29" i="2"/>
  <c r="U31" i="2"/>
  <c r="W36" i="2"/>
  <c r="W37" i="2"/>
  <c r="W40" i="2"/>
  <c r="U41" i="2"/>
  <c r="W42" i="2"/>
  <c r="W45" i="2"/>
  <c r="U48" i="2"/>
  <c r="W51" i="2"/>
  <c r="W53" i="2"/>
  <c r="W54" i="2"/>
  <c r="W56" i="2"/>
  <c r="W57" i="2"/>
  <c r="U58" i="2"/>
  <c r="U60" i="2"/>
  <c r="I60" i="2"/>
  <c r="H61" i="2"/>
  <c r="H62" i="2"/>
  <c r="W63" i="2"/>
  <c r="U64" i="2"/>
  <c r="H65" i="2"/>
  <c r="W68" i="2"/>
  <c r="I68" i="2"/>
  <c r="I69" i="2"/>
  <c r="U71" i="2"/>
  <c r="H71" i="2"/>
  <c r="U72" i="2"/>
  <c r="I72" i="2"/>
  <c r="I73" i="2"/>
  <c r="U75" i="2"/>
  <c r="I76" i="2"/>
  <c r="W77" i="2"/>
  <c r="H77" i="2"/>
  <c r="W78" i="2"/>
  <c r="H80" i="2"/>
  <c r="I81" i="2"/>
  <c r="I83" i="2"/>
  <c r="U84" i="2"/>
  <c r="H84" i="2"/>
  <c r="I85" i="2"/>
  <c r="U87" i="2"/>
  <c r="I87" i="2"/>
  <c r="H88" i="2"/>
  <c r="H89" i="2"/>
  <c r="I89" i="2"/>
  <c r="U90" i="2"/>
  <c r="U91" i="2"/>
  <c r="I91" i="2"/>
  <c r="W92" i="2"/>
  <c r="I94" i="2"/>
  <c r="U96" i="2"/>
  <c r="I96" i="2"/>
  <c r="W98" i="2"/>
  <c r="H98" i="2"/>
  <c r="U99" i="2"/>
  <c r="H100" i="2"/>
  <c r="W102" i="2"/>
  <c r="I102" i="2"/>
  <c r="U103" i="2"/>
  <c r="I106" i="2"/>
  <c r="U108" i="2"/>
  <c r="U109" i="2"/>
  <c r="I110" i="2"/>
  <c r="H110" i="2"/>
  <c r="W111" i="2"/>
  <c r="U113" i="2"/>
  <c r="W114" i="2"/>
  <c r="U115" i="2"/>
  <c r="H116" i="2"/>
  <c r="I116" i="2"/>
  <c r="H117" i="2"/>
  <c r="H119" i="2"/>
  <c r="U120" i="2"/>
  <c r="W122" i="2"/>
  <c r="U123" i="2"/>
  <c r="H123" i="2"/>
  <c r="W124" i="2"/>
  <c r="I124" i="2"/>
  <c r="U125" i="2"/>
  <c r="W126" i="2"/>
  <c r="H126" i="2"/>
  <c r="U129" i="2"/>
  <c r="W130" i="2"/>
  <c r="H130" i="2"/>
  <c r="U131" i="2"/>
  <c r="H132" i="2"/>
  <c r="U133" i="2"/>
  <c r="H134" i="2"/>
  <c r="H136" i="2"/>
  <c r="W137" i="2"/>
  <c r="H138" i="2"/>
  <c r="I139" i="2"/>
  <c r="H140" i="2"/>
  <c r="U141" i="2"/>
  <c r="I141" i="2"/>
  <c r="H142" i="2"/>
  <c r="I143" i="2"/>
  <c r="W144" i="2"/>
  <c r="H147" i="2"/>
  <c r="W148" i="2"/>
  <c r="I148" i="2"/>
  <c r="H149" i="2"/>
  <c r="H151" i="2"/>
  <c r="U152" i="2"/>
  <c r="I152" i="2"/>
  <c r="H154" i="2"/>
  <c r="H155" i="2"/>
  <c r="W156" i="2"/>
  <c r="H157" i="2"/>
  <c r="W158" i="2"/>
  <c r="W161" i="2"/>
  <c r="H162" i="2"/>
  <c r="I164" i="2"/>
  <c r="H165" i="2"/>
  <c r="W166" i="2"/>
  <c r="H166" i="2"/>
  <c r="H167" i="2"/>
  <c r="U168" i="2"/>
  <c r="W169" i="2"/>
  <c r="I169" i="2"/>
  <c r="H170" i="2"/>
  <c r="U171" i="2"/>
  <c r="U172" i="2"/>
  <c r="I172" i="2"/>
  <c r="I173" i="2"/>
  <c r="W174" i="2"/>
  <c r="H174" i="2"/>
  <c r="W176" i="2"/>
  <c r="H176" i="2"/>
  <c r="W177" i="2"/>
  <c r="U178" i="2"/>
  <c r="H178" i="2"/>
  <c r="W179" i="2"/>
  <c r="H179" i="2"/>
  <c r="W182" i="2"/>
  <c r="H182" i="2"/>
  <c r="W186" i="2"/>
  <c r="W187" i="2"/>
  <c r="H187" i="2"/>
  <c r="U188" i="2"/>
  <c r="H189" i="2"/>
  <c r="I189" i="2"/>
  <c r="I190" i="2"/>
  <c r="U191" i="2"/>
  <c r="H193" i="2"/>
  <c r="H194" i="2"/>
  <c r="W195" i="2"/>
  <c r="W197" i="2"/>
  <c r="H198" i="2"/>
  <c r="U199" i="2"/>
  <c r="I199" i="2"/>
  <c r="W201" i="2"/>
  <c r="U202" i="2"/>
  <c r="I203" i="2"/>
  <c r="U204" i="2"/>
  <c r="W205" i="2"/>
  <c r="U206" i="2"/>
  <c r="H207" i="2"/>
  <c r="I207" i="2"/>
  <c r="U208" i="2"/>
  <c r="I210" i="2"/>
  <c r="U211" i="2"/>
  <c r="I211" i="2"/>
  <c r="W213" i="2"/>
  <c r="I215" i="2"/>
  <c r="U216" i="2"/>
  <c r="H216" i="2"/>
  <c r="H217" i="2"/>
  <c r="U219" i="2"/>
  <c r="U220" i="2"/>
  <c r="I220" i="2"/>
  <c r="I222" i="2"/>
  <c r="I224" i="2"/>
  <c r="H225" i="2"/>
  <c r="U226" i="2"/>
  <c r="H226" i="2"/>
  <c r="W227" i="2"/>
  <c r="H227" i="2"/>
  <c r="U228" i="2"/>
  <c r="H228" i="2"/>
  <c r="H230" i="2"/>
  <c r="U231" i="2"/>
  <c r="H232" i="2"/>
  <c r="W234" i="2"/>
  <c r="H234" i="2"/>
  <c r="I235" i="2"/>
  <c r="U236" i="2"/>
  <c r="H236" i="2"/>
  <c r="W237" i="2"/>
  <c r="H237" i="2"/>
  <c r="W239" i="2"/>
  <c r="H239" i="2"/>
  <c r="W240" i="2"/>
  <c r="W242" i="2"/>
  <c r="U242" i="2"/>
  <c r="U243" i="2"/>
  <c r="I248" i="2"/>
  <c r="H248" i="2"/>
  <c r="W250" i="2"/>
  <c r="W251" i="2"/>
  <c r="H251" i="2"/>
  <c r="U252" i="2"/>
  <c r="I252" i="2"/>
  <c r="H253" i="2"/>
  <c r="W255" i="2"/>
  <c r="I256" i="2"/>
  <c r="H258" i="2"/>
  <c r="U259" i="2"/>
  <c r="U260" i="2"/>
  <c r="W261" i="2"/>
  <c r="U262" i="2"/>
  <c r="H262" i="2"/>
  <c r="I264" i="2"/>
  <c r="W265" i="2"/>
  <c r="H265" i="2"/>
  <c r="H266" i="2"/>
  <c r="W267" i="2"/>
  <c r="H268" i="2"/>
  <c r="W270" i="2"/>
  <c r="H271" i="2"/>
  <c r="I272" i="2"/>
  <c r="U274" i="2"/>
  <c r="U275" i="2"/>
  <c r="I275" i="2"/>
  <c r="H275" i="2"/>
  <c r="I276" i="2"/>
  <c r="W277" i="2"/>
  <c r="I277" i="2"/>
  <c r="H278" i="2"/>
  <c r="I280" i="2"/>
  <c r="I281" i="2"/>
  <c r="H283" i="2"/>
  <c r="W285" i="2"/>
  <c r="W286" i="2"/>
  <c r="U287" i="2"/>
  <c r="W289" i="2"/>
  <c r="H289" i="2"/>
  <c r="W292" i="2"/>
  <c r="U293" i="2"/>
  <c r="H293" i="2"/>
  <c r="U294" i="2"/>
  <c r="H294" i="2"/>
  <c r="H295" i="2"/>
  <c r="H297" i="2"/>
  <c r="W298" i="2"/>
  <c r="U299" i="2"/>
  <c r="H299" i="2"/>
  <c r="I300" i="2"/>
  <c r="H301" i="2"/>
  <c r="W302" i="2"/>
  <c r="H302" i="2"/>
  <c r="U303" i="2"/>
  <c r="H303" i="2"/>
  <c r="U305" i="2"/>
  <c r="H306" i="2"/>
  <c r="I307" i="2"/>
  <c r="W308" i="2"/>
  <c r="H308" i="2"/>
  <c r="I308" i="2"/>
  <c r="U309" i="2"/>
  <c r="I309" i="2"/>
  <c r="U310" i="2"/>
  <c r="U311" i="2"/>
  <c r="I311" i="2"/>
  <c r="W312" i="2"/>
  <c r="U313" i="2"/>
  <c r="U314" i="2"/>
  <c r="H314" i="2"/>
  <c r="I315" i="2"/>
  <c r="W316" i="2"/>
  <c r="I316" i="2"/>
  <c r="W317" i="2"/>
  <c r="H318" i="2"/>
  <c r="H319" i="2"/>
  <c r="W320" i="2"/>
  <c r="U321" i="2"/>
  <c r="H321" i="2"/>
  <c r="I322" i="2"/>
  <c r="U323" i="2"/>
  <c r="W324" i="2"/>
  <c r="H324" i="2"/>
  <c r="U325" i="2"/>
  <c r="H325" i="2"/>
  <c r="U326" i="2"/>
  <c r="H327" i="2"/>
  <c r="I327" i="2"/>
  <c r="W328" i="2"/>
  <c r="I328" i="2"/>
  <c r="W329" i="2"/>
  <c r="H329" i="2"/>
  <c r="W330" i="2"/>
  <c r="U331" i="2"/>
  <c r="I332" i="2"/>
  <c r="H332" i="2"/>
  <c r="W333" i="2"/>
  <c r="H333" i="2"/>
  <c r="W334" i="2"/>
  <c r="U335" i="2"/>
  <c r="H335" i="2"/>
  <c r="U339" i="2"/>
  <c r="I339" i="2"/>
  <c r="W340" i="2"/>
  <c r="U342" i="2"/>
  <c r="H342" i="2"/>
  <c r="H344" i="2"/>
  <c r="U345" i="2"/>
  <c r="I345" i="2"/>
  <c r="H347" i="2"/>
  <c r="J7" i="3"/>
  <c r="J8" i="3"/>
  <c r="R10" i="3"/>
  <c r="I10" i="3"/>
  <c r="J16" i="3"/>
  <c r="R18" i="3"/>
  <c r="I18" i="3"/>
  <c r="I19" i="3"/>
  <c r="J22" i="3"/>
  <c r="J25" i="3"/>
  <c r="I26" i="3"/>
  <c r="J28" i="3"/>
  <c r="J34" i="3"/>
  <c r="I35" i="3"/>
  <c r="J36" i="3"/>
  <c r="I42" i="3"/>
  <c r="I43" i="3"/>
  <c r="I46" i="3"/>
  <c r="J57" i="3"/>
  <c r="R58" i="3"/>
  <c r="J58" i="3"/>
  <c r="J59" i="3"/>
  <c r="I60" i="3"/>
  <c r="J61" i="3"/>
  <c r="I64" i="3"/>
  <c r="I67" i="3"/>
  <c r="J68" i="3"/>
  <c r="I71" i="3"/>
  <c r="J72" i="3"/>
  <c r="J75" i="3"/>
  <c r="I80" i="3"/>
  <c r="O82" i="3"/>
  <c r="O90" i="3"/>
  <c r="J92" i="3"/>
  <c r="J96" i="3"/>
  <c r="O98" i="3"/>
  <c r="I103" i="3"/>
  <c r="I108" i="3"/>
  <c r="Q114" i="3"/>
  <c r="J115" i="3"/>
  <c r="J120" i="3"/>
  <c r="R122" i="3"/>
  <c r="I124" i="3"/>
  <c r="J127" i="3"/>
  <c r="Q130" i="3"/>
  <c r="I132" i="3"/>
  <c r="J133" i="3"/>
  <c r="Q138" i="3"/>
  <c r="I139" i="3"/>
  <c r="I147" i="3"/>
  <c r="J148" i="3"/>
  <c r="J152" i="3"/>
  <c r="J153" i="3"/>
  <c r="R154" i="3"/>
  <c r="J157" i="3"/>
  <c r="I164" i="3"/>
  <c r="J165" i="3"/>
  <c r="I168" i="3"/>
  <c r="R170" i="3"/>
  <c r="I172" i="3"/>
  <c r="J173" i="3"/>
  <c r="J174" i="3"/>
  <c r="I176" i="3"/>
  <c r="O178" i="3"/>
  <c r="J178" i="3"/>
  <c r="I179" i="3"/>
  <c r="I180" i="3"/>
  <c r="J181" i="3"/>
  <c r="I187" i="3"/>
  <c r="J192" i="3"/>
  <c r="S194" i="3"/>
  <c r="J197" i="3"/>
  <c r="I200" i="3"/>
  <c r="O202" i="3"/>
  <c r="J203" i="3"/>
  <c r="J205" i="3"/>
  <c r="J208" i="3"/>
  <c r="O210" i="3"/>
  <c r="J210" i="3"/>
  <c r="I212" i="3"/>
  <c r="J213" i="3"/>
  <c r="J215" i="3"/>
  <c r="J216" i="3"/>
  <c r="O218" i="3"/>
  <c r="J219" i="3"/>
  <c r="I220" i="3"/>
  <c r="I222" i="3"/>
  <c r="I224" i="3"/>
  <c r="P226" i="3"/>
  <c r="J226" i="3"/>
  <c r="I229" i="3"/>
  <c r="J232" i="3"/>
  <c r="Q234" i="3"/>
  <c r="I234" i="3"/>
  <c r="I235" i="3"/>
  <c r="I240" i="3"/>
  <c r="R242" i="3"/>
  <c r="I243" i="3"/>
  <c r="J244" i="3"/>
  <c r="J247" i="3"/>
  <c r="I250" i="3"/>
  <c r="I251" i="3"/>
  <c r="I252" i="3"/>
  <c r="I256" i="3"/>
  <c r="R258" i="3"/>
  <c r="I259" i="3"/>
  <c r="J260" i="3"/>
  <c r="J263" i="3"/>
  <c r="R266" i="3"/>
  <c r="I266" i="3"/>
  <c r="I267" i="3"/>
  <c r="I268" i="3"/>
  <c r="I272" i="3"/>
  <c r="R274" i="3"/>
  <c r="I275" i="3"/>
  <c r="J279" i="3"/>
  <c r="J280" i="3"/>
  <c r="I282" i="3"/>
  <c r="J284" i="3"/>
  <c r="I288" i="3"/>
  <c r="R290" i="3"/>
  <c r="I291" i="3"/>
  <c r="J292" i="3"/>
  <c r="J295" i="3"/>
  <c r="J296" i="3"/>
  <c r="R298" i="3"/>
  <c r="I298" i="3"/>
  <c r="I299" i="3"/>
  <c r="Q306" i="3"/>
  <c r="I307" i="3"/>
  <c r="I309" i="3"/>
  <c r="I311" i="3"/>
  <c r="I313" i="3"/>
  <c r="O314" i="3"/>
  <c r="I316" i="3"/>
  <c r="I317" i="3"/>
  <c r="I319" i="3"/>
  <c r="Q322" i="3"/>
  <c r="I325" i="3"/>
  <c r="I327" i="3"/>
  <c r="I329" i="3"/>
  <c r="I332" i="3"/>
  <c r="I335" i="3"/>
  <c r="I336" i="3"/>
  <c r="P338" i="3"/>
  <c r="I341" i="3"/>
  <c r="I343" i="3"/>
  <c r="I344" i="3"/>
  <c r="O346" i="3"/>
  <c r="I348" i="3"/>
  <c r="I349" i="3"/>
  <c r="I351" i="3"/>
  <c r="I352" i="3"/>
  <c r="Q354" i="3"/>
  <c r="I357" i="3"/>
  <c r="I358" i="3"/>
  <c r="I359" i="3"/>
  <c r="I360" i="3"/>
  <c r="R362" i="3"/>
  <c r="I364" i="3"/>
  <c r="I367" i="3"/>
  <c r="P370" i="3"/>
  <c r="I372" i="3"/>
  <c r="I373" i="3"/>
  <c r="I374" i="3"/>
  <c r="I375" i="3"/>
  <c r="I376" i="3"/>
  <c r="I380" i="3"/>
  <c r="I381" i="3"/>
  <c r="I383" i="3"/>
  <c r="J384" i="3"/>
  <c r="I389" i="3"/>
  <c r="I390" i="3"/>
  <c r="I391" i="3"/>
  <c r="I392" i="3"/>
  <c r="O394" i="3"/>
  <c r="I396" i="3"/>
  <c r="I399" i="3"/>
  <c r="I401" i="3"/>
  <c r="I405" i="3"/>
  <c r="I406" i="3"/>
  <c r="I407" i="3"/>
  <c r="I409" i="3"/>
  <c r="I412" i="3"/>
  <c r="I415" i="3"/>
  <c r="I416" i="3"/>
  <c r="J420" i="3"/>
  <c r="I421" i="3"/>
  <c r="N114" i="83" l="1"/>
  <c r="H224" i="2"/>
  <c r="H148" i="2"/>
  <c r="H81" i="2"/>
  <c r="W20" i="2"/>
  <c r="M291" i="83"/>
  <c r="M253" i="83"/>
  <c r="N232" i="83"/>
  <c r="O42" i="83"/>
  <c r="I344" i="2"/>
  <c r="U45" i="2"/>
  <c r="O387" i="83"/>
  <c r="M363" i="83"/>
  <c r="P179" i="83"/>
  <c r="M76" i="83"/>
  <c r="T201" i="84"/>
  <c r="M251" i="83"/>
  <c r="J336" i="3"/>
  <c r="I314" i="2"/>
  <c r="W231" i="2"/>
  <c r="R181" i="84"/>
  <c r="W178" i="2"/>
  <c r="H143" i="2"/>
  <c r="P372" i="83"/>
  <c r="M304" i="83"/>
  <c r="M207" i="83"/>
  <c r="P114" i="83"/>
  <c r="N77" i="83"/>
  <c r="R109" i="84"/>
  <c r="M198" i="83"/>
  <c r="R417" i="3"/>
  <c r="R409" i="3"/>
  <c r="R401" i="3"/>
  <c r="R385" i="3"/>
  <c r="R377" i="3"/>
  <c r="H315" i="2"/>
  <c r="U285" i="2"/>
  <c r="H281" i="2"/>
  <c r="U174" i="2"/>
  <c r="H164" i="2"/>
  <c r="W60" i="2"/>
  <c r="N409" i="83"/>
  <c r="P389" i="83"/>
  <c r="P223" i="83"/>
  <c r="O148" i="83"/>
  <c r="R140" i="84"/>
  <c r="T9" i="84"/>
  <c r="P182" i="83"/>
  <c r="H345" i="2"/>
  <c r="U329" i="2"/>
  <c r="H264" i="2"/>
  <c r="I216" i="2"/>
  <c r="U36" i="2"/>
  <c r="U29" i="2"/>
  <c r="O273" i="83"/>
  <c r="R172" i="84"/>
  <c r="R72" i="84"/>
  <c r="I173" i="3"/>
  <c r="H256" i="2"/>
  <c r="H222" i="2"/>
  <c r="I193" i="2"/>
  <c r="W48" i="2"/>
  <c r="R167" i="84"/>
  <c r="T46" i="84"/>
  <c r="W309" i="2"/>
  <c r="N423" i="83"/>
  <c r="R151" i="84"/>
  <c r="R20" i="84"/>
  <c r="N294" i="83"/>
  <c r="H106" i="2"/>
  <c r="M362" i="83"/>
  <c r="L294" i="83"/>
  <c r="P148" i="83"/>
  <c r="O49" i="83"/>
  <c r="M46" i="83"/>
  <c r="P358" i="83"/>
  <c r="N330" i="83"/>
  <c r="P78" i="83"/>
  <c r="S329" i="3"/>
  <c r="S321" i="3"/>
  <c r="S305" i="3"/>
  <c r="J80" i="3"/>
  <c r="I134" i="2"/>
  <c r="U114" i="2"/>
  <c r="P422" i="83"/>
  <c r="P362" i="83"/>
  <c r="M344" i="83"/>
  <c r="M301" i="83"/>
  <c r="N167" i="83"/>
  <c r="N78" i="83"/>
  <c r="T199" i="84"/>
  <c r="R112" i="84"/>
  <c r="O301" i="83"/>
  <c r="M254" i="83"/>
  <c r="N122" i="83"/>
  <c r="J392" i="3"/>
  <c r="I16" i="3"/>
  <c r="I217" i="2"/>
  <c r="I176" i="2"/>
  <c r="H152" i="2"/>
  <c r="O422" i="83"/>
  <c r="P380" i="83"/>
  <c r="O363" i="83"/>
  <c r="N362" i="83"/>
  <c r="N229" i="83"/>
  <c r="M226" i="83"/>
  <c r="I126" i="2"/>
  <c r="M279" i="83"/>
  <c r="N192" i="83"/>
  <c r="N57" i="83"/>
  <c r="P390" i="3"/>
  <c r="O381" i="3"/>
  <c r="P374" i="3"/>
  <c r="P366" i="3"/>
  <c r="Q333" i="3"/>
  <c r="Q302" i="3"/>
  <c r="O142" i="3"/>
  <c r="R134" i="3"/>
  <c r="O110" i="3"/>
  <c r="R38" i="3"/>
  <c r="J268" i="3"/>
  <c r="I324" i="2"/>
  <c r="I319" i="2"/>
  <c r="W313" i="2"/>
  <c r="H277" i="2"/>
  <c r="I265" i="2"/>
  <c r="I253" i="2"/>
  <c r="I227" i="2"/>
  <c r="W64" i="2"/>
  <c r="P419" i="83"/>
  <c r="N303" i="83"/>
  <c r="M114" i="83"/>
  <c r="M75" i="83"/>
  <c r="N72" i="83"/>
  <c r="N42" i="83"/>
  <c r="U37" i="2"/>
  <c r="T145" i="84"/>
  <c r="R71" i="84"/>
  <c r="R8" i="84"/>
  <c r="P63" i="3"/>
  <c r="R7" i="3"/>
  <c r="I192" i="3"/>
  <c r="W321" i="2"/>
  <c r="H309" i="2"/>
  <c r="W293" i="2"/>
  <c r="H276" i="2"/>
  <c r="W236" i="2"/>
  <c r="H173" i="2"/>
  <c r="I154" i="2"/>
  <c r="I130" i="2"/>
  <c r="U122" i="2"/>
  <c r="P427" i="83"/>
  <c r="M376" i="83"/>
  <c r="O365" i="83"/>
  <c r="O311" i="83"/>
  <c r="O268" i="83"/>
  <c r="P254" i="83"/>
  <c r="O217" i="83"/>
  <c r="R207" i="84"/>
  <c r="T70" i="84"/>
  <c r="L221" i="83"/>
  <c r="N221" i="83"/>
  <c r="J400" i="3"/>
  <c r="I400" i="3"/>
  <c r="J368" i="3"/>
  <c r="I368" i="3"/>
  <c r="J320" i="3"/>
  <c r="I320" i="3"/>
  <c r="J304" i="3"/>
  <c r="I304" i="3"/>
  <c r="I264" i="3"/>
  <c r="J264" i="3"/>
  <c r="J248" i="3"/>
  <c r="I248" i="3"/>
  <c r="J24" i="3"/>
  <c r="I24" i="3"/>
  <c r="J266" i="3"/>
  <c r="I263" i="2"/>
  <c r="H263" i="2"/>
  <c r="H168" i="2"/>
  <c r="I168" i="2"/>
  <c r="U151" i="2"/>
  <c r="W151" i="2"/>
  <c r="M390" i="83"/>
  <c r="N390" i="83"/>
  <c r="N375" i="83"/>
  <c r="O375" i="83"/>
  <c r="P375" i="83"/>
  <c r="L172" i="83"/>
  <c r="M172" i="83"/>
  <c r="M50" i="83"/>
  <c r="N50" i="83"/>
  <c r="M39" i="83"/>
  <c r="P39" i="83"/>
  <c r="S406" i="3"/>
  <c r="S374" i="3"/>
  <c r="I337" i="3"/>
  <c r="J337" i="3"/>
  <c r="S326" i="3"/>
  <c r="S310" i="3"/>
  <c r="S294" i="3"/>
  <c r="S286" i="3"/>
  <c r="S278" i="3"/>
  <c r="Q271" i="3"/>
  <c r="S270" i="3"/>
  <c r="S262" i="3"/>
  <c r="S254" i="3"/>
  <c r="S246" i="3"/>
  <c r="Q238" i="3"/>
  <c r="S230" i="3"/>
  <c r="O223" i="3"/>
  <c r="I217" i="3"/>
  <c r="J217" i="3"/>
  <c r="P214" i="3"/>
  <c r="Q207" i="3"/>
  <c r="O206" i="3"/>
  <c r="S198" i="3"/>
  <c r="S182" i="3"/>
  <c r="S166" i="3"/>
  <c r="S158" i="3"/>
  <c r="P151" i="3"/>
  <c r="S150" i="3"/>
  <c r="J145" i="3"/>
  <c r="I145" i="3"/>
  <c r="S126" i="3"/>
  <c r="R119" i="3"/>
  <c r="S102" i="3"/>
  <c r="S86" i="3"/>
  <c r="P55" i="3"/>
  <c r="Q54" i="3"/>
  <c r="P47" i="3"/>
  <c r="J41" i="3"/>
  <c r="I41" i="3"/>
  <c r="O39" i="3"/>
  <c r="J352" i="3"/>
  <c r="I34" i="3"/>
  <c r="H328" i="2"/>
  <c r="W263" i="2"/>
  <c r="U263" i="2"/>
  <c r="I132" i="2"/>
  <c r="W125" i="2"/>
  <c r="I88" i="2"/>
  <c r="W83" i="2"/>
  <c r="U83" i="2"/>
  <c r="W33" i="2"/>
  <c r="U33" i="2"/>
  <c r="N350" i="83"/>
  <c r="O350" i="83"/>
  <c r="P350" i="83"/>
  <c r="L233" i="83"/>
  <c r="M233" i="83"/>
  <c r="P208" i="83"/>
  <c r="O87" i="83"/>
  <c r="O86" i="83"/>
  <c r="M86" i="83"/>
  <c r="M51" i="83"/>
  <c r="N51" i="83"/>
  <c r="P42" i="83"/>
  <c r="R219" i="84"/>
  <c r="T219" i="84"/>
  <c r="R218" i="84"/>
  <c r="T218" i="84"/>
  <c r="R215" i="84"/>
  <c r="T215" i="84"/>
  <c r="R164" i="84"/>
  <c r="T164" i="84"/>
  <c r="R160" i="84"/>
  <c r="T160" i="84"/>
  <c r="T153" i="84"/>
  <c r="R153" i="84"/>
  <c r="R94" i="84"/>
  <c r="T94" i="84"/>
  <c r="T93" i="84"/>
  <c r="R93" i="84"/>
  <c r="R83" i="84"/>
  <c r="T83" i="84"/>
  <c r="R26" i="84"/>
  <c r="T26" i="84"/>
  <c r="Q397" i="83"/>
  <c r="O397" i="83"/>
  <c r="U162" i="2"/>
  <c r="W162" i="2"/>
  <c r="U44" i="2"/>
  <c r="W44" i="2"/>
  <c r="O334" i="83"/>
  <c r="L295" i="83"/>
  <c r="N295" i="83"/>
  <c r="Q61" i="83"/>
  <c r="O61" i="83"/>
  <c r="O48" i="83"/>
  <c r="N48" i="83"/>
  <c r="T99" i="84"/>
  <c r="J168" i="3"/>
  <c r="W296" i="2"/>
  <c r="U296" i="2"/>
  <c r="I113" i="2"/>
  <c r="H113" i="2"/>
  <c r="H99" i="2"/>
  <c r="I99" i="2"/>
  <c r="U49" i="2"/>
  <c r="W49" i="2"/>
  <c r="P390" i="83"/>
  <c r="N334" i="83"/>
  <c r="O307" i="83"/>
  <c r="M307" i="83"/>
  <c r="M275" i="83"/>
  <c r="M249" i="83"/>
  <c r="P97" i="83"/>
  <c r="M97" i="83"/>
  <c r="O68" i="83"/>
  <c r="P50" i="83"/>
  <c r="O29" i="83"/>
  <c r="M29" i="83"/>
  <c r="O343" i="83"/>
  <c r="M343" i="83"/>
  <c r="O98" i="83"/>
  <c r="M98" i="83"/>
  <c r="I50" i="3"/>
  <c r="J50" i="3"/>
  <c r="W259" i="2"/>
  <c r="O20" i="83"/>
  <c r="N20" i="83"/>
  <c r="R384" i="3"/>
  <c r="L234" i="83"/>
  <c r="M234" i="83"/>
  <c r="N234" i="83"/>
  <c r="P116" i="83"/>
  <c r="M116" i="83"/>
  <c r="R30" i="84"/>
  <c r="S410" i="3"/>
  <c r="J409" i="3"/>
  <c r="I296" i="3"/>
  <c r="H300" i="2"/>
  <c r="I294" i="2"/>
  <c r="W235" i="2"/>
  <c r="U235" i="2"/>
  <c r="H209" i="2"/>
  <c r="I209" i="2"/>
  <c r="U23" i="2"/>
  <c r="W23" i="2"/>
  <c r="W17" i="2"/>
  <c r="U17" i="2"/>
  <c r="O390" i="83"/>
  <c r="M375" i="83"/>
  <c r="M374" i="83"/>
  <c r="N374" i="83"/>
  <c r="P374" i="83"/>
  <c r="Q261" i="83"/>
  <c r="M261" i="83"/>
  <c r="N261" i="83"/>
  <c r="P197" i="83"/>
  <c r="P183" i="83"/>
  <c r="N179" i="83"/>
  <c r="M154" i="83"/>
  <c r="P81" i="83"/>
  <c r="M81" i="83"/>
  <c r="O50" i="83"/>
  <c r="M41" i="83"/>
  <c r="N41" i="83"/>
  <c r="T194" i="84"/>
  <c r="R194" i="84"/>
  <c r="T191" i="84"/>
  <c r="R191" i="84"/>
  <c r="T136" i="84"/>
  <c r="R136" i="84"/>
  <c r="T126" i="84"/>
  <c r="R126" i="84"/>
  <c r="T115" i="84"/>
  <c r="R115" i="84"/>
  <c r="R69" i="84"/>
  <c r="T69" i="84"/>
  <c r="R53" i="84"/>
  <c r="T53" i="84"/>
  <c r="U28" i="2"/>
  <c r="W28" i="2"/>
  <c r="W12" i="2"/>
  <c r="U12" i="2"/>
  <c r="P334" i="83"/>
  <c r="N34" i="83"/>
  <c r="M34" i="83"/>
  <c r="S416" i="3"/>
  <c r="S400" i="3"/>
  <c r="S394" i="3"/>
  <c r="I280" i="3"/>
  <c r="I96" i="3"/>
  <c r="H311" i="2"/>
  <c r="H72" i="2"/>
  <c r="Q429" i="83"/>
  <c r="M429" i="83"/>
  <c r="M346" i="83"/>
  <c r="N346" i="83"/>
  <c r="M82" i="83"/>
  <c r="N82" i="83"/>
  <c r="L53" i="83"/>
  <c r="M53" i="83"/>
  <c r="S420" i="3"/>
  <c r="P413" i="3"/>
  <c r="P405" i="3"/>
  <c r="P397" i="3"/>
  <c r="P389" i="3"/>
  <c r="P373" i="3"/>
  <c r="P357" i="3"/>
  <c r="Q325" i="3"/>
  <c r="S292" i="3"/>
  <c r="Q285" i="3"/>
  <c r="S276" i="3"/>
  <c r="R261" i="3"/>
  <c r="S260" i="3"/>
  <c r="P253" i="3"/>
  <c r="R245" i="3"/>
  <c r="S244" i="3"/>
  <c r="O229" i="3"/>
  <c r="S156" i="3"/>
  <c r="R149" i="3"/>
  <c r="S93" i="3"/>
  <c r="O77" i="3"/>
  <c r="P69" i="3"/>
  <c r="S61" i="3"/>
  <c r="S13" i="3"/>
  <c r="U250" i="2"/>
  <c r="U186" i="2"/>
  <c r="W103" i="2"/>
  <c r="U42" i="2"/>
  <c r="W31" i="2"/>
  <c r="W16" i="2"/>
  <c r="M403" i="83"/>
  <c r="M240" i="83"/>
  <c r="P167" i="83"/>
  <c r="O75" i="83"/>
  <c r="T147" i="84"/>
  <c r="R111" i="84"/>
  <c r="T77" i="84"/>
  <c r="R42" i="84"/>
  <c r="R369" i="3"/>
  <c r="S368" i="3"/>
  <c r="R361" i="3"/>
  <c r="S353" i="3"/>
  <c r="S352" i="3"/>
  <c r="S313" i="3"/>
  <c r="O305" i="3"/>
  <c r="O289" i="3"/>
  <c r="Q281" i="3"/>
  <c r="Q257" i="3"/>
  <c r="R249" i="3"/>
  <c r="P233" i="3"/>
  <c r="R225" i="3"/>
  <c r="P217" i="3"/>
  <c r="R209" i="3"/>
  <c r="R201" i="3"/>
  <c r="O177" i="3"/>
  <c r="P169" i="3"/>
  <c r="R161" i="3"/>
  <c r="R129" i="3"/>
  <c r="S128" i="3"/>
  <c r="P121" i="3"/>
  <c r="R113" i="3"/>
  <c r="P97" i="3"/>
  <c r="R89" i="3"/>
  <c r="O73" i="3"/>
  <c r="O64" i="3"/>
  <c r="O57" i="3"/>
  <c r="P56" i="3"/>
  <c r="Q48" i="3"/>
  <c r="O41" i="3"/>
  <c r="S40" i="3"/>
  <c r="S24" i="3"/>
  <c r="O16" i="3"/>
  <c r="R9" i="3"/>
  <c r="J381" i="3"/>
  <c r="H316" i="2"/>
  <c r="I237" i="2"/>
  <c r="I232" i="2"/>
  <c r="H210" i="2"/>
  <c r="I179" i="2"/>
  <c r="H96" i="2"/>
  <c r="H85" i="2"/>
  <c r="P266" i="83"/>
  <c r="S354" i="3"/>
  <c r="S330" i="3"/>
  <c r="S322" i="3"/>
  <c r="S306" i="3"/>
  <c r="S298" i="3"/>
  <c r="O413" i="3"/>
  <c r="R234" i="3"/>
  <c r="W314" i="2"/>
  <c r="U265" i="2"/>
  <c r="M245" i="83"/>
  <c r="O207" i="83"/>
  <c r="P199" i="83"/>
  <c r="Q297" i="3"/>
  <c r="O297" i="3"/>
  <c r="Q265" i="3"/>
  <c r="O265" i="3"/>
  <c r="J211" i="3"/>
  <c r="I211" i="3"/>
  <c r="J163" i="3"/>
  <c r="I163" i="3"/>
  <c r="R8" i="3"/>
  <c r="S8" i="3"/>
  <c r="Q409" i="3"/>
  <c r="U264" i="2"/>
  <c r="W264" i="2"/>
  <c r="I242" i="2"/>
  <c r="H242" i="2"/>
  <c r="L286" i="83"/>
  <c r="P286" i="83"/>
  <c r="O163" i="83"/>
  <c r="N163" i="83"/>
  <c r="P163" i="83"/>
  <c r="R196" i="84"/>
  <c r="T196" i="84"/>
  <c r="O410" i="3"/>
  <c r="R410" i="3"/>
  <c r="I404" i="3"/>
  <c r="J404" i="3"/>
  <c r="I388" i="3"/>
  <c r="J388" i="3"/>
  <c r="O378" i="3"/>
  <c r="Q378" i="3"/>
  <c r="R378" i="3"/>
  <c r="I356" i="3"/>
  <c r="J356" i="3"/>
  <c r="S337" i="3"/>
  <c r="O322" i="3"/>
  <c r="R322" i="3"/>
  <c r="O306" i="3"/>
  <c r="R306" i="3"/>
  <c r="J276" i="3"/>
  <c r="I276" i="3"/>
  <c r="S241" i="3"/>
  <c r="J188" i="3"/>
  <c r="I188" i="3"/>
  <c r="S81" i="3"/>
  <c r="S65" i="3"/>
  <c r="S17" i="3"/>
  <c r="I68" i="3"/>
  <c r="I417" i="3"/>
  <c r="J417" i="3"/>
  <c r="I393" i="3"/>
  <c r="J393" i="3"/>
  <c r="I385" i="3"/>
  <c r="J385" i="3"/>
  <c r="I377" i="3"/>
  <c r="J377" i="3"/>
  <c r="I369" i="3"/>
  <c r="J369" i="3"/>
  <c r="I361" i="3"/>
  <c r="J361" i="3"/>
  <c r="I353" i="3"/>
  <c r="J353" i="3"/>
  <c r="I345" i="3"/>
  <c r="J345" i="3"/>
  <c r="I321" i="3"/>
  <c r="J321" i="3"/>
  <c r="I305" i="3"/>
  <c r="J305" i="3"/>
  <c r="I225" i="3"/>
  <c r="J225" i="3"/>
  <c r="J209" i="3"/>
  <c r="I209" i="3"/>
  <c r="J169" i="3"/>
  <c r="I169" i="3"/>
  <c r="J113" i="3"/>
  <c r="I113" i="3"/>
  <c r="J81" i="3"/>
  <c r="I81" i="3"/>
  <c r="J73" i="3"/>
  <c r="I73" i="3"/>
  <c r="Q63" i="3"/>
  <c r="O63" i="3"/>
  <c r="R338" i="3"/>
  <c r="Q326" i="3"/>
  <c r="Q310" i="3"/>
  <c r="R257" i="3"/>
  <c r="R182" i="3"/>
  <c r="I153" i="3"/>
  <c r="I260" i="2"/>
  <c r="H260" i="2"/>
  <c r="I249" i="2"/>
  <c r="H249" i="2"/>
  <c r="U223" i="2"/>
  <c r="W223" i="2"/>
  <c r="U6" i="2"/>
  <c r="W6" i="2"/>
  <c r="N58" i="83"/>
  <c r="Q58" i="83"/>
  <c r="R407" i="3"/>
  <c r="R391" i="3"/>
  <c r="R375" i="3"/>
  <c r="R359" i="3"/>
  <c r="S351" i="3"/>
  <c r="R343" i="3"/>
  <c r="S335" i="3"/>
  <c r="S327" i="3"/>
  <c r="S319" i="3"/>
  <c r="S311" i="3"/>
  <c r="S303" i="3"/>
  <c r="S295" i="3"/>
  <c r="Q288" i="3"/>
  <c r="S287" i="3"/>
  <c r="P240" i="3"/>
  <c r="R224" i="3"/>
  <c r="O136" i="3"/>
  <c r="P32" i="3"/>
  <c r="P24" i="3"/>
  <c r="O397" i="3"/>
  <c r="I384" i="3"/>
  <c r="I292" i="3"/>
  <c r="J252" i="3"/>
  <c r="J235" i="3"/>
  <c r="J220" i="3"/>
  <c r="R202" i="3"/>
  <c r="J179" i="3"/>
  <c r="J147" i="3"/>
  <c r="P48" i="3"/>
  <c r="W346" i="2"/>
  <c r="U346" i="2"/>
  <c r="W301" i="2"/>
  <c r="U301" i="2"/>
  <c r="H296" i="2"/>
  <c r="I296" i="2"/>
  <c r="I205" i="2"/>
  <c r="H205" i="2"/>
  <c r="H169" i="2"/>
  <c r="W165" i="2"/>
  <c r="U165" i="2"/>
  <c r="I131" i="2"/>
  <c r="H131" i="2"/>
  <c r="I121" i="2"/>
  <c r="H121" i="2"/>
  <c r="W97" i="2"/>
  <c r="U97" i="2"/>
  <c r="L205" i="83"/>
  <c r="P205" i="83"/>
  <c r="N205" i="83"/>
  <c r="M146" i="83"/>
  <c r="N146" i="83"/>
  <c r="M129" i="83"/>
  <c r="N129" i="83"/>
  <c r="O129" i="83"/>
  <c r="P129" i="83"/>
  <c r="O115" i="83"/>
  <c r="P115" i="83"/>
  <c r="M115" i="83"/>
  <c r="N115" i="83"/>
  <c r="R137" i="84"/>
  <c r="T137" i="84"/>
  <c r="I283" i="3"/>
  <c r="J283" i="3"/>
  <c r="R193" i="3"/>
  <c r="P193" i="3"/>
  <c r="I131" i="3"/>
  <c r="J131" i="3"/>
  <c r="I11" i="3"/>
  <c r="J11" i="3"/>
  <c r="H120" i="2"/>
  <c r="I120" i="2"/>
  <c r="P329" i="83"/>
  <c r="M329" i="83"/>
  <c r="O329" i="83"/>
  <c r="T161" i="84"/>
  <c r="R161" i="84"/>
  <c r="O418" i="3"/>
  <c r="Q418" i="3"/>
  <c r="O402" i="3"/>
  <c r="Q402" i="3"/>
  <c r="O386" i="3"/>
  <c r="P386" i="3"/>
  <c r="O370" i="3"/>
  <c r="Q370" i="3"/>
  <c r="R370" i="3"/>
  <c r="I340" i="3"/>
  <c r="J340" i="3"/>
  <c r="O330" i="3"/>
  <c r="R330" i="3"/>
  <c r="I324" i="3"/>
  <c r="J324" i="3"/>
  <c r="S273" i="3"/>
  <c r="S257" i="3"/>
  <c r="R218" i="3"/>
  <c r="P218" i="3"/>
  <c r="S121" i="3"/>
  <c r="J116" i="3"/>
  <c r="I116" i="3"/>
  <c r="S89" i="3"/>
  <c r="P82" i="3"/>
  <c r="R82" i="3"/>
  <c r="R289" i="3"/>
  <c r="J108" i="3"/>
  <c r="W190" i="2"/>
  <c r="U190" i="2"/>
  <c r="U26" i="2"/>
  <c r="W26" i="2"/>
  <c r="I397" i="3"/>
  <c r="J397" i="3"/>
  <c r="I365" i="3"/>
  <c r="J365" i="3"/>
  <c r="I333" i="3"/>
  <c r="J333" i="3"/>
  <c r="I221" i="3"/>
  <c r="J221" i="3"/>
  <c r="P406" i="3"/>
  <c r="Q377" i="3"/>
  <c r="P230" i="3"/>
  <c r="W300" i="2"/>
  <c r="U300" i="2"/>
  <c r="H288" i="2"/>
  <c r="I288" i="2"/>
  <c r="I214" i="2"/>
  <c r="H214" i="2"/>
  <c r="W203" i="2"/>
  <c r="U203" i="2"/>
  <c r="H118" i="2"/>
  <c r="I118" i="2"/>
  <c r="W107" i="2"/>
  <c r="U107" i="2"/>
  <c r="N361" i="83"/>
  <c r="O361" i="83"/>
  <c r="N164" i="83"/>
  <c r="M164" i="83"/>
  <c r="O164" i="83"/>
  <c r="P164" i="83"/>
  <c r="S419" i="3"/>
  <c r="P412" i="3"/>
  <c r="P411" i="3"/>
  <c r="P403" i="3"/>
  <c r="P395" i="3"/>
  <c r="P387" i="3"/>
  <c r="P380" i="3"/>
  <c r="P379" i="3"/>
  <c r="P371" i="3"/>
  <c r="P363" i="3"/>
  <c r="R356" i="3"/>
  <c r="Q355" i="3"/>
  <c r="Q347" i="3"/>
  <c r="P339" i="3"/>
  <c r="Q331" i="3"/>
  <c r="Q323" i="3"/>
  <c r="Q315" i="3"/>
  <c r="Q308" i="3"/>
  <c r="Q307" i="3"/>
  <c r="S299" i="3"/>
  <c r="P418" i="3"/>
  <c r="R402" i="3"/>
  <c r="J376" i="3"/>
  <c r="Q361" i="3"/>
  <c r="R346" i="3"/>
  <c r="J317" i="3"/>
  <c r="O281" i="3"/>
  <c r="I244" i="3"/>
  <c r="J229" i="3"/>
  <c r="J212" i="3"/>
  <c r="J164" i="3"/>
  <c r="J132" i="3"/>
  <c r="J60" i="3"/>
  <c r="U333" i="2"/>
  <c r="W216" i="2"/>
  <c r="I201" i="2"/>
  <c r="H201" i="2"/>
  <c r="U163" i="2"/>
  <c r="W163" i="2"/>
  <c r="I128" i="2"/>
  <c r="H128" i="2"/>
  <c r="U15" i="2"/>
  <c r="W15" i="2"/>
  <c r="L189" i="83"/>
  <c r="P189" i="83"/>
  <c r="N189" i="83"/>
  <c r="T208" i="84"/>
  <c r="R208" i="84"/>
  <c r="R393" i="3"/>
  <c r="Q393" i="3"/>
  <c r="O241" i="3"/>
  <c r="P241" i="3"/>
  <c r="J195" i="3"/>
  <c r="I195" i="3"/>
  <c r="J171" i="3"/>
  <c r="I171" i="3"/>
  <c r="J27" i="3"/>
  <c r="I27" i="3"/>
  <c r="P201" i="3"/>
  <c r="I135" i="2"/>
  <c r="H135" i="2"/>
  <c r="U22" i="2"/>
  <c r="W22" i="2"/>
  <c r="P354" i="3"/>
  <c r="R354" i="3"/>
  <c r="O338" i="3"/>
  <c r="Q338" i="3"/>
  <c r="I308" i="3"/>
  <c r="J308" i="3"/>
  <c r="I236" i="3"/>
  <c r="J236" i="3"/>
  <c r="I228" i="3"/>
  <c r="J228" i="3"/>
  <c r="P186" i="3"/>
  <c r="O186" i="3"/>
  <c r="P162" i="3"/>
  <c r="R162" i="3"/>
  <c r="O233" i="3"/>
  <c r="S170" i="3"/>
  <c r="U184" i="2"/>
  <c r="W184" i="2"/>
  <c r="H101" i="2"/>
  <c r="I101" i="2"/>
  <c r="S346" i="3"/>
  <c r="S282" i="3"/>
  <c r="S250" i="3"/>
  <c r="S154" i="3"/>
  <c r="J349" i="3"/>
  <c r="I284" i="3"/>
  <c r="I317" i="2"/>
  <c r="H317" i="2"/>
  <c r="P365" i="3"/>
  <c r="O365" i="3"/>
  <c r="P402" i="3"/>
  <c r="R386" i="3"/>
  <c r="J360" i="3"/>
  <c r="J344" i="3"/>
  <c r="R314" i="3"/>
  <c r="J299" i="3"/>
  <c r="R226" i="3"/>
  <c r="S210" i="3"/>
  <c r="O193" i="3"/>
  <c r="R158" i="3"/>
  <c r="I28" i="3"/>
  <c r="H280" i="2"/>
  <c r="U267" i="2"/>
  <c r="I233" i="2"/>
  <c r="H233" i="2"/>
  <c r="H212" i="2"/>
  <c r="I212" i="2"/>
  <c r="H181" i="2"/>
  <c r="I181" i="2"/>
  <c r="I145" i="2"/>
  <c r="H145" i="2"/>
  <c r="U140" i="2"/>
  <c r="W140" i="2"/>
  <c r="I92" i="2"/>
  <c r="H92" i="2"/>
  <c r="W90" i="2"/>
  <c r="U73" i="2"/>
  <c r="W73" i="2"/>
  <c r="W71" i="2"/>
  <c r="W35" i="2"/>
  <c r="U35" i="2"/>
  <c r="O239" i="83"/>
  <c r="N239" i="83"/>
  <c r="P239" i="83"/>
  <c r="P204" i="83"/>
  <c r="L204" i="83"/>
  <c r="N204" i="83"/>
  <c r="N181" i="83"/>
  <c r="Q181" i="83"/>
  <c r="N174" i="83"/>
  <c r="M174" i="83"/>
  <c r="O273" i="3"/>
  <c r="R273" i="3"/>
  <c r="P249" i="3"/>
  <c r="O249" i="3"/>
  <c r="R145" i="3"/>
  <c r="P145" i="3"/>
  <c r="R105" i="3"/>
  <c r="O105" i="3"/>
  <c r="I99" i="3"/>
  <c r="J99" i="3"/>
  <c r="P49" i="3"/>
  <c r="R49" i="3"/>
  <c r="O32" i="3"/>
  <c r="S32" i="3"/>
  <c r="J251" i="3"/>
  <c r="H338" i="2"/>
  <c r="I338" i="2"/>
  <c r="U43" i="2"/>
  <c r="W43" i="2"/>
  <c r="R197" i="84"/>
  <c r="T197" i="84"/>
  <c r="O362" i="3"/>
  <c r="Q362" i="3"/>
  <c r="I300" i="3"/>
  <c r="J300" i="3"/>
  <c r="S289" i="3"/>
  <c r="I140" i="3"/>
  <c r="J140" i="3"/>
  <c r="R394" i="3"/>
  <c r="J267" i="3"/>
  <c r="O201" i="3"/>
  <c r="U295" i="2"/>
  <c r="W295" i="2"/>
  <c r="H259" i="2"/>
  <c r="I259" i="2"/>
  <c r="W65" i="2"/>
  <c r="U65" i="2"/>
  <c r="O433" i="83"/>
  <c r="N433" i="83"/>
  <c r="P433" i="83"/>
  <c r="I413" i="3"/>
  <c r="J413" i="3"/>
  <c r="S314" i="3"/>
  <c r="S290" i="3"/>
  <c r="S274" i="3"/>
  <c r="S266" i="3"/>
  <c r="S258" i="3"/>
  <c r="S242" i="3"/>
  <c r="S106" i="3"/>
  <c r="I420" i="3"/>
  <c r="I36" i="3"/>
  <c r="W332" i="2"/>
  <c r="U332" i="2"/>
  <c r="O421" i="3"/>
  <c r="P421" i="3"/>
  <c r="I303" i="3"/>
  <c r="J303" i="3"/>
  <c r="O414" i="3"/>
  <c r="P414" i="3"/>
  <c r="I408" i="3"/>
  <c r="J408" i="3"/>
  <c r="O406" i="3"/>
  <c r="O398" i="3"/>
  <c r="P398" i="3"/>
  <c r="O390" i="3"/>
  <c r="O382" i="3"/>
  <c r="P382" i="3"/>
  <c r="O374" i="3"/>
  <c r="O366" i="3"/>
  <c r="O358" i="3"/>
  <c r="P358" i="3"/>
  <c r="P350" i="3"/>
  <c r="Q350" i="3"/>
  <c r="O342" i="3"/>
  <c r="P342" i="3"/>
  <c r="O334" i="3"/>
  <c r="Q334" i="3"/>
  <c r="I328" i="3"/>
  <c r="J328" i="3"/>
  <c r="O326" i="3"/>
  <c r="O318" i="3"/>
  <c r="Q318" i="3"/>
  <c r="I312" i="3"/>
  <c r="J312" i="3"/>
  <c r="O310" i="3"/>
  <c r="O302" i="3"/>
  <c r="R286" i="3"/>
  <c r="R270" i="3"/>
  <c r="R254" i="3"/>
  <c r="R230" i="3"/>
  <c r="R190" i="3"/>
  <c r="O166" i="3"/>
  <c r="R78" i="3"/>
  <c r="J416" i="3"/>
  <c r="J401" i="3"/>
  <c r="Q386" i="3"/>
  <c r="J372" i="3"/>
  <c r="J329" i="3"/>
  <c r="J313" i="3"/>
  <c r="I260" i="3"/>
  <c r="R241" i="3"/>
  <c r="R210" i="3"/>
  <c r="O158" i="3"/>
  <c r="I92" i="3"/>
  <c r="I25" i="3"/>
  <c r="H261" i="2"/>
  <c r="I261" i="2"/>
  <c r="H244" i="2"/>
  <c r="I244" i="2"/>
  <c r="I180" i="2"/>
  <c r="H180" i="2"/>
  <c r="W7" i="2"/>
  <c r="U7" i="2"/>
  <c r="P381" i="83"/>
  <c r="Q381" i="83"/>
  <c r="N331" i="83"/>
  <c r="P331" i="83"/>
  <c r="M331" i="83"/>
  <c r="O331" i="83"/>
  <c r="M324" i="83"/>
  <c r="N324" i="83"/>
  <c r="P324" i="83"/>
  <c r="M310" i="83"/>
  <c r="O310" i="83"/>
  <c r="N270" i="83"/>
  <c r="M270" i="83"/>
  <c r="N31" i="83"/>
  <c r="O31" i="83"/>
  <c r="T143" i="84"/>
  <c r="R143" i="84"/>
  <c r="T103" i="84"/>
  <c r="R103" i="84"/>
  <c r="R100" i="84"/>
  <c r="T100" i="84"/>
  <c r="J101" i="3"/>
  <c r="I101" i="3"/>
  <c r="S82" i="3"/>
  <c r="J13" i="3"/>
  <c r="I13" i="3"/>
  <c r="I232" i="3"/>
  <c r="J200" i="3"/>
  <c r="I330" i="2"/>
  <c r="H330" i="2"/>
  <c r="U306" i="2"/>
  <c r="W306" i="2"/>
  <c r="I291" i="2"/>
  <c r="H291" i="2"/>
  <c r="H279" i="2"/>
  <c r="I279" i="2"/>
  <c r="W253" i="2"/>
  <c r="U253" i="2"/>
  <c r="I231" i="2"/>
  <c r="H231" i="2"/>
  <c r="U159" i="2"/>
  <c r="W159" i="2"/>
  <c r="H105" i="2"/>
  <c r="I105" i="2"/>
  <c r="U70" i="2"/>
  <c r="W70" i="2"/>
  <c r="H59" i="2"/>
  <c r="I59" i="2"/>
  <c r="U47" i="2"/>
  <c r="W47" i="2"/>
  <c r="U11" i="2"/>
  <c r="W11" i="2"/>
  <c r="P432" i="83"/>
  <c r="O432" i="83"/>
  <c r="M432" i="83"/>
  <c r="L384" i="83"/>
  <c r="O384" i="83"/>
  <c r="O381" i="83"/>
  <c r="P373" i="83"/>
  <c r="M373" i="83"/>
  <c r="Q274" i="83"/>
  <c r="M274" i="83"/>
  <c r="P109" i="83"/>
  <c r="M109" i="83"/>
  <c r="N109" i="83"/>
  <c r="O109" i="83"/>
  <c r="O106" i="83"/>
  <c r="M106" i="83"/>
  <c r="N106" i="83"/>
  <c r="T159" i="84"/>
  <c r="R159" i="84"/>
  <c r="T158" i="84"/>
  <c r="R158" i="84"/>
  <c r="T154" i="84"/>
  <c r="R154" i="84"/>
  <c r="T22" i="84"/>
  <c r="R22" i="84"/>
  <c r="O284" i="3"/>
  <c r="S283" i="3"/>
  <c r="S267" i="3"/>
  <c r="S251" i="3"/>
  <c r="S235" i="3"/>
  <c r="O227" i="3"/>
  <c r="R219" i="3"/>
  <c r="O212" i="3"/>
  <c r="S211" i="3"/>
  <c r="P196" i="3"/>
  <c r="S179" i="3"/>
  <c r="P172" i="3"/>
  <c r="S171" i="3"/>
  <c r="S155" i="3"/>
  <c r="S147" i="3"/>
  <c r="O140" i="3"/>
  <c r="S123" i="3"/>
  <c r="S107" i="3"/>
  <c r="S99" i="3"/>
  <c r="P84" i="3"/>
  <c r="O75" i="3"/>
  <c r="Q59" i="3"/>
  <c r="Q51" i="3"/>
  <c r="O35" i="3"/>
  <c r="R19" i="3"/>
  <c r="I216" i="3"/>
  <c r="J64" i="3"/>
  <c r="U347" i="2"/>
  <c r="W347" i="2"/>
  <c r="W341" i="2"/>
  <c r="U341" i="2"/>
  <c r="I304" i="2"/>
  <c r="H304" i="2"/>
  <c r="U258" i="2"/>
  <c r="W258" i="2"/>
  <c r="H221" i="2"/>
  <c r="I221" i="2"/>
  <c r="I177" i="2"/>
  <c r="H177" i="2"/>
  <c r="U164" i="2"/>
  <c r="W164" i="2"/>
  <c r="H104" i="2"/>
  <c r="I104" i="2"/>
  <c r="U52" i="2"/>
  <c r="W52" i="2"/>
  <c r="O423" i="83"/>
  <c r="M423" i="83"/>
  <c r="O400" i="83"/>
  <c r="P400" i="83"/>
  <c r="M325" i="83"/>
  <c r="N325" i="83"/>
  <c r="O325" i="83"/>
  <c r="M100" i="83"/>
  <c r="P100" i="83"/>
  <c r="O69" i="83"/>
  <c r="L69" i="83"/>
  <c r="O63" i="83"/>
  <c r="M63" i="83"/>
  <c r="P26" i="83"/>
  <c r="M26" i="83"/>
  <c r="N26" i="83"/>
  <c r="O26" i="83"/>
  <c r="R184" i="84"/>
  <c r="T184" i="84"/>
  <c r="T183" i="84"/>
  <c r="R183" i="84"/>
  <c r="R182" i="84"/>
  <c r="T182" i="84"/>
  <c r="R262" i="3"/>
  <c r="O230" i="3"/>
  <c r="S222" i="3"/>
  <c r="R206" i="3"/>
  <c r="P198" i="3"/>
  <c r="R198" i="3"/>
  <c r="P158" i="3"/>
  <c r="P142" i="3"/>
  <c r="J136" i="3"/>
  <c r="I136" i="3"/>
  <c r="I112" i="3"/>
  <c r="J112" i="3"/>
  <c r="P110" i="3"/>
  <c r="J88" i="3"/>
  <c r="I88" i="3"/>
  <c r="P70" i="3"/>
  <c r="P46" i="3"/>
  <c r="O30" i="3"/>
  <c r="I213" i="3"/>
  <c r="I205" i="3"/>
  <c r="I197" i="3"/>
  <c r="I181" i="3"/>
  <c r="I133" i="3"/>
  <c r="J42" i="3"/>
  <c r="I282" i="2"/>
  <c r="H282" i="2"/>
  <c r="U278" i="2"/>
  <c r="W278" i="2"/>
  <c r="W245" i="2"/>
  <c r="U245" i="2"/>
  <c r="H197" i="2"/>
  <c r="I197" i="2"/>
  <c r="W146" i="2"/>
  <c r="U146" i="2"/>
  <c r="W135" i="2"/>
  <c r="U135" i="2"/>
  <c r="H109" i="2"/>
  <c r="I109" i="2"/>
  <c r="U79" i="2"/>
  <c r="W79" i="2"/>
  <c r="W14" i="2"/>
  <c r="U14" i="2"/>
  <c r="L407" i="83"/>
  <c r="M407" i="83"/>
  <c r="Q210" i="83"/>
  <c r="M210" i="83"/>
  <c r="N137" i="83"/>
  <c r="O137" i="83"/>
  <c r="P137" i="83"/>
  <c r="R76" i="84"/>
  <c r="T76" i="84"/>
  <c r="R73" i="84"/>
  <c r="T73" i="84"/>
  <c r="R40" i="84"/>
  <c r="T40" i="84"/>
  <c r="Q272" i="3"/>
  <c r="S271" i="3"/>
  <c r="S263" i="3"/>
  <c r="S255" i="3"/>
  <c r="P247" i="3"/>
  <c r="S239" i="3"/>
  <c r="S231" i="3"/>
  <c r="S223" i="3"/>
  <c r="P207" i="3"/>
  <c r="S199" i="3"/>
  <c r="R184" i="3"/>
  <c r="S183" i="3"/>
  <c r="S175" i="3"/>
  <c r="O160" i="3"/>
  <c r="O159" i="3"/>
  <c r="S151" i="3"/>
  <c r="I138" i="3"/>
  <c r="J138" i="3"/>
  <c r="S127" i="3"/>
  <c r="O112" i="3"/>
  <c r="S95" i="3"/>
  <c r="R80" i="3"/>
  <c r="S79" i="3"/>
  <c r="S71" i="3"/>
  <c r="J66" i="3"/>
  <c r="I66" i="3"/>
  <c r="Q64" i="3"/>
  <c r="O56" i="3"/>
  <c r="Q56" i="3"/>
  <c r="O48" i="3"/>
  <c r="J176" i="3"/>
  <c r="I58" i="3"/>
  <c r="U266" i="2"/>
  <c r="W266" i="2"/>
  <c r="I254" i="2"/>
  <c r="H254" i="2"/>
  <c r="W233" i="2"/>
  <c r="U233" i="2"/>
  <c r="H185" i="2"/>
  <c r="I185" i="2"/>
  <c r="U180" i="2"/>
  <c r="W180" i="2"/>
  <c r="W61" i="2"/>
  <c r="U61" i="2"/>
  <c r="U38" i="2"/>
  <c r="W38" i="2"/>
  <c r="N432" i="83"/>
  <c r="M405" i="83"/>
  <c r="O405" i="83"/>
  <c r="M366" i="83"/>
  <c r="N366" i="83"/>
  <c r="O366" i="83"/>
  <c r="P366" i="83"/>
  <c r="L219" i="83"/>
  <c r="P219" i="83"/>
  <c r="L216" i="83"/>
  <c r="N216" i="83"/>
  <c r="M151" i="83"/>
  <c r="N151" i="83"/>
  <c r="O151" i="83"/>
  <c r="P151" i="83"/>
  <c r="O91" i="83"/>
  <c r="O22" i="83"/>
  <c r="M22" i="83"/>
  <c r="N22" i="83"/>
  <c r="P22" i="83"/>
  <c r="R169" i="84"/>
  <c r="T169" i="84"/>
  <c r="W274" i="2"/>
  <c r="W243" i="2"/>
  <c r="U239" i="2"/>
  <c r="W199" i="2"/>
  <c r="U195" i="2"/>
  <c r="U179" i="2"/>
  <c r="W168" i="2"/>
  <c r="U156" i="2"/>
  <c r="W152" i="2"/>
  <c r="W115" i="2"/>
  <c r="W99" i="2"/>
  <c r="W91" i="2"/>
  <c r="W84" i="2"/>
  <c r="U68" i="2"/>
  <c r="O409" i="83"/>
  <c r="N347" i="83"/>
  <c r="P347" i="83"/>
  <c r="M347" i="83"/>
  <c r="N328" i="83"/>
  <c r="O328" i="83"/>
  <c r="P328" i="83"/>
  <c r="N277" i="83"/>
  <c r="M277" i="83"/>
  <c r="M205" i="83"/>
  <c r="Q205" i="83"/>
  <c r="N183" i="83"/>
  <c r="O145" i="83"/>
  <c r="N145" i="83"/>
  <c r="P90" i="83"/>
  <c r="O90" i="83"/>
  <c r="M90" i="83"/>
  <c r="M79" i="83"/>
  <c r="O79" i="83"/>
  <c r="N37" i="83"/>
  <c r="O37" i="83"/>
  <c r="M14" i="83"/>
  <c r="N14" i="83"/>
  <c r="I239" i="2"/>
  <c r="I225" i="2"/>
  <c r="H199" i="2"/>
  <c r="M389" i="83"/>
  <c r="O326" i="83"/>
  <c r="N326" i="83"/>
  <c r="N287" i="83"/>
  <c r="O287" i="83"/>
  <c r="P287" i="83"/>
  <c r="M268" i="83"/>
  <c r="N268" i="83"/>
  <c r="L256" i="83"/>
  <c r="M256" i="83"/>
  <c r="P256" i="83"/>
  <c r="N138" i="83"/>
  <c r="O138" i="83"/>
  <c r="P138" i="83"/>
  <c r="M111" i="83"/>
  <c r="P111" i="83"/>
  <c r="N92" i="83"/>
  <c r="M92" i="83"/>
  <c r="L60" i="83"/>
  <c r="N60" i="83"/>
  <c r="T133" i="84"/>
  <c r="R133" i="84"/>
  <c r="R127" i="84"/>
  <c r="T127" i="84"/>
  <c r="H190" i="2"/>
  <c r="W120" i="2"/>
  <c r="H102" i="2"/>
  <c r="H94" i="2"/>
  <c r="I80" i="2"/>
  <c r="O411" i="83"/>
  <c r="O406" i="83"/>
  <c r="Q391" i="83"/>
  <c r="P391" i="83"/>
  <c r="P360" i="83"/>
  <c r="O360" i="83"/>
  <c r="M360" i="83"/>
  <c r="O347" i="83"/>
  <c r="M328" i="83"/>
  <c r="N302" i="83"/>
  <c r="M285" i="83"/>
  <c r="Q285" i="83"/>
  <c r="O130" i="83"/>
  <c r="M130" i="83"/>
  <c r="N130" i="83"/>
  <c r="P130" i="83"/>
  <c r="M37" i="83"/>
  <c r="N36" i="83"/>
  <c r="O36" i="83"/>
  <c r="R91" i="84"/>
  <c r="T91" i="84"/>
  <c r="T87" i="84"/>
  <c r="R87" i="84"/>
  <c r="R86" i="84"/>
  <c r="T86" i="84"/>
  <c r="R63" i="84"/>
  <c r="T63" i="84"/>
  <c r="R7" i="84"/>
  <c r="T7" i="84"/>
  <c r="W226" i="2"/>
  <c r="P424" i="83"/>
  <c r="P342" i="83"/>
  <c r="M342" i="83"/>
  <c r="L308" i="83"/>
  <c r="N308" i="83"/>
  <c r="O308" i="83"/>
  <c r="N289" i="83"/>
  <c r="L235" i="83"/>
  <c r="P235" i="83"/>
  <c r="M227" i="83"/>
  <c r="L197" i="83"/>
  <c r="N197" i="83"/>
  <c r="M186" i="83"/>
  <c r="M159" i="83"/>
  <c r="N159" i="83"/>
  <c r="P159" i="83"/>
  <c r="M124" i="83"/>
  <c r="N124" i="83"/>
  <c r="O124" i="83"/>
  <c r="O102" i="83"/>
  <c r="N102" i="83"/>
  <c r="M70" i="83"/>
  <c r="P70" i="83"/>
  <c r="N13" i="83"/>
  <c r="O13" i="83"/>
  <c r="N396" i="83"/>
  <c r="O380" i="83"/>
  <c r="M309" i="83"/>
  <c r="P299" i="83"/>
  <c r="N296" i="83"/>
  <c r="N218" i="83"/>
  <c r="M170" i="83"/>
  <c r="P98" i="83"/>
  <c r="N86" i="83"/>
  <c r="O82" i="83"/>
  <c r="O58" i="83"/>
  <c r="O51" i="83"/>
  <c r="T204" i="84"/>
  <c r="R192" i="84"/>
  <c r="T179" i="84"/>
  <c r="R165" i="84"/>
  <c r="R138" i="84"/>
  <c r="T81" i="84"/>
  <c r="R49" i="84"/>
  <c r="O374" i="83"/>
  <c r="O344" i="83"/>
  <c r="N343" i="83"/>
  <c r="P303" i="83"/>
  <c r="P253" i="83"/>
  <c r="O229" i="83"/>
  <c r="M223" i="83"/>
  <c r="M218" i="83"/>
  <c r="N217" i="83"/>
  <c r="O183" i="83"/>
  <c r="O34" i="83"/>
  <c r="L218" i="83"/>
  <c r="M217" i="83"/>
  <c r="O208" i="83"/>
  <c r="M410" i="83"/>
  <c r="P387" i="83"/>
  <c r="O302" i="83"/>
  <c r="M194" i="83"/>
  <c r="N53" i="83"/>
  <c r="Q396" i="3"/>
  <c r="O396" i="3"/>
  <c r="R396" i="3"/>
  <c r="Q372" i="3"/>
  <c r="R372" i="3"/>
  <c r="Q364" i="3"/>
  <c r="O364" i="3"/>
  <c r="R364" i="3"/>
  <c r="I350" i="3"/>
  <c r="J350" i="3"/>
  <c r="I342" i="3"/>
  <c r="J342" i="3"/>
  <c r="R324" i="3"/>
  <c r="O324" i="3"/>
  <c r="R316" i="3"/>
  <c r="O316" i="3"/>
  <c r="R300" i="3"/>
  <c r="Q300" i="3"/>
  <c r="S291" i="3"/>
  <c r="Q291" i="3"/>
  <c r="S275" i="3"/>
  <c r="Q275" i="3"/>
  <c r="R268" i="3"/>
  <c r="Q268" i="3"/>
  <c r="R252" i="3"/>
  <c r="P252" i="3"/>
  <c r="R244" i="3"/>
  <c r="O244" i="3"/>
  <c r="P244" i="3"/>
  <c r="Q236" i="3"/>
  <c r="P236" i="3"/>
  <c r="R236" i="3"/>
  <c r="J206" i="3"/>
  <c r="I206" i="3"/>
  <c r="P188" i="3"/>
  <c r="R188" i="3"/>
  <c r="O188" i="3"/>
  <c r="I166" i="3"/>
  <c r="J166" i="3"/>
  <c r="R156" i="3"/>
  <c r="P156" i="3"/>
  <c r="O156" i="3"/>
  <c r="O148" i="3"/>
  <c r="R148" i="3"/>
  <c r="P148" i="3"/>
  <c r="J142" i="3"/>
  <c r="I142" i="3"/>
  <c r="S131" i="3"/>
  <c r="P131" i="3"/>
  <c r="R124" i="3"/>
  <c r="P124" i="3"/>
  <c r="O124" i="3"/>
  <c r="S115" i="3"/>
  <c r="O115" i="3"/>
  <c r="I110" i="3"/>
  <c r="J110" i="3"/>
  <c r="J102" i="3"/>
  <c r="I102" i="3"/>
  <c r="S91" i="3"/>
  <c r="P91" i="3"/>
  <c r="O91" i="3"/>
  <c r="R76" i="3"/>
  <c r="O76" i="3"/>
  <c r="P76" i="3"/>
  <c r="O68" i="3"/>
  <c r="P68" i="3"/>
  <c r="R68" i="3"/>
  <c r="I54" i="3"/>
  <c r="J54" i="3"/>
  <c r="J6" i="3"/>
  <c r="I6" i="3"/>
  <c r="Q381" i="3"/>
  <c r="R381" i="3"/>
  <c r="R349" i="3"/>
  <c r="O349" i="3"/>
  <c r="S332" i="3"/>
  <c r="S316" i="3"/>
  <c r="S308" i="3"/>
  <c r="R301" i="3"/>
  <c r="O301" i="3"/>
  <c r="O293" i="3"/>
  <c r="Q293" i="3"/>
  <c r="R293" i="3"/>
  <c r="J287" i="3"/>
  <c r="I287" i="3"/>
  <c r="O277" i="3"/>
  <c r="Q277" i="3"/>
  <c r="R277" i="3"/>
  <c r="I271" i="3"/>
  <c r="J271" i="3"/>
  <c r="I255" i="3"/>
  <c r="J255" i="3"/>
  <c r="S252" i="3"/>
  <c r="R237" i="3"/>
  <c r="O237" i="3"/>
  <c r="J207" i="3"/>
  <c r="I207" i="3"/>
  <c r="R197" i="3"/>
  <c r="O197" i="3"/>
  <c r="O189" i="3"/>
  <c r="R189" i="3"/>
  <c r="I183" i="3"/>
  <c r="J183" i="3"/>
  <c r="O173" i="3"/>
  <c r="P173" i="3"/>
  <c r="R173" i="3"/>
  <c r="S173" i="3"/>
  <c r="S164" i="3"/>
  <c r="I151" i="3"/>
  <c r="J151" i="3"/>
  <c r="S148" i="3"/>
  <c r="I143" i="3"/>
  <c r="J143" i="3"/>
  <c r="S140" i="3"/>
  <c r="J135" i="3"/>
  <c r="I135" i="3"/>
  <c r="R117" i="3"/>
  <c r="P117" i="3"/>
  <c r="O117" i="3"/>
  <c r="P109" i="3"/>
  <c r="O109" i="3"/>
  <c r="R109" i="3"/>
  <c r="O101" i="3"/>
  <c r="R101" i="3"/>
  <c r="P101" i="3"/>
  <c r="J95" i="3"/>
  <c r="I95" i="3"/>
  <c r="I47" i="3"/>
  <c r="J47" i="3"/>
  <c r="S53" i="3"/>
  <c r="J406" i="3"/>
  <c r="J390" i="3"/>
  <c r="J374" i="3"/>
  <c r="J358" i="3"/>
  <c r="R339" i="3"/>
  <c r="J335" i="3"/>
  <c r="O236" i="3"/>
  <c r="J103" i="3"/>
  <c r="J71" i="3"/>
  <c r="I22" i="3"/>
  <c r="P419" i="3"/>
  <c r="Q283" i="3"/>
  <c r="P251" i="3"/>
  <c r="P227" i="3"/>
  <c r="P163" i="3"/>
  <c r="O131" i="3"/>
  <c r="R107" i="3"/>
  <c r="P75" i="3"/>
  <c r="O59" i="3"/>
  <c r="P51" i="3"/>
  <c r="P35" i="3"/>
  <c r="Q421" i="3"/>
  <c r="P381" i="3"/>
  <c r="Q349" i="3"/>
  <c r="S323" i="3"/>
  <c r="J319" i="3"/>
  <c r="J298" i="3"/>
  <c r="I279" i="3"/>
  <c r="P183" i="3"/>
  <c r="P175" i="3"/>
  <c r="I285" i="2"/>
  <c r="H285" i="2"/>
  <c r="W281" i="2"/>
  <c r="U281" i="2"/>
  <c r="I382" i="3"/>
  <c r="J382" i="3"/>
  <c r="I334" i="3"/>
  <c r="J334" i="3"/>
  <c r="I318" i="3"/>
  <c r="J318" i="3"/>
  <c r="R292" i="3"/>
  <c r="O292" i="3"/>
  <c r="Q292" i="3"/>
  <c r="I286" i="3"/>
  <c r="J286" i="3"/>
  <c r="I270" i="3"/>
  <c r="J270" i="3"/>
  <c r="P228" i="3"/>
  <c r="O228" i="3"/>
  <c r="R228" i="3"/>
  <c r="I214" i="3"/>
  <c r="J214" i="3"/>
  <c r="O203" i="3"/>
  <c r="P203" i="3"/>
  <c r="I198" i="3"/>
  <c r="J198" i="3"/>
  <c r="S187" i="3"/>
  <c r="R187" i="3"/>
  <c r="P140" i="3"/>
  <c r="R140" i="3"/>
  <c r="J126" i="3"/>
  <c r="I126" i="3"/>
  <c r="I118" i="3"/>
  <c r="J118" i="3"/>
  <c r="O108" i="3"/>
  <c r="R108" i="3"/>
  <c r="S83" i="3"/>
  <c r="O83" i="3"/>
  <c r="I78" i="3"/>
  <c r="J78" i="3"/>
  <c r="J62" i="3"/>
  <c r="I62" i="3"/>
  <c r="R52" i="3"/>
  <c r="P52" i="3"/>
  <c r="S43" i="3"/>
  <c r="O43" i="3"/>
  <c r="R36" i="3"/>
  <c r="O36" i="3"/>
  <c r="Q36" i="3"/>
  <c r="I30" i="3"/>
  <c r="J30" i="3"/>
  <c r="S19" i="3"/>
  <c r="O19" i="3"/>
  <c r="Q413" i="3"/>
  <c r="R413" i="3"/>
  <c r="O373" i="3"/>
  <c r="Q373" i="3"/>
  <c r="R373" i="3"/>
  <c r="O357" i="3"/>
  <c r="Q357" i="3"/>
  <c r="R357" i="3"/>
  <c r="O341" i="3"/>
  <c r="R341" i="3"/>
  <c r="S324" i="3"/>
  <c r="S284" i="3"/>
  <c r="S268" i="3"/>
  <c r="J239" i="3"/>
  <c r="I239" i="3"/>
  <c r="P229" i="3"/>
  <c r="R229" i="3"/>
  <c r="J223" i="3"/>
  <c r="I223" i="3"/>
  <c r="S220" i="3"/>
  <c r="O213" i="3"/>
  <c r="P213" i="3"/>
  <c r="P205" i="3"/>
  <c r="R205" i="3"/>
  <c r="O205" i="3"/>
  <c r="R181" i="3"/>
  <c r="O181" i="3"/>
  <c r="P181" i="3"/>
  <c r="S181" i="3"/>
  <c r="J175" i="3"/>
  <c r="I175" i="3"/>
  <c r="S172" i="3"/>
  <c r="J167" i="3"/>
  <c r="I167" i="3"/>
  <c r="J159" i="3"/>
  <c r="I159" i="3"/>
  <c r="S132" i="3"/>
  <c r="R125" i="3"/>
  <c r="P125" i="3"/>
  <c r="P93" i="3"/>
  <c r="O93" i="3"/>
  <c r="R93" i="3"/>
  <c r="S84" i="3"/>
  <c r="S349" i="3"/>
  <c r="S341" i="3"/>
  <c r="S317" i="3"/>
  <c r="P396" i="3"/>
  <c r="S347" i="3"/>
  <c r="J327" i="3"/>
  <c r="Q301" i="3"/>
  <c r="P197" i="3"/>
  <c r="P179" i="3"/>
  <c r="I127" i="3"/>
  <c r="Q117" i="3"/>
  <c r="P108" i="3"/>
  <c r="J46" i="3"/>
  <c r="M426" i="83"/>
  <c r="P426" i="83"/>
  <c r="O215" i="3"/>
  <c r="R411" i="3"/>
  <c r="R403" i="3"/>
  <c r="S395" i="3"/>
  <c r="R387" i="3"/>
  <c r="R379" i="3"/>
  <c r="R371" i="3"/>
  <c r="R363" i="3"/>
  <c r="S355" i="3"/>
  <c r="Q341" i="3"/>
  <c r="S331" i="3"/>
  <c r="Q316" i="3"/>
  <c r="J311" i="3"/>
  <c r="O300" i="3"/>
  <c r="I295" i="3"/>
  <c r="J282" i="3"/>
  <c r="O268" i="3"/>
  <c r="P239" i="3"/>
  <c r="J234" i="3"/>
  <c r="I215" i="3"/>
  <c r="P189" i="3"/>
  <c r="P43" i="3"/>
  <c r="U246" i="2"/>
  <c r="W246" i="2"/>
  <c r="U194" i="2"/>
  <c r="W194" i="2"/>
  <c r="U94" i="2"/>
  <c r="W94" i="2"/>
  <c r="I86" i="2"/>
  <c r="H86" i="2"/>
  <c r="O420" i="3"/>
  <c r="P420" i="3"/>
  <c r="Q420" i="3"/>
  <c r="I414" i="3"/>
  <c r="J414" i="3"/>
  <c r="Q388" i="3"/>
  <c r="R388" i="3"/>
  <c r="R380" i="3"/>
  <c r="O380" i="3"/>
  <c r="R348" i="3"/>
  <c r="O348" i="3"/>
  <c r="R340" i="3"/>
  <c r="O340" i="3"/>
  <c r="R332" i="3"/>
  <c r="O332" i="3"/>
  <c r="I310" i="3"/>
  <c r="J310" i="3"/>
  <c r="I302" i="3"/>
  <c r="J302" i="3"/>
  <c r="R284" i="3"/>
  <c r="Q284" i="3"/>
  <c r="R276" i="3"/>
  <c r="O276" i="3"/>
  <c r="Q276" i="3"/>
  <c r="R260" i="3"/>
  <c r="O260" i="3"/>
  <c r="Q260" i="3"/>
  <c r="I238" i="3"/>
  <c r="J238" i="3"/>
  <c r="I230" i="3"/>
  <c r="J230" i="3"/>
  <c r="S195" i="3"/>
  <c r="O195" i="3"/>
  <c r="R195" i="3"/>
  <c r="I182" i="3"/>
  <c r="J182" i="3"/>
  <c r="O164" i="3"/>
  <c r="P164" i="3"/>
  <c r="J158" i="3"/>
  <c r="I158" i="3"/>
  <c r="O132" i="3"/>
  <c r="R132" i="3"/>
  <c r="P132" i="3"/>
  <c r="O116" i="3"/>
  <c r="P116" i="3"/>
  <c r="R116" i="3"/>
  <c r="J94" i="3"/>
  <c r="I94" i="3"/>
  <c r="R84" i="3"/>
  <c r="O84" i="3"/>
  <c r="I38" i="3"/>
  <c r="J38" i="3"/>
  <c r="O405" i="3"/>
  <c r="Q405" i="3"/>
  <c r="R405" i="3"/>
  <c r="Q397" i="3"/>
  <c r="R397" i="3"/>
  <c r="Q408" i="3"/>
  <c r="O408" i="3"/>
  <c r="P408" i="3"/>
  <c r="I402" i="3"/>
  <c r="J402" i="3"/>
  <c r="I394" i="3"/>
  <c r="J394" i="3"/>
  <c r="Q392" i="3"/>
  <c r="O392" i="3"/>
  <c r="P392" i="3"/>
  <c r="R392" i="3"/>
  <c r="I386" i="3"/>
  <c r="J386" i="3"/>
  <c r="Q376" i="3"/>
  <c r="O376" i="3"/>
  <c r="R376" i="3"/>
  <c r="P376" i="3"/>
  <c r="Q368" i="3"/>
  <c r="O368" i="3"/>
  <c r="P368" i="3"/>
  <c r="I362" i="3"/>
  <c r="J362" i="3"/>
  <c r="Q360" i="3"/>
  <c r="O360" i="3"/>
  <c r="P360" i="3"/>
  <c r="R360" i="3"/>
  <c r="R344" i="3"/>
  <c r="O344" i="3"/>
  <c r="Q344" i="3"/>
  <c r="R320" i="3"/>
  <c r="O320" i="3"/>
  <c r="Q320" i="3"/>
  <c r="I306" i="3"/>
  <c r="J306" i="3"/>
  <c r="R296" i="3"/>
  <c r="O296" i="3"/>
  <c r="Q296" i="3"/>
  <c r="S279" i="3"/>
  <c r="Q279" i="3"/>
  <c r="R272" i="3"/>
  <c r="O272" i="3"/>
  <c r="I258" i="3"/>
  <c r="J258" i="3"/>
  <c r="R256" i="3"/>
  <c r="O256" i="3"/>
  <c r="R248" i="3"/>
  <c r="O248" i="3"/>
  <c r="P248" i="3"/>
  <c r="S215" i="3"/>
  <c r="P215" i="3"/>
  <c r="R215" i="3"/>
  <c r="P208" i="3"/>
  <c r="Q208" i="3"/>
  <c r="R208" i="3"/>
  <c r="O208" i="3"/>
  <c r="P200" i="3"/>
  <c r="R200" i="3"/>
  <c r="O200" i="3"/>
  <c r="P192" i="3"/>
  <c r="R192" i="3"/>
  <c r="O192" i="3"/>
  <c r="O184" i="3"/>
  <c r="Q184" i="3"/>
  <c r="P184" i="3"/>
  <c r="I154" i="3"/>
  <c r="J154" i="3"/>
  <c r="Q152" i="3"/>
  <c r="R152" i="3"/>
  <c r="P152" i="3"/>
  <c r="O152" i="3"/>
  <c r="P144" i="3"/>
  <c r="R144" i="3"/>
  <c r="O144" i="3"/>
  <c r="Q144" i="3"/>
  <c r="P136" i="3"/>
  <c r="R136" i="3"/>
  <c r="S135" i="3"/>
  <c r="R135" i="3"/>
  <c r="I130" i="3"/>
  <c r="J130" i="3"/>
  <c r="O128" i="3"/>
  <c r="R128" i="3"/>
  <c r="P128" i="3"/>
  <c r="J122" i="3"/>
  <c r="I122" i="3"/>
  <c r="P120" i="3"/>
  <c r="R120" i="3"/>
  <c r="O120" i="3"/>
  <c r="Q120" i="3"/>
  <c r="S119" i="3"/>
  <c r="O119" i="3"/>
  <c r="I114" i="3"/>
  <c r="J114" i="3"/>
  <c r="P112" i="3"/>
  <c r="R112" i="3"/>
  <c r="S111" i="3"/>
  <c r="O111" i="3"/>
  <c r="J106" i="3"/>
  <c r="I106" i="3"/>
  <c r="R104" i="3"/>
  <c r="P104" i="3"/>
  <c r="O104" i="3"/>
  <c r="S103" i="3"/>
  <c r="R103" i="3"/>
  <c r="I98" i="3"/>
  <c r="J98" i="3"/>
  <c r="I90" i="3"/>
  <c r="J90" i="3"/>
  <c r="O88" i="3"/>
  <c r="P88" i="3"/>
  <c r="R88" i="3"/>
  <c r="S87" i="3"/>
  <c r="P87" i="3"/>
  <c r="I82" i="3"/>
  <c r="J82" i="3"/>
  <c r="P80" i="3"/>
  <c r="O80" i="3"/>
  <c r="J74" i="3"/>
  <c r="I74" i="3"/>
  <c r="R72" i="3"/>
  <c r="P72" i="3"/>
  <c r="O72" i="3"/>
  <c r="Q72" i="3"/>
  <c r="O419" i="3"/>
  <c r="J415" i="3"/>
  <c r="J407" i="3"/>
  <c r="J399" i="3"/>
  <c r="J391" i="3"/>
  <c r="J383" i="3"/>
  <c r="J375" i="3"/>
  <c r="J367" i="3"/>
  <c r="J359" i="3"/>
  <c r="J351" i="3"/>
  <c r="Q340" i="3"/>
  <c r="S315" i="3"/>
  <c r="Q287" i="3"/>
  <c r="I263" i="3"/>
  <c r="Q256" i="3"/>
  <c r="J250" i="3"/>
  <c r="I210" i="3"/>
  <c r="I178" i="3"/>
  <c r="O125" i="3"/>
  <c r="M395" i="83"/>
  <c r="O395" i="83"/>
  <c r="Q395" i="83"/>
  <c r="Q412" i="3"/>
  <c r="O412" i="3"/>
  <c r="R412" i="3"/>
  <c r="Q404" i="3"/>
  <c r="R404" i="3"/>
  <c r="I398" i="3"/>
  <c r="J398" i="3"/>
  <c r="I366" i="3"/>
  <c r="J366" i="3"/>
  <c r="I326" i="3"/>
  <c r="J326" i="3"/>
  <c r="R308" i="3"/>
  <c r="O308" i="3"/>
  <c r="I294" i="3"/>
  <c r="J294" i="3"/>
  <c r="I278" i="3"/>
  <c r="J278" i="3"/>
  <c r="I262" i="3"/>
  <c r="J262" i="3"/>
  <c r="S259" i="3"/>
  <c r="Q259" i="3"/>
  <c r="I254" i="3"/>
  <c r="J254" i="3"/>
  <c r="I246" i="3"/>
  <c r="J246" i="3"/>
  <c r="S243" i="3"/>
  <c r="P243" i="3"/>
  <c r="R227" i="3"/>
  <c r="S227" i="3"/>
  <c r="P220" i="3"/>
  <c r="O220" i="3"/>
  <c r="R220" i="3"/>
  <c r="P212" i="3"/>
  <c r="R212" i="3"/>
  <c r="P204" i="3"/>
  <c r="O204" i="3"/>
  <c r="Q204" i="3"/>
  <c r="R204" i="3"/>
  <c r="O196" i="3"/>
  <c r="R196" i="3"/>
  <c r="I190" i="3"/>
  <c r="J190" i="3"/>
  <c r="O180" i="3"/>
  <c r="P180" i="3"/>
  <c r="R180" i="3"/>
  <c r="O172" i="3"/>
  <c r="R172" i="3"/>
  <c r="I150" i="3"/>
  <c r="J150" i="3"/>
  <c r="J134" i="3"/>
  <c r="I134" i="3"/>
  <c r="O100" i="3"/>
  <c r="P100" i="3"/>
  <c r="R100" i="3"/>
  <c r="R92" i="3"/>
  <c r="P92" i="3"/>
  <c r="O92" i="3"/>
  <c r="I86" i="3"/>
  <c r="J86" i="3"/>
  <c r="S75" i="3"/>
  <c r="R75" i="3"/>
  <c r="I70" i="3"/>
  <c r="J70" i="3"/>
  <c r="Q60" i="3"/>
  <c r="O60" i="3"/>
  <c r="P60" i="3"/>
  <c r="R60" i="3"/>
  <c r="P44" i="3"/>
  <c r="O44" i="3"/>
  <c r="Q44" i="3"/>
  <c r="R28" i="3"/>
  <c r="O28" i="3"/>
  <c r="S27" i="3"/>
  <c r="O27" i="3"/>
  <c r="Q20" i="3"/>
  <c r="P20" i="3"/>
  <c r="O20" i="3"/>
  <c r="I14" i="3"/>
  <c r="J14" i="3"/>
  <c r="P12" i="3"/>
  <c r="R12" i="3"/>
  <c r="O12" i="3"/>
  <c r="P404" i="3"/>
  <c r="P388" i="3"/>
  <c r="P372" i="3"/>
  <c r="Q356" i="3"/>
  <c r="S307" i="3"/>
  <c r="O252" i="3"/>
  <c r="I174" i="3"/>
  <c r="P28" i="3"/>
  <c r="I346" i="2"/>
  <c r="H346" i="2"/>
  <c r="I341" i="2"/>
  <c r="H341" i="2"/>
  <c r="H323" i="2"/>
  <c r="I323" i="2"/>
  <c r="Q412" i="83"/>
  <c r="O389" i="3"/>
  <c r="Q389" i="3"/>
  <c r="R389" i="3"/>
  <c r="S380" i="3"/>
  <c r="Q365" i="3"/>
  <c r="R365" i="3"/>
  <c r="S356" i="3"/>
  <c r="S348" i="3"/>
  <c r="S340" i="3"/>
  <c r="R333" i="3"/>
  <c r="O333" i="3"/>
  <c r="O325" i="3"/>
  <c r="R325" i="3"/>
  <c r="R317" i="3"/>
  <c r="O317" i="3"/>
  <c r="O309" i="3"/>
  <c r="R309" i="3"/>
  <c r="S300" i="3"/>
  <c r="O285" i="3"/>
  <c r="R285" i="3"/>
  <c r="R269" i="3"/>
  <c r="O269" i="3"/>
  <c r="O261" i="3"/>
  <c r="Q261" i="3"/>
  <c r="P261" i="3"/>
  <c r="O253" i="3"/>
  <c r="R253" i="3"/>
  <c r="O245" i="3"/>
  <c r="P245" i="3"/>
  <c r="Q245" i="3"/>
  <c r="J231" i="3"/>
  <c r="I231" i="3"/>
  <c r="S228" i="3"/>
  <c r="O221" i="3"/>
  <c r="P221" i="3"/>
  <c r="R221" i="3"/>
  <c r="S212" i="3"/>
  <c r="J199" i="3"/>
  <c r="I199" i="3"/>
  <c r="S196" i="3"/>
  <c r="I191" i="3"/>
  <c r="J191" i="3"/>
  <c r="S188" i="3"/>
  <c r="S180" i="3"/>
  <c r="R165" i="3"/>
  <c r="Q165" i="3"/>
  <c r="O165" i="3"/>
  <c r="P165" i="3"/>
  <c r="R157" i="3"/>
  <c r="O157" i="3"/>
  <c r="P157" i="3"/>
  <c r="O149" i="3"/>
  <c r="P149" i="3"/>
  <c r="P141" i="3"/>
  <c r="O141" i="3"/>
  <c r="R141" i="3"/>
  <c r="P133" i="3"/>
  <c r="O133" i="3"/>
  <c r="R133" i="3"/>
  <c r="S124" i="3"/>
  <c r="I119" i="3"/>
  <c r="J119" i="3"/>
  <c r="S116" i="3"/>
  <c r="I111" i="3"/>
  <c r="J111" i="3"/>
  <c r="S108" i="3"/>
  <c r="S100" i="3"/>
  <c r="S92" i="3"/>
  <c r="I87" i="3"/>
  <c r="J87" i="3"/>
  <c r="R85" i="3"/>
  <c r="P85" i="3"/>
  <c r="O85" i="3"/>
  <c r="S85" i="3"/>
  <c r="I79" i="3"/>
  <c r="J79" i="3"/>
  <c r="P77" i="3"/>
  <c r="R77" i="3"/>
  <c r="S76" i="3"/>
  <c r="R69" i="3"/>
  <c r="O69" i="3"/>
  <c r="S68" i="3"/>
  <c r="I63" i="3"/>
  <c r="J63" i="3"/>
  <c r="O61" i="3"/>
  <c r="Q61" i="3"/>
  <c r="P61" i="3"/>
  <c r="J55" i="3"/>
  <c r="I55" i="3"/>
  <c r="P53" i="3"/>
  <c r="O53" i="3"/>
  <c r="Q53" i="3"/>
  <c r="S52" i="3"/>
  <c r="P45" i="3"/>
  <c r="R45" i="3"/>
  <c r="O45" i="3"/>
  <c r="S45" i="3"/>
  <c r="S44" i="3"/>
  <c r="I39" i="3"/>
  <c r="J39" i="3"/>
  <c r="P37" i="3"/>
  <c r="R37" i="3"/>
  <c r="O37" i="3"/>
  <c r="S36" i="3"/>
  <c r="I31" i="3"/>
  <c r="J31" i="3"/>
  <c r="P29" i="3"/>
  <c r="R29" i="3"/>
  <c r="O29" i="3"/>
  <c r="S28" i="3"/>
  <c r="I23" i="3"/>
  <c r="J23" i="3"/>
  <c r="P21" i="3"/>
  <c r="Q21" i="3"/>
  <c r="O21" i="3"/>
  <c r="S21" i="3"/>
  <c r="S20" i="3"/>
  <c r="J15" i="3"/>
  <c r="I15" i="3"/>
  <c r="P13" i="3"/>
  <c r="R13" i="3"/>
  <c r="O13" i="3"/>
  <c r="S12" i="3"/>
  <c r="O404" i="3"/>
  <c r="O388" i="3"/>
  <c r="O372" i="3"/>
  <c r="P356" i="3"/>
  <c r="Q348" i="3"/>
  <c r="J343" i="3"/>
  <c r="Q317" i="3"/>
  <c r="S277" i="3"/>
  <c r="I247" i="3"/>
  <c r="R203" i="3"/>
  <c r="R147" i="3"/>
  <c r="Q37" i="3"/>
  <c r="I7" i="3"/>
  <c r="M104" i="83"/>
  <c r="N104" i="83"/>
  <c r="P104" i="83"/>
  <c r="O104" i="83"/>
  <c r="S421" i="3"/>
  <c r="S333" i="3"/>
  <c r="S325" i="3"/>
  <c r="S309" i="3"/>
  <c r="S301" i="3"/>
  <c r="S285" i="3"/>
  <c r="S269" i="3"/>
  <c r="S253" i="3"/>
  <c r="S237" i="3"/>
  <c r="S189" i="3"/>
  <c r="S149" i="3"/>
  <c r="S109" i="3"/>
  <c r="P364" i="3"/>
  <c r="Q332" i="3"/>
  <c r="Q269" i="3"/>
  <c r="J222" i="3"/>
  <c r="R164" i="3"/>
  <c r="I418" i="3"/>
  <c r="J418" i="3"/>
  <c r="R416" i="3"/>
  <c r="O416" i="3"/>
  <c r="P416" i="3"/>
  <c r="I410" i="3"/>
  <c r="J410" i="3"/>
  <c r="R400" i="3"/>
  <c r="O400" i="3"/>
  <c r="P400" i="3"/>
  <c r="Q384" i="3"/>
  <c r="O384" i="3"/>
  <c r="P384" i="3"/>
  <c r="I378" i="3"/>
  <c r="J378" i="3"/>
  <c r="I370" i="3"/>
  <c r="J370" i="3"/>
  <c r="I354" i="3"/>
  <c r="J354" i="3"/>
  <c r="R352" i="3"/>
  <c r="P352" i="3"/>
  <c r="Q352" i="3"/>
  <c r="I346" i="3"/>
  <c r="J346" i="3"/>
  <c r="I338" i="3"/>
  <c r="J338" i="3"/>
  <c r="R336" i="3"/>
  <c r="O336" i="3"/>
  <c r="Q336" i="3"/>
  <c r="I330" i="3"/>
  <c r="J330" i="3"/>
  <c r="Q328" i="3"/>
  <c r="O328" i="3"/>
  <c r="P328" i="3"/>
  <c r="R328" i="3"/>
  <c r="I322" i="3"/>
  <c r="J322" i="3"/>
  <c r="I314" i="3"/>
  <c r="J314" i="3"/>
  <c r="R312" i="3"/>
  <c r="O312" i="3"/>
  <c r="Q312" i="3"/>
  <c r="R304" i="3"/>
  <c r="O304" i="3"/>
  <c r="Q304" i="3"/>
  <c r="I290" i="3"/>
  <c r="J290" i="3"/>
  <c r="R288" i="3"/>
  <c r="O288" i="3"/>
  <c r="R280" i="3"/>
  <c r="O280" i="3"/>
  <c r="Q280" i="3"/>
  <c r="I274" i="3"/>
  <c r="J274" i="3"/>
  <c r="R264" i="3"/>
  <c r="O264" i="3"/>
  <c r="Q264" i="3"/>
  <c r="S264" i="3"/>
  <c r="I242" i="3"/>
  <c r="J242" i="3"/>
  <c r="R240" i="3"/>
  <c r="O240" i="3"/>
  <c r="P232" i="3"/>
  <c r="R232" i="3"/>
  <c r="S232" i="3"/>
  <c r="O232" i="3"/>
  <c r="P224" i="3"/>
  <c r="O224" i="3"/>
  <c r="I218" i="3"/>
  <c r="J218" i="3"/>
  <c r="P216" i="3"/>
  <c r="O216" i="3"/>
  <c r="R216" i="3"/>
  <c r="J202" i="3"/>
  <c r="I202" i="3"/>
  <c r="J194" i="3"/>
  <c r="I194" i="3"/>
  <c r="S191" i="3"/>
  <c r="R191" i="3"/>
  <c r="O191" i="3"/>
  <c r="J186" i="3"/>
  <c r="I186" i="3"/>
  <c r="O176" i="3"/>
  <c r="R176" i="3"/>
  <c r="P176" i="3"/>
  <c r="I170" i="3"/>
  <c r="J170" i="3"/>
  <c r="O168" i="3"/>
  <c r="P168" i="3"/>
  <c r="R168" i="3"/>
  <c r="S167" i="3"/>
  <c r="P167" i="3"/>
  <c r="I162" i="3"/>
  <c r="J162" i="3"/>
  <c r="P160" i="3"/>
  <c r="R160" i="3"/>
  <c r="S160" i="3"/>
  <c r="I146" i="3"/>
  <c r="J146" i="3"/>
  <c r="S143" i="3"/>
  <c r="O143" i="3"/>
  <c r="O96" i="3"/>
  <c r="P96" i="3"/>
  <c r="R96" i="3"/>
  <c r="J419" i="3"/>
  <c r="I419" i="3"/>
  <c r="O417" i="3"/>
  <c r="P417" i="3"/>
  <c r="Q417" i="3"/>
  <c r="I411" i="3"/>
  <c r="J411" i="3"/>
  <c r="O409" i="3"/>
  <c r="P409" i="3"/>
  <c r="S408" i="3"/>
  <c r="I403" i="3"/>
  <c r="J403" i="3"/>
  <c r="O401" i="3"/>
  <c r="P401" i="3"/>
  <c r="Q401" i="3"/>
  <c r="I395" i="3"/>
  <c r="J395" i="3"/>
  <c r="O393" i="3"/>
  <c r="P393" i="3"/>
  <c r="I387" i="3"/>
  <c r="J387" i="3"/>
  <c r="O385" i="3"/>
  <c r="Q385" i="3"/>
  <c r="P385" i="3"/>
  <c r="I379" i="3"/>
  <c r="J379" i="3"/>
  <c r="O377" i="3"/>
  <c r="P377" i="3"/>
  <c r="I371" i="3"/>
  <c r="J371" i="3"/>
  <c r="O369" i="3"/>
  <c r="P369" i="3"/>
  <c r="Q369" i="3"/>
  <c r="I363" i="3"/>
  <c r="J363" i="3"/>
  <c r="O361" i="3"/>
  <c r="P361" i="3"/>
  <c r="I355" i="3"/>
  <c r="J355" i="3"/>
  <c r="P353" i="3"/>
  <c r="Q353" i="3"/>
  <c r="R353" i="3"/>
  <c r="I347" i="3"/>
  <c r="J347" i="3"/>
  <c r="O345" i="3"/>
  <c r="Q345" i="3"/>
  <c r="R345" i="3"/>
  <c r="S344" i="3"/>
  <c r="I339" i="3"/>
  <c r="J339" i="3"/>
  <c r="O337" i="3"/>
  <c r="R337" i="3"/>
  <c r="Q337" i="3"/>
  <c r="S336" i="3"/>
  <c r="I331" i="3"/>
  <c r="J331" i="3"/>
  <c r="O329" i="3"/>
  <c r="Q329" i="3"/>
  <c r="R329" i="3"/>
  <c r="I323" i="3"/>
  <c r="J323" i="3"/>
  <c r="O321" i="3"/>
  <c r="Q321" i="3"/>
  <c r="R321" i="3"/>
  <c r="S320" i="3"/>
  <c r="I315" i="3"/>
  <c r="J315" i="3"/>
  <c r="O313" i="3"/>
  <c r="Q313" i="3"/>
  <c r="R313" i="3"/>
  <c r="S312" i="3"/>
  <c r="S304" i="3"/>
  <c r="S296" i="3"/>
  <c r="S288" i="3"/>
  <c r="S280" i="3"/>
  <c r="S272" i="3"/>
  <c r="S256" i="3"/>
  <c r="S248" i="3"/>
  <c r="S240" i="3"/>
  <c r="S224" i="3"/>
  <c r="S216" i="3"/>
  <c r="S200" i="3"/>
  <c r="S192" i="3"/>
  <c r="S112" i="3"/>
  <c r="S88" i="3"/>
  <c r="S345" i="3"/>
  <c r="Q324" i="3"/>
  <c r="Q309" i="3"/>
  <c r="S293" i="3"/>
  <c r="Q255" i="3"/>
  <c r="P237" i="3"/>
  <c r="I226" i="3"/>
  <c r="S219" i="3"/>
  <c r="R213" i="3"/>
  <c r="Q176" i="3"/>
  <c r="R143" i="3"/>
  <c r="R123" i="3"/>
  <c r="O52" i="3"/>
  <c r="L66" i="83"/>
  <c r="P66" i="83"/>
  <c r="N66" i="83"/>
  <c r="O66" i="83"/>
  <c r="Q273" i="3"/>
  <c r="O294" i="3"/>
  <c r="Q294" i="3"/>
  <c r="O286" i="3"/>
  <c r="Q286" i="3"/>
  <c r="O270" i="3"/>
  <c r="Q270" i="3"/>
  <c r="O246" i="3"/>
  <c r="P246" i="3"/>
  <c r="O238" i="3"/>
  <c r="P238" i="3"/>
  <c r="S221" i="3"/>
  <c r="S213" i="3"/>
  <c r="I160" i="3"/>
  <c r="J160" i="3"/>
  <c r="S157" i="3"/>
  <c r="I144" i="3"/>
  <c r="J144" i="3"/>
  <c r="S141" i="3"/>
  <c r="S133" i="3"/>
  <c r="I128" i="3"/>
  <c r="J128" i="3"/>
  <c r="S125" i="3"/>
  <c r="P118" i="3"/>
  <c r="R118" i="3"/>
  <c r="O118" i="3"/>
  <c r="P102" i="3"/>
  <c r="O102" i="3"/>
  <c r="R102" i="3"/>
  <c r="P94" i="3"/>
  <c r="O94" i="3"/>
  <c r="P86" i="3"/>
  <c r="R86" i="3"/>
  <c r="O86" i="3"/>
  <c r="S77" i="3"/>
  <c r="P62" i="3"/>
  <c r="R62" i="3"/>
  <c r="O62" i="3"/>
  <c r="J56" i="3"/>
  <c r="I56" i="3"/>
  <c r="J48" i="3"/>
  <c r="I48" i="3"/>
  <c r="J32" i="3"/>
  <c r="I32" i="3"/>
  <c r="S29" i="3"/>
  <c r="P22" i="3"/>
  <c r="O22" i="3"/>
  <c r="Q22" i="3"/>
  <c r="R398" i="3"/>
  <c r="R382" i="3"/>
  <c r="S350" i="3"/>
  <c r="S334" i="3"/>
  <c r="S318" i="3"/>
  <c r="R294" i="3"/>
  <c r="J243" i="3"/>
  <c r="I208" i="3"/>
  <c r="O198" i="3"/>
  <c r="S142" i="3"/>
  <c r="J139" i="3"/>
  <c r="S105" i="3"/>
  <c r="R94" i="3"/>
  <c r="R64" i="3"/>
  <c r="O49" i="3"/>
  <c r="R40" i="3"/>
  <c r="J19" i="3"/>
  <c r="H273" i="2"/>
  <c r="I273" i="2"/>
  <c r="U248" i="2"/>
  <c r="W248" i="2"/>
  <c r="H161" i="2"/>
  <c r="I161" i="2"/>
  <c r="R116" i="84"/>
  <c r="T116" i="84"/>
  <c r="S281" i="3"/>
  <c r="H340" i="2"/>
  <c r="I340" i="2"/>
  <c r="H156" i="2"/>
  <c r="I156" i="2"/>
  <c r="O278" i="3"/>
  <c r="Q278" i="3"/>
  <c r="O262" i="3"/>
  <c r="Q262" i="3"/>
  <c r="O254" i="3"/>
  <c r="P254" i="3"/>
  <c r="S229" i="3"/>
  <c r="O222" i="3"/>
  <c r="P222" i="3"/>
  <c r="R214" i="3"/>
  <c r="O214" i="3"/>
  <c r="S205" i="3"/>
  <c r="S197" i="3"/>
  <c r="P190" i="3"/>
  <c r="O190" i="3"/>
  <c r="I184" i="3"/>
  <c r="J184" i="3"/>
  <c r="P182" i="3"/>
  <c r="O182" i="3"/>
  <c r="P174" i="3"/>
  <c r="R174" i="3"/>
  <c r="P166" i="3"/>
  <c r="R166" i="3"/>
  <c r="P150" i="3"/>
  <c r="R150" i="3"/>
  <c r="O150" i="3"/>
  <c r="P134" i="3"/>
  <c r="O134" i="3"/>
  <c r="P126" i="3"/>
  <c r="R126" i="3"/>
  <c r="I104" i="3"/>
  <c r="J104" i="3"/>
  <c r="S101" i="3"/>
  <c r="P78" i="3"/>
  <c r="Q78" i="3"/>
  <c r="O78" i="3"/>
  <c r="S69" i="3"/>
  <c r="R54" i="3"/>
  <c r="P54" i="3"/>
  <c r="O54" i="3"/>
  <c r="J40" i="3"/>
  <c r="I40" i="3"/>
  <c r="P38" i="3"/>
  <c r="O38" i="3"/>
  <c r="P30" i="3"/>
  <c r="R30" i="3"/>
  <c r="P14" i="3"/>
  <c r="O14" i="3"/>
  <c r="R14" i="3"/>
  <c r="P6" i="3"/>
  <c r="O6" i="3"/>
  <c r="Q6" i="3"/>
  <c r="S414" i="3"/>
  <c r="R366" i="3"/>
  <c r="S302" i="3"/>
  <c r="J288" i="3"/>
  <c r="R281" i="3"/>
  <c r="J275" i="3"/>
  <c r="J256" i="3"/>
  <c r="Q249" i="3"/>
  <c r="J187" i="3"/>
  <c r="Q415" i="3"/>
  <c r="O415" i="3"/>
  <c r="Q407" i="3"/>
  <c r="O407" i="3"/>
  <c r="Q399" i="3"/>
  <c r="O399" i="3"/>
  <c r="Q391" i="3"/>
  <c r="O391" i="3"/>
  <c r="Q383" i="3"/>
  <c r="O383" i="3"/>
  <c r="Q375" i="3"/>
  <c r="O375" i="3"/>
  <c r="Q367" i="3"/>
  <c r="O367" i="3"/>
  <c r="Q359" i="3"/>
  <c r="O359" i="3"/>
  <c r="R351" i="3"/>
  <c r="P351" i="3"/>
  <c r="Q343" i="3"/>
  <c r="O343" i="3"/>
  <c r="R335" i="3"/>
  <c r="O335" i="3"/>
  <c r="R327" i="3"/>
  <c r="O327" i="3"/>
  <c r="R319" i="3"/>
  <c r="O319" i="3"/>
  <c r="R311" i="3"/>
  <c r="O311" i="3"/>
  <c r="R303" i="3"/>
  <c r="O303" i="3"/>
  <c r="I297" i="3"/>
  <c r="J297" i="3"/>
  <c r="R295" i="3"/>
  <c r="O295" i="3"/>
  <c r="I289" i="3"/>
  <c r="J289" i="3"/>
  <c r="R287" i="3"/>
  <c r="O287" i="3"/>
  <c r="I281" i="3"/>
  <c r="J281" i="3"/>
  <c r="R279" i="3"/>
  <c r="O279" i="3"/>
  <c r="I273" i="3"/>
  <c r="J273" i="3"/>
  <c r="R271" i="3"/>
  <c r="O271" i="3"/>
  <c r="I265" i="3"/>
  <c r="J265" i="3"/>
  <c r="R263" i="3"/>
  <c r="O263" i="3"/>
  <c r="I257" i="3"/>
  <c r="J257" i="3"/>
  <c r="R255" i="3"/>
  <c r="O255" i="3"/>
  <c r="I249" i="3"/>
  <c r="J249" i="3"/>
  <c r="Q247" i="3"/>
  <c r="R247" i="3"/>
  <c r="O247" i="3"/>
  <c r="I241" i="3"/>
  <c r="J241" i="3"/>
  <c r="R239" i="3"/>
  <c r="O239" i="3"/>
  <c r="I233" i="3"/>
  <c r="J233" i="3"/>
  <c r="P231" i="3"/>
  <c r="R231" i="3"/>
  <c r="P223" i="3"/>
  <c r="S214" i="3"/>
  <c r="O207" i="3"/>
  <c r="I201" i="3"/>
  <c r="J201" i="3"/>
  <c r="P199" i="3"/>
  <c r="R199" i="3"/>
  <c r="J193" i="3"/>
  <c r="I193" i="3"/>
  <c r="P191" i="3"/>
  <c r="S190" i="3"/>
  <c r="J185" i="3"/>
  <c r="I185" i="3"/>
  <c r="R183" i="3"/>
  <c r="O183" i="3"/>
  <c r="J177" i="3"/>
  <c r="I177" i="3"/>
  <c r="O175" i="3"/>
  <c r="S174" i="3"/>
  <c r="O167" i="3"/>
  <c r="R167" i="3"/>
  <c r="J161" i="3"/>
  <c r="I161" i="3"/>
  <c r="R159" i="3"/>
  <c r="Q159" i="3"/>
  <c r="P159" i="3"/>
  <c r="R151" i="3"/>
  <c r="O151" i="3"/>
  <c r="P143" i="3"/>
  <c r="J137" i="3"/>
  <c r="I137" i="3"/>
  <c r="O135" i="3"/>
  <c r="S134" i="3"/>
  <c r="J129" i="3"/>
  <c r="I129" i="3"/>
  <c r="R127" i="3"/>
  <c r="O127" i="3"/>
  <c r="J121" i="3"/>
  <c r="I121" i="3"/>
  <c r="P119" i="3"/>
  <c r="S118" i="3"/>
  <c r="R111" i="3"/>
  <c r="P111" i="3"/>
  <c r="S110" i="3"/>
  <c r="J105" i="3"/>
  <c r="I105" i="3"/>
  <c r="O103" i="3"/>
  <c r="J97" i="3"/>
  <c r="I97" i="3"/>
  <c r="R95" i="3"/>
  <c r="O95" i="3"/>
  <c r="P95" i="3"/>
  <c r="S94" i="3"/>
  <c r="J89" i="3"/>
  <c r="I89" i="3"/>
  <c r="O87" i="3"/>
  <c r="R87" i="3"/>
  <c r="P79" i="3"/>
  <c r="O79" i="3"/>
  <c r="O71" i="3"/>
  <c r="R71" i="3"/>
  <c r="P71" i="3"/>
  <c r="S70" i="3"/>
  <c r="J65" i="3"/>
  <c r="I65" i="3"/>
  <c r="Q55" i="3"/>
  <c r="O55" i="3"/>
  <c r="J49" i="3"/>
  <c r="I49" i="3"/>
  <c r="O47" i="3"/>
  <c r="R47" i="3"/>
  <c r="S46" i="3"/>
  <c r="R39" i="3"/>
  <c r="P39" i="3"/>
  <c r="S38" i="3"/>
  <c r="J33" i="3"/>
  <c r="I33" i="3"/>
  <c r="O31" i="3"/>
  <c r="R31" i="3"/>
  <c r="P31" i="3"/>
  <c r="S30" i="3"/>
  <c r="P23" i="3"/>
  <c r="O23" i="3"/>
  <c r="R23" i="3"/>
  <c r="S22" i="3"/>
  <c r="J17" i="3"/>
  <c r="I17" i="3"/>
  <c r="O15" i="3"/>
  <c r="P15" i="3"/>
  <c r="R15" i="3"/>
  <c r="S14" i="3"/>
  <c r="J9" i="3"/>
  <c r="I9" i="3"/>
  <c r="O7" i="3"/>
  <c r="P7" i="3"/>
  <c r="S6" i="3"/>
  <c r="J421" i="3"/>
  <c r="Q414" i="3"/>
  <c r="P407" i="3"/>
  <c r="Q398" i="3"/>
  <c r="P391" i="3"/>
  <c r="Q382" i="3"/>
  <c r="P375" i="3"/>
  <c r="Q366" i="3"/>
  <c r="P359" i="3"/>
  <c r="R350" i="3"/>
  <c r="P343" i="3"/>
  <c r="R334" i="3"/>
  <c r="Q327" i="3"/>
  <c r="R318" i="3"/>
  <c r="Q311" i="3"/>
  <c r="R302" i="3"/>
  <c r="R238" i="3"/>
  <c r="R222" i="3"/>
  <c r="P210" i="3"/>
  <c r="R207" i="3"/>
  <c r="I203" i="3"/>
  <c r="R186" i="3"/>
  <c r="R175" i="3"/>
  <c r="I157" i="3"/>
  <c r="R142" i="3"/>
  <c r="P135" i="3"/>
  <c r="P127" i="3"/>
  <c r="J124" i="3"/>
  <c r="I120" i="3"/>
  <c r="P105" i="3"/>
  <c r="R79" i="3"/>
  <c r="I72" i="3"/>
  <c r="I61" i="3"/>
  <c r="I57" i="3"/>
  <c r="P40" i="3"/>
  <c r="U322" i="2"/>
  <c r="W322" i="2"/>
  <c r="H312" i="2"/>
  <c r="I312" i="2"/>
  <c r="H160" i="2"/>
  <c r="I160" i="2"/>
  <c r="I133" i="2"/>
  <c r="H133" i="2"/>
  <c r="P382" i="83"/>
  <c r="O382" i="83"/>
  <c r="L382" i="83"/>
  <c r="M382" i="83"/>
  <c r="M316" i="83"/>
  <c r="O316" i="83"/>
  <c r="P316" i="83"/>
  <c r="N316" i="83"/>
  <c r="L203" i="83"/>
  <c r="N203" i="83"/>
  <c r="P203" i="83"/>
  <c r="O225" i="3"/>
  <c r="P225" i="3"/>
  <c r="R217" i="3"/>
  <c r="O217" i="3"/>
  <c r="R169" i="3"/>
  <c r="O169" i="3"/>
  <c r="O161" i="3"/>
  <c r="P161" i="3"/>
  <c r="J155" i="3"/>
  <c r="I155" i="3"/>
  <c r="R137" i="3"/>
  <c r="O137" i="3"/>
  <c r="P137" i="3"/>
  <c r="J123" i="3"/>
  <c r="I123" i="3"/>
  <c r="P113" i="3"/>
  <c r="O113" i="3"/>
  <c r="S96" i="3"/>
  <c r="I83" i="3"/>
  <c r="J83" i="3"/>
  <c r="S80" i="3"/>
  <c r="P73" i="3"/>
  <c r="R73" i="3"/>
  <c r="O65" i="3"/>
  <c r="Q65" i="3"/>
  <c r="P65" i="3"/>
  <c r="P25" i="3"/>
  <c r="Q25" i="3"/>
  <c r="O25" i="3"/>
  <c r="P9" i="3"/>
  <c r="O9" i="3"/>
  <c r="Q289" i="3"/>
  <c r="R177" i="3"/>
  <c r="P89" i="3"/>
  <c r="R16" i="3"/>
  <c r="H241" i="2"/>
  <c r="I241" i="2"/>
  <c r="U105" i="2"/>
  <c r="W105" i="2"/>
  <c r="H58" i="2"/>
  <c r="I58" i="2"/>
  <c r="N21" i="83"/>
  <c r="M21" i="83"/>
  <c r="O21" i="83"/>
  <c r="O298" i="3"/>
  <c r="Q298" i="3"/>
  <c r="O290" i="3"/>
  <c r="Q290" i="3"/>
  <c r="O282" i="3"/>
  <c r="Q282" i="3"/>
  <c r="O274" i="3"/>
  <c r="Q274" i="3"/>
  <c r="O266" i="3"/>
  <c r="Q266" i="3"/>
  <c r="O258" i="3"/>
  <c r="Q258" i="3"/>
  <c r="O250" i="3"/>
  <c r="P250" i="3"/>
  <c r="O242" i="3"/>
  <c r="P242" i="3"/>
  <c r="O234" i="3"/>
  <c r="P234" i="3"/>
  <c r="S225" i="3"/>
  <c r="S217" i="3"/>
  <c r="S209" i="3"/>
  <c r="I204" i="3"/>
  <c r="J204" i="3"/>
  <c r="P202" i="3"/>
  <c r="Q202" i="3"/>
  <c r="S201" i="3"/>
  <c r="J196" i="3"/>
  <c r="I196" i="3"/>
  <c r="P194" i="3"/>
  <c r="R194" i="3"/>
  <c r="O194" i="3"/>
  <c r="S193" i="3"/>
  <c r="S185" i="3"/>
  <c r="P178" i="3"/>
  <c r="R178" i="3"/>
  <c r="S177" i="3"/>
  <c r="P170" i="3"/>
  <c r="O170" i="3"/>
  <c r="S169" i="3"/>
  <c r="S161" i="3"/>
  <c r="J156" i="3"/>
  <c r="I156" i="3"/>
  <c r="P154" i="3"/>
  <c r="O154" i="3"/>
  <c r="P146" i="3"/>
  <c r="R146" i="3"/>
  <c r="O146" i="3"/>
  <c r="S145" i="3"/>
  <c r="P138" i="3"/>
  <c r="O138" i="3"/>
  <c r="R138" i="3"/>
  <c r="P130" i="3"/>
  <c r="R130" i="3"/>
  <c r="O130" i="3"/>
  <c r="P122" i="3"/>
  <c r="Q122" i="3"/>
  <c r="P114" i="3"/>
  <c r="O114" i="3"/>
  <c r="S113" i="3"/>
  <c r="P106" i="3"/>
  <c r="O106" i="3"/>
  <c r="R106" i="3"/>
  <c r="I100" i="3"/>
  <c r="J100" i="3"/>
  <c r="P98" i="3"/>
  <c r="R98" i="3"/>
  <c r="S97" i="3"/>
  <c r="P90" i="3"/>
  <c r="R90" i="3"/>
  <c r="I84" i="3"/>
  <c r="J84" i="3"/>
  <c r="I76" i="3"/>
  <c r="J76" i="3"/>
  <c r="P74" i="3"/>
  <c r="O74" i="3"/>
  <c r="R74" i="3"/>
  <c r="P66" i="3"/>
  <c r="R66" i="3"/>
  <c r="O66" i="3"/>
  <c r="P58" i="3"/>
  <c r="Q58" i="3"/>
  <c r="O58" i="3"/>
  <c r="J52" i="3"/>
  <c r="I52" i="3"/>
  <c r="P50" i="3"/>
  <c r="O50" i="3"/>
  <c r="R50" i="3"/>
  <c r="S49" i="3"/>
  <c r="J44" i="3"/>
  <c r="I44" i="3"/>
  <c r="P42" i="3"/>
  <c r="O42" i="3"/>
  <c r="R42" i="3"/>
  <c r="S41" i="3"/>
  <c r="P34" i="3"/>
  <c r="Q34" i="3"/>
  <c r="O34" i="3"/>
  <c r="S33" i="3"/>
  <c r="P26" i="3"/>
  <c r="R26" i="3"/>
  <c r="O26" i="3"/>
  <c r="J20" i="3"/>
  <c r="I20" i="3"/>
  <c r="P18" i="3"/>
  <c r="O18" i="3"/>
  <c r="J12" i="3"/>
  <c r="I12" i="3"/>
  <c r="P10" i="3"/>
  <c r="O10" i="3"/>
  <c r="S9" i="3"/>
  <c r="R415" i="3"/>
  <c r="J412" i="3"/>
  <c r="P410" i="3"/>
  <c r="J405" i="3"/>
  <c r="R399" i="3"/>
  <c r="J396" i="3"/>
  <c r="P394" i="3"/>
  <c r="R390" i="3"/>
  <c r="J389" i="3"/>
  <c r="R383" i="3"/>
  <c r="J380" i="3"/>
  <c r="P378" i="3"/>
  <c r="J373" i="3"/>
  <c r="R367" i="3"/>
  <c r="J364" i="3"/>
  <c r="P362" i="3"/>
  <c r="R358" i="3"/>
  <c r="J357" i="3"/>
  <c r="J348" i="3"/>
  <c r="Q346" i="3"/>
  <c r="R342" i="3"/>
  <c r="J341" i="3"/>
  <c r="J332" i="3"/>
  <c r="Q330" i="3"/>
  <c r="J325" i="3"/>
  <c r="J316" i="3"/>
  <c r="Q314" i="3"/>
  <c r="J309" i="3"/>
  <c r="J307" i="3"/>
  <c r="Q305" i="3"/>
  <c r="R297" i="3"/>
  <c r="Q295" i="3"/>
  <c r="J291" i="3"/>
  <c r="R278" i="3"/>
  <c r="J272" i="3"/>
  <c r="R265" i="3"/>
  <c r="Q263" i="3"/>
  <c r="J259" i="3"/>
  <c r="O257" i="3"/>
  <c r="R246" i="3"/>
  <c r="J240" i="3"/>
  <c r="R233" i="3"/>
  <c r="O231" i="3"/>
  <c r="O226" i="3"/>
  <c r="J224" i="3"/>
  <c r="I219" i="3"/>
  <c r="O209" i="3"/>
  <c r="S206" i="3"/>
  <c r="J180" i="3"/>
  <c r="P177" i="3"/>
  <c r="O174" i="3"/>
  <c r="J172" i="3"/>
  <c r="O162" i="3"/>
  <c r="Q137" i="3"/>
  <c r="O126" i="3"/>
  <c r="O122" i="3"/>
  <c r="I115" i="3"/>
  <c r="O89" i="3"/>
  <c r="R70" i="3"/>
  <c r="Q66" i="3"/>
  <c r="R46" i="3"/>
  <c r="J43" i="3"/>
  <c r="Q16" i="3"/>
  <c r="I8" i="3"/>
  <c r="U338" i="2"/>
  <c r="W338" i="2"/>
  <c r="H320" i="2"/>
  <c r="I320" i="2"/>
  <c r="H298" i="2"/>
  <c r="I298" i="2"/>
  <c r="H184" i="2"/>
  <c r="I184" i="2"/>
  <c r="H158" i="2"/>
  <c r="I158" i="2"/>
  <c r="U117" i="2"/>
  <c r="W117" i="2"/>
  <c r="H97" i="2"/>
  <c r="I97" i="2"/>
  <c r="H82" i="2"/>
  <c r="I82" i="2"/>
  <c r="W39" i="2"/>
  <c r="U39" i="2"/>
  <c r="U30" i="2"/>
  <c r="W30" i="2"/>
  <c r="J227" i="3"/>
  <c r="I227" i="3"/>
  <c r="P185" i="3"/>
  <c r="R185" i="3"/>
  <c r="S168" i="3"/>
  <c r="Q153" i="3"/>
  <c r="P153" i="3"/>
  <c r="O153" i="3"/>
  <c r="R153" i="3"/>
  <c r="S136" i="3"/>
  <c r="O129" i="3"/>
  <c r="Q129" i="3"/>
  <c r="R121" i="3"/>
  <c r="O121" i="3"/>
  <c r="I107" i="3"/>
  <c r="J107" i="3"/>
  <c r="S104" i="3"/>
  <c r="O97" i="3"/>
  <c r="R97" i="3"/>
  <c r="J91" i="3"/>
  <c r="I91" i="3"/>
  <c r="O81" i="3"/>
  <c r="P81" i="3"/>
  <c r="R81" i="3"/>
  <c r="Q57" i="3"/>
  <c r="R57" i="3"/>
  <c r="P57" i="3"/>
  <c r="I51" i="3"/>
  <c r="J51" i="3"/>
  <c r="P41" i="3"/>
  <c r="R41" i="3"/>
  <c r="P33" i="3"/>
  <c r="R33" i="3"/>
  <c r="P17" i="3"/>
  <c r="R17" i="3"/>
  <c r="O17" i="3"/>
  <c r="R305" i="3"/>
  <c r="S297" i="3"/>
  <c r="S265" i="3"/>
  <c r="S233" i="3"/>
  <c r="P209" i="3"/>
  <c r="O145" i="3"/>
  <c r="I75" i="3"/>
  <c r="J67" i="3"/>
  <c r="J35" i="3"/>
  <c r="S25" i="3"/>
  <c r="W181" i="2"/>
  <c r="U181" i="2"/>
  <c r="U170" i="2"/>
  <c r="W170" i="2"/>
  <c r="H150" i="2"/>
  <c r="I150" i="2"/>
  <c r="H146" i="2"/>
  <c r="I146" i="2"/>
  <c r="U59" i="2"/>
  <c r="W59" i="2"/>
  <c r="P317" i="83"/>
  <c r="N317" i="83"/>
  <c r="M317" i="83"/>
  <c r="O317" i="83"/>
  <c r="Q419" i="3"/>
  <c r="Q411" i="3"/>
  <c r="O411" i="3"/>
  <c r="Q403" i="3"/>
  <c r="O403" i="3"/>
  <c r="R395" i="3"/>
  <c r="O395" i="3"/>
  <c r="Q387" i="3"/>
  <c r="O387" i="3"/>
  <c r="Q379" i="3"/>
  <c r="O379" i="3"/>
  <c r="Q371" i="3"/>
  <c r="O371" i="3"/>
  <c r="Q363" i="3"/>
  <c r="O363" i="3"/>
  <c r="R355" i="3"/>
  <c r="P355" i="3"/>
  <c r="R347" i="3"/>
  <c r="O347" i="3"/>
  <c r="Q339" i="3"/>
  <c r="O339" i="3"/>
  <c r="R331" i="3"/>
  <c r="O331" i="3"/>
  <c r="R323" i="3"/>
  <c r="O323" i="3"/>
  <c r="R315" i="3"/>
  <c r="O315" i="3"/>
  <c r="R307" i="3"/>
  <c r="O307" i="3"/>
  <c r="I301" i="3"/>
  <c r="J301" i="3"/>
  <c r="R299" i="3"/>
  <c r="O299" i="3"/>
  <c r="I293" i="3"/>
  <c r="J293" i="3"/>
  <c r="R291" i="3"/>
  <c r="O291" i="3"/>
  <c r="I285" i="3"/>
  <c r="J285" i="3"/>
  <c r="R283" i="3"/>
  <c r="O283" i="3"/>
  <c r="I277" i="3"/>
  <c r="J277" i="3"/>
  <c r="R275" i="3"/>
  <c r="O275" i="3"/>
  <c r="I269" i="3"/>
  <c r="J269" i="3"/>
  <c r="R267" i="3"/>
  <c r="O267" i="3"/>
  <c r="I261" i="3"/>
  <c r="J261" i="3"/>
  <c r="R259" i="3"/>
  <c r="O259" i="3"/>
  <c r="I253" i="3"/>
  <c r="J253" i="3"/>
  <c r="R251" i="3"/>
  <c r="O251" i="3"/>
  <c r="I245" i="3"/>
  <c r="J245" i="3"/>
  <c r="R243" i="3"/>
  <c r="O243" i="3"/>
  <c r="I237" i="3"/>
  <c r="J237" i="3"/>
  <c r="R235" i="3"/>
  <c r="O235" i="3"/>
  <c r="S226" i="3"/>
  <c r="O219" i="3"/>
  <c r="P219" i="3"/>
  <c r="R211" i="3"/>
  <c r="O211" i="3"/>
  <c r="Q203" i="3"/>
  <c r="P195" i="3"/>
  <c r="J189" i="3"/>
  <c r="I189" i="3"/>
  <c r="O187" i="3"/>
  <c r="P187" i="3"/>
  <c r="S186" i="3"/>
  <c r="O179" i="3"/>
  <c r="S178" i="3"/>
  <c r="R171" i="3"/>
  <c r="P171" i="3"/>
  <c r="R163" i="3"/>
  <c r="Q163" i="3"/>
  <c r="O163" i="3"/>
  <c r="S162" i="3"/>
  <c r="O155" i="3"/>
  <c r="R155" i="3"/>
  <c r="J149" i="3"/>
  <c r="I149" i="3"/>
  <c r="P147" i="3"/>
  <c r="O147" i="3"/>
  <c r="S146" i="3"/>
  <c r="J141" i="3"/>
  <c r="I141" i="3"/>
  <c r="R139" i="3"/>
  <c r="P139" i="3"/>
  <c r="O139" i="3"/>
  <c r="Q139" i="3"/>
  <c r="R131" i="3"/>
  <c r="J125" i="3"/>
  <c r="I125" i="3"/>
  <c r="O123" i="3"/>
  <c r="P123" i="3"/>
  <c r="J117" i="3"/>
  <c r="I117" i="3"/>
  <c r="P115" i="3"/>
  <c r="R115" i="3"/>
  <c r="J109" i="3"/>
  <c r="I109" i="3"/>
  <c r="O107" i="3"/>
  <c r="P99" i="3"/>
  <c r="O99" i="3"/>
  <c r="S98" i="3"/>
  <c r="J93" i="3"/>
  <c r="I93" i="3"/>
  <c r="R91" i="3"/>
  <c r="S90" i="3"/>
  <c r="J85" i="3"/>
  <c r="I85" i="3"/>
  <c r="P83" i="3"/>
  <c r="R83" i="3"/>
  <c r="J77" i="3"/>
  <c r="I77" i="3"/>
  <c r="S74" i="3"/>
  <c r="J69" i="3"/>
  <c r="I69" i="3"/>
  <c r="R67" i="3"/>
  <c r="O67" i="3"/>
  <c r="P67" i="3"/>
  <c r="Q67" i="3"/>
  <c r="R59" i="3"/>
  <c r="P59" i="3"/>
  <c r="J53" i="3"/>
  <c r="I53" i="3"/>
  <c r="R51" i="3"/>
  <c r="S50" i="3"/>
  <c r="J45" i="3"/>
  <c r="I45" i="3"/>
  <c r="Q43" i="3"/>
  <c r="S42" i="3"/>
  <c r="J37" i="3"/>
  <c r="I37" i="3"/>
  <c r="R35" i="3"/>
  <c r="Q35" i="3"/>
  <c r="S34" i="3"/>
  <c r="J29" i="3"/>
  <c r="I29" i="3"/>
  <c r="Q27" i="3"/>
  <c r="P27" i="3"/>
  <c r="S26" i="3"/>
  <c r="J21" i="3"/>
  <c r="I21" i="3"/>
  <c r="P19" i="3"/>
  <c r="S18" i="3"/>
  <c r="R11" i="3"/>
  <c r="Q11" i="3"/>
  <c r="O11" i="3"/>
  <c r="S10" i="3"/>
  <c r="R418" i="3"/>
  <c r="P415" i="3"/>
  <c r="Q406" i="3"/>
  <c r="P399" i="3"/>
  <c r="Q390" i="3"/>
  <c r="P383" i="3"/>
  <c r="R374" i="3"/>
  <c r="P367" i="3"/>
  <c r="Q358" i="3"/>
  <c r="Q351" i="3"/>
  <c r="Q342" i="3"/>
  <c r="Q335" i="3"/>
  <c r="R326" i="3"/>
  <c r="Q319" i="3"/>
  <c r="R310" i="3"/>
  <c r="Q303" i="3"/>
  <c r="Q299" i="3"/>
  <c r="R282" i="3"/>
  <c r="Q267" i="3"/>
  <c r="R250" i="3"/>
  <c r="P235" i="3"/>
  <c r="R223" i="3"/>
  <c r="Q218" i="3"/>
  <c r="P211" i="3"/>
  <c r="P206" i="3"/>
  <c r="O199" i="3"/>
  <c r="O185" i="3"/>
  <c r="R179" i="3"/>
  <c r="O171" i="3"/>
  <c r="I165" i="3"/>
  <c r="P155" i="3"/>
  <c r="I152" i="3"/>
  <c r="I148" i="3"/>
  <c r="P129" i="3"/>
  <c r="R114" i="3"/>
  <c r="R110" i="3"/>
  <c r="P107" i="3"/>
  <c r="P103" i="3"/>
  <c r="R99" i="3"/>
  <c r="Q73" i="3"/>
  <c r="O70" i="3"/>
  <c r="Q62" i="3"/>
  <c r="I59" i="3"/>
  <c r="O51" i="3"/>
  <c r="O46" i="3"/>
  <c r="O33" i="3"/>
  <c r="P11" i="3"/>
  <c r="H310" i="2"/>
  <c r="I310" i="2"/>
  <c r="U307" i="2"/>
  <c r="W307" i="2"/>
  <c r="W290" i="2"/>
  <c r="U290" i="2"/>
  <c r="H269" i="2"/>
  <c r="I269" i="2"/>
  <c r="H257" i="2"/>
  <c r="I257" i="2"/>
  <c r="H200" i="2"/>
  <c r="I200" i="2"/>
  <c r="H192" i="2"/>
  <c r="I192" i="2"/>
  <c r="L393" i="83"/>
  <c r="O393" i="83"/>
  <c r="O385" i="83"/>
  <c r="L385" i="83"/>
  <c r="M385" i="83"/>
  <c r="M300" i="83"/>
  <c r="O300" i="83"/>
  <c r="P300" i="83"/>
  <c r="N300" i="83"/>
  <c r="N222" i="83"/>
  <c r="P222" i="83"/>
  <c r="M222" i="83"/>
  <c r="Q222" i="83"/>
  <c r="P64" i="3"/>
  <c r="W288" i="2"/>
  <c r="U288" i="2"/>
  <c r="H267" i="2"/>
  <c r="I267" i="2"/>
  <c r="H122" i="2"/>
  <c r="I122" i="2"/>
  <c r="W76" i="2"/>
  <c r="U76" i="2"/>
  <c r="W8" i="2"/>
  <c r="U8" i="2"/>
  <c r="J18" i="3"/>
  <c r="J10" i="3"/>
  <c r="U327" i="2"/>
  <c r="W327" i="2"/>
  <c r="H326" i="2"/>
  <c r="I326" i="2"/>
  <c r="I274" i="2"/>
  <c r="H274" i="2"/>
  <c r="U244" i="2"/>
  <c r="W244" i="2"/>
  <c r="U196" i="2"/>
  <c r="W196" i="2"/>
  <c r="U132" i="2"/>
  <c r="W132" i="2"/>
  <c r="W128" i="2"/>
  <c r="U128" i="2"/>
  <c r="N236" i="83"/>
  <c r="Q236" i="83"/>
  <c r="P236" i="83"/>
  <c r="N213" i="83"/>
  <c r="M213" i="83"/>
  <c r="S63" i="3"/>
  <c r="R56" i="3"/>
  <c r="S55" i="3"/>
  <c r="R48" i="3"/>
  <c r="S47" i="3"/>
  <c r="O40" i="3"/>
  <c r="S39" i="3"/>
  <c r="R32" i="3"/>
  <c r="S31" i="3"/>
  <c r="O24" i="3"/>
  <c r="R24" i="3"/>
  <c r="S23" i="3"/>
  <c r="P16" i="3"/>
  <c r="S15" i="3"/>
  <c r="O8" i="3"/>
  <c r="P8" i="3"/>
  <c r="S7" i="3"/>
  <c r="J26" i="3"/>
  <c r="H343" i="2"/>
  <c r="I343" i="2"/>
  <c r="I292" i="2"/>
  <c r="H292" i="2"/>
  <c r="U280" i="2"/>
  <c r="W280" i="2"/>
  <c r="I213" i="2"/>
  <c r="H213" i="2"/>
  <c r="M416" i="83"/>
  <c r="P416" i="83"/>
  <c r="O416" i="83"/>
  <c r="M340" i="83"/>
  <c r="P340" i="83"/>
  <c r="N340" i="83"/>
  <c r="O340" i="83"/>
  <c r="P318" i="83"/>
  <c r="N318" i="83"/>
  <c r="O318" i="83"/>
  <c r="M318" i="83"/>
  <c r="M267" i="83"/>
  <c r="Q267" i="83"/>
  <c r="P224" i="83"/>
  <c r="M224" i="83"/>
  <c r="L224" i="83"/>
  <c r="N224" i="83"/>
  <c r="M140" i="83"/>
  <c r="N140" i="83"/>
  <c r="O140" i="83"/>
  <c r="P140" i="83"/>
  <c r="I336" i="2"/>
  <c r="H336" i="2"/>
  <c r="H245" i="2"/>
  <c r="I245" i="2"/>
  <c r="U238" i="2"/>
  <c r="W238" i="2"/>
  <c r="W214" i="2"/>
  <c r="U214" i="2"/>
  <c r="W208" i="2"/>
  <c r="W191" i="2"/>
  <c r="U187" i="2"/>
  <c r="H114" i="2"/>
  <c r="I114" i="2"/>
  <c r="U55" i="2"/>
  <c r="W55" i="2"/>
  <c r="U32" i="2"/>
  <c r="W32" i="2"/>
  <c r="Q411" i="83"/>
  <c r="M411" i="83"/>
  <c r="O364" i="83"/>
  <c r="P364" i="83"/>
  <c r="P255" i="83"/>
  <c r="L255" i="83"/>
  <c r="N255" i="83"/>
  <c r="M255" i="83"/>
  <c r="M184" i="83"/>
  <c r="N184" i="83"/>
  <c r="P184" i="83"/>
  <c r="P93" i="83"/>
  <c r="M93" i="83"/>
  <c r="N93" i="83"/>
  <c r="O93" i="83"/>
  <c r="W344" i="2"/>
  <c r="U344" i="2"/>
  <c r="W282" i="2"/>
  <c r="U282" i="2"/>
  <c r="W273" i="2"/>
  <c r="U273" i="2"/>
  <c r="H215" i="2"/>
  <c r="H195" i="2"/>
  <c r="I195" i="2"/>
  <c r="W139" i="2"/>
  <c r="U139" i="2"/>
  <c r="I138" i="2"/>
  <c r="I111" i="2"/>
  <c r="H111" i="2"/>
  <c r="I107" i="2"/>
  <c r="H107" i="2"/>
  <c r="U82" i="2"/>
  <c r="W82" i="2"/>
  <c r="P413" i="83"/>
  <c r="O413" i="83"/>
  <c r="L398" i="83"/>
  <c r="M398" i="83"/>
  <c r="P398" i="83"/>
  <c r="O398" i="83"/>
  <c r="N220" i="83"/>
  <c r="P220" i="83"/>
  <c r="Q220" i="83"/>
  <c r="N206" i="83"/>
  <c r="L206" i="83"/>
  <c r="M206" i="83"/>
  <c r="P206" i="83"/>
  <c r="U212" i="2"/>
  <c r="W212" i="2"/>
  <c r="H211" i="2"/>
  <c r="W173" i="2"/>
  <c r="U173" i="2"/>
  <c r="H172" i="2"/>
  <c r="I165" i="2"/>
  <c r="H163" i="2"/>
  <c r="I163" i="2"/>
  <c r="U155" i="2"/>
  <c r="W155" i="2"/>
  <c r="I142" i="2"/>
  <c r="U89" i="2"/>
  <c r="W89" i="2"/>
  <c r="W69" i="2"/>
  <c r="U69" i="2"/>
  <c r="U34" i="2"/>
  <c r="W34" i="2"/>
  <c r="Q52" i="83"/>
  <c r="N52" i="83"/>
  <c r="O52" i="83"/>
  <c r="I246" i="2"/>
  <c r="H246" i="2"/>
  <c r="H229" i="2"/>
  <c r="I229" i="2"/>
  <c r="W218" i="2"/>
  <c r="U218" i="2"/>
  <c r="U147" i="2"/>
  <c r="W147" i="2"/>
  <c r="U50" i="2"/>
  <c r="W50" i="2"/>
  <c r="U46" i="2"/>
  <c r="W46" i="2"/>
  <c r="O414" i="83"/>
  <c r="P414" i="83"/>
  <c r="M414" i="83"/>
  <c r="N414" i="83"/>
  <c r="Q379" i="83"/>
  <c r="O379" i="83"/>
  <c r="P379" i="83"/>
  <c r="M73" i="83"/>
  <c r="O73" i="83"/>
  <c r="P73" i="83"/>
  <c r="U315" i="2"/>
  <c r="W315" i="2"/>
  <c r="U279" i="2"/>
  <c r="W279" i="2"/>
  <c r="W193" i="2"/>
  <c r="U193" i="2"/>
  <c r="H171" i="2"/>
  <c r="I171" i="2"/>
  <c r="W154" i="2"/>
  <c r="U154" i="2"/>
  <c r="W150" i="2"/>
  <c r="U150" i="2"/>
  <c r="H137" i="2"/>
  <c r="I137" i="2"/>
  <c r="W134" i="2"/>
  <c r="U134" i="2"/>
  <c r="O429" i="83"/>
  <c r="P429" i="83"/>
  <c r="Q427" i="83"/>
  <c r="O401" i="83"/>
  <c r="L395" i="83"/>
  <c r="P395" i="83"/>
  <c r="L387" i="83"/>
  <c r="N314" i="83"/>
  <c r="M314" i="83"/>
  <c r="M293" i="83"/>
  <c r="N293" i="83"/>
  <c r="Q240" i="83"/>
  <c r="N240" i="83"/>
  <c r="L83" i="83"/>
  <c r="N83" i="83"/>
  <c r="P74" i="83"/>
  <c r="N74" i="83"/>
  <c r="H90" i="2"/>
  <c r="I90" i="2"/>
  <c r="U86" i="2"/>
  <c r="W86" i="2"/>
  <c r="O421" i="83"/>
  <c r="M421" i="83"/>
  <c r="Q405" i="83"/>
  <c r="P405" i="83"/>
  <c r="N315" i="83"/>
  <c r="O315" i="83"/>
  <c r="P315" i="83"/>
  <c r="M315" i="83"/>
  <c r="N281" i="83"/>
  <c r="O281" i="83"/>
  <c r="L273" i="83"/>
  <c r="N273" i="83"/>
  <c r="L212" i="83"/>
  <c r="N212" i="83"/>
  <c r="L178" i="83"/>
  <c r="N178" i="83"/>
  <c r="O178" i="83"/>
  <c r="O18" i="83"/>
  <c r="P18" i="83"/>
  <c r="N18" i="83"/>
  <c r="M18" i="83"/>
  <c r="I103" i="2"/>
  <c r="H103" i="2"/>
  <c r="W72" i="2"/>
  <c r="U18" i="2"/>
  <c r="W18" i="2"/>
  <c r="W10" i="2"/>
  <c r="U10" i="2"/>
  <c r="M431" i="83"/>
  <c r="P431" i="83"/>
  <c r="L431" i="83"/>
  <c r="O431" i="83"/>
  <c r="O196" i="83"/>
  <c r="P196" i="83"/>
  <c r="M190" i="83"/>
  <c r="N190" i="83"/>
  <c r="P190" i="83"/>
  <c r="P157" i="83"/>
  <c r="N157" i="83"/>
  <c r="N28" i="83"/>
  <c r="O28" i="83"/>
  <c r="P28" i="83"/>
  <c r="U160" i="2"/>
  <c r="W160" i="2"/>
  <c r="H67" i="2"/>
  <c r="I67" i="2"/>
  <c r="W58" i="2"/>
  <c r="O427" i="83"/>
  <c r="P406" i="83"/>
  <c r="M406" i="83"/>
  <c r="M339" i="83"/>
  <c r="P339" i="83"/>
  <c r="M269" i="83"/>
  <c r="P269" i="83"/>
  <c r="N269" i="83"/>
  <c r="N135" i="83"/>
  <c r="M135" i="83"/>
  <c r="O135" i="83"/>
  <c r="P135" i="83"/>
  <c r="N119" i="83"/>
  <c r="P119" i="83"/>
  <c r="O119" i="83"/>
  <c r="M119" i="83"/>
  <c r="M108" i="83"/>
  <c r="N108" i="83"/>
  <c r="N47" i="83"/>
  <c r="M47" i="83"/>
  <c r="O47" i="83"/>
  <c r="P47" i="83"/>
  <c r="W335" i="2"/>
  <c r="W303" i="2"/>
  <c r="W262" i="2"/>
  <c r="W204" i="2"/>
  <c r="U166" i="2"/>
  <c r="W123" i="2"/>
  <c r="M400" i="83"/>
  <c r="N400" i="83"/>
  <c r="O392" i="83"/>
  <c r="P361" i="83"/>
  <c r="M361" i="83"/>
  <c r="O346" i="83"/>
  <c r="P346" i="83"/>
  <c r="O342" i="83"/>
  <c r="O271" i="83"/>
  <c r="M271" i="83"/>
  <c r="N271" i="83"/>
  <c r="Q258" i="83"/>
  <c r="M258" i="83"/>
  <c r="P252" i="83"/>
  <c r="N252" i="83"/>
  <c r="P251" i="83"/>
  <c r="L251" i="83"/>
  <c r="L246" i="83"/>
  <c r="N246" i="83"/>
  <c r="M242" i="83"/>
  <c r="L242" i="83"/>
  <c r="P234" i="83"/>
  <c r="O232" i="83"/>
  <c r="L226" i="83"/>
  <c r="N207" i="83"/>
  <c r="P207" i="83"/>
  <c r="N187" i="83"/>
  <c r="P162" i="83"/>
  <c r="O162" i="83"/>
  <c r="M162" i="83"/>
  <c r="P134" i="83"/>
  <c r="M134" i="83"/>
  <c r="P125" i="83"/>
  <c r="N125" i="83"/>
  <c r="M125" i="83"/>
  <c r="O125" i="83"/>
  <c r="O404" i="83"/>
  <c r="N357" i="83"/>
  <c r="M357" i="83"/>
  <c r="O357" i="83"/>
  <c r="O304" i="83"/>
  <c r="N304" i="83"/>
  <c r="P304" i="83"/>
  <c r="L304" i="83"/>
  <c r="M298" i="83"/>
  <c r="N292" i="83"/>
  <c r="O292" i="83"/>
  <c r="M282" i="83"/>
  <c r="P282" i="83"/>
  <c r="N266" i="83"/>
  <c r="N247" i="83"/>
  <c r="L247" i="83"/>
  <c r="M247" i="83"/>
  <c r="M243" i="83"/>
  <c r="L243" i="83"/>
  <c r="P238" i="83"/>
  <c r="N238" i="83"/>
  <c r="N142" i="83"/>
  <c r="M142" i="83"/>
  <c r="U286" i="2"/>
  <c r="W228" i="2"/>
  <c r="U21" i="2"/>
  <c r="M379" i="83"/>
  <c r="O378" i="83"/>
  <c r="P378" i="83"/>
  <c r="M378" i="83"/>
  <c r="N358" i="83"/>
  <c r="M341" i="83"/>
  <c r="N341" i="83"/>
  <c r="O341" i="83"/>
  <c r="O330" i="83"/>
  <c r="M330" i="83"/>
  <c r="M327" i="83"/>
  <c r="N327" i="83"/>
  <c r="O327" i="83"/>
  <c r="M313" i="83"/>
  <c r="M302" i="83"/>
  <c r="P302" i="83"/>
  <c r="P285" i="83"/>
  <c r="P278" i="83"/>
  <c r="N278" i="83"/>
  <c r="N244" i="83"/>
  <c r="M238" i="83"/>
  <c r="P195" i="83"/>
  <c r="Q195" i="83"/>
  <c r="N185" i="83"/>
  <c r="L185" i="83"/>
  <c r="U316" i="2"/>
  <c r="W275" i="2"/>
  <c r="W260" i="2"/>
  <c r="U213" i="2"/>
  <c r="W211" i="2"/>
  <c r="U201" i="2"/>
  <c r="W172" i="2"/>
  <c r="W133" i="2"/>
  <c r="M409" i="83"/>
  <c r="O396" i="83"/>
  <c r="O389" i="83"/>
  <c r="N378" i="83"/>
  <c r="M358" i="83"/>
  <c r="P357" i="83"/>
  <c r="P345" i="83"/>
  <c r="N345" i="83"/>
  <c r="O345" i="83"/>
  <c r="P312" i="83"/>
  <c r="O312" i="83"/>
  <c r="M312" i="83"/>
  <c r="M288" i="83"/>
  <c r="N288" i="83"/>
  <c r="P288" i="83"/>
  <c r="N285" i="83"/>
  <c r="N282" i="83"/>
  <c r="L276" i="83"/>
  <c r="N276" i="83"/>
  <c r="L253" i="83"/>
  <c r="O253" i="83"/>
  <c r="L238" i="83"/>
  <c r="N228" i="83"/>
  <c r="L211" i="83"/>
  <c r="M211" i="83"/>
  <c r="O408" i="83"/>
  <c r="P363" i="83"/>
  <c r="N344" i="83"/>
  <c r="N329" i="83"/>
  <c r="M326" i="83"/>
  <c r="N301" i="83"/>
  <c r="M299" i="83"/>
  <c r="M281" i="83"/>
  <c r="P274" i="83"/>
  <c r="L270" i="83"/>
  <c r="M265" i="83"/>
  <c r="P240" i="83"/>
  <c r="M235" i="83"/>
  <c r="M232" i="83"/>
  <c r="M229" i="83"/>
  <c r="M219" i="83"/>
  <c r="P218" i="83"/>
  <c r="N200" i="83"/>
  <c r="M188" i="83"/>
  <c r="P181" i="83"/>
  <c r="N177" i="83"/>
  <c r="L177" i="83"/>
  <c r="M177" i="83"/>
  <c r="M297" i="83"/>
  <c r="N297" i="83"/>
  <c r="P249" i="83"/>
  <c r="P237" i="83"/>
  <c r="M237" i="83"/>
  <c r="Q216" i="83"/>
  <c r="M216" i="83"/>
  <c r="Q199" i="83"/>
  <c r="M199" i="83"/>
  <c r="N199" i="83"/>
  <c r="R185" i="84"/>
  <c r="T185" i="84"/>
  <c r="M303" i="83"/>
  <c r="Q297" i="83"/>
  <c r="P294" i="83"/>
  <c r="Q294" i="83"/>
  <c r="P270" i="83"/>
  <c r="P267" i="83"/>
  <c r="O249" i="83"/>
  <c r="M239" i="83"/>
  <c r="N237" i="83"/>
  <c r="N223" i="83"/>
  <c r="Q223" i="83"/>
  <c r="M221" i="83"/>
  <c r="P221" i="83"/>
  <c r="P192" i="83"/>
  <c r="M192" i="83"/>
  <c r="N136" i="83"/>
  <c r="O136" i="83"/>
  <c r="P136" i="83"/>
  <c r="O132" i="83"/>
  <c r="M132" i="83"/>
  <c r="P132" i="83"/>
  <c r="O10" i="83"/>
  <c r="M10" i="83"/>
  <c r="N10" i="83"/>
  <c r="N310" i="83"/>
  <c r="M294" i="83"/>
  <c r="N263" i="83"/>
  <c r="N256" i="83"/>
  <c r="N254" i="83"/>
  <c r="N249" i="83"/>
  <c r="O227" i="83"/>
  <c r="L227" i="83"/>
  <c r="M202" i="83"/>
  <c r="Q202" i="83"/>
  <c r="L198" i="83"/>
  <c r="N198" i="83"/>
  <c r="P198" i="83"/>
  <c r="Q193" i="83"/>
  <c r="N193" i="83"/>
  <c r="R220" i="84"/>
  <c r="T220" i="84"/>
  <c r="T107" i="84"/>
  <c r="R107" i="84"/>
  <c r="N202" i="83"/>
  <c r="M196" i="83"/>
  <c r="P193" i="83"/>
  <c r="M183" i="83"/>
  <c r="O159" i="83"/>
  <c r="M148" i="83"/>
  <c r="O131" i="83"/>
  <c r="N131" i="83"/>
  <c r="M122" i="83"/>
  <c r="P122" i="83"/>
  <c r="N113" i="83"/>
  <c r="N110" i="83"/>
  <c r="P110" i="83"/>
  <c r="N98" i="83"/>
  <c r="N97" i="83"/>
  <c r="N91" i="83"/>
  <c r="M91" i="83"/>
  <c r="M89" i="83"/>
  <c r="N89" i="83"/>
  <c r="P89" i="83"/>
  <c r="M66" i="83"/>
  <c r="Q53" i="83"/>
  <c r="N208" i="83"/>
  <c r="N105" i="83"/>
  <c r="M105" i="83"/>
  <c r="O55" i="83"/>
  <c r="M55" i="83"/>
  <c r="T203" i="84"/>
  <c r="R203" i="84"/>
  <c r="R202" i="84"/>
  <c r="T202" i="84"/>
  <c r="P158" i="83"/>
  <c r="M158" i="83"/>
  <c r="P154" i="83"/>
  <c r="N154" i="83"/>
  <c r="P146" i="83"/>
  <c r="O146" i="83"/>
  <c r="O118" i="83"/>
  <c r="M118" i="83"/>
  <c r="O53" i="83"/>
  <c r="O12" i="83"/>
  <c r="P12" i="83"/>
  <c r="R113" i="84"/>
  <c r="T113" i="84"/>
  <c r="R59" i="84"/>
  <c r="T59" i="84"/>
  <c r="L208" i="83"/>
  <c r="P174" i="83"/>
  <c r="M167" i="83"/>
  <c r="O161" i="83"/>
  <c r="M161" i="83"/>
  <c r="O147" i="83"/>
  <c r="P147" i="83"/>
  <c r="P118" i="83"/>
  <c r="O116" i="83"/>
  <c r="N116" i="83"/>
  <c r="P105" i="83"/>
  <c r="N103" i="83"/>
  <c r="O103" i="83"/>
  <c r="P103" i="83"/>
  <c r="O100" i="83"/>
  <c r="N100" i="83"/>
  <c r="L76" i="83"/>
  <c r="O76" i="83"/>
  <c r="M68" i="83"/>
  <c r="N68" i="83"/>
  <c r="P62" i="83"/>
  <c r="O38" i="83"/>
  <c r="M38" i="83"/>
  <c r="N38" i="83"/>
  <c r="T222" i="84"/>
  <c r="R222" i="84"/>
  <c r="M58" i="83"/>
  <c r="M52" i="83"/>
  <c r="L52" i="83"/>
  <c r="M48" i="83"/>
  <c r="P48" i="83"/>
  <c r="O6" i="83"/>
  <c r="P6" i="83"/>
  <c r="M6" i="83"/>
  <c r="P106" i="83"/>
  <c r="O101" i="83"/>
  <c r="N85" i="83"/>
  <c r="N84" i="83"/>
  <c r="P82" i="83"/>
  <c r="M61" i="83"/>
  <c r="N40" i="83"/>
  <c r="P86" i="83"/>
  <c r="O14" i="83"/>
  <c r="P14" i="83"/>
  <c r="O70" i="83"/>
  <c r="N70" i="83"/>
  <c r="M49" i="83"/>
  <c r="P49" i="83"/>
  <c r="O30" i="83"/>
  <c r="P30" i="83"/>
  <c r="M30" i="83"/>
  <c r="R188" i="84"/>
  <c r="T188" i="84"/>
  <c r="R166" i="84"/>
  <c r="T166" i="84"/>
  <c r="T180" i="84"/>
  <c r="R180" i="84"/>
  <c r="R14" i="84"/>
  <c r="T14" i="84"/>
  <c r="R122" i="84"/>
  <c r="T122" i="84"/>
  <c r="N23" i="83"/>
  <c r="O23" i="83"/>
  <c r="T224" i="84"/>
  <c r="R224" i="84"/>
  <c r="R177" i="84"/>
  <c r="T177" i="84"/>
  <c r="R149" i="84"/>
  <c r="T149" i="84"/>
  <c r="R84" i="84"/>
  <c r="T84" i="84"/>
  <c r="R176" i="84"/>
  <c r="T176" i="84"/>
  <c r="T62" i="84"/>
  <c r="R62" i="84"/>
  <c r="R61" i="84"/>
  <c r="T61" i="84"/>
  <c r="R129" i="84"/>
  <c r="T129" i="84"/>
  <c r="T148" i="84"/>
  <c r="R119" i="84"/>
  <c r="T119" i="84"/>
  <c r="R79" i="84"/>
  <c r="T79" i="84"/>
  <c r="T168" i="84"/>
  <c r="R168" i="84"/>
  <c r="R134" i="84"/>
  <c r="T134" i="84"/>
  <c r="R206" i="84"/>
  <c r="T131" i="84"/>
  <c r="R131" i="84"/>
  <c r="R155" i="84"/>
  <c r="T155" i="84"/>
  <c r="T108" i="84"/>
  <c r="R108" i="84"/>
  <c r="R90" i="84"/>
  <c r="T90" i="84"/>
  <c r="T74" i="84"/>
  <c r="R74" i="84"/>
  <c r="R125" i="84"/>
  <c r="T92" i="84"/>
  <c r="R92" i="84"/>
  <c r="R11" i="84"/>
  <c r="T11" i="84"/>
  <c r="R110" i="84"/>
  <c r="T110" i="84"/>
  <c r="T114" i="84"/>
  <c r="R51" i="84"/>
  <c r="T51" i="84"/>
  <c r="T28" i="84"/>
  <c r="R28" i="84"/>
  <c r="R97" i="84"/>
  <c r="T97" i="84"/>
  <c r="R47" i="84"/>
  <c r="R56" i="84"/>
  <c r="T56" i="84"/>
  <c r="R39" i="84"/>
  <c r="T39" i="84"/>
  <c r="T38" i="84"/>
  <c r="R38" i="84"/>
  <c r="R10" i="84"/>
  <c r="T10" i="84"/>
  <c r="T27" i="84"/>
  <c r="R36" i="84"/>
  <c r="T34" i="84"/>
  <c r="R24" i="84"/>
  <c r="T23" i="84"/>
  <c r="T41" i="84"/>
  <c r="R209" i="84"/>
  <c r="T209" i="84"/>
  <c r="R82" i="84"/>
  <c r="T82" i="84"/>
  <c r="R198" i="84"/>
  <c r="T198" i="84"/>
  <c r="R178" i="84"/>
  <c r="R216" i="84"/>
  <c r="T216" i="84"/>
  <c r="T187" i="84"/>
  <c r="R162" i="84"/>
  <c r="T162" i="84"/>
  <c r="R118" i="84"/>
  <c r="T98" i="84"/>
  <c r="R98" i="84"/>
  <c r="R174" i="84"/>
  <c r="T174" i="84"/>
  <c r="R200" i="84"/>
  <c r="R6" i="84"/>
  <c r="R163" i="84"/>
  <c r="T124" i="84"/>
  <c r="T102" i="84"/>
  <c r="R102" i="84"/>
  <c r="T130" i="84"/>
  <c r="R130" i="84"/>
  <c r="R193" i="84"/>
  <c r="T193" i="84"/>
  <c r="T217" i="84"/>
  <c r="R214" i="84"/>
  <c r="T214" i="84"/>
  <c r="T186" i="84"/>
  <c r="R121" i="84"/>
  <c r="T121" i="84"/>
  <c r="R75" i="84"/>
  <c r="T75" i="84"/>
  <c r="R211" i="84"/>
  <c r="R195" i="84"/>
  <c r="T173" i="84"/>
  <c r="R173" i="84"/>
  <c r="R146" i="84"/>
  <c r="T146" i="84"/>
  <c r="T142" i="84"/>
  <c r="R139" i="84"/>
  <c r="T139" i="84"/>
  <c r="R106" i="84"/>
  <c r="T106" i="84"/>
  <c r="R88" i="84"/>
  <c r="T88" i="84"/>
  <c r="R144" i="84"/>
  <c r="T144" i="84"/>
  <c r="R128" i="84"/>
  <c r="T128" i="84"/>
  <c r="R60" i="84"/>
  <c r="T60" i="84"/>
  <c r="R157" i="84"/>
  <c r="R58" i="84"/>
  <c r="T58" i="84"/>
  <c r="R16" i="84"/>
  <c r="T16" i="84"/>
  <c r="R120" i="84"/>
  <c r="T117" i="84"/>
  <c r="T68" i="84"/>
  <c r="R67" i="84"/>
  <c r="T67" i="84"/>
  <c r="R19" i="84"/>
  <c r="T19" i="84"/>
  <c r="R101" i="84"/>
  <c r="R55" i="84"/>
  <c r="R33" i="84"/>
  <c r="T33" i="84"/>
  <c r="T105" i="84"/>
  <c r="T89" i="84"/>
  <c r="R85" i="84"/>
  <c r="R66" i="84"/>
  <c r="R18" i="84"/>
  <c r="T18" i="84"/>
  <c r="R57" i="84"/>
  <c r="T57" i="84"/>
  <c r="R50" i="84"/>
  <c r="T50" i="84"/>
  <c r="R43" i="84"/>
  <c r="T43" i="84"/>
  <c r="R25" i="84"/>
  <c r="T25" i="84"/>
  <c r="R52" i="84"/>
  <c r="R32" i="84"/>
  <c r="O418" i="83"/>
  <c r="P418" i="83"/>
  <c r="N418" i="83"/>
  <c r="O402" i="83"/>
  <c r="P402" i="83"/>
  <c r="L402" i="83"/>
  <c r="M394" i="83"/>
  <c r="P394" i="83"/>
  <c r="M386" i="83"/>
  <c r="Q386" i="83"/>
  <c r="O426" i="83"/>
  <c r="N426" i="83"/>
  <c r="M412" i="83"/>
  <c r="L412" i="83"/>
  <c r="O412" i="83"/>
  <c r="P404" i="83"/>
  <c r="M402" i="83"/>
  <c r="Q394" i="83"/>
  <c r="M393" i="83"/>
  <c r="Q393" i="83"/>
  <c r="P388" i="83"/>
  <c r="N371" i="83"/>
  <c r="M371" i="83"/>
  <c r="P371" i="83"/>
  <c r="O356" i="83"/>
  <c r="O338" i="83"/>
  <c r="P338" i="83"/>
  <c r="M338" i="83"/>
  <c r="N323" i="83"/>
  <c r="M323" i="83"/>
  <c r="P323" i="83"/>
  <c r="O298" i="83"/>
  <c r="P298" i="83"/>
  <c r="N298" i="83"/>
  <c r="Q284" i="83"/>
  <c r="P284" i="83"/>
  <c r="N284" i="83"/>
  <c r="P280" i="83"/>
  <c r="M280" i="83"/>
  <c r="L280" i="83"/>
  <c r="Q272" i="83"/>
  <c r="P272" i="83"/>
  <c r="M272" i="83"/>
  <c r="P210" i="83"/>
  <c r="N210" i="83"/>
  <c r="Q191" i="83"/>
  <c r="P191" i="83"/>
  <c r="M191" i="83"/>
  <c r="M165" i="83"/>
  <c r="N165" i="83"/>
  <c r="O165" i="83"/>
  <c r="M427" i="83"/>
  <c r="L397" i="83"/>
  <c r="M397" i="83"/>
  <c r="P397" i="83"/>
  <c r="M384" i="83"/>
  <c r="N384" i="83"/>
  <c r="P384" i="83"/>
  <c r="N339" i="83"/>
  <c r="O339" i="83"/>
  <c r="P321" i="83"/>
  <c r="O321" i="83"/>
  <c r="N321" i="83"/>
  <c r="M321" i="83"/>
  <c r="P313" i="83"/>
  <c r="O313" i="83"/>
  <c r="L313" i="83"/>
  <c r="N313" i="83"/>
  <c r="L309" i="83"/>
  <c r="P309" i="83"/>
  <c r="O309" i="83"/>
  <c r="N309" i="83"/>
  <c r="L298" i="83"/>
  <c r="N275" i="83"/>
  <c r="P275" i="83"/>
  <c r="L275" i="83"/>
  <c r="M250" i="83"/>
  <c r="N250" i="83"/>
  <c r="P250" i="83"/>
  <c r="N191" i="83"/>
  <c r="L182" i="83"/>
  <c r="M182" i="83"/>
  <c r="N182" i="83"/>
  <c r="M415" i="83"/>
  <c r="N415" i="83"/>
  <c r="Q230" i="83"/>
  <c r="P230" i="83"/>
  <c r="N230" i="83"/>
  <c r="M230" i="83"/>
  <c r="N434" i="83"/>
  <c r="O434" i="83"/>
  <c r="M434" i="83"/>
  <c r="P425" i="83"/>
  <c r="O425" i="83"/>
  <c r="L425" i="83"/>
  <c r="P415" i="83"/>
  <c r="O354" i="83"/>
  <c r="P354" i="83"/>
  <c r="M354" i="83"/>
  <c r="N306" i="83"/>
  <c r="P306" i="83"/>
  <c r="M306" i="83"/>
  <c r="M128" i="83"/>
  <c r="N128" i="83"/>
  <c r="O128" i="83"/>
  <c r="P128" i="83"/>
  <c r="M430" i="83"/>
  <c r="P430" i="83"/>
  <c r="L428" i="83"/>
  <c r="M428" i="83"/>
  <c r="P428" i="83"/>
  <c r="M425" i="83"/>
  <c r="O415" i="83"/>
  <c r="P407" i="83"/>
  <c r="L403" i="83"/>
  <c r="P403" i="83"/>
  <c r="L376" i="83"/>
  <c r="O376" i="83"/>
  <c r="N355" i="83"/>
  <c r="O355" i="83"/>
  <c r="N338" i="83"/>
  <c r="O323" i="83"/>
  <c r="N320" i="83"/>
  <c r="O320" i="83"/>
  <c r="P320" i="83"/>
  <c r="M320" i="83"/>
  <c r="M311" i="83"/>
  <c r="N311" i="83"/>
  <c r="Q299" i="83"/>
  <c r="N283" i="83"/>
  <c r="P283" i="83"/>
  <c r="O283" i="83"/>
  <c r="N272" i="83"/>
  <c r="L195" i="83"/>
  <c r="M195" i="83"/>
  <c r="N195" i="83"/>
  <c r="P71" i="83"/>
  <c r="N71" i="83"/>
  <c r="O71" i="83"/>
  <c r="L71" i="83"/>
  <c r="M71" i="83"/>
  <c r="P24" i="83"/>
  <c r="M24" i="83"/>
  <c r="O24" i="83"/>
  <c r="N24" i="83"/>
  <c r="N9" i="83"/>
  <c r="O9" i="83"/>
  <c r="P9" i="83"/>
  <c r="M9" i="83"/>
  <c r="P7" i="83"/>
  <c r="N7" i="83"/>
  <c r="O7" i="83"/>
  <c r="M7" i="83"/>
  <c r="Q404" i="83"/>
  <c r="P392" i="83"/>
  <c r="O370" i="83"/>
  <c r="P370" i="83"/>
  <c r="M370" i="83"/>
  <c r="N368" i="83"/>
  <c r="M368" i="83"/>
  <c r="O368" i="83"/>
  <c r="P399" i="83"/>
  <c r="N370" i="83"/>
  <c r="P295" i="83"/>
  <c r="M295" i="83"/>
  <c r="O430" i="83"/>
  <c r="O428" i="83"/>
  <c r="Q424" i="83"/>
  <c r="M424" i="83"/>
  <c r="O424" i="83"/>
  <c r="M420" i="83"/>
  <c r="N420" i="83"/>
  <c r="P420" i="83"/>
  <c r="L415" i="83"/>
  <c r="O410" i="83"/>
  <c r="P410" i="83"/>
  <c r="L410" i="83"/>
  <c r="N410" i="83"/>
  <c r="M392" i="83"/>
  <c r="O391" i="83"/>
  <c r="L391" i="83"/>
  <c r="L389" i="83"/>
  <c r="Q387" i="83"/>
  <c r="M387" i="83"/>
  <c r="M383" i="83"/>
  <c r="P383" i="83"/>
  <c r="O383" i="83"/>
  <c r="P355" i="83"/>
  <c r="N351" i="83"/>
  <c r="O351" i="83"/>
  <c r="P351" i="83"/>
  <c r="M351" i="83"/>
  <c r="M348" i="83"/>
  <c r="N348" i="83"/>
  <c r="O348" i="83"/>
  <c r="P348" i="83"/>
  <c r="N280" i="83"/>
  <c r="Q276" i="83"/>
  <c r="P263" i="83"/>
  <c r="M263" i="83"/>
  <c r="L263" i="83"/>
  <c r="O259" i="83"/>
  <c r="P215" i="83"/>
  <c r="L215" i="83"/>
  <c r="M215" i="83"/>
  <c r="N215" i="83"/>
  <c r="O160" i="83"/>
  <c r="M160" i="83"/>
  <c r="N160" i="83"/>
  <c r="P160" i="83"/>
  <c r="Q408" i="83"/>
  <c r="M408" i="83"/>
  <c r="P408" i="83"/>
  <c r="M399" i="83"/>
  <c r="O399" i="83"/>
  <c r="Q388" i="83"/>
  <c r="O388" i="83"/>
  <c r="M356" i="83"/>
  <c r="P356" i="83"/>
  <c r="M260" i="83"/>
  <c r="P260" i="83"/>
  <c r="N260" i="83"/>
  <c r="L260" i="83"/>
  <c r="N186" i="83"/>
  <c r="Q186" i="83"/>
  <c r="P417" i="83"/>
  <c r="N417" i="83"/>
  <c r="O417" i="83"/>
  <c r="M417" i="83"/>
  <c r="P377" i="83"/>
  <c r="M377" i="83"/>
  <c r="O377" i="83"/>
  <c r="L377" i="83"/>
  <c r="O373" i="83"/>
  <c r="L306" i="83"/>
  <c r="Q265" i="83"/>
  <c r="N265" i="83"/>
  <c r="Q231" i="83"/>
  <c r="M435" i="83"/>
  <c r="O435" i="83"/>
  <c r="N435" i="83"/>
  <c r="N430" i="83"/>
  <c r="N428" i="83"/>
  <c r="N419" i="83"/>
  <c r="O419" i="83"/>
  <c r="P412" i="83"/>
  <c r="O407" i="83"/>
  <c r="O403" i="83"/>
  <c r="L392" i="83"/>
  <c r="P376" i="83"/>
  <c r="N373" i="83"/>
  <c r="P369" i="83"/>
  <c r="O369" i="83"/>
  <c r="N369" i="83"/>
  <c r="M369" i="83"/>
  <c r="N367" i="83"/>
  <c r="M367" i="83"/>
  <c r="P367" i="83"/>
  <c r="O367" i="83"/>
  <c r="N359" i="83"/>
  <c r="P359" i="83"/>
  <c r="M359" i="83"/>
  <c r="M355" i="83"/>
  <c r="N336" i="83"/>
  <c r="O336" i="83"/>
  <c r="P336" i="83"/>
  <c r="M336" i="83"/>
  <c r="N333" i="83"/>
  <c r="O333" i="83"/>
  <c r="P333" i="83"/>
  <c r="M333" i="83"/>
  <c r="P305" i="83"/>
  <c r="M305" i="83"/>
  <c r="O305" i="83"/>
  <c r="N305" i="83"/>
  <c r="P194" i="83"/>
  <c r="N194" i="83"/>
  <c r="L194" i="83"/>
  <c r="P411" i="83"/>
  <c r="N372" i="83"/>
  <c r="P337" i="83"/>
  <c r="O337" i="83"/>
  <c r="N337" i="83"/>
  <c r="N319" i="83"/>
  <c r="O319" i="83"/>
  <c r="P319" i="83"/>
  <c r="M319" i="83"/>
  <c r="M286" i="83"/>
  <c r="Q266" i="83"/>
  <c r="L261" i="83"/>
  <c r="P261" i="83"/>
  <c r="O228" i="83"/>
  <c r="N188" i="83"/>
  <c r="P188" i="83"/>
  <c r="M396" i="83"/>
  <c r="L396" i="83"/>
  <c r="N352" i="83"/>
  <c r="O352" i="83"/>
  <c r="P352" i="83"/>
  <c r="M352" i="83"/>
  <c r="N349" i="83"/>
  <c r="O349" i="83"/>
  <c r="P349" i="83"/>
  <c r="M349" i="83"/>
  <c r="N291" i="83"/>
  <c r="P291" i="83"/>
  <c r="P265" i="83"/>
  <c r="N259" i="83"/>
  <c r="P259" i="83"/>
  <c r="L259" i="83"/>
  <c r="M259" i="83"/>
  <c r="P257" i="83"/>
  <c r="N257" i="83"/>
  <c r="O257" i="83"/>
  <c r="M257" i="83"/>
  <c r="Q246" i="83"/>
  <c r="P246" i="83"/>
  <c r="M244" i="83"/>
  <c r="P244" i="83"/>
  <c r="O176" i="83"/>
  <c r="L176" i="83"/>
  <c r="M176" i="83"/>
  <c r="N176" i="83"/>
  <c r="P176" i="83"/>
  <c r="L413" i="83"/>
  <c r="M413" i="83"/>
  <c r="P393" i="83"/>
  <c r="M388" i="83"/>
  <c r="P385" i="83"/>
  <c r="M380" i="83"/>
  <c r="L380" i="83"/>
  <c r="M364" i="83"/>
  <c r="N364" i="83"/>
  <c r="O322" i="83"/>
  <c r="P322" i="83"/>
  <c r="O314" i="83"/>
  <c r="O290" i="83"/>
  <c r="N290" i="83"/>
  <c r="P290" i="83"/>
  <c r="M290" i="83"/>
  <c r="M276" i="83"/>
  <c r="P276" i="83"/>
  <c r="M246" i="83"/>
  <c r="P231" i="83"/>
  <c r="L231" i="83"/>
  <c r="M231" i="83"/>
  <c r="N231" i="83"/>
  <c r="M180" i="83"/>
  <c r="M74" i="83"/>
  <c r="O74" i="83"/>
  <c r="P242" i="83"/>
  <c r="N242" i="83"/>
  <c r="P180" i="83"/>
  <c r="P173" i="83"/>
  <c r="M169" i="83"/>
  <c r="N169" i="83"/>
  <c r="L169" i="83"/>
  <c r="P169" i="83"/>
  <c r="N156" i="83"/>
  <c r="O156" i="83"/>
  <c r="P156" i="83"/>
  <c r="M156" i="83"/>
  <c r="P121" i="83"/>
  <c r="O121" i="83"/>
  <c r="P421" i="83"/>
  <c r="M404" i="83"/>
  <c r="P401" i="83"/>
  <c r="N401" i="83"/>
  <c r="P396" i="83"/>
  <c r="O394" i="83"/>
  <c r="O386" i="83"/>
  <c r="P386" i="83"/>
  <c r="L381" i="83"/>
  <c r="M381" i="83"/>
  <c r="O372" i="83"/>
  <c r="N365" i="83"/>
  <c r="M365" i="83"/>
  <c r="P353" i="83"/>
  <c r="O353" i="83"/>
  <c r="N353" i="83"/>
  <c r="N335" i="83"/>
  <c r="O335" i="83"/>
  <c r="P335" i="83"/>
  <c r="M335" i="83"/>
  <c r="M332" i="83"/>
  <c r="N332" i="83"/>
  <c r="O332" i="83"/>
  <c r="P332" i="83"/>
  <c r="N322" i="83"/>
  <c r="P314" i="83"/>
  <c r="P310" i="83"/>
  <c r="N299" i="83"/>
  <c r="L299" i="83"/>
  <c r="Q296" i="83"/>
  <c r="M296" i="83"/>
  <c r="L291" i="83"/>
  <c r="N286" i="83"/>
  <c r="P279" i="83"/>
  <c r="N279" i="83"/>
  <c r="P248" i="83"/>
  <c r="L248" i="83"/>
  <c r="M248" i="83"/>
  <c r="N248" i="83"/>
  <c r="P232" i="83"/>
  <c r="L232" i="83"/>
  <c r="P226" i="83"/>
  <c r="N226" i="83"/>
  <c r="Q214" i="83"/>
  <c r="P214" i="83"/>
  <c r="M214" i="83"/>
  <c r="N214" i="83"/>
  <c r="P201" i="83"/>
  <c r="N201" i="83"/>
  <c r="M201" i="83"/>
  <c r="Q175" i="83"/>
  <c r="M175" i="83"/>
  <c r="N175" i="83"/>
  <c r="P175" i="83"/>
  <c r="M149" i="83"/>
  <c r="N149" i="83"/>
  <c r="O149" i="83"/>
  <c r="N123" i="83"/>
  <c r="O123" i="83"/>
  <c r="P123" i="83"/>
  <c r="M123" i="83"/>
  <c r="M308" i="83"/>
  <c r="P308" i="83"/>
  <c r="P297" i="83"/>
  <c r="O282" i="83"/>
  <c r="P258" i="83"/>
  <c r="N258" i="83"/>
  <c r="N233" i="83"/>
  <c r="P216" i="83"/>
  <c r="M200" i="83"/>
  <c r="P200" i="83"/>
  <c r="O192" i="83"/>
  <c r="L192" i="83"/>
  <c r="M178" i="83"/>
  <c r="O155" i="83"/>
  <c r="P155" i="83"/>
  <c r="M155" i="83"/>
  <c r="N155" i="83"/>
  <c r="M139" i="83"/>
  <c r="N139" i="83"/>
  <c r="O139" i="83"/>
  <c r="P139" i="83"/>
  <c r="O126" i="83"/>
  <c r="M126" i="83"/>
  <c r="N126" i="83"/>
  <c r="P126" i="83"/>
  <c r="Q85" i="83"/>
  <c r="M85" i="83"/>
  <c r="O85" i="83"/>
  <c r="P311" i="83"/>
  <c r="N307" i="83"/>
  <c r="P307" i="83"/>
  <c r="P296" i="83"/>
  <c r="L277" i="83"/>
  <c r="P277" i="83"/>
  <c r="P273" i="83"/>
  <c r="M273" i="83"/>
  <c r="Q262" i="83"/>
  <c r="P262" i="83"/>
  <c r="M228" i="83"/>
  <c r="P228" i="83"/>
  <c r="M212" i="83"/>
  <c r="P212" i="83"/>
  <c r="M185" i="83"/>
  <c r="P185" i="83"/>
  <c r="O185" i="83"/>
  <c r="O54" i="83"/>
  <c r="M54" i="83"/>
  <c r="L54" i="83"/>
  <c r="N54" i="83"/>
  <c r="M27" i="83"/>
  <c r="N27" i="83"/>
  <c r="P27" i="83"/>
  <c r="L311" i="83"/>
  <c r="L296" i="83"/>
  <c r="M292" i="83"/>
  <c r="P292" i="83"/>
  <c r="P281" i="83"/>
  <c r="M266" i="83"/>
  <c r="N264" i="83"/>
  <c r="P264" i="83"/>
  <c r="N262" i="83"/>
  <c r="L245" i="83"/>
  <c r="P245" i="83"/>
  <c r="N243" i="83"/>
  <c r="P243" i="83"/>
  <c r="P241" i="83"/>
  <c r="N241" i="83"/>
  <c r="M241" i="83"/>
  <c r="N227" i="83"/>
  <c r="P227" i="83"/>
  <c r="P225" i="83"/>
  <c r="N225" i="83"/>
  <c r="M225" i="83"/>
  <c r="N211" i="83"/>
  <c r="P211" i="83"/>
  <c r="P209" i="83"/>
  <c r="N209" i="83"/>
  <c r="M209" i="83"/>
  <c r="P171" i="83"/>
  <c r="M171" i="83"/>
  <c r="L171" i="83"/>
  <c r="N171" i="83"/>
  <c r="M153" i="83"/>
  <c r="N153" i="83"/>
  <c r="O153" i="83"/>
  <c r="P133" i="83"/>
  <c r="N133" i="83"/>
  <c r="O133" i="83"/>
  <c r="M56" i="83"/>
  <c r="O56" i="83"/>
  <c r="L56" i="83"/>
  <c r="P56" i="83"/>
  <c r="N56" i="83"/>
  <c r="P45" i="83"/>
  <c r="N45" i="83"/>
  <c r="M45" i="83"/>
  <c r="O45" i="83"/>
  <c r="O27" i="83"/>
  <c r="L293" i="83"/>
  <c r="P293" i="83"/>
  <c r="P289" i="83"/>
  <c r="M289" i="83"/>
  <c r="L281" i="83"/>
  <c r="M278" i="83"/>
  <c r="N274" i="83"/>
  <c r="L266" i="83"/>
  <c r="M264" i="83"/>
  <c r="M262" i="83"/>
  <c r="P247" i="83"/>
  <c r="N245" i="83"/>
  <c r="L229" i="83"/>
  <c r="P229" i="83"/>
  <c r="L213" i="83"/>
  <c r="P213" i="83"/>
  <c r="N172" i="83"/>
  <c r="O172" i="83"/>
  <c r="P172" i="83"/>
  <c r="O94" i="83"/>
  <c r="M94" i="83"/>
  <c r="N94" i="83"/>
  <c r="P94" i="83"/>
  <c r="M284" i="83"/>
  <c r="M252" i="83"/>
  <c r="M236" i="83"/>
  <c r="M220" i="83"/>
  <c r="M204" i="83"/>
  <c r="M197" i="83"/>
  <c r="L184" i="83"/>
  <c r="O179" i="83"/>
  <c r="M179" i="83"/>
  <c r="P161" i="83"/>
  <c r="P145" i="83"/>
  <c r="O134" i="83"/>
  <c r="N134" i="83"/>
  <c r="O99" i="83"/>
  <c r="N99" i="83"/>
  <c r="P99" i="83"/>
  <c r="M80" i="83"/>
  <c r="O80" i="83"/>
  <c r="N80" i="83"/>
  <c r="N67" i="83"/>
  <c r="P67" i="83"/>
  <c r="O67" i="83"/>
  <c r="P233" i="83"/>
  <c r="M189" i="83"/>
  <c r="M173" i="83"/>
  <c r="O173" i="83"/>
  <c r="M168" i="83"/>
  <c r="N168" i="83"/>
  <c r="O168" i="83"/>
  <c r="M157" i="83"/>
  <c r="O157" i="83"/>
  <c r="M144" i="83"/>
  <c r="P144" i="83"/>
  <c r="N144" i="83"/>
  <c r="P141" i="83"/>
  <c r="N141" i="83"/>
  <c r="O141" i="83"/>
  <c r="M88" i="83"/>
  <c r="P88" i="83"/>
  <c r="N88" i="83"/>
  <c r="N35" i="83"/>
  <c r="O35" i="83"/>
  <c r="P35" i="83"/>
  <c r="M203" i="83"/>
  <c r="N196" i="83"/>
  <c r="M193" i="83"/>
  <c r="P187" i="83"/>
  <c r="M187" i="83"/>
  <c r="P168" i="83"/>
  <c r="M166" i="83"/>
  <c r="N166" i="83"/>
  <c r="O166" i="83"/>
  <c r="M152" i="83"/>
  <c r="N152" i="83"/>
  <c r="O152" i="83"/>
  <c r="N143" i="83"/>
  <c r="O143" i="83"/>
  <c r="P143" i="83"/>
  <c r="P131" i="83"/>
  <c r="M69" i="83"/>
  <c r="N69" i="83"/>
  <c r="M35" i="83"/>
  <c r="N267" i="83"/>
  <c r="N251" i="83"/>
  <c r="N235" i="83"/>
  <c r="N219" i="83"/>
  <c r="L196" i="83"/>
  <c r="L193" i="83"/>
  <c r="L190" i="83"/>
  <c r="L187" i="83"/>
  <c r="M181" i="83"/>
  <c r="L181" i="83"/>
  <c r="P177" i="83"/>
  <c r="O177" i="83"/>
  <c r="L174" i="83"/>
  <c r="N170" i="83"/>
  <c r="Q170" i="83"/>
  <c r="P166" i="83"/>
  <c r="O158" i="83"/>
  <c r="P152" i="83"/>
  <c r="M150" i="83"/>
  <c r="N150" i="83"/>
  <c r="O150" i="83"/>
  <c r="P117" i="83"/>
  <c r="M117" i="83"/>
  <c r="N117" i="83"/>
  <c r="P108" i="83"/>
  <c r="O108" i="83"/>
  <c r="Q84" i="83"/>
  <c r="M84" i="83"/>
  <c r="O62" i="83"/>
  <c r="M62" i="83"/>
  <c r="L62" i="83"/>
  <c r="N62" i="83"/>
  <c r="P202" i="83"/>
  <c r="P186" i="83"/>
  <c r="P170" i="83"/>
  <c r="O113" i="83"/>
  <c r="M102" i="83"/>
  <c r="O84" i="83"/>
  <c r="P77" i="83"/>
  <c r="O77" i="83"/>
  <c r="N65" i="83"/>
  <c r="L65" i="83"/>
  <c r="M65" i="83"/>
  <c r="O65" i="83"/>
  <c r="O59" i="83"/>
  <c r="M59" i="83"/>
  <c r="L59" i="83"/>
  <c r="N59" i="83"/>
  <c r="P178" i="83"/>
  <c r="M163" i="83"/>
  <c r="M147" i="83"/>
  <c r="O142" i="83"/>
  <c r="P142" i="83"/>
  <c r="N132" i="83"/>
  <c r="N127" i="83"/>
  <c r="O127" i="83"/>
  <c r="M112" i="83"/>
  <c r="O112" i="83"/>
  <c r="P112" i="83"/>
  <c r="N112" i="83"/>
  <c r="P32" i="83"/>
  <c r="M32" i="83"/>
  <c r="O32" i="83"/>
  <c r="O17" i="83"/>
  <c r="P17" i="83"/>
  <c r="M17" i="83"/>
  <c r="N17" i="83"/>
  <c r="M136" i="83"/>
  <c r="O107" i="83"/>
  <c r="P107" i="83"/>
  <c r="N107" i="83"/>
  <c r="O64" i="83"/>
  <c r="M64" i="83"/>
  <c r="P64" i="83"/>
  <c r="N180" i="83"/>
  <c r="M137" i="83"/>
  <c r="M120" i="83"/>
  <c r="O120" i="83"/>
  <c r="P120" i="83"/>
  <c r="N120" i="83"/>
  <c r="M107" i="83"/>
  <c r="P102" i="83"/>
  <c r="O89" i="83"/>
  <c r="N87" i="83"/>
  <c r="P87" i="83"/>
  <c r="N73" i="83"/>
  <c r="L73" i="83"/>
  <c r="N111" i="83"/>
  <c r="O111" i="83"/>
  <c r="O97" i="83"/>
  <c r="M83" i="83"/>
  <c r="O83" i="83"/>
  <c r="O72" i="83"/>
  <c r="M72" i="83"/>
  <c r="N96" i="83"/>
  <c r="N95" i="83"/>
  <c r="O95" i="83"/>
  <c r="O92" i="83"/>
  <c r="Q83" i="83"/>
  <c r="O81" i="83"/>
  <c r="P69" i="83"/>
  <c r="M11" i="83"/>
  <c r="N11" i="83"/>
  <c r="O110" i="83"/>
  <c r="M110" i="83"/>
  <c r="L85" i="83"/>
  <c r="M78" i="83"/>
  <c r="N61" i="83"/>
  <c r="M36" i="83"/>
  <c r="P36" i="83"/>
  <c r="O11" i="83"/>
  <c r="O8" i="83"/>
  <c r="P8" i="83"/>
  <c r="M8" i="83"/>
  <c r="N8" i="83"/>
  <c r="M96" i="83"/>
  <c r="O96" i="83"/>
  <c r="P63" i="83"/>
  <c r="N63" i="83"/>
  <c r="P79" i="83"/>
  <c r="N79" i="83"/>
  <c r="L57" i="83"/>
  <c r="O57" i="83"/>
  <c r="M57" i="83"/>
  <c r="N39" i="83"/>
  <c r="O39" i="83"/>
  <c r="O25" i="83"/>
  <c r="P25" i="83"/>
  <c r="M25" i="83"/>
  <c r="O44" i="83"/>
  <c r="P44" i="83"/>
  <c r="M44" i="83"/>
  <c r="M19" i="83"/>
  <c r="N19" i="83"/>
  <c r="P19" i="83"/>
  <c r="M40" i="83"/>
  <c r="O40" i="83"/>
  <c r="O33" i="83"/>
  <c r="P33" i="83"/>
  <c r="M33" i="83"/>
  <c r="O60" i="83"/>
  <c r="M60" i="83"/>
  <c r="O46" i="83"/>
  <c r="P46" i="83"/>
  <c r="N44" i="83"/>
  <c r="N43" i="83"/>
  <c r="O43" i="83"/>
  <c r="P43" i="83"/>
  <c r="P15" i="83"/>
  <c r="N15" i="83"/>
  <c r="M15" i="83"/>
  <c r="N55" i="83"/>
  <c r="O16" i="83"/>
  <c r="P16" i="83"/>
  <c r="M16" i="83"/>
  <c r="P41" i="83"/>
  <c r="P31" i="83"/>
  <c r="M28" i="83"/>
  <c r="P23" i="83"/>
  <c r="M20" i="83"/>
  <c r="P37" i="83"/>
  <c r="M31" i="83"/>
  <c r="M23" i="83"/>
  <c r="P29" i="83"/>
  <c r="P21" i="83"/>
  <c r="P13" i="83"/>
  <c r="M12" i="83"/>
  <c r="I334" i="2"/>
  <c r="H334" i="2"/>
  <c r="I313" i="2"/>
  <c r="H313" i="2"/>
  <c r="U210" i="2"/>
  <c r="W210" i="2"/>
  <c r="U343" i="2"/>
  <c r="W343" i="2"/>
  <c r="I331" i="2"/>
  <c r="H331" i="2"/>
  <c r="I286" i="2"/>
  <c r="H286" i="2"/>
  <c r="I204" i="2"/>
  <c r="H204" i="2"/>
  <c r="I183" i="2"/>
  <c r="H183" i="2"/>
  <c r="W221" i="2"/>
  <c r="U221" i="2"/>
  <c r="I175" i="2"/>
  <c r="H175" i="2"/>
  <c r="I305" i="2"/>
  <c r="H305" i="2"/>
  <c r="U297" i="2"/>
  <c r="W297" i="2"/>
  <c r="W229" i="2"/>
  <c r="U229" i="2"/>
  <c r="W225" i="2"/>
  <c r="U225" i="2"/>
  <c r="U337" i="2"/>
  <c r="W337" i="2"/>
  <c r="W283" i="2"/>
  <c r="U283" i="2"/>
  <c r="W318" i="2"/>
  <c r="I287" i="2"/>
  <c r="H287" i="2"/>
  <c r="U272" i="2"/>
  <c r="W272" i="2"/>
  <c r="I290" i="2"/>
  <c r="H290" i="2"/>
  <c r="W167" i="2"/>
  <c r="U167" i="2"/>
  <c r="W291" i="2"/>
  <c r="I251" i="2"/>
  <c r="I202" i="2"/>
  <c r="H202" i="2"/>
  <c r="W110" i="2"/>
  <c r="H339" i="2"/>
  <c r="I301" i="2"/>
  <c r="W268" i="2"/>
  <c r="I347" i="2"/>
  <c r="I342" i="2"/>
  <c r="W339" i="2"/>
  <c r="I337" i="2"/>
  <c r="H337" i="2"/>
  <c r="W325" i="2"/>
  <c r="I318" i="2"/>
  <c r="U312" i="2"/>
  <c r="I302" i="2"/>
  <c r="I299" i="2"/>
  <c r="I297" i="2"/>
  <c r="U289" i="2"/>
  <c r="I283" i="2"/>
  <c r="I278" i="2"/>
  <c r="W269" i="2"/>
  <c r="U269" i="2"/>
  <c r="U224" i="2"/>
  <c r="W224" i="2"/>
  <c r="I182" i="2"/>
  <c r="I174" i="2"/>
  <c r="I166" i="2"/>
  <c r="I153" i="2"/>
  <c r="H153" i="2"/>
  <c r="H95" i="2"/>
  <c r="I95" i="2"/>
  <c r="U153" i="2"/>
  <c r="W153" i="2"/>
  <c r="W222" i="2"/>
  <c r="U222" i="2"/>
  <c r="I206" i="2"/>
  <c r="H206" i="2"/>
  <c r="W185" i="2"/>
  <c r="U185" i="2"/>
  <c r="U324" i="2"/>
  <c r="W311" i="2"/>
  <c r="I289" i="2"/>
  <c r="U284" i="2"/>
  <c r="W284" i="2"/>
  <c r="W257" i="2"/>
  <c r="I250" i="2"/>
  <c r="H250" i="2"/>
  <c r="I234" i="2"/>
  <c r="I325" i="2"/>
  <c r="I270" i="2"/>
  <c r="H270" i="2"/>
  <c r="W219" i="2"/>
  <c r="W206" i="2"/>
  <c r="W74" i="2"/>
  <c r="U74" i="2"/>
  <c r="W336" i="2"/>
  <c r="U336" i="2"/>
  <c r="W331" i="2"/>
  <c r="H322" i="2"/>
  <c r="H307" i="2"/>
  <c r="I306" i="2"/>
  <c r="W305" i="2"/>
  <c r="I295" i="2"/>
  <c r="W294" i="2"/>
  <c r="I293" i="2"/>
  <c r="U276" i="2"/>
  <c r="W276" i="2"/>
  <c r="U271" i="2"/>
  <c r="W271" i="2"/>
  <c r="U251" i="2"/>
  <c r="U234" i="2"/>
  <c r="I228" i="2"/>
  <c r="W202" i="2"/>
  <c r="W189" i="2"/>
  <c r="U189" i="2"/>
  <c r="I149" i="2"/>
  <c r="W142" i="2"/>
  <c r="U142" i="2"/>
  <c r="I108" i="2"/>
  <c r="H108" i="2"/>
  <c r="I78" i="2"/>
  <c r="H78" i="2"/>
  <c r="I167" i="2"/>
  <c r="U88" i="2"/>
  <c r="W88" i="2"/>
  <c r="I284" i="2"/>
  <c r="H284" i="2"/>
  <c r="I219" i="2"/>
  <c r="H219" i="2"/>
  <c r="I268" i="2"/>
  <c r="I243" i="2"/>
  <c r="H243" i="2"/>
  <c r="W326" i="2"/>
  <c r="U247" i="2"/>
  <c r="W247" i="2"/>
  <c r="U200" i="2"/>
  <c r="W200" i="2"/>
  <c r="U157" i="2"/>
  <c r="W157" i="2"/>
  <c r="W342" i="2"/>
  <c r="I335" i="2"/>
  <c r="U328" i="2"/>
  <c r="U320" i="2"/>
  <c r="U308" i="2"/>
  <c r="W304" i="2"/>
  <c r="U302" i="2"/>
  <c r="W299" i="2"/>
  <c r="I255" i="2"/>
  <c r="H255" i="2"/>
  <c r="W254" i="2"/>
  <c r="I236" i="2"/>
  <c r="H220" i="2"/>
  <c r="I208" i="2"/>
  <c r="H208" i="2"/>
  <c r="I194" i="2"/>
  <c r="H188" i="2"/>
  <c r="I188" i="2"/>
  <c r="U149" i="2"/>
  <c r="W149" i="2"/>
  <c r="U112" i="2"/>
  <c r="W112" i="2"/>
  <c r="W95" i="2"/>
  <c r="U95" i="2"/>
  <c r="I240" i="2"/>
  <c r="H240" i="2"/>
  <c r="U136" i="2"/>
  <c r="W136" i="2"/>
  <c r="H6" i="2"/>
  <c r="I6" i="2"/>
  <c r="I333" i="2"/>
  <c r="W256" i="2"/>
  <c r="I247" i="2"/>
  <c r="H247" i="2"/>
  <c r="I127" i="2"/>
  <c r="H127" i="2"/>
  <c r="H74" i="2"/>
  <c r="I74" i="2"/>
  <c r="H70" i="2"/>
  <c r="I70" i="2"/>
  <c r="I271" i="2"/>
  <c r="U145" i="2"/>
  <c r="W145" i="2"/>
  <c r="I329" i="2"/>
  <c r="W323" i="2"/>
  <c r="I321" i="2"/>
  <c r="U319" i="2"/>
  <c r="W319" i="2"/>
  <c r="U317" i="2"/>
  <c r="W310" i="2"/>
  <c r="I303" i="2"/>
  <c r="U277" i="2"/>
  <c r="I238" i="2"/>
  <c r="H238" i="2"/>
  <c r="I218" i="2"/>
  <c r="H218" i="2"/>
  <c r="W207" i="2"/>
  <c r="U207" i="2"/>
  <c r="H203" i="2"/>
  <c r="I196" i="2"/>
  <c r="H196" i="2"/>
  <c r="W118" i="2"/>
  <c r="U118" i="2"/>
  <c r="W116" i="2"/>
  <c r="U116" i="2"/>
  <c r="W287" i="2"/>
  <c r="H272" i="2"/>
  <c r="U230" i="2"/>
  <c r="W230" i="2"/>
  <c r="U215" i="2"/>
  <c r="W215" i="2"/>
  <c r="U192" i="2"/>
  <c r="W192" i="2"/>
  <c r="I186" i="2"/>
  <c r="H186" i="2"/>
  <c r="I157" i="2"/>
  <c r="I125" i="2"/>
  <c r="H125" i="2"/>
  <c r="W108" i="2"/>
  <c r="H252" i="2"/>
  <c r="H235" i="2"/>
  <c r="I226" i="2"/>
  <c r="W217" i="2"/>
  <c r="U217" i="2"/>
  <c r="W209" i="2"/>
  <c r="U209" i="2"/>
  <c r="I198" i="2"/>
  <c r="I191" i="2"/>
  <c r="H191" i="2"/>
  <c r="U183" i="2"/>
  <c r="W183" i="2"/>
  <c r="W175" i="2"/>
  <c r="W143" i="2"/>
  <c r="U143" i="2"/>
  <c r="W138" i="2"/>
  <c r="U138" i="2"/>
  <c r="U127" i="2"/>
  <c r="W127" i="2"/>
  <c r="U101" i="2"/>
  <c r="W101" i="2"/>
  <c r="H75" i="2"/>
  <c r="I75" i="2"/>
  <c r="U261" i="2"/>
  <c r="W232" i="2"/>
  <c r="U198" i="2"/>
  <c r="W198" i="2"/>
  <c r="I115" i="2"/>
  <c r="H115" i="2"/>
  <c r="I266" i="2"/>
  <c r="I262" i="2"/>
  <c r="I258" i="2"/>
  <c r="W249" i="2"/>
  <c r="U249" i="2"/>
  <c r="W241" i="2"/>
  <c r="U241" i="2"/>
  <c r="I230" i="2"/>
  <c r="I223" i="2"/>
  <c r="H223" i="2"/>
  <c r="I187" i="2"/>
  <c r="U93" i="2"/>
  <c r="W93" i="2"/>
  <c r="W81" i="2"/>
  <c r="W252" i="2"/>
  <c r="U237" i="2"/>
  <c r="W220" i="2"/>
  <c r="U205" i="2"/>
  <c r="W188" i="2"/>
  <c r="I178" i="2"/>
  <c r="I170" i="2"/>
  <c r="I162" i="2"/>
  <c r="W129" i="2"/>
  <c r="U121" i="2"/>
  <c r="W121" i="2"/>
  <c r="U80" i="2"/>
  <c r="W80" i="2"/>
  <c r="U77" i="2"/>
  <c r="I77" i="2"/>
  <c r="U67" i="2"/>
  <c r="W67" i="2"/>
  <c r="I112" i="2"/>
  <c r="H112" i="2"/>
  <c r="I93" i="2"/>
  <c r="H93" i="2"/>
  <c r="W85" i="2"/>
  <c r="U85" i="2"/>
  <c r="I71" i="2"/>
  <c r="H32" i="2"/>
  <c r="I32" i="2"/>
  <c r="I155" i="2"/>
  <c r="I151" i="2"/>
  <c r="I147" i="2"/>
  <c r="W131" i="2"/>
  <c r="I98" i="2"/>
  <c r="W96" i="2"/>
  <c r="I64" i="2"/>
  <c r="H64" i="2"/>
  <c r="H44" i="2"/>
  <c r="I44" i="2"/>
  <c r="H29" i="2"/>
  <c r="I29" i="2"/>
  <c r="I129" i="2"/>
  <c r="H129" i="2"/>
  <c r="I119" i="2"/>
  <c r="W106" i="2"/>
  <c r="U106" i="2"/>
  <c r="W104" i="2"/>
  <c r="I100" i="2"/>
  <c r="H18" i="2"/>
  <c r="I18" i="2"/>
  <c r="U177" i="2"/>
  <c r="U169" i="2"/>
  <c r="U161" i="2"/>
  <c r="I159" i="2"/>
  <c r="H159" i="2"/>
  <c r="I144" i="2"/>
  <c r="H144" i="2"/>
  <c r="I140" i="2"/>
  <c r="I136" i="2"/>
  <c r="I123" i="2"/>
  <c r="U119" i="2"/>
  <c r="W119" i="2"/>
  <c r="I117" i="2"/>
  <c r="W100" i="2"/>
  <c r="U100" i="2"/>
  <c r="H83" i="2"/>
  <c r="W75" i="2"/>
  <c r="H57" i="2"/>
  <c r="I57" i="2"/>
  <c r="U158" i="2"/>
  <c r="W141" i="2"/>
  <c r="U126" i="2"/>
  <c r="W109" i="2"/>
  <c r="U92" i="2"/>
  <c r="H55" i="2"/>
  <c r="I55" i="2"/>
  <c r="H37" i="2"/>
  <c r="I37" i="2"/>
  <c r="H25" i="2"/>
  <c r="I25" i="2"/>
  <c r="H141" i="2"/>
  <c r="H139" i="2"/>
  <c r="H124" i="2"/>
  <c r="H87" i="2"/>
  <c r="I84" i="2"/>
  <c r="H76" i="2"/>
  <c r="I62" i="2"/>
  <c r="U102" i="2"/>
  <c r="H79" i="2"/>
  <c r="I79" i="2"/>
  <c r="H66" i="2"/>
  <c r="I66" i="2"/>
  <c r="U62" i="2"/>
  <c r="W62" i="2"/>
  <c r="H51" i="2"/>
  <c r="I51" i="2"/>
  <c r="H13" i="2"/>
  <c r="I13" i="2"/>
  <c r="U130" i="2"/>
  <c r="W113" i="2"/>
  <c r="H91" i="2"/>
  <c r="H69" i="2"/>
  <c r="U66" i="2"/>
  <c r="W66" i="2"/>
  <c r="H73" i="2"/>
  <c r="H68" i="2"/>
  <c r="H48" i="2"/>
  <c r="I48" i="2"/>
  <c r="H43" i="2"/>
  <c r="I43" i="2"/>
  <c r="H36" i="2"/>
  <c r="I36" i="2"/>
  <c r="H22" i="2"/>
  <c r="I22" i="2"/>
  <c r="H17" i="2"/>
  <c r="I17" i="2"/>
  <c r="H10" i="2"/>
  <c r="I10" i="2"/>
  <c r="H47" i="2"/>
  <c r="I47" i="2"/>
  <c r="H40" i="2"/>
  <c r="I40" i="2"/>
  <c r="H21" i="2"/>
  <c r="I21" i="2"/>
  <c r="H7" i="2"/>
  <c r="I7" i="2"/>
  <c r="H52" i="2"/>
  <c r="I52" i="2"/>
  <c r="H33" i="2"/>
  <c r="I33" i="2"/>
  <c r="H28" i="2"/>
  <c r="I28" i="2"/>
  <c r="H14" i="2"/>
  <c r="I14" i="2"/>
  <c r="H54" i="2"/>
  <c r="I54" i="2"/>
  <c r="H60" i="2"/>
  <c r="H39" i="2"/>
  <c r="I39" i="2"/>
  <c r="H35" i="2"/>
  <c r="I35" i="2"/>
  <c r="H31" i="2"/>
  <c r="I31" i="2"/>
  <c r="H24" i="2"/>
  <c r="I24" i="2"/>
  <c r="H20" i="2"/>
  <c r="I20" i="2"/>
  <c r="H16" i="2"/>
  <c r="I16" i="2"/>
  <c r="H9" i="2"/>
  <c r="I9" i="2"/>
  <c r="I65" i="2"/>
  <c r="I63" i="2"/>
  <c r="H49" i="2"/>
  <c r="I49" i="2"/>
  <c r="H45" i="2"/>
  <c r="I45" i="2"/>
  <c r="H41" i="2"/>
  <c r="I41" i="2"/>
  <c r="H26" i="2"/>
  <c r="I26" i="2"/>
  <c r="H11" i="2"/>
  <c r="I11" i="2"/>
  <c r="H63" i="2"/>
  <c r="I61" i="2"/>
  <c r="H56" i="2"/>
  <c r="I56" i="2"/>
  <c r="H53" i="2"/>
  <c r="I53" i="2"/>
  <c r="H38" i="2"/>
  <c r="I38" i="2"/>
  <c r="H34" i="2"/>
  <c r="I34" i="2"/>
  <c r="H30" i="2"/>
  <c r="I30" i="2"/>
  <c r="H23" i="2"/>
  <c r="I23" i="2"/>
  <c r="H19" i="2"/>
  <c r="I19" i="2"/>
  <c r="H15" i="2"/>
  <c r="I15" i="2"/>
  <c r="H8" i="2"/>
  <c r="I8" i="2"/>
  <c r="H50" i="2"/>
  <c r="I50" i="2"/>
  <c r="H46" i="2"/>
  <c r="I46" i="2"/>
  <c r="H42" i="2"/>
  <c r="I42" i="2"/>
  <c r="H27" i="2"/>
  <c r="I27" i="2"/>
  <c r="H12" i="2"/>
  <c r="I12" i="2"/>
  <c r="C12" i="116" l="1"/>
  <c r="G25" i="116" s="1"/>
  <c r="C11" i="116"/>
  <c r="J25" i="116" s="1"/>
  <c r="J21" i="116"/>
  <c r="G21" i="116"/>
  <c r="J20" i="116"/>
  <c r="G20" i="116"/>
  <c r="J25" i="115" l="1"/>
  <c r="G25" i="115"/>
  <c r="J21" i="115"/>
  <c r="G21" i="115"/>
  <c r="J20" i="115"/>
  <c r="J22" i="115" s="1"/>
  <c r="J23" i="115" s="1"/>
  <c r="J26" i="115" s="1"/>
  <c r="G20" i="115"/>
  <c r="G22" i="115" s="1"/>
  <c r="G23" i="115" s="1"/>
  <c r="G26" i="115" s="1"/>
  <c r="C12" i="114" l="1"/>
  <c r="C88" i="114"/>
  <c r="C89" i="114" s="1"/>
  <c r="C37" i="114"/>
  <c r="C21" i="114"/>
  <c r="C22" i="114" s="1"/>
  <c r="C61" i="114" l="1"/>
  <c r="C62" i="114" s="1"/>
  <c r="C68" i="114"/>
  <c r="C38" i="114"/>
  <c r="C13" i="114"/>
  <c r="C67" i="114"/>
  <c r="F357" i="108" l="1"/>
  <c r="H4" i="108"/>
  <c r="H5" i="108"/>
  <c r="H6" i="108"/>
  <c r="H7" i="108"/>
  <c r="H8" i="108"/>
  <c r="H9" i="108"/>
  <c r="H10" i="108"/>
  <c r="H11" i="108"/>
  <c r="H12" i="108"/>
  <c r="H13" i="108"/>
  <c r="H14" i="108"/>
  <c r="H15" i="108"/>
  <c r="H16" i="108"/>
  <c r="H17" i="108"/>
  <c r="H18" i="108"/>
  <c r="H19" i="108"/>
  <c r="H20" i="108"/>
  <c r="H21" i="108"/>
  <c r="H22" i="108"/>
  <c r="H23" i="108"/>
  <c r="H24" i="108"/>
  <c r="H25" i="108"/>
  <c r="H26" i="108"/>
  <c r="H27" i="108"/>
  <c r="H28" i="108"/>
  <c r="H29" i="108"/>
  <c r="H30" i="108"/>
  <c r="H31" i="108"/>
  <c r="H32" i="108"/>
  <c r="H33" i="108"/>
  <c r="H34" i="108"/>
  <c r="H35" i="108"/>
  <c r="H36" i="108"/>
  <c r="H37" i="108"/>
  <c r="H38" i="108"/>
  <c r="H39" i="108"/>
  <c r="H40" i="108"/>
  <c r="H41" i="108"/>
  <c r="H42" i="108"/>
  <c r="H43" i="108"/>
  <c r="H44" i="108"/>
  <c r="H45" i="108"/>
  <c r="H46" i="108"/>
  <c r="H47" i="108"/>
  <c r="H48" i="108"/>
  <c r="H49" i="108"/>
  <c r="H50" i="108"/>
  <c r="H51" i="108"/>
  <c r="H52" i="108"/>
  <c r="H53" i="108"/>
  <c r="H54" i="108"/>
  <c r="H55" i="108"/>
  <c r="H56" i="108"/>
  <c r="H57" i="108"/>
  <c r="H58" i="108"/>
  <c r="H59" i="108"/>
  <c r="H60" i="108"/>
  <c r="H61" i="108"/>
  <c r="H62" i="108"/>
  <c r="H63" i="108"/>
  <c r="H64" i="108"/>
  <c r="H65" i="108"/>
  <c r="H66" i="108"/>
  <c r="H67" i="108"/>
  <c r="H68" i="108"/>
  <c r="H69" i="108"/>
  <c r="H70" i="108"/>
  <c r="H71" i="108"/>
  <c r="H72" i="108"/>
  <c r="H73" i="108"/>
  <c r="H74" i="108"/>
  <c r="H75" i="108"/>
  <c r="H76" i="108"/>
  <c r="H77" i="108"/>
  <c r="H78" i="108"/>
  <c r="H79" i="108"/>
  <c r="H80" i="108"/>
  <c r="H81" i="108"/>
  <c r="H82" i="108"/>
  <c r="H83" i="108"/>
  <c r="H84" i="108"/>
  <c r="H85" i="108"/>
  <c r="H86" i="108"/>
  <c r="H87" i="108"/>
  <c r="H88" i="108"/>
  <c r="H89" i="108"/>
  <c r="H90" i="108"/>
  <c r="H91" i="108"/>
  <c r="H92" i="108"/>
  <c r="H93" i="108"/>
  <c r="H94" i="108"/>
  <c r="H95" i="108"/>
  <c r="H96" i="108"/>
  <c r="H97" i="108"/>
  <c r="H98" i="108"/>
  <c r="H99" i="108"/>
  <c r="H100" i="108"/>
  <c r="H101" i="108"/>
  <c r="H102" i="108"/>
  <c r="H103" i="108"/>
  <c r="H104" i="108"/>
  <c r="H105" i="108"/>
  <c r="H106" i="108"/>
  <c r="H107" i="108"/>
  <c r="H108" i="108"/>
  <c r="H109" i="108"/>
  <c r="H110" i="108"/>
  <c r="H111" i="108"/>
  <c r="H112" i="108"/>
  <c r="H113" i="108"/>
  <c r="H114" i="108"/>
  <c r="H115" i="108"/>
  <c r="H116" i="108"/>
  <c r="H117" i="108"/>
  <c r="H118" i="108"/>
  <c r="H119" i="108"/>
  <c r="H120" i="108"/>
  <c r="H121" i="108"/>
  <c r="H122" i="108"/>
  <c r="H123" i="108"/>
  <c r="H124" i="108"/>
  <c r="H125" i="108"/>
  <c r="H126" i="108"/>
  <c r="H127" i="108"/>
  <c r="H128" i="108"/>
  <c r="H129" i="108"/>
  <c r="H130" i="108"/>
  <c r="H131" i="108"/>
  <c r="H132" i="108"/>
  <c r="H133" i="108"/>
  <c r="H134" i="108"/>
  <c r="H135" i="108"/>
  <c r="H136" i="108"/>
  <c r="H137" i="108"/>
  <c r="H138" i="108"/>
  <c r="H139" i="108"/>
  <c r="H140" i="108"/>
  <c r="H141" i="108"/>
  <c r="H142" i="108"/>
  <c r="H143" i="108"/>
  <c r="H144" i="108"/>
  <c r="H145" i="108"/>
  <c r="H146" i="108"/>
  <c r="H147" i="108"/>
  <c r="H148" i="108"/>
  <c r="H149" i="108"/>
  <c r="H150" i="108"/>
  <c r="H151" i="108"/>
  <c r="H152" i="108"/>
  <c r="H153" i="108"/>
  <c r="H154" i="108"/>
  <c r="H155" i="108"/>
  <c r="H156" i="108"/>
  <c r="H157" i="108"/>
  <c r="H158" i="108"/>
  <c r="H159" i="108"/>
  <c r="H160" i="108"/>
  <c r="H161" i="108"/>
  <c r="H162" i="108"/>
  <c r="H163" i="108"/>
  <c r="H164" i="108"/>
  <c r="H165" i="108"/>
  <c r="H166" i="108"/>
  <c r="H167" i="108"/>
  <c r="H168" i="108"/>
  <c r="H169" i="108"/>
  <c r="H170" i="108"/>
  <c r="H171" i="108"/>
  <c r="H172" i="108"/>
  <c r="H173" i="108"/>
  <c r="H174" i="108"/>
  <c r="H175" i="108"/>
  <c r="H176" i="108"/>
  <c r="H177" i="108"/>
  <c r="H178" i="108"/>
  <c r="H179" i="108"/>
  <c r="H180" i="108"/>
  <c r="H181" i="108"/>
  <c r="H182" i="108"/>
  <c r="H183" i="108"/>
  <c r="H184" i="108"/>
  <c r="H185" i="108"/>
  <c r="H186" i="108"/>
  <c r="H187" i="108"/>
  <c r="H188" i="108"/>
  <c r="H189" i="108"/>
  <c r="H190" i="108"/>
  <c r="H191" i="108"/>
  <c r="H192" i="108"/>
  <c r="H193" i="108"/>
  <c r="H194" i="108"/>
  <c r="H195" i="108"/>
  <c r="H196" i="108"/>
  <c r="H197" i="108"/>
  <c r="H198" i="108"/>
  <c r="H199" i="108"/>
  <c r="H200" i="108"/>
  <c r="H201" i="108"/>
  <c r="H202" i="108"/>
  <c r="H203" i="108"/>
  <c r="H204" i="108"/>
  <c r="H205" i="108"/>
  <c r="H206" i="108"/>
  <c r="H207" i="108"/>
  <c r="H208" i="108"/>
  <c r="H209" i="108"/>
  <c r="H210" i="108"/>
  <c r="H211" i="108"/>
  <c r="H212" i="108"/>
  <c r="H213" i="108"/>
  <c r="H214" i="108"/>
  <c r="H215" i="108"/>
  <c r="H216" i="108"/>
  <c r="H217" i="108"/>
  <c r="H218" i="108"/>
  <c r="H219" i="108"/>
  <c r="H220" i="108"/>
  <c r="H221" i="108"/>
  <c r="H222" i="108"/>
  <c r="H223" i="108"/>
  <c r="H224" i="108"/>
  <c r="H225" i="108"/>
  <c r="H226" i="108"/>
  <c r="H227" i="108"/>
  <c r="H228" i="108"/>
  <c r="H229" i="108"/>
  <c r="H230" i="108"/>
  <c r="H231" i="108"/>
  <c r="H232" i="108"/>
  <c r="H233" i="108"/>
  <c r="H234" i="108"/>
  <c r="H235" i="108"/>
  <c r="H236" i="108"/>
  <c r="H237" i="108"/>
  <c r="H238" i="108"/>
  <c r="H239" i="108"/>
  <c r="H240" i="108"/>
  <c r="H241" i="108"/>
  <c r="H242" i="108"/>
  <c r="H243" i="108"/>
  <c r="H244" i="108"/>
  <c r="H245" i="108"/>
  <c r="H246" i="108"/>
  <c r="H247" i="108"/>
  <c r="H248" i="108"/>
  <c r="H249" i="108"/>
  <c r="H250" i="108"/>
  <c r="H251" i="108"/>
  <c r="H252" i="108"/>
  <c r="H253" i="108"/>
  <c r="H254" i="108"/>
  <c r="H255" i="108"/>
  <c r="H256" i="108"/>
  <c r="H257" i="108"/>
  <c r="H258" i="108"/>
  <c r="H259" i="108"/>
  <c r="H260" i="108"/>
  <c r="H261" i="108"/>
  <c r="H262" i="108"/>
  <c r="H263" i="108"/>
  <c r="H264" i="108"/>
  <c r="H265" i="108"/>
  <c r="H266" i="108"/>
  <c r="H267" i="108"/>
  <c r="H268" i="108"/>
  <c r="H269" i="108"/>
  <c r="H270" i="108"/>
  <c r="H271" i="108"/>
  <c r="H272" i="108"/>
  <c r="H273" i="108"/>
  <c r="H274" i="108"/>
  <c r="H275" i="108"/>
  <c r="H276" i="108"/>
  <c r="H277" i="108"/>
  <c r="H278" i="108"/>
  <c r="H279" i="108"/>
  <c r="H280" i="108"/>
  <c r="H281" i="108"/>
  <c r="H282" i="108"/>
  <c r="H283" i="108"/>
  <c r="H284" i="108"/>
  <c r="H285" i="108"/>
  <c r="H286" i="108"/>
  <c r="H287" i="108"/>
  <c r="H288" i="108"/>
  <c r="H289" i="108"/>
  <c r="H290" i="108"/>
  <c r="H291" i="108"/>
  <c r="H292" i="108"/>
  <c r="H293" i="108"/>
  <c r="H294" i="108"/>
  <c r="H295" i="108"/>
  <c r="H296" i="108"/>
  <c r="H297" i="108"/>
  <c r="H298" i="108"/>
  <c r="H299" i="108"/>
  <c r="H300" i="108"/>
  <c r="H301" i="108"/>
  <c r="H302" i="108"/>
  <c r="H303" i="108"/>
  <c r="H304" i="108"/>
  <c r="H305" i="108"/>
  <c r="H306" i="108"/>
  <c r="H307" i="108"/>
  <c r="H308" i="108"/>
  <c r="H309" i="108"/>
  <c r="H310" i="108"/>
  <c r="H311" i="108"/>
  <c r="H312" i="108"/>
  <c r="H313" i="108"/>
  <c r="H314" i="108"/>
  <c r="H315" i="108"/>
  <c r="H316" i="108"/>
  <c r="H317" i="108"/>
  <c r="H318" i="108"/>
  <c r="H319" i="108"/>
  <c r="H320" i="108"/>
  <c r="H321" i="108"/>
  <c r="H322" i="108"/>
  <c r="H323" i="108"/>
  <c r="H324" i="108"/>
  <c r="H325" i="108"/>
  <c r="H326" i="108"/>
  <c r="H327" i="108"/>
  <c r="H328" i="108"/>
  <c r="H329" i="108"/>
  <c r="H330" i="108"/>
  <c r="H331" i="108"/>
  <c r="H332" i="108"/>
  <c r="H333" i="108"/>
  <c r="H334" i="108"/>
  <c r="H335" i="108"/>
  <c r="H336" i="108"/>
  <c r="H337" i="108"/>
  <c r="H338" i="108"/>
  <c r="H339" i="108"/>
  <c r="H340" i="108"/>
  <c r="H341" i="108"/>
  <c r="H342" i="108"/>
  <c r="H343" i="108"/>
  <c r="H344" i="108"/>
  <c r="H345" i="108"/>
  <c r="H346" i="108"/>
  <c r="H347" i="108"/>
  <c r="H348" i="108"/>
  <c r="H349" i="108"/>
  <c r="H350" i="108"/>
  <c r="H351" i="108"/>
  <c r="H352" i="108"/>
  <c r="H353" i="108"/>
  <c r="H354" i="108"/>
  <c r="H3" i="108"/>
  <c r="A4" i="108"/>
  <c r="B4" i="108"/>
  <c r="C4" i="108"/>
  <c r="E4" i="108"/>
  <c r="F4" i="108"/>
  <c r="G4" i="108"/>
  <c r="A5" i="108"/>
  <c r="B5" i="108"/>
  <c r="C5" i="108"/>
  <c r="E5" i="108"/>
  <c r="F5" i="108"/>
  <c r="G5" i="108"/>
  <c r="A6" i="108"/>
  <c r="B6" i="108"/>
  <c r="C6" i="108"/>
  <c r="E6" i="108"/>
  <c r="F6" i="108"/>
  <c r="G6" i="108"/>
  <c r="A7" i="108"/>
  <c r="B7" i="108"/>
  <c r="C7" i="108"/>
  <c r="E7" i="108"/>
  <c r="F7" i="108"/>
  <c r="G7" i="108"/>
  <c r="A8" i="108"/>
  <c r="B8" i="108"/>
  <c r="C8" i="108"/>
  <c r="E8" i="108"/>
  <c r="F8" i="108"/>
  <c r="G8" i="108"/>
  <c r="A9" i="108"/>
  <c r="B9" i="108"/>
  <c r="C9" i="108"/>
  <c r="E9" i="108"/>
  <c r="F9" i="108"/>
  <c r="G9" i="108"/>
  <c r="A10" i="108"/>
  <c r="B10" i="108"/>
  <c r="C10" i="108"/>
  <c r="E10" i="108"/>
  <c r="F10" i="108"/>
  <c r="G10" i="108"/>
  <c r="A11" i="108"/>
  <c r="B11" i="108"/>
  <c r="C11" i="108"/>
  <c r="E11" i="108"/>
  <c r="F11" i="108"/>
  <c r="G11" i="108"/>
  <c r="A12" i="108"/>
  <c r="B12" i="108"/>
  <c r="C12" i="108"/>
  <c r="E12" i="108"/>
  <c r="F12" i="108"/>
  <c r="G12" i="108"/>
  <c r="A13" i="108"/>
  <c r="B13" i="108"/>
  <c r="C13" i="108"/>
  <c r="E13" i="108"/>
  <c r="F13" i="108"/>
  <c r="G13" i="108"/>
  <c r="A14" i="108"/>
  <c r="B14" i="108"/>
  <c r="C14" i="108"/>
  <c r="E14" i="108"/>
  <c r="F14" i="108"/>
  <c r="G14" i="108"/>
  <c r="A15" i="108"/>
  <c r="B15" i="108"/>
  <c r="C15" i="108"/>
  <c r="E15" i="108"/>
  <c r="F15" i="108"/>
  <c r="G15" i="108"/>
  <c r="A16" i="108"/>
  <c r="B16" i="108"/>
  <c r="C16" i="108"/>
  <c r="E16" i="108"/>
  <c r="F16" i="108"/>
  <c r="G16" i="108"/>
  <c r="A17" i="108"/>
  <c r="B17" i="108"/>
  <c r="C17" i="108"/>
  <c r="E17" i="108"/>
  <c r="F17" i="108"/>
  <c r="G17" i="108"/>
  <c r="A18" i="108"/>
  <c r="B18" i="108"/>
  <c r="C18" i="108"/>
  <c r="E18" i="108"/>
  <c r="F18" i="108"/>
  <c r="G18" i="108"/>
  <c r="A19" i="108"/>
  <c r="B19" i="108"/>
  <c r="C19" i="108"/>
  <c r="E19" i="108"/>
  <c r="F19" i="108"/>
  <c r="G19" i="108"/>
  <c r="A20" i="108"/>
  <c r="B20" i="108"/>
  <c r="C20" i="108"/>
  <c r="E20" i="108"/>
  <c r="F20" i="108"/>
  <c r="G20" i="108"/>
  <c r="A21" i="108"/>
  <c r="B21" i="108"/>
  <c r="C21" i="108"/>
  <c r="E21" i="108"/>
  <c r="F21" i="108"/>
  <c r="G21" i="108"/>
  <c r="A22" i="108"/>
  <c r="B22" i="108"/>
  <c r="C22" i="108"/>
  <c r="E22" i="108"/>
  <c r="F22" i="108"/>
  <c r="G22" i="108"/>
  <c r="A23" i="108"/>
  <c r="B23" i="108"/>
  <c r="C23" i="108"/>
  <c r="E23" i="108"/>
  <c r="F23" i="108"/>
  <c r="G23" i="108"/>
  <c r="A24" i="108"/>
  <c r="B24" i="108"/>
  <c r="C24" i="108"/>
  <c r="E24" i="108"/>
  <c r="F24" i="108"/>
  <c r="G24" i="108"/>
  <c r="A25" i="108"/>
  <c r="B25" i="108"/>
  <c r="C25" i="108"/>
  <c r="E25" i="108"/>
  <c r="F25" i="108"/>
  <c r="G25" i="108"/>
  <c r="A26" i="108"/>
  <c r="B26" i="108"/>
  <c r="C26" i="108"/>
  <c r="E26" i="108"/>
  <c r="F26" i="108"/>
  <c r="G26" i="108"/>
  <c r="A27" i="108"/>
  <c r="B27" i="108"/>
  <c r="C27" i="108"/>
  <c r="E27" i="108"/>
  <c r="F27" i="108"/>
  <c r="G27" i="108"/>
  <c r="A28" i="108"/>
  <c r="B28" i="108"/>
  <c r="C28" i="108"/>
  <c r="E28" i="108"/>
  <c r="F28" i="108"/>
  <c r="G28" i="108"/>
  <c r="A29" i="108"/>
  <c r="B29" i="108"/>
  <c r="C29" i="108"/>
  <c r="E29" i="108"/>
  <c r="F29" i="108"/>
  <c r="G29" i="108"/>
  <c r="A30" i="108"/>
  <c r="B30" i="108"/>
  <c r="C30" i="108"/>
  <c r="E30" i="108"/>
  <c r="F30" i="108"/>
  <c r="G30" i="108"/>
  <c r="A31" i="108"/>
  <c r="B31" i="108"/>
  <c r="C31" i="108"/>
  <c r="E31" i="108"/>
  <c r="F31" i="108"/>
  <c r="G31" i="108"/>
  <c r="A32" i="108"/>
  <c r="B32" i="108"/>
  <c r="C32" i="108"/>
  <c r="E32" i="108"/>
  <c r="F32" i="108"/>
  <c r="G32" i="108"/>
  <c r="A33" i="108"/>
  <c r="B33" i="108"/>
  <c r="C33" i="108"/>
  <c r="E33" i="108"/>
  <c r="F33" i="108"/>
  <c r="G33" i="108"/>
  <c r="A34" i="108"/>
  <c r="B34" i="108"/>
  <c r="C34" i="108"/>
  <c r="E34" i="108"/>
  <c r="F34" i="108"/>
  <c r="G34" i="108"/>
  <c r="A35" i="108"/>
  <c r="B35" i="108"/>
  <c r="C35" i="108"/>
  <c r="E35" i="108"/>
  <c r="F35" i="108"/>
  <c r="G35" i="108"/>
  <c r="A36" i="108"/>
  <c r="B36" i="108"/>
  <c r="C36" i="108"/>
  <c r="E36" i="108"/>
  <c r="F36" i="108"/>
  <c r="G36" i="108"/>
  <c r="A37" i="108"/>
  <c r="B37" i="108"/>
  <c r="C37" i="108"/>
  <c r="E37" i="108"/>
  <c r="F37" i="108"/>
  <c r="G37" i="108"/>
  <c r="A38" i="108"/>
  <c r="B38" i="108"/>
  <c r="C38" i="108"/>
  <c r="E38" i="108"/>
  <c r="F38" i="108"/>
  <c r="G38" i="108"/>
  <c r="A39" i="108"/>
  <c r="B39" i="108"/>
  <c r="C39" i="108"/>
  <c r="E39" i="108"/>
  <c r="F39" i="108"/>
  <c r="G39" i="108"/>
  <c r="A40" i="108"/>
  <c r="B40" i="108"/>
  <c r="C40" i="108"/>
  <c r="E40" i="108"/>
  <c r="F40" i="108"/>
  <c r="G40" i="108"/>
  <c r="A41" i="108"/>
  <c r="B41" i="108"/>
  <c r="C41" i="108"/>
  <c r="E41" i="108"/>
  <c r="F41" i="108"/>
  <c r="G41" i="108"/>
  <c r="A42" i="108"/>
  <c r="B42" i="108"/>
  <c r="C42" i="108"/>
  <c r="E42" i="108"/>
  <c r="F42" i="108"/>
  <c r="G42" i="108"/>
  <c r="A43" i="108"/>
  <c r="B43" i="108"/>
  <c r="C43" i="108"/>
  <c r="E43" i="108"/>
  <c r="F43" i="108"/>
  <c r="G43" i="108"/>
  <c r="A44" i="108"/>
  <c r="B44" i="108"/>
  <c r="C44" i="108"/>
  <c r="E44" i="108"/>
  <c r="F44" i="108"/>
  <c r="G44" i="108"/>
  <c r="A45" i="108"/>
  <c r="B45" i="108"/>
  <c r="C45" i="108"/>
  <c r="E45" i="108"/>
  <c r="F45" i="108"/>
  <c r="G45" i="108"/>
  <c r="A46" i="108"/>
  <c r="B46" i="108"/>
  <c r="C46" i="108"/>
  <c r="E46" i="108"/>
  <c r="F46" i="108"/>
  <c r="G46" i="108"/>
  <c r="A47" i="108"/>
  <c r="B47" i="108"/>
  <c r="C47" i="108"/>
  <c r="E47" i="108"/>
  <c r="F47" i="108"/>
  <c r="G47" i="108"/>
  <c r="A48" i="108"/>
  <c r="B48" i="108"/>
  <c r="C48" i="108"/>
  <c r="E48" i="108"/>
  <c r="F48" i="108"/>
  <c r="G48" i="108"/>
  <c r="A49" i="108"/>
  <c r="B49" i="108"/>
  <c r="C49" i="108"/>
  <c r="E49" i="108"/>
  <c r="F49" i="108"/>
  <c r="G49" i="108"/>
  <c r="A50" i="108"/>
  <c r="B50" i="108"/>
  <c r="C50" i="108"/>
  <c r="E50" i="108"/>
  <c r="F50" i="108"/>
  <c r="G50" i="108"/>
  <c r="A51" i="108"/>
  <c r="B51" i="108"/>
  <c r="C51" i="108"/>
  <c r="E51" i="108"/>
  <c r="F51" i="108"/>
  <c r="G51" i="108"/>
  <c r="A52" i="108"/>
  <c r="B52" i="108"/>
  <c r="C52" i="108"/>
  <c r="E52" i="108"/>
  <c r="F52" i="108"/>
  <c r="G52" i="108"/>
  <c r="A53" i="108"/>
  <c r="B53" i="108"/>
  <c r="C53" i="108"/>
  <c r="E53" i="108"/>
  <c r="F53" i="108"/>
  <c r="G53" i="108"/>
  <c r="A54" i="108"/>
  <c r="B54" i="108"/>
  <c r="C54" i="108"/>
  <c r="E54" i="108"/>
  <c r="F54" i="108"/>
  <c r="G54" i="108"/>
  <c r="A55" i="108"/>
  <c r="B55" i="108"/>
  <c r="C55" i="108"/>
  <c r="E55" i="108"/>
  <c r="F55" i="108"/>
  <c r="G55" i="108"/>
  <c r="A56" i="108"/>
  <c r="B56" i="108"/>
  <c r="C56" i="108"/>
  <c r="E56" i="108"/>
  <c r="F56" i="108"/>
  <c r="G56" i="108"/>
  <c r="A57" i="108"/>
  <c r="B57" i="108"/>
  <c r="C57" i="108"/>
  <c r="E57" i="108"/>
  <c r="F57" i="108"/>
  <c r="G57" i="108"/>
  <c r="A58" i="108"/>
  <c r="B58" i="108"/>
  <c r="C58" i="108"/>
  <c r="E58" i="108"/>
  <c r="F58" i="108"/>
  <c r="G58" i="108"/>
  <c r="A59" i="108"/>
  <c r="B59" i="108"/>
  <c r="C59" i="108"/>
  <c r="E59" i="108"/>
  <c r="F59" i="108"/>
  <c r="G59" i="108"/>
  <c r="A60" i="108"/>
  <c r="B60" i="108"/>
  <c r="C60" i="108"/>
  <c r="E60" i="108"/>
  <c r="F60" i="108"/>
  <c r="G60" i="108"/>
  <c r="A61" i="108"/>
  <c r="B61" i="108"/>
  <c r="C61" i="108"/>
  <c r="E61" i="108"/>
  <c r="F61" i="108"/>
  <c r="G61" i="108"/>
  <c r="A62" i="108"/>
  <c r="B62" i="108"/>
  <c r="C62" i="108"/>
  <c r="E62" i="108"/>
  <c r="F62" i="108"/>
  <c r="G62" i="108"/>
  <c r="A63" i="108"/>
  <c r="B63" i="108"/>
  <c r="C63" i="108"/>
  <c r="E63" i="108"/>
  <c r="F63" i="108"/>
  <c r="G63" i="108"/>
  <c r="A64" i="108"/>
  <c r="B64" i="108"/>
  <c r="C64" i="108"/>
  <c r="E64" i="108"/>
  <c r="F64" i="108"/>
  <c r="G64" i="108"/>
  <c r="A65" i="108"/>
  <c r="B65" i="108"/>
  <c r="C65" i="108"/>
  <c r="E65" i="108"/>
  <c r="F65" i="108"/>
  <c r="G65" i="108"/>
  <c r="A66" i="108"/>
  <c r="B66" i="108"/>
  <c r="C66" i="108"/>
  <c r="E66" i="108"/>
  <c r="F66" i="108"/>
  <c r="G66" i="108"/>
  <c r="A67" i="108"/>
  <c r="B67" i="108"/>
  <c r="C67" i="108"/>
  <c r="E67" i="108"/>
  <c r="F67" i="108"/>
  <c r="G67" i="108"/>
  <c r="A68" i="108"/>
  <c r="B68" i="108"/>
  <c r="C68" i="108"/>
  <c r="E68" i="108"/>
  <c r="F68" i="108"/>
  <c r="G68" i="108"/>
  <c r="A69" i="108"/>
  <c r="B69" i="108"/>
  <c r="C69" i="108"/>
  <c r="E69" i="108"/>
  <c r="F69" i="108"/>
  <c r="G69" i="108"/>
  <c r="A70" i="108"/>
  <c r="B70" i="108"/>
  <c r="C70" i="108"/>
  <c r="E70" i="108"/>
  <c r="F70" i="108"/>
  <c r="G70" i="108"/>
  <c r="A71" i="108"/>
  <c r="B71" i="108"/>
  <c r="C71" i="108"/>
  <c r="E71" i="108"/>
  <c r="F71" i="108"/>
  <c r="G71" i="108"/>
  <c r="A72" i="108"/>
  <c r="B72" i="108"/>
  <c r="C72" i="108"/>
  <c r="E72" i="108"/>
  <c r="F72" i="108"/>
  <c r="G72" i="108"/>
  <c r="A73" i="108"/>
  <c r="B73" i="108"/>
  <c r="C73" i="108"/>
  <c r="E73" i="108"/>
  <c r="F73" i="108"/>
  <c r="G73" i="108"/>
  <c r="A74" i="108"/>
  <c r="B74" i="108"/>
  <c r="C74" i="108"/>
  <c r="E74" i="108"/>
  <c r="F74" i="108"/>
  <c r="G74" i="108"/>
  <c r="A75" i="108"/>
  <c r="B75" i="108"/>
  <c r="C75" i="108"/>
  <c r="E75" i="108"/>
  <c r="F75" i="108"/>
  <c r="G75" i="108"/>
  <c r="A76" i="108"/>
  <c r="B76" i="108"/>
  <c r="C76" i="108"/>
  <c r="E76" i="108"/>
  <c r="F76" i="108"/>
  <c r="G76" i="108"/>
  <c r="A77" i="108"/>
  <c r="B77" i="108"/>
  <c r="C77" i="108"/>
  <c r="E77" i="108"/>
  <c r="F77" i="108"/>
  <c r="G77" i="108"/>
  <c r="A78" i="108"/>
  <c r="B78" i="108"/>
  <c r="C78" i="108"/>
  <c r="E78" i="108"/>
  <c r="F78" i="108"/>
  <c r="G78" i="108"/>
  <c r="A79" i="108"/>
  <c r="B79" i="108"/>
  <c r="C79" i="108"/>
  <c r="E79" i="108"/>
  <c r="F79" i="108"/>
  <c r="G79" i="108"/>
  <c r="A80" i="108"/>
  <c r="B80" i="108"/>
  <c r="C80" i="108"/>
  <c r="E80" i="108"/>
  <c r="F80" i="108"/>
  <c r="G80" i="108"/>
  <c r="A81" i="108"/>
  <c r="B81" i="108"/>
  <c r="C81" i="108"/>
  <c r="E81" i="108"/>
  <c r="F81" i="108"/>
  <c r="G81" i="108"/>
  <c r="A82" i="108"/>
  <c r="B82" i="108"/>
  <c r="C82" i="108"/>
  <c r="E82" i="108"/>
  <c r="F82" i="108"/>
  <c r="G82" i="108"/>
  <c r="A83" i="108"/>
  <c r="B83" i="108"/>
  <c r="C83" i="108"/>
  <c r="E83" i="108"/>
  <c r="F83" i="108"/>
  <c r="G83" i="108"/>
  <c r="A84" i="108"/>
  <c r="B84" i="108"/>
  <c r="C84" i="108"/>
  <c r="E84" i="108"/>
  <c r="F84" i="108"/>
  <c r="G84" i="108"/>
  <c r="A85" i="108"/>
  <c r="B85" i="108"/>
  <c r="C85" i="108"/>
  <c r="E85" i="108"/>
  <c r="F85" i="108"/>
  <c r="G85" i="108"/>
  <c r="A86" i="108"/>
  <c r="B86" i="108"/>
  <c r="C86" i="108"/>
  <c r="E86" i="108"/>
  <c r="F86" i="108"/>
  <c r="G86" i="108"/>
  <c r="A87" i="108"/>
  <c r="B87" i="108"/>
  <c r="C87" i="108"/>
  <c r="E87" i="108"/>
  <c r="F87" i="108"/>
  <c r="G87" i="108"/>
  <c r="A88" i="108"/>
  <c r="B88" i="108"/>
  <c r="C88" i="108"/>
  <c r="E88" i="108"/>
  <c r="F88" i="108"/>
  <c r="G88" i="108"/>
  <c r="A89" i="108"/>
  <c r="B89" i="108"/>
  <c r="C89" i="108"/>
  <c r="E89" i="108"/>
  <c r="F89" i="108"/>
  <c r="G89" i="108"/>
  <c r="A90" i="108"/>
  <c r="B90" i="108"/>
  <c r="C90" i="108"/>
  <c r="E90" i="108"/>
  <c r="F90" i="108"/>
  <c r="G90" i="108"/>
  <c r="A91" i="108"/>
  <c r="B91" i="108"/>
  <c r="C91" i="108"/>
  <c r="E91" i="108"/>
  <c r="F91" i="108"/>
  <c r="G91" i="108"/>
  <c r="A92" i="108"/>
  <c r="B92" i="108"/>
  <c r="C92" i="108"/>
  <c r="E92" i="108"/>
  <c r="F92" i="108"/>
  <c r="G92" i="108"/>
  <c r="A93" i="108"/>
  <c r="B93" i="108"/>
  <c r="C93" i="108"/>
  <c r="E93" i="108"/>
  <c r="F93" i="108"/>
  <c r="G93" i="108"/>
  <c r="A94" i="108"/>
  <c r="B94" i="108"/>
  <c r="C94" i="108"/>
  <c r="E94" i="108"/>
  <c r="F94" i="108"/>
  <c r="G94" i="108"/>
  <c r="A95" i="108"/>
  <c r="B95" i="108"/>
  <c r="C95" i="108"/>
  <c r="E95" i="108"/>
  <c r="F95" i="108"/>
  <c r="G95" i="108"/>
  <c r="A96" i="108"/>
  <c r="B96" i="108"/>
  <c r="C96" i="108"/>
  <c r="E96" i="108"/>
  <c r="F96" i="108"/>
  <c r="G96" i="108"/>
  <c r="A97" i="108"/>
  <c r="B97" i="108"/>
  <c r="C97" i="108"/>
  <c r="E97" i="108"/>
  <c r="F97" i="108"/>
  <c r="G97" i="108"/>
  <c r="A98" i="108"/>
  <c r="B98" i="108"/>
  <c r="C98" i="108"/>
  <c r="E98" i="108"/>
  <c r="F98" i="108"/>
  <c r="G98" i="108"/>
  <c r="A99" i="108"/>
  <c r="B99" i="108"/>
  <c r="C99" i="108"/>
  <c r="E99" i="108"/>
  <c r="F99" i="108"/>
  <c r="G99" i="108"/>
  <c r="A100" i="108"/>
  <c r="B100" i="108"/>
  <c r="C100" i="108"/>
  <c r="E100" i="108"/>
  <c r="F100" i="108"/>
  <c r="G100" i="108"/>
  <c r="A101" i="108"/>
  <c r="B101" i="108"/>
  <c r="C101" i="108"/>
  <c r="E101" i="108"/>
  <c r="F101" i="108"/>
  <c r="G101" i="108"/>
  <c r="A102" i="108"/>
  <c r="B102" i="108"/>
  <c r="C102" i="108"/>
  <c r="E102" i="108"/>
  <c r="F102" i="108"/>
  <c r="G102" i="108"/>
  <c r="A103" i="108"/>
  <c r="B103" i="108"/>
  <c r="C103" i="108"/>
  <c r="E103" i="108"/>
  <c r="F103" i="108"/>
  <c r="G103" i="108"/>
  <c r="A104" i="108"/>
  <c r="B104" i="108"/>
  <c r="C104" i="108"/>
  <c r="E104" i="108"/>
  <c r="F104" i="108"/>
  <c r="G104" i="108"/>
  <c r="A105" i="108"/>
  <c r="B105" i="108"/>
  <c r="C105" i="108"/>
  <c r="E105" i="108"/>
  <c r="F105" i="108"/>
  <c r="G105" i="108"/>
  <c r="A106" i="108"/>
  <c r="B106" i="108"/>
  <c r="C106" i="108"/>
  <c r="E106" i="108"/>
  <c r="F106" i="108"/>
  <c r="G106" i="108"/>
  <c r="A107" i="108"/>
  <c r="B107" i="108"/>
  <c r="C107" i="108"/>
  <c r="E107" i="108"/>
  <c r="F107" i="108"/>
  <c r="G107" i="108"/>
  <c r="A108" i="108"/>
  <c r="B108" i="108"/>
  <c r="C108" i="108"/>
  <c r="E108" i="108"/>
  <c r="F108" i="108"/>
  <c r="G108" i="108"/>
  <c r="A109" i="108"/>
  <c r="B109" i="108"/>
  <c r="C109" i="108"/>
  <c r="E109" i="108"/>
  <c r="F109" i="108"/>
  <c r="G109" i="108"/>
  <c r="A110" i="108"/>
  <c r="B110" i="108"/>
  <c r="C110" i="108"/>
  <c r="E110" i="108"/>
  <c r="F110" i="108"/>
  <c r="G110" i="108"/>
  <c r="A111" i="108"/>
  <c r="B111" i="108"/>
  <c r="C111" i="108"/>
  <c r="E111" i="108"/>
  <c r="F111" i="108"/>
  <c r="G111" i="108"/>
  <c r="A112" i="108"/>
  <c r="B112" i="108"/>
  <c r="C112" i="108"/>
  <c r="E112" i="108"/>
  <c r="F112" i="108"/>
  <c r="G112" i="108"/>
  <c r="A113" i="108"/>
  <c r="B113" i="108"/>
  <c r="C113" i="108"/>
  <c r="E113" i="108"/>
  <c r="F113" i="108"/>
  <c r="G113" i="108"/>
  <c r="A114" i="108"/>
  <c r="B114" i="108"/>
  <c r="C114" i="108"/>
  <c r="E114" i="108"/>
  <c r="F114" i="108"/>
  <c r="G114" i="108"/>
  <c r="A115" i="108"/>
  <c r="B115" i="108"/>
  <c r="C115" i="108"/>
  <c r="E115" i="108"/>
  <c r="F115" i="108"/>
  <c r="G115" i="108"/>
  <c r="A116" i="108"/>
  <c r="B116" i="108"/>
  <c r="C116" i="108"/>
  <c r="E116" i="108"/>
  <c r="F116" i="108"/>
  <c r="G116" i="108"/>
  <c r="A117" i="108"/>
  <c r="B117" i="108"/>
  <c r="C117" i="108"/>
  <c r="E117" i="108"/>
  <c r="F117" i="108"/>
  <c r="G117" i="108"/>
  <c r="A118" i="108"/>
  <c r="B118" i="108"/>
  <c r="C118" i="108"/>
  <c r="E118" i="108"/>
  <c r="F118" i="108"/>
  <c r="G118" i="108"/>
  <c r="A119" i="108"/>
  <c r="B119" i="108"/>
  <c r="C119" i="108"/>
  <c r="E119" i="108"/>
  <c r="F119" i="108"/>
  <c r="G119" i="108"/>
  <c r="A120" i="108"/>
  <c r="B120" i="108"/>
  <c r="C120" i="108"/>
  <c r="E120" i="108"/>
  <c r="F120" i="108"/>
  <c r="G120" i="108"/>
  <c r="A121" i="108"/>
  <c r="B121" i="108"/>
  <c r="C121" i="108"/>
  <c r="E121" i="108"/>
  <c r="F121" i="108"/>
  <c r="G121" i="108"/>
  <c r="A122" i="108"/>
  <c r="B122" i="108"/>
  <c r="C122" i="108"/>
  <c r="E122" i="108"/>
  <c r="F122" i="108"/>
  <c r="G122" i="108"/>
  <c r="A123" i="108"/>
  <c r="B123" i="108"/>
  <c r="C123" i="108"/>
  <c r="E123" i="108"/>
  <c r="F123" i="108"/>
  <c r="G123" i="108"/>
  <c r="A124" i="108"/>
  <c r="B124" i="108"/>
  <c r="C124" i="108"/>
  <c r="E124" i="108"/>
  <c r="F124" i="108"/>
  <c r="G124" i="108"/>
  <c r="A125" i="108"/>
  <c r="B125" i="108"/>
  <c r="C125" i="108"/>
  <c r="E125" i="108"/>
  <c r="F125" i="108"/>
  <c r="G125" i="108"/>
  <c r="A126" i="108"/>
  <c r="B126" i="108"/>
  <c r="C126" i="108"/>
  <c r="E126" i="108"/>
  <c r="F126" i="108"/>
  <c r="G126" i="108"/>
  <c r="A127" i="108"/>
  <c r="B127" i="108"/>
  <c r="C127" i="108"/>
  <c r="E127" i="108"/>
  <c r="F127" i="108"/>
  <c r="G127" i="108"/>
  <c r="A128" i="108"/>
  <c r="B128" i="108"/>
  <c r="C128" i="108"/>
  <c r="E128" i="108"/>
  <c r="F128" i="108"/>
  <c r="G128" i="108"/>
  <c r="A129" i="108"/>
  <c r="B129" i="108"/>
  <c r="C129" i="108"/>
  <c r="E129" i="108"/>
  <c r="F129" i="108"/>
  <c r="G129" i="108"/>
  <c r="A130" i="108"/>
  <c r="B130" i="108"/>
  <c r="C130" i="108"/>
  <c r="E130" i="108"/>
  <c r="F130" i="108"/>
  <c r="G130" i="108"/>
  <c r="A131" i="108"/>
  <c r="B131" i="108"/>
  <c r="C131" i="108"/>
  <c r="E131" i="108"/>
  <c r="F131" i="108"/>
  <c r="G131" i="108"/>
  <c r="A132" i="108"/>
  <c r="B132" i="108"/>
  <c r="C132" i="108"/>
  <c r="E132" i="108"/>
  <c r="F132" i="108"/>
  <c r="G132" i="108"/>
  <c r="A133" i="108"/>
  <c r="B133" i="108"/>
  <c r="C133" i="108"/>
  <c r="E133" i="108"/>
  <c r="F133" i="108"/>
  <c r="G133" i="108"/>
  <c r="A134" i="108"/>
  <c r="B134" i="108"/>
  <c r="C134" i="108"/>
  <c r="E134" i="108"/>
  <c r="F134" i="108"/>
  <c r="G134" i="108"/>
  <c r="A135" i="108"/>
  <c r="B135" i="108"/>
  <c r="C135" i="108"/>
  <c r="E135" i="108"/>
  <c r="F135" i="108"/>
  <c r="G135" i="108"/>
  <c r="A136" i="108"/>
  <c r="B136" i="108"/>
  <c r="C136" i="108"/>
  <c r="E136" i="108"/>
  <c r="F136" i="108"/>
  <c r="G136" i="108"/>
  <c r="A137" i="108"/>
  <c r="B137" i="108"/>
  <c r="C137" i="108"/>
  <c r="E137" i="108"/>
  <c r="F137" i="108"/>
  <c r="G137" i="108"/>
  <c r="A138" i="108"/>
  <c r="B138" i="108"/>
  <c r="C138" i="108"/>
  <c r="E138" i="108"/>
  <c r="F138" i="108"/>
  <c r="G138" i="108"/>
  <c r="A139" i="108"/>
  <c r="B139" i="108"/>
  <c r="C139" i="108"/>
  <c r="E139" i="108"/>
  <c r="F139" i="108"/>
  <c r="G139" i="108"/>
  <c r="A140" i="108"/>
  <c r="B140" i="108"/>
  <c r="C140" i="108"/>
  <c r="E140" i="108"/>
  <c r="F140" i="108"/>
  <c r="G140" i="108"/>
  <c r="A141" i="108"/>
  <c r="B141" i="108"/>
  <c r="C141" i="108"/>
  <c r="E141" i="108"/>
  <c r="F141" i="108"/>
  <c r="G141" i="108"/>
  <c r="A142" i="108"/>
  <c r="B142" i="108"/>
  <c r="C142" i="108"/>
  <c r="E142" i="108"/>
  <c r="F142" i="108"/>
  <c r="G142" i="108"/>
  <c r="A143" i="108"/>
  <c r="B143" i="108"/>
  <c r="C143" i="108"/>
  <c r="E143" i="108"/>
  <c r="F143" i="108"/>
  <c r="G143" i="108"/>
  <c r="A144" i="108"/>
  <c r="B144" i="108"/>
  <c r="C144" i="108"/>
  <c r="E144" i="108"/>
  <c r="F144" i="108"/>
  <c r="G144" i="108"/>
  <c r="A145" i="108"/>
  <c r="B145" i="108"/>
  <c r="C145" i="108"/>
  <c r="E145" i="108"/>
  <c r="F145" i="108"/>
  <c r="G145" i="108"/>
  <c r="A146" i="108"/>
  <c r="B146" i="108"/>
  <c r="C146" i="108"/>
  <c r="E146" i="108"/>
  <c r="F146" i="108"/>
  <c r="G146" i="108"/>
  <c r="A147" i="108"/>
  <c r="B147" i="108"/>
  <c r="C147" i="108"/>
  <c r="E147" i="108"/>
  <c r="F147" i="108"/>
  <c r="G147" i="108"/>
  <c r="A148" i="108"/>
  <c r="B148" i="108"/>
  <c r="C148" i="108"/>
  <c r="E148" i="108"/>
  <c r="F148" i="108"/>
  <c r="G148" i="108"/>
  <c r="A149" i="108"/>
  <c r="B149" i="108"/>
  <c r="C149" i="108"/>
  <c r="E149" i="108"/>
  <c r="F149" i="108"/>
  <c r="G149" i="108"/>
  <c r="A150" i="108"/>
  <c r="B150" i="108"/>
  <c r="C150" i="108"/>
  <c r="E150" i="108"/>
  <c r="F150" i="108"/>
  <c r="G150" i="108"/>
  <c r="A151" i="108"/>
  <c r="B151" i="108"/>
  <c r="C151" i="108"/>
  <c r="E151" i="108"/>
  <c r="F151" i="108"/>
  <c r="G151" i="108"/>
  <c r="A152" i="108"/>
  <c r="B152" i="108"/>
  <c r="C152" i="108"/>
  <c r="E152" i="108"/>
  <c r="F152" i="108"/>
  <c r="G152" i="108"/>
  <c r="A153" i="108"/>
  <c r="B153" i="108"/>
  <c r="C153" i="108"/>
  <c r="E153" i="108"/>
  <c r="F153" i="108"/>
  <c r="G153" i="108"/>
  <c r="A154" i="108"/>
  <c r="B154" i="108"/>
  <c r="C154" i="108"/>
  <c r="E154" i="108"/>
  <c r="F154" i="108"/>
  <c r="G154" i="108"/>
  <c r="A155" i="108"/>
  <c r="B155" i="108"/>
  <c r="C155" i="108"/>
  <c r="E155" i="108"/>
  <c r="F155" i="108"/>
  <c r="G155" i="108"/>
  <c r="A156" i="108"/>
  <c r="B156" i="108"/>
  <c r="C156" i="108"/>
  <c r="E156" i="108"/>
  <c r="F156" i="108"/>
  <c r="G156" i="108"/>
  <c r="A157" i="108"/>
  <c r="B157" i="108"/>
  <c r="C157" i="108"/>
  <c r="E157" i="108"/>
  <c r="F157" i="108"/>
  <c r="G157" i="108"/>
  <c r="A158" i="108"/>
  <c r="B158" i="108"/>
  <c r="C158" i="108"/>
  <c r="E158" i="108"/>
  <c r="F158" i="108"/>
  <c r="G158" i="108"/>
  <c r="A159" i="108"/>
  <c r="B159" i="108"/>
  <c r="C159" i="108"/>
  <c r="E159" i="108"/>
  <c r="F159" i="108"/>
  <c r="G159" i="108"/>
  <c r="A160" i="108"/>
  <c r="B160" i="108"/>
  <c r="C160" i="108"/>
  <c r="E160" i="108"/>
  <c r="F160" i="108"/>
  <c r="G160" i="108"/>
  <c r="A161" i="108"/>
  <c r="B161" i="108"/>
  <c r="C161" i="108"/>
  <c r="E161" i="108"/>
  <c r="F161" i="108"/>
  <c r="G161" i="108"/>
  <c r="A162" i="108"/>
  <c r="B162" i="108"/>
  <c r="C162" i="108"/>
  <c r="E162" i="108"/>
  <c r="F162" i="108"/>
  <c r="G162" i="108"/>
  <c r="A163" i="108"/>
  <c r="B163" i="108"/>
  <c r="C163" i="108"/>
  <c r="E163" i="108"/>
  <c r="F163" i="108"/>
  <c r="G163" i="108"/>
  <c r="A164" i="108"/>
  <c r="B164" i="108"/>
  <c r="C164" i="108"/>
  <c r="E164" i="108"/>
  <c r="F164" i="108"/>
  <c r="G164" i="108"/>
  <c r="A165" i="108"/>
  <c r="B165" i="108"/>
  <c r="C165" i="108"/>
  <c r="E165" i="108"/>
  <c r="F165" i="108"/>
  <c r="G165" i="108"/>
  <c r="A166" i="108"/>
  <c r="B166" i="108"/>
  <c r="C166" i="108"/>
  <c r="E166" i="108"/>
  <c r="F166" i="108"/>
  <c r="G166" i="108"/>
  <c r="A167" i="108"/>
  <c r="B167" i="108"/>
  <c r="C167" i="108"/>
  <c r="E167" i="108"/>
  <c r="F167" i="108"/>
  <c r="G167" i="108"/>
  <c r="A168" i="108"/>
  <c r="B168" i="108"/>
  <c r="C168" i="108"/>
  <c r="E168" i="108"/>
  <c r="F168" i="108"/>
  <c r="G168" i="108"/>
  <c r="A169" i="108"/>
  <c r="B169" i="108"/>
  <c r="C169" i="108"/>
  <c r="E169" i="108"/>
  <c r="F169" i="108"/>
  <c r="G169" i="108"/>
  <c r="A170" i="108"/>
  <c r="B170" i="108"/>
  <c r="C170" i="108"/>
  <c r="E170" i="108"/>
  <c r="F170" i="108"/>
  <c r="G170" i="108"/>
  <c r="A171" i="108"/>
  <c r="B171" i="108"/>
  <c r="C171" i="108"/>
  <c r="E171" i="108"/>
  <c r="F171" i="108"/>
  <c r="G171" i="108"/>
  <c r="A172" i="108"/>
  <c r="B172" i="108"/>
  <c r="C172" i="108"/>
  <c r="E172" i="108"/>
  <c r="F172" i="108"/>
  <c r="G172" i="108"/>
  <c r="A173" i="108"/>
  <c r="B173" i="108"/>
  <c r="C173" i="108"/>
  <c r="E173" i="108"/>
  <c r="F173" i="108"/>
  <c r="G173" i="108"/>
  <c r="A174" i="108"/>
  <c r="B174" i="108"/>
  <c r="C174" i="108"/>
  <c r="E174" i="108"/>
  <c r="F174" i="108"/>
  <c r="G174" i="108"/>
  <c r="A175" i="108"/>
  <c r="B175" i="108"/>
  <c r="C175" i="108"/>
  <c r="E175" i="108"/>
  <c r="F175" i="108"/>
  <c r="G175" i="108"/>
  <c r="A176" i="108"/>
  <c r="B176" i="108"/>
  <c r="C176" i="108"/>
  <c r="E176" i="108"/>
  <c r="F176" i="108"/>
  <c r="G176" i="108"/>
  <c r="A177" i="108"/>
  <c r="B177" i="108"/>
  <c r="C177" i="108"/>
  <c r="E177" i="108"/>
  <c r="F177" i="108"/>
  <c r="G177" i="108"/>
  <c r="A178" i="108"/>
  <c r="B178" i="108"/>
  <c r="C178" i="108"/>
  <c r="E178" i="108"/>
  <c r="F178" i="108"/>
  <c r="G178" i="108"/>
  <c r="A179" i="108"/>
  <c r="B179" i="108"/>
  <c r="C179" i="108"/>
  <c r="E179" i="108"/>
  <c r="F179" i="108"/>
  <c r="G179" i="108"/>
  <c r="A180" i="108"/>
  <c r="B180" i="108"/>
  <c r="C180" i="108"/>
  <c r="E180" i="108"/>
  <c r="F180" i="108"/>
  <c r="G180" i="108"/>
  <c r="A181" i="108"/>
  <c r="B181" i="108"/>
  <c r="C181" i="108"/>
  <c r="E181" i="108"/>
  <c r="F181" i="108"/>
  <c r="G181" i="108"/>
  <c r="A182" i="108"/>
  <c r="B182" i="108"/>
  <c r="C182" i="108"/>
  <c r="E182" i="108"/>
  <c r="F182" i="108"/>
  <c r="G182" i="108"/>
  <c r="A183" i="108"/>
  <c r="B183" i="108"/>
  <c r="C183" i="108"/>
  <c r="E183" i="108"/>
  <c r="F183" i="108"/>
  <c r="G183" i="108"/>
  <c r="A184" i="108"/>
  <c r="B184" i="108"/>
  <c r="C184" i="108"/>
  <c r="E184" i="108"/>
  <c r="F184" i="108"/>
  <c r="G184" i="108"/>
  <c r="A185" i="108"/>
  <c r="B185" i="108"/>
  <c r="C185" i="108"/>
  <c r="E185" i="108"/>
  <c r="F185" i="108"/>
  <c r="G185" i="108"/>
  <c r="A186" i="108"/>
  <c r="B186" i="108"/>
  <c r="C186" i="108"/>
  <c r="E186" i="108"/>
  <c r="F186" i="108"/>
  <c r="G186" i="108"/>
  <c r="A187" i="108"/>
  <c r="B187" i="108"/>
  <c r="C187" i="108"/>
  <c r="E187" i="108"/>
  <c r="F187" i="108"/>
  <c r="G187" i="108"/>
  <c r="A188" i="108"/>
  <c r="B188" i="108"/>
  <c r="C188" i="108"/>
  <c r="E188" i="108"/>
  <c r="F188" i="108"/>
  <c r="G188" i="108"/>
  <c r="A189" i="108"/>
  <c r="B189" i="108"/>
  <c r="C189" i="108"/>
  <c r="E189" i="108"/>
  <c r="F189" i="108"/>
  <c r="G189" i="108"/>
  <c r="A190" i="108"/>
  <c r="B190" i="108"/>
  <c r="C190" i="108"/>
  <c r="E190" i="108"/>
  <c r="F190" i="108"/>
  <c r="G190" i="108"/>
  <c r="A191" i="108"/>
  <c r="B191" i="108"/>
  <c r="C191" i="108"/>
  <c r="E191" i="108"/>
  <c r="F191" i="108"/>
  <c r="G191" i="108"/>
  <c r="A192" i="108"/>
  <c r="B192" i="108"/>
  <c r="C192" i="108"/>
  <c r="E192" i="108"/>
  <c r="F192" i="108"/>
  <c r="G192" i="108"/>
  <c r="A193" i="108"/>
  <c r="B193" i="108"/>
  <c r="C193" i="108"/>
  <c r="E193" i="108"/>
  <c r="F193" i="108"/>
  <c r="G193" i="108"/>
  <c r="A194" i="108"/>
  <c r="B194" i="108"/>
  <c r="C194" i="108"/>
  <c r="E194" i="108"/>
  <c r="F194" i="108"/>
  <c r="G194" i="108"/>
  <c r="A195" i="108"/>
  <c r="B195" i="108"/>
  <c r="C195" i="108"/>
  <c r="E195" i="108"/>
  <c r="F195" i="108"/>
  <c r="G195" i="108"/>
  <c r="A196" i="108"/>
  <c r="B196" i="108"/>
  <c r="C196" i="108"/>
  <c r="E196" i="108"/>
  <c r="F196" i="108"/>
  <c r="G196" i="108"/>
  <c r="A197" i="108"/>
  <c r="B197" i="108"/>
  <c r="C197" i="108"/>
  <c r="E197" i="108"/>
  <c r="F197" i="108"/>
  <c r="G197" i="108"/>
  <c r="A198" i="108"/>
  <c r="B198" i="108"/>
  <c r="C198" i="108"/>
  <c r="E198" i="108"/>
  <c r="F198" i="108"/>
  <c r="G198" i="108"/>
  <c r="A199" i="108"/>
  <c r="B199" i="108"/>
  <c r="C199" i="108"/>
  <c r="E199" i="108"/>
  <c r="F199" i="108"/>
  <c r="G199" i="108"/>
  <c r="A200" i="108"/>
  <c r="B200" i="108"/>
  <c r="C200" i="108"/>
  <c r="E200" i="108"/>
  <c r="F200" i="108"/>
  <c r="G200" i="108"/>
  <c r="A201" i="108"/>
  <c r="B201" i="108"/>
  <c r="C201" i="108"/>
  <c r="E201" i="108"/>
  <c r="F201" i="108"/>
  <c r="G201" i="108"/>
  <c r="A202" i="108"/>
  <c r="B202" i="108"/>
  <c r="C202" i="108"/>
  <c r="E202" i="108"/>
  <c r="F202" i="108"/>
  <c r="G202" i="108"/>
  <c r="A203" i="108"/>
  <c r="B203" i="108"/>
  <c r="C203" i="108"/>
  <c r="E203" i="108"/>
  <c r="F203" i="108"/>
  <c r="G203" i="108"/>
  <c r="A204" i="108"/>
  <c r="B204" i="108"/>
  <c r="C204" i="108"/>
  <c r="E204" i="108"/>
  <c r="F204" i="108"/>
  <c r="G204" i="108"/>
  <c r="A205" i="108"/>
  <c r="B205" i="108"/>
  <c r="C205" i="108"/>
  <c r="E205" i="108"/>
  <c r="F205" i="108"/>
  <c r="G205" i="108"/>
  <c r="A206" i="108"/>
  <c r="B206" i="108"/>
  <c r="C206" i="108"/>
  <c r="E206" i="108"/>
  <c r="F206" i="108"/>
  <c r="G206" i="108"/>
  <c r="A207" i="108"/>
  <c r="B207" i="108"/>
  <c r="C207" i="108"/>
  <c r="E207" i="108"/>
  <c r="F207" i="108"/>
  <c r="G207" i="108"/>
  <c r="A208" i="108"/>
  <c r="B208" i="108"/>
  <c r="C208" i="108"/>
  <c r="E208" i="108"/>
  <c r="F208" i="108"/>
  <c r="G208" i="108"/>
  <c r="A209" i="108"/>
  <c r="B209" i="108"/>
  <c r="C209" i="108"/>
  <c r="E209" i="108"/>
  <c r="F209" i="108"/>
  <c r="G209" i="108"/>
  <c r="A210" i="108"/>
  <c r="B210" i="108"/>
  <c r="C210" i="108"/>
  <c r="E210" i="108"/>
  <c r="F210" i="108"/>
  <c r="G210" i="108"/>
  <c r="A211" i="108"/>
  <c r="B211" i="108"/>
  <c r="C211" i="108"/>
  <c r="E211" i="108"/>
  <c r="F211" i="108"/>
  <c r="G211" i="108"/>
  <c r="A212" i="108"/>
  <c r="B212" i="108"/>
  <c r="C212" i="108"/>
  <c r="E212" i="108"/>
  <c r="F212" i="108"/>
  <c r="G212" i="108"/>
  <c r="A213" i="108"/>
  <c r="B213" i="108"/>
  <c r="C213" i="108"/>
  <c r="E213" i="108"/>
  <c r="F213" i="108"/>
  <c r="G213" i="108"/>
  <c r="A214" i="108"/>
  <c r="B214" i="108"/>
  <c r="C214" i="108"/>
  <c r="E214" i="108"/>
  <c r="F214" i="108"/>
  <c r="G214" i="108"/>
  <c r="A215" i="108"/>
  <c r="B215" i="108"/>
  <c r="C215" i="108"/>
  <c r="E215" i="108"/>
  <c r="F215" i="108"/>
  <c r="G215" i="108"/>
  <c r="A216" i="108"/>
  <c r="B216" i="108"/>
  <c r="C216" i="108"/>
  <c r="E216" i="108"/>
  <c r="F216" i="108"/>
  <c r="G216" i="108"/>
  <c r="A217" i="108"/>
  <c r="B217" i="108"/>
  <c r="C217" i="108"/>
  <c r="E217" i="108"/>
  <c r="F217" i="108"/>
  <c r="G217" i="108"/>
  <c r="A218" i="108"/>
  <c r="B218" i="108"/>
  <c r="C218" i="108"/>
  <c r="E218" i="108"/>
  <c r="F218" i="108"/>
  <c r="G218" i="108"/>
  <c r="A219" i="108"/>
  <c r="B219" i="108"/>
  <c r="C219" i="108"/>
  <c r="E219" i="108"/>
  <c r="F219" i="108"/>
  <c r="G219" i="108"/>
  <c r="A220" i="108"/>
  <c r="B220" i="108"/>
  <c r="C220" i="108"/>
  <c r="E220" i="108"/>
  <c r="F220" i="108"/>
  <c r="G220" i="108"/>
  <c r="A221" i="108"/>
  <c r="B221" i="108"/>
  <c r="C221" i="108"/>
  <c r="E221" i="108"/>
  <c r="F221" i="108"/>
  <c r="G221" i="108"/>
  <c r="A222" i="108"/>
  <c r="B222" i="108"/>
  <c r="C222" i="108"/>
  <c r="E222" i="108"/>
  <c r="F222" i="108"/>
  <c r="G222" i="108"/>
  <c r="A223" i="108"/>
  <c r="B223" i="108"/>
  <c r="C223" i="108"/>
  <c r="E223" i="108"/>
  <c r="F223" i="108"/>
  <c r="G223" i="108"/>
  <c r="A224" i="108"/>
  <c r="B224" i="108"/>
  <c r="C224" i="108"/>
  <c r="E224" i="108"/>
  <c r="F224" i="108"/>
  <c r="G224" i="108"/>
  <c r="A225" i="108"/>
  <c r="B225" i="108"/>
  <c r="C225" i="108"/>
  <c r="E225" i="108"/>
  <c r="F225" i="108"/>
  <c r="G225" i="108"/>
  <c r="A226" i="108"/>
  <c r="B226" i="108"/>
  <c r="C226" i="108"/>
  <c r="E226" i="108"/>
  <c r="F226" i="108"/>
  <c r="G226" i="108"/>
  <c r="A227" i="108"/>
  <c r="B227" i="108"/>
  <c r="C227" i="108"/>
  <c r="E227" i="108"/>
  <c r="F227" i="108"/>
  <c r="G227" i="108"/>
  <c r="A228" i="108"/>
  <c r="B228" i="108"/>
  <c r="C228" i="108"/>
  <c r="E228" i="108"/>
  <c r="F228" i="108"/>
  <c r="G228" i="108"/>
  <c r="A229" i="108"/>
  <c r="B229" i="108"/>
  <c r="C229" i="108"/>
  <c r="E229" i="108"/>
  <c r="F229" i="108"/>
  <c r="G229" i="108"/>
  <c r="A230" i="108"/>
  <c r="B230" i="108"/>
  <c r="C230" i="108"/>
  <c r="E230" i="108"/>
  <c r="F230" i="108"/>
  <c r="G230" i="108"/>
  <c r="A231" i="108"/>
  <c r="B231" i="108"/>
  <c r="C231" i="108"/>
  <c r="E231" i="108"/>
  <c r="F231" i="108"/>
  <c r="G231" i="108"/>
  <c r="A232" i="108"/>
  <c r="B232" i="108"/>
  <c r="C232" i="108"/>
  <c r="E232" i="108"/>
  <c r="F232" i="108"/>
  <c r="G232" i="108"/>
  <c r="A233" i="108"/>
  <c r="B233" i="108"/>
  <c r="C233" i="108"/>
  <c r="E233" i="108"/>
  <c r="F233" i="108"/>
  <c r="G233" i="108"/>
  <c r="A234" i="108"/>
  <c r="B234" i="108"/>
  <c r="C234" i="108"/>
  <c r="E234" i="108"/>
  <c r="F234" i="108"/>
  <c r="G234" i="108"/>
  <c r="A235" i="108"/>
  <c r="B235" i="108"/>
  <c r="C235" i="108"/>
  <c r="E235" i="108"/>
  <c r="F235" i="108"/>
  <c r="G235" i="108"/>
  <c r="A236" i="108"/>
  <c r="B236" i="108"/>
  <c r="C236" i="108"/>
  <c r="E236" i="108"/>
  <c r="F236" i="108"/>
  <c r="G236" i="108"/>
  <c r="A237" i="108"/>
  <c r="B237" i="108"/>
  <c r="C237" i="108"/>
  <c r="E237" i="108"/>
  <c r="F237" i="108"/>
  <c r="G237" i="108"/>
  <c r="A238" i="108"/>
  <c r="B238" i="108"/>
  <c r="C238" i="108"/>
  <c r="E238" i="108"/>
  <c r="F238" i="108"/>
  <c r="G238" i="108"/>
  <c r="A239" i="108"/>
  <c r="B239" i="108"/>
  <c r="C239" i="108"/>
  <c r="E239" i="108"/>
  <c r="F239" i="108"/>
  <c r="G239" i="108"/>
  <c r="A240" i="108"/>
  <c r="B240" i="108"/>
  <c r="C240" i="108"/>
  <c r="E240" i="108"/>
  <c r="F240" i="108"/>
  <c r="G240" i="108"/>
  <c r="A241" i="108"/>
  <c r="B241" i="108"/>
  <c r="C241" i="108"/>
  <c r="E241" i="108"/>
  <c r="F241" i="108"/>
  <c r="G241" i="108"/>
  <c r="A242" i="108"/>
  <c r="B242" i="108"/>
  <c r="C242" i="108"/>
  <c r="E242" i="108"/>
  <c r="F242" i="108"/>
  <c r="G242" i="108"/>
  <c r="A243" i="108"/>
  <c r="B243" i="108"/>
  <c r="C243" i="108"/>
  <c r="E243" i="108"/>
  <c r="F243" i="108"/>
  <c r="G243" i="108"/>
  <c r="A244" i="108"/>
  <c r="B244" i="108"/>
  <c r="C244" i="108"/>
  <c r="E244" i="108"/>
  <c r="F244" i="108"/>
  <c r="G244" i="108"/>
  <c r="A245" i="108"/>
  <c r="B245" i="108"/>
  <c r="C245" i="108"/>
  <c r="E245" i="108"/>
  <c r="F245" i="108"/>
  <c r="G245" i="108"/>
  <c r="A246" i="108"/>
  <c r="B246" i="108"/>
  <c r="C246" i="108"/>
  <c r="E246" i="108"/>
  <c r="F246" i="108"/>
  <c r="G246" i="108"/>
  <c r="A247" i="108"/>
  <c r="B247" i="108"/>
  <c r="C247" i="108"/>
  <c r="E247" i="108"/>
  <c r="F247" i="108"/>
  <c r="G247" i="108"/>
  <c r="A248" i="108"/>
  <c r="B248" i="108"/>
  <c r="C248" i="108"/>
  <c r="E248" i="108"/>
  <c r="F248" i="108"/>
  <c r="G248" i="108"/>
  <c r="A249" i="108"/>
  <c r="B249" i="108"/>
  <c r="C249" i="108"/>
  <c r="E249" i="108"/>
  <c r="F249" i="108"/>
  <c r="G249" i="108"/>
  <c r="A250" i="108"/>
  <c r="B250" i="108"/>
  <c r="C250" i="108"/>
  <c r="E250" i="108"/>
  <c r="F250" i="108"/>
  <c r="G250" i="108"/>
  <c r="A251" i="108"/>
  <c r="B251" i="108"/>
  <c r="C251" i="108"/>
  <c r="E251" i="108"/>
  <c r="F251" i="108"/>
  <c r="G251" i="108"/>
  <c r="A252" i="108"/>
  <c r="B252" i="108"/>
  <c r="C252" i="108"/>
  <c r="E252" i="108"/>
  <c r="F252" i="108"/>
  <c r="G252" i="108"/>
  <c r="A253" i="108"/>
  <c r="B253" i="108"/>
  <c r="C253" i="108"/>
  <c r="E253" i="108"/>
  <c r="F253" i="108"/>
  <c r="G253" i="108"/>
  <c r="A254" i="108"/>
  <c r="B254" i="108"/>
  <c r="C254" i="108"/>
  <c r="E254" i="108"/>
  <c r="F254" i="108"/>
  <c r="G254" i="108"/>
  <c r="A255" i="108"/>
  <c r="B255" i="108"/>
  <c r="C255" i="108"/>
  <c r="E255" i="108"/>
  <c r="F255" i="108"/>
  <c r="G255" i="108"/>
  <c r="A256" i="108"/>
  <c r="B256" i="108"/>
  <c r="C256" i="108"/>
  <c r="E256" i="108"/>
  <c r="F256" i="108"/>
  <c r="G256" i="108"/>
  <c r="A257" i="108"/>
  <c r="B257" i="108"/>
  <c r="C257" i="108"/>
  <c r="E257" i="108"/>
  <c r="F257" i="108"/>
  <c r="G257" i="108"/>
  <c r="A258" i="108"/>
  <c r="B258" i="108"/>
  <c r="C258" i="108"/>
  <c r="E258" i="108"/>
  <c r="F258" i="108"/>
  <c r="G258" i="108"/>
  <c r="A259" i="108"/>
  <c r="B259" i="108"/>
  <c r="C259" i="108"/>
  <c r="E259" i="108"/>
  <c r="F259" i="108"/>
  <c r="G259" i="108"/>
  <c r="A260" i="108"/>
  <c r="B260" i="108"/>
  <c r="C260" i="108"/>
  <c r="E260" i="108"/>
  <c r="F260" i="108"/>
  <c r="G260" i="108"/>
  <c r="A261" i="108"/>
  <c r="B261" i="108"/>
  <c r="C261" i="108"/>
  <c r="E261" i="108"/>
  <c r="F261" i="108"/>
  <c r="G261" i="108"/>
  <c r="A262" i="108"/>
  <c r="B262" i="108"/>
  <c r="C262" i="108"/>
  <c r="E262" i="108"/>
  <c r="F262" i="108"/>
  <c r="G262" i="108"/>
  <c r="A263" i="108"/>
  <c r="B263" i="108"/>
  <c r="C263" i="108"/>
  <c r="E263" i="108"/>
  <c r="F263" i="108"/>
  <c r="G263" i="108"/>
  <c r="A264" i="108"/>
  <c r="B264" i="108"/>
  <c r="C264" i="108"/>
  <c r="E264" i="108"/>
  <c r="F264" i="108"/>
  <c r="G264" i="108"/>
  <c r="A265" i="108"/>
  <c r="B265" i="108"/>
  <c r="C265" i="108"/>
  <c r="E265" i="108"/>
  <c r="F265" i="108"/>
  <c r="G265" i="108"/>
  <c r="A266" i="108"/>
  <c r="B266" i="108"/>
  <c r="C266" i="108"/>
  <c r="E266" i="108"/>
  <c r="F266" i="108"/>
  <c r="G266" i="108"/>
  <c r="A267" i="108"/>
  <c r="B267" i="108"/>
  <c r="C267" i="108"/>
  <c r="E267" i="108"/>
  <c r="F267" i="108"/>
  <c r="G267" i="108"/>
  <c r="A268" i="108"/>
  <c r="B268" i="108"/>
  <c r="C268" i="108"/>
  <c r="E268" i="108"/>
  <c r="F268" i="108"/>
  <c r="G268" i="108"/>
  <c r="A269" i="108"/>
  <c r="B269" i="108"/>
  <c r="C269" i="108"/>
  <c r="E269" i="108"/>
  <c r="F269" i="108"/>
  <c r="G269" i="108"/>
  <c r="A270" i="108"/>
  <c r="B270" i="108"/>
  <c r="C270" i="108"/>
  <c r="E270" i="108"/>
  <c r="F270" i="108"/>
  <c r="G270" i="108"/>
  <c r="A271" i="108"/>
  <c r="B271" i="108"/>
  <c r="C271" i="108"/>
  <c r="E271" i="108"/>
  <c r="F271" i="108"/>
  <c r="G271" i="108"/>
  <c r="A272" i="108"/>
  <c r="B272" i="108"/>
  <c r="C272" i="108"/>
  <c r="E272" i="108"/>
  <c r="F272" i="108"/>
  <c r="G272" i="108"/>
  <c r="A273" i="108"/>
  <c r="B273" i="108"/>
  <c r="C273" i="108"/>
  <c r="E273" i="108"/>
  <c r="F273" i="108"/>
  <c r="G273" i="108"/>
  <c r="A274" i="108"/>
  <c r="B274" i="108"/>
  <c r="C274" i="108"/>
  <c r="E274" i="108"/>
  <c r="F274" i="108"/>
  <c r="G274" i="108"/>
  <c r="A275" i="108"/>
  <c r="B275" i="108"/>
  <c r="C275" i="108"/>
  <c r="E275" i="108"/>
  <c r="F275" i="108"/>
  <c r="G275" i="108"/>
  <c r="A276" i="108"/>
  <c r="B276" i="108"/>
  <c r="C276" i="108"/>
  <c r="E276" i="108"/>
  <c r="F276" i="108"/>
  <c r="G276" i="108"/>
  <c r="A277" i="108"/>
  <c r="B277" i="108"/>
  <c r="C277" i="108"/>
  <c r="E277" i="108"/>
  <c r="F277" i="108"/>
  <c r="G277" i="108"/>
  <c r="A278" i="108"/>
  <c r="B278" i="108"/>
  <c r="C278" i="108"/>
  <c r="E278" i="108"/>
  <c r="F278" i="108"/>
  <c r="G278" i="108"/>
  <c r="A279" i="108"/>
  <c r="B279" i="108"/>
  <c r="C279" i="108"/>
  <c r="E279" i="108"/>
  <c r="F279" i="108"/>
  <c r="G279" i="108"/>
  <c r="A280" i="108"/>
  <c r="B280" i="108"/>
  <c r="C280" i="108"/>
  <c r="E280" i="108"/>
  <c r="F280" i="108"/>
  <c r="G280" i="108"/>
  <c r="A281" i="108"/>
  <c r="B281" i="108"/>
  <c r="C281" i="108"/>
  <c r="E281" i="108"/>
  <c r="F281" i="108"/>
  <c r="G281" i="108"/>
  <c r="A282" i="108"/>
  <c r="B282" i="108"/>
  <c r="C282" i="108"/>
  <c r="E282" i="108"/>
  <c r="F282" i="108"/>
  <c r="G282" i="108"/>
  <c r="A283" i="108"/>
  <c r="B283" i="108"/>
  <c r="C283" i="108"/>
  <c r="E283" i="108"/>
  <c r="F283" i="108"/>
  <c r="G283" i="108"/>
  <c r="A284" i="108"/>
  <c r="B284" i="108"/>
  <c r="C284" i="108"/>
  <c r="E284" i="108"/>
  <c r="F284" i="108"/>
  <c r="G284" i="108"/>
  <c r="A285" i="108"/>
  <c r="B285" i="108"/>
  <c r="C285" i="108"/>
  <c r="E285" i="108"/>
  <c r="F285" i="108"/>
  <c r="G285" i="108"/>
  <c r="A286" i="108"/>
  <c r="B286" i="108"/>
  <c r="C286" i="108"/>
  <c r="E286" i="108"/>
  <c r="F286" i="108"/>
  <c r="G286" i="108"/>
  <c r="A287" i="108"/>
  <c r="B287" i="108"/>
  <c r="C287" i="108"/>
  <c r="E287" i="108"/>
  <c r="F287" i="108"/>
  <c r="G287" i="108"/>
  <c r="A288" i="108"/>
  <c r="B288" i="108"/>
  <c r="C288" i="108"/>
  <c r="E288" i="108"/>
  <c r="F288" i="108"/>
  <c r="G288" i="108"/>
  <c r="A289" i="108"/>
  <c r="B289" i="108"/>
  <c r="C289" i="108"/>
  <c r="E289" i="108"/>
  <c r="F289" i="108"/>
  <c r="G289" i="108"/>
  <c r="A290" i="108"/>
  <c r="B290" i="108"/>
  <c r="C290" i="108"/>
  <c r="E290" i="108"/>
  <c r="F290" i="108"/>
  <c r="G290" i="108"/>
  <c r="A291" i="108"/>
  <c r="B291" i="108"/>
  <c r="C291" i="108"/>
  <c r="E291" i="108"/>
  <c r="F291" i="108"/>
  <c r="G291" i="108"/>
  <c r="A292" i="108"/>
  <c r="B292" i="108"/>
  <c r="C292" i="108"/>
  <c r="E292" i="108"/>
  <c r="F292" i="108"/>
  <c r="G292" i="108"/>
  <c r="A293" i="108"/>
  <c r="B293" i="108"/>
  <c r="C293" i="108"/>
  <c r="E293" i="108"/>
  <c r="F293" i="108"/>
  <c r="G293" i="108"/>
  <c r="A294" i="108"/>
  <c r="B294" i="108"/>
  <c r="C294" i="108"/>
  <c r="E294" i="108"/>
  <c r="F294" i="108"/>
  <c r="G294" i="108"/>
  <c r="A295" i="108"/>
  <c r="B295" i="108"/>
  <c r="C295" i="108"/>
  <c r="E295" i="108"/>
  <c r="F295" i="108"/>
  <c r="G295" i="108"/>
  <c r="A296" i="108"/>
  <c r="B296" i="108"/>
  <c r="C296" i="108"/>
  <c r="E296" i="108"/>
  <c r="F296" i="108"/>
  <c r="G296" i="108"/>
  <c r="A297" i="108"/>
  <c r="B297" i="108"/>
  <c r="C297" i="108"/>
  <c r="E297" i="108"/>
  <c r="F297" i="108"/>
  <c r="G297" i="108"/>
  <c r="A298" i="108"/>
  <c r="B298" i="108"/>
  <c r="C298" i="108"/>
  <c r="E298" i="108"/>
  <c r="F298" i="108"/>
  <c r="G298" i="108"/>
  <c r="A299" i="108"/>
  <c r="B299" i="108"/>
  <c r="C299" i="108"/>
  <c r="E299" i="108"/>
  <c r="F299" i="108"/>
  <c r="G299" i="108"/>
  <c r="A300" i="108"/>
  <c r="B300" i="108"/>
  <c r="C300" i="108"/>
  <c r="E300" i="108"/>
  <c r="F300" i="108"/>
  <c r="G300" i="108"/>
  <c r="A301" i="108"/>
  <c r="B301" i="108"/>
  <c r="C301" i="108"/>
  <c r="E301" i="108"/>
  <c r="F301" i="108"/>
  <c r="G301" i="108"/>
  <c r="A302" i="108"/>
  <c r="B302" i="108"/>
  <c r="C302" i="108"/>
  <c r="E302" i="108"/>
  <c r="F302" i="108"/>
  <c r="G302" i="108"/>
  <c r="A303" i="108"/>
  <c r="B303" i="108"/>
  <c r="C303" i="108"/>
  <c r="E303" i="108"/>
  <c r="F303" i="108"/>
  <c r="G303" i="108"/>
  <c r="A304" i="108"/>
  <c r="B304" i="108"/>
  <c r="C304" i="108"/>
  <c r="E304" i="108"/>
  <c r="F304" i="108"/>
  <c r="G304" i="108"/>
  <c r="A305" i="108"/>
  <c r="B305" i="108"/>
  <c r="C305" i="108"/>
  <c r="E305" i="108"/>
  <c r="F305" i="108"/>
  <c r="G305" i="108"/>
  <c r="A306" i="108"/>
  <c r="B306" i="108"/>
  <c r="C306" i="108"/>
  <c r="E306" i="108"/>
  <c r="F306" i="108"/>
  <c r="G306" i="108"/>
  <c r="A307" i="108"/>
  <c r="B307" i="108"/>
  <c r="C307" i="108"/>
  <c r="E307" i="108"/>
  <c r="F307" i="108"/>
  <c r="G307" i="108"/>
  <c r="A308" i="108"/>
  <c r="B308" i="108"/>
  <c r="C308" i="108"/>
  <c r="E308" i="108"/>
  <c r="F308" i="108"/>
  <c r="G308" i="108"/>
  <c r="A309" i="108"/>
  <c r="B309" i="108"/>
  <c r="C309" i="108"/>
  <c r="E309" i="108"/>
  <c r="F309" i="108"/>
  <c r="G309" i="108"/>
  <c r="A310" i="108"/>
  <c r="B310" i="108"/>
  <c r="C310" i="108"/>
  <c r="E310" i="108"/>
  <c r="F310" i="108"/>
  <c r="G310" i="108"/>
  <c r="A311" i="108"/>
  <c r="B311" i="108"/>
  <c r="C311" i="108"/>
  <c r="E311" i="108"/>
  <c r="F311" i="108"/>
  <c r="G311" i="108"/>
  <c r="A312" i="108"/>
  <c r="B312" i="108"/>
  <c r="C312" i="108"/>
  <c r="E312" i="108"/>
  <c r="F312" i="108"/>
  <c r="G312" i="108"/>
  <c r="A313" i="108"/>
  <c r="B313" i="108"/>
  <c r="C313" i="108"/>
  <c r="E313" i="108"/>
  <c r="F313" i="108"/>
  <c r="G313" i="108"/>
  <c r="A314" i="108"/>
  <c r="B314" i="108"/>
  <c r="C314" i="108"/>
  <c r="E314" i="108"/>
  <c r="F314" i="108"/>
  <c r="G314" i="108"/>
  <c r="A315" i="108"/>
  <c r="B315" i="108"/>
  <c r="C315" i="108"/>
  <c r="E315" i="108"/>
  <c r="F315" i="108"/>
  <c r="G315" i="108"/>
  <c r="A316" i="108"/>
  <c r="B316" i="108"/>
  <c r="C316" i="108"/>
  <c r="E316" i="108"/>
  <c r="F316" i="108"/>
  <c r="G316" i="108"/>
  <c r="A317" i="108"/>
  <c r="B317" i="108"/>
  <c r="C317" i="108"/>
  <c r="E317" i="108"/>
  <c r="F317" i="108"/>
  <c r="G317" i="108"/>
  <c r="A318" i="108"/>
  <c r="B318" i="108"/>
  <c r="C318" i="108"/>
  <c r="E318" i="108"/>
  <c r="F318" i="108"/>
  <c r="G318" i="108"/>
  <c r="A319" i="108"/>
  <c r="B319" i="108"/>
  <c r="C319" i="108"/>
  <c r="E319" i="108"/>
  <c r="F319" i="108"/>
  <c r="G319" i="108"/>
  <c r="A320" i="108"/>
  <c r="B320" i="108"/>
  <c r="C320" i="108"/>
  <c r="E320" i="108"/>
  <c r="F320" i="108"/>
  <c r="G320" i="108"/>
  <c r="A321" i="108"/>
  <c r="B321" i="108"/>
  <c r="C321" i="108"/>
  <c r="E321" i="108"/>
  <c r="F321" i="108"/>
  <c r="G321" i="108"/>
  <c r="A322" i="108"/>
  <c r="B322" i="108"/>
  <c r="C322" i="108"/>
  <c r="E322" i="108"/>
  <c r="F322" i="108"/>
  <c r="G322" i="108"/>
  <c r="A323" i="108"/>
  <c r="B323" i="108"/>
  <c r="C323" i="108"/>
  <c r="E323" i="108"/>
  <c r="F323" i="108"/>
  <c r="G323" i="108"/>
  <c r="A324" i="108"/>
  <c r="B324" i="108"/>
  <c r="C324" i="108"/>
  <c r="E324" i="108"/>
  <c r="F324" i="108"/>
  <c r="G324" i="108"/>
  <c r="A325" i="108"/>
  <c r="B325" i="108"/>
  <c r="C325" i="108"/>
  <c r="E325" i="108"/>
  <c r="F325" i="108"/>
  <c r="G325" i="108"/>
  <c r="A326" i="108"/>
  <c r="B326" i="108"/>
  <c r="C326" i="108"/>
  <c r="E326" i="108"/>
  <c r="F326" i="108"/>
  <c r="G326" i="108"/>
  <c r="A327" i="108"/>
  <c r="B327" i="108"/>
  <c r="C327" i="108"/>
  <c r="E327" i="108"/>
  <c r="F327" i="108"/>
  <c r="G327" i="108"/>
  <c r="A328" i="108"/>
  <c r="B328" i="108"/>
  <c r="C328" i="108"/>
  <c r="E328" i="108"/>
  <c r="F328" i="108"/>
  <c r="G328" i="108"/>
  <c r="A329" i="108"/>
  <c r="B329" i="108"/>
  <c r="C329" i="108"/>
  <c r="E329" i="108"/>
  <c r="F329" i="108"/>
  <c r="G329" i="108"/>
  <c r="A330" i="108"/>
  <c r="B330" i="108"/>
  <c r="C330" i="108"/>
  <c r="E330" i="108"/>
  <c r="F330" i="108"/>
  <c r="G330" i="108"/>
  <c r="A331" i="108"/>
  <c r="B331" i="108"/>
  <c r="C331" i="108"/>
  <c r="E331" i="108"/>
  <c r="F331" i="108"/>
  <c r="G331" i="108"/>
  <c r="A332" i="108"/>
  <c r="B332" i="108"/>
  <c r="C332" i="108"/>
  <c r="E332" i="108"/>
  <c r="F332" i="108"/>
  <c r="G332" i="108"/>
  <c r="A333" i="108"/>
  <c r="B333" i="108"/>
  <c r="C333" i="108"/>
  <c r="E333" i="108"/>
  <c r="F333" i="108"/>
  <c r="G333" i="108"/>
  <c r="A334" i="108"/>
  <c r="B334" i="108"/>
  <c r="C334" i="108"/>
  <c r="E334" i="108"/>
  <c r="F334" i="108"/>
  <c r="G334" i="108"/>
  <c r="A335" i="108"/>
  <c r="B335" i="108"/>
  <c r="C335" i="108"/>
  <c r="E335" i="108"/>
  <c r="F335" i="108"/>
  <c r="G335" i="108"/>
  <c r="A336" i="108"/>
  <c r="B336" i="108"/>
  <c r="C336" i="108"/>
  <c r="E336" i="108"/>
  <c r="F336" i="108"/>
  <c r="G336" i="108"/>
  <c r="A337" i="108"/>
  <c r="B337" i="108"/>
  <c r="C337" i="108"/>
  <c r="E337" i="108"/>
  <c r="F337" i="108"/>
  <c r="G337" i="108"/>
  <c r="A338" i="108"/>
  <c r="B338" i="108"/>
  <c r="C338" i="108"/>
  <c r="E338" i="108"/>
  <c r="F338" i="108"/>
  <c r="G338" i="108"/>
  <c r="A339" i="108"/>
  <c r="B339" i="108"/>
  <c r="C339" i="108"/>
  <c r="E339" i="108"/>
  <c r="F339" i="108"/>
  <c r="G339" i="108"/>
  <c r="A340" i="108"/>
  <c r="B340" i="108"/>
  <c r="C340" i="108"/>
  <c r="E340" i="108"/>
  <c r="F340" i="108"/>
  <c r="G340" i="108"/>
  <c r="A341" i="108"/>
  <c r="B341" i="108"/>
  <c r="C341" i="108"/>
  <c r="E341" i="108"/>
  <c r="F341" i="108"/>
  <c r="G341" i="108"/>
  <c r="A342" i="108"/>
  <c r="B342" i="108"/>
  <c r="C342" i="108"/>
  <c r="E342" i="108"/>
  <c r="F342" i="108"/>
  <c r="G342" i="108"/>
  <c r="A343" i="108"/>
  <c r="B343" i="108"/>
  <c r="C343" i="108"/>
  <c r="E343" i="108"/>
  <c r="F343" i="108"/>
  <c r="G343" i="108"/>
  <c r="A344" i="108"/>
  <c r="B344" i="108"/>
  <c r="C344" i="108"/>
  <c r="E344" i="108"/>
  <c r="F344" i="108"/>
  <c r="G344" i="108"/>
  <c r="A345" i="108"/>
  <c r="B345" i="108"/>
  <c r="C345" i="108"/>
  <c r="E345" i="108"/>
  <c r="F345" i="108"/>
  <c r="G345" i="108"/>
  <c r="A346" i="108"/>
  <c r="B346" i="108"/>
  <c r="C346" i="108"/>
  <c r="E346" i="108"/>
  <c r="F346" i="108"/>
  <c r="G346" i="108"/>
  <c r="A347" i="108"/>
  <c r="B347" i="108"/>
  <c r="C347" i="108"/>
  <c r="E347" i="108"/>
  <c r="F347" i="108"/>
  <c r="G347" i="108"/>
  <c r="A348" i="108"/>
  <c r="B348" i="108"/>
  <c r="C348" i="108"/>
  <c r="E348" i="108"/>
  <c r="F348" i="108"/>
  <c r="G348" i="108"/>
  <c r="A349" i="108"/>
  <c r="B349" i="108"/>
  <c r="C349" i="108"/>
  <c r="E349" i="108"/>
  <c r="F349" i="108"/>
  <c r="G349" i="108"/>
  <c r="A350" i="108"/>
  <c r="B350" i="108"/>
  <c r="C350" i="108"/>
  <c r="E350" i="108"/>
  <c r="F350" i="108"/>
  <c r="G350" i="108"/>
  <c r="A351" i="108"/>
  <c r="B351" i="108"/>
  <c r="C351" i="108"/>
  <c r="E351" i="108"/>
  <c r="F351" i="108"/>
  <c r="G351" i="108"/>
  <c r="A352" i="108"/>
  <c r="B352" i="108"/>
  <c r="C352" i="108"/>
  <c r="D352" i="108"/>
  <c r="E352" i="108"/>
  <c r="F352" i="108"/>
  <c r="G352" i="108"/>
  <c r="A353" i="108"/>
  <c r="B353" i="108"/>
  <c r="C353" i="108"/>
  <c r="D353" i="108"/>
  <c r="E353" i="108"/>
  <c r="G353" i="108"/>
  <c r="A354" i="108"/>
  <c r="B354" i="108"/>
  <c r="C354" i="108"/>
  <c r="D354" i="108"/>
  <c r="E354" i="108"/>
  <c r="G354" i="108"/>
  <c r="B3" i="108"/>
  <c r="C3" i="108"/>
  <c r="E3" i="108"/>
  <c r="F3" i="108"/>
  <c r="G3" i="108"/>
  <c r="F357" i="107"/>
  <c r="A4" i="107"/>
  <c r="B4" i="107"/>
  <c r="C4" i="107"/>
  <c r="E4" i="107"/>
  <c r="F4" i="107"/>
  <c r="G4" i="107"/>
  <c r="H4" i="107"/>
  <c r="A5" i="107"/>
  <c r="B5" i="107"/>
  <c r="C5" i="107"/>
  <c r="E5" i="107"/>
  <c r="F5" i="107"/>
  <c r="G5" i="107"/>
  <c r="H5" i="107"/>
  <c r="A6" i="107"/>
  <c r="B6" i="107"/>
  <c r="C6" i="107"/>
  <c r="E6" i="107"/>
  <c r="F6" i="107"/>
  <c r="G6" i="107"/>
  <c r="H6" i="107"/>
  <c r="A7" i="107"/>
  <c r="B7" i="107"/>
  <c r="C7" i="107"/>
  <c r="E7" i="107"/>
  <c r="F7" i="107"/>
  <c r="G7" i="107"/>
  <c r="H7" i="107"/>
  <c r="A8" i="107"/>
  <c r="B8" i="107"/>
  <c r="C8" i="107"/>
  <c r="E8" i="107"/>
  <c r="F8" i="107"/>
  <c r="G8" i="107"/>
  <c r="H8" i="107"/>
  <c r="A9" i="107"/>
  <c r="B9" i="107"/>
  <c r="C9" i="107"/>
  <c r="E9" i="107"/>
  <c r="F9" i="107"/>
  <c r="G9" i="107"/>
  <c r="H9" i="107"/>
  <c r="A10" i="107"/>
  <c r="B10" i="107"/>
  <c r="C10" i="107"/>
  <c r="E10" i="107"/>
  <c r="F10" i="107"/>
  <c r="G10" i="107"/>
  <c r="H10" i="107"/>
  <c r="A11" i="107"/>
  <c r="B11" i="107"/>
  <c r="C11" i="107"/>
  <c r="E11" i="107"/>
  <c r="F11" i="107"/>
  <c r="G11" i="107"/>
  <c r="H11" i="107"/>
  <c r="A12" i="107"/>
  <c r="B12" i="107"/>
  <c r="C12" i="107"/>
  <c r="E12" i="107"/>
  <c r="F12" i="107"/>
  <c r="G12" i="107"/>
  <c r="H12" i="107"/>
  <c r="A13" i="107"/>
  <c r="B13" i="107"/>
  <c r="C13" i="107"/>
  <c r="E13" i="107"/>
  <c r="F13" i="107"/>
  <c r="G13" i="107"/>
  <c r="H13" i="107"/>
  <c r="A14" i="107"/>
  <c r="B14" i="107"/>
  <c r="C14" i="107"/>
  <c r="E14" i="107"/>
  <c r="F14" i="107"/>
  <c r="G14" i="107"/>
  <c r="H14" i="107"/>
  <c r="A15" i="107"/>
  <c r="B15" i="107"/>
  <c r="C15" i="107"/>
  <c r="E15" i="107"/>
  <c r="F15" i="107"/>
  <c r="G15" i="107"/>
  <c r="H15" i="107"/>
  <c r="A16" i="107"/>
  <c r="B16" i="107"/>
  <c r="C16" i="107"/>
  <c r="E16" i="107"/>
  <c r="F16" i="107"/>
  <c r="G16" i="107"/>
  <c r="H16" i="107"/>
  <c r="A17" i="107"/>
  <c r="B17" i="107"/>
  <c r="C17" i="107"/>
  <c r="E17" i="107"/>
  <c r="F17" i="107"/>
  <c r="G17" i="107"/>
  <c r="H17" i="107"/>
  <c r="A18" i="107"/>
  <c r="B18" i="107"/>
  <c r="C18" i="107"/>
  <c r="E18" i="107"/>
  <c r="F18" i="107"/>
  <c r="G18" i="107"/>
  <c r="H18" i="107"/>
  <c r="A19" i="107"/>
  <c r="B19" i="107"/>
  <c r="C19" i="107"/>
  <c r="E19" i="107"/>
  <c r="F19" i="107"/>
  <c r="G19" i="107"/>
  <c r="H19" i="107"/>
  <c r="A20" i="107"/>
  <c r="B20" i="107"/>
  <c r="C20" i="107"/>
  <c r="E20" i="107"/>
  <c r="F20" i="107"/>
  <c r="G20" i="107"/>
  <c r="H20" i="107"/>
  <c r="A21" i="107"/>
  <c r="B21" i="107"/>
  <c r="C21" i="107"/>
  <c r="E21" i="107"/>
  <c r="F21" i="107"/>
  <c r="G21" i="107"/>
  <c r="H21" i="107"/>
  <c r="A22" i="107"/>
  <c r="B22" i="107"/>
  <c r="C22" i="107"/>
  <c r="E22" i="107"/>
  <c r="F22" i="107"/>
  <c r="G22" i="107"/>
  <c r="H22" i="107"/>
  <c r="A23" i="107"/>
  <c r="B23" i="107"/>
  <c r="C23" i="107"/>
  <c r="E23" i="107"/>
  <c r="F23" i="107"/>
  <c r="G23" i="107"/>
  <c r="H23" i="107"/>
  <c r="A24" i="107"/>
  <c r="B24" i="107"/>
  <c r="C24" i="107"/>
  <c r="E24" i="107"/>
  <c r="F24" i="107"/>
  <c r="G24" i="107"/>
  <c r="H24" i="107"/>
  <c r="A25" i="107"/>
  <c r="B25" i="107"/>
  <c r="C25" i="107"/>
  <c r="E25" i="107"/>
  <c r="F25" i="107"/>
  <c r="G25" i="107"/>
  <c r="H25" i="107"/>
  <c r="A26" i="107"/>
  <c r="B26" i="107"/>
  <c r="C26" i="107"/>
  <c r="E26" i="107"/>
  <c r="F26" i="107"/>
  <c r="G26" i="107"/>
  <c r="H26" i="107"/>
  <c r="A27" i="107"/>
  <c r="B27" i="107"/>
  <c r="C27" i="107"/>
  <c r="E27" i="107"/>
  <c r="F27" i="107"/>
  <c r="G27" i="107"/>
  <c r="H27" i="107"/>
  <c r="A28" i="107"/>
  <c r="B28" i="107"/>
  <c r="C28" i="107"/>
  <c r="E28" i="107"/>
  <c r="F28" i="107"/>
  <c r="G28" i="107"/>
  <c r="H28" i="107"/>
  <c r="A29" i="107"/>
  <c r="B29" i="107"/>
  <c r="C29" i="107"/>
  <c r="E29" i="107"/>
  <c r="F29" i="107"/>
  <c r="G29" i="107"/>
  <c r="H29" i="107"/>
  <c r="A30" i="107"/>
  <c r="B30" i="107"/>
  <c r="C30" i="107"/>
  <c r="E30" i="107"/>
  <c r="F30" i="107"/>
  <c r="G30" i="107"/>
  <c r="H30" i="107"/>
  <c r="A31" i="107"/>
  <c r="B31" i="107"/>
  <c r="C31" i="107"/>
  <c r="E31" i="107"/>
  <c r="F31" i="107"/>
  <c r="G31" i="107"/>
  <c r="H31" i="107"/>
  <c r="A32" i="107"/>
  <c r="B32" i="107"/>
  <c r="C32" i="107"/>
  <c r="E32" i="107"/>
  <c r="F32" i="107"/>
  <c r="G32" i="107"/>
  <c r="H32" i="107"/>
  <c r="A33" i="107"/>
  <c r="B33" i="107"/>
  <c r="C33" i="107"/>
  <c r="E33" i="107"/>
  <c r="F33" i="107"/>
  <c r="G33" i="107"/>
  <c r="H33" i="107"/>
  <c r="A34" i="107"/>
  <c r="B34" i="107"/>
  <c r="C34" i="107"/>
  <c r="E34" i="107"/>
  <c r="F34" i="107"/>
  <c r="G34" i="107"/>
  <c r="H34" i="107"/>
  <c r="A35" i="107"/>
  <c r="B35" i="107"/>
  <c r="C35" i="107"/>
  <c r="E35" i="107"/>
  <c r="F35" i="107"/>
  <c r="G35" i="107"/>
  <c r="H35" i="107"/>
  <c r="A36" i="107"/>
  <c r="B36" i="107"/>
  <c r="C36" i="107"/>
  <c r="E36" i="107"/>
  <c r="F36" i="107"/>
  <c r="G36" i="107"/>
  <c r="H36" i="107"/>
  <c r="A37" i="107"/>
  <c r="B37" i="107"/>
  <c r="C37" i="107"/>
  <c r="E37" i="107"/>
  <c r="F37" i="107"/>
  <c r="G37" i="107"/>
  <c r="H37" i="107"/>
  <c r="A38" i="107"/>
  <c r="B38" i="107"/>
  <c r="C38" i="107"/>
  <c r="E38" i="107"/>
  <c r="F38" i="107"/>
  <c r="G38" i="107"/>
  <c r="H38" i="107"/>
  <c r="A39" i="107"/>
  <c r="B39" i="107"/>
  <c r="C39" i="107"/>
  <c r="E39" i="107"/>
  <c r="F39" i="107"/>
  <c r="G39" i="107"/>
  <c r="H39" i="107"/>
  <c r="A40" i="107"/>
  <c r="B40" i="107"/>
  <c r="C40" i="107"/>
  <c r="E40" i="107"/>
  <c r="F40" i="107"/>
  <c r="G40" i="107"/>
  <c r="H40" i="107"/>
  <c r="A41" i="107"/>
  <c r="B41" i="107"/>
  <c r="C41" i="107"/>
  <c r="E41" i="107"/>
  <c r="F41" i="107"/>
  <c r="G41" i="107"/>
  <c r="H41" i="107"/>
  <c r="A42" i="107"/>
  <c r="B42" i="107"/>
  <c r="C42" i="107"/>
  <c r="E42" i="107"/>
  <c r="F42" i="107"/>
  <c r="G42" i="107"/>
  <c r="H42" i="107"/>
  <c r="A43" i="107"/>
  <c r="B43" i="107"/>
  <c r="C43" i="107"/>
  <c r="E43" i="107"/>
  <c r="F43" i="107"/>
  <c r="G43" i="107"/>
  <c r="H43" i="107"/>
  <c r="A44" i="107"/>
  <c r="B44" i="107"/>
  <c r="C44" i="107"/>
  <c r="E44" i="107"/>
  <c r="F44" i="107"/>
  <c r="G44" i="107"/>
  <c r="H44" i="107"/>
  <c r="A45" i="107"/>
  <c r="B45" i="107"/>
  <c r="C45" i="107"/>
  <c r="E45" i="107"/>
  <c r="F45" i="107"/>
  <c r="G45" i="107"/>
  <c r="H45" i="107"/>
  <c r="A46" i="107"/>
  <c r="B46" i="107"/>
  <c r="C46" i="107"/>
  <c r="E46" i="107"/>
  <c r="F46" i="107"/>
  <c r="G46" i="107"/>
  <c r="H46" i="107"/>
  <c r="A47" i="107"/>
  <c r="B47" i="107"/>
  <c r="C47" i="107"/>
  <c r="E47" i="107"/>
  <c r="F47" i="107"/>
  <c r="G47" i="107"/>
  <c r="H47" i="107"/>
  <c r="A48" i="107"/>
  <c r="B48" i="107"/>
  <c r="C48" i="107"/>
  <c r="E48" i="107"/>
  <c r="F48" i="107"/>
  <c r="G48" i="107"/>
  <c r="H48" i="107"/>
  <c r="A49" i="107"/>
  <c r="B49" i="107"/>
  <c r="C49" i="107"/>
  <c r="E49" i="107"/>
  <c r="F49" i="107"/>
  <c r="G49" i="107"/>
  <c r="H49" i="107"/>
  <c r="A50" i="107"/>
  <c r="B50" i="107"/>
  <c r="C50" i="107"/>
  <c r="E50" i="107"/>
  <c r="F50" i="107"/>
  <c r="G50" i="107"/>
  <c r="H50" i="107"/>
  <c r="A51" i="107"/>
  <c r="B51" i="107"/>
  <c r="C51" i="107"/>
  <c r="E51" i="107"/>
  <c r="F51" i="107"/>
  <c r="G51" i="107"/>
  <c r="H51" i="107"/>
  <c r="A52" i="107"/>
  <c r="B52" i="107"/>
  <c r="C52" i="107"/>
  <c r="E52" i="107"/>
  <c r="F52" i="107"/>
  <c r="G52" i="107"/>
  <c r="H52" i="107"/>
  <c r="A53" i="107"/>
  <c r="B53" i="107"/>
  <c r="C53" i="107"/>
  <c r="E53" i="107"/>
  <c r="F53" i="107"/>
  <c r="G53" i="107"/>
  <c r="H53" i="107"/>
  <c r="A54" i="107"/>
  <c r="B54" i="107"/>
  <c r="C54" i="107"/>
  <c r="E54" i="107"/>
  <c r="F54" i="107"/>
  <c r="G54" i="107"/>
  <c r="H54" i="107"/>
  <c r="A55" i="107"/>
  <c r="B55" i="107"/>
  <c r="C55" i="107"/>
  <c r="E55" i="107"/>
  <c r="F55" i="107"/>
  <c r="G55" i="107"/>
  <c r="H55" i="107"/>
  <c r="A56" i="107"/>
  <c r="B56" i="107"/>
  <c r="C56" i="107"/>
  <c r="E56" i="107"/>
  <c r="F56" i="107"/>
  <c r="G56" i="107"/>
  <c r="H56" i="107"/>
  <c r="A57" i="107"/>
  <c r="B57" i="107"/>
  <c r="C57" i="107"/>
  <c r="E57" i="107"/>
  <c r="F57" i="107"/>
  <c r="G57" i="107"/>
  <c r="H57" i="107"/>
  <c r="A58" i="107"/>
  <c r="B58" i="107"/>
  <c r="C58" i="107"/>
  <c r="E58" i="107"/>
  <c r="F58" i="107"/>
  <c r="G58" i="107"/>
  <c r="H58" i="107"/>
  <c r="A59" i="107"/>
  <c r="B59" i="107"/>
  <c r="C59" i="107"/>
  <c r="E59" i="107"/>
  <c r="F59" i="107"/>
  <c r="G59" i="107"/>
  <c r="H59" i="107"/>
  <c r="A60" i="107"/>
  <c r="B60" i="107"/>
  <c r="C60" i="107"/>
  <c r="E60" i="107"/>
  <c r="F60" i="107"/>
  <c r="G60" i="107"/>
  <c r="H60" i="107"/>
  <c r="A61" i="107"/>
  <c r="B61" i="107"/>
  <c r="C61" i="107"/>
  <c r="E61" i="107"/>
  <c r="F61" i="107"/>
  <c r="G61" i="107"/>
  <c r="H61" i="107"/>
  <c r="A62" i="107"/>
  <c r="B62" i="107"/>
  <c r="C62" i="107"/>
  <c r="E62" i="107"/>
  <c r="F62" i="107"/>
  <c r="G62" i="107"/>
  <c r="H62" i="107"/>
  <c r="A63" i="107"/>
  <c r="B63" i="107"/>
  <c r="C63" i="107"/>
  <c r="E63" i="107"/>
  <c r="F63" i="107"/>
  <c r="G63" i="107"/>
  <c r="H63" i="107"/>
  <c r="A64" i="107"/>
  <c r="B64" i="107"/>
  <c r="C64" i="107"/>
  <c r="E64" i="107"/>
  <c r="F64" i="107"/>
  <c r="G64" i="107"/>
  <c r="H64" i="107"/>
  <c r="A65" i="107"/>
  <c r="B65" i="107"/>
  <c r="C65" i="107"/>
  <c r="E65" i="107"/>
  <c r="F65" i="107"/>
  <c r="G65" i="107"/>
  <c r="H65" i="107"/>
  <c r="A66" i="107"/>
  <c r="B66" i="107"/>
  <c r="C66" i="107"/>
  <c r="E66" i="107"/>
  <c r="F66" i="107"/>
  <c r="G66" i="107"/>
  <c r="H66" i="107"/>
  <c r="A67" i="107"/>
  <c r="B67" i="107"/>
  <c r="C67" i="107"/>
  <c r="E67" i="107"/>
  <c r="F67" i="107"/>
  <c r="G67" i="107"/>
  <c r="H67" i="107"/>
  <c r="A68" i="107"/>
  <c r="B68" i="107"/>
  <c r="C68" i="107"/>
  <c r="E68" i="107"/>
  <c r="F68" i="107"/>
  <c r="G68" i="107"/>
  <c r="H68" i="107"/>
  <c r="A69" i="107"/>
  <c r="B69" i="107"/>
  <c r="C69" i="107"/>
  <c r="E69" i="107"/>
  <c r="F69" i="107"/>
  <c r="G69" i="107"/>
  <c r="H69" i="107"/>
  <c r="A70" i="107"/>
  <c r="B70" i="107"/>
  <c r="C70" i="107"/>
  <c r="E70" i="107"/>
  <c r="F70" i="107"/>
  <c r="G70" i="107"/>
  <c r="H70" i="107"/>
  <c r="A71" i="107"/>
  <c r="B71" i="107"/>
  <c r="C71" i="107"/>
  <c r="E71" i="107"/>
  <c r="F71" i="107"/>
  <c r="G71" i="107"/>
  <c r="H71" i="107"/>
  <c r="A72" i="107"/>
  <c r="B72" i="107"/>
  <c r="C72" i="107"/>
  <c r="E72" i="107"/>
  <c r="F72" i="107"/>
  <c r="G72" i="107"/>
  <c r="H72" i="107"/>
  <c r="A73" i="107"/>
  <c r="B73" i="107"/>
  <c r="C73" i="107"/>
  <c r="E73" i="107"/>
  <c r="F73" i="107"/>
  <c r="G73" i="107"/>
  <c r="H73" i="107"/>
  <c r="A74" i="107"/>
  <c r="B74" i="107"/>
  <c r="C74" i="107"/>
  <c r="E74" i="107"/>
  <c r="F74" i="107"/>
  <c r="G74" i="107"/>
  <c r="H74" i="107"/>
  <c r="A75" i="107"/>
  <c r="B75" i="107"/>
  <c r="C75" i="107"/>
  <c r="E75" i="107"/>
  <c r="F75" i="107"/>
  <c r="G75" i="107"/>
  <c r="H75" i="107"/>
  <c r="A76" i="107"/>
  <c r="B76" i="107"/>
  <c r="C76" i="107"/>
  <c r="E76" i="107"/>
  <c r="F76" i="107"/>
  <c r="G76" i="107"/>
  <c r="H76" i="107"/>
  <c r="A77" i="107"/>
  <c r="B77" i="107"/>
  <c r="C77" i="107"/>
  <c r="E77" i="107"/>
  <c r="F77" i="107"/>
  <c r="G77" i="107"/>
  <c r="H77" i="107"/>
  <c r="A78" i="107"/>
  <c r="B78" i="107"/>
  <c r="C78" i="107"/>
  <c r="E78" i="107"/>
  <c r="F78" i="107"/>
  <c r="G78" i="107"/>
  <c r="H78" i="107"/>
  <c r="A79" i="107"/>
  <c r="B79" i="107"/>
  <c r="C79" i="107"/>
  <c r="E79" i="107"/>
  <c r="F79" i="107"/>
  <c r="G79" i="107"/>
  <c r="H79" i="107"/>
  <c r="A80" i="107"/>
  <c r="B80" i="107"/>
  <c r="C80" i="107"/>
  <c r="E80" i="107"/>
  <c r="F80" i="107"/>
  <c r="G80" i="107"/>
  <c r="H80" i="107"/>
  <c r="A81" i="107"/>
  <c r="B81" i="107"/>
  <c r="C81" i="107"/>
  <c r="E81" i="107"/>
  <c r="F81" i="107"/>
  <c r="G81" i="107"/>
  <c r="H81" i="107"/>
  <c r="A82" i="107"/>
  <c r="B82" i="107"/>
  <c r="C82" i="107"/>
  <c r="E82" i="107"/>
  <c r="F82" i="107"/>
  <c r="G82" i="107"/>
  <c r="H82" i="107"/>
  <c r="A83" i="107"/>
  <c r="B83" i="107"/>
  <c r="C83" i="107"/>
  <c r="E83" i="107"/>
  <c r="F83" i="107"/>
  <c r="G83" i="107"/>
  <c r="H83" i="107"/>
  <c r="A84" i="107"/>
  <c r="B84" i="107"/>
  <c r="C84" i="107"/>
  <c r="E84" i="107"/>
  <c r="F84" i="107"/>
  <c r="G84" i="107"/>
  <c r="H84" i="107"/>
  <c r="A85" i="107"/>
  <c r="B85" i="107"/>
  <c r="C85" i="107"/>
  <c r="E85" i="107"/>
  <c r="F85" i="107"/>
  <c r="G85" i="107"/>
  <c r="H85" i="107"/>
  <c r="A86" i="107"/>
  <c r="B86" i="107"/>
  <c r="C86" i="107"/>
  <c r="E86" i="107"/>
  <c r="F86" i="107"/>
  <c r="G86" i="107"/>
  <c r="H86" i="107"/>
  <c r="A87" i="107"/>
  <c r="B87" i="107"/>
  <c r="C87" i="107"/>
  <c r="E87" i="107"/>
  <c r="F87" i="107"/>
  <c r="G87" i="107"/>
  <c r="H87" i="107"/>
  <c r="A88" i="107"/>
  <c r="B88" i="107"/>
  <c r="C88" i="107"/>
  <c r="E88" i="107"/>
  <c r="F88" i="107"/>
  <c r="G88" i="107"/>
  <c r="H88" i="107"/>
  <c r="A89" i="107"/>
  <c r="B89" i="107"/>
  <c r="C89" i="107"/>
  <c r="E89" i="107"/>
  <c r="F89" i="107"/>
  <c r="G89" i="107"/>
  <c r="H89" i="107"/>
  <c r="A90" i="107"/>
  <c r="B90" i="107"/>
  <c r="C90" i="107"/>
  <c r="E90" i="107"/>
  <c r="F90" i="107"/>
  <c r="G90" i="107"/>
  <c r="H90" i="107"/>
  <c r="A91" i="107"/>
  <c r="B91" i="107"/>
  <c r="C91" i="107"/>
  <c r="E91" i="107"/>
  <c r="F91" i="107"/>
  <c r="G91" i="107"/>
  <c r="H91" i="107"/>
  <c r="A92" i="107"/>
  <c r="B92" i="107"/>
  <c r="C92" i="107"/>
  <c r="E92" i="107"/>
  <c r="F92" i="107"/>
  <c r="G92" i="107"/>
  <c r="H92" i="107"/>
  <c r="A93" i="107"/>
  <c r="B93" i="107"/>
  <c r="C93" i="107"/>
  <c r="E93" i="107"/>
  <c r="F93" i="107"/>
  <c r="G93" i="107"/>
  <c r="H93" i="107"/>
  <c r="A94" i="107"/>
  <c r="B94" i="107"/>
  <c r="C94" i="107"/>
  <c r="E94" i="107"/>
  <c r="F94" i="107"/>
  <c r="G94" i="107"/>
  <c r="H94" i="107"/>
  <c r="A95" i="107"/>
  <c r="B95" i="107"/>
  <c r="C95" i="107"/>
  <c r="E95" i="107"/>
  <c r="F95" i="107"/>
  <c r="G95" i="107"/>
  <c r="H95" i="107"/>
  <c r="A96" i="107"/>
  <c r="B96" i="107"/>
  <c r="C96" i="107"/>
  <c r="E96" i="107"/>
  <c r="F96" i="107"/>
  <c r="G96" i="107"/>
  <c r="H96" i="107"/>
  <c r="A97" i="107"/>
  <c r="B97" i="107"/>
  <c r="C97" i="107"/>
  <c r="E97" i="107"/>
  <c r="F97" i="107"/>
  <c r="G97" i="107"/>
  <c r="H97" i="107"/>
  <c r="A98" i="107"/>
  <c r="B98" i="107"/>
  <c r="C98" i="107"/>
  <c r="E98" i="107"/>
  <c r="F98" i="107"/>
  <c r="G98" i="107"/>
  <c r="H98" i="107"/>
  <c r="A99" i="107"/>
  <c r="B99" i="107"/>
  <c r="C99" i="107"/>
  <c r="E99" i="107"/>
  <c r="F99" i="107"/>
  <c r="G99" i="107"/>
  <c r="H99" i="107"/>
  <c r="A100" i="107"/>
  <c r="B100" i="107"/>
  <c r="C100" i="107"/>
  <c r="E100" i="107"/>
  <c r="F100" i="107"/>
  <c r="G100" i="107"/>
  <c r="H100" i="107"/>
  <c r="A101" i="107"/>
  <c r="B101" i="107"/>
  <c r="C101" i="107"/>
  <c r="E101" i="107"/>
  <c r="F101" i="107"/>
  <c r="G101" i="107"/>
  <c r="H101" i="107"/>
  <c r="A102" i="107"/>
  <c r="B102" i="107"/>
  <c r="C102" i="107"/>
  <c r="E102" i="107"/>
  <c r="F102" i="107"/>
  <c r="G102" i="107"/>
  <c r="H102" i="107"/>
  <c r="A103" i="107"/>
  <c r="B103" i="107"/>
  <c r="C103" i="107"/>
  <c r="E103" i="107"/>
  <c r="F103" i="107"/>
  <c r="G103" i="107"/>
  <c r="H103" i="107"/>
  <c r="A104" i="107"/>
  <c r="B104" i="107"/>
  <c r="C104" i="107"/>
  <c r="E104" i="107"/>
  <c r="F104" i="107"/>
  <c r="G104" i="107"/>
  <c r="H104" i="107"/>
  <c r="A105" i="107"/>
  <c r="B105" i="107"/>
  <c r="C105" i="107"/>
  <c r="E105" i="107"/>
  <c r="F105" i="107"/>
  <c r="G105" i="107"/>
  <c r="H105" i="107"/>
  <c r="A106" i="107"/>
  <c r="B106" i="107"/>
  <c r="C106" i="107"/>
  <c r="E106" i="107"/>
  <c r="F106" i="107"/>
  <c r="G106" i="107"/>
  <c r="H106" i="107"/>
  <c r="A107" i="107"/>
  <c r="B107" i="107"/>
  <c r="C107" i="107"/>
  <c r="E107" i="107"/>
  <c r="F107" i="107"/>
  <c r="G107" i="107"/>
  <c r="H107" i="107"/>
  <c r="A108" i="107"/>
  <c r="B108" i="107"/>
  <c r="C108" i="107"/>
  <c r="E108" i="107"/>
  <c r="F108" i="107"/>
  <c r="G108" i="107"/>
  <c r="H108" i="107"/>
  <c r="A109" i="107"/>
  <c r="B109" i="107"/>
  <c r="C109" i="107"/>
  <c r="E109" i="107"/>
  <c r="F109" i="107"/>
  <c r="G109" i="107"/>
  <c r="H109" i="107"/>
  <c r="A110" i="107"/>
  <c r="B110" i="107"/>
  <c r="C110" i="107"/>
  <c r="E110" i="107"/>
  <c r="F110" i="107"/>
  <c r="G110" i="107"/>
  <c r="H110" i="107"/>
  <c r="A111" i="107"/>
  <c r="B111" i="107"/>
  <c r="C111" i="107"/>
  <c r="E111" i="107"/>
  <c r="F111" i="107"/>
  <c r="G111" i="107"/>
  <c r="H111" i="107"/>
  <c r="A112" i="107"/>
  <c r="B112" i="107"/>
  <c r="C112" i="107"/>
  <c r="E112" i="107"/>
  <c r="F112" i="107"/>
  <c r="G112" i="107"/>
  <c r="H112" i="107"/>
  <c r="A113" i="107"/>
  <c r="B113" i="107"/>
  <c r="C113" i="107"/>
  <c r="E113" i="107"/>
  <c r="F113" i="107"/>
  <c r="G113" i="107"/>
  <c r="H113" i="107"/>
  <c r="A114" i="107"/>
  <c r="B114" i="107"/>
  <c r="C114" i="107"/>
  <c r="E114" i="107"/>
  <c r="F114" i="107"/>
  <c r="G114" i="107"/>
  <c r="H114" i="107"/>
  <c r="A115" i="107"/>
  <c r="B115" i="107"/>
  <c r="C115" i="107"/>
  <c r="E115" i="107"/>
  <c r="F115" i="107"/>
  <c r="G115" i="107"/>
  <c r="H115" i="107"/>
  <c r="A116" i="107"/>
  <c r="B116" i="107"/>
  <c r="C116" i="107"/>
  <c r="E116" i="107"/>
  <c r="F116" i="107"/>
  <c r="G116" i="107"/>
  <c r="H116" i="107"/>
  <c r="A117" i="107"/>
  <c r="B117" i="107"/>
  <c r="C117" i="107"/>
  <c r="E117" i="107"/>
  <c r="F117" i="107"/>
  <c r="G117" i="107"/>
  <c r="H117" i="107"/>
  <c r="A118" i="107"/>
  <c r="B118" i="107"/>
  <c r="C118" i="107"/>
  <c r="E118" i="107"/>
  <c r="F118" i="107"/>
  <c r="G118" i="107"/>
  <c r="H118" i="107"/>
  <c r="A119" i="107"/>
  <c r="B119" i="107"/>
  <c r="C119" i="107"/>
  <c r="E119" i="107"/>
  <c r="F119" i="107"/>
  <c r="G119" i="107"/>
  <c r="H119" i="107"/>
  <c r="A120" i="107"/>
  <c r="B120" i="107"/>
  <c r="C120" i="107"/>
  <c r="E120" i="107"/>
  <c r="F120" i="107"/>
  <c r="G120" i="107"/>
  <c r="H120" i="107"/>
  <c r="A121" i="107"/>
  <c r="B121" i="107"/>
  <c r="C121" i="107"/>
  <c r="E121" i="107"/>
  <c r="F121" i="107"/>
  <c r="G121" i="107"/>
  <c r="H121" i="107"/>
  <c r="A122" i="107"/>
  <c r="B122" i="107"/>
  <c r="C122" i="107"/>
  <c r="E122" i="107"/>
  <c r="F122" i="107"/>
  <c r="G122" i="107"/>
  <c r="H122" i="107"/>
  <c r="A123" i="107"/>
  <c r="B123" i="107"/>
  <c r="C123" i="107"/>
  <c r="E123" i="107"/>
  <c r="F123" i="107"/>
  <c r="G123" i="107"/>
  <c r="H123" i="107"/>
  <c r="A124" i="107"/>
  <c r="B124" i="107"/>
  <c r="C124" i="107"/>
  <c r="E124" i="107"/>
  <c r="F124" i="107"/>
  <c r="G124" i="107"/>
  <c r="H124" i="107"/>
  <c r="A125" i="107"/>
  <c r="B125" i="107"/>
  <c r="C125" i="107"/>
  <c r="E125" i="107"/>
  <c r="F125" i="107"/>
  <c r="G125" i="107"/>
  <c r="H125" i="107"/>
  <c r="A126" i="107"/>
  <c r="B126" i="107"/>
  <c r="C126" i="107"/>
  <c r="E126" i="107"/>
  <c r="F126" i="107"/>
  <c r="G126" i="107"/>
  <c r="H126" i="107"/>
  <c r="A127" i="107"/>
  <c r="B127" i="107"/>
  <c r="C127" i="107"/>
  <c r="E127" i="107"/>
  <c r="F127" i="107"/>
  <c r="G127" i="107"/>
  <c r="H127" i="107"/>
  <c r="A128" i="107"/>
  <c r="B128" i="107"/>
  <c r="C128" i="107"/>
  <c r="E128" i="107"/>
  <c r="F128" i="107"/>
  <c r="G128" i="107"/>
  <c r="H128" i="107"/>
  <c r="A129" i="107"/>
  <c r="B129" i="107"/>
  <c r="C129" i="107"/>
  <c r="E129" i="107"/>
  <c r="F129" i="107"/>
  <c r="G129" i="107"/>
  <c r="H129" i="107"/>
  <c r="A130" i="107"/>
  <c r="B130" i="107"/>
  <c r="C130" i="107"/>
  <c r="E130" i="107"/>
  <c r="F130" i="107"/>
  <c r="G130" i="107"/>
  <c r="H130" i="107"/>
  <c r="A131" i="107"/>
  <c r="B131" i="107"/>
  <c r="C131" i="107"/>
  <c r="E131" i="107"/>
  <c r="F131" i="107"/>
  <c r="G131" i="107"/>
  <c r="H131" i="107"/>
  <c r="A132" i="107"/>
  <c r="B132" i="107"/>
  <c r="C132" i="107"/>
  <c r="E132" i="107"/>
  <c r="F132" i="107"/>
  <c r="G132" i="107"/>
  <c r="H132" i="107"/>
  <c r="A133" i="107"/>
  <c r="B133" i="107"/>
  <c r="C133" i="107"/>
  <c r="E133" i="107"/>
  <c r="F133" i="107"/>
  <c r="G133" i="107"/>
  <c r="H133" i="107"/>
  <c r="A134" i="107"/>
  <c r="B134" i="107"/>
  <c r="C134" i="107"/>
  <c r="E134" i="107"/>
  <c r="F134" i="107"/>
  <c r="G134" i="107"/>
  <c r="H134" i="107"/>
  <c r="A135" i="107"/>
  <c r="B135" i="107"/>
  <c r="C135" i="107"/>
  <c r="E135" i="107"/>
  <c r="F135" i="107"/>
  <c r="G135" i="107"/>
  <c r="H135" i="107"/>
  <c r="A136" i="107"/>
  <c r="B136" i="107"/>
  <c r="C136" i="107"/>
  <c r="E136" i="107"/>
  <c r="F136" i="107"/>
  <c r="G136" i="107"/>
  <c r="H136" i="107"/>
  <c r="A137" i="107"/>
  <c r="B137" i="107"/>
  <c r="C137" i="107"/>
  <c r="E137" i="107"/>
  <c r="F137" i="107"/>
  <c r="G137" i="107"/>
  <c r="H137" i="107"/>
  <c r="A138" i="107"/>
  <c r="B138" i="107"/>
  <c r="C138" i="107"/>
  <c r="E138" i="107"/>
  <c r="F138" i="107"/>
  <c r="G138" i="107"/>
  <c r="H138" i="107"/>
  <c r="A139" i="107"/>
  <c r="B139" i="107"/>
  <c r="C139" i="107"/>
  <c r="E139" i="107"/>
  <c r="F139" i="107"/>
  <c r="G139" i="107"/>
  <c r="H139" i="107"/>
  <c r="A140" i="107"/>
  <c r="B140" i="107"/>
  <c r="C140" i="107"/>
  <c r="E140" i="107"/>
  <c r="F140" i="107"/>
  <c r="G140" i="107"/>
  <c r="H140" i="107"/>
  <c r="A141" i="107"/>
  <c r="B141" i="107"/>
  <c r="C141" i="107"/>
  <c r="E141" i="107"/>
  <c r="F141" i="107"/>
  <c r="G141" i="107"/>
  <c r="H141" i="107"/>
  <c r="A142" i="107"/>
  <c r="B142" i="107"/>
  <c r="C142" i="107"/>
  <c r="E142" i="107"/>
  <c r="F142" i="107"/>
  <c r="G142" i="107"/>
  <c r="H142" i="107"/>
  <c r="A143" i="107"/>
  <c r="B143" i="107"/>
  <c r="C143" i="107"/>
  <c r="E143" i="107"/>
  <c r="F143" i="107"/>
  <c r="G143" i="107"/>
  <c r="H143" i="107"/>
  <c r="A144" i="107"/>
  <c r="B144" i="107"/>
  <c r="C144" i="107"/>
  <c r="E144" i="107"/>
  <c r="F144" i="107"/>
  <c r="G144" i="107"/>
  <c r="H144" i="107"/>
  <c r="A145" i="107"/>
  <c r="B145" i="107"/>
  <c r="C145" i="107"/>
  <c r="E145" i="107"/>
  <c r="F145" i="107"/>
  <c r="G145" i="107"/>
  <c r="H145" i="107"/>
  <c r="A146" i="107"/>
  <c r="B146" i="107"/>
  <c r="C146" i="107"/>
  <c r="E146" i="107"/>
  <c r="F146" i="107"/>
  <c r="G146" i="107"/>
  <c r="H146" i="107"/>
  <c r="A147" i="107"/>
  <c r="B147" i="107"/>
  <c r="C147" i="107"/>
  <c r="E147" i="107"/>
  <c r="F147" i="107"/>
  <c r="G147" i="107"/>
  <c r="H147" i="107"/>
  <c r="A148" i="107"/>
  <c r="B148" i="107"/>
  <c r="C148" i="107"/>
  <c r="E148" i="107"/>
  <c r="F148" i="107"/>
  <c r="G148" i="107"/>
  <c r="H148" i="107"/>
  <c r="A149" i="107"/>
  <c r="B149" i="107"/>
  <c r="C149" i="107"/>
  <c r="E149" i="107"/>
  <c r="F149" i="107"/>
  <c r="G149" i="107"/>
  <c r="H149" i="107"/>
  <c r="A150" i="107"/>
  <c r="B150" i="107"/>
  <c r="C150" i="107"/>
  <c r="E150" i="107"/>
  <c r="F150" i="107"/>
  <c r="G150" i="107"/>
  <c r="H150" i="107"/>
  <c r="A151" i="107"/>
  <c r="B151" i="107"/>
  <c r="C151" i="107"/>
  <c r="E151" i="107"/>
  <c r="F151" i="107"/>
  <c r="G151" i="107"/>
  <c r="H151" i="107"/>
  <c r="A152" i="107"/>
  <c r="B152" i="107"/>
  <c r="C152" i="107"/>
  <c r="E152" i="107"/>
  <c r="F152" i="107"/>
  <c r="G152" i="107"/>
  <c r="H152" i="107"/>
  <c r="A153" i="107"/>
  <c r="B153" i="107"/>
  <c r="C153" i="107"/>
  <c r="E153" i="107"/>
  <c r="F153" i="107"/>
  <c r="G153" i="107"/>
  <c r="H153" i="107"/>
  <c r="A154" i="107"/>
  <c r="B154" i="107"/>
  <c r="C154" i="107"/>
  <c r="E154" i="107"/>
  <c r="F154" i="107"/>
  <c r="G154" i="107"/>
  <c r="H154" i="107"/>
  <c r="A155" i="107"/>
  <c r="B155" i="107"/>
  <c r="C155" i="107"/>
  <c r="E155" i="107"/>
  <c r="F155" i="107"/>
  <c r="G155" i="107"/>
  <c r="H155" i="107"/>
  <c r="A156" i="107"/>
  <c r="B156" i="107"/>
  <c r="C156" i="107"/>
  <c r="E156" i="107"/>
  <c r="F156" i="107"/>
  <c r="G156" i="107"/>
  <c r="H156" i="107"/>
  <c r="A157" i="107"/>
  <c r="B157" i="107"/>
  <c r="C157" i="107"/>
  <c r="E157" i="107"/>
  <c r="F157" i="107"/>
  <c r="G157" i="107"/>
  <c r="H157" i="107"/>
  <c r="A158" i="107"/>
  <c r="B158" i="107"/>
  <c r="C158" i="107"/>
  <c r="E158" i="107"/>
  <c r="F158" i="107"/>
  <c r="G158" i="107"/>
  <c r="H158" i="107"/>
  <c r="A159" i="107"/>
  <c r="B159" i="107"/>
  <c r="C159" i="107"/>
  <c r="E159" i="107"/>
  <c r="F159" i="107"/>
  <c r="G159" i="107"/>
  <c r="H159" i="107"/>
  <c r="A160" i="107"/>
  <c r="B160" i="107"/>
  <c r="C160" i="107"/>
  <c r="E160" i="107"/>
  <c r="F160" i="107"/>
  <c r="G160" i="107"/>
  <c r="H160" i="107"/>
  <c r="A161" i="107"/>
  <c r="B161" i="107"/>
  <c r="C161" i="107"/>
  <c r="E161" i="107"/>
  <c r="F161" i="107"/>
  <c r="G161" i="107"/>
  <c r="H161" i="107"/>
  <c r="A162" i="107"/>
  <c r="B162" i="107"/>
  <c r="C162" i="107"/>
  <c r="E162" i="107"/>
  <c r="F162" i="107"/>
  <c r="G162" i="107"/>
  <c r="H162" i="107"/>
  <c r="A163" i="107"/>
  <c r="B163" i="107"/>
  <c r="C163" i="107"/>
  <c r="E163" i="107"/>
  <c r="F163" i="107"/>
  <c r="G163" i="107"/>
  <c r="H163" i="107"/>
  <c r="A164" i="107"/>
  <c r="B164" i="107"/>
  <c r="C164" i="107"/>
  <c r="E164" i="107"/>
  <c r="F164" i="107"/>
  <c r="G164" i="107"/>
  <c r="H164" i="107"/>
  <c r="A165" i="107"/>
  <c r="B165" i="107"/>
  <c r="C165" i="107"/>
  <c r="E165" i="107"/>
  <c r="F165" i="107"/>
  <c r="G165" i="107"/>
  <c r="H165" i="107"/>
  <c r="A166" i="107"/>
  <c r="B166" i="107"/>
  <c r="C166" i="107"/>
  <c r="E166" i="107"/>
  <c r="F166" i="107"/>
  <c r="G166" i="107"/>
  <c r="H166" i="107"/>
  <c r="A167" i="107"/>
  <c r="B167" i="107"/>
  <c r="C167" i="107"/>
  <c r="E167" i="107"/>
  <c r="F167" i="107"/>
  <c r="G167" i="107"/>
  <c r="H167" i="107"/>
  <c r="A168" i="107"/>
  <c r="B168" i="107"/>
  <c r="C168" i="107"/>
  <c r="E168" i="107"/>
  <c r="F168" i="107"/>
  <c r="G168" i="107"/>
  <c r="H168" i="107"/>
  <c r="A169" i="107"/>
  <c r="B169" i="107"/>
  <c r="C169" i="107"/>
  <c r="E169" i="107"/>
  <c r="F169" i="107"/>
  <c r="G169" i="107"/>
  <c r="H169" i="107"/>
  <c r="A170" i="107"/>
  <c r="B170" i="107"/>
  <c r="C170" i="107"/>
  <c r="E170" i="107"/>
  <c r="F170" i="107"/>
  <c r="G170" i="107"/>
  <c r="H170" i="107"/>
  <c r="A171" i="107"/>
  <c r="B171" i="107"/>
  <c r="C171" i="107"/>
  <c r="E171" i="107"/>
  <c r="F171" i="107"/>
  <c r="G171" i="107"/>
  <c r="H171" i="107"/>
  <c r="A172" i="107"/>
  <c r="B172" i="107"/>
  <c r="C172" i="107"/>
  <c r="E172" i="107"/>
  <c r="F172" i="107"/>
  <c r="G172" i="107"/>
  <c r="H172" i="107"/>
  <c r="A173" i="107"/>
  <c r="B173" i="107"/>
  <c r="C173" i="107"/>
  <c r="E173" i="107"/>
  <c r="F173" i="107"/>
  <c r="G173" i="107"/>
  <c r="H173" i="107"/>
  <c r="A174" i="107"/>
  <c r="B174" i="107"/>
  <c r="C174" i="107"/>
  <c r="E174" i="107"/>
  <c r="F174" i="107"/>
  <c r="G174" i="107"/>
  <c r="H174" i="107"/>
  <c r="A175" i="107"/>
  <c r="B175" i="107"/>
  <c r="C175" i="107"/>
  <c r="E175" i="107"/>
  <c r="F175" i="107"/>
  <c r="G175" i="107"/>
  <c r="H175" i="107"/>
  <c r="A176" i="107"/>
  <c r="B176" i="107"/>
  <c r="C176" i="107"/>
  <c r="E176" i="107"/>
  <c r="F176" i="107"/>
  <c r="G176" i="107"/>
  <c r="H176" i="107"/>
  <c r="A177" i="107"/>
  <c r="B177" i="107"/>
  <c r="C177" i="107"/>
  <c r="E177" i="107"/>
  <c r="F177" i="107"/>
  <c r="G177" i="107"/>
  <c r="H177" i="107"/>
  <c r="A178" i="107"/>
  <c r="B178" i="107"/>
  <c r="C178" i="107"/>
  <c r="E178" i="107"/>
  <c r="F178" i="107"/>
  <c r="G178" i="107"/>
  <c r="H178" i="107"/>
  <c r="A179" i="107"/>
  <c r="B179" i="107"/>
  <c r="C179" i="107"/>
  <c r="E179" i="107"/>
  <c r="F179" i="107"/>
  <c r="G179" i="107"/>
  <c r="H179" i="107"/>
  <c r="A180" i="107"/>
  <c r="B180" i="107"/>
  <c r="C180" i="107"/>
  <c r="E180" i="107"/>
  <c r="F180" i="107"/>
  <c r="G180" i="107"/>
  <c r="H180" i="107"/>
  <c r="A181" i="107"/>
  <c r="B181" i="107"/>
  <c r="C181" i="107"/>
  <c r="E181" i="107"/>
  <c r="F181" i="107"/>
  <c r="G181" i="107"/>
  <c r="H181" i="107"/>
  <c r="A182" i="107"/>
  <c r="B182" i="107"/>
  <c r="C182" i="107"/>
  <c r="E182" i="107"/>
  <c r="F182" i="107"/>
  <c r="G182" i="107"/>
  <c r="H182" i="107"/>
  <c r="A183" i="107"/>
  <c r="B183" i="107"/>
  <c r="C183" i="107"/>
  <c r="E183" i="107"/>
  <c r="F183" i="107"/>
  <c r="G183" i="107"/>
  <c r="H183" i="107"/>
  <c r="A184" i="107"/>
  <c r="B184" i="107"/>
  <c r="C184" i="107"/>
  <c r="E184" i="107"/>
  <c r="F184" i="107"/>
  <c r="G184" i="107"/>
  <c r="H184" i="107"/>
  <c r="A185" i="107"/>
  <c r="B185" i="107"/>
  <c r="C185" i="107"/>
  <c r="E185" i="107"/>
  <c r="F185" i="107"/>
  <c r="G185" i="107"/>
  <c r="H185" i="107"/>
  <c r="A186" i="107"/>
  <c r="B186" i="107"/>
  <c r="C186" i="107"/>
  <c r="E186" i="107"/>
  <c r="F186" i="107"/>
  <c r="G186" i="107"/>
  <c r="H186" i="107"/>
  <c r="A187" i="107"/>
  <c r="B187" i="107"/>
  <c r="C187" i="107"/>
  <c r="E187" i="107"/>
  <c r="F187" i="107"/>
  <c r="G187" i="107"/>
  <c r="H187" i="107"/>
  <c r="A188" i="107"/>
  <c r="B188" i="107"/>
  <c r="C188" i="107"/>
  <c r="E188" i="107"/>
  <c r="F188" i="107"/>
  <c r="G188" i="107"/>
  <c r="H188" i="107"/>
  <c r="A189" i="107"/>
  <c r="B189" i="107"/>
  <c r="C189" i="107"/>
  <c r="E189" i="107"/>
  <c r="F189" i="107"/>
  <c r="G189" i="107"/>
  <c r="H189" i="107"/>
  <c r="A190" i="107"/>
  <c r="B190" i="107"/>
  <c r="C190" i="107"/>
  <c r="E190" i="107"/>
  <c r="F190" i="107"/>
  <c r="G190" i="107"/>
  <c r="H190" i="107"/>
  <c r="A191" i="107"/>
  <c r="B191" i="107"/>
  <c r="C191" i="107"/>
  <c r="E191" i="107"/>
  <c r="F191" i="107"/>
  <c r="G191" i="107"/>
  <c r="H191" i="107"/>
  <c r="A192" i="107"/>
  <c r="B192" i="107"/>
  <c r="C192" i="107"/>
  <c r="E192" i="107"/>
  <c r="F192" i="107"/>
  <c r="G192" i="107"/>
  <c r="H192" i="107"/>
  <c r="A193" i="107"/>
  <c r="B193" i="107"/>
  <c r="C193" i="107"/>
  <c r="E193" i="107"/>
  <c r="F193" i="107"/>
  <c r="G193" i="107"/>
  <c r="H193" i="107"/>
  <c r="A194" i="107"/>
  <c r="B194" i="107"/>
  <c r="C194" i="107"/>
  <c r="E194" i="107"/>
  <c r="F194" i="107"/>
  <c r="G194" i="107"/>
  <c r="H194" i="107"/>
  <c r="A195" i="107"/>
  <c r="B195" i="107"/>
  <c r="C195" i="107"/>
  <c r="E195" i="107"/>
  <c r="F195" i="107"/>
  <c r="G195" i="107"/>
  <c r="H195" i="107"/>
  <c r="A196" i="107"/>
  <c r="B196" i="107"/>
  <c r="C196" i="107"/>
  <c r="E196" i="107"/>
  <c r="F196" i="107"/>
  <c r="G196" i="107"/>
  <c r="H196" i="107"/>
  <c r="A197" i="107"/>
  <c r="B197" i="107"/>
  <c r="C197" i="107"/>
  <c r="E197" i="107"/>
  <c r="F197" i="107"/>
  <c r="G197" i="107"/>
  <c r="H197" i="107"/>
  <c r="A198" i="107"/>
  <c r="B198" i="107"/>
  <c r="C198" i="107"/>
  <c r="E198" i="107"/>
  <c r="F198" i="107"/>
  <c r="G198" i="107"/>
  <c r="H198" i="107"/>
  <c r="A199" i="107"/>
  <c r="B199" i="107"/>
  <c r="C199" i="107"/>
  <c r="E199" i="107"/>
  <c r="F199" i="107"/>
  <c r="G199" i="107"/>
  <c r="H199" i="107"/>
  <c r="A200" i="107"/>
  <c r="B200" i="107"/>
  <c r="C200" i="107"/>
  <c r="E200" i="107"/>
  <c r="F200" i="107"/>
  <c r="G200" i="107"/>
  <c r="H200" i="107"/>
  <c r="A201" i="107"/>
  <c r="B201" i="107"/>
  <c r="C201" i="107"/>
  <c r="E201" i="107"/>
  <c r="F201" i="107"/>
  <c r="G201" i="107"/>
  <c r="H201" i="107"/>
  <c r="A202" i="107"/>
  <c r="B202" i="107"/>
  <c r="C202" i="107"/>
  <c r="E202" i="107"/>
  <c r="F202" i="107"/>
  <c r="G202" i="107"/>
  <c r="H202" i="107"/>
  <c r="A203" i="107"/>
  <c r="B203" i="107"/>
  <c r="C203" i="107"/>
  <c r="E203" i="107"/>
  <c r="F203" i="107"/>
  <c r="G203" i="107"/>
  <c r="H203" i="107"/>
  <c r="A204" i="107"/>
  <c r="B204" i="107"/>
  <c r="C204" i="107"/>
  <c r="E204" i="107"/>
  <c r="F204" i="107"/>
  <c r="G204" i="107"/>
  <c r="H204" i="107"/>
  <c r="A205" i="107"/>
  <c r="B205" i="107"/>
  <c r="C205" i="107"/>
  <c r="E205" i="107"/>
  <c r="F205" i="107"/>
  <c r="G205" i="107"/>
  <c r="H205" i="107"/>
  <c r="A206" i="107"/>
  <c r="B206" i="107"/>
  <c r="C206" i="107"/>
  <c r="E206" i="107"/>
  <c r="F206" i="107"/>
  <c r="G206" i="107"/>
  <c r="H206" i="107"/>
  <c r="A207" i="107"/>
  <c r="B207" i="107"/>
  <c r="C207" i="107"/>
  <c r="E207" i="107"/>
  <c r="F207" i="107"/>
  <c r="G207" i="107"/>
  <c r="H207" i="107"/>
  <c r="A208" i="107"/>
  <c r="B208" i="107"/>
  <c r="C208" i="107"/>
  <c r="E208" i="107"/>
  <c r="F208" i="107"/>
  <c r="G208" i="107"/>
  <c r="H208" i="107"/>
  <c r="A209" i="107"/>
  <c r="B209" i="107"/>
  <c r="C209" i="107"/>
  <c r="E209" i="107"/>
  <c r="F209" i="107"/>
  <c r="G209" i="107"/>
  <c r="H209" i="107"/>
  <c r="A210" i="107"/>
  <c r="B210" i="107"/>
  <c r="C210" i="107"/>
  <c r="E210" i="107"/>
  <c r="F210" i="107"/>
  <c r="G210" i="107"/>
  <c r="H210" i="107"/>
  <c r="A211" i="107"/>
  <c r="B211" i="107"/>
  <c r="C211" i="107"/>
  <c r="E211" i="107"/>
  <c r="F211" i="107"/>
  <c r="G211" i="107"/>
  <c r="H211" i="107"/>
  <c r="A212" i="107"/>
  <c r="B212" i="107"/>
  <c r="C212" i="107"/>
  <c r="E212" i="107"/>
  <c r="F212" i="107"/>
  <c r="G212" i="107"/>
  <c r="H212" i="107"/>
  <c r="A213" i="107"/>
  <c r="B213" i="107"/>
  <c r="C213" i="107"/>
  <c r="E213" i="107"/>
  <c r="F213" i="107"/>
  <c r="G213" i="107"/>
  <c r="H213" i="107"/>
  <c r="A214" i="107"/>
  <c r="B214" i="107"/>
  <c r="C214" i="107"/>
  <c r="E214" i="107"/>
  <c r="F214" i="107"/>
  <c r="G214" i="107"/>
  <c r="H214" i="107"/>
  <c r="A215" i="107"/>
  <c r="B215" i="107"/>
  <c r="C215" i="107"/>
  <c r="E215" i="107"/>
  <c r="F215" i="107"/>
  <c r="G215" i="107"/>
  <c r="H215" i="107"/>
  <c r="A216" i="107"/>
  <c r="B216" i="107"/>
  <c r="C216" i="107"/>
  <c r="E216" i="107"/>
  <c r="F216" i="107"/>
  <c r="G216" i="107"/>
  <c r="H216" i="107"/>
  <c r="A217" i="107"/>
  <c r="B217" i="107"/>
  <c r="C217" i="107"/>
  <c r="E217" i="107"/>
  <c r="F217" i="107"/>
  <c r="G217" i="107"/>
  <c r="H217" i="107"/>
  <c r="A218" i="107"/>
  <c r="B218" i="107"/>
  <c r="C218" i="107"/>
  <c r="E218" i="107"/>
  <c r="F218" i="107"/>
  <c r="G218" i="107"/>
  <c r="H218" i="107"/>
  <c r="A219" i="107"/>
  <c r="B219" i="107"/>
  <c r="C219" i="107"/>
  <c r="E219" i="107"/>
  <c r="F219" i="107"/>
  <c r="G219" i="107"/>
  <c r="H219" i="107"/>
  <c r="A220" i="107"/>
  <c r="B220" i="107"/>
  <c r="C220" i="107"/>
  <c r="E220" i="107"/>
  <c r="F220" i="107"/>
  <c r="G220" i="107"/>
  <c r="H220" i="107"/>
  <c r="A221" i="107"/>
  <c r="B221" i="107"/>
  <c r="C221" i="107"/>
  <c r="E221" i="107"/>
  <c r="F221" i="107"/>
  <c r="G221" i="107"/>
  <c r="H221" i="107"/>
  <c r="A222" i="107"/>
  <c r="B222" i="107"/>
  <c r="C222" i="107"/>
  <c r="E222" i="107"/>
  <c r="F222" i="107"/>
  <c r="G222" i="107"/>
  <c r="H222" i="107"/>
  <c r="A223" i="107"/>
  <c r="B223" i="107"/>
  <c r="C223" i="107"/>
  <c r="E223" i="107"/>
  <c r="F223" i="107"/>
  <c r="G223" i="107"/>
  <c r="H223" i="107"/>
  <c r="A224" i="107"/>
  <c r="B224" i="107"/>
  <c r="C224" i="107"/>
  <c r="E224" i="107"/>
  <c r="F224" i="107"/>
  <c r="G224" i="107"/>
  <c r="H224" i="107"/>
  <c r="A225" i="107"/>
  <c r="B225" i="107"/>
  <c r="C225" i="107"/>
  <c r="E225" i="107"/>
  <c r="F225" i="107"/>
  <c r="G225" i="107"/>
  <c r="H225" i="107"/>
  <c r="A226" i="107"/>
  <c r="B226" i="107"/>
  <c r="C226" i="107"/>
  <c r="E226" i="107"/>
  <c r="F226" i="107"/>
  <c r="G226" i="107"/>
  <c r="H226" i="107"/>
  <c r="A227" i="107"/>
  <c r="B227" i="107"/>
  <c r="C227" i="107"/>
  <c r="E227" i="107"/>
  <c r="F227" i="107"/>
  <c r="G227" i="107"/>
  <c r="H227" i="107"/>
  <c r="A228" i="107"/>
  <c r="B228" i="107"/>
  <c r="C228" i="107"/>
  <c r="E228" i="107"/>
  <c r="F228" i="107"/>
  <c r="G228" i="107"/>
  <c r="H228" i="107"/>
  <c r="A229" i="107"/>
  <c r="B229" i="107"/>
  <c r="C229" i="107"/>
  <c r="E229" i="107"/>
  <c r="F229" i="107"/>
  <c r="G229" i="107"/>
  <c r="H229" i="107"/>
  <c r="A230" i="107"/>
  <c r="B230" i="107"/>
  <c r="C230" i="107"/>
  <c r="E230" i="107"/>
  <c r="F230" i="107"/>
  <c r="G230" i="107"/>
  <c r="H230" i="107"/>
  <c r="A231" i="107"/>
  <c r="B231" i="107"/>
  <c r="C231" i="107"/>
  <c r="E231" i="107"/>
  <c r="F231" i="107"/>
  <c r="G231" i="107"/>
  <c r="H231" i="107"/>
  <c r="A232" i="107"/>
  <c r="B232" i="107"/>
  <c r="C232" i="107"/>
  <c r="E232" i="107"/>
  <c r="F232" i="107"/>
  <c r="G232" i="107"/>
  <c r="H232" i="107"/>
  <c r="A233" i="107"/>
  <c r="B233" i="107"/>
  <c r="C233" i="107"/>
  <c r="E233" i="107"/>
  <c r="F233" i="107"/>
  <c r="G233" i="107"/>
  <c r="H233" i="107"/>
  <c r="A234" i="107"/>
  <c r="B234" i="107"/>
  <c r="C234" i="107"/>
  <c r="E234" i="107"/>
  <c r="F234" i="107"/>
  <c r="G234" i="107"/>
  <c r="H234" i="107"/>
  <c r="A235" i="107"/>
  <c r="B235" i="107"/>
  <c r="C235" i="107"/>
  <c r="E235" i="107"/>
  <c r="F235" i="107"/>
  <c r="G235" i="107"/>
  <c r="H235" i="107"/>
  <c r="A236" i="107"/>
  <c r="B236" i="107"/>
  <c r="C236" i="107"/>
  <c r="E236" i="107"/>
  <c r="F236" i="107"/>
  <c r="G236" i="107"/>
  <c r="H236" i="107"/>
  <c r="A237" i="107"/>
  <c r="B237" i="107"/>
  <c r="C237" i="107"/>
  <c r="E237" i="107"/>
  <c r="F237" i="107"/>
  <c r="G237" i="107"/>
  <c r="H237" i="107"/>
  <c r="A238" i="107"/>
  <c r="B238" i="107"/>
  <c r="C238" i="107"/>
  <c r="E238" i="107"/>
  <c r="F238" i="107"/>
  <c r="G238" i="107"/>
  <c r="H238" i="107"/>
  <c r="A239" i="107"/>
  <c r="B239" i="107"/>
  <c r="C239" i="107"/>
  <c r="E239" i="107"/>
  <c r="F239" i="107"/>
  <c r="G239" i="107"/>
  <c r="H239" i="107"/>
  <c r="A240" i="107"/>
  <c r="B240" i="107"/>
  <c r="C240" i="107"/>
  <c r="E240" i="107"/>
  <c r="F240" i="107"/>
  <c r="G240" i="107"/>
  <c r="H240" i="107"/>
  <c r="A241" i="107"/>
  <c r="B241" i="107"/>
  <c r="C241" i="107"/>
  <c r="E241" i="107"/>
  <c r="F241" i="107"/>
  <c r="G241" i="107"/>
  <c r="H241" i="107"/>
  <c r="A242" i="107"/>
  <c r="B242" i="107"/>
  <c r="C242" i="107"/>
  <c r="E242" i="107"/>
  <c r="F242" i="107"/>
  <c r="G242" i="107"/>
  <c r="H242" i="107"/>
  <c r="A243" i="107"/>
  <c r="B243" i="107"/>
  <c r="C243" i="107"/>
  <c r="E243" i="107"/>
  <c r="F243" i="107"/>
  <c r="G243" i="107"/>
  <c r="H243" i="107"/>
  <c r="A244" i="107"/>
  <c r="B244" i="107"/>
  <c r="C244" i="107"/>
  <c r="E244" i="107"/>
  <c r="F244" i="107"/>
  <c r="G244" i="107"/>
  <c r="H244" i="107"/>
  <c r="A245" i="107"/>
  <c r="B245" i="107"/>
  <c r="C245" i="107"/>
  <c r="E245" i="107"/>
  <c r="F245" i="107"/>
  <c r="G245" i="107"/>
  <c r="H245" i="107"/>
  <c r="A246" i="107"/>
  <c r="B246" i="107"/>
  <c r="C246" i="107"/>
  <c r="E246" i="107"/>
  <c r="F246" i="107"/>
  <c r="G246" i="107"/>
  <c r="H246" i="107"/>
  <c r="A247" i="107"/>
  <c r="B247" i="107"/>
  <c r="C247" i="107"/>
  <c r="E247" i="107"/>
  <c r="F247" i="107"/>
  <c r="G247" i="107"/>
  <c r="H247" i="107"/>
  <c r="A248" i="107"/>
  <c r="B248" i="107"/>
  <c r="C248" i="107"/>
  <c r="E248" i="107"/>
  <c r="F248" i="107"/>
  <c r="G248" i="107"/>
  <c r="H248" i="107"/>
  <c r="A249" i="107"/>
  <c r="B249" i="107"/>
  <c r="C249" i="107"/>
  <c r="E249" i="107"/>
  <c r="F249" i="107"/>
  <c r="G249" i="107"/>
  <c r="H249" i="107"/>
  <c r="A250" i="107"/>
  <c r="B250" i="107"/>
  <c r="C250" i="107"/>
  <c r="E250" i="107"/>
  <c r="F250" i="107"/>
  <c r="G250" i="107"/>
  <c r="H250" i="107"/>
  <c r="A251" i="107"/>
  <c r="B251" i="107"/>
  <c r="C251" i="107"/>
  <c r="E251" i="107"/>
  <c r="F251" i="107"/>
  <c r="G251" i="107"/>
  <c r="H251" i="107"/>
  <c r="A252" i="107"/>
  <c r="B252" i="107"/>
  <c r="C252" i="107"/>
  <c r="E252" i="107"/>
  <c r="F252" i="107"/>
  <c r="G252" i="107"/>
  <c r="H252" i="107"/>
  <c r="A253" i="107"/>
  <c r="B253" i="107"/>
  <c r="C253" i="107"/>
  <c r="E253" i="107"/>
  <c r="F253" i="107"/>
  <c r="G253" i="107"/>
  <c r="H253" i="107"/>
  <c r="A254" i="107"/>
  <c r="B254" i="107"/>
  <c r="C254" i="107"/>
  <c r="E254" i="107"/>
  <c r="F254" i="107"/>
  <c r="G254" i="107"/>
  <c r="H254" i="107"/>
  <c r="A255" i="107"/>
  <c r="B255" i="107"/>
  <c r="C255" i="107"/>
  <c r="E255" i="107"/>
  <c r="F255" i="107"/>
  <c r="G255" i="107"/>
  <c r="H255" i="107"/>
  <c r="A256" i="107"/>
  <c r="B256" i="107"/>
  <c r="C256" i="107"/>
  <c r="E256" i="107"/>
  <c r="F256" i="107"/>
  <c r="G256" i="107"/>
  <c r="H256" i="107"/>
  <c r="A257" i="107"/>
  <c r="B257" i="107"/>
  <c r="C257" i="107"/>
  <c r="E257" i="107"/>
  <c r="F257" i="107"/>
  <c r="G257" i="107"/>
  <c r="H257" i="107"/>
  <c r="A258" i="107"/>
  <c r="B258" i="107"/>
  <c r="C258" i="107"/>
  <c r="E258" i="107"/>
  <c r="F258" i="107"/>
  <c r="G258" i="107"/>
  <c r="H258" i="107"/>
  <c r="A259" i="107"/>
  <c r="B259" i="107"/>
  <c r="C259" i="107"/>
  <c r="E259" i="107"/>
  <c r="F259" i="107"/>
  <c r="G259" i="107"/>
  <c r="H259" i="107"/>
  <c r="A260" i="107"/>
  <c r="B260" i="107"/>
  <c r="C260" i="107"/>
  <c r="E260" i="107"/>
  <c r="F260" i="107"/>
  <c r="G260" i="107"/>
  <c r="H260" i="107"/>
  <c r="A261" i="107"/>
  <c r="B261" i="107"/>
  <c r="C261" i="107"/>
  <c r="E261" i="107"/>
  <c r="F261" i="107"/>
  <c r="G261" i="107"/>
  <c r="H261" i="107"/>
  <c r="A262" i="107"/>
  <c r="B262" i="107"/>
  <c r="C262" i="107"/>
  <c r="E262" i="107"/>
  <c r="F262" i="107"/>
  <c r="G262" i="107"/>
  <c r="H262" i="107"/>
  <c r="A263" i="107"/>
  <c r="B263" i="107"/>
  <c r="C263" i="107"/>
  <c r="E263" i="107"/>
  <c r="F263" i="107"/>
  <c r="G263" i="107"/>
  <c r="H263" i="107"/>
  <c r="A264" i="107"/>
  <c r="B264" i="107"/>
  <c r="C264" i="107"/>
  <c r="E264" i="107"/>
  <c r="F264" i="107"/>
  <c r="G264" i="107"/>
  <c r="H264" i="107"/>
  <c r="A265" i="107"/>
  <c r="B265" i="107"/>
  <c r="C265" i="107"/>
  <c r="E265" i="107"/>
  <c r="F265" i="107"/>
  <c r="G265" i="107"/>
  <c r="H265" i="107"/>
  <c r="A266" i="107"/>
  <c r="B266" i="107"/>
  <c r="C266" i="107"/>
  <c r="E266" i="107"/>
  <c r="F266" i="107"/>
  <c r="G266" i="107"/>
  <c r="H266" i="107"/>
  <c r="A267" i="107"/>
  <c r="B267" i="107"/>
  <c r="C267" i="107"/>
  <c r="E267" i="107"/>
  <c r="F267" i="107"/>
  <c r="G267" i="107"/>
  <c r="H267" i="107"/>
  <c r="A268" i="107"/>
  <c r="B268" i="107"/>
  <c r="C268" i="107"/>
  <c r="E268" i="107"/>
  <c r="F268" i="107"/>
  <c r="G268" i="107"/>
  <c r="H268" i="107"/>
  <c r="A269" i="107"/>
  <c r="B269" i="107"/>
  <c r="C269" i="107"/>
  <c r="E269" i="107"/>
  <c r="F269" i="107"/>
  <c r="G269" i="107"/>
  <c r="H269" i="107"/>
  <c r="A270" i="107"/>
  <c r="B270" i="107"/>
  <c r="C270" i="107"/>
  <c r="E270" i="107"/>
  <c r="F270" i="107"/>
  <c r="G270" i="107"/>
  <c r="H270" i="107"/>
  <c r="A271" i="107"/>
  <c r="B271" i="107"/>
  <c r="C271" i="107"/>
  <c r="E271" i="107"/>
  <c r="F271" i="107"/>
  <c r="G271" i="107"/>
  <c r="H271" i="107"/>
  <c r="A272" i="107"/>
  <c r="B272" i="107"/>
  <c r="C272" i="107"/>
  <c r="E272" i="107"/>
  <c r="F272" i="107"/>
  <c r="G272" i="107"/>
  <c r="H272" i="107"/>
  <c r="A273" i="107"/>
  <c r="B273" i="107"/>
  <c r="C273" i="107"/>
  <c r="E273" i="107"/>
  <c r="F273" i="107"/>
  <c r="G273" i="107"/>
  <c r="H273" i="107"/>
  <c r="A274" i="107"/>
  <c r="B274" i="107"/>
  <c r="C274" i="107"/>
  <c r="E274" i="107"/>
  <c r="F274" i="107"/>
  <c r="G274" i="107"/>
  <c r="H274" i="107"/>
  <c r="A275" i="107"/>
  <c r="B275" i="107"/>
  <c r="C275" i="107"/>
  <c r="E275" i="107"/>
  <c r="F275" i="107"/>
  <c r="G275" i="107"/>
  <c r="H275" i="107"/>
  <c r="A276" i="107"/>
  <c r="B276" i="107"/>
  <c r="C276" i="107"/>
  <c r="E276" i="107"/>
  <c r="F276" i="107"/>
  <c r="G276" i="107"/>
  <c r="H276" i="107"/>
  <c r="A277" i="107"/>
  <c r="B277" i="107"/>
  <c r="C277" i="107"/>
  <c r="E277" i="107"/>
  <c r="F277" i="107"/>
  <c r="G277" i="107"/>
  <c r="H277" i="107"/>
  <c r="A278" i="107"/>
  <c r="B278" i="107"/>
  <c r="C278" i="107"/>
  <c r="E278" i="107"/>
  <c r="F278" i="107"/>
  <c r="G278" i="107"/>
  <c r="H278" i="107"/>
  <c r="A279" i="107"/>
  <c r="B279" i="107"/>
  <c r="C279" i="107"/>
  <c r="E279" i="107"/>
  <c r="F279" i="107"/>
  <c r="G279" i="107"/>
  <c r="H279" i="107"/>
  <c r="A280" i="107"/>
  <c r="B280" i="107"/>
  <c r="C280" i="107"/>
  <c r="E280" i="107"/>
  <c r="F280" i="107"/>
  <c r="G280" i="107"/>
  <c r="H280" i="107"/>
  <c r="A281" i="107"/>
  <c r="B281" i="107"/>
  <c r="C281" i="107"/>
  <c r="E281" i="107"/>
  <c r="F281" i="107"/>
  <c r="G281" i="107"/>
  <c r="H281" i="107"/>
  <c r="A282" i="107"/>
  <c r="B282" i="107"/>
  <c r="C282" i="107"/>
  <c r="E282" i="107"/>
  <c r="F282" i="107"/>
  <c r="G282" i="107"/>
  <c r="H282" i="107"/>
  <c r="A283" i="107"/>
  <c r="B283" i="107"/>
  <c r="C283" i="107"/>
  <c r="E283" i="107"/>
  <c r="F283" i="107"/>
  <c r="G283" i="107"/>
  <c r="H283" i="107"/>
  <c r="A284" i="107"/>
  <c r="B284" i="107"/>
  <c r="C284" i="107"/>
  <c r="E284" i="107"/>
  <c r="F284" i="107"/>
  <c r="G284" i="107"/>
  <c r="H284" i="107"/>
  <c r="A285" i="107"/>
  <c r="B285" i="107"/>
  <c r="C285" i="107"/>
  <c r="E285" i="107"/>
  <c r="F285" i="107"/>
  <c r="G285" i="107"/>
  <c r="H285" i="107"/>
  <c r="A286" i="107"/>
  <c r="B286" i="107"/>
  <c r="C286" i="107"/>
  <c r="E286" i="107"/>
  <c r="F286" i="107"/>
  <c r="G286" i="107"/>
  <c r="H286" i="107"/>
  <c r="A287" i="107"/>
  <c r="B287" i="107"/>
  <c r="C287" i="107"/>
  <c r="E287" i="107"/>
  <c r="F287" i="107"/>
  <c r="G287" i="107"/>
  <c r="H287" i="107"/>
  <c r="A288" i="107"/>
  <c r="B288" i="107"/>
  <c r="C288" i="107"/>
  <c r="E288" i="107"/>
  <c r="F288" i="107"/>
  <c r="G288" i="107"/>
  <c r="H288" i="107"/>
  <c r="A289" i="107"/>
  <c r="B289" i="107"/>
  <c r="C289" i="107"/>
  <c r="E289" i="107"/>
  <c r="F289" i="107"/>
  <c r="G289" i="107"/>
  <c r="H289" i="107"/>
  <c r="A290" i="107"/>
  <c r="B290" i="107"/>
  <c r="C290" i="107"/>
  <c r="E290" i="107"/>
  <c r="F290" i="107"/>
  <c r="G290" i="107"/>
  <c r="H290" i="107"/>
  <c r="A291" i="107"/>
  <c r="B291" i="107"/>
  <c r="C291" i="107"/>
  <c r="E291" i="107"/>
  <c r="F291" i="107"/>
  <c r="G291" i="107"/>
  <c r="H291" i="107"/>
  <c r="A292" i="107"/>
  <c r="B292" i="107"/>
  <c r="C292" i="107"/>
  <c r="E292" i="107"/>
  <c r="F292" i="107"/>
  <c r="G292" i="107"/>
  <c r="H292" i="107"/>
  <c r="A293" i="107"/>
  <c r="B293" i="107"/>
  <c r="C293" i="107"/>
  <c r="E293" i="107"/>
  <c r="F293" i="107"/>
  <c r="G293" i="107"/>
  <c r="H293" i="107"/>
  <c r="A294" i="107"/>
  <c r="B294" i="107"/>
  <c r="C294" i="107"/>
  <c r="E294" i="107"/>
  <c r="F294" i="107"/>
  <c r="G294" i="107"/>
  <c r="H294" i="107"/>
  <c r="A295" i="107"/>
  <c r="B295" i="107"/>
  <c r="C295" i="107"/>
  <c r="E295" i="107"/>
  <c r="F295" i="107"/>
  <c r="G295" i="107"/>
  <c r="H295" i="107"/>
  <c r="A296" i="107"/>
  <c r="B296" i="107"/>
  <c r="C296" i="107"/>
  <c r="E296" i="107"/>
  <c r="F296" i="107"/>
  <c r="G296" i="107"/>
  <c r="H296" i="107"/>
  <c r="A297" i="107"/>
  <c r="B297" i="107"/>
  <c r="C297" i="107"/>
  <c r="E297" i="107"/>
  <c r="F297" i="107"/>
  <c r="G297" i="107"/>
  <c r="H297" i="107"/>
  <c r="A298" i="107"/>
  <c r="B298" i="107"/>
  <c r="C298" i="107"/>
  <c r="E298" i="107"/>
  <c r="F298" i="107"/>
  <c r="G298" i="107"/>
  <c r="H298" i="107"/>
  <c r="A299" i="107"/>
  <c r="B299" i="107"/>
  <c r="C299" i="107"/>
  <c r="E299" i="107"/>
  <c r="F299" i="107"/>
  <c r="G299" i="107"/>
  <c r="H299" i="107"/>
  <c r="A300" i="107"/>
  <c r="B300" i="107"/>
  <c r="C300" i="107"/>
  <c r="E300" i="107"/>
  <c r="F300" i="107"/>
  <c r="G300" i="107"/>
  <c r="H300" i="107"/>
  <c r="A301" i="107"/>
  <c r="B301" i="107"/>
  <c r="C301" i="107"/>
  <c r="E301" i="107"/>
  <c r="F301" i="107"/>
  <c r="G301" i="107"/>
  <c r="H301" i="107"/>
  <c r="A302" i="107"/>
  <c r="B302" i="107"/>
  <c r="C302" i="107"/>
  <c r="E302" i="107"/>
  <c r="F302" i="107"/>
  <c r="G302" i="107"/>
  <c r="H302" i="107"/>
  <c r="A303" i="107"/>
  <c r="B303" i="107"/>
  <c r="C303" i="107"/>
  <c r="E303" i="107"/>
  <c r="F303" i="107"/>
  <c r="G303" i="107"/>
  <c r="H303" i="107"/>
  <c r="A304" i="107"/>
  <c r="B304" i="107"/>
  <c r="C304" i="107"/>
  <c r="E304" i="107"/>
  <c r="F304" i="107"/>
  <c r="G304" i="107"/>
  <c r="H304" i="107"/>
  <c r="A305" i="107"/>
  <c r="B305" i="107"/>
  <c r="C305" i="107"/>
  <c r="E305" i="107"/>
  <c r="F305" i="107"/>
  <c r="G305" i="107"/>
  <c r="H305" i="107"/>
  <c r="A306" i="107"/>
  <c r="B306" i="107"/>
  <c r="C306" i="107"/>
  <c r="E306" i="107"/>
  <c r="F306" i="107"/>
  <c r="G306" i="107"/>
  <c r="H306" i="107"/>
  <c r="A307" i="107"/>
  <c r="B307" i="107"/>
  <c r="C307" i="107"/>
  <c r="E307" i="107"/>
  <c r="F307" i="107"/>
  <c r="G307" i="107"/>
  <c r="H307" i="107"/>
  <c r="A308" i="107"/>
  <c r="B308" i="107"/>
  <c r="C308" i="107"/>
  <c r="E308" i="107"/>
  <c r="F308" i="107"/>
  <c r="G308" i="107"/>
  <c r="H308" i="107"/>
  <c r="A309" i="107"/>
  <c r="B309" i="107"/>
  <c r="C309" i="107"/>
  <c r="E309" i="107"/>
  <c r="F309" i="107"/>
  <c r="G309" i="107"/>
  <c r="H309" i="107"/>
  <c r="A310" i="107"/>
  <c r="B310" i="107"/>
  <c r="C310" i="107"/>
  <c r="E310" i="107"/>
  <c r="F310" i="107"/>
  <c r="G310" i="107"/>
  <c r="H310" i="107"/>
  <c r="A311" i="107"/>
  <c r="B311" i="107"/>
  <c r="C311" i="107"/>
  <c r="E311" i="107"/>
  <c r="F311" i="107"/>
  <c r="G311" i="107"/>
  <c r="H311" i="107"/>
  <c r="A312" i="107"/>
  <c r="B312" i="107"/>
  <c r="C312" i="107"/>
  <c r="E312" i="107"/>
  <c r="F312" i="107"/>
  <c r="G312" i="107"/>
  <c r="H312" i="107"/>
  <c r="A313" i="107"/>
  <c r="B313" i="107"/>
  <c r="C313" i="107"/>
  <c r="E313" i="107"/>
  <c r="F313" i="107"/>
  <c r="G313" i="107"/>
  <c r="H313" i="107"/>
  <c r="A314" i="107"/>
  <c r="B314" i="107"/>
  <c r="C314" i="107"/>
  <c r="E314" i="107"/>
  <c r="F314" i="107"/>
  <c r="G314" i="107"/>
  <c r="H314" i="107"/>
  <c r="A315" i="107"/>
  <c r="B315" i="107"/>
  <c r="C315" i="107"/>
  <c r="E315" i="107"/>
  <c r="F315" i="107"/>
  <c r="G315" i="107"/>
  <c r="H315" i="107"/>
  <c r="A316" i="107"/>
  <c r="B316" i="107"/>
  <c r="C316" i="107"/>
  <c r="E316" i="107"/>
  <c r="F316" i="107"/>
  <c r="G316" i="107"/>
  <c r="H316" i="107"/>
  <c r="A317" i="107"/>
  <c r="B317" i="107"/>
  <c r="C317" i="107"/>
  <c r="E317" i="107"/>
  <c r="F317" i="107"/>
  <c r="G317" i="107"/>
  <c r="H317" i="107"/>
  <c r="A318" i="107"/>
  <c r="B318" i="107"/>
  <c r="C318" i="107"/>
  <c r="E318" i="107"/>
  <c r="F318" i="107"/>
  <c r="G318" i="107"/>
  <c r="H318" i="107"/>
  <c r="A319" i="107"/>
  <c r="B319" i="107"/>
  <c r="C319" i="107"/>
  <c r="E319" i="107"/>
  <c r="F319" i="107"/>
  <c r="G319" i="107"/>
  <c r="H319" i="107"/>
  <c r="A320" i="107"/>
  <c r="B320" i="107"/>
  <c r="C320" i="107"/>
  <c r="E320" i="107"/>
  <c r="F320" i="107"/>
  <c r="G320" i="107"/>
  <c r="H320" i="107"/>
  <c r="A321" i="107"/>
  <c r="B321" i="107"/>
  <c r="C321" i="107"/>
  <c r="E321" i="107"/>
  <c r="F321" i="107"/>
  <c r="G321" i="107"/>
  <c r="H321" i="107"/>
  <c r="A322" i="107"/>
  <c r="B322" i="107"/>
  <c r="C322" i="107"/>
  <c r="E322" i="107"/>
  <c r="F322" i="107"/>
  <c r="G322" i="107"/>
  <c r="H322" i="107"/>
  <c r="A323" i="107"/>
  <c r="B323" i="107"/>
  <c r="C323" i="107"/>
  <c r="E323" i="107"/>
  <c r="F323" i="107"/>
  <c r="G323" i="107"/>
  <c r="H323" i="107"/>
  <c r="A324" i="107"/>
  <c r="B324" i="107"/>
  <c r="C324" i="107"/>
  <c r="E324" i="107"/>
  <c r="F324" i="107"/>
  <c r="G324" i="107"/>
  <c r="H324" i="107"/>
  <c r="A325" i="107"/>
  <c r="B325" i="107"/>
  <c r="C325" i="107"/>
  <c r="E325" i="107"/>
  <c r="F325" i="107"/>
  <c r="G325" i="107"/>
  <c r="H325" i="107"/>
  <c r="A326" i="107"/>
  <c r="B326" i="107"/>
  <c r="C326" i="107"/>
  <c r="E326" i="107"/>
  <c r="F326" i="107"/>
  <c r="G326" i="107"/>
  <c r="H326" i="107"/>
  <c r="A327" i="107"/>
  <c r="B327" i="107"/>
  <c r="C327" i="107"/>
  <c r="E327" i="107"/>
  <c r="F327" i="107"/>
  <c r="G327" i="107"/>
  <c r="H327" i="107"/>
  <c r="A328" i="107"/>
  <c r="B328" i="107"/>
  <c r="C328" i="107"/>
  <c r="E328" i="107"/>
  <c r="F328" i="107"/>
  <c r="G328" i="107"/>
  <c r="H328" i="107"/>
  <c r="A329" i="107"/>
  <c r="B329" i="107"/>
  <c r="C329" i="107"/>
  <c r="E329" i="107"/>
  <c r="F329" i="107"/>
  <c r="G329" i="107"/>
  <c r="H329" i="107"/>
  <c r="A330" i="107"/>
  <c r="B330" i="107"/>
  <c r="C330" i="107"/>
  <c r="E330" i="107"/>
  <c r="F330" i="107"/>
  <c r="G330" i="107"/>
  <c r="H330" i="107"/>
  <c r="A331" i="107"/>
  <c r="B331" i="107"/>
  <c r="C331" i="107"/>
  <c r="E331" i="107"/>
  <c r="F331" i="107"/>
  <c r="G331" i="107"/>
  <c r="H331" i="107"/>
  <c r="A332" i="107"/>
  <c r="B332" i="107"/>
  <c r="C332" i="107"/>
  <c r="E332" i="107"/>
  <c r="F332" i="107"/>
  <c r="G332" i="107"/>
  <c r="H332" i="107"/>
  <c r="A333" i="107"/>
  <c r="B333" i="107"/>
  <c r="C333" i="107"/>
  <c r="E333" i="107"/>
  <c r="F333" i="107"/>
  <c r="G333" i="107"/>
  <c r="H333" i="107"/>
  <c r="A334" i="107"/>
  <c r="B334" i="107"/>
  <c r="C334" i="107"/>
  <c r="E334" i="107"/>
  <c r="F334" i="107"/>
  <c r="G334" i="107"/>
  <c r="H334" i="107"/>
  <c r="A335" i="107"/>
  <c r="B335" i="107"/>
  <c r="C335" i="107"/>
  <c r="E335" i="107"/>
  <c r="F335" i="107"/>
  <c r="G335" i="107"/>
  <c r="H335" i="107"/>
  <c r="A336" i="107"/>
  <c r="B336" i="107"/>
  <c r="C336" i="107"/>
  <c r="E336" i="107"/>
  <c r="F336" i="107"/>
  <c r="G336" i="107"/>
  <c r="H336" i="107"/>
  <c r="A337" i="107"/>
  <c r="B337" i="107"/>
  <c r="C337" i="107"/>
  <c r="E337" i="107"/>
  <c r="F337" i="107"/>
  <c r="G337" i="107"/>
  <c r="H337" i="107"/>
  <c r="A338" i="107"/>
  <c r="B338" i="107"/>
  <c r="C338" i="107"/>
  <c r="E338" i="107"/>
  <c r="F338" i="107"/>
  <c r="G338" i="107"/>
  <c r="H338" i="107"/>
  <c r="A339" i="107"/>
  <c r="B339" i="107"/>
  <c r="C339" i="107"/>
  <c r="E339" i="107"/>
  <c r="F339" i="107"/>
  <c r="G339" i="107"/>
  <c r="H339" i="107"/>
  <c r="A340" i="107"/>
  <c r="B340" i="107"/>
  <c r="C340" i="107"/>
  <c r="E340" i="107"/>
  <c r="F340" i="107"/>
  <c r="G340" i="107"/>
  <c r="H340" i="107"/>
  <c r="A341" i="107"/>
  <c r="B341" i="107"/>
  <c r="C341" i="107"/>
  <c r="E341" i="107"/>
  <c r="F341" i="107"/>
  <c r="G341" i="107"/>
  <c r="H341" i="107"/>
  <c r="A342" i="107"/>
  <c r="B342" i="107"/>
  <c r="C342" i="107"/>
  <c r="E342" i="107"/>
  <c r="F342" i="107"/>
  <c r="G342" i="107"/>
  <c r="H342" i="107"/>
  <c r="A343" i="107"/>
  <c r="B343" i="107"/>
  <c r="C343" i="107"/>
  <c r="E343" i="107"/>
  <c r="F343" i="107"/>
  <c r="G343" i="107"/>
  <c r="H343" i="107"/>
  <c r="A344" i="107"/>
  <c r="B344" i="107"/>
  <c r="C344" i="107"/>
  <c r="E344" i="107"/>
  <c r="F344" i="107"/>
  <c r="G344" i="107"/>
  <c r="H344" i="107"/>
  <c r="A345" i="107"/>
  <c r="B345" i="107"/>
  <c r="C345" i="107"/>
  <c r="E345" i="107"/>
  <c r="F345" i="107"/>
  <c r="G345" i="107"/>
  <c r="H345" i="107"/>
  <c r="A346" i="107"/>
  <c r="B346" i="107"/>
  <c r="C346" i="107"/>
  <c r="E346" i="107"/>
  <c r="F346" i="107"/>
  <c r="G346" i="107"/>
  <c r="H346" i="107"/>
  <c r="A347" i="107"/>
  <c r="B347" i="107"/>
  <c r="C347" i="107"/>
  <c r="E347" i="107"/>
  <c r="F347" i="107"/>
  <c r="G347" i="107"/>
  <c r="H347" i="107"/>
  <c r="A348" i="107"/>
  <c r="B348" i="107"/>
  <c r="C348" i="107"/>
  <c r="E348" i="107"/>
  <c r="F348" i="107"/>
  <c r="G348" i="107"/>
  <c r="H348" i="107"/>
  <c r="A349" i="107"/>
  <c r="B349" i="107"/>
  <c r="C349" i="107"/>
  <c r="E349" i="107"/>
  <c r="F349" i="107"/>
  <c r="G349" i="107"/>
  <c r="H349" i="107"/>
  <c r="A350" i="107"/>
  <c r="B350" i="107"/>
  <c r="C350" i="107"/>
  <c r="E350" i="107"/>
  <c r="F350" i="107"/>
  <c r="G350" i="107"/>
  <c r="H350" i="107"/>
  <c r="A351" i="107"/>
  <c r="B351" i="107"/>
  <c r="C351" i="107"/>
  <c r="E351" i="107"/>
  <c r="F351" i="107"/>
  <c r="G351" i="107"/>
  <c r="H351" i="107"/>
  <c r="A352" i="107"/>
  <c r="B352" i="107"/>
  <c r="C352" i="107"/>
  <c r="D352" i="107"/>
  <c r="E352" i="107"/>
  <c r="F352" i="107"/>
  <c r="G352" i="107"/>
  <c r="H352" i="107"/>
  <c r="A353" i="107"/>
  <c r="B353" i="107"/>
  <c r="C353" i="107"/>
  <c r="D353" i="107"/>
  <c r="E353" i="107"/>
  <c r="G353" i="107"/>
  <c r="H353" i="107"/>
  <c r="A354" i="107"/>
  <c r="B354" i="107"/>
  <c r="C354" i="107"/>
  <c r="D354" i="107"/>
  <c r="E354" i="107"/>
  <c r="G354" i="107"/>
  <c r="H354" i="107"/>
  <c r="B3" i="107"/>
  <c r="C3" i="107"/>
  <c r="E3" i="107"/>
  <c r="F3" i="107"/>
  <c r="G3" i="107"/>
  <c r="H3" i="107"/>
  <c r="B36" i="61" l="1"/>
  <c r="E36" i="61" l="1"/>
  <c r="D36" i="61"/>
  <c r="B24" i="61"/>
  <c r="A4" i="106" l="1"/>
  <c r="B4" i="106"/>
  <c r="C4" i="106"/>
  <c r="E4" i="106"/>
  <c r="F4" i="106"/>
  <c r="G4" i="106"/>
  <c r="H4" i="106"/>
  <c r="A5" i="106"/>
  <c r="B5" i="106"/>
  <c r="C5" i="106"/>
  <c r="E5" i="106"/>
  <c r="F5" i="106"/>
  <c r="G5" i="106"/>
  <c r="H5" i="106"/>
  <c r="A6" i="106"/>
  <c r="B6" i="106"/>
  <c r="C6" i="106"/>
  <c r="E6" i="106"/>
  <c r="F6" i="106"/>
  <c r="G6" i="106"/>
  <c r="H6" i="106"/>
  <c r="A7" i="106"/>
  <c r="B7" i="106"/>
  <c r="C7" i="106"/>
  <c r="E7" i="106"/>
  <c r="F7" i="106"/>
  <c r="G7" i="106"/>
  <c r="H7" i="106"/>
  <c r="A8" i="106"/>
  <c r="B8" i="106"/>
  <c r="C8" i="106"/>
  <c r="E8" i="106"/>
  <c r="F8" i="106"/>
  <c r="G8" i="106"/>
  <c r="H8" i="106"/>
  <c r="A9" i="106"/>
  <c r="B9" i="106"/>
  <c r="C9" i="106"/>
  <c r="E9" i="106"/>
  <c r="F9" i="106"/>
  <c r="G9" i="106"/>
  <c r="H9" i="106"/>
  <c r="A10" i="106"/>
  <c r="B10" i="106"/>
  <c r="C10" i="106"/>
  <c r="E10" i="106"/>
  <c r="F10" i="106"/>
  <c r="G10" i="106"/>
  <c r="H10" i="106"/>
  <c r="A11" i="106"/>
  <c r="B11" i="106"/>
  <c r="C11" i="106"/>
  <c r="E11" i="106"/>
  <c r="F11" i="106"/>
  <c r="G11" i="106"/>
  <c r="H11" i="106"/>
  <c r="A12" i="106"/>
  <c r="B12" i="106"/>
  <c r="C12" i="106"/>
  <c r="E12" i="106"/>
  <c r="F12" i="106"/>
  <c r="G12" i="106"/>
  <c r="H12" i="106"/>
  <c r="A13" i="106"/>
  <c r="B13" i="106"/>
  <c r="C13" i="106"/>
  <c r="E13" i="106"/>
  <c r="F13" i="106"/>
  <c r="G13" i="106"/>
  <c r="H13" i="106"/>
  <c r="A14" i="106"/>
  <c r="B14" i="106"/>
  <c r="C14" i="106"/>
  <c r="E14" i="106"/>
  <c r="F14" i="106"/>
  <c r="G14" i="106"/>
  <c r="H14" i="106"/>
  <c r="A15" i="106"/>
  <c r="B15" i="106"/>
  <c r="C15" i="106"/>
  <c r="E15" i="106"/>
  <c r="F15" i="106"/>
  <c r="G15" i="106"/>
  <c r="H15" i="106"/>
  <c r="A16" i="106"/>
  <c r="B16" i="106"/>
  <c r="C16" i="106"/>
  <c r="E16" i="106"/>
  <c r="F16" i="106"/>
  <c r="G16" i="106"/>
  <c r="H16" i="106"/>
  <c r="A17" i="106"/>
  <c r="B17" i="106"/>
  <c r="C17" i="106"/>
  <c r="E17" i="106"/>
  <c r="F17" i="106"/>
  <c r="G17" i="106"/>
  <c r="H17" i="106"/>
  <c r="A18" i="106"/>
  <c r="B18" i="106"/>
  <c r="C18" i="106"/>
  <c r="E18" i="106"/>
  <c r="F18" i="106"/>
  <c r="G18" i="106"/>
  <c r="H18" i="106"/>
  <c r="A19" i="106"/>
  <c r="B19" i="106"/>
  <c r="C19" i="106"/>
  <c r="E19" i="106"/>
  <c r="F19" i="106"/>
  <c r="G19" i="106"/>
  <c r="H19" i="106"/>
  <c r="A20" i="106"/>
  <c r="B20" i="106"/>
  <c r="C20" i="106"/>
  <c r="E20" i="106"/>
  <c r="F20" i="106"/>
  <c r="G20" i="106"/>
  <c r="H20" i="106"/>
  <c r="A21" i="106"/>
  <c r="B21" i="106"/>
  <c r="C21" i="106"/>
  <c r="E21" i="106"/>
  <c r="F21" i="106"/>
  <c r="G21" i="106"/>
  <c r="H21" i="106"/>
  <c r="A22" i="106"/>
  <c r="B22" i="106"/>
  <c r="C22" i="106"/>
  <c r="E22" i="106"/>
  <c r="F22" i="106"/>
  <c r="G22" i="106"/>
  <c r="H22" i="106"/>
  <c r="A23" i="106"/>
  <c r="B23" i="106"/>
  <c r="C23" i="106"/>
  <c r="E23" i="106"/>
  <c r="F23" i="106"/>
  <c r="G23" i="106"/>
  <c r="H23" i="106"/>
  <c r="A24" i="106"/>
  <c r="B24" i="106"/>
  <c r="C24" i="106"/>
  <c r="E24" i="106"/>
  <c r="F24" i="106"/>
  <c r="G24" i="106"/>
  <c r="H24" i="106"/>
  <c r="A25" i="106"/>
  <c r="B25" i="106"/>
  <c r="C25" i="106"/>
  <c r="E25" i="106"/>
  <c r="F25" i="106"/>
  <c r="G25" i="106"/>
  <c r="H25" i="106"/>
  <c r="A26" i="106"/>
  <c r="B26" i="106"/>
  <c r="C26" i="106"/>
  <c r="E26" i="106"/>
  <c r="F26" i="106"/>
  <c r="G26" i="106"/>
  <c r="H26" i="106"/>
  <c r="A27" i="106"/>
  <c r="B27" i="106"/>
  <c r="C27" i="106"/>
  <c r="E27" i="106"/>
  <c r="F27" i="106"/>
  <c r="G27" i="106"/>
  <c r="H27" i="106"/>
  <c r="A28" i="106"/>
  <c r="B28" i="106"/>
  <c r="C28" i="106"/>
  <c r="E28" i="106"/>
  <c r="F28" i="106"/>
  <c r="G28" i="106"/>
  <c r="H28" i="106"/>
  <c r="A29" i="106"/>
  <c r="B29" i="106"/>
  <c r="C29" i="106"/>
  <c r="E29" i="106"/>
  <c r="F29" i="106"/>
  <c r="G29" i="106"/>
  <c r="H29" i="106"/>
  <c r="A30" i="106"/>
  <c r="B30" i="106"/>
  <c r="C30" i="106"/>
  <c r="E30" i="106"/>
  <c r="F30" i="106"/>
  <c r="G30" i="106"/>
  <c r="H30" i="106"/>
  <c r="A31" i="106"/>
  <c r="B31" i="106"/>
  <c r="C31" i="106"/>
  <c r="E31" i="106"/>
  <c r="F31" i="106"/>
  <c r="G31" i="106"/>
  <c r="H31" i="106"/>
  <c r="A32" i="106"/>
  <c r="B32" i="106"/>
  <c r="C32" i="106"/>
  <c r="E32" i="106"/>
  <c r="F32" i="106"/>
  <c r="G32" i="106"/>
  <c r="H32" i="106"/>
  <c r="A33" i="106"/>
  <c r="B33" i="106"/>
  <c r="C33" i="106"/>
  <c r="E33" i="106"/>
  <c r="F33" i="106"/>
  <c r="G33" i="106"/>
  <c r="H33" i="106"/>
  <c r="A34" i="106"/>
  <c r="B34" i="106"/>
  <c r="C34" i="106"/>
  <c r="E34" i="106"/>
  <c r="F34" i="106"/>
  <c r="G34" i="106"/>
  <c r="H34" i="106"/>
  <c r="A35" i="106"/>
  <c r="B35" i="106"/>
  <c r="C35" i="106"/>
  <c r="E35" i="106"/>
  <c r="F35" i="106"/>
  <c r="G35" i="106"/>
  <c r="H35" i="106"/>
  <c r="A36" i="106"/>
  <c r="B36" i="106"/>
  <c r="C36" i="106"/>
  <c r="E36" i="106"/>
  <c r="F36" i="106"/>
  <c r="G36" i="106"/>
  <c r="H36" i="106"/>
  <c r="A37" i="106"/>
  <c r="B37" i="106"/>
  <c r="C37" i="106"/>
  <c r="E37" i="106"/>
  <c r="F37" i="106"/>
  <c r="G37" i="106"/>
  <c r="H37" i="106"/>
  <c r="A38" i="106"/>
  <c r="B38" i="106"/>
  <c r="C38" i="106"/>
  <c r="E38" i="106"/>
  <c r="F38" i="106"/>
  <c r="G38" i="106"/>
  <c r="H38" i="106"/>
  <c r="A39" i="106"/>
  <c r="B39" i="106"/>
  <c r="C39" i="106"/>
  <c r="E39" i="106"/>
  <c r="F39" i="106"/>
  <c r="G39" i="106"/>
  <c r="H39" i="106"/>
  <c r="A40" i="106"/>
  <c r="B40" i="106"/>
  <c r="C40" i="106"/>
  <c r="E40" i="106"/>
  <c r="F40" i="106"/>
  <c r="G40" i="106"/>
  <c r="H40" i="106"/>
  <c r="A41" i="106"/>
  <c r="B41" i="106"/>
  <c r="C41" i="106"/>
  <c r="E41" i="106"/>
  <c r="F41" i="106"/>
  <c r="G41" i="106"/>
  <c r="H41" i="106"/>
  <c r="A42" i="106"/>
  <c r="B42" i="106"/>
  <c r="C42" i="106"/>
  <c r="E42" i="106"/>
  <c r="F42" i="106"/>
  <c r="G42" i="106"/>
  <c r="H42" i="106"/>
  <c r="A43" i="106"/>
  <c r="B43" i="106"/>
  <c r="C43" i="106"/>
  <c r="E43" i="106"/>
  <c r="F43" i="106"/>
  <c r="G43" i="106"/>
  <c r="H43" i="106"/>
  <c r="A44" i="106"/>
  <c r="B44" i="106"/>
  <c r="C44" i="106"/>
  <c r="E44" i="106"/>
  <c r="F44" i="106"/>
  <c r="G44" i="106"/>
  <c r="H44" i="106"/>
  <c r="A45" i="106"/>
  <c r="B45" i="106"/>
  <c r="C45" i="106"/>
  <c r="E45" i="106"/>
  <c r="F45" i="106"/>
  <c r="G45" i="106"/>
  <c r="H45" i="106"/>
  <c r="A46" i="106"/>
  <c r="B46" i="106"/>
  <c r="C46" i="106"/>
  <c r="E46" i="106"/>
  <c r="F46" i="106"/>
  <c r="G46" i="106"/>
  <c r="H46" i="106"/>
  <c r="A47" i="106"/>
  <c r="B47" i="106"/>
  <c r="C47" i="106"/>
  <c r="E47" i="106"/>
  <c r="F47" i="106"/>
  <c r="G47" i="106"/>
  <c r="H47" i="106"/>
  <c r="A48" i="106"/>
  <c r="B48" i="106"/>
  <c r="C48" i="106"/>
  <c r="E48" i="106"/>
  <c r="F48" i="106"/>
  <c r="G48" i="106"/>
  <c r="H48" i="106"/>
  <c r="A49" i="106"/>
  <c r="B49" i="106"/>
  <c r="C49" i="106"/>
  <c r="E49" i="106"/>
  <c r="F49" i="106"/>
  <c r="G49" i="106"/>
  <c r="H49" i="106"/>
  <c r="A50" i="106"/>
  <c r="B50" i="106"/>
  <c r="C50" i="106"/>
  <c r="E50" i="106"/>
  <c r="F50" i="106"/>
  <c r="G50" i="106"/>
  <c r="H50" i="106"/>
  <c r="A51" i="106"/>
  <c r="B51" i="106"/>
  <c r="C51" i="106"/>
  <c r="E51" i="106"/>
  <c r="F51" i="106"/>
  <c r="G51" i="106"/>
  <c r="H51" i="106"/>
  <c r="A52" i="106"/>
  <c r="B52" i="106"/>
  <c r="C52" i="106"/>
  <c r="E52" i="106"/>
  <c r="F52" i="106"/>
  <c r="G52" i="106"/>
  <c r="H52" i="106"/>
  <c r="A53" i="106"/>
  <c r="B53" i="106"/>
  <c r="C53" i="106"/>
  <c r="E53" i="106"/>
  <c r="F53" i="106"/>
  <c r="G53" i="106"/>
  <c r="H53" i="106"/>
  <c r="A54" i="106"/>
  <c r="B54" i="106"/>
  <c r="C54" i="106"/>
  <c r="E54" i="106"/>
  <c r="F54" i="106"/>
  <c r="G54" i="106"/>
  <c r="H54" i="106"/>
  <c r="A55" i="106"/>
  <c r="B55" i="106"/>
  <c r="C55" i="106"/>
  <c r="E55" i="106"/>
  <c r="F55" i="106"/>
  <c r="G55" i="106"/>
  <c r="H55" i="106"/>
  <c r="A56" i="106"/>
  <c r="B56" i="106"/>
  <c r="C56" i="106"/>
  <c r="E56" i="106"/>
  <c r="F56" i="106"/>
  <c r="G56" i="106"/>
  <c r="H56" i="106"/>
  <c r="A57" i="106"/>
  <c r="B57" i="106"/>
  <c r="C57" i="106"/>
  <c r="E57" i="106"/>
  <c r="F57" i="106"/>
  <c r="G57" i="106"/>
  <c r="H57" i="106"/>
  <c r="A58" i="106"/>
  <c r="B58" i="106"/>
  <c r="C58" i="106"/>
  <c r="E58" i="106"/>
  <c r="F58" i="106"/>
  <c r="G58" i="106"/>
  <c r="H58" i="106"/>
  <c r="A59" i="106"/>
  <c r="B59" i="106"/>
  <c r="C59" i="106"/>
  <c r="E59" i="106"/>
  <c r="F59" i="106"/>
  <c r="G59" i="106"/>
  <c r="H59" i="106"/>
  <c r="A60" i="106"/>
  <c r="B60" i="106"/>
  <c r="C60" i="106"/>
  <c r="E60" i="106"/>
  <c r="F60" i="106"/>
  <c r="G60" i="106"/>
  <c r="H60" i="106"/>
  <c r="A61" i="106"/>
  <c r="B61" i="106"/>
  <c r="C61" i="106"/>
  <c r="E61" i="106"/>
  <c r="F61" i="106"/>
  <c r="G61" i="106"/>
  <c r="H61" i="106"/>
  <c r="A62" i="106"/>
  <c r="B62" i="106"/>
  <c r="C62" i="106"/>
  <c r="E62" i="106"/>
  <c r="F62" i="106"/>
  <c r="G62" i="106"/>
  <c r="H62" i="106"/>
  <c r="A63" i="106"/>
  <c r="B63" i="106"/>
  <c r="C63" i="106"/>
  <c r="E63" i="106"/>
  <c r="F63" i="106"/>
  <c r="G63" i="106"/>
  <c r="H63" i="106"/>
  <c r="A64" i="106"/>
  <c r="B64" i="106"/>
  <c r="C64" i="106"/>
  <c r="E64" i="106"/>
  <c r="F64" i="106"/>
  <c r="G64" i="106"/>
  <c r="H64" i="106"/>
  <c r="A65" i="106"/>
  <c r="B65" i="106"/>
  <c r="C65" i="106"/>
  <c r="E65" i="106"/>
  <c r="F65" i="106"/>
  <c r="G65" i="106"/>
  <c r="H65" i="106"/>
  <c r="A66" i="106"/>
  <c r="B66" i="106"/>
  <c r="C66" i="106"/>
  <c r="E66" i="106"/>
  <c r="F66" i="106"/>
  <c r="G66" i="106"/>
  <c r="H66" i="106"/>
  <c r="A67" i="106"/>
  <c r="B67" i="106"/>
  <c r="C67" i="106"/>
  <c r="E67" i="106"/>
  <c r="F67" i="106"/>
  <c r="G67" i="106"/>
  <c r="H67" i="106"/>
  <c r="A68" i="106"/>
  <c r="B68" i="106"/>
  <c r="C68" i="106"/>
  <c r="E68" i="106"/>
  <c r="F68" i="106"/>
  <c r="G68" i="106"/>
  <c r="H68" i="106"/>
  <c r="A69" i="106"/>
  <c r="B69" i="106"/>
  <c r="C69" i="106"/>
  <c r="E69" i="106"/>
  <c r="F69" i="106"/>
  <c r="G69" i="106"/>
  <c r="H69" i="106"/>
  <c r="A70" i="106"/>
  <c r="B70" i="106"/>
  <c r="C70" i="106"/>
  <c r="E70" i="106"/>
  <c r="F70" i="106"/>
  <c r="G70" i="106"/>
  <c r="H70" i="106"/>
  <c r="A71" i="106"/>
  <c r="B71" i="106"/>
  <c r="C71" i="106"/>
  <c r="E71" i="106"/>
  <c r="F71" i="106"/>
  <c r="G71" i="106"/>
  <c r="H71" i="106"/>
  <c r="A72" i="106"/>
  <c r="B72" i="106"/>
  <c r="C72" i="106"/>
  <c r="E72" i="106"/>
  <c r="F72" i="106"/>
  <c r="G72" i="106"/>
  <c r="H72" i="106"/>
  <c r="A73" i="106"/>
  <c r="B73" i="106"/>
  <c r="C73" i="106"/>
  <c r="E73" i="106"/>
  <c r="F73" i="106"/>
  <c r="G73" i="106"/>
  <c r="H73" i="106"/>
  <c r="A74" i="106"/>
  <c r="B74" i="106"/>
  <c r="C74" i="106"/>
  <c r="E74" i="106"/>
  <c r="F74" i="106"/>
  <c r="G74" i="106"/>
  <c r="H74" i="106"/>
  <c r="A75" i="106"/>
  <c r="B75" i="106"/>
  <c r="C75" i="106"/>
  <c r="E75" i="106"/>
  <c r="F75" i="106"/>
  <c r="G75" i="106"/>
  <c r="H75" i="106"/>
  <c r="A76" i="106"/>
  <c r="B76" i="106"/>
  <c r="C76" i="106"/>
  <c r="E76" i="106"/>
  <c r="F76" i="106"/>
  <c r="G76" i="106"/>
  <c r="H76" i="106"/>
  <c r="A77" i="106"/>
  <c r="B77" i="106"/>
  <c r="C77" i="106"/>
  <c r="E77" i="106"/>
  <c r="F77" i="106"/>
  <c r="G77" i="106"/>
  <c r="H77" i="106"/>
  <c r="A78" i="106"/>
  <c r="B78" i="106"/>
  <c r="C78" i="106"/>
  <c r="E78" i="106"/>
  <c r="F78" i="106"/>
  <c r="G78" i="106"/>
  <c r="H78" i="106"/>
  <c r="A79" i="106"/>
  <c r="B79" i="106"/>
  <c r="C79" i="106"/>
  <c r="E79" i="106"/>
  <c r="F79" i="106"/>
  <c r="G79" i="106"/>
  <c r="H79" i="106"/>
  <c r="A80" i="106"/>
  <c r="B80" i="106"/>
  <c r="C80" i="106"/>
  <c r="E80" i="106"/>
  <c r="F80" i="106"/>
  <c r="G80" i="106"/>
  <c r="H80" i="106"/>
  <c r="A81" i="106"/>
  <c r="B81" i="106"/>
  <c r="C81" i="106"/>
  <c r="E81" i="106"/>
  <c r="F81" i="106"/>
  <c r="G81" i="106"/>
  <c r="H81" i="106"/>
  <c r="A82" i="106"/>
  <c r="B82" i="106"/>
  <c r="C82" i="106"/>
  <c r="E82" i="106"/>
  <c r="F82" i="106"/>
  <c r="G82" i="106"/>
  <c r="H82" i="106"/>
  <c r="A83" i="106"/>
  <c r="B83" i="106"/>
  <c r="C83" i="106"/>
  <c r="E83" i="106"/>
  <c r="F83" i="106"/>
  <c r="G83" i="106"/>
  <c r="H83" i="106"/>
  <c r="A84" i="106"/>
  <c r="B84" i="106"/>
  <c r="C84" i="106"/>
  <c r="E84" i="106"/>
  <c r="F84" i="106"/>
  <c r="G84" i="106"/>
  <c r="H84" i="106"/>
  <c r="A85" i="106"/>
  <c r="B85" i="106"/>
  <c r="C85" i="106"/>
  <c r="E85" i="106"/>
  <c r="F85" i="106"/>
  <c r="G85" i="106"/>
  <c r="H85" i="106"/>
  <c r="A86" i="106"/>
  <c r="B86" i="106"/>
  <c r="C86" i="106"/>
  <c r="E86" i="106"/>
  <c r="F86" i="106"/>
  <c r="G86" i="106"/>
  <c r="H86" i="106"/>
  <c r="A87" i="106"/>
  <c r="B87" i="106"/>
  <c r="C87" i="106"/>
  <c r="E87" i="106"/>
  <c r="F87" i="106"/>
  <c r="G87" i="106"/>
  <c r="H87" i="106"/>
  <c r="A88" i="106"/>
  <c r="B88" i="106"/>
  <c r="C88" i="106"/>
  <c r="E88" i="106"/>
  <c r="F88" i="106"/>
  <c r="G88" i="106"/>
  <c r="H88" i="106"/>
  <c r="A89" i="106"/>
  <c r="B89" i="106"/>
  <c r="C89" i="106"/>
  <c r="E89" i="106"/>
  <c r="F89" i="106"/>
  <c r="G89" i="106"/>
  <c r="H89" i="106"/>
  <c r="A90" i="106"/>
  <c r="B90" i="106"/>
  <c r="C90" i="106"/>
  <c r="E90" i="106"/>
  <c r="F90" i="106"/>
  <c r="G90" i="106"/>
  <c r="H90" i="106"/>
  <c r="A91" i="106"/>
  <c r="B91" i="106"/>
  <c r="C91" i="106"/>
  <c r="E91" i="106"/>
  <c r="F91" i="106"/>
  <c r="G91" i="106"/>
  <c r="H91" i="106"/>
  <c r="A92" i="106"/>
  <c r="B92" i="106"/>
  <c r="C92" i="106"/>
  <c r="E92" i="106"/>
  <c r="F92" i="106"/>
  <c r="G92" i="106"/>
  <c r="H92" i="106"/>
  <c r="A93" i="106"/>
  <c r="B93" i="106"/>
  <c r="C93" i="106"/>
  <c r="E93" i="106"/>
  <c r="F93" i="106"/>
  <c r="G93" i="106"/>
  <c r="H93" i="106"/>
  <c r="A94" i="106"/>
  <c r="B94" i="106"/>
  <c r="C94" i="106"/>
  <c r="E94" i="106"/>
  <c r="F94" i="106"/>
  <c r="G94" i="106"/>
  <c r="H94" i="106"/>
  <c r="A95" i="106"/>
  <c r="B95" i="106"/>
  <c r="C95" i="106"/>
  <c r="E95" i="106"/>
  <c r="F95" i="106"/>
  <c r="G95" i="106"/>
  <c r="H95" i="106"/>
  <c r="A96" i="106"/>
  <c r="B96" i="106"/>
  <c r="C96" i="106"/>
  <c r="E96" i="106"/>
  <c r="F96" i="106"/>
  <c r="G96" i="106"/>
  <c r="H96" i="106"/>
  <c r="A97" i="106"/>
  <c r="B97" i="106"/>
  <c r="C97" i="106"/>
  <c r="E97" i="106"/>
  <c r="F97" i="106"/>
  <c r="G97" i="106"/>
  <c r="H97" i="106"/>
  <c r="A98" i="106"/>
  <c r="B98" i="106"/>
  <c r="C98" i="106"/>
  <c r="E98" i="106"/>
  <c r="F98" i="106"/>
  <c r="G98" i="106"/>
  <c r="H98" i="106"/>
  <c r="A99" i="106"/>
  <c r="B99" i="106"/>
  <c r="C99" i="106"/>
  <c r="E99" i="106"/>
  <c r="F99" i="106"/>
  <c r="G99" i="106"/>
  <c r="H99" i="106"/>
  <c r="A100" i="106"/>
  <c r="B100" i="106"/>
  <c r="C100" i="106"/>
  <c r="E100" i="106"/>
  <c r="F100" i="106"/>
  <c r="G100" i="106"/>
  <c r="H100" i="106"/>
  <c r="A101" i="106"/>
  <c r="B101" i="106"/>
  <c r="C101" i="106"/>
  <c r="E101" i="106"/>
  <c r="F101" i="106"/>
  <c r="G101" i="106"/>
  <c r="H101" i="106"/>
  <c r="A102" i="106"/>
  <c r="B102" i="106"/>
  <c r="C102" i="106"/>
  <c r="E102" i="106"/>
  <c r="F102" i="106"/>
  <c r="G102" i="106"/>
  <c r="H102" i="106"/>
  <c r="A103" i="106"/>
  <c r="B103" i="106"/>
  <c r="C103" i="106"/>
  <c r="E103" i="106"/>
  <c r="F103" i="106"/>
  <c r="G103" i="106"/>
  <c r="H103" i="106"/>
  <c r="A104" i="106"/>
  <c r="B104" i="106"/>
  <c r="C104" i="106"/>
  <c r="E104" i="106"/>
  <c r="F104" i="106"/>
  <c r="G104" i="106"/>
  <c r="H104" i="106"/>
  <c r="A105" i="106"/>
  <c r="B105" i="106"/>
  <c r="C105" i="106"/>
  <c r="E105" i="106"/>
  <c r="F105" i="106"/>
  <c r="G105" i="106"/>
  <c r="H105" i="106"/>
  <c r="A106" i="106"/>
  <c r="B106" i="106"/>
  <c r="C106" i="106"/>
  <c r="E106" i="106"/>
  <c r="F106" i="106"/>
  <c r="G106" i="106"/>
  <c r="H106" i="106"/>
  <c r="A107" i="106"/>
  <c r="B107" i="106"/>
  <c r="C107" i="106"/>
  <c r="E107" i="106"/>
  <c r="F107" i="106"/>
  <c r="G107" i="106"/>
  <c r="H107" i="106"/>
  <c r="A108" i="106"/>
  <c r="B108" i="106"/>
  <c r="C108" i="106"/>
  <c r="E108" i="106"/>
  <c r="F108" i="106"/>
  <c r="G108" i="106"/>
  <c r="H108" i="106"/>
  <c r="A109" i="106"/>
  <c r="B109" i="106"/>
  <c r="C109" i="106"/>
  <c r="E109" i="106"/>
  <c r="F109" i="106"/>
  <c r="G109" i="106"/>
  <c r="H109" i="106"/>
  <c r="A110" i="106"/>
  <c r="B110" i="106"/>
  <c r="C110" i="106"/>
  <c r="E110" i="106"/>
  <c r="F110" i="106"/>
  <c r="G110" i="106"/>
  <c r="H110" i="106"/>
  <c r="A111" i="106"/>
  <c r="B111" i="106"/>
  <c r="C111" i="106"/>
  <c r="E111" i="106"/>
  <c r="F111" i="106"/>
  <c r="G111" i="106"/>
  <c r="H111" i="106"/>
  <c r="A112" i="106"/>
  <c r="B112" i="106"/>
  <c r="C112" i="106"/>
  <c r="E112" i="106"/>
  <c r="F112" i="106"/>
  <c r="G112" i="106"/>
  <c r="H112" i="106"/>
  <c r="A113" i="106"/>
  <c r="B113" i="106"/>
  <c r="C113" i="106"/>
  <c r="E113" i="106"/>
  <c r="F113" i="106"/>
  <c r="G113" i="106"/>
  <c r="H113" i="106"/>
  <c r="A114" i="106"/>
  <c r="B114" i="106"/>
  <c r="C114" i="106"/>
  <c r="E114" i="106"/>
  <c r="F114" i="106"/>
  <c r="G114" i="106"/>
  <c r="H114" i="106"/>
  <c r="A115" i="106"/>
  <c r="B115" i="106"/>
  <c r="C115" i="106"/>
  <c r="E115" i="106"/>
  <c r="F115" i="106"/>
  <c r="G115" i="106"/>
  <c r="H115" i="106"/>
  <c r="A116" i="106"/>
  <c r="B116" i="106"/>
  <c r="C116" i="106"/>
  <c r="E116" i="106"/>
  <c r="F116" i="106"/>
  <c r="G116" i="106"/>
  <c r="H116" i="106"/>
  <c r="A117" i="106"/>
  <c r="B117" i="106"/>
  <c r="C117" i="106"/>
  <c r="E117" i="106"/>
  <c r="F117" i="106"/>
  <c r="G117" i="106"/>
  <c r="H117" i="106"/>
  <c r="A118" i="106"/>
  <c r="B118" i="106"/>
  <c r="C118" i="106"/>
  <c r="E118" i="106"/>
  <c r="F118" i="106"/>
  <c r="G118" i="106"/>
  <c r="H118" i="106"/>
  <c r="A119" i="106"/>
  <c r="B119" i="106"/>
  <c r="C119" i="106"/>
  <c r="E119" i="106"/>
  <c r="F119" i="106"/>
  <c r="G119" i="106"/>
  <c r="H119" i="106"/>
  <c r="A120" i="106"/>
  <c r="B120" i="106"/>
  <c r="C120" i="106"/>
  <c r="E120" i="106"/>
  <c r="F120" i="106"/>
  <c r="G120" i="106"/>
  <c r="H120" i="106"/>
  <c r="A121" i="106"/>
  <c r="B121" i="106"/>
  <c r="C121" i="106"/>
  <c r="E121" i="106"/>
  <c r="F121" i="106"/>
  <c r="G121" i="106"/>
  <c r="H121" i="106"/>
  <c r="A122" i="106"/>
  <c r="B122" i="106"/>
  <c r="C122" i="106"/>
  <c r="E122" i="106"/>
  <c r="F122" i="106"/>
  <c r="G122" i="106"/>
  <c r="H122" i="106"/>
  <c r="A123" i="106"/>
  <c r="B123" i="106"/>
  <c r="C123" i="106"/>
  <c r="E123" i="106"/>
  <c r="F123" i="106"/>
  <c r="G123" i="106"/>
  <c r="H123" i="106"/>
  <c r="A124" i="106"/>
  <c r="B124" i="106"/>
  <c r="C124" i="106"/>
  <c r="E124" i="106"/>
  <c r="F124" i="106"/>
  <c r="G124" i="106"/>
  <c r="H124" i="106"/>
  <c r="A125" i="106"/>
  <c r="B125" i="106"/>
  <c r="C125" i="106"/>
  <c r="E125" i="106"/>
  <c r="F125" i="106"/>
  <c r="G125" i="106"/>
  <c r="H125" i="106"/>
  <c r="A126" i="106"/>
  <c r="B126" i="106"/>
  <c r="C126" i="106"/>
  <c r="E126" i="106"/>
  <c r="F126" i="106"/>
  <c r="G126" i="106"/>
  <c r="H126" i="106"/>
  <c r="A127" i="106"/>
  <c r="B127" i="106"/>
  <c r="C127" i="106"/>
  <c r="E127" i="106"/>
  <c r="F127" i="106"/>
  <c r="G127" i="106"/>
  <c r="H127" i="106"/>
  <c r="A128" i="106"/>
  <c r="B128" i="106"/>
  <c r="C128" i="106"/>
  <c r="E128" i="106"/>
  <c r="F128" i="106"/>
  <c r="G128" i="106"/>
  <c r="H128" i="106"/>
  <c r="A129" i="106"/>
  <c r="B129" i="106"/>
  <c r="C129" i="106"/>
  <c r="E129" i="106"/>
  <c r="F129" i="106"/>
  <c r="G129" i="106"/>
  <c r="H129" i="106"/>
  <c r="A130" i="106"/>
  <c r="B130" i="106"/>
  <c r="C130" i="106"/>
  <c r="E130" i="106"/>
  <c r="F130" i="106"/>
  <c r="G130" i="106"/>
  <c r="H130" i="106"/>
  <c r="A131" i="106"/>
  <c r="B131" i="106"/>
  <c r="C131" i="106"/>
  <c r="E131" i="106"/>
  <c r="F131" i="106"/>
  <c r="G131" i="106"/>
  <c r="H131" i="106"/>
  <c r="A132" i="106"/>
  <c r="B132" i="106"/>
  <c r="C132" i="106"/>
  <c r="E132" i="106"/>
  <c r="F132" i="106"/>
  <c r="G132" i="106"/>
  <c r="H132" i="106"/>
  <c r="A133" i="106"/>
  <c r="B133" i="106"/>
  <c r="C133" i="106"/>
  <c r="E133" i="106"/>
  <c r="F133" i="106"/>
  <c r="G133" i="106"/>
  <c r="H133" i="106"/>
  <c r="A134" i="106"/>
  <c r="B134" i="106"/>
  <c r="C134" i="106"/>
  <c r="E134" i="106"/>
  <c r="F134" i="106"/>
  <c r="G134" i="106"/>
  <c r="H134" i="106"/>
  <c r="A135" i="106"/>
  <c r="B135" i="106"/>
  <c r="C135" i="106"/>
  <c r="E135" i="106"/>
  <c r="F135" i="106"/>
  <c r="G135" i="106"/>
  <c r="H135" i="106"/>
  <c r="A136" i="106"/>
  <c r="B136" i="106"/>
  <c r="C136" i="106"/>
  <c r="E136" i="106"/>
  <c r="F136" i="106"/>
  <c r="G136" i="106"/>
  <c r="H136" i="106"/>
  <c r="A137" i="106"/>
  <c r="B137" i="106"/>
  <c r="C137" i="106"/>
  <c r="E137" i="106"/>
  <c r="F137" i="106"/>
  <c r="G137" i="106"/>
  <c r="H137" i="106"/>
  <c r="A138" i="106"/>
  <c r="B138" i="106"/>
  <c r="C138" i="106"/>
  <c r="E138" i="106"/>
  <c r="F138" i="106"/>
  <c r="G138" i="106"/>
  <c r="H138" i="106"/>
  <c r="A139" i="106"/>
  <c r="B139" i="106"/>
  <c r="C139" i="106"/>
  <c r="E139" i="106"/>
  <c r="F139" i="106"/>
  <c r="G139" i="106"/>
  <c r="H139" i="106"/>
  <c r="A140" i="106"/>
  <c r="B140" i="106"/>
  <c r="C140" i="106"/>
  <c r="E140" i="106"/>
  <c r="F140" i="106"/>
  <c r="G140" i="106"/>
  <c r="H140" i="106"/>
  <c r="A141" i="106"/>
  <c r="B141" i="106"/>
  <c r="C141" i="106"/>
  <c r="E141" i="106"/>
  <c r="F141" i="106"/>
  <c r="G141" i="106"/>
  <c r="H141" i="106"/>
  <c r="A142" i="106"/>
  <c r="B142" i="106"/>
  <c r="C142" i="106"/>
  <c r="E142" i="106"/>
  <c r="F142" i="106"/>
  <c r="G142" i="106"/>
  <c r="H142" i="106"/>
  <c r="A143" i="106"/>
  <c r="B143" i="106"/>
  <c r="C143" i="106"/>
  <c r="E143" i="106"/>
  <c r="F143" i="106"/>
  <c r="G143" i="106"/>
  <c r="H143" i="106"/>
  <c r="A144" i="106"/>
  <c r="B144" i="106"/>
  <c r="C144" i="106"/>
  <c r="E144" i="106"/>
  <c r="F144" i="106"/>
  <c r="G144" i="106"/>
  <c r="H144" i="106"/>
  <c r="A145" i="106"/>
  <c r="B145" i="106"/>
  <c r="C145" i="106"/>
  <c r="E145" i="106"/>
  <c r="F145" i="106"/>
  <c r="G145" i="106"/>
  <c r="H145" i="106"/>
  <c r="A146" i="106"/>
  <c r="B146" i="106"/>
  <c r="C146" i="106"/>
  <c r="E146" i="106"/>
  <c r="F146" i="106"/>
  <c r="G146" i="106"/>
  <c r="H146" i="106"/>
  <c r="A147" i="106"/>
  <c r="B147" i="106"/>
  <c r="C147" i="106"/>
  <c r="E147" i="106"/>
  <c r="F147" i="106"/>
  <c r="G147" i="106"/>
  <c r="H147" i="106"/>
  <c r="A148" i="106"/>
  <c r="B148" i="106"/>
  <c r="C148" i="106"/>
  <c r="E148" i="106"/>
  <c r="F148" i="106"/>
  <c r="G148" i="106"/>
  <c r="H148" i="106"/>
  <c r="A149" i="106"/>
  <c r="B149" i="106"/>
  <c r="C149" i="106"/>
  <c r="E149" i="106"/>
  <c r="F149" i="106"/>
  <c r="G149" i="106"/>
  <c r="H149" i="106"/>
  <c r="A150" i="106"/>
  <c r="B150" i="106"/>
  <c r="C150" i="106"/>
  <c r="E150" i="106"/>
  <c r="F150" i="106"/>
  <c r="G150" i="106"/>
  <c r="H150" i="106"/>
  <c r="A151" i="106"/>
  <c r="B151" i="106"/>
  <c r="C151" i="106"/>
  <c r="E151" i="106"/>
  <c r="F151" i="106"/>
  <c r="G151" i="106"/>
  <c r="H151" i="106"/>
  <c r="A152" i="106"/>
  <c r="B152" i="106"/>
  <c r="C152" i="106"/>
  <c r="E152" i="106"/>
  <c r="F152" i="106"/>
  <c r="G152" i="106"/>
  <c r="H152" i="106"/>
  <c r="A153" i="106"/>
  <c r="B153" i="106"/>
  <c r="C153" i="106"/>
  <c r="E153" i="106"/>
  <c r="F153" i="106"/>
  <c r="G153" i="106"/>
  <c r="H153" i="106"/>
  <c r="A154" i="106"/>
  <c r="B154" i="106"/>
  <c r="C154" i="106"/>
  <c r="E154" i="106"/>
  <c r="F154" i="106"/>
  <c r="G154" i="106"/>
  <c r="H154" i="106"/>
  <c r="A155" i="106"/>
  <c r="B155" i="106"/>
  <c r="C155" i="106"/>
  <c r="E155" i="106"/>
  <c r="F155" i="106"/>
  <c r="G155" i="106"/>
  <c r="H155" i="106"/>
  <c r="A156" i="106"/>
  <c r="B156" i="106"/>
  <c r="C156" i="106"/>
  <c r="E156" i="106"/>
  <c r="F156" i="106"/>
  <c r="G156" i="106"/>
  <c r="H156" i="106"/>
  <c r="A157" i="106"/>
  <c r="B157" i="106"/>
  <c r="C157" i="106"/>
  <c r="E157" i="106"/>
  <c r="F157" i="106"/>
  <c r="G157" i="106"/>
  <c r="H157" i="106"/>
  <c r="A158" i="106"/>
  <c r="B158" i="106"/>
  <c r="C158" i="106"/>
  <c r="E158" i="106"/>
  <c r="F158" i="106"/>
  <c r="G158" i="106"/>
  <c r="H158" i="106"/>
  <c r="A159" i="106"/>
  <c r="B159" i="106"/>
  <c r="C159" i="106"/>
  <c r="E159" i="106"/>
  <c r="F159" i="106"/>
  <c r="G159" i="106"/>
  <c r="H159" i="106"/>
  <c r="A160" i="106"/>
  <c r="B160" i="106"/>
  <c r="C160" i="106"/>
  <c r="E160" i="106"/>
  <c r="F160" i="106"/>
  <c r="G160" i="106"/>
  <c r="H160" i="106"/>
  <c r="A161" i="106"/>
  <c r="B161" i="106"/>
  <c r="C161" i="106"/>
  <c r="E161" i="106"/>
  <c r="F161" i="106"/>
  <c r="G161" i="106"/>
  <c r="H161" i="106"/>
  <c r="A162" i="106"/>
  <c r="B162" i="106"/>
  <c r="C162" i="106"/>
  <c r="E162" i="106"/>
  <c r="F162" i="106"/>
  <c r="G162" i="106"/>
  <c r="H162" i="106"/>
  <c r="A163" i="106"/>
  <c r="B163" i="106"/>
  <c r="C163" i="106"/>
  <c r="E163" i="106"/>
  <c r="F163" i="106"/>
  <c r="G163" i="106"/>
  <c r="H163" i="106"/>
  <c r="A164" i="106"/>
  <c r="B164" i="106"/>
  <c r="C164" i="106"/>
  <c r="E164" i="106"/>
  <c r="F164" i="106"/>
  <c r="G164" i="106"/>
  <c r="H164" i="106"/>
  <c r="A165" i="106"/>
  <c r="B165" i="106"/>
  <c r="C165" i="106"/>
  <c r="E165" i="106"/>
  <c r="F165" i="106"/>
  <c r="G165" i="106"/>
  <c r="H165" i="106"/>
  <c r="A166" i="106"/>
  <c r="B166" i="106"/>
  <c r="C166" i="106"/>
  <c r="E166" i="106"/>
  <c r="F166" i="106"/>
  <c r="G166" i="106"/>
  <c r="H166" i="106"/>
  <c r="A167" i="106"/>
  <c r="B167" i="106"/>
  <c r="C167" i="106"/>
  <c r="E167" i="106"/>
  <c r="F167" i="106"/>
  <c r="G167" i="106"/>
  <c r="H167" i="106"/>
  <c r="A168" i="106"/>
  <c r="B168" i="106"/>
  <c r="C168" i="106"/>
  <c r="E168" i="106"/>
  <c r="F168" i="106"/>
  <c r="G168" i="106"/>
  <c r="H168" i="106"/>
  <c r="A169" i="106"/>
  <c r="B169" i="106"/>
  <c r="C169" i="106"/>
  <c r="E169" i="106"/>
  <c r="F169" i="106"/>
  <c r="G169" i="106"/>
  <c r="H169" i="106"/>
  <c r="A170" i="106"/>
  <c r="B170" i="106"/>
  <c r="C170" i="106"/>
  <c r="E170" i="106"/>
  <c r="F170" i="106"/>
  <c r="G170" i="106"/>
  <c r="H170" i="106"/>
  <c r="A171" i="106"/>
  <c r="B171" i="106"/>
  <c r="C171" i="106"/>
  <c r="E171" i="106"/>
  <c r="F171" i="106"/>
  <c r="G171" i="106"/>
  <c r="H171" i="106"/>
  <c r="A172" i="106"/>
  <c r="B172" i="106"/>
  <c r="C172" i="106"/>
  <c r="E172" i="106"/>
  <c r="F172" i="106"/>
  <c r="G172" i="106"/>
  <c r="H172" i="106"/>
  <c r="A173" i="106"/>
  <c r="B173" i="106"/>
  <c r="C173" i="106"/>
  <c r="E173" i="106"/>
  <c r="F173" i="106"/>
  <c r="G173" i="106"/>
  <c r="H173" i="106"/>
  <c r="A174" i="106"/>
  <c r="B174" i="106"/>
  <c r="C174" i="106"/>
  <c r="E174" i="106"/>
  <c r="F174" i="106"/>
  <c r="G174" i="106"/>
  <c r="H174" i="106"/>
  <c r="A175" i="106"/>
  <c r="B175" i="106"/>
  <c r="C175" i="106"/>
  <c r="E175" i="106"/>
  <c r="F175" i="106"/>
  <c r="G175" i="106"/>
  <c r="H175" i="106"/>
  <c r="A176" i="106"/>
  <c r="B176" i="106"/>
  <c r="C176" i="106"/>
  <c r="E176" i="106"/>
  <c r="F176" i="106"/>
  <c r="G176" i="106"/>
  <c r="H176" i="106"/>
  <c r="A177" i="106"/>
  <c r="B177" i="106"/>
  <c r="C177" i="106"/>
  <c r="E177" i="106"/>
  <c r="F177" i="106"/>
  <c r="G177" i="106"/>
  <c r="H177" i="106"/>
  <c r="A178" i="106"/>
  <c r="B178" i="106"/>
  <c r="C178" i="106"/>
  <c r="E178" i="106"/>
  <c r="F178" i="106"/>
  <c r="G178" i="106"/>
  <c r="H178" i="106"/>
  <c r="A179" i="106"/>
  <c r="B179" i="106"/>
  <c r="C179" i="106"/>
  <c r="E179" i="106"/>
  <c r="F179" i="106"/>
  <c r="G179" i="106"/>
  <c r="H179" i="106"/>
  <c r="A180" i="106"/>
  <c r="B180" i="106"/>
  <c r="C180" i="106"/>
  <c r="E180" i="106"/>
  <c r="F180" i="106"/>
  <c r="G180" i="106"/>
  <c r="H180" i="106"/>
  <c r="A181" i="106"/>
  <c r="B181" i="106"/>
  <c r="C181" i="106"/>
  <c r="E181" i="106"/>
  <c r="F181" i="106"/>
  <c r="G181" i="106"/>
  <c r="H181" i="106"/>
  <c r="A182" i="106"/>
  <c r="B182" i="106"/>
  <c r="C182" i="106"/>
  <c r="E182" i="106"/>
  <c r="F182" i="106"/>
  <c r="G182" i="106"/>
  <c r="H182" i="106"/>
  <c r="A183" i="106"/>
  <c r="B183" i="106"/>
  <c r="C183" i="106"/>
  <c r="E183" i="106"/>
  <c r="F183" i="106"/>
  <c r="G183" i="106"/>
  <c r="H183" i="106"/>
  <c r="A184" i="106"/>
  <c r="B184" i="106"/>
  <c r="C184" i="106"/>
  <c r="E184" i="106"/>
  <c r="F184" i="106"/>
  <c r="G184" i="106"/>
  <c r="H184" i="106"/>
  <c r="A185" i="106"/>
  <c r="B185" i="106"/>
  <c r="C185" i="106"/>
  <c r="E185" i="106"/>
  <c r="F185" i="106"/>
  <c r="G185" i="106"/>
  <c r="H185" i="106"/>
  <c r="A186" i="106"/>
  <c r="B186" i="106"/>
  <c r="C186" i="106"/>
  <c r="E186" i="106"/>
  <c r="F186" i="106"/>
  <c r="G186" i="106"/>
  <c r="H186" i="106"/>
  <c r="A187" i="106"/>
  <c r="B187" i="106"/>
  <c r="C187" i="106"/>
  <c r="E187" i="106"/>
  <c r="F187" i="106"/>
  <c r="G187" i="106"/>
  <c r="H187" i="106"/>
  <c r="A188" i="106"/>
  <c r="B188" i="106"/>
  <c r="C188" i="106"/>
  <c r="E188" i="106"/>
  <c r="F188" i="106"/>
  <c r="G188" i="106"/>
  <c r="H188" i="106"/>
  <c r="A189" i="106"/>
  <c r="B189" i="106"/>
  <c r="C189" i="106"/>
  <c r="E189" i="106"/>
  <c r="F189" i="106"/>
  <c r="G189" i="106"/>
  <c r="H189" i="106"/>
  <c r="A190" i="106"/>
  <c r="B190" i="106"/>
  <c r="C190" i="106"/>
  <c r="E190" i="106"/>
  <c r="F190" i="106"/>
  <c r="G190" i="106"/>
  <c r="H190" i="106"/>
  <c r="A191" i="106"/>
  <c r="B191" i="106"/>
  <c r="C191" i="106"/>
  <c r="E191" i="106"/>
  <c r="F191" i="106"/>
  <c r="G191" i="106"/>
  <c r="H191" i="106"/>
  <c r="A192" i="106"/>
  <c r="B192" i="106"/>
  <c r="C192" i="106"/>
  <c r="E192" i="106"/>
  <c r="F192" i="106"/>
  <c r="G192" i="106"/>
  <c r="H192" i="106"/>
  <c r="A193" i="106"/>
  <c r="B193" i="106"/>
  <c r="C193" i="106"/>
  <c r="E193" i="106"/>
  <c r="F193" i="106"/>
  <c r="G193" i="106"/>
  <c r="H193" i="106"/>
  <c r="A194" i="106"/>
  <c r="B194" i="106"/>
  <c r="C194" i="106"/>
  <c r="E194" i="106"/>
  <c r="F194" i="106"/>
  <c r="G194" i="106"/>
  <c r="H194" i="106"/>
  <c r="A195" i="106"/>
  <c r="B195" i="106"/>
  <c r="C195" i="106"/>
  <c r="E195" i="106"/>
  <c r="F195" i="106"/>
  <c r="G195" i="106"/>
  <c r="H195" i="106"/>
  <c r="A196" i="106"/>
  <c r="B196" i="106"/>
  <c r="C196" i="106"/>
  <c r="E196" i="106"/>
  <c r="F196" i="106"/>
  <c r="G196" i="106"/>
  <c r="H196" i="106"/>
  <c r="A197" i="106"/>
  <c r="B197" i="106"/>
  <c r="C197" i="106"/>
  <c r="E197" i="106"/>
  <c r="F197" i="106"/>
  <c r="G197" i="106"/>
  <c r="H197" i="106"/>
  <c r="A198" i="106"/>
  <c r="B198" i="106"/>
  <c r="C198" i="106"/>
  <c r="E198" i="106"/>
  <c r="F198" i="106"/>
  <c r="G198" i="106"/>
  <c r="H198" i="106"/>
  <c r="A199" i="106"/>
  <c r="B199" i="106"/>
  <c r="C199" i="106"/>
  <c r="E199" i="106"/>
  <c r="F199" i="106"/>
  <c r="G199" i="106"/>
  <c r="H199" i="106"/>
  <c r="A200" i="106"/>
  <c r="B200" i="106"/>
  <c r="C200" i="106"/>
  <c r="E200" i="106"/>
  <c r="F200" i="106"/>
  <c r="G200" i="106"/>
  <c r="H200" i="106"/>
  <c r="A201" i="106"/>
  <c r="B201" i="106"/>
  <c r="C201" i="106"/>
  <c r="E201" i="106"/>
  <c r="F201" i="106"/>
  <c r="G201" i="106"/>
  <c r="H201" i="106"/>
  <c r="A202" i="106"/>
  <c r="B202" i="106"/>
  <c r="C202" i="106"/>
  <c r="E202" i="106"/>
  <c r="F202" i="106"/>
  <c r="G202" i="106"/>
  <c r="H202" i="106"/>
  <c r="A203" i="106"/>
  <c r="B203" i="106"/>
  <c r="C203" i="106"/>
  <c r="E203" i="106"/>
  <c r="F203" i="106"/>
  <c r="G203" i="106"/>
  <c r="H203" i="106"/>
  <c r="A204" i="106"/>
  <c r="B204" i="106"/>
  <c r="C204" i="106"/>
  <c r="E204" i="106"/>
  <c r="F204" i="106"/>
  <c r="G204" i="106"/>
  <c r="H204" i="106"/>
  <c r="A205" i="106"/>
  <c r="B205" i="106"/>
  <c r="C205" i="106"/>
  <c r="E205" i="106"/>
  <c r="F205" i="106"/>
  <c r="G205" i="106"/>
  <c r="H205" i="106"/>
  <c r="A206" i="106"/>
  <c r="B206" i="106"/>
  <c r="C206" i="106"/>
  <c r="E206" i="106"/>
  <c r="F206" i="106"/>
  <c r="G206" i="106"/>
  <c r="H206" i="106"/>
  <c r="A207" i="106"/>
  <c r="B207" i="106"/>
  <c r="C207" i="106"/>
  <c r="E207" i="106"/>
  <c r="F207" i="106"/>
  <c r="G207" i="106"/>
  <c r="H207" i="106"/>
  <c r="A208" i="106"/>
  <c r="B208" i="106"/>
  <c r="C208" i="106"/>
  <c r="E208" i="106"/>
  <c r="F208" i="106"/>
  <c r="G208" i="106"/>
  <c r="H208" i="106"/>
  <c r="A209" i="106"/>
  <c r="B209" i="106"/>
  <c r="C209" i="106"/>
  <c r="E209" i="106"/>
  <c r="F209" i="106"/>
  <c r="G209" i="106"/>
  <c r="H209" i="106"/>
  <c r="A210" i="106"/>
  <c r="B210" i="106"/>
  <c r="C210" i="106"/>
  <c r="E210" i="106"/>
  <c r="F210" i="106"/>
  <c r="G210" i="106"/>
  <c r="H210" i="106"/>
  <c r="A211" i="106"/>
  <c r="B211" i="106"/>
  <c r="C211" i="106"/>
  <c r="E211" i="106"/>
  <c r="F211" i="106"/>
  <c r="G211" i="106"/>
  <c r="H211" i="106"/>
  <c r="A212" i="106"/>
  <c r="B212" i="106"/>
  <c r="C212" i="106"/>
  <c r="E212" i="106"/>
  <c r="F212" i="106"/>
  <c r="G212" i="106"/>
  <c r="H212" i="106"/>
  <c r="A213" i="106"/>
  <c r="B213" i="106"/>
  <c r="C213" i="106"/>
  <c r="E213" i="106"/>
  <c r="F213" i="106"/>
  <c r="G213" i="106"/>
  <c r="H213" i="106"/>
  <c r="A214" i="106"/>
  <c r="B214" i="106"/>
  <c r="C214" i="106"/>
  <c r="E214" i="106"/>
  <c r="F214" i="106"/>
  <c r="G214" i="106"/>
  <c r="H214" i="106"/>
  <c r="A215" i="106"/>
  <c r="B215" i="106"/>
  <c r="C215" i="106"/>
  <c r="E215" i="106"/>
  <c r="F215" i="106"/>
  <c r="G215" i="106"/>
  <c r="H215" i="106"/>
  <c r="A216" i="106"/>
  <c r="B216" i="106"/>
  <c r="C216" i="106"/>
  <c r="E216" i="106"/>
  <c r="F216" i="106"/>
  <c r="G216" i="106"/>
  <c r="H216" i="106"/>
  <c r="A217" i="106"/>
  <c r="B217" i="106"/>
  <c r="C217" i="106"/>
  <c r="E217" i="106"/>
  <c r="F217" i="106"/>
  <c r="G217" i="106"/>
  <c r="H217" i="106"/>
  <c r="A218" i="106"/>
  <c r="B218" i="106"/>
  <c r="C218" i="106"/>
  <c r="E218" i="106"/>
  <c r="F218" i="106"/>
  <c r="G218" i="106"/>
  <c r="H218" i="106"/>
  <c r="A219" i="106"/>
  <c r="B219" i="106"/>
  <c r="C219" i="106"/>
  <c r="E219" i="106"/>
  <c r="F219" i="106"/>
  <c r="G219" i="106"/>
  <c r="H219" i="106"/>
  <c r="A220" i="106"/>
  <c r="B220" i="106"/>
  <c r="C220" i="106"/>
  <c r="E220" i="106"/>
  <c r="F220" i="106"/>
  <c r="G220" i="106"/>
  <c r="H220" i="106"/>
  <c r="A221" i="106"/>
  <c r="B221" i="106"/>
  <c r="C221" i="106"/>
  <c r="E221" i="106"/>
  <c r="F221" i="106"/>
  <c r="G221" i="106"/>
  <c r="H221" i="106"/>
  <c r="A222" i="106"/>
  <c r="B222" i="106"/>
  <c r="C222" i="106"/>
  <c r="E222" i="106"/>
  <c r="F222" i="106"/>
  <c r="G222" i="106"/>
  <c r="H222" i="106"/>
  <c r="A223" i="106"/>
  <c r="B223" i="106"/>
  <c r="C223" i="106"/>
  <c r="E223" i="106"/>
  <c r="F223" i="106"/>
  <c r="G223" i="106"/>
  <c r="H223" i="106"/>
  <c r="A224" i="106"/>
  <c r="B224" i="106"/>
  <c r="C224" i="106"/>
  <c r="E224" i="106"/>
  <c r="F224" i="106"/>
  <c r="G224" i="106"/>
  <c r="H224" i="106"/>
  <c r="A225" i="106"/>
  <c r="B225" i="106"/>
  <c r="C225" i="106"/>
  <c r="E225" i="106"/>
  <c r="F225" i="106"/>
  <c r="G225" i="106"/>
  <c r="H225" i="106"/>
  <c r="A226" i="106"/>
  <c r="B226" i="106"/>
  <c r="C226" i="106"/>
  <c r="E226" i="106"/>
  <c r="F226" i="106"/>
  <c r="G226" i="106"/>
  <c r="H226" i="106"/>
  <c r="A227" i="106"/>
  <c r="B227" i="106"/>
  <c r="C227" i="106"/>
  <c r="E227" i="106"/>
  <c r="F227" i="106"/>
  <c r="G227" i="106"/>
  <c r="H227" i="106"/>
  <c r="A228" i="106"/>
  <c r="B228" i="106"/>
  <c r="C228" i="106"/>
  <c r="E228" i="106"/>
  <c r="F228" i="106"/>
  <c r="G228" i="106"/>
  <c r="H228" i="106"/>
  <c r="A229" i="106"/>
  <c r="B229" i="106"/>
  <c r="C229" i="106"/>
  <c r="E229" i="106"/>
  <c r="F229" i="106"/>
  <c r="G229" i="106"/>
  <c r="H229" i="106"/>
  <c r="A230" i="106"/>
  <c r="B230" i="106"/>
  <c r="C230" i="106"/>
  <c r="E230" i="106"/>
  <c r="F230" i="106"/>
  <c r="G230" i="106"/>
  <c r="H230" i="106"/>
  <c r="A231" i="106"/>
  <c r="B231" i="106"/>
  <c r="C231" i="106"/>
  <c r="E231" i="106"/>
  <c r="F231" i="106"/>
  <c r="G231" i="106"/>
  <c r="H231" i="106"/>
  <c r="A232" i="106"/>
  <c r="B232" i="106"/>
  <c r="C232" i="106"/>
  <c r="E232" i="106"/>
  <c r="F232" i="106"/>
  <c r="G232" i="106"/>
  <c r="H232" i="106"/>
  <c r="A233" i="106"/>
  <c r="B233" i="106"/>
  <c r="C233" i="106"/>
  <c r="E233" i="106"/>
  <c r="F233" i="106"/>
  <c r="G233" i="106"/>
  <c r="H233" i="106"/>
  <c r="A234" i="106"/>
  <c r="B234" i="106"/>
  <c r="C234" i="106"/>
  <c r="E234" i="106"/>
  <c r="F234" i="106"/>
  <c r="G234" i="106"/>
  <c r="H234" i="106"/>
  <c r="A235" i="106"/>
  <c r="B235" i="106"/>
  <c r="C235" i="106"/>
  <c r="E235" i="106"/>
  <c r="F235" i="106"/>
  <c r="G235" i="106"/>
  <c r="H235" i="106"/>
  <c r="A236" i="106"/>
  <c r="B236" i="106"/>
  <c r="C236" i="106"/>
  <c r="E236" i="106"/>
  <c r="F236" i="106"/>
  <c r="G236" i="106"/>
  <c r="H236" i="106"/>
  <c r="A237" i="106"/>
  <c r="B237" i="106"/>
  <c r="C237" i="106"/>
  <c r="E237" i="106"/>
  <c r="F237" i="106"/>
  <c r="G237" i="106"/>
  <c r="H237" i="106"/>
  <c r="A238" i="106"/>
  <c r="B238" i="106"/>
  <c r="C238" i="106"/>
  <c r="E238" i="106"/>
  <c r="F238" i="106"/>
  <c r="G238" i="106"/>
  <c r="H238" i="106"/>
  <c r="A239" i="106"/>
  <c r="B239" i="106"/>
  <c r="C239" i="106"/>
  <c r="E239" i="106"/>
  <c r="F239" i="106"/>
  <c r="G239" i="106"/>
  <c r="H239" i="106"/>
  <c r="A240" i="106"/>
  <c r="B240" i="106"/>
  <c r="C240" i="106"/>
  <c r="E240" i="106"/>
  <c r="F240" i="106"/>
  <c r="G240" i="106"/>
  <c r="H240" i="106"/>
  <c r="A241" i="106"/>
  <c r="B241" i="106"/>
  <c r="C241" i="106"/>
  <c r="E241" i="106"/>
  <c r="F241" i="106"/>
  <c r="G241" i="106"/>
  <c r="H241" i="106"/>
  <c r="A242" i="106"/>
  <c r="B242" i="106"/>
  <c r="C242" i="106"/>
  <c r="E242" i="106"/>
  <c r="F242" i="106"/>
  <c r="G242" i="106"/>
  <c r="H242" i="106"/>
  <c r="A243" i="106"/>
  <c r="B243" i="106"/>
  <c r="C243" i="106"/>
  <c r="E243" i="106"/>
  <c r="F243" i="106"/>
  <c r="G243" i="106"/>
  <c r="H243" i="106"/>
  <c r="A244" i="106"/>
  <c r="B244" i="106"/>
  <c r="C244" i="106"/>
  <c r="E244" i="106"/>
  <c r="F244" i="106"/>
  <c r="G244" i="106"/>
  <c r="H244" i="106"/>
  <c r="A245" i="106"/>
  <c r="B245" i="106"/>
  <c r="C245" i="106"/>
  <c r="E245" i="106"/>
  <c r="F245" i="106"/>
  <c r="G245" i="106"/>
  <c r="H245" i="106"/>
  <c r="A246" i="106"/>
  <c r="B246" i="106"/>
  <c r="C246" i="106"/>
  <c r="E246" i="106"/>
  <c r="F246" i="106"/>
  <c r="G246" i="106"/>
  <c r="H246" i="106"/>
  <c r="A247" i="106"/>
  <c r="B247" i="106"/>
  <c r="C247" i="106"/>
  <c r="E247" i="106"/>
  <c r="F247" i="106"/>
  <c r="G247" i="106"/>
  <c r="H247" i="106"/>
  <c r="A248" i="106"/>
  <c r="B248" i="106"/>
  <c r="C248" i="106"/>
  <c r="E248" i="106"/>
  <c r="F248" i="106"/>
  <c r="G248" i="106"/>
  <c r="H248" i="106"/>
  <c r="A249" i="106"/>
  <c r="B249" i="106"/>
  <c r="C249" i="106"/>
  <c r="E249" i="106"/>
  <c r="F249" i="106"/>
  <c r="G249" i="106"/>
  <c r="H249" i="106"/>
  <c r="A250" i="106"/>
  <c r="B250" i="106"/>
  <c r="C250" i="106"/>
  <c r="E250" i="106"/>
  <c r="F250" i="106"/>
  <c r="G250" i="106"/>
  <c r="H250" i="106"/>
  <c r="A251" i="106"/>
  <c r="B251" i="106"/>
  <c r="C251" i="106"/>
  <c r="E251" i="106"/>
  <c r="F251" i="106"/>
  <c r="G251" i="106"/>
  <c r="H251" i="106"/>
  <c r="A252" i="106"/>
  <c r="B252" i="106"/>
  <c r="C252" i="106"/>
  <c r="E252" i="106"/>
  <c r="F252" i="106"/>
  <c r="G252" i="106"/>
  <c r="H252" i="106"/>
  <c r="A253" i="106"/>
  <c r="B253" i="106"/>
  <c r="C253" i="106"/>
  <c r="E253" i="106"/>
  <c r="F253" i="106"/>
  <c r="G253" i="106"/>
  <c r="H253" i="106"/>
  <c r="A254" i="106"/>
  <c r="B254" i="106"/>
  <c r="C254" i="106"/>
  <c r="E254" i="106"/>
  <c r="F254" i="106"/>
  <c r="G254" i="106"/>
  <c r="H254" i="106"/>
  <c r="A255" i="106"/>
  <c r="B255" i="106"/>
  <c r="C255" i="106"/>
  <c r="E255" i="106"/>
  <c r="F255" i="106"/>
  <c r="G255" i="106"/>
  <c r="H255" i="106"/>
  <c r="A256" i="106"/>
  <c r="B256" i="106"/>
  <c r="C256" i="106"/>
  <c r="E256" i="106"/>
  <c r="F256" i="106"/>
  <c r="G256" i="106"/>
  <c r="H256" i="106"/>
  <c r="A257" i="106"/>
  <c r="B257" i="106"/>
  <c r="C257" i="106"/>
  <c r="E257" i="106"/>
  <c r="F257" i="106"/>
  <c r="G257" i="106"/>
  <c r="H257" i="106"/>
  <c r="A258" i="106"/>
  <c r="B258" i="106"/>
  <c r="C258" i="106"/>
  <c r="E258" i="106"/>
  <c r="F258" i="106"/>
  <c r="G258" i="106"/>
  <c r="H258" i="106"/>
  <c r="A259" i="106"/>
  <c r="B259" i="106"/>
  <c r="C259" i="106"/>
  <c r="E259" i="106"/>
  <c r="F259" i="106"/>
  <c r="G259" i="106"/>
  <c r="H259" i="106"/>
  <c r="A260" i="106"/>
  <c r="B260" i="106"/>
  <c r="C260" i="106"/>
  <c r="E260" i="106"/>
  <c r="F260" i="106"/>
  <c r="G260" i="106"/>
  <c r="H260" i="106"/>
  <c r="A261" i="106"/>
  <c r="B261" i="106"/>
  <c r="C261" i="106"/>
  <c r="E261" i="106"/>
  <c r="F261" i="106"/>
  <c r="G261" i="106"/>
  <c r="H261" i="106"/>
  <c r="A262" i="106"/>
  <c r="B262" i="106"/>
  <c r="C262" i="106"/>
  <c r="E262" i="106"/>
  <c r="F262" i="106"/>
  <c r="G262" i="106"/>
  <c r="H262" i="106"/>
  <c r="A263" i="106"/>
  <c r="B263" i="106"/>
  <c r="C263" i="106"/>
  <c r="E263" i="106"/>
  <c r="F263" i="106"/>
  <c r="G263" i="106"/>
  <c r="H263" i="106"/>
  <c r="A264" i="106"/>
  <c r="B264" i="106"/>
  <c r="C264" i="106"/>
  <c r="E264" i="106"/>
  <c r="F264" i="106"/>
  <c r="G264" i="106"/>
  <c r="H264" i="106"/>
  <c r="A265" i="106"/>
  <c r="B265" i="106"/>
  <c r="C265" i="106"/>
  <c r="E265" i="106"/>
  <c r="F265" i="106"/>
  <c r="G265" i="106"/>
  <c r="H265" i="106"/>
  <c r="A266" i="106"/>
  <c r="B266" i="106"/>
  <c r="C266" i="106"/>
  <c r="E266" i="106"/>
  <c r="F266" i="106"/>
  <c r="G266" i="106"/>
  <c r="H266" i="106"/>
  <c r="A267" i="106"/>
  <c r="B267" i="106"/>
  <c r="C267" i="106"/>
  <c r="E267" i="106"/>
  <c r="F267" i="106"/>
  <c r="G267" i="106"/>
  <c r="H267" i="106"/>
  <c r="A268" i="106"/>
  <c r="B268" i="106"/>
  <c r="C268" i="106"/>
  <c r="E268" i="106"/>
  <c r="F268" i="106"/>
  <c r="G268" i="106"/>
  <c r="H268" i="106"/>
  <c r="A269" i="106"/>
  <c r="B269" i="106"/>
  <c r="C269" i="106"/>
  <c r="E269" i="106"/>
  <c r="F269" i="106"/>
  <c r="G269" i="106"/>
  <c r="H269" i="106"/>
  <c r="A270" i="106"/>
  <c r="B270" i="106"/>
  <c r="C270" i="106"/>
  <c r="E270" i="106"/>
  <c r="F270" i="106"/>
  <c r="G270" i="106"/>
  <c r="H270" i="106"/>
  <c r="A271" i="106"/>
  <c r="B271" i="106"/>
  <c r="C271" i="106"/>
  <c r="E271" i="106"/>
  <c r="F271" i="106"/>
  <c r="G271" i="106"/>
  <c r="H271" i="106"/>
  <c r="A272" i="106"/>
  <c r="B272" i="106"/>
  <c r="C272" i="106"/>
  <c r="E272" i="106"/>
  <c r="F272" i="106"/>
  <c r="G272" i="106"/>
  <c r="H272" i="106"/>
  <c r="A273" i="106"/>
  <c r="B273" i="106"/>
  <c r="C273" i="106"/>
  <c r="E273" i="106"/>
  <c r="F273" i="106"/>
  <c r="G273" i="106"/>
  <c r="H273" i="106"/>
  <c r="A274" i="106"/>
  <c r="B274" i="106"/>
  <c r="C274" i="106"/>
  <c r="E274" i="106"/>
  <c r="F274" i="106"/>
  <c r="G274" i="106"/>
  <c r="H274" i="106"/>
  <c r="A275" i="106"/>
  <c r="B275" i="106"/>
  <c r="C275" i="106"/>
  <c r="E275" i="106"/>
  <c r="F275" i="106"/>
  <c r="G275" i="106"/>
  <c r="H275" i="106"/>
  <c r="A276" i="106"/>
  <c r="B276" i="106"/>
  <c r="C276" i="106"/>
  <c r="E276" i="106"/>
  <c r="F276" i="106"/>
  <c r="G276" i="106"/>
  <c r="H276" i="106"/>
  <c r="A277" i="106"/>
  <c r="B277" i="106"/>
  <c r="C277" i="106"/>
  <c r="E277" i="106"/>
  <c r="F277" i="106"/>
  <c r="G277" i="106"/>
  <c r="H277" i="106"/>
  <c r="A278" i="106"/>
  <c r="B278" i="106"/>
  <c r="C278" i="106"/>
  <c r="E278" i="106"/>
  <c r="F278" i="106"/>
  <c r="G278" i="106"/>
  <c r="H278" i="106"/>
  <c r="A279" i="106"/>
  <c r="B279" i="106"/>
  <c r="C279" i="106"/>
  <c r="E279" i="106"/>
  <c r="F279" i="106"/>
  <c r="G279" i="106"/>
  <c r="H279" i="106"/>
  <c r="A280" i="106"/>
  <c r="B280" i="106"/>
  <c r="C280" i="106"/>
  <c r="E280" i="106"/>
  <c r="F280" i="106"/>
  <c r="G280" i="106"/>
  <c r="H280" i="106"/>
  <c r="A281" i="106"/>
  <c r="B281" i="106"/>
  <c r="C281" i="106"/>
  <c r="E281" i="106"/>
  <c r="F281" i="106"/>
  <c r="G281" i="106"/>
  <c r="H281" i="106"/>
  <c r="A282" i="106"/>
  <c r="B282" i="106"/>
  <c r="C282" i="106"/>
  <c r="E282" i="106"/>
  <c r="F282" i="106"/>
  <c r="G282" i="106"/>
  <c r="H282" i="106"/>
  <c r="A283" i="106"/>
  <c r="B283" i="106"/>
  <c r="C283" i="106"/>
  <c r="E283" i="106"/>
  <c r="F283" i="106"/>
  <c r="G283" i="106"/>
  <c r="H283" i="106"/>
  <c r="A284" i="106"/>
  <c r="B284" i="106"/>
  <c r="C284" i="106"/>
  <c r="E284" i="106"/>
  <c r="F284" i="106"/>
  <c r="G284" i="106"/>
  <c r="H284" i="106"/>
  <c r="A285" i="106"/>
  <c r="B285" i="106"/>
  <c r="C285" i="106"/>
  <c r="E285" i="106"/>
  <c r="F285" i="106"/>
  <c r="G285" i="106"/>
  <c r="H285" i="106"/>
  <c r="A286" i="106"/>
  <c r="B286" i="106"/>
  <c r="C286" i="106"/>
  <c r="E286" i="106"/>
  <c r="F286" i="106"/>
  <c r="G286" i="106"/>
  <c r="H286" i="106"/>
  <c r="A287" i="106"/>
  <c r="B287" i="106"/>
  <c r="C287" i="106"/>
  <c r="E287" i="106"/>
  <c r="F287" i="106"/>
  <c r="G287" i="106"/>
  <c r="H287" i="106"/>
  <c r="A288" i="106"/>
  <c r="B288" i="106"/>
  <c r="C288" i="106"/>
  <c r="E288" i="106"/>
  <c r="F288" i="106"/>
  <c r="G288" i="106"/>
  <c r="H288" i="106"/>
  <c r="A289" i="106"/>
  <c r="B289" i="106"/>
  <c r="C289" i="106"/>
  <c r="E289" i="106"/>
  <c r="F289" i="106"/>
  <c r="G289" i="106"/>
  <c r="H289" i="106"/>
  <c r="A290" i="106"/>
  <c r="B290" i="106"/>
  <c r="C290" i="106"/>
  <c r="E290" i="106"/>
  <c r="F290" i="106"/>
  <c r="G290" i="106"/>
  <c r="H290" i="106"/>
  <c r="A291" i="106"/>
  <c r="B291" i="106"/>
  <c r="C291" i="106"/>
  <c r="E291" i="106"/>
  <c r="F291" i="106"/>
  <c r="G291" i="106"/>
  <c r="H291" i="106"/>
  <c r="A292" i="106"/>
  <c r="B292" i="106"/>
  <c r="C292" i="106"/>
  <c r="E292" i="106"/>
  <c r="F292" i="106"/>
  <c r="G292" i="106"/>
  <c r="H292" i="106"/>
  <c r="A293" i="106"/>
  <c r="B293" i="106"/>
  <c r="C293" i="106"/>
  <c r="E293" i="106"/>
  <c r="F293" i="106"/>
  <c r="G293" i="106"/>
  <c r="H293" i="106"/>
  <c r="A294" i="106"/>
  <c r="B294" i="106"/>
  <c r="C294" i="106"/>
  <c r="E294" i="106"/>
  <c r="F294" i="106"/>
  <c r="G294" i="106"/>
  <c r="H294" i="106"/>
  <c r="A295" i="106"/>
  <c r="B295" i="106"/>
  <c r="C295" i="106"/>
  <c r="E295" i="106"/>
  <c r="F295" i="106"/>
  <c r="G295" i="106"/>
  <c r="H295" i="106"/>
  <c r="A296" i="106"/>
  <c r="B296" i="106"/>
  <c r="C296" i="106"/>
  <c r="E296" i="106"/>
  <c r="F296" i="106"/>
  <c r="G296" i="106"/>
  <c r="H296" i="106"/>
  <c r="A297" i="106"/>
  <c r="B297" i="106"/>
  <c r="C297" i="106"/>
  <c r="E297" i="106"/>
  <c r="F297" i="106"/>
  <c r="G297" i="106"/>
  <c r="H297" i="106"/>
  <c r="A298" i="106"/>
  <c r="B298" i="106"/>
  <c r="C298" i="106"/>
  <c r="E298" i="106"/>
  <c r="F298" i="106"/>
  <c r="G298" i="106"/>
  <c r="H298" i="106"/>
  <c r="A299" i="106"/>
  <c r="B299" i="106"/>
  <c r="C299" i="106"/>
  <c r="E299" i="106"/>
  <c r="F299" i="106"/>
  <c r="G299" i="106"/>
  <c r="H299" i="106"/>
  <c r="A300" i="106"/>
  <c r="B300" i="106"/>
  <c r="C300" i="106"/>
  <c r="E300" i="106"/>
  <c r="F300" i="106"/>
  <c r="G300" i="106"/>
  <c r="H300" i="106"/>
  <c r="A301" i="106"/>
  <c r="B301" i="106"/>
  <c r="C301" i="106"/>
  <c r="E301" i="106"/>
  <c r="F301" i="106"/>
  <c r="G301" i="106"/>
  <c r="H301" i="106"/>
  <c r="A302" i="106"/>
  <c r="B302" i="106"/>
  <c r="C302" i="106"/>
  <c r="E302" i="106"/>
  <c r="F302" i="106"/>
  <c r="G302" i="106"/>
  <c r="H302" i="106"/>
  <c r="A303" i="106"/>
  <c r="B303" i="106"/>
  <c r="C303" i="106"/>
  <c r="E303" i="106"/>
  <c r="F303" i="106"/>
  <c r="G303" i="106"/>
  <c r="H303" i="106"/>
  <c r="A304" i="106"/>
  <c r="B304" i="106"/>
  <c r="C304" i="106"/>
  <c r="E304" i="106"/>
  <c r="F304" i="106"/>
  <c r="G304" i="106"/>
  <c r="H304" i="106"/>
  <c r="A305" i="106"/>
  <c r="B305" i="106"/>
  <c r="C305" i="106"/>
  <c r="E305" i="106"/>
  <c r="F305" i="106"/>
  <c r="G305" i="106"/>
  <c r="H305" i="106"/>
  <c r="A306" i="106"/>
  <c r="B306" i="106"/>
  <c r="C306" i="106"/>
  <c r="E306" i="106"/>
  <c r="F306" i="106"/>
  <c r="G306" i="106"/>
  <c r="H306" i="106"/>
  <c r="A307" i="106"/>
  <c r="B307" i="106"/>
  <c r="C307" i="106"/>
  <c r="E307" i="106"/>
  <c r="F307" i="106"/>
  <c r="G307" i="106"/>
  <c r="H307" i="106"/>
  <c r="A308" i="106"/>
  <c r="B308" i="106"/>
  <c r="C308" i="106"/>
  <c r="E308" i="106"/>
  <c r="F308" i="106"/>
  <c r="G308" i="106"/>
  <c r="H308" i="106"/>
  <c r="A309" i="106"/>
  <c r="B309" i="106"/>
  <c r="C309" i="106"/>
  <c r="E309" i="106"/>
  <c r="F309" i="106"/>
  <c r="G309" i="106"/>
  <c r="H309" i="106"/>
  <c r="A310" i="106"/>
  <c r="B310" i="106"/>
  <c r="C310" i="106"/>
  <c r="E310" i="106"/>
  <c r="F310" i="106"/>
  <c r="G310" i="106"/>
  <c r="H310" i="106"/>
  <c r="A311" i="106"/>
  <c r="B311" i="106"/>
  <c r="C311" i="106"/>
  <c r="E311" i="106"/>
  <c r="F311" i="106"/>
  <c r="G311" i="106"/>
  <c r="H311" i="106"/>
  <c r="A312" i="106"/>
  <c r="B312" i="106"/>
  <c r="C312" i="106"/>
  <c r="E312" i="106"/>
  <c r="F312" i="106"/>
  <c r="G312" i="106"/>
  <c r="H312" i="106"/>
  <c r="A313" i="106"/>
  <c r="B313" i="106"/>
  <c r="C313" i="106"/>
  <c r="E313" i="106"/>
  <c r="F313" i="106"/>
  <c r="G313" i="106"/>
  <c r="H313" i="106"/>
  <c r="A314" i="106"/>
  <c r="B314" i="106"/>
  <c r="C314" i="106"/>
  <c r="E314" i="106"/>
  <c r="F314" i="106"/>
  <c r="G314" i="106"/>
  <c r="H314" i="106"/>
  <c r="A315" i="106"/>
  <c r="B315" i="106"/>
  <c r="C315" i="106"/>
  <c r="E315" i="106"/>
  <c r="F315" i="106"/>
  <c r="G315" i="106"/>
  <c r="H315" i="106"/>
  <c r="A316" i="106"/>
  <c r="B316" i="106"/>
  <c r="C316" i="106"/>
  <c r="E316" i="106"/>
  <c r="F316" i="106"/>
  <c r="G316" i="106"/>
  <c r="H316" i="106"/>
  <c r="A317" i="106"/>
  <c r="B317" i="106"/>
  <c r="C317" i="106"/>
  <c r="E317" i="106"/>
  <c r="F317" i="106"/>
  <c r="G317" i="106"/>
  <c r="H317" i="106"/>
  <c r="A318" i="106"/>
  <c r="B318" i="106"/>
  <c r="C318" i="106"/>
  <c r="E318" i="106"/>
  <c r="F318" i="106"/>
  <c r="G318" i="106"/>
  <c r="H318" i="106"/>
  <c r="A319" i="106"/>
  <c r="B319" i="106"/>
  <c r="C319" i="106"/>
  <c r="E319" i="106"/>
  <c r="F319" i="106"/>
  <c r="G319" i="106"/>
  <c r="H319" i="106"/>
  <c r="A320" i="106"/>
  <c r="B320" i="106"/>
  <c r="C320" i="106"/>
  <c r="E320" i="106"/>
  <c r="F320" i="106"/>
  <c r="G320" i="106"/>
  <c r="H320" i="106"/>
  <c r="A321" i="106"/>
  <c r="B321" i="106"/>
  <c r="C321" i="106"/>
  <c r="E321" i="106"/>
  <c r="F321" i="106"/>
  <c r="G321" i="106"/>
  <c r="H321" i="106"/>
  <c r="A322" i="106"/>
  <c r="B322" i="106"/>
  <c r="C322" i="106"/>
  <c r="E322" i="106"/>
  <c r="F322" i="106"/>
  <c r="G322" i="106"/>
  <c r="H322" i="106"/>
  <c r="A323" i="106"/>
  <c r="B323" i="106"/>
  <c r="C323" i="106"/>
  <c r="E323" i="106"/>
  <c r="F323" i="106"/>
  <c r="G323" i="106"/>
  <c r="H323" i="106"/>
  <c r="A324" i="106"/>
  <c r="B324" i="106"/>
  <c r="C324" i="106"/>
  <c r="E324" i="106"/>
  <c r="F324" i="106"/>
  <c r="G324" i="106"/>
  <c r="H324" i="106"/>
  <c r="A325" i="106"/>
  <c r="B325" i="106"/>
  <c r="C325" i="106"/>
  <c r="E325" i="106"/>
  <c r="F325" i="106"/>
  <c r="G325" i="106"/>
  <c r="H325" i="106"/>
  <c r="A326" i="106"/>
  <c r="B326" i="106"/>
  <c r="C326" i="106"/>
  <c r="E326" i="106"/>
  <c r="F326" i="106"/>
  <c r="G326" i="106"/>
  <c r="H326" i="106"/>
  <c r="A327" i="106"/>
  <c r="B327" i="106"/>
  <c r="C327" i="106"/>
  <c r="E327" i="106"/>
  <c r="F327" i="106"/>
  <c r="G327" i="106"/>
  <c r="H327" i="106"/>
  <c r="A328" i="106"/>
  <c r="B328" i="106"/>
  <c r="C328" i="106"/>
  <c r="E328" i="106"/>
  <c r="F328" i="106"/>
  <c r="G328" i="106"/>
  <c r="H328" i="106"/>
  <c r="A329" i="106"/>
  <c r="B329" i="106"/>
  <c r="C329" i="106"/>
  <c r="E329" i="106"/>
  <c r="F329" i="106"/>
  <c r="G329" i="106"/>
  <c r="H329" i="106"/>
  <c r="A330" i="106"/>
  <c r="B330" i="106"/>
  <c r="C330" i="106"/>
  <c r="E330" i="106"/>
  <c r="F330" i="106"/>
  <c r="G330" i="106"/>
  <c r="H330" i="106"/>
  <c r="A331" i="106"/>
  <c r="B331" i="106"/>
  <c r="C331" i="106"/>
  <c r="E331" i="106"/>
  <c r="F331" i="106"/>
  <c r="G331" i="106"/>
  <c r="H331" i="106"/>
  <c r="A332" i="106"/>
  <c r="B332" i="106"/>
  <c r="C332" i="106"/>
  <c r="E332" i="106"/>
  <c r="F332" i="106"/>
  <c r="G332" i="106"/>
  <c r="H332" i="106"/>
  <c r="A333" i="106"/>
  <c r="B333" i="106"/>
  <c r="C333" i="106"/>
  <c r="E333" i="106"/>
  <c r="F333" i="106"/>
  <c r="G333" i="106"/>
  <c r="H333" i="106"/>
  <c r="A334" i="106"/>
  <c r="B334" i="106"/>
  <c r="C334" i="106"/>
  <c r="E334" i="106"/>
  <c r="F334" i="106"/>
  <c r="G334" i="106"/>
  <c r="H334" i="106"/>
  <c r="A335" i="106"/>
  <c r="B335" i="106"/>
  <c r="C335" i="106"/>
  <c r="E335" i="106"/>
  <c r="F335" i="106"/>
  <c r="G335" i="106"/>
  <c r="H335" i="106"/>
  <c r="A336" i="106"/>
  <c r="B336" i="106"/>
  <c r="C336" i="106"/>
  <c r="E336" i="106"/>
  <c r="F336" i="106"/>
  <c r="G336" i="106"/>
  <c r="H336" i="106"/>
  <c r="A337" i="106"/>
  <c r="B337" i="106"/>
  <c r="C337" i="106"/>
  <c r="E337" i="106"/>
  <c r="F337" i="106"/>
  <c r="G337" i="106"/>
  <c r="H337" i="106"/>
  <c r="A338" i="106"/>
  <c r="B338" i="106"/>
  <c r="C338" i="106"/>
  <c r="E338" i="106"/>
  <c r="F338" i="106"/>
  <c r="G338" i="106"/>
  <c r="H338" i="106"/>
  <c r="A339" i="106"/>
  <c r="B339" i="106"/>
  <c r="C339" i="106"/>
  <c r="E339" i="106"/>
  <c r="F339" i="106"/>
  <c r="G339" i="106"/>
  <c r="H339" i="106"/>
  <c r="A340" i="106"/>
  <c r="B340" i="106"/>
  <c r="C340" i="106"/>
  <c r="E340" i="106"/>
  <c r="F340" i="106"/>
  <c r="G340" i="106"/>
  <c r="H340" i="106"/>
  <c r="A341" i="106"/>
  <c r="B341" i="106"/>
  <c r="C341" i="106"/>
  <c r="E341" i="106"/>
  <c r="F341" i="106"/>
  <c r="G341" i="106"/>
  <c r="H341" i="106"/>
  <c r="A342" i="106"/>
  <c r="B342" i="106"/>
  <c r="C342" i="106"/>
  <c r="E342" i="106"/>
  <c r="F342" i="106"/>
  <c r="G342" i="106"/>
  <c r="H342" i="106"/>
  <c r="A343" i="106"/>
  <c r="B343" i="106"/>
  <c r="C343" i="106"/>
  <c r="E343" i="106"/>
  <c r="F343" i="106"/>
  <c r="G343" i="106"/>
  <c r="H343" i="106"/>
  <c r="A344" i="106"/>
  <c r="B344" i="106"/>
  <c r="C344" i="106"/>
  <c r="E344" i="106"/>
  <c r="F344" i="106"/>
  <c r="G344" i="106"/>
  <c r="H344" i="106"/>
  <c r="A345" i="106"/>
  <c r="B345" i="106"/>
  <c r="C345" i="106"/>
  <c r="E345" i="106"/>
  <c r="F345" i="106"/>
  <c r="G345" i="106"/>
  <c r="H345" i="106"/>
  <c r="A346" i="106"/>
  <c r="B346" i="106"/>
  <c r="C346" i="106"/>
  <c r="E346" i="106"/>
  <c r="F346" i="106"/>
  <c r="G346" i="106"/>
  <c r="H346" i="106"/>
  <c r="A347" i="106"/>
  <c r="B347" i="106"/>
  <c r="C347" i="106"/>
  <c r="E347" i="106"/>
  <c r="F347" i="106"/>
  <c r="G347" i="106"/>
  <c r="H347" i="106"/>
  <c r="A348" i="106"/>
  <c r="B348" i="106"/>
  <c r="C348" i="106"/>
  <c r="E348" i="106"/>
  <c r="F348" i="106"/>
  <c r="G348" i="106"/>
  <c r="H348" i="106"/>
  <c r="A349" i="106"/>
  <c r="B349" i="106"/>
  <c r="C349" i="106"/>
  <c r="E349" i="106"/>
  <c r="F349" i="106"/>
  <c r="G349" i="106"/>
  <c r="H349" i="106"/>
  <c r="A350" i="106"/>
  <c r="B350" i="106"/>
  <c r="C350" i="106"/>
  <c r="E350" i="106"/>
  <c r="F350" i="106"/>
  <c r="G350" i="106"/>
  <c r="H350" i="106"/>
  <c r="A351" i="106"/>
  <c r="B351" i="106"/>
  <c r="C351" i="106"/>
  <c r="E351" i="106"/>
  <c r="F351" i="106"/>
  <c r="G351" i="106"/>
  <c r="H351" i="106"/>
  <c r="A352" i="106"/>
  <c r="B352" i="106"/>
  <c r="C352" i="106"/>
  <c r="D352" i="106"/>
  <c r="E352" i="106"/>
  <c r="F352" i="106"/>
  <c r="G352" i="106"/>
  <c r="H352" i="106"/>
  <c r="A353" i="106"/>
  <c r="B353" i="106"/>
  <c r="C353" i="106"/>
  <c r="D353" i="106"/>
  <c r="E353" i="106"/>
  <c r="G353" i="106"/>
  <c r="H353" i="106"/>
  <c r="A354" i="106"/>
  <c r="B354" i="106"/>
  <c r="C354" i="106"/>
  <c r="D354" i="106"/>
  <c r="E354" i="106"/>
  <c r="G354" i="106"/>
  <c r="H354" i="106"/>
  <c r="A4" i="105"/>
  <c r="B4" i="105"/>
  <c r="C4" i="105"/>
  <c r="E4" i="105"/>
  <c r="F4" i="105"/>
  <c r="G4" i="105"/>
  <c r="H4" i="105"/>
  <c r="A5" i="105"/>
  <c r="B5" i="105"/>
  <c r="C5" i="105"/>
  <c r="E5" i="105"/>
  <c r="F5" i="105"/>
  <c r="G5" i="105"/>
  <c r="H5" i="105"/>
  <c r="A6" i="105"/>
  <c r="B6" i="105"/>
  <c r="C6" i="105"/>
  <c r="E6" i="105"/>
  <c r="F6" i="105"/>
  <c r="G6" i="105"/>
  <c r="H6" i="105"/>
  <c r="A7" i="105"/>
  <c r="B7" i="105"/>
  <c r="C7" i="105"/>
  <c r="E7" i="105"/>
  <c r="F7" i="105"/>
  <c r="G7" i="105"/>
  <c r="H7" i="105"/>
  <c r="A8" i="105"/>
  <c r="B8" i="105"/>
  <c r="C8" i="105"/>
  <c r="E8" i="105"/>
  <c r="F8" i="105"/>
  <c r="G8" i="105"/>
  <c r="H8" i="105"/>
  <c r="A9" i="105"/>
  <c r="B9" i="105"/>
  <c r="C9" i="105"/>
  <c r="E9" i="105"/>
  <c r="F9" i="105"/>
  <c r="G9" i="105"/>
  <c r="H9" i="105"/>
  <c r="A10" i="105"/>
  <c r="B10" i="105"/>
  <c r="C10" i="105"/>
  <c r="E10" i="105"/>
  <c r="F10" i="105"/>
  <c r="G10" i="105"/>
  <c r="H10" i="105"/>
  <c r="A11" i="105"/>
  <c r="B11" i="105"/>
  <c r="C11" i="105"/>
  <c r="E11" i="105"/>
  <c r="F11" i="105"/>
  <c r="G11" i="105"/>
  <c r="H11" i="105"/>
  <c r="A12" i="105"/>
  <c r="B12" i="105"/>
  <c r="C12" i="105"/>
  <c r="E12" i="105"/>
  <c r="F12" i="105"/>
  <c r="G12" i="105"/>
  <c r="H12" i="105"/>
  <c r="A13" i="105"/>
  <c r="B13" i="105"/>
  <c r="C13" i="105"/>
  <c r="E13" i="105"/>
  <c r="F13" i="105"/>
  <c r="G13" i="105"/>
  <c r="H13" i="105"/>
  <c r="A14" i="105"/>
  <c r="B14" i="105"/>
  <c r="C14" i="105"/>
  <c r="E14" i="105"/>
  <c r="F14" i="105"/>
  <c r="G14" i="105"/>
  <c r="H14" i="105"/>
  <c r="A15" i="105"/>
  <c r="B15" i="105"/>
  <c r="C15" i="105"/>
  <c r="E15" i="105"/>
  <c r="F15" i="105"/>
  <c r="G15" i="105"/>
  <c r="H15" i="105"/>
  <c r="A16" i="105"/>
  <c r="B16" i="105"/>
  <c r="C16" i="105"/>
  <c r="E16" i="105"/>
  <c r="F16" i="105"/>
  <c r="G16" i="105"/>
  <c r="H16" i="105"/>
  <c r="A17" i="105"/>
  <c r="B17" i="105"/>
  <c r="C17" i="105"/>
  <c r="E17" i="105"/>
  <c r="F17" i="105"/>
  <c r="G17" i="105"/>
  <c r="H17" i="105"/>
  <c r="A18" i="105"/>
  <c r="B18" i="105"/>
  <c r="C18" i="105"/>
  <c r="E18" i="105"/>
  <c r="F18" i="105"/>
  <c r="G18" i="105"/>
  <c r="H18" i="105"/>
  <c r="A19" i="105"/>
  <c r="B19" i="105"/>
  <c r="C19" i="105"/>
  <c r="E19" i="105"/>
  <c r="F19" i="105"/>
  <c r="G19" i="105"/>
  <c r="H19" i="105"/>
  <c r="A20" i="105"/>
  <c r="B20" i="105"/>
  <c r="C20" i="105"/>
  <c r="E20" i="105"/>
  <c r="F20" i="105"/>
  <c r="G20" i="105"/>
  <c r="H20" i="105"/>
  <c r="A21" i="105"/>
  <c r="B21" i="105"/>
  <c r="C21" i="105"/>
  <c r="E21" i="105"/>
  <c r="F21" i="105"/>
  <c r="G21" i="105"/>
  <c r="H21" i="105"/>
  <c r="A22" i="105"/>
  <c r="B22" i="105"/>
  <c r="C22" i="105"/>
  <c r="E22" i="105"/>
  <c r="F22" i="105"/>
  <c r="G22" i="105"/>
  <c r="H22" i="105"/>
  <c r="A23" i="105"/>
  <c r="B23" i="105"/>
  <c r="C23" i="105"/>
  <c r="E23" i="105"/>
  <c r="F23" i="105"/>
  <c r="G23" i="105"/>
  <c r="H23" i="105"/>
  <c r="A24" i="105"/>
  <c r="B24" i="105"/>
  <c r="C24" i="105"/>
  <c r="E24" i="105"/>
  <c r="F24" i="105"/>
  <c r="G24" i="105"/>
  <c r="H24" i="105"/>
  <c r="A25" i="105"/>
  <c r="B25" i="105"/>
  <c r="C25" i="105"/>
  <c r="E25" i="105"/>
  <c r="F25" i="105"/>
  <c r="G25" i="105"/>
  <c r="H25" i="105"/>
  <c r="A26" i="105"/>
  <c r="B26" i="105"/>
  <c r="C26" i="105"/>
  <c r="E26" i="105"/>
  <c r="F26" i="105"/>
  <c r="G26" i="105"/>
  <c r="H26" i="105"/>
  <c r="A27" i="105"/>
  <c r="B27" i="105"/>
  <c r="C27" i="105"/>
  <c r="E27" i="105"/>
  <c r="F27" i="105"/>
  <c r="G27" i="105"/>
  <c r="H27" i="105"/>
  <c r="A28" i="105"/>
  <c r="B28" i="105"/>
  <c r="C28" i="105"/>
  <c r="E28" i="105"/>
  <c r="F28" i="105"/>
  <c r="G28" i="105"/>
  <c r="H28" i="105"/>
  <c r="A29" i="105"/>
  <c r="B29" i="105"/>
  <c r="C29" i="105"/>
  <c r="E29" i="105"/>
  <c r="F29" i="105"/>
  <c r="G29" i="105"/>
  <c r="H29" i="105"/>
  <c r="A30" i="105"/>
  <c r="B30" i="105"/>
  <c r="C30" i="105"/>
  <c r="E30" i="105"/>
  <c r="F30" i="105"/>
  <c r="G30" i="105"/>
  <c r="H30" i="105"/>
  <c r="A31" i="105"/>
  <c r="B31" i="105"/>
  <c r="C31" i="105"/>
  <c r="E31" i="105"/>
  <c r="F31" i="105"/>
  <c r="G31" i="105"/>
  <c r="H31" i="105"/>
  <c r="A32" i="105"/>
  <c r="B32" i="105"/>
  <c r="C32" i="105"/>
  <c r="E32" i="105"/>
  <c r="F32" i="105"/>
  <c r="G32" i="105"/>
  <c r="H32" i="105"/>
  <c r="A33" i="105"/>
  <c r="B33" i="105"/>
  <c r="C33" i="105"/>
  <c r="E33" i="105"/>
  <c r="F33" i="105"/>
  <c r="G33" i="105"/>
  <c r="H33" i="105"/>
  <c r="A34" i="105"/>
  <c r="B34" i="105"/>
  <c r="C34" i="105"/>
  <c r="E34" i="105"/>
  <c r="F34" i="105"/>
  <c r="G34" i="105"/>
  <c r="H34" i="105"/>
  <c r="A35" i="105"/>
  <c r="B35" i="105"/>
  <c r="C35" i="105"/>
  <c r="E35" i="105"/>
  <c r="F35" i="105"/>
  <c r="G35" i="105"/>
  <c r="H35" i="105"/>
  <c r="A36" i="105"/>
  <c r="B36" i="105"/>
  <c r="C36" i="105"/>
  <c r="E36" i="105"/>
  <c r="F36" i="105"/>
  <c r="G36" i="105"/>
  <c r="H36" i="105"/>
  <c r="A37" i="105"/>
  <c r="B37" i="105"/>
  <c r="C37" i="105"/>
  <c r="E37" i="105"/>
  <c r="F37" i="105"/>
  <c r="G37" i="105"/>
  <c r="H37" i="105"/>
  <c r="A38" i="105"/>
  <c r="B38" i="105"/>
  <c r="C38" i="105"/>
  <c r="E38" i="105"/>
  <c r="F38" i="105"/>
  <c r="G38" i="105"/>
  <c r="H38" i="105"/>
  <c r="A39" i="105"/>
  <c r="B39" i="105"/>
  <c r="C39" i="105"/>
  <c r="E39" i="105"/>
  <c r="F39" i="105"/>
  <c r="G39" i="105"/>
  <c r="H39" i="105"/>
  <c r="A40" i="105"/>
  <c r="B40" i="105"/>
  <c r="C40" i="105"/>
  <c r="E40" i="105"/>
  <c r="F40" i="105"/>
  <c r="G40" i="105"/>
  <c r="H40" i="105"/>
  <c r="A41" i="105"/>
  <c r="B41" i="105"/>
  <c r="C41" i="105"/>
  <c r="E41" i="105"/>
  <c r="F41" i="105"/>
  <c r="G41" i="105"/>
  <c r="H41" i="105"/>
  <c r="A42" i="105"/>
  <c r="B42" i="105"/>
  <c r="C42" i="105"/>
  <c r="E42" i="105"/>
  <c r="F42" i="105"/>
  <c r="G42" i="105"/>
  <c r="H42" i="105"/>
  <c r="A43" i="105"/>
  <c r="B43" i="105"/>
  <c r="C43" i="105"/>
  <c r="E43" i="105"/>
  <c r="F43" i="105"/>
  <c r="G43" i="105"/>
  <c r="H43" i="105"/>
  <c r="A44" i="105"/>
  <c r="B44" i="105"/>
  <c r="C44" i="105"/>
  <c r="E44" i="105"/>
  <c r="F44" i="105"/>
  <c r="G44" i="105"/>
  <c r="H44" i="105"/>
  <c r="A45" i="105"/>
  <c r="B45" i="105"/>
  <c r="C45" i="105"/>
  <c r="E45" i="105"/>
  <c r="F45" i="105"/>
  <c r="G45" i="105"/>
  <c r="H45" i="105"/>
  <c r="A46" i="105"/>
  <c r="B46" i="105"/>
  <c r="C46" i="105"/>
  <c r="E46" i="105"/>
  <c r="F46" i="105"/>
  <c r="G46" i="105"/>
  <c r="H46" i="105"/>
  <c r="A47" i="105"/>
  <c r="B47" i="105"/>
  <c r="C47" i="105"/>
  <c r="E47" i="105"/>
  <c r="F47" i="105"/>
  <c r="G47" i="105"/>
  <c r="H47" i="105"/>
  <c r="A48" i="105"/>
  <c r="B48" i="105"/>
  <c r="C48" i="105"/>
  <c r="E48" i="105"/>
  <c r="F48" i="105"/>
  <c r="G48" i="105"/>
  <c r="H48" i="105"/>
  <c r="A49" i="105"/>
  <c r="B49" i="105"/>
  <c r="C49" i="105"/>
  <c r="E49" i="105"/>
  <c r="F49" i="105"/>
  <c r="G49" i="105"/>
  <c r="H49" i="105"/>
  <c r="A50" i="105"/>
  <c r="B50" i="105"/>
  <c r="C50" i="105"/>
  <c r="E50" i="105"/>
  <c r="F50" i="105"/>
  <c r="G50" i="105"/>
  <c r="H50" i="105"/>
  <c r="A51" i="105"/>
  <c r="B51" i="105"/>
  <c r="C51" i="105"/>
  <c r="E51" i="105"/>
  <c r="F51" i="105"/>
  <c r="G51" i="105"/>
  <c r="H51" i="105"/>
  <c r="A52" i="105"/>
  <c r="B52" i="105"/>
  <c r="C52" i="105"/>
  <c r="E52" i="105"/>
  <c r="F52" i="105"/>
  <c r="G52" i="105"/>
  <c r="H52" i="105"/>
  <c r="A53" i="105"/>
  <c r="B53" i="105"/>
  <c r="C53" i="105"/>
  <c r="E53" i="105"/>
  <c r="F53" i="105"/>
  <c r="G53" i="105"/>
  <c r="H53" i="105"/>
  <c r="A54" i="105"/>
  <c r="B54" i="105"/>
  <c r="C54" i="105"/>
  <c r="E54" i="105"/>
  <c r="F54" i="105"/>
  <c r="G54" i="105"/>
  <c r="H54" i="105"/>
  <c r="A55" i="105"/>
  <c r="B55" i="105"/>
  <c r="C55" i="105"/>
  <c r="E55" i="105"/>
  <c r="F55" i="105"/>
  <c r="G55" i="105"/>
  <c r="H55" i="105"/>
  <c r="A56" i="105"/>
  <c r="B56" i="105"/>
  <c r="C56" i="105"/>
  <c r="E56" i="105"/>
  <c r="F56" i="105"/>
  <c r="G56" i="105"/>
  <c r="H56" i="105"/>
  <c r="A57" i="105"/>
  <c r="B57" i="105"/>
  <c r="C57" i="105"/>
  <c r="E57" i="105"/>
  <c r="F57" i="105"/>
  <c r="G57" i="105"/>
  <c r="H57" i="105"/>
  <c r="A58" i="105"/>
  <c r="B58" i="105"/>
  <c r="C58" i="105"/>
  <c r="E58" i="105"/>
  <c r="F58" i="105"/>
  <c r="G58" i="105"/>
  <c r="H58" i="105"/>
  <c r="A59" i="105"/>
  <c r="B59" i="105"/>
  <c r="C59" i="105"/>
  <c r="E59" i="105"/>
  <c r="F59" i="105"/>
  <c r="G59" i="105"/>
  <c r="H59" i="105"/>
  <c r="A60" i="105"/>
  <c r="B60" i="105"/>
  <c r="C60" i="105"/>
  <c r="E60" i="105"/>
  <c r="F60" i="105"/>
  <c r="G60" i="105"/>
  <c r="H60" i="105"/>
  <c r="A61" i="105"/>
  <c r="B61" i="105"/>
  <c r="C61" i="105"/>
  <c r="E61" i="105"/>
  <c r="F61" i="105"/>
  <c r="G61" i="105"/>
  <c r="H61" i="105"/>
  <c r="A62" i="105"/>
  <c r="B62" i="105"/>
  <c r="C62" i="105"/>
  <c r="E62" i="105"/>
  <c r="F62" i="105"/>
  <c r="G62" i="105"/>
  <c r="H62" i="105"/>
  <c r="A63" i="105"/>
  <c r="B63" i="105"/>
  <c r="C63" i="105"/>
  <c r="E63" i="105"/>
  <c r="F63" i="105"/>
  <c r="G63" i="105"/>
  <c r="H63" i="105"/>
  <c r="A64" i="105"/>
  <c r="B64" i="105"/>
  <c r="C64" i="105"/>
  <c r="E64" i="105"/>
  <c r="F64" i="105"/>
  <c r="G64" i="105"/>
  <c r="H64" i="105"/>
  <c r="A65" i="105"/>
  <c r="B65" i="105"/>
  <c r="C65" i="105"/>
  <c r="E65" i="105"/>
  <c r="F65" i="105"/>
  <c r="G65" i="105"/>
  <c r="H65" i="105"/>
  <c r="A66" i="105"/>
  <c r="B66" i="105"/>
  <c r="C66" i="105"/>
  <c r="E66" i="105"/>
  <c r="F66" i="105"/>
  <c r="G66" i="105"/>
  <c r="H66" i="105"/>
  <c r="A67" i="105"/>
  <c r="B67" i="105"/>
  <c r="C67" i="105"/>
  <c r="E67" i="105"/>
  <c r="F67" i="105"/>
  <c r="G67" i="105"/>
  <c r="H67" i="105"/>
  <c r="A68" i="105"/>
  <c r="B68" i="105"/>
  <c r="C68" i="105"/>
  <c r="E68" i="105"/>
  <c r="F68" i="105"/>
  <c r="G68" i="105"/>
  <c r="H68" i="105"/>
  <c r="A69" i="105"/>
  <c r="B69" i="105"/>
  <c r="C69" i="105"/>
  <c r="E69" i="105"/>
  <c r="F69" i="105"/>
  <c r="G69" i="105"/>
  <c r="H69" i="105"/>
  <c r="A70" i="105"/>
  <c r="B70" i="105"/>
  <c r="C70" i="105"/>
  <c r="E70" i="105"/>
  <c r="F70" i="105"/>
  <c r="G70" i="105"/>
  <c r="H70" i="105"/>
  <c r="A71" i="105"/>
  <c r="B71" i="105"/>
  <c r="C71" i="105"/>
  <c r="E71" i="105"/>
  <c r="F71" i="105"/>
  <c r="G71" i="105"/>
  <c r="H71" i="105"/>
  <c r="A72" i="105"/>
  <c r="B72" i="105"/>
  <c r="C72" i="105"/>
  <c r="E72" i="105"/>
  <c r="F72" i="105"/>
  <c r="G72" i="105"/>
  <c r="H72" i="105"/>
  <c r="A73" i="105"/>
  <c r="B73" i="105"/>
  <c r="C73" i="105"/>
  <c r="E73" i="105"/>
  <c r="F73" i="105"/>
  <c r="G73" i="105"/>
  <c r="H73" i="105"/>
  <c r="A74" i="105"/>
  <c r="B74" i="105"/>
  <c r="C74" i="105"/>
  <c r="E74" i="105"/>
  <c r="F74" i="105"/>
  <c r="G74" i="105"/>
  <c r="H74" i="105"/>
  <c r="A75" i="105"/>
  <c r="B75" i="105"/>
  <c r="C75" i="105"/>
  <c r="E75" i="105"/>
  <c r="F75" i="105"/>
  <c r="G75" i="105"/>
  <c r="H75" i="105"/>
  <c r="A76" i="105"/>
  <c r="B76" i="105"/>
  <c r="C76" i="105"/>
  <c r="E76" i="105"/>
  <c r="F76" i="105"/>
  <c r="G76" i="105"/>
  <c r="H76" i="105"/>
  <c r="A77" i="105"/>
  <c r="B77" i="105"/>
  <c r="C77" i="105"/>
  <c r="E77" i="105"/>
  <c r="F77" i="105"/>
  <c r="G77" i="105"/>
  <c r="H77" i="105"/>
  <c r="A78" i="105"/>
  <c r="B78" i="105"/>
  <c r="C78" i="105"/>
  <c r="E78" i="105"/>
  <c r="F78" i="105"/>
  <c r="G78" i="105"/>
  <c r="H78" i="105"/>
  <c r="A79" i="105"/>
  <c r="B79" i="105"/>
  <c r="C79" i="105"/>
  <c r="E79" i="105"/>
  <c r="F79" i="105"/>
  <c r="G79" i="105"/>
  <c r="H79" i="105"/>
  <c r="A80" i="105"/>
  <c r="B80" i="105"/>
  <c r="C80" i="105"/>
  <c r="E80" i="105"/>
  <c r="F80" i="105"/>
  <c r="G80" i="105"/>
  <c r="H80" i="105"/>
  <c r="A81" i="105"/>
  <c r="B81" i="105"/>
  <c r="C81" i="105"/>
  <c r="E81" i="105"/>
  <c r="F81" i="105"/>
  <c r="G81" i="105"/>
  <c r="H81" i="105"/>
  <c r="A82" i="105"/>
  <c r="B82" i="105"/>
  <c r="C82" i="105"/>
  <c r="E82" i="105"/>
  <c r="F82" i="105"/>
  <c r="G82" i="105"/>
  <c r="H82" i="105"/>
  <c r="A83" i="105"/>
  <c r="B83" i="105"/>
  <c r="C83" i="105"/>
  <c r="E83" i="105"/>
  <c r="F83" i="105"/>
  <c r="G83" i="105"/>
  <c r="H83" i="105"/>
  <c r="A84" i="105"/>
  <c r="B84" i="105"/>
  <c r="C84" i="105"/>
  <c r="E84" i="105"/>
  <c r="F84" i="105"/>
  <c r="G84" i="105"/>
  <c r="H84" i="105"/>
  <c r="A85" i="105"/>
  <c r="B85" i="105"/>
  <c r="C85" i="105"/>
  <c r="E85" i="105"/>
  <c r="F85" i="105"/>
  <c r="G85" i="105"/>
  <c r="H85" i="105"/>
  <c r="A86" i="105"/>
  <c r="B86" i="105"/>
  <c r="C86" i="105"/>
  <c r="E86" i="105"/>
  <c r="F86" i="105"/>
  <c r="G86" i="105"/>
  <c r="H86" i="105"/>
  <c r="A87" i="105"/>
  <c r="B87" i="105"/>
  <c r="C87" i="105"/>
  <c r="E87" i="105"/>
  <c r="F87" i="105"/>
  <c r="G87" i="105"/>
  <c r="H87" i="105"/>
  <c r="A88" i="105"/>
  <c r="B88" i="105"/>
  <c r="C88" i="105"/>
  <c r="E88" i="105"/>
  <c r="F88" i="105"/>
  <c r="G88" i="105"/>
  <c r="H88" i="105"/>
  <c r="A89" i="105"/>
  <c r="B89" i="105"/>
  <c r="C89" i="105"/>
  <c r="E89" i="105"/>
  <c r="F89" i="105"/>
  <c r="G89" i="105"/>
  <c r="H89" i="105"/>
  <c r="A90" i="105"/>
  <c r="B90" i="105"/>
  <c r="C90" i="105"/>
  <c r="E90" i="105"/>
  <c r="F90" i="105"/>
  <c r="G90" i="105"/>
  <c r="H90" i="105"/>
  <c r="A91" i="105"/>
  <c r="B91" i="105"/>
  <c r="C91" i="105"/>
  <c r="E91" i="105"/>
  <c r="F91" i="105"/>
  <c r="G91" i="105"/>
  <c r="H91" i="105"/>
  <c r="A92" i="105"/>
  <c r="B92" i="105"/>
  <c r="C92" i="105"/>
  <c r="E92" i="105"/>
  <c r="F92" i="105"/>
  <c r="G92" i="105"/>
  <c r="H92" i="105"/>
  <c r="A93" i="105"/>
  <c r="B93" i="105"/>
  <c r="C93" i="105"/>
  <c r="E93" i="105"/>
  <c r="F93" i="105"/>
  <c r="G93" i="105"/>
  <c r="H93" i="105"/>
  <c r="A94" i="105"/>
  <c r="B94" i="105"/>
  <c r="C94" i="105"/>
  <c r="E94" i="105"/>
  <c r="F94" i="105"/>
  <c r="G94" i="105"/>
  <c r="H94" i="105"/>
  <c r="A95" i="105"/>
  <c r="B95" i="105"/>
  <c r="C95" i="105"/>
  <c r="E95" i="105"/>
  <c r="F95" i="105"/>
  <c r="G95" i="105"/>
  <c r="H95" i="105"/>
  <c r="A96" i="105"/>
  <c r="B96" i="105"/>
  <c r="C96" i="105"/>
  <c r="E96" i="105"/>
  <c r="F96" i="105"/>
  <c r="G96" i="105"/>
  <c r="H96" i="105"/>
  <c r="A97" i="105"/>
  <c r="B97" i="105"/>
  <c r="C97" i="105"/>
  <c r="E97" i="105"/>
  <c r="F97" i="105"/>
  <c r="G97" i="105"/>
  <c r="H97" i="105"/>
  <c r="A98" i="105"/>
  <c r="B98" i="105"/>
  <c r="C98" i="105"/>
  <c r="E98" i="105"/>
  <c r="F98" i="105"/>
  <c r="G98" i="105"/>
  <c r="H98" i="105"/>
  <c r="A99" i="105"/>
  <c r="B99" i="105"/>
  <c r="C99" i="105"/>
  <c r="E99" i="105"/>
  <c r="F99" i="105"/>
  <c r="G99" i="105"/>
  <c r="H99" i="105"/>
  <c r="A100" i="105"/>
  <c r="B100" i="105"/>
  <c r="C100" i="105"/>
  <c r="E100" i="105"/>
  <c r="F100" i="105"/>
  <c r="G100" i="105"/>
  <c r="H100" i="105"/>
  <c r="A101" i="105"/>
  <c r="B101" i="105"/>
  <c r="C101" i="105"/>
  <c r="E101" i="105"/>
  <c r="F101" i="105"/>
  <c r="G101" i="105"/>
  <c r="H101" i="105"/>
  <c r="A102" i="105"/>
  <c r="B102" i="105"/>
  <c r="C102" i="105"/>
  <c r="E102" i="105"/>
  <c r="F102" i="105"/>
  <c r="G102" i="105"/>
  <c r="H102" i="105"/>
  <c r="A103" i="105"/>
  <c r="B103" i="105"/>
  <c r="C103" i="105"/>
  <c r="E103" i="105"/>
  <c r="F103" i="105"/>
  <c r="G103" i="105"/>
  <c r="H103" i="105"/>
  <c r="A104" i="105"/>
  <c r="B104" i="105"/>
  <c r="C104" i="105"/>
  <c r="E104" i="105"/>
  <c r="F104" i="105"/>
  <c r="G104" i="105"/>
  <c r="H104" i="105"/>
  <c r="A105" i="105"/>
  <c r="B105" i="105"/>
  <c r="C105" i="105"/>
  <c r="E105" i="105"/>
  <c r="F105" i="105"/>
  <c r="G105" i="105"/>
  <c r="H105" i="105"/>
  <c r="A106" i="105"/>
  <c r="B106" i="105"/>
  <c r="C106" i="105"/>
  <c r="E106" i="105"/>
  <c r="F106" i="105"/>
  <c r="G106" i="105"/>
  <c r="H106" i="105"/>
  <c r="A107" i="105"/>
  <c r="B107" i="105"/>
  <c r="C107" i="105"/>
  <c r="E107" i="105"/>
  <c r="F107" i="105"/>
  <c r="G107" i="105"/>
  <c r="H107" i="105"/>
  <c r="A108" i="105"/>
  <c r="B108" i="105"/>
  <c r="C108" i="105"/>
  <c r="E108" i="105"/>
  <c r="F108" i="105"/>
  <c r="G108" i="105"/>
  <c r="H108" i="105"/>
  <c r="A109" i="105"/>
  <c r="B109" i="105"/>
  <c r="C109" i="105"/>
  <c r="E109" i="105"/>
  <c r="F109" i="105"/>
  <c r="G109" i="105"/>
  <c r="H109" i="105"/>
  <c r="A110" i="105"/>
  <c r="B110" i="105"/>
  <c r="C110" i="105"/>
  <c r="E110" i="105"/>
  <c r="F110" i="105"/>
  <c r="G110" i="105"/>
  <c r="H110" i="105"/>
  <c r="A111" i="105"/>
  <c r="B111" i="105"/>
  <c r="C111" i="105"/>
  <c r="E111" i="105"/>
  <c r="F111" i="105"/>
  <c r="G111" i="105"/>
  <c r="H111" i="105"/>
  <c r="A112" i="105"/>
  <c r="B112" i="105"/>
  <c r="C112" i="105"/>
  <c r="E112" i="105"/>
  <c r="F112" i="105"/>
  <c r="G112" i="105"/>
  <c r="H112" i="105"/>
  <c r="A113" i="105"/>
  <c r="B113" i="105"/>
  <c r="C113" i="105"/>
  <c r="E113" i="105"/>
  <c r="F113" i="105"/>
  <c r="G113" i="105"/>
  <c r="H113" i="105"/>
  <c r="A114" i="105"/>
  <c r="B114" i="105"/>
  <c r="C114" i="105"/>
  <c r="E114" i="105"/>
  <c r="F114" i="105"/>
  <c r="G114" i="105"/>
  <c r="H114" i="105"/>
  <c r="A115" i="105"/>
  <c r="B115" i="105"/>
  <c r="C115" i="105"/>
  <c r="E115" i="105"/>
  <c r="F115" i="105"/>
  <c r="G115" i="105"/>
  <c r="H115" i="105"/>
  <c r="A116" i="105"/>
  <c r="B116" i="105"/>
  <c r="C116" i="105"/>
  <c r="E116" i="105"/>
  <c r="F116" i="105"/>
  <c r="G116" i="105"/>
  <c r="H116" i="105"/>
  <c r="A117" i="105"/>
  <c r="B117" i="105"/>
  <c r="C117" i="105"/>
  <c r="E117" i="105"/>
  <c r="F117" i="105"/>
  <c r="G117" i="105"/>
  <c r="H117" i="105"/>
  <c r="A118" i="105"/>
  <c r="B118" i="105"/>
  <c r="C118" i="105"/>
  <c r="E118" i="105"/>
  <c r="F118" i="105"/>
  <c r="G118" i="105"/>
  <c r="H118" i="105"/>
  <c r="A119" i="105"/>
  <c r="B119" i="105"/>
  <c r="C119" i="105"/>
  <c r="E119" i="105"/>
  <c r="F119" i="105"/>
  <c r="G119" i="105"/>
  <c r="H119" i="105"/>
  <c r="A120" i="105"/>
  <c r="B120" i="105"/>
  <c r="C120" i="105"/>
  <c r="E120" i="105"/>
  <c r="F120" i="105"/>
  <c r="G120" i="105"/>
  <c r="H120" i="105"/>
  <c r="A121" i="105"/>
  <c r="B121" i="105"/>
  <c r="C121" i="105"/>
  <c r="E121" i="105"/>
  <c r="F121" i="105"/>
  <c r="G121" i="105"/>
  <c r="H121" i="105"/>
  <c r="A122" i="105"/>
  <c r="B122" i="105"/>
  <c r="C122" i="105"/>
  <c r="E122" i="105"/>
  <c r="F122" i="105"/>
  <c r="G122" i="105"/>
  <c r="H122" i="105"/>
  <c r="A123" i="105"/>
  <c r="B123" i="105"/>
  <c r="C123" i="105"/>
  <c r="E123" i="105"/>
  <c r="F123" i="105"/>
  <c r="G123" i="105"/>
  <c r="H123" i="105"/>
  <c r="A124" i="105"/>
  <c r="B124" i="105"/>
  <c r="C124" i="105"/>
  <c r="E124" i="105"/>
  <c r="F124" i="105"/>
  <c r="G124" i="105"/>
  <c r="H124" i="105"/>
  <c r="A125" i="105"/>
  <c r="B125" i="105"/>
  <c r="C125" i="105"/>
  <c r="E125" i="105"/>
  <c r="F125" i="105"/>
  <c r="G125" i="105"/>
  <c r="H125" i="105"/>
  <c r="A126" i="105"/>
  <c r="B126" i="105"/>
  <c r="C126" i="105"/>
  <c r="E126" i="105"/>
  <c r="F126" i="105"/>
  <c r="G126" i="105"/>
  <c r="H126" i="105"/>
  <c r="A127" i="105"/>
  <c r="B127" i="105"/>
  <c r="C127" i="105"/>
  <c r="E127" i="105"/>
  <c r="F127" i="105"/>
  <c r="G127" i="105"/>
  <c r="H127" i="105"/>
  <c r="A128" i="105"/>
  <c r="B128" i="105"/>
  <c r="C128" i="105"/>
  <c r="E128" i="105"/>
  <c r="F128" i="105"/>
  <c r="G128" i="105"/>
  <c r="H128" i="105"/>
  <c r="A129" i="105"/>
  <c r="B129" i="105"/>
  <c r="C129" i="105"/>
  <c r="E129" i="105"/>
  <c r="F129" i="105"/>
  <c r="G129" i="105"/>
  <c r="H129" i="105"/>
  <c r="A130" i="105"/>
  <c r="B130" i="105"/>
  <c r="C130" i="105"/>
  <c r="E130" i="105"/>
  <c r="F130" i="105"/>
  <c r="G130" i="105"/>
  <c r="H130" i="105"/>
  <c r="A131" i="105"/>
  <c r="B131" i="105"/>
  <c r="C131" i="105"/>
  <c r="E131" i="105"/>
  <c r="F131" i="105"/>
  <c r="G131" i="105"/>
  <c r="H131" i="105"/>
  <c r="A132" i="105"/>
  <c r="B132" i="105"/>
  <c r="C132" i="105"/>
  <c r="E132" i="105"/>
  <c r="F132" i="105"/>
  <c r="G132" i="105"/>
  <c r="H132" i="105"/>
  <c r="A133" i="105"/>
  <c r="B133" i="105"/>
  <c r="C133" i="105"/>
  <c r="E133" i="105"/>
  <c r="F133" i="105"/>
  <c r="G133" i="105"/>
  <c r="H133" i="105"/>
  <c r="A134" i="105"/>
  <c r="B134" i="105"/>
  <c r="C134" i="105"/>
  <c r="E134" i="105"/>
  <c r="F134" i="105"/>
  <c r="G134" i="105"/>
  <c r="H134" i="105"/>
  <c r="A135" i="105"/>
  <c r="B135" i="105"/>
  <c r="C135" i="105"/>
  <c r="E135" i="105"/>
  <c r="F135" i="105"/>
  <c r="G135" i="105"/>
  <c r="H135" i="105"/>
  <c r="A136" i="105"/>
  <c r="B136" i="105"/>
  <c r="C136" i="105"/>
  <c r="E136" i="105"/>
  <c r="F136" i="105"/>
  <c r="G136" i="105"/>
  <c r="H136" i="105"/>
  <c r="A137" i="105"/>
  <c r="B137" i="105"/>
  <c r="C137" i="105"/>
  <c r="E137" i="105"/>
  <c r="F137" i="105"/>
  <c r="G137" i="105"/>
  <c r="H137" i="105"/>
  <c r="A138" i="105"/>
  <c r="B138" i="105"/>
  <c r="C138" i="105"/>
  <c r="E138" i="105"/>
  <c r="F138" i="105"/>
  <c r="G138" i="105"/>
  <c r="H138" i="105"/>
  <c r="A139" i="105"/>
  <c r="B139" i="105"/>
  <c r="C139" i="105"/>
  <c r="E139" i="105"/>
  <c r="F139" i="105"/>
  <c r="G139" i="105"/>
  <c r="H139" i="105"/>
  <c r="A140" i="105"/>
  <c r="B140" i="105"/>
  <c r="C140" i="105"/>
  <c r="E140" i="105"/>
  <c r="F140" i="105"/>
  <c r="G140" i="105"/>
  <c r="H140" i="105"/>
  <c r="A141" i="105"/>
  <c r="B141" i="105"/>
  <c r="C141" i="105"/>
  <c r="E141" i="105"/>
  <c r="F141" i="105"/>
  <c r="G141" i="105"/>
  <c r="H141" i="105"/>
  <c r="A142" i="105"/>
  <c r="B142" i="105"/>
  <c r="C142" i="105"/>
  <c r="E142" i="105"/>
  <c r="F142" i="105"/>
  <c r="G142" i="105"/>
  <c r="H142" i="105"/>
  <c r="A143" i="105"/>
  <c r="B143" i="105"/>
  <c r="C143" i="105"/>
  <c r="E143" i="105"/>
  <c r="F143" i="105"/>
  <c r="G143" i="105"/>
  <c r="H143" i="105"/>
  <c r="A144" i="105"/>
  <c r="B144" i="105"/>
  <c r="C144" i="105"/>
  <c r="E144" i="105"/>
  <c r="F144" i="105"/>
  <c r="G144" i="105"/>
  <c r="H144" i="105"/>
  <c r="A145" i="105"/>
  <c r="B145" i="105"/>
  <c r="C145" i="105"/>
  <c r="E145" i="105"/>
  <c r="F145" i="105"/>
  <c r="G145" i="105"/>
  <c r="H145" i="105"/>
  <c r="A146" i="105"/>
  <c r="B146" i="105"/>
  <c r="C146" i="105"/>
  <c r="E146" i="105"/>
  <c r="F146" i="105"/>
  <c r="G146" i="105"/>
  <c r="H146" i="105"/>
  <c r="A147" i="105"/>
  <c r="B147" i="105"/>
  <c r="C147" i="105"/>
  <c r="E147" i="105"/>
  <c r="F147" i="105"/>
  <c r="G147" i="105"/>
  <c r="H147" i="105"/>
  <c r="A148" i="105"/>
  <c r="B148" i="105"/>
  <c r="C148" i="105"/>
  <c r="E148" i="105"/>
  <c r="F148" i="105"/>
  <c r="G148" i="105"/>
  <c r="H148" i="105"/>
  <c r="A149" i="105"/>
  <c r="B149" i="105"/>
  <c r="C149" i="105"/>
  <c r="E149" i="105"/>
  <c r="F149" i="105"/>
  <c r="G149" i="105"/>
  <c r="H149" i="105"/>
  <c r="A150" i="105"/>
  <c r="B150" i="105"/>
  <c r="C150" i="105"/>
  <c r="E150" i="105"/>
  <c r="F150" i="105"/>
  <c r="G150" i="105"/>
  <c r="H150" i="105"/>
  <c r="A151" i="105"/>
  <c r="B151" i="105"/>
  <c r="C151" i="105"/>
  <c r="E151" i="105"/>
  <c r="F151" i="105"/>
  <c r="G151" i="105"/>
  <c r="H151" i="105"/>
  <c r="A152" i="105"/>
  <c r="B152" i="105"/>
  <c r="C152" i="105"/>
  <c r="E152" i="105"/>
  <c r="F152" i="105"/>
  <c r="G152" i="105"/>
  <c r="H152" i="105"/>
  <c r="A153" i="105"/>
  <c r="B153" i="105"/>
  <c r="C153" i="105"/>
  <c r="E153" i="105"/>
  <c r="F153" i="105"/>
  <c r="G153" i="105"/>
  <c r="H153" i="105"/>
  <c r="A154" i="105"/>
  <c r="B154" i="105"/>
  <c r="C154" i="105"/>
  <c r="E154" i="105"/>
  <c r="F154" i="105"/>
  <c r="G154" i="105"/>
  <c r="H154" i="105"/>
  <c r="A155" i="105"/>
  <c r="B155" i="105"/>
  <c r="C155" i="105"/>
  <c r="E155" i="105"/>
  <c r="F155" i="105"/>
  <c r="G155" i="105"/>
  <c r="H155" i="105"/>
  <c r="A156" i="105"/>
  <c r="B156" i="105"/>
  <c r="C156" i="105"/>
  <c r="E156" i="105"/>
  <c r="F156" i="105"/>
  <c r="G156" i="105"/>
  <c r="H156" i="105"/>
  <c r="A157" i="105"/>
  <c r="B157" i="105"/>
  <c r="C157" i="105"/>
  <c r="E157" i="105"/>
  <c r="F157" i="105"/>
  <c r="G157" i="105"/>
  <c r="H157" i="105"/>
  <c r="A158" i="105"/>
  <c r="B158" i="105"/>
  <c r="C158" i="105"/>
  <c r="E158" i="105"/>
  <c r="F158" i="105"/>
  <c r="G158" i="105"/>
  <c r="H158" i="105"/>
  <c r="A159" i="105"/>
  <c r="B159" i="105"/>
  <c r="C159" i="105"/>
  <c r="E159" i="105"/>
  <c r="F159" i="105"/>
  <c r="G159" i="105"/>
  <c r="H159" i="105"/>
  <c r="A160" i="105"/>
  <c r="B160" i="105"/>
  <c r="C160" i="105"/>
  <c r="E160" i="105"/>
  <c r="F160" i="105"/>
  <c r="G160" i="105"/>
  <c r="H160" i="105"/>
  <c r="A161" i="105"/>
  <c r="B161" i="105"/>
  <c r="C161" i="105"/>
  <c r="E161" i="105"/>
  <c r="F161" i="105"/>
  <c r="G161" i="105"/>
  <c r="H161" i="105"/>
  <c r="A162" i="105"/>
  <c r="B162" i="105"/>
  <c r="C162" i="105"/>
  <c r="E162" i="105"/>
  <c r="F162" i="105"/>
  <c r="G162" i="105"/>
  <c r="H162" i="105"/>
  <c r="A163" i="105"/>
  <c r="B163" i="105"/>
  <c r="C163" i="105"/>
  <c r="E163" i="105"/>
  <c r="F163" i="105"/>
  <c r="G163" i="105"/>
  <c r="H163" i="105"/>
  <c r="A164" i="105"/>
  <c r="B164" i="105"/>
  <c r="C164" i="105"/>
  <c r="E164" i="105"/>
  <c r="F164" i="105"/>
  <c r="G164" i="105"/>
  <c r="H164" i="105"/>
  <c r="A165" i="105"/>
  <c r="B165" i="105"/>
  <c r="C165" i="105"/>
  <c r="E165" i="105"/>
  <c r="F165" i="105"/>
  <c r="G165" i="105"/>
  <c r="H165" i="105"/>
  <c r="A166" i="105"/>
  <c r="B166" i="105"/>
  <c r="C166" i="105"/>
  <c r="E166" i="105"/>
  <c r="F166" i="105"/>
  <c r="G166" i="105"/>
  <c r="H166" i="105"/>
  <c r="A167" i="105"/>
  <c r="B167" i="105"/>
  <c r="C167" i="105"/>
  <c r="E167" i="105"/>
  <c r="F167" i="105"/>
  <c r="G167" i="105"/>
  <c r="H167" i="105"/>
  <c r="A168" i="105"/>
  <c r="B168" i="105"/>
  <c r="C168" i="105"/>
  <c r="E168" i="105"/>
  <c r="F168" i="105"/>
  <c r="G168" i="105"/>
  <c r="H168" i="105"/>
  <c r="A169" i="105"/>
  <c r="B169" i="105"/>
  <c r="C169" i="105"/>
  <c r="E169" i="105"/>
  <c r="F169" i="105"/>
  <c r="G169" i="105"/>
  <c r="H169" i="105"/>
  <c r="A170" i="105"/>
  <c r="B170" i="105"/>
  <c r="C170" i="105"/>
  <c r="E170" i="105"/>
  <c r="F170" i="105"/>
  <c r="G170" i="105"/>
  <c r="H170" i="105"/>
  <c r="A171" i="105"/>
  <c r="B171" i="105"/>
  <c r="C171" i="105"/>
  <c r="E171" i="105"/>
  <c r="F171" i="105"/>
  <c r="G171" i="105"/>
  <c r="H171" i="105"/>
  <c r="A172" i="105"/>
  <c r="B172" i="105"/>
  <c r="C172" i="105"/>
  <c r="E172" i="105"/>
  <c r="F172" i="105"/>
  <c r="G172" i="105"/>
  <c r="H172" i="105"/>
  <c r="A173" i="105"/>
  <c r="B173" i="105"/>
  <c r="C173" i="105"/>
  <c r="E173" i="105"/>
  <c r="F173" i="105"/>
  <c r="G173" i="105"/>
  <c r="H173" i="105"/>
  <c r="A174" i="105"/>
  <c r="B174" i="105"/>
  <c r="C174" i="105"/>
  <c r="E174" i="105"/>
  <c r="F174" i="105"/>
  <c r="G174" i="105"/>
  <c r="H174" i="105"/>
  <c r="A175" i="105"/>
  <c r="B175" i="105"/>
  <c r="C175" i="105"/>
  <c r="E175" i="105"/>
  <c r="F175" i="105"/>
  <c r="G175" i="105"/>
  <c r="H175" i="105"/>
  <c r="A176" i="105"/>
  <c r="B176" i="105"/>
  <c r="C176" i="105"/>
  <c r="E176" i="105"/>
  <c r="F176" i="105"/>
  <c r="G176" i="105"/>
  <c r="H176" i="105"/>
  <c r="A177" i="105"/>
  <c r="B177" i="105"/>
  <c r="C177" i="105"/>
  <c r="E177" i="105"/>
  <c r="F177" i="105"/>
  <c r="G177" i="105"/>
  <c r="H177" i="105"/>
  <c r="A178" i="105"/>
  <c r="B178" i="105"/>
  <c r="C178" i="105"/>
  <c r="E178" i="105"/>
  <c r="F178" i="105"/>
  <c r="G178" i="105"/>
  <c r="H178" i="105"/>
  <c r="A179" i="105"/>
  <c r="B179" i="105"/>
  <c r="C179" i="105"/>
  <c r="E179" i="105"/>
  <c r="F179" i="105"/>
  <c r="G179" i="105"/>
  <c r="H179" i="105"/>
  <c r="A180" i="105"/>
  <c r="B180" i="105"/>
  <c r="C180" i="105"/>
  <c r="E180" i="105"/>
  <c r="F180" i="105"/>
  <c r="G180" i="105"/>
  <c r="H180" i="105"/>
  <c r="A181" i="105"/>
  <c r="B181" i="105"/>
  <c r="C181" i="105"/>
  <c r="E181" i="105"/>
  <c r="F181" i="105"/>
  <c r="G181" i="105"/>
  <c r="H181" i="105"/>
  <c r="A182" i="105"/>
  <c r="B182" i="105"/>
  <c r="C182" i="105"/>
  <c r="E182" i="105"/>
  <c r="F182" i="105"/>
  <c r="G182" i="105"/>
  <c r="H182" i="105"/>
  <c r="A183" i="105"/>
  <c r="B183" i="105"/>
  <c r="C183" i="105"/>
  <c r="E183" i="105"/>
  <c r="F183" i="105"/>
  <c r="G183" i="105"/>
  <c r="H183" i="105"/>
  <c r="A184" i="105"/>
  <c r="B184" i="105"/>
  <c r="C184" i="105"/>
  <c r="E184" i="105"/>
  <c r="F184" i="105"/>
  <c r="G184" i="105"/>
  <c r="H184" i="105"/>
  <c r="A185" i="105"/>
  <c r="B185" i="105"/>
  <c r="C185" i="105"/>
  <c r="E185" i="105"/>
  <c r="F185" i="105"/>
  <c r="G185" i="105"/>
  <c r="H185" i="105"/>
  <c r="A186" i="105"/>
  <c r="B186" i="105"/>
  <c r="C186" i="105"/>
  <c r="E186" i="105"/>
  <c r="F186" i="105"/>
  <c r="G186" i="105"/>
  <c r="H186" i="105"/>
  <c r="A187" i="105"/>
  <c r="B187" i="105"/>
  <c r="C187" i="105"/>
  <c r="E187" i="105"/>
  <c r="F187" i="105"/>
  <c r="G187" i="105"/>
  <c r="H187" i="105"/>
  <c r="A188" i="105"/>
  <c r="B188" i="105"/>
  <c r="C188" i="105"/>
  <c r="E188" i="105"/>
  <c r="F188" i="105"/>
  <c r="G188" i="105"/>
  <c r="H188" i="105"/>
  <c r="A189" i="105"/>
  <c r="B189" i="105"/>
  <c r="C189" i="105"/>
  <c r="E189" i="105"/>
  <c r="F189" i="105"/>
  <c r="G189" i="105"/>
  <c r="H189" i="105"/>
  <c r="A190" i="105"/>
  <c r="B190" i="105"/>
  <c r="C190" i="105"/>
  <c r="E190" i="105"/>
  <c r="F190" i="105"/>
  <c r="G190" i="105"/>
  <c r="H190" i="105"/>
  <c r="A191" i="105"/>
  <c r="B191" i="105"/>
  <c r="C191" i="105"/>
  <c r="E191" i="105"/>
  <c r="F191" i="105"/>
  <c r="G191" i="105"/>
  <c r="H191" i="105"/>
  <c r="A192" i="105"/>
  <c r="B192" i="105"/>
  <c r="C192" i="105"/>
  <c r="E192" i="105"/>
  <c r="F192" i="105"/>
  <c r="G192" i="105"/>
  <c r="H192" i="105"/>
  <c r="A193" i="105"/>
  <c r="B193" i="105"/>
  <c r="C193" i="105"/>
  <c r="E193" i="105"/>
  <c r="F193" i="105"/>
  <c r="G193" i="105"/>
  <c r="H193" i="105"/>
  <c r="A194" i="105"/>
  <c r="B194" i="105"/>
  <c r="C194" i="105"/>
  <c r="E194" i="105"/>
  <c r="F194" i="105"/>
  <c r="G194" i="105"/>
  <c r="H194" i="105"/>
  <c r="A195" i="105"/>
  <c r="B195" i="105"/>
  <c r="C195" i="105"/>
  <c r="E195" i="105"/>
  <c r="F195" i="105"/>
  <c r="G195" i="105"/>
  <c r="H195" i="105"/>
  <c r="A196" i="105"/>
  <c r="B196" i="105"/>
  <c r="C196" i="105"/>
  <c r="E196" i="105"/>
  <c r="F196" i="105"/>
  <c r="G196" i="105"/>
  <c r="H196" i="105"/>
  <c r="A197" i="105"/>
  <c r="B197" i="105"/>
  <c r="C197" i="105"/>
  <c r="E197" i="105"/>
  <c r="F197" i="105"/>
  <c r="G197" i="105"/>
  <c r="H197" i="105"/>
  <c r="A198" i="105"/>
  <c r="B198" i="105"/>
  <c r="C198" i="105"/>
  <c r="E198" i="105"/>
  <c r="F198" i="105"/>
  <c r="G198" i="105"/>
  <c r="H198" i="105"/>
  <c r="A199" i="105"/>
  <c r="B199" i="105"/>
  <c r="C199" i="105"/>
  <c r="E199" i="105"/>
  <c r="F199" i="105"/>
  <c r="G199" i="105"/>
  <c r="H199" i="105"/>
  <c r="A200" i="105"/>
  <c r="B200" i="105"/>
  <c r="C200" i="105"/>
  <c r="E200" i="105"/>
  <c r="F200" i="105"/>
  <c r="G200" i="105"/>
  <c r="H200" i="105"/>
  <c r="A201" i="105"/>
  <c r="B201" i="105"/>
  <c r="C201" i="105"/>
  <c r="E201" i="105"/>
  <c r="F201" i="105"/>
  <c r="G201" i="105"/>
  <c r="H201" i="105"/>
  <c r="A202" i="105"/>
  <c r="B202" i="105"/>
  <c r="C202" i="105"/>
  <c r="E202" i="105"/>
  <c r="F202" i="105"/>
  <c r="G202" i="105"/>
  <c r="H202" i="105"/>
  <c r="A203" i="105"/>
  <c r="B203" i="105"/>
  <c r="C203" i="105"/>
  <c r="E203" i="105"/>
  <c r="F203" i="105"/>
  <c r="G203" i="105"/>
  <c r="H203" i="105"/>
  <c r="A204" i="105"/>
  <c r="B204" i="105"/>
  <c r="C204" i="105"/>
  <c r="E204" i="105"/>
  <c r="F204" i="105"/>
  <c r="G204" i="105"/>
  <c r="H204" i="105"/>
  <c r="A205" i="105"/>
  <c r="B205" i="105"/>
  <c r="C205" i="105"/>
  <c r="E205" i="105"/>
  <c r="F205" i="105"/>
  <c r="G205" i="105"/>
  <c r="H205" i="105"/>
  <c r="A206" i="105"/>
  <c r="B206" i="105"/>
  <c r="C206" i="105"/>
  <c r="E206" i="105"/>
  <c r="F206" i="105"/>
  <c r="G206" i="105"/>
  <c r="H206" i="105"/>
  <c r="A207" i="105"/>
  <c r="B207" i="105"/>
  <c r="C207" i="105"/>
  <c r="E207" i="105"/>
  <c r="F207" i="105"/>
  <c r="G207" i="105"/>
  <c r="H207" i="105"/>
  <c r="A208" i="105"/>
  <c r="B208" i="105"/>
  <c r="C208" i="105"/>
  <c r="E208" i="105"/>
  <c r="F208" i="105"/>
  <c r="G208" i="105"/>
  <c r="H208" i="105"/>
  <c r="A209" i="105"/>
  <c r="B209" i="105"/>
  <c r="C209" i="105"/>
  <c r="E209" i="105"/>
  <c r="F209" i="105"/>
  <c r="G209" i="105"/>
  <c r="H209" i="105"/>
  <c r="A210" i="105"/>
  <c r="B210" i="105"/>
  <c r="C210" i="105"/>
  <c r="E210" i="105"/>
  <c r="F210" i="105"/>
  <c r="G210" i="105"/>
  <c r="H210" i="105"/>
  <c r="A211" i="105"/>
  <c r="B211" i="105"/>
  <c r="C211" i="105"/>
  <c r="E211" i="105"/>
  <c r="F211" i="105"/>
  <c r="G211" i="105"/>
  <c r="H211" i="105"/>
  <c r="A212" i="105"/>
  <c r="B212" i="105"/>
  <c r="C212" i="105"/>
  <c r="E212" i="105"/>
  <c r="F212" i="105"/>
  <c r="G212" i="105"/>
  <c r="H212" i="105"/>
  <c r="A213" i="105"/>
  <c r="B213" i="105"/>
  <c r="C213" i="105"/>
  <c r="E213" i="105"/>
  <c r="F213" i="105"/>
  <c r="G213" i="105"/>
  <c r="H213" i="105"/>
  <c r="A214" i="105"/>
  <c r="B214" i="105"/>
  <c r="C214" i="105"/>
  <c r="E214" i="105"/>
  <c r="F214" i="105"/>
  <c r="G214" i="105"/>
  <c r="H214" i="105"/>
  <c r="A215" i="105"/>
  <c r="B215" i="105"/>
  <c r="C215" i="105"/>
  <c r="E215" i="105"/>
  <c r="F215" i="105"/>
  <c r="G215" i="105"/>
  <c r="H215" i="105"/>
  <c r="A216" i="105"/>
  <c r="B216" i="105"/>
  <c r="C216" i="105"/>
  <c r="E216" i="105"/>
  <c r="F216" i="105"/>
  <c r="G216" i="105"/>
  <c r="H216" i="105"/>
  <c r="A217" i="105"/>
  <c r="B217" i="105"/>
  <c r="C217" i="105"/>
  <c r="E217" i="105"/>
  <c r="F217" i="105"/>
  <c r="G217" i="105"/>
  <c r="H217" i="105"/>
  <c r="A218" i="105"/>
  <c r="B218" i="105"/>
  <c r="C218" i="105"/>
  <c r="E218" i="105"/>
  <c r="F218" i="105"/>
  <c r="G218" i="105"/>
  <c r="H218" i="105"/>
  <c r="A219" i="105"/>
  <c r="B219" i="105"/>
  <c r="C219" i="105"/>
  <c r="E219" i="105"/>
  <c r="F219" i="105"/>
  <c r="G219" i="105"/>
  <c r="H219" i="105"/>
  <c r="A220" i="105"/>
  <c r="B220" i="105"/>
  <c r="C220" i="105"/>
  <c r="E220" i="105"/>
  <c r="F220" i="105"/>
  <c r="G220" i="105"/>
  <c r="H220" i="105"/>
  <c r="A221" i="105"/>
  <c r="B221" i="105"/>
  <c r="C221" i="105"/>
  <c r="E221" i="105"/>
  <c r="F221" i="105"/>
  <c r="G221" i="105"/>
  <c r="H221" i="105"/>
  <c r="A222" i="105"/>
  <c r="B222" i="105"/>
  <c r="C222" i="105"/>
  <c r="E222" i="105"/>
  <c r="F222" i="105"/>
  <c r="G222" i="105"/>
  <c r="H222" i="105"/>
  <c r="A223" i="105"/>
  <c r="B223" i="105"/>
  <c r="C223" i="105"/>
  <c r="E223" i="105"/>
  <c r="F223" i="105"/>
  <c r="G223" i="105"/>
  <c r="H223" i="105"/>
  <c r="A224" i="105"/>
  <c r="B224" i="105"/>
  <c r="C224" i="105"/>
  <c r="E224" i="105"/>
  <c r="F224" i="105"/>
  <c r="G224" i="105"/>
  <c r="H224" i="105"/>
  <c r="A225" i="105"/>
  <c r="B225" i="105"/>
  <c r="C225" i="105"/>
  <c r="E225" i="105"/>
  <c r="F225" i="105"/>
  <c r="G225" i="105"/>
  <c r="H225" i="105"/>
  <c r="A226" i="105"/>
  <c r="B226" i="105"/>
  <c r="C226" i="105"/>
  <c r="E226" i="105"/>
  <c r="F226" i="105"/>
  <c r="G226" i="105"/>
  <c r="H226" i="105"/>
  <c r="A227" i="105"/>
  <c r="B227" i="105"/>
  <c r="C227" i="105"/>
  <c r="E227" i="105"/>
  <c r="F227" i="105"/>
  <c r="G227" i="105"/>
  <c r="H227" i="105"/>
  <c r="A228" i="105"/>
  <c r="B228" i="105"/>
  <c r="C228" i="105"/>
  <c r="E228" i="105"/>
  <c r="F228" i="105"/>
  <c r="G228" i="105"/>
  <c r="H228" i="105"/>
  <c r="A229" i="105"/>
  <c r="B229" i="105"/>
  <c r="C229" i="105"/>
  <c r="E229" i="105"/>
  <c r="F229" i="105"/>
  <c r="G229" i="105"/>
  <c r="H229" i="105"/>
  <c r="A230" i="105"/>
  <c r="B230" i="105"/>
  <c r="C230" i="105"/>
  <c r="E230" i="105"/>
  <c r="F230" i="105"/>
  <c r="G230" i="105"/>
  <c r="H230" i="105"/>
  <c r="A231" i="105"/>
  <c r="B231" i="105"/>
  <c r="C231" i="105"/>
  <c r="E231" i="105"/>
  <c r="F231" i="105"/>
  <c r="G231" i="105"/>
  <c r="H231" i="105"/>
  <c r="A232" i="105"/>
  <c r="B232" i="105"/>
  <c r="C232" i="105"/>
  <c r="E232" i="105"/>
  <c r="F232" i="105"/>
  <c r="G232" i="105"/>
  <c r="H232" i="105"/>
  <c r="A233" i="105"/>
  <c r="B233" i="105"/>
  <c r="C233" i="105"/>
  <c r="E233" i="105"/>
  <c r="F233" i="105"/>
  <c r="G233" i="105"/>
  <c r="H233" i="105"/>
  <c r="A234" i="105"/>
  <c r="B234" i="105"/>
  <c r="C234" i="105"/>
  <c r="E234" i="105"/>
  <c r="F234" i="105"/>
  <c r="G234" i="105"/>
  <c r="H234" i="105"/>
  <c r="A235" i="105"/>
  <c r="B235" i="105"/>
  <c r="C235" i="105"/>
  <c r="E235" i="105"/>
  <c r="F235" i="105"/>
  <c r="G235" i="105"/>
  <c r="H235" i="105"/>
  <c r="A236" i="105"/>
  <c r="B236" i="105"/>
  <c r="C236" i="105"/>
  <c r="E236" i="105"/>
  <c r="F236" i="105"/>
  <c r="G236" i="105"/>
  <c r="H236" i="105"/>
  <c r="A237" i="105"/>
  <c r="B237" i="105"/>
  <c r="C237" i="105"/>
  <c r="E237" i="105"/>
  <c r="F237" i="105"/>
  <c r="G237" i="105"/>
  <c r="H237" i="105"/>
  <c r="A238" i="105"/>
  <c r="B238" i="105"/>
  <c r="C238" i="105"/>
  <c r="E238" i="105"/>
  <c r="F238" i="105"/>
  <c r="G238" i="105"/>
  <c r="H238" i="105"/>
  <c r="A239" i="105"/>
  <c r="B239" i="105"/>
  <c r="C239" i="105"/>
  <c r="E239" i="105"/>
  <c r="F239" i="105"/>
  <c r="G239" i="105"/>
  <c r="H239" i="105"/>
  <c r="A240" i="105"/>
  <c r="B240" i="105"/>
  <c r="C240" i="105"/>
  <c r="E240" i="105"/>
  <c r="F240" i="105"/>
  <c r="G240" i="105"/>
  <c r="H240" i="105"/>
  <c r="A241" i="105"/>
  <c r="B241" i="105"/>
  <c r="C241" i="105"/>
  <c r="E241" i="105"/>
  <c r="F241" i="105"/>
  <c r="G241" i="105"/>
  <c r="H241" i="105"/>
  <c r="A242" i="105"/>
  <c r="B242" i="105"/>
  <c r="C242" i="105"/>
  <c r="E242" i="105"/>
  <c r="F242" i="105"/>
  <c r="G242" i="105"/>
  <c r="H242" i="105"/>
  <c r="A243" i="105"/>
  <c r="B243" i="105"/>
  <c r="C243" i="105"/>
  <c r="E243" i="105"/>
  <c r="F243" i="105"/>
  <c r="G243" i="105"/>
  <c r="H243" i="105"/>
  <c r="A244" i="105"/>
  <c r="B244" i="105"/>
  <c r="C244" i="105"/>
  <c r="E244" i="105"/>
  <c r="F244" i="105"/>
  <c r="G244" i="105"/>
  <c r="H244" i="105"/>
  <c r="A245" i="105"/>
  <c r="B245" i="105"/>
  <c r="C245" i="105"/>
  <c r="E245" i="105"/>
  <c r="F245" i="105"/>
  <c r="G245" i="105"/>
  <c r="H245" i="105"/>
  <c r="A246" i="105"/>
  <c r="B246" i="105"/>
  <c r="C246" i="105"/>
  <c r="E246" i="105"/>
  <c r="F246" i="105"/>
  <c r="G246" i="105"/>
  <c r="H246" i="105"/>
  <c r="A247" i="105"/>
  <c r="B247" i="105"/>
  <c r="C247" i="105"/>
  <c r="E247" i="105"/>
  <c r="F247" i="105"/>
  <c r="G247" i="105"/>
  <c r="H247" i="105"/>
  <c r="A248" i="105"/>
  <c r="B248" i="105"/>
  <c r="C248" i="105"/>
  <c r="E248" i="105"/>
  <c r="F248" i="105"/>
  <c r="G248" i="105"/>
  <c r="H248" i="105"/>
  <c r="A249" i="105"/>
  <c r="B249" i="105"/>
  <c r="C249" i="105"/>
  <c r="E249" i="105"/>
  <c r="F249" i="105"/>
  <c r="G249" i="105"/>
  <c r="H249" i="105"/>
  <c r="A250" i="105"/>
  <c r="B250" i="105"/>
  <c r="C250" i="105"/>
  <c r="E250" i="105"/>
  <c r="F250" i="105"/>
  <c r="G250" i="105"/>
  <c r="H250" i="105"/>
  <c r="A251" i="105"/>
  <c r="B251" i="105"/>
  <c r="C251" i="105"/>
  <c r="E251" i="105"/>
  <c r="F251" i="105"/>
  <c r="G251" i="105"/>
  <c r="H251" i="105"/>
  <c r="A252" i="105"/>
  <c r="B252" i="105"/>
  <c r="C252" i="105"/>
  <c r="E252" i="105"/>
  <c r="F252" i="105"/>
  <c r="G252" i="105"/>
  <c r="H252" i="105"/>
  <c r="A253" i="105"/>
  <c r="B253" i="105"/>
  <c r="C253" i="105"/>
  <c r="E253" i="105"/>
  <c r="F253" i="105"/>
  <c r="G253" i="105"/>
  <c r="H253" i="105"/>
  <c r="A254" i="105"/>
  <c r="B254" i="105"/>
  <c r="C254" i="105"/>
  <c r="E254" i="105"/>
  <c r="F254" i="105"/>
  <c r="G254" i="105"/>
  <c r="H254" i="105"/>
  <c r="A255" i="105"/>
  <c r="B255" i="105"/>
  <c r="C255" i="105"/>
  <c r="E255" i="105"/>
  <c r="F255" i="105"/>
  <c r="G255" i="105"/>
  <c r="H255" i="105"/>
  <c r="A256" i="105"/>
  <c r="B256" i="105"/>
  <c r="C256" i="105"/>
  <c r="E256" i="105"/>
  <c r="F256" i="105"/>
  <c r="G256" i="105"/>
  <c r="H256" i="105"/>
  <c r="A257" i="105"/>
  <c r="B257" i="105"/>
  <c r="C257" i="105"/>
  <c r="E257" i="105"/>
  <c r="F257" i="105"/>
  <c r="G257" i="105"/>
  <c r="H257" i="105"/>
  <c r="A258" i="105"/>
  <c r="B258" i="105"/>
  <c r="C258" i="105"/>
  <c r="E258" i="105"/>
  <c r="F258" i="105"/>
  <c r="G258" i="105"/>
  <c r="H258" i="105"/>
  <c r="A259" i="105"/>
  <c r="B259" i="105"/>
  <c r="C259" i="105"/>
  <c r="E259" i="105"/>
  <c r="F259" i="105"/>
  <c r="G259" i="105"/>
  <c r="H259" i="105"/>
  <c r="A260" i="105"/>
  <c r="B260" i="105"/>
  <c r="C260" i="105"/>
  <c r="E260" i="105"/>
  <c r="F260" i="105"/>
  <c r="G260" i="105"/>
  <c r="H260" i="105"/>
  <c r="A261" i="105"/>
  <c r="B261" i="105"/>
  <c r="C261" i="105"/>
  <c r="E261" i="105"/>
  <c r="F261" i="105"/>
  <c r="G261" i="105"/>
  <c r="H261" i="105"/>
  <c r="A262" i="105"/>
  <c r="B262" i="105"/>
  <c r="C262" i="105"/>
  <c r="E262" i="105"/>
  <c r="F262" i="105"/>
  <c r="G262" i="105"/>
  <c r="H262" i="105"/>
  <c r="A263" i="105"/>
  <c r="B263" i="105"/>
  <c r="C263" i="105"/>
  <c r="E263" i="105"/>
  <c r="F263" i="105"/>
  <c r="G263" i="105"/>
  <c r="H263" i="105"/>
  <c r="A264" i="105"/>
  <c r="B264" i="105"/>
  <c r="C264" i="105"/>
  <c r="E264" i="105"/>
  <c r="F264" i="105"/>
  <c r="G264" i="105"/>
  <c r="H264" i="105"/>
  <c r="A265" i="105"/>
  <c r="B265" i="105"/>
  <c r="C265" i="105"/>
  <c r="E265" i="105"/>
  <c r="F265" i="105"/>
  <c r="G265" i="105"/>
  <c r="H265" i="105"/>
  <c r="A266" i="105"/>
  <c r="B266" i="105"/>
  <c r="C266" i="105"/>
  <c r="E266" i="105"/>
  <c r="F266" i="105"/>
  <c r="G266" i="105"/>
  <c r="H266" i="105"/>
  <c r="A267" i="105"/>
  <c r="B267" i="105"/>
  <c r="C267" i="105"/>
  <c r="E267" i="105"/>
  <c r="F267" i="105"/>
  <c r="G267" i="105"/>
  <c r="H267" i="105"/>
  <c r="A268" i="105"/>
  <c r="B268" i="105"/>
  <c r="C268" i="105"/>
  <c r="E268" i="105"/>
  <c r="F268" i="105"/>
  <c r="G268" i="105"/>
  <c r="H268" i="105"/>
  <c r="A269" i="105"/>
  <c r="B269" i="105"/>
  <c r="C269" i="105"/>
  <c r="E269" i="105"/>
  <c r="F269" i="105"/>
  <c r="G269" i="105"/>
  <c r="H269" i="105"/>
  <c r="A270" i="105"/>
  <c r="B270" i="105"/>
  <c r="C270" i="105"/>
  <c r="E270" i="105"/>
  <c r="F270" i="105"/>
  <c r="G270" i="105"/>
  <c r="H270" i="105"/>
  <c r="A271" i="105"/>
  <c r="B271" i="105"/>
  <c r="C271" i="105"/>
  <c r="E271" i="105"/>
  <c r="F271" i="105"/>
  <c r="G271" i="105"/>
  <c r="H271" i="105"/>
  <c r="A272" i="105"/>
  <c r="B272" i="105"/>
  <c r="C272" i="105"/>
  <c r="E272" i="105"/>
  <c r="F272" i="105"/>
  <c r="G272" i="105"/>
  <c r="H272" i="105"/>
  <c r="A273" i="105"/>
  <c r="B273" i="105"/>
  <c r="C273" i="105"/>
  <c r="E273" i="105"/>
  <c r="F273" i="105"/>
  <c r="G273" i="105"/>
  <c r="H273" i="105"/>
  <c r="A274" i="105"/>
  <c r="B274" i="105"/>
  <c r="C274" i="105"/>
  <c r="E274" i="105"/>
  <c r="F274" i="105"/>
  <c r="G274" i="105"/>
  <c r="H274" i="105"/>
  <c r="A275" i="105"/>
  <c r="B275" i="105"/>
  <c r="C275" i="105"/>
  <c r="E275" i="105"/>
  <c r="F275" i="105"/>
  <c r="G275" i="105"/>
  <c r="H275" i="105"/>
  <c r="A276" i="105"/>
  <c r="B276" i="105"/>
  <c r="C276" i="105"/>
  <c r="E276" i="105"/>
  <c r="F276" i="105"/>
  <c r="G276" i="105"/>
  <c r="H276" i="105"/>
  <c r="A277" i="105"/>
  <c r="B277" i="105"/>
  <c r="C277" i="105"/>
  <c r="E277" i="105"/>
  <c r="F277" i="105"/>
  <c r="G277" i="105"/>
  <c r="H277" i="105"/>
  <c r="A278" i="105"/>
  <c r="B278" i="105"/>
  <c r="C278" i="105"/>
  <c r="E278" i="105"/>
  <c r="F278" i="105"/>
  <c r="G278" i="105"/>
  <c r="H278" i="105"/>
  <c r="A279" i="105"/>
  <c r="B279" i="105"/>
  <c r="C279" i="105"/>
  <c r="E279" i="105"/>
  <c r="F279" i="105"/>
  <c r="G279" i="105"/>
  <c r="H279" i="105"/>
  <c r="A280" i="105"/>
  <c r="B280" i="105"/>
  <c r="C280" i="105"/>
  <c r="E280" i="105"/>
  <c r="F280" i="105"/>
  <c r="G280" i="105"/>
  <c r="H280" i="105"/>
  <c r="A281" i="105"/>
  <c r="B281" i="105"/>
  <c r="C281" i="105"/>
  <c r="E281" i="105"/>
  <c r="F281" i="105"/>
  <c r="G281" i="105"/>
  <c r="H281" i="105"/>
  <c r="A282" i="105"/>
  <c r="B282" i="105"/>
  <c r="C282" i="105"/>
  <c r="E282" i="105"/>
  <c r="F282" i="105"/>
  <c r="G282" i="105"/>
  <c r="H282" i="105"/>
  <c r="A283" i="105"/>
  <c r="B283" i="105"/>
  <c r="C283" i="105"/>
  <c r="E283" i="105"/>
  <c r="F283" i="105"/>
  <c r="G283" i="105"/>
  <c r="H283" i="105"/>
  <c r="A284" i="105"/>
  <c r="B284" i="105"/>
  <c r="C284" i="105"/>
  <c r="E284" i="105"/>
  <c r="F284" i="105"/>
  <c r="G284" i="105"/>
  <c r="H284" i="105"/>
  <c r="A285" i="105"/>
  <c r="B285" i="105"/>
  <c r="C285" i="105"/>
  <c r="E285" i="105"/>
  <c r="F285" i="105"/>
  <c r="G285" i="105"/>
  <c r="H285" i="105"/>
  <c r="A286" i="105"/>
  <c r="B286" i="105"/>
  <c r="C286" i="105"/>
  <c r="E286" i="105"/>
  <c r="F286" i="105"/>
  <c r="G286" i="105"/>
  <c r="H286" i="105"/>
  <c r="A287" i="105"/>
  <c r="B287" i="105"/>
  <c r="C287" i="105"/>
  <c r="E287" i="105"/>
  <c r="F287" i="105"/>
  <c r="G287" i="105"/>
  <c r="H287" i="105"/>
  <c r="A288" i="105"/>
  <c r="B288" i="105"/>
  <c r="C288" i="105"/>
  <c r="E288" i="105"/>
  <c r="F288" i="105"/>
  <c r="G288" i="105"/>
  <c r="H288" i="105"/>
  <c r="A289" i="105"/>
  <c r="B289" i="105"/>
  <c r="C289" i="105"/>
  <c r="E289" i="105"/>
  <c r="F289" i="105"/>
  <c r="G289" i="105"/>
  <c r="H289" i="105"/>
  <c r="A290" i="105"/>
  <c r="B290" i="105"/>
  <c r="C290" i="105"/>
  <c r="E290" i="105"/>
  <c r="F290" i="105"/>
  <c r="G290" i="105"/>
  <c r="H290" i="105"/>
  <c r="A291" i="105"/>
  <c r="B291" i="105"/>
  <c r="C291" i="105"/>
  <c r="E291" i="105"/>
  <c r="F291" i="105"/>
  <c r="G291" i="105"/>
  <c r="H291" i="105"/>
  <c r="A292" i="105"/>
  <c r="B292" i="105"/>
  <c r="C292" i="105"/>
  <c r="E292" i="105"/>
  <c r="F292" i="105"/>
  <c r="G292" i="105"/>
  <c r="H292" i="105"/>
  <c r="A293" i="105"/>
  <c r="B293" i="105"/>
  <c r="C293" i="105"/>
  <c r="E293" i="105"/>
  <c r="F293" i="105"/>
  <c r="G293" i="105"/>
  <c r="H293" i="105"/>
  <c r="A294" i="105"/>
  <c r="B294" i="105"/>
  <c r="C294" i="105"/>
  <c r="E294" i="105"/>
  <c r="F294" i="105"/>
  <c r="G294" i="105"/>
  <c r="H294" i="105"/>
  <c r="A295" i="105"/>
  <c r="B295" i="105"/>
  <c r="C295" i="105"/>
  <c r="E295" i="105"/>
  <c r="F295" i="105"/>
  <c r="G295" i="105"/>
  <c r="H295" i="105"/>
  <c r="A296" i="105"/>
  <c r="B296" i="105"/>
  <c r="C296" i="105"/>
  <c r="E296" i="105"/>
  <c r="F296" i="105"/>
  <c r="G296" i="105"/>
  <c r="H296" i="105"/>
  <c r="A297" i="105"/>
  <c r="B297" i="105"/>
  <c r="C297" i="105"/>
  <c r="E297" i="105"/>
  <c r="F297" i="105"/>
  <c r="G297" i="105"/>
  <c r="H297" i="105"/>
  <c r="A298" i="105"/>
  <c r="B298" i="105"/>
  <c r="C298" i="105"/>
  <c r="E298" i="105"/>
  <c r="F298" i="105"/>
  <c r="G298" i="105"/>
  <c r="H298" i="105"/>
  <c r="A299" i="105"/>
  <c r="B299" i="105"/>
  <c r="C299" i="105"/>
  <c r="E299" i="105"/>
  <c r="F299" i="105"/>
  <c r="G299" i="105"/>
  <c r="H299" i="105"/>
  <c r="A300" i="105"/>
  <c r="B300" i="105"/>
  <c r="C300" i="105"/>
  <c r="E300" i="105"/>
  <c r="F300" i="105"/>
  <c r="G300" i="105"/>
  <c r="H300" i="105"/>
  <c r="A301" i="105"/>
  <c r="B301" i="105"/>
  <c r="C301" i="105"/>
  <c r="E301" i="105"/>
  <c r="F301" i="105"/>
  <c r="G301" i="105"/>
  <c r="H301" i="105"/>
  <c r="A302" i="105"/>
  <c r="B302" i="105"/>
  <c r="C302" i="105"/>
  <c r="E302" i="105"/>
  <c r="F302" i="105"/>
  <c r="G302" i="105"/>
  <c r="H302" i="105"/>
  <c r="A303" i="105"/>
  <c r="B303" i="105"/>
  <c r="C303" i="105"/>
  <c r="E303" i="105"/>
  <c r="F303" i="105"/>
  <c r="G303" i="105"/>
  <c r="H303" i="105"/>
  <c r="A304" i="105"/>
  <c r="B304" i="105"/>
  <c r="C304" i="105"/>
  <c r="E304" i="105"/>
  <c r="F304" i="105"/>
  <c r="G304" i="105"/>
  <c r="H304" i="105"/>
  <c r="A305" i="105"/>
  <c r="B305" i="105"/>
  <c r="C305" i="105"/>
  <c r="E305" i="105"/>
  <c r="F305" i="105"/>
  <c r="G305" i="105"/>
  <c r="H305" i="105"/>
  <c r="A306" i="105"/>
  <c r="B306" i="105"/>
  <c r="C306" i="105"/>
  <c r="E306" i="105"/>
  <c r="F306" i="105"/>
  <c r="G306" i="105"/>
  <c r="H306" i="105"/>
  <c r="A307" i="105"/>
  <c r="B307" i="105"/>
  <c r="C307" i="105"/>
  <c r="E307" i="105"/>
  <c r="F307" i="105"/>
  <c r="G307" i="105"/>
  <c r="H307" i="105"/>
  <c r="A308" i="105"/>
  <c r="B308" i="105"/>
  <c r="C308" i="105"/>
  <c r="E308" i="105"/>
  <c r="F308" i="105"/>
  <c r="G308" i="105"/>
  <c r="H308" i="105"/>
  <c r="A309" i="105"/>
  <c r="B309" i="105"/>
  <c r="C309" i="105"/>
  <c r="E309" i="105"/>
  <c r="F309" i="105"/>
  <c r="G309" i="105"/>
  <c r="H309" i="105"/>
  <c r="A310" i="105"/>
  <c r="B310" i="105"/>
  <c r="C310" i="105"/>
  <c r="E310" i="105"/>
  <c r="F310" i="105"/>
  <c r="G310" i="105"/>
  <c r="H310" i="105"/>
  <c r="A311" i="105"/>
  <c r="B311" i="105"/>
  <c r="C311" i="105"/>
  <c r="E311" i="105"/>
  <c r="F311" i="105"/>
  <c r="G311" i="105"/>
  <c r="H311" i="105"/>
  <c r="A312" i="105"/>
  <c r="B312" i="105"/>
  <c r="C312" i="105"/>
  <c r="E312" i="105"/>
  <c r="F312" i="105"/>
  <c r="G312" i="105"/>
  <c r="H312" i="105"/>
  <c r="A313" i="105"/>
  <c r="B313" i="105"/>
  <c r="C313" i="105"/>
  <c r="E313" i="105"/>
  <c r="F313" i="105"/>
  <c r="G313" i="105"/>
  <c r="H313" i="105"/>
  <c r="A314" i="105"/>
  <c r="B314" i="105"/>
  <c r="C314" i="105"/>
  <c r="E314" i="105"/>
  <c r="F314" i="105"/>
  <c r="G314" i="105"/>
  <c r="H314" i="105"/>
  <c r="A315" i="105"/>
  <c r="B315" i="105"/>
  <c r="C315" i="105"/>
  <c r="E315" i="105"/>
  <c r="F315" i="105"/>
  <c r="G315" i="105"/>
  <c r="H315" i="105"/>
  <c r="A316" i="105"/>
  <c r="B316" i="105"/>
  <c r="C316" i="105"/>
  <c r="E316" i="105"/>
  <c r="F316" i="105"/>
  <c r="G316" i="105"/>
  <c r="H316" i="105"/>
  <c r="A317" i="105"/>
  <c r="B317" i="105"/>
  <c r="C317" i="105"/>
  <c r="E317" i="105"/>
  <c r="F317" i="105"/>
  <c r="G317" i="105"/>
  <c r="H317" i="105"/>
  <c r="A318" i="105"/>
  <c r="B318" i="105"/>
  <c r="C318" i="105"/>
  <c r="E318" i="105"/>
  <c r="F318" i="105"/>
  <c r="G318" i="105"/>
  <c r="H318" i="105"/>
  <c r="A319" i="105"/>
  <c r="B319" i="105"/>
  <c r="C319" i="105"/>
  <c r="E319" i="105"/>
  <c r="F319" i="105"/>
  <c r="G319" i="105"/>
  <c r="H319" i="105"/>
  <c r="A320" i="105"/>
  <c r="B320" i="105"/>
  <c r="C320" i="105"/>
  <c r="E320" i="105"/>
  <c r="F320" i="105"/>
  <c r="G320" i="105"/>
  <c r="H320" i="105"/>
  <c r="A321" i="105"/>
  <c r="B321" i="105"/>
  <c r="C321" i="105"/>
  <c r="E321" i="105"/>
  <c r="F321" i="105"/>
  <c r="G321" i="105"/>
  <c r="H321" i="105"/>
  <c r="A322" i="105"/>
  <c r="B322" i="105"/>
  <c r="C322" i="105"/>
  <c r="E322" i="105"/>
  <c r="F322" i="105"/>
  <c r="G322" i="105"/>
  <c r="H322" i="105"/>
  <c r="A323" i="105"/>
  <c r="B323" i="105"/>
  <c r="C323" i="105"/>
  <c r="E323" i="105"/>
  <c r="F323" i="105"/>
  <c r="G323" i="105"/>
  <c r="H323" i="105"/>
  <c r="A324" i="105"/>
  <c r="B324" i="105"/>
  <c r="C324" i="105"/>
  <c r="E324" i="105"/>
  <c r="F324" i="105"/>
  <c r="G324" i="105"/>
  <c r="H324" i="105"/>
  <c r="A325" i="105"/>
  <c r="B325" i="105"/>
  <c r="C325" i="105"/>
  <c r="E325" i="105"/>
  <c r="F325" i="105"/>
  <c r="G325" i="105"/>
  <c r="H325" i="105"/>
  <c r="A326" i="105"/>
  <c r="B326" i="105"/>
  <c r="C326" i="105"/>
  <c r="E326" i="105"/>
  <c r="F326" i="105"/>
  <c r="G326" i="105"/>
  <c r="H326" i="105"/>
  <c r="A327" i="105"/>
  <c r="B327" i="105"/>
  <c r="C327" i="105"/>
  <c r="E327" i="105"/>
  <c r="F327" i="105"/>
  <c r="G327" i="105"/>
  <c r="H327" i="105"/>
  <c r="A328" i="105"/>
  <c r="B328" i="105"/>
  <c r="C328" i="105"/>
  <c r="E328" i="105"/>
  <c r="F328" i="105"/>
  <c r="G328" i="105"/>
  <c r="H328" i="105"/>
  <c r="A329" i="105"/>
  <c r="B329" i="105"/>
  <c r="C329" i="105"/>
  <c r="E329" i="105"/>
  <c r="F329" i="105"/>
  <c r="G329" i="105"/>
  <c r="H329" i="105"/>
  <c r="A330" i="105"/>
  <c r="B330" i="105"/>
  <c r="C330" i="105"/>
  <c r="E330" i="105"/>
  <c r="F330" i="105"/>
  <c r="G330" i="105"/>
  <c r="H330" i="105"/>
  <c r="A331" i="105"/>
  <c r="B331" i="105"/>
  <c r="C331" i="105"/>
  <c r="E331" i="105"/>
  <c r="F331" i="105"/>
  <c r="G331" i="105"/>
  <c r="H331" i="105"/>
  <c r="A332" i="105"/>
  <c r="B332" i="105"/>
  <c r="C332" i="105"/>
  <c r="E332" i="105"/>
  <c r="F332" i="105"/>
  <c r="G332" i="105"/>
  <c r="H332" i="105"/>
  <c r="A333" i="105"/>
  <c r="B333" i="105"/>
  <c r="C333" i="105"/>
  <c r="E333" i="105"/>
  <c r="F333" i="105"/>
  <c r="G333" i="105"/>
  <c r="H333" i="105"/>
  <c r="A334" i="105"/>
  <c r="B334" i="105"/>
  <c r="C334" i="105"/>
  <c r="E334" i="105"/>
  <c r="F334" i="105"/>
  <c r="G334" i="105"/>
  <c r="H334" i="105"/>
  <c r="A335" i="105"/>
  <c r="B335" i="105"/>
  <c r="C335" i="105"/>
  <c r="E335" i="105"/>
  <c r="F335" i="105"/>
  <c r="G335" i="105"/>
  <c r="H335" i="105"/>
  <c r="A336" i="105"/>
  <c r="B336" i="105"/>
  <c r="C336" i="105"/>
  <c r="E336" i="105"/>
  <c r="F336" i="105"/>
  <c r="G336" i="105"/>
  <c r="H336" i="105"/>
  <c r="A337" i="105"/>
  <c r="B337" i="105"/>
  <c r="C337" i="105"/>
  <c r="E337" i="105"/>
  <c r="F337" i="105"/>
  <c r="G337" i="105"/>
  <c r="H337" i="105"/>
  <c r="A338" i="105"/>
  <c r="B338" i="105"/>
  <c r="C338" i="105"/>
  <c r="E338" i="105"/>
  <c r="F338" i="105"/>
  <c r="G338" i="105"/>
  <c r="H338" i="105"/>
  <c r="A339" i="105"/>
  <c r="B339" i="105"/>
  <c r="C339" i="105"/>
  <c r="E339" i="105"/>
  <c r="F339" i="105"/>
  <c r="G339" i="105"/>
  <c r="H339" i="105"/>
  <c r="A340" i="105"/>
  <c r="B340" i="105"/>
  <c r="C340" i="105"/>
  <c r="E340" i="105"/>
  <c r="F340" i="105"/>
  <c r="G340" i="105"/>
  <c r="H340" i="105"/>
  <c r="A341" i="105"/>
  <c r="B341" i="105"/>
  <c r="C341" i="105"/>
  <c r="E341" i="105"/>
  <c r="F341" i="105"/>
  <c r="G341" i="105"/>
  <c r="H341" i="105"/>
  <c r="A342" i="105"/>
  <c r="B342" i="105"/>
  <c r="C342" i="105"/>
  <c r="E342" i="105"/>
  <c r="F342" i="105"/>
  <c r="G342" i="105"/>
  <c r="H342" i="105"/>
  <c r="A343" i="105"/>
  <c r="B343" i="105"/>
  <c r="C343" i="105"/>
  <c r="E343" i="105"/>
  <c r="F343" i="105"/>
  <c r="G343" i="105"/>
  <c r="H343" i="105"/>
  <c r="A344" i="105"/>
  <c r="B344" i="105"/>
  <c r="C344" i="105"/>
  <c r="E344" i="105"/>
  <c r="F344" i="105"/>
  <c r="G344" i="105"/>
  <c r="H344" i="105"/>
  <c r="A345" i="105"/>
  <c r="B345" i="105"/>
  <c r="C345" i="105"/>
  <c r="E345" i="105"/>
  <c r="F345" i="105"/>
  <c r="G345" i="105"/>
  <c r="H345" i="105"/>
  <c r="A346" i="105"/>
  <c r="B346" i="105"/>
  <c r="C346" i="105"/>
  <c r="E346" i="105"/>
  <c r="F346" i="105"/>
  <c r="G346" i="105"/>
  <c r="H346" i="105"/>
  <c r="A347" i="105"/>
  <c r="B347" i="105"/>
  <c r="C347" i="105"/>
  <c r="E347" i="105"/>
  <c r="F347" i="105"/>
  <c r="G347" i="105"/>
  <c r="H347" i="105"/>
  <c r="A348" i="105"/>
  <c r="B348" i="105"/>
  <c r="C348" i="105"/>
  <c r="E348" i="105"/>
  <c r="F348" i="105"/>
  <c r="G348" i="105"/>
  <c r="H348" i="105"/>
  <c r="A349" i="105"/>
  <c r="B349" i="105"/>
  <c r="C349" i="105"/>
  <c r="E349" i="105"/>
  <c r="F349" i="105"/>
  <c r="G349" i="105"/>
  <c r="H349" i="105"/>
  <c r="A350" i="105"/>
  <c r="B350" i="105"/>
  <c r="C350" i="105"/>
  <c r="E350" i="105"/>
  <c r="F350" i="105"/>
  <c r="G350" i="105"/>
  <c r="H350" i="105"/>
  <c r="A351" i="105"/>
  <c r="B351" i="105"/>
  <c r="C351" i="105"/>
  <c r="E351" i="105"/>
  <c r="F351" i="105"/>
  <c r="G351" i="105"/>
  <c r="H351" i="105"/>
  <c r="A352" i="105"/>
  <c r="B352" i="105"/>
  <c r="C352" i="105"/>
  <c r="D352" i="105"/>
  <c r="E352" i="105"/>
  <c r="F352" i="105"/>
  <c r="G352" i="105"/>
  <c r="H352" i="105"/>
  <c r="A353" i="105"/>
  <c r="B353" i="105"/>
  <c r="C353" i="105"/>
  <c r="D353" i="105"/>
  <c r="E353" i="105"/>
  <c r="G353" i="105"/>
  <c r="H353" i="105"/>
  <c r="A354" i="105"/>
  <c r="B354" i="105"/>
  <c r="C354" i="105"/>
  <c r="D354" i="105"/>
  <c r="E354" i="105"/>
  <c r="G354" i="105"/>
  <c r="H354" i="105"/>
  <c r="F357" i="104"/>
  <c r="A4" i="104"/>
  <c r="B4" i="104"/>
  <c r="C4" i="104"/>
  <c r="E4" i="104"/>
  <c r="F4" i="104"/>
  <c r="G4" i="104"/>
  <c r="H4" i="104"/>
  <c r="A5" i="104"/>
  <c r="B5" i="104"/>
  <c r="C5" i="104"/>
  <c r="E5" i="104"/>
  <c r="F5" i="104"/>
  <c r="G5" i="104"/>
  <c r="H5" i="104"/>
  <c r="A6" i="104"/>
  <c r="B6" i="104"/>
  <c r="C6" i="104"/>
  <c r="E6" i="104"/>
  <c r="F6" i="104"/>
  <c r="G6" i="104"/>
  <c r="H6" i="104"/>
  <c r="A7" i="104"/>
  <c r="B7" i="104"/>
  <c r="C7" i="104"/>
  <c r="E7" i="104"/>
  <c r="F7" i="104"/>
  <c r="G7" i="104"/>
  <c r="H7" i="104"/>
  <c r="A8" i="104"/>
  <c r="B8" i="104"/>
  <c r="C8" i="104"/>
  <c r="E8" i="104"/>
  <c r="F8" i="104"/>
  <c r="G8" i="104"/>
  <c r="H8" i="104"/>
  <c r="A9" i="104"/>
  <c r="B9" i="104"/>
  <c r="C9" i="104"/>
  <c r="E9" i="104"/>
  <c r="F9" i="104"/>
  <c r="G9" i="104"/>
  <c r="H9" i="104"/>
  <c r="A10" i="104"/>
  <c r="B10" i="104"/>
  <c r="C10" i="104"/>
  <c r="E10" i="104"/>
  <c r="F10" i="104"/>
  <c r="G10" i="104"/>
  <c r="H10" i="104"/>
  <c r="A11" i="104"/>
  <c r="B11" i="104"/>
  <c r="C11" i="104"/>
  <c r="E11" i="104"/>
  <c r="F11" i="104"/>
  <c r="G11" i="104"/>
  <c r="H11" i="104"/>
  <c r="A12" i="104"/>
  <c r="B12" i="104"/>
  <c r="C12" i="104"/>
  <c r="E12" i="104"/>
  <c r="F12" i="104"/>
  <c r="G12" i="104"/>
  <c r="H12" i="104"/>
  <c r="A13" i="104"/>
  <c r="B13" i="104"/>
  <c r="C13" i="104"/>
  <c r="E13" i="104"/>
  <c r="F13" i="104"/>
  <c r="G13" i="104"/>
  <c r="H13" i="104"/>
  <c r="A14" i="104"/>
  <c r="B14" i="104"/>
  <c r="C14" i="104"/>
  <c r="E14" i="104"/>
  <c r="F14" i="104"/>
  <c r="G14" i="104"/>
  <c r="H14" i="104"/>
  <c r="A15" i="104"/>
  <c r="B15" i="104"/>
  <c r="C15" i="104"/>
  <c r="E15" i="104"/>
  <c r="F15" i="104"/>
  <c r="G15" i="104"/>
  <c r="H15" i="104"/>
  <c r="A16" i="104"/>
  <c r="B16" i="104"/>
  <c r="C16" i="104"/>
  <c r="E16" i="104"/>
  <c r="F16" i="104"/>
  <c r="G16" i="104"/>
  <c r="H16" i="104"/>
  <c r="A17" i="104"/>
  <c r="B17" i="104"/>
  <c r="C17" i="104"/>
  <c r="E17" i="104"/>
  <c r="F17" i="104"/>
  <c r="G17" i="104"/>
  <c r="H17" i="104"/>
  <c r="A18" i="104"/>
  <c r="B18" i="104"/>
  <c r="C18" i="104"/>
  <c r="E18" i="104"/>
  <c r="F18" i="104"/>
  <c r="G18" i="104"/>
  <c r="H18" i="104"/>
  <c r="A19" i="104"/>
  <c r="B19" i="104"/>
  <c r="C19" i="104"/>
  <c r="E19" i="104"/>
  <c r="F19" i="104"/>
  <c r="G19" i="104"/>
  <c r="H19" i="104"/>
  <c r="A20" i="104"/>
  <c r="B20" i="104"/>
  <c r="C20" i="104"/>
  <c r="E20" i="104"/>
  <c r="F20" i="104"/>
  <c r="G20" i="104"/>
  <c r="H20" i="104"/>
  <c r="A21" i="104"/>
  <c r="B21" i="104"/>
  <c r="C21" i="104"/>
  <c r="E21" i="104"/>
  <c r="F21" i="104"/>
  <c r="G21" i="104"/>
  <c r="H21" i="104"/>
  <c r="A22" i="104"/>
  <c r="B22" i="104"/>
  <c r="C22" i="104"/>
  <c r="E22" i="104"/>
  <c r="F22" i="104"/>
  <c r="G22" i="104"/>
  <c r="H22" i="104"/>
  <c r="A23" i="104"/>
  <c r="B23" i="104"/>
  <c r="C23" i="104"/>
  <c r="E23" i="104"/>
  <c r="F23" i="104"/>
  <c r="G23" i="104"/>
  <c r="H23" i="104"/>
  <c r="A24" i="104"/>
  <c r="B24" i="104"/>
  <c r="C24" i="104"/>
  <c r="E24" i="104"/>
  <c r="F24" i="104"/>
  <c r="G24" i="104"/>
  <c r="H24" i="104"/>
  <c r="A25" i="104"/>
  <c r="B25" i="104"/>
  <c r="C25" i="104"/>
  <c r="E25" i="104"/>
  <c r="F25" i="104"/>
  <c r="G25" i="104"/>
  <c r="H25" i="104"/>
  <c r="A26" i="104"/>
  <c r="B26" i="104"/>
  <c r="C26" i="104"/>
  <c r="E26" i="104"/>
  <c r="F26" i="104"/>
  <c r="G26" i="104"/>
  <c r="H26" i="104"/>
  <c r="A27" i="104"/>
  <c r="B27" i="104"/>
  <c r="C27" i="104"/>
  <c r="E27" i="104"/>
  <c r="F27" i="104"/>
  <c r="G27" i="104"/>
  <c r="H27" i="104"/>
  <c r="A28" i="104"/>
  <c r="B28" i="104"/>
  <c r="C28" i="104"/>
  <c r="E28" i="104"/>
  <c r="F28" i="104"/>
  <c r="G28" i="104"/>
  <c r="H28" i="104"/>
  <c r="A29" i="104"/>
  <c r="B29" i="104"/>
  <c r="C29" i="104"/>
  <c r="E29" i="104"/>
  <c r="F29" i="104"/>
  <c r="G29" i="104"/>
  <c r="H29" i="104"/>
  <c r="A30" i="104"/>
  <c r="B30" i="104"/>
  <c r="C30" i="104"/>
  <c r="E30" i="104"/>
  <c r="F30" i="104"/>
  <c r="G30" i="104"/>
  <c r="H30" i="104"/>
  <c r="A31" i="104"/>
  <c r="B31" i="104"/>
  <c r="C31" i="104"/>
  <c r="E31" i="104"/>
  <c r="F31" i="104"/>
  <c r="G31" i="104"/>
  <c r="H31" i="104"/>
  <c r="A32" i="104"/>
  <c r="B32" i="104"/>
  <c r="C32" i="104"/>
  <c r="E32" i="104"/>
  <c r="F32" i="104"/>
  <c r="G32" i="104"/>
  <c r="H32" i="104"/>
  <c r="A33" i="104"/>
  <c r="B33" i="104"/>
  <c r="C33" i="104"/>
  <c r="E33" i="104"/>
  <c r="F33" i="104"/>
  <c r="G33" i="104"/>
  <c r="H33" i="104"/>
  <c r="A34" i="104"/>
  <c r="B34" i="104"/>
  <c r="C34" i="104"/>
  <c r="E34" i="104"/>
  <c r="F34" i="104"/>
  <c r="G34" i="104"/>
  <c r="H34" i="104"/>
  <c r="A35" i="104"/>
  <c r="B35" i="104"/>
  <c r="C35" i="104"/>
  <c r="E35" i="104"/>
  <c r="F35" i="104"/>
  <c r="G35" i="104"/>
  <c r="H35" i="104"/>
  <c r="A36" i="104"/>
  <c r="B36" i="104"/>
  <c r="C36" i="104"/>
  <c r="E36" i="104"/>
  <c r="F36" i="104"/>
  <c r="G36" i="104"/>
  <c r="H36" i="104"/>
  <c r="A37" i="104"/>
  <c r="B37" i="104"/>
  <c r="C37" i="104"/>
  <c r="E37" i="104"/>
  <c r="F37" i="104"/>
  <c r="G37" i="104"/>
  <c r="H37" i="104"/>
  <c r="A38" i="104"/>
  <c r="B38" i="104"/>
  <c r="C38" i="104"/>
  <c r="E38" i="104"/>
  <c r="F38" i="104"/>
  <c r="G38" i="104"/>
  <c r="H38" i="104"/>
  <c r="A39" i="104"/>
  <c r="B39" i="104"/>
  <c r="C39" i="104"/>
  <c r="E39" i="104"/>
  <c r="F39" i="104"/>
  <c r="G39" i="104"/>
  <c r="H39" i="104"/>
  <c r="A40" i="104"/>
  <c r="B40" i="104"/>
  <c r="C40" i="104"/>
  <c r="E40" i="104"/>
  <c r="F40" i="104"/>
  <c r="G40" i="104"/>
  <c r="H40" i="104"/>
  <c r="A41" i="104"/>
  <c r="B41" i="104"/>
  <c r="C41" i="104"/>
  <c r="E41" i="104"/>
  <c r="F41" i="104"/>
  <c r="G41" i="104"/>
  <c r="H41" i="104"/>
  <c r="A42" i="104"/>
  <c r="B42" i="104"/>
  <c r="C42" i="104"/>
  <c r="E42" i="104"/>
  <c r="F42" i="104"/>
  <c r="G42" i="104"/>
  <c r="H42" i="104"/>
  <c r="A43" i="104"/>
  <c r="B43" i="104"/>
  <c r="C43" i="104"/>
  <c r="E43" i="104"/>
  <c r="F43" i="104"/>
  <c r="G43" i="104"/>
  <c r="H43" i="104"/>
  <c r="A44" i="104"/>
  <c r="B44" i="104"/>
  <c r="C44" i="104"/>
  <c r="E44" i="104"/>
  <c r="F44" i="104"/>
  <c r="G44" i="104"/>
  <c r="H44" i="104"/>
  <c r="A45" i="104"/>
  <c r="B45" i="104"/>
  <c r="C45" i="104"/>
  <c r="E45" i="104"/>
  <c r="F45" i="104"/>
  <c r="G45" i="104"/>
  <c r="H45" i="104"/>
  <c r="A46" i="104"/>
  <c r="B46" i="104"/>
  <c r="C46" i="104"/>
  <c r="E46" i="104"/>
  <c r="F46" i="104"/>
  <c r="G46" i="104"/>
  <c r="H46" i="104"/>
  <c r="A47" i="104"/>
  <c r="B47" i="104"/>
  <c r="C47" i="104"/>
  <c r="E47" i="104"/>
  <c r="F47" i="104"/>
  <c r="G47" i="104"/>
  <c r="H47" i="104"/>
  <c r="A48" i="104"/>
  <c r="B48" i="104"/>
  <c r="C48" i="104"/>
  <c r="E48" i="104"/>
  <c r="F48" i="104"/>
  <c r="G48" i="104"/>
  <c r="H48" i="104"/>
  <c r="A49" i="104"/>
  <c r="B49" i="104"/>
  <c r="C49" i="104"/>
  <c r="E49" i="104"/>
  <c r="F49" i="104"/>
  <c r="G49" i="104"/>
  <c r="H49" i="104"/>
  <c r="A50" i="104"/>
  <c r="B50" i="104"/>
  <c r="C50" i="104"/>
  <c r="E50" i="104"/>
  <c r="F50" i="104"/>
  <c r="G50" i="104"/>
  <c r="H50" i="104"/>
  <c r="A51" i="104"/>
  <c r="B51" i="104"/>
  <c r="C51" i="104"/>
  <c r="E51" i="104"/>
  <c r="F51" i="104"/>
  <c r="G51" i="104"/>
  <c r="H51" i="104"/>
  <c r="A52" i="104"/>
  <c r="B52" i="104"/>
  <c r="C52" i="104"/>
  <c r="E52" i="104"/>
  <c r="F52" i="104"/>
  <c r="G52" i="104"/>
  <c r="H52" i="104"/>
  <c r="A53" i="104"/>
  <c r="B53" i="104"/>
  <c r="C53" i="104"/>
  <c r="E53" i="104"/>
  <c r="F53" i="104"/>
  <c r="G53" i="104"/>
  <c r="H53" i="104"/>
  <c r="A54" i="104"/>
  <c r="B54" i="104"/>
  <c r="C54" i="104"/>
  <c r="E54" i="104"/>
  <c r="F54" i="104"/>
  <c r="G54" i="104"/>
  <c r="H54" i="104"/>
  <c r="A55" i="104"/>
  <c r="B55" i="104"/>
  <c r="C55" i="104"/>
  <c r="E55" i="104"/>
  <c r="F55" i="104"/>
  <c r="G55" i="104"/>
  <c r="H55" i="104"/>
  <c r="A56" i="104"/>
  <c r="B56" i="104"/>
  <c r="C56" i="104"/>
  <c r="E56" i="104"/>
  <c r="F56" i="104"/>
  <c r="G56" i="104"/>
  <c r="H56" i="104"/>
  <c r="A57" i="104"/>
  <c r="B57" i="104"/>
  <c r="C57" i="104"/>
  <c r="E57" i="104"/>
  <c r="F57" i="104"/>
  <c r="G57" i="104"/>
  <c r="H57" i="104"/>
  <c r="A58" i="104"/>
  <c r="B58" i="104"/>
  <c r="C58" i="104"/>
  <c r="E58" i="104"/>
  <c r="F58" i="104"/>
  <c r="G58" i="104"/>
  <c r="H58" i="104"/>
  <c r="A59" i="104"/>
  <c r="B59" i="104"/>
  <c r="C59" i="104"/>
  <c r="E59" i="104"/>
  <c r="F59" i="104"/>
  <c r="G59" i="104"/>
  <c r="H59" i="104"/>
  <c r="A60" i="104"/>
  <c r="B60" i="104"/>
  <c r="C60" i="104"/>
  <c r="E60" i="104"/>
  <c r="F60" i="104"/>
  <c r="G60" i="104"/>
  <c r="H60" i="104"/>
  <c r="A61" i="104"/>
  <c r="B61" i="104"/>
  <c r="C61" i="104"/>
  <c r="E61" i="104"/>
  <c r="F61" i="104"/>
  <c r="G61" i="104"/>
  <c r="H61" i="104"/>
  <c r="A62" i="104"/>
  <c r="B62" i="104"/>
  <c r="C62" i="104"/>
  <c r="E62" i="104"/>
  <c r="F62" i="104"/>
  <c r="G62" i="104"/>
  <c r="H62" i="104"/>
  <c r="A63" i="104"/>
  <c r="B63" i="104"/>
  <c r="C63" i="104"/>
  <c r="E63" i="104"/>
  <c r="F63" i="104"/>
  <c r="G63" i="104"/>
  <c r="H63" i="104"/>
  <c r="A64" i="104"/>
  <c r="B64" i="104"/>
  <c r="C64" i="104"/>
  <c r="E64" i="104"/>
  <c r="F64" i="104"/>
  <c r="G64" i="104"/>
  <c r="H64" i="104"/>
  <c r="A65" i="104"/>
  <c r="B65" i="104"/>
  <c r="C65" i="104"/>
  <c r="E65" i="104"/>
  <c r="F65" i="104"/>
  <c r="G65" i="104"/>
  <c r="H65" i="104"/>
  <c r="A66" i="104"/>
  <c r="B66" i="104"/>
  <c r="C66" i="104"/>
  <c r="E66" i="104"/>
  <c r="F66" i="104"/>
  <c r="G66" i="104"/>
  <c r="H66" i="104"/>
  <c r="A67" i="104"/>
  <c r="B67" i="104"/>
  <c r="C67" i="104"/>
  <c r="E67" i="104"/>
  <c r="F67" i="104"/>
  <c r="G67" i="104"/>
  <c r="H67" i="104"/>
  <c r="A68" i="104"/>
  <c r="B68" i="104"/>
  <c r="C68" i="104"/>
  <c r="E68" i="104"/>
  <c r="F68" i="104"/>
  <c r="G68" i="104"/>
  <c r="H68" i="104"/>
  <c r="A69" i="104"/>
  <c r="B69" i="104"/>
  <c r="C69" i="104"/>
  <c r="E69" i="104"/>
  <c r="F69" i="104"/>
  <c r="G69" i="104"/>
  <c r="H69" i="104"/>
  <c r="A70" i="104"/>
  <c r="B70" i="104"/>
  <c r="C70" i="104"/>
  <c r="E70" i="104"/>
  <c r="F70" i="104"/>
  <c r="G70" i="104"/>
  <c r="H70" i="104"/>
  <c r="A71" i="104"/>
  <c r="B71" i="104"/>
  <c r="C71" i="104"/>
  <c r="E71" i="104"/>
  <c r="F71" i="104"/>
  <c r="G71" i="104"/>
  <c r="H71" i="104"/>
  <c r="A72" i="104"/>
  <c r="B72" i="104"/>
  <c r="C72" i="104"/>
  <c r="E72" i="104"/>
  <c r="F72" i="104"/>
  <c r="G72" i="104"/>
  <c r="H72" i="104"/>
  <c r="A73" i="104"/>
  <c r="B73" i="104"/>
  <c r="C73" i="104"/>
  <c r="E73" i="104"/>
  <c r="F73" i="104"/>
  <c r="G73" i="104"/>
  <c r="H73" i="104"/>
  <c r="A74" i="104"/>
  <c r="B74" i="104"/>
  <c r="C74" i="104"/>
  <c r="E74" i="104"/>
  <c r="F74" i="104"/>
  <c r="G74" i="104"/>
  <c r="H74" i="104"/>
  <c r="A75" i="104"/>
  <c r="B75" i="104"/>
  <c r="C75" i="104"/>
  <c r="E75" i="104"/>
  <c r="F75" i="104"/>
  <c r="G75" i="104"/>
  <c r="H75" i="104"/>
  <c r="A76" i="104"/>
  <c r="B76" i="104"/>
  <c r="C76" i="104"/>
  <c r="E76" i="104"/>
  <c r="F76" i="104"/>
  <c r="G76" i="104"/>
  <c r="H76" i="104"/>
  <c r="A77" i="104"/>
  <c r="B77" i="104"/>
  <c r="C77" i="104"/>
  <c r="E77" i="104"/>
  <c r="F77" i="104"/>
  <c r="G77" i="104"/>
  <c r="H77" i="104"/>
  <c r="A78" i="104"/>
  <c r="B78" i="104"/>
  <c r="C78" i="104"/>
  <c r="E78" i="104"/>
  <c r="F78" i="104"/>
  <c r="G78" i="104"/>
  <c r="H78" i="104"/>
  <c r="A79" i="104"/>
  <c r="B79" i="104"/>
  <c r="C79" i="104"/>
  <c r="E79" i="104"/>
  <c r="F79" i="104"/>
  <c r="G79" i="104"/>
  <c r="H79" i="104"/>
  <c r="A80" i="104"/>
  <c r="B80" i="104"/>
  <c r="C80" i="104"/>
  <c r="E80" i="104"/>
  <c r="F80" i="104"/>
  <c r="G80" i="104"/>
  <c r="H80" i="104"/>
  <c r="A81" i="104"/>
  <c r="B81" i="104"/>
  <c r="C81" i="104"/>
  <c r="E81" i="104"/>
  <c r="F81" i="104"/>
  <c r="G81" i="104"/>
  <c r="H81" i="104"/>
  <c r="A82" i="104"/>
  <c r="B82" i="104"/>
  <c r="C82" i="104"/>
  <c r="E82" i="104"/>
  <c r="F82" i="104"/>
  <c r="G82" i="104"/>
  <c r="H82" i="104"/>
  <c r="A83" i="104"/>
  <c r="B83" i="104"/>
  <c r="C83" i="104"/>
  <c r="E83" i="104"/>
  <c r="F83" i="104"/>
  <c r="G83" i="104"/>
  <c r="H83" i="104"/>
  <c r="A84" i="104"/>
  <c r="B84" i="104"/>
  <c r="C84" i="104"/>
  <c r="E84" i="104"/>
  <c r="F84" i="104"/>
  <c r="G84" i="104"/>
  <c r="H84" i="104"/>
  <c r="A85" i="104"/>
  <c r="B85" i="104"/>
  <c r="C85" i="104"/>
  <c r="E85" i="104"/>
  <c r="F85" i="104"/>
  <c r="G85" i="104"/>
  <c r="H85" i="104"/>
  <c r="A86" i="104"/>
  <c r="B86" i="104"/>
  <c r="C86" i="104"/>
  <c r="E86" i="104"/>
  <c r="F86" i="104"/>
  <c r="G86" i="104"/>
  <c r="H86" i="104"/>
  <c r="A87" i="104"/>
  <c r="B87" i="104"/>
  <c r="C87" i="104"/>
  <c r="E87" i="104"/>
  <c r="F87" i="104"/>
  <c r="G87" i="104"/>
  <c r="H87" i="104"/>
  <c r="A88" i="104"/>
  <c r="B88" i="104"/>
  <c r="C88" i="104"/>
  <c r="E88" i="104"/>
  <c r="F88" i="104"/>
  <c r="G88" i="104"/>
  <c r="H88" i="104"/>
  <c r="A89" i="104"/>
  <c r="B89" i="104"/>
  <c r="C89" i="104"/>
  <c r="E89" i="104"/>
  <c r="F89" i="104"/>
  <c r="G89" i="104"/>
  <c r="H89" i="104"/>
  <c r="A90" i="104"/>
  <c r="B90" i="104"/>
  <c r="C90" i="104"/>
  <c r="E90" i="104"/>
  <c r="F90" i="104"/>
  <c r="G90" i="104"/>
  <c r="H90" i="104"/>
  <c r="A91" i="104"/>
  <c r="B91" i="104"/>
  <c r="C91" i="104"/>
  <c r="E91" i="104"/>
  <c r="F91" i="104"/>
  <c r="G91" i="104"/>
  <c r="H91" i="104"/>
  <c r="A92" i="104"/>
  <c r="B92" i="104"/>
  <c r="C92" i="104"/>
  <c r="E92" i="104"/>
  <c r="F92" i="104"/>
  <c r="G92" i="104"/>
  <c r="H92" i="104"/>
  <c r="A93" i="104"/>
  <c r="B93" i="104"/>
  <c r="C93" i="104"/>
  <c r="E93" i="104"/>
  <c r="F93" i="104"/>
  <c r="G93" i="104"/>
  <c r="H93" i="104"/>
  <c r="A94" i="104"/>
  <c r="B94" i="104"/>
  <c r="C94" i="104"/>
  <c r="E94" i="104"/>
  <c r="F94" i="104"/>
  <c r="G94" i="104"/>
  <c r="H94" i="104"/>
  <c r="A95" i="104"/>
  <c r="B95" i="104"/>
  <c r="C95" i="104"/>
  <c r="E95" i="104"/>
  <c r="F95" i="104"/>
  <c r="G95" i="104"/>
  <c r="H95" i="104"/>
  <c r="A96" i="104"/>
  <c r="B96" i="104"/>
  <c r="C96" i="104"/>
  <c r="E96" i="104"/>
  <c r="F96" i="104"/>
  <c r="G96" i="104"/>
  <c r="H96" i="104"/>
  <c r="A97" i="104"/>
  <c r="B97" i="104"/>
  <c r="C97" i="104"/>
  <c r="E97" i="104"/>
  <c r="F97" i="104"/>
  <c r="G97" i="104"/>
  <c r="H97" i="104"/>
  <c r="A98" i="104"/>
  <c r="B98" i="104"/>
  <c r="C98" i="104"/>
  <c r="E98" i="104"/>
  <c r="F98" i="104"/>
  <c r="G98" i="104"/>
  <c r="H98" i="104"/>
  <c r="A99" i="104"/>
  <c r="B99" i="104"/>
  <c r="C99" i="104"/>
  <c r="E99" i="104"/>
  <c r="F99" i="104"/>
  <c r="G99" i="104"/>
  <c r="H99" i="104"/>
  <c r="A100" i="104"/>
  <c r="B100" i="104"/>
  <c r="C100" i="104"/>
  <c r="E100" i="104"/>
  <c r="F100" i="104"/>
  <c r="G100" i="104"/>
  <c r="H100" i="104"/>
  <c r="A101" i="104"/>
  <c r="B101" i="104"/>
  <c r="C101" i="104"/>
  <c r="E101" i="104"/>
  <c r="F101" i="104"/>
  <c r="G101" i="104"/>
  <c r="H101" i="104"/>
  <c r="A102" i="104"/>
  <c r="B102" i="104"/>
  <c r="C102" i="104"/>
  <c r="E102" i="104"/>
  <c r="F102" i="104"/>
  <c r="G102" i="104"/>
  <c r="H102" i="104"/>
  <c r="A103" i="104"/>
  <c r="B103" i="104"/>
  <c r="C103" i="104"/>
  <c r="E103" i="104"/>
  <c r="F103" i="104"/>
  <c r="G103" i="104"/>
  <c r="H103" i="104"/>
  <c r="A104" i="104"/>
  <c r="B104" i="104"/>
  <c r="C104" i="104"/>
  <c r="E104" i="104"/>
  <c r="F104" i="104"/>
  <c r="G104" i="104"/>
  <c r="H104" i="104"/>
  <c r="A105" i="104"/>
  <c r="B105" i="104"/>
  <c r="C105" i="104"/>
  <c r="E105" i="104"/>
  <c r="F105" i="104"/>
  <c r="G105" i="104"/>
  <c r="H105" i="104"/>
  <c r="A106" i="104"/>
  <c r="B106" i="104"/>
  <c r="C106" i="104"/>
  <c r="E106" i="104"/>
  <c r="F106" i="104"/>
  <c r="G106" i="104"/>
  <c r="H106" i="104"/>
  <c r="A107" i="104"/>
  <c r="B107" i="104"/>
  <c r="C107" i="104"/>
  <c r="E107" i="104"/>
  <c r="F107" i="104"/>
  <c r="G107" i="104"/>
  <c r="H107" i="104"/>
  <c r="A108" i="104"/>
  <c r="B108" i="104"/>
  <c r="C108" i="104"/>
  <c r="E108" i="104"/>
  <c r="F108" i="104"/>
  <c r="G108" i="104"/>
  <c r="H108" i="104"/>
  <c r="A109" i="104"/>
  <c r="B109" i="104"/>
  <c r="C109" i="104"/>
  <c r="E109" i="104"/>
  <c r="F109" i="104"/>
  <c r="G109" i="104"/>
  <c r="H109" i="104"/>
  <c r="A110" i="104"/>
  <c r="B110" i="104"/>
  <c r="C110" i="104"/>
  <c r="E110" i="104"/>
  <c r="F110" i="104"/>
  <c r="G110" i="104"/>
  <c r="H110" i="104"/>
  <c r="A111" i="104"/>
  <c r="B111" i="104"/>
  <c r="C111" i="104"/>
  <c r="E111" i="104"/>
  <c r="F111" i="104"/>
  <c r="G111" i="104"/>
  <c r="H111" i="104"/>
  <c r="A112" i="104"/>
  <c r="B112" i="104"/>
  <c r="C112" i="104"/>
  <c r="E112" i="104"/>
  <c r="F112" i="104"/>
  <c r="G112" i="104"/>
  <c r="H112" i="104"/>
  <c r="A113" i="104"/>
  <c r="B113" i="104"/>
  <c r="C113" i="104"/>
  <c r="E113" i="104"/>
  <c r="F113" i="104"/>
  <c r="G113" i="104"/>
  <c r="H113" i="104"/>
  <c r="A114" i="104"/>
  <c r="B114" i="104"/>
  <c r="C114" i="104"/>
  <c r="E114" i="104"/>
  <c r="F114" i="104"/>
  <c r="G114" i="104"/>
  <c r="H114" i="104"/>
  <c r="A115" i="104"/>
  <c r="B115" i="104"/>
  <c r="C115" i="104"/>
  <c r="E115" i="104"/>
  <c r="F115" i="104"/>
  <c r="G115" i="104"/>
  <c r="H115" i="104"/>
  <c r="A116" i="104"/>
  <c r="B116" i="104"/>
  <c r="C116" i="104"/>
  <c r="E116" i="104"/>
  <c r="F116" i="104"/>
  <c r="G116" i="104"/>
  <c r="H116" i="104"/>
  <c r="A117" i="104"/>
  <c r="B117" i="104"/>
  <c r="C117" i="104"/>
  <c r="E117" i="104"/>
  <c r="F117" i="104"/>
  <c r="G117" i="104"/>
  <c r="H117" i="104"/>
  <c r="A118" i="104"/>
  <c r="B118" i="104"/>
  <c r="C118" i="104"/>
  <c r="E118" i="104"/>
  <c r="F118" i="104"/>
  <c r="G118" i="104"/>
  <c r="H118" i="104"/>
  <c r="A119" i="104"/>
  <c r="B119" i="104"/>
  <c r="C119" i="104"/>
  <c r="E119" i="104"/>
  <c r="F119" i="104"/>
  <c r="G119" i="104"/>
  <c r="H119" i="104"/>
  <c r="A120" i="104"/>
  <c r="B120" i="104"/>
  <c r="C120" i="104"/>
  <c r="E120" i="104"/>
  <c r="F120" i="104"/>
  <c r="G120" i="104"/>
  <c r="H120" i="104"/>
  <c r="A121" i="104"/>
  <c r="B121" i="104"/>
  <c r="C121" i="104"/>
  <c r="E121" i="104"/>
  <c r="F121" i="104"/>
  <c r="G121" i="104"/>
  <c r="H121" i="104"/>
  <c r="A122" i="104"/>
  <c r="B122" i="104"/>
  <c r="C122" i="104"/>
  <c r="E122" i="104"/>
  <c r="F122" i="104"/>
  <c r="G122" i="104"/>
  <c r="H122" i="104"/>
  <c r="A123" i="104"/>
  <c r="B123" i="104"/>
  <c r="C123" i="104"/>
  <c r="E123" i="104"/>
  <c r="F123" i="104"/>
  <c r="G123" i="104"/>
  <c r="H123" i="104"/>
  <c r="A124" i="104"/>
  <c r="B124" i="104"/>
  <c r="C124" i="104"/>
  <c r="E124" i="104"/>
  <c r="F124" i="104"/>
  <c r="G124" i="104"/>
  <c r="H124" i="104"/>
  <c r="A125" i="104"/>
  <c r="B125" i="104"/>
  <c r="C125" i="104"/>
  <c r="E125" i="104"/>
  <c r="F125" i="104"/>
  <c r="G125" i="104"/>
  <c r="H125" i="104"/>
  <c r="A126" i="104"/>
  <c r="B126" i="104"/>
  <c r="C126" i="104"/>
  <c r="E126" i="104"/>
  <c r="F126" i="104"/>
  <c r="G126" i="104"/>
  <c r="H126" i="104"/>
  <c r="A127" i="104"/>
  <c r="B127" i="104"/>
  <c r="C127" i="104"/>
  <c r="E127" i="104"/>
  <c r="F127" i="104"/>
  <c r="G127" i="104"/>
  <c r="H127" i="104"/>
  <c r="A128" i="104"/>
  <c r="B128" i="104"/>
  <c r="C128" i="104"/>
  <c r="E128" i="104"/>
  <c r="F128" i="104"/>
  <c r="G128" i="104"/>
  <c r="H128" i="104"/>
  <c r="A129" i="104"/>
  <c r="B129" i="104"/>
  <c r="C129" i="104"/>
  <c r="E129" i="104"/>
  <c r="F129" i="104"/>
  <c r="G129" i="104"/>
  <c r="H129" i="104"/>
  <c r="A130" i="104"/>
  <c r="B130" i="104"/>
  <c r="C130" i="104"/>
  <c r="E130" i="104"/>
  <c r="F130" i="104"/>
  <c r="G130" i="104"/>
  <c r="H130" i="104"/>
  <c r="A131" i="104"/>
  <c r="B131" i="104"/>
  <c r="C131" i="104"/>
  <c r="E131" i="104"/>
  <c r="F131" i="104"/>
  <c r="G131" i="104"/>
  <c r="H131" i="104"/>
  <c r="A132" i="104"/>
  <c r="B132" i="104"/>
  <c r="C132" i="104"/>
  <c r="E132" i="104"/>
  <c r="F132" i="104"/>
  <c r="G132" i="104"/>
  <c r="H132" i="104"/>
  <c r="A133" i="104"/>
  <c r="B133" i="104"/>
  <c r="C133" i="104"/>
  <c r="E133" i="104"/>
  <c r="F133" i="104"/>
  <c r="G133" i="104"/>
  <c r="H133" i="104"/>
  <c r="A134" i="104"/>
  <c r="B134" i="104"/>
  <c r="C134" i="104"/>
  <c r="E134" i="104"/>
  <c r="F134" i="104"/>
  <c r="G134" i="104"/>
  <c r="H134" i="104"/>
  <c r="A135" i="104"/>
  <c r="B135" i="104"/>
  <c r="C135" i="104"/>
  <c r="E135" i="104"/>
  <c r="F135" i="104"/>
  <c r="G135" i="104"/>
  <c r="H135" i="104"/>
  <c r="A136" i="104"/>
  <c r="B136" i="104"/>
  <c r="C136" i="104"/>
  <c r="E136" i="104"/>
  <c r="F136" i="104"/>
  <c r="G136" i="104"/>
  <c r="H136" i="104"/>
  <c r="A137" i="104"/>
  <c r="B137" i="104"/>
  <c r="C137" i="104"/>
  <c r="E137" i="104"/>
  <c r="F137" i="104"/>
  <c r="G137" i="104"/>
  <c r="H137" i="104"/>
  <c r="A138" i="104"/>
  <c r="B138" i="104"/>
  <c r="C138" i="104"/>
  <c r="E138" i="104"/>
  <c r="F138" i="104"/>
  <c r="G138" i="104"/>
  <c r="H138" i="104"/>
  <c r="A139" i="104"/>
  <c r="B139" i="104"/>
  <c r="C139" i="104"/>
  <c r="E139" i="104"/>
  <c r="F139" i="104"/>
  <c r="G139" i="104"/>
  <c r="H139" i="104"/>
  <c r="A140" i="104"/>
  <c r="B140" i="104"/>
  <c r="C140" i="104"/>
  <c r="E140" i="104"/>
  <c r="F140" i="104"/>
  <c r="G140" i="104"/>
  <c r="H140" i="104"/>
  <c r="A141" i="104"/>
  <c r="B141" i="104"/>
  <c r="C141" i="104"/>
  <c r="E141" i="104"/>
  <c r="F141" i="104"/>
  <c r="G141" i="104"/>
  <c r="H141" i="104"/>
  <c r="A142" i="104"/>
  <c r="B142" i="104"/>
  <c r="C142" i="104"/>
  <c r="E142" i="104"/>
  <c r="F142" i="104"/>
  <c r="G142" i="104"/>
  <c r="H142" i="104"/>
  <c r="A143" i="104"/>
  <c r="B143" i="104"/>
  <c r="C143" i="104"/>
  <c r="E143" i="104"/>
  <c r="F143" i="104"/>
  <c r="G143" i="104"/>
  <c r="H143" i="104"/>
  <c r="A144" i="104"/>
  <c r="B144" i="104"/>
  <c r="C144" i="104"/>
  <c r="E144" i="104"/>
  <c r="F144" i="104"/>
  <c r="G144" i="104"/>
  <c r="H144" i="104"/>
  <c r="A145" i="104"/>
  <c r="B145" i="104"/>
  <c r="C145" i="104"/>
  <c r="E145" i="104"/>
  <c r="F145" i="104"/>
  <c r="G145" i="104"/>
  <c r="H145" i="104"/>
  <c r="A146" i="104"/>
  <c r="B146" i="104"/>
  <c r="C146" i="104"/>
  <c r="E146" i="104"/>
  <c r="F146" i="104"/>
  <c r="G146" i="104"/>
  <c r="H146" i="104"/>
  <c r="A147" i="104"/>
  <c r="B147" i="104"/>
  <c r="C147" i="104"/>
  <c r="E147" i="104"/>
  <c r="F147" i="104"/>
  <c r="G147" i="104"/>
  <c r="H147" i="104"/>
  <c r="A148" i="104"/>
  <c r="B148" i="104"/>
  <c r="C148" i="104"/>
  <c r="E148" i="104"/>
  <c r="F148" i="104"/>
  <c r="G148" i="104"/>
  <c r="H148" i="104"/>
  <c r="A149" i="104"/>
  <c r="B149" i="104"/>
  <c r="C149" i="104"/>
  <c r="E149" i="104"/>
  <c r="F149" i="104"/>
  <c r="G149" i="104"/>
  <c r="H149" i="104"/>
  <c r="A150" i="104"/>
  <c r="B150" i="104"/>
  <c r="C150" i="104"/>
  <c r="E150" i="104"/>
  <c r="F150" i="104"/>
  <c r="G150" i="104"/>
  <c r="H150" i="104"/>
  <c r="A151" i="104"/>
  <c r="B151" i="104"/>
  <c r="C151" i="104"/>
  <c r="E151" i="104"/>
  <c r="F151" i="104"/>
  <c r="G151" i="104"/>
  <c r="H151" i="104"/>
  <c r="A152" i="104"/>
  <c r="B152" i="104"/>
  <c r="C152" i="104"/>
  <c r="E152" i="104"/>
  <c r="F152" i="104"/>
  <c r="G152" i="104"/>
  <c r="H152" i="104"/>
  <c r="A153" i="104"/>
  <c r="B153" i="104"/>
  <c r="C153" i="104"/>
  <c r="E153" i="104"/>
  <c r="F153" i="104"/>
  <c r="G153" i="104"/>
  <c r="H153" i="104"/>
  <c r="A154" i="104"/>
  <c r="B154" i="104"/>
  <c r="C154" i="104"/>
  <c r="E154" i="104"/>
  <c r="F154" i="104"/>
  <c r="G154" i="104"/>
  <c r="H154" i="104"/>
  <c r="A155" i="104"/>
  <c r="B155" i="104"/>
  <c r="C155" i="104"/>
  <c r="E155" i="104"/>
  <c r="F155" i="104"/>
  <c r="G155" i="104"/>
  <c r="H155" i="104"/>
  <c r="A156" i="104"/>
  <c r="B156" i="104"/>
  <c r="C156" i="104"/>
  <c r="E156" i="104"/>
  <c r="F156" i="104"/>
  <c r="G156" i="104"/>
  <c r="H156" i="104"/>
  <c r="A157" i="104"/>
  <c r="B157" i="104"/>
  <c r="C157" i="104"/>
  <c r="E157" i="104"/>
  <c r="F157" i="104"/>
  <c r="G157" i="104"/>
  <c r="H157" i="104"/>
  <c r="A158" i="104"/>
  <c r="B158" i="104"/>
  <c r="C158" i="104"/>
  <c r="E158" i="104"/>
  <c r="F158" i="104"/>
  <c r="G158" i="104"/>
  <c r="H158" i="104"/>
  <c r="A159" i="104"/>
  <c r="B159" i="104"/>
  <c r="C159" i="104"/>
  <c r="E159" i="104"/>
  <c r="F159" i="104"/>
  <c r="G159" i="104"/>
  <c r="H159" i="104"/>
  <c r="A160" i="104"/>
  <c r="B160" i="104"/>
  <c r="C160" i="104"/>
  <c r="E160" i="104"/>
  <c r="F160" i="104"/>
  <c r="G160" i="104"/>
  <c r="H160" i="104"/>
  <c r="A161" i="104"/>
  <c r="B161" i="104"/>
  <c r="C161" i="104"/>
  <c r="E161" i="104"/>
  <c r="F161" i="104"/>
  <c r="G161" i="104"/>
  <c r="H161" i="104"/>
  <c r="A162" i="104"/>
  <c r="B162" i="104"/>
  <c r="C162" i="104"/>
  <c r="E162" i="104"/>
  <c r="F162" i="104"/>
  <c r="G162" i="104"/>
  <c r="H162" i="104"/>
  <c r="A163" i="104"/>
  <c r="B163" i="104"/>
  <c r="C163" i="104"/>
  <c r="E163" i="104"/>
  <c r="F163" i="104"/>
  <c r="G163" i="104"/>
  <c r="H163" i="104"/>
  <c r="A164" i="104"/>
  <c r="B164" i="104"/>
  <c r="C164" i="104"/>
  <c r="E164" i="104"/>
  <c r="F164" i="104"/>
  <c r="G164" i="104"/>
  <c r="H164" i="104"/>
  <c r="A165" i="104"/>
  <c r="B165" i="104"/>
  <c r="C165" i="104"/>
  <c r="E165" i="104"/>
  <c r="F165" i="104"/>
  <c r="G165" i="104"/>
  <c r="H165" i="104"/>
  <c r="A166" i="104"/>
  <c r="B166" i="104"/>
  <c r="C166" i="104"/>
  <c r="E166" i="104"/>
  <c r="F166" i="104"/>
  <c r="G166" i="104"/>
  <c r="H166" i="104"/>
  <c r="A167" i="104"/>
  <c r="B167" i="104"/>
  <c r="C167" i="104"/>
  <c r="E167" i="104"/>
  <c r="F167" i="104"/>
  <c r="G167" i="104"/>
  <c r="H167" i="104"/>
  <c r="A168" i="104"/>
  <c r="B168" i="104"/>
  <c r="C168" i="104"/>
  <c r="E168" i="104"/>
  <c r="F168" i="104"/>
  <c r="G168" i="104"/>
  <c r="H168" i="104"/>
  <c r="A169" i="104"/>
  <c r="B169" i="104"/>
  <c r="C169" i="104"/>
  <c r="E169" i="104"/>
  <c r="F169" i="104"/>
  <c r="G169" i="104"/>
  <c r="H169" i="104"/>
  <c r="A170" i="104"/>
  <c r="B170" i="104"/>
  <c r="C170" i="104"/>
  <c r="E170" i="104"/>
  <c r="F170" i="104"/>
  <c r="G170" i="104"/>
  <c r="H170" i="104"/>
  <c r="A171" i="104"/>
  <c r="B171" i="104"/>
  <c r="C171" i="104"/>
  <c r="E171" i="104"/>
  <c r="F171" i="104"/>
  <c r="G171" i="104"/>
  <c r="H171" i="104"/>
  <c r="A172" i="104"/>
  <c r="B172" i="104"/>
  <c r="C172" i="104"/>
  <c r="E172" i="104"/>
  <c r="F172" i="104"/>
  <c r="G172" i="104"/>
  <c r="H172" i="104"/>
  <c r="A173" i="104"/>
  <c r="B173" i="104"/>
  <c r="C173" i="104"/>
  <c r="E173" i="104"/>
  <c r="F173" i="104"/>
  <c r="G173" i="104"/>
  <c r="H173" i="104"/>
  <c r="A174" i="104"/>
  <c r="B174" i="104"/>
  <c r="C174" i="104"/>
  <c r="E174" i="104"/>
  <c r="F174" i="104"/>
  <c r="G174" i="104"/>
  <c r="H174" i="104"/>
  <c r="A175" i="104"/>
  <c r="B175" i="104"/>
  <c r="C175" i="104"/>
  <c r="E175" i="104"/>
  <c r="F175" i="104"/>
  <c r="G175" i="104"/>
  <c r="H175" i="104"/>
  <c r="A176" i="104"/>
  <c r="B176" i="104"/>
  <c r="C176" i="104"/>
  <c r="E176" i="104"/>
  <c r="F176" i="104"/>
  <c r="G176" i="104"/>
  <c r="H176" i="104"/>
  <c r="A177" i="104"/>
  <c r="B177" i="104"/>
  <c r="C177" i="104"/>
  <c r="E177" i="104"/>
  <c r="F177" i="104"/>
  <c r="G177" i="104"/>
  <c r="H177" i="104"/>
  <c r="A178" i="104"/>
  <c r="B178" i="104"/>
  <c r="C178" i="104"/>
  <c r="E178" i="104"/>
  <c r="F178" i="104"/>
  <c r="G178" i="104"/>
  <c r="H178" i="104"/>
  <c r="A179" i="104"/>
  <c r="B179" i="104"/>
  <c r="C179" i="104"/>
  <c r="E179" i="104"/>
  <c r="F179" i="104"/>
  <c r="G179" i="104"/>
  <c r="H179" i="104"/>
  <c r="A180" i="104"/>
  <c r="B180" i="104"/>
  <c r="C180" i="104"/>
  <c r="E180" i="104"/>
  <c r="F180" i="104"/>
  <c r="G180" i="104"/>
  <c r="H180" i="104"/>
  <c r="A181" i="104"/>
  <c r="B181" i="104"/>
  <c r="C181" i="104"/>
  <c r="E181" i="104"/>
  <c r="F181" i="104"/>
  <c r="G181" i="104"/>
  <c r="H181" i="104"/>
  <c r="A182" i="104"/>
  <c r="B182" i="104"/>
  <c r="C182" i="104"/>
  <c r="E182" i="104"/>
  <c r="F182" i="104"/>
  <c r="G182" i="104"/>
  <c r="H182" i="104"/>
  <c r="A183" i="104"/>
  <c r="B183" i="104"/>
  <c r="C183" i="104"/>
  <c r="E183" i="104"/>
  <c r="F183" i="104"/>
  <c r="G183" i="104"/>
  <c r="H183" i="104"/>
  <c r="A184" i="104"/>
  <c r="B184" i="104"/>
  <c r="C184" i="104"/>
  <c r="E184" i="104"/>
  <c r="F184" i="104"/>
  <c r="G184" i="104"/>
  <c r="H184" i="104"/>
  <c r="A185" i="104"/>
  <c r="B185" i="104"/>
  <c r="C185" i="104"/>
  <c r="E185" i="104"/>
  <c r="F185" i="104"/>
  <c r="G185" i="104"/>
  <c r="H185" i="104"/>
  <c r="A186" i="104"/>
  <c r="B186" i="104"/>
  <c r="C186" i="104"/>
  <c r="E186" i="104"/>
  <c r="F186" i="104"/>
  <c r="G186" i="104"/>
  <c r="H186" i="104"/>
  <c r="A187" i="104"/>
  <c r="B187" i="104"/>
  <c r="C187" i="104"/>
  <c r="E187" i="104"/>
  <c r="F187" i="104"/>
  <c r="G187" i="104"/>
  <c r="H187" i="104"/>
  <c r="A188" i="104"/>
  <c r="B188" i="104"/>
  <c r="C188" i="104"/>
  <c r="E188" i="104"/>
  <c r="F188" i="104"/>
  <c r="G188" i="104"/>
  <c r="H188" i="104"/>
  <c r="A189" i="104"/>
  <c r="B189" i="104"/>
  <c r="C189" i="104"/>
  <c r="E189" i="104"/>
  <c r="F189" i="104"/>
  <c r="G189" i="104"/>
  <c r="H189" i="104"/>
  <c r="A190" i="104"/>
  <c r="B190" i="104"/>
  <c r="C190" i="104"/>
  <c r="E190" i="104"/>
  <c r="F190" i="104"/>
  <c r="G190" i="104"/>
  <c r="H190" i="104"/>
  <c r="A191" i="104"/>
  <c r="B191" i="104"/>
  <c r="C191" i="104"/>
  <c r="E191" i="104"/>
  <c r="F191" i="104"/>
  <c r="G191" i="104"/>
  <c r="H191" i="104"/>
  <c r="A192" i="104"/>
  <c r="B192" i="104"/>
  <c r="C192" i="104"/>
  <c r="E192" i="104"/>
  <c r="F192" i="104"/>
  <c r="G192" i="104"/>
  <c r="H192" i="104"/>
  <c r="A193" i="104"/>
  <c r="B193" i="104"/>
  <c r="C193" i="104"/>
  <c r="E193" i="104"/>
  <c r="F193" i="104"/>
  <c r="G193" i="104"/>
  <c r="H193" i="104"/>
  <c r="A194" i="104"/>
  <c r="B194" i="104"/>
  <c r="C194" i="104"/>
  <c r="E194" i="104"/>
  <c r="F194" i="104"/>
  <c r="G194" i="104"/>
  <c r="H194" i="104"/>
  <c r="A195" i="104"/>
  <c r="B195" i="104"/>
  <c r="C195" i="104"/>
  <c r="E195" i="104"/>
  <c r="F195" i="104"/>
  <c r="G195" i="104"/>
  <c r="H195" i="104"/>
  <c r="A196" i="104"/>
  <c r="B196" i="104"/>
  <c r="C196" i="104"/>
  <c r="E196" i="104"/>
  <c r="F196" i="104"/>
  <c r="G196" i="104"/>
  <c r="H196" i="104"/>
  <c r="A197" i="104"/>
  <c r="B197" i="104"/>
  <c r="C197" i="104"/>
  <c r="E197" i="104"/>
  <c r="F197" i="104"/>
  <c r="G197" i="104"/>
  <c r="H197" i="104"/>
  <c r="A198" i="104"/>
  <c r="B198" i="104"/>
  <c r="C198" i="104"/>
  <c r="E198" i="104"/>
  <c r="F198" i="104"/>
  <c r="G198" i="104"/>
  <c r="H198" i="104"/>
  <c r="A199" i="104"/>
  <c r="B199" i="104"/>
  <c r="C199" i="104"/>
  <c r="E199" i="104"/>
  <c r="F199" i="104"/>
  <c r="G199" i="104"/>
  <c r="H199" i="104"/>
  <c r="A200" i="104"/>
  <c r="B200" i="104"/>
  <c r="C200" i="104"/>
  <c r="E200" i="104"/>
  <c r="F200" i="104"/>
  <c r="G200" i="104"/>
  <c r="H200" i="104"/>
  <c r="A201" i="104"/>
  <c r="B201" i="104"/>
  <c r="C201" i="104"/>
  <c r="E201" i="104"/>
  <c r="F201" i="104"/>
  <c r="G201" i="104"/>
  <c r="H201" i="104"/>
  <c r="A202" i="104"/>
  <c r="B202" i="104"/>
  <c r="C202" i="104"/>
  <c r="E202" i="104"/>
  <c r="F202" i="104"/>
  <c r="G202" i="104"/>
  <c r="H202" i="104"/>
  <c r="A203" i="104"/>
  <c r="B203" i="104"/>
  <c r="C203" i="104"/>
  <c r="E203" i="104"/>
  <c r="F203" i="104"/>
  <c r="G203" i="104"/>
  <c r="H203" i="104"/>
  <c r="A204" i="104"/>
  <c r="B204" i="104"/>
  <c r="C204" i="104"/>
  <c r="E204" i="104"/>
  <c r="F204" i="104"/>
  <c r="G204" i="104"/>
  <c r="H204" i="104"/>
  <c r="A205" i="104"/>
  <c r="B205" i="104"/>
  <c r="C205" i="104"/>
  <c r="E205" i="104"/>
  <c r="F205" i="104"/>
  <c r="G205" i="104"/>
  <c r="H205" i="104"/>
  <c r="A206" i="104"/>
  <c r="B206" i="104"/>
  <c r="C206" i="104"/>
  <c r="E206" i="104"/>
  <c r="F206" i="104"/>
  <c r="G206" i="104"/>
  <c r="H206" i="104"/>
  <c r="A207" i="104"/>
  <c r="B207" i="104"/>
  <c r="C207" i="104"/>
  <c r="E207" i="104"/>
  <c r="F207" i="104"/>
  <c r="G207" i="104"/>
  <c r="H207" i="104"/>
  <c r="A208" i="104"/>
  <c r="B208" i="104"/>
  <c r="C208" i="104"/>
  <c r="E208" i="104"/>
  <c r="F208" i="104"/>
  <c r="G208" i="104"/>
  <c r="H208" i="104"/>
  <c r="A209" i="104"/>
  <c r="B209" i="104"/>
  <c r="C209" i="104"/>
  <c r="E209" i="104"/>
  <c r="F209" i="104"/>
  <c r="G209" i="104"/>
  <c r="H209" i="104"/>
  <c r="A210" i="104"/>
  <c r="B210" i="104"/>
  <c r="C210" i="104"/>
  <c r="E210" i="104"/>
  <c r="F210" i="104"/>
  <c r="G210" i="104"/>
  <c r="H210" i="104"/>
  <c r="A211" i="104"/>
  <c r="B211" i="104"/>
  <c r="C211" i="104"/>
  <c r="E211" i="104"/>
  <c r="F211" i="104"/>
  <c r="G211" i="104"/>
  <c r="H211" i="104"/>
  <c r="A212" i="104"/>
  <c r="B212" i="104"/>
  <c r="C212" i="104"/>
  <c r="E212" i="104"/>
  <c r="F212" i="104"/>
  <c r="G212" i="104"/>
  <c r="H212" i="104"/>
  <c r="A213" i="104"/>
  <c r="B213" i="104"/>
  <c r="C213" i="104"/>
  <c r="E213" i="104"/>
  <c r="F213" i="104"/>
  <c r="G213" i="104"/>
  <c r="H213" i="104"/>
  <c r="A214" i="104"/>
  <c r="B214" i="104"/>
  <c r="C214" i="104"/>
  <c r="E214" i="104"/>
  <c r="F214" i="104"/>
  <c r="G214" i="104"/>
  <c r="H214" i="104"/>
  <c r="A215" i="104"/>
  <c r="B215" i="104"/>
  <c r="C215" i="104"/>
  <c r="E215" i="104"/>
  <c r="F215" i="104"/>
  <c r="G215" i="104"/>
  <c r="H215" i="104"/>
  <c r="A216" i="104"/>
  <c r="B216" i="104"/>
  <c r="C216" i="104"/>
  <c r="E216" i="104"/>
  <c r="F216" i="104"/>
  <c r="G216" i="104"/>
  <c r="H216" i="104"/>
  <c r="A217" i="104"/>
  <c r="B217" i="104"/>
  <c r="C217" i="104"/>
  <c r="E217" i="104"/>
  <c r="F217" i="104"/>
  <c r="G217" i="104"/>
  <c r="H217" i="104"/>
  <c r="A218" i="104"/>
  <c r="B218" i="104"/>
  <c r="C218" i="104"/>
  <c r="E218" i="104"/>
  <c r="F218" i="104"/>
  <c r="G218" i="104"/>
  <c r="H218" i="104"/>
  <c r="A219" i="104"/>
  <c r="B219" i="104"/>
  <c r="C219" i="104"/>
  <c r="E219" i="104"/>
  <c r="F219" i="104"/>
  <c r="G219" i="104"/>
  <c r="H219" i="104"/>
  <c r="A220" i="104"/>
  <c r="B220" i="104"/>
  <c r="C220" i="104"/>
  <c r="E220" i="104"/>
  <c r="F220" i="104"/>
  <c r="G220" i="104"/>
  <c r="H220" i="104"/>
  <c r="A221" i="104"/>
  <c r="B221" i="104"/>
  <c r="C221" i="104"/>
  <c r="E221" i="104"/>
  <c r="F221" i="104"/>
  <c r="G221" i="104"/>
  <c r="H221" i="104"/>
  <c r="A222" i="104"/>
  <c r="B222" i="104"/>
  <c r="C222" i="104"/>
  <c r="E222" i="104"/>
  <c r="F222" i="104"/>
  <c r="G222" i="104"/>
  <c r="H222" i="104"/>
  <c r="A223" i="104"/>
  <c r="B223" i="104"/>
  <c r="C223" i="104"/>
  <c r="E223" i="104"/>
  <c r="F223" i="104"/>
  <c r="G223" i="104"/>
  <c r="H223" i="104"/>
  <c r="A224" i="104"/>
  <c r="B224" i="104"/>
  <c r="C224" i="104"/>
  <c r="E224" i="104"/>
  <c r="F224" i="104"/>
  <c r="G224" i="104"/>
  <c r="H224" i="104"/>
  <c r="A225" i="104"/>
  <c r="B225" i="104"/>
  <c r="C225" i="104"/>
  <c r="E225" i="104"/>
  <c r="F225" i="104"/>
  <c r="G225" i="104"/>
  <c r="H225" i="104"/>
  <c r="A226" i="104"/>
  <c r="B226" i="104"/>
  <c r="C226" i="104"/>
  <c r="E226" i="104"/>
  <c r="F226" i="104"/>
  <c r="G226" i="104"/>
  <c r="H226" i="104"/>
  <c r="A227" i="104"/>
  <c r="B227" i="104"/>
  <c r="C227" i="104"/>
  <c r="E227" i="104"/>
  <c r="F227" i="104"/>
  <c r="G227" i="104"/>
  <c r="H227" i="104"/>
  <c r="A228" i="104"/>
  <c r="B228" i="104"/>
  <c r="C228" i="104"/>
  <c r="E228" i="104"/>
  <c r="F228" i="104"/>
  <c r="G228" i="104"/>
  <c r="H228" i="104"/>
  <c r="A229" i="104"/>
  <c r="B229" i="104"/>
  <c r="C229" i="104"/>
  <c r="E229" i="104"/>
  <c r="F229" i="104"/>
  <c r="G229" i="104"/>
  <c r="H229" i="104"/>
  <c r="A230" i="104"/>
  <c r="B230" i="104"/>
  <c r="C230" i="104"/>
  <c r="E230" i="104"/>
  <c r="F230" i="104"/>
  <c r="G230" i="104"/>
  <c r="H230" i="104"/>
  <c r="A231" i="104"/>
  <c r="B231" i="104"/>
  <c r="C231" i="104"/>
  <c r="E231" i="104"/>
  <c r="F231" i="104"/>
  <c r="G231" i="104"/>
  <c r="H231" i="104"/>
  <c r="A232" i="104"/>
  <c r="B232" i="104"/>
  <c r="C232" i="104"/>
  <c r="E232" i="104"/>
  <c r="F232" i="104"/>
  <c r="G232" i="104"/>
  <c r="H232" i="104"/>
  <c r="A233" i="104"/>
  <c r="B233" i="104"/>
  <c r="C233" i="104"/>
  <c r="E233" i="104"/>
  <c r="F233" i="104"/>
  <c r="G233" i="104"/>
  <c r="H233" i="104"/>
  <c r="A234" i="104"/>
  <c r="B234" i="104"/>
  <c r="C234" i="104"/>
  <c r="E234" i="104"/>
  <c r="F234" i="104"/>
  <c r="G234" i="104"/>
  <c r="H234" i="104"/>
  <c r="A235" i="104"/>
  <c r="B235" i="104"/>
  <c r="C235" i="104"/>
  <c r="E235" i="104"/>
  <c r="F235" i="104"/>
  <c r="G235" i="104"/>
  <c r="H235" i="104"/>
  <c r="A236" i="104"/>
  <c r="B236" i="104"/>
  <c r="C236" i="104"/>
  <c r="E236" i="104"/>
  <c r="F236" i="104"/>
  <c r="G236" i="104"/>
  <c r="H236" i="104"/>
  <c r="A237" i="104"/>
  <c r="B237" i="104"/>
  <c r="C237" i="104"/>
  <c r="E237" i="104"/>
  <c r="F237" i="104"/>
  <c r="G237" i="104"/>
  <c r="H237" i="104"/>
  <c r="A238" i="104"/>
  <c r="B238" i="104"/>
  <c r="C238" i="104"/>
  <c r="E238" i="104"/>
  <c r="F238" i="104"/>
  <c r="G238" i="104"/>
  <c r="H238" i="104"/>
  <c r="A239" i="104"/>
  <c r="B239" i="104"/>
  <c r="C239" i="104"/>
  <c r="E239" i="104"/>
  <c r="F239" i="104"/>
  <c r="G239" i="104"/>
  <c r="H239" i="104"/>
  <c r="A240" i="104"/>
  <c r="B240" i="104"/>
  <c r="C240" i="104"/>
  <c r="E240" i="104"/>
  <c r="F240" i="104"/>
  <c r="G240" i="104"/>
  <c r="H240" i="104"/>
  <c r="A241" i="104"/>
  <c r="B241" i="104"/>
  <c r="C241" i="104"/>
  <c r="E241" i="104"/>
  <c r="F241" i="104"/>
  <c r="G241" i="104"/>
  <c r="H241" i="104"/>
  <c r="A242" i="104"/>
  <c r="B242" i="104"/>
  <c r="C242" i="104"/>
  <c r="E242" i="104"/>
  <c r="F242" i="104"/>
  <c r="G242" i="104"/>
  <c r="H242" i="104"/>
  <c r="A243" i="104"/>
  <c r="B243" i="104"/>
  <c r="C243" i="104"/>
  <c r="E243" i="104"/>
  <c r="F243" i="104"/>
  <c r="G243" i="104"/>
  <c r="H243" i="104"/>
  <c r="A244" i="104"/>
  <c r="B244" i="104"/>
  <c r="C244" i="104"/>
  <c r="E244" i="104"/>
  <c r="F244" i="104"/>
  <c r="G244" i="104"/>
  <c r="H244" i="104"/>
  <c r="A245" i="104"/>
  <c r="B245" i="104"/>
  <c r="C245" i="104"/>
  <c r="E245" i="104"/>
  <c r="F245" i="104"/>
  <c r="G245" i="104"/>
  <c r="H245" i="104"/>
  <c r="A246" i="104"/>
  <c r="B246" i="104"/>
  <c r="C246" i="104"/>
  <c r="E246" i="104"/>
  <c r="F246" i="104"/>
  <c r="G246" i="104"/>
  <c r="H246" i="104"/>
  <c r="A247" i="104"/>
  <c r="B247" i="104"/>
  <c r="C247" i="104"/>
  <c r="E247" i="104"/>
  <c r="F247" i="104"/>
  <c r="G247" i="104"/>
  <c r="H247" i="104"/>
  <c r="A248" i="104"/>
  <c r="B248" i="104"/>
  <c r="C248" i="104"/>
  <c r="E248" i="104"/>
  <c r="F248" i="104"/>
  <c r="G248" i="104"/>
  <c r="H248" i="104"/>
  <c r="A249" i="104"/>
  <c r="B249" i="104"/>
  <c r="C249" i="104"/>
  <c r="E249" i="104"/>
  <c r="F249" i="104"/>
  <c r="G249" i="104"/>
  <c r="H249" i="104"/>
  <c r="A250" i="104"/>
  <c r="B250" i="104"/>
  <c r="C250" i="104"/>
  <c r="E250" i="104"/>
  <c r="F250" i="104"/>
  <c r="G250" i="104"/>
  <c r="H250" i="104"/>
  <c r="A251" i="104"/>
  <c r="B251" i="104"/>
  <c r="C251" i="104"/>
  <c r="E251" i="104"/>
  <c r="F251" i="104"/>
  <c r="G251" i="104"/>
  <c r="H251" i="104"/>
  <c r="A252" i="104"/>
  <c r="B252" i="104"/>
  <c r="C252" i="104"/>
  <c r="E252" i="104"/>
  <c r="F252" i="104"/>
  <c r="G252" i="104"/>
  <c r="H252" i="104"/>
  <c r="A253" i="104"/>
  <c r="B253" i="104"/>
  <c r="C253" i="104"/>
  <c r="E253" i="104"/>
  <c r="F253" i="104"/>
  <c r="G253" i="104"/>
  <c r="H253" i="104"/>
  <c r="A254" i="104"/>
  <c r="B254" i="104"/>
  <c r="C254" i="104"/>
  <c r="E254" i="104"/>
  <c r="F254" i="104"/>
  <c r="G254" i="104"/>
  <c r="H254" i="104"/>
  <c r="A255" i="104"/>
  <c r="B255" i="104"/>
  <c r="C255" i="104"/>
  <c r="E255" i="104"/>
  <c r="F255" i="104"/>
  <c r="G255" i="104"/>
  <c r="H255" i="104"/>
  <c r="A256" i="104"/>
  <c r="B256" i="104"/>
  <c r="C256" i="104"/>
  <c r="E256" i="104"/>
  <c r="F256" i="104"/>
  <c r="G256" i="104"/>
  <c r="H256" i="104"/>
  <c r="A257" i="104"/>
  <c r="B257" i="104"/>
  <c r="C257" i="104"/>
  <c r="E257" i="104"/>
  <c r="F257" i="104"/>
  <c r="G257" i="104"/>
  <c r="H257" i="104"/>
  <c r="A258" i="104"/>
  <c r="B258" i="104"/>
  <c r="C258" i="104"/>
  <c r="E258" i="104"/>
  <c r="F258" i="104"/>
  <c r="G258" i="104"/>
  <c r="H258" i="104"/>
  <c r="A259" i="104"/>
  <c r="B259" i="104"/>
  <c r="C259" i="104"/>
  <c r="E259" i="104"/>
  <c r="F259" i="104"/>
  <c r="G259" i="104"/>
  <c r="H259" i="104"/>
  <c r="A260" i="104"/>
  <c r="B260" i="104"/>
  <c r="C260" i="104"/>
  <c r="E260" i="104"/>
  <c r="F260" i="104"/>
  <c r="G260" i="104"/>
  <c r="H260" i="104"/>
  <c r="A261" i="104"/>
  <c r="B261" i="104"/>
  <c r="C261" i="104"/>
  <c r="E261" i="104"/>
  <c r="F261" i="104"/>
  <c r="G261" i="104"/>
  <c r="H261" i="104"/>
  <c r="A262" i="104"/>
  <c r="B262" i="104"/>
  <c r="C262" i="104"/>
  <c r="E262" i="104"/>
  <c r="F262" i="104"/>
  <c r="G262" i="104"/>
  <c r="H262" i="104"/>
  <c r="A263" i="104"/>
  <c r="B263" i="104"/>
  <c r="C263" i="104"/>
  <c r="E263" i="104"/>
  <c r="F263" i="104"/>
  <c r="G263" i="104"/>
  <c r="H263" i="104"/>
  <c r="A264" i="104"/>
  <c r="B264" i="104"/>
  <c r="C264" i="104"/>
  <c r="E264" i="104"/>
  <c r="F264" i="104"/>
  <c r="G264" i="104"/>
  <c r="H264" i="104"/>
  <c r="A265" i="104"/>
  <c r="B265" i="104"/>
  <c r="C265" i="104"/>
  <c r="E265" i="104"/>
  <c r="F265" i="104"/>
  <c r="G265" i="104"/>
  <c r="H265" i="104"/>
  <c r="A266" i="104"/>
  <c r="B266" i="104"/>
  <c r="C266" i="104"/>
  <c r="E266" i="104"/>
  <c r="F266" i="104"/>
  <c r="G266" i="104"/>
  <c r="H266" i="104"/>
  <c r="A267" i="104"/>
  <c r="B267" i="104"/>
  <c r="C267" i="104"/>
  <c r="E267" i="104"/>
  <c r="F267" i="104"/>
  <c r="G267" i="104"/>
  <c r="H267" i="104"/>
  <c r="A268" i="104"/>
  <c r="B268" i="104"/>
  <c r="C268" i="104"/>
  <c r="E268" i="104"/>
  <c r="F268" i="104"/>
  <c r="G268" i="104"/>
  <c r="H268" i="104"/>
  <c r="A269" i="104"/>
  <c r="B269" i="104"/>
  <c r="C269" i="104"/>
  <c r="E269" i="104"/>
  <c r="F269" i="104"/>
  <c r="G269" i="104"/>
  <c r="H269" i="104"/>
  <c r="A270" i="104"/>
  <c r="B270" i="104"/>
  <c r="C270" i="104"/>
  <c r="E270" i="104"/>
  <c r="F270" i="104"/>
  <c r="G270" i="104"/>
  <c r="H270" i="104"/>
  <c r="A271" i="104"/>
  <c r="B271" i="104"/>
  <c r="C271" i="104"/>
  <c r="E271" i="104"/>
  <c r="F271" i="104"/>
  <c r="G271" i="104"/>
  <c r="H271" i="104"/>
  <c r="A272" i="104"/>
  <c r="B272" i="104"/>
  <c r="C272" i="104"/>
  <c r="E272" i="104"/>
  <c r="F272" i="104"/>
  <c r="G272" i="104"/>
  <c r="H272" i="104"/>
  <c r="A273" i="104"/>
  <c r="B273" i="104"/>
  <c r="C273" i="104"/>
  <c r="E273" i="104"/>
  <c r="F273" i="104"/>
  <c r="G273" i="104"/>
  <c r="H273" i="104"/>
  <c r="A274" i="104"/>
  <c r="B274" i="104"/>
  <c r="C274" i="104"/>
  <c r="E274" i="104"/>
  <c r="F274" i="104"/>
  <c r="G274" i="104"/>
  <c r="H274" i="104"/>
  <c r="A275" i="104"/>
  <c r="B275" i="104"/>
  <c r="C275" i="104"/>
  <c r="E275" i="104"/>
  <c r="F275" i="104"/>
  <c r="G275" i="104"/>
  <c r="H275" i="104"/>
  <c r="A276" i="104"/>
  <c r="B276" i="104"/>
  <c r="C276" i="104"/>
  <c r="E276" i="104"/>
  <c r="F276" i="104"/>
  <c r="G276" i="104"/>
  <c r="H276" i="104"/>
  <c r="A277" i="104"/>
  <c r="B277" i="104"/>
  <c r="C277" i="104"/>
  <c r="E277" i="104"/>
  <c r="F277" i="104"/>
  <c r="G277" i="104"/>
  <c r="H277" i="104"/>
  <c r="A278" i="104"/>
  <c r="B278" i="104"/>
  <c r="C278" i="104"/>
  <c r="E278" i="104"/>
  <c r="F278" i="104"/>
  <c r="G278" i="104"/>
  <c r="H278" i="104"/>
  <c r="A279" i="104"/>
  <c r="B279" i="104"/>
  <c r="C279" i="104"/>
  <c r="E279" i="104"/>
  <c r="F279" i="104"/>
  <c r="G279" i="104"/>
  <c r="H279" i="104"/>
  <c r="A280" i="104"/>
  <c r="B280" i="104"/>
  <c r="C280" i="104"/>
  <c r="E280" i="104"/>
  <c r="F280" i="104"/>
  <c r="G280" i="104"/>
  <c r="H280" i="104"/>
  <c r="A281" i="104"/>
  <c r="B281" i="104"/>
  <c r="C281" i="104"/>
  <c r="E281" i="104"/>
  <c r="F281" i="104"/>
  <c r="G281" i="104"/>
  <c r="H281" i="104"/>
  <c r="A282" i="104"/>
  <c r="B282" i="104"/>
  <c r="C282" i="104"/>
  <c r="E282" i="104"/>
  <c r="F282" i="104"/>
  <c r="G282" i="104"/>
  <c r="H282" i="104"/>
  <c r="A283" i="104"/>
  <c r="B283" i="104"/>
  <c r="C283" i="104"/>
  <c r="E283" i="104"/>
  <c r="F283" i="104"/>
  <c r="G283" i="104"/>
  <c r="H283" i="104"/>
  <c r="A284" i="104"/>
  <c r="B284" i="104"/>
  <c r="C284" i="104"/>
  <c r="E284" i="104"/>
  <c r="F284" i="104"/>
  <c r="G284" i="104"/>
  <c r="H284" i="104"/>
  <c r="A285" i="104"/>
  <c r="B285" i="104"/>
  <c r="C285" i="104"/>
  <c r="E285" i="104"/>
  <c r="F285" i="104"/>
  <c r="G285" i="104"/>
  <c r="H285" i="104"/>
  <c r="A286" i="104"/>
  <c r="B286" i="104"/>
  <c r="C286" i="104"/>
  <c r="E286" i="104"/>
  <c r="F286" i="104"/>
  <c r="G286" i="104"/>
  <c r="H286" i="104"/>
  <c r="A287" i="104"/>
  <c r="B287" i="104"/>
  <c r="C287" i="104"/>
  <c r="E287" i="104"/>
  <c r="F287" i="104"/>
  <c r="G287" i="104"/>
  <c r="H287" i="104"/>
  <c r="A288" i="104"/>
  <c r="B288" i="104"/>
  <c r="C288" i="104"/>
  <c r="E288" i="104"/>
  <c r="F288" i="104"/>
  <c r="G288" i="104"/>
  <c r="H288" i="104"/>
  <c r="A289" i="104"/>
  <c r="B289" i="104"/>
  <c r="C289" i="104"/>
  <c r="E289" i="104"/>
  <c r="F289" i="104"/>
  <c r="G289" i="104"/>
  <c r="H289" i="104"/>
  <c r="A290" i="104"/>
  <c r="B290" i="104"/>
  <c r="C290" i="104"/>
  <c r="E290" i="104"/>
  <c r="F290" i="104"/>
  <c r="G290" i="104"/>
  <c r="H290" i="104"/>
  <c r="A291" i="104"/>
  <c r="B291" i="104"/>
  <c r="C291" i="104"/>
  <c r="E291" i="104"/>
  <c r="F291" i="104"/>
  <c r="G291" i="104"/>
  <c r="H291" i="104"/>
  <c r="A292" i="104"/>
  <c r="B292" i="104"/>
  <c r="C292" i="104"/>
  <c r="E292" i="104"/>
  <c r="F292" i="104"/>
  <c r="G292" i="104"/>
  <c r="H292" i="104"/>
  <c r="A293" i="104"/>
  <c r="B293" i="104"/>
  <c r="C293" i="104"/>
  <c r="E293" i="104"/>
  <c r="F293" i="104"/>
  <c r="G293" i="104"/>
  <c r="H293" i="104"/>
  <c r="A294" i="104"/>
  <c r="B294" i="104"/>
  <c r="C294" i="104"/>
  <c r="E294" i="104"/>
  <c r="F294" i="104"/>
  <c r="G294" i="104"/>
  <c r="H294" i="104"/>
  <c r="A295" i="104"/>
  <c r="B295" i="104"/>
  <c r="C295" i="104"/>
  <c r="E295" i="104"/>
  <c r="F295" i="104"/>
  <c r="G295" i="104"/>
  <c r="H295" i="104"/>
  <c r="A296" i="104"/>
  <c r="B296" i="104"/>
  <c r="C296" i="104"/>
  <c r="E296" i="104"/>
  <c r="F296" i="104"/>
  <c r="G296" i="104"/>
  <c r="H296" i="104"/>
  <c r="A297" i="104"/>
  <c r="B297" i="104"/>
  <c r="C297" i="104"/>
  <c r="E297" i="104"/>
  <c r="F297" i="104"/>
  <c r="G297" i="104"/>
  <c r="H297" i="104"/>
  <c r="A298" i="104"/>
  <c r="B298" i="104"/>
  <c r="C298" i="104"/>
  <c r="E298" i="104"/>
  <c r="F298" i="104"/>
  <c r="G298" i="104"/>
  <c r="H298" i="104"/>
  <c r="A299" i="104"/>
  <c r="B299" i="104"/>
  <c r="C299" i="104"/>
  <c r="E299" i="104"/>
  <c r="F299" i="104"/>
  <c r="G299" i="104"/>
  <c r="H299" i="104"/>
  <c r="A300" i="104"/>
  <c r="B300" i="104"/>
  <c r="C300" i="104"/>
  <c r="E300" i="104"/>
  <c r="F300" i="104"/>
  <c r="G300" i="104"/>
  <c r="H300" i="104"/>
  <c r="A301" i="104"/>
  <c r="B301" i="104"/>
  <c r="C301" i="104"/>
  <c r="E301" i="104"/>
  <c r="F301" i="104"/>
  <c r="G301" i="104"/>
  <c r="H301" i="104"/>
  <c r="A302" i="104"/>
  <c r="B302" i="104"/>
  <c r="C302" i="104"/>
  <c r="E302" i="104"/>
  <c r="F302" i="104"/>
  <c r="G302" i="104"/>
  <c r="H302" i="104"/>
  <c r="A303" i="104"/>
  <c r="B303" i="104"/>
  <c r="C303" i="104"/>
  <c r="E303" i="104"/>
  <c r="F303" i="104"/>
  <c r="G303" i="104"/>
  <c r="H303" i="104"/>
  <c r="A304" i="104"/>
  <c r="B304" i="104"/>
  <c r="C304" i="104"/>
  <c r="E304" i="104"/>
  <c r="F304" i="104"/>
  <c r="G304" i="104"/>
  <c r="H304" i="104"/>
  <c r="A305" i="104"/>
  <c r="B305" i="104"/>
  <c r="C305" i="104"/>
  <c r="E305" i="104"/>
  <c r="F305" i="104"/>
  <c r="G305" i="104"/>
  <c r="H305" i="104"/>
  <c r="A306" i="104"/>
  <c r="B306" i="104"/>
  <c r="C306" i="104"/>
  <c r="E306" i="104"/>
  <c r="F306" i="104"/>
  <c r="G306" i="104"/>
  <c r="H306" i="104"/>
  <c r="A307" i="104"/>
  <c r="B307" i="104"/>
  <c r="C307" i="104"/>
  <c r="E307" i="104"/>
  <c r="F307" i="104"/>
  <c r="G307" i="104"/>
  <c r="H307" i="104"/>
  <c r="A308" i="104"/>
  <c r="B308" i="104"/>
  <c r="C308" i="104"/>
  <c r="E308" i="104"/>
  <c r="F308" i="104"/>
  <c r="G308" i="104"/>
  <c r="H308" i="104"/>
  <c r="A309" i="104"/>
  <c r="B309" i="104"/>
  <c r="C309" i="104"/>
  <c r="E309" i="104"/>
  <c r="F309" i="104"/>
  <c r="G309" i="104"/>
  <c r="H309" i="104"/>
  <c r="A310" i="104"/>
  <c r="B310" i="104"/>
  <c r="C310" i="104"/>
  <c r="E310" i="104"/>
  <c r="F310" i="104"/>
  <c r="G310" i="104"/>
  <c r="H310" i="104"/>
  <c r="A311" i="104"/>
  <c r="B311" i="104"/>
  <c r="C311" i="104"/>
  <c r="E311" i="104"/>
  <c r="F311" i="104"/>
  <c r="G311" i="104"/>
  <c r="H311" i="104"/>
  <c r="A312" i="104"/>
  <c r="B312" i="104"/>
  <c r="C312" i="104"/>
  <c r="E312" i="104"/>
  <c r="F312" i="104"/>
  <c r="G312" i="104"/>
  <c r="H312" i="104"/>
  <c r="A313" i="104"/>
  <c r="B313" i="104"/>
  <c r="C313" i="104"/>
  <c r="E313" i="104"/>
  <c r="F313" i="104"/>
  <c r="G313" i="104"/>
  <c r="H313" i="104"/>
  <c r="A314" i="104"/>
  <c r="B314" i="104"/>
  <c r="C314" i="104"/>
  <c r="E314" i="104"/>
  <c r="F314" i="104"/>
  <c r="G314" i="104"/>
  <c r="H314" i="104"/>
  <c r="A315" i="104"/>
  <c r="B315" i="104"/>
  <c r="C315" i="104"/>
  <c r="E315" i="104"/>
  <c r="F315" i="104"/>
  <c r="G315" i="104"/>
  <c r="H315" i="104"/>
  <c r="A316" i="104"/>
  <c r="B316" i="104"/>
  <c r="C316" i="104"/>
  <c r="E316" i="104"/>
  <c r="F316" i="104"/>
  <c r="G316" i="104"/>
  <c r="H316" i="104"/>
  <c r="A317" i="104"/>
  <c r="B317" i="104"/>
  <c r="C317" i="104"/>
  <c r="E317" i="104"/>
  <c r="F317" i="104"/>
  <c r="G317" i="104"/>
  <c r="H317" i="104"/>
  <c r="A318" i="104"/>
  <c r="B318" i="104"/>
  <c r="C318" i="104"/>
  <c r="E318" i="104"/>
  <c r="F318" i="104"/>
  <c r="G318" i="104"/>
  <c r="H318" i="104"/>
  <c r="A319" i="104"/>
  <c r="B319" i="104"/>
  <c r="C319" i="104"/>
  <c r="E319" i="104"/>
  <c r="F319" i="104"/>
  <c r="G319" i="104"/>
  <c r="H319" i="104"/>
  <c r="A320" i="104"/>
  <c r="B320" i="104"/>
  <c r="C320" i="104"/>
  <c r="E320" i="104"/>
  <c r="F320" i="104"/>
  <c r="G320" i="104"/>
  <c r="H320" i="104"/>
  <c r="A321" i="104"/>
  <c r="B321" i="104"/>
  <c r="C321" i="104"/>
  <c r="E321" i="104"/>
  <c r="F321" i="104"/>
  <c r="G321" i="104"/>
  <c r="H321" i="104"/>
  <c r="A322" i="104"/>
  <c r="B322" i="104"/>
  <c r="C322" i="104"/>
  <c r="E322" i="104"/>
  <c r="F322" i="104"/>
  <c r="G322" i="104"/>
  <c r="H322" i="104"/>
  <c r="A323" i="104"/>
  <c r="B323" i="104"/>
  <c r="C323" i="104"/>
  <c r="E323" i="104"/>
  <c r="F323" i="104"/>
  <c r="G323" i="104"/>
  <c r="H323" i="104"/>
  <c r="A324" i="104"/>
  <c r="B324" i="104"/>
  <c r="C324" i="104"/>
  <c r="E324" i="104"/>
  <c r="F324" i="104"/>
  <c r="G324" i="104"/>
  <c r="H324" i="104"/>
  <c r="A325" i="104"/>
  <c r="B325" i="104"/>
  <c r="C325" i="104"/>
  <c r="E325" i="104"/>
  <c r="F325" i="104"/>
  <c r="G325" i="104"/>
  <c r="H325" i="104"/>
  <c r="A326" i="104"/>
  <c r="B326" i="104"/>
  <c r="C326" i="104"/>
  <c r="E326" i="104"/>
  <c r="F326" i="104"/>
  <c r="G326" i="104"/>
  <c r="H326" i="104"/>
  <c r="A327" i="104"/>
  <c r="B327" i="104"/>
  <c r="C327" i="104"/>
  <c r="E327" i="104"/>
  <c r="F327" i="104"/>
  <c r="G327" i="104"/>
  <c r="H327" i="104"/>
  <c r="A328" i="104"/>
  <c r="B328" i="104"/>
  <c r="C328" i="104"/>
  <c r="E328" i="104"/>
  <c r="F328" i="104"/>
  <c r="G328" i="104"/>
  <c r="H328" i="104"/>
  <c r="A329" i="104"/>
  <c r="B329" i="104"/>
  <c r="C329" i="104"/>
  <c r="E329" i="104"/>
  <c r="F329" i="104"/>
  <c r="G329" i="104"/>
  <c r="H329" i="104"/>
  <c r="A330" i="104"/>
  <c r="B330" i="104"/>
  <c r="C330" i="104"/>
  <c r="E330" i="104"/>
  <c r="F330" i="104"/>
  <c r="G330" i="104"/>
  <c r="H330" i="104"/>
  <c r="A331" i="104"/>
  <c r="B331" i="104"/>
  <c r="C331" i="104"/>
  <c r="E331" i="104"/>
  <c r="F331" i="104"/>
  <c r="G331" i="104"/>
  <c r="H331" i="104"/>
  <c r="A332" i="104"/>
  <c r="B332" i="104"/>
  <c r="C332" i="104"/>
  <c r="E332" i="104"/>
  <c r="F332" i="104"/>
  <c r="G332" i="104"/>
  <c r="H332" i="104"/>
  <c r="A333" i="104"/>
  <c r="B333" i="104"/>
  <c r="C333" i="104"/>
  <c r="E333" i="104"/>
  <c r="F333" i="104"/>
  <c r="G333" i="104"/>
  <c r="H333" i="104"/>
  <c r="A334" i="104"/>
  <c r="B334" i="104"/>
  <c r="C334" i="104"/>
  <c r="E334" i="104"/>
  <c r="F334" i="104"/>
  <c r="G334" i="104"/>
  <c r="H334" i="104"/>
  <c r="A335" i="104"/>
  <c r="B335" i="104"/>
  <c r="C335" i="104"/>
  <c r="E335" i="104"/>
  <c r="F335" i="104"/>
  <c r="G335" i="104"/>
  <c r="H335" i="104"/>
  <c r="A336" i="104"/>
  <c r="B336" i="104"/>
  <c r="C336" i="104"/>
  <c r="E336" i="104"/>
  <c r="F336" i="104"/>
  <c r="G336" i="104"/>
  <c r="H336" i="104"/>
  <c r="A337" i="104"/>
  <c r="B337" i="104"/>
  <c r="C337" i="104"/>
  <c r="E337" i="104"/>
  <c r="F337" i="104"/>
  <c r="G337" i="104"/>
  <c r="H337" i="104"/>
  <c r="A338" i="104"/>
  <c r="B338" i="104"/>
  <c r="C338" i="104"/>
  <c r="E338" i="104"/>
  <c r="F338" i="104"/>
  <c r="G338" i="104"/>
  <c r="H338" i="104"/>
  <c r="A339" i="104"/>
  <c r="B339" i="104"/>
  <c r="C339" i="104"/>
  <c r="E339" i="104"/>
  <c r="F339" i="104"/>
  <c r="G339" i="104"/>
  <c r="H339" i="104"/>
  <c r="A340" i="104"/>
  <c r="B340" i="104"/>
  <c r="C340" i="104"/>
  <c r="E340" i="104"/>
  <c r="F340" i="104"/>
  <c r="G340" i="104"/>
  <c r="H340" i="104"/>
  <c r="A341" i="104"/>
  <c r="B341" i="104"/>
  <c r="C341" i="104"/>
  <c r="E341" i="104"/>
  <c r="F341" i="104"/>
  <c r="G341" i="104"/>
  <c r="H341" i="104"/>
  <c r="A342" i="104"/>
  <c r="B342" i="104"/>
  <c r="C342" i="104"/>
  <c r="E342" i="104"/>
  <c r="F342" i="104"/>
  <c r="G342" i="104"/>
  <c r="H342" i="104"/>
  <c r="A343" i="104"/>
  <c r="B343" i="104"/>
  <c r="C343" i="104"/>
  <c r="E343" i="104"/>
  <c r="F343" i="104"/>
  <c r="G343" i="104"/>
  <c r="H343" i="104"/>
  <c r="A344" i="104"/>
  <c r="B344" i="104"/>
  <c r="C344" i="104"/>
  <c r="E344" i="104"/>
  <c r="F344" i="104"/>
  <c r="G344" i="104"/>
  <c r="H344" i="104"/>
  <c r="A345" i="104"/>
  <c r="B345" i="104"/>
  <c r="C345" i="104"/>
  <c r="E345" i="104"/>
  <c r="F345" i="104"/>
  <c r="G345" i="104"/>
  <c r="H345" i="104"/>
  <c r="A346" i="104"/>
  <c r="B346" i="104"/>
  <c r="C346" i="104"/>
  <c r="E346" i="104"/>
  <c r="F346" i="104"/>
  <c r="G346" i="104"/>
  <c r="H346" i="104"/>
  <c r="A347" i="104"/>
  <c r="B347" i="104"/>
  <c r="C347" i="104"/>
  <c r="E347" i="104"/>
  <c r="F347" i="104"/>
  <c r="G347" i="104"/>
  <c r="H347" i="104"/>
  <c r="A348" i="104"/>
  <c r="B348" i="104"/>
  <c r="C348" i="104"/>
  <c r="E348" i="104"/>
  <c r="F348" i="104"/>
  <c r="G348" i="104"/>
  <c r="H348" i="104"/>
  <c r="A349" i="104"/>
  <c r="B349" i="104"/>
  <c r="C349" i="104"/>
  <c r="E349" i="104"/>
  <c r="F349" i="104"/>
  <c r="G349" i="104"/>
  <c r="H349" i="104"/>
  <c r="A350" i="104"/>
  <c r="B350" i="104"/>
  <c r="C350" i="104"/>
  <c r="E350" i="104"/>
  <c r="F350" i="104"/>
  <c r="G350" i="104"/>
  <c r="H350" i="104"/>
  <c r="A351" i="104"/>
  <c r="B351" i="104"/>
  <c r="C351" i="104"/>
  <c r="E351" i="104"/>
  <c r="F351" i="104"/>
  <c r="G351" i="104"/>
  <c r="H351" i="104"/>
  <c r="A352" i="104"/>
  <c r="B352" i="104"/>
  <c r="C352" i="104"/>
  <c r="D352" i="104"/>
  <c r="E352" i="104"/>
  <c r="F352" i="104"/>
  <c r="G352" i="104"/>
  <c r="H352" i="104"/>
  <c r="A353" i="104"/>
  <c r="B353" i="104"/>
  <c r="C353" i="104"/>
  <c r="D353" i="104"/>
  <c r="E353" i="104"/>
  <c r="G353" i="104"/>
  <c r="H353" i="104"/>
  <c r="A354" i="104"/>
  <c r="B354" i="104"/>
  <c r="C354" i="104"/>
  <c r="D354" i="104"/>
  <c r="E354" i="104"/>
  <c r="G354" i="104"/>
  <c r="H354" i="104"/>
  <c r="B40" i="68" l="1"/>
  <c r="E41" i="68" s="1"/>
  <c r="B27" i="68"/>
  <c r="C41" i="68" l="1"/>
  <c r="D41" i="68"/>
  <c r="B18" i="68"/>
  <c r="C36" i="61"/>
  <c r="C32" i="61" s="1"/>
  <c r="C18" i="58"/>
  <c r="B18" i="58"/>
  <c r="D18" i="58"/>
  <c r="E18" i="58"/>
  <c r="F89" i="44" l="1"/>
  <c r="G89" i="44" s="1"/>
  <c r="H89" i="44" s="1"/>
  <c r="I89" i="44" s="1"/>
  <c r="J89" i="44" s="1"/>
  <c r="K89" i="44" s="1"/>
  <c r="C4" i="111" l="1"/>
  <c r="C4" i="112" s="1"/>
  <c r="C4" i="113" s="1"/>
  <c r="I275" i="103" l="1"/>
  <c r="I276" i="103"/>
  <c r="I277" i="103"/>
  <c r="L277" i="103" l="1"/>
  <c r="M277" i="103"/>
  <c r="J277" i="103"/>
  <c r="K277" i="103"/>
  <c r="L275" i="103"/>
  <c r="M275" i="103"/>
  <c r="N275" i="103"/>
  <c r="J275" i="103"/>
  <c r="P275" i="103"/>
  <c r="O275" i="103"/>
  <c r="K275" i="103"/>
  <c r="L276" i="103"/>
  <c r="M276" i="103"/>
  <c r="N276" i="103"/>
  <c r="J276" i="103"/>
  <c r="O276" i="103"/>
  <c r="P276" i="103"/>
  <c r="K276" i="103"/>
  <c r="E18" i="61"/>
  <c r="D18" i="61"/>
  <c r="C18" i="61"/>
  <c r="B31" i="63"/>
  <c r="C31" i="63"/>
  <c r="C13" i="63"/>
  <c r="I163" i="108" l="1"/>
  <c r="I169" i="108"/>
  <c r="I208" i="108"/>
  <c r="I209" i="108"/>
  <c r="I233" i="108"/>
  <c r="I231" i="108"/>
  <c r="I207" i="108"/>
  <c r="I234" i="108"/>
  <c r="I244" i="108"/>
  <c r="I169" i="107"/>
  <c r="I210" i="107"/>
  <c r="I232" i="108"/>
  <c r="I236" i="108"/>
  <c r="I326" i="108"/>
  <c r="I234" i="107"/>
  <c r="I236" i="107"/>
  <c r="I210" i="108"/>
  <c r="I207" i="107"/>
  <c r="I235" i="108"/>
  <c r="I292" i="108"/>
  <c r="I163" i="107"/>
  <c r="I208" i="107"/>
  <c r="I233" i="107"/>
  <c r="I209" i="107"/>
  <c r="I235" i="107"/>
  <c r="I233" i="106"/>
  <c r="I234" i="106"/>
  <c r="I231" i="106"/>
  <c r="I169" i="106"/>
  <c r="I233" i="105"/>
  <c r="I292" i="105"/>
  <c r="I292" i="107"/>
  <c r="I326" i="107"/>
  <c r="I208" i="106"/>
  <c r="I232" i="106"/>
  <c r="I326" i="106"/>
  <c r="I210" i="105"/>
  <c r="I235" i="106"/>
  <c r="I231" i="107"/>
  <c r="I232" i="107"/>
  <c r="I209" i="106"/>
  <c r="I236" i="106"/>
  <c r="I210" i="106"/>
  <c r="I292" i="106"/>
  <c r="I163" i="105"/>
  <c r="I209" i="105"/>
  <c r="I207" i="106"/>
  <c r="I207" i="105"/>
  <c r="I234" i="105"/>
  <c r="I244" i="105"/>
  <c r="I326" i="105"/>
  <c r="I244" i="107"/>
  <c r="I244" i="106"/>
  <c r="I169" i="105"/>
  <c r="I231" i="105"/>
  <c r="I232" i="105"/>
  <c r="I236" i="105"/>
  <c r="I169" i="104"/>
  <c r="I208" i="104"/>
  <c r="I163" i="106"/>
  <c r="I235" i="105"/>
  <c r="I234" i="104"/>
  <c r="I292" i="104"/>
  <c r="I326" i="104"/>
  <c r="I231" i="98"/>
  <c r="O231" i="98" s="1"/>
  <c r="I235" i="98"/>
  <c r="O235" i="98" s="1"/>
  <c r="I244" i="104"/>
  <c r="I232" i="98"/>
  <c r="O232" i="98" s="1"/>
  <c r="I236" i="98"/>
  <c r="O236" i="98" s="1"/>
  <c r="I210" i="104"/>
  <c r="I232" i="104"/>
  <c r="I207" i="98"/>
  <c r="O207" i="98" s="1"/>
  <c r="I234" i="98"/>
  <c r="O234" i="98" s="1"/>
  <c r="I169" i="98"/>
  <c r="O169" i="98" s="1"/>
  <c r="I236" i="104"/>
  <c r="I292" i="98"/>
  <c r="O292" i="98" s="1"/>
  <c r="I326" i="98"/>
  <c r="O326" i="98" s="1"/>
  <c r="I163" i="98"/>
  <c r="O163" i="98" s="1"/>
  <c r="I210" i="98"/>
  <c r="O210" i="98" s="1"/>
  <c r="I207" i="104"/>
  <c r="I235" i="104"/>
  <c r="I208" i="98"/>
  <c r="O208" i="98" s="1"/>
  <c r="I209" i="98"/>
  <c r="O209" i="98" s="1"/>
  <c r="I209" i="104"/>
  <c r="I231" i="104"/>
  <c r="I208" i="105"/>
  <c r="I163" i="104"/>
  <c r="I233" i="104"/>
  <c r="I233" i="98"/>
  <c r="O233" i="98" s="1"/>
  <c r="I244" i="98"/>
  <c r="O244" i="98" s="1"/>
  <c r="J4" i="108"/>
  <c r="J42" i="108"/>
  <c r="J232" i="108"/>
  <c r="J210" i="108"/>
  <c r="J234" i="108"/>
  <c r="J208" i="108"/>
  <c r="J233" i="108"/>
  <c r="J270" i="108"/>
  <c r="J292" i="108"/>
  <c r="J185" i="108"/>
  <c r="J207" i="108"/>
  <c r="J244" i="108"/>
  <c r="J169" i="108"/>
  <c r="J186" i="108"/>
  <c r="J209" i="108"/>
  <c r="J337" i="108"/>
  <c r="J236" i="108"/>
  <c r="J301" i="108"/>
  <c r="J338" i="108"/>
  <c r="J4" i="107"/>
  <c r="J235" i="108"/>
  <c r="J269" i="108"/>
  <c r="J326" i="108"/>
  <c r="J304" i="108"/>
  <c r="J163" i="108"/>
  <c r="J271" i="108"/>
  <c r="J333" i="108"/>
  <c r="J42" i="107"/>
  <c r="J339" i="108"/>
  <c r="J163" i="107"/>
  <c r="J186" i="107"/>
  <c r="J209" i="107"/>
  <c r="J210" i="107"/>
  <c r="J235" i="107"/>
  <c r="J292" i="107"/>
  <c r="J305" i="107"/>
  <c r="J337" i="107"/>
  <c r="J231" i="108"/>
  <c r="J231" i="107"/>
  <c r="J326" i="107"/>
  <c r="J232" i="107"/>
  <c r="J269" i="107"/>
  <c r="J271" i="107"/>
  <c r="J318" i="108"/>
  <c r="J207" i="107"/>
  <c r="J304" i="107"/>
  <c r="J339" i="107"/>
  <c r="J169" i="107"/>
  <c r="J244" i="107"/>
  <c r="J301" i="107"/>
  <c r="J233" i="107"/>
  <c r="J333" i="107"/>
  <c r="J42" i="106"/>
  <c r="J185" i="106"/>
  <c r="J232" i="106"/>
  <c r="J236" i="106"/>
  <c r="J269" i="106"/>
  <c r="J327" i="106"/>
  <c r="J305" i="108"/>
  <c r="J186" i="106"/>
  <c r="J209" i="106"/>
  <c r="J304" i="106"/>
  <c r="J326" i="106"/>
  <c r="J4" i="105"/>
  <c r="J236" i="107"/>
  <c r="J163" i="106"/>
  <c r="J207" i="106"/>
  <c r="J235" i="106"/>
  <c r="J305" i="106"/>
  <c r="J318" i="106"/>
  <c r="J4" i="106"/>
  <c r="J210" i="106"/>
  <c r="J233" i="106"/>
  <c r="J244" i="106"/>
  <c r="J337" i="106"/>
  <c r="J235" i="105"/>
  <c r="J244" i="105"/>
  <c r="J270" i="105"/>
  <c r="J305" i="105"/>
  <c r="J327" i="105"/>
  <c r="J163" i="105"/>
  <c r="J186" i="105"/>
  <c r="J209" i="105"/>
  <c r="J271" i="105"/>
  <c r="J42" i="105"/>
  <c r="J231" i="105"/>
  <c r="J234" i="105"/>
  <c r="J236" i="105"/>
  <c r="J269" i="105"/>
  <c r="J326" i="105"/>
  <c r="J208" i="107"/>
  <c r="J234" i="106"/>
  <c r="J301" i="106"/>
  <c r="J208" i="106"/>
  <c r="J338" i="107"/>
  <c r="J270" i="106"/>
  <c r="J327" i="108"/>
  <c r="J169" i="106"/>
  <c r="J271" i="106"/>
  <c r="J292" i="106"/>
  <c r="J210" i="105"/>
  <c r="J338" i="105"/>
  <c r="J4" i="104"/>
  <c r="O4" i="104" s="1"/>
  <c r="J270" i="107"/>
  <c r="J327" i="107"/>
  <c r="J338" i="106"/>
  <c r="J208" i="105"/>
  <c r="J292" i="105"/>
  <c r="J304" i="105"/>
  <c r="J42" i="104"/>
  <c r="O42" i="104" s="1"/>
  <c r="J185" i="105"/>
  <c r="J232" i="105"/>
  <c r="J339" i="106"/>
  <c r="J301" i="105"/>
  <c r="J234" i="107"/>
  <c r="J333" i="106"/>
  <c r="J169" i="104"/>
  <c r="J333" i="105"/>
  <c r="J318" i="105"/>
  <c r="J339" i="105"/>
  <c r="J169" i="105"/>
  <c r="J207" i="105"/>
  <c r="J186" i="104"/>
  <c r="O186" i="104" s="1"/>
  <c r="J207" i="104"/>
  <c r="J208" i="104"/>
  <c r="J271" i="104"/>
  <c r="O271" i="104" s="1"/>
  <c r="J233" i="98"/>
  <c r="J235" i="104"/>
  <c r="J304" i="104"/>
  <c r="O304" i="104" s="1"/>
  <c r="J338" i="104"/>
  <c r="O338" i="104" s="1"/>
  <c r="J4" i="98"/>
  <c r="J209" i="98"/>
  <c r="J301" i="98"/>
  <c r="J339" i="98"/>
  <c r="J318" i="107"/>
  <c r="J231" i="106"/>
  <c r="J233" i="105"/>
  <c r="J337" i="105"/>
  <c r="J231" i="104"/>
  <c r="O231" i="104" s="1"/>
  <c r="J270" i="104"/>
  <c r="O270" i="104" s="1"/>
  <c r="J305" i="104"/>
  <c r="O305" i="104" s="1"/>
  <c r="J169" i="98"/>
  <c r="J163" i="104"/>
  <c r="J233" i="104"/>
  <c r="J318" i="104"/>
  <c r="O318" i="104" s="1"/>
  <c r="J326" i="104"/>
  <c r="J333" i="104"/>
  <c r="O333" i="104" s="1"/>
  <c r="J186" i="98"/>
  <c r="J231" i="98"/>
  <c r="J234" i="98"/>
  <c r="J244" i="98"/>
  <c r="J338" i="98"/>
  <c r="J210" i="104"/>
  <c r="J269" i="98"/>
  <c r="J270" i="98"/>
  <c r="J271" i="98"/>
  <c r="J305" i="98"/>
  <c r="J185" i="104"/>
  <c r="O185" i="104" s="1"/>
  <c r="J208" i="98"/>
  <c r="J327" i="98"/>
  <c r="J232" i="104"/>
  <c r="J236" i="104"/>
  <c r="J292" i="98"/>
  <c r="J326" i="98"/>
  <c r="J163" i="98"/>
  <c r="J210" i="98"/>
  <c r="J301" i="104"/>
  <c r="O301" i="104" s="1"/>
  <c r="J304" i="98"/>
  <c r="J185" i="107"/>
  <c r="J209" i="104"/>
  <c r="J42" i="98"/>
  <c r="J236" i="98"/>
  <c r="J318" i="98"/>
  <c r="J234" i="104"/>
  <c r="J244" i="104"/>
  <c r="J269" i="104"/>
  <c r="O269" i="104" s="1"/>
  <c r="J207" i="98"/>
  <c r="J232" i="98"/>
  <c r="J333" i="98"/>
  <c r="J292" i="104"/>
  <c r="J327" i="104"/>
  <c r="O327" i="104" s="1"/>
  <c r="J337" i="104"/>
  <c r="O337" i="104" s="1"/>
  <c r="J339" i="104"/>
  <c r="O339" i="104" s="1"/>
  <c r="J185" i="98"/>
  <c r="J235" i="98"/>
  <c r="J337" i="98"/>
  <c r="K46" i="108"/>
  <c r="K59" i="108"/>
  <c r="K47" i="108"/>
  <c r="K51" i="108"/>
  <c r="K57" i="108"/>
  <c r="K49" i="108"/>
  <c r="K4" i="108"/>
  <c r="K42" i="108"/>
  <c r="K50" i="108"/>
  <c r="K54" i="108"/>
  <c r="K55" i="108"/>
  <c r="K58" i="108"/>
  <c r="K45" i="108"/>
  <c r="K207" i="108"/>
  <c r="K231" i="108"/>
  <c r="K48" i="108"/>
  <c r="K52" i="108"/>
  <c r="K163" i="108"/>
  <c r="K169" i="108"/>
  <c r="K208" i="108"/>
  <c r="K236" i="108"/>
  <c r="K185" i="108"/>
  <c r="K221" i="108"/>
  <c r="K234" i="108"/>
  <c r="K235" i="108"/>
  <c r="K53" i="108"/>
  <c r="K186" i="108"/>
  <c r="K232" i="108"/>
  <c r="K247" i="108"/>
  <c r="K210" i="108"/>
  <c r="K245" i="108"/>
  <c r="K248" i="108"/>
  <c r="K269" i="108"/>
  <c r="K246" i="108"/>
  <c r="K290" i="108"/>
  <c r="K304" i="108"/>
  <c r="K327" i="108"/>
  <c r="K333" i="108"/>
  <c r="K244" i="108"/>
  <c r="K305" i="108"/>
  <c r="K46" i="107"/>
  <c r="K50" i="107"/>
  <c r="K52" i="107"/>
  <c r="K55" i="107"/>
  <c r="K56" i="108"/>
  <c r="K224" i="108"/>
  <c r="K249" i="108"/>
  <c r="K270" i="108"/>
  <c r="K271" i="108"/>
  <c r="K53" i="107"/>
  <c r="K57" i="107"/>
  <c r="K289" i="108"/>
  <c r="K326" i="108"/>
  <c r="K58" i="107"/>
  <c r="K59" i="107"/>
  <c r="K288" i="108"/>
  <c r="K324" i="108"/>
  <c r="K334" i="108"/>
  <c r="K350" i="108"/>
  <c r="K351" i="108"/>
  <c r="K318" i="108"/>
  <c r="K338" i="108"/>
  <c r="K47" i="107"/>
  <c r="K48" i="107"/>
  <c r="K49" i="107"/>
  <c r="K209" i="107"/>
  <c r="K336" i="108"/>
  <c r="K292" i="108"/>
  <c r="K337" i="108"/>
  <c r="K222" i="108"/>
  <c r="K287" i="108"/>
  <c r="K169" i="107"/>
  <c r="K208" i="107"/>
  <c r="K221" i="107"/>
  <c r="K233" i="107"/>
  <c r="K301" i="107"/>
  <c r="K333" i="107"/>
  <c r="K45" i="107"/>
  <c r="K54" i="107"/>
  <c r="K222" i="107"/>
  <c r="K270" i="107"/>
  <c r="K334" i="107"/>
  <c r="K350" i="107"/>
  <c r="K233" i="108"/>
  <c r="K323" i="108"/>
  <c r="K42" i="107"/>
  <c r="K185" i="107"/>
  <c r="K186" i="107"/>
  <c r="K224" i="107"/>
  <c r="K244" i="107"/>
  <c r="K287" i="107"/>
  <c r="K327" i="107"/>
  <c r="K4" i="106"/>
  <c r="K335" i="108"/>
  <c r="K232" i="107"/>
  <c r="K249" i="107"/>
  <c r="K269" i="107"/>
  <c r="K271" i="107"/>
  <c r="K324" i="107"/>
  <c r="K336" i="107"/>
  <c r="K207" i="107"/>
  <c r="K223" i="107"/>
  <c r="K247" i="107"/>
  <c r="K223" i="108"/>
  <c r="K51" i="107"/>
  <c r="K301" i="108"/>
  <c r="K290" i="107"/>
  <c r="K56" i="107"/>
  <c r="K231" i="107"/>
  <c r="K248" i="107"/>
  <c r="K288" i="107"/>
  <c r="K292" i="107"/>
  <c r="K337" i="107"/>
  <c r="K53" i="106"/>
  <c r="K208" i="106"/>
  <c r="K244" i="106"/>
  <c r="K248" i="106"/>
  <c r="K292" i="106"/>
  <c r="K333" i="106"/>
  <c r="K338" i="106"/>
  <c r="K47" i="105"/>
  <c r="O47" i="105" s="1"/>
  <c r="K51" i="105"/>
  <c r="O51" i="105" s="1"/>
  <c r="K56" i="105"/>
  <c r="O56" i="105" s="1"/>
  <c r="K45" i="106"/>
  <c r="K51" i="106"/>
  <c r="K54" i="106"/>
  <c r="K233" i="106"/>
  <c r="K290" i="106"/>
  <c r="K301" i="106"/>
  <c r="K339" i="106"/>
  <c r="K48" i="105"/>
  <c r="O48" i="105" s="1"/>
  <c r="K52" i="105"/>
  <c r="O52" i="105" s="1"/>
  <c r="K234" i="107"/>
  <c r="K339" i="107"/>
  <c r="K47" i="106"/>
  <c r="K50" i="106"/>
  <c r="K52" i="106"/>
  <c r="K55" i="106"/>
  <c r="K169" i="106"/>
  <c r="K210" i="106"/>
  <c r="K221" i="106"/>
  <c r="K246" i="106"/>
  <c r="K288" i="106"/>
  <c r="K337" i="106"/>
  <c r="K46" i="105"/>
  <c r="O46" i="105" s="1"/>
  <c r="K50" i="105"/>
  <c r="O50" i="105" s="1"/>
  <c r="K209" i="108"/>
  <c r="K245" i="107"/>
  <c r="K318" i="107"/>
  <c r="K323" i="107"/>
  <c r="K49" i="106"/>
  <c r="K185" i="106"/>
  <c r="K245" i="106"/>
  <c r="K169" i="105"/>
  <c r="K208" i="105"/>
  <c r="K224" i="105"/>
  <c r="O224" i="105" s="1"/>
  <c r="K232" i="105"/>
  <c r="K247" i="105"/>
  <c r="O247" i="105" s="1"/>
  <c r="K288" i="105"/>
  <c r="O288" i="105" s="1"/>
  <c r="K290" i="105"/>
  <c r="O290" i="105" s="1"/>
  <c r="K301" i="105"/>
  <c r="K210" i="107"/>
  <c r="K304" i="107"/>
  <c r="K338" i="107"/>
  <c r="K351" i="107"/>
  <c r="K59" i="106"/>
  <c r="K163" i="106"/>
  <c r="K209" i="106"/>
  <c r="K223" i="106"/>
  <c r="K249" i="106"/>
  <c r="K269" i="106"/>
  <c r="K270" i="106"/>
  <c r="K271" i="106"/>
  <c r="K305" i="106"/>
  <c r="K323" i="106"/>
  <c r="K334" i="106"/>
  <c r="K335" i="106"/>
  <c r="K336" i="106"/>
  <c r="K4" i="105"/>
  <c r="K221" i="105"/>
  <c r="O221" i="105" s="1"/>
  <c r="K233" i="105"/>
  <c r="K292" i="105"/>
  <c r="K339" i="108"/>
  <c r="K4" i="107"/>
  <c r="K305" i="107"/>
  <c r="K207" i="106"/>
  <c r="K231" i="106"/>
  <c r="K235" i="106"/>
  <c r="K287" i="106"/>
  <c r="K207" i="105"/>
  <c r="K318" i="105"/>
  <c r="K186" i="106"/>
  <c r="K247" i="106"/>
  <c r="K236" i="107"/>
  <c r="K57" i="106"/>
  <c r="K326" i="107"/>
  <c r="K335" i="107"/>
  <c r="K289" i="106"/>
  <c r="K327" i="106"/>
  <c r="K55" i="105"/>
  <c r="O55" i="105" s="1"/>
  <c r="K163" i="107"/>
  <c r="K246" i="107"/>
  <c r="K224" i="106"/>
  <c r="K324" i="106"/>
  <c r="K326" i="106"/>
  <c r="K42" i="105"/>
  <c r="K45" i="105"/>
  <c r="O45" i="105" s="1"/>
  <c r="K54" i="105"/>
  <c r="O54" i="105" s="1"/>
  <c r="K57" i="105"/>
  <c r="O57" i="105" s="1"/>
  <c r="K289" i="107"/>
  <c r="K48" i="106"/>
  <c r="K59" i="105"/>
  <c r="O59" i="105" s="1"/>
  <c r="K46" i="106"/>
  <c r="K234" i="106"/>
  <c r="K270" i="105"/>
  <c r="K289" i="105"/>
  <c r="O289" i="105" s="1"/>
  <c r="K335" i="105"/>
  <c r="O335" i="105" s="1"/>
  <c r="K55" i="104"/>
  <c r="K57" i="104"/>
  <c r="K56" i="106"/>
  <c r="K223" i="105"/>
  <c r="O223" i="105" s="1"/>
  <c r="K235" i="105"/>
  <c r="K236" i="105"/>
  <c r="K323" i="105"/>
  <c r="O323" i="105" s="1"/>
  <c r="K336" i="105"/>
  <c r="O336" i="105" s="1"/>
  <c r="K350" i="105"/>
  <c r="O350" i="105" s="1"/>
  <c r="K46" i="104"/>
  <c r="K235" i="107"/>
  <c r="K232" i="106"/>
  <c r="K49" i="105"/>
  <c r="O49" i="105" s="1"/>
  <c r="K53" i="105"/>
  <c r="O53" i="105" s="1"/>
  <c r="K186" i="105"/>
  <c r="O186" i="105" s="1"/>
  <c r="K337" i="105"/>
  <c r="K51" i="104"/>
  <c r="K56" i="104"/>
  <c r="K222" i="106"/>
  <c r="K350" i="106"/>
  <c r="K163" i="105"/>
  <c r="K185" i="105"/>
  <c r="K249" i="105"/>
  <c r="O249" i="105" s="1"/>
  <c r="K271" i="105"/>
  <c r="K318" i="106"/>
  <c r="K245" i="105"/>
  <c r="O245" i="105" s="1"/>
  <c r="K324" i="105"/>
  <c r="O324" i="105" s="1"/>
  <c r="K326" i="105"/>
  <c r="K338" i="105"/>
  <c r="K334" i="105"/>
  <c r="O334" i="105" s="1"/>
  <c r="K169" i="104"/>
  <c r="K208" i="104"/>
  <c r="K223" i="104"/>
  <c r="K231" i="104"/>
  <c r="K234" i="104"/>
  <c r="K351" i="106"/>
  <c r="K209" i="105"/>
  <c r="K248" i="105"/>
  <c r="O248" i="105" s="1"/>
  <c r="K305" i="105"/>
  <c r="K58" i="104"/>
  <c r="K163" i="104"/>
  <c r="K186" i="104"/>
  <c r="K210" i="104"/>
  <c r="K236" i="106"/>
  <c r="K304" i="106"/>
  <c r="K234" i="105"/>
  <c r="K339" i="105"/>
  <c r="K4" i="104"/>
  <c r="K42" i="104"/>
  <c r="K45" i="104"/>
  <c r="K53" i="104"/>
  <c r="K54" i="104"/>
  <c r="K59" i="104"/>
  <c r="K287" i="105"/>
  <c r="O287" i="105" s="1"/>
  <c r="K304" i="105"/>
  <c r="K52" i="104"/>
  <c r="K209" i="104"/>
  <c r="K233" i="104"/>
  <c r="K46" i="98"/>
  <c r="K52" i="98"/>
  <c r="K57" i="98"/>
  <c r="K163" i="98"/>
  <c r="K208" i="98"/>
  <c r="K244" i="98"/>
  <c r="K269" i="98"/>
  <c r="K222" i="105"/>
  <c r="O222" i="105" s="1"/>
  <c r="K351" i="105"/>
  <c r="O351" i="105" s="1"/>
  <c r="K185" i="104"/>
  <c r="K292" i="104"/>
  <c r="K326" i="104"/>
  <c r="K333" i="104"/>
  <c r="K350" i="104"/>
  <c r="K42" i="98"/>
  <c r="K186" i="98"/>
  <c r="K221" i="98"/>
  <c r="K231" i="98"/>
  <c r="K235" i="98"/>
  <c r="K245" i="98"/>
  <c r="K248" i="98"/>
  <c r="K270" i="98"/>
  <c r="K288" i="98"/>
  <c r="K292" i="98"/>
  <c r="K305" i="98"/>
  <c r="K333" i="98"/>
  <c r="K350" i="98"/>
  <c r="K42" i="106"/>
  <c r="K333" i="105"/>
  <c r="K50" i="104"/>
  <c r="K236" i="104"/>
  <c r="K327" i="104"/>
  <c r="K334" i="104"/>
  <c r="K56" i="98"/>
  <c r="K210" i="98"/>
  <c r="K246" i="98"/>
  <c r="K210" i="105"/>
  <c r="K231" i="105"/>
  <c r="K246" i="105"/>
  <c r="O246" i="105" s="1"/>
  <c r="K49" i="104"/>
  <c r="K221" i="104"/>
  <c r="K245" i="104"/>
  <c r="K249" i="104"/>
  <c r="K304" i="104"/>
  <c r="K337" i="104"/>
  <c r="K339" i="104"/>
  <c r="K47" i="98"/>
  <c r="K59" i="98"/>
  <c r="K185" i="98"/>
  <c r="K223" i="98"/>
  <c r="K233" i="98"/>
  <c r="K247" i="98"/>
  <c r="K289" i="98"/>
  <c r="K301" i="98"/>
  <c r="K337" i="98"/>
  <c r="K58" i="105"/>
  <c r="O58" i="105" s="1"/>
  <c r="K222" i="104"/>
  <c r="K224" i="104"/>
  <c r="K318" i="104"/>
  <c r="K323" i="104"/>
  <c r="K324" i="104"/>
  <c r="K48" i="98"/>
  <c r="K169" i="98"/>
  <c r="K224" i="98"/>
  <c r="K234" i="98"/>
  <c r="K249" i="98"/>
  <c r="K290" i="98"/>
  <c r="K323" i="98"/>
  <c r="K334" i="98"/>
  <c r="K338" i="98"/>
  <c r="K339" i="98"/>
  <c r="K326" i="98"/>
  <c r="K207" i="104"/>
  <c r="K235" i="104"/>
  <c r="K209" i="98"/>
  <c r="K335" i="98"/>
  <c r="K244" i="105"/>
  <c r="K246" i="104"/>
  <c r="K351" i="104"/>
  <c r="K49" i="98"/>
  <c r="K50" i="98"/>
  <c r="K271" i="98"/>
  <c r="K48" i="104"/>
  <c r="K232" i="104"/>
  <c r="K247" i="104"/>
  <c r="K4" i="98"/>
  <c r="K51" i="98"/>
  <c r="K351" i="98"/>
  <c r="K271" i="104"/>
  <c r="K269" i="105"/>
  <c r="K47" i="104"/>
  <c r="K248" i="104"/>
  <c r="K270" i="104"/>
  <c r="K301" i="104"/>
  <c r="K53" i="98"/>
  <c r="K304" i="98"/>
  <c r="K324" i="98"/>
  <c r="K327" i="98"/>
  <c r="K327" i="105"/>
  <c r="K287" i="104"/>
  <c r="K288" i="104"/>
  <c r="K45" i="98"/>
  <c r="K54" i="98"/>
  <c r="K55" i="98"/>
  <c r="K58" i="98"/>
  <c r="K236" i="98"/>
  <c r="K318" i="98"/>
  <c r="K336" i="98"/>
  <c r="K58" i="106"/>
  <c r="K244" i="104"/>
  <c r="K269" i="104"/>
  <c r="K289" i="104"/>
  <c r="K290" i="104"/>
  <c r="K305" i="104"/>
  <c r="K335" i="104"/>
  <c r="K336" i="104"/>
  <c r="K338" i="104"/>
  <c r="K207" i="98"/>
  <c r="K222" i="98"/>
  <c r="K232" i="98"/>
  <c r="K287" i="98"/>
  <c r="J217" i="89"/>
  <c r="P217" i="89" s="1"/>
  <c r="Q217" i="89" s="1"/>
  <c r="J143" i="89"/>
  <c r="P143" i="89" s="1"/>
  <c r="Q143" i="89" s="1"/>
  <c r="J199" i="89"/>
  <c r="P199" i="89" s="1"/>
  <c r="R199" i="89" s="1"/>
  <c r="J198" i="89"/>
  <c r="P198" i="89" s="1"/>
  <c r="R198" i="89" s="1"/>
  <c r="J144" i="89"/>
  <c r="P144" i="89" s="1"/>
  <c r="Q144" i="89" s="1"/>
  <c r="J142" i="89"/>
  <c r="P142" i="89" s="1"/>
  <c r="R142" i="89" s="1"/>
  <c r="J145" i="89"/>
  <c r="P145" i="89" s="1"/>
  <c r="Q145" i="89" s="1"/>
  <c r="J138" i="89"/>
  <c r="P138" i="89" s="1"/>
  <c r="Q138" i="89" s="1"/>
  <c r="J218" i="89"/>
  <c r="P218" i="89" s="1"/>
  <c r="R218" i="89" s="1"/>
  <c r="K142" i="89"/>
  <c r="K198" i="89"/>
  <c r="K218" i="89"/>
  <c r="K255" i="89"/>
  <c r="K256" i="89"/>
  <c r="K267" i="89"/>
  <c r="K268" i="89"/>
  <c r="K217" i="89"/>
  <c r="K175" i="89"/>
  <c r="K138" i="89"/>
  <c r="K144" i="89"/>
  <c r="K236" i="89"/>
  <c r="K143" i="89"/>
  <c r="K145" i="89"/>
  <c r="K58" i="89"/>
  <c r="K199" i="89"/>
  <c r="L66" i="89"/>
  <c r="L143" i="89"/>
  <c r="L199" i="89"/>
  <c r="L67" i="89"/>
  <c r="L68" i="89"/>
  <c r="L69" i="89"/>
  <c r="L142" i="89"/>
  <c r="L198" i="89"/>
  <c r="L208" i="89"/>
  <c r="L209" i="89"/>
  <c r="L218" i="89"/>
  <c r="L244" i="89"/>
  <c r="L255" i="89"/>
  <c r="L256" i="89"/>
  <c r="L266" i="89"/>
  <c r="L267" i="89"/>
  <c r="L268" i="89"/>
  <c r="L70" i="89"/>
  <c r="L71" i="89"/>
  <c r="L72" i="89"/>
  <c r="L73" i="89"/>
  <c r="L74" i="89"/>
  <c r="L75" i="89"/>
  <c r="L217" i="89"/>
  <c r="L271" i="89"/>
  <c r="L58" i="89"/>
  <c r="L61" i="89"/>
  <c r="L62" i="89"/>
  <c r="L63" i="89"/>
  <c r="L145" i="89"/>
  <c r="L225" i="89"/>
  <c r="L65" i="89"/>
  <c r="L144" i="89"/>
  <c r="L236" i="89"/>
  <c r="L64" i="89"/>
  <c r="L175" i="89"/>
  <c r="L264" i="89"/>
  <c r="L138" i="89"/>
  <c r="I13" i="63"/>
  <c r="B13" i="63"/>
  <c r="E13" i="63"/>
  <c r="D13" i="63"/>
  <c r="G13" i="63"/>
  <c r="H13" i="63"/>
  <c r="F13" i="63"/>
  <c r="J4" i="50"/>
  <c r="O169" i="105" l="1"/>
  <c r="O271" i="105"/>
  <c r="O210" i="104"/>
  <c r="U210" i="104" s="1"/>
  <c r="O163" i="105"/>
  <c r="S163" i="105" s="1"/>
  <c r="O304" i="105"/>
  <c r="T304" i="105" s="1"/>
  <c r="O42" i="105"/>
  <c r="S42" i="105" s="1"/>
  <c r="O232" i="104"/>
  <c r="T232" i="104" s="1"/>
  <c r="O292" i="104"/>
  <c r="U292" i="104" s="1"/>
  <c r="O232" i="105"/>
  <c r="S232" i="105" s="1"/>
  <c r="O333" i="105"/>
  <c r="T333" i="105" s="1"/>
  <c r="O338" i="105"/>
  <c r="S338" i="105" s="1"/>
  <c r="O270" i="105"/>
  <c r="S270" i="105" s="1"/>
  <c r="O233" i="104"/>
  <c r="U233" i="104" s="1"/>
  <c r="O326" i="104"/>
  <c r="U326" i="104" s="1"/>
  <c r="O207" i="105"/>
  <c r="U207" i="105" s="1"/>
  <c r="O318" i="105"/>
  <c r="U318" i="105" s="1"/>
  <c r="O305" i="105"/>
  <c r="S305" i="105" s="1"/>
  <c r="T223" i="105"/>
  <c r="S223" i="105"/>
  <c r="U223" i="105"/>
  <c r="S234" i="98"/>
  <c r="T234" i="98"/>
  <c r="U234" i="98"/>
  <c r="T324" i="105"/>
  <c r="S324" i="105"/>
  <c r="U324" i="105"/>
  <c r="T59" i="105"/>
  <c r="S59" i="105"/>
  <c r="U59" i="105"/>
  <c r="U221" i="105"/>
  <c r="S221" i="105"/>
  <c r="T221" i="105"/>
  <c r="T224" i="105"/>
  <c r="S224" i="105"/>
  <c r="U224" i="105"/>
  <c r="T52" i="105"/>
  <c r="S52" i="105"/>
  <c r="U52" i="105"/>
  <c r="S207" i="98"/>
  <c r="T207" i="98"/>
  <c r="U207" i="98"/>
  <c r="S56" i="105"/>
  <c r="T56" i="105"/>
  <c r="U56" i="105"/>
  <c r="S305" i="104"/>
  <c r="T305" i="104"/>
  <c r="U305" i="104"/>
  <c r="U304" i="105"/>
  <c r="T210" i="98"/>
  <c r="S210" i="98"/>
  <c r="U210" i="98"/>
  <c r="O231" i="105"/>
  <c r="T246" i="105"/>
  <c r="U246" i="105"/>
  <c r="S246" i="105"/>
  <c r="U51" i="105"/>
  <c r="T51" i="105"/>
  <c r="S51" i="105"/>
  <c r="T270" i="104"/>
  <c r="S270" i="104"/>
  <c r="U270" i="104"/>
  <c r="S271" i="105"/>
  <c r="U271" i="105"/>
  <c r="T271" i="105"/>
  <c r="T57" i="105"/>
  <c r="S57" i="105"/>
  <c r="U57" i="105"/>
  <c r="T231" i="104"/>
  <c r="S231" i="104"/>
  <c r="U231" i="104"/>
  <c r="S326" i="98"/>
  <c r="T326" i="98"/>
  <c r="U326" i="98"/>
  <c r="S236" i="98"/>
  <c r="T236" i="98"/>
  <c r="U236" i="98"/>
  <c r="O235" i="105"/>
  <c r="O210" i="105"/>
  <c r="T249" i="105"/>
  <c r="S249" i="105"/>
  <c r="U249" i="105"/>
  <c r="S186" i="105"/>
  <c r="T186" i="105"/>
  <c r="U186" i="105"/>
  <c r="U323" i="105"/>
  <c r="T323" i="105"/>
  <c r="S323" i="105"/>
  <c r="T289" i="105"/>
  <c r="S289" i="105"/>
  <c r="U289" i="105"/>
  <c r="T54" i="105"/>
  <c r="S54" i="105"/>
  <c r="U54" i="105"/>
  <c r="S55" i="105"/>
  <c r="T55" i="105"/>
  <c r="U55" i="105"/>
  <c r="S290" i="105"/>
  <c r="T290" i="105"/>
  <c r="U290" i="105"/>
  <c r="O337" i="105"/>
  <c r="S338" i="104"/>
  <c r="T338" i="104"/>
  <c r="U338" i="104"/>
  <c r="O301" i="105"/>
  <c r="O209" i="104"/>
  <c r="T292" i="98"/>
  <c r="S292" i="98"/>
  <c r="U292" i="98"/>
  <c r="S232" i="98"/>
  <c r="T232" i="98"/>
  <c r="U232" i="98"/>
  <c r="S339" i="104"/>
  <c r="T339" i="104"/>
  <c r="U339" i="104"/>
  <c r="T4" i="104"/>
  <c r="S4" i="104"/>
  <c r="U4" i="104"/>
  <c r="S233" i="98"/>
  <c r="T233" i="98"/>
  <c r="U233" i="98"/>
  <c r="T231" i="98"/>
  <c r="S231" i="98"/>
  <c r="U231" i="98"/>
  <c r="T42" i="104"/>
  <c r="S42" i="104"/>
  <c r="U42" i="104"/>
  <c r="T245" i="105"/>
  <c r="S245" i="105"/>
  <c r="U245" i="105"/>
  <c r="S350" i="105"/>
  <c r="T350" i="105"/>
  <c r="U350" i="105"/>
  <c r="U169" i="105"/>
  <c r="T169" i="105"/>
  <c r="S169" i="105"/>
  <c r="O207" i="104"/>
  <c r="O208" i="105"/>
  <c r="O234" i="104"/>
  <c r="O233" i="105"/>
  <c r="S336" i="105"/>
  <c r="T336" i="105"/>
  <c r="U336" i="105"/>
  <c r="U46" i="105"/>
  <c r="T46" i="105"/>
  <c r="S46" i="105"/>
  <c r="S47" i="105"/>
  <c r="T47" i="105"/>
  <c r="U47" i="105"/>
  <c r="U333" i="104"/>
  <c r="S333" i="104"/>
  <c r="T333" i="104"/>
  <c r="T287" i="105"/>
  <c r="S287" i="105"/>
  <c r="U287" i="105"/>
  <c r="S248" i="105"/>
  <c r="T248" i="105"/>
  <c r="U248" i="105"/>
  <c r="S334" i="105"/>
  <c r="T334" i="105"/>
  <c r="U334" i="105"/>
  <c r="O185" i="105"/>
  <c r="S53" i="105"/>
  <c r="T53" i="105"/>
  <c r="U53" i="105"/>
  <c r="O236" i="105"/>
  <c r="S45" i="105"/>
  <c r="T45" i="105"/>
  <c r="U45" i="105"/>
  <c r="U288" i="105"/>
  <c r="T288" i="105"/>
  <c r="S288" i="105"/>
  <c r="S318" i="104"/>
  <c r="T318" i="104"/>
  <c r="U318" i="104"/>
  <c r="U304" i="104"/>
  <c r="T304" i="104"/>
  <c r="S304" i="104"/>
  <c r="O269" i="105"/>
  <c r="S209" i="98"/>
  <c r="U209" i="98"/>
  <c r="T209" i="98"/>
  <c r="O236" i="104"/>
  <c r="O244" i="104"/>
  <c r="O208" i="104"/>
  <c r="O326" i="105"/>
  <c r="S301" i="104"/>
  <c r="T301" i="104"/>
  <c r="U301" i="104"/>
  <c r="O234" i="105"/>
  <c r="T351" i="105"/>
  <c r="S351" i="105"/>
  <c r="U351" i="105"/>
  <c r="U337" i="104"/>
  <c r="T337" i="104"/>
  <c r="S337" i="104"/>
  <c r="T185" i="104"/>
  <c r="S185" i="104"/>
  <c r="U185" i="104"/>
  <c r="T271" i="104"/>
  <c r="S271" i="104"/>
  <c r="U271" i="104"/>
  <c r="T338" i="105"/>
  <c r="U338" i="105"/>
  <c r="S233" i="104"/>
  <c r="T58" i="105"/>
  <c r="S58" i="105"/>
  <c r="U58" i="105"/>
  <c r="S222" i="105"/>
  <c r="T222" i="105"/>
  <c r="U222" i="105"/>
  <c r="U48" i="105"/>
  <c r="S48" i="105"/>
  <c r="T48" i="105"/>
  <c r="T327" i="104"/>
  <c r="S327" i="104"/>
  <c r="U327" i="104"/>
  <c r="O163" i="104"/>
  <c r="T50" i="105"/>
  <c r="S50" i="105"/>
  <c r="U50" i="105"/>
  <c r="T163" i="98"/>
  <c r="S163" i="98"/>
  <c r="U163" i="98"/>
  <c r="S335" i="105"/>
  <c r="T335" i="105"/>
  <c r="U335" i="105"/>
  <c r="U186" i="104"/>
  <c r="T186" i="104"/>
  <c r="S186" i="104"/>
  <c r="O209" i="105"/>
  <c r="S49" i="105"/>
  <c r="T49" i="105"/>
  <c r="U49" i="105"/>
  <c r="O292" i="105"/>
  <c r="T247" i="105"/>
  <c r="S247" i="105"/>
  <c r="U247" i="105"/>
  <c r="S269" i="104"/>
  <c r="T269" i="104"/>
  <c r="U269" i="104"/>
  <c r="O235" i="104"/>
  <c r="O339" i="105"/>
  <c r="O327" i="105"/>
  <c r="O4" i="105"/>
  <c r="T244" i="98"/>
  <c r="S244" i="98"/>
  <c r="U244" i="98"/>
  <c r="T208" i="98"/>
  <c r="S208" i="98"/>
  <c r="U208" i="98"/>
  <c r="S169" i="98"/>
  <c r="T169" i="98"/>
  <c r="U169" i="98"/>
  <c r="S235" i="98"/>
  <c r="T235" i="98"/>
  <c r="U235" i="98"/>
  <c r="O169" i="104"/>
  <c r="O244" i="105"/>
  <c r="H20" i="71"/>
  <c r="I20" i="71"/>
  <c r="H28" i="71"/>
  <c r="I28" i="71"/>
  <c r="H17" i="71"/>
  <c r="I17" i="71"/>
  <c r="H18" i="71"/>
  <c r="I18" i="71"/>
  <c r="H19" i="71"/>
  <c r="I19" i="71"/>
  <c r="H30" i="71"/>
  <c r="I30" i="71"/>
  <c r="I29" i="71"/>
  <c r="U270" i="105" l="1"/>
  <c r="T270" i="105"/>
  <c r="U163" i="105"/>
  <c r="S210" i="104"/>
  <c r="T163" i="105"/>
  <c r="T210" i="104"/>
  <c r="S232" i="104"/>
  <c r="U232" i="105"/>
  <c r="S292" i="104"/>
  <c r="T292" i="104"/>
  <c r="S207" i="105"/>
  <c r="T233" i="104"/>
  <c r="U42" i="105"/>
  <c r="S304" i="105"/>
  <c r="U232" i="104"/>
  <c r="T305" i="105"/>
  <c r="T326" i="104"/>
  <c r="U333" i="105"/>
  <c r="T232" i="105"/>
  <c r="T42" i="105"/>
  <c r="S333" i="105"/>
  <c r="U305" i="105"/>
  <c r="S326" i="104"/>
  <c r="T207" i="105"/>
  <c r="S318" i="105"/>
  <c r="T318" i="105"/>
  <c r="T235" i="104"/>
  <c r="S235" i="104"/>
  <c r="U235" i="104"/>
  <c r="T269" i="105"/>
  <c r="S269" i="105"/>
  <c r="U269" i="105"/>
  <c r="T244" i="105"/>
  <c r="S244" i="105"/>
  <c r="U244" i="105"/>
  <c r="U185" i="105"/>
  <c r="S185" i="105"/>
  <c r="T185" i="105"/>
  <c r="S169" i="104"/>
  <c r="T169" i="104"/>
  <c r="U169" i="104"/>
  <c r="S4" i="105"/>
  <c r="T4" i="105"/>
  <c r="U4" i="105"/>
  <c r="T337" i="105"/>
  <c r="S337" i="105"/>
  <c r="U337" i="105"/>
  <c r="S210" i="105"/>
  <c r="T210" i="105"/>
  <c r="U210" i="105"/>
  <c r="T327" i="105"/>
  <c r="S327" i="105"/>
  <c r="U327" i="105"/>
  <c r="S233" i="105"/>
  <c r="T233" i="105"/>
  <c r="U233" i="105"/>
  <c r="S244" i="104"/>
  <c r="T244" i="104"/>
  <c r="U244" i="104"/>
  <c r="T292" i="105"/>
  <c r="S292" i="105"/>
  <c r="U292" i="105"/>
  <c r="T236" i="104"/>
  <c r="S236" i="104"/>
  <c r="U236" i="104"/>
  <c r="S235" i="105"/>
  <c r="T235" i="105"/>
  <c r="U235" i="105"/>
  <c r="U234" i="105"/>
  <c r="S234" i="105"/>
  <c r="T234" i="105"/>
  <c r="U234" i="104"/>
  <c r="T234" i="104"/>
  <c r="S234" i="104"/>
  <c r="T209" i="104"/>
  <c r="S209" i="104"/>
  <c r="U209" i="104"/>
  <c r="T231" i="105"/>
  <c r="S231" i="105"/>
  <c r="U231" i="105"/>
  <c r="S207" i="104"/>
  <c r="T207" i="104"/>
  <c r="U207" i="104"/>
  <c r="T208" i="104"/>
  <c r="S208" i="104"/>
  <c r="U208" i="104"/>
  <c r="S236" i="105"/>
  <c r="T236" i="105"/>
  <c r="U236" i="105"/>
  <c r="T208" i="105"/>
  <c r="S208" i="105"/>
  <c r="U208" i="105"/>
  <c r="U339" i="105"/>
  <c r="S339" i="105"/>
  <c r="T339" i="105"/>
  <c r="U209" i="105"/>
  <c r="T209" i="105"/>
  <c r="S209" i="105"/>
  <c r="T163" i="104"/>
  <c r="S163" i="104"/>
  <c r="U163" i="104"/>
  <c r="T326" i="105"/>
  <c r="S326" i="105"/>
  <c r="U326" i="105"/>
  <c r="S301" i="105"/>
  <c r="T301" i="105"/>
  <c r="U301" i="105"/>
  <c r="H22" i="71"/>
  <c r="H14" i="71"/>
  <c r="I6" i="50" s="1"/>
  <c r="I14" i="71"/>
  <c r="J6" i="50" s="1"/>
  <c r="I22" i="71"/>
  <c r="H29" i="71"/>
  <c r="I32" i="71"/>
  <c r="H7" i="72"/>
  <c r="I7" i="72"/>
  <c r="I8" i="72"/>
  <c r="I25" i="72" s="1"/>
  <c r="H9" i="72"/>
  <c r="H29" i="72" s="1"/>
  <c r="I9" i="72"/>
  <c r="I29" i="72" s="1"/>
  <c r="G3" i="70"/>
  <c r="H3" i="70" s="1"/>
  <c r="I3" i="70" s="1"/>
  <c r="G3" i="69"/>
  <c r="H3" i="69" s="1"/>
  <c r="I3" i="69" s="1"/>
  <c r="I21" i="60"/>
  <c r="J21" i="60"/>
  <c r="I22" i="60"/>
  <c r="I24" i="60"/>
  <c r="J24" i="60"/>
  <c r="I25" i="60"/>
  <c r="J25" i="60"/>
  <c r="I26" i="60"/>
  <c r="I28" i="60"/>
  <c r="J28" i="60"/>
  <c r="I29" i="60"/>
  <c r="J29" i="60"/>
  <c r="I30" i="60"/>
  <c r="I17" i="60"/>
  <c r="I23" i="60" s="1"/>
  <c r="J17" i="60"/>
  <c r="J22" i="60" s="1"/>
  <c r="J27" i="60" l="1"/>
  <c r="J23" i="60"/>
  <c r="I27" i="60"/>
  <c r="J30" i="60"/>
  <c r="J26" i="60"/>
  <c r="Y6" i="50"/>
  <c r="H24" i="71"/>
  <c r="H32" i="71"/>
  <c r="H34" i="71" s="1"/>
  <c r="I24" i="71"/>
  <c r="I11" i="72"/>
  <c r="I36" i="72" s="1"/>
  <c r="I34" i="71"/>
  <c r="J15" i="50"/>
  <c r="J6" i="51"/>
  <c r="H8" i="72"/>
  <c r="I47" i="59"/>
  <c r="J47" i="59"/>
  <c r="I3" i="63"/>
  <c r="J3" i="63"/>
  <c r="I3" i="60"/>
  <c r="I40" i="60" s="1"/>
  <c r="J3" i="60"/>
  <c r="J38" i="60" s="1"/>
  <c r="J15" i="62" s="1"/>
  <c r="G10" i="59"/>
  <c r="H10" i="59"/>
  <c r="I10" i="59"/>
  <c r="I37" i="59" s="1"/>
  <c r="I48" i="59" s="1"/>
  <c r="J10" i="59"/>
  <c r="J37" i="59" s="1"/>
  <c r="J48" i="59" s="1"/>
  <c r="F10" i="59"/>
  <c r="I42" i="60" l="1"/>
  <c r="I49" i="59"/>
  <c r="J24" i="51" s="1"/>
  <c r="J49" i="59"/>
  <c r="J18" i="63"/>
  <c r="J21" i="63" s="1"/>
  <c r="I34" i="60"/>
  <c r="J35" i="60"/>
  <c r="J9" i="62" s="1"/>
  <c r="I38" i="60"/>
  <c r="I15" i="62" s="1"/>
  <c r="J39" i="60"/>
  <c r="I33" i="60"/>
  <c r="I39" i="60"/>
  <c r="I36" i="60"/>
  <c r="I37" i="60"/>
  <c r="I27" i="62" s="1"/>
  <c r="J33" i="60"/>
  <c r="J42" i="60"/>
  <c r="J36" i="60"/>
  <c r="I18" i="63"/>
  <c r="I35" i="60"/>
  <c r="I9" i="62" s="1"/>
  <c r="J40" i="60"/>
  <c r="J34" i="60"/>
  <c r="J3" i="62" s="1"/>
  <c r="I6" i="63"/>
  <c r="J37" i="60"/>
  <c r="J27" i="62" s="1"/>
  <c r="I6" i="51"/>
  <c r="I15" i="50"/>
  <c r="I25" i="50" s="1"/>
  <c r="H25" i="72"/>
  <c r="H11" i="72"/>
  <c r="H36" i="72" s="1"/>
  <c r="J25" i="50"/>
  <c r="J6" i="63"/>
  <c r="I21" i="59" l="1"/>
  <c r="I42" i="59" s="1"/>
  <c r="I22" i="63"/>
  <c r="I21" i="63"/>
  <c r="I20" i="63"/>
  <c r="J21" i="59"/>
  <c r="J42" i="59" s="1"/>
  <c r="J20" i="63"/>
  <c r="J22" i="63"/>
  <c r="I43" i="60"/>
  <c r="I38" i="62" s="1"/>
  <c r="I3" i="62"/>
  <c r="I11" i="62"/>
  <c r="I21" i="62"/>
  <c r="J11" i="62"/>
  <c r="J43" i="60"/>
  <c r="J38" i="62" s="1"/>
  <c r="J21" i="62"/>
  <c r="J13" i="63"/>
  <c r="J34" i="59" l="1"/>
  <c r="I34" i="59"/>
  <c r="J23" i="63"/>
  <c r="I23" i="63"/>
  <c r="I18" i="58" l="1"/>
  <c r="J18" i="58"/>
  <c r="G14" i="58"/>
  <c r="H14" i="58"/>
  <c r="I14" i="58"/>
  <c r="J14" i="58"/>
  <c r="F14" i="58"/>
  <c r="I21" i="56" l="1"/>
  <c r="I11" i="56" s="1"/>
  <c r="J21" i="56"/>
  <c r="J11" i="56" s="1"/>
  <c r="G51" i="57" l="1"/>
  <c r="H51" i="57"/>
  <c r="I51" i="57"/>
  <c r="J51" i="57"/>
  <c r="I49" i="57"/>
  <c r="I52" i="57" s="1"/>
  <c r="I54" i="57" s="1"/>
  <c r="J49" i="57"/>
  <c r="J52" i="57" s="1"/>
  <c r="F32" i="57"/>
  <c r="F51" i="57" s="1"/>
  <c r="G29" i="57"/>
  <c r="G50" i="57" s="1"/>
  <c r="H29" i="57"/>
  <c r="H50" i="57" s="1"/>
  <c r="I29" i="57"/>
  <c r="I50" i="57" s="1"/>
  <c r="J29" i="57"/>
  <c r="J50" i="57" s="1"/>
  <c r="F29" i="57"/>
  <c r="F50" i="57" s="1"/>
  <c r="G26" i="57"/>
  <c r="H26" i="57"/>
  <c r="I26" i="57"/>
  <c r="J26" i="57"/>
  <c r="F26" i="57"/>
  <c r="I16" i="56"/>
  <c r="J16" i="56"/>
  <c r="I30" i="56"/>
  <c r="I7" i="59" s="1"/>
  <c r="J30" i="56"/>
  <c r="J7" i="59" s="1"/>
  <c r="I31" i="56"/>
  <c r="I8" i="59" s="1"/>
  <c r="J31" i="56"/>
  <c r="J8" i="59" s="1"/>
  <c r="I32" i="56"/>
  <c r="I9" i="59" s="1"/>
  <c r="J32" i="56"/>
  <c r="J9" i="59" s="1"/>
  <c r="I36" i="56"/>
  <c r="I13" i="59" s="1"/>
  <c r="J36" i="56"/>
  <c r="J13" i="59" s="1"/>
  <c r="I17" i="56"/>
  <c r="J17" i="56"/>
  <c r="I18" i="56"/>
  <c r="J18" i="56"/>
  <c r="I22" i="56"/>
  <c r="I37" i="56" s="1"/>
  <c r="I14" i="59" s="1"/>
  <c r="J22" i="56"/>
  <c r="J37" i="56" s="1"/>
  <c r="J14" i="59" s="1"/>
  <c r="J54" i="57" l="1"/>
  <c r="J44" i="57"/>
  <c r="J46" i="57" s="1"/>
  <c r="J38" i="59"/>
  <c r="I38" i="59"/>
  <c r="I44" i="57"/>
  <c r="I46" i="57" s="1"/>
  <c r="J20" i="56"/>
  <c r="J35" i="56" s="1"/>
  <c r="J24" i="56" l="1"/>
  <c r="J26" i="56" s="1"/>
  <c r="J39" i="56"/>
  <c r="J41" i="56" s="1"/>
  <c r="J12" i="59"/>
  <c r="I20" i="56"/>
  <c r="J36" i="59" l="1"/>
  <c r="J15" i="59"/>
  <c r="I35" i="56"/>
  <c r="I24" i="56"/>
  <c r="I26" i="56" s="1"/>
  <c r="I39" i="56" l="1"/>
  <c r="I12" i="59"/>
  <c r="J43" i="59"/>
  <c r="J39" i="59"/>
  <c r="I36" i="59" l="1"/>
  <c r="I15" i="59"/>
  <c r="J31" i="63"/>
  <c r="J44" i="59"/>
  <c r="J51" i="59" s="1"/>
  <c r="I41" i="56"/>
  <c r="J4" i="51"/>
  <c r="J13" i="50"/>
  <c r="E22" i="20"/>
  <c r="J23" i="50" l="1"/>
  <c r="I43" i="59"/>
  <c r="I31" i="63" s="1"/>
  <c r="I39" i="59"/>
  <c r="F357" i="98"/>
  <c r="F354" i="108" l="1"/>
  <c r="F354" i="107"/>
  <c r="F353" i="108"/>
  <c r="F353" i="107"/>
  <c r="F353" i="104"/>
  <c r="F353" i="106"/>
  <c r="F353" i="105"/>
  <c r="F354" i="104"/>
  <c r="F354" i="106"/>
  <c r="F354" i="105"/>
  <c r="I44" i="59"/>
  <c r="B275" i="100"/>
  <c r="C275" i="100"/>
  <c r="D275" i="100"/>
  <c r="Q275" i="100" s="1"/>
  <c r="E275" i="100"/>
  <c r="F275" i="100"/>
  <c r="H275" i="100"/>
  <c r="I275" i="100"/>
  <c r="B276" i="100"/>
  <c r="C276" i="100"/>
  <c r="D276" i="100"/>
  <c r="E276" i="100"/>
  <c r="F276" i="100"/>
  <c r="H276" i="100"/>
  <c r="I276" i="100"/>
  <c r="B277" i="100"/>
  <c r="C277" i="100"/>
  <c r="D277" i="100"/>
  <c r="R277" i="100" s="1"/>
  <c r="E277" i="100"/>
  <c r="F277" i="100"/>
  <c r="H277" i="100"/>
  <c r="I277" i="100"/>
  <c r="B275" i="101"/>
  <c r="C275" i="101"/>
  <c r="D275" i="101"/>
  <c r="Q275" i="101" s="1"/>
  <c r="E275" i="101"/>
  <c r="F275" i="101"/>
  <c r="H275" i="101"/>
  <c r="I275" i="101"/>
  <c r="B276" i="101"/>
  <c r="C276" i="101"/>
  <c r="D276" i="101"/>
  <c r="Q276" i="101" s="1"/>
  <c r="E276" i="101"/>
  <c r="F276" i="101"/>
  <c r="H276" i="101"/>
  <c r="I276" i="101"/>
  <c r="B277" i="101"/>
  <c r="C277" i="101"/>
  <c r="D277" i="101"/>
  <c r="E277" i="101"/>
  <c r="F277" i="101"/>
  <c r="H277" i="101"/>
  <c r="I277" i="101"/>
  <c r="B275" i="102"/>
  <c r="C275" i="102"/>
  <c r="D275" i="102"/>
  <c r="Q275" i="102" s="1"/>
  <c r="E275" i="102"/>
  <c r="F275" i="102"/>
  <c r="H275" i="102"/>
  <c r="I275" i="102"/>
  <c r="B276" i="102"/>
  <c r="C276" i="102"/>
  <c r="D276" i="102"/>
  <c r="Q276" i="102" s="1"/>
  <c r="E276" i="102"/>
  <c r="F276" i="102"/>
  <c r="H276" i="102"/>
  <c r="I276" i="102"/>
  <c r="B277" i="102"/>
  <c r="C277" i="102"/>
  <c r="D277" i="102"/>
  <c r="R277" i="102" s="1"/>
  <c r="E277" i="102"/>
  <c r="F277" i="102"/>
  <c r="H277" i="102"/>
  <c r="I277" i="102"/>
  <c r="B275" i="103"/>
  <c r="C275" i="103"/>
  <c r="D275" i="103"/>
  <c r="E275" i="103"/>
  <c r="F275" i="103"/>
  <c r="H275" i="103"/>
  <c r="B276" i="103"/>
  <c r="C276" i="103"/>
  <c r="D276" i="103"/>
  <c r="E276" i="103"/>
  <c r="F276" i="103"/>
  <c r="H276" i="103"/>
  <c r="B277" i="103"/>
  <c r="C277" i="103"/>
  <c r="D277" i="103"/>
  <c r="R277" i="103" s="1"/>
  <c r="E277" i="103"/>
  <c r="F277" i="103"/>
  <c r="H277" i="103"/>
  <c r="B275" i="99"/>
  <c r="C275" i="99"/>
  <c r="D275" i="99"/>
  <c r="Q275" i="99" s="1"/>
  <c r="E275" i="99"/>
  <c r="F275" i="99"/>
  <c r="H275" i="99"/>
  <c r="I275" i="99"/>
  <c r="B276" i="99"/>
  <c r="C276" i="99"/>
  <c r="D276" i="99"/>
  <c r="Q276" i="99" s="1"/>
  <c r="E276" i="99"/>
  <c r="F276" i="99"/>
  <c r="H276" i="99"/>
  <c r="I276" i="99"/>
  <c r="B277" i="99"/>
  <c r="C277" i="99"/>
  <c r="D277" i="99"/>
  <c r="E277" i="99"/>
  <c r="F277" i="99"/>
  <c r="H277" i="99"/>
  <c r="I277" i="99"/>
  <c r="A275" i="100"/>
  <c r="A276" i="100"/>
  <c r="A277" i="100"/>
  <c r="A275" i="101"/>
  <c r="A276" i="101"/>
  <c r="A277" i="101"/>
  <c r="A275" i="102"/>
  <c r="A276" i="102"/>
  <c r="A277" i="102"/>
  <c r="A275" i="103"/>
  <c r="A276" i="103"/>
  <c r="A277" i="103"/>
  <c r="A275" i="99"/>
  <c r="A276" i="99"/>
  <c r="A277" i="99"/>
  <c r="G280" i="89"/>
  <c r="R277" i="101" l="1"/>
  <c r="J276" i="100"/>
  <c r="K276" i="100"/>
  <c r="L276" i="100"/>
  <c r="P276" i="100"/>
  <c r="R276" i="100" s="1"/>
  <c r="M276" i="100"/>
  <c r="N276" i="100"/>
  <c r="O276" i="100"/>
  <c r="J277" i="100"/>
  <c r="K277" i="100"/>
  <c r="P277" i="100"/>
  <c r="Q277" i="100" s="1"/>
  <c r="L277" i="100"/>
  <c r="M277" i="100"/>
  <c r="Q276" i="103"/>
  <c r="R276" i="103"/>
  <c r="J276" i="102"/>
  <c r="K276" i="102"/>
  <c r="O276" i="102"/>
  <c r="L276" i="102"/>
  <c r="M276" i="102"/>
  <c r="N276" i="102"/>
  <c r="P276" i="102"/>
  <c r="R276" i="102" s="1"/>
  <c r="N276" i="99"/>
  <c r="O276" i="99"/>
  <c r="J276" i="99"/>
  <c r="L276" i="99"/>
  <c r="P276" i="99"/>
  <c r="R276" i="99" s="1"/>
  <c r="M276" i="99"/>
  <c r="K276" i="99"/>
  <c r="J277" i="102"/>
  <c r="K277" i="102"/>
  <c r="L277" i="102"/>
  <c r="M277" i="102"/>
  <c r="J275" i="100"/>
  <c r="K275" i="100"/>
  <c r="L275" i="100"/>
  <c r="P275" i="100"/>
  <c r="R275" i="100" s="1"/>
  <c r="O275" i="100"/>
  <c r="M275" i="100"/>
  <c r="N275" i="100"/>
  <c r="R277" i="99"/>
  <c r="Q275" i="103"/>
  <c r="R275" i="103"/>
  <c r="J277" i="101"/>
  <c r="K277" i="101"/>
  <c r="L277" i="101"/>
  <c r="M277" i="101"/>
  <c r="P277" i="101"/>
  <c r="Q277" i="101" s="1"/>
  <c r="Q276" i="100"/>
  <c r="N275" i="99"/>
  <c r="L275" i="99"/>
  <c r="O275" i="99"/>
  <c r="J275" i="99"/>
  <c r="K275" i="99"/>
  <c r="P275" i="99"/>
  <c r="R275" i="99" s="1"/>
  <c r="M275" i="99"/>
  <c r="P277" i="99"/>
  <c r="Q277" i="99" s="1"/>
  <c r="K277" i="99"/>
  <c r="L277" i="99"/>
  <c r="J277" i="99"/>
  <c r="M277" i="99"/>
  <c r="J275" i="101"/>
  <c r="K275" i="101"/>
  <c r="O275" i="101"/>
  <c r="L275" i="101"/>
  <c r="M275" i="101"/>
  <c r="N275" i="101"/>
  <c r="P275" i="101"/>
  <c r="R275" i="101" s="1"/>
  <c r="J276" i="101"/>
  <c r="K276" i="101"/>
  <c r="O276" i="101"/>
  <c r="N276" i="101"/>
  <c r="M276" i="101"/>
  <c r="P276" i="101"/>
  <c r="R276" i="101" s="1"/>
  <c r="L276" i="101"/>
  <c r="J275" i="102"/>
  <c r="K275" i="102"/>
  <c r="O275" i="102"/>
  <c r="N275" i="102"/>
  <c r="M275" i="102"/>
  <c r="L275" i="102"/>
  <c r="P275" i="102"/>
  <c r="R275" i="102" s="1"/>
  <c r="F356" i="104"/>
  <c r="J14" i="51"/>
  <c r="I51" i="59"/>
  <c r="J34" i="51" l="1"/>
  <c r="G276" i="103"/>
  <c r="G276" i="99"/>
  <c r="G276" i="102"/>
  <c r="G276" i="101"/>
  <c r="G276" i="100"/>
  <c r="G275" i="102"/>
  <c r="G275" i="101"/>
  <c r="G275" i="100"/>
  <c r="G275" i="103"/>
  <c r="G275" i="99"/>
  <c r="G277" i="100" l="1"/>
  <c r="G277" i="103"/>
  <c r="G277" i="99"/>
  <c r="G277" i="102"/>
  <c r="G277" i="101"/>
  <c r="K36" i="108" l="1"/>
  <c r="K38" i="108"/>
  <c r="K35" i="108"/>
  <c r="K39" i="108"/>
  <c r="K37" i="108"/>
  <c r="K41" i="108"/>
  <c r="K178" i="108"/>
  <c r="K144" i="108"/>
  <c r="K35" i="107"/>
  <c r="K36" i="107"/>
  <c r="K38" i="107"/>
  <c r="K39" i="107"/>
  <c r="K41" i="107"/>
  <c r="K293" i="108"/>
  <c r="K170" i="107"/>
  <c r="K170" i="108"/>
  <c r="K37" i="107"/>
  <c r="K144" i="107"/>
  <c r="K35" i="106"/>
  <c r="K39" i="106"/>
  <c r="K144" i="106"/>
  <c r="K36" i="106"/>
  <c r="K41" i="106"/>
  <c r="K41" i="105"/>
  <c r="K170" i="106"/>
  <c r="K144" i="105"/>
  <c r="O144" i="105" s="1"/>
  <c r="K178" i="106"/>
  <c r="K35" i="105"/>
  <c r="K36" i="105"/>
  <c r="K39" i="105"/>
  <c r="K293" i="107"/>
  <c r="K37" i="106"/>
  <c r="K178" i="105"/>
  <c r="K293" i="105"/>
  <c r="K293" i="106"/>
  <c r="K38" i="106"/>
  <c r="K37" i="105"/>
  <c r="K35" i="104"/>
  <c r="K39" i="104"/>
  <c r="K38" i="105"/>
  <c r="K170" i="105"/>
  <c r="K178" i="107"/>
  <c r="K41" i="104"/>
  <c r="K144" i="104"/>
  <c r="K36" i="104"/>
  <c r="K37" i="98"/>
  <c r="K170" i="98"/>
  <c r="K170" i="104"/>
  <c r="K35" i="98"/>
  <c r="K37" i="104"/>
  <c r="K293" i="104"/>
  <c r="K36" i="98"/>
  <c r="K38" i="104"/>
  <c r="K178" i="98"/>
  <c r="K38" i="98"/>
  <c r="K144" i="98"/>
  <c r="K293" i="98"/>
  <c r="K178" i="104"/>
  <c r="K39" i="98"/>
  <c r="K41" i="98"/>
  <c r="I178" i="108"/>
  <c r="I170" i="108"/>
  <c r="I293" i="108"/>
  <c r="I178" i="107"/>
  <c r="I170" i="107"/>
  <c r="I293" i="106"/>
  <c r="I170" i="106"/>
  <c r="I178" i="106"/>
  <c r="I293" i="107"/>
  <c r="I293" i="105"/>
  <c r="I170" i="105"/>
  <c r="I178" i="105"/>
  <c r="I170" i="104"/>
  <c r="I293" i="98"/>
  <c r="O293" i="98" s="1"/>
  <c r="I178" i="104"/>
  <c r="I293" i="104"/>
  <c r="I170" i="98"/>
  <c r="O170" i="98" s="1"/>
  <c r="I178" i="98"/>
  <c r="O178" i="98" s="1"/>
  <c r="J37" i="108"/>
  <c r="J41" i="108"/>
  <c r="J35" i="108"/>
  <c r="J36" i="108"/>
  <c r="J38" i="108"/>
  <c r="J39" i="108"/>
  <c r="J170" i="108"/>
  <c r="J178" i="108"/>
  <c r="J38" i="107"/>
  <c r="J35" i="107"/>
  <c r="J37" i="107"/>
  <c r="J36" i="107"/>
  <c r="J39" i="107"/>
  <c r="J41" i="107"/>
  <c r="J178" i="107"/>
  <c r="J293" i="107"/>
  <c r="J35" i="105"/>
  <c r="J39" i="105"/>
  <c r="J170" i="107"/>
  <c r="J38" i="106"/>
  <c r="J36" i="105"/>
  <c r="J293" i="108"/>
  <c r="J170" i="105"/>
  <c r="J36" i="106"/>
  <c r="J35" i="106"/>
  <c r="J37" i="106"/>
  <c r="J39" i="106"/>
  <c r="J41" i="106"/>
  <c r="J38" i="105"/>
  <c r="J37" i="105"/>
  <c r="J170" i="106"/>
  <c r="J41" i="105"/>
  <c r="J38" i="104"/>
  <c r="O38" i="104" s="1"/>
  <c r="J41" i="104"/>
  <c r="O41" i="104" s="1"/>
  <c r="J178" i="105"/>
  <c r="J293" i="105"/>
  <c r="J178" i="104"/>
  <c r="J178" i="106"/>
  <c r="J39" i="98"/>
  <c r="J178" i="98"/>
  <c r="J293" i="106"/>
  <c r="J38" i="98"/>
  <c r="J170" i="98"/>
  <c r="J36" i="104"/>
  <c r="O36" i="104" s="1"/>
  <c r="J293" i="98"/>
  <c r="J37" i="104"/>
  <c r="O37" i="104" s="1"/>
  <c r="J41" i="98"/>
  <c r="J39" i="104"/>
  <c r="O39" i="104" s="1"/>
  <c r="J170" i="104"/>
  <c r="J35" i="98"/>
  <c r="J36" i="98"/>
  <c r="J37" i="98"/>
  <c r="J35" i="104"/>
  <c r="O35" i="104" s="1"/>
  <c r="J293" i="104"/>
  <c r="J153" i="89"/>
  <c r="P153" i="89" s="1"/>
  <c r="Q153" i="89" s="1"/>
  <c r="J152" i="89"/>
  <c r="P152" i="89" s="1"/>
  <c r="Q152" i="89" s="1"/>
  <c r="B30" i="7"/>
  <c r="J160" i="89"/>
  <c r="P160" i="89" s="1"/>
  <c r="R160" i="89" s="1"/>
  <c r="K55" i="89"/>
  <c r="K153" i="89"/>
  <c r="K56" i="89"/>
  <c r="K152" i="89"/>
  <c r="K160" i="89"/>
  <c r="C30" i="7"/>
  <c r="L55" i="89"/>
  <c r="L153" i="89"/>
  <c r="L152" i="89"/>
  <c r="L56" i="89"/>
  <c r="L160" i="89"/>
  <c r="D30" i="7"/>
  <c r="K43" i="44"/>
  <c r="F352" i="98"/>
  <c r="F356" i="98" s="1"/>
  <c r="I272" i="100"/>
  <c r="I273" i="100"/>
  <c r="I274" i="100"/>
  <c r="I272" i="101"/>
  <c r="I273" i="101"/>
  <c r="I274" i="101"/>
  <c r="I272" i="102"/>
  <c r="I273" i="102"/>
  <c r="I274" i="102"/>
  <c r="I272" i="103"/>
  <c r="I273" i="103"/>
  <c r="I274" i="103"/>
  <c r="I272" i="99"/>
  <c r="I273" i="99"/>
  <c r="I274" i="99"/>
  <c r="B272" i="100"/>
  <c r="C272" i="100"/>
  <c r="D272" i="100"/>
  <c r="Q272" i="100" s="1"/>
  <c r="E272" i="100"/>
  <c r="F272" i="100"/>
  <c r="H272" i="100"/>
  <c r="B273" i="100"/>
  <c r="C273" i="100"/>
  <c r="D273" i="100"/>
  <c r="E273" i="100"/>
  <c r="F273" i="100"/>
  <c r="G273" i="100"/>
  <c r="H273" i="100"/>
  <c r="B274" i="100"/>
  <c r="C274" i="100"/>
  <c r="D274" i="100"/>
  <c r="E274" i="100"/>
  <c r="F274" i="100"/>
  <c r="G274" i="100"/>
  <c r="H274" i="100"/>
  <c r="B272" i="101"/>
  <c r="C272" i="101"/>
  <c r="D272" i="101"/>
  <c r="E272" i="101"/>
  <c r="F272" i="101"/>
  <c r="H272" i="101"/>
  <c r="B273" i="101"/>
  <c r="C273" i="101"/>
  <c r="D273" i="101"/>
  <c r="Q273" i="101" s="1"/>
  <c r="E273" i="101"/>
  <c r="F273" i="101"/>
  <c r="G273" i="101"/>
  <c r="H273" i="101"/>
  <c r="B274" i="101"/>
  <c r="C274" i="101"/>
  <c r="D274" i="101"/>
  <c r="Q274" i="101" s="1"/>
  <c r="E274" i="101"/>
  <c r="F274" i="101"/>
  <c r="G274" i="101"/>
  <c r="H274" i="101"/>
  <c r="B272" i="102"/>
  <c r="C272" i="102"/>
  <c r="D272" i="102"/>
  <c r="Q272" i="102" s="1"/>
  <c r="E272" i="102"/>
  <c r="F272" i="102"/>
  <c r="H272" i="102"/>
  <c r="B273" i="102"/>
  <c r="C273" i="102"/>
  <c r="D273" i="102"/>
  <c r="E273" i="102"/>
  <c r="F273" i="102"/>
  <c r="G273" i="102"/>
  <c r="H273" i="102"/>
  <c r="B274" i="102"/>
  <c r="C274" i="102"/>
  <c r="D274" i="102"/>
  <c r="E274" i="102"/>
  <c r="F274" i="102"/>
  <c r="G274" i="102"/>
  <c r="H274" i="102"/>
  <c r="B272" i="103"/>
  <c r="C272" i="103"/>
  <c r="D272" i="103"/>
  <c r="Q272" i="103" s="1"/>
  <c r="E272" i="103"/>
  <c r="F272" i="103"/>
  <c r="H272" i="103"/>
  <c r="B273" i="103"/>
  <c r="C273" i="103"/>
  <c r="D273" i="103"/>
  <c r="Q273" i="103" s="1"/>
  <c r="E273" i="103"/>
  <c r="F273" i="103"/>
  <c r="G273" i="103"/>
  <c r="H273" i="103"/>
  <c r="B274" i="103"/>
  <c r="C274" i="103"/>
  <c r="D274" i="103"/>
  <c r="Q274" i="103" s="1"/>
  <c r="E274" i="103"/>
  <c r="F274" i="103"/>
  <c r="G274" i="103"/>
  <c r="H274" i="103"/>
  <c r="B272" i="99"/>
  <c r="C272" i="99"/>
  <c r="D272" i="99"/>
  <c r="E272" i="99"/>
  <c r="F272" i="99"/>
  <c r="H272" i="99"/>
  <c r="B273" i="99"/>
  <c r="C273" i="99"/>
  <c r="D273" i="99"/>
  <c r="E273" i="99"/>
  <c r="F273" i="99"/>
  <c r="G273" i="99"/>
  <c r="H273" i="99"/>
  <c r="B274" i="99"/>
  <c r="C274" i="99"/>
  <c r="D274" i="99"/>
  <c r="Q274" i="99" s="1"/>
  <c r="E274" i="99"/>
  <c r="F274" i="99"/>
  <c r="G274" i="99"/>
  <c r="H274" i="99"/>
  <c r="A273" i="100"/>
  <c r="A274" i="100"/>
  <c r="A273" i="101"/>
  <c r="A274" i="101"/>
  <c r="A273" i="102"/>
  <c r="A274" i="102"/>
  <c r="A273" i="103"/>
  <c r="A274" i="103"/>
  <c r="A273" i="99"/>
  <c r="A274" i="99"/>
  <c r="A272" i="100"/>
  <c r="A272" i="101"/>
  <c r="A272" i="102"/>
  <c r="A272" i="103"/>
  <c r="A272" i="99"/>
  <c r="G272" i="89"/>
  <c r="G279" i="89" s="1"/>
  <c r="O35" i="105" l="1"/>
  <c r="T35" i="105" s="1"/>
  <c r="O293" i="105"/>
  <c r="T293" i="105" s="1"/>
  <c r="O41" i="105"/>
  <c r="S41" i="105" s="1"/>
  <c r="O38" i="105"/>
  <c r="U38" i="105" s="1"/>
  <c r="O36" i="105"/>
  <c r="S36" i="105" s="1"/>
  <c r="O170" i="104"/>
  <c r="S170" i="104" s="1"/>
  <c r="T41" i="104"/>
  <c r="S41" i="104"/>
  <c r="U41" i="104"/>
  <c r="O39" i="105"/>
  <c r="O178" i="105"/>
  <c r="T38" i="104"/>
  <c r="S38" i="104"/>
  <c r="U38" i="104"/>
  <c r="T178" i="98"/>
  <c r="S178" i="98"/>
  <c r="U178" i="98"/>
  <c r="O170" i="105"/>
  <c r="T170" i="98"/>
  <c r="S170" i="98"/>
  <c r="U170" i="98"/>
  <c r="T37" i="104"/>
  <c r="S37" i="104"/>
  <c r="U37" i="104"/>
  <c r="O37" i="105"/>
  <c r="O293" i="104"/>
  <c r="S39" i="104"/>
  <c r="T39" i="104"/>
  <c r="U39" i="104"/>
  <c r="S35" i="104"/>
  <c r="T35" i="104"/>
  <c r="U35" i="104"/>
  <c r="O178" i="104"/>
  <c r="S36" i="104"/>
  <c r="T36" i="104"/>
  <c r="U36" i="104"/>
  <c r="T293" i="98"/>
  <c r="U293" i="98"/>
  <c r="S293" i="98"/>
  <c r="T144" i="105"/>
  <c r="S144" i="105"/>
  <c r="U144" i="105"/>
  <c r="L272" i="100"/>
  <c r="M272" i="100"/>
  <c r="N272" i="100"/>
  <c r="J272" i="100"/>
  <c r="O272" i="100"/>
  <c r="P272" i="100"/>
  <c r="R272" i="100" s="1"/>
  <c r="K272" i="100"/>
  <c r="Q273" i="102"/>
  <c r="Q274" i="100"/>
  <c r="K272" i="102"/>
  <c r="L272" i="102"/>
  <c r="M272" i="102"/>
  <c r="N272" i="102"/>
  <c r="O272" i="102"/>
  <c r="P272" i="102"/>
  <c r="R272" i="102" s="1"/>
  <c r="J272" i="102"/>
  <c r="Q272" i="101"/>
  <c r="J273" i="99"/>
  <c r="M273" i="99"/>
  <c r="P273" i="99"/>
  <c r="R273" i="99" s="1"/>
  <c r="K273" i="99"/>
  <c r="N273" i="99"/>
  <c r="L273" i="99"/>
  <c r="J274" i="101"/>
  <c r="K274" i="101"/>
  <c r="N274" i="101"/>
  <c r="L274" i="101"/>
  <c r="M274" i="101"/>
  <c r="P274" i="101"/>
  <c r="R274" i="101" s="1"/>
  <c r="P272" i="99"/>
  <c r="R272" i="99" s="1"/>
  <c r="L272" i="99"/>
  <c r="M272" i="99"/>
  <c r="N272" i="99"/>
  <c r="J272" i="99"/>
  <c r="O272" i="99"/>
  <c r="K272" i="99"/>
  <c r="J273" i="101"/>
  <c r="K273" i="101"/>
  <c r="L273" i="101"/>
  <c r="M273" i="101"/>
  <c r="N273" i="101"/>
  <c r="P273" i="101"/>
  <c r="R273" i="101" s="1"/>
  <c r="K274" i="103"/>
  <c r="L274" i="103"/>
  <c r="M274" i="103"/>
  <c r="N274" i="103"/>
  <c r="J274" i="103"/>
  <c r="J272" i="101"/>
  <c r="K272" i="101"/>
  <c r="L272" i="101"/>
  <c r="P272" i="101"/>
  <c r="R272" i="101" s="1"/>
  <c r="O272" i="101"/>
  <c r="N272" i="101"/>
  <c r="M272" i="101"/>
  <c r="J274" i="102"/>
  <c r="K274" i="102"/>
  <c r="L274" i="102"/>
  <c r="P274" i="102"/>
  <c r="R274" i="102" s="1"/>
  <c r="M274" i="102"/>
  <c r="N274" i="102"/>
  <c r="Q273" i="99"/>
  <c r="Q273" i="100"/>
  <c r="J273" i="103"/>
  <c r="K273" i="103"/>
  <c r="L273" i="103"/>
  <c r="M273" i="103"/>
  <c r="N273" i="103"/>
  <c r="K274" i="100"/>
  <c r="L274" i="100"/>
  <c r="M274" i="100"/>
  <c r="N274" i="100"/>
  <c r="P274" i="100"/>
  <c r="R274" i="100" s="1"/>
  <c r="J274" i="100"/>
  <c r="K273" i="102"/>
  <c r="L273" i="102"/>
  <c r="M273" i="102"/>
  <c r="P273" i="102"/>
  <c r="R273" i="102" s="1"/>
  <c r="J273" i="102"/>
  <c r="N273" i="102"/>
  <c r="Q274" i="102"/>
  <c r="N274" i="99"/>
  <c r="K274" i="99"/>
  <c r="J274" i="99"/>
  <c r="P274" i="99"/>
  <c r="R274" i="99" s="1"/>
  <c r="M274" i="99"/>
  <c r="L274" i="99"/>
  <c r="Q272" i="99"/>
  <c r="J272" i="103"/>
  <c r="K272" i="103"/>
  <c r="L272" i="103"/>
  <c r="P272" i="103"/>
  <c r="R272" i="103" s="1"/>
  <c r="M272" i="103"/>
  <c r="N272" i="103"/>
  <c r="O272" i="103"/>
  <c r="L273" i="100"/>
  <c r="M273" i="100"/>
  <c r="N273" i="100"/>
  <c r="J273" i="100"/>
  <c r="K273" i="100"/>
  <c r="P273" i="100"/>
  <c r="R273" i="100" s="1"/>
  <c r="G272" i="103"/>
  <c r="G272" i="100"/>
  <c r="G272" i="99"/>
  <c r="G272" i="101"/>
  <c r="G272" i="102"/>
  <c r="U36" i="105" l="1"/>
  <c r="U35" i="105"/>
  <c r="S35" i="105"/>
  <c r="T36" i="105"/>
  <c r="T41" i="105"/>
  <c r="S293" i="105"/>
  <c r="T170" i="104"/>
  <c r="U41" i="105"/>
  <c r="U170" i="104"/>
  <c r="U293" i="105"/>
  <c r="T38" i="105"/>
  <c r="S38" i="105"/>
  <c r="S37" i="105"/>
  <c r="T37" i="105"/>
  <c r="U37" i="105"/>
  <c r="S178" i="104"/>
  <c r="T178" i="104"/>
  <c r="U178" i="104"/>
  <c r="T293" i="104"/>
  <c r="S293" i="104"/>
  <c r="U293" i="104"/>
  <c r="S178" i="105"/>
  <c r="T178" i="105"/>
  <c r="U178" i="105"/>
  <c r="T170" i="105"/>
  <c r="U170" i="105"/>
  <c r="S170" i="105"/>
  <c r="S39" i="105"/>
  <c r="U39" i="105"/>
  <c r="T39" i="105"/>
  <c r="C5" i="111" l="1"/>
  <c r="C5" i="113"/>
  <c r="C5" i="110"/>
  <c r="C5" i="112"/>
  <c r="C5" i="109"/>
  <c r="C21" i="111"/>
  <c r="C21" i="109"/>
  <c r="C21" i="37"/>
  <c r="V14" i="98" l="1"/>
  <c r="V15" i="98"/>
  <c r="V17" i="98"/>
  <c r="V20" i="98"/>
  <c r="V31" i="98"/>
  <c r="V33" i="98"/>
  <c r="V34" i="98"/>
  <c r="V152" i="98"/>
  <c r="V153" i="98"/>
  <c r="V155" i="98"/>
  <c r="V174" i="98"/>
  <c r="V201" i="98"/>
  <c r="V202" i="98"/>
  <c r="V281" i="98"/>
  <c r="B3" i="105"/>
  <c r="C3" i="105"/>
  <c r="E3" i="105"/>
  <c r="F3" i="105"/>
  <c r="G3" i="105"/>
  <c r="H3" i="105"/>
  <c r="B3" i="106"/>
  <c r="C3" i="106"/>
  <c r="E3" i="106"/>
  <c r="F3" i="106"/>
  <c r="G3" i="106"/>
  <c r="H3" i="106"/>
  <c r="B3" i="104"/>
  <c r="C3" i="104"/>
  <c r="E3" i="104"/>
  <c r="F3" i="104"/>
  <c r="G3" i="104"/>
  <c r="H3" i="104"/>
  <c r="A3" i="105"/>
  <c r="A3" i="106"/>
  <c r="A3" i="107"/>
  <c r="A3" i="108"/>
  <c r="A3" i="104"/>
  <c r="X338" i="98" l="1"/>
  <c r="Y338" i="98"/>
  <c r="V338" i="98"/>
  <c r="W338" i="98"/>
  <c r="X322" i="98"/>
  <c r="Y322" i="98"/>
  <c r="W322" i="98"/>
  <c r="V322" i="98"/>
  <c r="X298" i="98"/>
  <c r="V298" i="98"/>
  <c r="X269" i="98"/>
  <c r="W269" i="98"/>
  <c r="V269" i="98"/>
  <c r="Y269" i="98"/>
  <c r="X222" i="98"/>
  <c r="W222" i="98"/>
  <c r="Y222" i="98"/>
  <c r="V222" i="98"/>
  <c r="X196" i="98"/>
  <c r="V196" i="98"/>
  <c r="Y196" i="98"/>
  <c r="W196" i="98"/>
  <c r="X188" i="98"/>
  <c r="V188" i="98"/>
  <c r="Y188" i="98"/>
  <c r="W188" i="98"/>
  <c r="X159" i="98"/>
  <c r="Y159" i="98"/>
  <c r="V159" i="98"/>
  <c r="W159" i="98"/>
  <c r="W150" i="98"/>
  <c r="Y150" i="98"/>
  <c r="V150" i="98"/>
  <c r="X150" i="98"/>
  <c r="X134" i="98"/>
  <c r="W134" i="98"/>
  <c r="V134" i="98"/>
  <c r="Y134" i="98"/>
  <c r="Y102" i="98"/>
  <c r="W102" i="98"/>
  <c r="V102" i="98"/>
  <c r="X102" i="98"/>
  <c r="X337" i="98"/>
  <c r="W337" i="98"/>
  <c r="V337" i="98"/>
  <c r="Y337" i="98"/>
  <c r="X321" i="98"/>
  <c r="Y321" i="98"/>
  <c r="V321" i="98"/>
  <c r="W321" i="98"/>
  <c r="X305" i="98"/>
  <c r="Y305" i="98"/>
  <c r="W305" i="98"/>
  <c r="V305" i="98"/>
  <c r="X289" i="98"/>
  <c r="V289" i="98"/>
  <c r="W289" i="98"/>
  <c r="Y289" i="98"/>
  <c r="X262" i="98"/>
  <c r="W262" i="98"/>
  <c r="Y262" i="98"/>
  <c r="V262" i="98"/>
  <c r="Y229" i="98"/>
  <c r="V229" i="98"/>
  <c r="X229" i="98"/>
  <c r="W229" i="98"/>
  <c r="V221" i="98"/>
  <c r="Y221" i="98"/>
  <c r="X221" i="98"/>
  <c r="W221" i="98"/>
  <c r="X213" i="98"/>
  <c r="Y213" i="98"/>
  <c r="V213" i="98"/>
  <c r="W213" i="98"/>
  <c r="V204" i="98"/>
  <c r="V195" i="98"/>
  <c r="W195" i="98"/>
  <c r="Y195" i="98"/>
  <c r="X195" i="98"/>
  <c r="X187" i="98"/>
  <c r="Y187" i="98"/>
  <c r="V187" i="98"/>
  <c r="W187" i="98"/>
  <c r="X177" i="98"/>
  <c r="V177" i="98"/>
  <c r="X166" i="98"/>
  <c r="V166" i="98"/>
  <c r="X158" i="98"/>
  <c r="W158" i="98"/>
  <c r="V158" i="98"/>
  <c r="Y158" i="98"/>
  <c r="X149" i="98"/>
  <c r="W149" i="98"/>
  <c r="V149" i="98"/>
  <c r="Y149" i="98"/>
  <c r="X141" i="98"/>
  <c r="W141" i="98"/>
  <c r="Y141" i="98"/>
  <c r="V141" i="98"/>
  <c r="X133" i="98"/>
  <c r="W133" i="98"/>
  <c r="V133" i="98"/>
  <c r="Y133" i="98"/>
  <c r="X124" i="98"/>
  <c r="W124" i="98"/>
  <c r="V124" i="98"/>
  <c r="Y124" i="98"/>
  <c r="X114" i="98"/>
  <c r="W114" i="98"/>
  <c r="V114" i="98"/>
  <c r="Y114" i="98"/>
  <c r="V101" i="98"/>
  <c r="X101" i="98"/>
  <c r="Y101" i="98"/>
  <c r="W101" i="98"/>
  <c r="X87" i="98"/>
  <c r="W87" i="98"/>
  <c r="V87" i="98"/>
  <c r="Y87" i="98"/>
  <c r="X68" i="98"/>
  <c r="V68" i="98"/>
  <c r="W68" i="98"/>
  <c r="Y68" i="98"/>
  <c r="X50" i="98"/>
  <c r="V50" i="98"/>
  <c r="W50" i="98"/>
  <c r="Y50" i="98"/>
  <c r="X40" i="98"/>
  <c r="W40" i="98"/>
  <c r="V40" i="98"/>
  <c r="Y40" i="98"/>
  <c r="X32" i="98"/>
  <c r="V32" i="98"/>
  <c r="X24" i="98"/>
  <c r="V24" i="98"/>
  <c r="Y24" i="98"/>
  <c r="W24" i="98"/>
  <c r="X346" i="98"/>
  <c r="V346" i="98"/>
  <c r="Y346" i="98"/>
  <c r="W346" i="98"/>
  <c r="W238" i="98"/>
  <c r="Y238" i="98"/>
  <c r="V238" i="98"/>
  <c r="X238" i="98"/>
  <c r="X230" i="98"/>
  <c r="W230" i="98"/>
  <c r="V230" i="98"/>
  <c r="Y230" i="98"/>
  <c r="X214" i="98"/>
  <c r="Y214" i="98"/>
  <c r="V214" i="98"/>
  <c r="W214" i="98"/>
  <c r="X205" i="98"/>
  <c r="V205" i="98"/>
  <c r="X178" i="98"/>
  <c r="V178" i="98"/>
  <c r="Y178" i="98"/>
  <c r="W178" i="98"/>
  <c r="X167" i="98"/>
  <c r="V167" i="98"/>
  <c r="X142" i="98"/>
  <c r="V142" i="98"/>
  <c r="W142" i="98"/>
  <c r="Y142" i="98"/>
  <c r="X126" i="98"/>
  <c r="W126" i="98"/>
  <c r="V126" i="98"/>
  <c r="Y126" i="98"/>
  <c r="X115" i="98"/>
  <c r="W115" i="98"/>
  <c r="V115" i="98"/>
  <c r="Y115" i="98"/>
  <c r="X345" i="98"/>
  <c r="W345" i="98"/>
  <c r="V345" i="98"/>
  <c r="Y345" i="98"/>
  <c r="X329" i="98"/>
  <c r="V329" i="98"/>
  <c r="W329" i="98"/>
  <c r="Y329" i="98"/>
  <c r="W313" i="98"/>
  <c r="Y313" i="98"/>
  <c r="V313" i="98"/>
  <c r="X313" i="98"/>
  <c r="X297" i="98"/>
  <c r="V297" i="98"/>
  <c r="W297" i="98"/>
  <c r="Y297" i="98"/>
  <c r="W254" i="98"/>
  <c r="X254" i="98"/>
  <c r="V254" i="98"/>
  <c r="Y254" i="98"/>
  <c r="W246" i="98"/>
  <c r="Y246" i="98"/>
  <c r="V246" i="98"/>
  <c r="X246" i="98"/>
  <c r="X237" i="98"/>
  <c r="V237" i="98"/>
  <c r="W237" i="98"/>
  <c r="Y237" i="98"/>
  <c r="X344" i="98"/>
  <c r="V344" i="98"/>
  <c r="Y344" i="98"/>
  <c r="W344" i="98"/>
  <c r="X336" i="98"/>
  <c r="W336" i="98"/>
  <c r="Y336" i="98"/>
  <c r="V336" i="98"/>
  <c r="X328" i="98"/>
  <c r="W328" i="98"/>
  <c r="V328" i="98"/>
  <c r="Y328" i="98"/>
  <c r="X320" i="98"/>
  <c r="V320" i="98"/>
  <c r="Y320" i="98"/>
  <c r="W320" i="98"/>
  <c r="X312" i="98"/>
  <c r="V312" i="98"/>
  <c r="Y312" i="98"/>
  <c r="W312" i="98"/>
  <c r="X304" i="98"/>
  <c r="V304" i="98"/>
  <c r="Y304" i="98"/>
  <c r="W304" i="98"/>
  <c r="X296" i="98"/>
  <c r="V296" i="98"/>
  <c r="Y296" i="98"/>
  <c r="W296" i="98"/>
  <c r="X288" i="98"/>
  <c r="V288" i="98"/>
  <c r="W288" i="98"/>
  <c r="Y288" i="98"/>
  <c r="X277" i="98"/>
  <c r="V277" i="98"/>
  <c r="W277" i="98"/>
  <c r="Y277" i="98"/>
  <c r="Y261" i="98"/>
  <c r="V261" i="98"/>
  <c r="W261" i="98"/>
  <c r="X261" i="98"/>
  <c r="X253" i="98"/>
  <c r="W253" i="98"/>
  <c r="V253" i="98"/>
  <c r="Y253" i="98"/>
  <c r="X245" i="98"/>
  <c r="Y245" i="98"/>
  <c r="W245" i="98"/>
  <c r="V245" i="98"/>
  <c r="V236" i="98"/>
  <c r="X236" i="98"/>
  <c r="Y236" i="98"/>
  <c r="W236" i="98"/>
  <c r="X228" i="98"/>
  <c r="Y228" i="98"/>
  <c r="V228" i="98"/>
  <c r="W228" i="98"/>
  <c r="X220" i="98"/>
  <c r="Y220" i="98"/>
  <c r="V220" i="98"/>
  <c r="W220" i="98"/>
  <c r="X212" i="98"/>
  <c r="V212" i="98"/>
  <c r="W212" i="98"/>
  <c r="Y212" i="98"/>
  <c r="X203" i="98"/>
  <c r="V203" i="98"/>
  <c r="Y194" i="98"/>
  <c r="V194" i="98"/>
  <c r="W194" i="98"/>
  <c r="X194" i="98"/>
  <c r="W186" i="98"/>
  <c r="Y186" i="98"/>
  <c r="V186" i="98"/>
  <c r="X186" i="98"/>
  <c r="X176" i="98"/>
  <c r="X165" i="98"/>
  <c r="V165" i="98"/>
  <c r="X157" i="98"/>
  <c r="Y157" i="98"/>
  <c r="W157" i="98"/>
  <c r="V157" i="98"/>
  <c r="X148" i="98"/>
  <c r="V148" i="98"/>
  <c r="Y148" i="98"/>
  <c r="W148" i="98"/>
  <c r="X140" i="98"/>
  <c r="Y140" i="98"/>
  <c r="W140" i="98"/>
  <c r="V140" i="98"/>
  <c r="X132" i="98"/>
  <c r="W132" i="98"/>
  <c r="V132" i="98"/>
  <c r="Y132" i="98"/>
  <c r="W123" i="98"/>
  <c r="Y123" i="98"/>
  <c r="V123" i="98"/>
  <c r="X123" i="98"/>
  <c r="X113" i="98"/>
  <c r="W113" i="98"/>
  <c r="V113" i="98"/>
  <c r="Y113" i="98"/>
  <c r="X100" i="98"/>
  <c r="V100" i="98"/>
  <c r="W100" i="98"/>
  <c r="Y100" i="98"/>
  <c r="X86" i="98"/>
  <c r="Y86" i="98"/>
  <c r="W86" i="98"/>
  <c r="V86" i="98"/>
  <c r="X61" i="98"/>
  <c r="W61" i="98"/>
  <c r="V61" i="98"/>
  <c r="Y61" i="98"/>
  <c r="X49" i="98"/>
  <c r="W49" i="98"/>
  <c r="V49" i="98"/>
  <c r="Y49" i="98"/>
  <c r="X39" i="98"/>
  <c r="Y39" i="98"/>
  <c r="V39" i="98"/>
  <c r="W39" i="98"/>
  <c r="X23" i="98"/>
  <c r="Y23" i="98"/>
  <c r="V23" i="98"/>
  <c r="W23" i="98"/>
  <c r="X12" i="98"/>
  <c r="Y12" i="98"/>
  <c r="W12" i="98"/>
  <c r="V12" i="98"/>
  <c r="X330" i="98"/>
  <c r="V330" i="98"/>
  <c r="W330" i="98"/>
  <c r="Y330" i="98"/>
  <c r="X290" i="98"/>
  <c r="V290" i="98"/>
  <c r="W290" i="98"/>
  <c r="Y290" i="98"/>
  <c r="Y255" i="98"/>
  <c r="V255" i="98"/>
  <c r="W255" i="98"/>
  <c r="X255" i="98"/>
  <c r="X327" i="98"/>
  <c r="V327" i="98"/>
  <c r="W327" i="98"/>
  <c r="Y327" i="98"/>
  <c r="X311" i="98"/>
  <c r="V311" i="98"/>
  <c r="X303" i="98"/>
  <c r="V303" i="98"/>
  <c r="X295" i="98"/>
  <c r="V295" i="98"/>
  <c r="W295" i="98"/>
  <c r="Y295" i="98"/>
  <c r="X252" i="98"/>
  <c r="W252" i="98"/>
  <c r="V252" i="98"/>
  <c r="Y252" i="98"/>
  <c r="X219" i="98"/>
  <c r="W219" i="98"/>
  <c r="Y219" i="98"/>
  <c r="V219" i="98"/>
  <c r="X185" i="98"/>
  <c r="Y185" i="98"/>
  <c r="V185" i="98"/>
  <c r="W185" i="98"/>
  <c r="V164" i="98"/>
  <c r="Y139" i="98"/>
  <c r="W139" i="98"/>
  <c r="V139" i="98"/>
  <c r="X139" i="98"/>
  <c r="X131" i="98"/>
  <c r="Y131" i="98"/>
  <c r="V131" i="98"/>
  <c r="W131" i="98"/>
  <c r="X112" i="98"/>
  <c r="V112" i="98"/>
  <c r="Y112" i="98"/>
  <c r="W112" i="98"/>
  <c r="X82" i="98"/>
  <c r="V82" i="98"/>
  <c r="W82" i="98"/>
  <c r="Y82" i="98"/>
  <c r="W48" i="98"/>
  <c r="Y48" i="98"/>
  <c r="V48" i="98"/>
  <c r="X48" i="98"/>
  <c r="W22" i="98"/>
  <c r="V22" i="98"/>
  <c r="Y22" i="98"/>
  <c r="X22" i="98"/>
  <c r="V334" i="98"/>
  <c r="W334" i="98"/>
  <c r="X334" i="98"/>
  <c r="Y334" i="98"/>
  <c r="X326" i="98"/>
  <c r="V326" i="98"/>
  <c r="W326" i="98"/>
  <c r="Y326" i="98"/>
  <c r="X310" i="98"/>
  <c r="W310" i="98"/>
  <c r="V310" i="98"/>
  <c r="Y310" i="98"/>
  <c r="X294" i="98"/>
  <c r="W294" i="98"/>
  <c r="Y294" i="98"/>
  <c r="V294" i="98"/>
  <c r="X273" i="98"/>
  <c r="V273" i="98"/>
  <c r="X242" i="98"/>
  <c r="V242" i="98"/>
  <c r="X218" i="98"/>
  <c r="W218" i="98"/>
  <c r="Y218" i="98"/>
  <c r="V218" i="98"/>
  <c r="X210" i="98"/>
  <c r="V210" i="98"/>
  <c r="W210" i="98"/>
  <c r="Y210" i="98"/>
  <c r="X184" i="98"/>
  <c r="V184" i="98"/>
  <c r="X163" i="98"/>
  <c r="V163" i="98"/>
  <c r="W163" i="98"/>
  <c r="Y163" i="98"/>
  <c r="X146" i="98"/>
  <c r="V146" i="98"/>
  <c r="W146" i="98"/>
  <c r="Y146" i="98"/>
  <c r="X138" i="98"/>
  <c r="V138" i="98"/>
  <c r="W138" i="98"/>
  <c r="Y138" i="98"/>
  <c r="V130" i="98"/>
  <c r="W130" i="98"/>
  <c r="X130" i="98"/>
  <c r="Y130" i="98"/>
  <c r="X119" i="98"/>
  <c r="Y119" i="98"/>
  <c r="V119" i="98"/>
  <c r="W119" i="98"/>
  <c r="X111" i="98"/>
  <c r="W111" i="98"/>
  <c r="Y111" i="98"/>
  <c r="V111" i="98"/>
  <c r="V97" i="98"/>
  <c r="Y97" i="98"/>
  <c r="W97" i="98"/>
  <c r="X97" i="98"/>
  <c r="X81" i="98"/>
  <c r="Y81" i="98"/>
  <c r="W81" i="98"/>
  <c r="V81" i="98"/>
  <c r="X58" i="98"/>
  <c r="V58" i="98"/>
  <c r="W58" i="98"/>
  <c r="Y58" i="98"/>
  <c r="X47" i="98"/>
  <c r="Y47" i="98"/>
  <c r="W47" i="98"/>
  <c r="V47" i="98"/>
  <c r="X37" i="98"/>
  <c r="V37" i="98"/>
  <c r="W37" i="98"/>
  <c r="Y37" i="98"/>
  <c r="X29" i="98"/>
  <c r="V29" i="98"/>
  <c r="X21" i="98"/>
  <c r="Y21" i="98"/>
  <c r="V21" i="98"/>
  <c r="W21" i="98"/>
  <c r="Y9" i="98"/>
  <c r="W9" i="98"/>
  <c r="V9" i="98"/>
  <c r="X9" i="98"/>
  <c r="X349" i="98"/>
  <c r="Y349" i="98"/>
  <c r="V349" i="98"/>
  <c r="W349" i="98"/>
  <c r="X341" i="98"/>
  <c r="V341" i="98"/>
  <c r="Y341" i="98"/>
  <c r="W341" i="98"/>
  <c r="X333" i="98"/>
  <c r="V333" i="98"/>
  <c r="W333" i="98"/>
  <c r="Y333" i="98"/>
  <c r="X325" i="98"/>
  <c r="Y325" i="98"/>
  <c r="W325" i="98"/>
  <c r="V325" i="98"/>
  <c r="X317" i="98"/>
  <c r="V317" i="98"/>
  <c r="Y317" i="98"/>
  <c r="W317" i="98"/>
  <c r="X309" i="98"/>
  <c r="V309" i="98"/>
  <c r="X301" i="98"/>
  <c r="Y301" i="98"/>
  <c r="V301" i="98"/>
  <c r="W301" i="98"/>
  <c r="X293" i="98"/>
  <c r="V293" i="98"/>
  <c r="W293" i="98"/>
  <c r="Y293" i="98"/>
  <c r="X285" i="98"/>
  <c r="W285" i="98"/>
  <c r="V285" i="98"/>
  <c r="Y285" i="98"/>
  <c r="X272" i="98"/>
  <c r="V272" i="98"/>
  <c r="X258" i="98"/>
  <c r="V258" i="98"/>
  <c r="V250" i="98"/>
  <c r="Y250" i="98"/>
  <c r="W250" i="98"/>
  <c r="X250" i="98"/>
  <c r="X241" i="98"/>
  <c r="V241" i="98"/>
  <c r="X233" i="98"/>
  <c r="V233" i="98"/>
  <c r="W233" i="98"/>
  <c r="Y233" i="98"/>
  <c r="X225" i="98"/>
  <c r="V225" i="98"/>
  <c r="W225" i="98"/>
  <c r="Y225" i="98"/>
  <c r="X217" i="98"/>
  <c r="W217" i="98"/>
  <c r="Y217" i="98"/>
  <c r="V217" i="98"/>
  <c r="X208" i="98"/>
  <c r="V208" i="98"/>
  <c r="Y208" i="98"/>
  <c r="W208" i="98"/>
  <c r="X199" i="98"/>
  <c r="V199" i="98"/>
  <c r="W191" i="98"/>
  <c r="V191" i="98"/>
  <c r="Y191" i="98"/>
  <c r="X191" i="98"/>
  <c r="X183" i="98"/>
  <c r="X173" i="98"/>
  <c r="V173" i="98"/>
  <c r="X162" i="98"/>
  <c r="W162" i="98"/>
  <c r="V162" i="98"/>
  <c r="Y162" i="98"/>
  <c r="X154" i="98"/>
  <c r="V154" i="98"/>
  <c r="W145" i="98"/>
  <c r="Y145" i="98"/>
  <c r="V145" i="98"/>
  <c r="X145" i="98"/>
  <c r="X137" i="98"/>
  <c r="W137" i="98"/>
  <c r="V137" i="98"/>
  <c r="Y137" i="98"/>
  <c r="V129" i="98"/>
  <c r="Y129" i="98"/>
  <c r="W129" i="98"/>
  <c r="X129" i="98"/>
  <c r="X118" i="98"/>
  <c r="W118" i="98"/>
  <c r="V118" i="98"/>
  <c r="Y118" i="98"/>
  <c r="X106" i="98"/>
  <c r="W106" i="98"/>
  <c r="V106" i="98"/>
  <c r="Y106" i="98"/>
  <c r="X93" i="98"/>
  <c r="V93" i="98"/>
  <c r="Y93" i="98"/>
  <c r="W93" i="98"/>
  <c r="X80" i="98"/>
  <c r="W80" i="98"/>
  <c r="V80" i="98"/>
  <c r="Y80" i="98"/>
  <c r="X57" i="98"/>
  <c r="Y57" i="98"/>
  <c r="W57" i="98"/>
  <c r="V57" i="98"/>
  <c r="X46" i="98"/>
  <c r="V46" i="98"/>
  <c r="Y46" i="98"/>
  <c r="W46" i="98"/>
  <c r="X36" i="98"/>
  <c r="W36" i="98"/>
  <c r="V36" i="98"/>
  <c r="Y36" i="98"/>
  <c r="X28" i="98"/>
  <c r="V28" i="98"/>
  <c r="X8" i="98"/>
  <c r="Y8" i="98"/>
  <c r="W8" i="98"/>
  <c r="V8" i="98"/>
  <c r="X314" i="98"/>
  <c r="W314" i="98"/>
  <c r="V314" i="98"/>
  <c r="Y314" i="98"/>
  <c r="V282" i="98"/>
  <c r="Y282" i="98"/>
  <c r="W282" i="98"/>
  <c r="X282" i="98"/>
  <c r="X351" i="98"/>
  <c r="W351" i="98"/>
  <c r="V351" i="98"/>
  <c r="Y351" i="98"/>
  <c r="X335" i="98"/>
  <c r="V335" i="98"/>
  <c r="Y335" i="98"/>
  <c r="W335" i="98"/>
  <c r="X274" i="98"/>
  <c r="W274" i="98"/>
  <c r="V274" i="98"/>
  <c r="Y274" i="98"/>
  <c r="X235" i="98"/>
  <c r="V235" i="98"/>
  <c r="W235" i="98"/>
  <c r="Y235" i="98"/>
  <c r="X175" i="98"/>
  <c r="V175" i="98"/>
  <c r="Y156" i="98"/>
  <c r="V156" i="98"/>
  <c r="W156" i="98"/>
  <c r="X156" i="98"/>
  <c r="X122" i="98"/>
  <c r="Y122" i="98"/>
  <c r="V122" i="98"/>
  <c r="W122" i="98"/>
  <c r="Y60" i="98"/>
  <c r="W60" i="98"/>
  <c r="V60" i="98"/>
  <c r="X60" i="98"/>
  <c r="X38" i="98"/>
  <c r="W38" i="98"/>
  <c r="Y38" i="98"/>
  <c r="V38" i="98"/>
  <c r="X11" i="98"/>
  <c r="V11" i="98"/>
  <c r="W11" i="98"/>
  <c r="Y11" i="98"/>
  <c r="X342" i="98"/>
  <c r="Y342" i="98"/>
  <c r="V342" i="98"/>
  <c r="W342" i="98"/>
  <c r="X302" i="98"/>
  <c r="V302" i="98"/>
  <c r="Y302" i="98"/>
  <c r="W302" i="98"/>
  <c r="X234" i="98"/>
  <c r="V234" i="98"/>
  <c r="W234" i="98"/>
  <c r="Y234" i="98"/>
  <c r="V226" i="98"/>
  <c r="W226" i="98"/>
  <c r="Y226" i="98"/>
  <c r="X226" i="98"/>
  <c r="X340" i="98"/>
  <c r="V340" i="98"/>
  <c r="W340" i="98"/>
  <c r="Y340" i="98"/>
  <c r="X332" i="98"/>
  <c r="Y332" i="98"/>
  <c r="V332" i="98"/>
  <c r="W332" i="98"/>
  <c r="X316" i="98"/>
  <c r="Y316" i="98"/>
  <c r="W316" i="98"/>
  <c r="V316" i="98"/>
  <c r="X308" i="98"/>
  <c r="V308" i="98"/>
  <c r="X271" i="98"/>
  <c r="V271" i="98"/>
  <c r="W271" i="98"/>
  <c r="Y271" i="98"/>
  <c r="X249" i="98"/>
  <c r="V249" i="98"/>
  <c r="W249" i="98"/>
  <c r="Y249" i="98"/>
  <c r="X216" i="98"/>
  <c r="Y216" i="98"/>
  <c r="W216" i="98"/>
  <c r="V216" i="98"/>
  <c r="X198" i="98"/>
  <c r="V198" i="98"/>
  <c r="X182" i="98"/>
  <c r="X144" i="98"/>
  <c r="W144" i="98"/>
  <c r="Y144" i="98"/>
  <c r="V144" i="98"/>
  <c r="X136" i="98"/>
  <c r="W136" i="98"/>
  <c r="V136" i="98"/>
  <c r="Y136" i="98"/>
  <c r="X128" i="98"/>
  <c r="Y128" i="98"/>
  <c r="W128" i="98"/>
  <c r="V128" i="98"/>
  <c r="X117" i="98"/>
  <c r="W117" i="98"/>
  <c r="V117" i="98"/>
  <c r="Y117" i="98"/>
  <c r="X105" i="98"/>
  <c r="W105" i="98"/>
  <c r="V105" i="98"/>
  <c r="Y105" i="98"/>
  <c r="X92" i="98"/>
  <c r="W92" i="98"/>
  <c r="V92" i="98"/>
  <c r="Y92" i="98"/>
  <c r="X79" i="98"/>
  <c r="W79" i="98"/>
  <c r="V79" i="98"/>
  <c r="Y79" i="98"/>
  <c r="Y56" i="98"/>
  <c r="W56" i="98"/>
  <c r="V56" i="98"/>
  <c r="X56" i="98"/>
  <c r="W45" i="98"/>
  <c r="Y45" i="98"/>
  <c r="V45" i="98"/>
  <c r="X45" i="98"/>
  <c r="X35" i="98"/>
  <c r="W35" i="98"/>
  <c r="Y35" i="98"/>
  <c r="V35" i="98"/>
  <c r="X27" i="98"/>
  <c r="V27" i="98"/>
  <c r="X18" i="98"/>
  <c r="V18" i="98"/>
  <c r="X7" i="98"/>
  <c r="Y7" i="98"/>
  <c r="W7" i="98"/>
  <c r="V7" i="98"/>
  <c r="X306" i="98"/>
  <c r="W306" i="98"/>
  <c r="V306" i="98"/>
  <c r="Y306" i="98"/>
  <c r="Y247" i="98"/>
  <c r="V247" i="98"/>
  <c r="W247" i="98"/>
  <c r="X247" i="98"/>
  <c r="X343" i="98"/>
  <c r="V343" i="98"/>
  <c r="W343" i="98"/>
  <c r="Y343" i="98"/>
  <c r="X319" i="98"/>
  <c r="V319" i="98"/>
  <c r="W319" i="98"/>
  <c r="Y319" i="98"/>
  <c r="X287" i="98"/>
  <c r="V287" i="98"/>
  <c r="W287" i="98"/>
  <c r="Y287" i="98"/>
  <c r="V260" i="98"/>
  <c r="Y260" i="98"/>
  <c r="W260" i="98"/>
  <c r="X260" i="98"/>
  <c r="X243" i="98"/>
  <c r="X227" i="98"/>
  <c r="V227" i="98"/>
  <c r="W227" i="98"/>
  <c r="Y227" i="98"/>
  <c r="X211" i="98"/>
  <c r="V211" i="98"/>
  <c r="W211" i="98"/>
  <c r="Y211" i="98"/>
  <c r="X193" i="98"/>
  <c r="V193" i="98"/>
  <c r="Y193" i="98"/>
  <c r="W193" i="98"/>
  <c r="X147" i="98"/>
  <c r="W147" i="98"/>
  <c r="V147" i="98"/>
  <c r="Y147" i="98"/>
  <c r="X99" i="98"/>
  <c r="V99" i="98"/>
  <c r="W99" i="98"/>
  <c r="Y99" i="98"/>
  <c r="X30" i="98"/>
  <c r="V30" i="98"/>
  <c r="X350" i="98"/>
  <c r="V350" i="98"/>
  <c r="Y350" i="98"/>
  <c r="W350" i="98"/>
  <c r="X318" i="98"/>
  <c r="V318" i="98"/>
  <c r="W318" i="98"/>
  <c r="Y318" i="98"/>
  <c r="X286" i="98"/>
  <c r="V286" i="98"/>
  <c r="Y286" i="98"/>
  <c r="W286" i="98"/>
  <c r="V259" i="98"/>
  <c r="W259" i="98"/>
  <c r="X259" i="98"/>
  <c r="Y259" i="98"/>
  <c r="Y251" i="98"/>
  <c r="W251" i="98"/>
  <c r="V251" i="98"/>
  <c r="X251" i="98"/>
  <c r="X192" i="98"/>
  <c r="W192" i="98"/>
  <c r="Y192" i="98"/>
  <c r="V192" i="98"/>
  <c r="X348" i="98"/>
  <c r="V348" i="98"/>
  <c r="W348" i="98"/>
  <c r="Y348" i="98"/>
  <c r="X324" i="98"/>
  <c r="V324" i="98"/>
  <c r="W324" i="98"/>
  <c r="Y324" i="98"/>
  <c r="X300" i="98"/>
  <c r="V300" i="98"/>
  <c r="Y300" i="98"/>
  <c r="W300" i="98"/>
  <c r="X292" i="98"/>
  <c r="V292" i="98"/>
  <c r="Y292" i="98"/>
  <c r="W292" i="98"/>
  <c r="X284" i="98"/>
  <c r="V284" i="98"/>
  <c r="Y284" i="98"/>
  <c r="W284" i="98"/>
  <c r="X257" i="98"/>
  <c r="V257" i="98"/>
  <c r="W257" i="98"/>
  <c r="Y257" i="98"/>
  <c r="Y240" i="98"/>
  <c r="W240" i="98"/>
  <c r="V240" i="98"/>
  <c r="X240" i="98"/>
  <c r="V232" i="98"/>
  <c r="Y232" i="98"/>
  <c r="X232" i="98"/>
  <c r="W232" i="98"/>
  <c r="X224" i="98"/>
  <c r="W224" i="98"/>
  <c r="V224" i="98"/>
  <c r="Y224" i="98"/>
  <c r="X207" i="98"/>
  <c r="V207" i="98"/>
  <c r="W207" i="98"/>
  <c r="Y207" i="98"/>
  <c r="X190" i="98"/>
  <c r="W190" i="98"/>
  <c r="V190" i="98"/>
  <c r="Y190" i="98"/>
  <c r="X172" i="98"/>
  <c r="V172" i="98"/>
  <c r="X161" i="98"/>
  <c r="W161" i="98"/>
  <c r="V161" i="98"/>
  <c r="Y161" i="98"/>
  <c r="X347" i="98"/>
  <c r="Y347" i="98"/>
  <c r="V347" i="98"/>
  <c r="W347" i="98"/>
  <c r="X339" i="98"/>
  <c r="V339" i="98"/>
  <c r="Y339" i="98"/>
  <c r="W339" i="98"/>
  <c r="X331" i="98"/>
  <c r="W331" i="98"/>
  <c r="Y331" i="98"/>
  <c r="V331" i="98"/>
  <c r="X323" i="98"/>
  <c r="Y323" i="98"/>
  <c r="W323" i="98"/>
  <c r="V323" i="98"/>
  <c r="X315" i="98"/>
  <c r="W315" i="98"/>
  <c r="V315" i="98"/>
  <c r="Y315" i="98"/>
  <c r="X307" i="98"/>
  <c r="V307" i="98"/>
  <c r="X299" i="98"/>
  <c r="W299" i="98"/>
  <c r="V299" i="98"/>
  <c r="Y299" i="98"/>
  <c r="X291" i="98"/>
  <c r="W291" i="98"/>
  <c r="V291" i="98"/>
  <c r="Y291" i="98"/>
  <c r="X283" i="98"/>
  <c r="V283" i="98"/>
  <c r="X270" i="98"/>
  <c r="W270" i="98"/>
  <c r="Y270" i="98"/>
  <c r="V270" i="98"/>
  <c r="X256" i="98"/>
  <c r="V256" i="98"/>
  <c r="W256" i="98"/>
  <c r="Y256" i="98"/>
  <c r="Y248" i="98"/>
  <c r="W248" i="98"/>
  <c r="V248" i="98"/>
  <c r="X248" i="98"/>
  <c r="Y239" i="98"/>
  <c r="W239" i="98"/>
  <c r="V239" i="98"/>
  <c r="X239" i="98"/>
  <c r="X231" i="98"/>
  <c r="V231" i="98"/>
  <c r="Y231" i="98"/>
  <c r="W231" i="98"/>
  <c r="X223" i="98"/>
  <c r="W223" i="98"/>
  <c r="V223" i="98"/>
  <c r="Y223" i="98"/>
  <c r="X215" i="98"/>
  <c r="V215" i="98"/>
  <c r="Y215" i="98"/>
  <c r="W215" i="98"/>
  <c r="X206" i="98"/>
  <c r="V206" i="98"/>
  <c r="X197" i="98"/>
  <c r="V197" i="98"/>
  <c r="X189" i="98"/>
  <c r="W189" i="98"/>
  <c r="V189" i="98"/>
  <c r="Y189" i="98"/>
  <c r="X179" i="98"/>
  <c r="V179" i="98"/>
  <c r="X170" i="98"/>
  <c r="V170" i="98"/>
  <c r="Y170" i="98"/>
  <c r="W170" i="98"/>
  <c r="Y160" i="98"/>
  <c r="W160" i="98"/>
  <c r="V160" i="98"/>
  <c r="X160" i="98"/>
  <c r="X143" i="98"/>
  <c r="W143" i="98"/>
  <c r="Y143" i="98"/>
  <c r="V143" i="98"/>
  <c r="X135" i="98"/>
  <c r="W135" i="98"/>
  <c r="Y135" i="98"/>
  <c r="V135" i="98"/>
  <c r="Y127" i="98"/>
  <c r="V127" i="98"/>
  <c r="W127" i="98"/>
  <c r="X127" i="98"/>
  <c r="X116" i="98"/>
  <c r="V116" i="98"/>
  <c r="W116" i="98"/>
  <c r="Y116" i="98"/>
  <c r="X104" i="98"/>
  <c r="W104" i="98"/>
  <c r="V104" i="98"/>
  <c r="Y104" i="98"/>
  <c r="V91" i="98"/>
  <c r="W91" i="98"/>
  <c r="X91" i="98"/>
  <c r="Y91" i="98"/>
  <c r="X75" i="98"/>
  <c r="W75" i="98"/>
  <c r="V75" i="98"/>
  <c r="Y75" i="98"/>
  <c r="X55" i="98"/>
  <c r="W55" i="98"/>
  <c r="V55" i="98"/>
  <c r="Y55" i="98"/>
  <c r="W44" i="98"/>
  <c r="Y44" i="98"/>
  <c r="X44" i="98"/>
  <c r="V44" i="98"/>
  <c r="X26" i="98"/>
  <c r="V26" i="98"/>
  <c r="W26" i="98"/>
  <c r="Y26" i="98"/>
  <c r="X6" i="98"/>
  <c r="V6" i="98"/>
  <c r="W6" i="98"/>
  <c r="Y6" i="98"/>
  <c r="X88" i="98"/>
  <c r="V88" i="98"/>
  <c r="Y88" i="98"/>
  <c r="W88" i="98"/>
  <c r="X72" i="98"/>
  <c r="Y72" i="98"/>
  <c r="W72" i="98"/>
  <c r="V72" i="98"/>
  <c r="V51" i="98"/>
  <c r="Y51" i="98"/>
  <c r="W51" i="98"/>
  <c r="X51" i="98"/>
  <c r="X42" i="98"/>
  <c r="V42" i="98"/>
  <c r="Y42" i="98"/>
  <c r="W42" i="98"/>
  <c r="X25" i="98"/>
  <c r="Y25" i="98"/>
  <c r="V25" i="98"/>
  <c r="W25" i="98"/>
  <c r="V5" i="98"/>
  <c r="X5" i="98"/>
  <c r="W5" i="98"/>
  <c r="Y5" i="98"/>
  <c r="D337" i="108"/>
  <c r="D337" i="107"/>
  <c r="D321" i="108"/>
  <c r="D321" i="107"/>
  <c r="D229" i="108"/>
  <c r="V229" i="108" s="1"/>
  <c r="D229" i="107"/>
  <c r="V229" i="107" s="1"/>
  <c r="D195" i="107"/>
  <c r="V195" i="107" s="1"/>
  <c r="D195" i="108"/>
  <c r="V195" i="108" s="1"/>
  <c r="D50" i="107"/>
  <c r="D50" i="108"/>
  <c r="D24" i="108"/>
  <c r="D24" i="107"/>
  <c r="D14" i="108"/>
  <c r="V14" i="108" s="1"/>
  <c r="D14" i="107"/>
  <c r="V14" i="107" s="1"/>
  <c r="D312" i="108"/>
  <c r="D312" i="107"/>
  <c r="D186" i="107"/>
  <c r="V186" i="107" s="1"/>
  <c r="D186" i="108"/>
  <c r="V186" i="108" s="1"/>
  <c r="D132" i="108"/>
  <c r="D132" i="107"/>
  <c r="D100" i="108"/>
  <c r="V100" i="108" s="1"/>
  <c r="D100" i="107"/>
  <c r="V100" i="107" s="1"/>
  <c r="D311" i="108"/>
  <c r="D311" i="107"/>
  <c r="D303" i="108"/>
  <c r="D303" i="107"/>
  <c r="D252" i="108"/>
  <c r="D252" i="107"/>
  <c r="D193" i="108"/>
  <c r="D193" i="107"/>
  <c r="D164" i="108"/>
  <c r="V164" i="108" s="1"/>
  <c r="D164" i="107"/>
  <c r="V164" i="107" s="1"/>
  <c r="D122" i="107"/>
  <c r="D122" i="108"/>
  <c r="D30" i="108"/>
  <c r="D30" i="107"/>
  <c r="D326" i="108"/>
  <c r="D326" i="107"/>
  <c r="D286" i="108"/>
  <c r="D286" i="107"/>
  <c r="D242" i="107"/>
  <c r="D242" i="108"/>
  <c r="D218" i="107"/>
  <c r="D218" i="108"/>
  <c r="X218" i="108" s="1"/>
  <c r="D210" i="107"/>
  <c r="D210" i="108"/>
  <c r="D201" i="108"/>
  <c r="V201" i="108" s="1"/>
  <c r="D201" i="107"/>
  <c r="V201" i="107" s="1"/>
  <c r="D192" i="108"/>
  <c r="D192" i="107"/>
  <c r="D184" i="108"/>
  <c r="D184" i="107"/>
  <c r="D174" i="108"/>
  <c r="V174" i="108" s="1"/>
  <c r="D174" i="107"/>
  <c r="V174" i="107" s="1"/>
  <c r="D163" i="107"/>
  <c r="D163" i="108"/>
  <c r="D155" i="107"/>
  <c r="V155" i="107" s="1"/>
  <c r="D155" i="108"/>
  <c r="V155" i="108" s="1"/>
  <c r="D146" i="107"/>
  <c r="D146" i="108"/>
  <c r="D138" i="108"/>
  <c r="D138" i="107"/>
  <c r="D130" i="107"/>
  <c r="V130" i="107" s="1"/>
  <c r="D130" i="108"/>
  <c r="V130" i="108" s="1"/>
  <c r="D119" i="108"/>
  <c r="D119" i="107"/>
  <c r="D111" i="108"/>
  <c r="D111" i="107"/>
  <c r="D97" i="108"/>
  <c r="V97" i="108" s="1"/>
  <c r="D97" i="107"/>
  <c r="V97" i="107" s="1"/>
  <c r="D81" i="108"/>
  <c r="D81" i="107"/>
  <c r="D58" i="107"/>
  <c r="D58" i="108"/>
  <c r="D47" i="108"/>
  <c r="D47" i="107"/>
  <c r="D37" i="108"/>
  <c r="D37" i="107"/>
  <c r="D29" i="108"/>
  <c r="D29" i="107"/>
  <c r="D21" i="108"/>
  <c r="D21" i="107"/>
  <c r="D9" i="108"/>
  <c r="V9" i="108" s="1"/>
  <c r="D9" i="107"/>
  <c r="V9" i="107" s="1"/>
  <c r="D329" i="108"/>
  <c r="D329" i="107"/>
  <c r="D289" i="108"/>
  <c r="D289" i="107"/>
  <c r="D262" i="108"/>
  <c r="D262" i="107"/>
  <c r="D204" i="108"/>
  <c r="V204" i="108" s="1"/>
  <c r="D204" i="107"/>
  <c r="V204" i="107" s="1"/>
  <c r="D187" i="107"/>
  <c r="D187" i="108"/>
  <c r="D149" i="108"/>
  <c r="D149" i="107"/>
  <c r="D141" i="108"/>
  <c r="D141" i="107"/>
  <c r="D87" i="108"/>
  <c r="X87" i="108" s="1"/>
  <c r="D87" i="107"/>
  <c r="D40" i="108"/>
  <c r="D40" i="107"/>
  <c r="D32" i="108"/>
  <c r="D32" i="107"/>
  <c r="D344" i="108"/>
  <c r="D344" i="107"/>
  <c r="D328" i="108"/>
  <c r="D328" i="107"/>
  <c r="D296" i="108"/>
  <c r="D296" i="107"/>
  <c r="D288" i="108"/>
  <c r="D288" i="107"/>
  <c r="D220" i="108"/>
  <c r="D220" i="107"/>
  <c r="D165" i="108"/>
  <c r="D165" i="107"/>
  <c r="D140" i="108"/>
  <c r="D140" i="107"/>
  <c r="D86" i="108"/>
  <c r="D86" i="107"/>
  <c r="D61" i="108"/>
  <c r="D61" i="107"/>
  <c r="D351" i="108"/>
  <c r="D351" i="107"/>
  <c r="D327" i="108"/>
  <c r="D327" i="107"/>
  <c r="D287" i="108"/>
  <c r="D287" i="107"/>
  <c r="D260" i="108"/>
  <c r="V260" i="108" s="1"/>
  <c r="D260" i="107"/>
  <c r="V260" i="107" s="1"/>
  <c r="D243" i="108"/>
  <c r="D243" i="107"/>
  <c r="D227" i="108"/>
  <c r="D227" i="107"/>
  <c r="D175" i="108"/>
  <c r="D175" i="107"/>
  <c r="D139" i="107"/>
  <c r="V139" i="107" s="1"/>
  <c r="D139" i="108"/>
  <c r="V139" i="108" s="1"/>
  <c r="D131" i="108"/>
  <c r="D131" i="107"/>
  <c r="D82" i="108"/>
  <c r="D82" i="107"/>
  <c r="D48" i="108"/>
  <c r="V48" i="108" s="1"/>
  <c r="D48" i="107"/>
  <c r="V48" i="107" s="1"/>
  <c r="D11" i="107"/>
  <c r="D11" i="108"/>
  <c r="X11" i="108" s="1"/>
  <c r="D342" i="108"/>
  <c r="D342" i="107"/>
  <c r="D318" i="108"/>
  <c r="D318" i="107"/>
  <c r="D294" i="108"/>
  <c r="D294" i="107"/>
  <c r="D273" i="108"/>
  <c r="D273" i="107"/>
  <c r="D259" i="107"/>
  <c r="V259" i="107" s="1"/>
  <c r="D259" i="108"/>
  <c r="V259" i="108" s="1"/>
  <c r="D251" i="107"/>
  <c r="V251" i="107" s="1"/>
  <c r="D251" i="108"/>
  <c r="V251" i="108" s="1"/>
  <c r="D234" i="108"/>
  <c r="D234" i="107"/>
  <c r="D226" i="107"/>
  <c r="V226" i="107" s="1"/>
  <c r="D226" i="108"/>
  <c r="V226" i="108" s="1"/>
  <c r="D349" i="108"/>
  <c r="D349" i="107"/>
  <c r="D341" i="108"/>
  <c r="D341" i="107"/>
  <c r="D333" i="108"/>
  <c r="D333" i="107"/>
  <c r="D325" i="108"/>
  <c r="D325" i="107"/>
  <c r="D317" i="108"/>
  <c r="D317" i="107"/>
  <c r="D309" i="108"/>
  <c r="D309" i="107"/>
  <c r="D301" i="108"/>
  <c r="D301" i="107"/>
  <c r="D293" i="108"/>
  <c r="D293" i="107"/>
  <c r="D285" i="108"/>
  <c r="D285" i="107"/>
  <c r="D272" i="108"/>
  <c r="D272" i="107"/>
  <c r="D258" i="107"/>
  <c r="D258" i="108"/>
  <c r="D250" i="107"/>
  <c r="V250" i="107" s="1"/>
  <c r="D250" i="108"/>
  <c r="V250" i="108" s="1"/>
  <c r="D241" i="108"/>
  <c r="D241" i="107"/>
  <c r="D233" i="108"/>
  <c r="D233" i="107"/>
  <c r="D225" i="108"/>
  <c r="D225" i="107"/>
  <c r="D217" i="108"/>
  <c r="D217" i="107"/>
  <c r="X217" i="107" s="1"/>
  <c r="D208" i="108"/>
  <c r="D208" i="107"/>
  <c r="D199" i="108"/>
  <c r="D199" i="107"/>
  <c r="D191" i="108"/>
  <c r="V191" i="108" s="1"/>
  <c r="D191" i="107"/>
  <c r="V191" i="107" s="1"/>
  <c r="D183" i="108"/>
  <c r="D183" i="107"/>
  <c r="D173" i="108"/>
  <c r="D173" i="107"/>
  <c r="D162" i="107"/>
  <c r="D162" i="108"/>
  <c r="D154" i="107"/>
  <c r="D154" i="108"/>
  <c r="D145" i="108"/>
  <c r="V145" i="108" s="1"/>
  <c r="D145" i="107"/>
  <c r="V145" i="107" s="1"/>
  <c r="D137" i="108"/>
  <c r="D137" i="107"/>
  <c r="D129" i="108"/>
  <c r="V129" i="108" s="1"/>
  <c r="D129" i="107"/>
  <c r="V129" i="107" s="1"/>
  <c r="D118" i="108"/>
  <c r="D118" i="107"/>
  <c r="D106" i="108"/>
  <c r="D106" i="107"/>
  <c r="D93" i="108"/>
  <c r="X93" i="108" s="1"/>
  <c r="D93" i="107"/>
  <c r="D80" i="108"/>
  <c r="D80" i="107"/>
  <c r="D57" i="108"/>
  <c r="D57" i="107"/>
  <c r="D46" i="108"/>
  <c r="D46" i="107"/>
  <c r="D36" i="108"/>
  <c r="D36" i="107"/>
  <c r="D28" i="108"/>
  <c r="D28" i="107"/>
  <c r="D20" i="108"/>
  <c r="V20" i="108" s="1"/>
  <c r="D20" i="107"/>
  <c r="V20" i="107" s="1"/>
  <c r="D8" i="108"/>
  <c r="X8" i="108" s="1"/>
  <c r="D8" i="107"/>
  <c r="X8" i="107" s="1"/>
  <c r="D313" i="108"/>
  <c r="V313" i="108" s="1"/>
  <c r="D313" i="107"/>
  <c r="V313" i="107" s="1"/>
  <c r="D297" i="108"/>
  <c r="D297" i="107"/>
  <c r="D213" i="108"/>
  <c r="D213" i="107"/>
  <c r="D166" i="108"/>
  <c r="D166" i="107"/>
  <c r="D133" i="108"/>
  <c r="D133" i="107"/>
  <c r="D101" i="108"/>
  <c r="V101" i="108" s="1"/>
  <c r="D101" i="107"/>
  <c r="V101" i="107" s="1"/>
  <c r="D68" i="108"/>
  <c r="D68" i="107"/>
  <c r="D336" i="108"/>
  <c r="D336" i="107"/>
  <c r="D320" i="108"/>
  <c r="D320" i="107"/>
  <c r="D236" i="108"/>
  <c r="V236" i="108" s="1"/>
  <c r="D236" i="107"/>
  <c r="V236" i="107" s="1"/>
  <c r="D148" i="108"/>
  <c r="D148" i="107"/>
  <c r="D123" i="108"/>
  <c r="V123" i="108" s="1"/>
  <c r="D123" i="107"/>
  <c r="V123" i="107" s="1"/>
  <c r="D113" i="108"/>
  <c r="D113" i="107"/>
  <c r="D39" i="108"/>
  <c r="D39" i="107"/>
  <c r="D12" i="108"/>
  <c r="D12" i="107"/>
  <c r="D335" i="108"/>
  <c r="D335" i="107"/>
  <c r="D319" i="108"/>
  <c r="D319" i="107"/>
  <c r="D295" i="108"/>
  <c r="D295" i="107"/>
  <c r="D235" i="107"/>
  <c r="D235" i="108"/>
  <c r="D185" i="108"/>
  <c r="D185" i="107"/>
  <c r="D156" i="108"/>
  <c r="V156" i="108" s="1"/>
  <c r="D156" i="107"/>
  <c r="V156" i="107" s="1"/>
  <c r="D99" i="108"/>
  <c r="D99" i="107"/>
  <c r="D22" i="108"/>
  <c r="V22" i="108" s="1"/>
  <c r="D22" i="107"/>
  <c r="V22" i="107" s="1"/>
  <c r="D334" i="108"/>
  <c r="V334" i="108" s="1"/>
  <c r="D334" i="107"/>
  <c r="V334" i="107" s="1"/>
  <c r="D310" i="108"/>
  <c r="D310" i="107"/>
  <c r="D340" i="107"/>
  <c r="D340" i="108"/>
  <c r="D332" i="108"/>
  <c r="D332" i="107"/>
  <c r="D316" i="108"/>
  <c r="D316" i="107"/>
  <c r="D300" i="108"/>
  <c r="D300" i="107"/>
  <c r="D271" i="108"/>
  <c r="D271" i="107"/>
  <c r="D257" i="108"/>
  <c r="D257" i="107"/>
  <c r="D249" i="108"/>
  <c r="D249" i="107"/>
  <c r="D240" i="108"/>
  <c r="V240" i="108" s="1"/>
  <c r="D240" i="107"/>
  <c r="V240" i="107" s="1"/>
  <c r="D232" i="108"/>
  <c r="V232" i="108" s="1"/>
  <c r="D232" i="107"/>
  <c r="V232" i="107" s="1"/>
  <c r="D224" i="108"/>
  <c r="D224" i="107"/>
  <c r="D216" i="108"/>
  <c r="D216" i="107"/>
  <c r="D207" i="108"/>
  <c r="D207" i="107"/>
  <c r="D198" i="108"/>
  <c r="D198" i="107"/>
  <c r="D190" i="108"/>
  <c r="D190" i="107"/>
  <c r="D182" i="108"/>
  <c r="D182" i="107"/>
  <c r="D172" i="108"/>
  <c r="D172" i="107"/>
  <c r="D161" i="108"/>
  <c r="V161" i="108" s="1"/>
  <c r="D161" i="107"/>
  <c r="V161" i="107" s="1"/>
  <c r="D153" i="108"/>
  <c r="V153" i="108" s="1"/>
  <c r="D153" i="107"/>
  <c r="V153" i="107" s="1"/>
  <c r="D144" i="108"/>
  <c r="D144" i="107"/>
  <c r="D136" i="108"/>
  <c r="D136" i="107"/>
  <c r="D128" i="108"/>
  <c r="D128" i="107"/>
  <c r="D117" i="108"/>
  <c r="D117" i="107"/>
  <c r="D105" i="108"/>
  <c r="D105" i="107"/>
  <c r="D92" i="108"/>
  <c r="D92" i="107"/>
  <c r="D79" i="108"/>
  <c r="D79" i="107"/>
  <c r="D56" i="108"/>
  <c r="V56" i="108" s="1"/>
  <c r="D56" i="107"/>
  <c r="V56" i="107" s="1"/>
  <c r="D45" i="108"/>
  <c r="V45" i="108" s="1"/>
  <c r="D45" i="107"/>
  <c r="V45" i="107" s="1"/>
  <c r="D35" i="108"/>
  <c r="D35" i="107"/>
  <c r="D27" i="107"/>
  <c r="D27" i="108"/>
  <c r="D18" i="108"/>
  <c r="D18" i="107"/>
  <c r="D7" i="108"/>
  <c r="D7" i="107"/>
  <c r="D345" i="108"/>
  <c r="D345" i="107"/>
  <c r="D305" i="108"/>
  <c r="D305" i="107"/>
  <c r="D246" i="108"/>
  <c r="V246" i="108" s="1"/>
  <c r="D246" i="107"/>
  <c r="V246" i="107" s="1"/>
  <c r="D237" i="108"/>
  <c r="D237" i="107"/>
  <c r="D221" i="108"/>
  <c r="V221" i="108" s="1"/>
  <c r="D221" i="107"/>
  <c r="V221" i="107" s="1"/>
  <c r="D158" i="108"/>
  <c r="D158" i="107"/>
  <c r="D124" i="108"/>
  <c r="D124" i="107"/>
  <c r="D3" i="107"/>
  <c r="D3" i="108"/>
  <c r="D304" i="108"/>
  <c r="D304" i="107"/>
  <c r="D245" i="108"/>
  <c r="D245" i="107"/>
  <c r="D228" i="108"/>
  <c r="D228" i="107"/>
  <c r="D212" i="108"/>
  <c r="D212" i="107"/>
  <c r="D194" i="107"/>
  <c r="V194" i="107" s="1"/>
  <c r="D194" i="108"/>
  <c r="V194" i="108" s="1"/>
  <c r="D176" i="108"/>
  <c r="D176" i="107"/>
  <c r="D49" i="108"/>
  <c r="D49" i="107"/>
  <c r="D23" i="108"/>
  <c r="D23" i="107"/>
  <c r="D343" i="108"/>
  <c r="D343" i="107"/>
  <c r="D274" i="108"/>
  <c r="D274" i="107"/>
  <c r="D219" i="107"/>
  <c r="D219" i="108"/>
  <c r="D211" i="108"/>
  <c r="D211" i="107"/>
  <c r="D202" i="108"/>
  <c r="V202" i="108" s="1"/>
  <c r="D202" i="107"/>
  <c r="V202" i="107" s="1"/>
  <c r="D147" i="107"/>
  <c r="D147" i="108"/>
  <c r="D112" i="108"/>
  <c r="D112" i="107"/>
  <c r="D60" i="108"/>
  <c r="V60" i="108" s="1"/>
  <c r="D60" i="107"/>
  <c r="V60" i="107" s="1"/>
  <c r="D38" i="108"/>
  <c r="D38" i="107"/>
  <c r="D350" i="108"/>
  <c r="D350" i="107"/>
  <c r="D302" i="108"/>
  <c r="D302" i="107"/>
  <c r="D348" i="108"/>
  <c r="D348" i="107"/>
  <c r="D324" i="108"/>
  <c r="D324" i="107"/>
  <c r="D308" i="108"/>
  <c r="D308" i="107"/>
  <c r="D292" i="108"/>
  <c r="D292" i="107"/>
  <c r="D284" i="108"/>
  <c r="D284" i="107"/>
  <c r="D347" i="108"/>
  <c r="D347" i="107"/>
  <c r="D339" i="108"/>
  <c r="D339" i="107"/>
  <c r="D331" i="108"/>
  <c r="D331" i="107"/>
  <c r="D323" i="108"/>
  <c r="D323" i="107"/>
  <c r="D315" i="107"/>
  <c r="D315" i="108"/>
  <c r="D307" i="108"/>
  <c r="D307" i="107"/>
  <c r="D299" i="108"/>
  <c r="D299" i="107"/>
  <c r="D291" i="108"/>
  <c r="D291" i="107"/>
  <c r="D283" i="108"/>
  <c r="D283" i="107"/>
  <c r="D270" i="108"/>
  <c r="D270" i="107"/>
  <c r="D256" i="108"/>
  <c r="D256" i="107"/>
  <c r="D248" i="108"/>
  <c r="V248" i="108" s="1"/>
  <c r="D248" i="107"/>
  <c r="V248" i="107" s="1"/>
  <c r="D239" i="108"/>
  <c r="V239" i="108" s="1"/>
  <c r="D239" i="107"/>
  <c r="V239" i="107" s="1"/>
  <c r="D231" i="108"/>
  <c r="D231" i="107"/>
  <c r="D223" i="108"/>
  <c r="D223" i="107"/>
  <c r="D215" i="108"/>
  <c r="D215" i="107"/>
  <c r="D206" i="108"/>
  <c r="D206" i="107"/>
  <c r="D197" i="108"/>
  <c r="D197" i="107"/>
  <c r="D189" i="108"/>
  <c r="D189" i="107"/>
  <c r="D179" i="108"/>
  <c r="D179" i="107"/>
  <c r="D170" i="108"/>
  <c r="D170" i="107"/>
  <c r="D160" i="108"/>
  <c r="V160" i="108" s="1"/>
  <c r="D160" i="107"/>
  <c r="V160" i="107" s="1"/>
  <c r="D152" i="108"/>
  <c r="V152" i="108" s="1"/>
  <c r="D152" i="107"/>
  <c r="V152" i="107" s="1"/>
  <c r="D143" i="108"/>
  <c r="D143" i="107"/>
  <c r="D135" i="108"/>
  <c r="D135" i="107"/>
  <c r="D127" i="108"/>
  <c r="V127" i="108" s="1"/>
  <c r="D127" i="107"/>
  <c r="V127" i="107" s="1"/>
  <c r="D116" i="108"/>
  <c r="D116" i="107"/>
  <c r="D104" i="108"/>
  <c r="D104" i="107"/>
  <c r="D91" i="107"/>
  <c r="V91" i="107" s="1"/>
  <c r="D91" i="108"/>
  <c r="V91" i="108" s="1"/>
  <c r="D75" i="107"/>
  <c r="D75" i="108"/>
  <c r="D55" i="108"/>
  <c r="D55" i="107"/>
  <c r="D44" i="108"/>
  <c r="V44" i="108" s="1"/>
  <c r="D44" i="107"/>
  <c r="V44" i="107" s="1"/>
  <c r="D34" i="107"/>
  <c r="V34" i="107" s="1"/>
  <c r="D34" i="108"/>
  <c r="V34" i="108" s="1"/>
  <c r="D26" i="108"/>
  <c r="D26" i="107"/>
  <c r="D17" i="108"/>
  <c r="V17" i="108" s="1"/>
  <c r="D17" i="107"/>
  <c r="V17" i="107" s="1"/>
  <c r="D6" i="108"/>
  <c r="D6" i="107"/>
  <c r="D281" i="108"/>
  <c r="V281" i="108" s="1"/>
  <c r="D281" i="107"/>
  <c r="V281" i="107" s="1"/>
  <c r="D254" i="108"/>
  <c r="V254" i="108" s="1"/>
  <c r="D254" i="107"/>
  <c r="V254" i="107" s="1"/>
  <c r="D177" i="108"/>
  <c r="D177" i="107"/>
  <c r="D114" i="107"/>
  <c r="D114" i="108"/>
  <c r="D277" i="108"/>
  <c r="D277" i="107"/>
  <c r="D261" i="108"/>
  <c r="V261" i="108" s="1"/>
  <c r="D261" i="107"/>
  <c r="V261" i="107" s="1"/>
  <c r="D253" i="108"/>
  <c r="D253" i="107"/>
  <c r="D203" i="107"/>
  <c r="D203" i="108"/>
  <c r="D157" i="108"/>
  <c r="D157" i="107"/>
  <c r="D31" i="108"/>
  <c r="V31" i="108" s="1"/>
  <c r="D31" i="107"/>
  <c r="V31" i="107" s="1"/>
  <c r="D346" i="108"/>
  <c r="D346" i="107"/>
  <c r="D338" i="108"/>
  <c r="D338" i="107"/>
  <c r="D330" i="108"/>
  <c r="D330" i="107"/>
  <c r="D322" i="108"/>
  <c r="D322" i="107"/>
  <c r="D314" i="108"/>
  <c r="D314" i="107"/>
  <c r="D306" i="108"/>
  <c r="D306" i="107"/>
  <c r="D298" i="108"/>
  <c r="D298" i="107"/>
  <c r="D290" i="108"/>
  <c r="D290" i="107"/>
  <c r="D282" i="108"/>
  <c r="V282" i="108" s="1"/>
  <c r="D282" i="107"/>
  <c r="V282" i="107" s="1"/>
  <c r="D269" i="108"/>
  <c r="D269" i="107"/>
  <c r="D255" i="108"/>
  <c r="V255" i="108" s="1"/>
  <c r="D255" i="107"/>
  <c r="V255" i="107" s="1"/>
  <c r="D247" i="108"/>
  <c r="V247" i="108" s="1"/>
  <c r="D247" i="107"/>
  <c r="V247" i="107" s="1"/>
  <c r="D238" i="108"/>
  <c r="V238" i="108" s="1"/>
  <c r="D238" i="107"/>
  <c r="V238" i="107" s="1"/>
  <c r="D230" i="108"/>
  <c r="D230" i="107"/>
  <c r="D222" i="108"/>
  <c r="D222" i="107"/>
  <c r="D214" i="108"/>
  <c r="D214" i="107"/>
  <c r="D205" i="108"/>
  <c r="D205" i="107"/>
  <c r="D196" i="108"/>
  <c r="D196" i="107"/>
  <c r="D188" i="108"/>
  <c r="D188" i="107"/>
  <c r="D178" i="107"/>
  <c r="D178" i="108"/>
  <c r="D167" i="108"/>
  <c r="D167" i="107"/>
  <c r="D159" i="108"/>
  <c r="D159" i="107"/>
  <c r="D150" i="108"/>
  <c r="V150" i="108" s="1"/>
  <c r="D150" i="107"/>
  <c r="V150" i="107" s="1"/>
  <c r="D142" i="108"/>
  <c r="D142" i="107"/>
  <c r="D134" i="108"/>
  <c r="D134" i="107"/>
  <c r="D126" i="108"/>
  <c r="D126" i="107"/>
  <c r="D115" i="108"/>
  <c r="D115" i="107"/>
  <c r="D102" i="108"/>
  <c r="V102" i="108" s="1"/>
  <c r="D102" i="107"/>
  <c r="V102" i="107" s="1"/>
  <c r="D88" i="108"/>
  <c r="D88" i="107"/>
  <c r="D72" i="108"/>
  <c r="D72" i="107"/>
  <c r="D51" i="108"/>
  <c r="V51" i="108" s="1"/>
  <c r="D51" i="107"/>
  <c r="V51" i="107" s="1"/>
  <c r="D42" i="108"/>
  <c r="D42" i="107"/>
  <c r="D33" i="108"/>
  <c r="V33" i="108" s="1"/>
  <c r="D33" i="107"/>
  <c r="V33" i="107" s="1"/>
  <c r="D25" i="108"/>
  <c r="D25" i="107"/>
  <c r="D15" i="108"/>
  <c r="V15" i="108" s="1"/>
  <c r="D15" i="107"/>
  <c r="V15" i="107" s="1"/>
  <c r="D5" i="108"/>
  <c r="V5" i="108" s="1"/>
  <c r="D5" i="107"/>
  <c r="V5" i="107" s="1"/>
  <c r="D351" i="106"/>
  <c r="D351" i="105"/>
  <c r="D351" i="104"/>
  <c r="D343" i="106"/>
  <c r="D343" i="105"/>
  <c r="D343" i="104"/>
  <c r="D335" i="106"/>
  <c r="D335" i="105"/>
  <c r="D335" i="104"/>
  <c r="D319" i="106"/>
  <c r="D319" i="105"/>
  <c r="D319" i="104"/>
  <c r="D287" i="106"/>
  <c r="D287" i="105"/>
  <c r="D287" i="104"/>
  <c r="D260" i="106"/>
  <c r="D260" i="105"/>
  <c r="D260" i="104"/>
  <c r="D235" i="106"/>
  <c r="D235" i="105"/>
  <c r="D235" i="104"/>
  <c r="D227" i="106"/>
  <c r="D227" i="105"/>
  <c r="D227" i="104"/>
  <c r="D211" i="106"/>
  <c r="D211" i="104"/>
  <c r="D211" i="105"/>
  <c r="D175" i="106"/>
  <c r="D175" i="104"/>
  <c r="D175" i="105"/>
  <c r="D156" i="106"/>
  <c r="V156" i="106" s="1"/>
  <c r="D156" i="104"/>
  <c r="V156" i="104" s="1"/>
  <c r="D156" i="105"/>
  <c r="V156" i="105" s="1"/>
  <c r="D122" i="106"/>
  <c r="D122" i="104"/>
  <c r="D122" i="105"/>
  <c r="D112" i="106"/>
  <c r="D112" i="104"/>
  <c r="D112" i="105"/>
  <c r="D82" i="106"/>
  <c r="D82" i="104"/>
  <c r="D82" i="105"/>
  <c r="D30" i="106"/>
  <c r="D30" i="104"/>
  <c r="D30" i="105"/>
  <c r="D11" i="106"/>
  <c r="D11" i="105"/>
  <c r="D11" i="104"/>
  <c r="D342" i="106"/>
  <c r="D342" i="105"/>
  <c r="D342" i="104"/>
  <c r="D318" i="106"/>
  <c r="D318" i="105"/>
  <c r="D318" i="104"/>
  <c r="D286" i="106"/>
  <c r="D286" i="105"/>
  <c r="D286" i="104"/>
  <c r="D259" i="106"/>
  <c r="D259" i="105"/>
  <c r="D259" i="104"/>
  <c r="D251" i="106"/>
  <c r="V251" i="106" s="1"/>
  <c r="D251" i="105"/>
  <c r="V251" i="105" s="1"/>
  <c r="D251" i="104"/>
  <c r="D218" i="106"/>
  <c r="D218" i="105"/>
  <c r="D218" i="104"/>
  <c r="D201" i="106"/>
  <c r="V201" i="106" s="1"/>
  <c r="D201" i="104"/>
  <c r="V201" i="104" s="1"/>
  <c r="D201" i="105"/>
  <c r="V201" i="105" s="1"/>
  <c r="D174" i="106"/>
  <c r="V174" i="106" s="1"/>
  <c r="D174" i="104"/>
  <c r="V174" i="104" s="1"/>
  <c r="D174" i="105"/>
  <c r="V174" i="105" s="1"/>
  <c r="D138" i="106"/>
  <c r="D138" i="104"/>
  <c r="D138" i="105"/>
  <c r="D119" i="106"/>
  <c r="D119" i="104"/>
  <c r="D119" i="105"/>
  <c r="D81" i="106"/>
  <c r="D81" i="104"/>
  <c r="D81" i="105"/>
  <c r="D37" i="106"/>
  <c r="D37" i="104"/>
  <c r="D37" i="105"/>
  <c r="D9" i="106"/>
  <c r="V9" i="106" s="1"/>
  <c r="D9" i="105"/>
  <c r="V9" i="105" s="1"/>
  <c r="D9" i="104"/>
  <c r="D341" i="106"/>
  <c r="D341" i="105"/>
  <c r="D341" i="104"/>
  <c r="D325" i="106"/>
  <c r="D325" i="105"/>
  <c r="D325" i="104"/>
  <c r="D309" i="106"/>
  <c r="D309" i="105"/>
  <c r="D309" i="104"/>
  <c r="D272" i="106"/>
  <c r="D272" i="105"/>
  <c r="D272" i="104"/>
  <c r="D250" i="106"/>
  <c r="V250" i="106" s="1"/>
  <c r="D250" i="105"/>
  <c r="V250" i="105" s="1"/>
  <c r="D250" i="104"/>
  <c r="D233" i="106"/>
  <c r="D233" i="105"/>
  <c r="D233" i="104"/>
  <c r="D225" i="106"/>
  <c r="D225" i="105"/>
  <c r="D225" i="104"/>
  <c r="D162" i="106"/>
  <c r="D162" i="104"/>
  <c r="D162" i="105"/>
  <c r="D145" i="106"/>
  <c r="V145" i="106" s="1"/>
  <c r="D145" i="104"/>
  <c r="D145" i="105"/>
  <c r="V145" i="105" s="1"/>
  <c r="D345" i="106"/>
  <c r="D345" i="105"/>
  <c r="D345" i="104"/>
  <c r="D337" i="106"/>
  <c r="D337" i="105"/>
  <c r="D337" i="104"/>
  <c r="D329" i="106"/>
  <c r="D329" i="105"/>
  <c r="D329" i="104"/>
  <c r="D321" i="106"/>
  <c r="D321" i="105"/>
  <c r="D321" i="104"/>
  <c r="D313" i="106"/>
  <c r="V313" i="106" s="1"/>
  <c r="D313" i="105"/>
  <c r="V313" i="105" s="1"/>
  <c r="D313" i="104"/>
  <c r="V313" i="104" s="1"/>
  <c r="D305" i="106"/>
  <c r="D305" i="105"/>
  <c r="D305" i="104"/>
  <c r="D297" i="106"/>
  <c r="D297" i="105"/>
  <c r="D297" i="104"/>
  <c r="D289" i="106"/>
  <c r="D289" i="105"/>
  <c r="D289" i="104"/>
  <c r="D281" i="106"/>
  <c r="V281" i="106" s="1"/>
  <c r="D281" i="105"/>
  <c r="V281" i="105" s="1"/>
  <c r="D281" i="104"/>
  <c r="V281" i="104" s="1"/>
  <c r="D262" i="106"/>
  <c r="D262" i="105"/>
  <c r="D262" i="104"/>
  <c r="D254" i="106"/>
  <c r="V254" i="106" s="1"/>
  <c r="D254" i="105"/>
  <c r="D254" i="104"/>
  <c r="D246" i="106"/>
  <c r="V246" i="106" s="1"/>
  <c r="D246" i="105"/>
  <c r="D246" i="104"/>
  <c r="D237" i="106"/>
  <c r="D237" i="105"/>
  <c r="D237" i="104"/>
  <c r="D229" i="106"/>
  <c r="V229" i="106" s="1"/>
  <c r="D229" i="105"/>
  <c r="V229" i="105" s="1"/>
  <c r="D229" i="104"/>
  <c r="D221" i="106"/>
  <c r="V221" i="106" s="1"/>
  <c r="D221" i="105"/>
  <c r="D221" i="104"/>
  <c r="D213" i="106"/>
  <c r="D213" i="104"/>
  <c r="D213" i="105"/>
  <c r="D204" i="106"/>
  <c r="V204" i="106" s="1"/>
  <c r="D204" i="104"/>
  <c r="V204" i="104" s="1"/>
  <c r="D204" i="105"/>
  <c r="V204" i="105" s="1"/>
  <c r="D195" i="106"/>
  <c r="V195" i="106" s="1"/>
  <c r="D195" i="104"/>
  <c r="V195" i="104" s="1"/>
  <c r="D195" i="105"/>
  <c r="V195" i="105" s="1"/>
  <c r="D187" i="106"/>
  <c r="D187" i="104"/>
  <c r="D187" i="105"/>
  <c r="D177" i="106"/>
  <c r="D177" i="104"/>
  <c r="D177" i="105"/>
  <c r="D166" i="106"/>
  <c r="D166" i="104"/>
  <c r="D166" i="105"/>
  <c r="D158" i="106"/>
  <c r="D158" i="104"/>
  <c r="D158" i="105"/>
  <c r="D149" i="106"/>
  <c r="D149" i="104"/>
  <c r="D149" i="105"/>
  <c r="D141" i="106"/>
  <c r="D141" i="104"/>
  <c r="D141" i="105"/>
  <c r="D133" i="106"/>
  <c r="D133" i="104"/>
  <c r="D133" i="105"/>
  <c r="D124" i="106"/>
  <c r="D124" i="104"/>
  <c r="D124" i="105"/>
  <c r="D114" i="106"/>
  <c r="D114" i="104"/>
  <c r="D114" i="105"/>
  <c r="D101" i="106"/>
  <c r="V101" i="106" s="1"/>
  <c r="D101" i="104"/>
  <c r="D101" i="105"/>
  <c r="V101" i="105" s="1"/>
  <c r="D87" i="106"/>
  <c r="X87" i="106" s="1"/>
  <c r="D87" i="104"/>
  <c r="D87" i="105"/>
  <c r="D68" i="106"/>
  <c r="D68" i="104"/>
  <c r="D68" i="105"/>
  <c r="D50" i="106"/>
  <c r="D50" i="104"/>
  <c r="D50" i="105"/>
  <c r="D40" i="106"/>
  <c r="D40" i="104"/>
  <c r="D40" i="105"/>
  <c r="D32" i="106"/>
  <c r="D32" i="104"/>
  <c r="D32" i="105"/>
  <c r="D24" i="106"/>
  <c r="D24" i="104"/>
  <c r="D24" i="105"/>
  <c r="D14" i="106"/>
  <c r="V14" i="106" s="1"/>
  <c r="D14" i="105"/>
  <c r="V14" i="105" s="1"/>
  <c r="D14" i="104"/>
  <c r="V14" i="104" s="1"/>
  <c r="D344" i="106"/>
  <c r="D344" i="105"/>
  <c r="D344" i="104"/>
  <c r="D336" i="106"/>
  <c r="D336" i="105"/>
  <c r="D336" i="104"/>
  <c r="D328" i="106"/>
  <c r="D328" i="105"/>
  <c r="D328" i="104"/>
  <c r="D320" i="106"/>
  <c r="D320" i="105"/>
  <c r="D320" i="104"/>
  <c r="D312" i="106"/>
  <c r="D312" i="105"/>
  <c r="D312" i="104"/>
  <c r="D304" i="106"/>
  <c r="D304" i="105"/>
  <c r="D304" i="104"/>
  <c r="D296" i="106"/>
  <c r="D296" i="105"/>
  <c r="D296" i="104"/>
  <c r="D288" i="106"/>
  <c r="D288" i="105"/>
  <c r="D288" i="104"/>
  <c r="D277" i="106"/>
  <c r="D277" i="105"/>
  <c r="D277" i="104"/>
  <c r="D261" i="106"/>
  <c r="D261" i="105"/>
  <c r="D261" i="104"/>
  <c r="D253" i="106"/>
  <c r="D253" i="105"/>
  <c r="D253" i="104"/>
  <c r="D245" i="106"/>
  <c r="D245" i="105"/>
  <c r="D245" i="104"/>
  <c r="D236" i="106"/>
  <c r="V236" i="106" s="1"/>
  <c r="D236" i="105"/>
  <c r="D236" i="104"/>
  <c r="D228" i="106"/>
  <c r="D228" i="105"/>
  <c r="D228" i="104"/>
  <c r="D220" i="106"/>
  <c r="D220" i="105"/>
  <c r="D220" i="104"/>
  <c r="D212" i="106"/>
  <c r="D212" i="104"/>
  <c r="D212" i="105"/>
  <c r="D203" i="106"/>
  <c r="D203" i="104"/>
  <c r="D203" i="105"/>
  <c r="D194" i="106"/>
  <c r="V194" i="106" s="1"/>
  <c r="D194" i="104"/>
  <c r="V194" i="104" s="1"/>
  <c r="D194" i="105"/>
  <c r="V194" i="105" s="1"/>
  <c r="D186" i="106"/>
  <c r="V186" i="106" s="1"/>
  <c r="D186" i="104"/>
  <c r="D186" i="105"/>
  <c r="D176" i="106"/>
  <c r="D176" i="104"/>
  <c r="D176" i="105"/>
  <c r="D165" i="106"/>
  <c r="D165" i="104"/>
  <c r="D165" i="105"/>
  <c r="D157" i="106"/>
  <c r="D157" i="104"/>
  <c r="D157" i="105"/>
  <c r="D148" i="106"/>
  <c r="D148" i="104"/>
  <c r="D148" i="105"/>
  <c r="D140" i="106"/>
  <c r="D140" i="104"/>
  <c r="D140" i="105"/>
  <c r="D132" i="106"/>
  <c r="D132" i="104"/>
  <c r="D132" i="105"/>
  <c r="D123" i="106"/>
  <c r="V123" i="106" s="1"/>
  <c r="D123" i="104"/>
  <c r="D123" i="105"/>
  <c r="V123" i="105" s="1"/>
  <c r="D113" i="106"/>
  <c r="D113" i="104"/>
  <c r="D113" i="105"/>
  <c r="D100" i="106"/>
  <c r="V100" i="106" s="1"/>
  <c r="D100" i="104"/>
  <c r="D100" i="105"/>
  <c r="V100" i="105" s="1"/>
  <c r="D86" i="106"/>
  <c r="D86" i="104"/>
  <c r="D86" i="105"/>
  <c r="D61" i="106"/>
  <c r="D61" i="104"/>
  <c r="D61" i="105"/>
  <c r="D49" i="106"/>
  <c r="D49" i="104"/>
  <c r="D49" i="105"/>
  <c r="D39" i="106"/>
  <c r="D39" i="104"/>
  <c r="D39" i="105"/>
  <c r="D31" i="106"/>
  <c r="V31" i="106" s="1"/>
  <c r="D31" i="104"/>
  <c r="V31" i="104" s="1"/>
  <c r="D31" i="105"/>
  <c r="V31" i="105" s="1"/>
  <c r="D23" i="106"/>
  <c r="D23" i="105"/>
  <c r="D23" i="104"/>
  <c r="D12" i="106"/>
  <c r="D12" i="105"/>
  <c r="D12" i="104"/>
  <c r="D311" i="106"/>
  <c r="D311" i="105"/>
  <c r="D311" i="104"/>
  <c r="D303" i="106"/>
  <c r="D303" i="105"/>
  <c r="D303" i="104"/>
  <c r="D295" i="106"/>
  <c r="D295" i="105"/>
  <c r="D295" i="104"/>
  <c r="D243" i="106"/>
  <c r="D243" i="105"/>
  <c r="D243" i="104"/>
  <c r="D185" i="106"/>
  <c r="D185" i="104"/>
  <c r="D185" i="105"/>
  <c r="D164" i="106"/>
  <c r="V164" i="106" s="1"/>
  <c r="D164" i="104"/>
  <c r="V164" i="104" s="1"/>
  <c r="D164" i="105"/>
  <c r="V164" i="105" s="1"/>
  <c r="D60" i="106"/>
  <c r="V60" i="106" s="1"/>
  <c r="D60" i="104"/>
  <c r="D60" i="105"/>
  <c r="V60" i="105" s="1"/>
  <c r="D38" i="106"/>
  <c r="D38" i="104"/>
  <c r="D38" i="105"/>
  <c r="D350" i="106"/>
  <c r="D350" i="105"/>
  <c r="D350" i="104"/>
  <c r="D302" i="106"/>
  <c r="D302" i="105"/>
  <c r="D302" i="104"/>
  <c r="D242" i="106"/>
  <c r="D242" i="105"/>
  <c r="D242" i="104"/>
  <c r="D210" i="106"/>
  <c r="D210" i="104"/>
  <c r="D210" i="105"/>
  <c r="D163" i="106"/>
  <c r="D163" i="104"/>
  <c r="D163" i="105"/>
  <c r="D155" i="106"/>
  <c r="V155" i="106" s="1"/>
  <c r="D155" i="104"/>
  <c r="V155" i="104" s="1"/>
  <c r="D155" i="105"/>
  <c r="V155" i="105" s="1"/>
  <c r="D29" i="106"/>
  <c r="D29" i="104"/>
  <c r="D29" i="105"/>
  <c r="D21" i="106"/>
  <c r="D21" i="105"/>
  <c r="D21" i="104"/>
  <c r="D301" i="106"/>
  <c r="D301" i="105"/>
  <c r="D301" i="104"/>
  <c r="D285" i="106"/>
  <c r="D285" i="105"/>
  <c r="D285" i="104"/>
  <c r="D258" i="106"/>
  <c r="D258" i="105"/>
  <c r="D258" i="104"/>
  <c r="D208" i="106"/>
  <c r="D208" i="104"/>
  <c r="D208" i="105"/>
  <c r="D173" i="106"/>
  <c r="D173" i="104"/>
  <c r="D173" i="105"/>
  <c r="D118" i="106"/>
  <c r="D118" i="104"/>
  <c r="D118" i="105"/>
  <c r="D106" i="106"/>
  <c r="D106" i="104"/>
  <c r="D106" i="105"/>
  <c r="D57" i="106"/>
  <c r="D57" i="104"/>
  <c r="D57" i="105"/>
  <c r="D36" i="106"/>
  <c r="D36" i="104"/>
  <c r="D36" i="105"/>
  <c r="D8" i="106"/>
  <c r="D8" i="105"/>
  <c r="D8" i="104"/>
  <c r="D340" i="106"/>
  <c r="D340" i="105"/>
  <c r="D340" i="104"/>
  <c r="D332" i="106"/>
  <c r="D332" i="105"/>
  <c r="D332" i="104"/>
  <c r="D324" i="106"/>
  <c r="D324" i="105"/>
  <c r="D324" i="104"/>
  <c r="D316" i="106"/>
  <c r="D316" i="105"/>
  <c r="D316" i="104"/>
  <c r="D308" i="106"/>
  <c r="D308" i="105"/>
  <c r="D308" i="104"/>
  <c r="D300" i="106"/>
  <c r="D300" i="105"/>
  <c r="D300" i="104"/>
  <c r="D292" i="106"/>
  <c r="D292" i="105"/>
  <c r="D292" i="104"/>
  <c r="D284" i="106"/>
  <c r="D284" i="105"/>
  <c r="D284" i="104"/>
  <c r="D271" i="106"/>
  <c r="D271" i="105"/>
  <c r="D271" i="104"/>
  <c r="D257" i="106"/>
  <c r="D257" i="105"/>
  <c r="D257" i="104"/>
  <c r="D249" i="106"/>
  <c r="D249" i="105"/>
  <c r="D249" i="104"/>
  <c r="D240" i="106"/>
  <c r="V240" i="106" s="1"/>
  <c r="D240" i="105"/>
  <c r="D240" i="104"/>
  <c r="D232" i="106"/>
  <c r="V232" i="106" s="1"/>
  <c r="D232" i="105"/>
  <c r="D232" i="104"/>
  <c r="D224" i="106"/>
  <c r="D224" i="105"/>
  <c r="D224" i="104"/>
  <c r="D216" i="106"/>
  <c r="D216" i="105"/>
  <c r="D216" i="104"/>
  <c r="D207" i="106"/>
  <c r="D207" i="104"/>
  <c r="D207" i="105"/>
  <c r="D198" i="106"/>
  <c r="D198" i="104"/>
  <c r="D198" i="105"/>
  <c r="D190" i="106"/>
  <c r="D190" i="104"/>
  <c r="D190" i="105"/>
  <c r="D182" i="106"/>
  <c r="D182" i="104"/>
  <c r="D182" i="105"/>
  <c r="D172" i="106"/>
  <c r="D172" i="104"/>
  <c r="D172" i="105"/>
  <c r="D161" i="106"/>
  <c r="V161" i="106" s="1"/>
  <c r="D161" i="104"/>
  <c r="V161" i="104" s="1"/>
  <c r="D161" i="105"/>
  <c r="V161" i="105" s="1"/>
  <c r="D153" i="106"/>
  <c r="V153" i="106" s="1"/>
  <c r="D153" i="104"/>
  <c r="V153" i="104" s="1"/>
  <c r="D153" i="105"/>
  <c r="V153" i="105" s="1"/>
  <c r="D144" i="106"/>
  <c r="D144" i="104"/>
  <c r="D144" i="105"/>
  <c r="D136" i="106"/>
  <c r="D136" i="104"/>
  <c r="D136" i="105"/>
  <c r="D128" i="106"/>
  <c r="D128" i="104"/>
  <c r="D128" i="105"/>
  <c r="D117" i="106"/>
  <c r="D117" i="104"/>
  <c r="D117" i="105"/>
  <c r="D105" i="106"/>
  <c r="D105" i="104"/>
  <c r="D105" i="105"/>
  <c r="D92" i="106"/>
  <c r="D92" i="104"/>
  <c r="D92" i="105"/>
  <c r="D79" i="106"/>
  <c r="D79" i="104"/>
  <c r="D79" i="105"/>
  <c r="D56" i="106"/>
  <c r="V56" i="106" s="1"/>
  <c r="D56" i="104"/>
  <c r="D56" i="105"/>
  <c r="D45" i="106"/>
  <c r="V45" i="106" s="1"/>
  <c r="D45" i="104"/>
  <c r="D45" i="105"/>
  <c r="D35" i="106"/>
  <c r="D35" i="104"/>
  <c r="D35" i="105"/>
  <c r="D27" i="106"/>
  <c r="D27" i="104"/>
  <c r="D27" i="105"/>
  <c r="D18" i="106"/>
  <c r="D18" i="105"/>
  <c r="D18" i="104"/>
  <c r="D7" i="106"/>
  <c r="D7" i="105"/>
  <c r="D7" i="104"/>
  <c r="D327" i="106"/>
  <c r="D327" i="105"/>
  <c r="D327" i="104"/>
  <c r="D219" i="106"/>
  <c r="D219" i="105"/>
  <c r="D219" i="104"/>
  <c r="D202" i="106"/>
  <c r="V202" i="106" s="1"/>
  <c r="D202" i="104"/>
  <c r="V202" i="104" s="1"/>
  <c r="D202" i="105"/>
  <c r="V202" i="105" s="1"/>
  <c r="D139" i="106"/>
  <c r="V139" i="106" s="1"/>
  <c r="D139" i="104"/>
  <c r="D139" i="105"/>
  <c r="V139" i="105" s="1"/>
  <c r="D131" i="106"/>
  <c r="D131" i="104"/>
  <c r="D131" i="105"/>
  <c r="D48" i="106"/>
  <c r="V48" i="106" s="1"/>
  <c r="D48" i="104"/>
  <c r="D48" i="105"/>
  <c r="D334" i="106"/>
  <c r="V334" i="106" s="1"/>
  <c r="D334" i="105"/>
  <c r="D334" i="104"/>
  <c r="D294" i="106"/>
  <c r="D294" i="105"/>
  <c r="D294" i="104"/>
  <c r="D273" i="106"/>
  <c r="D273" i="105"/>
  <c r="D273" i="104"/>
  <c r="D192" i="106"/>
  <c r="D192" i="104"/>
  <c r="D192" i="105"/>
  <c r="D146" i="106"/>
  <c r="D146" i="104"/>
  <c r="D146" i="105"/>
  <c r="D58" i="106"/>
  <c r="D58" i="104"/>
  <c r="D58" i="105"/>
  <c r="D349" i="106"/>
  <c r="D349" i="105"/>
  <c r="D349" i="104"/>
  <c r="D317" i="106"/>
  <c r="D317" i="105"/>
  <c r="D317" i="104"/>
  <c r="D199" i="106"/>
  <c r="D199" i="104"/>
  <c r="D199" i="105"/>
  <c r="D191" i="106"/>
  <c r="V191" i="106" s="1"/>
  <c r="D191" i="104"/>
  <c r="V191" i="104" s="1"/>
  <c r="D191" i="105"/>
  <c r="V191" i="105" s="1"/>
  <c r="D154" i="106"/>
  <c r="D154" i="104"/>
  <c r="D154" i="105"/>
  <c r="D93" i="106"/>
  <c r="D93" i="104"/>
  <c r="D93" i="105"/>
  <c r="D28" i="106"/>
  <c r="D28" i="104"/>
  <c r="D28" i="105"/>
  <c r="D348" i="106"/>
  <c r="D348" i="105"/>
  <c r="D348" i="104"/>
  <c r="D323" i="106"/>
  <c r="D323" i="105"/>
  <c r="D323" i="104"/>
  <c r="D315" i="106"/>
  <c r="D315" i="105"/>
  <c r="D315" i="104"/>
  <c r="D307" i="106"/>
  <c r="D307" i="105"/>
  <c r="D307" i="104"/>
  <c r="D299" i="106"/>
  <c r="D299" i="105"/>
  <c r="D299" i="104"/>
  <c r="D291" i="106"/>
  <c r="D291" i="105"/>
  <c r="D291" i="104"/>
  <c r="D283" i="106"/>
  <c r="D283" i="105"/>
  <c r="D283" i="104"/>
  <c r="D270" i="106"/>
  <c r="D270" i="105"/>
  <c r="D270" i="104"/>
  <c r="D256" i="106"/>
  <c r="D256" i="105"/>
  <c r="D256" i="104"/>
  <c r="D248" i="106"/>
  <c r="V248" i="106" s="1"/>
  <c r="D248" i="105"/>
  <c r="D248" i="104"/>
  <c r="D239" i="106"/>
  <c r="V239" i="106" s="1"/>
  <c r="D239" i="105"/>
  <c r="V239" i="105" s="1"/>
  <c r="D239" i="104"/>
  <c r="D231" i="106"/>
  <c r="D231" i="105"/>
  <c r="D231" i="104"/>
  <c r="D223" i="106"/>
  <c r="D223" i="105"/>
  <c r="D223" i="104"/>
  <c r="D215" i="106"/>
  <c r="D215" i="105"/>
  <c r="D215" i="104"/>
  <c r="D206" i="106"/>
  <c r="D206" i="104"/>
  <c r="D206" i="105"/>
  <c r="D197" i="106"/>
  <c r="D197" i="104"/>
  <c r="D197" i="105"/>
  <c r="D189" i="106"/>
  <c r="D189" i="104"/>
  <c r="D189" i="105"/>
  <c r="D179" i="106"/>
  <c r="D179" i="104"/>
  <c r="D179" i="105"/>
  <c r="D170" i="106"/>
  <c r="D170" i="104"/>
  <c r="D170" i="105"/>
  <c r="D160" i="106"/>
  <c r="V160" i="106" s="1"/>
  <c r="D160" i="104"/>
  <c r="V160" i="104" s="1"/>
  <c r="D160" i="105"/>
  <c r="V160" i="105" s="1"/>
  <c r="D152" i="106"/>
  <c r="V152" i="106" s="1"/>
  <c r="D152" i="104"/>
  <c r="V152" i="104" s="1"/>
  <c r="D152" i="105"/>
  <c r="V152" i="105" s="1"/>
  <c r="D143" i="106"/>
  <c r="D143" i="104"/>
  <c r="D143" i="105"/>
  <c r="D135" i="106"/>
  <c r="D135" i="104"/>
  <c r="D135" i="105"/>
  <c r="D127" i="106"/>
  <c r="V127" i="106" s="1"/>
  <c r="D127" i="104"/>
  <c r="D127" i="105"/>
  <c r="V127" i="105" s="1"/>
  <c r="D116" i="106"/>
  <c r="D116" i="104"/>
  <c r="D116" i="105"/>
  <c r="D104" i="106"/>
  <c r="D104" i="104"/>
  <c r="D104" i="105"/>
  <c r="D91" i="106"/>
  <c r="V91" i="106" s="1"/>
  <c r="D91" i="104"/>
  <c r="D91" i="105"/>
  <c r="V91" i="105" s="1"/>
  <c r="D75" i="106"/>
  <c r="D75" i="104"/>
  <c r="D75" i="105"/>
  <c r="D55" i="106"/>
  <c r="D55" i="104"/>
  <c r="D55" i="105"/>
  <c r="D44" i="106"/>
  <c r="V44" i="106" s="1"/>
  <c r="D44" i="104"/>
  <c r="V44" i="104" s="1"/>
  <c r="D44" i="105"/>
  <c r="V44" i="105" s="1"/>
  <c r="D34" i="106"/>
  <c r="V34" i="106" s="1"/>
  <c r="D34" i="104"/>
  <c r="V34" i="104" s="1"/>
  <c r="D34" i="105"/>
  <c r="V34" i="105" s="1"/>
  <c r="D26" i="106"/>
  <c r="D26" i="104"/>
  <c r="D26" i="105"/>
  <c r="D17" i="106"/>
  <c r="V17" i="106" s="1"/>
  <c r="D17" i="105"/>
  <c r="V17" i="105" s="1"/>
  <c r="D17" i="104"/>
  <c r="V17" i="104" s="1"/>
  <c r="D6" i="106"/>
  <c r="D6" i="105"/>
  <c r="D6" i="104"/>
  <c r="D274" i="106"/>
  <c r="D274" i="105"/>
  <c r="D274" i="104"/>
  <c r="D252" i="106"/>
  <c r="D252" i="105"/>
  <c r="D252" i="104"/>
  <c r="D193" i="106"/>
  <c r="D193" i="104"/>
  <c r="D193" i="105"/>
  <c r="D147" i="106"/>
  <c r="D147" i="104"/>
  <c r="D147" i="105"/>
  <c r="D99" i="106"/>
  <c r="D99" i="104"/>
  <c r="D99" i="105"/>
  <c r="D22" i="106"/>
  <c r="V22" i="106" s="1"/>
  <c r="D22" i="105"/>
  <c r="D22" i="104"/>
  <c r="D326" i="106"/>
  <c r="D326" i="105"/>
  <c r="D326" i="104"/>
  <c r="D310" i="106"/>
  <c r="D310" i="105"/>
  <c r="D310" i="104"/>
  <c r="D234" i="106"/>
  <c r="D234" i="105"/>
  <c r="D234" i="104"/>
  <c r="D226" i="106"/>
  <c r="D226" i="105"/>
  <c r="D226" i="104"/>
  <c r="D184" i="106"/>
  <c r="D184" i="104"/>
  <c r="D184" i="105"/>
  <c r="D130" i="106"/>
  <c r="V130" i="106" s="1"/>
  <c r="D130" i="104"/>
  <c r="D130" i="105"/>
  <c r="V130" i="105" s="1"/>
  <c r="D111" i="106"/>
  <c r="D111" i="104"/>
  <c r="D111" i="105"/>
  <c r="D97" i="106"/>
  <c r="V97" i="106" s="1"/>
  <c r="D97" i="104"/>
  <c r="D97" i="105"/>
  <c r="D47" i="106"/>
  <c r="D47" i="104"/>
  <c r="D47" i="105"/>
  <c r="D333" i="106"/>
  <c r="D333" i="105"/>
  <c r="D333" i="104"/>
  <c r="D293" i="106"/>
  <c r="D293" i="105"/>
  <c r="D293" i="104"/>
  <c r="D241" i="106"/>
  <c r="D241" i="105"/>
  <c r="D241" i="104"/>
  <c r="D217" i="106"/>
  <c r="D217" i="105"/>
  <c r="D217" i="104"/>
  <c r="D183" i="106"/>
  <c r="D183" i="104"/>
  <c r="D183" i="105"/>
  <c r="D137" i="106"/>
  <c r="D137" i="104"/>
  <c r="D137" i="105"/>
  <c r="D129" i="106"/>
  <c r="V129" i="106" s="1"/>
  <c r="D129" i="104"/>
  <c r="D129" i="105"/>
  <c r="V129" i="105" s="1"/>
  <c r="D80" i="106"/>
  <c r="D80" i="104"/>
  <c r="D80" i="105"/>
  <c r="D46" i="106"/>
  <c r="D46" i="104"/>
  <c r="D46" i="105"/>
  <c r="D20" i="106"/>
  <c r="V20" i="106" s="1"/>
  <c r="D20" i="105"/>
  <c r="D20" i="104"/>
  <c r="V20" i="104" s="1"/>
  <c r="D347" i="106"/>
  <c r="D347" i="105"/>
  <c r="D347" i="104"/>
  <c r="D339" i="106"/>
  <c r="D339" i="105"/>
  <c r="D339" i="104"/>
  <c r="D331" i="106"/>
  <c r="D331" i="105"/>
  <c r="D331" i="104"/>
  <c r="D346" i="106"/>
  <c r="D346" i="105"/>
  <c r="D346" i="104"/>
  <c r="D338" i="106"/>
  <c r="D338" i="105"/>
  <c r="D338" i="104"/>
  <c r="D330" i="106"/>
  <c r="D330" i="105"/>
  <c r="D330" i="104"/>
  <c r="D322" i="106"/>
  <c r="D322" i="105"/>
  <c r="D322" i="104"/>
  <c r="D314" i="106"/>
  <c r="D314" i="105"/>
  <c r="D314" i="104"/>
  <c r="D306" i="106"/>
  <c r="D306" i="105"/>
  <c r="D306" i="104"/>
  <c r="D298" i="106"/>
  <c r="D298" i="105"/>
  <c r="D298" i="104"/>
  <c r="D290" i="106"/>
  <c r="D290" i="105"/>
  <c r="D290" i="104"/>
  <c r="D282" i="106"/>
  <c r="D282" i="105"/>
  <c r="D282" i="104"/>
  <c r="D269" i="106"/>
  <c r="D269" i="105"/>
  <c r="D269" i="104"/>
  <c r="D255" i="106"/>
  <c r="V255" i="106" s="1"/>
  <c r="D255" i="105"/>
  <c r="D255" i="104"/>
  <c r="D247" i="106"/>
  <c r="V247" i="106" s="1"/>
  <c r="D247" i="105"/>
  <c r="D247" i="104"/>
  <c r="D238" i="106"/>
  <c r="D238" i="105"/>
  <c r="D238" i="104"/>
  <c r="D230" i="106"/>
  <c r="D230" i="105"/>
  <c r="D230" i="104"/>
  <c r="D222" i="106"/>
  <c r="D222" i="105"/>
  <c r="D222" i="104"/>
  <c r="D214" i="106"/>
  <c r="D214" i="104"/>
  <c r="D214" i="105"/>
  <c r="D205" i="106"/>
  <c r="D205" i="104"/>
  <c r="D205" i="105"/>
  <c r="D196" i="106"/>
  <c r="D196" i="104"/>
  <c r="D196" i="105"/>
  <c r="D188" i="106"/>
  <c r="D188" i="104"/>
  <c r="D188" i="105"/>
  <c r="D178" i="106"/>
  <c r="D178" i="104"/>
  <c r="D178" i="105"/>
  <c r="D167" i="106"/>
  <c r="D167" i="104"/>
  <c r="D167" i="105"/>
  <c r="D159" i="106"/>
  <c r="D159" i="104"/>
  <c r="D159" i="105"/>
  <c r="D150" i="106"/>
  <c r="V150" i="106" s="1"/>
  <c r="D150" i="104"/>
  <c r="D150" i="105"/>
  <c r="V150" i="105" s="1"/>
  <c r="D142" i="106"/>
  <c r="D142" i="104"/>
  <c r="D142" i="105"/>
  <c r="D134" i="106"/>
  <c r="D134" i="104"/>
  <c r="D134" i="105"/>
  <c r="D126" i="106"/>
  <c r="D126" i="104"/>
  <c r="D126" i="105"/>
  <c r="D115" i="106"/>
  <c r="D115" i="104"/>
  <c r="D115" i="105"/>
  <c r="D102" i="106"/>
  <c r="D102" i="104"/>
  <c r="D102" i="105"/>
  <c r="V102" i="105" s="1"/>
  <c r="D88" i="106"/>
  <c r="D88" i="104"/>
  <c r="D88" i="105"/>
  <c r="D72" i="106"/>
  <c r="D72" i="104"/>
  <c r="D72" i="105"/>
  <c r="D51" i="106"/>
  <c r="V51" i="106" s="1"/>
  <c r="D51" i="104"/>
  <c r="D51" i="105"/>
  <c r="D42" i="106"/>
  <c r="D42" i="104"/>
  <c r="D42" i="105"/>
  <c r="D33" i="106"/>
  <c r="V33" i="106" s="1"/>
  <c r="D33" i="104"/>
  <c r="V33" i="104" s="1"/>
  <c r="D33" i="105"/>
  <c r="V33" i="105" s="1"/>
  <c r="D25" i="106"/>
  <c r="D25" i="104"/>
  <c r="D25" i="105"/>
  <c r="D15" i="106"/>
  <c r="V15" i="106" s="1"/>
  <c r="D15" i="105"/>
  <c r="V15" i="105" s="1"/>
  <c r="D15" i="104"/>
  <c r="V15" i="104" s="1"/>
  <c r="D5" i="106"/>
  <c r="D5" i="105"/>
  <c r="D5" i="104"/>
  <c r="F357" i="106"/>
  <c r="F356" i="105"/>
  <c r="F357" i="105"/>
  <c r="F356" i="106"/>
  <c r="D3" i="105"/>
  <c r="D3" i="104"/>
  <c r="D3" i="106"/>
  <c r="V102" i="106" l="1"/>
  <c r="X134" i="104"/>
  <c r="W134" i="104"/>
  <c r="V134" i="104"/>
  <c r="Y134" i="104"/>
  <c r="X205" i="104"/>
  <c r="V205" i="104"/>
  <c r="W282" i="105"/>
  <c r="Y282" i="105"/>
  <c r="V282" i="105"/>
  <c r="X282" i="105"/>
  <c r="X322" i="106"/>
  <c r="V322" i="106"/>
  <c r="X46" i="106"/>
  <c r="V46" i="106"/>
  <c r="X111" i="104"/>
  <c r="Y111" i="104"/>
  <c r="W111" i="104"/>
  <c r="V111" i="104"/>
  <c r="X75" i="105"/>
  <c r="V75" i="105"/>
  <c r="W5" i="104"/>
  <c r="Y5" i="104"/>
  <c r="V5" i="104"/>
  <c r="X5" i="104"/>
  <c r="X25" i="106"/>
  <c r="W25" i="106"/>
  <c r="Y25" i="106"/>
  <c r="V25" i="106"/>
  <c r="W51" i="104"/>
  <c r="Y51" i="104"/>
  <c r="V51" i="104"/>
  <c r="X51" i="104"/>
  <c r="X126" i="106"/>
  <c r="Y150" i="104"/>
  <c r="W150" i="104"/>
  <c r="V150" i="104"/>
  <c r="X150" i="104"/>
  <c r="X178" i="105"/>
  <c r="V178" i="105"/>
  <c r="Y178" i="105"/>
  <c r="W178" i="105"/>
  <c r="X196" i="106"/>
  <c r="V196" i="106"/>
  <c r="X222" i="105"/>
  <c r="V222" i="105"/>
  <c r="Y222" i="105"/>
  <c r="W222" i="105"/>
  <c r="W247" i="104"/>
  <c r="Y247" i="104"/>
  <c r="V247" i="104"/>
  <c r="X247" i="104"/>
  <c r="X269" i="106"/>
  <c r="V269" i="106"/>
  <c r="X298" i="105"/>
  <c r="V298" i="105"/>
  <c r="X322" i="104"/>
  <c r="V322" i="104"/>
  <c r="X338" i="106"/>
  <c r="V338" i="106"/>
  <c r="X339" i="105"/>
  <c r="V339" i="105"/>
  <c r="W339" i="105"/>
  <c r="Y339" i="105"/>
  <c r="X46" i="105"/>
  <c r="V46" i="105"/>
  <c r="Y46" i="105"/>
  <c r="W46" i="105"/>
  <c r="X217" i="105"/>
  <c r="Y217" i="105"/>
  <c r="W217" i="105"/>
  <c r="V217" i="105"/>
  <c r="X333" i="104"/>
  <c r="V333" i="104"/>
  <c r="Y333" i="104"/>
  <c r="W333" i="104"/>
  <c r="X184" i="104"/>
  <c r="V184" i="104"/>
  <c r="X310" i="104"/>
  <c r="V310" i="104"/>
  <c r="X193" i="104"/>
  <c r="V193" i="104"/>
  <c r="X6" i="104"/>
  <c r="V6" i="104"/>
  <c r="W6" i="104"/>
  <c r="Y6" i="104"/>
  <c r="X26" i="106"/>
  <c r="V26" i="106"/>
  <c r="Y26" i="106"/>
  <c r="W26" i="106"/>
  <c r="X55" i="104"/>
  <c r="Y55" i="104"/>
  <c r="W55" i="104"/>
  <c r="V55" i="104"/>
  <c r="X104" i="105"/>
  <c r="V104" i="105"/>
  <c r="X179" i="105"/>
  <c r="V179" i="105"/>
  <c r="X197" i="106"/>
  <c r="V197" i="106"/>
  <c r="X223" i="105"/>
  <c r="V223" i="105"/>
  <c r="W223" i="105"/>
  <c r="Y223" i="105"/>
  <c r="Y248" i="104"/>
  <c r="W248" i="104"/>
  <c r="V248" i="104"/>
  <c r="X248" i="104"/>
  <c r="X270" i="106"/>
  <c r="V270" i="106"/>
  <c r="X299" i="105"/>
  <c r="Y299" i="105"/>
  <c r="W299" i="105"/>
  <c r="V299" i="105"/>
  <c r="X323" i="104"/>
  <c r="W323" i="104"/>
  <c r="Y323" i="104"/>
  <c r="V323" i="104"/>
  <c r="X28" i="106"/>
  <c r="V28" i="106"/>
  <c r="X349" i="104"/>
  <c r="Y349" i="104"/>
  <c r="W349" i="104"/>
  <c r="V349" i="104"/>
  <c r="X146" i="106"/>
  <c r="V146" i="106"/>
  <c r="X294" i="105"/>
  <c r="W294" i="105"/>
  <c r="Y294" i="105"/>
  <c r="V294" i="105"/>
  <c r="X131" i="105"/>
  <c r="V131" i="105"/>
  <c r="X7" i="105"/>
  <c r="W7" i="105"/>
  <c r="Y7" i="105"/>
  <c r="V7" i="105"/>
  <c r="X35" i="105"/>
  <c r="V35" i="105"/>
  <c r="Y35" i="105"/>
  <c r="W35" i="105"/>
  <c r="X105" i="104"/>
  <c r="Y105" i="104"/>
  <c r="W105" i="104"/>
  <c r="V105" i="104"/>
  <c r="X136" i="105"/>
  <c r="V136" i="105"/>
  <c r="X182" i="104"/>
  <c r="X207" i="105"/>
  <c r="V207" i="105"/>
  <c r="Y207" i="105"/>
  <c r="W207" i="105"/>
  <c r="X224" i="106"/>
  <c r="V224" i="106"/>
  <c r="X249" i="105"/>
  <c r="V249" i="105"/>
  <c r="W249" i="105"/>
  <c r="Y249" i="105"/>
  <c r="X284" i="104"/>
  <c r="W284" i="104"/>
  <c r="Y284" i="104"/>
  <c r="V284" i="104"/>
  <c r="X300" i="106"/>
  <c r="Y300" i="106"/>
  <c r="W300" i="106"/>
  <c r="V300" i="106"/>
  <c r="X324" i="105"/>
  <c r="V324" i="105"/>
  <c r="W324" i="105"/>
  <c r="Y324" i="105"/>
  <c r="X8" i="104"/>
  <c r="W8" i="104"/>
  <c r="Y8" i="104"/>
  <c r="V8" i="104"/>
  <c r="X57" i="106"/>
  <c r="X173" i="104"/>
  <c r="V173" i="104"/>
  <c r="X285" i="104"/>
  <c r="W285" i="104"/>
  <c r="Y285" i="104"/>
  <c r="V285" i="104"/>
  <c r="X21" i="106"/>
  <c r="V21" i="106"/>
  <c r="W21" i="106"/>
  <c r="Y21" i="106"/>
  <c r="X163" i="104"/>
  <c r="V163" i="104"/>
  <c r="Y163" i="104"/>
  <c r="W163" i="104"/>
  <c r="X302" i="104"/>
  <c r="V302" i="104"/>
  <c r="X38" i="106"/>
  <c r="X185" i="104"/>
  <c r="V185" i="104"/>
  <c r="W185" i="104"/>
  <c r="Y185" i="104"/>
  <c r="X303" i="104"/>
  <c r="V303" i="104"/>
  <c r="X12" i="106"/>
  <c r="V12" i="106"/>
  <c r="X39" i="104"/>
  <c r="V39" i="104"/>
  <c r="Y39" i="104"/>
  <c r="W39" i="104"/>
  <c r="X86" i="105"/>
  <c r="X113" i="106"/>
  <c r="V113" i="106"/>
  <c r="X140" i="104"/>
  <c r="W140" i="104"/>
  <c r="V140" i="104"/>
  <c r="Y140" i="104"/>
  <c r="X165" i="105"/>
  <c r="V165" i="105"/>
  <c r="X212" i="104"/>
  <c r="W212" i="104"/>
  <c r="Y212" i="104"/>
  <c r="V212" i="104"/>
  <c r="V236" i="104"/>
  <c r="Y236" i="104"/>
  <c r="X236" i="104"/>
  <c r="W236" i="104"/>
  <c r="X253" i="106"/>
  <c r="V253" i="106"/>
  <c r="X288" i="105"/>
  <c r="V288" i="105"/>
  <c r="Y288" i="105"/>
  <c r="W288" i="105"/>
  <c r="X312" i="104"/>
  <c r="V312" i="104"/>
  <c r="X328" i="106"/>
  <c r="V328" i="106"/>
  <c r="X40" i="105"/>
  <c r="V40" i="105"/>
  <c r="X68" i="106"/>
  <c r="V68" i="106"/>
  <c r="X114" i="104"/>
  <c r="Y114" i="104"/>
  <c r="W114" i="104"/>
  <c r="V114" i="104"/>
  <c r="X141" i="105"/>
  <c r="V141" i="105"/>
  <c r="X158" i="106"/>
  <c r="V158" i="106"/>
  <c r="X187" i="104"/>
  <c r="V187" i="104"/>
  <c r="X213" i="105"/>
  <c r="W213" i="105"/>
  <c r="Y213" i="105"/>
  <c r="V213" i="105"/>
  <c r="Y254" i="105"/>
  <c r="W254" i="105"/>
  <c r="V254" i="105"/>
  <c r="X254" i="105"/>
  <c r="X289" i="104"/>
  <c r="W289" i="104"/>
  <c r="Y289" i="104"/>
  <c r="V289" i="104"/>
  <c r="X305" i="106"/>
  <c r="X329" i="105"/>
  <c r="Y329" i="105"/>
  <c r="W329" i="105"/>
  <c r="V329" i="105"/>
  <c r="X225" i="106"/>
  <c r="W225" i="106"/>
  <c r="V225" i="106"/>
  <c r="Y225" i="106"/>
  <c r="X272" i="105"/>
  <c r="V272" i="105"/>
  <c r="X341" i="104"/>
  <c r="V341" i="104"/>
  <c r="X37" i="106"/>
  <c r="X138" i="104"/>
  <c r="W138" i="104"/>
  <c r="Y138" i="104"/>
  <c r="V138" i="104"/>
  <c r="X218" i="104"/>
  <c r="W218" i="104"/>
  <c r="Y218" i="104"/>
  <c r="V218" i="104"/>
  <c r="Y259" i="106"/>
  <c r="W259" i="106"/>
  <c r="V259" i="106"/>
  <c r="X259" i="106"/>
  <c r="X342" i="105"/>
  <c r="V342" i="105"/>
  <c r="X82" i="105"/>
  <c r="V82" i="105"/>
  <c r="X122" i="106"/>
  <c r="V122" i="106"/>
  <c r="X211" i="104"/>
  <c r="Y211" i="104"/>
  <c r="W211" i="104"/>
  <c r="V211" i="104"/>
  <c r="W260" i="104"/>
  <c r="Y260" i="104"/>
  <c r="V260" i="104"/>
  <c r="X260" i="104"/>
  <c r="X319" i="106"/>
  <c r="V319" i="106"/>
  <c r="X351" i="105"/>
  <c r="V351" i="105"/>
  <c r="W351" i="105"/>
  <c r="Y351" i="105"/>
  <c r="X88" i="107"/>
  <c r="V88" i="107"/>
  <c r="X134" i="107"/>
  <c r="V134" i="107"/>
  <c r="X167" i="107"/>
  <c r="V167" i="107"/>
  <c r="X205" i="107"/>
  <c r="V205" i="107"/>
  <c r="X314" i="107"/>
  <c r="V314" i="107"/>
  <c r="X346" i="107"/>
  <c r="V346" i="107"/>
  <c r="X253" i="107"/>
  <c r="V253" i="107"/>
  <c r="X177" i="107"/>
  <c r="V177" i="107"/>
  <c r="X55" i="107"/>
  <c r="V55" i="107"/>
  <c r="X116" i="107"/>
  <c r="V116" i="107"/>
  <c r="X189" i="107"/>
  <c r="V189" i="107"/>
  <c r="X223" i="107"/>
  <c r="V223" i="107"/>
  <c r="X256" i="107"/>
  <c r="V256" i="107"/>
  <c r="X299" i="107"/>
  <c r="V299" i="107"/>
  <c r="X331" i="107"/>
  <c r="V331" i="107"/>
  <c r="X292" i="107"/>
  <c r="V292" i="107"/>
  <c r="X302" i="107"/>
  <c r="V302" i="107"/>
  <c r="X112" i="107"/>
  <c r="V112" i="107"/>
  <c r="X219" i="108"/>
  <c r="V219" i="108"/>
  <c r="X49" i="107"/>
  <c r="V49" i="107"/>
  <c r="X228" i="107"/>
  <c r="V228" i="107"/>
  <c r="X124" i="107"/>
  <c r="V124" i="107"/>
  <c r="X18" i="107"/>
  <c r="V18" i="107"/>
  <c r="X117" i="107"/>
  <c r="V117" i="107"/>
  <c r="X190" i="107"/>
  <c r="V190" i="107"/>
  <c r="X224" i="107"/>
  <c r="V224" i="107"/>
  <c r="X257" i="107"/>
  <c r="V257" i="107"/>
  <c r="X332" i="107"/>
  <c r="V332" i="107"/>
  <c r="X235" i="108"/>
  <c r="V235" i="108"/>
  <c r="X12" i="107"/>
  <c r="V12" i="107"/>
  <c r="X148" i="107"/>
  <c r="V148" i="107"/>
  <c r="X68" i="107"/>
  <c r="V68" i="107"/>
  <c r="X213" i="107"/>
  <c r="W213" i="107"/>
  <c r="Y213" i="107"/>
  <c r="V213" i="107"/>
  <c r="X57" i="107"/>
  <c r="X118" i="107"/>
  <c r="V118" i="107"/>
  <c r="X154" i="108"/>
  <c r="V154" i="108"/>
  <c r="X225" i="107"/>
  <c r="V225" i="107"/>
  <c r="X258" i="108"/>
  <c r="V258" i="108"/>
  <c r="X301" i="107"/>
  <c r="V301" i="107"/>
  <c r="X333" i="107"/>
  <c r="V333" i="107"/>
  <c r="X234" i="107"/>
  <c r="V234" i="107"/>
  <c r="X294" i="107"/>
  <c r="Y294" i="107"/>
  <c r="W294" i="107"/>
  <c r="V294" i="107"/>
  <c r="X175" i="107"/>
  <c r="V175" i="107"/>
  <c r="X287" i="107"/>
  <c r="V287" i="107"/>
  <c r="X86" i="107"/>
  <c r="X288" i="107"/>
  <c r="V288" i="107"/>
  <c r="X32" i="107"/>
  <c r="V32" i="107"/>
  <c r="X149" i="107"/>
  <c r="V149" i="107"/>
  <c r="X289" i="107"/>
  <c r="V289" i="107"/>
  <c r="X29" i="107"/>
  <c r="V29" i="107"/>
  <c r="X81" i="107"/>
  <c r="V81" i="107"/>
  <c r="X163" i="108"/>
  <c r="V163" i="108"/>
  <c r="X286" i="107"/>
  <c r="V286" i="107"/>
  <c r="X311" i="107"/>
  <c r="V311" i="107"/>
  <c r="X312" i="107"/>
  <c r="V312" i="107"/>
  <c r="W5" i="105"/>
  <c r="Y5" i="105"/>
  <c r="V5" i="105"/>
  <c r="X5" i="105"/>
  <c r="Y102" i="104"/>
  <c r="W102" i="104"/>
  <c r="V102" i="104"/>
  <c r="X102" i="104"/>
  <c r="X134" i="105"/>
  <c r="V134" i="105"/>
  <c r="X178" i="104"/>
  <c r="V178" i="104"/>
  <c r="Y178" i="104"/>
  <c r="W178" i="104"/>
  <c r="X205" i="105"/>
  <c r="V205" i="105"/>
  <c r="X222" i="106"/>
  <c r="V222" i="106"/>
  <c r="V247" i="105"/>
  <c r="X247" i="105"/>
  <c r="W247" i="105"/>
  <c r="Y247" i="105"/>
  <c r="W282" i="104"/>
  <c r="Y282" i="104"/>
  <c r="V282" i="104"/>
  <c r="X282" i="104"/>
  <c r="X298" i="106"/>
  <c r="V298" i="106"/>
  <c r="X322" i="105"/>
  <c r="V322" i="105"/>
  <c r="X346" i="104"/>
  <c r="Y346" i="104"/>
  <c r="W346" i="104"/>
  <c r="V346" i="104"/>
  <c r="X339" i="106"/>
  <c r="V339" i="106"/>
  <c r="X46" i="104"/>
  <c r="V46" i="104"/>
  <c r="W46" i="104"/>
  <c r="Y46" i="104"/>
  <c r="X137" i="105"/>
  <c r="V137" i="105"/>
  <c r="X217" i="106"/>
  <c r="X333" i="105"/>
  <c r="V333" i="105"/>
  <c r="W333" i="105"/>
  <c r="Y333" i="105"/>
  <c r="X111" i="105"/>
  <c r="V111" i="105"/>
  <c r="X184" i="106"/>
  <c r="V184" i="106"/>
  <c r="X310" i="105"/>
  <c r="V310" i="105"/>
  <c r="X99" i="105"/>
  <c r="X193" i="106"/>
  <c r="V193" i="106"/>
  <c r="X6" i="105"/>
  <c r="V6" i="105"/>
  <c r="W6" i="105"/>
  <c r="Y6" i="105"/>
  <c r="X55" i="106"/>
  <c r="V55" i="106"/>
  <c r="X104" i="104"/>
  <c r="W104" i="104"/>
  <c r="V104" i="104"/>
  <c r="Y104" i="104"/>
  <c r="X135" i="105"/>
  <c r="V135" i="105"/>
  <c r="X179" i="104"/>
  <c r="V179" i="104"/>
  <c r="X206" i="105"/>
  <c r="V206" i="105"/>
  <c r="X223" i="106"/>
  <c r="V223" i="106"/>
  <c r="V248" i="105"/>
  <c r="W248" i="105"/>
  <c r="X248" i="105"/>
  <c r="Y248" i="105"/>
  <c r="X283" i="104"/>
  <c r="V283" i="104"/>
  <c r="X299" i="106"/>
  <c r="W299" i="106"/>
  <c r="V299" i="106"/>
  <c r="Y299" i="106"/>
  <c r="X323" i="105"/>
  <c r="V323" i="105"/>
  <c r="W323" i="105"/>
  <c r="Y323" i="105"/>
  <c r="X93" i="105"/>
  <c r="X349" i="105"/>
  <c r="V349" i="105"/>
  <c r="X192" i="105"/>
  <c r="V192" i="105"/>
  <c r="X294" i="106"/>
  <c r="W294" i="106"/>
  <c r="Y294" i="106"/>
  <c r="V294" i="106"/>
  <c r="X131" i="104"/>
  <c r="W131" i="104"/>
  <c r="Y131" i="104"/>
  <c r="V131" i="104"/>
  <c r="X219" i="104"/>
  <c r="Y219" i="104"/>
  <c r="W219" i="104"/>
  <c r="V219" i="104"/>
  <c r="X7" i="106"/>
  <c r="Y7" i="106"/>
  <c r="W7" i="106"/>
  <c r="V7" i="106"/>
  <c r="X35" i="104"/>
  <c r="V35" i="104"/>
  <c r="W35" i="104"/>
  <c r="Y35" i="104"/>
  <c r="X79" i="105"/>
  <c r="V79" i="105"/>
  <c r="X105" i="106"/>
  <c r="V105" i="106"/>
  <c r="X136" i="104"/>
  <c r="Y136" i="104"/>
  <c r="W136" i="104"/>
  <c r="V136" i="104"/>
  <c r="X182" i="106"/>
  <c r="X207" i="104"/>
  <c r="V207" i="104"/>
  <c r="W207" i="104"/>
  <c r="Y207" i="104"/>
  <c r="V232" i="104"/>
  <c r="W232" i="104"/>
  <c r="Y232" i="104"/>
  <c r="X232" i="104"/>
  <c r="X249" i="106"/>
  <c r="V249" i="106"/>
  <c r="X284" i="105"/>
  <c r="V284" i="105"/>
  <c r="X308" i="104"/>
  <c r="V308" i="104"/>
  <c r="X324" i="106"/>
  <c r="V324" i="106"/>
  <c r="X8" i="105"/>
  <c r="X106" i="105"/>
  <c r="V106" i="105"/>
  <c r="X173" i="106"/>
  <c r="V173" i="106"/>
  <c r="X285" i="105"/>
  <c r="V285" i="105"/>
  <c r="X29" i="105"/>
  <c r="V29" i="105"/>
  <c r="X163" i="106"/>
  <c r="V163" i="106"/>
  <c r="X302" i="105"/>
  <c r="V302" i="105"/>
  <c r="X185" i="106"/>
  <c r="V185" i="106"/>
  <c r="X303" i="105"/>
  <c r="V303" i="105"/>
  <c r="X23" i="104"/>
  <c r="Y23" i="104"/>
  <c r="W23" i="104"/>
  <c r="V23" i="104"/>
  <c r="X39" i="106"/>
  <c r="V39" i="106"/>
  <c r="X86" i="104"/>
  <c r="Y86" i="104"/>
  <c r="W86" i="104"/>
  <c r="V86" i="104"/>
  <c r="X140" i="106"/>
  <c r="V140" i="106"/>
  <c r="X165" i="104"/>
  <c r="V165" i="104"/>
  <c r="X212" i="106"/>
  <c r="Y212" i="106"/>
  <c r="V212" i="106"/>
  <c r="W212" i="106"/>
  <c r="V236" i="105"/>
  <c r="X236" i="105"/>
  <c r="W236" i="105"/>
  <c r="Y236" i="105"/>
  <c r="Y261" i="104"/>
  <c r="W261" i="104"/>
  <c r="V261" i="104"/>
  <c r="X261" i="104"/>
  <c r="X288" i="106"/>
  <c r="V288" i="106"/>
  <c r="X312" i="105"/>
  <c r="V312" i="105"/>
  <c r="X336" i="104"/>
  <c r="W336" i="104"/>
  <c r="Y336" i="104"/>
  <c r="V336" i="104"/>
  <c r="X40" i="104"/>
  <c r="V40" i="104"/>
  <c r="X87" i="105"/>
  <c r="X114" i="106"/>
  <c r="V114" i="106"/>
  <c r="X141" i="104"/>
  <c r="W141" i="104"/>
  <c r="V141" i="104"/>
  <c r="Y141" i="104"/>
  <c r="X166" i="105"/>
  <c r="V166" i="105"/>
  <c r="X187" i="106"/>
  <c r="V187" i="106"/>
  <c r="X213" i="104"/>
  <c r="W213" i="104"/>
  <c r="Y213" i="104"/>
  <c r="V213" i="104"/>
  <c r="X237" i="104"/>
  <c r="Y237" i="104"/>
  <c r="W237" i="104"/>
  <c r="V237" i="104"/>
  <c r="X289" i="105"/>
  <c r="V289" i="105"/>
  <c r="W289" i="105"/>
  <c r="Y289" i="105"/>
  <c r="X329" i="106"/>
  <c r="V329" i="106"/>
  <c r="X145" i="104"/>
  <c r="W145" i="104"/>
  <c r="Y145" i="104"/>
  <c r="V145" i="104"/>
  <c r="X233" i="104"/>
  <c r="V233" i="104"/>
  <c r="W233" i="104"/>
  <c r="Y233" i="104"/>
  <c r="X272" i="106"/>
  <c r="V272" i="106"/>
  <c r="X341" i="105"/>
  <c r="V341" i="105"/>
  <c r="X81" i="105"/>
  <c r="V81" i="105"/>
  <c r="X138" i="106"/>
  <c r="V138" i="106"/>
  <c r="X218" i="105"/>
  <c r="Y218" i="105"/>
  <c r="W218" i="105"/>
  <c r="V218" i="105"/>
  <c r="X286" i="104"/>
  <c r="W286" i="104"/>
  <c r="Y286" i="104"/>
  <c r="V286" i="104"/>
  <c r="X342" i="106"/>
  <c r="V342" i="106"/>
  <c r="X82" i="104"/>
  <c r="W82" i="104"/>
  <c r="Y82" i="104"/>
  <c r="V82" i="104"/>
  <c r="X211" i="106"/>
  <c r="W211" i="106"/>
  <c r="Y211" i="106"/>
  <c r="V211" i="106"/>
  <c r="Y260" i="105"/>
  <c r="W260" i="105"/>
  <c r="V260" i="105"/>
  <c r="X260" i="105"/>
  <c r="X335" i="104"/>
  <c r="V335" i="104"/>
  <c r="Y335" i="104"/>
  <c r="W335" i="104"/>
  <c r="X351" i="106"/>
  <c r="X88" i="108"/>
  <c r="V88" i="108"/>
  <c r="X134" i="108"/>
  <c r="V134" i="108"/>
  <c r="X167" i="108"/>
  <c r="V167" i="108"/>
  <c r="X205" i="108"/>
  <c r="V205" i="108"/>
  <c r="X314" i="108"/>
  <c r="V314" i="108"/>
  <c r="X346" i="108"/>
  <c r="V346" i="108"/>
  <c r="X253" i="108"/>
  <c r="V253" i="108"/>
  <c r="X177" i="108"/>
  <c r="V177" i="108"/>
  <c r="X55" i="108"/>
  <c r="V55" i="108"/>
  <c r="X116" i="108"/>
  <c r="V116" i="108"/>
  <c r="X189" i="108"/>
  <c r="V189" i="108"/>
  <c r="X223" i="108"/>
  <c r="V223" i="108"/>
  <c r="X256" i="108"/>
  <c r="V256" i="108"/>
  <c r="X299" i="108"/>
  <c r="V299" i="108"/>
  <c r="X331" i="108"/>
  <c r="V331" i="108"/>
  <c r="X292" i="108"/>
  <c r="V292" i="108"/>
  <c r="X302" i="108"/>
  <c r="V302" i="108"/>
  <c r="X112" i="108"/>
  <c r="V112" i="108"/>
  <c r="X219" i="107"/>
  <c r="V219" i="107"/>
  <c r="X49" i="108"/>
  <c r="V49" i="108"/>
  <c r="X228" i="108"/>
  <c r="V228" i="108"/>
  <c r="X124" i="108"/>
  <c r="V124" i="108"/>
  <c r="X18" i="108"/>
  <c r="V18" i="108"/>
  <c r="X117" i="108"/>
  <c r="V117" i="108"/>
  <c r="X190" i="108"/>
  <c r="V190" i="108"/>
  <c r="X224" i="108"/>
  <c r="V224" i="108"/>
  <c r="X257" i="108"/>
  <c r="V257" i="108"/>
  <c r="X332" i="108"/>
  <c r="V332" i="108"/>
  <c r="X235" i="107"/>
  <c r="V235" i="107"/>
  <c r="X12" i="108"/>
  <c r="V12" i="108"/>
  <c r="X148" i="108"/>
  <c r="V148" i="108"/>
  <c r="X68" i="108"/>
  <c r="V68" i="108"/>
  <c r="X213" i="108"/>
  <c r="W213" i="108"/>
  <c r="Y213" i="108"/>
  <c r="V213" i="108"/>
  <c r="X57" i="108"/>
  <c r="X118" i="108"/>
  <c r="V118" i="108"/>
  <c r="X154" i="107"/>
  <c r="V154" i="107"/>
  <c r="X225" i="108"/>
  <c r="V225" i="108"/>
  <c r="X258" i="107"/>
  <c r="V258" i="107"/>
  <c r="X301" i="108"/>
  <c r="V301" i="108"/>
  <c r="X333" i="108"/>
  <c r="V333" i="108"/>
  <c r="X234" i="108"/>
  <c r="V234" i="108"/>
  <c r="X294" i="108"/>
  <c r="V294" i="108"/>
  <c r="X175" i="108"/>
  <c r="V175" i="108"/>
  <c r="X287" i="108"/>
  <c r="V287" i="108"/>
  <c r="X86" i="108"/>
  <c r="X288" i="108"/>
  <c r="V288" i="108"/>
  <c r="X32" i="108"/>
  <c r="V32" i="108"/>
  <c r="X149" i="108"/>
  <c r="V149" i="108"/>
  <c r="X289" i="108"/>
  <c r="V289" i="108"/>
  <c r="X29" i="108"/>
  <c r="V29" i="108"/>
  <c r="X81" i="108"/>
  <c r="V81" i="108"/>
  <c r="X163" i="107"/>
  <c r="V163" i="107"/>
  <c r="X286" i="108"/>
  <c r="V286" i="108"/>
  <c r="X311" i="108"/>
  <c r="V311" i="108"/>
  <c r="X312" i="108"/>
  <c r="V312" i="108"/>
  <c r="X72" i="105"/>
  <c r="X178" i="106"/>
  <c r="V178" i="106"/>
  <c r="X306" i="104"/>
  <c r="Y306" i="104"/>
  <c r="W306" i="104"/>
  <c r="V306" i="104"/>
  <c r="X137" i="104"/>
  <c r="W137" i="104"/>
  <c r="V137" i="104"/>
  <c r="Y137" i="104"/>
  <c r="Y226" i="104"/>
  <c r="X226" i="104"/>
  <c r="W226" i="104"/>
  <c r="V226" i="104"/>
  <c r="X6" i="106"/>
  <c r="V6" i="106"/>
  <c r="W6" i="106"/>
  <c r="Y6" i="106"/>
  <c r="X135" i="104"/>
  <c r="Y135" i="104"/>
  <c r="W135" i="104"/>
  <c r="V135" i="104"/>
  <c r="X323" i="106"/>
  <c r="V323" i="106"/>
  <c r="X349" i="106"/>
  <c r="V349" i="106"/>
  <c r="X131" i="106"/>
  <c r="V131" i="106"/>
  <c r="X35" i="106"/>
  <c r="X136" i="106"/>
  <c r="V136" i="106"/>
  <c r="V232" i="105"/>
  <c r="Y232" i="105"/>
  <c r="X232" i="105"/>
  <c r="W232" i="105"/>
  <c r="X332" i="104"/>
  <c r="V332" i="104"/>
  <c r="X285" i="106"/>
  <c r="V285" i="106"/>
  <c r="X302" i="106"/>
  <c r="V302" i="106"/>
  <c r="X303" i="106"/>
  <c r="V303" i="106"/>
  <c r="X49" i="105"/>
  <c r="V49" i="105"/>
  <c r="W49" i="105"/>
  <c r="Y49" i="105"/>
  <c r="X148" i="105"/>
  <c r="V148" i="105"/>
  <c r="X165" i="106"/>
  <c r="V165" i="106"/>
  <c r="X296" i="104"/>
  <c r="W296" i="104"/>
  <c r="Y296" i="104"/>
  <c r="V296" i="104"/>
  <c r="X336" i="105"/>
  <c r="V336" i="105"/>
  <c r="Y336" i="105"/>
  <c r="W336" i="105"/>
  <c r="X24" i="105"/>
  <c r="W24" i="105"/>
  <c r="Y24" i="105"/>
  <c r="V24" i="105"/>
  <c r="X40" i="106"/>
  <c r="V40" i="106"/>
  <c r="X124" i="105"/>
  <c r="V124" i="105"/>
  <c r="X141" i="106"/>
  <c r="V141" i="106"/>
  <c r="X166" i="104"/>
  <c r="V166" i="104"/>
  <c r="X213" i="106"/>
  <c r="W213" i="106"/>
  <c r="Y213" i="106"/>
  <c r="V213" i="106"/>
  <c r="X237" i="105"/>
  <c r="Y237" i="105"/>
  <c r="W237" i="105"/>
  <c r="V237" i="105"/>
  <c r="X262" i="104"/>
  <c r="W262" i="104"/>
  <c r="Y262" i="104"/>
  <c r="V262" i="104"/>
  <c r="X289" i="106"/>
  <c r="V289" i="106"/>
  <c r="X337" i="104"/>
  <c r="V337" i="104"/>
  <c r="Y337" i="104"/>
  <c r="W337" i="104"/>
  <c r="X233" i="105"/>
  <c r="V233" i="105"/>
  <c r="Y233" i="105"/>
  <c r="W233" i="105"/>
  <c r="X309" i="104"/>
  <c r="V309" i="104"/>
  <c r="X341" i="106"/>
  <c r="V341" i="106"/>
  <c r="X81" i="104"/>
  <c r="Y81" i="104"/>
  <c r="W81" i="104"/>
  <c r="V81" i="104"/>
  <c r="X218" i="106"/>
  <c r="X286" i="105"/>
  <c r="V286" i="105"/>
  <c r="X11" i="104"/>
  <c r="Y11" i="104"/>
  <c r="W11" i="104"/>
  <c r="V11" i="104"/>
  <c r="X227" i="104"/>
  <c r="V227" i="104"/>
  <c r="Y260" i="106"/>
  <c r="W260" i="106"/>
  <c r="V260" i="106"/>
  <c r="X260" i="106"/>
  <c r="X335" i="105"/>
  <c r="V335" i="105"/>
  <c r="W335" i="105"/>
  <c r="Y335" i="105"/>
  <c r="X42" i="107"/>
  <c r="X142" i="107"/>
  <c r="V142" i="107"/>
  <c r="X178" i="108"/>
  <c r="V178" i="108"/>
  <c r="X214" i="107"/>
  <c r="W214" i="107"/>
  <c r="Y214" i="107"/>
  <c r="V214" i="107"/>
  <c r="X290" i="107"/>
  <c r="V290" i="107"/>
  <c r="X322" i="107"/>
  <c r="V322" i="107"/>
  <c r="X26" i="107"/>
  <c r="V26" i="107"/>
  <c r="X75" i="108"/>
  <c r="V75" i="108"/>
  <c r="X197" i="107"/>
  <c r="V197" i="107"/>
  <c r="X231" i="107"/>
  <c r="V231" i="107"/>
  <c r="X270" i="107"/>
  <c r="V270" i="107"/>
  <c r="X307" i="107"/>
  <c r="V307" i="107"/>
  <c r="X339" i="107"/>
  <c r="V339" i="107"/>
  <c r="X308" i="107"/>
  <c r="V308" i="107"/>
  <c r="X350" i="107"/>
  <c r="X147" i="108"/>
  <c r="V147" i="108"/>
  <c r="X274" i="107"/>
  <c r="V274" i="107"/>
  <c r="X176" i="107"/>
  <c r="X245" i="107"/>
  <c r="X158" i="107"/>
  <c r="V158" i="107"/>
  <c r="X305" i="107"/>
  <c r="X27" i="108"/>
  <c r="V27" i="108"/>
  <c r="X79" i="107"/>
  <c r="V79" i="107"/>
  <c r="X128" i="107"/>
  <c r="V128" i="107"/>
  <c r="X198" i="107"/>
  <c r="V198" i="107"/>
  <c r="X271" i="107"/>
  <c r="V271" i="107"/>
  <c r="X340" i="108"/>
  <c r="V340" i="108"/>
  <c r="X99" i="107"/>
  <c r="X295" i="107"/>
  <c r="V295" i="107"/>
  <c r="X39" i="107"/>
  <c r="V39" i="107"/>
  <c r="X297" i="107"/>
  <c r="V297" i="107"/>
  <c r="X28" i="107"/>
  <c r="V28" i="107"/>
  <c r="X80" i="107"/>
  <c r="V80" i="107"/>
  <c r="X162" i="108"/>
  <c r="V162" i="108"/>
  <c r="X199" i="107"/>
  <c r="V199" i="107"/>
  <c r="X233" i="107"/>
  <c r="V233" i="107"/>
  <c r="X272" i="107"/>
  <c r="V272" i="107"/>
  <c r="X309" i="107"/>
  <c r="V309" i="107"/>
  <c r="X341" i="107"/>
  <c r="V341" i="107"/>
  <c r="X318" i="107"/>
  <c r="V318" i="107"/>
  <c r="X82" i="107"/>
  <c r="V82" i="107"/>
  <c r="X227" i="107"/>
  <c r="V227" i="107"/>
  <c r="X327" i="107"/>
  <c r="V327" i="107"/>
  <c r="X140" i="107"/>
  <c r="V140" i="107"/>
  <c r="X296" i="107"/>
  <c r="V296" i="107"/>
  <c r="X40" i="107"/>
  <c r="V40" i="107"/>
  <c r="X187" i="108"/>
  <c r="V187" i="108"/>
  <c r="X329" i="107"/>
  <c r="V329" i="107"/>
  <c r="X37" i="107"/>
  <c r="X138" i="107"/>
  <c r="V138" i="107"/>
  <c r="X210" i="108"/>
  <c r="V210" i="108"/>
  <c r="X326" i="107"/>
  <c r="V326" i="107"/>
  <c r="X193" i="107"/>
  <c r="V193" i="107"/>
  <c r="X72" i="104"/>
  <c r="W72" i="104"/>
  <c r="Y72" i="104"/>
  <c r="V72" i="104"/>
  <c r="X115" i="105"/>
  <c r="V115" i="105"/>
  <c r="X134" i="106"/>
  <c r="V134" i="106"/>
  <c r="X159" i="104"/>
  <c r="V159" i="104"/>
  <c r="X188" i="105"/>
  <c r="V188" i="105"/>
  <c r="X205" i="106"/>
  <c r="V205" i="106"/>
  <c r="X230" i="105"/>
  <c r="V230" i="105"/>
  <c r="Y255" i="104"/>
  <c r="W255" i="104"/>
  <c r="V255" i="104"/>
  <c r="X255" i="104"/>
  <c r="Y282" i="106"/>
  <c r="W282" i="106"/>
  <c r="V282" i="106"/>
  <c r="X282" i="106"/>
  <c r="X306" i="105"/>
  <c r="W306" i="105"/>
  <c r="Y306" i="105"/>
  <c r="V306" i="105"/>
  <c r="X330" i="104"/>
  <c r="W330" i="104"/>
  <c r="Y330" i="104"/>
  <c r="V330" i="104"/>
  <c r="X346" i="106"/>
  <c r="V346" i="106"/>
  <c r="X347" i="105"/>
  <c r="Y347" i="105"/>
  <c r="W347" i="105"/>
  <c r="V347" i="105"/>
  <c r="X80" i="105"/>
  <c r="V80" i="105"/>
  <c r="X137" i="106"/>
  <c r="V137" i="106"/>
  <c r="X241" i="105"/>
  <c r="V241" i="105"/>
  <c r="X47" i="105"/>
  <c r="V47" i="105"/>
  <c r="Y47" i="105"/>
  <c r="W47" i="105"/>
  <c r="X111" i="106"/>
  <c r="V111" i="106"/>
  <c r="V226" i="105"/>
  <c r="W226" i="105"/>
  <c r="Y226" i="105"/>
  <c r="X226" i="105"/>
  <c r="X326" i="104"/>
  <c r="V326" i="104"/>
  <c r="Y326" i="104"/>
  <c r="W326" i="104"/>
  <c r="X99" i="106"/>
  <c r="X252" i="105"/>
  <c r="V252" i="105"/>
  <c r="X75" i="104"/>
  <c r="Y75" i="104"/>
  <c r="W75" i="104"/>
  <c r="V75" i="104"/>
  <c r="X116" i="105"/>
  <c r="V116" i="105"/>
  <c r="X135" i="106"/>
  <c r="V135" i="106"/>
  <c r="X189" i="105"/>
  <c r="V189" i="105"/>
  <c r="X206" i="106"/>
  <c r="V206" i="106"/>
  <c r="X231" i="105"/>
  <c r="V231" i="105"/>
  <c r="W231" i="105"/>
  <c r="Y231" i="105"/>
  <c r="X256" i="104"/>
  <c r="W256" i="104"/>
  <c r="V256" i="104"/>
  <c r="Y256" i="104"/>
  <c r="X283" i="106"/>
  <c r="V283" i="106"/>
  <c r="X307" i="105"/>
  <c r="V307" i="105"/>
  <c r="X348" i="104"/>
  <c r="W348" i="104"/>
  <c r="Y348" i="104"/>
  <c r="V348" i="104"/>
  <c r="X93" i="106"/>
  <c r="X199" i="104"/>
  <c r="V199" i="104"/>
  <c r="X58" i="105"/>
  <c r="V58" i="105"/>
  <c r="Y58" i="105"/>
  <c r="W58" i="105"/>
  <c r="X192" i="106"/>
  <c r="V192" i="106"/>
  <c r="V334" i="105"/>
  <c r="W334" i="105"/>
  <c r="Y334" i="105"/>
  <c r="X334" i="105"/>
  <c r="X219" i="106"/>
  <c r="V219" i="106"/>
  <c r="X18" i="105"/>
  <c r="V18" i="105"/>
  <c r="V45" i="105"/>
  <c r="X45" i="105"/>
  <c r="W45" i="105"/>
  <c r="Y45" i="105"/>
  <c r="X79" i="106"/>
  <c r="V79" i="106"/>
  <c r="X117" i="104"/>
  <c r="W117" i="104"/>
  <c r="Y117" i="104"/>
  <c r="V117" i="104"/>
  <c r="X144" i="105"/>
  <c r="V144" i="105"/>
  <c r="Y144" i="105"/>
  <c r="W144" i="105"/>
  <c r="X190" i="104"/>
  <c r="V190" i="104"/>
  <c r="X216" i="104"/>
  <c r="Y216" i="104"/>
  <c r="W216" i="104"/>
  <c r="V216" i="104"/>
  <c r="X257" i="105"/>
  <c r="Y257" i="105"/>
  <c r="V257" i="105"/>
  <c r="W257" i="105"/>
  <c r="X292" i="104"/>
  <c r="V292" i="104"/>
  <c r="W292" i="104"/>
  <c r="Y292" i="104"/>
  <c r="X308" i="106"/>
  <c r="V308" i="106"/>
  <c r="X332" i="105"/>
  <c r="V332" i="105"/>
  <c r="X36" i="105"/>
  <c r="V36" i="105"/>
  <c r="W36" i="105"/>
  <c r="Y36" i="105"/>
  <c r="X106" i="106"/>
  <c r="V106" i="106"/>
  <c r="X208" i="104"/>
  <c r="V208" i="104"/>
  <c r="W208" i="104"/>
  <c r="Y208" i="104"/>
  <c r="X301" i="104"/>
  <c r="V301" i="104"/>
  <c r="W301" i="104"/>
  <c r="Y301" i="104"/>
  <c r="X29" i="106"/>
  <c r="V29" i="106"/>
  <c r="X210" i="104"/>
  <c r="V210" i="104"/>
  <c r="W210" i="104"/>
  <c r="Y210" i="104"/>
  <c r="X350" i="104"/>
  <c r="W350" i="104"/>
  <c r="Y350" i="104"/>
  <c r="V350" i="104"/>
  <c r="X243" i="105"/>
  <c r="X311" i="104"/>
  <c r="V311" i="104"/>
  <c r="X23" i="106"/>
  <c r="Y23" i="106"/>
  <c r="V23" i="106"/>
  <c r="W23" i="106"/>
  <c r="X49" i="104"/>
  <c r="W49" i="104"/>
  <c r="V49" i="104"/>
  <c r="Y49" i="104"/>
  <c r="X148" i="104"/>
  <c r="V148" i="104"/>
  <c r="W148" i="104"/>
  <c r="Y148" i="104"/>
  <c r="X176" i="105"/>
  <c r="X220" i="105"/>
  <c r="W220" i="105"/>
  <c r="Y220" i="105"/>
  <c r="V220" i="105"/>
  <c r="X245" i="104"/>
  <c r="Y245" i="104"/>
  <c r="W245" i="104"/>
  <c r="V245" i="104"/>
  <c r="W261" i="106"/>
  <c r="Y261" i="106"/>
  <c r="V261" i="106"/>
  <c r="X261" i="106"/>
  <c r="X296" i="105"/>
  <c r="V296" i="105"/>
  <c r="Y296" i="105"/>
  <c r="W296" i="105"/>
  <c r="X320" i="104"/>
  <c r="Y320" i="104"/>
  <c r="W320" i="104"/>
  <c r="V320" i="104"/>
  <c r="X336" i="106"/>
  <c r="V336" i="106"/>
  <c r="X24" i="104"/>
  <c r="W24" i="104"/>
  <c r="Y24" i="104"/>
  <c r="V24" i="104"/>
  <c r="X50" i="105"/>
  <c r="V50" i="105"/>
  <c r="Y50" i="105"/>
  <c r="W50" i="105"/>
  <c r="X124" i="104"/>
  <c r="Y124" i="104"/>
  <c r="W124" i="104"/>
  <c r="V124" i="104"/>
  <c r="X149" i="105"/>
  <c r="V149" i="105"/>
  <c r="X166" i="106"/>
  <c r="V166" i="106"/>
  <c r="X221" i="104"/>
  <c r="W221" i="104"/>
  <c r="Y221" i="104"/>
  <c r="V221" i="104"/>
  <c r="X237" i="106"/>
  <c r="W237" i="106"/>
  <c r="Y237" i="106"/>
  <c r="V237" i="106"/>
  <c r="X262" i="105"/>
  <c r="Y262" i="105"/>
  <c r="W262" i="105"/>
  <c r="V262" i="105"/>
  <c r="X297" i="104"/>
  <c r="Y297" i="104"/>
  <c r="W297" i="104"/>
  <c r="V297" i="104"/>
  <c r="X337" i="105"/>
  <c r="V337" i="105"/>
  <c r="W337" i="105"/>
  <c r="Y337" i="105"/>
  <c r="X162" i="105"/>
  <c r="V162" i="105"/>
  <c r="X233" i="106"/>
  <c r="V233" i="106"/>
  <c r="X309" i="105"/>
  <c r="V309" i="105"/>
  <c r="Y9" i="104"/>
  <c r="W9" i="104"/>
  <c r="V9" i="104"/>
  <c r="X9" i="104"/>
  <c r="X81" i="106"/>
  <c r="V81" i="106"/>
  <c r="Y251" i="104"/>
  <c r="W251" i="104"/>
  <c r="V251" i="104"/>
  <c r="X251" i="104"/>
  <c r="X286" i="106"/>
  <c r="V286" i="106"/>
  <c r="X11" i="105"/>
  <c r="X112" i="105"/>
  <c r="V112" i="105"/>
  <c r="X227" i="105"/>
  <c r="V227" i="105"/>
  <c r="X287" i="104"/>
  <c r="W287" i="104"/>
  <c r="Y287" i="104"/>
  <c r="V287" i="104"/>
  <c r="X335" i="106"/>
  <c r="V335" i="106"/>
  <c r="X42" i="108"/>
  <c r="X142" i="108"/>
  <c r="V142" i="108"/>
  <c r="X178" i="107"/>
  <c r="V178" i="107"/>
  <c r="X214" i="108"/>
  <c r="W214" i="108"/>
  <c r="Y214" i="108"/>
  <c r="V214" i="108"/>
  <c r="X290" i="108"/>
  <c r="V290" i="108"/>
  <c r="X322" i="108"/>
  <c r="V322" i="108"/>
  <c r="X26" i="108"/>
  <c r="V26" i="108"/>
  <c r="X75" i="107"/>
  <c r="V75" i="107"/>
  <c r="X197" i="108"/>
  <c r="V197" i="108"/>
  <c r="X231" i="108"/>
  <c r="V231" i="108"/>
  <c r="X270" i="108"/>
  <c r="V270" i="108"/>
  <c r="X307" i="108"/>
  <c r="V307" i="108"/>
  <c r="X339" i="108"/>
  <c r="V339" i="108"/>
  <c r="X308" i="108"/>
  <c r="V308" i="108"/>
  <c r="X350" i="108"/>
  <c r="X147" i="107"/>
  <c r="V147" i="107"/>
  <c r="X274" i="108"/>
  <c r="V274" i="108"/>
  <c r="X176" i="108"/>
  <c r="X245" i="108"/>
  <c r="X158" i="108"/>
  <c r="V158" i="108"/>
  <c r="X305" i="108"/>
  <c r="X27" i="107"/>
  <c r="V27" i="107"/>
  <c r="X79" i="108"/>
  <c r="V79" i="108"/>
  <c r="X128" i="108"/>
  <c r="V128" i="108"/>
  <c r="X198" i="108"/>
  <c r="V198" i="108"/>
  <c r="X271" i="108"/>
  <c r="V271" i="108"/>
  <c r="X340" i="107"/>
  <c r="V340" i="107"/>
  <c r="X99" i="108"/>
  <c r="X295" i="108"/>
  <c r="V295" i="108"/>
  <c r="X39" i="108"/>
  <c r="V39" i="108"/>
  <c r="X297" i="108"/>
  <c r="V297" i="108"/>
  <c r="X28" i="108"/>
  <c r="V28" i="108"/>
  <c r="X80" i="108"/>
  <c r="V80" i="108"/>
  <c r="X162" i="107"/>
  <c r="V162" i="107"/>
  <c r="X199" i="108"/>
  <c r="V199" i="108"/>
  <c r="X233" i="108"/>
  <c r="V233" i="108"/>
  <c r="X272" i="108"/>
  <c r="V272" i="108"/>
  <c r="X309" i="108"/>
  <c r="V309" i="108"/>
  <c r="X341" i="108"/>
  <c r="V341" i="108"/>
  <c r="X318" i="108"/>
  <c r="V318" i="108"/>
  <c r="X82" i="108"/>
  <c r="V82" i="108"/>
  <c r="X227" i="108"/>
  <c r="V227" i="108"/>
  <c r="X327" i="108"/>
  <c r="V327" i="108"/>
  <c r="X140" i="108"/>
  <c r="V140" i="108"/>
  <c r="X296" i="108"/>
  <c r="V296" i="108"/>
  <c r="X40" i="108"/>
  <c r="V40" i="108"/>
  <c r="X187" i="107"/>
  <c r="V187" i="107"/>
  <c r="X329" i="108"/>
  <c r="V329" i="108"/>
  <c r="X37" i="108"/>
  <c r="X138" i="108"/>
  <c r="V138" i="108"/>
  <c r="X210" i="107"/>
  <c r="V210" i="107"/>
  <c r="X326" i="108"/>
  <c r="V326" i="108"/>
  <c r="X193" i="108"/>
  <c r="V193" i="108"/>
  <c r="X115" i="104"/>
  <c r="Y115" i="104"/>
  <c r="W115" i="104"/>
  <c r="V115" i="104"/>
  <c r="X188" i="104"/>
  <c r="V188" i="104"/>
  <c r="W255" i="105"/>
  <c r="Y255" i="105"/>
  <c r="V255" i="105"/>
  <c r="X255" i="105"/>
  <c r="X331" i="104"/>
  <c r="V331" i="104"/>
  <c r="X231" i="106"/>
  <c r="V231" i="106"/>
  <c r="X307" i="106"/>
  <c r="V307" i="106"/>
  <c r="X199" i="106"/>
  <c r="V199" i="106"/>
  <c r="X273" i="104"/>
  <c r="V273" i="104"/>
  <c r="X18" i="106"/>
  <c r="V18" i="106"/>
  <c r="X117" i="106"/>
  <c r="V117" i="106"/>
  <c r="X190" i="106"/>
  <c r="V190" i="106"/>
  <c r="X257" i="106"/>
  <c r="V257" i="106"/>
  <c r="X332" i="106"/>
  <c r="V332" i="106"/>
  <c r="X208" i="106"/>
  <c r="V208" i="106"/>
  <c r="X210" i="106"/>
  <c r="V210" i="106"/>
  <c r="X148" i="106"/>
  <c r="V148" i="106"/>
  <c r="X277" i="104"/>
  <c r="W277" i="104"/>
  <c r="Y277" i="104"/>
  <c r="V277" i="104"/>
  <c r="X24" i="106"/>
  <c r="W24" i="106"/>
  <c r="Y24" i="106"/>
  <c r="V24" i="106"/>
  <c r="W246" i="104"/>
  <c r="Y246" i="104"/>
  <c r="V246" i="104"/>
  <c r="X246" i="104"/>
  <c r="X321" i="104"/>
  <c r="V321" i="104"/>
  <c r="W250" i="104"/>
  <c r="Y250" i="104"/>
  <c r="V250" i="104"/>
  <c r="X250" i="104"/>
  <c r="X112" i="104"/>
  <c r="Y112" i="104"/>
  <c r="V112" i="104"/>
  <c r="W112" i="104"/>
  <c r="X157" i="107"/>
  <c r="V157" i="107"/>
  <c r="X170" i="107"/>
  <c r="V170" i="107"/>
  <c r="X283" i="107"/>
  <c r="V283" i="107"/>
  <c r="X324" i="107"/>
  <c r="V324" i="107"/>
  <c r="X345" i="107"/>
  <c r="V345" i="107"/>
  <c r="X136" i="107"/>
  <c r="V136" i="107"/>
  <c r="X207" i="107"/>
  <c r="V207" i="107"/>
  <c r="X300" i="107"/>
  <c r="V300" i="107"/>
  <c r="X113" i="107"/>
  <c r="V113" i="107"/>
  <c r="X36" i="107"/>
  <c r="V36" i="107"/>
  <c r="X173" i="107"/>
  <c r="V173" i="107"/>
  <c r="X351" i="107"/>
  <c r="X111" i="107"/>
  <c r="V111" i="107"/>
  <c r="X184" i="107"/>
  <c r="V184" i="107"/>
  <c r="X252" i="107"/>
  <c r="V252" i="107"/>
  <c r="X321" i="107"/>
  <c r="V321" i="107"/>
  <c r="X42" i="104"/>
  <c r="V42" i="104"/>
  <c r="Y42" i="104"/>
  <c r="W42" i="104"/>
  <c r="X88" i="105"/>
  <c r="V88" i="105"/>
  <c r="X115" i="106"/>
  <c r="V115" i="106"/>
  <c r="X142" i="104"/>
  <c r="W142" i="104"/>
  <c r="V142" i="104"/>
  <c r="Y142" i="104"/>
  <c r="X167" i="105"/>
  <c r="V167" i="105"/>
  <c r="X188" i="106"/>
  <c r="V188" i="106"/>
  <c r="X214" i="104"/>
  <c r="Y214" i="104"/>
  <c r="W214" i="104"/>
  <c r="V214" i="104"/>
  <c r="X238" i="104"/>
  <c r="W238" i="104"/>
  <c r="Y238" i="104"/>
  <c r="V238" i="104"/>
  <c r="X290" i="105"/>
  <c r="V290" i="105"/>
  <c r="Y290" i="105"/>
  <c r="W290" i="105"/>
  <c r="X314" i="104"/>
  <c r="V314" i="104"/>
  <c r="X330" i="106"/>
  <c r="V330" i="106"/>
  <c r="X331" i="105"/>
  <c r="V331" i="105"/>
  <c r="X80" i="106"/>
  <c r="V80" i="106"/>
  <c r="X183" i="104"/>
  <c r="X293" i="104"/>
  <c r="V293" i="104"/>
  <c r="W293" i="104"/>
  <c r="Y293" i="104"/>
  <c r="X47" i="106"/>
  <c r="V130" i="104"/>
  <c r="Y130" i="104"/>
  <c r="W130" i="104"/>
  <c r="X130" i="104"/>
  <c r="X234" i="104"/>
  <c r="V234" i="104"/>
  <c r="W234" i="104"/>
  <c r="Y234" i="104"/>
  <c r="X326" i="106"/>
  <c r="V326" i="106"/>
  <c r="X147" i="104"/>
  <c r="W147" i="104"/>
  <c r="Y147" i="104"/>
  <c r="V147" i="104"/>
  <c r="X274" i="104"/>
  <c r="W274" i="104"/>
  <c r="Y274" i="104"/>
  <c r="V274" i="104"/>
  <c r="X116" i="106"/>
  <c r="V116" i="106"/>
  <c r="X143" i="104"/>
  <c r="W143" i="104"/>
  <c r="V143" i="104"/>
  <c r="Y143" i="104"/>
  <c r="X170" i="105"/>
  <c r="V170" i="105"/>
  <c r="Y170" i="105"/>
  <c r="W170" i="105"/>
  <c r="X189" i="106"/>
  <c r="V189" i="106"/>
  <c r="X215" i="105"/>
  <c r="W215" i="105"/>
  <c r="Y215" i="105"/>
  <c r="V215" i="105"/>
  <c r="W239" i="104"/>
  <c r="Y239" i="104"/>
  <c r="V239" i="104"/>
  <c r="X239" i="104"/>
  <c r="X256" i="106"/>
  <c r="V256" i="106"/>
  <c r="X291" i="105"/>
  <c r="Y291" i="105"/>
  <c r="W291" i="105"/>
  <c r="V291" i="105"/>
  <c r="X315" i="104"/>
  <c r="V315" i="104"/>
  <c r="X348" i="106"/>
  <c r="V348" i="106"/>
  <c r="X154" i="104"/>
  <c r="V154" i="104"/>
  <c r="X317" i="104"/>
  <c r="W317" i="104"/>
  <c r="Y317" i="104"/>
  <c r="V317" i="104"/>
  <c r="X58" i="106"/>
  <c r="V58" i="106"/>
  <c r="X273" i="105"/>
  <c r="V273" i="105"/>
  <c r="V48" i="105"/>
  <c r="W48" i="105"/>
  <c r="Y48" i="105"/>
  <c r="X48" i="105"/>
  <c r="X327" i="105"/>
  <c r="V327" i="105"/>
  <c r="W327" i="105"/>
  <c r="Y327" i="105"/>
  <c r="X27" i="105"/>
  <c r="V27" i="105"/>
  <c r="X92" i="104"/>
  <c r="Y92" i="104"/>
  <c r="W92" i="104"/>
  <c r="V92" i="104"/>
  <c r="X128" i="105"/>
  <c r="V128" i="105"/>
  <c r="X144" i="106"/>
  <c r="V144" i="106"/>
  <c r="X172" i="104"/>
  <c r="V172" i="104"/>
  <c r="X198" i="105"/>
  <c r="V198" i="105"/>
  <c r="X216" i="106"/>
  <c r="Y240" i="105"/>
  <c r="W240" i="105"/>
  <c r="V240" i="105"/>
  <c r="X240" i="105"/>
  <c r="X271" i="104"/>
  <c r="V271" i="104"/>
  <c r="W271" i="104"/>
  <c r="Y271" i="104"/>
  <c r="X292" i="106"/>
  <c r="V292" i="106"/>
  <c r="X316" i="105"/>
  <c r="V316" i="105"/>
  <c r="X340" i="104"/>
  <c r="V340" i="104"/>
  <c r="X36" i="106"/>
  <c r="V36" i="106"/>
  <c r="X118" i="104"/>
  <c r="Y118" i="104"/>
  <c r="W118" i="104"/>
  <c r="V118" i="104"/>
  <c r="X258" i="104"/>
  <c r="V258" i="104"/>
  <c r="X301" i="106"/>
  <c r="V301" i="106"/>
  <c r="X242" i="104"/>
  <c r="V242" i="104"/>
  <c r="X350" i="106"/>
  <c r="X295" i="104"/>
  <c r="W295" i="104"/>
  <c r="Y295" i="104"/>
  <c r="V295" i="104"/>
  <c r="X311" i="106"/>
  <c r="V311" i="106"/>
  <c r="X61" i="105"/>
  <c r="V61" i="105"/>
  <c r="X132" i="104"/>
  <c r="W132" i="104"/>
  <c r="Y132" i="104"/>
  <c r="V132" i="104"/>
  <c r="X157" i="105"/>
  <c r="V157" i="105"/>
  <c r="X176" i="106"/>
  <c r="X203" i="104"/>
  <c r="V203" i="104"/>
  <c r="X228" i="104"/>
  <c r="V228" i="104"/>
  <c r="X245" i="106"/>
  <c r="X277" i="105"/>
  <c r="V277" i="105"/>
  <c r="X304" i="104"/>
  <c r="V304" i="104"/>
  <c r="Y304" i="104"/>
  <c r="W304" i="104"/>
  <c r="X320" i="106"/>
  <c r="V320" i="106"/>
  <c r="X344" i="105"/>
  <c r="Y344" i="105"/>
  <c r="W344" i="105"/>
  <c r="V344" i="105"/>
  <c r="X32" i="105"/>
  <c r="V32" i="105"/>
  <c r="X50" i="106"/>
  <c r="V50" i="106"/>
  <c r="W101" i="104"/>
  <c r="Y101" i="104"/>
  <c r="V101" i="104"/>
  <c r="X101" i="104"/>
  <c r="X133" i="105"/>
  <c r="V133" i="105"/>
  <c r="X149" i="106"/>
  <c r="V149" i="106"/>
  <c r="X177" i="104"/>
  <c r="V177" i="104"/>
  <c r="V246" i="105"/>
  <c r="X246" i="105"/>
  <c r="W246" i="105"/>
  <c r="Y246" i="105"/>
  <c r="X297" i="106"/>
  <c r="W297" i="106"/>
  <c r="Y297" i="106"/>
  <c r="V297" i="106"/>
  <c r="X321" i="105"/>
  <c r="V321" i="105"/>
  <c r="X345" i="104"/>
  <c r="W345" i="104"/>
  <c r="V345" i="104"/>
  <c r="Y345" i="104"/>
  <c r="X162" i="106"/>
  <c r="V162" i="106"/>
  <c r="X325" i="104"/>
  <c r="V325" i="104"/>
  <c r="X119" i="104"/>
  <c r="W119" i="104"/>
  <c r="V119" i="104"/>
  <c r="Y119" i="104"/>
  <c r="X318" i="105"/>
  <c r="V318" i="105"/>
  <c r="Y318" i="105"/>
  <c r="W318" i="105"/>
  <c r="X30" i="105"/>
  <c r="V30" i="105"/>
  <c r="X112" i="106"/>
  <c r="V112" i="106"/>
  <c r="X175" i="104"/>
  <c r="V175" i="104"/>
  <c r="X235" i="104"/>
  <c r="V235" i="104"/>
  <c r="Y235" i="104"/>
  <c r="W235" i="104"/>
  <c r="X287" i="106"/>
  <c r="V287" i="106"/>
  <c r="X343" i="105"/>
  <c r="V343" i="105"/>
  <c r="X115" i="108"/>
  <c r="V115" i="108"/>
  <c r="X188" i="108"/>
  <c r="V188" i="108"/>
  <c r="X222" i="108"/>
  <c r="V222" i="108"/>
  <c r="X298" i="108"/>
  <c r="V298" i="108"/>
  <c r="X330" i="108"/>
  <c r="V330" i="108"/>
  <c r="X157" i="108"/>
  <c r="V157" i="108"/>
  <c r="X277" i="108"/>
  <c r="V277" i="108"/>
  <c r="X135" i="108"/>
  <c r="V135" i="108"/>
  <c r="X170" i="108"/>
  <c r="V170" i="108"/>
  <c r="X206" i="108"/>
  <c r="V206" i="108"/>
  <c r="X283" i="108"/>
  <c r="V283" i="108"/>
  <c r="X315" i="107"/>
  <c r="V315" i="107"/>
  <c r="X347" i="108"/>
  <c r="V347" i="108"/>
  <c r="X324" i="108"/>
  <c r="V324" i="108"/>
  <c r="X38" i="108"/>
  <c r="X343" i="108"/>
  <c r="V343" i="108"/>
  <c r="X304" i="108"/>
  <c r="X345" i="108"/>
  <c r="V345" i="108"/>
  <c r="X35" i="108"/>
  <c r="X92" i="108"/>
  <c r="V92" i="108"/>
  <c r="X136" i="108"/>
  <c r="V136" i="108"/>
  <c r="X172" i="108"/>
  <c r="V172" i="108"/>
  <c r="X207" i="108"/>
  <c r="V207" i="108"/>
  <c r="X300" i="108"/>
  <c r="V300" i="108"/>
  <c r="X310" i="108"/>
  <c r="V310" i="108"/>
  <c r="X319" i="108"/>
  <c r="V319" i="108"/>
  <c r="X113" i="108"/>
  <c r="V113" i="108"/>
  <c r="X320" i="108"/>
  <c r="V320" i="108"/>
  <c r="X133" i="108"/>
  <c r="V133" i="108"/>
  <c r="X36" i="108"/>
  <c r="V36" i="108"/>
  <c r="X137" i="108"/>
  <c r="V137" i="108"/>
  <c r="X173" i="108"/>
  <c r="V173" i="108"/>
  <c r="X208" i="108"/>
  <c r="V208" i="108"/>
  <c r="X241" i="108"/>
  <c r="V241" i="108"/>
  <c r="X285" i="108"/>
  <c r="V285" i="108"/>
  <c r="X317" i="108"/>
  <c r="V317" i="108"/>
  <c r="X349" i="108"/>
  <c r="V349" i="108"/>
  <c r="X342" i="108"/>
  <c r="V342" i="108"/>
  <c r="X131" i="108"/>
  <c r="V131" i="108"/>
  <c r="X243" i="108"/>
  <c r="X351" i="108"/>
  <c r="X165" i="108"/>
  <c r="V165" i="108"/>
  <c r="X328" i="108"/>
  <c r="V328" i="108"/>
  <c r="X47" i="108"/>
  <c r="X111" i="108"/>
  <c r="V111" i="108"/>
  <c r="X146" i="107"/>
  <c r="V146" i="107"/>
  <c r="X184" i="108"/>
  <c r="V184" i="108"/>
  <c r="X218" i="107"/>
  <c r="X30" i="108"/>
  <c r="V30" i="108"/>
  <c r="X252" i="108"/>
  <c r="V252" i="108"/>
  <c r="X132" i="108"/>
  <c r="V132" i="108"/>
  <c r="X24" i="108"/>
  <c r="V24" i="108"/>
  <c r="X321" i="108"/>
  <c r="V321" i="108"/>
  <c r="Y5" i="106"/>
  <c r="W5" i="106"/>
  <c r="V5" i="106"/>
  <c r="X5" i="106"/>
  <c r="X347" i="104"/>
  <c r="Y347" i="104"/>
  <c r="W347" i="104"/>
  <c r="V347" i="104"/>
  <c r="X333" i="106"/>
  <c r="V333" i="106"/>
  <c r="X310" i="106"/>
  <c r="V310" i="106"/>
  <c r="X252" i="104"/>
  <c r="W252" i="104"/>
  <c r="Y252" i="104"/>
  <c r="V252" i="104"/>
  <c r="X104" i="106"/>
  <c r="V104" i="106"/>
  <c r="X179" i="106"/>
  <c r="V179" i="106"/>
  <c r="X231" i="104"/>
  <c r="V231" i="104"/>
  <c r="Y231" i="104"/>
  <c r="W231" i="104"/>
  <c r="X93" i="104"/>
  <c r="Y93" i="104"/>
  <c r="W93" i="104"/>
  <c r="V93" i="104"/>
  <c r="X219" i="105"/>
  <c r="Y219" i="105"/>
  <c r="W219" i="105"/>
  <c r="V219" i="105"/>
  <c r="X284" i="106"/>
  <c r="V284" i="106"/>
  <c r="X106" i="104"/>
  <c r="W106" i="104"/>
  <c r="Y106" i="104"/>
  <c r="V106" i="104"/>
  <c r="W60" i="104"/>
  <c r="Y60" i="104"/>
  <c r="V60" i="104"/>
  <c r="X60" i="104"/>
  <c r="X86" i="106"/>
  <c r="X312" i="106"/>
  <c r="V312" i="106"/>
  <c r="X42" i="105"/>
  <c r="V42" i="105"/>
  <c r="Y42" i="105"/>
  <c r="W42" i="105"/>
  <c r="X142" i="105"/>
  <c r="V142" i="105"/>
  <c r="X214" i="105"/>
  <c r="W214" i="105"/>
  <c r="Y214" i="105"/>
  <c r="V214" i="105"/>
  <c r="X306" i="106"/>
  <c r="V306" i="106"/>
  <c r="X80" i="104"/>
  <c r="W80" i="104"/>
  <c r="V80" i="104"/>
  <c r="Y80" i="104"/>
  <c r="X241" i="106"/>
  <c r="V241" i="106"/>
  <c r="X326" i="105"/>
  <c r="V326" i="105"/>
  <c r="Y326" i="105"/>
  <c r="W326" i="105"/>
  <c r="X116" i="104"/>
  <c r="Y116" i="104"/>
  <c r="W116" i="104"/>
  <c r="V116" i="104"/>
  <c r="X189" i="104"/>
  <c r="V189" i="104"/>
  <c r="X256" i="105"/>
  <c r="Y256" i="105"/>
  <c r="W256" i="105"/>
  <c r="V256" i="105"/>
  <c r="X348" i="105"/>
  <c r="V348" i="105"/>
  <c r="X58" i="104"/>
  <c r="W58" i="104"/>
  <c r="Y58" i="104"/>
  <c r="V58" i="104"/>
  <c r="Y139" i="104"/>
  <c r="W139" i="104"/>
  <c r="V139" i="104"/>
  <c r="X139" i="104"/>
  <c r="Y45" i="104"/>
  <c r="W45" i="104"/>
  <c r="V45" i="104"/>
  <c r="X45" i="104"/>
  <c r="X144" i="104"/>
  <c r="W144" i="104"/>
  <c r="V144" i="104"/>
  <c r="Y144" i="104"/>
  <c r="X216" i="105"/>
  <c r="Y216" i="105"/>
  <c r="W216" i="105"/>
  <c r="V216" i="105"/>
  <c r="X292" i="105"/>
  <c r="V292" i="105"/>
  <c r="Y292" i="105"/>
  <c r="W292" i="105"/>
  <c r="X36" i="104"/>
  <c r="V36" i="104"/>
  <c r="Y36" i="104"/>
  <c r="W36" i="104"/>
  <c r="X301" i="105"/>
  <c r="V301" i="105"/>
  <c r="W301" i="105"/>
  <c r="Y301" i="105"/>
  <c r="X350" i="105"/>
  <c r="V350" i="105"/>
  <c r="W350" i="105"/>
  <c r="Y350" i="105"/>
  <c r="X243" i="106"/>
  <c r="X49" i="106"/>
  <c r="V49" i="106"/>
  <c r="X176" i="104"/>
  <c r="X296" i="106"/>
  <c r="W296" i="106"/>
  <c r="V296" i="106"/>
  <c r="Y296" i="106"/>
  <c r="X177" i="105"/>
  <c r="V177" i="105"/>
  <c r="X262" i="106"/>
  <c r="W262" i="106"/>
  <c r="Y262" i="106"/>
  <c r="V262" i="106"/>
  <c r="X337" i="106"/>
  <c r="V337" i="106"/>
  <c r="X309" i="106"/>
  <c r="V309" i="106"/>
  <c r="X175" i="105"/>
  <c r="V175" i="105"/>
  <c r="X343" i="104"/>
  <c r="V343" i="104"/>
  <c r="X298" i="107"/>
  <c r="V298" i="107"/>
  <c r="X347" i="107"/>
  <c r="V347" i="107"/>
  <c r="X38" i="107"/>
  <c r="X343" i="107"/>
  <c r="V343" i="107"/>
  <c r="X304" i="107"/>
  <c r="X35" i="107"/>
  <c r="X172" i="107"/>
  <c r="V172" i="107"/>
  <c r="X137" i="107"/>
  <c r="V137" i="107"/>
  <c r="X241" i="107"/>
  <c r="V241" i="107"/>
  <c r="X317" i="107"/>
  <c r="V317" i="107"/>
  <c r="X131" i="107"/>
  <c r="V131" i="107"/>
  <c r="X132" i="107"/>
  <c r="V132" i="107"/>
  <c r="X25" i="105"/>
  <c r="Y25" i="105"/>
  <c r="V25" i="105"/>
  <c r="W25" i="105"/>
  <c r="X42" i="106"/>
  <c r="X88" i="104"/>
  <c r="W88" i="104"/>
  <c r="Y88" i="104"/>
  <c r="V88" i="104"/>
  <c r="X126" i="105"/>
  <c r="X142" i="106"/>
  <c r="V142" i="106"/>
  <c r="X167" i="104"/>
  <c r="V167" i="104"/>
  <c r="X196" i="105"/>
  <c r="V196" i="105"/>
  <c r="X214" i="106"/>
  <c r="W214" i="106"/>
  <c r="V214" i="106"/>
  <c r="Y214" i="106"/>
  <c r="W238" i="105"/>
  <c r="Y238" i="105"/>
  <c r="V238" i="105"/>
  <c r="X238" i="105"/>
  <c r="X269" i="104"/>
  <c r="V269" i="104"/>
  <c r="Y269" i="104"/>
  <c r="W269" i="104"/>
  <c r="X290" i="106"/>
  <c r="V290" i="106"/>
  <c r="X314" i="105"/>
  <c r="V314" i="105"/>
  <c r="X338" i="104"/>
  <c r="V338" i="104"/>
  <c r="W338" i="104"/>
  <c r="Y338" i="104"/>
  <c r="X331" i="106"/>
  <c r="V331" i="106"/>
  <c r="V20" i="105"/>
  <c r="X183" i="106"/>
  <c r="X293" i="105"/>
  <c r="V293" i="105"/>
  <c r="W293" i="105"/>
  <c r="Y293" i="105"/>
  <c r="V97" i="105"/>
  <c r="X234" i="105"/>
  <c r="V234" i="105"/>
  <c r="W234" i="105"/>
  <c r="Y234" i="105"/>
  <c r="Y22" i="104"/>
  <c r="V22" i="104"/>
  <c r="W22" i="104"/>
  <c r="X22" i="104"/>
  <c r="X147" i="106"/>
  <c r="V147" i="106"/>
  <c r="X274" i="105"/>
  <c r="V274" i="105"/>
  <c r="X26" i="105"/>
  <c r="W26" i="105"/>
  <c r="V26" i="105"/>
  <c r="Y26" i="105"/>
  <c r="W91" i="104"/>
  <c r="Y91" i="104"/>
  <c r="V91" i="104"/>
  <c r="X91" i="104"/>
  <c r="X143" i="106"/>
  <c r="V143" i="106"/>
  <c r="X170" i="104"/>
  <c r="V170" i="104"/>
  <c r="W170" i="104"/>
  <c r="Y170" i="104"/>
  <c r="X197" i="105"/>
  <c r="V197" i="105"/>
  <c r="X215" i="106"/>
  <c r="Y215" i="106"/>
  <c r="V215" i="106"/>
  <c r="W215" i="106"/>
  <c r="X270" i="104"/>
  <c r="V270" i="104"/>
  <c r="Y270" i="104"/>
  <c r="W270" i="104"/>
  <c r="X291" i="106"/>
  <c r="W291" i="106"/>
  <c r="V291" i="106"/>
  <c r="Y291" i="106"/>
  <c r="X315" i="105"/>
  <c r="V315" i="105"/>
  <c r="X28" i="105"/>
  <c r="V28" i="105"/>
  <c r="X154" i="106"/>
  <c r="V154" i="106"/>
  <c r="X317" i="105"/>
  <c r="V317" i="105"/>
  <c r="X146" i="105"/>
  <c r="V146" i="105"/>
  <c r="X273" i="106"/>
  <c r="V273" i="106"/>
  <c r="Y48" i="104"/>
  <c r="W48" i="104"/>
  <c r="V48" i="104"/>
  <c r="X48" i="104"/>
  <c r="X327" i="106"/>
  <c r="V327" i="106"/>
  <c r="X27" i="104"/>
  <c r="V27" i="104"/>
  <c r="V56" i="105"/>
  <c r="Y56" i="105"/>
  <c r="W56" i="105"/>
  <c r="X56" i="105"/>
  <c r="X92" i="106"/>
  <c r="V92" i="106"/>
  <c r="X128" i="104"/>
  <c r="Y128" i="104"/>
  <c r="W128" i="104"/>
  <c r="V128" i="104"/>
  <c r="X172" i="106"/>
  <c r="V172" i="106"/>
  <c r="X198" i="104"/>
  <c r="V198" i="104"/>
  <c r="X224" i="104"/>
  <c r="W224" i="104"/>
  <c r="V224" i="104"/>
  <c r="Y224" i="104"/>
  <c r="X271" i="105"/>
  <c r="V271" i="105"/>
  <c r="Y271" i="105"/>
  <c r="W271" i="105"/>
  <c r="X300" i="104"/>
  <c r="Y300" i="104"/>
  <c r="W300" i="104"/>
  <c r="V300" i="104"/>
  <c r="X316" i="106"/>
  <c r="V316" i="106"/>
  <c r="X340" i="105"/>
  <c r="V340" i="105"/>
  <c r="X57" i="105"/>
  <c r="V57" i="105"/>
  <c r="W57" i="105"/>
  <c r="Y57" i="105"/>
  <c r="X118" i="106"/>
  <c r="V118" i="106"/>
  <c r="X258" i="105"/>
  <c r="V258" i="105"/>
  <c r="X21" i="104"/>
  <c r="W21" i="104"/>
  <c r="Y21" i="104"/>
  <c r="V21" i="104"/>
  <c r="X242" i="105"/>
  <c r="V242" i="105"/>
  <c r="X38" i="105"/>
  <c r="V38" i="105"/>
  <c r="Y38" i="105"/>
  <c r="W38" i="105"/>
  <c r="X295" i="105"/>
  <c r="Y295" i="105"/>
  <c r="W295" i="105"/>
  <c r="V295" i="105"/>
  <c r="X12" i="104"/>
  <c r="Y12" i="104"/>
  <c r="W12" i="104"/>
  <c r="V12" i="104"/>
  <c r="X61" i="104"/>
  <c r="W61" i="104"/>
  <c r="Y61" i="104"/>
  <c r="V61" i="104"/>
  <c r="X113" i="105"/>
  <c r="V113" i="105"/>
  <c r="X132" i="106"/>
  <c r="V132" i="106"/>
  <c r="X157" i="104"/>
  <c r="V157" i="104"/>
  <c r="V186" i="105"/>
  <c r="W186" i="105"/>
  <c r="X186" i="105"/>
  <c r="Y186" i="105"/>
  <c r="X203" i="106"/>
  <c r="V203" i="106"/>
  <c r="X228" i="105"/>
  <c r="V228" i="105"/>
  <c r="X253" i="104"/>
  <c r="Y253" i="104"/>
  <c r="W253" i="104"/>
  <c r="V253" i="104"/>
  <c r="X277" i="106"/>
  <c r="V277" i="106"/>
  <c r="X304" i="105"/>
  <c r="V304" i="105"/>
  <c r="Y304" i="105"/>
  <c r="W304" i="105"/>
  <c r="X328" i="104"/>
  <c r="W328" i="104"/>
  <c r="Y328" i="104"/>
  <c r="V328" i="104"/>
  <c r="X344" i="106"/>
  <c r="V344" i="106"/>
  <c r="X32" i="104"/>
  <c r="V32" i="104"/>
  <c r="X68" i="105"/>
  <c r="V68" i="105"/>
  <c r="X133" i="104"/>
  <c r="W133" i="104"/>
  <c r="V133" i="104"/>
  <c r="Y133" i="104"/>
  <c r="X158" i="105"/>
  <c r="V158" i="105"/>
  <c r="X177" i="106"/>
  <c r="V177" i="106"/>
  <c r="V229" i="104"/>
  <c r="X305" i="104"/>
  <c r="V305" i="104"/>
  <c r="Y305" i="104"/>
  <c r="W305" i="104"/>
  <c r="X321" i="106"/>
  <c r="V321" i="106"/>
  <c r="X345" i="105"/>
  <c r="Y345" i="105"/>
  <c r="V345" i="105"/>
  <c r="W345" i="105"/>
  <c r="X225" i="104"/>
  <c r="W225" i="104"/>
  <c r="V225" i="104"/>
  <c r="Y225" i="104"/>
  <c r="X325" i="105"/>
  <c r="V325" i="105"/>
  <c r="X37" i="105"/>
  <c r="V37" i="105"/>
  <c r="Y37" i="105"/>
  <c r="W37" i="105"/>
  <c r="X119" i="106"/>
  <c r="V119" i="106"/>
  <c r="W259" i="104"/>
  <c r="Y259" i="104"/>
  <c r="V259" i="104"/>
  <c r="X259" i="104"/>
  <c r="X318" i="106"/>
  <c r="V318" i="106"/>
  <c r="X30" i="104"/>
  <c r="V30" i="104"/>
  <c r="X122" i="105"/>
  <c r="V122" i="105"/>
  <c r="X175" i="106"/>
  <c r="V175" i="106"/>
  <c r="X235" i="105"/>
  <c r="V235" i="105"/>
  <c r="Y235" i="105"/>
  <c r="W235" i="105"/>
  <c r="X319" i="104"/>
  <c r="W319" i="104"/>
  <c r="V319" i="104"/>
  <c r="Y319" i="104"/>
  <c r="X343" i="106"/>
  <c r="V343" i="106"/>
  <c r="X25" i="107"/>
  <c r="V25" i="107"/>
  <c r="X72" i="107"/>
  <c r="X126" i="107"/>
  <c r="X159" i="107"/>
  <c r="V159" i="107"/>
  <c r="X196" i="107"/>
  <c r="V196" i="107"/>
  <c r="X230" i="107"/>
  <c r="V230" i="107"/>
  <c r="X269" i="107"/>
  <c r="V269" i="107"/>
  <c r="X306" i="107"/>
  <c r="V306" i="107"/>
  <c r="X338" i="107"/>
  <c r="V338" i="107"/>
  <c r="X203" i="108"/>
  <c r="V203" i="108"/>
  <c r="X114" i="108"/>
  <c r="V114" i="108"/>
  <c r="X6" i="107"/>
  <c r="V6" i="107"/>
  <c r="X104" i="107"/>
  <c r="V104" i="107"/>
  <c r="X143" i="107"/>
  <c r="V143" i="107"/>
  <c r="X179" i="107"/>
  <c r="V179" i="107"/>
  <c r="X215" i="107"/>
  <c r="W215" i="107"/>
  <c r="Y215" i="107"/>
  <c r="V215" i="107"/>
  <c r="X291" i="107"/>
  <c r="V291" i="107"/>
  <c r="X323" i="107"/>
  <c r="V323" i="107"/>
  <c r="X284" i="107"/>
  <c r="V284" i="107"/>
  <c r="X348" i="107"/>
  <c r="V348" i="107"/>
  <c r="X211" i="107"/>
  <c r="W211" i="107"/>
  <c r="Y211" i="107"/>
  <c r="V211" i="107"/>
  <c r="X23" i="107"/>
  <c r="V23" i="107"/>
  <c r="X212" i="107"/>
  <c r="Y212" i="107"/>
  <c r="W212" i="107"/>
  <c r="V212" i="107"/>
  <c r="X237" i="107"/>
  <c r="V237" i="107"/>
  <c r="X7" i="107"/>
  <c r="X105" i="107"/>
  <c r="V105" i="107"/>
  <c r="X144" i="107"/>
  <c r="V144" i="107"/>
  <c r="X182" i="107"/>
  <c r="X216" i="107"/>
  <c r="X249" i="107"/>
  <c r="V249" i="107"/>
  <c r="X316" i="107"/>
  <c r="V316" i="107"/>
  <c r="X185" i="107"/>
  <c r="V185" i="107"/>
  <c r="X335" i="107"/>
  <c r="V335" i="107"/>
  <c r="X336" i="107"/>
  <c r="V336" i="107"/>
  <c r="X166" i="107"/>
  <c r="V166" i="107"/>
  <c r="X46" i="107"/>
  <c r="V46" i="107"/>
  <c r="X106" i="107"/>
  <c r="V106" i="107"/>
  <c r="X183" i="107"/>
  <c r="X293" i="107"/>
  <c r="X325" i="107"/>
  <c r="V325" i="107"/>
  <c r="X273" i="107"/>
  <c r="V273" i="107"/>
  <c r="X61" i="107"/>
  <c r="V61" i="107"/>
  <c r="X220" i="107"/>
  <c r="V220" i="107"/>
  <c r="X344" i="107"/>
  <c r="V344" i="107"/>
  <c r="X141" i="107"/>
  <c r="V141" i="107"/>
  <c r="X262" i="107"/>
  <c r="X21" i="107"/>
  <c r="V21" i="107"/>
  <c r="X58" i="108"/>
  <c r="V58" i="108"/>
  <c r="X119" i="107"/>
  <c r="V119" i="107"/>
  <c r="X192" i="107"/>
  <c r="V192" i="107"/>
  <c r="X242" i="108"/>
  <c r="V242" i="108"/>
  <c r="X122" i="108"/>
  <c r="V122" i="108"/>
  <c r="X303" i="107"/>
  <c r="V303" i="107"/>
  <c r="X50" i="108"/>
  <c r="V50" i="108"/>
  <c r="X337" i="107"/>
  <c r="V337" i="107"/>
  <c r="X159" i="105"/>
  <c r="V159" i="105"/>
  <c r="X230" i="104"/>
  <c r="V230" i="104"/>
  <c r="X346" i="105"/>
  <c r="Y346" i="105"/>
  <c r="W346" i="105"/>
  <c r="V346" i="105"/>
  <c r="X241" i="104"/>
  <c r="V241" i="104"/>
  <c r="X99" i="104"/>
  <c r="Y99" i="104"/>
  <c r="W99" i="104"/>
  <c r="V99" i="104"/>
  <c r="X206" i="104"/>
  <c r="V206" i="104"/>
  <c r="X283" i="105"/>
  <c r="V283" i="105"/>
  <c r="X307" i="104"/>
  <c r="V307" i="104"/>
  <c r="X199" i="105"/>
  <c r="V199" i="105"/>
  <c r="X192" i="104"/>
  <c r="V192" i="104"/>
  <c r="W334" i="104"/>
  <c r="Y334" i="104"/>
  <c r="V334" i="104"/>
  <c r="X334" i="104"/>
  <c r="X18" i="104"/>
  <c r="V18" i="104"/>
  <c r="X79" i="104"/>
  <c r="W79" i="104"/>
  <c r="V79" i="104"/>
  <c r="Y79" i="104"/>
  <c r="X117" i="105"/>
  <c r="V117" i="105"/>
  <c r="X190" i="105"/>
  <c r="V190" i="105"/>
  <c r="X207" i="106"/>
  <c r="V207" i="106"/>
  <c r="X257" i="104"/>
  <c r="Y257" i="104"/>
  <c r="W257" i="104"/>
  <c r="V257" i="104"/>
  <c r="X308" i="105"/>
  <c r="V308" i="105"/>
  <c r="X8" i="106"/>
  <c r="X208" i="105"/>
  <c r="V208" i="105"/>
  <c r="W208" i="105"/>
  <c r="Y208" i="105"/>
  <c r="X29" i="104"/>
  <c r="V29" i="104"/>
  <c r="X210" i="105"/>
  <c r="V210" i="105"/>
  <c r="Y210" i="105"/>
  <c r="W210" i="105"/>
  <c r="X243" i="104"/>
  <c r="X23" i="105"/>
  <c r="Y23" i="105"/>
  <c r="V23" i="105"/>
  <c r="W23" i="105"/>
  <c r="Y123" i="104"/>
  <c r="W123" i="104"/>
  <c r="V123" i="104"/>
  <c r="X123" i="104"/>
  <c r="X220" i="104"/>
  <c r="Y220" i="104"/>
  <c r="W220" i="104"/>
  <c r="V220" i="104"/>
  <c r="V261" i="105"/>
  <c r="X261" i="105"/>
  <c r="Y261" i="105"/>
  <c r="W261" i="105"/>
  <c r="X87" i="104"/>
  <c r="Y87" i="104"/>
  <c r="W87" i="104"/>
  <c r="V87" i="104"/>
  <c r="X82" i="106"/>
  <c r="V82" i="106"/>
  <c r="X72" i="106"/>
  <c r="X159" i="106"/>
  <c r="V159" i="106"/>
  <c r="X230" i="106"/>
  <c r="V230" i="106"/>
  <c r="X290" i="104"/>
  <c r="W290" i="104"/>
  <c r="Y290" i="104"/>
  <c r="V290" i="104"/>
  <c r="X330" i="105"/>
  <c r="Y330" i="105"/>
  <c r="W330" i="105"/>
  <c r="V330" i="105"/>
  <c r="X347" i="106"/>
  <c r="V347" i="106"/>
  <c r="X183" i="105"/>
  <c r="X47" i="104"/>
  <c r="W47" i="104"/>
  <c r="Y47" i="104"/>
  <c r="V47" i="104"/>
  <c r="Y226" i="106"/>
  <c r="X226" i="106"/>
  <c r="W226" i="106"/>
  <c r="V226" i="106"/>
  <c r="X147" i="105"/>
  <c r="V147" i="105"/>
  <c r="X252" i="106"/>
  <c r="V252" i="106"/>
  <c r="X75" i="106"/>
  <c r="V75" i="106"/>
  <c r="X143" i="105"/>
  <c r="V143" i="105"/>
  <c r="X215" i="104"/>
  <c r="Y215" i="104"/>
  <c r="W215" i="104"/>
  <c r="V215" i="104"/>
  <c r="X291" i="104"/>
  <c r="W291" i="104"/>
  <c r="Y291" i="104"/>
  <c r="V291" i="104"/>
  <c r="X154" i="105"/>
  <c r="V154" i="105"/>
  <c r="X327" i="104"/>
  <c r="V327" i="104"/>
  <c r="Y327" i="104"/>
  <c r="W327" i="104"/>
  <c r="X92" i="105"/>
  <c r="V92" i="105"/>
  <c r="X172" i="105"/>
  <c r="V172" i="105"/>
  <c r="Y240" i="104"/>
  <c r="W240" i="104"/>
  <c r="V240" i="104"/>
  <c r="X240" i="104"/>
  <c r="X316" i="104"/>
  <c r="Y316" i="104"/>
  <c r="W316" i="104"/>
  <c r="V316" i="104"/>
  <c r="X118" i="105"/>
  <c r="V118" i="105"/>
  <c r="X311" i="105"/>
  <c r="V311" i="105"/>
  <c r="X100" i="104"/>
  <c r="W100" i="104"/>
  <c r="V100" i="104"/>
  <c r="Y100" i="104"/>
  <c r="X132" i="105"/>
  <c r="V132" i="105"/>
  <c r="X203" i="105"/>
  <c r="V203" i="105"/>
  <c r="X220" i="106"/>
  <c r="V220" i="106"/>
  <c r="X245" i="105"/>
  <c r="V245" i="105"/>
  <c r="Y245" i="105"/>
  <c r="W245" i="105"/>
  <c r="X320" i="105"/>
  <c r="W320" i="105"/>
  <c r="Y320" i="105"/>
  <c r="V320" i="105"/>
  <c r="X344" i="104"/>
  <c r="W344" i="104"/>
  <c r="Y344" i="104"/>
  <c r="V344" i="104"/>
  <c r="X50" i="104"/>
  <c r="Y50" i="104"/>
  <c r="W50" i="104"/>
  <c r="V50" i="104"/>
  <c r="X124" i="106"/>
  <c r="V124" i="106"/>
  <c r="X149" i="104"/>
  <c r="W149" i="104"/>
  <c r="V149" i="104"/>
  <c r="Y149" i="104"/>
  <c r="V221" i="105"/>
  <c r="X221" i="105"/>
  <c r="Y221" i="105"/>
  <c r="W221" i="105"/>
  <c r="X297" i="105"/>
  <c r="Y297" i="105"/>
  <c r="W297" i="105"/>
  <c r="V297" i="105"/>
  <c r="X162" i="104"/>
  <c r="V162" i="104"/>
  <c r="X119" i="105"/>
  <c r="V119" i="105"/>
  <c r="X318" i="104"/>
  <c r="V318" i="104"/>
  <c r="Y318" i="104"/>
  <c r="W318" i="104"/>
  <c r="X11" i="106"/>
  <c r="X227" i="106"/>
  <c r="V227" i="106"/>
  <c r="X287" i="105"/>
  <c r="V287" i="105"/>
  <c r="Y287" i="105"/>
  <c r="W287" i="105"/>
  <c r="X115" i="107"/>
  <c r="V115" i="107"/>
  <c r="X188" i="107"/>
  <c r="V188" i="107"/>
  <c r="X222" i="107"/>
  <c r="V222" i="107"/>
  <c r="X330" i="107"/>
  <c r="V330" i="107"/>
  <c r="X277" i="107"/>
  <c r="V277" i="107"/>
  <c r="X135" i="107"/>
  <c r="V135" i="107"/>
  <c r="X206" i="107"/>
  <c r="V206" i="107"/>
  <c r="X315" i="108"/>
  <c r="V315" i="108"/>
  <c r="X92" i="107"/>
  <c r="V92" i="107"/>
  <c r="X310" i="107"/>
  <c r="V310" i="107"/>
  <c r="X319" i="107"/>
  <c r="V319" i="107"/>
  <c r="X320" i="107"/>
  <c r="V320" i="107"/>
  <c r="X133" i="107"/>
  <c r="V133" i="107"/>
  <c r="X93" i="107"/>
  <c r="X208" i="107"/>
  <c r="V208" i="107"/>
  <c r="X285" i="107"/>
  <c r="V285" i="107"/>
  <c r="X349" i="107"/>
  <c r="V349" i="107"/>
  <c r="X342" i="107"/>
  <c r="V342" i="107"/>
  <c r="X243" i="107"/>
  <c r="X165" i="107"/>
  <c r="V165" i="107"/>
  <c r="X328" i="107"/>
  <c r="V328" i="107"/>
  <c r="X87" i="107"/>
  <c r="X47" i="107"/>
  <c r="X146" i="108"/>
  <c r="V146" i="108"/>
  <c r="X30" i="107"/>
  <c r="V30" i="107"/>
  <c r="X24" i="107"/>
  <c r="V24" i="107"/>
  <c r="X25" i="104"/>
  <c r="Y25" i="104"/>
  <c r="W25" i="104"/>
  <c r="V25" i="104"/>
  <c r="V51" i="105"/>
  <c r="W51" i="105"/>
  <c r="Y51" i="105"/>
  <c r="X51" i="105"/>
  <c r="X88" i="106"/>
  <c r="V88" i="106"/>
  <c r="X126" i="104"/>
  <c r="Y126" i="104"/>
  <c r="W126" i="104"/>
  <c r="V126" i="104"/>
  <c r="X167" i="106"/>
  <c r="V167" i="106"/>
  <c r="X196" i="104"/>
  <c r="V196" i="104"/>
  <c r="X222" i="104"/>
  <c r="W222" i="104"/>
  <c r="Y222" i="104"/>
  <c r="V222" i="104"/>
  <c r="W238" i="106"/>
  <c r="Y238" i="106"/>
  <c r="V238" i="106"/>
  <c r="X238" i="106"/>
  <c r="X269" i="105"/>
  <c r="V269" i="105"/>
  <c r="W269" i="105"/>
  <c r="Y269" i="105"/>
  <c r="X298" i="104"/>
  <c r="V298" i="104"/>
  <c r="X314" i="106"/>
  <c r="V314" i="106"/>
  <c r="X338" i="105"/>
  <c r="V338" i="105"/>
  <c r="Y338" i="105"/>
  <c r="W338" i="105"/>
  <c r="X339" i="104"/>
  <c r="V339" i="104"/>
  <c r="W339" i="104"/>
  <c r="Y339" i="104"/>
  <c r="X129" i="104"/>
  <c r="Y129" i="104"/>
  <c r="W129" i="104"/>
  <c r="V129" i="104"/>
  <c r="X217" i="104"/>
  <c r="W217" i="104"/>
  <c r="Y217" i="104"/>
  <c r="V217" i="104"/>
  <c r="X293" i="106"/>
  <c r="X97" i="104"/>
  <c r="Y97" i="104"/>
  <c r="W97" i="104"/>
  <c r="V97" i="104"/>
  <c r="X184" i="105"/>
  <c r="V184" i="105"/>
  <c r="X234" i="106"/>
  <c r="V234" i="106"/>
  <c r="Y22" i="105"/>
  <c r="W22" i="105"/>
  <c r="V22" i="105"/>
  <c r="X22" i="105"/>
  <c r="X193" i="105"/>
  <c r="V193" i="105"/>
  <c r="X274" i="106"/>
  <c r="V274" i="106"/>
  <c r="X26" i="104"/>
  <c r="W26" i="104"/>
  <c r="V26" i="104"/>
  <c r="Y26" i="104"/>
  <c r="X55" i="105"/>
  <c r="V55" i="105"/>
  <c r="Y55" i="105"/>
  <c r="W55" i="105"/>
  <c r="V127" i="104"/>
  <c r="W127" i="104"/>
  <c r="Y127" i="104"/>
  <c r="X127" i="104"/>
  <c r="X170" i="106"/>
  <c r="V170" i="106"/>
  <c r="X197" i="104"/>
  <c r="V197" i="104"/>
  <c r="X223" i="104"/>
  <c r="W223" i="104"/>
  <c r="V223" i="104"/>
  <c r="Y223" i="104"/>
  <c r="X270" i="105"/>
  <c r="V270" i="105"/>
  <c r="W270" i="105"/>
  <c r="Y270" i="105"/>
  <c r="X299" i="104"/>
  <c r="Y299" i="104"/>
  <c r="W299" i="104"/>
  <c r="V299" i="104"/>
  <c r="X315" i="106"/>
  <c r="V315" i="106"/>
  <c r="X28" i="104"/>
  <c r="V28" i="104"/>
  <c r="X317" i="106"/>
  <c r="V317" i="106"/>
  <c r="X146" i="104"/>
  <c r="W146" i="104"/>
  <c r="V146" i="104"/>
  <c r="Y146" i="104"/>
  <c r="X294" i="104"/>
  <c r="W294" i="104"/>
  <c r="Y294" i="104"/>
  <c r="V294" i="104"/>
  <c r="X7" i="104"/>
  <c r="W7" i="104"/>
  <c r="Y7" i="104"/>
  <c r="V7" i="104"/>
  <c r="X27" i="106"/>
  <c r="V27" i="106"/>
  <c r="Y56" i="104"/>
  <c r="W56" i="104"/>
  <c r="V56" i="104"/>
  <c r="X56" i="104"/>
  <c r="X105" i="105"/>
  <c r="V105" i="105"/>
  <c r="X128" i="106"/>
  <c r="V128" i="106"/>
  <c r="X182" i="105"/>
  <c r="X198" i="106"/>
  <c r="V198" i="106"/>
  <c r="X224" i="105"/>
  <c r="V224" i="105"/>
  <c r="W224" i="105"/>
  <c r="Y224" i="105"/>
  <c r="X249" i="104"/>
  <c r="W249" i="104"/>
  <c r="Y249" i="104"/>
  <c r="V249" i="104"/>
  <c r="X271" i="106"/>
  <c r="V271" i="106"/>
  <c r="X300" i="105"/>
  <c r="Y300" i="105"/>
  <c r="W300" i="105"/>
  <c r="V300" i="105"/>
  <c r="X324" i="104"/>
  <c r="V324" i="104"/>
  <c r="W324" i="104"/>
  <c r="Y324" i="104"/>
  <c r="X340" i="106"/>
  <c r="V340" i="106"/>
  <c r="X57" i="104"/>
  <c r="W57" i="104"/>
  <c r="Y57" i="104"/>
  <c r="V57" i="104"/>
  <c r="X173" i="105"/>
  <c r="V173" i="105"/>
  <c r="X258" i="106"/>
  <c r="V258" i="106"/>
  <c r="X21" i="105"/>
  <c r="V21" i="105"/>
  <c r="Y21" i="105"/>
  <c r="W21" i="105"/>
  <c r="X163" i="105"/>
  <c r="V163" i="105"/>
  <c r="Y163" i="105"/>
  <c r="W163" i="105"/>
  <c r="X242" i="106"/>
  <c r="V242" i="106"/>
  <c r="X38" i="104"/>
  <c r="V38" i="104"/>
  <c r="W38" i="104"/>
  <c r="Y38" i="104"/>
  <c r="X185" i="105"/>
  <c r="V185" i="105"/>
  <c r="Y185" i="105"/>
  <c r="W185" i="105"/>
  <c r="X295" i="106"/>
  <c r="Y295" i="106"/>
  <c r="W295" i="106"/>
  <c r="V295" i="106"/>
  <c r="X12" i="105"/>
  <c r="V12" i="105"/>
  <c r="X39" i="105"/>
  <c r="V39" i="105"/>
  <c r="W39" i="105"/>
  <c r="Y39" i="105"/>
  <c r="X61" i="106"/>
  <c r="V61" i="106"/>
  <c r="X113" i="104"/>
  <c r="Y113" i="104"/>
  <c r="W113" i="104"/>
  <c r="V113" i="104"/>
  <c r="X140" i="105"/>
  <c r="V140" i="105"/>
  <c r="X157" i="106"/>
  <c r="V157" i="106"/>
  <c r="X186" i="104"/>
  <c r="V186" i="104"/>
  <c r="W186" i="104"/>
  <c r="Y186" i="104"/>
  <c r="X212" i="105"/>
  <c r="W212" i="105"/>
  <c r="Y212" i="105"/>
  <c r="V212" i="105"/>
  <c r="X228" i="106"/>
  <c r="V228" i="106"/>
  <c r="X253" i="105"/>
  <c r="W253" i="105"/>
  <c r="Y253" i="105"/>
  <c r="V253" i="105"/>
  <c r="X288" i="104"/>
  <c r="Y288" i="104"/>
  <c r="W288" i="104"/>
  <c r="V288" i="104"/>
  <c r="X304" i="106"/>
  <c r="X328" i="105"/>
  <c r="Y328" i="105"/>
  <c r="W328" i="105"/>
  <c r="V328" i="105"/>
  <c r="X32" i="106"/>
  <c r="V32" i="106"/>
  <c r="X68" i="104"/>
  <c r="Y68" i="104"/>
  <c r="W68" i="104"/>
  <c r="V68" i="104"/>
  <c r="X114" i="105"/>
  <c r="V114" i="105"/>
  <c r="X133" i="106"/>
  <c r="V133" i="106"/>
  <c r="X158" i="104"/>
  <c r="V158" i="104"/>
  <c r="X187" i="105"/>
  <c r="V187" i="105"/>
  <c r="W254" i="104"/>
  <c r="Y254" i="104"/>
  <c r="V254" i="104"/>
  <c r="X254" i="104"/>
  <c r="X305" i="105"/>
  <c r="V305" i="105"/>
  <c r="Y305" i="105"/>
  <c r="W305" i="105"/>
  <c r="X329" i="104"/>
  <c r="Y329" i="104"/>
  <c r="W329" i="104"/>
  <c r="V329" i="104"/>
  <c r="X345" i="106"/>
  <c r="V345" i="106"/>
  <c r="X225" i="105"/>
  <c r="W225" i="105"/>
  <c r="Y225" i="105"/>
  <c r="V225" i="105"/>
  <c r="X272" i="104"/>
  <c r="V272" i="104"/>
  <c r="X325" i="106"/>
  <c r="V325" i="106"/>
  <c r="X37" i="104"/>
  <c r="V37" i="104"/>
  <c r="Y37" i="104"/>
  <c r="W37" i="104"/>
  <c r="X138" i="105"/>
  <c r="V138" i="105"/>
  <c r="W259" i="105"/>
  <c r="Y259" i="105"/>
  <c r="V259" i="105"/>
  <c r="X259" i="105"/>
  <c r="X342" i="104"/>
  <c r="V342" i="104"/>
  <c r="X30" i="106"/>
  <c r="V30" i="106"/>
  <c r="X122" i="104"/>
  <c r="Y122" i="104"/>
  <c r="V122" i="104"/>
  <c r="W122" i="104"/>
  <c r="X211" i="105"/>
  <c r="W211" i="105"/>
  <c r="Y211" i="105"/>
  <c r="V211" i="105"/>
  <c r="X235" i="106"/>
  <c r="V235" i="106"/>
  <c r="X319" i="105"/>
  <c r="W319" i="105"/>
  <c r="V319" i="105"/>
  <c r="Y319" i="105"/>
  <c r="X351" i="104"/>
  <c r="W351" i="104"/>
  <c r="Y351" i="104"/>
  <c r="V351" i="104"/>
  <c r="X25" i="108"/>
  <c r="V25" i="108"/>
  <c r="X72" i="108"/>
  <c r="X126" i="108"/>
  <c r="X159" i="108"/>
  <c r="V159" i="108"/>
  <c r="X196" i="108"/>
  <c r="V196" i="108"/>
  <c r="X230" i="108"/>
  <c r="V230" i="108"/>
  <c r="X269" i="108"/>
  <c r="V269" i="108"/>
  <c r="X306" i="108"/>
  <c r="V306" i="108"/>
  <c r="X338" i="108"/>
  <c r="V338" i="108"/>
  <c r="X203" i="107"/>
  <c r="V203" i="107"/>
  <c r="X114" i="107"/>
  <c r="V114" i="107"/>
  <c r="X6" i="108"/>
  <c r="V6" i="108"/>
  <c r="X104" i="108"/>
  <c r="V104" i="108"/>
  <c r="X143" i="108"/>
  <c r="V143" i="108"/>
  <c r="X179" i="108"/>
  <c r="V179" i="108"/>
  <c r="X215" i="108"/>
  <c r="Y215" i="108"/>
  <c r="W215" i="108"/>
  <c r="V215" i="108"/>
  <c r="X291" i="108"/>
  <c r="V291" i="108"/>
  <c r="X323" i="108"/>
  <c r="V323" i="108"/>
  <c r="X284" i="108"/>
  <c r="V284" i="108"/>
  <c r="X348" i="108"/>
  <c r="V348" i="108"/>
  <c r="X211" i="108"/>
  <c r="Y211" i="108"/>
  <c r="W211" i="108"/>
  <c r="V211" i="108"/>
  <c r="X23" i="108"/>
  <c r="V23" i="108"/>
  <c r="X212" i="108"/>
  <c r="Y212" i="108"/>
  <c r="V212" i="108"/>
  <c r="W212" i="108"/>
  <c r="X237" i="108"/>
  <c r="V237" i="108"/>
  <c r="X7" i="108"/>
  <c r="X105" i="108"/>
  <c r="V105" i="108"/>
  <c r="X144" i="108"/>
  <c r="V144" i="108"/>
  <c r="X182" i="108"/>
  <c r="X216" i="108"/>
  <c r="X249" i="108"/>
  <c r="V249" i="108"/>
  <c r="X316" i="108"/>
  <c r="V316" i="108"/>
  <c r="X185" i="108"/>
  <c r="V185" i="108"/>
  <c r="X335" i="108"/>
  <c r="V335" i="108"/>
  <c r="X336" i="108"/>
  <c r="V336" i="108"/>
  <c r="X166" i="108"/>
  <c r="V166" i="108"/>
  <c r="X46" i="108"/>
  <c r="V46" i="108"/>
  <c r="X106" i="108"/>
  <c r="V106" i="108"/>
  <c r="X183" i="108"/>
  <c r="X217" i="108"/>
  <c r="X293" i="108"/>
  <c r="X325" i="108"/>
  <c r="V325" i="108"/>
  <c r="X273" i="108"/>
  <c r="V273" i="108"/>
  <c r="X11" i="107"/>
  <c r="X61" i="108"/>
  <c r="V61" i="108"/>
  <c r="X220" i="108"/>
  <c r="V220" i="108"/>
  <c r="X344" i="108"/>
  <c r="V344" i="108"/>
  <c r="X141" i="108"/>
  <c r="V141" i="108"/>
  <c r="X262" i="108"/>
  <c r="X21" i="108"/>
  <c r="V21" i="108"/>
  <c r="X58" i="107"/>
  <c r="V58" i="107"/>
  <c r="X119" i="108"/>
  <c r="V119" i="108"/>
  <c r="X192" i="108"/>
  <c r="V192" i="108"/>
  <c r="X242" i="107"/>
  <c r="V242" i="107"/>
  <c r="X122" i="107"/>
  <c r="V122" i="107"/>
  <c r="X303" i="108"/>
  <c r="V303" i="108"/>
  <c r="X50" i="107"/>
  <c r="V50" i="107"/>
  <c r="X337" i="108"/>
  <c r="V337" i="108"/>
  <c r="F356" i="107"/>
  <c r="F356" i="108"/>
  <c r="B4" i="100" l="1"/>
  <c r="C4" i="100"/>
  <c r="D4" i="100"/>
  <c r="R4" i="100" s="1"/>
  <c r="E4" i="100"/>
  <c r="F4" i="100"/>
  <c r="G4" i="100"/>
  <c r="H4" i="100"/>
  <c r="I4" i="100"/>
  <c r="B5" i="100"/>
  <c r="C5" i="100"/>
  <c r="D5" i="100"/>
  <c r="Q5" i="100" s="1"/>
  <c r="E5" i="100"/>
  <c r="F5" i="100"/>
  <c r="G5" i="100"/>
  <c r="H5" i="100"/>
  <c r="I5" i="100"/>
  <c r="B6" i="100"/>
  <c r="C6" i="100"/>
  <c r="D6" i="100"/>
  <c r="Q6" i="100" s="1"/>
  <c r="E6" i="100"/>
  <c r="F6" i="100"/>
  <c r="G6" i="100"/>
  <c r="H6" i="100"/>
  <c r="I6" i="100"/>
  <c r="B7" i="100"/>
  <c r="C7" i="100"/>
  <c r="D7" i="100"/>
  <c r="R7" i="100" s="1"/>
  <c r="E7" i="100"/>
  <c r="F7" i="100"/>
  <c r="G7" i="100"/>
  <c r="H7" i="100"/>
  <c r="I7" i="100"/>
  <c r="B8" i="100"/>
  <c r="C8" i="100"/>
  <c r="D8" i="100"/>
  <c r="R8" i="100" s="1"/>
  <c r="E8" i="100"/>
  <c r="F8" i="100"/>
  <c r="G8" i="100"/>
  <c r="H8" i="100"/>
  <c r="I8" i="100"/>
  <c r="B9" i="100"/>
  <c r="C9" i="100"/>
  <c r="D9" i="100"/>
  <c r="Q9" i="100" s="1"/>
  <c r="E9" i="100"/>
  <c r="F9" i="100"/>
  <c r="G9" i="100"/>
  <c r="H9" i="100"/>
  <c r="I9" i="100"/>
  <c r="B10" i="100"/>
  <c r="C10" i="100"/>
  <c r="D10" i="100"/>
  <c r="Q10" i="100" s="1"/>
  <c r="E10" i="100"/>
  <c r="F10" i="100"/>
  <c r="G10" i="100"/>
  <c r="H10" i="100"/>
  <c r="I10" i="100"/>
  <c r="B11" i="100"/>
  <c r="C11" i="100"/>
  <c r="D11" i="100"/>
  <c r="R11" i="100" s="1"/>
  <c r="E11" i="100"/>
  <c r="F11" i="100"/>
  <c r="G11" i="100"/>
  <c r="H11" i="100"/>
  <c r="I11" i="100"/>
  <c r="B12" i="100"/>
  <c r="C12" i="100"/>
  <c r="D12" i="100"/>
  <c r="R12" i="100" s="1"/>
  <c r="E12" i="100"/>
  <c r="F12" i="100"/>
  <c r="G12" i="100"/>
  <c r="H12" i="100"/>
  <c r="I12" i="100"/>
  <c r="B13" i="100"/>
  <c r="C13" i="100"/>
  <c r="D13" i="100"/>
  <c r="R13" i="100" s="1"/>
  <c r="E13" i="100"/>
  <c r="F13" i="100"/>
  <c r="G13" i="100"/>
  <c r="H13" i="100"/>
  <c r="I13" i="100"/>
  <c r="B14" i="100"/>
  <c r="C14" i="100"/>
  <c r="D14" i="100"/>
  <c r="Q14" i="100" s="1"/>
  <c r="E14" i="100"/>
  <c r="F14" i="100"/>
  <c r="G14" i="100"/>
  <c r="H14" i="100"/>
  <c r="I14" i="100"/>
  <c r="B15" i="100"/>
  <c r="C15" i="100"/>
  <c r="D15" i="100"/>
  <c r="Q15" i="100" s="1"/>
  <c r="E15" i="100"/>
  <c r="F15" i="100"/>
  <c r="G15" i="100"/>
  <c r="H15" i="100"/>
  <c r="I15" i="100"/>
  <c r="B16" i="100"/>
  <c r="C16" i="100"/>
  <c r="D16" i="100"/>
  <c r="Q16" i="100" s="1"/>
  <c r="E16" i="100"/>
  <c r="F16" i="100"/>
  <c r="G16" i="100"/>
  <c r="H16" i="100"/>
  <c r="I16" i="100"/>
  <c r="B17" i="100"/>
  <c r="C17" i="100"/>
  <c r="D17" i="100"/>
  <c r="Q17" i="100" s="1"/>
  <c r="E17" i="100"/>
  <c r="F17" i="100"/>
  <c r="G17" i="100"/>
  <c r="H17" i="100"/>
  <c r="I17" i="100"/>
  <c r="B18" i="100"/>
  <c r="C18" i="100"/>
  <c r="D18" i="100"/>
  <c r="Q18" i="100" s="1"/>
  <c r="E18" i="100"/>
  <c r="F18" i="100"/>
  <c r="G18" i="100"/>
  <c r="H18" i="100"/>
  <c r="I18" i="100"/>
  <c r="B19" i="100"/>
  <c r="C19" i="100"/>
  <c r="D19" i="100"/>
  <c r="Q19" i="100" s="1"/>
  <c r="E19" i="100"/>
  <c r="F19" i="100"/>
  <c r="G19" i="100"/>
  <c r="H19" i="100"/>
  <c r="I19" i="100"/>
  <c r="B20" i="100"/>
  <c r="C20" i="100"/>
  <c r="D20" i="100"/>
  <c r="Q20" i="100" s="1"/>
  <c r="E20" i="100"/>
  <c r="F20" i="100"/>
  <c r="G20" i="100"/>
  <c r="H20" i="100"/>
  <c r="I20" i="100"/>
  <c r="B21" i="100"/>
  <c r="C21" i="100"/>
  <c r="D21" i="100"/>
  <c r="R21" i="100" s="1"/>
  <c r="E21" i="100"/>
  <c r="F21" i="100"/>
  <c r="G21" i="100"/>
  <c r="H21" i="100"/>
  <c r="I21" i="100"/>
  <c r="B22" i="100"/>
  <c r="C22" i="100"/>
  <c r="D22" i="100"/>
  <c r="R22" i="100" s="1"/>
  <c r="E22" i="100"/>
  <c r="F22" i="100"/>
  <c r="G22" i="100"/>
  <c r="H22" i="100"/>
  <c r="I22" i="100"/>
  <c r="B23" i="100"/>
  <c r="C23" i="100"/>
  <c r="D23" i="100"/>
  <c r="R23" i="100" s="1"/>
  <c r="E23" i="100"/>
  <c r="F23" i="100"/>
  <c r="G23" i="100"/>
  <c r="H23" i="100"/>
  <c r="I23" i="100"/>
  <c r="B24" i="100"/>
  <c r="C24" i="100"/>
  <c r="D24" i="100"/>
  <c r="R24" i="100" s="1"/>
  <c r="E24" i="100"/>
  <c r="F24" i="100"/>
  <c r="G24" i="100"/>
  <c r="H24" i="100"/>
  <c r="I24" i="100"/>
  <c r="B25" i="100"/>
  <c r="C25" i="100"/>
  <c r="D25" i="100"/>
  <c r="R25" i="100" s="1"/>
  <c r="E25" i="100"/>
  <c r="F25" i="100"/>
  <c r="G25" i="100"/>
  <c r="H25" i="100"/>
  <c r="I25" i="100"/>
  <c r="B26" i="100"/>
  <c r="C26" i="100"/>
  <c r="D26" i="100"/>
  <c r="E26" i="100"/>
  <c r="F26" i="100"/>
  <c r="G26" i="100"/>
  <c r="H26" i="100"/>
  <c r="I26" i="100"/>
  <c r="B27" i="100"/>
  <c r="C27" i="100"/>
  <c r="D27" i="100"/>
  <c r="E27" i="100"/>
  <c r="F27" i="100"/>
  <c r="G27" i="100"/>
  <c r="H27" i="100"/>
  <c r="I27" i="100"/>
  <c r="B28" i="100"/>
  <c r="C28" i="100"/>
  <c r="D28" i="100"/>
  <c r="R28" i="100" s="1"/>
  <c r="E28" i="100"/>
  <c r="F28" i="100"/>
  <c r="G28" i="100"/>
  <c r="H28" i="100"/>
  <c r="I28" i="100"/>
  <c r="B29" i="100"/>
  <c r="C29" i="100"/>
  <c r="D29" i="100"/>
  <c r="R29" i="100" s="1"/>
  <c r="E29" i="100"/>
  <c r="F29" i="100"/>
  <c r="G29" i="100"/>
  <c r="H29" i="100"/>
  <c r="I29" i="100"/>
  <c r="B30" i="100"/>
  <c r="C30" i="100"/>
  <c r="D30" i="100"/>
  <c r="R30" i="100" s="1"/>
  <c r="E30" i="100"/>
  <c r="F30" i="100"/>
  <c r="G30" i="100"/>
  <c r="H30" i="100"/>
  <c r="I30" i="100"/>
  <c r="B31" i="100"/>
  <c r="C31" i="100"/>
  <c r="D31" i="100"/>
  <c r="R31" i="100" s="1"/>
  <c r="E31" i="100"/>
  <c r="F31" i="100"/>
  <c r="G31" i="100"/>
  <c r="H31" i="100"/>
  <c r="I31" i="100"/>
  <c r="B32" i="100"/>
  <c r="C32" i="100"/>
  <c r="D32" i="100"/>
  <c r="Q32" i="100" s="1"/>
  <c r="E32" i="100"/>
  <c r="F32" i="100"/>
  <c r="G32" i="100"/>
  <c r="H32" i="100"/>
  <c r="I32" i="100"/>
  <c r="B33" i="100"/>
  <c r="C33" i="100"/>
  <c r="D33" i="100"/>
  <c r="Q33" i="100" s="1"/>
  <c r="E33" i="100"/>
  <c r="F33" i="100"/>
  <c r="G33" i="100"/>
  <c r="H33" i="100"/>
  <c r="I33" i="100"/>
  <c r="B34" i="100"/>
  <c r="C34" i="100"/>
  <c r="D34" i="100"/>
  <c r="R34" i="100" s="1"/>
  <c r="E34" i="100"/>
  <c r="F34" i="100"/>
  <c r="G34" i="100"/>
  <c r="H34" i="100"/>
  <c r="I34" i="100"/>
  <c r="B35" i="100"/>
  <c r="C35" i="100"/>
  <c r="D35" i="100"/>
  <c r="Q35" i="100" s="1"/>
  <c r="E35" i="100"/>
  <c r="F35" i="100"/>
  <c r="G35" i="100"/>
  <c r="H35" i="100"/>
  <c r="I35" i="100"/>
  <c r="B36" i="100"/>
  <c r="C36" i="100"/>
  <c r="D36" i="100"/>
  <c r="Q36" i="100" s="1"/>
  <c r="E36" i="100"/>
  <c r="F36" i="100"/>
  <c r="G36" i="100"/>
  <c r="H36" i="100"/>
  <c r="I36" i="100"/>
  <c r="B37" i="100"/>
  <c r="C37" i="100"/>
  <c r="D37" i="100"/>
  <c r="R37" i="100" s="1"/>
  <c r="E37" i="100"/>
  <c r="F37" i="100"/>
  <c r="G37" i="100"/>
  <c r="H37" i="100"/>
  <c r="I37" i="100"/>
  <c r="B38" i="100"/>
  <c r="C38" i="100"/>
  <c r="D38" i="100"/>
  <c r="R38" i="100" s="1"/>
  <c r="E38" i="100"/>
  <c r="F38" i="100"/>
  <c r="G38" i="100"/>
  <c r="H38" i="100"/>
  <c r="I38" i="100"/>
  <c r="B39" i="100"/>
  <c r="C39" i="100"/>
  <c r="D39" i="100"/>
  <c r="R39" i="100" s="1"/>
  <c r="E39" i="100"/>
  <c r="F39" i="100"/>
  <c r="G39" i="100"/>
  <c r="H39" i="100"/>
  <c r="I39" i="100"/>
  <c r="B40" i="100"/>
  <c r="C40" i="100"/>
  <c r="D40" i="100"/>
  <c r="R40" i="100" s="1"/>
  <c r="E40" i="100"/>
  <c r="F40" i="100"/>
  <c r="G40" i="100"/>
  <c r="H40" i="100"/>
  <c r="I40" i="100"/>
  <c r="B41" i="100"/>
  <c r="C41" i="100"/>
  <c r="D41" i="100"/>
  <c r="R41" i="100" s="1"/>
  <c r="E41" i="100"/>
  <c r="F41" i="100"/>
  <c r="G41" i="100"/>
  <c r="H41" i="100"/>
  <c r="I41" i="100"/>
  <c r="B42" i="100"/>
  <c r="C42" i="100"/>
  <c r="D42" i="100"/>
  <c r="R42" i="100" s="1"/>
  <c r="E42" i="100"/>
  <c r="F42" i="100"/>
  <c r="G42" i="100"/>
  <c r="H42" i="100"/>
  <c r="I42" i="100"/>
  <c r="B43" i="100"/>
  <c r="C43" i="100"/>
  <c r="D43" i="100"/>
  <c r="R43" i="100" s="1"/>
  <c r="E43" i="100"/>
  <c r="F43" i="100"/>
  <c r="G43" i="100"/>
  <c r="H43" i="100"/>
  <c r="I43" i="100"/>
  <c r="B44" i="100"/>
  <c r="C44" i="100"/>
  <c r="D44" i="100"/>
  <c r="R44" i="100" s="1"/>
  <c r="E44" i="100"/>
  <c r="F44" i="100"/>
  <c r="G44" i="100"/>
  <c r="H44" i="100"/>
  <c r="I44" i="100"/>
  <c r="B45" i="100"/>
  <c r="C45" i="100"/>
  <c r="D45" i="100"/>
  <c r="R45" i="100" s="1"/>
  <c r="E45" i="100"/>
  <c r="F45" i="100"/>
  <c r="G45" i="100"/>
  <c r="H45" i="100"/>
  <c r="I45" i="100"/>
  <c r="B46" i="100"/>
  <c r="C46" i="100"/>
  <c r="D46" i="100"/>
  <c r="R46" i="100" s="1"/>
  <c r="E46" i="100"/>
  <c r="F46" i="100"/>
  <c r="G46" i="100"/>
  <c r="H46" i="100"/>
  <c r="I46" i="100"/>
  <c r="J46" i="100" s="1"/>
  <c r="B47" i="100"/>
  <c r="C47" i="100"/>
  <c r="D47" i="100"/>
  <c r="R47" i="100" s="1"/>
  <c r="E47" i="100"/>
  <c r="F47" i="100"/>
  <c r="G47" i="100"/>
  <c r="H47" i="100"/>
  <c r="I47" i="100"/>
  <c r="J47" i="100" s="1"/>
  <c r="B48" i="100"/>
  <c r="C48" i="100"/>
  <c r="D48" i="100"/>
  <c r="R48" i="100" s="1"/>
  <c r="E48" i="100"/>
  <c r="F48" i="100"/>
  <c r="G48" i="100"/>
  <c r="H48" i="100"/>
  <c r="I48" i="100"/>
  <c r="J48" i="100" s="1"/>
  <c r="B49" i="100"/>
  <c r="C49" i="100"/>
  <c r="D49" i="100"/>
  <c r="R49" i="100" s="1"/>
  <c r="E49" i="100"/>
  <c r="F49" i="100"/>
  <c r="G49" i="100"/>
  <c r="H49" i="100"/>
  <c r="I49" i="100"/>
  <c r="J49" i="100" s="1"/>
  <c r="B50" i="100"/>
  <c r="C50" i="100"/>
  <c r="D50" i="100"/>
  <c r="R50" i="100" s="1"/>
  <c r="E50" i="100"/>
  <c r="F50" i="100"/>
  <c r="G50" i="100"/>
  <c r="H50" i="100"/>
  <c r="I50" i="100"/>
  <c r="J50" i="100" s="1"/>
  <c r="B51" i="100"/>
  <c r="C51" i="100"/>
  <c r="D51" i="100"/>
  <c r="R51" i="100" s="1"/>
  <c r="E51" i="100"/>
  <c r="F51" i="100"/>
  <c r="G51" i="100"/>
  <c r="H51" i="100"/>
  <c r="I51" i="100"/>
  <c r="J51" i="100" s="1"/>
  <c r="B52" i="100"/>
  <c r="C52" i="100"/>
  <c r="D52" i="100"/>
  <c r="R52" i="100" s="1"/>
  <c r="E52" i="100"/>
  <c r="F52" i="100"/>
  <c r="G52" i="100"/>
  <c r="H52" i="100"/>
  <c r="I52" i="100"/>
  <c r="J52" i="100" s="1"/>
  <c r="B53" i="100"/>
  <c r="C53" i="100"/>
  <c r="D53" i="100"/>
  <c r="R53" i="100" s="1"/>
  <c r="E53" i="100"/>
  <c r="F53" i="100"/>
  <c r="G53" i="100"/>
  <c r="H53" i="100"/>
  <c r="I53" i="100"/>
  <c r="J53" i="100" s="1"/>
  <c r="B54" i="100"/>
  <c r="C54" i="100"/>
  <c r="D54" i="100"/>
  <c r="R54" i="100" s="1"/>
  <c r="E54" i="100"/>
  <c r="F54" i="100"/>
  <c r="G54" i="100"/>
  <c r="H54" i="100"/>
  <c r="I54" i="100"/>
  <c r="J54" i="100" s="1"/>
  <c r="B55" i="100"/>
  <c r="C55" i="100"/>
  <c r="D55" i="100"/>
  <c r="R55" i="100" s="1"/>
  <c r="E55" i="100"/>
  <c r="F55" i="100"/>
  <c r="G55" i="100"/>
  <c r="H55" i="100"/>
  <c r="I55" i="100"/>
  <c r="B56" i="100"/>
  <c r="C56" i="100"/>
  <c r="D56" i="100"/>
  <c r="R56" i="100" s="1"/>
  <c r="E56" i="100"/>
  <c r="F56" i="100"/>
  <c r="G56" i="100"/>
  <c r="H56" i="100"/>
  <c r="I56" i="100"/>
  <c r="B57" i="100"/>
  <c r="C57" i="100"/>
  <c r="D57" i="100"/>
  <c r="R57" i="100" s="1"/>
  <c r="E57" i="100"/>
  <c r="F57" i="100"/>
  <c r="G57" i="100"/>
  <c r="H57" i="100"/>
  <c r="I57" i="100"/>
  <c r="J57" i="100" s="1"/>
  <c r="B58" i="100"/>
  <c r="C58" i="100"/>
  <c r="D58" i="100"/>
  <c r="R58" i="100" s="1"/>
  <c r="E58" i="100"/>
  <c r="F58" i="100"/>
  <c r="G58" i="100"/>
  <c r="H58" i="100"/>
  <c r="I58" i="100"/>
  <c r="B59" i="100"/>
  <c r="C59" i="100"/>
  <c r="D59" i="100"/>
  <c r="R59" i="100" s="1"/>
  <c r="E59" i="100"/>
  <c r="F59" i="100"/>
  <c r="G59" i="100"/>
  <c r="H59" i="100"/>
  <c r="I59" i="100"/>
  <c r="J59" i="100" s="1"/>
  <c r="B60" i="100"/>
  <c r="C60" i="100"/>
  <c r="D60" i="100"/>
  <c r="R60" i="100" s="1"/>
  <c r="E60" i="100"/>
  <c r="F60" i="100"/>
  <c r="G60" i="100"/>
  <c r="H60" i="100"/>
  <c r="I60" i="100"/>
  <c r="J60" i="100" s="1"/>
  <c r="B61" i="100"/>
  <c r="C61" i="100"/>
  <c r="D61" i="100"/>
  <c r="Q61" i="100" s="1"/>
  <c r="E61" i="100"/>
  <c r="F61" i="100"/>
  <c r="G61" i="100"/>
  <c r="H61" i="100"/>
  <c r="I61" i="100"/>
  <c r="B62" i="100"/>
  <c r="C62" i="100"/>
  <c r="D62" i="100"/>
  <c r="Q62" i="100" s="1"/>
  <c r="E62" i="100"/>
  <c r="F62" i="100"/>
  <c r="G62" i="100"/>
  <c r="H62" i="100"/>
  <c r="I62" i="100"/>
  <c r="B63" i="100"/>
  <c r="C63" i="100"/>
  <c r="D63" i="100"/>
  <c r="Q63" i="100" s="1"/>
  <c r="E63" i="100"/>
  <c r="F63" i="100"/>
  <c r="G63" i="100"/>
  <c r="H63" i="100"/>
  <c r="I63" i="100"/>
  <c r="B64" i="100"/>
  <c r="C64" i="100"/>
  <c r="D64" i="100"/>
  <c r="Q64" i="100" s="1"/>
  <c r="E64" i="100"/>
  <c r="F64" i="100"/>
  <c r="G64" i="100"/>
  <c r="H64" i="100"/>
  <c r="I64" i="100"/>
  <c r="B65" i="100"/>
  <c r="C65" i="100"/>
  <c r="D65" i="100"/>
  <c r="Q65" i="100" s="1"/>
  <c r="E65" i="100"/>
  <c r="F65" i="100"/>
  <c r="G65" i="100"/>
  <c r="H65" i="100"/>
  <c r="I65" i="100"/>
  <c r="B66" i="100"/>
  <c r="C66" i="100"/>
  <c r="D66" i="100"/>
  <c r="Q66" i="100" s="1"/>
  <c r="E66" i="100"/>
  <c r="F66" i="100"/>
  <c r="G66" i="100"/>
  <c r="H66" i="100"/>
  <c r="I66" i="100"/>
  <c r="B67" i="100"/>
  <c r="C67" i="100"/>
  <c r="D67" i="100"/>
  <c r="Q67" i="100" s="1"/>
  <c r="E67" i="100"/>
  <c r="F67" i="100"/>
  <c r="G67" i="100"/>
  <c r="H67" i="100"/>
  <c r="I67" i="100"/>
  <c r="B68" i="100"/>
  <c r="C68" i="100"/>
  <c r="D68" i="100"/>
  <c r="Q68" i="100" s="1"/>
  <c r="E68" i="100"/>
  <c r="F68" i="100"/>
  <c r="G68" i="100"/>
  <c r="H68" i="100"/>
  <c r="I68" i="100"/>
  <c r="B69" i="100"/>
  <c r="C69" i="100"/>
  <c r="D69" i="100"/>
  <c r="Q69" i="100" s="1"/>
  <c r="E69" i="100"/>
  <c r="F69" i="100"/>
  <c r="G69" i="100"/>
  <c r="H69" i="100"/>
  <c r="I69" i="100"/>
  <c r="B70" i="100"/>
  <c r="C70" i="100"/>
  <c r="D70" i="100"/>
  <c r="Q70" i="100" s="1"/>
  <c r="E70" i="100"/>
  <c r="F70" i="100"/>
  <c r="G70" i="100"/>
  <c r="H70" i="100"/>
  <c r="I70" i="100"/>
  <c r="B71" i="100"/>
  <c r="C71" i="100"/>
  <c r="D71" i="100"/>
  <c r="Q71" i="100" s="1"/>
  <c r="E71" i="100"/>
  <c r="F71" i="100"/>
  <c r="G71" i="100"/>
  <c r="H71" i="100"/>
  <c r="I71" i="100"/>
  <c r="B72" i="100"/>
  <c r="C72" i="100"/>
  <c r="D72" i="100"/>
  <c r="Q72" i="100" s="1"/>
  <c r="E72" i="100"/>
  <c r="F72" i="100"/>
  <c r="G72" i="100"/>
  <c r="H72" i="100"/>
  <c r="I72" i="100"/>
  <c r="B73" i="100"/>
  <c r="C73" i="100"/>
  <c r="D73" i="100"/>
  <c r="Q73" i="100" s="1"/>
  <c r="E73" i="100"/>
  <c r="F73" i="100"/>
  <c r="G73" i="100"/>
  <c r="H73" i="100"/>
  <c r="I73" i="100"/>
  <c r="B74" i="100"/>
  <c r="C74" i="100"/>
  <c r="D74" i="100"/>
  <c r="Q74" i="100" s="1"/>
  <c r="E74" i="100"/>
  <c r="F74" i="100"/>
  <c r="G74" i="100"/>
  <c r="H74" i="100"/>
  <c r="I74" i="100"/>
  <c r="B75" i="100"/>
  <c r="C75" i="100"/>
  <c r="D75" i="100"/>
  <c r="E75" i="100"/>
  <c r="F75" i="100"/>
  <c r="G75" i="100"/>
  <c r="H75" i="100"/>
  <c r="I75" i="100"/>
  <c r="B76" i="100"/>
  <c r="C76" i="100"/>
  <c r="D76" i="100"/>
  <c r="Q76" i="100" s="1"/>
  <c r="E76" i="100"/>
  <c r="F76" i="100"/>
  <c r="G76" i="100"/>
  <c r="H76" i="100"/>
  <c r="I76" i="100"/>
  <c r="B77" i="100"/>
  <c r="C77" i="100"/>
  <c r="D77" i="100"/>
  <c r="Q77" i="100" s="1"/>
  <c r="E77" i="100"/>
  <c r="F77" i="100"/>
  <c r="G77" i="100"/>
  <c r="H77" i="100"/>
  <c r="I77" i="100"/>
  <c r="B78" i="100"/>
  <c r="C78" i="100"/>
  <c r="D78" i="100"/>
  <c r="Q78" i="100" s="1"/>
  <c r="E78" i="100"/>
  <c r="F78" i="100"/>
  <c r="G78" i="100"/>
  <c r="H78" i="100"/>
  <c r="I78" i="100"/>
  <c r="B79" i="100"/>
  <c r="C79" i="100"/>
  <c r="D79" i="100"/>
  <c r="Q79" i="100" s="1"/>
  <c r="E79" i="100"/>
  <c r="F79" i="100"/>
  <c r="G79" i="100"/>
  <c r="H79" i="100"/>
  <c r="I79" i="100"/>
  <c r="B80" i="100"/>
  <c r="C80" i="100"/>
  <c r="D80" i="100"/>
  <c r="Q80" i="100" s="1"/>
  <c r="E80" i="100"/>
  <c r="F80" i="100"/>
  <c r="G80" i="100"/>
  <c r="H80" i="100"/>
  <c r="I80" i="100"/>
  <c r="B81" i="100"/>
  <c r="C81" i="100"/>
  <c r="D81" i="100"/>
  <c r="Q81" i="100" s="1"/>
  <c r="E81" i="100"/>
  <c r="F81" i="100"/>
  <c r="G81" i="100"/>
  <c r="H81" i="100"/>
  <c r="I81" i="100"/>
  <c r="B82" i="100"/>
  <c r="C82" i="100"/>
  <c r="D82" i="100"/>
  <c r="Q82" i="100" s="1"/>
  <c r="E82" i="100"/>
  <c r="F82" i="100"/>
  <c r="G82" i="100"/>
  <c r="H82" i="100"/>
  <c r="I82" i="100"/>
  <c r="B83" i="100"/>
  <c r="C83" i="100"/>
  <c r="D83" i="100"/>
  <c r="Q83" i="100" s="1"/>
  <c r="E83" i="100"/>
  <c r="F83" i="100"/>
  <c r="G83" i="100"/>
  <c r="H83" i="100"/>
  <c r="I83" i="100"/>
  <c r="B84" i="100"/>
  <c r="C84" i="100"/>
  <c r="D84" i="100"/>
  <c r="Q84" i="100" s="1"/>
  <c r="E84" i="100"/>
  <c r="F84" i="100"/>
  <c r="G84" i="100"/>
  <c r="H84" i="100"/>
  <c r="I84" i="100"/>
  <c r="B85" i="100"/>
  <c r="C85" i="100"/>
  <c r="D85" i="100"/>
  <c r="Q85" i="100" s="1"/>
  <c r="E85" i="100"/>
  <c r="F85" i="100"/>
  <c r="G85" i="100"/>
  <c r="H85" i="100"/>
  <c r="I85" i="100"/>
  <c r="B86" i="100"/>
  <c r="C86" i="100"/>
  <c r="D86" i="100"/>
  <c r="Q86" i="100" s="1"/>
  <c r="E86" i="100"/>
  <c r="F86" i="100"/>
  <c r="G86" i="100"/>
  <c r="H86" i="100"/>
  <c r="I86" i="100"/>
  <c r="B87" i="100"/>
  <c r="C87" i="100"/>
  <c r="D87" i="100"/>
  <c r="Q87" i="100" s="1"/>
  <c r="E87" i="100"/>
  <c r="F87" i="100"/>
  <c r="G87" i="100"/>
  <c r="H87" i="100"/>
  <c r="I87" i="100"/>
  <c r="B88" i="100"/>
  <c r="C88" i="100"/>
  <c r="D88" i="100"/>
  <c r="Q88" i="100" s="1"/>
  <c r="E88" i="100"/>
  <c r="F88" i="100"/>
  <c r="G88" i="100"/>
  <c r="H88" i="100"/>
  <c r="I88" i="100"/>
  <c r="B89" i="100"/>
  <c r="C89" i="100"/>
  <c r="D89" i="100"/>
  <c r="R89" i="100" s="1"/>
  <c r="E89" i="100"/>
  <c r="F89" i="100"/>
  <c r="G89" i="100"/>
  <c r="H89" i="100"/>
  <c r="I89" i="100"/>
  <c r="B90" i="100"/>
  <c r="C90" i="100"/>
  <c r="D90" i="100"/>
  <c r="R90" i="100" s="1"/>
  <c r="E90" i="100"/>
  <c r="F90" i="100"/>
  <c r="G90" i="100"/>
  <c r="H90" i="100"/>
  <c r="I90" i="100"/>
  <c r="B91" i="100"/>
  <c r="C91" i="100"/>
  <c r="D91" i="100"/>
  <c r="Q91" i="100" s="1"/>
  <c r="E91" i="100"/>
  <c r="F91" i="100"/>
  <c r="G91" i="100"/>
  <c r="H91" i="100"/>
  <c r="I91" i="100"/>
  <c r="B92" i="100"/>
  <c r="C92" i="100"/>
  <c r="D92" i="100"/>
  <c r="Q92" i="100" s="1"/>
  <c r="E92" i="100"/>
  <c r="F92" i="100"/>
  <c r="G92" i="100"/>
  <c r="H92" i="100"/>
  <c r="I92" i="100"/>
  <c r="B93" i="100"/>
  <c r="C93" i="100"/>
  <c r="D93" i="100"/>
  <c r="Q93" i="100" s="1"/>
  <c r="E93" i="100"/>
  <c r="F93" i="100"/>
  <c r="G93" i="100"/>
  <c r="H93" i="100"/>
  <c r="I93" i="100"/>
  <c r="B94" i="100"/>
  <c r="C94" i="100"/>
  <c r="D94" i="100"/>
  <c r="Q94" i="100" s="1"/>
  <c r="E94" i="100"/>
  <c r="F94" i="100"/>
  <c r="G94" i="100"/>
  <c r="H94" i="100"/>
  <c r="I94" i="100"/>
  <c r="B95" i="100"/>
  <c r="C95" i="100"/>
  <c r="D95" i="100"/>
  <c r="Q95" i="100" s="1"/>
  <c r="E95" i="100"/>
  <c r="F95" i="100"/>
  <c r="G95" i="100"/>
  <c r="H95" i="100"/>
  <c r="I95" i="100"/>
  <c r="B96" i="100"/>
  <c r="C96" i="100"/>
  <c r="D96" i="100"/>
  <c r="Q96" i="100" s="1"/>
  <c r="E96" i="100"/>
  <c r="F96" i="100"/>
  <c r="G96" i="100"/>
  <c r="H96" i="100"/>
  <c r="I96" i="100"/>
  <c r="B97" i="100"/>
  <c r="C97" i="100"/>
  <c r="D97" i="100"/>
  <c r="Q97" i="100" s="1"/>
  <c r="E97" i="100"/>
  <c r="F97" i="100"/>
  <c r="G97" i="100"/>
  <c r="H97" i="100"/>
  <c r="I97" i="100"/>
  <c r="B98" i="100"/>
  <c r="C98" i="100"/>
  <c r="D98" i="100"/>
  <c r="R98" i="100" s="1"/>
  <c r="E98" i="100"/>
  <c r="F98" i="100"/>
  <c r="G98" i="100"/>
  <c r="H98" i="100"/>
  <c r="I98" i="100"/>
  <c r="B99" i="100"/>
  <c r="C99" i="100"/>
  <c r="D99" i="100"/>
  <c r="R99" i="100" s="1"/>
  <c r="E99" i="100"/>
  <c r="F99" i="100"/>
  <c r="G99" i="100"/>
  <c r="H99" i="100"/>
  <c r="I99" i="100"/>
  <c r="B100" i="100"/>
  <c r="C100" i="100"/>
  <c r="D100" i="100"/>
  <c r="R100" i="100" s="1"/>
  <c r="E100" i="100"/>
  <c r="F100" i="100"/>
  <c r="G100" i="100"/>
  <c r="H100" i="100"/>
  <c r="I100" i="100"/>
  <c r="B101" i="100"/>
  <c r="C101" i="100"/>
  <c r="D101" i="100"/>
  <c r="R101" i="100" s="1"/>
  <c r="E101" i="100"/>
  <c r="F101" i="100"/>
  <c r="G101" i="100"/>
  <c r="H101" i="100"/>
  <c r="I101" i="100"/>
  <c r="B102" i="100"/>
  <c r="C102" i="100"/>
  <c r="D102" i="100"/>
  <c r="R102" i="100" s="1"/>
  <c r="E102" i="100"/>
  <c r="F102" i="100"/>
  <c r="G102" i="100"/>
  <c r="H102" i="100"/>
  <c r="I102" i="100"/>
  <c r="B103" i="100"/>
  <c r="C103" i="100"/>
  <c r="D103" i="100"/>
  <c r="R103" i="100" s="1"/>
  <c r="E103" i="100"/>
  <c r="F103" i="100"/>
  <c r="G103" i="100"/>
  <c r="H103" i="100"/>
  <c r="I103" i="100"/>
  <c r="B104" i="100"/>
  <c r="C104" i="100"/>
  <c r="D104" i="100"/>
  <c r="Q104" i="100" s="1"/>
  <c r="E104" i="100"/>
  <c r="F104" i="100"/>
  <c r="G104" i="100"/>
  <c r="H104" i="100"/>
  <c r="I104" i="100"/>
  <c r="B105" i="100"/>
  <c r="C105" i="100"/>
  <c r="D105" i="100"/>
  <c r="Q105" i="100" s="1"/>
  <c r="E105" i="100"/>
  <c r="F105" i="100"/>
  <c r="G105" i="100"/>
  <c r="H105" i="100"/>
  <c r="I105" i="100"/>
  <c r="B106" i="100"/>
  <c r="C106" i="100"/>
  <c r="D106" i="100"/>
  <c r="R106" i="100" s="1"/>
  <c r="E106" i="100"/>
  <c r="F106" i="100"/>
  <c r="G106" i="100"/>
  <c r="H106" i="100"/>
  <c r="I106" i="100"/>
  <c r="B107" i="100"/>
  <c r="C107" i="100"/>
  <c r="D107" i="100"/>
  <c r="R107" i="100" s="1"/>
  <c r="E107" i="100"/>
  <c r="F107" i="100"/>
  <c r="G107" i="100"/>
  <c r="H107" i="100"/>
  <c r="I107" i="100"/>
  <c r="B108" i="100"/>
  <c r="C108" i="100"/>
  <c r="D108" i="100"/>
  <c r="Q108" i="100" s="1"/>
  <c r="E108" i="100"/>
  <c r="F108" i="100"/>
  <c r="G108" i="100"/>
  <c r="H108" i="100"/>
  <c r="I108" i="100"/>
  <c r="B109" i="100"/>
  <c r="C109" i="100"/>
  <c r="D109" i="100"/>
  <c r="Q109" i="100" s="1"/>
  <c r="E109" i="100"/>
  <c r="F109" i="100"/>
  <c r="G109" i="100"/>
  <c r="H109" i="100"/>
  <c r="I109" i="100"/>
  <c r="B110" i="100"/>
  <c r="C110" i="100"/>
  <c r="D110" i="100"/>
  <c r="Q110" i="100" s="1"/>
  <c r="E110" i="100"/>
  <c r="F110" i="100"/>
  <c r="G110" i="100"/>
  <c r="H110" i="100"/>
  <c r="I110" i="100"/>
  <c r="B111" i="100"/>
  <c r="C111" i="100"/>
  <c r="D111" i="100"/>
  <c r="Q111" i="100" s="1"/>
  <c r="E111" i="100"/>
  <c r="F111" i="100"/>
  <c r="G111" i="100"/>
  <c r="H111" i="100"/>
  <c r="I111" i="100"/>
  <c r="B112" i="100"/>
  <c r="C112" i="100"/>
  <c r="D112" i="100"/>
  <c r="Q112" i="100" s="1"/>
  <c r="E112" i="100"/>
  <c r="F112" i="100"/>
  <c r="G112" i="100"/>
  <c r="H112" i="100"/>
  <c r="I112" i="100"/>
  <c r="B113" i="100"/>
  <c r="C113" i="100"/>
  <c r="D113" i="100"/>
  <c r="Q113" i="100" s="1"/>
  <c r="E113" i="100"/>
  <c r="F113" i="100"/>
  <c r="G113" i="100"/>
  <c r="H113" i="100"/>
  <c r="I113" i="100"/>
  <c r="B114" i="100"/>
  <c r="C114" i="100"/>
  <c r="D114" i="100"/>
  <c r="Q114" i="100" s="1"/>
  <c r="E114" i="100"/>
  <c r="F114" i="100"/>
  <c r="G114" i="100"/>
  <c r="H114" i="100"/>
  <c r="I114" i="100"/>
  <c r="B115" i="100"/>
  <c r="C115" i="100"/>
  <c r="D115" i="100"/>
  <c r="Q115" i="100" s="1"/>
  <c r="E115" i="100"/>
  <c r="F115" i="100"/>
  <c r="G115" i="100"/>
  <c r="H115" i="100"/>
  <c r="I115" i="100"/>
  <c r="B116" i="100"/>
  <c r="C116" i="100"/>
  <c r="D116" i="100"/>
  <c r="Q116" i="100" s="1"/>
  <c r="E116" i="100"/>
  <c r="F116" i="100"/>
  <c r="G116" i="100"/>
  <c r="H116" i="100"/>
  <c r="I116" i="100"/>
  <c r="B117" i="100"/>
  <c r="C117" i="100"/>
  <c r="D117" i="100"/>
  <c r="R117" i="100" s="1"/>
  <c r="E117" i="100"/>
  <c r="F117" i="100"/>
  <c r="G117" i="100"/>
  <c r="H117" i="100"/>
  <c r="I117" i="100"/>
  <c r="B118" i="100"/>
  <c r="C118" i="100"/>
  <c r="D118" i="100"/>
  <c r="Q118" i="100" s="1"/>
  <c r="E118" i="100"/>
  <c r="F118" i="100"/>
  <c r="G118" i="100"/>
  <c r="H118" i="100"/>
  <c r="I118" i="100"/>
  <c r="B119" i="100"/>
  <c r="C119" i="100"/>
  <c r="D119" i="100"/>
  <c r="R119" i="100" s="1"/>
  <c r="E119" i="100"/>
  <c r="F119" i="100"/>
  <c r="G119" i="100"/>
  <c r="H119" i="100"/>
  <c r="I119" i="100"/>
  <c r="B120" i="100"/>
  <c r="C120" i="100"/>
  <c r="D120" i="100"/>
  <c r="R120" i="100" s="1"/>
  <c r="E120" i="100"/>
  <c r="F120" i="100"/>
  <c r="G120" i="100"/>
  <c r="H120" i="100"/>
  <c r="I120" i="100"/>
  <c r="B121" i="100"/>
  <c r="C121" i="100"/>
  <c r="D121" i="100"/>
  <c r="R121" i="100" s="1"/>
  <c r="E121" i="100"/>
  <c r="F121" i="100"/>
  <c r="G121" i="100"/>
  <c r="H121" i="100"/>
  <c r="I121" i="100"/>
  <c r="B122" i="100"/>
  <c r="C122" i="100"/>
  <c r="D122" i="100"/>
  <c r="R122" i="100" s="1"/>
  <c r="E122" i="100"/>
  <c r="F122" i="100"/>
  <c r="G122" i="100"/>
  <c r="H122" i="100"/>
  <c r="I122" i="100"/>
  <c r="B123" i="100"/>
  <c r="C123" i="100"/>
  <c r="D123" i="100"/>
  <c r="Q123" i="100" s="1"/>
  <c r="E123" i="100"/>
  <c r="F123" i="100"/>
  <c r="G123" i="100"/>
  <c r="H123" i="100"/>
  <c r="I123" i="100"/>
  <c r="B124" i="100"/>
  <c r="C124" i="100"/>
  <c r="D124" i="100"/>
  <c r="Q124" i="100" s="1"/>
  <c r="E124" i="100"/>
  <c r="F124" i="100"/>
  <c r="G124" i="100"/>
  <c r="H124" i="100"/>
  <c r="I124" i="100"/>
  <c r="B125" i="100"/>
  <c r="C125" i="100"/>
  <c r="D125" i="100"/>
  <c r="Q125" i="100" s="1"/>
  <c r="E125" i="100"/>
  <c r="F125" i="100"/>
  <c r="G125" i="100"/>
  <c r="H125" i="100"/>
  <c r="I125" i="100"/>
  <c r="B126" i="100"/>
  <c r="C126" i="100"/>
  <c r="D126" i="100"/>
  <c r="R126" i="100" s="1"/>
  <c r="E126" i="100"/>
  <c r="F126" i="100"/>
  <c r="G126" i="100"/>
  <c r="H126" i="100"/>
  <c r="I126" i="100"/>
  <c r="B127" i="100"/>
  <c r="C127" i="100"/>
  <c r="D127" i="100"/>
  <c r="R127" i="100" s="1"/>
  <c r="E127" i="100"/>
  <c r="F127" i="100"/>
  <c r="G127" i="100"/>
  <c r="H127" i="100"/>
  <c r="I127" i="100"/>
  <c r="B128" i="100"/>
  <c r="C128" i="100"/>
  <c r="D128" i="100"/>
  <c r="R128" i="100" s="1"/>
  <c r="E128" i="100"/>
  <c r="F128" i="100"/>
  <c r="G128" i="100"/>
  <c r="H128" i="100"/>
  <c r="I128" i="100"/>
  <c r="B129" i="100"/>
  <c r="C129" i="100"/>
  <c r="D129" i="100"/>
  <c r="R129" i="100" s="1"/>
  <c r="E129" i="100"/>
  <c r="F129" i="100"/>
  <c r="G129" i="100"/>
  <c r="H129" i="100"/>
  <c r="I129" i="100"/>
  <c r="B130" i="100"/>
  <c r="C130" i="100"/>
  <c r="D130" i="100"/>
  <c r="Q130" i="100" s="1"/>
  <c r="E130" i="100"/>
  <c r="F130" i="100"/>
  <c r="G130" i="100"/>
  <c r="H130" i="100"/>
  <c r="I130" i="100"/>
  <c r="B131" i="100"/>
  <c r="C131" i="100"/>
  <c r="D131" i="100"/>
  <c r="Q131" i="100" s="1"/>
  <c r="E131" i="100"/>
  <c r="F131" i="100"/>
  <c r="G131" i="100"/>
  <c r="H131" i="100"/>
  <c r="I131" i="100"/>
  <c r="B132" i="100"/>
  <c r="C132" i="100"/>
  <c r="D132" i="100"/>
  <c r="Q132" i="100" s="1"/>
  <c r="E132" i="100"/>
  <c r="F132" i="100"/>
  <c r="G132" i="100"/>
  <c r="H132" i="100"/>
  <c r="I132" i="100"/>
  <c r="J132" i="100" s="1"/>
  <c r="B133" i="100"/>
  <c r="C133" i="100"/>
  <c r="D133" i="100"/>
  <c r="Q133" i="100" s="1"/>
  <c r="E133" i="100"/>
  <c r="F133" i="100"/>
  <c r="G133" i="100"/>
  <c r="H133" i="100"/>
  <c r="I133" i="100"/>
  <c r="J133" i="100" s="1"/>
  <c r="B134" i="100"/>
  <c r="C134" i="100"/>
  <c r="D134" i="100"/>
  <c r="Q134" i="100" s="1"/>
  <c r="E134" i="100"/>
  <c r="F134" i="100"/>
  <c r="G134" i="100"/>
  <c r="H134" i="100"/>
  <c r="I134" i="100"/>
  <c r="J134" i="100" s="1"/>
  <c r="B135" i="100"/>
  <c r="C135" i="100"/>
  <c r="D135" i="100"/>
  <c r="Q135" i="100" s="1"/>
  <c r="E135" i="100"/>
  <c r="F135" i="100"/>
  <c r="G135" i="100"/>
  <c r="H135" i="100"/>
  <c r="I135" i="100"/>
  <c r="J135" i="100" s="1"/>
  <c r="B136" i="100"/>
  <c r="C136" i="100"/>
  <c r="D136" i="100"/>
  <c r="Q136" i="100" s="1"/>
  <c r="E136" i="100"/>
  <c r="F136" i="100"/>
  <c r="G136" i="100"/>
  <c r="H136" i="100"/>
  <c r="I136" i="100"/>
  <c r="J136" i="100" s="1"/>
  <c r="B137" i="100"/>
  <c r="C137" i="100"/>
  <c r="D137" i="100"/>
  <c r="Q137" i="100" s="1"/>
  <c r="E137" i="100"/>
  <c r="F137" i="100"/>
  <c r="G137" i="100"/>
  <c r="H137" i="100"/>
  <c r="I137" i="100"/>
  <c r="J137" i="100" s="1"/>
  <c r="B138" i="100"/>
  <c r="C138" i="100"/>
  <c r="D138" i="100"/>
  <c r="R138" i="100" s="1"/>
  <c r="E138" i="100"/>
  <c r="F138" i="100"/>
  <c r="G138" i="100"/>
  <c r="H138" i="100"/>
  <c r="I138" i="100"/>
  <c r="B139" i="100"/>
  <c r="C139" i="100"/>
  <c r="D139" i="100"/>
  <c r="R139" i="100" s="1"/>
  <c r="E139" i="100"/>
  <c r="F139" i="100"/>
  <c r="G139" i="100"/>
  <c r="H139" i="100"/>
  <c r="I139" i="100"/>
  <c r="B140" i="100"/>
  <c r="C140" i="100"/>
  <c r="D140" i="100"/>
  <c r="R140" i="100" s="1"/>
  <c r="E140" i="100"/>
  <c r="F140" i="100"/>
  <c r="G140" i="100"/>
  <c r="H140" i="100"/>
  <c r="I140" i="100"/>
  <c r="B141" i="100"/>
  <c r="C141" i="100"/>
  <c r="D141" i="100"/>
  <c r="R141" i="100" s="1"/>
  <c r="E141" i="100"/>
  <c r="F141" i="100"/>
  <c r="G141" i="100"/>
  <c r="H141" i="100"/>
  <c r="I141" i="100"/>
  <c r="B142" i="100"/>
  <c r="C142" i="100"/>
  <c r="D142" i="100"/>
  <c r="Q142" i="100" s="1"/>
  <c r="E142" i="100"/>
  <c r="F142" i="100"/>
  <c r="G142" i="100"/>
  <c r="H142" i="100"/>
  <c r="I142" i="100"/>
  <c r="B143" i="100"/>
  <c r="C143" i="100"/>
  <c r="D143" i="100"/>
  <c r="R143" i="100" s="1"/>
  <c r="E143" i="100"/>
  <c r="F143" i="100"/>
  <c r="G143" i="100"/>
  <c r="H143" i="100"/>
  <c r="I143" i="100"/>
  <c r="B144" i="100"/>
  <c r="C144" i="100"/>
  <c r="D144" i="100"/>
  <c r="R144" i="100" s="1"/>
  <c r="E144" i="100"/>
  <c r="F144" i="100"/>
  <c r="G144" i="100"/>
  <c r="H144" i="100"/>
  <c r="I144" i="100"/>
  <c r="B145" i="100"/>
  <c r="C145" i="100"/>
  <c r="D145" i="100"/>
  <c r="R145" i="100" s="1"/>
  <c r="E145" i="100"/>
  <c r="F145" i="100"/>
  <c r="G145" i="100"/>
  <c r="H145" i="100"/>
  <c r="I145" i="100"/>
  <c r="B146" i="100"/>
  <c r="C146" i="100"/>
  <c r="D146" i="100"/>
  <c r="R146" i="100" s="1"/>
  <c r="E146" i="100"/>
  <c r="F146" i="100"/>
  <c r="G146" i="100"/>
  <c r="H146" i="100"/>
  <c r="I146" i="100"/>
  <c r="B147" i="100"/>
  <c r="C147" i="100"/>
  <c r="D147" i="100"/>
  <c r="R147" i="100" s="1"/>
  <c r="E147" i="100"/>
  <c r="F147" i="100"/>
  <c r="G147" i="100"/>
  <c r="H147" i="100"/>
  <c r="I147" i="100"/>
  <c r="B148" i="100"/>
  <c r="C148" i="100"/>
  <c r="D148" i="100"/>
  <c r="R148" i="100" s="1"/>
  <c r="E148" i="100"/>
  <c r="F148" i="100"/>
  <c r="G148" i="100"/>
  <c r="H148" i="100"/>
  <c r="I148" i="100"/>
  <c r="B149" i="100"/>
  <c r="C149" i="100"/>
  <c r="D149" i="100"/>
  <c r="R149" i="100" s="1"/>
  <c r="E149" i="100"/>
  <c r="F149" i="100"/>
  <c r="G149" i="100"/>
  <c r="H149" i="100"/>
  <c r="I149" i="100"/>
  <c r="B150" i="100"/>
  <c r="C150" i="100"/>
  <c r="D150" i="100"/>
  <c r="R150" i="100" s="1"/>
  <c r="E150" i="100"/>
  <c r="F150" i="100"/>
  <c r="G150" i="100"/>
  <c r="H150" i="100"/>
  <c r="I150" i="100"/>
  <c r="B151" i="100"/>
  <c r="C151" i="100"/>
  <c r="D151" i="100"/>
  <c r="R151" i="100" s="1"/>
  <c r="E151" i="100"/>
  <c r="F151" i="100"/>
  <c r="G151" i="100"/>
  <c r="H151" i="100"/>
  <c r="I151" i="100"/>
  <c r="B152" i="100"/>
  <c r="C152" i="100"/>
  <c r="D152" i="100"/>
  <c r="R152" i="100" s="1"/>
  <c r="E152" i="100"/>
  <c r="F152" i="100"/>
  <c r="G152" i="100"/>
  <c r="H152" i="100"/>
  <c r="I152" i="100"/>
  <c r="B153" i="100"/>
  <c r="C153" i="100"/>
  <c r="D153" i="100"/>
  <c r="R153" i="100" s="1"/>
  <c r="E153" i="100"/>
  <c r="F153" i="100"/>
  <c r="G153" i="100"/>
  <c r="H153" i="100"/>
  <c r="I153" i="100"/>
  <c r="B154" i="100"/>
  <c r="C154" i="100"/>
  <c r="D154" i="100"/>
  <c r="R154" i="100" s="1"/>
  <c r="E154" i="100"/>
  <c r="F154" i="100"/>
  <c r="G154" i="100"/>
  <c r="H154" i="100"/>
  <c r="I154" i="100"/>
  <c r="B155" i="100"/>
  <c r="C155" i="100"/>
  <c r="D155" i="100"/>
  <c r="R155" i="100" s="1"/>
  <c r="E155" i="100"/>
  <c r="F155" i="100"/>
  <c r="G155" i="100"/>
  <c r="H155" i="100"/>
  <c r="I155" i="100"/>
  <c r="B156" i="100"/>
  <c r="C156" i="100"/>
  <c r="D156" i="100"/>
  <c r="Q156" i="100" s="1"/>
  <c r="E156" i="100"/>
  <c r="F156" i="100"/>
  <c r="G156" i="100"/>
  <c r="H156" i="100"/>
  <c r="I156" i="100"/>
  <c r="B157" i="100"/>
  <c r="C157" i="100"/>
  <c r="D157" i="100"/>
  <c r="Q157" i="100" s="1"/>
  <c r="E157" i="100"/>
  <c r="F157" i="100"/>
  <c r="G157" i="100"/>
  <c r="H157" i="100"/>
  <c r="I157" i="100"/>
  <c r="B158" i="100"/>
  <c r="C158" i="100"/>
  <c r="D158" i="100"/>
  <c r="Q158" i="100" s="1"/>
  <c r="E158" i="100"/>
  <c r="F158" i="100"/>
  <c r="G158" i="100"/>
  <c r="H158" i="100"/>
  <c r="I158" i="100"/>
  <c r="B159" i="100"/>
  <c r="C159" i="100"/>
  <c r="D159" i="100"/>
  <c r="Q159" i="100" s="1"/>
  <c r="E159" i="100"/>
  <c r="F159" i="100"/>
  <c r="G159" i="100"/>
  <c r="H159" i="100"/>
  <c r="I159" i="100"/>
  <c r="B160" i="100"/>
  <c r="C160" i="100"/>
  <c r="D160" i="100"/>
  <c r="Q160" i="100" s="1"/>
  <c r="E160" i="100"/>
  <c r="F160" i="100"/>
  <c r="G160" i="100"/>
  <c r="H160" i="100"/>
  <c r="I160" i="100"/>
  <c r="B161" i="100"/>
  <c r="C161" i="100"/>
  <c r="D161" i="100"/>
  <c r="Q161" i="100" s="1"/>
  <c r="E161" i="100"/>
  <c r="F161" i="100"/>
  <c r="G161" i="100"/>
  <c r="H161" i="100"/>
  <c r="I161" i="100"/>
  <c r="B162" i="100"/>
  <c r="C162" i="100"/>
  <c r="D162" i="100"/>
  <c r="R162" i="100" s="1"/>
  <c r="E162" i="100"/>
  <c r="F162" i="100"/>
  <c r="G162" i="100"/>
  <c r="H162" i="100"/>
  <c r="I162" i="100"/>
  <c r="B163" i="100"/>
  <c r="C163" i="100"/>
  <c r="D163" i="100"/>
  <c r="R163" i="100" s="1"/>
  <c r="E163" i="100"/>
  <c r="F163" i="100"/>
  <c r="G163" i="100"/>
  <c r="H163" i="100"/>
  <c r="I163" i="100"/>
  <c r="B164" i="100"/>
  <c r="C164" i="100"/>
  <c r="D164" i="100"/>
  <c r="R164" i="100" s="1"/>
  <c r="E164" i="100"/>
  <c r="F164" i="100"/>
  <c r="G164" i="100"/>
  <c r="H164" i="100"/>
  <c r="I164" i="100"/>
  <c r="B165" i="100"/>
  <c r="C165" i="100"/>
  <c r="D165" i="100"/>
  <c r="R165" i="100" s="1"/>
  <c r="E165" i="100"/>
  <c r="F165" i="100"/>
  <c r="G165" i="100"/>
  <c r="H165" i="100"/>
  <c r="I165" i="100"/>
  <c r="B166" i="100"/>
  <c r="C166" i="100"/>
  <c r="D166" i="100"/>
  <c r="R166" i="100" s="1"/>
  <c r="E166" i="100"/>
  <c r="F166" i="100"/>
  <c r="G166" i="100"/>
  <c r="H166" i="100"/>
  <c r="I166" i="100"/>
  <c r="B167" i="100"/>
  <c r="C167" i="100"/>
  <c r="D167" i="100"/>
  <c r="R167" i="100" s="1"/>
  <c r="E167" i="100"/>
  <c r="F167" i="100"/>
  <c r="G167" i="100"/>
  <c r="H167" i="100"/>
  <c r="I167" i="100"/>
  <c r="B168" i="100"/>
  <c r="C168" i="100"/>
  <c r="D168" i="100"/>
  <c r="R168" i="100" s="1"/>
  <c r="E168" i="100"/>
  <c r="F168" i="100"/>
  <c r="G168" i="100"/>
  <c r="H168" i="100"/>
  <c r="I168" i="100"/>
  <c r="J168" i="100" s="1"/>
  <c r="B169" i="100"/>
  <c r="C169" i="100"/>
  <c r="D169" i="100"/>
  <c r="R169" i="100" s="1"/>
  <c r="E169" i="100"/>
  <c r="F169" i="100"/>
  <c r="G169" i="100"/>
  <c r="H169" i="100"/>
  <c r="I169" i="100"/>
  <c r="J169" i="100" s="1"/>
  <c r="B170" i="100"/>
  <c r="C170" i="100"/>
  <c r="D170" i="100"/>
  <c r="R170" i="100" s="1"/>
  <c r="E170" i="100"/>
  <c r="F170" i="100"/>
  <c r="G170" i="100"/>
  <c r="H170" i="100"/>
  <c r="I170" i="100"/>
  <c r="J170" i="100" s="1"/>
  <c r="B171" i="100"/>
  <c r="C171" i="100"/>
  <c r="D171" i="100"/>
  <c r="R171" i="100" s="1"/>
  <c r="E171" i="100"/>
  <c r="F171" i="100"/>
  <c r="G171" i="100"/>
  <c r="H171" i="100"/>
  <c r="I171" i="100"/>
  <c r="J171" i="100" s="1"/>
  <c r="B172" i="100"/>
  <c r="C172" i="100"/>
  <c r="D172" i="100"/>
  <c r="Q172" i="100" s="1"/>
  <c r="E172" i="100"/>
  <c r="F172" i="100"/>
  <c r="G172" i="100"/>
  <c r="H172" i="100"/>
  <c r="I172" i="100"/>
  <c r="J172" i="100" s="1"/>
  <c r="B173" i="100"/>
  <c r="C173" i="100"/>
  <c r="D173" i="100"/>
  <c r="Q173" i="100" s="1"/>
  <c r="E173" i="100"/>
  <c r="F173" i="100"/>
  <c r="G173" i="100"/>
  <c r="H173" i="100"/>
  <c r="I173" i="100"/>
  <c r="J173" i="100" s="1"/>
  <c r="B174" i="100"/>
  <c r="C174" i="100"/>
  <c r="D174" i="100"/>
  <c r="R174" i="100" s="1"/>
  <c r="E174" i="100"/>
  <c r="F174" i="100"/>
  <c r="G174" i="100"/>
  <c r="H174" i="100"/>
  <c r="I174" i="100"/>
  <c r="J174" i="100" s="1"/>
  <c r="B175" i="100"/>
  <c r="C175" i="100"/>
  <c r="D175" i="100"/>
  <c r="R175" i="100" s="1"/>
  <c r="E175" i="100"/>
  <c r="F175" i="100"/>
  <c r="G175" i="100"/>
  <c r="H175" i="100"/>
  <c r="I175" i="100"/>
  <c r="B176" i="100"/>
  <c r="C176" i="100"/>
  <c r="D176" i="100"/>
  <c r="R176" i="100" s="1"/>
  <c r="E176" i="100"/>
  <c r="F176" i="100"/>
  <c r="G176" i="100"/>
  <c r="H176" i="100"/>
  <c r="I176" i="100"/>
  <c r="B177" i="100"/>
  <c r="C177" i="100"/>
  <c r="D177" i="100"/>
  <c r="R177" i="100" s="1"/>
  <c r="E177" i="100"/>
  <c r="F177" i="100"/>
  <c r="G177" i="100"/>
  <c r="H177" i="100"/>
  <c r="I177" i="100"/>
  <c r="B178" i="100"/>
  <c r="C178" i="100"/>
  <c r="D178" i="100"/>
  <c r="R178" i="100" s="1"/>
  <c r="E178" i="100"/>
  <c r="F178" i="100"/>
  <c r="G178" i="100"/>
  <c r="H178" i="100"/>
  <c r="I178" i="100"/>
  <c r="B179" i="100"/>
  <c r="C179" i="100"/>
  <c r="D179" i="100"/>
  <c r="R179" i="100" s="1"/>
  <c r="E179" i="100"/>
  <c r="F179" i="100"/>
  <c r="G179" i="100"/>
  <c r="H179" i="100"/>
  <c r="I179" i="100"/>
  <c r="B180" i="100"/>
  <c r="C180" i="100"/>
  <c r="D180" i="100"/>
  <c r="R180" i="100" s="1"/>
  <c r="E180" i="100"/>
  <c r="F180" i="100"/>
  <c r="G180" i="100"/>
  <c r="H180" i="100"/>
  <c r="I180" i="100"/>
  <c r="B181" i="100"/>
  <c r="C181" i="100"/>
  <c r="D181" i="100"/>
  <c r="R181" i="100" s="1"/>
  <c r="E181" i="100"/>
  <c r="F181" i="100"/>
  <c r="G181" i="100"/>
  <c r="H181" i="100"/>
  <c r="I181" i="100"/>
  <c r="B182" i="100"/>
  <c r="C182" i="100"/>
  <c r="D182" i="100"/>
  <c r="R182" i="100" s="1"/>
  <c r="E182" i="100"/>
  <c r="F182" i="100"/>
  <c r="G182" i="100"/>
  <c r="H182" i="100"/>
  <c r="I182" i="100"/>
  <c r="B183" i="100"/>
  <c r="C183" i="100"/>
  <c r="D183" i="100"/>
  <c r="Q183" i="100" s="1"/>
  <c r="E183" i="100"/>
  <c r="F183" i="100"/>
  <c r="G183" i="100"/>
  <c r="H183" i="100"/>
  <c r="I183" i="100"/>
  <c r="B184" i="100"/>
  <c r="C184" i="100"/>
  <c r="D184" i="100"/>
  <c r="Q184" i="100" s="1"/>
  <c r="E184" i="100"/>
  <c r="F184" i="100"/>
  <c r="G184" i="100"/>
  <c r="H184" i="100"/>
  <c r="I184" i="100"/>
  <c r="B185" i="100"/>
  <c r="C185" i="100"/>
  <c r="D185" i="100"/>
  <c r="Q185" i="100" s="1"/>
  <c r="E185" i="100"/>
  <c r="F185" i="100"/>
  <c r="G185" i="100"/>
  <c r="H185" i="100"/>
  <c r="I185" i="100"/>
  <c r="B186" i="100"/>
  <c r="C186" i="100"/>
  <c r="D186" i="100"/>
  <c r="Q186" i="100" s="1"/>
  <c r="E186" i="100"/>
  <c r="F186" i="100"/>
  <c r="G186" i="100"/>
  <c r="H186" i="100"/>
  <c r="I186" i="100"/>
  <c r="B187" i="100"/>
  <c r="C187" i="100"/>
  <c r="D187" i="100"/>
  <c r="Q187" i="100" s="1"/>
  <c r="E187" i="100"/>
  <c r="F187" i="100"/>
  <c r="G187" i="100"/>
  <c r="H187" i="100"/>
  <c r="I187" i="100"/>
  <c r="B188" i="100"/>
  <c r="C188" i="100"/>
  <c r="D188" i="100"/>
  <c r="Q188" i="100" s="1"/>
  <c r="E188" i="100"/>
  <c r="F188" i="100"/>
  <c r="G188" i="100"/>
  <c r="H188" i="100"/>
  <c r="I188" i="100"/>
  <c r="B189" i="100"/>
  <c r="C189" i="100"/>
  <c r="D189" i="100"/>
  <c r="Q189" i="100" s="1"/>
  <c r="E189" i="100"/>
  <c r="F189" i="100"/>
  <c r="G189" i="100"/>
  <c r="H189" i="100"/>
  <c r="I189" i="100"/>
  <c r="B190" i="100"/>
  <c r="C190" i="100"/>
  <c r="D190" i="100"/>
  <c r="R190" i="100" s="1"/>
  <c r="E190" i="100"/>
  <c r="F190" i="100"/>
  <c r="G190" i="100"/>
  <c r="H190" i="100"/>
  <c r="I190" i="100"/>
  <c r="B191" i="100"/>
  <c r="C191" i="100"/>
  <c r="D191" i="100"/>
  <c r="R191" i="100" s="1"/>
  <c r="E191" i="100"/>
  <c r="F191" i="100"/>
  <c r="G191" i="100"/>
  <c r="H191" i="100"/>
  <c r="I191" i="100"/>
  <c r="B192" i="100"/>
  <c r="C192" i="100"/>
  <c r="D192" i="100"/>
  <c r="R192" i="100" s="1"/>
  <c r="E192" i="100"/>
  <c r="F192" i="100"/>
  <c r="G192" i="100"/>
  <c r="H192" i="100"/>
  <c r="I192" i="100"/>
  <c r="B193" i="100"/>
  <c r="C193" i="100"/>
  <c r="D193" i="100"/>
  <c r="R193" i="100" s="1"/>
  <c r="E193" i="100"/>
  <c r="F193" i="100"/>
  <c r="G193" i="100"/>
  <c r="H193" i="100"/>
  <c r="I193" i="100"/>
  <c r="B194" i="100"/>
  <c r="C194" i="100"/>
  <c r="D194" i="100"/>
  <c r="R194" i="100" s="1"/>
  <c r="E194" i="100"/>
  <c r="F194" i="100"/>
  <c r="G194" i="100"/>
  <c r="H194" i="100"/>
  <c r="I194" i="100"/>
  <c r="B195" i="100"/>
  <c r="C195" i="100"/>
  <c r="D195" i="100"/>
  <c r="R195" i="100" s="1"/>
  <c r="E195" i="100"/>
  <c r="F195" i="100"/>
  <c r="G195" i="100"/>
  <c r="H195" i="100"/>
  <c r="I195" i="100"/>
  <c r="B196" i="100"/>
  <c r="C196" i="100"/>
  <c r="D196" i="100"/>
  <c r="R196" i="100" s="1"/>
  <c r="E196" i="100"/>
  <c r="F196" i="100"/>
  <c r="G196" i="100"/>
  <c r="H196" i="100"/>
  <c r="I196" i="100"/>
  <c r="B197" i="100"/>
  <c r="C197" i="100"/>
  <c r="D197" i="100"/>
  <c r="R197" i="100" s="1"/>
  <c r="E197" i="100"/>
  <c r="F197" i="100"/>
  <c r="G197" i="100"/>
  <c r="H197" i="100"/>
  <c r="I197" i="100"/>
  <c r="B198" i="100"/>
  <c r="C198" i="100"/>
  <c r="D198" i="100"/>
  <c r="Q198" i="100" s="1"/>
  <c r="E198" i="100"/>
  <c r="F198" i="100"/>
  <c r="G198" i="100"/>
  <c r="H198" i="100"/>
  <c r="I198" i="100"/>
  <c r="B199" i="100"/>
  <c r="C199" i="100"/>
  <c r="D199" i="100"/>
  <c r="Q199" i="100" s="1"/>
  <c r="E199" i="100"/>
  <c r="F199" i="100"/>
  <c r="G199" i="100"/>
  <c r="H199" i="100"/>
  <c r="I199" i="100"/>
  <c r="B200" i="100"/>
  <c r="C200" i="100"/>
  <c r="D200" i="100"/>
  <c r="R200" i="100" s="1"/>
  <c r="E200" i="100"/>
  <c r="F200" i="100"/>
  <c r="G200" i="100"/>
  <c r="H200" i="100"/>
  <c r="I200" i="100"/>
  <c r="B201" i="100"/>
  <c r="C201" i="100"/>
  <c r="D201" i="100"/>
  <c r="E201" i="100"/>
  <c r="F201" i="100"/>
  <c r="G201" i="100"/>
  <c r="H201" i="100"/>
  <c r="I201" i="100"/>
  <c r="B202" i="100"/>
  <c r="C202" i="100"/>
  <c r="D202" i="100"/>
  <c r="R202" i="100" s="1"/>
  <c r="E202" i="100"/>
  <c r="F202" i="100"/>
  <c r="G202" i="100"/>
  <c r="H202" i="100"/>
  <c r="I202" i="100"/>
  <c r="B203" i="100"/>
  <c r="C203" i="100"/>
  <c r="D203" i="100"/>
  <c r="R203" i="100" s="1"/>
  <c r="E203" i="100"/>
  <c r="F203" i="100"/>
  <c r="G203" i="100"/>
  <c r="H203" i="100"/>
  <c r="I203" i="100"/>
  <c r="B204" i="100"/>
  <c r="C204" i="100"/>
  <c r="D204" i="100"/>
  <c r="R204" i="100" s="1"/>
  <c r="E204" i="100"/>
  <c r="F204" i="100"/>
  <c r="G204" i="100"/>
  <c r="H204" i="100"/>
  <c r="I204" i="100"/>
  <c r="B205" i="100"/>
  <c r="C205" i="100"/>
  <c r="D205" i="100"/>
  <c r="E205" i="100"/>
  <c r="F205" i="100"/>
  <c r="G205" i="100"/>
  <c r="H205" i="100"/>
  <c r="I205" i="100"/>
  <c r="B206" i="100"/>
  <c r="C206" i="100"/>
  <c r="D206" i="100"/>
  <c r="R206" i="100" s="1"/>
  <c r="E206" i="100"/>
  <c r="F206" i="100"/>
  <c r="G206" i="100"/>
  <c r="H206" i="100"/>
  <c r="I206" i="100"/>
  <c r="B207" i="100"/>
  <c r="C207" i="100"/>
  <c r="D207" i="100"/>
  <c r="E207" i="100"/>
  <c r="F207" i="100"/>
  <c r="G207" i="100"/>
  <c r="H207" i="100"/>
  <c r="I207" i="100"/>
  <c r="B208" i="100"/>
  <c r="C208" i="100"/>
  <c r="D208" i="100"/>
  <c r="Q208" i="100" s="1"/>
  <c r="E208" i="100"/>
  <c r="F208" i="100"/>
  <c r="G208" i="100"/>
  <c r="H208" i="100"/>
  <c r="I208" i="100"/>
  <c r="B209" i="100"/>
  <c r="C209" i="100"/>
  <c r="D209" i="100"/>
  <c r="Q209" i="100" s="1"/>
  <c r="E209" i="100"/>
  <c r="F209" i="100"/>
  <c r="G209" i="100"/>
  <c r="H209" i="100"/>
  <c r="I209" i="100"/>
  <c r="B210" i="100"/>
  <c r="C210" i="100"/>
  <c r="D210" i="100"/>
  <c r="E210" i="100"/>
  <c r="F210" i="100"/>
  <c r="G210" i="100"/>
  <c r="H210" i="100"/>
  <c r="I210" i="100"/>
  <c r="B211" i="100"/>
  <c r="C211" i="100"/>
  <c r="D211" i="100"/>
  <c r="Q211" i="100" s="1"/>
  <c r="E211" i="100"/>
  <c r="F211" i="100"/>
  <c r="G211" i="100"/>
  <c r="H211" i="100"/>
  <c r="I211" i="100"/>
  <c r="B212" i="100"/>
  <c r="C212" i="100"/>
  <c r="D212" i="100"/>
  <c r="Q212" i="100" s="1"/>
  <c r="E212" i="100"/>
  <c r="F212" i="100"/>
  <c r="G212" i="100"/>
  <c r="H212" i="100"/>
  <c r="I212" i="100"/>
  <c r="B213" i="100"/>
  <c r="C213" i="100"/>
  <c r="D213" i="100"/>
  <c r="Q213" i="100" s="1"/>
  <c r="E213" i="100"/>
  <c r="F213" i="100"/>
  <c r="G213" i="100"/>
  <c r="H213" i="100"/>
  <c r="I213" i="100"/>
  <c r="J213" i="100" s="1"/>
  <c r="B214" i="100"/>
  <c r="C214" i="100"/>
  <c r="D214" i="100"/>
  <c r="Q214" i="100" s="1"/>
  <c r="E214" i="100"/>
  <c r="F214" i="100"/>
  <c r="G214" i="100"/>
  <c r="H214" i="100"/>
  <c r="I214" i="100"/>
  <c r="J214" i="100" s="1"/>
  <c r="B215" i="100"/>
  <c r="C215" i="100"/>
  <c r="D215" i="100"/>
  <c r="Q215" i="100" s="1"/>
  <c r="E215" i="100"/>
  <c r="F215" i="100"/>
  <c r="G215" i="100"/>
  <c r="H215" i="100"/>
  <c r="I215" i="100"/>
  <c r="J215" i="100" s="1"/>
  <c r="B216" i="100"/>
  <c r="C216" i="100"/>
  <c r="D216" i="100"/>
  <c r="Q216" i="100" s="1"/>
  <c r="E216" i="100"/>
  <c r="F216" i="100"/>
  <c r="G216" i="100"/>
  <c r="H216" i="100"/>
  <c r="I216" i="100"/>
  <c r="J216" i="100" s="1"/>
  <c r="B217" i="100"/>
  <c r="C217" i="100"/>
  <c r="D217" i="100"/>
  <c r="R217" i="100" s="1"/>
  <c r="E217" i="100"/>
  <c r="F217" i="100"/>
  <c r="G217" i="100"/>
  <c r="H217" i="100"/>
  <c r="I217" i="100"/>
  <c r="B218" i="100"/>
  <c r="C218" i="100"/>
  <c r="D218" i="100"/>
  <c r="Q218" i="100" s="1"/>
  <c r="E218" i="100"/>
  <c r="F218" i="100"/>
  <c r="G218" i="100"/>
  <c r="H218" i="100"/>
  <c r="I218" i="100"/>
  <c r="B219" i="100"/>
  <c r="C219" i="100"/>
  <c r="D219" i="100"/>
  <c r="R219" i="100" s="1"/>
  <c r="E219" i="100"/>
  <c r="F219" i="100"/>
  <c r="G219" i="100"/>
  <c r="H219" i="100"/>
  <c r="I219" i="100"/>
  <c r="B220" i="100"/>
  <c r="C220" i="100"/>
  <c r="D220" i="100"/>
  <c r="R220" i="100" s="1"/>
  <c r="E220" i="100"/>
  <c r="F220" i="100"/>
  <c r="G220" i="100"/>
  <c r="H220" i="100"/>
  <c r="I220" i="100"/>
  <c r="B221" i="100"/>
  <c r="C221" i="100"/>
  <c r="D221" i="100"/>
  <c r="Q221" i="100" s="1"/>
  <c r="E221" i="100"/>
  <c r="F221" i="100"/>
  <c r="G221" i="100"/>
  <c r="H221" i="100"/>
  <c r="I221" i="100"/>
  <c r="B222" i="100"/>
  <c r="C222" i="100"/>
  <c r="D222" i="100"/>
  <c r="Q222" i="100" s="1"/>
  <c r="E222" i="100"/>
  <c r="F222" i="100"/>
  <c r="G222" i="100"/>
  <c r="H222" i="100"/>
  <c r="I222" i="100"/>
  <c r="B223" i="100"/>
  <c r="C223" i="100"/>
  <c r="D223" i="100"/>
  <c r="E223" i="100"/>
  <c r="F223" i="100"/>
  <c r="G223" i="100"/>
  <c r="H223" i="100"/>
  <c r="I223" i="100"/>
  <c r="B224" i="100"/>
  <c r="C224" i="100"/>
  <c r="D224" i="100"/>
  <c r="Q224" i="100" s="1"/>
  <c r="E224" i="100"/>
  <c r="F224" i="100"/>
  <c r="G224" i="100"/>
  <c r="H224" i="100"/>
  <c r="I224" i="100"/>
  <c r="B225" i="100"/>
  <c r="C225" i="100"/>
  <c r="D225" i="100"/>
  <c r="R225" i="100" s="1"/>
  <c r="E225" i="100"/>
  <c r="F225" i="100"/>
  <c r="G225" i="100"/>
  <c r="H225" i="100"/>
  <c r="I225" i="100"/>
  <c r="B226" i="100"/>
  <c r="C226" i="100"/>
  <c r="D226" i="100"/>
  <c r="Q226" i="100" s="1"/>
  <c r="E226" i="100"/>
  <c r="F226" i="100"/>
  <c r="G226" i="100"/>
  <c r="H226" i="100"/>
  <c r="I226" i="100"/>
  <c r="B227" i="100"/>
  <c r="C227" i="100"/>
  <c r="D227" i="100"/>
  <c r="Q227" i="100" s="1"/>
  <c r="E227" i="100"/>
  <c r="F227" i="100"/>
  <c r="G227" i="100"/>
  <c r="H227" i="100"/>
  <c r="I227" i="100"/>
  <c r="B228" i="100"/>
  <c r="C228" i="100"/>
  <c r="D228" i="100"/>
  <c r="Q228" i="100" s="1"/>
  <c r="E228" i="100"/>
  <c r="F228" i="100"/>
  <c r="G228" i="100"/>
  <c r="H228" i="100"/>
  <c r="I228" i="100"/>
  <c r="B229" i="100"/>
  <c r="C229" i="100"/>
  <c r="D229" i="100"/>
  <c r="Q229" i="100" s="1"/>
  <c r="E229" i="100"/>
  <c r="F229" i="100"/>
  <c r="G229" i="100"/>
  <c r="H229" i="100"/>
  <c r="I229" i="100"/>
  <c r="B230" i="100"/>
  <c r="C230" i="100"/>
  <c r="D230" i="100"/>
  <c r="R230" i="100" s="1"/>
  <c r="E230" i="100"/>
  <c r="F230" i="100"/>
  <c r="G230" i="100"/>
  <c r="H230" i="100"/>
  <c r="I230" i="100"/>
  <c r="B231" i="100"/>
  <c r="C231" i="100"/>
  <c r="D231" i="100"/>
  <c r="Q231" i="100" s="1"/>
  <c r="E231" i="100"/>
  <c r="F231" i="100"/>
  <c r="G231" i="100"/>
  <c r="H231" i="100"/>
  <c r="I231" i="100"/>
  <c r="B232" i="100"/>
  <c r="C232" i="100"/>
  <c r="D232" i="100"/>
  <c r="Q232" i="100" s="1"/>
  <c r="E232" i="100"/>
  <c r="F232" i="100"/>
  <c r="G232" i="100"/>
  <c r="H232" i="100"/>
  <c r="I232" i="100"/>
  <c r="B233" i="100"/>
  <c r="C233" i="100"/>
  <c r="D233" i="100"/>
  <c r="Q233" i="100" s="1"/>
  <c r="E233" i="100"/>
  <c r="F233" i="100"/>
  <c r="G233" i="100"/>
  <c r="H233" i="100"/>
  <c r="I233" i="100"/>
  <c r="B234" i="100"/>
  <c r="C234" i="100"/>
  <c r="D234" i="100"/>
  <c r="Q234" i="100" s="1"/>
  <c r="E234" i="100"/>
  <c r="F234" i="100"/>
  <c r="G234" i="100"/>
  <c r="H234" i="100"/>
  <c r="I234" i="100"/>
  <c r="B235" i="100"/>
  <c r="C235" i="100"/>
  <c r="D235" i="100"/>
  <c r="R235" i="100" s="1"/>
  <c r="E235" i="100"/>
  <c r="F235" i="100"/>
  <c r="G235" i="100"/>
  <c r="H235" i="100"/>
  <c r="I235" i="100"/>
  <c r="B236" i="100"/>
  <c r="C236" i="100"/>
  <c r="D236" i="100"/>
  <c r="R236" i="100" s="1"/>
  <c r="E236" i="100"/>
  <c r="F236" i="100"/>
  <c r="G236" i="100"/>
  <c r="H236" i="100"/>
  <c r="I236" i="100"/>
  <c r="B237" i="100"/>
  <c r="C237" i="100"/>
  <c r="D237" i="100"/>
  <c r="Q237" i="100" s="1"/>
  <c r="E237" i="100"/>
  <c r="F237" i="100"/>
  <c r="G237" i="100"/>
  <c r="H237" i="100"/>
  <c r="I237" i="100"/>
  <c r="B238" i="100"/>
  <c r="C238" i="100"/>
  <c r="D238" i="100"/>
  <c r="Q238" i="100" s="1"/>
  <c r="E238" i="100"/>
  <c r="F238" i="100"/>
  <c r="G238" i="100"/>
  <c r="H238" i="100"/>
  <c r="I238" i="100"/>
  <c r="B239" i="100"/>
  <c r="C239" i="100"/>
  <c r="D239" i="100"/>
  <c r="Q239" i="100" s="1"/>
  <c r="E239" i="100"/>
  <c r="F239" i="100"/>
  <c r="G239" i="100"/>
  <c r="H239" i="100"/>
  <c r="I239" i="100"/>
  <c r="B240" i="100"/>
  <c r="C240" i="100"/>
  <c r="D240" i="100"/>
  <c r="Q240" i="100" s="1"/>
  <c r="E240" i="100"/>
  <c r="F240" i="100"/>
  <c r="G240" i="100"/>
  <c r="H240" i="100"/>
  <c r="I240" i="100"/>
  <c r="B241" i="100"/>
  <c r="C241" i="100"/>
  <c r="D241" i="100"/>
  <c r="Q241" i="100" s="1"/>
  <c r="E241" i="100"/>
  <c r="F241" i="100"/>
  <c r="G241" i="100"/>
  <c r="H241" i="100"/>
  <c r="I241" i="100"/>
  <c r="B242" i="100"/>
  <c r="C242" i="100"/>
  <c r="D242" i="100"/>
  <c r="R242" i="100" s="1"/>
  <c r="E242" i="100"/>
  <c r="F242" i="100"/>
  <c r="G242" i="100"/>
  <c r="H242" i="100"/>
  <c r="I242" i="100"/>
  <c r="B243" i="100"/>
  <c r="C243" i="100"/>
  <c r="D243" i="100"/>
  <c r="R243" i="100" s="1"/>
  <c r="E243" i="100"/>
  <c r="F243" i="100"/>
  <c r="G243" i="100"/>
  <c r="H243" i="100"/>
  <c r="I243" i="100"/>
  <c r="B244" i="100"/>
  <c r="C244" i="100"/>
  <c r="D244" i="100"/>
  <c r="Q244" i="100" s="1"/>
  <c r="E244" i="100"/>
  <c r="F244" i="100"/>
  <c r="G244" i="100"/>
  <c r="H244" i="100"/>
  <c r="I244" i="100"/>
  <c r="B245" i="100"/>
  <c r="C245" i="100"/>
  <c r="D245" i="100"/>
  <c r="R245" i="100" s="1"/>
  <c r="E245" i="100"/>
  <c r="F245" i="100"/>
  <c r="G245" i="100"/>
  <c r="H245" i="100"/>
  <c r="I245" i="100"/>
  <c r="B246" i="100"/>
  <c r="C246" i="100"/>
  <c r="D246" i="100"/>
  <c r="R246" i="100" s="1"/>
  <c r="E246" i="100"/>
  <c r="F246" i="100"/>
  <c r="G246" i="100"/>
  <c r="H246" i="100"/>
  <c r="I246" i="100"/>
  <c r="B247" i="100"/>
  <c r="C247" i="100"/>
  <c r="D247" i="100"/>
  <c r="E247" i="100"/>
  <c r="F247" i="100"/>
  <c r="G247" i="100"/>
  <c r="H247" i="100"/>
  <c r="I247" i="100"/>
  <c r="B248" i="100"/>
  <c r="C248" i="100"/>
  <c r="D248" i="100"/>
  <c r="E248" i="100"/>
  <c r="F248" i="100"/>
  <c r="G248" i="100"/>
  <c r="H248" i="100"/>
  <c r="I248" i="100"/>
  <c r="B249" i="100"/>
  <c r="C249" i="100"/>
  <c r="D249" i="100"/>
  <c r="R249" i="100" s="1"/>
  <c r="E249" i="100"/>
  <c r="F249" i="100"/>
  <c r="G249" i="100"/>
  <c r="H249" i="100"/>
  <c r="I249" i="100"/>
  <c r="B250" i="100"/>
  <c r="C250" i="100"/>
  <c r="D250" i="100"/>
  <c r="R250" i="100" s="1"/>
  <c r="E250" i="100"/>
  <c r="F250" i="100"/>
  <c r="G250" i="100"/>
  <c r="H250" i="100"/>
  <c r="I250" i="100"/>
  <c r="B251" i="100"/>
  <c r="C251" i="100"/>
  <c r="D251" i="100"/>
  <c r="R251" i="100" s="1"/>
  <c r="E251" i="100"/>
  <c r="F251" i="100"/>
  <c r="G251" i="100"/>
  <c r="H251" i="100"/>
  <c r="I251" i="100"/>
  <c r="B252" i="100"/>
  <c r="C252" i="100"/>
  <c r="D252" i="100"/>
  <c r="R252" i="100" s="1"/>
  <c r="E252" i="100"/>
  <c r="F252" i="100"/>
  <c r="G252" i="100"/>
  <c r="H252" i="100"/>
  <c r="I252" i="100"/>
  <c r="B253" i="100"/>
  <c r="C253" i="100"/>
  <c r="D253" i="100"/>
  <c r="E253" i="100"/>
  <c r="F253" i="100"/>
  <c r="G253" i="100"/>
  <c r="H253" i="100"/>
  <c r="I253" i="100"/>
  <c r="B254" i="100"/>
  <c r="C254" i="100"/>
  <c r="D254" i="100"/>
  <c r="Q254" i="100" s="1"/>
  <c r="E254" i="100"/>
  <c r="F254" i="100"/>
  <c r="G254" i="100"/>
  <c r="H254" i="100"/>
  <c r="I254" i="100"/>
  <c r="B255" i="100"/>
  <c r="C255" i="100"/>
  <c r="D255" i="100"/>
  <c r="R255" i="100" s="1"/>
  <c r="E255" i="100"/>
  <c r="F255" i="100"/>
  <c r="G255" i="100"/>
  <c r="H255" i="100"/>
  <c r="I255" i="100"/>
  <c r="B256" i="100"/>
  <c r="C256" i="100"/>
  <c r="D256" i="100"/>
  <c r="R256" i="100" s="1"/>
  <c r="E256" i="100"/>
  <c r="F256" i="100"/>
  <c r="G256" i="100"/>
  <c r="H256" i="100"/>
  <c r="I256" i="100"/>
  <c r="B257" i="100"/>
  <c r="C257" i="100"/>
  <c r="D257" i="100"/>
  <c r="Q257" i="100" s="1"/>
  <c r="E257" i="100"/>
  <c r="F257" i="100"/>
  <c r="G257" i="100"/>
  <c r="H257" i="100"/>
  <c r="I257" i="100"/>
  <c r="B258" i="100"/>
  <c r="C258" i="100"/>
  <c r="D258" i="100"/>
  <c r="E258" i="100"/>
  <c r="F258" i="100"/>
  <c r="G258" i="100"/>
  <c r="H258" i="100"/>
  <c r="I258" i="100"/>
  <c r="J258" i="100" s="1"/>
  <c r="B259" i="100"/>
  <c r="C259" i="100"/>
  <c r="D259" i="100"/>
  <c r="Q259" i="100" s="1"/>
  <c r="E259" i="100"/>
  <c r="F259" i="100"/>
  <c r="G259" i="100"/>
  <c r="H259" i="100"/>
  <c r="I259" i="100"/>
  <c r="J259" i="100" s="1"/>
  <c r="B260" i="100"/>
  <c r="C260" i="100"/>
  <c r="D260" i="100"/>
  <c r="R260" i="100" s="1"/>
  <c r="E260" i="100"/>
  <c r="F260" i="100"/>
  <c r="G260" i="100"/>
  <c r="H260" i="100"/>
  <c r="I260" i="100"/>
  <c r="B261" i="100"/>
  <c r="C261" i="100"/>
  <c r="D261" i="100"/>
  <c r="R261" i="100" s="1"/>
  <c r="E261" i="100"/>
  <c r="F261" i="100"/>
  <c r="G261" i="100"/>
  <c r="H261" i="100"/>
  <c r="I261" i="100"/>
  <c r="B262" i="100"/>
  <c r="C262" i="100"/>
  <c r="D262" i="100"/>
  <c r="Q262" i="100" s="1"/>
  <c r="E262" i="100"/>
  <c r="F262" i="100"/>
  <c r="G262" i="100"/>
  <c r="H262" i="100"/>
  <c r="I262" i="100"/>
  <c r="B263" i="100"/>
  <c r="C263" i="100"/>
  <c r="D263" i="100"/>
  <c r="E263" i="100"/>
  <c r="F263" i="100"/>
  <c r="G263" i="100"/>
  <c r="H263" i="100"/>
  <c r="I263" i="100"/>
  <c r="B264" i="100"/>
  <c r="C264" i="100"/>
  <c r="D264" i="100"/>
  <c r="Q264" i="100" s="1"/>
  <c r="E264" i="100"/>
  <c r="F264" i="100"/>
  <c r="G264" i="100"/>
  <c r="H264" i="100"/>
  <c r="I264" i="100"/>
  <c r="B265" i="100"/>
  <c r="C265" i="100"/>
  <c r="D265" i="100"/>
  <c r="Q265" i="100" s="1"/>
  <c r="E265" i="100"/>
  <c r="F265" i="100"/>
  <c r="G265" i="100"/>
  <c r="H265" i="100"/>
  <c r="I265" i="100"/>
  <c r="B266" i="100"/>
  <c r="C266" i="100"/>
  <c r="D266" i="100"/>
  <c r="Q266" i="100" s="1"/>
  <c r="E266" i="100"/>
  <c r="F266" i="100"/>
  <c r="G266" i="100"/>
  <c r="H266" i="100"/>
  <c r="I266" i="100"/>
  <c r="B267" i="100"/>
  <c r="C267" i="100"/>
  <c r="D267" i="100"/>
  <c r="Q267" i="100" s="1"/>
  <c r="E267" i="100"/>
  <c r="F267" i="100"/>
  <c r="G267" i="100"/>
  <c r="H267" i="100"/>
  <c r="I267" i="100"/>
  <c r="B268" i="100"/>
  <c r="C268" i="100"/>
  <c r="D268" i="100"/>
  <c r="Q268" i="100" s="1"/>
  <c r="E268" i="100"/>
  <c r="F268" i="100"/>
  <c r="G268" i="100"/>
  <c r="H268" i="100"/>
  <c r="I268" i="100"/>
  <c r="B269" i="100"/>
  <c r="C269" i="100"/>
  <c r="D269" i="100"/>
  <c r="Q269" i="100" s="1"/>
  <c r="E269" i="100"/>
  <c r="F269" i="100"/>
  <c r="G269" i="100"/>
  <c r="H269" i="100"/>
  <c r="I269" i="100"/>
  <c r="J269" i="100" s="1"/>
  <c r="B270" i="100"/>
  <c r="C270" i="100"/>
  <c r="D270" i="100"/>
  <c r="R270" i="100" s="1"/>
  <c r="E270" i="100"/>
  <c r="F270" i="100"/>
  <c r="G270" i="100"/>
  <c r="H270" i="100"/>
  <c r="I270" i="100"/>
  <c r="B271" i="100"/>
  <c r="C271" i="100"/>
  <c r="D271" i="100"/>
  <c r="Q271" i="100" s="1"/>
  <c r="E271" i="100"/>
  <c r="F271" i="100"/>
  <c r="G271" i="100"/>
  <c r="H271" i="100"/>
  <c r="I271" i="100"/>
  <c r="B4" i="101"/>
  <c r="C4" i="101"/>
  <c r="D4" i="101"/>
  <c r="R4" i="101" s="1"/>
  <c r="E4" i="101"/>
  <c r="F4" i="101"/>
  <c r="G4" i="101"/>
  <c r="H4" i="101"/>
  <c r="I4" i="101"/>
  <c r="B5" i="101"/>
  <c r="C5" i="101"/>
  <c r="D5" i="101"/>
  <c r="Q5" i="101" s="1"/>
  <c r="E5" i="101"/>
  <c r="F5" i="101"/>
  <c r="G5" i="101"/>
  <c r="H5" i="101"/>
  <c r="I5" i="101"/>
  <c r="B6" i="101"/>
  <c r="C6" i="101"/>
  <c r="D6" i="101"/>
  <c r="Q6" i="101" s="1"/>
  <c r="E6" i="101"/>
  <c r="F6" i="101"/>
  <c r="G6" i="101"/>
  <c r="H6" i="101"/>
  <c r="I6" i="101"/>
  <c r="B7" i="101"/>
  <c r="C7" i="101"/>
  <c r="D7" i="101"/>
  <c r="R7" i="101" s="1"/>
  <c r="E7" i="101"/>
  <c r="F7" i="101"/>
  <c r="G7" i="101"/>
  <c r="H7" i="101"/>
  <c r="I7" i="101"/>
  <c r="B8" i="101"/>
  <c r="C8" i="101"/>
  <c r="D8" i="101"/>
  <c r="R8" i="101" s="1"/>
  <c r="E8" i="101"/>
  <c r="F8" i="101"/>
  <c r="G8" i="101"/>
  <c r="H8" i="101"/>
  <c r="I8" i="101"/>
  <c r="B9" i="101"/>
  <c r="C9" i="101"/>
  <c r="D9" i="101"/>
  <c r="Q9" i="101" s="1"/>
  <c r="E9" i="101"/>
  <c r="F9" i="101"/>
  <c r="G9" i="101"/>
  <c r="H9" i="101"/>
  <c r="I9" i="101"/>
  <c r="B10" i="101"/>
  <c r="C10" i="101"/>
  <c r="D10" i="101"/>
  <c r="E10" i="101"/>
  <c r="F10" i="101"/>
  <c r="G10" i="101"/>
  <c r="H10" i="101"/>
  <c r="I10" i="101"/>
  <c r="B11" i="101"/>
  <c r="C11" i="101"/>
  <c r="D11" i="101"/>
  <c r="R11" i="101" s="1"/>
  <c r="E11" i="101"/>
  <c r="F11" i="101"/>
  <c r="G11" i="101"/>
  <c r="H11" i="101"/>
  <c r="I11" i="101"/>
  <c r="B12" i="101"/>
  <c r="C12" i="101"/>
  <c r="D12" i="101"/>
  <c r="R12" i="101" s="1"/>
  <c r="E12" i="101"/>
  <c r="F12" i="101"/>
  <c r="G12" i="101"/>
  <c r="H12" i="101"/>
  <c r="I12" i="101"/>
  <c r="B13" i="101"/>
  <c r="C13" i="101"/>
  <c r="D13" i="101"/>
  <c r="R13" i="101" s="1"/>
  <c r="E13" i="101"/>
  <c r="F13" i="101"/>
  <c r="G13" i="101"/>
  <c r="H13" i="101"/>
  <c r="I13" i="101"/>
  <c r="B14" i="101"/>
  <c r="C14" i="101"/>
  <c r="D14" i="101"/>
  <c r="Q14" i="101" s="1"/>
  <c r="E14" i="101"/>
  <c r="F14" i="101"/>
  <c r="G14" i="101"/>
  <c r="H14" i="101"/>
  <c r="I14" i="101"/>
  <c r="B15" i="101"/>
  <c r="C15" i="101"/>
  <c r="D15" i="101"/>
  <c r="Q15" i="101" s="1"/>
  <c r="E15" i="101"/>
  <c r="F15" i="101"/>
  <c r="G15" i="101"/>
  <c r="H15" i="101"/>
  <c r="I15" i="101"/>
  <c r="B16" i="101"/>
  <c r="C16" i="101"/>
  <c r="D16" i="101"/>
  <c r="Q16" i="101" s="1"/>
  <c r="E16" i="101"/>
  <c r="F16" i="101"/>
  <c r="G16" i="101"/>
  <c r="H16" i="101"/>
  <c r="I16" i="101"/>
  <c r="B17" i="101"/>
  <c r="C17" i="101"/>
  <c r="D17" i="101"/>
  <c r="Q17" i="101" s="1"/>
  <c r="E17" i="101"/>
  <c r="F17" i="101"/>
  <c r="G17" i="101"/>
  <c r="H17" i="101"/>
  <c r="I17" i="101"/>
  <c r="B18" i="101"/>
  <c r="C18" i="101"/>
  <c r="D18" i="101"/>
  <c r="Q18" i="101" s="1"/>
  <c r="E18" i="101"/>
  <c r="F18" i="101"/>
  <c r="G18" i="101"/>
  <c r="H18" i="101"/>
  <c r="I18" i="101"/>
  <c r="B19" i="101"/>
  <c r="C19" i="101"/>
  <c r="D19" i="101"/>
  <c r="Q19" i="101" s="1"/>
  <c r="E19" i="101"/>
  <c r="F19" i="101"/>
  <c r="G19" i="101"/>
  <c r="H19" i="101"/>
  <c r="I19" i="101"/>
  <c r="B20" i="101"/>
  <c r="C20" i="101"/>
  <c r="D20" i="101"/>
  <c r="Q20" i="101" s="1"/>
  <c r="E20" i="101"/>
  <c r="F20" i="101"/>
  <c r="G20" i="101"/>
  <c r="H20" i="101"/>
  <c r="I20" i="101"/>
  <c r="B21" i="101"/>
  <c r="C21" i="101"/>
  <c r="D21" i="101"/>
  <c r="R21" i="101" s="1"/>
  <c r="E21" i="101"/>
  <c r="F21" i="101"/>
  <c r="G21" i="101"/>
  <c r="H21" i="101"/>
  <c r="I21" i="101"/>
  <c r="B22" i="101"/>
  <c r="C22" i="101"/>
  <c r="D22" i="101"/>
  <c r="R22" i="101" s="1"/>
  <c r="E22" i="101"/>
  <c r="F22" i="101"/>
  <c r="G22" i="101"/>
  <c r="H22" i="101"/>
  <c r="I22" i="101"/>
  <c r="B23" i="101"/>
  <c r="C23" i="101"/>
  <c r="D23" i="101"/>
  <c r="R23" i="101" s="1"/>
  <c r="E23" i="101"/>
  <c r="F23" i="101"/>
  <c r="G23" i="101"/>
  <c r="H23" i="101"/>
  <c r="I23" i="101"/>
  <c r="B24" i="101"/>
  <c r="C24" i="101"/>
  <c r="D24" i="101"/>
  <c r="R24" i="101" s="1"/>
  <c r="E24" i="101"/>
  <c r="F24" i="101"/>
  <c r="G24" i="101"/>
  <c r="H24" i="101"/>
  <c r="I24" i="101"/>
  <c r="B25" i="101"/>
  <c r="C25" i="101"/>
  <c r="D25" i="101"/>
  <c r="R25" i="101" s="1"/>
  <c r="E25" i="101"/>
  <c r="F25" i="101"/>
  <c r="G25" i="101"/>
  <c r="H25" i="101"/>
  <c r="I25" i="101"/>
  <c r="B26" i="101"/>
  <c r="C26" i="101"/>
  <c r="D26" i="101"/>
  <c r="R26" i="101" s="1"/>
  <c r="E26" i="101"/>
  <c r="F26" i="101"/>
  <c r="G26" i="101"/>
  <c r="H26" i="101"/>
  <c r="I26" i="101"/>
  <c r="B27" i="101"/>
  <c r="C27" i="101"/>
  <c r="D27" i="101"/>
  <c r="R27" i="101" s="1"/>
  <c r="E27" i="101"/>
  <c r="F27" i="101"/>
  <c r="G27" i="101"/>
  <c r="H27" i="101"/>
  <c r="I27" i="101"/>
  <c r="B28" i="101"/>
  <c r="C28" i="101"/>
  <c r="D28" i="101"/>
  <c r="R28" i="101" s="1"/>
  <c r="E28" i="101"/>
  <c r="F28" i="101"/>
  <c r="G28" i="101"/>
  <c r="H28" i="101"/>
  <c r="I28" i="101"/>
  <c r="B29" i="101"/>
  <c r="C29" i="101"/>
  <c r="D29" i="101"/>
  <c r="R29" i="101" s="1"/>
  <c r="E29" i="101"/>
  <c r="F29" i="101"/>
  <c r="G29" i="101"/>
  <c r="H29" i="101"/>
  <c r="I29" i="101"/>
  <c r="B30" i="101"/>
  <c r="C30" i="101"/>
  <c r="D30" i="101"/>
  <c r="R30" i="101" s="1"/>
  <c r="E30" i="101"/>
  <c r="F30" i="101"/>
  <c r="G30" i="101"/>
  <c r="H30" i="101"/>
  <c r="I30" i="101"/>
  <c r="B31" i="101"/>
  <c r="C31" i="101"/>
  <c r="D31" i="101"/>
  <c r="R31" i="101" s="1"/>
  <c r="E31" i="101"/>
  <c r="F31" i="101"/>
  <c r="G31" i="101"/>
  <c r="H31" i="101"/>
  <c r="I31" i="101"/>
  <c r="B32" i="101"/>
  <c r="C32" i="101"/>
  <c r="D32" i="101"/>
  <c r="Q32" i="101" s="1"/>
  <c r="E32" i="101"/>
  <c r="F32" i="101"/>
  <c r="G32" i="101"/>
  <c r="H32" i="101"/>
  <c r="I32" i="101"/>
  <c r="B33" i="101"/>
  <c r="C33" i="101"/>
  <c r="D33" i="101"/>
  <c r="Q33" i="101" s="1"/>
  <c r="E33" i="101"/>
  <c r="F33" i="101"/>
  <c r="G33" i="101"/>
  <c r="H33" i="101"/>
  <c r="I33" i="101"/>
  <c r="B34" i="101"/>
  <c r="C34" i="101"/>
  <c r="D34" i="101"/>
  <c r="R34" i="101" s="1"/>
  <c r="E34" i="101"/>
  <c r="F34" i="101"/>
  <c r="G34" i="101"/>
  <c r="H34" i="101"/>
  <c r="I34" i="101"/>
  <c r="B35" i="101"/>
  <c r="C35" i="101"/>
  <c r="D35" i="101"/>
  <c r="Q35" i="101" s="1"/>
  <c r="E35" i="101"/>
  <c r="F35" i="101"/>
  <c r="G35" i="101"/>
  <c r="H35" i="101"/>
  <c r="I35" i="101"/>
  <c r="B36" i="101"/>
  <c r="C36" i="101"/>
  <c r="D36" i="101"/>
  <c r="Q36" i="101" s="1"/>
  <c r="E36" i="101"/>
  <c r="F36" i="101"/>
  <c r="G36" i="101"/>
  <c r="H36" i="101"/>
  <c r="I36" i="101"/>
  <c r="B37" i="101"/>
  <c r="C37" i="101"/>
  <c r="D37" i="101"/>
  <c r="R37" i="101" s="1"/>
  <c r="E37" i="101"/>
  <c r="F37" i="101"/>
  <c r="G37" i="101"/>
  <c r="H37" i="101"/>
  <c r="I37" i="101"/>
  <c r="B38" i="101"/>
  <c r="C38" i="101"/>
  <c r="D38" i="101"/>
  <c r="R38" i="101" s="1"/>
  <c r="E38" i="101"/>
  <c r="F38" i="101"/>
  <c r="G38" i="101"/>
  <c r="H38" i="101"/>
  <c r="I38" i="101"/>
  <c r="B39" i="101"/>
  <c r="C39" i="101"/>
  <c r="D39" i="101"/>
  <c r="R39" i="101" s="1"/>
  <c r="E39" i="101"/>
  <c r="F39" i="101"/>
  <c r="G39" i="101"/>
  <c r="H39" i="101"/>
  <c r="I39" i="101"/>
  <c r="B40" i="101"/>
  <c r="C40" i="101"/>
  <c r="D40" i="101"/>
  <c r="R40" i="101" s="1"/>
  <c r="E40" i="101"/>
  <c r="F40" i="101"/>
  <c r="G40" i="101"/>
  <c r="H40" i="101"/>
  <c r="I40" i="101"/>
  <c r="B41" i="101"/>
  <c r="C41" i="101"/>
  <c r="D41" i="101"/>
  <c r="R41" i="101" s="1"/>
  <c r="E41" i="101"/>
  <c r="F41" i="101"/>
  <c r="G41" i="101"/>
  <c r="H41" i="101"/>
  <c r="I41" i="101"/>
  <c r="B42" i="101"/>
  <c r="C42" i="101"/>
  <c r="D42" i="101"/>
  <c r="R42" i="101" s="1"/>
  <c r="E42" i="101"/>
  <c r="F42" i="101"/>
  <c r="G42" i="101"/>
  <c r="H42" i="101"/>
  <c r="I42" i="101"/>
  <c r="B43" i="101"/>
  <c r="C43" i="101"/>
  <c r="D43" i="101"/>
  <c r="R43" i="101" s="1"/>
  <c r="E43" i="101"/>
  <c r="F43" i="101"/>
  <c r="G43" i="101"/>
  <c r="H43" i="101"/>
  <c r="I43" i="101"/>
  <c r="B44" i="101"/>
  <c r="C44" i="101"/>
  <c r="D44" i="101"/>
  <c r="R44" i="101" s="1"/>
  <c r="E44" i="101"/>
  <c r="F44" i="101"/>
  <c r="G44" i="101"/>
  <c r="H44" i="101"/>
  <c r="I44" i="101"/>
  <c r="B45" i="101"/>
  <c r="C45" i="101"/>
  <c r="D45" i="101"/>
  <c r="R45" i="101" s="1"/>
  <c r="E45" i="101"/>
  <c r="F45" i="101"/>
  <c r="G45" i="101"/>
  <c r="H45" i="101"/>
  <c r="I45" i="101"/>
  <c r="B46" i="101"/>
  <c r="C46" i="101"/>
  <c r="D46" i="101"/>
  <c r="R46" i="101" s="1"/>
  <c r="E46" i="101"/>
  <c r="F46" i="101"/>
  <c r="G46" i="101"/>
  <c r="H46" i="101"/>
  <c r="I46" i="101"/>
  <c r="J46" i="101" s="1"/>
  <c r="B47" i="101"/>
  <c r="C47" i="101"/>
  <c r="D47" i="101"/>
  <c r="R47" i="101" s="1"/>
  <c r="E47" i="101"/>
  <c r="F47" i="101"/>
  <c r="G47" i="101"/>
  <c r="H47" i="101"/>
  <c r="I47" i="101"/>
  <c r="J47" i="101" s="1"/>
  <c r="B48" i="101"/>
  <c r="C48" i="101"/>
  <c r="D48" i="101"/>
  <c r="R48" i="101" s="1"/>
  <c r="E48" i="101"/>
  <c r="F48" i="101"/>
  <c r="G48" i="101"/>
  <c r="H48" i="101"/>
  <c r="I48" i="101"/>
  <c r="J48" i="101" s="1"/>
  <c r="B49" i="101"/>
  <c r="C49" i="101"/>
  <c r="D49" i="101"/>
  <c r="R49" i="101" s="1"/>
  <c r="E49" i="101"/>
  <c r="F49" i="101"/>
  <c r="G49" i="101"/>
  <c r="H49" i="101"/>
  <c r="I49" i="101"/>
  <c r="J49" i="101" s="1"/>
  <c r="B50" i="101"/>
  <c r="C50" i="101"/>
  <c r="D50" i="101"/>
  <c r="R50" i="101" s="1"/>
  <c r="E50" i="101"/>
  <c r="F50" i="101"/>
  <c r="G50" i="101"/>
  <c r="H50" i="101"/>
  <c r="I50" i="101"/>
  <c r="J50" i="101" s="1"/>
  <c r="B51" i="101"/>
  <c r="C51" i="101"/>
  <c r="D51" i="101"/>
  <c r="R51" i="101" s="1"/>
  <c r="E51" i="101"/>
  <c r="F51" i="101"/>
  <c r="G51" i="101"/>
  <c r="H51" i="101"/>
  <c r="I51" i="101"/>
  <c r="J51" i="101" s="1"/>
  <c r="B52" i="101"/>
  <c r="C52" i="101"/>
  <c r="D52" i="101"/>
  <c r="R52" i="101" s="1"/>
  <c r="E52" i="101"/>
  <c r="F52" i="101"/>
  <c r="G52" i="101"/>
  <c r="H52" i="101"/>
  <c r="I52" i="101"/>
  <c r="J52" i="101" s="1"/>
  <c r="B53" i="101"/>
  <c r="C53" i="101"/>
  <c r="D53" i="101"/>
  <c r="R53" i="101" s="1"/>
  <c r="E53" i="101"/>
  <c r="F53" i="101"/>
  <c r="G53" i="101"/>
  <c r="H53" i="101"/>
  <c r="I53" i="101"/>
  <c r="J53" i="101" s="1"/>
  <c r="B54" i="101"/>
  <c r="C54" i="101"/>
  <c r="D54" i="101"/>
  <c r="R54" i="101" s="1"/>
  <c r="E54" i="101"/>
  <c r="F54" i="101"/>
  <c r="G54" i="101"/>
  <c r="H54" i="101"/>
  <c r="I54" i="101"/>
  <c r="J54" i="101" s="1"/>
  <c r="B55" i="101"/>
  <c r="C55" i="101"/>
  <c r="D55" i="101"/>
  <c r="R55" i="101" s="1"/>
  <c r="E55" i="101"/>
  <c r="F55" i="101"/>
  <c r="G55" i="101"/>
  <c r="H55" i="101"/>
  <c r="I55" i="101"/>
  <c r="B56" i="101"/>
  <c r="C56" i="101"/>
  <c r="D56" i="101"/>
  <c r="R56" i="101" s="1"/>
  <c r="E56" i="101"/>
  <c r="F56" i="101"/>
  <c r="G56" i="101"/>
  <c r="H56" i="101"/>
  <c r="I56" i="101"/>
  <c r="B57" i="101"/>
  <c r="C57" i="101"/>
  <c r="D57" i="101"/>
  <c r="R57" i="101" s="1"/>
  <c r="E57" i="101"/>
  <c r="F57" i="101"/>
  <c r="G57" i="101"/>
  <c r="H57" i="101"/>
  <c r="I57" i="101"/>
  <c r="J57" i="101" s="1"/>
  <c r="B58" i="101"/>
  <c r="C58" i="101"/>
  <c r="D58" i="101"/>
  <c r="R58" i="101" s="1"/>
  <c r="E58" i="101"/>
  <c r="F58" i="101"/>
  <c r="G58" i="101"/>
  <c r="H58" i="101"/>
  <c r="I58" i="101"/>
  <c r="B59" i="101"/>
  <c r="C59" i="101"/>
  <c r="D59" i="101"/>
  <c r="R59" i="101" s="1"/>
  <c r="E59" i="101"/>
  <c r="F59" i="101"/>
  <c r="G59" i="101"/>
  <c r="H59" i="101"/>
  <c r="I59" i="101"/>
  <c r="J59" i="101" s="1"/>
  <c r="B60" i="101"/>
  <c r="C60" i="101"/>
  <c r="D60" i="101"/>
  <c r="R60" i="101" s="1"/>
  <c r="E60" i="101"/>
  <c r="F60" i="101"/>
  <c r="G60" i="101"/>
  <c r="H60" i="101"/>
  <c r="I60" i="101"/>
  <c r="J60" i="101" s="1"/>
  <c r="B61" i="101"/>
  <c r="C61" i="101"/>
  <c r="D61" i="101"/>
  <c r="Q61" i="101" s="1"/>
  <c r="E61" i="101"/>
  <c r="F61" i="101"/>
  <c r="G61" i="101"/>
  <c r="H61" i="101"/>
  <c r="I61" i="101"/>
  <c r="B62" i="101"/>
  <c r="C62" i="101"/>
  <c r="D62" i="101"/>
  <c r="Q62" i="101" s="1"/>
  <c r="E62" i="101"/>
  <c r="F62" i="101"/>
  <c r="G62" i="101"/>
  <c r="H62" i="101"/>
  <c r="I62" i="101"/>
  <c r="B63" i="101"/>
  <c r="C63" i="101"/>
  <c r="D63" i="101"/>
  <c r="Q63" i="101" s="1"/>
  <c r="E63" i="101"/>
  <c r="F63" i="101"/>
  <c r="G63" i="101"/>
  <c r="H63" i="101"/>
  <c r="I63" i="101"/>
  <c r="B64" i="101"/>
  <c r="C64" i="101"/>
  <c r="D64" i="101"/>
  <c r="Q64" i="101" s="1"/>
  <c r="E64" i="101"/>
  <c r="F64" i="101"/>
  <c r="G64" i="101"/>
  <c r="H64" i="101"/>
  <c r="I64" i="101"/>
  <c r="B65" i="101"/>
  <c r="C65" i="101"/>
  <c r="D65" i="101"/>
  <c r="Q65" i="101" s="1"/>
  <c r="E65" i="101"/>
  <c r="F65" i="101"/>
  <c r="G65" i="101"/>
  <c r="H65" i="101"/>
  <c r="I65" i="101"/>
  <c r="B66" i="101"/>
  <c r="C66" i="101"/>
  <c r="D66" i="101"/>
  <c r="Q66" i="101" s="1"/>
  <c r="E66" i="101"/>
  <c r="F66" i="101"/>
  <c r="G66" i="101"/>
  <c r="H66" i="101"/>
  <c r="I66" i="101"/>
  <c r="B67" i="101"/>
  <c r="C67" i="101"/>
  <c r="D67" i="101"/>
  <c r="Q67" i="101" s="1"/>
  <c r="E67" i="101"/>
  <c r="F67" i="101"/>
  <c r="G67" i="101"/>
  <c r="H67" i="101"/>
  <c r="I67" i="101"/>
  <c r="B68" i="101"/>
  <c r="C68" i="101"/>
  <c r="D68" i="101"/>
  <c r="Q68" i="101" s="1"/>
  <c r="E68" i="101"/>
  <c r="F68" i="101"/>
  <c r="G68" i="101"/>
  <c r="H68" i="101"/>
  <c r="I68" i="101"/>
  <c r="B69" i="101"/>
  <c r="C69" i="101"/>
  <c r="D69" i="101"/>
  <c r="Q69" i="101" s="1"/>
  <c r="E69" i="101"/>
  <c r="F69" i="101"/>
  <c r="G69" i="101"/>
  <c r="H69" i="101"/>
  <c r="I69" i="101"/>
  <c r="B70" i="101"/>
  <c r="C70" i="101"/>
  <c r="D70" i="101"/>
  <c r="Q70" i="101" s="1"/>
  <c r="E70" i="101"/>
  <c r="F70" i="101"/>
  <c r="G70" i="101"/>
  <c r="H70" i="101"/>
  <c r="I70" i="101"/>
  <c r="B71" i="101"/>
  <c r="C71" i="101"/>
  <c r="D71" i="101"/>
  <c r="Q71" i="101" s="1"/>
  <c r="E71" i="101"/>
  <c r="F71" i="101"/>
  <c r="G71" i="101"/>
  <c r="H71" i="101"/>
  <c r="I71" i="101"/>
  <c r="B72" i="101"/>
  <c r="C72" i="101"/>
  <c r="D72" i="101"/>
  <c r="Q72" i="101" s="1"/>
  <c r="E72" i="101"/>
  <c r="F72" i="101"/>
  <c r="G72" i="101"/>
  <c r="H72" i="101"/>
  <c r="I72" i="101"/>
  <c r="B73" i="101"/>
  <c r="C73" i="101"/>
  <c r="D73" i="101"/>
  <c r="Q73" i="101" s="1"/>
  <c r="E73" i="101"/>
  <c r="F73" i="101"/>
  <c r="G73" i="101"/>
  <c r="H73" i="101"/>
  <c r="I73" i="101"/>
  <c r="B74" i="101"/>
  <c r="C74" i="101"/>
  <c r="D74" i="101"/>
  <c r="Q74" i="101" s="1"/>
  <c r="E74" i="101"/>
  <c r="F74" i="101"/>
  <c r="G74" i="101"/>
  <c r="H74" i="101"/>
  <c r="I74" i="101"/>
  <c r="B75" i="101"/>
  <c r="C75" i="101"/>
  <c r="D75" i="101"/>
  <c r="E75" i="101"/>
  <c r="F75" i="101"/>
  <c r="G75" i="101"/>
  <c r="H75" i="101"/>
  <c r="I75" i="101"/>
  <c r="B76" i="101"/>
  <c r="C76" i="101"/>
  <c r="D76" i="101"/>
  <c r="Q76" i="101" s="1"/>
  <c r="E76" i="101"/>
  <c r="F76" i="101"/>
  <c r="G76" i="101"/>
  <c r="H76" i="101"/>
  <c r="I76" i="101"/>
  <c r="B77" i="101"/>
  <c r="C77" i="101"/>
  <c r="D77" i="101"/>
  <c r="Q77" i="101" s="1"/>
  <c r="E77" i="101"/>
  <c r="F77" i="101"/>
  <c r="G77" i="101"/>
  <c r="H77" i="101"/>
  <c r="I77" i="101"/>
  <c r="B78" i="101"/>
  <c r="C78" i="101"/>
  <c r="D78" i="101"/>
  <c r="Q78" i="101" s="1"/>
  <c r="E78" i="101"/>
  <c r="F78" i="101"/>
  <c r="G78" i="101"/>
  <c r="H78" i="101"/>
  <c r="I78" i="101"/>
  <c r="B79" i="101"/>
  <c r="C79" i="101"/>
  <c r="D79" i="101"/>
  <c r="Q79" i="101" s="1"/>
  <c r="E79" i="101"/>
  <c r="F79" i="101"/>
  <c r="G79" i="101"/>
  <c r="H79" i="101"/>
  <c r="I79" i="101"/>
  <c r="B80" i="101"/>
  <c r="C80" i="101"/>
  <c r="D80" i="101"/>
  <c r="Q80" i="101" s="1"/>
  <c r="E80" i="101"/>
  <c r="F80" i="101"/>
  <c r="G80" i="101"/>
  <c r="H80" i="101"/>
  <c r="I80" i="101"/>
  <c r="B81" i="101"/>
  <c r="C81" i="101"/>
  <c r="D81" i="101"/>
  <c r="Q81" i="101" s="1"/>
  <c r="E81" i="101"/>
  <c r="F81" i="101"/>
  <c r="G81" i="101"/>
  <c r="H81" i="101"/>
  <c r="I81" i="101"/>
  <c r="B82" i="101"/>
  <c r="C82" i="101"/>
  <c r="D82" i="101"/>
  <c r="Q82" i="101" s="1"/>
  <c r="E82" i="101"/>
  <c r="F82" i="101"/>
  <c r="G82" i="101"/>
  <c r="H82" i="101"/>
  <c r="I82" i="101"/>
  <c r="B83" i="101"/>
  <c r="C83" i="101"/>
  <c r="D83" i="101"/>
  <c r="Q83" i="101" s="1"/>
  <c r="E83" i="101"/>
  <c r="F83" i="101"/>
  <c r="G83" i="101"/>
  <c r="H83" i="101"/>
  <c r="I83" i="101"/>
  <c r="B84" i="101"/>
  <c r="C84" i="101"/>
  <c r="D84" i="101"/>
  <c r="Q84" i="101" s="1"/>
  <c r="E84" i="101"/>
  <c r="F84" i="101"/>
  <c r="G84" i="101"/>
  <c r="H84" i="101"/>
  <c r="I84" i="101"/>
  <c r="B85" i="101"/>
  <c r="C85" i="101"/>
  <c r="D85" i="101"/>
  <c r="Q85" i="101" s="1"/>
  <c r="E85" i="101"/>
  <c r="F85" i="101"/>
  <c r="G85" i="101"/>
  <c r="H85" i="101"/>
  <c r="I85" i="101"/>
  <c r="B86" i="101"/>
  <c r="C86" i="101"/>
  <c r="D86" i="101"/>
  <c r="Q86" i="101" s="1"/>
  <c r="E86" i="101"/>
  <c r="F86" i="101"/>
  <c r="G86" i="101"/>
  <c r="H86" i="101"/>
  <c r="I86" i="101"/>
  <c r="B87" i="101"/>
  <c r="C87" i="101"/>
  <c r="D87" i="101"/>
  <c r="Q87" i="101" s="1"/>
  <c r="E87" i="101"/>
  <c r="F87" i="101"/>
  <c r="G87" i="101"/>
  <c r="H87" i="101"/>
  <c r="I87" i="101"/>
  <c r="B88" i="101"/>
  <c r="C88" i="101"/>
  <c r="D88" i="101"/>
  <c r="Q88" i="101" s="1"/>
  <c r="E88" i="101"/>
  <c r="F88" i="101"/>
  <c r="G88" i="101"/>
  <c r="H88" i="101"/>
  <c r="I88" i="101"/>
  <c r="B89" i="101"/>
  <c r="C89" i="101"/>
  <c r="D89" i="101"/>
  <c r="R89" i="101" s="1"/>
  <c r="E89" i="101"/>
  <c r="F89" i="101"/>
  <c r="G89" i="101"/>
  <c r="H89" i="101"/>
  <c r="I89" i="101"/>
  <c r="B90" i="101"/>
  <c r="C90" i="101"/>
  <c r="D90" i="101"/>
  <c r="R90" i="101" s="1"/>
  <c r="E90" i="101"/>
  <c r="F90" i="101"/>
  <c r="G90" i="101"/>
  <c r="H90" i="101"/>
  <c r="I90" i="101"/>
  <c r="B91" i="101"/>
  <c r="C91" i="101"/>
  <c r="D91" i="101"/>
  <c r="Q91" i="101" s="1"/>
  <c r="E91" i="101"/>
  <c r="F91" i="101"/>
  <c r="G91" i="101"/>
  <c r="H91" i="101"/>
  <c r="I91" i="101"/>
  <c r="B92" i="101"/>
  <c r="C92" i="101"/>
  <c r="D92" i="101"/>
  <c r="Q92" i="101" s="1"/>
  <c r="E92" i="101"/>
  <c r="F92" i="101"/>
  <c r="G92" i="101"/>
  <c r="H92" i="101"/>
  <c r="I92" i="101"/>
  <c r="B93" i="101"/>
  <c r="C93" i="101"/>
  <c r="D93" i="101"/>
  <c r="Q93" i="101" s="1"/>
  <c r="E93" i="101"/>
  <c r="F93" i="101"/>
  <c r="G93" i="101"/>
  <c r="H93" i="101"/>
  <c r="I93" i="101"/>
  <c r="B94" i="101"/>
  <c r="C94" i="101"/>
  <c r="D94" i="101"/>
  <c r="Q94" i="101" s="1"/>
  <c r="E94" i="101"/>
  <c r="F94" i="101"/>
  <c r="G94" i="101"/>
  <c r="H94" i="101"/>
  <c r="I94" i="101"/>
  <c r="B95" i="101"/>
  <c r="C95" i="101"/>
  <c r="D95" i="101"/>
  <c r="Q95" i="101" s="1"/>
  <c r="E95" i="101"/>
  <c r="F95" i="101"/>
  <c r="G95" i="101"/>
  <c r="H95" i="101"/>
  <c r="I95" i="101"/>
  <c r="B96" i="101"/>
  <c r="C96" i="101"/>
  <c r="D96" i="101"/>
  <c r="Q96" i="101" s="1"/>
  <c r="E96" i="101"/>
  <c r="F96" i="101"/>
  <c r="G96" i="101"/>
  <c r="H96" i="101"/>
  <c r="I96" i="101"/>
  <c r="B97" i="101"/>
  <c r="C97" i="101"/>
  <c r="D97" i="101"/>
  <c r="Q97" i="101" s="1"/>
  <c r="E97" i="101"/>
  <c r="F97" i="101"/>
  <c r="G97" i="101"/>
  <c r="H97" i="101"/>
  <c r="I97" i="101"/>
  <c r="B98" i="101"/>
  <c r="C98" i="101"/>
  <c r="D98" i="101"/>
  <c r="R98" i="101" s="1"/>
  <c r="E98" i="101"/>
  <c r="F98" i="101"/>
  <c r="G98" i="101"/>
  <c r="H98" i="101"/>
  <c r="I98" i="101"/>
  <c r="B99" i="101"/>
  <c r="C99" i="101"/>
  <c r="D99" i="101"/>
  <c r="R99" i="101" s="1"/>
  <c r="E99" i="101"/>
  <c r="F99" i="101"/>
  <c r="G99" i="101"/>
  <c r="H99" i="101"/>
  <c r="I99" i="101"/>
  <c r="B100" i="101"/>
  <c r="C100" i="101"/>
  <c r="D100" i="101"/>
  <c r="R100" i="101" s="1"/>
  <c r="E100" i="101"/>
  <c r="F100" i="101"/>
  <c r="G100" i="101"/>
  <c r="H100" i="101"/>
  <c r="I100" i="101"/>
  <c r="B101" i="101"/>
  <c r="C101" i="101"/>
  <c r="D101" i="101"/>
  <c r="R101" i="101" s="1"/>
  <c r="E101" i="101"/>
  <c r="F101" i="101"/>
  <c r="G101" i="101"/>
  <c r="H101" i="101"/>
  <c r="I101" i="101"/>
  <c r="B102" i="101"/>
  <c r="C102" i="101"/>
  <c r="D102" i="101"/>
  <c r="R102" i="101" s="1"/>
  <c r="E102" i="101"/>
  <c r="F102" i="101"/>
  <c r="G102" i="101"/>
  <c r="H102" i="101"/>
  <c r="I102" i="101"/>
  <c r="B103" i="101"/>
  <c r="C103" i="101"/>
  <c r="D103" i="101"/>
  <c r="R103" i="101" s="1"/>
  <c r="E103" i="101"/>
  <c r="F103" i="101"/>
  <c r="G103" i="101"/>
  <c r="H103" i="101"/>
  <c r="I103" i="101"/>
  <c r="B104" i="101"/>
  <c r="C104" i="101"/>
  <c r="D104" i="101"/>
  <c r="Q104" i="101" s="1"/>
  <c r="E104" i="101"/>
  <c r="F104" i="101"/>
  <c r="G104" i="101"/>
  <c r="H104" i="101"/>
  <c r="I104" i="101"/>
  <c r="B105" i="101"/>
  <c r="C105" i="101"/>
  <c r="D105" i="101"/>
  <c r="Q105" i="101" s="1"/>
  <c r="E105" i="101"/>
  <c r="F105" i="101"/>
  <c r="G105" i="101"/>
  <c r="H105" i="101"/>
  <c r="I105" i="101"/>
  <c r="B106" i="101"/>
  <c r="C106" i="101"/>
  <c r="D106" i="101"/>
  <c r="R106" i="101" s="1"/>
  <c r="E106" i="101"/>
  <c r="F106" i="101"/>
  <c r="G106" i="101"/>
  <c r="H106" i="101"/>
  <c r="I106" i="101"/>
  <c r="B107" i="101"/>
  <c r="C107" i="101"/>
  <c r="D107" i="101"/>
  <c r="R107" i="101" s="1"/>
  <c r="E107" i="101"/>
  <c r="F107" i="101"/>
  <c r="G107" i="101"/>
  <c r="H107" i="101"/>
  <c r="I107" i="101"/>
  <c r="B108" i="101"/>
  <c r="C108" i="101"/>
  <c r="D108" i="101"/>
  <c r="Q108" i="101" s="1"/>
  <c r="E108" i="101"/>
  <c r="F108" i="101"/>
  <c r="G108" i="101"/>
  <c r="H108" i="101"/>
  <c r="I108" i="101"/>
  <c r="B109" i="101"/>
  <c r="C109" i="101"/>
  <c r="D109" i="101"/>
  <c r="Q109" i="101" s="1"/>
  <c r="E109" i="101"/>
  <c r="F109" i="101"/>
  <c r="G109" i="101"/>
  <c r="H109" i="101"/>
  <c r="I109" i="101"/>
  <c r="B110" i="101"/>
  <c r="C110" i="101"/>
  <c r="D110" i="101"/>
  <c r="Q110" i="101" s="1"/>
  <c r="E110" i="101"/>
  <c r="F110" i="101"/>
  <c r="G110" i="101"/>
  <c r="H110" i="101"/>
  <c r="I110" i="101"/>
  <c r="B111" i="101"/>
  <c r="C111" i="101"/>
  <c r="D111" i="101"/>
  <c r="Q111" i="101" s="1"/>
  <c r="E111" i="101"/>
  <c r="F111" i="101"/>
  <c r="G111" i="101"/>
  <c r="H111" i="101"/>
  <c r="I111" i="101"/>
  <c r="B112" i="101"/>
  <c r="C112" i="101"/>
  <c r="D112" i="101"/>
  <c r="Q112" i="101" s="1"/>
  <c r="E112" i="101"/>
  <c r="F112" i="101"/>
  <c r="G112" i="101"/>
  <c r="H112" i="101"/>
  <c r="I112" i="101"/>
  <c r="B113" i="101"/>
  <c r="C113" i="101"/>
  <c r="D113" i="101"/>
  <c r="Q113" i="101" s="1"/>
  <c r="E113" i="101"/>
  <c r="F113" i="101"/>
  <c r="G113" i="101"/>
  <c r="H113" i="101"/>
  <c r="I113" i="101"/>
  <c r="B114" i="101"/>
  <c r="C114" i="101"/>
  <c r="D114" i="101"/>
  <c r="Q114" i="101" s="1"/>
  <c r="E114" i="101"/>
  <c r="F114" i="101"/>
  <c r="G114" i="101"/>
  <c r="H114" i="101"/>
  <c r="I114" i="101"/>
  <c r="B115" i="101"/>
  <c r="C115" i="101"/>
  <c r="D115" i="101"/>
  <c r="Q115" i="101" s="1"/>
  <c r="E115" i="101"/>
  <c r="F115" i="101"/>
  <c r="G115" i="101"/>
  <c r="H115" i="101"/>
  <c r="I115" i="101"/>
  <c r="B116" i="101"/>
  <c r="C116" i="101"/>
  <c r="D116" i="101"/>
  <c r="Q116" i="101" s="1"/>
  <c r="E116" i="101"/>
  <c r="F116" i="101"/>
  <c r="G116" i="101"/>
  <c r="H116" i="101"/>
  <c r="I116" i="101"/>
  <c r="B117" i="101"/>
  <c r="C117" i="101"/>
  <c r="D117" i="101"/>
  <c r="R117" i="101" s="1"/>
  <c r="E117" i="101"/>
  <c r="F117" i="101"/>
  <c r="G117" i="101"/>
  <c r="H117" i="101"/>
  <c r="I117" i="101"/>
  <c r="B118" i="101"/>
  <c r="C118" i="101"/>
  <c r="D118" i="101"/>
  <c r="Q118" i="101" s="1"/>
  <c r="E118" i="101"/>
  <c r="F118" i="101"/>
  <c r="G118" i="101"/>
  <c r="H118" i="101"/>
  <c r="I118" i="101"/>
  <c r="B119" i="101"/>
  <c r="C119" i="101"/>
  <c r="D119" i="101"/>
  <c r="R119" i="101" s="1"/>
  <c r="E119" i="101"/>
  <c r="F119" i="101"/>
  <c r="G119" i="101"/>
  <c r="H119" i="101"/>
  <c r="I119" i="101"/>
  <c r="B120" i="101"/>
  <c r="C120" i="101"/>
  <c r="D120" i="101"/>
  <c r="R120" i="101" s="1"/>
  <c r="E120" i="101"/>
  <c r="F120" i="101"/>
  <c r="G120" i="101"/>
  <c r="H120" i="101"/>
  <c r="I120" i="101"/>
  <c r="B121" i="101"/>
  <c r="C121" i="101"/>
  <c r="D121" i="101"/>
  <c r="R121" i="101" s="1"/>
  <c r="E121" i="101"/>
  <c r="F121" i="101"/>
  <c r="G121" i="101"/>
  <c r="H121" i="101"/>
  <c r="I121" i="101"/>
  <c r="B122" i="101"/>
  <c r="C122" i="101"/>
  <c r="D122" i="101"/>
  <c r="R122" i="101" s="1"/>
  <c r="E122" i="101"/>
  <c r="F122" i="101"/>
  <c r="G122" i="101"/>
  <c r="H122" i="101"/>
  <c r="I122" i="101"/>
  <c r="B123" i="101"/>
  <c r="C123" i="101"/>
  <c r="D123" i="101"/>
  <c r="Q123" i="101" s="1"/>
  <c r="E123" i="101"/>
  <c r="F123" i="101"/>
  <c r="G123" i="101"/>
  <c r="H123" i="101"/>
  <c r="I123" i="101"/>
  <c r="B124" i="101"/>
  <c r="C124" i="101"/>
  <c r="D124" i="101"/>
  <c r="Q124" i="101" s="1"/>
  <c r="E124" i="101"/>
  <c r="F124" i="101"/>
  <c r="G124" i="101"/>
  <c r="H124" i="101"/>
  <c r="I124" i="101"/>
  <c r="B125" i="101"/>
  <c r="C125" i="101"/>
  <c r="D125" i="101"/>
  <c r="Q125" i="101" s="1"/>
  <c r="E125" i="101"/>
  <c r="F125" i="101"/>
  <c r="G125" i="101"/>
  <c r="H125" i="101"/>
  <c r="I125" i="101"/>
  <c r="B126" i="101"/>
  <c r="C126" i="101"/>
  <c r="D126" i="101"/>
  <c r="R126" i="101" s="1"/>
  <c r="E126" i="101"/>
  <c r="F126" i="101"/>
  <c r="G126" i="101"/>
  <c r="H126" i="101"/>
  <c r="I126" i="101"/>
  <c r="B127" i="101"/>
  <c r="C127" i="101"/>
  <c r="D127" i="101"/>
  <c r="R127" i="101" s="1"/>
  <c r="E127" i="101"/>
  <c r="F127" i="101"/>
  <c r="G127" i="101"/>
  <c r="H127" i="101"/>
  <c r="I127" i="101"/>
  <c r="B128" i="101"/>
  <c r="C128" i="101"/>
  <c r="D128" i="101"/>
  <c r="R128" i="101" s="1"/>
  <c r="E128" i="101"/>
  <c r="F128" i="101"/>
  <c r="G128" i="101"/>
  <c r="H128" i="101"/>
  <c r="I128" i="101"/>
  <c r="B129" i="101"/>
  <c r="C129" i="101"/>
  <c r="D129" i="101"/>
  <c r="R129" i="101" s="1"/>
  <c r="E129" i="101"/>
  <c r="F129" i="101"/>
  <c r="G129" i="101"/>
  <c r="H129" i="101"/>
  <c r="I129" i="101"/>
  <c r="B130" i="101"/>
  <c r="C130" i="101"/>
  <c r="D130" i="101"/>
  <c r="Q130" i="101" s="1"/>
  <c r="E130" i="101"/>
  <c r="F130" i="101"/>
  <c r="G130" i="101"/>
  <c r="H130" i="101"/>
  <c r="I130" i="101"/>
  <c r="B131" i="101"/>
  <c r="C131" i="101"/>
  <c r="D131" i="101"/>
  <c r="Q131" i="101" s="1"/>
  <c r="E131" i="101"/>
  <c r="F131" i="101"/>
  <c r="G131" i="101"/>
  <c r="H131" i="101"/>
  <c r="I131" i="101"/>
  <c r="B132" i="101"/>
  <c r="C132" i="101"/>
  <c r="D132" i="101"/>
  <c r="Q132" i="101" s="1"/>
  <c r="E132" i="101"/>
  <c r="F132" i="101"/>
  <c r="G132" i="101"/>
  <c r="H132" i="101"/>
  <c r="I132" i="101"/>
  <c r="J132" i="101" s="1"/>
  <c r="B133" i="101"/>
  <c r="C133" i="101"/>
  <c r="D133" i="101"/>
  <c r="Q133" i="101" s="1"/>
  <c r="E133" i="101"/>
  <c r="F133" i="101"/>
  <c r="G133" i="101"/>
  <c r="H133" i="101"/>
  <c r="I133" i="101"/>
  <c r="J133" i="101" s="1"/>
  <c r="B134" i="101"/>
  <c r="C134" i="101"/>
  <c r="D134" i="101"/>
  <c r="Q134" i="101" s="1"/>
  <c r="E134" i="101"/>
  <c r="F134" i="101"/>
  <c r="G134" i="101"/>
  <c r="H134" i="101"/>
  <c r="I134" i="101"/>
  <c r="J134" i="101" s="1"/>
  <c r="B135" i="101"/>
  <c r="C135" i="101"/>
  <c r="D135" i="101"/>
  <c r="Q135" i="101" s="1"/>
  <c r="E135" i="101"/>
  <c r="F135" i="101"/>
  <c r="G135" i="101"/>
  <c r="H135" i="101"/>
  <c r="I135" i="101"/>
  <c r="J135" i="101" s="1"/>
  <c r="B136" i="101"/>
  <c r="C136" i="101"/>
  <c r="D136" i="101"/>
  <c r="Q136" i="101" s="1"/>
  <c r="E136" i="101"/>
  <c r="F136" i="101"/>
  <c r="G136" i="101"/>
  <c r="H136" i="101"/>
  <c r="I136" i="101"/>
  <c r="J136" i="101" s="1"/>
  <c r="B137" i="101"/>
  <c r="C137" i="101"/>
  <c r="D137" i="101"/>
  <c r="Q137" i="101" s="1"/>
  <c r="E137" i="101"/>
  <c r="F137" i="101"/>
  <c r="G137" i="101"/>
  <c r="H137" i="101"/>
  <c r="I137" i="101"/>
  <c r="J137" i="101" s="1"/>
  <c r="B138" i="101"/>
  <c r="C138" i="101"/>
  <c r="D138" i="101"/>
  <c r="R138" i="101" s="1"/>
  <c r="E138" i="101"/>
  <c r="F138" i="101"/>
  <c r="G138" i="101"/>
  <c r="H138" i="101"/>
  <c r="I138" i="101"/>
  <c r="B139" i="101"/>
  <c r="C139" i="101"/>
  <c r="D139" i="101"/>
  <c r="R139" i="101" s="1"/>
  <c r="E139" i="101"/>
  <c r="F139" i="101"/>
  <c r="G139" i="101"/>
  <c r="H139" i="101"/>
  <c r="I139" i="101"/>
  <c r="B140" i="101"/>
  <c r="C140" i="101"/>
  <c r="D140" i="101"/>
  <c r="R140" i="101" s="1"/>
  <c r="E140" i="101"/>
  <c r="F140" i="101"/>
  <c r="G140" i="101"/>
  <c r="H140" i="101"/>
  <c r="I140" i="101"/>
  <c r="B141" i="101"/>
  <c r="C141" i="101"/>
  <c r="D141" i="101"/>
  <c r="R141" i="101" s="1"/>
  <c r="E141" i="101"/>
  <c r="F141" i="101"/>
  <c r="G141" i="101"/>
  <c r="H141" i="101"/>
  <c r="I141" i="101"/>
  <c r="B142" i="101"/>
  <c r="C142" i="101"/>
  <c r="D142" i="101"/>
  <c r="Q142" i="101" s="1"/>
  <c r="E142" i="101"/>
  <c r="F142" i="101"/>
  <c r="G142" i="101"/>
  <c r="H142" i="101"/>
  <c r="I142" i="101"/>
  <c r="B143" i="101"/>
  <c r="C143" i="101"/>
  <c r="D143" i="101"/>
  <c r="R143" i="101" s="1"/>
  <c r="E143" i="101"/>
  <c r="F143" i="101"/>
  <c r="G143" i="101"/>
  <c r="H143" i="101"/>
  <c r="I143" i="101"/>
  <c r="B144" i="101"/>
  <c r="C144" i="101"/>
  <c r="D144" i="101"/>
  <c r="R144" i="101" s="1"/>
  <c r="E144" i="101"/>
  <c r="F144" i="101"/>
  <c r="G144" i="101"/>
  <c r="H144" i="101"/>
  <c r="I144" i="101"/>
  <c r="B145" i="101"/>
  <c r="C145" i="101"/>
  <c r="D145" i="101"/>
  <c r="R145" i="101" s="1"/>
  <c r="E145" i="101"/>
  <c r="F145" i="101"/>
  <c r="G145" i="101"/>
  <c r="H145" i="101"/>
  <c r="I145" i="101"/>
  <c r="B146" i="101"/>
  <c r="C146" i="101"/>
  <c r="D146" i="101"/>
  <c r="R146" i="101" s="1"/>
  <c r="E146" i="101"/>
  <c r="F146" i="101"/>
  <c r="G146" i="101"/>
  <c r="H146" i="101"/>
  <c r="I146" i="101"/>
  <c r="B147" i="101"/>
  <c r="C147" i="101"/>
  <c r="D147" i="101"/>
  <c r="R147" i="101" s="1"/>
  <c r="E147" i="101"/>
  <c r="F147" i="101"/>
  <c r="G147" i="101"/>
  <c r="H147" i="101"/>
  <c r="I147" i="101"/>
  <c r="B148" i="101"/>
  <c r="C148" i="101"/>
  <c r="D148" i="101"/>
  <c r="R148" i="101" s="1"/>
  <c r="E148" i="101"/>
  <c r="F148" i="101"/>
  <c r="G148" i="101"/>
  <c r="H148" i="101"/>
  <c r="I148" i="101"/>
  <c r="B149" i="101"/>
  <c r="C149" i="101"/>
  <c r="D149" i="101"/>
  <c r="R149" i="101" s="1"/>
  <c r="E149" i="101"/>
  <c r="F149" i="101"/>
  <c r="G149" i="101"/>
  <c r="H149" i="101"/>
  <c r="I149" i="101"/>
  <c r="B150" i="101"/>
  <c r="C150" i="101"/>
  <c r="D150" i="101"/>
  <c r="R150" i="101" s="1"/>
  <c r="E150" i="101"/>
  <c r="F150" i="101"/>
  <c r="G150" i="101"/>
  <c r="H150" i="101"/>
  <c r="I150" i="101"/>
  <c r="B151" i="101"/>
  <c r="C151" i="101"/>
  <c r="D151" i="101"/>
  <c r="R151" i="101" s="1"/>
  <c r="E151" i="101"/>
  <c r="F151" i="101"/>
  <c r="G151" i="101"/>
  <c r="H151" i="101"/>
  <c r="I151" i="101"/>
  <c r="B152" i="101"/>
  <c r="C152" i="101"/>
  <c r="D152" i="101"/>
  <c r="R152" i="101" s="1"/>
  <c r="E152" i="101"/>
  <c r="F152" i="101"/>
  <c r="G152" i="101"/>
  <c r="H152" i="101"/>
  <c r="I152" i="101"/>
  <c r="B153" i="101"/>
  <c r="C153" i="101"/>
  <c r="D153" i="101"/>
  <c r="R153" i="101" s="1"/>
  <c r="E153" i="101"/>
  <c r="F153" i="101"/>
  <c r="G153" i="101"/>
  <c r="H153" i="101"/>
  <c r="I153" i="101"/>
  <c r="B154" i="101"/>
  <c r="C154" i="101"/>
  <c r="D154" i="101"/>
  <c r="R154" i="101" s="1"/>
  <c r="E154" i="101"/>
  <c r="F154" i="101"/>
  <c r="G154" i="101"/>
  <c r="H154" i="101"/>
  <c r="I154" i="101"/>
  <c r="B155" i="101"/>
  <c r="C155" i="101"/>
  <c r="D155" i="101"/>
  <c r="R155" i="101" s="1"/>
  <c r="E155" i="101"/>
  <c r="F155" i="101"/>
  <c r="G155" i="101"/>
  <c r="H155" i="101"/>
  <c r="I155" i="101"/>
  <c r="B156" i="101"/>
  <c r="C156" i="101"/>
  <c r="D156" i="101"/>
  <c r="Q156" i="101" s="1"/>
  <c r="E156" i="101"/>
  <c r="F156" i="101"/>
  <c r="G156" i="101"/>
  <c r="H156" i="101"/>
  <c r="I156" i="101"/>
  <c r="B157" i="101"/>
  <c r="C157" i="101"/>
  <c r="D157" i="101"/>
  <c r="Q157" i="101" s="1"/>
  <c r="E157" i="101"/>
  <c r="F157" i="101"/>
  <c r="G157" i="101"/>
  <c r="H157" i="101"/>
  <c r="I157" i="101"/>
  <c r="B158" i="101"/>
  <c r="C158" i="101"/>
  <c r="D158" i="101"/>
  <c r="Q158" i="101" s="1"/>
  <c r="E158" i="101"/>
  <c r="F158" i="101"/>
  <c r="G158" i="101"/>
  <c r="H158" i="101"/>
  <c r="I158" i="101"/>
  <c r="B159" i="101"/>
  <c r="C159" i="101"/>
  <c r="D159" i="101"/>
  <c r="Q159" i="101" s="1"/>
  <c r="E159" i="101"/>
  <c r="F159" i="101"/>
  <c r="G159" i="101"/>
  <c r="H159" i="101"/>
  <c r="I159" i="101"/>
  <c r="B160" i="101"/>
  <c r="C160" i="101"/>
  <c r="D160" i="101"/>
  <c r="Q160" i="101" s="1"/>
  <c r="E160" i="101"/>
  <c r="F160" i="101"/>
  <c r="G160" i="101"/>
  <c r="H160" i="101"/>
  <c r="I160" i="101"/>
  <c r="B161" i="101"/>
  <c r="C161" i="101"/>
  <c r="D161" i="101"/>
  <c r="Q161" i="101" s="1"/>
  <c r="E161" i="101"/>
  <c r="F161" i="101"/>
  <c r="G161" i="101"/>
  <c r="H161" i="101"/>
  <c r="I161" i="101"/>
  <c r="B162" i="101"/>
  <c r="C162" i="101"/>
  <c r="D162" i="101"/>
  <c r="R162" i="101" s="1"/>
  <c r="E162" i="101"/>
  <c r="F162" i="101"/>
  <c r="G162" i="101"/>
  <c r="H162" i="101"/>
  <c r="I162" i="101"/>
  <c r="B163" i="101"/>
  <c r="C163" i="101"/>
  <c r="D163" i="101"/>
  <c r="R163" i="101" s="1"/>
  <c r="E163" i="101"/>
  <c r="F163" i="101"/>
  <c r="G163" i="101"/>
  <c r="H163" i="101"/>
  <c r="I163" i="101"/>
  <c r="B164" i="101"/>
  <c r="C164" i="101"/>
  <c r="D164" i="101"/>
  <c r="R164" i="101" s="1"/>
  <c r="E164" i="101"/>
  <c r="F164" i="101"/>
  <c r="G164" i="101"/>
  <c r="H164" i="101"/>
  <c r="I164" i="101"/>
  <c r="B165" i="101"/>
  <c r="C165" i="101"/>
  <c r="D165" i="101"/>
  <c r="R165" i="101" s="1"/>
  <c r="E165" i="101"/>
  <c r="F165" i="101"/>
  <c r="G165" i="101"/>
  <c r="H165" i="101"/>
  <c r="I165" i="101"/>
  <c r="B166" i="101"/>
  <c r="C166" i="101"/>
  <c r="D166" i="101"/>
  <c r="R166" i="101" s="1"/>
  <c r="E166" i="101"/>
  <c r="F166" i="101"/>
  <c r="G166" i="101"/>
  <c r="H166" i="101"/>
  <c r="I166" i="101"/>
  <c r="B167" i="101"/>
  <c r="C167" i="101"/>
  <c r="D167" i="101"/>
  <c r="R167" i="101" s="1"/>
  <c r="E167" i="101"/>
  <c r="F167" i="101"/>
  <c r="G167" i="101"/>
  <c r="H167" i="101"/>
  <c r="I167" i="101"/>
  <c r="B168" i="101"/>
  <c r="C168" i="101"/>
  <c r="D168" i="101"/>
  <c r="R168" i="101" s="1"/>
  <c r="E168" i="101"/>
  <c r="F168" i="101"/>
  <c r="G168" i="101"/>
  <c r="H168" i="101"/>
  <c r="I168" i="101"/>
  <c r="J168" i="101" s="1"/>
  <c r="B169" i="101"/>
  <c r="C169" i="101"/>
  <c r="D169" i="101"/>
  <c r="R169" i="101" s="1"/>
  <c r="E169" i="101"/>
  <c r="F169" i="101"/>
  <c r="G169" i="101"/>
  <c r="H169" i="101"/>
  <c r="I169" i="101"/>
  <c r="J169" i="101" s="1"/>
  <c r="B170" i="101"/>
  <c r="C170" i="101"/>
  <c r="D170" i="101"/>
  <c r="R170" i="101" s="1"/>
  <c r="E170" i="101"/>
  <c r="F170" i="101"/>
  <c r="G170" i="101"/>
  <c r="H170" i="101"/>
  <c r="I170" i="101"/>
  <c r="J170" i="101" s="1"/>
  <c r="B171" i="101"/>
  <c r="C171" i="101"/>
  <c r="D171" i="101"/>
  <c r="R171" i="101" s="1"/>
  <c r="E171" i="101"/>
  <c r="F171" i="101"/>
  <c r="G171" i="101"/>
  <c r="H171" i="101"/>
  <c r="I171" i="101"/>
  <c r="J171" i="101" s="1"/>
  <c r="B172" i="101"/>
  <c r="C172" i="101"/>
  <c r="D172" i="101"/>
  <c r="Q172" i="101" s="1"/>
  <c r="E172" i="101"/>
  <c r="F172" i="101"/>
  <c r="G172" i="101"/>
  <c r="H172" i="101"/>
  <c r="I172" i="101"/>
  <c r="J172" i="101" s="1"/>
  <c r="B173" i="101"/>
  <c r="C173" i="101"/>
  <c r="D173" i="101"/>
  <c r="Q173" i="101" s="1"/>
  <c r="E173" i="101"/>
  <c r="F173" i="101"/>
  <c r="G173" i="101"/>
  <c r="H173" i="101"/>
  <c r="I173" i="101"/>
  <c r="J173" i="101" s="1"/>
  <c r="B174" i="101"/>
  <c r="C174" i="101"/>
  <c r="D174" i="101"/>
  <c r="R174" i="101" s="1"/>
  <c r="E174" i="101"/>
  <c r="F174" i="101"/>
  <c r="G174" i="101"/>
  <c r="H174" i="101"/>
  <c r="I174" i="101"/>
  <c r="J174" i="101" s="1"/>
  <c r="B175" i="101"/>
  <c r="C175" i="101"/>
  <c r="D175" i="101"/>
  <c r="R175" i="101" s="1"/>
  <c r="E175" i="101"/>
  <c r="F175" i="101"/>
  <c r="G175" i="101"/>
  <c r="H175" i="101"/>
  <c r="I175" i="101"/>
  <c r="B176" i="101"/>
  <c r="C176" i="101"/>
  <c r="D176" i="101"/>
  <c r="R176" i="101" s="1"/>
  <c r="E176" i="101"/>
  <c r="F176" i="101"/>
  <c r="G176" i="101"/>
  <c r="H176" i="101"/>
  <c r="I176" i="101"/>
  <c r="B177" i="101"/>
  <c r="C177" i="101"/>
  <c r="D177" i="101"/>
  <c r="R177" i="101" s="1"/>
  <c r="E177" i="101"/>
  <c r="F177" i="101"/>
  <c r="G177" i="101"/>
  <c r="H177" i="101"/>
  <c r="I177" i="101"/>
  <c r="B178" i="101"/>
  <c r="C178" i="101"/>
  <c r="D178" i="101"/>
  <c r="R178" i="101" s="1"/>
  <c r="E178" i="101"/>
  <c r="F178" i="101"/>
  <c r="G178" i="101"/>
  <c r="H178" i="101"/>
  <c r="I178" i="101"/>
  <c r="B179" i="101"/>
  <c r="C179" i="101"/>
  <c r="D179" i="101"/>
  <c r="R179" i="101" s="1"/>
  <c r="E179" i="101"/>
  <c r="F179" i="101"/>
  <c r="G179" i="101"/>
  <c r="H179" i="101"/>
  <c r="I179" i="101"/>
  <c r="B180" i="101"/>
  <c r="C180" i="101"/>
  <c r="D180" i="101"/>
  <c r="R180" i="101" s="1"/>
  <c r="E180" i="101"/>
  <c r="F180" i="101"/>
  <c r="G180" i="101"/>
  <c r="H180" i="101"/>
  <c r="I180" i="101"/>
  <c r="B181" i="101"/>
  <c r="C181" i="101"/>
  <c r="D181" i="101"/>
  <c r="R181" i="101" s="1"/>
  <c r="E181" i="101"/>
  <c r="F181" i="101"/>
  <c r="G181" i="101"/>
  <c r="H181" i="101"/>
  <c r="I181" i="101"/>
  <c r="B182" i="101"/>
  <c r="C182" i="101"/>
  <c r="D182" i="101"/>
  <c r="R182" i="101" s="1"/>
  <c r="E182" i="101"/>
  <c r="F182" i="101"/>
  <c r="G182" i="101"/>
  <c r="H182" i="101"/>
  <c r="I182" i="101"/>
  <c r="B183" i="101"/>
  <c r="C183" i="101"/>
  <c r="D183" i="101"/>
  <c r="Q183" i="101" s="1"/>
  <c r="E183" i="101"/>
  <c r="F183" i="101"/>
  <c r="G183" i="101"/>
  <c r="H183" i="101"/>
  <c r="I183" i="101"/>
  <c r="B184" i="101"/>
  <c r="C184" i="101"/>
  <c r="D184" i="101"/>
  <c r="Q184" i="101" s="1"/>
  <c r="E184" i="101"/>
  <c r="F184" i="101"/>
  <c r="G184" i="101"/>
  <c r="H184" i="101"/>
  <c r="I184" i="101"/>
  <c r="B185" i="101"/>
  <c r="C185" i="101"/>
  <c r="D185" i="101"/>
  <c r="Q185" i="101" s="1"/>
  <c r="E185" i="101"/>
  <c r="F185" i="101"/>
  <c r="G185" i="101"/>
  <c r="H185" i="101"/>
  <c r="I185" i="101"/>
  <c r="B186" i="101"/>
  <c r="C186" i="101"/>
  <c r="D186" i="101"/>
  <c r="Q186" i="101" s="1"/>
  <c r="E186" i="101"/>
  <c r="F186" i="101"/>
  <c r="G186" i="101"/>
  <c r="H186" i="101"/>
  <c r="I186" i="101"/>
  <c r="B187" i="101"/>
  <c r="C187" i="101"/>
  <c r="D187" i="101"/>
  <c r="Q187" i="101" s="1"/>
  <c r="E187" i="101"/>
  <c r="F187" i="101"/>
  <c r="G187" i="101"/>
  <c r="H187" i="101"/>
  <c r="I187" i="101"/>
  <c r="B188" i="101"/>
  <c r="C188" i="101"/>
  <c r="D188" i="101"/>
  <c r="Q188" i="101" s="1"/>
  <c r="E188" i="101"/>
  <c r="F188" i="101"/>
  <c r="G188" i="101"/>
  <c r="H188" i="101"/>
  <c r="I188" i="101"/>
  <c r="B189" i="101"/>
  <c r="C189" i="101"/>
  <c r="D189" i="101"/>
  <c r="Q189" i="101" s="1"/>
  <c r="E189" i="101"/>
  <c r="F189" i="101"/>
  <c r="G189" i="101"/>
  <c r="H189" i="101"/>
  <c r="I189" i="101"/>
  <c r="B190" i="101"/>
  <c r="C190" i="101"/>
  <c r="D190" i="101"/>
  <c r="R190" i="101" s="1"/>
  <c r="E190" i="101"/>
  <c r="F190" i="101"/>
  <c r="G190" i="101"/>
  <c r="H190" i="101"/>
  <c r="I190" i="101"/>
  <c r="B191" i="101"/>
  <c r="C191" i="101"/>
  <c r="D191" i="101"/>
  <c r="R191" i="101" s="1"/>
  <c r="E191" i="101"/>
  <c r="F191" i="101"/>
  <c r="G191" i="101"/>
  <c r="H191" i="101"/>
  <c r="I191" i="101"/>
  <c r="B192" i="101"/>
  <c r="C192" i="101"/>
  <c r="D192" i="101"/>
  <c r="R192" i="101" s="1"/>
  <c r="E192" i="101"/>
  <c r="F192" i="101"/>
  <c r="G192" i="101"/>
  <c r="H192" i="101"/>
  <c r="I192" i="101"/>
  <c r="B193" i="101"/>
  <c r="C193" i="101"/>
  <c r="D193" i="101"/>
  <c r="R193" i="101" s="1"/>
  <c r="E193" i="101"/>
  <c r="F193" i="101"/>
  <c r="G193" i="101"/>
  <c r="H193" i="101"/>
  <c r="I193" i="101"/>
  <c r="B194" i="101"/>
  <c r="C194" i="101"/>
  <c r="D194" i="101"/>
  <c r="R194" i="101" s="1"/>
  <c r="E194" i="101"/>
  <c r="F194" i="101"/>
  <c r="G194" i="101"/>
  <c r="H194" i="101"/>
  <c r="I194" i="101"/>
  <c r="B195" i="101"/>
  <c r="C195" i="101"/>
  <c r="D195" i="101"/>
  <c r="R195" i="101" s="1"/>
  <c r="E195" i="101"/>
  <c r="F195" i="101"/>
  <c r="G195" i="101"/>
  <c r="H195" i="101"/>
  <c r="I195" i="101"/>
  <c r="B196" i="101"/>
  <c r="C196" i="101"/>
  <c r="D196" i="101"/>
  <c r="R196" i="101" s="1"/>
  <c r="E196" i="101"/>
  <c r="F196" i="101"/>
  <c r="G196" i="101"/>
  <c r="H196" i="101"/>
  <c r="I196" i="101"/>
  <c r="B197" i="101"/>
  <c r="C197" i="101"/>
  <c r="D197" i="101"/>
  <c r="R197" i="101" s="1"/>
  <c r="E197" i="101"/>
  <c r="F197" i="101"/>
  <c r="G197" i="101"/>
  <c r="H197" i="101"/>
  <c r="I197" i="101"/>
  <c r="B198" i="101"/>
  <c r="C198" i="101"/>
  <c r="D198" i="101"/>
  <c r="Q198" i="101" s="1"/>
  <c r="E198" i="101"/>
  <c r="F198" i="101"/>
  <c r="G198" i="101"/>
  <c r="H198" i="101"/>
  <c r="I198" i="101"/>
  <c r="B199" i="101"/>
  <c r="C199" i="101"/>
  <c r="D199" i="101"/>
  <c r="Q199" i="101" s="1"/>
  <c r="E199" i="101"/>
  <c r="F199" i="101"/>
  <c r="G199" i="101"/>
  <c r="H199" i="101"/>
  <c r="I199" i="101"/>
  <c r="B200" i="101"/>
  <c r="C200" i="101"/>
  <c r="D200" i="101"/>
  <c r="R200" i="101" s="1"/>
  <c r="E200" i="101"/>
  <c r="F200" i="101"/>
  <c r="G200" i="101"/>
  <c r="H200" i="101"/>
  <c r="I200" i="101"/>
  <c r="B201" i="101"/>
  <c r="C201" i="101"/>
  <c r="D201" i="101"/>
  <c r="E201" i="101"/>
  <c r="F201" i="101"/>
  <c r="G201" i="101"/>
  <c r="H201" i="101"/>
  <c r="I201" i="101"/>
  <c r="B202" i="101"/>
  <c r="C202" i="101"/>
  <c r="D202" i="101"/>
  <c r="E202" i="101"/>
  <c r="F202" i="101"/>
  <c r="G202" i="101"/>
  <c r="H202" i="101"/>
  <c r="I202" i="101"/>
  <c r="B203" i="101"/>
  <c r="C203" i="101"/>
  <c r="D203" i="101"/>
  <c r="R203" i="101" s="1"/>
  <c r="E203" i="101"/>
  <c r="F203" i="101"/>
  <c r="G203" i="101"/>
  <c r="H203" i="101"/>
  <c r="I203" i="101"/>
  <c r="B204" i="101"/>
  <c r="C204" i="101"/>
  <c r="D204" i="101"/>
  <c r="R204" i="101" s="1"/>
  <c r="E204" i="101"/>
  <c r="F204" i="101"/>
  <c r="G204" i="101"/>
  <c r="H204" i="101"/>
  <c r="I204" i="101"/>
  <c r="B205" i="101"/>
  <c r="C205" i="101"/>
  <c r="D205" i="101"/>
  <c r="R205" i="101" s="1"/>
  <c r="E205" i="101"/>
  <c r="F205" i="101"/>
  <c r="G205" i="101"/>
  <c r="H205" i="101"/>
  <c r="I205" i="101"/>
  <c r="B206" i="101"/>
  <c r="C206" i="101"/>
  <c r="D206" i="101"/>
  <c r="R206" i="101" s="1"/>
  <c r="E206" i="101"/>
  <c r="F206" i="101"/>
  <c r="G206" i="101"/>
  <c r="H206" i="101"/>
  <c r="I206" i="101"/>
  <c r="B207" i="101"/>
  <c r="C207" i="101"/>
  <c r="D207" i="101"/>
  <c r="R207" i="101" s="1"/>
  <c r="E207" i="101"/>
  <c r="F207" i="101"/>
  <c r="G207" i="101"/>
  <c r="H207" i="101"/>
  <c r="I207" i="101"/>
  <c r="B208" i="101"/>
  <c r="C208" i="101"/>
  <c r="D208" i="101"/>
  <c r="Q208" i="101" s="1"/>
  <c r="E208" i="101"/>
  <c r="F208" i="101"/>
  <c r="G208" i="101"/>
  <c r="H208" i="101"/>
  <c r="I208" i="101"/>
  <c r="B209" i="101"/>
  <c r="C209" i="101"/>
  <c r="D209" i="101"/>
  <c r="Q209" i="101" s="1"/>
  <c r="E209" i="101"/>
  <c r="F209" i="101"/>
  <c r="G209" i="101"/>
  <c r="H209" i="101"/>
  <c r="I209" i="101"/>
  <c r="B210" i="101"/>
  <c r="C210" i="101"/>
  <c r="D210" i="101"/>
  <c r="Q210" i="101" s="1"/>
  <c r="E210" i="101"/>
  <c r="F210" i="101"/>
  <c r="G210" i="101"/>
  <c r="H210" i="101"/>
  <c r="I210" i="101"/>
  <c r="B211" i="101"/>
  <c r="C211" i="101"/>
  <c r="D211" i="101"/>
  <c r="Q211" i="101" s="1"/>
  <c r="E211" i="101"/>
  <c r="F211" i="101"/>
  <c r="G211" i="101"/>
  <c r="H211" i="101"/>
  <c r="I211" i="101"/>
  <c r="B212" i="101"/>
  <c r="C212" i="101"/>
  <c r="D212" i="101"/>
  <c r="Q212" i="101" s="1"/>
  <c r="E212" i="101"/>
  <c r="F212" i="101"/>
  <c r="G212" i="101"/>
  <c r="H212" i="101"/>
  <c r="I212" i="101"/>
  <c r="B213" i="101"/>
  <c r="C213" i="101"/>
  <c r="D213" i="101"/>
  <c r="Q213" i="101" s="1"/>
  <c r="E213" i="101"/>
  <c r="F213" i="101"/>
  <c r="G213" i="101"/>
  <c r="H213" i="101"/>
  <c r="I213" i="101"/>
  <c r="J213" i="101" s="1"/>
  <c r="B214" i="101"/>
  <c r="C214" i="101"/>
  <c r="D214" i="101"/>
  <c r="Q214" i="101" s="1"/>
  <c r="E214" i="101"/>
  <c r="F214" i="101"/>
  <c r="G214" i="101"/>
  <c r="H214" i="101"/>
  <c r="I214" i="101"/>
  <c r="J214" i="101" s="1"/>
  <c r="B215" i="101"/>
  <c r="C215" i="101"/>
  <c r="D215" i="101"/>
  <c r="Q215" i="101" s="1"/>
  <c r="E215" i="101"/>
  <c r="F215" i="101"/>
  <c r="G215" i="101"/>
  <c r="H215" i="101"/>
  <c r="I215" i="101"/>
  <c r="J215" i="101" s="1"/>
  <c r="B216" i="101"/>
  <c r="C216" i="101"/>
  <c r="D216" i="101"/>
  <c r="Q216" i="101" s="1"/>
  <c r="E216" i="101"/>
  <c r="F216" i="101"/>
  <c r="G216" i="101"/>
  <c r="H216" i="101"/>
  <c r="I216" i="101"/>
  <c r="J216" i="101" s="1"/>
  <c r="B217" i="101"/>
  <c r="C217" i="101"/>
  <c r="D217" i="101"/>
  <c r="R217" i="101" s="1"/>
  <c r="E217" i="101"/>
  <c r="F217" i="101"/>
  <c r="G217" i="101"/>
  <c r="H217" i="101"/>
  <c r="I217" i="101"/>
  <c r="B218" i="101"/>
  <c r="C218" i="101"/>
  <c r="D218" i="101"/>
  <c r="Q218" i="101" s="1"/>
  <c r="E218" i="101"/>
  <c r="F218" i="101"/>
  <c r="G218" i="101"/>
  <c r="H218" i="101"/>
  <c r="I218" i="101"/>
  <c r="B219" i="101"/>
  <c r="C219" i="101"/>
  <c r="D219" i="101"/>
  <c r="R219" i="101" s="1"/>
  <c r="E219" i="101"/>
  <c r="F219" i="101"/>
  <c r="G219" i="101"/>
  <c r="H219" i="101"/>
  <c r="I219" i="101"/>
  <c r="B220" i="101"/>
  <c r="C220" i="101"/>
  <c r="D220" i="101"/>
  <c r="R220" i="101" s="1"/>
  <c r="E220" i="101"/>
  <c r="F220" i="101"/>
  <c r="G220" i="101"/>
  <c r="H220" i="101"/>
  <c r="I220" i="101"/>
  <c r="B221" i="101"/>
  <c r="C221" i="101"/>
  <c r="D221" i="101"/>
  <c r="Q221" i="101" s="1"/>
  <c r="E221" i="101"/>
  <c r="F221" i="101"/>
  <c r="G221" i="101"/>
  <c r="H221" i="101"/>
  <c r="I221" i="101"/>
  <c r="B222" i="101"/>
  <c r="C222" i="101"/>
  <c r="D222" i="101"/>
  <c r="Q222" i="101" s="1"/>
  <c r="E222" i="101"/>
  <c r="F222" i="101"/>
  <c r="G222" i="101"/>
  <c r="H222" i="101"/>
  <c r="I222" i="101"/>
  <c r="B223" i="101"/>
  <c r="C223" i="101"/>
  <c r="D223" i="101"/>
  <c r="Q223" i="101" s="1"/>
  <c r="E223" i="101"/>
  <c r="F223" i="101"/>
  <c r="G223" i="101"/>
  <c r="H223" i="101"/>
  <c r="I223" i="101"/>
  <c r="B224" i="101"/>
  <c r="C224" i="101"/>
  <c r="D224" i="101"/>
  <c r="Q224" i="101" s="1"/>
  <c r="E224" i="101"/>
  <c r="F224" i="101"/>
  <c r="G224" i="101"/>
  <c r="H224" i="101"/>
  <c r="I224" i="101"/>
  <c r="B225" i="101"/>
  <c r="C225" i="101"/>
  <c r="D225" i="101"/>
  <c r="R225" i="101" s="1"/>
  <c r="E225" i="101"/>
  <c r="F225" i="101"/>
  <c r="G225" i="101"/>
  <c r="H225" i="101"/>
  <c r="I225" i="101"/>
  <c r="B226" i="101"/>
  <c r="C226" i="101"/>
  <c r="D226" i="101"/>
  <c r="Q226" i="101" s="1"/>
  <c r="E226" i="101"/>
  <c r="F226" i="101"/>
  <c r="G226" i="101"/>
  <c r="H226" i="101"/>
  <c r="I226" i="101"/>
  <c r="B227" i="101"/>
  <c r="C227" i="101"/>
  <c r="D227" i="101"/>
  <c r="Q227" i="101" s="1"/>
  <c r="E227" i="101"/>
  <c r="F227" i="101"/>
  <c r="G227" i="101"/>
  <c r="H227" i="101"/>
  <c r="I227" i="101"/>
  <c r="B228" i="101"/>
  <c r="C228" i="101"/>
  <c r="D228" i="101"/>
  <c r="Q228" i="101" s="1"/>
  <c r="E228" i="101"/>
  <c r="F228" i="101"/>
  <c r="G228" i="101"/>
  <c r="H228" i="101"/>
  <c r="I228" i="101"/>
  <c r="B229" i="101"/>
  <c r="C229" i="101"/>
  <c r="D229" i="101"/>
  <c r="Q229" i="101" s="1"/>
  <c r="E229" i="101"/>
  <c r="F229" i="101"/>
  <c r="G229" i="101"/>
  <c r="H229" i="101"/>
  <c r="I229" i="101"/>
  <c r="B230" i="101"/>
  <c r="C230" i="101"/>
  <c r="D230" i="101"/>
  <c r="R230" i="101" s="1"/>
  <c r="E230" i="101"/>
  <c r="F230" i="101"/>
  <c r="G230" i="101"/>
  <c r="H230" i="101"/>
  <c r="I230" i="101"/>
  <c r="B231" i="101"/>
  <c r="C231" i="101"/>
  <c r="D231" i="101"/>
  <c r="Q231" i="101" s="1"/>
  <c r="E231" i="101"/>
  <c r="F231" i="101"/>
  <c r="G231" i="101"/>
  <c r="H231" i="101"/>
  <c r="I231" i="101"/>
  <c r="B232" i="101"/>
  <c r="C232" i="101"/>
  <c r="D232" i="101"/>
  <c r="Q232" i="101" s="1"/>
  <c r="E232" i="101"/>
  <c r="F232" i="101"/>
  <c r="G232" i="101"/>
  <c r="H232" i="101"/>
  <c r="I232" i="101"/>
  <c r="B233" i="101"/>
  <c r="C233" i="101"/>
  <c r="D233" i="101"/>
  <c r="Q233" i="101" s="1"/>
  <c r="E233" i="101"/>
  <c r="F233" i="101"/>
  <c r="G233" i="101"/>
  <c r="H233" i="101"/>
  <c r="I233" i="101"/>
  <c r="B234" i="101"/>
  <c r="C234" i="101"/>
  <c r="D234" i="101"/>
  <c r="Q234" i="101" s="1"/>
  <c r="E234" i="101"/>
  <c r="F234" i="101"/>
  <c r="G234" i="101"/>
  <c r="H234" i="101"/>
  <c r="I234" i="101"/>
  <c r="B235" i="101"/>
  <c r="C235" i="101"/>
  <c r="D235" i="101"/>
  <c r="R235" i="101" s="1"/>
  <c r="E235" i="101"/>
  <c r="F235" i="101"/>
  <c r="G235" i="101"/>
  <c r="H235" i="101"/>
  <c r="I235" i="101"/>
  <c r="B236" i="101"/>
  <c r="C236" i="101"/>
  <c r="D236" i="101"/>
  <c r="R236" i="101" s="1"/>
  <c r="E236" i="101"/>
  <c r="F236" i="101"/>
  <c r="G236" i="101"/>
  <c r="H236" i="101"/>
  <c r="I236" i="101"/>
  <c r="B237" i="101"/>
  <c r="C237" i="101"/>
  <c r="D237" i="101"/>
  <c r="Q237" i="101" s="1"/>
  <c r="E237" i="101"/>
  <c r="F237" i="101"/>
  <c r="G237" i="101"/>
  <c r="H237" i="101"/>
  <c r="I237" i="101"/>
  <c r="B238" i="101"/>
  <c r="C238" i="101"/>
  <c r="D238" i="101"/>
  <c r="Q238" i="101" s="1"/>
  <c r="E238" i="101"/>
  <c r="F238" i="101"/>
  <c r="G238" i="101"/>
  <c r="H238" i="101"/>
  <c r="I238" i="101"/>
  <c r="B239" i="101"/>
  <c r="C239" i="101"/>
  <c r="D239" i="101"/>
  <c r="Q239" i="101" s="1"/>
  <c r="E239" i="101"/>
  <c r="F239" i="101"/>
  <c r="G239" i="101"/>
  <c r="H239" i="101"/>
  <c r="I239" i="101"/>
  <c r="B240" i="101"/>
  <c r="C240" i="101"/>
  <c r="D240" i="101"/>
  <c r="Q240" i="101" s="1"/>
  <c r="E240" i="101"/>
  <c r="F240" i="101"/>
  <c r="G240" i="101"/>
  <c r="H240" i="101"/>
  <c r="I240" i="101"/>
  <c r="B241" i="101"/>
  <c r="C241" i="101"/>
  <c r="D241" i="101"/>
  <c r="E241" i="101"/>
  <c r="F241" i="101"/>
  <c r="G241" i="101"/>
  <c r="H241" i="101"/>
  <c r="I241" i="101"/>
  <c r="B242" i="101"/>
  <c r="C242" i="101"/>
  <c r="D242" i="101"/>
  <c r="R242" i="101" s="1"/>
  <c r="E242" i="101"/>
  <c r="F242" i="101"/>
  <c r="G242" i="101"/>
  <c r="H242" i="101"/>
  <c r="I242" i="101"/>
  <c r="B243" i="101"/>
  <c r="C243" i="101"/>
  <c r="D243" i="101"/>
  <c r="R243" i="101" s="1"/>
  <c r="E243" i="101"/>
  <c r="F243" i="101"/>
  <c r="G243" i="101"/>
  <c r="H243" i="101"/>
  <c r="I243" i="101"/>
  <c r="B244" i="101"/>
  <c r="C244" i="101"/>
  <c r="D244" i="101"/>
  <c r="Q244" i="101" s="1"/>
  <c r="E244" i="101"/>
  <c r="F244" i="101"/>
  <c r="G244" i="101"/>
  <c r="H244" i="101"/>
  <c r="I244" i="101"/>
  <c r="B245" i="101"/>
  <c r="C245" i="101"/>
  <c r="D245" i="101"/>
  <c r="E245" i="101"/>
  <c r="F245" i="101"/>
  <c r="G245" i="101"/>
  <c r="H245" i="101"/>
  <c r="I245" i="101"/>
  <c r="B246" i="101"/>
  <c r="C246" i="101"/>
  <c r="D246" i="101"/>
  <c r="R246" i="101" s="1"/>
  <c r="E246" i="101"/>
  <c r="F246" i="101"/>
  <c r="G246" i="101"/>
  <c r="H246" i="101"/>
  <c r="I246" i="101"/>
  <c r="B247" i="101"/>
  <c r="C247" i="101"/>
  <c r="D247" i="101"/>
  <c r="R247" i="101" s="1"/>
  <c r="E247" i="101"/>
  <c r="F247" i="101"/>
  <c r="G247" i="101"/>
  <c r="H247" i="101"/>
  <c r="I247" i="101"/>
  <c r="B248" i="101"/>
  <c r="C248" i="101"/>
  <c r="D248" i="101"/>
  <c r="E248" i="101"/>
  <c r="F248" i="101"/>
  <c r="G248" i="101"/>
  <c r="H248" i="101"/>
  <c r="I248" i="101"/>
  <c r="B249" i="101"/>
  <c r="C249" i="101"/>
  <c r="D249" i="101"/>
  <c r="E249" i="101"/>
  <c r="F249" i="101"/>
  <c r="G249" i="101"/>
  <c r="H249" i="101"/>
  <c r="I249" i="101"/>
  <c r="B250" i="101"/>
  <c r="C250" i="101"/>
  <c r="D250" i="101"/>
  <c r="R250" i="101" s="1"/>
  <c r="E250" i="101"/>
  <c r="F250" i="101"/>
  <c r="G250" i="101"/>
  <c r="H250" i="101"/>
  <c r="I250" i="101"/>
  <c r="B251" i="101"/>
  <c r="C251" i="101"/>
  <c r="D251" i="101"/>
  <c r="R251" i="101" s="1"/>
  <c r="E251" i="101"/>
  <c r="F251" i="101"/>
  <c r="G251" i="101"/>
  <c r="H251" i="101"/>
  <c r="I251" i="101"/>
  <c r="B252" i="101"/>
  <c r="C252" i="101"/>
  <c r="D252" i="101"/>
  <c r="R252" i="101" s="1"/>
  <c r="E252" i="101"/>
  <c r="F252" i="101"/>
  <c r="G252" i="101"/>
  <c r="H252" i="101"/>
  <c r="I252" i="101"/>
  <c r="B253" i="101"/>
  <c r="C253" i="101"/>
  <c r="D253" i="101"/>
  <c r="E253" i="101"/>
  <c r="F253" i="101"/>
  <c r="G253" i="101"/>
  <c r="H253" i="101"/>
  <c r="I253" i="101"/>
  <c r="B254" i="101"/>
  <c r="C254" i="101"/>
  <c r="D254" i="101"/>
  <c r="Q254" i="101" s="1"/>
  <c r="E254" i="101"/>
  <c r="F254" i="101"/>
  <c r="G254" i="101"/>
  <c r="H254" i="101"/>
  <c r="I254" i="101"/>
  <c r="B255" i="101"/>
  <c r="C255" i="101"/>
  <c r="D255" i="101"/>
  <c r="R255" i="101" s="1"/>
  <c r="E255" i="101"/>
  <c r="F255" i="101"/>
  <c r="G255" i="101"/>
  <c r="H255" i="101"/>
  <c r="I255" i="101"/>
  <c r="B256" i="101"/>
  <c r="C256" i="101"/>
  <c r="D256" i="101"/>
  <c r="R256" i="101" s="1"/>
  <c r="E256" i="101"/>
  <c r="F256" i="101"/>
  <c r="G256" i="101"/>
  <c r="H256" i="101"/>
  <c r="I256" i="101"/>
  <c r="B257" i="101"/>
  <c r="C257" i="101"/>
  <c r="D257" i="101"/>
  <c r="Q257" i="101" s="1"/>
  <c r="E257" i="101"/>
  <c r="F257" i="101"/>
  <c r="G257" i="101"/>
  <c r="H257" i="101"/>
  <c r="I257" i="101"/>
  <c r="B258" i="101"/>
  <c r="C258" i="101"/>
  <c r="D258" i="101"/>
  <c r="E258" i="101"/>
  <c r="F258" i="101"/>
  <c r="G258" i="101"/>
  <c r="H258" i="101"/>
  <c r="I258" i="101"/>
  <c r="J258" i="101" s="1"/>
  <c r="B259" i="101"/>
  <c r="C259" i="101"/>
  <c r="D259" i="101"/>
  <c r="Q259" i="101" s="1"/>
  <c r="E259" i="101"/>
  <c r="F259" i="101"/>
  <c r="G259" i="101"/>
  <c r="H259" i="101"/>
  <c r="I259" i="101"/>
  <c r="J259" i="101" s="1"/>
  <c r="B260" i="101"/>
  <c r="C260" i="101"/>
  <c r="D260" i="101"/>
  <c r="R260" i="101" s="1"/>
  <c r="E260" i="101"/>
  <c r="F260" i="101"/>
  <c r="G260" i="101"/>
  <c r="H260" i="101"/>
  <c r="I260" i="101"/>
  <c r="B261" i="101"/>
  <c r="C261" i="101"/>
  <c r="D261" i="101"/>
  <c r="R261" i="101" s="1"/>
  <c r="E261" i="101"/>
  <c r="F261" i="101"/>
  <c r="G261" i="101"/>
  <c r="H261" i="101"/>
  <c r="I261" i="101"/>
  <c r="B262" i="101"/>
  <c r="C262" i="101"/>
  <c r="D262" i="101"/>
  <c r="Q262" i="101" s="1"/>
  <c r="E262" i="101"/>
  <c r="F262" i="101"/>
  <c r="G262" i="101"/>
  <c r="H262" i="101"/>
  <c r="I262" i="101"/>
  <c r="B263" i="101"/>
  <c r="C263" i="101"/>
  <c r="D263" i="101"/>
  <c r="Q263" i="101" s="1"/>
  <c r="E263" i="101"/>
  <c r="F263" i="101"/>
  <c r="G263" i="101"/>
  <c r="H263" i="101"/>
  <c r="I263" i="101"/>
  <c r="B264" i="101"/>
  <c r="C264" i="101"/>
  <c r="D264" i="101"/>
  <c r="Q264" i="101" s="1"/>
  <c r="E264" i="101"/>
  <c r="F264" i="101"/>
  <c r="G264" i="101"/>
  <c r="H264" i="101"/>
  <c r="I264" i="101"/>
  <c r="B265" i="101"/>
  <c r="C265" i="101"/>
  <c r="D265" i="101"/>
  <c r="Q265" i="101" s="1"/>
  <c r="E265" i="101"/>
  <c r="F265" i="101"/>
  <c r="G265" i="101"/>
  <c r="H265" i="101"/>
  <c r="I265" i="101"/>
  <c r="B266" i="101"/>
  <c r="C266" i="101"/>
  <c r="D266" i="101"/>
  <c r="Q266" i="101" s="1"/>
  <c r="E266" i="101"/>
  <c r="F266" i="101"/>
  <c r="G266" i="101"/>
  <c r="H266" i="101"/>
  <c r="I266" i="101"/>
  <c r="B267" i="101"/>
  <c r="C267" i="101"/>
  <c r="D267" i="101"/>
  <c r="Q267" i="101" s="1"/>
  <c r="E267" i="101"/>
  <c r="F267" i="101"/>
  <c r="G267" i="101"/>
  <c r="H267" i="101"/>
  <c r="I267" i="101"/>
  <c r="B268" i="101"/>
  <c r="C268" i="101"/>
  <c r="D268" i="101"/>
  <c r="Q268" i="101" s="1"/>
  <c r="E268" i="101"/>
  <c r="F268" i="101"/>
  <c r="G268" i="101"/>
  <c r="H268" i="101"/>
  <c r="I268" i="101"/>
  <c r="B269" i="101"/>
  <c r="C269" i="101"/>
  <c r="D269" i="101"/>
  <c r="Q269" i="101" s="1"/>
  <c r="E269" i="101"/>
  <c r="F269" i="101"/>
  <c r="G269" i="101"/>
  <c r="H269" i="101"/>
  <c r="I269" i="101"/>
  <c r="J269" i="101" s="1"/>
  <c r="B270" i="101"/>
  <c r="C270" i="101"/>
  <c r="D270" i="101"/>
  <c r="R270" i="101" s="1"/>
  <c r="E270" i="101"/>
  <c r="F270" i="101"/>
  <c r="G270" i="101"/>
  <c r="H270" i="101"/>
  <c r="I270" i="101"/>
  <c r="B271" i="101"/>
  <c r="C271" i="101"/>
  <c r="D271" i="101"/>
  <c r="Q271" i="101" s="1"/>
  <c r="E271" i="101"/>
  <c r="F271" i="101"/>
  <c r="G271" i="101"/>
  <c r="H271" i="101"/>
  <c r="I271" i="101"/>
  <c r="B4" i="102"/>
  <c r="C4" i="102"/>
  <c r="D4" i="102"/>
  <c r="R4" i="102" s="1"/>
  <c r="E4" i="102"/>
  <c r="F4" i="102"/>
  <c r="G4" i="102"/>
  <c r="H4" i="102"/>
  <c r="I4" i="102"/>
  <c r="B5" i="102"/>
  <c r="C5" i="102"/>
  <c r="D5" i="102"/>
  <c r="Q5" i="102" s="1"/>
  <c r="E5" i="102"/>
  <c r="F5" i="102"/>
  <c r="G5" i="102"/>
  <c r="H5" i="102"/>
  <c r="I5" i="102"/>
  <c r="B6" i="102"/>
  <c r="C6" i="102"/>
  <c r="D6" i="102"/>
  <c r="Q6" i="102" s="1"/>
  <c r="E6" i="102"/>
  <c r="F6" i="102"/>
  <c r="G6" i="102"/>
  <c r="H6" i="102"/>
  <c r="I6" i="102"/>
  <c r="B7" i="102"/>
  <c r="C7" i="102"/>
  <c r="D7" i="102"/>
  <c r="R7" i="102" s="1"/>
  <c r="E7" i="102"/>
  <c r="F7" i="102"/>
  <c r="G7" i="102"/>
  <c r="H7" i="102"/>
  <c r="I7" i="102"/>
  <c r="B8" i="102"/>
  <c r="C8" i="102"/>
  <c r="D8" i="102"/>
  <c r="R8" i="102" s="1"/>
  <c r="E8" i="102"/>
  <c r="F8" i="102"/>
  <c r="G8" i="102"/>
  <c r="H8" i="102"/>
  <c r="I8" i="102"/>
  <c r="B9" i="102"/>
  <c r="C9" i="102"/>
  <c r="D9" i="102"/>
  <c r="Q9" i="102" s="1"/>
  <c r="E9" i="102"/>
  <c r="F9" i="102"/>
  <c r="G9" i="102"/>
  <c r="H9" i="102"/>
  <c r="I9" i="102"/>
  <c r="B10" i="102"/>
  <c r="C10" i="102"/>
  <c r="D10" i="102"/>
  <c r="Q10" i="102" s="1"/>
  <c r="E10" i="102"/>
  <c r="F10" i="102"/>
  <c r="G10" i="102"/>
  <c r="H10" i="102"/>
  <c r="I10" i="102"/>
  <c r="B11" i="102"/>
  <c r="C11" i="102"/>
  <c r="D11" i="102"/>
  <c r="R11" i="102" s="1"/>
  <c r="E11" i="102"/>
  <c r="F11" i="102"/>
  <c r="G11" i="102"/>
  <c r="H11" i="102"/>
  <c r="I11" i="102"/>
  <c r="B12" i="102"/>
  <c r="C12" i="102"/>
  <c r="D12" i="102"/>
  <c r="R12" i="102" s="1"/>
  <c r="E12" i="102"/>
  <c r="F12" i="102"/>
  <c r="G12" i="102"/>
  <c r="H12" i="102"/>
  <c r="I12" i="102"/>
  <c r="B13" i="102"/>
  <c r="C13" i="102"/>
  <c r="D13" i="102"/>
  <c r="R13" i="102" s="1"/>
  <c r="E13" i="102"/>
  <c r="F13" i="102"/>
  <c r="G13" i="102"/>
  <c r="H13" i="102"/>
  <c r="I13" i="102"/>
  <c r="B14" i="102"/>
  <c r="C14" i="102"/>
  <c r="D14" i="102"/>
  <c r="Q14" i="102" s="1"/>
  <c r="E14" i="102"/>
  <c r="F14" i="102"/>
  <c r="G14" i="102"/>
  <c r="H14" i="102"/>
  <c r="I14" i="102"/>
  <c r="B15" i="102"/>
  <c r="C15" i="102"/>
  <c r="D15" i="102"/>
  <c r="Q15" i="102" s="1"/>
  <c r="E15" i="102"/>
  <c r="F15" i="102"/>
  <c r="G15" i="102"/>
  <c r="H15" i="102"/>
  <c r="I15" i="102"/>
  <c r="B16" i="102"/>
  <c r="C16" i="102"/>
  <c r="D16" i="102"/>
  <c r="Q16" i="102" s="1"/>
  <c r="E16" i="102"/>
  <c r="F16" i="102"/>
  <c r="G16" i="102"/>
  <c r="H16" i="102"/>
  <c r="I16" i="102"/>
  <c r="B17" i="102"/>
  <c r="C17" i="102"/>
  <c r="D17" i="102"/>
  <c r="Q17" i="102" s="1"/>
  <c r="E17" i="102"/>
  <c r="F17" i="102"/>
  <c r="G17" i="102"/>
  <c r="H17" i="102"/>
  <c r="I17" i="102"/>
  <c r="B18" i="102"/>
  <c r="C18" i="102"/>
  <c r="D18" i="102"/>
  <c r="Q18" i="102" s="1"/>
  <c r="E18" i="102"/>
  <c r="F18" i="102"/>
  <c r="G18" i="102"/>
  <c r="H18" i="102"/>
  <c r="I18" i="102"/>
  <c r="B19" i="102"/>
  <c r="C19" i="102"/>
  <c r="D19" i="102"/>
  <c r="Q19" i="102" s="1"/>
  <c r="E19" i="102"/>
  <c r="F19" i="102"/>
  <c r="G19" i="102"/>
  <c r="H19" i="102"/>
  <c r="I19" i="102"/>
  <c r="B20" i="102"/>
  <c r="C20" i="102"/>
  <c r="D20" i="102"/>
  <c r="Q20" i="102" s="1"/>
  <c r="E20" i="102"/>
  <c r="F20" i="102"/>
  <c r="G20" i="102"/>
  <c r="H20" i="102"/>
  <c r="I20" i="102"/>
  <c r="B21" i="102"/>
  <c r="C21" i="102"/>
  <c r="D21" i="102"/>
  <c r="R21" i="102" s="1"/>
  <c r="E21" i="102"/>
  <c r="F21" i="102"/>
  <c r="G21" i="102"/>
  <c r="H21" i="102"/>
  <c r="I21" i="102"/>
  <c r="B22" i="102"/>
  <c r="C22" i="102"/>
  <c r="D22" i="102"/>
  <c r="R22" i="102" s="1"/>
  <c r="E22" i="102"/>
  <c r="F22" i="102"/>
  <c r="G22" i="102"/>
  <c r="H22" i="102"/>
  <c r="I22" i="102"/>
  <c r="B23" i="102"/>
  <c r="C23" i="102"/>
  <c r="D23" i="102"/>
  <c r="R23" i="102" s="1"/>
  <c r="E23" i="102"/>
  <c r="F23" i="102"/>
  <c r="G23" i="102"/>
  <c r="H23" i="102"/>
  <c r="I23" i="102"/>
  <c r="B24" i="102"/>
  <c r="C24" i="102"/>
  <c r="D24" i="102"/>
  <c r="R24" i="102" s="1"/>
  <c r="E24" i="102"/>
  <c r="F24" i="102"/>
  <c r="G24" i="102"/>
  <c r="H24" i="102"/>
  <c r="I24" i="102"/>
  <c r="B25" i="102"/>
  <c r="C25" i="102"/>
  <c r="D25" i="102"/>
  <c r="R25" i="102" s="1"/>
  <c r="E25" i="102"/>
  <c r="F25" i="102"/>
  <c r="G25" i="102"/>
  <c r="H25" i="102"/>
  <c r="I25" i="102"/>
  <c r="B26" i="102"/>
  <c r="C26" i="102"/>
  <c r="D26" i="102"/>
  <c r="R26" i="102" s="1"/>
  <c r="E26" i="102"/>
  <c r="F26" i="102"/>
  <c r="G26" i="102"/>
  <c r="H26" i="102"/>
  <c r="I26" i="102"/>
  <c r="B27" i="102"/>
  <c r="C27" i="102"/>
  <c r="D27" i="102"/>
  <c r="R27" i="102" s="1"/>
  <c r="E27" i="102"/>
  <c r="F27" i="102"/>
  <c r="G27" i="102"/>
  <c r="H27" i="102"/>
  <c r="I27" i="102"/>
  <c r="B28" i="102"/>
  <c r="C28" i="102"/>
  <c r="D28" i="102"/>
  <c r="R28" i="102" s="1"/>
  <c r="E28" i="102"/>
  <c r="F28" i="102"/>
  <c r="G28" i="102"/>
  <c r="H28" i="102"/>
  <c r="I28" i="102"/>
  <c r="B29" i="102"/>
  <c r="C29" i="102"/>
  <c r="D29" i="102"/>
  <c r="R29" i="102" s="1"/>
  <c r="E29" i="102"/>
  <c r="F29" i="102"/>
  <c r="G29" i="102"/>
  <c r="H29" i="102"/>
  <c r="I29" i="102"/>
  <c r="B30" i="102"/>
  <c r="C30" i="102"/>
  <c r="D30" i="102"/>
  <c r="R30" i="102" s="1"/>
  <c r="E30" i="102"/>
  <c r="F30" i="102"/>
  <c r="G30" i="102"/>
  <c r="H30" i="102"/>
  <c r="I30" i="102"/>
  <c r="B31" i="102"/>
  <c r="C31" i="102"/>
  <c r="D31" i="102"/>
  <c r="R31" i="102" s="1"/>
  <c r="E31" i="102"/>
  <c r="F31" i="102"/>
  <c r="G31" i="102"/>
  <c r="H31" i="102"/>
  <c r="I31" i="102"/>
  <c r="B32" i="102"/>
  <c r="C32" i="102"/>
  <c r="D32" i="102"/>
  <c r="Q32" i="102" s="1"/>
  <c r="E32" i="102"/>
  <c r="F32" i="102"/>
  <c r="G32" i="102"/>
  <c r="H32" i="102"/>
  <c r="I32" i="102"/>
  <c r="B33" i="102"/>
  <c r="C33" i="102"/>
  <c r="D33" i="102"/>
  <c r="Q33" i="102" s="1"/>
  <c r="E33" i="102"/>
  <c r="F33" i="102"/>
  <c r="G33" i="102"/>
  <c r="H33" i="102"/>
  <c r="I33" i="102"/>
  <c r="B34" i="102"/>
  <c r="C34" i="102"/>
  <c r="D34" i="102"/>
  <c r="R34" i="102" s="1"/>
  <c r="E34" i="102"/>
  <c r="F34" i="102"/>
  <c r="G34" i="102"/>
  <c r="H34" i="102"/>
  <c r="I34" i="102"/>
  <c r="B35" i="102"/>
  <c r="C35" i="102"/>
  <c r="D35" i="102"/>
  <c r="Q35" i="102" s="1"/>
  <c r="E35" i="102"/>
  <c r="F35" i="102"/>
  <c r="G35" i="102"/>
  <c r="H35" i="102"/>
  <c r="I35" i="102"/>
  <c r="B36" i="102"/>
  <c r="C36" i="102"/>
  <c r="D36" i="102"/>
  <c r="Q36" i="102" s="1"/>
  <c r="E36" i="102"/>
  <c r="F36" i="102"/>
  <c r="G36" i="102"/>
  <c r="H36" i="102"/>
  <c r="I36" i="102"/>
  <c r="B37" i="102"/>
  <c r="C37" i="102"/>
  <c r="D37" i="102"/>
  <c r="R37" i="102" s="1"/>
  <c r="E37" i="102"/>
  <c r="F37" i="102"/>
  <c r="G37" i="102"/>
  <c r="H37" i="102"/>
  <c r="I37" i="102"/>
  <c r="B38" i="102"/>
  <c r="C38" i="102"/>
  <c r="D38" i="102"/>
  <c r="R38" i="102" s="1"/>
  <c r="E38" i="102"/>
  <c r="F38" i="102"/>
  <c r="G38" i="102"/>
  <c r="H38" i="102"/>
  <c r="I38" i="102"/>
  <c r="B39" i="102"/>
  <c r="C39" i="102"/>
  <c r="D39" i="102"/>
  <c r="R39" i="102" s="1"/>
  <c r="E39" i="102"/>
  <c r="F39" i="102"/>
  <c r="G39" i="102"/>
  <c r="H39" i="102"/>
  <c r="I39" i="102"/>
  <c r="B40" i="102"/>
  <c r="C40" i="102"/>
  <c r="D40" i="102"/>
  <c r="R40" i="102" s="1"/>
  <c r="E40" i="102"/>
  <c r="F40" i="102"/>
  <c r="G40" i="102"/>
  <c r="H40" i="102"/>
  <c r="I40" i="102"/>
  <c r="B41" i="102"/>
  <c r="C41" i="102"/>
  <c r="D41" i="102"/>
  <c r="R41" i="102" s="1"/>
  <c r="E41" i="102"/>
  <c r="F41" i="102"/>
  <c r="G41" i="102"/>
  <c r="H41" i="102"/>
  <c r="I41" i="102"/>
  <c r="B42" i="102"/>
  <c r="C42" i="102"/>
  <c r="D42" i="102"/>
  <c r="R42" i="102" s="1"/>
  <c r="E42" i="102"/>
  <c r="F42" i="102"/>
  <c r="G42" i="102"/>
  <c r="H42" i="102"/>
  <c r="I42" i="102"/>
  <c r="B43" i="102"/>
  <c r="C43" i="102"/>
  <c r="D43" i="102"/>
  <c r="R43" i="102" s="1"/>
  <c r="E43" i="102"/>
  <c r="F43" i="102"/>
  <c r="G43" i="102"/>
  <c r="H43" i="102"/>
  <c r="I43" i="102"/>
  <c r="B44" i="102"/>
  <c r="C44" i="102"/>
  <c r="D44" i="102"/>
  <c r="R44" i="102" s="1"/>
  <c r="E44" i="102"/>
  <c r="F44" i="102"/>
  <c r="G44" i="102"/>
  <c r="H44" i="102"/>
  <c r="I44" i="102"/>
  <c r="B45" i="102"/>
  <c r="C45" i="102"/>
  <c r="D45" i="102"/>
  <c r="R45" i="102" s="1"/>
  <c r="E45" i="102"/>
  <c r="F45" i="102"/>
  <c r="G45" i="102"/>
  <c r="H45" i="102"/>
  <c r="I45" i="102"/>
  <c r="B46" i="102"/>
  <c r="C46" i="102"/>
  <c r="D46" i="102"/>
  <c r="R46" i="102" s="1"/>
  <c r="E46" i="102"/>
  <c r="F46" i="102"/>
  <c r="G46" i="102"/>
  <c r="H46" i="102"/>
  <c r="I46" i="102"/>
  <c r="J46" i="102" s="1"/>
  <c r="B47" i="102"/>
  <c r="C47" i="102"/>
  <c r="D47" i="102"/>
  <c r="R47" i="102" s="1"/>
  <c r="E47" i="102"/>
  <c r="F47" i="102"/>
  <c r="G47" i="102"/>
  <c r="H47" i="102"/>
  <c r="I47" i="102"/>
  <c r="J47" i="102" s="1"/>
  <c r="B48" i="102"/>
  <c r="C48" i="102"/>
  <c r="D48" i="102"/>
  <c r="R48" i="102" s="1"/>
  <c r="E48" i="102"/>
  <c r="F48" i="102"/>
  <c r="G48" i="102"/>
  <c r="H48" i="102"/>
  <c r="I48" i="102"/>
  <c r="J48" i="102" s="1"/>
  <c r="B49" i="102"/>
  <c r="C49" i="102"/>
  <c r="D49" i="102"/>
  <c r="R49" i="102" s="1"/>
  <c r="E49" i="102"/>
  <c r="F49" i="102"/>
  <c r="G49" i="102"/>
  <c r="H49" i="102"/>
  <c r="I49" i="102"/>
  <c r="J49" i="102" s="1"/>
  <c r="B50" i="102"/>
  <c r="C50" i="102"/>
  <c r="D50" i="102"/>
  <c r="R50" i="102" s="1"/>
  <c r="E50" i="102"/>
  <c r="F50" i="102"/>
  <c r="G50" i="102"/>
  <c r="H50" i="102"/>
  <c r="I50" i="102"/>
  <c r="J50" i="102" s="1"/>
  <c r="B51" i="102"/>
  <c r="C51" i="102"/>
  <c r="D51" i="102"/>
  <c r="R51" i="102" s="1"/>
  <c r="E51" i="102"/>
  <c r="F51" i="102"/>
  <c r="G51" i="102"/>
  <c r="H51" i="102"/>
  <c r="I51" i="102"/>
  <c r="J51" i="102" s="1"/>
  <c r="B52" i="102"/>
  <c r="C52" i="102"/>
  <c r="D52" i="102"/>
  <c r="R52" i="102" s="1"/>
  <c r="E52" i="102"/>
  <c r="F52" i="102"/>
  <c r="G52" i="102"/>
  <c r="H52" i="102"/>
  <c r="I52" i="102"/>
  <c r="J52" i="102" s="1"/>
  <c r="B53" i="102"/>
  <c r="C53" i="102"/>
  <c r="D53" i="102"/>
  <c r="R53" i="102" s="1"/>
  <c r="E53" i="102"/>
  <c r="F53" i="102"/>
  <c r="G53" i="102"/>
  <c r="H53" i="102"/>
  <c r="I53" i="102"/>
  <c r="J53" i="102" s="1"/>
  <c r="B54" i="102"/>
  <c r="C54" i="102"/>
  <c r="D54" i="102"/>
  <c r="R54" i="102" s="1"/>
  <c r="E54" i="102"/>
  <c r="F54" i="102"/>
  <c r="G54" i="102"/>
  <c r="H54" i="102"/>
  <c r="I54" i="102"/>
  <c r="J54" i="102" s="1"/>
  <c r="B55" i="102"/>
  <c r="C55" i="102"/>
  <c r="D55" i="102"/>
  <c r="R55" i="102" s="1"/>
  <c r="E55" i="102"/>
  <c r="F55" i="102"/>
  <c r="G55" i="102"/>
  <c r="H55" i="102"/>
  <c r="I55" i="102"/>
  <c r="B56" i="102"/>
  <c r="C56" i="102"/>
  <c r="D56" i="102"/>
  <c r="R56" i="102" s="1"/>
  <c r="E56" i="102"/>
  <c r="F56" i="102"/>
  <c r="G56" i="102"/>
  <c r="H56" i="102"/>
  <c r="I56" i="102"/>
  <c r="B57" i="102"/>
  <c r="C57" i="102"/>
  <c r="D57" i="102"/>
  <c r="R57" i="102" s="1"/>
  <c r="E57" i="102"/>
  <c r="F57" i="102"/>
  <c r="G57" i="102"/>
  <c r="H57" i="102"/>
  <c r="I57" i="102"/>
  <c r="J57" i="102" s="1"/>
  <c r="B58" i="102"/>
  <c r="C58" i="102"/>
  <c r="D58" i="102"/>
  <c r="R58" i="102" s="1"/>
  <c r="E58" i="102"/>
  <c r="F58" i="102"/>
  <c r="G58" i="102"/>
  <c r="H58" i="102"/>
  <c r="I58" i="102"/>
  <c r="B59" i="102"/>
  <c r="C59" i="102"/>
  <c r="D59" i="102"/>
  <c r="R59" i="102" s="1"/>
  <c r="E59" i="102"/>
  <c r="F59" i="102"/>
  <c r="G59" i="102"/>
  <c r="H59" i="102"/>
  <c r="I59" i="102"/>
  <c r="J59" i="102" s="1"/>
  <c r="B60" i="102"/>
  <c r="C60" i="102"/>
  <c r="D60" i="102"/>
  <c r="R60" i="102" s="1"/>
  <c r="E60" i="102"/>
  <c r="F60" i="102"/>
  <c r="G60" i="102"/>
  <c r="H60" i="102"/>
  <c r="I60" i="102"/>
  <c r="J60" i="102" s="1"/>
  <c r="B61" i="102"/>
  <c r="C61" i="102"/>
  <c r="D61" i="102"/>
  <c r="Q61" i="102" s="1"/>
  <c r="E61" i="102"/>
  <c r="F61" i="102"/>
  <c r="G61" i="102"/>
  <c r="H61" i="102"/>
  <c r="I61" i="102"/>
  <c r="B62" i="102"/>
  <c r="C62" i="102"/>
  <c r="D62" i="102"/>
  <c r="Q62" i="102" s="1"/>
  <c r="E62" i="102"/>
  <c r="F62" i="102"/>
  <c r="G62" i="102"/>
  <c r="H62" i="102"/>
  <c r="I62" i="102"/>
  <c r="B63" i="102"/>
  <c r="C63" i="102"/>
  <c r="D63" i="102"/>
  <c r="Q63" i="102" s="1"/>
  <c r="E63" i="102"/>
  <c r="F63" i="102"/>
  <c r="G63" i="102"/>
  <c r="H63" i="102"/>
  <c r="I63" i="102"/>
  <c r="B64" i="102"/>
  <c r="C64" i="102"/>
  <c r="D64" i="102"/>
  <c r="Q64" i="102" s="1"/>
  <c r="E64" i="102"/>
  <c r="F64" i="102"/>
  <c r="G64" i="102"/>
  <c r="H64" i="102"/>
  <c r="I64" i="102"/>
  <c r="B65" i="102"/>
  <c r="C65" i="102"/>
  <c r="D65" i="102"/>
  <c r="Q65" i="102" s="1"/>
  <c r="E65" i="102"/>
  <c r="F65" i="102"/>
  <c r="G65" i="102"/>
  <c r="H65" i="102"/>
  <c r="I65" i="102"/>
  <c r="B66" i="102"/>
  <c r="C66" i="102"/>
  <c r="D66" i="102"/>
  <c r="Q66" i="102" s="1"/>
  <c r="E66" i="102"/>
  <c r="F66" i="102"/>
  <c r="G66" i="102"/>
  <c r="H66" i="102"/>
  <c r="I66" i="102"/>
  <c r="B67" i="102"/>
  <c r="C67" i="102"/>
  <c r="D67" i="102"/>
  <c r="Q67" i="102" s="1"/>
  <c r="E67" i="102"/>
  <c r="F67" i="102"/>
  <c r="G67" i="102"/>
  <c r="H67" i="102"/>
  <c r="I67" i="102"/>
  <c r="B68" i="102"/>
  <c r="C68" i="102"/>
  <c r="D68" i="102"/>
  <c r="Q68" i="102" s="1"/>
  <c r="E68" i="102"/>
  <c r="F68" i="102"/>
  <c r="G68" i="102"/>
  <c r="H68" i="102"/>
  <c r="I68" i="102"/>
  <c r="B69" i="102"/>
  <c r="C69" i="102"/>
  <c r="D69" i="102"/>
  <c r="Q69" i="102" s="1"/>
  <c r="E69" i="102"/>
  <c r="F69" i="102"/>
  <c r="G69" i="102"/>
  <c r="H69" i="102"/>
  <c r="I69" i="102"/>
  <c r="B70" i="102"/>
  <c r="C70" i="102"/>
  <c r="D70" i="102"/>
  <c r="Q70" i="102" s="1"/>
  <c r="E70" i="102"/>
  <c r="F70" i="102"/>
  <c r="G70" i="102"/>
  <c r="H70" i="102"/>
  <c r="I70" i="102"/>
  <c r="B71" i="102"/>
  <c r="C71" i="102"/>
  <c r="D71" i="102"/>
  <c r="Q71" i="102" s="1"/>
  <c r="E71" i="102"/>
  <c r="F71" i="102"/>
  <c r="G71" i="102"/>
  <c r="H71" i="102"/>
  <c r="I71" i="102"/>
  <c r="B72" i="102"/>
  <c r="C72" i="102"/>
  <c r="D72" i="102"/>
  <c r="Q72" i="102" s="1"/>
  <c r="E72" i="102"/>
  <c r="F72" i="102"/>
  <c r="G72" i="102"/>
  <c r="H72" i="102"/>
  <c r="I72" i="102"/>
  <c r="B73" i="102"/>
  <c r="C73" i="102"/>
  <c r="D73" i="102"/>
  <c r="Q73" i="102" s="1"/>
  <c r="E73" i="102"/>
  <c r="F73" i="102"/>
  <c r="G73" i="102"/>
  <c r="H73" i="102"/>
  <c r="I73" i="102"/>
  <c r="B74" i="102"/>
  <c r="C74" i="102"/>
  <c r="D74" i="102"/>
  <c r="Q74" i="102" s="1"/>
  <c r="E74" i="102"/>
  <c r="F74" i="102"/>
  <c r="G74" i="102"/>
  <c r="H74" i="102"/>
  <c r="I74" i="102"/>
  <c r="B75" i="102"/>
  <c r="C75" i="102"/>
  <c r="D75" i="102"/>
  <c r="E75" i="102"/>
  <c r="F75" i="102"/>
  <c r="G75" i="102"/>
  <c r="H75" i="102"/>
  <c r="I75" i="102"/>
  <c r="B76" i="102"/>
  <c r="C76" i="102"/>
  <c r="D76" i="102"/>
  <c r="Q76" i="102" s="1"/>
  <c r="E76" i="102"/>
  <c r="F76" i="102"/>
  <c r="G76" i="102"/>
  <c r="H76" i="102"/>
  <c r="I76" i="102"/>
  <c r="B77" i="102"/>
  <c r="C77" i="102"/>
  <c r="D77" i="102"/>
  <c r="Q77" i="102" s="1"/>
  <c r="E77" i="102"/>
  <c r="F77" i="102"/>
  <c r="G77" i="102"/>
  <c r="H77" i="102"/>
  <c r="I77" i="102"/>
  <c r="B78" i="102"/>
  <c r="C78" i="102"/>
  <c r="D78" i="102"/>
  <c r="Q78" i="102" s="1"/>
  <c r="E78" i="102"/>
  <c r="F78" i="102"/>
  <c r="G78" i="102"/>
  <c r="H78" i="102"/>
  <c r="I78" i="102"/>
  <c r="B79" i="102"/>
  <c r="C79" i="102"/>
  <c r="D79" i="102"/>
  <c r="Q79" i="102" s="1"/>
  <c r="E79" i="102"/>
  <c r="F79" i="102"/>
  <c r="G79" i="102"/>
  <c r="H79" i="102"/>
  <c r="I79" i="102"/>
  <c r="B80" i="102"/>
  <c r="C80" i="102"/>
  <c r="D80" i="102"/>
  <c r="Q80" i="102" s="1"/>
  <c r="E80" i="102"/>
  <c r="F80" i="102"/>
  <c r="G80" i="102"/>
  <c r="H80" i="102"/>
  <c r="I80" i="102"/>
  <c r="B81" i="102"/>
  <c r="C81" i="102"/>
  <c r="D81" i="102"/>
  <c r="Q81" i="102" s="1"/>
  <c r="E81" i="102"/>
  <c r="F81" i="102"/>
  <c r="G81" i="102"/>
  <c r="H81" i="102"/>
  <c r="I81" i="102"/>
  <c r="B82" i="102"/>
  <c r="C82" i="102"/>
  <c r="D82" i="102"/>
  <c r="Q82" i="102" s="1"/>
  <c r="E82" i="102"/>
  <c r="F82" i="102"/>
  <c r="G82" i="102"/>
  <c r="H82" i="102"/>
  <c r="I82" i="102"/>
  <c r="B83" i="102"/>
  <c r="C83" i="102"/>
  <c r="D83" i="102"/>
  <c r="Q83" i="102" s="1"/>
  <c r="E83" i="102"/>
  <c r="F83" i="102"/>
  <c r="G83" i="102"/>
  <c r="H83" i="102"/>
  <c r="I83" i="102"/>
  <c r="B84" i="102"/>
  <c r="C84" i="102"/>
  <c r="D84" i="102"/>
  <c r="Q84" i="102" s="1"/>
  <c r="E84" i="102"/>
  <c r="F84" i="102"/>
  <c r="G84" i="102"/>
  <c r="H84" i="102"/>
  <c r="I84" i="102"/>
  <c r="B85" i="102"/>
  <c r="C85" i="102"/>
  <c r="D85" i="102"/>
  <c r="Q85" i="102" s="1"/>
  <c r="E85" i="102"/>
  <c r="F85" i="102"/>
  <c r="G85" i="102"/>
  <c r="H85" i="102"/>
  <c r="I85" i="102"/>
  <c r="B86" i="102"/>
  <c r="C86" i="102"/>
  <c r="D86" i="102"/>
  <c r="Q86" i="102" s="1"/>
  <c r="E86" i="102"/>
  <c r="F86" i="102"/>
  <c r="G86" i="102"/>
  <c r="H86" i="102"/>
  <c r="I86" i="102"/>
  <c r="B87" i="102"/>
  <c r="C87" i="102"/>
  <c r="D87" i="102"/>
  <c r="Q87" i="102" s="1"/>
  <c r="E87" i="102"/>
  <c r="F87" i="102"/>
  <c r="G87" i="102"/>
  <c r="H87" i="102"/>
  <c r="I87" i="102"/>
  <c r="B88" i="102"/>
  <c r="C88" i="102"/>
  <c r="D88" i="102"/>
  <c r="Q88" i="102" s="1"/>
  <c r="E88" i="102"/>
  <c r="F88" i="102"/>
  <c r="G88" i="102"/>
  <c r="H88" i="102"/>
  <c r="I88" i="102"/>
  <c r="B89" i="102"/>
  <c r="C89" i="102"/>
  <c r="D89" i="102"/>
  <c r="R89" i="102" s="1"/>
  <c r="E89" i="102"/>
  <c r="F89" i="102"/>
  <c r="G89" i="102"/>
  <c r="H89" i="102"/>
  <c r="I89" i="102"/>
  <c r="B90" i="102"/>
  <c r="C90" i="102"/>
  <c r="D90" i="102"/>
  <c r="R90" i="102" s="1"/>
  <c r="E90" i="102"/>
  <c r="F90" i="102"/>
  <c r="G90" i="102"/>
  <c r="H90" i="102"/>
  <c r="I90" i="102"/>
  <c r="B91" i="102"/>
  <c r="C91" i="102"/>
  <c r="D91" i="102"/>
  <c r="Q91" i="102" s="1"/>
  <c r="E91" i="102"/>
  <c r="F91" i="102"/>
  <c r="G91" i="102"/>
  <c r="H91" i="102"/>
  <c r="I91" i="102"/>
  <c r="B92" i="102"/>
  <c r="C92" i="102"/>
  <c r="D92" i="102"/>
  <c r="Q92" i="102" s="1"/>
  <c r="E92" i="102"/>
  <c r="F92" i="102"/>
  <c r="G92" i="102"/>
  <c r="H92" i="102"/>
  <c r="I92" i="102"/>
  <c r="B93" i="102"/>
  <c r="C93" i="102"/>
  <c r="D93" i="102"/>
  <c r="Q93" i="102" s="1"/>
  <c r="E93" i="102"/>
  <c r="F93" i="102"/>
  <c r="G93" i="102"/>
  <c r="H93" i="102"/>
  <c r="I93" i="102"/>
  <c r="B94" i="102"/>
  <c r="C94" i="102"/>
  <c r="D94" i="102"/>
  <c r="Q94" i="102" s="1"/>
  <c r="E94" i="102"/>
  <c r="F94" i="102"/>
  <c r="G94" i="102"/>
  <c r="H94" i="102"/>
  <c r="I94" i="102"/>
  <c r="B95" i="102"/>
  <c r="C95" i="102"/>
  <c r="D95" i="102"/>
  <c r="Q95" i="102" s="1"/>
  <c r="E95" i="102"/>
  <c r="F95" i="102"/>
  <c r="G95" i="102"/>
  <c r="H95" i="102"/>
  <c r="I95" i="102"/>
  <c r="B96" i="102"/>
  <c r="C96" i="102"/>
  <c r="D96" i="102"/>
  <c r="Q96" i="102" s="1"/>
  <c r="E96" i="102"/>
  <c r="F96" i="102"/>
  <c r="G96" i="102"/>
  <c r="H96" i="102"/>
  <c r="I96" i="102"/>
  <c r="B97" i="102"/>
  <c r="C97" i="102"/>
  <c r="D97" i="102"/>
  <c r="Q97" i="102" s="1"/>
  <c r="E97" i="102"/>
  <c r="F97" i="102"/>
  <c r="G97" i="102"/>
  <c r="H97" i="102"/>
  <c r="I97" i="102"/>
  <c r="B98" i="102"/>
  <c r="C98" i="102"/>
  <c r="D98" i="102"/>
  <c r="R98" i="102" s="1"/>
  <c r="E98" i="102"/>
  <c r="F98" i="102"/>
  <c r="G98" i="102"/>
  <c r="H98" i="102"/>
  <c r="I98" i="102"/>
  <c r="B99" i="102"/>
  <c r="C99" i="102"/>
  <c r="D99" i="102"/>
  <c r="R99" i="102" s="1"/>
  <c r="E99" i="102"/>
  <c r="F99" i="102"/>
  <c r="G99" i="102"/>
  <c r="H99" i="102"/>
  <c r="I99" i="102"/>
  <c r="B100" i="102"/>
  <c r="C100" i="102"/>
  <c r="D100" i="102"/>
  <c r="R100" i="102" s="1"/>
  <c r="E100" i="102"/>
  <c r="F100" i="102"/>
  <c r="G100" i="102"/>
  <c r="H100" i="102"/>
  <c r="I100" i="102"/>
  <c r="B101" i="102"/>
  <c r="C101" i="102"/>
  <c r="D101" i="102"/>
  <c r="R101" i="102" s="1"/>
  <c r="E101" i="102"/>
  <c r="F101" i="102"/>
  <c r="G101" i="102"/>
  <c r="H101" i="102"/>
  <c r="I101" i="102"/>
  <c r="B102" i="102"/>
  <c r="C102" i="102"/>
  <c r="D102" i="102"/>
  <c r="R102" i="102" s="1"/>
  <c r="E102" i="102"/>
  <c r="F102" i="102"/>
  <c r="G102" i="102"/>
  <c r="H102" i="102"/>
  <c r="I102" i="102"/>
  <c r="B103" i="102"/>
  <c r="C103" i="102"/>
  <c r="D103" i="102"/>
  <c r="R103" i="102" s="1"/>
  <c r="E103" i="102"/>
  <c r="F103" i="102"/>
  <c r="G103" i="102"/>
  <c r="H103" i="102"/>
  <c r="I103" i="102"/>
  <c r="B104" i="102"/>
  <c r="C104" i="102"/>
  <c r="D104" i="102"/>
  <c r="Q104" i="102" s="1"/>
  <c r="E104" i="102"/>
  <c r="F104" i="102"/>
  <c r="G104" i="102"/>
  <c r="H104" i="102"/>
  <c r="I104" i="102"/>
  <c r="B105" i="102"/>
  <c r="C105" i="102"/>
  <c r="D105" i="102"/>
  <c r="Q105" i="102" s="1"/>
  <c r="E105" i="102"/>
  <c r="F105" i="102"/>
  <c r="G105" i="102"/>
  <c r="H105" i="102"/>
  <c r="I105" i="102"/>
  <c r="B106" i="102"/>
  <c r="C106" i="102"/>
  <c r="D106" i="102"/>
  <c r="R106" i="102" s="1"/>
  <c r="E106" i="102"/>
  <c r="F106" i="102"/>
  <c r="G106" i="102"/>
  <c r="H106" i="102"/>
  <c r="I106" i="102"/>
  <c r="B107" i="102"/>
  <c r="C107" i="102"/>
  <c r="D107" i="102"/>
  <c r="R107" i="102" s="1"/>
  <c r="E107" i="102"/>
  <c r="F107" i="102"/>
  <c r="G107" i="102"/>
  <c r="H107" i="102"/>
  <c r="I107" i="102"/>
  <c r="B108" i="102"/>
  <c r="C108" i="102"/>
  <c r="D108" i="102"/>
  <c r="Q108" i="102" s="1"/>
  <c r="E108" i="102"/>
  <c r="F108" i="102"/>
  <c r="G108" i="102"/>
  <c r="H108" i="102"/>
  <c r="I108" i="102"/>
  <c r="B109" i="102"/>
  <c r="C109" i="102"/>
  <c r="D109" i="102"/>
  <c r="Q109" i="102" s="1"/>
  <c r="E109" i="102"/>
  <c r="F109" i="102"/>
  <c r="G109" i="102"/>
  <c r="H109" i="102"/>
  <c r="I109" i="102"/>
  <c r="B110" i="102"/>
  <c r="C110" i="102"/>
  <c r="D110" i="102"/>
  <c r="Q110" i="102" s="1"/>
  <c r="E110" i="102"/>
  <c r="F110" i="102"/>
  <c r="G110" i="102"/>
  <c r="H110" i="102"/>
  <c r="I110" i="102"/>
  <c r="B111" i="102"/>
  <c r="C111" i="102"/>
  <c r="D111" i="102"/>
  <c r="Q111" i="102" s="1"/>
  <c r="E111" i="102"/>
  <c r="F111" i="102"/>
  <c r="G111" i="102"/>
  <c r="H111" i="102"/>
  <c r="I111" i="102"/>
  <c r="B112" i="102"/>
  <c r="C112" i="102"/>
  <c r="D112" i="102"/>
  <c r="Q112" i="102" s="1"/>
  <c r="E112" i="102"/>
  <c r="F112" i="102"/>
  <c r="G112" i="102"/>
  <c r="H112" i="102"/>
  <c r="I112" i="102"/>
  <c r="B113" i="102"/>
  <c r="C113" i="102"/>
  <c r="D113" i="102"/>
  <c r="Q113" i="102" s="1"/>
  <c r="E113" i="102"/>
  <c r="F113" i="102"/>
  <c r="G113" i="102"/>
  <c r="H113" i="102"/>
  <c r="I113" i="102"/>
  <c r="B114" i="102"/>
  <c r="C114" i="102"/>
  <c r="D114" i="102"/>
  <c r="Q114" i="102" s="1"/>
  <c r="E114" i="102"/>
  <c r="F114" i="102"/>
  <c r="G114" i="102"/>
  <c r="H114" i="102"/>
  <c r="I114" i="102"/>
  <c r="B115" i="102"/>
  <c r="C115" i="102"/>
  <c r="D115" i="102"/>
  <c r="Q115" i="102" s="1"/>
  <c r="E115" i="102"/>
  <c r="F115" i="102"/>
  <c r="G115" i="102"/>
  <c r="H115" i="102"/>
  <c r="I115" i="102"/>
  <c r="B116" i="102"/>
  <c r="C116" i="102"/>
  <c r="D116" i="102"/>
  <c r="Q116" i="102" s="1"/>
  <c r="E116" i="102"/>
  <c r="F116" i="102"/>
  <c r="G116" i="102"/>
  <c r="H116" i="102"/>
  <c r="I116" i="102"/>
  <c r="B117" i="102"/>
  <c r="C117" i="102"/>
  <c r="D117" i="102"/>
  <c r="R117" i="102" s="1"/>
  <c r="E117" i="102"/>
  <c r="F117" i="102"/>
  <c r="G117" i="102"/>
  <c r="H117" i="102"/>
  <c r="I117" i="102"/>
  <c r="B118" i="102"/>
  <c r="C118" i="102"/>
  <c r="D118" i="102"/>
  <c r="Q118" i="102" s="1"/>
  <c r="E118" i="102"/>
  <c r="F118" i="102"/>
  <c r="G118" i="102"/>
  <c r="H118" i="102"/>
  <c r="I118" i="102"/>
  <c r="B119" i="102"/>
  <c r="C119" i="102"/>
  <c r="D119" i="102"/>
  <c r="R119" i="102" s="1"/>
  <c r="E119" i="102"/>
  <c r="F119" i="102"/>
  <c r="G119" i="102"/>
  <c r="H119" i="102"/>
  <c r="I119" i="102"/>
  <c r="B120" i="102"/>
  <c r="C120" i="102"/>
  <c r="D120" i="102"/>
  <c r="R120" i="102" s="1"/>
  <c r="E120" i="102"/>
  <c r="F120" i="102"/>
  <c r="G120" i="102"/>
  <c r="H120" i="102"/>
  <c r="I120" i="102"/>
  <c r="B121" i="102"/>
  <c r="C121" i="102"/>
  <c r="D121" i="102"/>
  <c r="R121" i="102" s="1"/>
  <c r="E121" i="102"/>
  <c r="F121" i="102"/>
  <c r="G121" i="102"/>
  <c r="H121" i="102"/>
  <c r="I121" i="102"/>
  <c r="B122" i="102"/>
  <c r="C122" i="102"/>
  <c r="D122" i="102"/>
  <c r="R122" i="102" s="1"/>
  <c r="E122" i="102"/>
  <c r="F122" i="102"/>
  <c r="G122" i="102"/>
  <c r="H122" i="102"/>
  <c r="I122" i="102"/>
  <c r="B123" i="102"/>
  <c r="C123" i="102"/>
  <c r="D123" i="102"/>
  <c r="Q123" i="102" s="1"/>
  <c r="E123" i="102"/>
  <c r="F123" i="102"/>
  <c r="G123" i="102"/>
  <c r="H123" i="102"/>
  <c r="I123" i="102"/>
  <c r="B124" i="102"/>
  <c r="C124" i="102"/>
  <c r="D124" i="102"/>
  <c r="Q124" i="102" s="1"/>
  <c r="E124" i="102"/>
  <c r="F124" i="102"/>
  <c r="G124" i="102"/>
  <c r="H124" i="102"/>
  <c r="I124" i="102"/>
  <c r="B125" i="102"/>
  <c r="C125" i="102"/>
  <c r="D125" i="102"/>
  <c r="Q125" i="102" s="1"/>
  <c r="E125" i="102"/>
  <c r="F125" i="102"/>
  <c r="G125" i="102"/>
  <c r="H125" i="102"/>
  <c r="I125" i="102"/>
  <c r="B126" i="102"/>
  <c r="C126" i="102"/>
  <c r="D126" i="102"/>
  <c r="R126" i="102" s="1"/>
  <c r="E126" i="102"/>
  <c r="F126" i="102"/>
  <c r="G126" i="102"/>
  <c r="H126" i="102"/>
  <c r="I126" i="102"/>
  <c r="B127" i="102"/>
  <c r="C127" i="102"/>
  <c r="D127" i="102"/>
  <c r="R127" i="102" s="1"/>
  <c r="E127" i="102"/>
  <c r="F127" i="102"/>
  <c r="G127" i="102"/>
  <c r="H127" i="102"/>
  <c r="I127" i="102"/>
  <c r="B128" i="102"/>
  <c r="C128" i="102"/>
  <c r="D128" i="102"/>
  <c r="R128" i="102" s="1"/>
  <c r="E128" i="102"/>
  <c r="F128" i="102"/>
  <c r="G128" i="102"/>
  <c r="H128" i="102"/>
  <c r="I128" i="102"/>
  <c r="B129" i="102"/>
  <c r="C129" i="102"/>
  <c r="D129" i="102"/>
  <c r="R129" i="102" s="1"/>
  <c r="E129" i="102"/>
  <c r="F129" i="102"/>
  <c r="G129" i="102"/>
  <c r="H129" i="102"/>
  <c r="I129" i="102"/>
  <c r="B130" i="102"/>
  <c r="C130" i="102"/>
  <c r="D130" i="102"/>
  <c r="Q130" i="102" s="1"/>
  <c r="E130" i="102"/>
  <c r="F130" i="102"/>
  <c r="G130" i="102"/>
  <c r="H130" i="102"/>
  <c r="I130" i="102"/>
  <c r="B131" i="102"/>
  <c r="C131" i="102"/>
  <c r="D131" i="102"/>
  <c r="Q131" i="102" s="1"/>
  <c r="E131" i="102"/>
  <c r="F131" i="102"/>
  <c r="G131" i="102"/>
  <c r="H131" i="102"/>
  <c r="I131" i="102"/>
  <c r="B132" i="102"/>
  <c r="C132" i="102"/>
  <c r="D132" i="102"/>
  <c r="Q132" i="102" s="1"/>
  <c r="E132" i="102"/>
  <c r="F132" i="102"/>
  <c r="G132" i="102"/>
  <c r="H132" i="102"/>
  <c r="I132" i="102"/>
  <c r="J132" i="102" s="1"/>
  <c r="B133" i="102"/>
  <c r="C133" i="102"/>
  <c r="D133" i="102"/>
  <c r="Q133" i="102" s="1"/>
  <c r="E133" i="102"/>
  <c r="F133" i="102"/>
  <c r="G133" i="102"/>
  <c r="H133" i="102"/>
  <c r="I133" i="102"/>
  <c r="J133" i="102" s="1"/>
  <c r="B134" i="102"/>
  <c r="C134" i="102"/>
  <c r="D134" i="102"/>
  <c r="Q134" i="102" s="1"/>
  <c r="E134" i="102"/>
  <c r="F134" i="102"/>
  <c r="G134" i="102"/>
  <c r="H134" i="102"/>
  <c r="I134" i="102"/>
  <c r="J134" i="102" s="1"/>
  <c r="B135" i="102"/>
  <c r="C135" i="102"/>
  <c r="D135" i="102"/>
  <c r="Q135" i="102" s="1"/>
  <c r="E135" i="102"/>
  <c r="F135" i="102"/>
  <c r="G135" i="102"/>
  <c r="H135" i="102"/>
  <c r="I135" i="102"/>
  <c r="J135" i="102" s="1"/>
  <c r="B136" i="102"/>
  <c r="C136" i="102"/>
  <c r="D136" i="102"/>
  <c r="Q136" i="102" s="1"/>
  <c r="E136" i="102"/>
  <c r="F136" i="102"/>
  <c r="G136" i="102"/>
  <c r="H136" i="102"/>
  <c r="I136" i="102"/>
  <c r="J136" i="102" s="1"/>
  <c r="B137" i="102"/>
  <c r="C137" i="102"/>
  <c r="D137" i="102"/>
  <c r="Q137" i="102" s="1"/>
  <c r="E137" i="102"/>
  <c r="F137" i="102"/>
  <c r="G137" i="102"/>
  <c r="H137" i="102"/>
  <c r="I137" i="102"/>
  <c r="J137" i="102" s="1"/>
  <c r="B138" i="102"/>
  <c r="C138" i="102"/>
  <c r="D138" i="102"/>
  <c r="R138" i="102" s="1"/>
  <c r="E138" i="102"/>
  <c r="F138" i="102"/>
  <c r="G138" i="102"/>
  <c r="H138" i="102"/>
  <c r="I138" i="102"/>
  <c r="B139" i="102"/>
  <c r="C139" i="102"/>
  <c r="D139" i="102"/>
  <c r="R139" i="102" s="1"/>
  <c r="E139" i="102"/>
  <c r="F139" i="102"/>
  <c r="G139" i="102"/>
  <c r="H139" i="102"/>
  <c r="I139" i="102"/>
  <c r="B140" i="102"/>
  <c r="C140" i="102"/>
  <c r="D140" i="102"/>
  <c r="R140" i="102" s="1"/>
  <c r="E140" i="102"/>
  <c r="F140" i="102"/>
  <c r="G140" i="102"/>
  <c r="H140" i="102"/>
  <c r="I140" i="102"/>
  <c r="B141" i="102"/>
  <c r="C141" i="102"/>
  <c r="D141" i="102"/>
  <c r="R141" i="102" s="1"/>
  <c r="E141" i="102"/>
  <c r="F141" i="102"/>
  <c r="G141" i="102"/>
  <c r="H141" i="102"/>
  <c r="I141" i="102"/>
  <c r="B142" i="102"/>
  <c r="C142" i="102"/>
  <c r="D142" i="102"/>
  <c r="Q142" i="102" s="1"/>
  <c r="E142" i="102"/>
  <c r="F142" i="102"/>
  <c r="G142" i="102"/>
  <c r="H142" i="102"/>
  <c r="I142" i="102"/>
  <c r="B143" i="102"/>
  <c r="C143" i="102"/>
  <c r="D143" i="102"/>
  <c r="R143" i="102" s="1"/>
  <c r="E143" i="102"/>
  <c r="F143" i="102"/>
  <c r="G143" i="102"/>
  <c r="H143" i="102"/>
  <c r="I143" i="102"/>
  <c r="B144" i="102"/>
  <c r="C144" i="102"/>
  <c r="D144" i="102"/>
  <c r="R144" i="102" s="1"/>
  <c r="E144" i="102"/>
  <c r="F144" i="102"/>
  <c r="G144" i="102"/>
  <c r="H144" i="102"/>
  <c r="I144" i="102"/>
  <c r="B145" i="102"/>
  <c r="C145" i="102"/>
  <c r="D145" i="102"/>
  <c r="R145" i="102" s="1"/>
  <c r="E145" i="102"/>
  <c r="F145" i="102"/>
  <c r="G145" i="102"/>
  <c r="H145" i="102"/>
  <c r="I145" i="102"/>
  <c r="B146" i="102"/>
  <c r="C146" i="102"/>
  <c r="D146" i="102"/>
  <c r="R146" i="102" s="1"/>
  <c r="E146" i="102"/>
  <c r="F146" i="102"/>
  <c r="G146" i="102"/>
  <c r="H146" i="102"/>
  <c r="I146" i="102"/>
  <c r="B147" i="102"/>
  <c r="C147" i="102"/>
  <c r="D147" i="102"/>
  <c r="R147" i="102" s="1"/>
  <c r="E147" i="102"/>
  <c r="F147" i="102"/>
  <c r="G147" i="102"/>
  <c r="H147" i="102"/>
  <c r="I147" i="102"/>
  <c r="B148" i="102"/>
  <c r="C148" i="102"/>
  <c r="D148" i="102"/>
  <c r="R148" i="102" s="1"/>
  <c r="E148" i="102"/>
  <c r="F148" i="102"/>
  <c r="G148" i="102"/>
  <c r="H148" i="102"/>
  <c r="I148" i="102"/>
  <c r="B149" i="102"/>
  <c r="C149" i="102"/>
  <c r="D149" i="102"/>
  <c r="R149" i="102" s="1"/>
  <c r="E149" i="102"/>
  <c r="F149" i="102"/>
  <c r="G149" i="102"/>
  <c r="H149" i="102"/>
  <c r="I149" i="102"/>
  <c r="B150" i="102"/>
  <c r="C150" i="102"/>
  <c r="D150" i="102"/>
  <c r="R150" i="102" s="1"/>
  <c r="E150" i="102"/>
  <c r="F150" i="102"/>
  <c r="G150" i="102"/>
  <c r="H150" i="102"/>
  <c r="I150" i="102"/>
  <c r="B151" i="102"/>
  <c r="C151" i="102"/>
  <c r="D151" i="102"/>
  <c r="R151" i="102" s="1"/>
  <c r="E151" i="102"/>
  <c r="F151" i="102"/>
  <c r="G151" i="102"/>
  <c r="H151" i="102"/>
  <c r="I151" i="102"/>
  <c r="B152" i="102"/>
  <c r="C152" i="102"/>
  <c r="D152" i="102"/>
  <c r="R152" i="102" s="1"/>
  <c r="E152" i="102"/>
  <c r="F152" i="102"/>
  <c r="G152" i="102"/>
  <c r="H152" i="102"/>
  <c r="I152" i="102"/>
  <c r="B153" i="102"/>
  <c r="C153" i="102"/>
  <c r="D153" i="102"/>
  <c r="R153" i="102" s="1"/>
  <c r="E153" i="102"/>
  <c r="F153" i="102"/>
  <c r="G153" i="102"/>
  <c r="H153" i="102"/>
  <c r="I153" i="102"/>
  <c r="B154" i="102"/>
  <c r="C154" i="102"/>
  <c r="D154" i="102"/>
  <c r="R154" i="102" s="1"/>
  <c r="E154" i="102"/>
  <c r="F154" i="102"/>
  <c r="G154" i="102"/>
  <c r="H154" i="102"/>
  <c r="I154" i="102"/>
  <c r="B155" i="102"/>
  <c r="C155" i="102"/>
  <c r="D155" i="102"/>
  <c r="R155" i="102" s="1"/>
  <c r="E155" i="102"/>
  <c r="F155" i="102"/>
  <c r="G155" i="102"/>
  <c r="H155" i="102"/>
  <c r="I155" i="102"/>
  <c r="B156" i="102"/>
  <c r="C156" i="102"/>
  <c r="D156" i="102"/>
  <c r="Q156" i="102" s="1"/>
  <c r="E156" i="102"/>
  <c r="F156" i="102"/>
  <c r="G156" i="102"/>
  <c r="H156" i="102"/>
  <c r="I156" i="102"/>
  <c r="B157" i="102"/>
  <c r="C157" i="102"/>
  <c r="D157" i="102"/>
  <c r="Q157" i="102" s="1"/>
  <c r="E157" i="102"/>
  <c r="F157" i="102"/>
  <c r="G157" i="102"/>
  <c r="H157" i="102"/>
  <c r="I157" i="102"/>
  <c r="B158" i="102"/>
  <c r="C158" i="102"/>
  <c r="D158" i="102"/>
  <c r="Q158" i="102" s="1"/>
  <c r="E158" i="102"/>
  <c r="F158" i="102"/>
  <c r="G158" i="102"/>
  <c r="H158" i="102"/>
  <c r="I158" i="102"/>
  <c r="B159" i="102"/>
  <c r="C159" i="102"/>
  <c r="D159" i="102"/>
  <c r="Q159" i="102" s="1"/>
  <c r="E159" i="102"/>
  <c r="F159" i="102"/>
  <c r="G159" i="102"/>
  <c r="H159" i="102"/>
  <c r="I159" i="102"/>
  <c r="B160" i="102"/>
  <c r="C160" i="102"/>
  <c r="D160" i="102"/>
  <c r="Q160" i="102" s="1"/>
  <c r="E160" i="102"/>
  <c r="F160" i="102"/>
  <c r="G160" i="102"/>
  <c r="H160" i="102"/>
  <c r="I160" i="102"/>
  <c r="B161" i="102"/>
  <c r="C161" i="102"/>
  <c r="D161" i="102"/>
  <c r="Q161" i="102" s="1"/>
  <c r="E161" i="102"/>
  <c r="F161" i="102"/>
  <c r="G161" i="102"/>
  <c r="H161" i="102"/>
  <c r="I161" i="102"/>
  <c r="B162" i="102"/>
  <c r="C162" i="102"/>
  <c r="D162" i="102"/>
  <c r="R162" i="102" s="1"/>
  <c r="E162" i="102"/>
  <c r="F162" i="102"/>
  <c r="G162" i="102"/>
  <c r="H162" i="102"/>
  <c r="I162" i="102"/>
  <c r="B163" i="102"/>
  <c r="C163" i="102"/>
  <c r="D163" i="102"/>
  <c r="R163" i="102" s="1"/>
  <c r="E163" i="102"/>
  <c r="F163" i="102"/>
  <c r="G163" i="102"/>
  <c r="H163" i="102"/>
  <c r="I163" i="102"/>
  <c r="B164" i="102"/>
  <c r="C164" i="102"/>
  <c r="D164" i="102"/>
  <c r="R164" i="102" s="1"/>
  <c r="E164" i="102"/>
  <c r="F164" i="102"/>
  <c r="G164" i="102"/>
  <c r="H164" i="102"/>
  <c r="I164" i="102"/>
  <c r="B165" i="102"/>
  <c r="C165" i="102"/>
  <c r="D165" i="102"/>
  <c r="R165" i="102" s="1"/>
  <c r="E165" i="102"/>
  <c r="F165" i="102"/>
  <c r="G165" i="102"/>
  <c r="H165" i="102"/>
  <c r="I165" i="102"/>
  <c r="B166" i="102"/>
  <c r="C166" i="102"/>
  <c r="D166" i="102"/>
  <c r="R166" i="102" s="1"/>
  <c r="E166" i="102"/>
  <c r="F166" i="102"/>
  <c r="G166" i="102"/>
  <c r="H166" i="102"/>
  <c r="I166" i="102"/>
  <c r="B167" i="102"/>
  <c r="C167" i="102"/>
  <c r="D167" i="102"/>
  <c r="R167" i="102" s="1"/>
  <c r="E167" i="102"/>
  <c r="F167" i="102"/>
  <c r="G167" i="102"/>
  <c r="H167" i="102"/>
  <c r="I167" i="102"/>
  <c r="B168" i="102"/>
  <c r="C168" i="102"/>
  <c r="D168" i="102"/>
  <c r="R168" i="102" s="1"/>
  <c r="E168" i="102"/>
  <c r="F168" i="102"/>
  <c r="G168" i="102"/>
  <c r="H168" i="102"/>
  <c r="I168" i="102"/>
  <c r="J168" i="102" s="1"/>
  <c r="B169" i="102"/>
  <c r="C169" i="102"/>
  <c r="D169" i="102"/>
  <c r="R169" i="102" s="1"/>
  <c r="E169" i="102"/>
  <c r="F169" i="102"/>
  <c r="G169" i="102"/>
  <c r="H169" i="102"/>
  <c r="I169" i="102"/>
  <c r="J169" i="102" s="1"/>
  <c r="B170" i="102"/>
  <c r="C170" i="102"/>
  <c r="D170" i="102"/>
  <c r="R170" i="102" s="1"/>
  <c r="E170" i="102"/>
  <c r="F170" i="102"/>
  <c r="G170" i="102"/>
  <c r="H170" i="102"/>
  <c r="I170" i="102"/>
  <c r="J170" i="102" s="1"/>
  <c r="B171" i="102"/>
  <c r="C171" i="102"/>
  <c r="D171" i="102"/>
  <c r="R171" i="102" s="1"/>
  <c r="E171" i="102"/>
  <c r="F171" i="102"/>
  <c r="G171" i="102"/>
  <c r="H171" i="102"/>
  <c r="I171" i="102"/>
  <c r="J171" i="102" s="1"/>
  <c r="B172" i="102"/>
  <c r="C172" i="102"/>
  <c r="D172" i="102"/>
  <c r="Q172" i="102" s="1"/>
  <c r="E172" i="102"/>
  <c r="F172" i="102"/>
  <c r="G172" i="102"/>
  <c r="H172" i="102"/>
  <c r="I172" i="102"/>
  <c r="J172" i="102" s="1"/>
  <c r="B173" i="102"/>
  <c r="C173" i="102"/>
  <c r="D173" i="102"/>
  <c r="Q173" i="102" s="1"/>
  <c r="E173" i="102"/>
  <c r="F173" i="102"/>
  <c r="G173" i="102"/>
  <c r="H173" i="102"/>
  <c r="I173" i="102"/>
  <c r="J173" i="102" s="1"/>
  <c r="B174" i="102"/>
  <c r="C174" i="102"/>
  <c r="D174" i="102"/>
  <c r="R174" i="102" s="1"/>
  <c r="E174" i="102"/>
  <c r="F174" i="102"/>
  <c r="G174" i="102"/>
  <c r="H174" i="102"/>
  <c r="I174" i="102"/>
  <c r="J174" i="102" s="1"/>
  <c r="B175" i="102"/>
  <c r="C175" i="102"/>
  <c r="D175" i="102"/>
  <c r="R175" i="102" s="1"/>
  <c r="E175" i="102"/>
  <c r="F175" i="102"/>
  <c r="G175" i="102"/>
  <c r="H175" i="102"/>
  <c r="I175" i="102"/>
  <c r="B176" i="102"/>
  <c r="C176" i="102"/>
  <c r="D176" i="102"/>
  <c r="R176" i="102" s="1"/>
  <c r="E176" i="102"/>
  <c r="F176" i="102"/>
  <c r="G176" i="102"/>
  <c r="H176" i="102"/>
  <c r="I176" i="102"/>
  <c r="B177" i="102"/>
  <c r="C177" i="102"/>
  <c r="D177" i="102"/>
  <c r="R177" i="102" s="1"/>
  <c r="E177" i="102"/>
  <c r="F177" i="102"/>
  <c r="G177" i="102"/>
  <c r="H177" i="102"/>
  <c r="I177" i="102"/>
  <c r="B178" i="102"/>
  <c r="C178" i="102"/>
  <c r="D178" i="102"/>
  <c r="R178" i="102" s="1"/>
  <c r="E178" i="102"/>
  <c r="F178" i="102"/>
  <c r="G178" i="102"/>
  <c r="H178" i="102"/>
  <c r="I178" i="102"/>
  <c r="B179" i="102"/>
  <c r="C179" i="102"/>
  <c r="D179" i="102"/>
  <c r="R179" i="102" s="1"/>
  <c r="E179" i="102"/>
  <c r="F179" i="102"/>
  <c r="G179" i="102"/>
  <c r="H179" i="102"/>
  <c r="I179" i="102"/>
  <c r="B180" i="102"/>
  <c r="C180" i="102"/>
  <c r="D180" i="102"/>
  <c r="R180" i="102" s="1"/>
  <c r="E180" i="102"/>
  <c r="F180" i="102"/>
  <c r="G180" i="102"/>
  <c r="H180" i="102"/>
  <c r="I180" i="102"/>
  <c r="B181" i="102"/>
  <c r="C181" i="102"/>
  <c r="D181" i="102"/>
  <c r="R181" i="102" s="1"/>
  <c r="E181" i="102"/>
  <c r="F181" i="102"/>
  <c r="G181" i="102"/>
  <c r="H181" i="102"/>
  <c r="I181" i="102"/>
  <c r="B182" i="102"/>
  <c r="C182" i="102"/>
  <c r="D182" i="102"/>
  <c r="R182" i="102" s="1"/>
  <c r="E182" i="102"/>
  <c r="F182" i="102"/>
  <c r="G182" i="102"/>
  <c r="H182" i="102"/>
  <c r="I182" i="102"/>
  <c r="B183" i="102"/>
  <c r="C183" i="102"/>
  <c r="D183" i="102"/>
  <c r="Q183" i="102" s="1"/>
  <c r="E183" i="102"/>
  <c r="F183" i="102"/>
  <c r="G183" i="102"/>
  <c r="H183" i="102"/>
  <c r="I183" i="102"/>
  <c r="B184" i="102"/>
  <c r="C184" i="102"/>
  <c r="D184" i="102"/>
  <c r="Q184" i="102" s="1"/>
  <c r="E184" i="102"/>
  <c r="F184" i="102"/>
  <c r="G184" i="102"/>
  <c r="H184" i="102"/>
  <c r="I184" i="102"/>
  <c r="B185" i="102"/>
  <c r="C185" i="102"/>
  <c r="D185" i="102"/>
  <c r="Q185" i="102" s="1"/>
  <c r="E185" i="102"/>
  <c r="F185" i="102"/>
  <c r="G185" i="102"/>
  <c r="H185" i="102"/>
  <c r="I185" i="102"/>
  <c r="B186" i="102"/>
  <c r="C186" i="102"/>
  <c r="D186" i="102"/>
  <c r="Q186" i="102" s="1"/>
  <c r="E186" i="102"/>
  <c r="F186" i="102"/>
  <c r="G186" i="102"/>
  <c r="H186" i="102"/>
  <c r="I186" i="102"/>
  <c r="B187" i="102"/>
  <c r="C187" i="102"/>
  <c r="D187" i="102"/>
  <c r="Q187" i="102" s="1"/>
  <c r="E187" i="102"/>
  <c r="F187" i="102"/>
  <c r="G187" i="102"/>
  <c r="H187" i="102"/>
  <c r="I187" i="102"/>
  <c r="B188" i="102"/>
  <c r="C188" i="102"/>
  <c r="D188" i="102"/>
  <c r="Q188" i="102" s="1"/>
  <c r="E188" i="102"/>
  <c r="F188" i="102"/>
  <c r="G188" i="102"/>
  <c r="H188" i="102"/>
  <c r="I188" i="102"/>
  <c r="B189" i="102"/>
  <c r="C189" i="102"/>
  <c r="D189" i="102"/>
  <c r="Q189" i="102" s="1"/>
  <c r="E189" i="102"/>
  <c r="F189" i="102"/>
  <c r="G189" i="102"/>
  <c r="H189" i="102"/>
  <c r="I189" i="102"/>
  <c r="B190" i="102"/>
  <c r="C190" i="102"/>
  <c r="D190" i="102"/>
  <c r="R190" i="102" s="1"/>
  <c r="E190" i="102"/>
  <c r="F190" i="102"/>
  <c r="G190" i="102"/>
  <c r="H190" i="102"/>
  <c r="I190" i="102"/>
  <c r="B191" i="102"/>
  <c r="C191" i="102"/>
  <c r="D191" i="102"/>
  <c r="R191" i="102" s="1"/>
  <c r="E191" i="102"/>
  <c r="F191" i="102"/>
  <c r="G191" i="102"/>
  <c r="H191" i="102"/>
  <c r="I191" i="102"/>
  <c r="B192" i="102"/>
  <c r="C192" i="102"/>
  <c r="D192" i="102"/>
  <c r="R192" i="102" s="1"/>
  <c r="E192" i="102"/>
  <c r="F192" i="102"/>
  <c r="G192" i="102"/>
  <c r="H192" i="102"/>
  <c r="I192" i="102"/>
  <c r="B193" i="102"/>
  <c r="C193" i="102"/>
  <c r="D193" i="102"/>
  <c r="R193" i="102" s="1"/>
  <c r="E193" i="102"/>
  <c r="F193" i="102"/>
  <c r="G193" i="102"/>
  <c r="H193" i="102"/>
  <c r="I193" i="102"/>
  <c r="B194" i="102"/>
  <c r="C194" i="102"/>
  <c r="D194" i="102"/>
  <c r="R194" i="102" s="1"/>
  <c r="E194" i="102"/>
  <c r="F194" i="102"/>
  <c r="G194" i="102"/>
  <c r="H194" i="102"/>
  <c r="I194" i="102"/>
  <c r="B195" i="102"/>
  <c r="C195" i="102"/>
  <c r="D195" i="102"/>
  <c r="R195" i="102" s="1"/>
  <c r="E195" i="102"/>
  <c r="F195" i="102"/>
  <c r="G195" i="102"/>
  <c r="H195" i="102"/>
  <c r="I195" i="102"/>
  <c r="B196" i="102"/>
  <c r="C196" i="102"/>
  <c r="D196" i="102"/>
  <c r="R196" i="102" s="1"/>
  <c r="E196" i="102"/>
  <c r="F196" i="102"/>
  <c r="G196" i="102"/>
  <c r="H196" i="102"/>
  <c r="I196" i="102"/>
  <c r="B197" i="102"/>
  <c r="C197" i="102"/>
  <c r="D197" i="102"/>
  <c r="R197" i="102" s="1"/>
  <c r="E197" i="102"/>
  <c r="F197" i="102"/>
  <c r="G197" i="102"/>
  <c r="H197" i="102"/>
  <c r="I197" i="102"/>
  <c r="B198" i="102"/>
  <c r="C198" i="102"/>
  <c r="D198" i="102"/>
  <c r="Q198" i="102" s="1"/>
  <c r="E198" i="102"/>
  <c r="F198" i="102"/>
  <c r="G198" i="102"/>
  <c r="H198" i="102"/>
  <c r="I198" i="102"/>
  <c r="B199" i="102"/>
  <c r="C199" i="102"/>
  <c r="D199" i="102"/>
  <c r="Q199" i="102" s="1"/>
  <c r="E199" i="102"/>
  <c r="F199" i="102"/>
  <c r="G199" i="102"/>
  <c r="H199" i="102"/>
  <c r="I199" i="102"/>
  <c r="B200" i="102"/>
  <c r="C200" i="102"/>
  <c r="D200" i="102"/>
  <c r="R200" i="102" s="1"/>
  <c r="E200" i="102"/>
  <c r="F200" i="102"/>
  <c r="G200" i="102"/>
  <c r="H200" i="102"/>
  <c r="I200" i="102"/>
  <c r="B201" i="102"/>
  <c r="C201" i="102"/>
  <c r="D201" i="102"/>
  <c r="E201" i="102"/>
  <c r="F201" i="102"/>
  <c r="G201" i="102"/>
  <c r="H201" i="102"/>
  <c r="I201" i="102"/>
  <c r="B202" i="102"/>
  <c r="C202" i="102"/>
  <c r="D202" i="102"/>
  <c r="R202" i="102" s="1"/>
  <c r="E202" i="102"/>
  <c r="F202" i="102"/>
  <c r="G202" i="102"/>
  <c r="H202" i="102"/>
  <c r="I202" i="102"/>
  <c r="B203" i="102"/>
  <c r="C203" i="102"/>
  <c r="D203" i="102"/>
  <c r="R203" i="102" s="1"/>
  <c r="E203" i="102"/>
  <c r="F203" i="102"/>
  <c r="G203" i="102"/>
  <c r="H203" i="102"/>
  <c r="I203" i="102"/>
  <c r="B204" i="102"/>
  <c r="C204" i="102"/>
  <c r="D204" i="102"/>
  <c r="R204" i="102" s="1"/>
  <c r="E204" i="102"/>
  <c r="F204" i="102"/>
  <c r="G204" i="102"/>
  <c r="H204" i="102"/>
  <c r="I204" i="102"/>
  <c r="B205" i="102"/>
  <c r="C205" i="102"/>
  <c r="D205" i="102"/>
  <c r="R205" i="102" s="1"/>
  <c r="E205" i="102"/>
  <c r="F205" i="102"/>
  <c r="G205" i="102"/>
  <c r="H205" i="102"/>
  <c r="I205" i="102"/>
  <c r="B206" i="102"/>
  <c r="C206" i="102"/>
  <c r="D206" i="102"/>
  <c r="R206" i="102" s="1"/>
  <c r="E206" i="102"/>
  <c r="F206" i="102"/>
  <c r="G206" i="102"/>
  <c r="H206" i="102"/>
  <c r="I206" i="102"/>
  <c r="B207" i="102"/>
  <c r="C207" i="102"/>
  <c r="D207" i="102"/>
  <c r="R207" i="102" s="1"/>
  <c r="E207" i="102"/>
  <c r="F207" i="102"/>
  <c r="G207" i="102"/>
  <c r="H207" i="102"/>
  <c r="I207" i="102"/>
  <c r="B208" i="102"/>
  <c r="C208" i="102"/>
  <c r="D208" i="102"/>
  <c r="Q208" i="102" s="1"/>
  <c r="E208" i="102"/>
  <c r="F208" i="102"/>
  <c r="G208" i="102"/>
  <c r="H208" i="102"/>
  <c r="I208" i="102"/>
  <c r="B209" i="102"/>
  <c r="C209" i="102"/>
  <c r="D209" i="102"/>
  <c r="Q209" i="102" s="1"/>
  <c r="E209" i="102"/>
  <c r="F209" i="102"/>
  <c r="G209" i="102"/>
  <c r="H209" i="102"/>
  <c r="I209" i="102"/>
  <c r="B210" i="102"/>
  <c r="C210" i="102"/>
  <c r="D210" i="102"/>
  <c r="Q210" i="102" s="1"/>
  <c r="E210" i="102"/>
  <c r="F210" i="102"/>
  <c r="G210" i="102"/>
  <c r="H210" i="102"/>
  <c r="I210" i="102"/>
  <c r="B211" i="102"/>
  <c r="C211" i="102"/>
  <c r="D211" i="102"/>
  <c r="Q211" i="102" s="1"/>
  <c r="E211" i="102"/>
  <c r="F211" i="102"/>
  <c r="G211" i="102"/>
  <c r="H211" i="102"/>
  <c r="I211" i="102"/>
  <c r="B212" i="102"/>
  <c r="C212" i="102"/>
  <c r="D212" i="102"/>
  <c r="Q212" i="102" s="1"/>
  <c r="E212" i="102"/>
  <c r="F212" i="102"/>
  <c r="G212" i="102"/>
  <c r="H212" i="102"/>
  <c r="I212" i="102"/>
  <c r="B213" i="102"/>
  <c r="C213" i="102"/>
  <c r="D213" i="102"/>
  <c r="Q213" i="102" s="1"/>
  <c r="E213" i="102"/>
  <c r="F213" i="102"/>
  <c r="G213" i="102"/>
  <c r="H213" i="102"/>
  <c r="I213" i="102"/>
  <c r="J213" i="102" s="1"/>
  <c r="B214" i="102"/>
  <c r="C214" i="102"/>
  <c r="D214" i="102"/>
  <c r="Q214" i="102" s="1"/>
  <c r="E214" i="102"/>
  <c r="F214" i="102"/>
  <c r="G214" i="102"/>
  <c r="H214" i="102"/>
  <c r="I214" i="102"/>
  <c r="J214" i="102" s="1"/>
  <c r="B215" i="102"/>
  <c r="C215" i="102"/>
  <c r="D215" i="102"/>
  <c r="Q215" i="102" s="1"/>
  <c r="E215" i="102"/>
  <c r="F215" i="102"/>
  <c r="G215" i="102"/>
  <c r="H215" i="102"/>
  <c r="I215" i="102"/>
  <c r="J215" i="102" s="1"/>
  <c r="B216" i="102"/>
  <c r="C216" i="102"/>
  <c r="D216" i="102"/>
  <c r="Q216" i="102" s="1"/>
  <c r="E216" i="102"/>
  <c r="F216" i="102"/>
  <c r="G216" i="102"/>
  <c r="H216" i="102"/>
  <c r="I216" i="102"/>
  <c r="J216" i="102" s="1"/>
  <c r="B217" i="102"/>
  <c r="C217" i="102"/>
  <c r="D217" i="102"/>
  <c r="R217" i="102" s="1"/>
  <c r="E217" i="102"/>
  <c r="F217" i="102"/>
  <c r="G217" i="102"/>
  <c r="H217" i="102"/>
  <c r="I217" i="102"/>
  <c r="B218" i="102"/>
  <c r="C218" i="102"/>
  <c r="D218" i="102"/>
  <c r="Q218" i="102" s="1"/>
  <c r="E218" i="102"/>
  <c r="F218" i="102"/>
  <c r="G218" i="102"/>
  <c r="H218" i="102"/>
  <c r="I218" i="102"/>
  <c r="B219" i="102"/>
  <c r="C219" i="102"/>
  <c r="D219" i="102"/>
  <c r="R219" i="102" s="1"/>
  <c r="E219" i="102"/>
  <c r="F219" i="102"/>
  <c r="G219" i="102"/>
  <c r="H219" i="102"/>
  <c r="I219" i="102"/>
  <c r="B220" i="102"/>
  <c r="C220" i="102"/>
  <c r="D220" i="102"/>
  <c r="R220" i="102" s="1"/>
  <c r="E220" i="102"/>
  <c r="F220" i="102"/>
  <c r="G220" i="102"/>
  <c r="H220" i="102"/>
  <c r="I220" i="102"/>
  <c r="B221" i="102"/>
  <c r="C221" i="102"/>
  <c r="D221" i="102"/>
  <c r="Q221" i="102" s="1"/>
  <c r="E221" i="102"/>
  <c r="F221" i="102"/>
  <c r="G221" i="102"/>
  <c r="H221" i="102"/>
  <c r="I221" i="102"/>
  <c r="B222" i="102"/>
  <c r="C222" i="102"/>
  <c r="D222" i="102"/>
  <c r="Q222" i="102" s="1"/>
  <c r="E222" i="102"/>
  <c r="F222" i="102"/>
  <c r="G222" i="102"/>
  <c r="H222" i="102"/>
  <c r="I222" i="102"/>
  <c r="B223" i="102"/>
  <c r="C223" i="102"/>
  <c r="D223" i="102"/>
  <c r="Q223" i="102" s="1"/>
  <c r="E223" i="102"/>
  <c r="F223" i="102"/>
  <c r="G223" i="102"/>
  <c r="H223" i="102"/>
  <c r="I223" i="102"/>
  <c r="B224" i="102"/>
  <c r="C224" i="102"/>
  <c r="D224" i="102"/>
  <c r="Q224" i="102" s="1"/>
  <c r="E224" i="102"/>
  <c r="F224" i="102"/>
  <c r="G224" i="102"/>
  <c r="H224" i="102"/>
  <c r="I224" i="102"/>
  <c r="B225" i="102"/>
  <c r="C225" i="102"/>
  <c r="D225" i="102"/>
  <c r="R225" i="102" s="1"/>
  <c r="E225" i="102"/>
  <c r="F225" i="102"/>
  <c r="G225" i="102"/>
  <c r="H225" i="102"/>
  <c r="I225" i="102"/>
  <c r="B226" i="102"/>
  <c r="C226" i="102"/>
  <c r="D226" i="102"/>
  <c r="Q226" i="102" s="1"/>
  <c r="E226" i="102"/>
  <c r="F226" i="102"/>
  <c r="G226" i="102"/>
  <c r="H226" i="102"/>
  <c r="I226" i="102"/>
  <c r="B227" i="102"/>
  <c r="C227" i="102"/>
  <c r="D227" i="102"/>
  <c r="Q227" i="102" s="1"/>
  <c r="E227" i="102"/>
  <c r="F227" i="102"/>
  <c r="G227" i="102"/>
  <c r="H227" i="102"/>
  <c r="I227" i="102"/>
  <c r="B228" i="102"/>
  <c r="C228" i="102"/>
  <c r="D228" i="102"/>
  <c r="Q228" i="102" s="1"/>
  <c r="E228" i="102"/>
  <c r="F228" i="102"/>
  <c r="G228" i="102"/>
  <c r="H228" i="102"/>
  <c r="I228" i="102"/>
  <c r="B229" i="102"/>
  <c r="C229" i="102"/>
  <c r="D229" i="102"/>
  <c r="Q229" i="102" s="1"/>
  <c r="E229" i="102"/>
  <c r="F229" i="102"/>
  <c r="G229" i="102"/>
  <c r="H229" i="102"/>
  <c r="I229" i="102"/>
  <c r="B230" i="102"/>
  <c r="C230" i="102"/>
  <c r="D230" i="102"/>
  <c r="R230" i="102" s="1"/>
  <c r="E230" i="102"/>
  <c r="F230" i="102"/>
  <c r="G230" i="102"/>
  <c r="H230" i="102"/>
  <c r="I230" i="102"/>
  <c r="B231" i="102"/>
  <c r="C231" i="102"/>
  <c r="D231" i="102"/>
  <c r="Q231" i="102" s="1"/>
  <c r="E231" i="102"/>
  <c r="F231" i="102"/>
  <c r="G231" i="102"/>
  <c r="H231" i="102"/>
  <c r="I231" i="102"/>
  <c r="B232" i="102"/>
  <c r="C232" i="102"/>
  <c r="D232" i="102"/>
  <c r="Q232" i="102" s="1"/>
  <c r="E232" i="102"/>
  <c r="F232" i="102"/>
  <c r="G232" i="102"/>
  <c r="H232" i="102"/>
  <c r="I232" i="102"/>
  <c r="B233" i="102"/>
  <c r="C233" i="102"/>
  <c r="D233" i="102"/>
  <c r="Q233" i="102" s="1"/>
  <c r="E233" i="102"/>
  <c r="F233" i="102"/>
  <c r="G233" i="102"/>
  <c r="H233" i="102"/>
  <c r="I233" i="102"/>
  <c r="B234" i="102"/>
  <c r="C234" i="102"/>
  <c r="D234" i="102"/>
  <c r="Q234" i="102" s="1"/>
  <c r="E234" i="102"/>
  <c r="F234" i="102"/>
  <c r="G234" i="102"/>
  <c r="H234" i="102"/>
  <c r="I234" i="102"/>
  <c r="B235" i="102"/>
  <c r="C235" i="102"/>
  <c r="D235" i="102"/>
  <c r="R235" i="102" s="1"/>
  <c r="E235" i="102"/>
  <c r="F235" i="102"/>
  <c r="G235" i="102"/>
  <c r="H235" i="102"/>
  <c r="I235" i="102"/>
  <c r="B236" i="102"/>
  <c r="C236" i="102"/>
  <c r="D236" i="102"/>
  <c r="R236" i="102" s="1"/>
  <c r="E236" i="102"/>
  <c r="F236" i="102"/>
  <c r="G236" i="102"/>
  <c r="H236" i="102"/>
  <c r="I236" i="102"/>
  <c r="B237" i="102"/>
  <c r="C237" i="102"/>
  <c r="D237" i="102"/>
  <c r="Q237" i="102" s="1"/>
  <c r="E237" i="102"/>
  <c r="F237" i="102"/>
  <c r="G237" i="102"/>
  <c r="H237" i="102"/>
  <c r="I237" i="102"/>
  <c r="B238" i="102"/>
  <c r="C238" i="102"/>
  <c r="D238" i="102"/>
  <c r="Q238" i="102" s="1"/>
  <c r="E238" i="102"/>
  <c r="F238" i="102"/>
  <c r="G238" i="102"/>
  <c r="H238" i="102"/>
  <c r="I238" i="102"/>
  <c r="B239" i="102"/>
  <c r="C239" i="102"/>
  <c r="D239" i="102"/>
  <c r="Q239" i="102" s="1"/>
  <c r="E239" i="102"/>
  <c r="F239" i="102"/>
  <c r="G239" i="102"/>
  <c r="H239" i="102"/>
  <c r="I239" i="102"/>
  <c r="B240" i="102"/>
  <c r="C240" i="102"/>
  <c r="D240" i="102"/>
  <c r="Q240" i="102" s="1"/>
  <c r="E240" i="102"/>
  <c r="F240" i="102"/>
  <c r="G240" i="102"/>
  <c r="H240" i="102"/>
  <c r="I240" i="102"/>
  <c r="B241" i="102"/>
  <c r="C241" i="102"/>
  <c r="D241" i="102"/>
  <c r="Q241" i="102" s="1"/>
  <c r="E241" i="102"/>
  <c r="F241" i="102"/>
  <c r="G241" i="102"/>
  <c r="H241" i="102"/>
  <c r="I241" i="102"/>
  <c r="B242" i="102"/>
  <c r="C242" i="102"/>
  <c r="D242" i="102"/>
  <c r="R242" i="102" s="1"/>
  <c r="E242" i="102"/>
  <c r="F242" i="102"/>
  <c r="G242" i="102"/>
  <c r="H242" i="102"/>
  <c r="I242" i="102"/>
  <c r="B243" i="102"/>
  <c r="C243" i="102"/>
  <c r="D243" i="102"/>
  <c r="R243" i="102" s="1"/>
  <c r="E243" i="102"/>
  <c r="F243" i="102"/>
  <c r="G243" i="102"/>
  <c r="H243" i="102"/>
  <c r="I243" i="102"/>
  <c r="B244" i="102"/>
  <c r="C244" i="102"/>
  <c r="D244" i="102"/>
  <c r="Q244" i="102" s="1"/>
  <c r="E244" i="102"/>
  <c r="F244" i="102"/>
  <c r="G244" i="102"/>
  <c r="H244" i="102"/>
  <c r="I244" i="102"/>
  <c r="B245" i="102"/>
  <c r="C245" i="102"/>
  <c r="D245" i="102"/>
  <c r="R245" i="102" s="1"/>
  <c r="E245" i="102"/>
  <c r="F245" i="102"/>
  <c r="G245" i="102"/>
  <c r="H245" i="102"/>
  <c r="I245" i="102"/>
  <c r="B246" i="102"/>
  <c r="C246" i="102"/>
  <c r="D246" i="102"/>
  <c r="R246" i="102" s="1"/>
  <c r="E246" i="102"/>
  <c r="F246" i="102"/>
  <c r="G246" i="102"/>
  <c r="H246" i="102"/>
  <c r="I246" i="102"/>
  <c r="B247" i="102"/>
  <c r="C247" i="102"/>
  <c r="D247" i="102"/>
  <c r="R247" i="102" s="1"/>
  <c r="E247" i="102"/>
  <c r="F247" i="102"/>
  <c r="G247" i="102"/>
  <c r="H247" i="102"/>
  <c r="I247" i="102"/>
  <c r="B248" i="102"/>
  <c r="C248" i="102"/>
  <c r="D248" i="102"/>
  <c r="R248" i="102" s="1"/>
  <c r="E248" i="102"/>
  <c r="F248" i="102"/>
  <c r="G248" i="102"/>
  <c r="H248" i="102"/>
  <c r="I248" i="102"/>
  <c r="B249" i="102"/>
  <c r="C249" i="102"/>
  <c r="D249" i="102"/>
  <c r="R249" i="102" s="1"/>
  <c r="E249" i="102"/>
  <c r="F249" i="102"/>
  <c r="G249" i="102"/>
  <c r="H249" i="102"/>
  <c r="I249" i="102"/>
  <c r="B250" i="102"/>
  <c r="C250" i="102"/>
  <c r="D250" i="102"/>
  <c r="R250" i="102" s="1"/>
  <c r="E250" i="102"/>
  <c r="F250" i="102"/>
  <c r="G250" i="102"/>
  <c r="H250" i="102"/>
  <c r="I250" i="102"/>
  <c r="B251" i="102"/>
  <c r="C251" i="102"/>
  <c r="D251" i="102"/>
  <c r="R251" i="102" s="1"/>
  <c r="E251" i="102"/>
  <c r="F251" i="102"/>
  <c r="G251" i="102"/>
  <c r="H251" i="102"/>
  <c r="I251" i="102"/>
  <c r="B252" i="102"/>
  <c r="C252" i="102"/>
  <c r="D252" i="102"/>
  <c r="R252" i="102" s="1"/>
  <c r="E252" i="102"/>
  <c r="F252" i="102"/>
  <c r="G252" i="102"/>
  <c r="H252" i="102"/>
  <c r="I252" i="102"/>
  <c r="B253" i="102"/>
  <c r="C253" i="102"/>
  <c r="D253" i="102"/>
  <c r="Q253" i="102" s="1"/>
  <c r="E253" i="102"/>
  <c r="F253" i="102"/>
  <c r="G253" i="102"/>
  <c r="H253" i="102"/>
  <c r="I253" i="102"/>
  <c r="B254" i="102"/>
  <c r="C254" i="102"/>
  <c r="D254" i="102"/>
  <c r="Q254" i="102" s="1"/>
  <c r="E254" i="102"/>
  <c r="F254" i="102"/>
  <c r="G254" i="102"/>
  <c r="H254" i="102"/>
  <c r="I254" i="102"/>
  <c r="B255" i="102"/>
  <c r="C255" i="102"/>
  <c r="D255" i="102"/>
  <c r="R255" i="102" s="1"/>
  <c r="E255" i="102"/>
  <c r="F255" i="102"/>
  <c r="G255" i="102"/>
  <c r="H255" i="102"/>
  <c r="I255" i="102"/>
  <c r="B256" i="102"/>
  <c r="C256" i="102"/>
  <c r="D256" i="102"/>
  <c r="R256" i="102" s="1"/>
  <c r="E256" i="102"/>
  <c r="F256" i="102"/>
  <c r="G256" i="102"/>
  <c r="H256" i="102"/>
  <c r="I256" i="102"/>
  <c r="B257" i="102"/>
  <c r="C257" i="102"/>
  <c r="D257" i="102"/>
  <c r="Q257" i="102" s="1"/>
  <c r="E257" i="102"/>
  <c r="F257" i="102"/>
  <c r="G257" i="102"/>
  <c r="H257" i="102"/>
  <c r="I257" i="102"/>
  <c r="B258" i="102"/>
  <c r="C258" i="102"/>
  <c r="D258" i="102"/>
  <c r="E258" i="102"/>
  <c r="F258" i="102"/>
  <c r="G258" i="102"/>
  <c r="H258" i="102"/>
  <c r="I258" i="102"/>
  <c r="J258" i="102" s="1"/>
  <c r="B259" i="102"/>
  <c r="C259" i="102"/>
  <c r="D259" i="102"/>
  <c r="Q259" i="102" s="1"/>
  <c r="E259" i="102"/>
  <c r="F259" i="102"/>
  <c r="G259" i="102"/>
  <c r="H259" i="102"/>
  <c r="I259" i="102"/>
  <c r="J259" i="102" s="1"/>
  <c r="B260" i="102"/>
  <c r="C260" i="102"/>
  <c r="D260" i="102"/>
  <c r="R260" i="102" s="1"/>
  <c r="E260" i="102"/>
  <c r="F260" i="102"/>
  <c r="G260" i="102"/>
  <c r="H260" i="102"/>
  <c r="I260" i="102"/>
  <c r="B261" i="102"/>
  <c r="C261" i="102"/>
  <c r="D261" i="102"/>
  <c r="R261" i="102" s="1"/>
  <c r="E261" i="102"/>
  <c r="F261" i="102"/>
  <c r="G261" i="102"/>
  <c r="H261" i="102"/>
  <c r="I261" i="102"/>
  <c r="B262" i="102"/>
  <c r="C262" i="102"/>
  <c r="D262" i="102"/>
  <c r="Q262" i="102" s="1"/>
  <c r="E262" i="102"/>
  <c r="F262" i="102"/>
  <c r="G262" i="102"/>
  <c r="H262" i="102"/>
  <c r="I262" i="102"/>
  <c r="B263" i="102"/>
  <c r="C263" i="102"/>
  <c r="D263" i="102"/>
  <c r="Q263" i="102" s="1"/>
  <c r="E263" i="102"/>
  <c r="F263" i="102"/>
  <c r="G263" i="102"/>
  <c r="H263" i="102"/>
  <c r="I263" i="102"/>
  <c r="B264" i="102"/>
  <c r="C264" i="102"/>
  <c r="D264" i="102"/>
  <c r="Q264" i="102" s="1"/>
  <c r="E264" i="102"/>
  <c r="F264" i="102"/>
  <c r="G264" i="102"/>
  <c r="H264" i="102"/>
  <c r="I264" i="102"/>
  <c r="B265" i="102"/>
  <c r="C265" i="102"/>
  <c r="D265" i="102"/>
  <c r="Q265" i="102" s="1"/>
  <c r="E265" i="102"/>
  <c r="F265" i="102"/>
  <c r="G265" i="102"/>
  <c r="H265" i="102"/>
  <c r="I265" i="102"/>
  <c r="B266" i="102"/>
  <c r="C266" i="102"/>
  <c r="D266" i="102"/>
  <c r="Q266" i="102" s="1"/>
  <c r="E266" i="102"/>
  <c r="F266" i="102"/>
  <c r="G266" i="102"/>
  <c r="H266" i="102"/>
  <c r="I266" i="102"/>
  <c r="B267" i="102"/>
  <c r="C267" i="102"/>
  <c r="D267" i="102"/>
  <c r="Q267" i="102" s="1"/>
  <c r="E267" i="102"/>
  <c r="F267" i="102"/>
  <c r="G267" i="102"/>
  <c r="H267" i="102"/>
  <c r="I267" i="102"/>
  <c r="B268" i="102"/>
  <c r="C268" i="102"/>
  <c r="D268" i="102"/>
  <c r="Q268" i="102" s="1"/>
  <c r="E268" i="102"/>
  <c r="F268" i="102"/>
  <c r="G268" i="102"/>
  <c r="H268" i="102"/>
  <c r="I268" i="102"/>
  <c r="B269" i="102"/>
  <c r="C269" i="102"/>
  <c r="D269" i="102"/>
  <c r="Q269" i="102" s="1"/>
  <c r="E269" i="102"/>
  <c r="F269" i="102"/>
  <c r="G269" i="102"/>
  <c r="H269" i="102"/>
  <c r="I269" i="102"/>
  <c r="J269" i="102" s="1"/>
  <c r="B270" i="102"/>
  <c r="C270" i="102"/>
  <c r="D270" i="102"/>
  <c r="R270" i="102" s="1"/>
  <c r="E270" i="102"/>
  <c r="F270" i="102"/>
  <c r="G270" i="102"/>
  <c r="H270" i="102"/>
  <c r="I270" i="102"/>
  <c r="B271" i="102"/>
  <c r="C271" i="102"/>
  <c r="D271" i="102"/>
  <c r="Q271" i="102" s="1"/>
  <c r="E271" i="102"/>
  <c r="F271" i="102"/>
  <c r="G271" i="102"/>
  <c r="H271" i="102"/>
  <c r="I271" i="102"/>
  <c r="B4" i="103"/>
  <c r="C4" i="103"/>
  <c r="D4" i="103"/>
  <c r="R4" i="103" s="1"/>
  <c r="E4" i="103"/>
  <c r="F4" i="103"/>
  <c r="G4" i="103"/>
  <c r="H4" i="103"/>
  <c r="I4" i="103"/>
  <c r="B5" i="103"/>
  <c r="C5" i="103"/>
  <c r="D5" i="103"/>
  <c r="Q5" i="103" s="1"/>
  <c r="E5" i="103"/>
  <c r="F5" i="103"/>
  <c r="G5" i="103"/>
  <c r="H5" i="103"/>
  <c r="I5" i="103"/>
  <c r="B6" i="103"/>
  <c r="C6" i="103"/>
  <c r="D6" i="103"/>
  <c r="Q6" i="103" s="1"/>
  <c r="E6" i="103"/>
  <c r="F6" i="103"/>
  <c r="G6" i="103"/>
  <c r="H6" i="103"/>
  <c r="I6" i="103"/>
  <c r="B7" i="103"/>
  <c r="C7" i="103"/>
  <c r="D7" i="103"/>
  <c r="R7" i="103" s="1"/>
  <c r="E7" i="103"/>
  <c r="F7" i="103"/>
  <c r="G7" i="103"/>
  <c r="H7" i="103"/>
  <c r="I7" i="103"/>
  <c r="B8" i="103"/>
  <c r="C8" i="103"/>
  <c r="D8" i="103"/>
  <c r="R8" i="103" s="1"/>
  <c r="E8" i="103"/>
  <c r="F8" i="103"/>
  <c r="G8" i="103"/>
  <c r="H8" i="103"/>
  <c r="I8" i="103"/>
  <c r="B9" i="103"/>
  <c r="C9" i="103"/>
  <c r="D9" i="103"/>
  <c r="Q9" i="103" s="1"/>
  <c r="E9" i="103"/>
  <c r="F9" i="103"/>
  <c r="G9" i="103"/>
  <c r="H9" i="103"/>
  <c r="I9" i="103"/>
  <c r="B10" i="103"/>
  <c r="C10" i="103"/>
  <c r="D10" i="103"/>
  <c r="Q10" i="103" s="1"/>
  <c r="E10" i="103"/>
  <c r="F10" i="103"/>
  <c r="G10" i="103"/>
  <c r="H10" i="103"/>
  <c r="I10" i="103"/>
  <c r="B11" i="103"/>
  <c r="C11" i="103"/>
  <c r="D11" i="103"/>
  <c r="R11" i="103" s="1"/>
  <c r="E11" i="103"/>
  <c r="F11" i="103"/>
  <c r="G11" i="103"/>
  <c r="H11" i="103"/>
  <c r="I11" i="103"/>
  <c r="B12" i="103"/>
  <c r="C12" i="103"/>
  <c r="D12" i="103"/>
  <c r="R12" i="103" s="1"/>
  <c r="E12" i="103"/>
  <c r="F12" i="103"/>
  <c r="G12" i="103"/>
  <c r="H12" i="103"/>
  <c r="I12" i="103"/>
  <c r="B13" i="103"/>
  <c r="C13" i="103"/>
  <c r="D13" i="103"/>
  <c r="R13" i="103" s="1"/>
  <c r="E13" i="103"/>
  <c r="F13" i="103"/>
  <c r="G13" i="103"/>
  <c r="H13" i="103"/>
  <c r="I13" i="103"/>
  <c r="B14" i="103"/>
  <c r="C14" i="103"/>
  <c r="D14" i="103"/>
  <c r="Q14" i="103" s="1"/>
  <c r="E14" i="103"/>
  <c r="F14" i="103"/>
  <c r="G14" i="103"/>
  <c r="H14" i="103"/>
  <c r="I14" i="103"/>
  <c r="B15" i="103"/>
  <c r="C15" i="103"/>
  <c r="D15" i="103"/>
  <c r="Q15" i="103" s="1"/>
  <c r="E15" i="103"/>
  <c r="F15" i="103"/>
  <c r="G15" i="103"/>
  <c r="H15" i="103"/>
  <c r="I15" i="103"/>
  <c r="B16" i="103"/>
  <c r="C16" i="103"/>
  <c r="D16" i="103"/>
  <c r="Q16" i="103" s="1"/>
  <c r="E16" i="103"/>
  <c r="F16" i="103"/>
  <c r="G16" i="103"/>
  <c r="H16" i="103"/>
  <c r="I16" i="103"/>
  <c r="B17" i="103"/>
  <c r="C17" i="103"/>
  <c r="D17" i="103"/>
  <c r="Q17" i="103" s="1"/>
  <c r="E17" i="103"/>
  <c r="F17" i="103"/>
  <c r="G17" i="103"/>
  <c r="H17" i="103"/>
  <c r="I17" i="103"/>
  <c r="B18" i="103"/>
  <c r="C18" i="103"/>
  <c r="D18" i="103"/>
  <c r="Q18" i="103" s="1"/>
  <c r="E18" i="103"/>
  <c r="F18" i="103"/>
  <c r="G18" i="103"/>
  <c r="H18" i="103"/>
  <c r="I18" i="103"/>
  <c r="B19" i="103"/>
  <c r="C19" i="103"/>
  <c r="D19" i="103"/>
  <c r="Q19" i="103" s="1"/>
  <c r="E19" i="103"/>
  <c r="F19" i="103"/>
  <c r="G19" i="103"/>
  <c r="H19" i="103"/>
  <c r="I19" i="103"/>
  <c r="B20" i="103"/>
  <c r="C20" i="103"/>
  <c r="D20" i="103"/>
  <c r="Q20" i="103" s="1"/>
  <c r="E20" i="103"/>
  <c r="F20" i="103"/>
  <c r="G20" i="103"/>
  <c r="H20" i="103"/>
  <c r="I20" i="103"/>
  <c r="B21" i="103"/>
  <c r="C21" i="103"/>
  <c r="D21" i="103"/>
  <c r="R21" i="103" s="1"/>
  <c r="E21" i="103"/>
  <c r="F21" i="103"/>
  <c r="G21" i="103"/>
  <c r="H21" i="103"/>
  <c r="I21" i="103"/>
  <c r="B22" i="103"/>
  <c r="C22" i="103"/>
  <c r="D22" i="103"/>
  <c r="R22" i="103" s="1"/>
  <c r="E22" i="103"/>
  <c r="F22" i="103"/>
  <c r="G22" i="103"/>
  <c r="H22" i="103"/>
  <c r="I22" i="103"/>
  <c r="B23" i="103"/>
  <c r="C23" i="103"/>
  <c r="D23" i="103"/>
  <c r="R23" i="103" s="1"/>
  <c r="E23" i="103"/>
  <c r="F23" i="103"/>
  <c r="G23" i="103"/>
  <c r="H23" i="103"/>
  <c r="I23" i="103"/>
  <c r="B24" i="103"/>
  <c r="C24" i="103"/>
  <c r="D24" i="103"/>
  <c r="R24" i="103" s="1"/>
  <c r="E24" i="103"/>
  <c r="F24" i="103"/>
  <c r="G24" i="103"/>
  <c r="H24" i="103"/>
  <c r="I24" i="103"/>
  <c r="B25" i="103"/>
  <c r="C25" i="103"/>
  <c r="D25" i="103"/>
  <c r="R25" i="103" s="1"/>
  <c r="E25" i="103"/>
  <c r="F25" i="103"/>
  <c r="G25" i="103"/>
  <c r="H25" i="103"/>
  <c r="I25" i="103"/>
  <c r="B26" i="103"/>
  <c r="C26" i="103"/>
  <c r="D26" i="103"/>
  <c r="R26" i="103" s="1"/>
  <c r="E26" i="103"/>
  <c r="F26" i="103"/>
  <c r="G26" i="103"/>
  <c r="H26" i="103"/>
  <c r="I26" i="103"/>
  <c r="B27" i="103"/>
  <c r="C27" i="103"/>
  <c r="D27" i="103"/>
  <c r="R27" i="103" s="1"/>
  <c r="E27" i="103"/>
  <c r="F27" i="103"/>
  <c r="G27" i="103"/>
  <c r="H27" i="103"/>
  <c r="I27" i="103"/>
  <c r="B28" i="103"/>
  <c r="C28" i="103"/>
  <c r="D28" i="103"/>
  <c r="R28" i="103" s="1"/>
  <c r="E28" i="103"/>
  <c r="F28" i="103"/>
  <c r="G28" i="103"/>
  <c r="H28" i="103"/>
  <c r="I28" i="103"/>
  <c r="B29" i="103"/>
  <c r="C29" i="103"/>
  <c r="D29" i="103"/>
  <c r="R29" i="103" s="1"/>
  <c r="E29" i="103"/>
  <c r="F29" i="103"/>
  <c r="G29" i="103"/>
  <c r="H29" i="103"/>
  <c r="I29" i="103"/>
  <c r="B30" i="103"/>
  <c r="C30" i="103"/>
  <c r="D30" i="103"/>
  <c r="R30" i="103" s="1"/>
  <c r="E30" i="103"/>
  <c r="F30" i="103"/>
  <c r="G30" i="103"/>
  <c r="H30" i="103"/>
  <c r="I30" i="103"/>
  <c r="B31" i="103"/>
  <c r="C31" i="103"/>
  <c r="D31" i="103"/>
  <c r="R31" i="103" s="1"/>
  <c r="E31" i="103"/>
  <c r="F31" i="103"/>
  <c r="G31" i="103"/>
  <c r="H31" i="103"/>
  <c r="I31" i="103"/>
  <c r="B32" i="103"/>
  <c r="C32" i="103"/>
  <c r="D32" i="103"/>
  <c r="Q32" i="103" s="1"/>
  <c r="E32" i="103"/>
  <c r="F32" i="103"/>
  <c r="G32" i="103"/>
  <c r="H32" i="103"/>
  <c r="I32" i="103"/>
  <c r="B33" i="103"/>
  <c r="C33" i="103"/>
  <c r="D33" i="103"/>
  <c r="Q33" i="103" s="1"/>
  <c r="E33" i="103"/>
  <c r="F33" i="103"/>
  <c r="G33" i="103"/>
  <c r="H33" i="103"/>
  <c r="I33" i="103"/>
  <c r="B34" i="103"/>
  <c r="C34" i="103"/>
  <c r="D34" i="103"/>
  <c r="R34" i="103" s="1"/>
  <c r="E34" i="103"/>
  <c r="F34" i="103"/>
  <c r="G34" i="103"/>
  <c r="H34" i="103"/>
  <c r="I34" i="103"/>
  <c r="B35" i="103"/>
  <c r="C35" i="103"/>
  <c r="D35" i="103"/>
  <c r="Q35" i="103" s="1"/>
  <c r="E35" i="103"/>
  <c r="F35" i="103"/>
  <c r="G35" i="103"/>
  <c r="H35" i="103"/>
  <c r="I35" i="103"/>
  <c r="B36" i="103"/>
  <c r="C36" i="103"/>
  <c r="D36" i="103"/>
  <c r="Q36" i="103" s="1"/>
  <c r="E36" i="103"/>
  <c r="F36" i="103"/>
  <c r="G36" i="103"/>
  <c r="H36" i="103"/>
  <c r="I36" i="103"/>
  <c r="B37" i="103"/>
  <c r="C37" i="103"/>
  <c r="D37" i="103"/>
  <c r="R37" i="103" s="1"/>
  <c r="E37" i="103"/>
  <c r="F37" i="103"/>
  <c r="G37" i="103"/>
  <c r="H37" i="103"/>
  <c r="I37" i="103"/>
  <c r="B38" i="103"/>
  <c r="C38" i="103"/>
  <c r="D38" i="103"/>
  <c r="R38" i="103" s="1"/>
  <c r="E38" i="103"/>
  <c r="F38" i="103"/>
  <c r="G38" i="103"/>
  <c r="H38" i="103"/>
  <c r="I38" i="103"/>
  <c r="B39" i="103"/>
  <c r="C39" i="103"/>
  <c r="D39" i="103"/>
  <c r="R39" i="103" s="1"/>
  <c r="E39" i="103"/>
  <c r="F39" i="103"/>
  <c r="G39" i="103"/>
  <c r="H39" i="103"/>
  <c r="I39" i="103"/>
  <c r="B40" i="103"/>
  <c r="C40" i="103"/>
  <c r="D40" i="103"/>
  <c r="R40" i="103" s="1"/>
  <c r="E40" i="103"/>
  <c r="F40" i="103"/>
  <c r="G40" i="103"/>
  <c r="H40" i="103"/>
  <c r="I40" i="103"/>
  <c r="B41" i="103"/>
  <c r="C41" i="103"/>
  <c r="D41" i="103"/>
  <c r="R41" i="103" s="1"/>
  <c r="E41" i="103"/>
  <c r="F41" i="103"/>
  <c r="G41" i="103"/>
  <c r="H41" i="103"/>
  <c r="I41" i="103"/>
  <c r="B42" i="103"/>
  <c r="C42" i="103"/>
  <c r="D42" i="103"/>
  <c r="R42" i="103" s="1"/>
  <c r="E42" i="103"/>
  <c r="F42" i="103"/>
  <c r="G42" i="103"/>
  <c r="H42" i="103"/>
  <c r="I42" i="103"/>
  <c r="B43" i="103"/>
  <c r="C43" i="103"/>
  <c r="D43" i="103"/>
  <c r="R43" i="103" s="1"/>
  <c r="E43" i="103"/>
  <c r="F43" i="103"/>
  <c r="G43" i="103"/>
  <c r="H43" i="103"/>
  <c r="I43" i="103"/>
  <c r="B44" i="103"/>
  <c r="C44" i="103"/>
  <c r="D44" i="103"/>
  <c r="R44" i="103" s="1"/>
  <c r="E44" i="103"/>
  <c r="F44" i="103"/>
  <c r="G44" i="103"/>
  <c r="H44" i="103"/>
  <c r="I44" i="103"/>
  <c r="B45" i="103"/>
  <c r="C45" i="103"/>
  <c r="D45" i="103"/>
  <c r="R45" i="103" s="1"/>
  <c r="E45" i="103"/>
  <c r="F45" i="103"/>
  <c r="G45" i="103"/>
  <c r="H45" i="103"/>
  <c r="I45" i="103"/>
  <c r="B46" i="103"/>
  <c r="C46" i="103"/>
  <c r="D46" i="103"/>
  <c r="R46" i="103" s="1"/>
  <c r="E46" i="103"/>
  <c r="F46" i="103"/>
  <c r="G46" i="103"/>
  <c r="H46" i="103"/>
  <c r="I46" i="103"/>
  <c r="J46" i="103" s="1"/>
  <c r="B47" i="103"/>
  <c r="C47" i="103"/>
  <c r="D47" i="103"/>
  <c r="R47" i="103" s="1"/>
  <c r="E47" i="103"/>
  <c r="F47" i="103"/>
  <c r="G47" i="103"/>
  <c r="H47" i="103"/>
  <c r="I47" i="103"/>
  <c r="J47" i="103" s="1"/>
  <c r="B48" i="103"/>
  <c r="C48" i="103"/>
  <c r="D48" i="103"/>
  <c r="R48" i="103" s="1"/>
  <c r="E48" i="103"/>
  <c r="F48" i="103"/>
  <c r="G48" i="103"/>
  <c r="H48" i="103"/>
  <c r="I48" i="103"/>
  <c r="J48" i="103" s="1"/>
  <c r="B49" i="103"/>
  <c r="C49" i="103"/>
  <c r="D49" i="103"/>
  <c r="R49" i="103" s="1"/>
  <c r="E49" i="103"/>
  <c r="F49" i="103"/>
  <c r="G49" i="103"/>
  <c r="H49" i="103"/>
  <c r="I49" i="103"/>
  <c r="J49" i="103" s="1"/>
  <c r="B50" i="103"/>
  <c r="C50" i="103"/>
  <c r="D50" i="103"/>
  <c r="R50" i="103" s="1"/>
  <c r="E50" i="103"/>
  <c r="F50" i="103"/>
  <c r="G50" i="103"/>
  <c r="H50" i="103"/>
  <c r="I50" i="103"/>
  <c r="J50" i="103" s="1"/>
  <c r="B51" i="103"/>
  <c r="C51" i="103"/>
  <c r="D51" i="103"/>
  <c r="R51" i="103" s="1"/>
  <c r="E51" i="103"/>
  <c r="F51" i="103"/>
  <c r="G51" i="103"/>
  <c r="H51" i="103"/>
  <c r="I51" i="103"/>
  <c r="J51" i="103" s="1"/>
  <c r="B52" i="103"/>
  <c r="C52" i="103"/>
  <c r="D52" i="103"/>
  <c r="R52" i="103" s="1"/>
  <c r="E52" i="103"/>
  <c r="F52" i="103"/>
  <c r="G52" i="103"/>
  <c r="H52" i="103"/>
  <c r="I52" i="103"/>
  <c r="J52" i="103" s="1"/>
  <c r="B53" i="103"/>
  <c r="C53" i="103"/>
  <c r="D53" i="103"/>
  <c r="R53" i="103" s="1"/>
  <c r="E53" i="103"/>
  <c r="F53" i="103"/>
  <c r="G53" i="103"/>
  <c r="H53" i="103"/>
  <c r="I53" i="103"/>
  <c r="J53" i="103" s="1"/>
  <c r="B54" i="103"/>
  <c r="C54" i="103"/>
  <c r="D54" i="103"/>
  <c r="R54" i="103" s="1"/>
  <c r="E54" i="103"/>
  <c r="F54" i="103"/>
  <c r="G54" i="103"/>
  <c r="H54" i="103"/>
  <c r="I54" i="103"/>
  <c r="J54" i="103" s="1"/>
  <c r="B55" i="103"/>
  <c r="C55" i="103"/>
  <c r="D55" i="103"/>
  <c r="R55" i="103" s="1"/>
  <c r="E55" i="103"/>
  <c r="F55" i="103"/>
  <c r="G55" i="103"/>
  <c r="H55" i="103"/>
  <c r="I55" i="103"/>
  <c r="B56" i="103"/>
  <c r="C56" i="103"/>
  <c r="D56" i="103"/>
  <c r="R56" i="103" s="1"/>
  <c r="E56" i="103"/>
  <c r="F56" i="103"/>
  <c r="G56" i="103"/>
  <c r="H56" i="103"/>
  <c r="I56" i="103"/>
  <c r="B57" i="103"/>
  <c r="C57" i="103"/>
  <c r="D57" i="103"/>
  <c r="R57" i="103" s="1"/>
  <c r="E57" i="103"/>
  <c r="F57" i="103"/>
  <c r="G57" i="103"/>
  <c r="H57" i="103"/>
  <c r="I57" i="103"/>
  <c r="J57" i="103" s="1"/>
  <c r="B58" i="103"/>
  <c r="C58" i="103"/>
  <c r="D58" i="103"/>
  <c r="R58" i="103" s="1"/>
  <c r="E58" i="103"/>
  <c r="F58" i="103"/>
  <c r="G58" i="103"/>
  <c r="H58" i="103"/>
  <c r="I58" i="103"/>
  <c r="B59" i="103"/>
  <c r="C59" i="103"/>
  <c r="D59" i="103"/>
  <c r="R59" i="103" s="1"/>
  <c r="E59" i="103"/>
  <c r="F59" i="103"/>
  <c r="G59" i="103"/>
  <c r="H59" i="103"/>
  <c r="I59" i="103"/>
  <c r="J59" i="103" s="1"/>
  <c r="B60" i="103"/>
  <c r="C60" i="103"/>
  <c r="D60" i="103"/>
  <c r="R60" i="103" s="1"/>
  <c r="E60" i="103"/>
  <c r="F60" i="103"/>
  <c r="G60" i="103"/>
  <c r="H60" i="103"/>
  <c r="I60" i="103"/>
  <c r="J60" i="103" s="1"/>
  <c r="B61" i="103"/>
  <c r="C61" i="103"/>
  <c r="D61" i="103"/>
  <c r="Q61" i="103" s="1"/>
  <c r="E61" i="103"/>
  <c r="F61" i="103"/>
  <c r="G61" i="103"/>
  <c r="H61" i="103"/>
  <c r="I61" i="103"/>
  <c r="B62" i="103"/>
  <c r="C62" i="103"/>
  <c r="D62" i="103"/>
  <c r="Q62" i="103" s="1"/>
  <c r="E62" i="103"/>
  <c r="F62" i="103"/>
  <c r="G62" i="103"/>
  <c r="H62" i="103"/>
  <c r="I62" i="103"/>
  <c r="B63" i="103"/>
  <c r="C63" i="103"/>
  <c r="D63" i="103"/>
  <c r="Q63" i="103" s="1"/>
  <c r="E63" i="103"/>
  <c r="F63" i="103"/>
  <c r="G63" i="103"/>
  <c r="H63" i="103"/>
  <c r="I63" i="103"/>
  <c r="B64" i="103"/>
  <c r="C64" i="103"/>
  <c r="D64" i="103"/>
  <c r="Q64" i="103" s="1"/>
  <c r="E64" i="103"/>
  <c r="F64" i="103"/>
  <c r="G64" i="103"/>
  <c r="H64" i="103"/>
  <c r="I64" i="103"/>
  <c r="B65" i="103"/>
  <c r="C65" i="103"/>
  <c r="D65" i="103"/>
  <c r="Q65" i="103" s="1"/>
  <c r="E65" i="103"/>
  <c r="F65" i="103"/>
  <c r="G65" i="103"/>
  <c r="H65" i="103"/>
  <c r="I65" i="103"/>
  <c r="B66" i="103"/>
  <c r="C66" i="103"/>
  <c r="D66" i="103"/>
  <c r="Q66" i="103" s="1"/>
  <c r="E66" i="103"/>
  <c r="F66" i="103"/>
  <c r="G66" i="103"/>
  <c r="H66" i="103"/>
  <c r="I66" i="103"/>
  <c r="B67" i="103"/>
  <c r="C67" i="103"/>
  <c r="D67" i="103"/>
  <c r="Q67" i="103" s="1"/>
  <c r="E67" i="103"/>
  <c r="F67" i="103"/>
  <c r="G67" i="103"/>
  <c r="H67" i="103"/>
  <c r="I67" i="103"/>
  <c r="B68" i="103"/>
  <c r="C68" i="103"/>
  <c r="D68" i="103"/>
  <c r="Q68" i="103" s="1"/>
  <c r="E68" i="103"/>
  <c r="F68" i="103"/>
  <c r="G68" i="103"/>
  <c r="H68" i="103"/>
  <c r="I68" i="103"/>
  <c r="B69" i="103"/>
  <c r="C69" i="103"/>
  <c r="D69" i="103"/>
  <c r="Q69" i="103" s="1"/>
  <c r="E69" i="103"/>
  <c r="F69" i="103"/>
  <c r="G69" i="103"/>
  <c r="H69" i="103"/>
  <c r="I69" i="103"/>
  <c r="B70" i="103"/>
  <c r="C70" i="103"/>
  <c r="D70" i="103"/>
  <c r="Q70" i="103" s="1"/>
  <c r="E70" i="103"/>
  <c r="F70" i="103"/>
  <c r="G70" i="103"/>
  <c r="H70" i="103"/>
  <c r="I70" i="103"/>
  <c r="B71" i="103"/>
  <c r="C71" i="103"/>
  <c r="D71" i="103"/>
  <c r="Q71" i="103" s="1"/>
  <c r="E71" i="103"/>
  <c r="F71" i="103"/>
  <c r="G71" i="103"/>
  <c r="H71" i="103"/>
  <c r="I71" i="103"/>
  <c r="B72" i="103"/>
  <c r="C72" i="103"/>
  <c r="D72" i="103"/>
  <c r="Q72" i="103" s="1"/>
  <c r="E72" i="103"/>
  <c r="F72" i="103"/>
  <c r="G72" i="103"/>
  <c r="H72" i="103"/>
  <c r="I72" i="103"/>
  <c r="B73" i="103"/>
  <c r="C73" i="103"/>
  <c r="D73" i="103"/>
  <c r="Q73" i="103" s="1"/>
  <c r="E73" i="103"/>
  <c r="F73" i="103"/>
  <c r="G73" i="103"/>
  <c r="H73" i="103"/>
  <c r="I73" i="103"/>
  <c r="B74" i="103"/>
  <c r="C74" i="103"/>
  <c r="D74" i="103"/>
  <c r="Q74" i="103" s="1"/>
  <c r="E74" i="103"/>
  <c r="F74" i="103"/>
  <c r="G74" i="103"/>
  <c r="H74" i="103"/>
  <c r="I74" i="103"/>
  <c r="B75" i="103"/>
  <c r="C75" i="103"/>
  <c r="D75" i="103"/>
  <c r="E75" i="103"/>
  <c r="F75" i="103"/>
  <c r="G75" i="103"/>
  <c r="H75" i="103"/>
  <c r="I75" i="103"/>
  <c r="B76" i="103"/>
  <c r="C76" i="103"/>
  <c r="D76" i="103"/>
  <c r="Q76" i="103" s="1"/>
  <c r="E76" i="103"/>
  <c r="F76" i="103"/>
  <c r="G76" i="103"/>
  <c r="H76" i="103"/>
  <c r="I76" i="103"/>
  <c r="B77" i="103"/>
  <c r="C77" i="103"/>
  <c r="D77" i="103"/>
  <c r="Q77" i="103" s="1"/>
  <c r="E77" i="103"/>
  <c r="F77" i="103"/>
  <c r="G77" i="103"/>
  <c r="H77" i="103"/>
  <c r="I77" i="103"/>
  <c r="B78" i="103"/>
  <c r="C78" i="103"/>
  <c r="D78" i="103"/>
  <c r="Q78" i="103" s="1"/>
  <c r="E78" i="103"/>
  <c r="F78" i="103"/>
  <c r="G78" i="103"/>
  <c r="H78" i="103"/>
  <c r="I78" i="103"/>
  <c r="B79" i="103"/>
  <c r="C79" i="103"/>
  <c r="D79" i="103"/>
  <c r="Q79" i="103" s="1"/>
  <c r="E79" i="103"/>
  <c r="F79" i="103"/>
  <c r="G79" i="103"/>
  <c r="H79" i="103"/>
  <c r="I79" i="103"/>
  <c r="B80" i="103"/>
  <c r="C80" i="103"/>
  <c r="D80" i="103"/>
  <c r="Q80" i="103" s="1"/>
  <c r="E80" i="103"/>
  <c r="F80" i="103"/>
  <c r="G80" i="103"/>
  <c r="H80" i="103"/>
  <c r="I80" i="103"/>
  <c r="B81" i="103"/>
  <c r="C81" i="103"/>
  <c r="D81" i="103"/>
  <c r="Q81" i="103" s="1"/>
  <c r="E81" i="103"/>
  <c r="F81" i="103"/>
  <c r="G81" i="103"/>
  <c r="H81" i="103"/>
  <c r="I81" i="103"/>
  <c r="B82" i="103"/>
  <c r="C82" i="103"/>
  <c r="D82" i="103"/>
  <c r="Q82" i="103" s="1"/>
  <c r="E82" i="103"/>
  <c r="F82" i="103"/>
  <c r="G82" i="103"/>
  <c r="H82" i="103"/>
  <c r="I82" i="103"/>
  <c r="B83" i="103"/>
  <c r="C83" i="103"/>
  <c r="D83" i="103"/>
  <c r="Q83" i="103" s="1"/>
  <c r="E83" i="103"/>
  <c r="F83" i="103"/>
  <c r="G83" i="103"/>
  <c r="H83" i="103"/>
  <c r="I83" i="103"/>
  <c r="B84" i="103"/>
  <c r="C84" i="103"/>
  <c r="D84" i="103"/>
  <c r="Q84" i="103" s="1"/>
  <c r="E84" i="103"/>
  <c r="F84" i="103"/>
  <c r="G84" i="103"/>
  <c r="H84" i="103"/>
  <c r="I84" i="103"/>
  <c r="B85" i="103"/>
  <c r="C85" i="103"/>
  <c r="D85" i="103"/>
  <c r="Q85" i="103" s="1"/>
  <c r="E85" i="103"/>
  <c r="F85" i="103"/>
  <c r="G85" i="103"/>
  <c r="H85" i="103"/>
  <c r="I85" i="103"/>
  <c r="B86" i="103"/>
  <c r="C86" i="103"/>
  <c r="D86" i="103"/>
  <c r="Q86" i="103" s="1"/>
  <c r="E86" i="103"/>
  <c r="F86" i="103"/>
  <c r="G86" i="103"/>
  <c r="H86" i="103"/>
  <c r="I86" i="103"/>
  <c r="B87" i="103"/>
  <c r="C87" i="103"/>
  <c r="D87" i="103"/>
  <c r="Q87" i="103" s="1"/>
  <c r="E87" i="103"/>
  <c r="F87" i="103"/>
  <c r="G87" i="103"/>
  <c r="H87" i="103"/>
  <c r="I87" i="103"/>
  <c r="B88" i="103"/>
  <c r="C88" i="103"/>
  <c r="D88" i="103"/>
  <c r="Q88" i="103" s="1"/>
  <c r="E88" i="103"/>
  <c r="F88" i="103"/>
  <c r="G88" i="103"/>
  <c r="H88" i="103"/>
  <c r="I88" i="103"/>
  <c r="B89" i="103"/>
  <c r="C89" i="103"/>
  <c r="D89" i="103"/>
  <c r="R89" i="103" s="1"/>
  <c r="E89" i="103"/>
  <c r="F89" i="103"/>
  <c r="G89" i="103"/>
  <c r="H89" i="103"/>
  <c r="I89" i="103"/>
  <c r="B90" i="103"/>
  <c r="C90" i="103"/>
  <c r="D90" i="103"/>
  <c r="R90" i="103" s="1"/>
  <c r="E90" i="103"/>
  <c r="F90" i="103"/>
  <c r="G90" i="103"/>
  <c r="H90" i="103"/>
  <c r="I90" i="103"/>
  <c r="B91" i="103"/>
  <c r="C91" i="103"/>
  <c r="D91" i="103"/>
  <c r="Q91" i="103" s="1"/>
  <c r="E91" i="103"/>
  <c r="F91" i="103"/>
  <c r="G91" i="103"/>
  <c r="H91" i="103"/>
  <c r="I91" i="103"/>
  <c r="B92" i="103"/>
  <c r="C92" i="103"/>
  <c r="D92" i="103"/>
  <c r="Q92" i="103" s="1"/>
  <c r="E92" i="103"/>
  <c r="F92" i="103"/>
  <c r="G92" i="103"/>
  <c r="H92" i="103"/>
  <c r="I92" i="103"/>
  <c r="B93" i="103"/>
  <c r="C93" i="103"/>
  <c r="D93" i="103"/>
  <c r="Q93" i="103" s="1"/>
  <c r="E93" i="103"/>
  <c r="F93" i="103"/>
  <c r="G93" i="103"/>
  <c r="H93" i="103"/>
  <c r="I93" i="103"/>
  <c r="B94" i="103"/>
  <c r="C94" i="103"/>
  <c r="D94" i="103"/>
  <c r="Q94" i="103" s="1"/>
  <c r="E94" i="103"/>
  <c r="F94" i="103"/>
  <c r="G94" i="103"/>
  <c r="H94" i="103"/>
  <c r="I94" i="103"/>
  <c r="B95" i="103"/>
  <c r="C95" i="103"/>
  <c r="D95" i="103"/>
  <c r="Q95" i="103" s="1"/>
  <c r="E95" i="103"/>
  <c r="F95" i="103"/>
  <c r="G95" i="103"/>
  <c r="H95" i="103"/>
  <c r="I95" i="103"/>
  <c r="B96" i="103"/>
  <c r="C96" i="103"/>
  <c r="D96" i="103"/>
  <c r="Q96" i="103" s="1"/>
  <c r="E96" i="103"/>
  <c r="F96" i="103"/>
  <c r="G96" i="103"/>
  <c r="H96" i="103"/>
  <c r="I96" i="103"/>
  <c r="B97" i="103"/>
  <c r="C97" i="103"/>
  <c r="D97" i="103"/>
  <c r="Q97" i="103" s="1"/>
  <c r="E97" i="103"/>
  <c r="F97" i="103"/>
  <c r="G97" i="103"/>
  <c r="H97" i="103"/>
  <c r="I97" i="103"/>
  <c r="B98" i="103"/>
  <c r="C98" i="103"/>
  <c r="D98" i="103"/>
  <c r="R98" i="103" s="1"/>
  <c r="E98" i="103"/>
  <c r="F98" i="103"/>
  <c r="G98" i="103"/>
  <c r="H98" i="103"/>
  <c r="I98" i="103"/>
  <c r="B99" i="103"/>
  <c r="C99" i="103"/>
  <c r="D99" i="103"/>
  <c r="R99" i="103" s="1"/>
  <c r="E99" i="103"/>
  <c r="F99" i="103"/>
  <c r="G99" i="103"/>
  <c r="H99" i="103"/>
  <c r="I99" i="103"/>
  <c r="B100" i="103"/>
  <c r="C100" i="103"/>
  <c r="D100" i="103"/>
  <c r="R100" i="103" s="1"/>
  <c r="E100" i="103"/>
  <c r="F100" i="103"/>
  <c r="G100" i="103"/>
  <c r="H100" i="103"/>
  <c r="I100" i="103"/>
  <c r="B101" i="103"/>
  <c r="C101" i="103"/>
  <c r="D101" i="103"/>
  <c r="R101" i="103" s="1"/>
  <c r="E101" i="103"/>
  <c r="F101" i="103"/>
  <c r="G101" i="103"/>
  <c r="H101" i="103"/>
  <c r="I101" i="103"/>
  <c r="B102" i="103"/>
  <c r="C102" i="103"/>
  <c r="D102" i="103"/>
  <c r="R102" i="103" s="1"/>
  <c r="E102" i="103"/>
  <c r="F102" i="103"/>
  <c r="G102" i="103"/>
  <c r="H102" i="103"/>
  <c r="I102" i="103"/>
  <c r="B103" i="103"/>
  <c r="C103" i="103"/>
  <c r="D103" i="103"/>
  <c r="R103" i="103" s="1"/>
  <c r="E103" i="103"/>
  <c r="F103" i="103"/>
  <c r="G103" i="103"/>
  <c r="H103" i="103"/>
  <c r="I103" i="103"/>
  <c r="B104" i="103"/>
  <c r="C104" i="103"/>
  <c r="D104" i="103"/>
  <c r="Q104" i="103" s="1"/>
  <c r="E104" i="103"/>
  <c r="F104" i="103"/>
  <c r="G104" i="103"/>
  <c r="H104" i="103"/>
  <c r="I104" i="103"/>
  <c r="B105" i="103"/>
  <c r="C105" i="103"/>
  <c r="D105" i="103"/>
  <c r="Q105" i="103" s="1"/>
  <c r="E105" i="103"/>
  <c r="F105" i="103"/>
  <c r="G105" i="103"/>
  <c r="H105" i="103"/>
  <c r="I105" i="103"/>
  <c r="B106" i="103"/>
  <c r="C106" i="103"/>
  <c r="D106" i="103"/>
  <c r="R106" i="103" s="1"/>
  <c r="E106" i="103"/>
  <c r="F106" i="103"/>
  <c r="G106" i="103"/>
  <c r="H106" i="103"/>
  <c r="I106" i="103"/>
  <c r="B107" i="103"/>
  <c r="C107" i="103"/>
  <c r="D107" i="103"/>
  <c r="R107" i="103" s="1"/>
  <c r="E107" i="103"/>
  <c r="F107" i="103"/>
  <c r="G107" i="103"/>
  <c r="H107" i="103"/>
  <c r="I107" i="103"/>
  <c r="B108" i="103"/>
  <c r="C108" i="103"/>
  <c r="D108" i="103"/>
  <c r="Q108" i="103" s="1"/>
  <c r="E108" i="103"/>
  <c r="F108" i="103"/>
  <c r="G108" i="103"/>
  <c r="H108" i="103"/>
  <c r="I108" i="103"/>
  <c r="B109" i="103"/>
  <c r="C109" i="103"/>
  <c r="D109" i="103"/>
  <c r="Q109" i="103" s="1"/>
  <c r="E109" i="103"/>
  <c r="F109" i="103"/>
  <c r="G109" i="103"/>
  <c r="H109" i="103"/>
  <c r="I109" i="103"/>
  <c r="B110" i="103"/>
  <c r="C110" i="103"/>
  <c r="D110" i="103"/>
  <c r="Q110" i="103" s="1"/>
  <c r="E110" i="103"/>
  <c r="F110" i="103"/>
  <c r="G110" i="103"/>
  <c r="H110" i="103"/>
  <c r="I110" i="103"/>
  <c r="B111" i="103"/>
  <c r="C111" i="103"/>
  <c r="D111" i="103"/>
  <c r="Q111" i="103" s="1"/>
  <c r="E111" i="103"/>
  <c r="F111" i="103"/>
  <c r="G111" i="103"/>
  <c r="H111" i="103"/>
  <c r="I111" i="103"/>
  <c r="B112" i="103"/>
  <c r="C112" i="103"/>
  <c r="D112" i="103"/>
  <c r="Q112" i="103" s="1"/>
  <c r="E112" i="103"/>
  <c r="F112" i="103"/>
  <c r="G112" i="103"/>
  <c r="H112" i="103"/>
  <c r="I112" i="103"/>
  <c r="B113" i="103"/>
  <c r="C113" i="103"/>
  <c r="D113" i="103"/>
  <c r="Q113" i="103" s="1"/>
  <c r="E113" i="103"/>
  <c r="F113" i="103"/>
  <c r="G113" i="103"/>
  <c r="H113" i="103"/>
  <c r="I113" i="103"/>
  <c r="B114" i="103"/>
  <c r="C114" i="103"/>
  <c r="D114" i="103"/>
  <c r="Q114" i="103" s="1"/>
  <c r="E114" i="103"/>
  <c r="F114" i="103"/>
  <c r="G114" i="103"/>
  <c r="H114" i="103"/>
  <c r="I114" i="103"/>
  <c r="B115" i="103"/>
  <c r="C115" i="103"/>
  <c r="D115" i="103"/>
  <c r="Q115" i="103" s="1"/>
  <c r="E115" i="103"/>
  <c r="F115" i="103"/>
  <c r="G115" i="103"/>
  <c r="H115" i="103"/>
  <c r="I115" i="103"/>
  <c r="B116" i="103"/>
  <c r="C116" i="103"/>
  <c r="D116" i="103"/>
  <c r="Q116" i="103" s="1"/>
  <c r="E116" i="103"/>
  <c r="F116" i="103"/>
  <c r="G116" i="103"/>
  <c r="H116" i="103"/>
  <c r="I116" i="103"/>
  <c r="B117" i="103"/>
  <c r="C117" i="103"/>
  <c r="D117" i="103"/>
  <c r="R117" i="103" s="1"/>
  <c r="E117" i="103"/>
  <c r="F117" i="103"/>
  <c r="G117" i="103"/>
  <c r="H117" i="103"/>
  <c r="I117" i="103"/>
  <c r="B118" i="103"/>
  <c r="C118" i="103"/>
  <c r="D118" i="103"/>
  <c r="Q118" i="103" s="1"/>
  <c r="E118" i="103"/>
  <c r="F118" i="103"/>
  <c r="G118" i="103"/>
  <c r="H118" i="103"/>
  <c r="I118" i="103"/>
  <c r="B119" i="103"/>
  <c r="C119" i="103"/>
  <c r="D119" i="103"/>
  <c r="R119" i="103" s="1"/>
  <c r="E119" i="103"/>
  <c r="F119" i="103"/>
  <c r="G119" i="103"/>
  <c r="H119" i="103"/>
  <c r="I119" i="103"/>
  <c r="B120" i="103"/>
  <c r="C120" i="103"/>
  <c r="D120" i="103"/>
  <c r="R120" i="103" s="1"/>
  <c r="E120" i="103"/>
  <c r="F120" i="103"/>
  <c r="G120" i="103"/>
  <c r="H120" i="103"/>
  <c r="I120" i="103"/>
  <c r="B121" i="103"/>
  <c r="C121" i="103"/>
  <c r="D121" i="103"/>
  <c r="R121" i="103" s="1"/>
  <c r="E121" i="103"/>
  <c r="F121" i="103"/>
  <c r="G121" i="103"/>
  <c r="H121" i="103"/>
  <c r="I121" i="103"/>
  <c r="B122" i="103"/>
  <c r="C122" i="103"/>
  <c r="D122" i="103"/>
  <c r="R122" i="103" s="1"/>
  <c r="E122" i="103"/>
  <c r="F122" i="103"/>
  <c r="G122" i="103"/>
  <c r="H122" i="103"/>
  <c r="I122" i="103"/>
  <c r="B123" i="103"/>
  <c r="C123" i="103"/>
  <c r="D123" i="103"/>
  <c r="Q123" i="103" s="1"/>
  <c r="E123" i="103"/>
  <c r="F123" i="103"/>
  <c r="G123" i="103"/>
  <c r="H123" i="103"/>
  <c r="I123" i="103"/>
  <c r="B124" i="103"/>
  <c r="C124" i="103"/>
  <c r="D124" i="103"/>
  <c r="Q124" i="103" s="1"/>
  <c r="E124" i="103"/>
  <c r="F124" i="103"/>
  <c r="G124" i="103"/>
  <c r="H124" i="103"/>
  <c r="I124" i="103"/>
  <c r="B125" i="103"/>
  <c r="C125" i="103"/>
  <c r="D125" i="103"/>
  <c r="Q125" i="103" s="1"/>
  <c r="E125" i="103"/>
  <c r="F125" i="103"/>
  <c r="G125" i="103"/>
  <c r="H125" i="103"/>
  <c r="I125" i="103"/>
  <c r="B126" i="103"/>
  <c r="C126" i="103"/>
  <c r="D126" i="103"/>
  <c r="R126" i="103" s="1"/>
  <c r="E126" i="103"/>
  <c r="F126" i="103"/>
  <c r="G126" i="103"/>
  <c r="H126" i="103"/>
  <c r="I126" i="103"/>
  <c r="B127" i="103"/>
  <c r="C127" i="103"/>
  <c r="D127" i="103"/>
  <c r="R127" i="103" s="1"/>
  <c r="E127" i="103"/>
  <c r="F127" i="103"/>
  <c r="G127" i="103"/>
  <c r="H127" i="103"/>
  <c r="I127" i="103"/>
  <c r="B128" i="103"/>
  <c r="C128" i="103"/>
  <c r="D128" i="103"/>
  <c r="R128" i="103" s="1"/>
  <c r="E128" i="103"/>
  <c r="F128" i="103"/>
  <c r="G128" i="103"/>
  <c r="H128" i="103"/>
  <c r="I128" i="103"/>
  <c r="B129" i="103"/>
  <c r="C129" i="103"/>
  <c r="D129" i="103"/>
  <c r="R129" i="103" s="1"/>
  <c r="E129" i="103"/>
  <c r="F129" i="103"/>
  <c r="G129" i="103"/>
  <c r="H129" i="103"/>
  <c r="I129" i="103"/>
  <c r="B130" i="103"/>
  <c r="C130" i="103"/>
  <c r="D130" i="103"/>
  <c r="Q130" i="103" s="1"/>
  <c r="E130" i="103"/>
  <c r="F130" i="103"/>
  <c r="G130" i="103"/>
  <c r="H130" i="103"/>
  <c r="I130" i="103"/>
  <c r="B131" i="103"/>
  <c r="C131" i="103"/>
  <c r="D131" i="103"/>
  <c r="Q131" i="103" s="1"/>
  <c r="E131" i="103"/>
  <c r="F131" i="103"/>
  <c r="G131" i="103"/>
  <c r="H131" i="103"/>
  <c r="I131" i="103"/>
  <c r="B132" i="103"/>
  <c r="C132" i="103"/>
  <c r="D132" i="103"/>
  <c r="Q132" i="103" s="1"/>
  <c r="E132" i="103"/>
  <c r="F132" i="103"/>
  <c r="G132" i="103"/>
  <c r="H132" i="103"/>
  <c r="I132" i="103"/>
  <c r="J132" i="103" s="1"/>
  <c r="B133" i="103"/>
  <c r="C133" i="103"/>
  <c r="D133" i="103"/>
  <c r="Q133" i="103" s="1"/>
  <c r="E133" i="103"/>
  <c r="F133" i="103"/>
  <c r="G133" i="103"/>
  <c r="H133" i="103"/>
  <c r="I133" i="103"/>
  <c r="J133" i="103" s="1"/>
  <c r="B134" i="103"/>
  <c r="C134" i="103"/>
  <c r="D134" i="103"/>
  <c r="Q134" i="103" s="1"/>
  <c r="E134" i="103"/>
  <c r="F134" i="103"/>
  <c r="G134" i="103"/>
  <c r="H134" i="103"/>
  <c r="I134" i="103"/>
  <c r="J134" i="103" s="1"/>
  <c r="B135" i="103"/>
  <c r="C135" i="103"/>
  <c r="D135" i="103"/>
  <c r="Q135" i="103" s="1"/>
  <c r="E135" i="103"/>
  <c r="F135" i="103"/>
  <c r="G135" i="103"/>
  <c r="H135" i="103"/>
  <c r="I135" i="103"/>
  <c r="J135" i="103" s="1"/>
  <c r="B136" i="103"/>
  <c r="C136" i="103"/>
  <c r="D136" i="103"/>
  <c r="Q136" i="103" s="1"/>
  <c r="E136" i="103"/>
  <c r="F136" i="103"/>
  <c r="G136" i="103"/>
  <c r="H136" i="103"/>
  <c r="I136" i="103"/>
  <c r="J136" i="103" s="1"/>
  <c r="B137" i="103"/>
  <c r="C137" i="103"/>
  <c r="D137" i="103"/>
  <c r="Q137" i="103" s="1"/>
  <c r="E137" i="103"/>
  <c r="F137" i="103"/>
  <c r="G137" i="103"/>
  <c r="H137" i="103"/>
  <c r="I137" i="103"/>
  <c r="J137" i="103" s="1"/>
  <c r="B138" i="103"/>
  <c r="C138" i="103"/>
  <c r="D138" i="103"/>
  <c r="R138" i="103" s="1"/>
  <c r="E138" i="103"/>
  <c r="F138" i="103"/>
  <c r="G138" i="103"/>
  <c r="H138" i="103"/>
  <c r="I138" i="103"/>
  <c r="B139" i="103"/>
  <c r="C139" i="103"/>
  <c r="D139" i="103"/>
  <c r="R139" i="103" s="1"/>
  <c r="E139" i="103"/>
  <c r="F139" i="103"/>
  <c r="G139" i="103"/>
  <c r="H139" i="103"/>
  <c r="I139" i="103"/>
  <c r="B140" i="103"/>
  <c r="C140" i="103"/>
  <c r="D140" i="103"/>
  <c r="R140" i="103" s="1"/>
  <c r="E140" i="103"/>
  <c r="F140" i="103"/>
  <c r="G140" i="103"/>
  <c r="H140" i="103"/>
  <c r="I140" i="103"/>
  <c r="B141" i="103"/>
  <c r="C141" i="103"/>
  <c r="D141" i="103"/>
  <c r="R141" i="103" s="1"/>
  <c r="E141" i="103"/>
  <c r="F141" i="103"/>
  <c r="G141" i="103"/>
  <c r="H141" i="103"/>
  <c r="I141" i="103"/>
  <c r="B142" i="103"/>
  <c r="C142" i="103"/>
  <c r="D142" i="103"/>
  <c r="Q142" i="103" s="1"/>
  <c r="E142" i="103"/>
  <c r="F142" i="103"/>
  <c r="G142" i="103"/>
  <c r="H142" i="103"/>
  <c r="I142" i="103"/>
  <c r="B143" i="103"/>
  <c r="C143" i="103"/>
  <c r="D143" i="103"/>
  <c r="R143" i="103" s="1"/>
  <c r="E143" i="103"/>
  <c r="F143" i="103"/>
  <c r="G143" i="103"/>
  <c r="H143" i="103"/>
  <c r="I143" i="103"/>
  <c r="B144" i="103"/>
  <c r="C144" i="103"/>
  <c r="D144" i="103"/>
  <c r="R144" i="103" s="1"/>
  <c r="E144" i="103"/>
  <c r="F144" i="103"/>
  <c r="G144" i="103"/>
  <c r="H144" i="103"/>
  <c r="I144" i="103"/>
  <c r="B145" i="103"/>
  <c r="C145" i="103"/>
  <c r="D145" i="103"/>
  <c r="R145" i="103" s="1"/>
  <c r="E145" i="103"/>
  <c r="F145" i="103"/>
  <c r="G145" i="103"/>
  <c r="H145" i="103"/>
  <c r="I145" i="103"/>
  <c r="B146" i="103"/>
  <c r="C146" i="103"/>
  <c r="D146" i="103"/>
  <c r="R146" i="103" s="1"/>
  <c r="E146" i="103"/>
  <c r="F146" i="103"/>
  <c r="G146" i="103"/>
  <c r="H146" i="103"/>
  <c r="I146" i="103"/>
  <c r="B147" i="103"/>
  <c r="C147" i="103"/>
  <c r="D147" i="103"/>
  <c r="R147" i="103" s="1"/>
  <c r="E147" i="103"/>
  <c r="F147" i="103"/>
  <c r="G147" i="103"/>
  <c r="H147" i="103"/>
  <c r="I147" i="103"/>
  <c r="B148" i="103"/>
  <c r="C148" i="103"/>
  <c r="D148" i="103"/>
  <c r="R148" i="103" s="1"/>
  <c r="E148" i="103"/>
  <c r="F148" i="103"/>
  <c r="G148" i="103"/>
  <c r="H148" i="103"/>
  <c r="I148" i="103"/>
  <c r="B149" i="103"/>
  <c r="C149" i="103"/>
  <c r="D149" i="103"/>
  <c r="R149" i="103" s="1"/>
  <c r="E149" i="103"/>
  <c r="F149" i="103"/>
  <c r="G149" i="103"/>
  <c r="H149" i="103"/>
  <c r="I149" i="103"/>
  <c r="B150" i="103"/>
  <c r="C150" i="103"/>
  <c r="D150" i="103"/>
  <c r="R150" i="103" s="1"/>
  <c r="E150" i="103"/>
  <c r="F150" i="103"/>
  <c r="G150" i="103"/>
  <c r="H150" i="103"/>
  <c r="I150" i="103"/>
  <c r="B151" i="103"/>
  <c r="C151" i="103"/>
  <c r="D151" i="103"/>
  <c r="R151" i="103" s="1"/>
  <c r="E151" i="103"/>
  <c r="F151" i="103"/>
  <c r="G151" i="103"/>
  <c r="H151" i="103"/>
  <c r="I151" i="103"/>
  <c r="B152" i="103"/>
  <c r="C152" i="103"/>
  <c r="D152" i="103"/>
  <c r="R152" i="103" s="1"/>
  <c r="E152" i="103"/>
  <c r="F152" i="103"/>
  <c r="G152" i="103"/>
  <c r="H152" i="103"/>
  <c r="I152" i="103"/>
  <c r="B153" i="103"/>
  <c r="C153" i="103"/>
  <c r="D153" i="103"/>
  <c r="R153" i="103" s="1"/>
  <c r="E153" i="103"/>
  <c r="F153" i="103"/>
  <c r="G153" i="103"/>
  <c r="H153" i="103"/>
  <c r="I153" i="103"/>
  <c r="B154" i="103"/>
  <c r="C154" i="103"/>
  <c r="D154" i="103"/>
  <c r="R154" i="103" s="1"/>
  <c r="E154" i="103"/>
  <c r="F154" i="103"/>
  <c r="G154" i="103"/>
  <c r="H154" i="103"/>
  <c r="I154" i="103"/>
  <c r="B155" i="103"/>
  <c r="C155" i="103"/>
  <c r="D155" i="103"/>
  <c r="R155" i="103" s="1"/>
  <c r="E155" i="103"/>
  <c r="F155" i="103"/>
  <c r="G155" i="103"/>
  <c r="H155" i="103"/>
  <c r="I155" i="103"/>
  <c r="B156" i="103"/>
  <c r="C156" i="103"/>
  <c r="D156" i="103"/>
  <c r="Q156" i="103" s="1"/>
  <c r="E156" i="103"/>
  <c r="F156" i="103"/>
  <c r="G156" i="103"/>
  <c r="H156" i="103"/>
  <c r="I156" i="103"/>
  <c r="B157" i="103"/>
  <c r="C157" i="103"/>
  <c r="D157" i="103"/>
  <c r="Q157" i="103" s="1"/>
  <c r="E157" i="103"/>
  <c r="F157" i="103"/>
  <c r="G157" i="103"/>
  <c r="H157" i="103"/>
  <c r="I157" i="103"/>
  <c r="B158" i="103"/>
  <c r="C158" i="103"/>
  <c r="D158" i="103"/>
  <c r="Q158" i="103" s="1"/>
  <c r="E158" i="103"/>
  <c r="F158" i="103"/>
  <c r="G158" i="103"/>
  <c r="H158" i="103"/>
  <c r="I158" i="103"/>
  <c r="B159" i="103"/>
  <c r="C159" i="103"/>
  <c r="D159" i="103"/>
  <c r="Q159" i="103" s="1"/>
  <c r="E159" i="103"/>
  <c r="F159" i="103"/>
  <c r="G159" i="103"/>
  <c r="H159" i="103"/>
  <c r="I159" i="103"/>
  <c r="B160" i="103"/>
  <c r="C160" i="103"/>
  <c r="D160" i="103"/>
  <c r="Q160" i="103" s="1"/>
  <c r="E160" i="103"/>
  <c r="F160" i="103"/>
  <c r="G160" i="103"/>
  <c r="H160" i="103"/>
  <c r="I160" i="103"/>
  <c r="B161" i="103"/>
  <c r="C161" i="103"/>
  <c r="D161" i="103"/>
  <c r="Q161" i="103" s="1"/>
  <c r="E161" i="103"/>
  <c r="F161" i="103"/>
  <c r="G161" i="103"/>
  <c r="H161" i="103"/>
  <c r="I161" i="103"/>
  <c r="B162" i="103"/>
  <c r="C162" i="103"/>
  <c r="D162" i="103"/>
  <c r="R162" i="103" s="1"/>
  <c r="E162" i="103"/>
  <c r="F162" i="103"/>
  <c r="G162" i="103"/>
  <c r="H162" i="103"/>
  <c r="I162" i="103"/>
  <c r="B163" i="103"/>
  <c r="C163" i="103"/>
  <c r="D163" i="103"/>
  <c r="R163" i="103" s="1"/>
  <c r="E163" i="103"/>
  <c r="F163" i="103"/>
  <c r="G163" i="103"/>
  <c r="H163" i="103"/>
  <c r="I163" i="103"/>
  <c r="B164" i="103"/>
  <c r="C164" i="103"/>
  <c r="D164" i="103"/>
  <c r="R164" i="103" s="1"/>
  <c r="E164" i="103"/>
  <c r="F164" i="103"/>
  <c r="G164" i="103"/>
  <c r="H164" i="103"/>
  <c r="I164" i="103"/>
  <c r="B165" i="103"/>
  <c r="C165" i="103"/>
  <c r="D165" i="103"/>
  <c r="R165" i="103" s="1"/>
  <c r="E165" i="103"/>
  <c r="F165" i="103"/>
  <c r="G165" i="103"/>
  <c r="H165" i="103"/>
  <c r="I165" i="103"/>
  <c r="B166" i="103"/>
  <c r="C166" i="103"/>
  <c r="D166" i="103"/>
  <c r="R166" i="103" s="1"/>
  <c r="E166" i="103"/>
  <c r="F166" i="103"/>
  <c r="G166" i="103"/>
  <c r="H166" i="103"/>
  <c r="I166" i="103"/>
  <c r="B167" i="103"/>
  <c r="C167" i="103"/>
  <c r="D167" i="103"/>
  <c r="R167" i="103" s="1"/>
  <c r="E167" i="103"/>
  <c r="F167" i="103"/>
  <c r="G167" i="103"/>
  <c r="H167" i="103"/>
  <c r="I167" i="103"/>
  <c r="B168" i="103"/>
  <c r="C168" i="103"/>
  <c r="D168" i="103"/>
  <c r="R168" i="103" s="1"/>
  <c r="E168" i="103"/>
  <c r="F168" i="103"/>
  <c r="G168" i="103"/>
  <c r="H168" i="103"/>
  <c r="I168" i="103"/>
  <c r="J168" i="103" s="1"/>
  <c r="B169" i="103"/>
  <c r="C169" i="103"/>
  <c r="D169" i="103"/>
  <c r="R169" i="103" s="1"/>
  <c r="E169" i="103"/>
  <c r="F169" i="103"/>
  <c r="G169" i="103"/>
  <c r="H169" i="103"/>
  <c r="I169" i="103"/>
  <c r="J169" i="103" s="1"/>
  <c r="B170" i="103"/>
  <c r="C170" i="103"/>
  <c r="D170" i="103"/>
  <c r="R170" i="103" s="1"/>
  <c r="E170" i="103"/>
  <c r="F170" i="103"/>
  <c r="G170" i="103"/>
  <c r="H170" i="103"/>
  <c r="I170" i="103"/>
  <c r="J170" i="103" s="1"/>
  <c r="B171" i="103"/>
  <c r="C171" i="103"/>
  <c r="D171" i="103"/>
  <c r="R171" i="103" s="1"/>
  <c r="E171" i="103"/>
  <c r="F171" i="103"/>
  <c r="G171" i="103"/>
  <c r="H171" i="103"/>
  <c r="I171" i="103"/>
  <c r="J171" i="103" s="1"/>
  <c r="B172" i="103"/>
  <c r="C172" i="103"/>
  <c r="D172" i="103"/>
  <c r="Q172" i="103" s="1"/>
  <c r="E172" i="103"/>
  <c r="F172" i="103"/>
  <c r="G172" i="103"/>
  <c r="H172" i="103"/>
  <c r="I172" i="103"/>
  <c r="J172" i="103" s="1"/>
  <c r="B173" i="103"/>
  <c r="C173" i="103"/>
  <c r="D173" i="103"/>
  <c r="Q173" i="103" s="1"/>
  <c r="E173" i="103"/>
  <c r="F173" i="103"/>
  <c r="G173" i="103"/>
  <c r="H173" i="103"/>
  <c r="I173" i="103"/>
  <c r="J173" i="103" s="1"/>
  <c r="B174" i="103"/>
  <c r="C174" i="103"/>
  <c r="D174" i="103"/>
  <c r="R174" i="103" s="1"/>
  <c r="E174" i="103"/>
  <c r="F174" i="103"/>
  <c r="G174" i="103"/>
  <c r="H174" i="103"/>
  <c r="I174" i="103"/>
  <c r="J174" i="103" s="1"/>
  <c r="B175" i="103"/>
  <c r="C175" i="103"/>
  <c r="D175" i="103"/>
  <c r="R175" i="103" s="1"/>
  <c r="E175" i="103"/>
  <c r="F175" i="103"/>
  <c r="G175" i="103"/>
  <c r="H175" i="103"/>
  <c r="I175" i="103"/>
  <c r="B176" i="103"/>
  <c r="C176" i="103"/>
  <c r="D176" i="103"/>
  <c r="R176" i="103" s="1"/>
  <c r="E176" i="103"/>
  <c r="F176" i="103"/>
  <c r="G176" i="103"/>
  <c r="H176" i="103"/>
  <c r="I176" i="103"/>
  <c r="B177" i="103"/>
  <c r="C177" i="103"/>
  <c r="D177" i="103"/>
  <c r="R177" i="103" s="1"/>
  <c r="E177" i="103"/>
  <c r="F177" i="103"/>
  <c r="G177" i="103"/>
  <c r="H177" i="103"/>
  <c r="I177" i="103"/>
  <c r="B178" i="103"/>
  <c r="C178" i="103"/>
  <c r="D178" i="103"/>
  <c r="R178" i="103" s="1"/>
  <c r="E178" i="103"/>
  <c r="F178" i="103"/>
  <c r="G178" i="103"/>
  <c r="H178" i="103"/>
  <c r="I178" i="103"/>
  <c r="B179" i="103"/>
  <c r="C179" i="103"/>
  <c r="D179" i="103"/>
  <c r="R179" i="103" s="1"/>
  <c r="E179" i="103"/>
  <c r="F179" i="103"/>
  <c r="G179" i="103"/>
  <c r="H179" i="103"/>
  <c r="I179" i="103"/>
  <c r="B180" i="103"/>
  <c r="C180" i="103"/>
  <c r="D180" i="103"/>
  <c r="R180" i="103" s="1"/>
  <c r="E180" i="103"/>
  <c r="F180" i="103"/>
  <c r="G180" i="103"/>
  <c r="H180" i="103"/>
  <c r="I180" i="103"/>
  <c r="B181" i="103"/>
  <c r="C181" i="103"/>
  <c r="D181" i="103"/>
  <c r="R181" i="103" s="1"/>
  <c r="E181" i="103"/>
  <c r="F181" i="103"/>
  <c r="G181" i="103"/>
  <c r="H181" i="103"/>
  <c r="I181" i="103"/>
  <c r="B182" i="103"/>
  <c r="C182" i="103"/>
  <c r="D182" i="103"/>
  <c r="R182" i="103" s="1"/>
  <c r="E182" i="103"/>
  <c r="F182" i="103"/>
  <c r="G182" i="103"/>
  <c r="H182" i="103"/>
  <c r="I182" i="103"/>
  <c r="B183" i="103"/>
  <c r="C183" i="103"/>
  <c r="D183" i="103"/>
  <c r="Q183" i="103" s="1"/>
  <c r="E183" i="103"/>
  <c r="F183" i="103"/>
  <c r="G183" i="103"/>
  <c r="H183" i="103"/>
  <c r="I183" i="103"/>
  <c r="B184" i="103"/>
  <c r="C184" i="103"/>
  <c r="D184" i="103"/>
  <c r="Q184" i="103" s="1"/>
  <c r="E184" i="103"/>
  <c r="F184" i="103"/>
  <c r="G184" i="103"/>
  <c r="H184" i="103"/>
  <c r="I184" i="103"/>
  <c r="B185" i="103"/>
  <c r="C185" i="103"/>
  <c r="D185" i="103"/>
  <c r="Q185" i="103" s="1"/>
  <c r="E185" i="103"/>
  <c r="F185" i="103"/>
  <c r="G185" i="103"/>
  <c r="H185" i="103"/>
  <c r="I185" i="103"/>
  <c r="B186" i="103"/>
  <c r="C186" i="103"/>
  <c r="D186" i="103"/>
  <c r="Q186" i="103" s="1"/>
  <c r="E186" i="103"/>
  <c r="F186" i="103"/>
  <c r="G186" i="103"/>
  <c r="H186" i="103"/>
  <c r="I186" i="103"/>
  <c r="B187" i="103"/>
  <c r="C187" i="103"/>
  <c r="D187" i="103"/>
  <c r="Q187" i="103" s="1"/>
  <c r="E187" i="103"/>
  <c r="F187" i="103"/>
  <c r="G187" i="103"/>
  <c r="H187" i="103"/>
  <c r="I187" i="103"/>
  <c r="B188" i="103"/>
  <c r="C188" i="103"/>
  <c r="D188" i="103"/>
  <c r="Q188" i="103" s="1"/>
  <c r="E188" i="103"/>
  <c r="F188" i="103"/>
  <c r="G188" i="103"/>
  <c r="H188" i="103"/>
  <c r="I188" i="103"/>
  <c r="B189" i="103"/>
  <c r="C189" i="103"/>
  <c r="D189" i="103"/>
  <c r="Q189" i="103" s="1"/>
  <c r="E189" i="103"/>
  <c r="F189" i="103"/>
  <c r="G189" i="103"/>
  <c r="H189" i="103"/>
  <c r="I189" i="103"/>
  <c r="B190" i="103"/>
  <c r="C190" i="103"/>
  <c r="D190" i="103"/>
  <c r="R190" i="103" s="1"/>
  <c r="E190" i="103"/>
  <c r="F190" i="103"/>
  <c r="G190" i="103"/>
  <c r="H190" i="103"/>
  <c r="I190" i="103"/>
  <c r="B191" i="103"/>
  <c r="C191" i="103"/>
  <c r="D191" i="103"/>
  <c r="R191" i="103" s="1"/>
  <c r="E191" i="103"/>
  <c r="F191" i="103"/>
  <c r="G191" i="103"/>
  <c r="H191" i="103"/>
  <c r="I191" i="103"/>
  <c r="B192" i="103"/>
  <c r="C192" i="103"/>
  <c r="D192" i="103"/>
  <c r="R192" i="103" s="1"/>
  <c r="E192" i="103"/>
  <c r="F192" i="103"/>
  <c r="G192" i="103"/>
  <c r="H192" i="103"/>
  <c r="I192" i="103"/>
  <c r="B193" i="103"/>
  <c r="C193" i="103"/>
  <c r="D193" i="103"/>
  <c r="R193" i="103" s="1"/>
  <c r="E193" i="103"/>
  <c r="F193" i="103"/>
  <c r="G193" i="103"/>
  <c r="H193" i="103"/>
  <c r="I193" i="103"/>
  <c r="B194" i="103"/>
  <c r="C194" i="103"/>
  <c r="D194" i="103"/>
  <c r="R194" i="103" s="1"/>
  <c r="E194" i="103"/>
  <c r="F194" i="103"/>
  <c r="G194" i="103"/>
  <c r="H194" i="103"/>
  <c r="I194" i="103"/>
  <c r="B195" i="103"/>
  <c r="C195" i="103"/>
  <c r="D195" i="103"/>
  <c r="R195" i="103" s="1"/>
  <c r="E195" i="103"/>
  <c r="F195" i="103"/>
  <c r="G195" i="103"/>
  <c r="H195" i="103"/>
  <c r="I195" i="103"/>
  <c r="B196" i="103"/>
  <c r="C196" i="103"/>
  <c r="D196" i="103"/>
  <c r="R196" i="103" s="1"/>
  <c r="E196" i="103"/>
  <c r="F196" i="103"/>
  <c r="G196" i="103"/>
  <c r="H196" i="103"/>
  <c r="I196" i="103"/>
  <c r="B197" i="103"/>
  <c r="C197" i="103"/>
  <c r="D197" i="103"/>
  <c r="R197" i="103" s="1"/>
  <c r="E197" i="103"/>
  <c r="F197" i="103"/>
  <c r="G197" i="103"/>
  <c r="H197" i="103"/>
  <c r="I197" i="103"/>
  <c r="B198" i="103"/>
  <c r="C198" i="103"/>
  <c r="D198" i="103"/>
  <c r="Q198" i="103" s="1"/>
  <c r="E198" i="103"/>
  <c r="F198" i="103"/>
  <c r="G198" i="103"/>
  <c r="H198" i="103"/>
  <c r="I198" i="103"/>
  <c r="B199" i="103"/>
  <c r="C199" i="103"/>
  <c r="D199" i="103"/>
  <c r="Q199" i="103" s="1"/>
  <c r="E199" i="103"/>
  <c r="F199" i="103"/>
  <c r="G199" i="103"/>
  <c r="H199" i="103"/>
  <c r="I199" i="103"/>
  <c r="B200" i="103"/>
  <c r="C200" i="103"/>
  <c r="D200" i="103"/>
  <c r="E200" i="103"/>
  <c r="F200" i="103"/>
  <c r="G200" i="103"/>
  <c r="H200" i="103"/>
  <c r="I200" i="103"/>
  <c r="B201" i="103"/>
  <c r="C201" i="103"/>
  <c r="D201" i="103"/>
  <c r="R201" i="103" s="1"/>
  <c r="E201" i="103"/>
  <c r="F201" i="103"/>
  <c r="G201" i="103"/>
  <c r="H201" i="103"/>
  <c r="I201" i="103"/>
  <c r="B202" i="103"/>
  <c r="C202" i="103"/>
  <c r="D202" i="103"/>
  <c r="R202" i="103" s="1"/>
  <c r="E202" i="103"/>
  <c r="F202" i="103"/>
  <c r="G202" i="103"/>
  <c r="H202" i="103"/>
  <c r="I202" i="103"/>
  <c r="B203" i="103"/>
  <c r="C203" i="103"/>
  <c r="D203" i="103"/>
  <c r="R203" i="103" s="1"/>
  <c r="E203" i="103"/>
  <c r="F203" i="103"/>
  <c r="G203" i="103"/>
  <c r="H203" i="103"/>
  <c r="I203" i="103"/>
  <c r="B204" i="103"/>
  <c r="C204" i="103"/>
  <c r="D204" i="103"/>
  <c r="R204" i="103" s="1"/>
  <c r="E204" i="103"/>
  <c r="F204" i="103"/>
  <c r="G204" i="103"/>
  <c r="H204" i="103"/>
  <c r="I204" i="103"/>
  <c r="B205" i="103"/>
  <c r="C205" i="103"/>
  <c r="D205" i="103"/>
  <c r="R205" i="103" s="1"/>
  <c r="E205" i="103"/>
  <c r="F205" i="103"/>
  <c r="G205" i="103"/>
  <c r="H205" i="103"/>
  <c r="I205" i="103"/>
  <c r="B206" i="103"/>
  <c r="C206" i="103"/>
  <c r="D206" i="103"/>
  <c r="R206" i="103" s="1"/>
  <c r="E206" i="103"/>
  <c r="F206" i="103"/>
  <c r="G206" i="103"/>
  <c r="H206" i="103"/>
  <c r="I206" i="103"/>
  <c r="B207" i="103"/>
  <c r="C207" i="103"/>
  <c r="D207" i="103"/>
  <c r="R207" i="103" s="1"/>
  <c r="E207" i="103"/>
  <c r="F207" i="103"/>
  <c r="G207" i="103"/>
  <c r="H207" i="103"/>
  <c r="I207" i="103"/>
  <c r="B208" i="103"/>
  <c r="C208" i="103"/>
  <c r="D208" i="103"/>
  <c r="Q208" i="103" s="1"/>
  <c r="E208" i="103"/>
  <c r="F208" i="103"/>
  <c r="G208" i="103"/>
  <c r="H208" i="103"/>
  <c r="I208" i="103"/>
  <c r="B209" i="103"/>
  <c r="C209" i="103"/>
  <c r="D209" i="103"/>
  <c r="Q209" i="103" s="1"/>
  <c r="E209" i="103"/>
  <c r="F209" i="103"/>
  <c r="G209" i="103"/>
  <c r="H209" i="103"/>
  <c r="I209" i="103"/>
  <c r="B210" i="103"/>
  <c r="C210" i="103"/>
  <c r="D210" i="103"/>
  <c r="Q210" i="103" s="1"/>
  <c r="E210" i="103"/>
  <c r="F210" i="103"/>
  <c r="G210" i="103"/>
  <c r="H210" i="103"/>
  <c r="I210" i="103"/>
  <c r="B211" i="103"/>
  <c r="C211" i="103"/>
  <c r="D211" i="103"/>
  <c r="Q211" i="103" s="1"/>
  <c r="E211" i="103"/>
  <c r="F211" i="103"/>
  <c r="G211" i="103"/>
  <c r="H211" i="103"/>
  <c r="I211" i="103"/>
  <c r="B212" i="103"/>
  <c r="C212" i="103"/>
  <c r="D212" i="103"/>
  <c r="Q212" i="103" s="1"/>
  <c r="E212" i="103"/>
  <c r="F212" i="103"/>
  <c r="G212" i="103"/>
  <c r="H212" i="103"/>
  <c r="I212" i="103"/>
  <c r="B213" i="103"/>
  <c r="C213" i="103"/>
  <c r="D213" i="103"/>
  <c r="Q213" i="103" s="1"/>
  <c r="E213" i="103"/>
  <c r="F213" i="103"/>
  <c r="G213" i="103"/>
  <c r="H213" i="103"/>
  <c r="I213" i="103"/>
  <c r="J213" i="103" s="1"/>
  <c r="B214" i="103"/>
  <c r="C214" i="103"/>
  <c r="D214" i="103"/>
  <c r="Q214" i="103" s="1"/>
  <c r="E214" i="103"/>
  <c r="F214" i="103"/>
  <c r="G214" i="103"/>
  <c r="H214" i="103"/>
  <c r="I214" i="103"/>
  <c r="J214" i="103" s="1"/>
  <c r="B215" i="103"/>
  <c r="C215" i="103"/>
  <c r="D215" i="103"/>
  <c r="Q215" i="103" s="1"/>
  <c r="E215" i="103"/>
  <c r="F215" i="103"/>
  <c r="G215" i="103"/>
  <c r="H215" i="103"/>
  <c r="I215" i="103"/>
  <c r="J215" i="103" s="1"/>
  <c r="B216" i="103"/>
  <c r="C216" i="103"/>
  <c r="D216" i="103"/>
  <c r="Q216" i="103" s="1"/>
  <c r="E216" i="103"/>
  <c r="F216" i="103"/>
  <c r="G216" i="103"/>
  <c r="H216" i="103"/>
  <c r="I216" i="103"/>
  <c r="J216" i="103" s="1"/>
  <c r="B217" i="103"/>
  <c r="C217" i="103"/>
  <c r="D217" i="103"/>
  <c r="R217" i="103" s="1"/>
  <c r="E217" i="103"/>
  <c r="F217" i="103"/>
  <c r="G217" i="103"/>
  <c r="H217" i="103"/>
  <c r="I217" i="103"/>
  <c r="B218" i="103"/>
  <c r="C218" i="103"/>
  <c r="D218" i="103"/>
  <c r="Q218" i="103" s="1"/>
  <c r="E218" i="103"/>
  <c r="F218" i="103"/>
  <c r="G218" i="103"/>
  <c r="H218" i="103"/>
  <c r="I218" i="103"/>
  <c r="B219" i="103"/>
  <c r="C219" i="103"/>
  <c r="D219" i="103"/>
  <c r="R219" i="103" s="1"/>
  <c r="E219" i="103"/>
  <c r="F219" i="103"/>
  <c r="G219" i="103"/>
  <c r="H219" i="103"/>
  <c r="I219" i="103"/>
  <c r="B220" i="103"/>
  <c r="C220" i="103"/>
  <c r="D220" i="103"/>
  <c r="R220" i="103" s="1"/>
  <c r="E220" i="103"/>
  <c r="F220" i="103"/>
  <c r="G220" i="103"/>
  <c r="H220" i="103"/>
  <c r="I220" i="103"/>
  <c r="B221" i="103"/>
  <c r="C221" i="103"/>
  <c r="D221" i="103"/>
  <c r="Q221" i="103" s="1"/>
  <c r="E221" i="103"/>
  <c r="F221" i="103"/>
  <c r="G221" i="103"/>
  <c r="H221" i="103"/>
  <c r="I221" i="103"/>
  <c r="B222" i="103"/>
  <c r="C222" i="103"/>
  <c r="D222" i="103"/>
  <c r="Q222" i="103" s="1"/>
  <c r="E222" i="103"/>
  <c r="F222" i="103"/>
  <c r="G222" i="103"/>
  <c r="H222" i="103"/>
  <c r="I222" i="103"/>
  <c r="B223" i="103"/>
  <c r="C223" i="103"/>
  <c r="D223" i="103"/>
  <c r="Q223" i="103" s="1"/>
  <c r="E223" i="103"/>
  <c r="F223" i="103"/>
  <c r="G223" i="103"/>
  <c r="H223" i="103"/>
  <c r="I223" i="103"/>
  <c r="B224" i="103"/>
  <c r="C224" i="103"/>
  <c r="D224" i="103"/>
  <c r="Q224" i="103" s="1"/>
  <c r="E224" i="103"/>
  <c r="F224" i="103"/>
  <c r="G224" i="103"/>
  <c r="H224" i="103"/>
  <c r="I224" i="103"/>
  <c r="B225" i="103"/>
  <c r="C225" i="103"/>
  <c r="D225" i="103"/>
  <c r="R225" i="103" s="1"/>
  <c r="E225" i="103"/>
  <c r="F225" i="103"/>
  <c r="G225" i="103"/>
  <c r="H225" i="103"/>
  <c r="I225" i="103"/>
  <c r="B226" i="103"/>
  <c r="C226" i="103"/>
  <c r="D226" i="103"/>
  <c r="Q226" i="103" s="1"/>
  <c r="E226" i="103"/>
  <c r="F226" i="103"/>
  <c r="G226" i="103"/>
  <c r="H226" i="103"/>
  <c r="I226" i="103"/>
  <c r="B227" i="103"/>
  <c r="C227" i="103"/>
  <c r="D227" i="103"/>
  <c r="Q227" i="103" s="1"/>
  <c r="E227" i="103"/>
  <c r="F227" i="103"/>
  <c r="G227" i="103"/>
  <c r="H227" i="103"/>
  <c r="I227" i="103"/>
  <c r="B228" i="103"/>
  <c r="C228" i="103"/>
  <c r="D228" i="103"/>
  <c r="Q228" i="103" s="1"/>
  <c r="E228" i="103"/>
  <c r="F228" i="103"/>
  <c r="G228" i="103"/>
  <c r="H228" i="103"/>
  <c r="I228" i="103"/>
  <c r="B229" i="103"/>
  <c r="C229" i="103"/>
  <c r="D229" i="103"/>
  <c r="Q229" i="103" s="1"/>
  <c r="E229" i="103"/>
  <c r="F229" i="103"/>
  <c r="G229" i="103"/>
  <c r="H229" i="103"/>
  <c r="I229" i="103"/>
  <c r="B230" i="103"/>
  <c r="C230" i="103"/>
  <c r="D230" i="103"/>
  <c r="R230" i="103" s="1"/>
  <c r="E230" i="103"/>
  <c r="F230" i="103"/>
  <c r="G230" i="103"/>
  <c r="H230" i="103"/>
  <c r="I230" i="103"/>
  <c r="B231" i="103"/>
  <c r="C231" i="103"/>
  <c r="D231" i="103"/>
  <c r="Q231" i="103" s="1"/>
  <c r="E231" i="103"/>
  <c r="F231" i="103"/>
  <c r="G231" i="103"/>
  <c r="H231" i="103"/>
  <c r="I231" i="103"/>
  <c r="B232" i="103"/>
  <c r="C232" i="103"/>
  <c r="D232" i="103"/>
  <c r="Q232" i="103" s="1"/>
  <c r="E232" i="103"/>
  <c r="F232" i="103"/>
  <c r="G232" i="103"/>
  <c r="H232" i="103"/>
  <c r="I232" i="103"/>
  <c r="B233" i="103"/>
  <c r="C233" i="103"/>
  <c r="D233" i="103"/>
  <c r="Q233" i="103" s="1"/>
  <c r="E233" i="103"/>
  <c r="F233" i="103"/>
  <c r="G233" i="103"/>
  <c r="H233" i="103"/>
  <c r="I233" i="103"/>
  <c r="B234" i="103"/>
  <c r="C234" i="103"/>
  <c r="D234" i="103"/>
  <c r="Q234" i="103" s="1"/>
  <c r="E234" i="103"/>
  <c r="F234" i="103"/>
  <c r="G234" i="103"/>
  <c r="H234" i="103"/>
  <c r="I234" i="103"/>
  <c r="B235" i="103"/>
  <c r="C235" i="103"/>
  <c r="D235" i="103"/>
  <c r="R235" i="103" s="1"/>
  <c r="E235" i="103"/>
  <c r="F235" i="103"/>
  <c r="G235" i="103"/>
  <c r="H235" i="103"/>
  <c r="I235" i="103"/>
  <c r="B236" i="103"/>
  <c r="C236" i="103"/>
  <c r="D236" i="103"/>
  <c r="R236" i="103" s="1"/>
  <c r="E236" i="103"/>
  <c r="F236" i="103"/>
  <c r="G236" i="103"/>
  <c r="H236" i="103"/>
  <c r="I236" i="103"/>
  <c r="B237" i="103"/>
  <c r="C237" i="103"/>
  <c r="D237" i="103"/>
  <c r="Q237" i="103" s="1"/>
  <c r="E237" i="103"/>
  <c r="F237" i="103"/>
  <c r="G237" i="103"/>
  <c r="H237" i="103"/>
  <c r="I237" i="103"/>
  <c r="B238" i="103"/>
  <c r="C238" i="103"/>
  <c r="D238" i="103"/>
  <c r="Q238" i="103" s="1"/>
  <c r="E238" i="103"/>
  <c r="F238" i="103"/>
  <c r="G238" i="103"/>
  <c r="H238" i="103"/>
  <c r="I238" i="103"/>
  <c r="B239" i="103"/>
  <c r="C239" i="103"/>
  <c r="D239" i="103"/>
  <c r="Q239" i="103" s="1"/>
  <c r="E239" i="103"/>
  <c r="F239" i="103"/>
  <c r="G239" i="103"/>
  <c r="H239" i="103"/>
  <c r="I239" i="103"/>
  <c r="B240" i="103"/>
  <c r="C240" i="103"/>
  <c r="D240" i="103"/>
  <c r="Q240" i="103" s="1"/>
  <c r="E240" i="103"/>
  <c r="F240" i="103"/>
  <c r="G240" i="103"/>
  <c r="H240" i="103"/>
  <c r="I240" i="103"/>
  <c r="B241" i="103"/>
  <c r="C241" i="103"/>
  <c r="D241" i="103"/>
  <c r="Q241" i="103" s="1"/>
  <c r="E241" i="103"/>
  <c r="F241" i="103"/>
  <c r="G241" i="103"/>
  <c r="H241" i="103"/>
  <c r="I241" i="103"/>
  <c r="B242" i="103"/>
  <c r="C242" i="103"/>
  <c r="D242" i="103"/>
  <c r="R242" i="103" s="1"/>
  <c r="E242" i="103"/>
  <c r="F242" i="103"/>
  <c r="G242" i="103"/>
  <c r="H242" i="103"/>
  <c r="I242" i="103"/>
  <c r="B243" i="103"/>
  <c r="C243" i="103"/>
  <c r="D243" i="103"/>
  <c r="R243" i="103" s="1"/>
  <c r="E243" i="103"/>
  <c r="F243" i="103"/>
  <c r="G243" i="103"/>
  <c r="H243" i="103"/>
  <c r="I243" i="103"/>
  <c r="B244" i="103"/>
  <c r="C244" i="103"/>
  <c r="D244" i="103"/>
  <c r="Q244" i="103" s="1"/>
  <c r="E244" i="103"/>
  <c r="F244" i="103"/>
  <c r="G244" i="103"/>
  <c r="H244" i="103"/>
  <c r="I244" i="103"/>
  <c r="B245" i="103"/>
  <c r="C245" i="103"/>
  <c r="D245" i="103"/>
  <c r="R245" i="103" s="1"/>
  <c r="E245" i="103"/>
  <c r="F245" i="103"/>
  <c r="G245" i="103"/>
  <c r="H245" i="103"/>
  <c r="I245" i="103"/>
  <c r="B246" i="103"/>
  <c r="C246" i="103"/>
  <c r="D246" i="103"/>
  <c r="R246" i="103" s="1"/>
  <c r="E246" i="103"/>
  <c r="F246" i="103"/>
  <c r="G246" i="103"/>
  <c r="H246" i="103"/>
  <c r="I246" i="103"/>
  <c r="B247" i="103"/>
  <c r="C247" i="103"/>
  <c r="D247" i="103"/>
  <c r="R247" i="103" s="1"/>
  <c r="E247" i="103"/>
  <c r="F247" i="103"/>
  <c r="G247" i="103"/>
  <c r="H247" i="103"/>
  <c r="I247" i="103"/>
  <c r="B248" i="103"/>
  <c r="C248" i="103"/>
  <c r="D248" i="103"/>
  <c r="R248" i="103" s="1"/>
  <c r="E248" i="103"/>
  <c r="F248" i="103"/>
  <c r="G248" i="103"/>
  <c r="H248" i="103"/>
  <c r="I248" i="103"/>
  <c r="B249" i="103"/>
  <c r="C249" i="103"/>
  <c r="D249" i="103"/>
  <c r="R249" i="103" s="1"/>
  <c r="E249" i="103"/>
  <c r="F249" i="103"/>
  <c r="G249" i="103"/>
  <c r="H249" i="103"/>
  <c r="I249" i="103"/>
  <c r="B250" i="103"/>
  <c r="C250" i="103"/>
  <c r="D250" i="103"/>
  <c r="R250" i="103" s="1"/>
  <c r="E250" i="103"/>
  <c r="F250" i="103"/>
  <c r="G250" i="103"/>
  <c r="H250" i="103"/>
  <c r="I250" i="103"/>
  <c r="B251" i="103"/>
  <c r="C251" i="103"/>
  <c r="D251" i="103"/>
  <c r="R251" i="103" s="1"/>
  <c r="E251" i="103"/>
  <c r="F251" i="103"/>
  <c r="G251" i="103"/>
  <c r="H251" i="103"/>
  <c r="I251" i="103"/>
  <c r="B252" i="103"/>
  <c r="C252" i="103"/>
  <c r="D252" i="103"/>
  <c r="R252" i="103" s="1"/>
  <c r="E252" i="103"/>
  <c r="F252" i="103"/>
  <c r="G252" i="103"/>
  <c r="H252" i="103"/>
  <c r="I252" i="103"/>
  <c r="B253" i="103"/>
  <c r="C253" i="103"/>
  <c r="D253" i="103"/>
  <c r="Q253" i="103" s="1"/>
  <c r="E253" i="103"/>
  <c r="F253" i="103"/>
  <c r="G253" i="103"/>
  <c r="H253" i="103"/>
  <c r="I253" i="103"/>
  <c r="B254" i="103"/>
  <c r="C254" i="103"/>
  <c r="D254" i="103"/>
  <c r="Q254" i="103" s="1"/>
  <c r="E254" i="103"/>
  <c r="F254" i="103"/>
  <c r="G254" i="103"/>
  <c r="H254" i="103"/>
  <c r="I254" i="103"/>
  <c r="B255" i="103"/>
  <c r="C255" i="103"/>
  <c r="D255" i="103"/>
  <c r="R255" i="103" s="1"/>
  <c r="E255" i="103"/>
  <c r="F255" i="103"/>
  <c r="G255" i="103"/>
  <c r="H255" i="103"/>
  <c r="I255" i="103"/>
  <c r="B256" i="103"/>
  <c r="C256" i="103"/>
  <c r="D256" i="103"/>
  <c r="R256" i="103" s="1"/>
  <c r="E256" i="103"/>
  <c r="F256" i="103"/>
  <c r="G256" i="103"/>
  <c r="H256" i="103"/>
  <c r="I256" i="103"/>
  <c r="B257" i="103"/>
  <c r="C257" i="103"/>
  <c r="D257" i="103"/>
  <c r="Q257" i="103" s="1"/>
  <c r="E257" i="103"/>
  <c r="F257" i="103"/>
  <c r="G257" i="103"/>
  <c r="H257" i="103"/>
  <c r="I257" i="103"/>
  <c r="B258" i="103"/>
  <c r="C258" i="103"/>
  <c r="D258" i="103"/>
  <c r="E258" i="103"/>
  <c r="F258" i="103"/>
  <c r="G258" i="103"/>
  <c r="H258" i="103"/>
  <c r="I258" i="103"/>
  <c r="J258" i="103" s="1"/>
  <c r="B259" i="103"/>
  <c r="C259" i="103"/>
  <c r="D259" i="103"/>
  <c r="Q259" i="103" s="1"/>
  <c r="E259" i="103"/>
  <c r="F259" i="103"/>
  <c r="G259" i="103"/>
  <c r="H259" i="103"/>
  <c r="I259" i="103"/>
  <c r="J259" i="103" s="1"/>
  <c r="B260" i="103"/>
  <c r="C260" i="103"/>
  <c r="D260" i="103"/>
  <c r="R260" i="103" s="1"/>
  <c r="E260" i="103"/>
  <c r="F260" i="103"/>
  <c r="G260" i="103"/>
  <c r="H260" i="103"/>
  <c r="I260" i="103"/>
  <c r="B261" i="103"/>
  <c r="C261" i="103"/>
  <c r="D261" i="103"/>
  <c r="R261" i="103" s="1"/>
  <c r="E261" i="103"/>
  <c r="F261" i="103"/>
  <c r="G261" i="103"/>
  <c r="H261" i="103"/>
  <c r="I261" i="103"/>
  <c r="B262" i="103"/>
  <c r="C262" i="103"/>
  <c r="D262" i="103"/>
  <c r="Q262" i="103" s="1"/>
  <c r="E262" i="103"/>
  <c r="F262" i="103"/>
  <c r="G262" i="103"/>
  <c r="H262" i="103"/>
  <c r="I262" i="103"/>
  <c r="B263" i="103"/>
  <c r="C263" i="103"/>
  <c r="D263" i="103"/>
  <c r="Q263" i="103" s="1"/>
  <c r="E263" i="103"/>
  <c r="F263" i="103"/>
  <c r="G263" i="103"/>
  <c r="H263" i="103"/>
  <c r="I263" i="103"/>
  <c r="B264" i="103"/>
  <c r="C264" i="103"/>
  <c r="D264" i="103"/>
  <c r="Q264" i="103" s="1"/>
  <c r="E264" i="103"/>
  <c r="F264" i="103"/>
  <c r="G264" i="103"/>
  <c r="H264" i="103"/>
  <c r="I264" i="103"/>
  <c r="B265" i="103"/>
  <c r="C265" i="103"/>
  <c r="D265" i="103"/>
  <c r="Q265" i="103" s="1"/>
  <c r="E265" i="103"/>
  <c r="F265" i="103"/>
  <c r="G265" i="103"/>
  <c r="H265" i="103"/>
  <c r="I265" i="103"/>
  <c r="B266" i="103"/>
  <c r="C266" i="103"/>
  <c r="D266" i="103"/>
  <c r="Q266" i="103" s="1"/>
  <c r="E266" i="103"/>
  <c r="F266" i="103"/>
  <c r="G266" i="103"/>
  <c r="H266" i="103"/>
  <c r="I266" i="103"/>
  <c r="B267" i="103"/>
  <c r="C267" i="103"/>
  <c r="D267" i="103"/>
  <c r="Q267" i="103" s="1"/>
  <c r="E267" i="103"/>
  <c r="F267" i="103"/>
  <c r="G267" i="103"/>
  <c r="H267" i="103"/>
  <c r="I267" i="103"/>
  <c r="B268" i="103"/>
  <c r="C268" i="103"/>
  <c r="D268" i="103"/>
  <c r="Q268" i="103" s="1"/>
  <c r="E268" i="103"/>
  <c r="F268" i="103"/>
  <c r="G268" i="103"/>
  <c r="H268" i="103"/>
  <c r="I268" i="103"/>
  <c r="B269" i="103"/>
  <c r="C269" i="103"/>
  <c r="D269" i="103"/>
  <c r="Q269" i="103" s="1"/>
  <c r="E269" i="103"/>
  <c r="F269" i="103"/>
  <c r="G269" i="103"/>
  <c r="H269" i="103"/>
  <c r="I269" i="103"/>
  <c r="J269" i="103" s="1"/>
  <c r="B270" i="103"/>
  <c r="C270" i="103"/>
  <c r="D270" i="103"/>
  <c r="R270" i="103" s="1"/>
  <c r="E270" i="103"/>
  <c r="F270" i="103"/>
  <c r="G270" i="103"/>
  <c r="H270" i="103"/>
  <c r="I270" i="103"/>
  <c r="B271" i="103"/>
  <c r="C271" i="103"/>
  <c r="D271" i="103"/>
  <c r="Q271" i="103" s="1"/>
  <c r="E271" i="103"/>
  <c r="F271" i="103"/>
  <c r="G271" i="103"/>
  <c r="H271" i="103"/>
  <c r="I271" i="103"/>
  <c r="B4" i="99"/>
  <c r="C4" i="99"/>
  <c r="D4" i="99"/>
  <c r="R4" i="99" s="1"/>
  <c r="E4" i="99"/>
  <c r="F4" i="99"/>
  <c r="G4" i="99"/>
  <c r="H4" i="99"/>
  <c r="I4" i="99"/>
  <c r="B5" i="99"/>
  <c r="C5" i="99"/>
  <c r="D5" i="99"/>
  <c r="Q5" i="99" s="1"/>
  <c r="E5" i="99"/>
  <c r="F5" i="99"/>
  <c r="G5" i="99"/>
  <c r="H5" i="99"/>
  <c r="I5" i="99"/>
  <c r="B6" i="99"/>
  <c r="C6" i="99"/>
  <c r="D6" i="99"/>
  <c r="Q6" i="99" s="1"/>
  <c r="E6" i="99"/>
  <c r="F6" i="99"/>
  <c r="G6" i="99"/>
  <c r="H6" i="99"/>
  <c r="I6" i="99"/>
  <c r="B7" i="99"/>
  <c r="C7" i="99"/>
  <c r="D7" i="99"/>
  <c r="R7" i="99" s="1"/>
  <c r="E7" i="99"/>
  <c r="F7" i="99"/>
  <c r="G7" i="99"/>
  <c r="H7" i="99"/>
  <c r="I7" i="99"/>
  <c r="B8" i="99"/>
  <c r="C8" i="99"/>
  <c r="D8" i="99"/>
  <c r="R8" i="99" s="1"/>
  <c r="E8" i="99"/>
  <c r="F8" i="99"/>
  <c r="G8" i="99"/>
  <c r="H8" i="99"/>
  <c r="I8" i="99"/>
  <c r="B9" i="99"/>
  <c r="C9" i="99"/>
  <c r="D9" i="99"/>
  <c r="Q9" i="99" s="1"/>
  <c r="E9" i="99"/>
  <c r="F9" i="99"/>
  <c r="G9" i="99"/>
  <c r="H9" i="99"/>
  <c r="I9" i="99"/>
  <c r="B10" i="99"/>
  <c r="C10" i="99"/>
  <c r="D10" i="99"/>
  <c r="E10" i="99"/>
  <c r="F10" i="99"/>
  <c r="G10" i="99"/>
  <c r="H10" i="99"/>
  <c r="I10" i="99"/>
  <c r="B11" i="99"/>
  <c r="C11" i="99"/>
  <c r="D11" i="99"/>
  <c r="R11" i="99" s="1"/>
  <c r="E11" i="99"/>
  <c r="F11" i="99"/>
  <c r="G11" i="99"/>
  <c r="H11" i="99"/>
  <c r="I11" i="99"/>
  <c r="B12" i="99"/>
  <c r="C12" i="99"/>
  <c r="D12" i="99"/>
  <c r="R12" i="99" s="1"/>
  <c r="E12" i="99"/>
  <c r="F12" i="99"/>
  <c r="G12" i="99"/>
  <c r="H12" i="99"/>
  <c r="I12" i="99"/>
  <c r="B13" i="99"/>
  <c r="C13" i="99"/>
  <c r="D13" i="99"/>
  <c r="R13" i="99" s="1"/>
  <c r="E13" i="99"/>
  <c r="F13" i="99"/>
  <c r="G13" i="99"/>
  <c r="H13" i="99"/>
  <c r="I13" i="99"/>
  <c r="B14" i="99"/>
  <c r="C14" i="99"/>
  <c r="D14" i="99"/>
  <c r="Q14" i="99" s="1"/>
  <c r="E14" i="99"/>
  <c r="F14" i="99"/>
  <c r="G14" i="99"/>
  <c r="H14" i="99"/>
  <c r="I14" i="99"/>
  <c r="B15" i="99"/>
  <c r="C15" i="99"/>
  <c r="D15" i="99"/>
  <c r="Q15" i="99" s="1"/>
  <c r="E15" i="99"/>
  <c r="F15" i="99"/>
  <c r="G15" i="99"/>
  <c r="H15" i="99"/>
  <c r="I15" i="99"/>
  <c r="B16" i="99"/>
  <c r="C16" i="99"/>
  <c r="D16" i="99"/>
  <c r="Q16" i="99" s="1"/>
  <c r="E16" i="99"/>
  <c r="F16" i="99"/>
  <c r="G16" i="99"/>
  <c r="H16" i="99"/>
  <c r="I16" i="99"/>
  <c r="B17" i="99"/>
  <c r="C17" i="99"/>
  <c r="D17" i="99"/>
  <c r="Q17" i="99" s="1"/>
  <c r="E17" i="99"/>
  <c r="F17" i="99"/>
  <c r="G17" i="99"/>
  <c r="H17" i="99"/>
  <c r="I17" i="99"/>
  <c r="B18" i="99"/>
  <c r="C18" i="99"/>
  <c r="D18" i="99"/>
  <c r="Q18" i="99" s="1"/>
  <c r="E18" i="99"/>
  <c r="F18" i="99"/>
  <c r="G18" i="99"/>
  <c r="H18" i="99"/>
  <c r="I18" i="99"/>
  <c r="B19" i="99"/>
  <c r="C19" i="99"/>
  <c r="D19" i="99"/>
  <c r="Q19" i="99" s="1"/>
  <c r="E19" i="99"/>
  <c r="F19" i="99"/>
  <c r="G19" i="99"/>
  <c r="H19" i="99"/>
  <c r="I19" i="99"/>
  <c r="B20" i="99"/>
  <c r="C20" i="99"/>
  <c r="D20" i="99"/>
  <c r="Q20" i="99" s="1"/>
  <c r="E20" i="99"/>
  <c r="F20" i="99"/>
  <c r="G20" i="99"/>
  <c r="H20" i="99"/>
  <c r="I20" i="99"/>
  <c r="B21" i="99"/>
  <c r="C21" i="99"/>
  <c r="D21" i="99"/>
  <c r="R21" i="99" s="1"/>
  <c r="E21" i="99"/>
  <c r="F21" i="99"/>
  <c r="G21" i="99"/>
  <c r="H21" i="99"/>
  <c r="I21" i="99"/>
  <c r="B22" i="99"/>
  <c r="C22" i="99"/>
  <c r="D22" i="99"/>
  <c r="R22" i="99" s="1"/>
  <c r="E22" i="99"/>
  <c r="F22" i="99"/>
  <c r="G22" i="99"/>
  <c r="H22" i="99"/>
  <c r="I22" i="99"/>
  <c r="B23" i="99"/>
  <c r="C23" i="99"/>
  <c r="D23" i="99"/>
  <c r="R23" i="99" s="1"/>
  <c r="E23" i="99"/>
  <c r="F23" i="99"/>
  <c r="G23" i="99"/>
  <c r="H23" i="99"/>
  <c r="I23" i="99"/>
  <c r="B24" i="99"/>
  <c r="C24" i="99"/>
  <c r="D24" i="99"/>
  <c r="R24" i="99" s="1"/>
  <c r="E24" i="99"/>
  <c r="F24" i="99"/>
  <c r="G24" i="99"/>
  <c r="H24" i="99"/>
  <c r="I24" i="99"/>
  <c r="B25" i="99"/>
  <c r="C25" i="99"/>
  <c r="D25" i="99"/>
  <c r="R25" i="99" s="1"/>
  <c r="E25" i="99"/>
  <c r="F25" i="99"/>
  <c r="G25" i="99"/>
  <c r="H25" i="99"/>
  <c r="I25" i="99"/>
  <c r="B26" i="99"/>
  <c r="C26" i="99"/>
  <c r="D26" i="99"/>
  <c r="E26" i="99"/>
  <c r="F26" i="99"/>
  <c r="G26" i="99"/>
  <c r="H26" i="99"/>
  <c r="I26" i="99"/>
  <c r="B27" i="99"/>
  <c r="C27" i="99"/>
  <c r="D27" i="99"/>
  <c r="R27" i="99" s="1"/>
  <c r="E27" i="99"/>
  <c r="F27" i="99"/>
  <c r="G27" i="99"/>
  <c r="H27" i="99"/>
  <c r="I27" i="99"/>
  <c r="B28" i="99"/>
  <c r="C28" i="99"/>
  <c r="D28" i="99"/>
  <c r="R28" i="99" s="1"/>
  <c r="E28" i="99"/>
  <c r="F28" i="99"/>
  <c r="G28" i="99"/>
  <c r="H28" i="99"/>
  <c r="I28" i="99"/>
  <c r="B29" i="99"/>
  <c r="C29" i="99"/>
  <c r="D29" i="99"/>
  <c r="R29" i="99" s="1"/>
  <c r="E29" i="99"/>
  <c r="F29" i="99"/>
  <c r="G29" i="99"/>
  <c r="H29" i="99"/>
  <c r="I29" i="99"/>
  <c r="B30" i="99"/>
  <c r="C30" i="99"/>
  <c r="D30" i="99"/>
  <c r="R30" i="99" s="1"/>
  <c r="E30" i="99"/>
  <c r="F30" i="99"/>
  <c r="G30" i="99"/>
  <c r="H30" i="99"/>
  <c r="I30" i="99"/>
  <c r="B31" i="99"/>
  <c r="C31" i="99"/>
  <c r="D31" i="99"/>
  <c r="R31" i="99" s="1"/>
  <c r="E31" i="99"/>
  <c r="F31" i="99"/>
  <c r="G31" i="99"/>
  <c r="H31" i="99"/>
  <c r="I31" i="99"/>
  <c r="B32" i="99"/>
  <c r="C32" i="99"/>
  <c r="D32" i="99"/>
  <c r="Q32" i="99" s="1"/>
  <c r="E32" i="99"/>
  <c r="F32" i="99"/>
  <c r="G32" i="99"/>
  <c r="H32" i="99"/>
  <c r="I32" i="99"/>
  <c r="B33" i="99"/>
  <c r="C33" i="99"/>
  <c r="D33" i="99"/>
  <c r="Q33" i="99" s="1"/>
  <c r="E33" i="99"/>
  <c r="F33" i="99"/>
  <c r="G33" i="99"/>
  <c r="H33" i="99"/>
  <c r="I33" i="99"/>
  <c r="B34" i="99"/>
  <c r="C34" i="99"/>
  <c r="D34" i="99"/>
  <c r="R34" i="99" s="1"/>
  <c r="E34" i="99"/>
  <c r="F34" i="99"/>
  <c r="G34" i="99"/>
  <c r="H34" i="99"/>
  <c r="I34" i="99"/>
  <c r="B35" i="99"/>
  <c r="C35" i="99"/>
  <c r="D35" i="99"/>
  <c r="Q35" i="99" s="1"/>
  <c r="E35" i="99"/>
  <c r="F35" i="99"/>
  <c r="G35" i="99"/>
  <c r="H35" i="99"/>
  <c r="I35" i="99"/>
  <c r="B36" i="99"/>
  <c r="C36" i="99"/>
  <c r="D36" i="99"/>
  <c r="Q36" i="99" s="1"/>
  <c r="E36" i="99"/>
  <c r="F36" i="99"/>
  <c r="G36" i="99"/>
  <c r="H36" i="99"/>
  <c r="I36" i="99"/>
  <c r="B37" i="99"/>
  <c r="C37" i="99"/>
  <c r="D37" i="99"/>
  <c r="R37" i="99" s="1"/>
  <c r="E37" i="99"/>
  <c r="F37" i="99"/>
  <c r="G37" i="99"/>
  <c r="H37" i="99"/>
  <c r="I37" i="99"/>
  <c r="B38" i="99"/>
  <c r="C38" i="99"/>
  <c r="D38" i="99"/>
  <c r="R38" i="99" s="1"/>
  <c r="E38" i="99"/>
  <c r="F38" i="99"/>
  <c r="G38" i="99"/>
  <c r="H38" i="99"/>
  <c r="I38" i="99"/>
  <c r="B39" i="99"/>
  <c r="C39" i="99"/>
  <c r="D39" i="99"/>
  <c r="R39" i="99" s="1"/>
  <c r="E39" i="99"/>
  <c r="F39" i="99"/>
  <c r="G39" i="99"/>
  <c r="H39" i="99"/>
  <c r="I39" i="99"/>
  <c r="B40" i="99"/>
  <c r="C40" i="99"/>
  <c r="D40" i="99"/>
  <c r="R40" i="99" s="1"/>
  <c r="E40" i="99"/>
  <c r="F40" i="99"/>
  <c r="G40" i="99"/>
  <c r="H40" i="99"/>
  <c r="I40" i="99"/>
  <c r="B41" i="99"/>
  <c r="C41" i="99"/>
  <c r="D41" i="99"/>
  <c r="R41" i="99" s="1"/>
  <c r="E41" i="99"/>
  <c r="F41" i="99"/>
  <c r="G41" i="99"/>
  <c r="H41" i="99"/>
  <c r="I41" i="99"/>
  <c r="B42" i="99"/>
  <c r="C42" i="99"/>
  <c r="D42" i="99"/>
  <c r="R42" i="99" s="1"/>
  <c r="E42" i="99"/>
  <c r="F42" i="99"/>
  <c r="G42" i="99"/>
  <c r="H42" i="99"/>
  <c r="I42" i="99"/>
  <c r="B43" i="99"/>
  <c r="C43" i="99"/>
  <c r="D43" i="99"/>
  <c r="R43" i="99" s="1"/>
  <c r="E43" i="99"/>
  <c r="F43" i="99"/>
  <c r="G43" i="99"/>
  <c r="H43" i="99"/>
  <c r="I43" i="99"/>
  <c r="B44" i="99"/>
  <c r="C44" i="99"/>
  <c r="D44" i="99"/>
  <c r="R44" i="99" s="1"/>
  <c r="E44" i="99"/>
  <c r="F44" i="99"/>
  <c r="G44" i="99"/>
  <c r="H44" i="99"/>
  <c r="I44" i="99"/>
  <c r="B45" i="99"/>
  <c r="C45" i="99"/>
  <c r="D45" i="99"/>
  <c r="R45" i="99" s="1"/>
  <c r="E45" i="99"/>
  <c r="F45" i="99"/>
  <c r="G45" i="99"/>
  <c r="H45" i="99"/>
  <c r="I45" i="99"/>
  <c r="B46" i="99"/>
  <c r="C46" i="99"/>
  <c r="D46" i="99"/>
  <c r="R46" i="99" s="1"/>
  <c r="E46" i="99"/>
  <c r="F46" i="99"/>
  <c r="G46" i="99"/>
  <c r="H46" i="99"/>
  <c r="I46" i="99"/>
  <c r="J46" i="99" s="1"/>
  <c r="B47" i="99"/>
  <c r="C47" i="99"/>
  <c r="D47" i="99"/>
  <c r="R47" i="99" s="1"/>
  <c r="E47" i="99"/>
  <c r="F47" i="99"/>
  <c r="G47" i="99"/>
  <c r="H47" i="99"/>
  <c r="I47" i="99"/>
  <c r="J47" i="99" s="1"/>
  <c r="B48" i="99"/>
  <c r="C48" i="99"/>
  <c r="D48" i="99"/>
  <c r="R48" i="99" s="1"/>
  <c r="E48" i="99"/>
  <c r="F48" i="99"/>
  <c r="G48" i="99"/>
  <c r="H48" i="99"/>
  <c r="I48" i="99"/>
  <c r="J48" i="99" s="1"/>
  <c r="B49" i="99"/>
  <c r="C49" i="99"/>
  <c r="D49" i="99"/>
  <c r="R49" i="99" s="1"/>
  <c r="E49" i="99"/>
  <c r="F49" i="99"/>
  <c r="G49" i="99"/>
  <c r="H49" i="99"/>
  <c r="I49" i="99"/>
  <c r="J49" i="99" s="1"/>
  <c r="B50" i="99"/>
  <c r="C50" i="99"/>
  <c r="D50" i="99"/>
  <c r="R50" i="99" s="1"/>
  <c r="E50" i="99"/>
  <c r="F50" i="99"/>
  <c r="G50" i="99"/>
  <c r="H50" i="99"/>
  <c r="I50" i="99"/>
  <c r="J50" i="99" s="1"/>
  <c r="B51" i="99"/>
  <c r="C51" i="99"/>
  <c r="D51" i="99"/>
  <c r="R51" i="99" s="1"/>
  <c r="E51" i="99"/>
  <c r="F51" i="99"/>
  <c r="G51" i="99"/>
  <c r="H51" i="99"/>
  <c r="I51" i="99"/>
  <c r="J51" i="99" s="1"/>
  <c r="B52" i="99"/>
  <c r="C52" i="99"/>
  <c r="D52" i="99"/>
  <c r="R52" i="99" s="1"/>
  <c r="E52" i="99"/>
  <c r="F52" i="99"/>
  <c r="G52" i="99"/>
  <c r="H52" i="99"/>
  <c r="I52" i="99"/>
  <c r="J52" i="99" s="1"/>
  <c r="B53" i="99"/>
  <c r="C53" i="99"/>
  <c r="D53" i="99"/>
  <c r="R53" i="99" s="1"/>
  <c r="E53" i="99"/>
  <c r="F53" i="99"/>
  <c r="G53" i="99"/>
  <c r="H53" i="99"/>
  <c r="I53" i="99"/>
  <c r="J53" i="99" s="1"/>
  <c r="B54" i="99"/>
  <c r="C54" i="99"/>
  <c r="D54" i="99"/>
  <c r="R54" i="99" s="1"/>
  <c r="E54" i="99"/>
  <c r="F54" i="99"/>
  <c r="G54" i="99"/>
  <c r="H54" i="99"/>
  <c r="I54" i="99"/>
  <c r="J54" i="99" s="1"/>
  <c r="B55" i="99"/>
  <c r="C55" i="99"/>
  <c r="D55" i="99"/>
  <c r="R55" i="99" s="1"/>
  <c r="E55" i="99"/>
  <c r="F55" i="99"/>
  <c r="G55" i="99"/>
  <c r="H55" i="99"/>
  <c r="I55" i="99"/>
  <c r="B56" i="99"/>
  <c r="C56" i="99"/>
  <c r="D56" i="99"/>
  <c r="R56" i="99" s="1"/>
  <c r="E56" i="99"/>
  <c r="F56" i="99"/>
  <c r="G56" i="99"/>
  <c r="H56" i="99"/>
  <c r="I56" i="99"/>
  <c r="B57" i="99"/>
  <c r="C57" i="99"/>
  <c r="D57" i="99"/>
  <c r="R57" i="99" s="1"/>
  <c r="E57" i="99"/>
  <c r="F57" i="99"/>
  <c r="G57" i="99"/>
  <c r="H57" i="99"/>
  <c r="I57" i="99"/>
  <c r="J57" i="99" s="1"/>
  <c r="B58" i="99"/>
  <c r="C58" i="99"/>
  <c r="D58" i="99"/>
  <c r="R58" i="99" s="1"/>
  <c r="E58" i="99"/>
  <c r="F58" i="99"/>
  <c r="G58" i="99"/>
  <c r="H58" i="99"/>
  <c r="I58" i="99"/>
  <c r="B59" i="99"/>
  <c r="C59" i="99"/>
  <c r="D59" i="99"/>
  <c r="R59" i="99" s="1"/>
  <c r="E59" i="99"/>
  <c r="F59" i="99"/>
  <c r="G59" i="99"/>
  <c r="H59" i="99"/>
  <c r="I59" i="99"/>
  <c r="J59" i="99" s="1"/>
  <c r="B60" i="99"/>
  <c r="C60" i="99"/>
  <c r="D60" i="99"/>
  <c r="R60" i="99" s="1"/>
  <c r="E60" i="99"/>
  <c r="F60" i="99"/>
  <c r="G60" i="99"/>
  <c r="H60" i="99"/>
  <c r="I60" i="99"/>
  <c r="J60" i="99" s="1"/>
  <c r="B61" i="99"/>
  <c r="C61" i="99"/>
  <c r="D61" i="99"/>
  <c r="Q61" i="99" s="1"/>
  <c r="E61" i="99"/>
  <c r="F61" i="99"/>
  <c r="G61" i="99"/>
  <c r="H61" i="99"/>
  <c r="I61" i="99"/>
  <c r="B62" i="99"/>
  <c r="C62" i="99"/>
  <c r="D62" i="99"/>
  <c r="Q62" i="99" s="1"/>
  <c r="E62" i="99"/>
  <c r="F62" i="99"/>
  <c r="G62" i="99"/>
  <c r="H62" i="99"/>
  <c r="I62" i="99"/>
  <c r="B63" i="99"/>
  <c r="C63" i="99"/>
  <c r="D63" i="99"/>
  <c r="Q63" i="99" s="1"/>
  <c r="E63" i="99"/>
  <c r="F63" i="99"/>
  <c r="G63" i="99"/>
  <c r="H63" i="99"/>
  <c r="I63" i="99"/>
  <c r="B64" i="99"/>
  <c r="C64" i="99"/>
  <c r="D64" i="99"/>
  <c r="E64" i="99"/>
  <c r="F64" i="99"/>
  <c r="G64" i="99"/>
  <c r="H64" i="99"/>
  <c r="I64" i="99"/>
  <c r="B65" i="99"/>
  <c r="C65" i="99"/>
  <c r="D65" i="99"/>
  <c r="E65" i="99"/>
  <c r="F65" i="99"/>
  <c r="G65" i="99"/>
  <c r="H65" i="99"/>
  <c r="I65" i="99"/>
  <c r="B66" i="99"/>
  <c r="C66" i="99"/>
  <c r="D66" i="99"/>
  <c r="E66" i="99"/>
  <c r="F66" i="99"/>
  <c r="G66" i="99"/>
  <c r="H66" i="99"/>
  <c r="I66" i="99"/>
  <c r="B67" i="99"/>
  <c r="C67" i="99"/>
  <c r="D67" i="99"/>
  <c r="Q67" i="99" s="1"/>
  <c r="E67" i="99"/>
  <c r="F67" i="99"/>
  <c r="G67" i="99"/>
  <c r="H67" i="99"/>
  <c r="I67" i="99"/>
  <c r="B68" i="99"/>
  <c r="C68" i="99"/>
  <c r="D68" i="99"/>
  <c r="Q68" i="99" s="1"/>
  <c r="E68" i="99"/>
  <c r="F68" i="99"/>
  <c r="G68" i="99"/>
  <c r="H68" i="99"/>
  <c r="I68" i="99"/>
  <c r="B69" i="99"/>
  <c r="C69" i="99"/>
  <c r="D69" i="99"/>
  <c r="E69" i="99"/>
  <c r="F69" i="99"/>
  <c r="G69" i="99"/>
  <c r="H69" i="99"/>
  <c r="I69" i="99"/>
  <c r="B70" i="99"/>
  <c r="C70" i="99"/>
  <c r="D70" i="99"/>
  <c r="Q70" i="99" s="1"/>
  <c r="E70" i="99"/>
  <c r="F70" i="99"/>
  <c r="G70" i="99"/>
  <c r="H70" i="99"/>
  <c r="I70" i="99"/>
  <c r="B71" i="99"/>
  <c r="C71" i="99"/>
  <c r="D71" i="99"/>
  <c r="Q71" i="99" s="1"/>
  <c r="E71" i="99"/>
  <c r="F71" i="99"/>
  <c r="G71" i="99"/>
  <c r="H71" i="99"/>
  <c r="I71" i="99"/>
  <c r="B72" i="99"/>
  <c r="C72" i="99"/>
  <c r="D72" i="99"/>
  <c r="E72" i="99"/>
  <c r="F72" i="99"/>
  <c r="G72" i="99"/>
  <c r="H72" i="99"/>
  <c r="I72" i="99"/>
  <c r="B73" i="99"/>
  <c r="C73" i="99"/>
  <c r="D73" i="99"/>
  <c r="E73" i="99"/>
  <c r="F73" i="99"/>
  <c r="G73" i="99"/>
  <c r="H73" i="99"/>
  <c r="I73" i="99"/>
  <c r="B74" i="99"/>
  <c r="C74" i="99"/>
  <c r="D74" i="99"/>
  <c r="Q74" i="99" s="1"/>
  <c r="E74" i="99"/>
  <c r="F74" i="99"/>
  <c r="G74" i="99"/>
  <c r="H74" i="99"/>
  <c r="I74" i="99"/>
  <c r="B75" i="99"/>
  <c r="C75" i="99"/>
  <c r="D75" i="99"/>
  <c r="E75" i="99"/>
  <c r="F75" i="99"/>
  <c r="G75" i="99"/>
  <c r="H75" i="99"/>
  <c r="I75" i="99"/>
  <c r="B76" i="99"/>
  <c r="C76" i="99"/>
  <c r="D76" i="99"/>
  <c r="Q76" i="99" s="1"/>
  <c r="E76" i="99"/>
  <c r="F76" i="99"/>
  <c r="G76" i="99"/>
  <c r="H76" i="99"/>
  <c r="I76" i="99"/>
  <c r="B77" i="99"/>
  <c r="C77" i="99"/>
  <c r="D77" i="99"/>
  <c r="E77" i="99"/>
  <c r="F77" i="99"/>
  <c r="G77" i="99"/>
  <c r="H77" i="99"/>
  <c r="I77" i="99"/>
  <c r="B78" i="99"/>
  <c r="C78" i="99"/>
  <c r="D78" i="99"/>
  <c r="Q78" i="99" s="1"/>
  <c r="E78" i="99"/>
  <c r="F78" i="99"/>
  <c r="G78" i="99"/>
  <c r="H78" i="99"/>
  <c r="I78" i="99"/>
  <c r="B79" i="99"/>
  <c r="C79" i="99"/>
  <c r="D79" i="99"/>
  <c r="E79" i="99"/>
  <c r="F79" i="99"/>
  <c r="G79" i="99"/>
  <c r="H79" i="99"/>
  <c r="I79" i="99"/>
  <c r="B80" i="99"/>
  <c r="C80" i="99"/>
  <c r="D80" i="99"/>
  <c r="E80" i="99"/>
  <c r="F80" i="99"/>
  <c r="G80" i="99"/>
  <c r="H80" i="99"/>
  <c r="I80" i="99"/>
  <c r="B81" i="99"/>
  <c r="C81" i="99"/>
  <c r="D81" i="99"/>
  <c r="Q81" i="99" s="1"/>
  <c r="E81" i="99"/>
  <c r="F81" i="99"/>
  <c r="G81" i="99"/>
  <c r="H81" i="99"/>
  <c r="I81" i="99"/>
  <c r="B82" i="99"/>
  <c r="C82" i="99"/>
  <c r="D82" i="99"/>
  <c r="E82" i="99"/>
  <c r="F82" i="99"/>
  <c r="G82" i="99"/>
  <c r="H82" i="99"/>
  <c r="I82" i="99"/>
  <c r="B83" i="99"/>
  <c r="C83" i="99"/>
  <c r="D83" i="99"/>
  <c r="Q83" i="99" s="1"/>
  <c r="E83" i="99"/>
  <c r="F83" i="99"/>
  <c r="G83" i="99"/>
  <c r="H83" i="99"/>
  <c r="I83" i="99"/>
  <c r="B84" i="99"/>
  <c r="C84" i="99"/>
  <c r="D84" i="99"/>
  <c r="Q84" i="99" s="1"/>
  <c r="E84" i="99"/>
  <c r="F84" i="99"/>
  <c r="G84" i="99"/>
  <c r="H84" i="99"/>
  <c r="I84" i="99"/>
  <c r="B85" i="99"/>
  <c r="C85" i="99"/>
  <c r="D85" i="99"/>
  <c r="E85" i="99"/>
  <c r="F85" i="99"/>
  <c r="G85" i="99"/>
  <c r="H85" i="99"/>
  <c r="I85" i="99"/>
  <c r="B86" i="99"/>
  <c r="C86" i="99"/>
  <c r="D86" i="99"/>
  <c r="Q86" i="99" s="1"/>
  <c r="E86" i="99"/>
  <c r="F86" i="99"/>
  <c r="G86" i="99"/>
  <c r="H86" i="99"/>
  <c r="I86" i="99"/>
  <c r="B87" i="99"/>
  <c r="C87" i="99"/>
  <c r="D87" i="99"/>
  <c r="Q87" i="99" s="1"/>
  <c r="E87" i="99"/>
  <c r="F87" i="99"/>
  <c r="G87" i="99"/>
  <c r="H87" i="99"/>
  <c r="I87" i="99"/>
  <c r="B88" i="99"/>
  <c r="C88" i="99"/>
  <c r="D88" i="99"/>
  <c r="E88" i="99"/>
  <c r="F88" i="99"/>
  <c r="G88" i="99"/>
  <c r="H88" i="99"/>
  <c r="I88" i="99"/>
  <c r="B89" i="99"/>
  <c r="C89" i="99"/>
  <c r="D89" i="99"/>
  <c r="E89" i="99"/>
  <c r="F89" i="99"/>
  <c r="G89" i="99"/>
  <c r="H89" i="99"/>
  <c r="I89" i="99"/>
  <c r="B90" i="99"/>
  <c r="C90" i="99"/>
  <c r="D90" i="99"/>
  <c r="E90" i="99"/>
  <c r="F90" i="99"/>
  <c r="G90" i="99"/>
  <c r="H90" i="99"/>
  <c r="I90" i="99"/>
  <c r="B91" i="99"/>
  <c r="C91" i="99"/>
  <c r="D91" i="99"/>
  <c r="Q91" i="99" s="1"/>
  <c r="E91" i="99"/>
  <c r="F91" i="99"/>
  <c r="G91" i="99"/>
  <c r="H91" i="99"/>
  <c r="I91" i="99"/>
  <c r="B92" i="99"/>
  <c r="C92" i="99"/>
  <c r="D92" i="99"/>
  <c r="Q92" i="99" s="1"/>
  <c r="E92" i="99"/>
  <c r="F92" i="99"/>
  <c r="G92" i="99"/>
  <c r="H92" i="99"/>
  <c r="I92" i="99"/>
  <c r="B93" i="99"/>
  <c r="C93" i="99"/>
  <c r="D93" i="99"/>
  <c r="E93" i="99"/>
  <c r="F93" i="99"/>
  <c r="G93" i="99"/>
  <c r="H93" i="99"/>
  <c r="I93" i="99"/>
  <c r="B94" i="99"/>
  <c r="C94" i="99"/>
  <c r="D94" i="99"/>
  <c r="Q94" i="99" s="1"/>
  <c r="E94" i="99"/>
  <c r="F94" i="99"/>
  <c r="G94" i="99"/>
  <c r="H94" i="99"/>
  <c r="I94" i="99"/>
  <c r="B95" i="99"/>
  <c r="C95" i="99"/>
  <c r="D95" i="99"/>
  <c r="Q95" i="99" s="1"/>
  <c r="E95" i="99"/>
  <c r="F95" i="99"/>
  <c r="G95" i="99"/>
  <c r="H95" i="99"/>
  <c r="I95" i="99"/>
  <c r="B96" i="99"/>
  <c r="C96" i="99"/>
  <c r="D96" i="99"/>
  <c r="Q96" i="99" s="1"/>
  <c r="E96" i="99"/>
  <c r="F96" i="99"/>
  <c r="G96" i="99"/>
  <c r="H96" i="99"/>
  <c r="I96" i="99"/>
  <c r="B97" i="99"/>
  <c r="C97" i="99"/>
  <c r="D97" i="99"/>
  <c r="E97" i="99"/>
  <c r="F97" i="99"/>
  <c r="G97" i="99"/>
  <c r="H97" i="99"/>
  <c r="I97" i="99"/>
  <c r="B98" i="99"/>
  <c r="C98" i="99"/>
  <c r="D98" i="99"/>
  <c r="R98" i="99" s="1"/>
  <c r="E98" i="99"/>
  <c r="F98" i="99"/>
  <c r="G98" i="99"/>
  <c r="H98" i="99"/>
  <c r="I98" i="99"/>
  <c r="B99" i="99"/>
  <c r="C99" i="99"/>
  <c r="D99" i="99"/>
  <c r="E99" i="99"/>
  <c r="F99" i="99"/>
  <c r="G99" i="99"/>
  <c r="H99" i="99"/>
  <c r="I99" i="99"/>
  <c r="B100" i="99"/>
  <c r="C100" i="99"/>
  <c r="D100" i="99"/>
  <c r="R100" i="99" s="1"/>
  <c r="E100" i="99"/>
  <c r="F100" i="99"/>
  <c r="G100" i="99"/>
  <c r="H100" i="99"/>
  <c r="I100" i="99"/>
  <c r="B101" i="99"/>
  <c r="C101" i="99"/>
  <c r="D101" i="99"/>
  <c r="E101" i="99"/>
  <c r="F101" i="99"/>
  <c r="G101" i="99"/>
  <c r="H101" i="99"/>
  <c r="I101" i="99"/>
  <c r="B102" i="99"/>
  <c r="C102" i="99"/>
  <c r="D102" i="99"/>
  <c r="R102" i="99" s="1"/>
  <c r="E102" i="99"/>
  <c r="F102" i="99"/>
  <c r="G102" i="99"/>
  <c r="H102" i="99"/>
  <c r="I102" i="99"/>
  <c r="B103" i="99"/>
  <c r="C103" i="99"/>
  <c r="D103" i="99"/>
  <c r="E103" i="99"/>
  <c r="F103" i="99"/>
  <c r="G103" i="99"/>
  <c r="H103" i="99"/>
  <c r="I103" i="99"/>
  <c r="B104" i="99"/>
  <c r="C104" i="99"/>
  <c r="D104" i="99"/>
  <c r="E104" i="99"/>
  <c r="F104" i="99"/>
  <c r="G104" i="99"/>
  <c r="H104" i="99"/>
  <c r="I104" i="99"/>
  <c r="B105" i="99"/>
  <c r="C105" i="99"/>
  <c r="D105" i="99"/>
  <c r="Q105" i="99" s="1"/>
  <c r="E105" i="99"/>
  <c r="F105" i="99"/>
  <c r="G105" i="99"/>
  <c r="H105" i="99"/>
  <c r="I105" i="99"/>
  <c r="B106" i="99"/>
  <c r="C106" i="99"/>
  <c r="D106" i="99"/>
  <c r="R106" i="99" s="1"/>
  <c r="E106" i="99"/>
  <c r="F106" i="99"/>
  <c r="G106" i="99"/>
  <c r="H106" i="99"/>
  <c r="I106" i="99"/>
  <c r="B107" i="99"/>
  <c r="C107" i="99"/>
  <c r="D107" i="99"/>
  <c r="E107" i="99"/>
  <c r="F107" i="99"/>
  <c r="G107" i="99"/>
  <c r="H107" i="99"/>
  <c r="I107" i="99"/>
  <c r="B108" i="99"/>
  <c r="C108" i="99"/>
  <c r="D108" i="99"/>
  <c r="Q108" i="99" s="1"/>
  <c r="E108" i="99"/>
  <c r="F108" i="99"/>
  <c r="G108" i="99"/>
  <c r="H108" i="99"/>
  <c r="I108" i="99"/>
  <c r="B109" i="99"/>
  <c r="C109" i="99"/>
  <c r="D109" i="99"/>
  <c r="Q109" i="99" s="1"/>
  <c r="E109" i="99"/>
  <c r="F109" i="99"/>
  <c r="G109" i="99"/>
  <c r="H109" i="99"/>
  <c r="I109" i="99"/>
  <c r="B110" i="99"/>
  <c r="C110" i="99"/>
  <c r="D110" i="99"/>
  <c r="Q110" i="99" s="1"/>
  <c r="E110" i="99"/>
  <c r="F110" i="99"/>
  <c r="G110" i="99"/>
  <c r="H110" i="99"/>
  <c r="I110" i="99"/>
  <c r="B111" i="99"/>
  <c r="C111" i="99"/>
  <c r="D111" i="99"/>
  <c r="E111" i="99"/>
  <c r="F111" i="99"/>
  <c r="G111" i="99"/>
  <c r="H111" i="99"/>
  <c r="I111" i="99"/>
  <c r="B112" i="99"/>
  <c r="C112" i="99"/>
  <c r="D112" i="99"/>
  <c r="E112" i="99"/>
  <c r="F112" i="99"/>
  <c r="G112" i="99"/>
  <c r="H112" i="99"/>
  <c r="I112" i="99"/>
  <c r="B113" i="99"/>
  <c r="C113" i="99"/>
  <c r="D113" i="99"/>
  <c r="E113" i="99"/>
  <c r="F113" i="99"/>
  <c r="G113" i="99"/>
  <c r="H113" i="99"/>
  <c r="I113" i="99"/>
  <c r="B114" i="99"/>
  <c r="C114" i="99"/>
  <c r="D114" i="99"/>
  <c r="Q114" i="99" s="1"/>
  <c r="E114" i="99"/>
  <c r="F114" i="99"/>
  <c r="G114" i="99"/>
  <c r="H114" i="99"/>
  <c r="I114" i="99"/>
  <c r="B115" i="99"/>
  <c r="C115" i="99"/>
  <c r="D115" i="99"/>
  <c r="Q115" i="99" s="1"/>
  <c r="E115" i="99"/>
  <c r="F115" i="99"/>
  <c r="G115" i="99"/>
  <c r="H115" i="99"/>
  <c r="I115" i="99"/>
  <c r="B116" i="99"/>
  <c r="C116" i="99"/>
  <c r="D116" i="99"/>
  <c r="Q116" i="99" s="1"/>
  <c r="E116" i="99"/>
  <c r="F116" i="99"/>
  <c r="G116" i="99"/>
  <c r="H116" i="99"/>
  <c r="I116" i="99"/>
  <c r="B117" i="99"/>
  <c r="C117" i="99"/>
  <c r="D117" i="99"/>
  <c r="R117" i="99" s="1"/>
  <c r="E117" i="99"/>
  <c r="F117" i="99"/>
  <c r="G117" i="99"/>
  <c r="H117" i="99"/>
  <c r="I117" i="99"/>
  <c r="B118" i="99"/>
  <c r="C118" i="99"/>
  <c r="D118" i="99"/>
  <c r="Q118" i="99" s="1"/>
  <c r="E118" i="99"/>
  <c r="F118" i="99"/>
  <c r="G118" i="99"/>
  <c r="H118" i="99"/>
  <c r="I118" i="99"/>
  <c r="B119" i="99"/>
  <c r="C119" i="99"/>
  <c r="D119" i="99"/>
  <c r="R119" i="99" s="1"/>
  <c r="E119" i="99"/>
  <c r="F119" i="99"/>
  <c r="G119" i="99"/>
  <c r="H119" i="99"/>
  <c r="I119" i="99"/>
  <c r="B120" i="99"/>
  <c r="C120" i="99"/>
  <c r="D120" i="99"/>
  <c r="R120" i="99" s="1"/>
  <c r="E120" i="99"/>
  <c r="F120" i="99"/>
  <c r="G120" i="99"/>
  <c r="H120" i="99"/>
  <c r="I120" i="99"/>
  <c r="B121" i="99"/>
  <c r="C121" i="99"/>
  <c r="D121" i="99"/>
  <c r="R121" i="99" s="1"/>
  <c r="E121" i="99"/>
  <c r="F121" i="99"/>
  <c r="G121" i="99"/>
  <c r="H121" i="99"/>
  <c r="I121" i="99"/>
  <c r="B122" i="99"/>
  <c r="C122" i="99"/>
  <c r="D122" i="99"/>
  <c r="R122" i="99" s="1"/>
  <c r="E122" i="99"/>
  <c r="F122" i="99"/>
  <c r="G122" i="99"/>
  <c r="H122" i="99"/>
  <c r="I122" i="99"/>
  <c r="B123" i="99"/>
  <c r="C123" i="99"/>
  <c r="D123" i="99"/>
  <c r="Q123" i="99" s="1"/>
  <c r="E123" i="99"/>
  <c r="F123" i="99"/>
  <c r="G123" i="99"/>
  <c r="H123" i="99"/>
  <c r="I123" i="99"/>
  <c r="B124" i="99"/>
  <c r="C124" i="99"/>
  <c r="D124" i="99"/>
  <c r="Q124" i="99" s="1"/>
  <c r="E124" i="99"/>
  <c r="F124" i="99"/>
  <c r="G124" i="99"/>
  <c r="H124" i="99"/>
  <c r="I124" i="99"/>
  <c r="B125" i="99"/>
  <c r="C125" i="99"/>
  <c r="D125" i="99"/>
  <c r="Q125" i="99" s="1"/>
  <c r="E125" i="99"/>
  <c r="F125" i="99"/>
  <c r="G125" i="99"/>
  <c r="H125" i="99"/>
  <c r="I125" i="99"/>
  <c r="B126" i="99"/>
  <c r="C126" i="99"/>
  <c r="D126" i="99"/>
  <c r="R126" i="99" s="1"/>
  <c r="E126" i="99"/>
  <c r="F126" i="99"/>
  <c r="G126" i="99"/>
  <c r="H126" i="99"/>
  <c r="I126" i="99"/>
  <c r="B127" i="99"/>
  <c r="C127" i="99"/>
  <c r="D127" i="99"/>
  <c r="R127" i="99" s="1"/>
  <c r="E127" i="99"/>
  <c r="F127" i="99"/>
  <c r="G127" i="99"/>
  <c r="H127" i="99"/>
  <c r="I127" i="99"/>
  <c r="B128" i="99"/>
  <c r="C128" i="99"/>
  <c r="D128" i="99"/>
  <c r="R128" i="99" s="1"/>
  <c r="E128" i="99"/>
  <c r="F128" i="99"/>
  <c r="G128" i="99"/>
  <c r="H128" i="99"/>
  <c r="I128" i="99"/>
  <c r="B129" i="99"/>
  <c r="C129" i="99"/>
  <c r="D129" i="99"/>
  <c r="R129" i="99" s="1"/>
  <c r="E129" i="99"/>
  <c r="F129" i="99"/>
  <c r="G129" i="99"/>
  <c r="H129" i="99"/>
  <c r="I129" i="99"/>
  <c r="B130" i="99"/>
  <c r="C130" i="99"/>
  <c r="D130" i="99"/>
  <c r="Q130" i="99" s="1"/>
  <c r="E130" i="99"/>
  <c r="F130" i="99"/>
  <c r="G130" i="99"/>
  <c r="H130" i="99"/>
  <c r="I130" i="99"/>
  <c r="B131" i="99"/>
  <c r="C131" i="99"/>
  <c r="D131" i="99"/>
  <c r="Q131" i="99" s="1"/>
  <c r="E131" i="99"/>
  <c r="F131" i="99"/>
  <c r="G131" i="99"/>
  <c r="H131" i="99"/>
  <c r="I131" i="99"/>
  <c r="B132" i="99"/>
  <c r="C132" i="99"/>
  <c r="D132" i="99"/>
  <c r="Q132" i="99" s="1"/>
  <c r="E132" i="99"/>
  <c r="F132" i="99"/>
  <c r="G132" i="99"/>
  <c r="H132" i="99"/>
  <c r="I132" i="99"/>
  <c r="J132" i="99" s="1"/>
  <c r="B133" i="99"/>
  <c r="C133" i="99"/>
  <c r="D133" i="99"/>
  <c r="Q133" i="99" s="1"/>
  <c r="E133" i="99"/>
  <c r="F133" i="99"/>
  <c r="G133" i="99"/>
  <c r="H133" i="99"/>
  <c r="I133" i="99"/>
  <c r="J133" i="99" s="1"/>
  <c r="B134" i="99"/>
  <c r="C134" i="99"/>
  <c r="D134" i="99"/>
  <c r="Q134" i="99" s="1"/>
  <c r="E134" i="99"/>
  <c r="F134" i="99"/>
  <c r="G134" i="99"/>
  <c r="H134" i="99"/>
  <c r="I134" i="99"/>
  <c r="J134" i="99" s="1"/>
  <c r="B135" i="99"/>
  <c r="C135" i="99"/>
  <c r="D135" i="99"/>
  <c r="Q135" i="99" s="1"/>
  <c r="E135" i="99"/>
  <c r="F135" i="99"/>
  <c r="G135" i="99"/>
  <c r="H135" i="99"/>
  <c r="I135" i="99"/>
  <c r="J135" i="99" s="1"/>
  <c r="B136" i="99"/>
  <c r="C136" i="99"/>
  <c r="D136" i="99"/>
  <c r="Q136" i="99" s="1"/>
  <c r="E136" i="99"/>
  <c r="F136" i="99"/>
  <c r="G136" i="99"/>
  <c r="H136" i="99"/>
  <c r="I136" i="99"/>
  <c r="J136" i="99" s="1"/>
  <c r="B137" i="99"/>
  <c r="C137" i="99"/>
  <c r="D137" i="99"/>
  <c r="Q137" i="99" s="1"/>
  <c r="E137" i="99"/>
  <c r="F137" i="99"/>
  <c r="G137" i="99"/>
  <c r="H137" i="99"/>
  <c r="I137" i="99"/>
  <c r="J137" i="99" s="1"/>
  <c r="B138" i="99"/>
  <c r="C138" i="99"/>
  <c r="D138" i="99"/>
  <c r="R138" i="99" s="1"/>
  <c r="E138" i="99"/>
  <c r="F138" i="99"/>
  <c r="G138" i="99"/>
  <c r="H138" i="99"/>
  <c r="I138" i="99"/>
  <c r="B139" i="99"/>
  <c r="C139" i="99"/>
  <c r="D139" i="99"/>
  <c r="R139" i="99" s="1"/>
  <c r="E139" i="99"/>
  <c r="F139" i="99"/>
  <c r="G139" i="99"/>
  <c r="H139" i="99"/>
  <c r="I139" i="99"/>
  <c r="B140" i="99"/>
  <c r="C140" i="99"/>
  <c r="D140" i="99"/>
  <c r="R140" i="99" s="1"/>
  <c r="E140" i="99"/>
  <c r="F140" i="99"/>
  <c r="G140" i="99"/>
  <c r="H140" i="99"/>
  <c r="I140" i="99"/>
  <c r="B141" i="99"/>
  <c r="C141" i="99"/>
  <c r="D141" i="99"/>
  <c r="R141" i="99" s="1"/>
  <c r="E141" i="99"/>
  <c r="F141" i="99"/>
  <c r="G141" i="99"/>
  <c r="H141" i="99"/>
  <c r="I141" i="99"/>
  <c r="B142" i="99"/>
  <c r="C142" i="99"/>
  <c r="D142" i="99"/>
  <c r="Q142" i="99" s="1"/>
  <c r="E142" i="99"/>
  <c r="F142" i="99"/>
  <c r="G142" i="99"/>
  <c r="H142" i="99"/>
  <c r="I142" i="99"/>
  <c r="B143" i="99"/>
  <c r="C143" i="99"/>
  <c r="D143" i="99"/>
  <c r="R143" i="99" s="1"/>
  <c r="E143" i="99"/>
  <c r="F143" i="99"/>
  <c r="G143" i="99"/>
  <c r="H143" i="99"/>
  <c r="I143" i="99"/>
  <c r="B144" i="99"/>
  <c r="C144" i="99"/>
  <c r="D144" i="99"/>
  <c r="R144" i="99" s="1"/>
  <c r="E144" i="99"/>
  <c r="F144" i="99"/>
  <c r="G144" i="99"/>
  <c r="H144" i="99"/>
  <c r="I144" i="99"/>
  <c r="B145" i="99"/>
  <c r="C145" i="99"/>
  <c r="D145" i="99"/>
  <c r="R145" i="99" s="1"/>
  <c r="E145" i="99"/>
  <c r="F145" i="99"/>
  <c r="G145" i="99"/>
  <c r="H145" i="99"/>
  <c r="I145" i="99"/>
  <c r="B146" i="99"/>
  <c r="C146" i="99"/>
  <c r="D146" i="99"/>
  <c r="R146" i="99" s="1"/>
  <c r="E146" i="99"/>
  <c r="F146" i="99"/>
  <c r="G146" i="99"/>
  <c r="H146" i="99"/>
  <c r="I146" i="99"/>
  <c r="B147" i="99"/>
  <c r="C147" i="99"/>
  <c r="D147" i="99"/>
  <c r="R147" i="99" s="1"/>
  <c r="E147" i="99"/>
  <c r="F147" i="99"/>
  <c r="G147" i="99"/>
  <c r="H147" i="99"/>
  <c r="I147" i="99"/>
  <c r="B148" i="99"/>
  <c r="C148" i="99"/>
  <c r="D148" i="99"/>
  <c r="R148" i="99" s="1"/>
  <c r="E148" i="99"/>
  <c r="F148" i="99"/>
  <c r="G148" i="99"/>
  <c r="H148" i="99"/>
  <c r="I148" i="99"/>
  <c r="B149" i="99"/>
  <c r="C149" i="99"/>
  <c r="D149" i="99"/>
  <c r="R149" i="99" s="1"/>
  <c r="E149" i="99"/>
  <c r="F149" i="99"/>
  <c r="G149" i="99"/>
  <c r="H149" i="99"/>
  <c r="I149" i="99"/>
  <c r="B150" i="99"/>
  <c r="C150" i="99"/>
  <c r="D150" i="99"/>
  <c r="R150" i="99" s="1"/>
  <c r="E150" i="99"/>
  <c r="F150" i="99"/>
  <c r="G150" i="99"/>
  <c r="H150" i="99"/>
  <c r="I150" i="99"/>
  <c r="B151" i="99"/>
  <c r="C151" i="99"/>
  <c r="D151" i="99"/>
  <c r="R151" i="99" s="1"/>
  <c r="E151" i="99"/>
  <c r="F151" i="99"/>
  <c r="G151" i="99"/>
  <c r="H151" i="99"/>
  <c r="I151" i="99"/>
  <c r="B152" i="99"/>
  <c r="C152" i="99"/>
  <c r="D152" i="99"/>
  <c r="R152" i="99" s="1"/>
  <c r="E152" i="99"/>
  <c r="F152" i="99"/>
  <c r="G152" i="99"/>
  <c r="H152" i="99"/>
  <c r="I152" i="99"/>
  <c r="B153" i="99"/>
  <c r="C153" i="99"/>
  <c r="D153" i="99"/>
  <c r="R153" i="99" s="1"/>
  <c r="E153" i="99"/>
  <c r="F153" i="99"/>
  <c r="G153" i="99"/>
  <c r="H153" i="99"/>
  <c r="I153" i="99"/>
  <c r="B154" i="99"/>
  <c r="C154" i="99"/>
  <c r="D154" i="99"/>
  <c r="R154" i="99" s="1"/>
  <c r="E154" i="99"/>
  <c r="F154" i="99"/>
  <c r="G154" i="99"/>
  <c r="H154" i="99"/>
  <c r="I154" i="99"/>
  <c r="B155" i="99"/>
  <c r="C155" i="99"/>
  <c r="D155" i="99"/>
  <c r="R155" i="99" s="1"/>
  <c r="E155" i="99"/>
  <c r="F155" i="99"/>
  <c r="G155" i="99"/>
  <c r="H155" i="99"/>
  <c r="I155" i="99"/>
  <c r="B156" i="99"/>
  <c r="C156" i="99"/>
  <c r="D156" i="99"/>
  <c r="Q156" i="99" s="1"/>
  <c r="E156" i="99"/>
  <c r="F156" i="99"/>
  <c r="G156" i="99"/>
  <c r="H156" i="99"/>
  <c r="I156" i="99"/>
  <c r="B157" i="99"/>
  <c r="C157" i="99"/>
  <c r="D157" i="99"/>
  <c r="Q157" i="99" s="1"/>
  <c r="E157" i="99"/>
  <c r="F157" i="99"/>
  <c r="G157" i="99"/>
  <c r="H157" i="99"/>
  <c r="I157" i="99"/>
  <c r="B158" i="99"/>
  <c r="C158" i="99"/>
  <c r="D158" i="99"/>
  <c r="Q158" i="99" s="1"/>
  <c r="E158" i="99"/>
  <c r="F158" i="99"/>
  <c r="G158" i="99"/>
  <c r="H158" i="99"/>
  <c r="I158" i="99"/>
  <c r="B159" i="99"/>
  <c r="C159" i="99"/>
  <c r="D159" i="99"/>
  <c r="Q159" i="99" s="1"/>
  <c r="E159" i="99"/>
  <c r="F159" i="99"/>
  <c r="G159" i="99"/>
  <c r="H159" i="99"/>
  <c r="I159" i="99"/>
  <c r="B160" i="99"/>
  <c r="C160" i="99"/>
  <c r="D160" i="99"/>
  <c r="Q160" i="99" s="1"/>
  <c r="E160" i="99"/>
  <c r="F160" i="99"/>
  <c r="G160" i="99"/>
  <c r="H160" i="99"/>
  <c r="I160" i="99"/>
  <c r="B161" i="99"/>
  <c r="C161" i="99"/>
  <c r="D161" i="99"/>
  <c r="Q161" i="99" s="1"/>
  <c r="E161" i="99"/>
  <c r="F161" i="99"/>
  <c r="G161" i="99"/>
  <c r="H161" i="99"/>
  <c r="I161" i="99"/>
  <c r="B162" i="99"/>
  <c r="C162" i="99"/>
  <c r="D162" i="99"/>
  <c r="R162" i="99" s="1"/>
  <c r="E162" i="99"/>
  <c r="F162" i="99"/>
  <c r="G162" i="99"/>
  <c r="H162" i="99"/>
  <c r="I162" i="99"/>
  <c r="B163" i="99"/>
  <c r="C163" i="99"/>
  <c r="D163" i="99"/>
  <c r="R163" i="99" s="1"/>
  <c r="E163" i="99"/>
  <c r="F163" i="99"/>
  <c r="G163" i="99"/>
  <c r="H163" i="99"/>
  <c r="I163" i="99"/>
  <c r="B164" i="99"/>
  <c r="C164" i="99"/>
  <c r="D164" i="99"/>
  <c r="R164" i="99" s="1"/>
  <c r="E164" i="99"/>
  <c r="F164" i="99"/>
  <c r="G164" i="99"/>
  <c r="H164" i="99"/>
  <c r="I164" i="99"/>
  <c r="B165" i="99"/>
  <c r="C165" i="99"/>
  <c r="D165" i="99"/>
  <c r="R165" i="99" s="1"/>
  <c r="E165" i="99"/>
  <c r="F165" i="99"/>
  <c r="G165" i="99"/>
  <c r="H165" i="99"/>
  <c r="I165" i="99"/>
  <c r="B166" i="99"/>
  <c r="C166" i="99"/>
  <c r="D166" i="99"/>
  <c r="R166" i="99" s="1"/>
  <c r="E166" i="99"/>
  <c r="F166" i="99"/>
  <c r="G166" i="99"/>
  <c r="H166" i="99"/>
  <c r="I166" i="99"/>
  <c r="B167" i="99"/>
  <c r="C167" i="99"/>
  <c r="D167" i="99"/>
  <c r="R167" i="99" s="1"/>
  <c r="E167" i="99"/>
  <c r="F167" i="99"/>
  <c r="G167" i="99"/>
  <c r="H167" i="99"/>
  <c r="I167" i="99"/>
  <c r="B168" i="99"/>
  <c r="C168" i="99"/>
  <c r="D168" i="99"/>
  <c r="R168" i="99" s="1"/>
  <c r="E168" i="99"/>
  <c r="F168" i="99"/>
  <c r="G168" i="99"/>
  <c r="H168" i="99"/>
  <c r="I168" i="99"/>
  <c r="J168" i="99" s="1"/>
  <c r="B169" i="99"/>
  <c r="C169" i="99"/>
  <c r="D169" i="99"/>
  <c r="R169" i="99" s="1"/>
  <c r="E169" i="99"/>
  <c r="F169" i="99"/>
  <c r="G169" i="99"/>
  <c r="H169" i="99"/>
  <c r="I169" i="99"/>
  <c r="J169" i="99" s="1"/>
  <c r="B170" i="99"/>
  <c r="C170" i="99"/>
  <c r="D170" i="99"/>
  <c r="R170" i="99" s="1"/>
  <c r="E170" i="99"/>
  <c r="F170" i="99"/>
  <c r="G170" i="99"/>
  <c r="H170" i="99"/>
  <c r="I170" i="99"/>
  <c r="J170" i="99" s="1"/>
  <c r="B171" i="99"/>
  <c r="C171" i="99"/>
  <c r="D171" i="99"/>
  <c r="R171" i="99" s="1"/>
  <c r="E171" i="99"/>
  <c r="F171" i="99"/>
  <c r="G171" i="99"/>
  <c r="H171" i="99"/>
  <c r="I171" i="99"/>
  <c r="J171" i="99" s="1"/>
  <c r="B172" i="99"/>
  <c r="C172" i="99"/>
  <c r="D172" i="99"/>
  <c r="Q172" i="99" s="1"/>
  <c r="E172" i="99"/>
  <c r="F172" i="99"/>
  <c r="G172" i="99"/>
  <c r="H172" i="99"/>
  <c r="I172" i="99"/>
  <c r="J172" i="99" s="1"/>
  <c r="B173" i="99"/>
  <c r="C173" i="99"/>
  <c r="D173" i="99"/>
  <c r="Q173" i="99" s="1"/>
  <c r="E173" i="99"/>
  <c r="F173" i="99"/>
  <c r="G173" i="99"/>
  <c r="H173" i="99"/>
  <c r="I173" i="99"/>
  <c r="J173" i="99" s="1"/>
  <c r="B174" i="99"/>
  <c r="C174" i="99"/>
  <c r="D174" i="99"/>
  <c r="R174" i="99" s="1"/>
  <c r="E174" i="99"/>
  <c r="F174" i="99"/>
  <c r="G174" i="99"/>
  <c r="H174" i="99"/>
  <c r="I174" i="99"/>
  <c r="J174" i="99" s="1"/>
  <c r="B175" i="99"/>
  <c r="C175" i="99"/>
  <c r="D175" i="99"/>
  <c r="R175" i="99" s="1"/>
  <c r="E175" i="99"/>
  <c r="F175" i="99"/>
  <c r="G175" i="99"/>
  <c r="H175" i="99"/>
  <c r="I175" i="99"/>
  <c r="B176" i="99"/>
  <c r="C176" i="99"/>
  <c r="D176" i="99"/>
  <c r="R176" i="99" s="1"/>
  <c r="E176" i="99"/>
  <c r="F176" i="99"/>
  <c r="G176" i="99"/>
  <c r="H176" i="99"/>
  <c r="I176" i="99"/>
  <c r="B177" i="99"/>
  <c r="C177" i="99"/>
  <c r="D177" i="99"/>
  <c r="R177" i="99" s="1"/>
  <c r="E177" i="99"/>
  <c r="F177" i="99"/>
  <c r="G177" i="99"/>
  <c r="H177" i="99"/>
  <c r="I177" i="99"/>
  <c r="B178" i="99"/>
  <c r="C178" i="99"/>
  <c r="D178" i="99"/>
  <c r="R178" i="99" s="1"/>
  <c r="E178" i="99"/>
  <c r="F178" i="99"/>
  <c r="G178" i="99"/>
  <c r="H178" i="99"/>
  <c r="I178" i="99"/>
  <c r="B179" i="99"/>
  <c r="C179" i="99"/>
  <c r="D179" i="99"/>
  <c r="R179" i="99" s="1"/>
  <c r="E179" i="99"/>
  <c r="F179" i="99"/>
  <c r="G179" i="99"/>
  <c r="H179" i="99"/>
  <c r="I179" i="99"/>
  <c r="B180" i="99"/>
  <c r="C180" i="99"/>
  <c r="D180" i="99"/>
  <c r="R180" i="99" s="1"/>
  <c r="E180" i="99"/>
  <c r="F180" i="99"/>
  <c r="G180" i="99"/>
  <c r="H180" i="99"/>
  <c r="I180" i="99"/>
  <c r="B181" i="99"/>
  <c r="C181" i="99"/>
  <c r="D181" i="99"/>
  <c r="R181" i="99" s="1"/>
  <c r="E181" i="99"/>
  <c r="F181" i="99"/>
  <c r="G181" i="99"/>
  <c r="H181" i="99"/>
  <c r="I181" i="99"/>
  <c r="B182" i="99"/>
  <c r="C182" i="99"/>
  <c r="D182" i="99"/>
  <c r="R182" i="99" s="1"/>
  <c r="E182" i="99"/>
  <c r="F182" i="99"/>
  <c r="G182" i="99"/>
  <c r="H182" i="99"/>
  <c r="I182" i="99"/>
  <c r="B183" i="99"/>
  <c r="C183" i="99"/>
  <c r="D183" i="99"/>
  <c r="Q183" i="99" s="1"/>
  <c r="E183" i="99"/>
  <c r="F183" i="99"/>
  <c r="G183" i="99"/>
  <c r="H183" i="99"/>
  <c r="I183" i="99"/>
  <c r="B184" i="99"/>
  <c r="C184" i="99"/>
  <c r="D184" i="99"/>
  <c r="Q184" i="99" s="1"/>
  <c r="E184" i="99"/>
  <c r="F184" i="99"/>
  <c r="G184" i="99"/>
  <c r="H184" i="99"/>
  <c r="I184" i="99"/>
  <c r="B185" i="99"/>
  <c r="C185" i="99"/>
  <c r="D185" i="99"/>
  <c r="Q185" i="99" s="1"/>
  <c r="E185" i="99"/>
  <c r="F185" i="99"/>
  <c r="G185" i="99"/>
  <c r="H185" i="99"/>
  <c r="I185" i="99"/>
  <c r="B186" i="99"/>
  <c r="C186" i="99"/>
  <c r="D186" i="99"/>
  <c r="Q186" i="99" s="1"/>
  <c r="E186" i="99"/>
  <c r="F186" i="99"/>
  <c r="G186" i="99"/>
  <c r="H186" i="99"/>
  <c r="I186" i="99"/>
  <c r="B187" i="99"/>
  <c r="C187" i="99"/>
  <c r="D187" i="99"/>
  <c r="Q187" i="99" s="1"/>
  <c r="E187" i="99"/>
  <c r="F187" i="99"/>
  <c r="G187" i="99"/>
  <c r="H187" i="99"/>
  <c r="I187" i="99"/>
  <c r="B188" i="99"/>
  <c r="C188" i="99"/>
  <c r="D188" i="99"/>
  <c r="Q188" i="99" s="1"/>
  <c r="E188" i="99"/>
  <c r="F188" i="99"/>
  <c r="G188" i="99"/>
  <c r="H188" i="99"/>
  <c r="I188" i="99"/>
  <c r="B189" i="99"/>
  <c r="C189" i="99"/>
  <c r="D189" i="99"/>
  <c r="Q189" i="99" s="1"/>
  <c r="E189" i="99"/>
  <c r="F189" i="99"/>
  <c r="G189" i="99"/>
  <c r="H189" i="99"/>
  <c r="I189" i="99"/>
  <c r="B190" i="99"/>
  <c r="C190" i="99"/>
  <c r="D190" i="99"/>
  <c r="R190" i="99" s="1"/>
  <c r="E190" i="99"/>
  <c r="F190" i="99"/>
  <c r="G190" i="99"/>
  <c r="H190" i="99"/>
  <c r="I190" i="99"/>
  <c r="B191" i="99"/>
  <c r="C191" i="99"/>
  <c r="D191" i="99"/>
  <c r="R191" i="99" s="1"/>
  <c r="E191" i="99"/>
  <c r="F191" i="99"/>
  <c r="G191" i="99"/>
  <c r="H191" i="99"/>
  <c r="I191" i="99"/>
  <c r="B192" i="99"/>
  <c r="C192" i="99"/>
  <c r="D192" i="99"/>
  <c r="R192" i="99" s="1"/>
  <c r="E192" i="99"/>
  <c r="F192" i="99"/>
  <c r="G192" i="99"/>
  <c r="H192" i="99"/>
  <c r="I192" i="99"/>
  <c r="B193" i="99"/>
  <c r="C193" i="99"/>
  <c r="D193" i="99"/>
  <c r="R193" i="99" s="1"/>
  <c r="E193" i="99"/>
  <c r="F193" i="99"/>
  <c r="G193" i="99"/>
  <c r="H193" i="99"/>
  <c r="I193" i="99"/>
  <c r="B194" i="99"/>
  <c r="C194" i="99"/>
  <c r="D194" i="99"/>
  <c r="R194" i="99" s="1"/>
  <c r="E194" i="99"/>
  <c r="F194" i="99"/>
  <c r="G194" i="99"/>
  <c r="H194" i="99"/>
  <c r="I194" i="99"/>
  <c r="B195" i="99"/>
  <c r="C195" i="99"/>
  <c r="D195" i="99"/>
  <c r="R195" i="99" s="1"/>
  <c r="E195" i="99"/>
  <c r="F195" i="99"/>
  <c r="G195" i="99"/>
  <c r="H195" i="99"/>
  <c r="I195" i="99"/>
  <c r="B196" i="99"/>
  <c r="C196" i="99"/>
  <c r="D196" i="99"/>
  <c r="R196" i="99" s="1"/>
  <c r="E196" i="99"/>
  <c r="F196" i="99"/>
  <c r="G196" i="99"/>
  <c r="H196" i="99"/>
  <c r="I196" i="99"/>
  <c r="B197" i="99"/>
  <c r="C197" i="99"/>
  <c r="D197" i="99"/>
  <c r="R197" i="99" s="1"/>
  <c r="E197" i="99"/>
  <c r="F197" i="99"/>
  <c r="G197" i="99"/>
  <c r="H197" i="99"/>
  <c r="I197" i="99"/>
  <c r="B198" i="99"/>
  <c r="C198" i="99"/>
  <c r="D198" i="99"/>
  <c r="Q198" i="99" s="1"/>
  <c r="E198" i="99"/>
  <c r="F198" i="99"/>
  <c r="G198" i="99"/>
  <c r="H198" i="99"/>
  <c r="I198" i="99"/>
  <c r="B199" i="99"/>
  <c r="C199" i="99"/>
  <c r="D199" i="99"/>
  <c r="Q199" i="99" s="1"/>
  <c r="E199" i="99"/>
  <c r="F199" i="99"/>
  <c r="G199" i="99"/>
  <c r="H199" i="99"/>
  <c r="I199" i="99"/>
  <c r="B200" i="99"/>
  <c r="C200" i="99"/>
  <c r="D200" i="99"/>
  <c r="R200" i="99" s="1"/>
  <c r="E200" i="99"/>
  <c r="F200" i="99"/>
  <c r="G200" i="99"/>
  <c r="H200" i="99"/>
  <c r="I200" i="99"/>
  <c r="B201" i="99"/>
  <c r="C201" i="99"/>
  <c r="D201" i="99"/>
  <c r="E201" i="99"/>
  <c r="F201" i="99"/>
  <c r="G201" i="99"/>
  <c r="H201" i="99"/>
  <c r="I201" i="99"/>
  <c r="B202" i="99"/>
  <c r="C202" i="99"/>
  <c r="D202" i="99"/>
  <c r="R202" i="99" s="1"/>
  <c r="E202" i="99"/>
  <c r="F202" i="99"/>
  <c r="G202" i="99"/>
  <c r="H202" i="99"/>
  <c r="I202" i="99"/>
  <c r="B203" i="99"/>
  <c r="C203" i="99"/>
  <c r="D203" i="99"/>
  <c r="E203" i="99"/>
  <c r="F203" i="99"/>
  <c r="G203" i="99"/>
  <c r="H203" i="99"/>
  <c r="I203" i="99"/>
  <c r="B204" i="99"/>
  <c r="C204" i="99"/>
  <c r="D204" i="99"/>
  <c r="R204" i="99" s="1"/>
  <c r="E204" i="99"/>
  <c r="F204" i="99"/>
  <c r="G204" i="99"/>
  <c r="H204" i="99"/>
  <c r="I204" i="99"/>
  <c r="B205" i="99"/>
  <c r="C205" i="99"/>
  <c r="D205" i="99"/>
  <c r="E205" i="99"/>
  <c r="F205" i="99"/>
  <c r="G205" i="99"/>
  <c r="H205" i="99"/>
  <c r="I205" i="99"/>
  <c r="B206" i="99"/>
  <c r="C206" i="99"/>
  <c r="D206" i="99"/>
  <c r="R206" i="99" s="1"/>
  <c r="E206" i="99"/>
  <c r="F206" i="99"/>
  <c r="G206" i="99"/>
  <c r="H206" i="99"/>
  <c r="I206" i="99"/>
  <c r="B207" i="99"/>
  <c r="C207" i="99"/>
  <c r="D207" i="99"/>
  <c r="E207" i="99"/>
  <c r="F207" i="99"/>
  <c r="G207" i="99"/>
  <c r="H207" i="99"/>
  <c r="I207" i="99"/>
  <c r="B208" i="99"/>
  <c r="C208" i="99"/>
  <c r="D208" i="99"/>
  <c r="E208" i="99"/>
  <c r="F208" i="99"/>
  <c r="G208" i="99"/>
  <c r="H208" i="99"/>
  <c r="I208" i="99"/>
  <c r="B209" i="99"/>
  <c r="C209" i="99"/>
  <c r="D209" i="99"/>
  <c r="Q209" i="99" s="1"/>
  <c r="E209" i="99"/>
  <c r="F209" i="99"/>
  <c r="G209" i="99"/>
  <c r="H209" i="99"/>
  <c r="I209" i="99"/>
  <c r="B210" i="99"/>
  <c r="C210" i="99"/>
  <c r="D210" i="99"/>
  <c r="E210" i="99"/>
  <c r="F210" i="99"/>
  <c r="G210" i="99"/>
  <c r="H210" i="99"/>
  <c r="I210" i="99"/>
  <c r="B211" i="99"/>
  <c r="C211" i="99"/>
  <c r="D211" i="99"/>
  <c r="Q211" i="99" s="1"/>
  <c r="E211" i="99"/>
  <c r="F211" i="99"/>
  <c r="G211" i="99"/>
  <c r="H211" i="99"/>
  <c r="I211" i="99"/>
  <c r="B212" i="99"/>
  <c r="C212" i="99"/>
  <c r="D212" i="99"/>
  <c r="Q212" i="99" s="1"/>
  <c r="E212" i="99"/>
  <c r="F212" i="99"/>
  <c r="G212" i="99"/>
  <c r="H212" i="99"/>
  <c r="I212" i="99"/>
  <c r="B213" i="99"/>
  <c r="C213" i="99"/>
  <c r="D213" i="99"/>
  <c r="Q213" i="99" s="1"/>
  <c r="E213" i="99"/>
  <c r="F213" i="99"/>
  <c r="G213" i="99"/>
  <c r="H213" i="99"/>
  <c r="I213" i="99"/>
  <c r="J213" i="99" s="1"/>
  <c r="B214" i="99"/>
  <c r="C214" i="99"/>
  <c r="D214" i="99"/>
  <c r="Q214" i="99" s="1"/>
  <c r="E214" i="99"/>
  <c r="F214" i="99"/>
  <c r="G214" i="99"/>
  <c r="H214" i="99"/>
  <c r="I214" i="99"/>
  <c r="J214" i="99" s="1"/>
  <c r="B215" i="99"/>
  <c r="C215" i="99"/>
  <c r="D215" i="99"/>
  <c r="Q215" i="99" s="1"/>
  <c r="E215" i="99"/>
  <c r="F215" i="99"/>
  <c r="G215" i="99"/>
  <c r="H215" i="99"/>
  <c r="I215" i="99"/>
  <c r="J215" i="99" s="1"/>
  <c r="B216" i="99"/>
  <c r="C216" i="99"/>
  <c r="D216" i="99"/>
  <c r="Q216" i="99" s="1"/>
  <c r="E216" i="99"/>
  <c r="F216" i="99"/>
  <c r="G216" i="99"/>
  <c r="H216" i="99"/>
  <c r="I216" i="99"/>
  <c r="J216" i="99" s="1"/>
  <c r="B217" i="99"/>
  <c r="C217" i="99"/>
  <c r="D217" i="99"/>
  <c r="R217" i="99" s="1"/>
  <c r="E217" i="99"/>
  <c r="F217" i="99"/>
  <c r="G217" i="99"/>
  <c r="H217" i="99"/>
  <c r="I217" i="99"/>
  <c r="B218" i="99"/>
  <c r="C218" i="99"/>
  <c r="D218" i="99"/>
  <c r="Q218" i="99" s="1"/>
  <c r="E218" i="99"/>
  <c r="F218" i="99"/>
  <c r="G218" i="99"/>
  <c r="H218" i="99"/>
  <c r="I218" i="99"/>
  <c r="B219" i="99"/>
  <c r="C219" i="99"/>
  <c r="D219" i="99"/>
  <c r="R219" i="99" s="1"/>
  <c r="E219" i="99"/>
  <c r="F219" i="99"/>
  <c r="G219" i="99"/>
  <c r="H219" i="99"/>
  <c r="I219" i="99"/>
  <c r="B220" i="99"/>
  <c r="C220" i="99"/>
  <c r="D220" i="99"/>
  <c r="R220" i="99" s="1"/>
  <c r="E220" i="99"/>
  <c r="F220" i="99"/>
  <c r="G220" i="99"/>
  <c r="H220" i="99"/>
  <c r="I220" i="99"/>
  <c r="B221" i="99"/>
  <c r="C221" i="99"/>
  <c r="D221" i="99"/>
  <c r="E221" i="99"/>
  <c r="F221" i="99"/>
  <c r="G221" i="99"/>
  <c r="H221" i="99"/>
  <c r="I221" i="99"/>
  <c r="B222" i="99"/>
  <c r="C222" i="99"/>
  <c r="D222" i="99"/>
  <c r="Q222" i="99" s="1"/>
  <c r="E222" i="99"/>
  <c r="F222" i="99"/>
  <c r="G222" i="99"/>
  <c r="H222" i="99"/>
  <c r="I222" i="99"/>
  <c r="B223" i="99"/>
  <c r="C223" i="99"/>
  <c r="D223" i="99"/>
  <c r="E223" i="99"/>
  <c r="F223" i="99"/>
  <c r="G223" i="99"/>
  <c r="H223" i="99"/>
  <c r="I223" i="99"/>
  <c r="B224" i="99"/>
  <c r="C224" i="99"/>
  <c r="D224" i="99"/>
  <c r="Q224" i="99" s="1"/>
  <c r="E224" i="99"/>
  <c r="F224" i="99"/>
  <c r="G224" i="99"/>
  <c r="H224" i="99"/>
  <c r="I224" i="99"/>
  <c r="B225" i="99"/>
  <c r="C225" i="99"/>
  <c r="D225" i="99"/>
  <c r="E225" i="99"/>
  <c r="F225" i="99"/>
  <c r="G225" i="99"/>
  <c r="H225" i="99"/>
  <c r="I225" i="99"/>
  <c r="B226" i="99"/>
  <c r="C226" i="99"/>
  <c r="D226" i="99"/>
  <c r="E226" i="99"/>
  <c r="F226" i="99"/>
  <c r="G226" i="99"/>
  <c r="H226" i="99"/>
  <c r="I226" i="99"/>
  <c r="B227" i="99"/>
  <c r="C227" i="99"/>
  <c r="D227" i="99"/>
  <c r="Q227" i="99" s="1"/>
  <c r="E227" i="99"/>
  <c r="F227" i="99"/>
  <c r="G227" i="99"/>
  <c r="H227" i="99"/>
  <c r="I227" i="99"/>
  <c r="B228" i="99"/>
  <c r="C228" i="99"/>
  <c r="D228" i="99"/>
  <c r="Q228" i="99" s="1"/>
  <c r="E228" i="99"/>
  <c r="F228" i="99"/>
  <c r="G228" i="99"/>
  <c r="H228" i="99"/>
  <c r="I228" i="99"/>
  <c r="B229" i="99"/>
  <c r="C229" i="99"/>
  <c r="D229" i="99"/>
  <c r="Q229" i="99" s="1"/>
  <c r="E229" i="99"/>
  <c r="F229" i="99"/>
  <c r="G229" i="99"/>
  <c r="H229" i="99"/>
  <c r="I229" i="99"/>
  <c r="B230" i="99"/>
  <c r="C230" i="99"/>
  <c r="D230" i="99"/>
  <c r="R230" i="99" s="1"/>
  <c r="E230" i="99"/>
  <c r="F230" i="99"/>
  <c r="G230" i="99"/>
  <c r="H230" i="99"/>
  <c r="I230" i="99"/>
  <c r="B231" i="99"/>
  <c r="C231" i="99"/>
  <c r="D231" i="99"/>
  <c r="Q231" i="99" s="1"/>
  <c r="E231" i="99"/>
  <c r="F231" i="99"/>
  <c r="G231" i="99"/>
  <c r="H231" i="99"/>
  <c r="I231" i="99"/>
  <c r="B232" i="99"/>
  <c r="C232" i="99"/>
  <c r="D232" i="99"/>
  <c r="Q232" i="99" s="1"/>
  <c r="E232" i="99"/>
  <c r="F232" i="99"/>
  <c r="G232" i="99"/>
  <c r="H232" i="99"/>
  <c r="I232" i="99"/>
  <c r="B233" i="99"/>
  <c r="C233" i="99"/>
  <c r="D233" i="99"/>
  <c r="Q233" i="99" s="1"/>
  <c r="E233" i="99"/>
  <c r="F233" i="99"/>
  <c r="G233" i="99"/>
  <c r="H233" i="99"/>
  <c r="I233" i="99"/>
  <c r="B234" i="99"/>
  <c r="C234" i="99"/>
  <c r="D234" i="99"/>
  <c r="Q234" i="99" s="1"/>
  <c r="E234" i="99"/>
  <c r="F234" i="99"/>
  <c r="G234" i="99"/>
  <c r="H234" i="99"/>
  <c r="I234" i="99"/>
  <c r="B235" i="99"/>
  <c r="C235" i="99"/>
  <c r="D235" i="99"/>
  <c r="R235" i="99" s="1"/>
  <c r="E235" i="99"/>
  <c r="F235" i="99"/>
  <c r="G235" i="99"/>
  <c r="H235" i="99"/>
  <c r="I235" i="99"/>
  <c r="B236" i="99"/>
  <c r="C236" i="99"/>
  <c r="D236" i="99"/>
  <c r="R236" i="99" s="1"/>
  <c r="E236" i="99"/>
  <c r="F236" i="99"/>
  <c r="G236" i="99"/>
  <c r="H236" i="99"/>
  <c r="I236" i="99"/>
  <c r="B237" i="99"/>
  <c r="C237" i="99"/>
  <c r="D237" i="99"/>
  <c r="Q237" i="99" s="1"/>
  <c r="E237" i="99"/>
  <c r="F237" i="99"/>
  <c r="G237" i="99"/>
  <c r="H237" i="99"/>
  <c r="I237" i="99"/>
  <c r="B238" i="99"/>
  <c r="C238" i="99"/>
  <c r="D238" i="99"/>
  <c r="Q238" i="99" s="1"/>
  <c r="E238" i="99"/>
  <c r="F238" i="99"/>
  <c r="G238" i="99"/>
  <c r="H238" i="99"/>
  <c r="I238" i="99"/>
  <c r="B239" i="99"/>
  <c r="C239" i="99"/>
  <c r="D239" i="99"/>
  <c r="Q239" i="99" s="1"/>
  <c r="E239" i="99"/>
  <c r="F239" i="99"/>
  <c r="G239" i="99"/>
  <c r="H239" i="99"/>
  <c r="I239" i="99"/>
  <c r="B240" i="99"/>
  <c r="C240" i="99"/>
  <c r="D240" i="99"/>
  <c r="E240" i="99"/>
  <c r="F240" i="99"/>
  <c r="G240" i="99"/>
  <c r="H240" i="99"/>
  <c r="I240" i="99"/>
  <c r="B241" i="99"/>
  <c r="C241" i="99"/>
  <c r="D241" i="99"/>
  <c r="E241" i="99"/>
  <c r="F241" i="99"/>
  <c r="G241" i="99"/>
  <c r="H241" i="99"/>
  <c r="I241" i="99"/>
  <c r="B242" i="99"/>
  <c r="C242" i="99"/>
  <c r="D242" i="99"/>
  <c r="E242" i="99"/>
  <c r="F242" i="99"/>
  <c r="G242" i="99"/>
  <c r="H242" i="99"/>
  <c r="I242" i="99"/>
  <c r="B243" i="99"/>
  <c r="C243" i="99"/>
  <c r="D243" i="99"/>
  <c r="R243" i="99" s="1"/>
  <c r="E243" i="99"/>
  <c r="F243" i="99"/>
  <c r="G243" i="99"/>
  <c r="H243" i="99"/>
  <c r="I243" i="99"/>
  <c r="B244" i="99"/>
  <c r="C244" i="99"/>
  <c r="D244" i="99"/>
  <c r="Q244" i="99" s="1"/>
  <c r="E244" i="99"/>
  <c r="F244" i="99"/>
  <c r="G244" i="99"/>
  <c r="H244" i="99"/>
  <c r="I244" i="99"/>
  <c r="B245" i="99"/>
  <c r="C245" i="99"/>
  <c r="D245" i="99"/>
  <c r="R245" i="99" s="1"/>
  <c r="E245" i="99"/>
  <c r="F245" i="99"/>
  <c r="G245" i="99"/>
  <c r="H245" i="99"/>
  <c r="I245" i="99"/>
  <c r="B246" i="99"/>
  <c r="C246" i="99"/>
  <c r="D246" i="99"/>
  <c r="R246" i="99" s="1"/>
  <c r="E246" i="99"/>
  <c r="F246" i="99"/>
  <c r="G246" i="99"/>
  <c r="H246" i="99"/>
  <c r="I246" i="99"/>
  <c r="B247" i="99"/>
  <c r="C247" i="99"/>
  <c r="D247" i="99"/>
  <c r="E247" i="99"/>
  <c r="F247" i="99"/>
  <c r="G247" i="99"/>
  <c r="H247" i="99"/>
  <c r="I247" i="99"/>
  <c r="B248" i="99"/>
  <c r="C248" i="99"/>
  <c r="D248" i="99"/>
  <c r="R248" i="99" s="1"/>
  <c r="E248" i="99"/>
  <c r="F248" i="99"/>
  <c r="G248" i="99"/>
  <c r="H248" i="99"/>
  <c r="I248" i="99"/>
  <c r="B249" i="99"/>
  <c r="C249" i="99"/>
  <c r="D249" i="99"/>
  <c r="R249" i="99" s="1"/>
  <c r="E249" i="99"/>
  <c r="F249" i="99"/>
  <c r="G249" i="99"/>
  <c r="H249" i="99"/>
  <c r="I249" i="99"/>
  <c r="B250" i="99"/>
  <c r="C250" i="99"/>
  <c r="D250" i="99"/>
  <c r="R250" i="99" s="1"/>
  <c r="E250" i="99"/>
  <c r="F250" i="99"/>
  <c r="G250" i="99"/>
  <c r="H250" i="99"/>
  <c r="I250" i="99"/>
  <c r="B251" i="99"/>
  <c r="C251" i="99"/>
  <c r="D251" i="99"/>
  <c r="E251" i="99"/>
  <c r="F251" i="99"/>
  <c r="G251" i="99"/>
  <c r="H251" i="99"/>
  <c r="I251" i="99"/>
  <c r="B252" i="99"/>
  <c r="C252" i="99"/>
  <c r="D252" i="99"/>
  <c r="R252" i="99" s="1"/>
  <c r="E252" i="99"/>
  <c r="F252" i="99"/>
  <c r="G252" i="99"/>
  <c r="H252" i="99"/>
  <c r="I252" i="99"/>
  <c r="B253" i="99"/>
  <c r="C253" i="99"/>
  <c r="D253" i="99"/>
  <c r="E253" i="99"/>
  <c r="F253" i="99"/>
  <c r="G253" i="99"/>
  <c r="H253" i="99"/>
  <c r="I253" i="99"/>
  <c r="B254" i="99"/>
  <c r="C254" i="99"/>
  <c r="D254" i="99"/>
  <c r="Q254" i="99" s="1"/>
  <c r="E254" i="99"/>
  <c r="F254" i="99"/>
  <c r="G254" i="99"/>
  <c r="H254" i="99"/>
  <c r="I254" i="99"/>
  <c r="B255" i="99"/>
  <c r="C255" i="99"/>
  <c r="D255" i="99"/>
  <c r="R255" i="99" s="1"/>
  <c r="E255" i="99"/>
  <c r="F255" i="99"/>
  <c r="G255" i="99"/>
  <c r="H255" i="99"/>
  <c r="I255" i="99"/>
  <c r="B256" i="99"/>
  <c r="C256" i="99"/>
  <c r="D256" i="99"/>
  <c r="R256" i="99" s="1"/>
  <c r="E256" i="99"/>
  <c r="F256" i="99"/>
  <c r="G256" i="99"/>
  <c r="H256" i="99"/>
  <c r="I256" i="99"/>
  <c r="B257" i="99"/>
  <c r="C257" i="99"/>
  <c r="D257" i="99"/>
  <c r="Q257" i="99" s="1"/>
  <c r="E257" i="99"/>
  <c r="F257" i="99"/>
  <c r="G257" i="99"/>
  <c r="H257" i="99"/>
  <c r="I257" i="99"/>
  <c r="B258" i="99"/>
  <c r="C258" i="99"/>
  <c r="D258" i="99"/>
  <c r="E258" i="99"/>
  <c r="F258" i="99"/>
  <c r="G258" i="99"/>
  <c r="H258" i="99"/>
  <c r="I258" i="99"/>
  <c r="J258" i="99" s="1"/>
  <c r="B259" i="99"/>
  <c r="C259" i="99"/>
  <c r="D259" i="99"/>
  <c r="Q259" i="99" s="1"/>
  <c r="E259" i="99"/>
  <c r="F259" i="99"/>
  <c r="G259" i="99"/>
  <c r="H259" i="99"/>
  <c r="I259" i="99"/>
  <c r="J259" i="99" s="1"/>
  <c r="B260" i="99"/>
  <c r="C260" i="99"/>
  <c r="D260" i="99"/>
  <c r="R260" i="99" s="1"/>
  <c r="E260" i="99"/>
  <c r="F260" i="99"/>
  <c r="G260" i="99"/>
  <c r="H260" i="99"/>
  <c r="I260" i="99"/>
  <c r="B261" i="99"/>
  <c r="C261" i="99"/>
  <c r="D261" i="99"/>
  <c r="R261" i="99" s="1"/>
  <c r="E261" i="99"/>
  <c r="F261" i="99"/>
  <c r="G261" i="99"/>
  <c r="H261" i="99"/>
  <c r="I261" i="99"/>
  <c r="B262" i="99"/>
  <c r="C262" i="99"/>
  <c r="D262" i="99"/>
  <c r="Q262" i="99" s="1"/>
  <c r="E262" i="99"/>
  <c r="F262" i="99"/>
  <c r="G262" i="99"/>
  <c r="H262" i="99"/>
  <c r="I262" i="99"/>
  <c r="B263" i="99"/>
  <c r="C263" i="99"/>
  <c r="D263" i="99"/>
  <c r="E263" i="99"/>
  <c r="F263" i="99"/>
  <c r="G263" i="99"/>
  <c r="H263" i="99"/>
  <c r="I263" i="99"/>
  <c r="B264" i="99"/>
  <c r="C264" i="99"/>
  <c r="D264" i="99"/>
  <c r="E264" i="99"/>
  <c r="F264" i="99"/>
  <c r="G264" i="99"/>
  <c r="H264" i="99"/>
  <c r="I264" i="99"/>
  <c r="B265" i="99"/>
  <c r="C265" i="99"/>
  <c r="D265" i="99"/>
  <c r="Q265" i="99" s="1"/>
  <c r="E265" i="99"/>
  <c r="F265" i="99"/>
  <c r="G265" i="99"/>
  <c r="H265" i="99"/>
  <c r="I265" i="99"/>
  <c r="B266" i="99"/>
  <c r="C266" i="99"/>
  <c r="D266" i="99"/>
  <c r="Q266" i="99" s="1"/>
  <c r="E266" i="99"/>
  <c r="F266" i="99"/>
  <c r="G266" i="99"/>
  <c r="H266" i="99"/>
  <c r="I266" i="99"/>
  <c r="B267" i="99"/>
  <c r="C267" i="99"/>
  <c r="D267" i="99"/>
  <c r="Q267" i="99" s="1"/>
  <c r="E267" i="99"/>
  <c r="F267" i="99"/>
  <c r="G267" i="99"/>
  <c r="H267" i="99"/>
  <c r="I267" i="99"/>
  <c r="B268" i="99"/>
  <c r="C268" i="99"/>
  <c r="D268" i="99"/>
  <c r="Q268" i="99" s="1"/>
  <c r="E268" i="99"/>
  <c r="F268" i="99"/>
  <c r="G268" i="99"/>
  <c r="H268" i="99"/>
  <c r="I268" i="99"/>
  <c r="B269" i="99"/>
  <c r="C269" i="99"/>
  <c r="D269" i="99"/>
  <c r="Q269" i="99" s="1"/>
  <c r="E269" i="99"/>
  <c r="F269" i="99"/>
  <c r="G269" i="99"/>
  <c r="H269" i="99"/>
  <c r="I269" i="99"/>
  <c r="J269" i="99" s="1"/>
  <c r="B270" i="99"/>
  <c r="C270" i="99"/>
  <c r="D270" i="99"/>
  <c r="R270" i="99" s="1"/>
  <c r="E270" i="99"/>
  <c r="F270" i="99"/>
  <c r="G270" i="99"/>
  <c r="H270" i="99"/>
  <c r="I270" i="99"/>
  <c r="B271" i="99"/>
  <c r="C271" i="99"/>
  <c r="D271" i="99"/>
  <c r="Q271" i="99" s="1"/>
  <c r="E271" i="99"/>
  <c r="F271" i="99"/>
  <c r="G271" i="99"/>
  <c r="H271" i="99"/>
  <c r="I271" i="99"/>
  <c r="A5" i="100"/>
  <c r="A6" i="100"/>
  <c r="A7" i="100"/>
  <c r="A8" i="100"/>
  <c r="A9" i="100"/>
  <c r="A10" i="100"/>
  <c r="A11" i="100"/>
  <c r="A12" i="100"/>
  <c r="A13" i="100"/>
  <c r="A14" i="100"/>
  <c r="A15" i="100"/>
  <c r="A16" i="100"/>
  <c r="A17" i="100"/>
  <c r="A18" i="100"/>
  <c r="A19" i="100"/>
  <c r="A20" i="100"/>
  <c r="A21" i="100"/>
  <c r="A22" i="100"/>
  <c r="A23" i="100"/>
  <c r="A24" i="100"/>
  <c r="A25" i="100"/>
  <c r="A26" i="100"/>
  <c r="A27" i="100"/>
  <c r="A28" i="100"/>
  <c r="A29" i="100"/>
  <c r="A30" i="100"/>
  <c r="A31" i="100"/>
  <c r="A32" i="100"/>
  <c r="A33" i="100"/>
  <c r="A34" i="100"/>
  <c r="A35" i="100"/>
  <c r="A36" i="100"/>
  <c r="A37" i="100"/>
  <c r="A38" i="100"/>
  <c r="A39" i="100"/>
  <c r="A40" i="100"/>
  <c r="A41" i="100"/>
  <c r="A42" i="100"/>
  <c r="A43" i="100"/>
  <c r="A44" i="100"/>
  <c r="A45" i="100"/>
  <c r="A46" i="100"/>
  <c r="A47" i="100"/>
  <c r="A48" i="100"/>
  <c r="A49" i="100"/>
  <c r="A50" i="100"/>
  <c r="A51" i="100"/>
  <c r="A52" i="100"/>
  <c r="A53" i="100"/>
  <c r="A54" i="100"/>
  <c r="A55" i="100"/>
  <c r="A56" i="100"/>
  <c r="A57" i="100"/>
  <c r="A58" i="100"/>
  <c r="A59" i="100"/>
  <c r="A60" i="100"/>
  <c r="A61" i="100"/>
  <c r="A62" i="100"/>
  <c r="A63" i="100"/>
  <c r="A64" i="100"/>
  <c r="A65" i="100"/>
  <c r="A66" i="100"/>
  <c r="A67" i="100"/>
  <c r="A68" i="100"/>
  <c r="A69" i="100"/>
  <c r="A70" i="100"/>
  <c r="A71" i="100"/>
  <c r="A72" i="100"/>
  <c r="A73" i="100"/>
  <c r="A74" i="100"/>
  <c r="A75" i="100"/>
  <c r="A76" i="100"/>
  <c r="A77" i="100"/>
  <c r="A78" i="100"/>
  <c r="A79" i="100"/>
  <c r="A80" i="100"/>
  <c r="A81" i="100"/>
  <c r="A82" i="100"/>
  <c r="A83" i="100"/>
  <c r="A84" i="100"/>
  <c r="A85" i="100"/>
  <c r="A86" i="100"/>
  <c r="A87" i="100"/>
  <c r="A88" i="100"/>
  <c r="A89" i="100"/>
  <c r="A90" i="100"/>
  <c r="A91" i="100"/>
  <c r="A92" i="100"/>
  <c r="A93" i="100"/>
  <c r="A94" i="100"/>
  <c r="A95" i="100"/>
  <c r="A96" i="100"/>
  <c r="A97" i="100"/>
  <c r="A98" i="100"/>
  <c r="A99" i="100"/>
  <c r="A100" i="100"/>
  <c r="A101" i="100"/>
  <c r="A102" i="100"/>
  <c r="A103" i="100"/>
  <c r="A104" i="100"/>
  <c r="A105" i="100"/>
  <c r="A106" i="100"/>
  <c r="A107" i="100"/>
  <c r="A108" i="100"/>
  <c r="A109" i="100"/>
  <c r="A110" i="100"/>
  <c r="A111" i="100"/>
  <c r="A112" i="100"/>
  <c r="A113" i="100"/>
  <c r="A114" i="100"/>
  <c r="A115" i="100"/>
  <c r="A116" i="100"/>
  <c r="A117" i="100"/>
  <c r="A118" i="100"/>
  <c r="A119" i="100"/>
  <c r="A120" i="100"/>
  <c r="A121" i="100"/>
  <c r="A122" i="100"/>
  <c r="A123" i="100"/>
  <c r="A124" i="100"/>
  <c r="A125" i="100"/>
  <c r="A126" i="100"/>
  <c r="A127" i="100"/>
  <c r="A128" i="100"/>
  <c r="A129" i="100"/>
  <c r="A130" i="100"/>
  <c r="A131" i="100"/>
  <c r="A132" i="100"/>
  <c r="A133" i="100"/>
  <c r="A134" i="100"/>
  <c r="A135" i="100"/>
  <c r="A136" i="100"/>
  <c r="A137" i="100"/>
  <c r="A138" i="100"/>
  <c r="A139" i="100"/>
  <c r="A140" i="100"/>
  <c r="A141" i="100"/>
  <c r="A142" i="100"/>
  <c r="A143" i="100"/>
  <c r="A144" i="100"/>
  <c r="A145" i="100"/>
  <c r="A146" i="100"/>
  <c r="A147" i="100"/>
  <c r="A148" i="100"/>
  <c r="A149" i="100"/>
  <c r="A150" i="100"/>
  <c r="A151" i="100"/>
  <c r="A152" i="100"/>
  <c r="A153" i="100"/>
  <c r="A154" i="100"/>
  <c r="A155" i="100"/>
  <c r="A156" i="100"/>
  <c r="A157" i="100"/>
  <c r="A158" i="100"/>
  <c r="A159" i="100"/>
  <c r="A160" i="100"/>
  <c r="A161" i="100"/>
  <c r="A162" i="100"/>
  <c r="A163" i="100"/>
  <c r="A164" i="100"/>
  <c r="A165" i="100"/>
  <c r="A166" i="100"/>
  <c r="A167" i="100"/>
  <c r="A168" i="100"/>
  <c r="A169" i="100"/>
  <c r="A170" i="100"/>
  <c r="A171" i="100"/>
  <c r="A172" i="100"/>
  <c r="A173" i="100"/>
  <c r="A174" i="100"/>
  <c r="A175" i="100"/>
  <c r="A176" i="100"/>
  <c r="A177" i="100"/>
  <c r="A178" i="100"/>
  <c r="A179" i="100"/>
  <c r="A180" i="100"/>
  <c r="A181" i="100"/>
  <c r="A182" i="100"/>
  <c r="A183" i="100"/>
  <c r="A184" i="100"/>
  <c r="A185" i="100"/>
  <c r="A186" i="100"/>
  <c r="A187" i="100"/>
  <c r="A188" i="100"/>
  <c r="A189" i="100"/>
  <c r="A190" i="100"/>
  <c r="A191" i="100"/>
  <c r="A192" i="100"/>
  <c r="A193" i="100"/>
  <c r="A194" i="100"/>
  <c r="A195" i="100"/>
  <c r="A196" i="100"/>
  <c r="A197" i="100"/>
  <c r="A198" i="100"/>
  <c r="A199" i="100"/>
  <c r="A200" i="100"/>
  <c r="A201" i="100"/>
  <c r="A202" i="100"/>
  <c r="A203" i="100"/>
  <c r="A204" i="100"/>
  <c r="A205" i="100"/>
  <c r="A206" i="100"/>
  <c r="A207" i="100"/>
  <c r="A208" i="100"/>
  <c r="A209" i="100"/>
  <c r="A210" i="100"/>
  <c r="A211" i="100"/>
  <c r="A212" i="100"/>
  <c r="A213" i="100"/>
  <c r="A214" i="100"/>
  <c r="A215" i="100"/>
  <c r="A216" i="100"/>
  <c r="A217" i="100"/>
  <c r="A218" i="100"/>
  <c r="A219" i="100"/>
  <c r="A220" i="100"/>
  <c r="A221" i="100"/>
  <c r="A222" i="100"/>
  <c r="A223" i="100"/>
  <c r="A224" i="100"/>
  <c r="A225" i="100"/>
  <c r="A226" i="100"/>
  <c r="A227" i="100"/>
  <c r="A228" i="100"/>
  <c r="A229" i="100"/>
  <c r="A230" i="100"/>
  <c r="A231" i="100"/>
  <c r="A232" i="100"/>
  <c r="A233" i="100"/>
  <c r="A234" i="100"/>
  <c r="A235" i="100"/>
  <c r="A236" i="100"/>
  <c r="A237" i="100"/>
  <c r="A238" i="100"/>
  <c r="A239" i="100"/>
  <c r="A240" i="100"/>
  <c r="A241" i="100"/>
  <c r="A242" i="100"/>
  <c r="A243" i="100"/>
  <c r="A244" i="100"/>
  <c r="A245" i="100"/>
  <c r="A246" i="100"/>
  <c r="A247" i="100"/>
  <c r="A248" i="100"/>
  <c r="A249" i="100"/>
  <c r="A250" i="100"/>
  <c r="A251" i="100"/>
  <c r="A252" i="100"/>
  <c r="A253" i="100"/>
  <c r="A254" i="100"/>
  <c r="A255" i="100"/>
  <c r="A256" i="100"/>
  <c r="A257" i="100"/>
  <c r="A258" i="100"/>
  <c r="A259" i="100"/>
  <c r="A260" i="100"/>
  <c r="A261" i="100"/>
  <c r="A262" i="100"/>
  <c r="A263" i="100"/>
  <c r="A264" i="100"/>
  <c r="A265" i="100"/>
  <c r="A266" i="100"/>
  <c r="A267" i="100"/>
  <c r="A268" i="100"/>
  <c r="A269" i="100"/>
  <c r="A270" i="100"/>
  <c r="A271" i="100"/>
  <c r="A5" i="101"/>
  <c r="A6" i="101"/>
  <c r="A7" i="101"/>
  <c r="A8" i="101"/>
  <c r="A9" i="101"/>
  <c r="A10" i="101"/>
  <c r="A11" i="101"/>
  <c r="A12" i="101"/>
  <c r="A13" i="101"/>
  <c r="A14" i="101"/>
  <c r="A15" i="101"/>
  <c r="A16" i="101"/>
  <c r="A17" i="101"/>
  <c r="A18" i="101"/>
  <c r="A19" i="101"/>
  <c r="A20" i="101"/>
  <c r="A21" i="101"/>
  <c r="A22" i="101"/>
  <c r="A23" i="101"/>
  <c r="A24" i="101"/>
  <c r="A25" i="101"/>
  <c r="A26" i="101"/>
  <c r="A27" i="101"/>
  <c r="A28" i="101"/>
  <c r="A29" i="101"/>
  <c r="A30" i="101"/>
  <c r="A31" i="101"/>
  <c r="A32" i="101"/>
  <c r="A33" i="101"/>
  <c r="A34" i="101"/>
  <c r="A35" i="101"/>
  <c r="A36" i="101"/>
  <c r="A37" i="101"/>
  <c r="A38" i="101"/>
  <c r="A39" i="101"/>
  <c r="A40" i="101"/>
  <c r="A41" i="101"/>
  <c r="A42" i="101"/>
  <c r="A43" i="101"/>
  <c r="A44" i="101"/>
  <c r="A45" i="101"/>
  <c r="A46" i="101"/>
  <c r="A47" i="101"/>
  <c r="A48" i="101"/>
  <c r="A49" i="101"/>
  <c r="A50" i="101"/>
  <c r="A51" i="101"/>
  <c r="A52" i="101"/>
  <c r="A53" i="101"/>
  <c r="A54" i="101"/>
  <c r="A55" i="101"/>
  <c r="A56" i="101"/>
  <c r="A57" i="101"/>
  <c r="A58" i="101"/>
  <c r="A59" i="101"/>
  <c r="A60" i="101"/>
  <c r="A61" i="101"/>
  <c r="A62" i="101"/>
  <c r="A63" i="101"/>
  <c r="A64" i="101"/>
  <c r="A65" i="101"/>
  <c r="A66" i="101"/>
  <c r="A67" i="101"/>
  <c r="A68" i="101"/>
  <c r="A69" i="101"/>
  <c r="A70" i="101"/>
  <c r="A71" i="101"/>
  <c r="A72" i="101"/>
  <c r="A73" i="101"/>
  <c r="A74" i="101"/>
  <c r="A75" i="101"/>
  <c r="A76" i="101"/>
  <c r="A77" i="101"/>
  <c r="A78" i="101"/>
  <c r="A79" i="101"/>
  <c r="A80" i="101"/>
  <c r="A81" i="101"/>
  <c r="A82" i="101"/>
  <c r="A83" i="101"/>
  <c r="A84" i="101"/>
  <c r="A85" i="101"/>
  <c r="A86" i="101"/>
  <c r="A87" i="101"/>
  <c r="A88" i="101"/>
  <c r="A89" i="101"/>
  <c r="A90" i="101"/>
  <c r="A91" i="101"/>
  <c r="A92" i="101"/>
  <c r="A93" i="101"/>
  <c r="A94" i="101"/>
  <c r="A95" i="101"/>
  <c r="A96" i="101"/>
  <c r="A97" i="101"/>
  <c r="A98" i="101"/>
  <c r="A99" i="101"/>
  <c r="A100" i="101"/>
  <c r="A101" i="101"/>
  <c r="A102" i="101"/>
  <c r="A103" i="101"/>
  <c r="A104" i="101"/>
  <c r="A105" i="101"/>
  <c r="A106" i="101"/>
  <c r="A107" i="101"/>
  <c r="A108" i="101"/>
  <c r="A109" i="101"/>
  <c r="A110" i="101"/>
  <c r="A111" i="101"/>
  <c r="A112" i="101"/>
  <c r="A113" i="101"/>
  <c r="A114" i="101"/>
  <c r="A115" i="101"/>
  <c r="A116" i="101"/>
  <c r="A117" i="101"/>
  <c r="A118" i="101"/>
  <c r="A119" i="101"/>
  <c r="A120" i="101"/>
  <c r="A121" i="101"/>
  <c r="A122" i="101"/>
  <c r="A123" i="101"/>
  <c r="A124" i="101"/>
  <c r="A125" i="101"/>
  <c r="A126" i="101"/>
  <c r="A127" i="101"/>
  <c r="A128" i="101"/>
  <c r="A129" i="101"/>
  <c r="A130" i="101"/>
  <c r="A131" i="101"/>
  <c r="A132" i="101"/>
  <c r="A133" i="101"/>
  <c r="A134" i="101"/>
  <c r="A135" i="101"/>
  <c r="A136" i="101"/>
  <c r="A137" i="101"/>
  <c r="A138" i="101"/>
  <c r="A139" i="101"/>
  <c r="A140" i="101"/>
  <c r="A141" i="101"/>
  <c r="A142" i="101"/>
  <c r="A143" i="101"/>
  <c r="A144" i="101"/>
  <c r="A145" i="101"/>
  <c r="A146" i="101"/>
  <c r="A147" i="101"/>
  <c r="A148" i="101"/>
  <c r="A149" i="101"/>
  <c r="A150" i="101"/>
  <c r="A151" i="101"/>
  <c r="A152" i="101"/>
  <c r="A153" i="101"/>
  <c r="A154" i="101"/>
  <c r="A155" i="101"/>
  <c r="A156" i="101"/>
  <c r="A157" i="101"/>
  <c r="A158" i="101"/>
  <c r="A159" i="101"/>
  <c r="A160" i="101"/>
  <c r="A161" i="101"/>
  <c r="A162" i="101"/>
  <c r="A163" i="101"/>
  <c r="A164" i="101"/>
  <c r="A165" i="101"/>
  <c r="A166" i="101"/>
  <c r="A167" i="101"/>
  <c r="A168" i="101"/>
  <c r="A169" i="101"/>
  <c r="A170" i="101"/>
  <c r="A171" i="101"/>
  <c r="A172" i="101"/>
  <c r="A173" i="101"/>
  <c r="A174" i="101"/>
  <c r="A175" i="101"/>
  <c r="A176" i="101"/>
  <c r="A177" i="101"/>
  <c r="A178" i="101"/>
  <c r="A179" i="101"/>
  <c r="A180" i="101"/>
  <c r="A181" i="101"/>
  <c r="A182" i="101"/>
  <c r="A183" i="101"/>
  <c r="A184" i="101"/>
  <c r="A185" i="101"/>
  <c r="A186" i="101"/>
  <c r="A187" i="101"/>
  <c r="A188" i="101"/>
  <c r="A189" i="101"/>
  <c r="A190" i="101"/>
  <c r="A191" i="101"/>
  <c r="A192" i="101"/>
  <c r="A193" i="101"/>
  <c r="A194" i="101"/>
  <c r="A195" i="101"/>
  <c r="A196" i="101"/>
  <c r="A197" i="101"/>
  <c r="A198" i="101"/>
  <c r="A199" i="101"/>
  <c r="A200" i="101"/>
  <c r="A201" i="101"/>
  <c r="A202" i="101"/>
  <c r="A203" i="101"/>
  <c r="A204" i="101"/>
  <c r="A205" i="101"/>
  <c r="A206" i="101"/>
  <c r="A207" i="101"/>
  <c r="A208" i="101"/>
  <c r="A209" i="101"/>
  <c r="A210" i="101"/>
  <c r="A211" i="101"/>
  <c r="A212" i="101"/>
  <c r="A213" i="101"/>
  <c r="A214" i="101"/>
  <c r="A215" i="101"/>
  <c r="A216" i="101"/>
  <c r="A217" i="101"/>
  <c r="A218" i="101"/>
  <c r="A219" i="101"/>
  <c r="A220" i="101"/>
  <c r="A221" i="101"/>
  <c r="A222" i="101"/>
  <c r="A223" i="101"/>
  <c r="A224" i="101"/>
  <c r="A225" i="101"/>
  <c r="A226" i="101"/>
  <c r="A227" i="101"/>
  <c r="A228" i="101"/>
  <c r="A229" i="101"/>
  <c r="A230" i="101"/>
  <c r="A231" i="101"/>
  <c r="A232" i="101"/>
  <c r="A233" i="101"/>
  <c r="A234" i="101"/>
  <c r="A235" i="101"/>
  <c r="A236" i="101"/>
  <c r="A237" i="101"/>
  <c r="A238" i="101"/>
  <c r="A239" i="101"/>
  <c r="A240" i="101"/>
  <c r="A241" i="101"/>
  <c r="A242" i="101"/>
  <c r="A243" i="101"/>
  <c r="A244" i="101"/>
  <c r="A245" i="101"/>
  <c r="A246" i="101"/>
  <c r="A247" i="101"/>
  <c r="A248" i="101"/>
  <c r="A249" i="101"/>
  <c r="A250" i="101"/>
  <c r="A251" i="101"/>
  <c r="A252" i="101"/>
  <c r="A253" i="101"/>
  <c r="A254" i="101"/>
  <c r="A255" i="101"/>
  <c r="A256" i="101"/>
  <c r="A257" i="101"/>
  <c r="A258" i="101"/>
  <c r="A259" i="101"/>
  <c r="A260" i="101"/>
  <c r="A261" i="101"/>
  <c r="A262" i="101"/>
  <c r="A263" i="101"/>
  <c r="A264" i="101"/>
  <c r="A265" i="101"/>
  <c r="A266" i="101"/>
  <c r="A267" i="101"/>
  <c r="A268" i="101"/>
  <c r="A269" i="101"/>
  <c r="A270" i="101"/>
  <c r="A271" i="101"/>
  <c r="A5" i="102"/>
  <c r="A6" i="102"/>
  <c r="A7" i="102"/>
  <c r="A8" i="102"/>
  <c r="A9" i="102"/>
  <c r="A10" i="102"/>
  <c r="A11" i="102"/>
  <c r="A12" i="102"/>
  <c r="A13" i="102"/>
  <c r="A14" i="102"/>
  <c r="A15" i="102"/>
  <c r="A16" i="102"/>
  <c r="A17" i="102"/>
  <c r="A18" i="102"/>
  <c r="A19" i="102"/>
  <c r="A20" i="102"/>
  <c r="A21" i="102"/>
  <c r="A22" i="102"/>
  <c r="A23" i="102"/>
  <c r="A24" i="102"/>
  <c r="A25" i="102"/>
  <c r="A26" i="102"/>
  <c r="A27" i="102"/>
  <c r="A28" i="102"/>
  <c r="A29" i="102"/>
  <c r="A30" i="102"/>
  <c r="A31" i="102"/>
  <c r="A32" i="102"/>
  <c r="A33" i="102"/>
  <c r="A34" i="102"/>
  <c r="A35" i="102"/>
  <c r="A36" i="102"/>
  <c r="A37" i="102"/>
  <c r="A38" i="102"/>
  <c r="A39" i="102"/>
  <c r="A40" i="102"/>
  <c r="A41" i="102"/>
  <c r="A42" i="102"/>
  <c r="A43" i="102"/>
  <c r="A44" i="102"/>
  <c r="A45" i="102"/>
  <c r="A46" i="102"/>
  <c r="A47" i="102"/>
  <c r="A48" i="102"/>
  <c r="A49" i="102"/>
  <c r="A50" i="102"/>
  <c r="A51" i="102"/>
  <c r="A52" i="102"/>
  <c r="A53" i="102"/>
  <c r="A54" i="102"/>
  <c r="A55" i="102"/>
  <c r="A56" i="102"/>
  <c r="A57" i="102"/>
  <c r="A58" i="102"/>
  <c r="A59" i="102"/>
  <c r="A60" i="102"/>
  <c r="A61" i="102"/>
  <c r="A62" i="102"/>
  <c r="A63" i="102"/>
  <c r="A64" i="102"/>
  <c r="A65" i="102"/>
  <c r="A66" i="102"/>
  <c r="A67" i="102"/>
  <c r="A68" i="102"/>
  <c r="A69" i="102"/>
  <c r="A70" i="102"/>
  <c r="A71" i="102"/>
  <c r="A72" i="102"/>
  <c r="A73" i="102"/>
  <c r="A74" i="102"/>
  <c r="A75" i="102"/>
  <c r="A76" i="102"/>
  <c r="A77" i="102"/>
  <c r="A78" i="102"/>
  <c r="A79" i="102"/>
  <c r="A80" i="102"/>
  <c r="A81" i="102"/>
  <c r="A82" i="102"/>
  <c r="A83" i="102"/>
  <c r="A84" i="102"/>
  <c r="A85" i="102"/>
  <c r="A86" i="102"/>
  <c r="A87" i="102"/>
  <c r="A88" i="102"/>
  <c r="A89" i="102"/>
  <c r="A90" i="102"/>
  <c r="A91" i="102"/>
  <c r="A92" i="102"/>
  <c r="A93" i="102"/>
  <c r="A94" i="102"/>
  <c r="A95" i="102"/>
  <c r="A96" i="102"/>
  <c r="A97" i="102"/>
  <c r="A98" i="102"/>
  <c r="A99" i="102"/>
  <c r="A100" i="102"/>
  <c r="A101" i="102"/>
  <c r="A102" i="102"/>
  <c r="A103" i="102"/>
  <c r="A104" i="102"/>
  <c r="A105" i="102"/>
  <c r="A106" i="102"/>
  <c r="A107" i="102"/>
  <c r="A108" i="102"/>
  <c r="A109" i="102"/>
  <c r="A110" i="102"/>
  <c r="A111" i="102"/>
  <c r="A112" i="102"/>
  <c r="A113" i="102"/>
  <c r="A114" i="102"/>
  <c r="A115" i="102"/>
  <c r="A116" i="102"/>
  <c r="A117" i="102"/>
  <c r="A118" i="102"/>
  <c r="A119" i="102"/>
  <c r="A120" i="102"/>
  <c r="A121" i="102"/>
  <c r="A122" i="102"/>
  <c r="A123" i="102"/>
  <c r="A124" i="102"/>
  <c r="A125" i="102"/>
  <c r="A126" i="102"/>
  <c r="A127" i="102"/>
  <c r="A128" i="102"/>
  <c r="A129" i="102"/>
  <c r="A130" i="102"/>
  <c r="A131" i="102"/>
  <c r="A132" i="102"/>
  <c r="A133" i="102"/>
  <c r="A134" i="102"/>
  <c r="A135" i="102"/>
  <c r="A136" i="102"/>
  <c r="A137" i="102"/>
  <c r="A138" i="102"/>
  <c r="A139" i="102"/>
  <c r="A140" i="102"/>
  <c r="A141" i="102"/>
  <c r="A142" i="102"/>
  <c r="A143" i="102"/>
  <c r="A144" i="102"/>
  <c r="A145" i="102"/>
  <c r="A146" i="102"/>
  <c r="A147" i="102"/>
  <c r="A148" i="102"/>
  <c r="A149" i="102"/>
  <c r="A150" i="102"/>
  <c r="A151" i="102"/>
  <c r="A152" i="102"/>
  <c r="A153" i="102"/>
  <c r="A154" i="102"/>
  <c r="A155" i="102"/>
  <c r="A156" i="102"/>
  <c r="A157" i="102"/>
  <c r="A158" i="102"/>
  <c r="A159" i="102"/>
  <c r="A160" i="102"/>
  <c r="A161" i="102"/>
  <c r="A162" i="102"/>
  <c r="A163" i="102"/>
  <c r="A164" i="102"/>
  <c r="A165" i="102"/>
  <c r="A166" i="102"/>
  <c r="A167" i="102"/>
  <c r="A168" i="102"/>
  <c r="A169" i="102"/>
  <c r="A170" i="102"/>
  <c r="A171" i="102"/>
  <c r="A172" i="102"/>
  <c r="A173" i="102"/>
  <c r="A174" i="102"/>
  <c r="A175" i="102"/>
  <c r="A176" i="102"/>
  <c r="A177" i="102"/>
  <c r="A178" i="102"/>
  <c r="A179" i="102"/>
  <c r="A180" i="102"/>
  <c r="A181" i="102"/>
  <c r="A182" i="102"/>
  <c r="A183" i="102"/>
  <c r="A184" i="102"/>
  <c r="A185" i="102"/>
  <c r="A186" i="102"/>
  <c r="A187" i="102"/>
  <c r="A188" i="102"/>
  <c r="A189" i="102"/>
  <c r="A190" i="102"/>
  <c r="A191" i="102"/>
  <c r="A192" i="102"/>
  <c r="A193" i="102"/>
  <c r="A194" i="102"/>
  <c r="A195" i="102"/>
  <c r="A196" i="102"/>
  <c r="A197" i="102"/>
  <c r="A198" i="102"/>
  <c r="A199" i="102"/>
  <c r="A200" i="102"/>
  <c r="A201" i="102"/>
  <c r="A202" i="102"/>
  <c r="A203" i="102"/>
  <c r="A204" i="102"/>
  <c r="A205" i="102"/>
  <c r="A206" i="102"/>
  <c r="A207" i="102"/>
  <c r="A208" i="102"/>
  <c r="A209" i="102"/>
  <c r="A210" i="102"/>
  <c r="A211" i="102"/>
  <c r="A212" i="102"/>
  <c r="A213" i="102"/>
  <c r="A214" i="102"/>
  <c r="A215" i="102"/>
  <c r="A216" i="102"/>
  <c r="A217" i="102"/>
  <c r="A218" i="102"/>
  <c r="A219" i="102"/>
  <c r="A220" i="102"/>
  <c r="A221" i="102"/>
  <c r="A222" i="102"/>
  <c r="A223" i="102"/>
  <c r="A224" i="102"/>
  <c r="A225" i="102"/>
  <c r="A226" i="102"/>
  <c r="A227" i="102"/>
  <c r="A228" i="102"/>
  <c r="A229" i="102"/>
  <c r="A230" i="102"/>
  <c r="A231" i="102"/>
  <c r="A232" i="102"/>
  <c r="A233" i="102"/>
  <c r="A234" i="102"/>
  <c r="A235" i="102"/>
  <c r="A236" i="102"/>
  <c r="A237" i="102"/>
  <c r="A238" i="102"/>
  <c r="A239" i="102"/>
  <c r="A240" i="102"/>
  <c r="A241" i="102"/>
  <c r="A242" i="102"/>
  <c r="A243" i="102"/>
  <c r="A244" i="102"/>
  <c r="A245" i="102"/>
  <c r="A246" i="102"/>
  <c r="A247" i="102"/>
  <c r="A248" i="102"/>
  <c r="A249" i="102"/>
  <c r="A250" i="102"/>
  <c r="A251" i="102"/>
  <c r="A252" i="102"/>
  <c r="A253" i="102"/>
  <c r="A254" i="102"/>
  <c r="A255" i="102"/>
  <c r="A256" i="102"/>
  <c r="A257" i="102"/>
  <c r="A258" i="102"/>
  <c r="A259" i="102"/>
  <c r="A260" i="102"/>
  <c r="A261" i="102"/>
  <c r="A262" i="102"/>
  <c r="A263" i="102"/>
  <c r="A264" i="102"/>
  <c r="A265" i="102"/>
  <c r="A266" i="102"/>
  <c r="A267" i="102"/>
  <c r="A268" i="102"/>
  <c r="A269" i="102"/>
  <c r="A270" i="102"/>
  <c r="A271" i="102"/>
  <c r="A5" i="103"/>
  <c r="A6" i="103"/>
  <c r="A7" i="103"/>
  <c r="A8" i="103"/>
  <c r="A9" i="103"/>
  <c r="A10" i="103"/>
  <c r="A11" i="103"/>
  <c r="A12" i="103"/>
  <c r="A13" i="103"/>
  <c r="A14" i="103"/>
  <c r="A15" i="103"/>
  <c r="A16" i="103"/>
  <c r="A17" i="103"/>
  <c r="A18" i="103"/>
  <c r="A19" i="103"/>
  <c r="A20" i="103"/>
  <c r="A21" i="103"/>
  <c r="A22" i="103"/>
  <c r="A23" i="103"/>
  <c r="A24" i="103"/>
  <c r="A25" i="103"/>
  <c r="A26" i="103"/>
  <c r="A27" i="103"/>
  <c r="A28" i="103"/>
  <c r="A29" i="103"/>
  <c r="A30" i="103"/>
  <c r="A31" i="103"/>
  <c r="A32" i="103"/>
  <c r="A33" i="103"/>
  <c r="A34" i="103"/>
  <c r="A35" i="103"/>
  <c r="A36" i="103"/>
  <c r="A37" i="103"/>
  <c r="A38" i="103"/>
  <c r="A39" i="103"/>
  <c r="A40" i="103"/>
  <c r="A41" i="103"/>
  <c r="A42" i="103"/>
  <c r="A43" i="103"/>
  <c r="A44" i="103"/>
  <c r="A45" i="103"/>
  <c r="A46" i="103"/>
  <c r="A47" i="103"/>
  <c r="A48" i="103"/>
  <c r="A49" i="103"/>
  <c r="A50" i="103"/>
  <c r="A51" i="103"/>
  <c r="A52" i="103"/>
  <c r="A53" i="103"/>
  <c r="A54" i="103"/>
  <c r="A55" i="103"/>
  <c r="A56" i="103"/>
  <c r="A57" i="103"/>
  <c r="A58" i="103"/>
  <c r="A59" i="103"/>
  <c r="A60" i="103"/>
  <c r="A61" i="103"/>
  <c r="A62" i="103"/>
  <c r="A63" i="103"/>
  <c r="A64" i="103"/>
  <c r="A65" i="103"/>
  <c r="A66" i="103"/>
  <c r="A67" i="103"/>
  <c r="A68" i="103"/>
  <c r="A69" i="103"/>
  <c r="A70" i="103"/>
  <c r="A71" i="103"/>
  <c r="A72" i="103"/>
  <c r="A73" i="103"/>
  <c r="A74" i="103"/>
  <c r="A75" i="103"/>
  <c r="A76" i="103"/>
  <c r="A77" i="103"/>
  <c r="A78" i="103"/>
  <c r="A79" i="103"/>
  <c r="A80" i="103"/>
  <c r="A81" i="103"/>
  <c r="A82" i="103"/>
  <c r="A83" i="103"/>
  <c r="A84" i="103"/>
  <c r="A85" i="103"/>
  <c r="A86" i="103"/>
  <c r="A87" i="103"/>
  <c r="A88" i="103"/>
  <c r="A89" i="103"/>
  <c r="A90" i="103"/>
  <c r="A91" i="103"/>
  <c r="A92" i="103"/>
  <c r="A93" i="103"/>
  <c r="A94" i="103"/>
  <c r="A95" i="103"/>
  <c r="A96" i="103"/>
  <c r="A97" i="103"/>
  <c r="A98" i="103"/>
  <c r="A99" i="103"/>
  <c r="A100" i="103"/>
  <c r="A101" i="103"/>
  <c r="A102" i="103"/>
  <c r="A103" i="103"/>
  <c r="A104" i="103"/>
  <c r="A105" i="103"/>
  <c r="A106" i="103"/>
  <c r="A107" i="103"/>
  <c r="A108" i="103"/>
  <c r="A109" i="103"/>
  <c r="A110" i="103"/>
  <c r="A111" i="103"/>
  <c r="A112" i="103"/>
  <c r="A113" i="103"/>
  <c r="A114" i="103"/>
  <c r="A115" i="103"/>
  <c r="A116" i="103"/>
  <c r="A117" i="103"/>
  <c r="A118" i="103"/>
  <c r="A119" i="103"/>
  <c r="A120" i="103"/>
  <c r="A121" i="103"/>
  <c r="A122" i="103"/>
  <c r="A123" i="103"/>
  <c r="A124" i="103"/>
  <c r="A125" i="103"/>
  <c r="A126" i="103"/>
  <c r="A127" i="103"/>
  <c r="A128" i="103"/>
  <c r="A129" i="103"/>
  <c r="A130" i="103"/>
  <c r="A131" i="103"/>
  <c r="A132" i="103"/>
  <c r="A133" i="103"/>
  <c r="A134" i="103"/>
  <c r="A135" i="103"/>
  <c r="A136" i="103"/>
  <c r="A137" i="103"/>
  <c r="A138" i="103"/>
  <c r="A139" i="103"/>
  <c r="A140" i="103"/>
  <c r="A141" i="103"/>
  <c r="A142" i="103"/>
  <c r="A143" i="103"/>
  <c r="A144" i="103"/>
  <c r="A145" i="103"/>
  <c r="A146" i="103"/>
  <c r="A147" i="103"/>
  <c r="A148" i="103"/>
  <c r="A149" i="103"/>
  <c r="A150" i="103"/>
  <c r="A151" i="103"/>
  <c r="A152" i="103"/>
  <c r="A153" i="103"/>
  <c r="A154" i="103"/>
  <c r="A155" i="103"/>
  <c r="A156" i="103"/>
  <c r="A157" i="103"/>
  <c r="A158" i="103"/>
  <c r="A159" i="103"/>
  <c r="A160" i="103"/>
  <c r="A161" i="103"/>
  <c r="A162" i="103"/>
  <c r="A163" i="103"/>
  <c r="A164" i="103"/>
  <c r="A165" i="103"/>
  <c r="A166" i="103"/>
  <c r="A167" i="103"/>
  <c r="A168" i="103"/>
  <c r="A169" i="103"/>
  <c r="A170" i="103"/>
  <c r="A171" i="103"/>
  <c r="A172" i="103"/>
  <c r="A173" i="103"/>
  <c r="A174" i="103"/>
  <c r="A175" i="103"/>
  <c r="A176" i="103"/>
  <c r="A177" i="103"/>
  <c r="A178" i="103"/>
  <c r="A179" i="103"/>
  <c r="A180" i="103"/>
  <c r="A181" i="103"/>
  <c r="A182" i="103"/>
  <c r="A183" i="103"/>
  <c r="A184" i="103"/>
  <c r="A185" i="103"/>
  <c r="A186" i="103"/>
  <c r="A187" i="103"/>
  <c r="A188" i="103"/>
  <c r="A189" i="103"/>
  <c r="A190" i="103"/>
  <c r="A191" i="103"/>
  <c r="A192" i="103"/>
  <c r="A193" i="103"/>
  <c r="A194" i="103"/>
  <c r="A195" i="103"/>
  <c r="A196" i="103"/>
  <c r="A197" i="103"/>
  <c r="A198" i="103"/>
  <c r="A199" i="103"/>
  <c r="A200" i="103"/>
  <c r="A201" i="103"/>
  <c r="A202" i="103"/>
  <c r="A203" i="103"/>
  <c r="A204" i="103"/>
  <c r="A205" i="103"/>
  <c r="A206" i="103"/>
  <c r="A207" i="103"/>
  <c r="A208" i="103"/>
  <c r="A209" i="103"/>
  <c r="A210" i="103"/>
  <c r="A211" i="103"/>
  <c r="A212" i="103"/>
  <c r="A213" i="103"/>
  <c r="A214" i="103"/>
  <c r="A215" i="103"/>
  <c r="A216" i="103"/>
  <c r="A217" i="103"/>
  <c r="A218" i="103"/>
  <c r="A219" i="103"/>
  <c r="A220" i="103"/>
  <c r="A221" i="103"/>
  <c r="A222" i="103"/>
  <c r="A223" i="103"/>
  <c r="A224" i="103"/>
  <c r="A225" i="103"/>
  <c r="A226" i="103"/>
  <c r="A227" i="103"/>
  <c r="A228" i="103"/>
  <c r="A229" i="103"/>
  <c r="A230" i="103"/>
  <c r="A231" i="103"/>
  <c r="A232" i="103"/>
  <c r="A233" i="103"/>
  <c r="A234" i="103"/>
  <c r="A235" i="103"/>
  <c r="A236" i="103"/>
  <c r="A237" i="103"/>
  <c r="A238" i="103"/>
  <c r="A239" i="103"/>
  <c r="A240" i="103"/>
  <c r="A241" i="103"/>
  <c r="A242" i="103"/>
  <c r="A243" i="103"/>
  <c r="A244" i="103"/>
  <c r="A245" i="103"/>
  <c r="A246" i="103"/>
  <c r="A247" i="103"/>
  <c r="A248" i="103"/>
  <c r="A249" i="103"/>
  <c r="A250" i="103"/>
  <c r="A251" i="103"/>
  <c r="A252" i="103"/>
  <c r="A253" i="103"/>
  <c r="A254" i="103"/>
  <c r="A255" i="103"/>
  <c r="A256" i="103"/>
  <c r="A257" i="103"/>
  <c r="A258" i="103"/>
  <c r="A259" i="103"/>
  <c r="A260" i="103"/>
  <c r="A261" i="103"/>
  <c r="A262" i="103"/>
  <c r="A263" i="103"/>
  <c r="A264" i="103"/>
  <c r="A265" i="103"/>
  <c r="A266" i="103"/>
  <c r="A267" i="103"/>
  <c r="A268" i="103"/>
  <c r="A269" i="103"/>
  <c r="A270" i="103"/>
  <c r="A271" i="103"/>
  <c r="A5" i="99"/>
  <c r="A6" i="99"/>
  <c r="A7" i="99"/>
  <c r="A8" i="99"/>
  <c r="A9" i="99"/>
  <c r="A10" i="99"/>
  <c r="A11" i="99"/>
  <c r="A12" i="99"/>
  <c r="A13" i="99"/>
  <c r="A14" i="99"/>
  <c r="A15" i="99"/>
  <c r="A16" i="99"/>
  <c r="A17" i="99"/>
  <c r="A18" i="99"/>
  <c r="A19" i="99"/>
  <c r="A20" i="99"/>
  <c r="A21" i="99"/>
  <c r="A22" i="99"/>
  <c r="A23" i="99"/>
  <c r="A24" i="99"/>
  <c r="A25" i="99"/>
  <c r="A26" i="99"/>
  <c r="A27" i="99"/>
  <c r="A28" i="99"/>
  <c r="A29" i="99"/>
  <c r="A30" i="99"/>
  <c r="A31" i="99"/>
  <c r="A32" i="99"/>
  <c r="A33" i="99"/>
  <c r="A34" i="99"/>
  <c r="A35" i="99"/>
  <c r="A36" i="99"/>
  <c r="A37" i="99"/>
  <c r="A38" i="99"/>
  <c r="A39" i="99"/>
  <c r="A40" i="99"/>
  <c r="A41" i="99"/>
  <c r="A42" i="99"/>
  <c r="A43" i="99"/>
  <c r="A44" i="99"/>
  <c r="A45" i="99"/>
  <c r="A46" i="99"/>
  <c r="A47" i="99"/>
  <c r="A48" i="99"/>
  <c r="A49" i="99"/>
  <c r="A50" i="99"/>
  <c r="A51" i="99"/>
  <c r="A52" i="99"/>
  <c r="A53" i="99"/>
  <c r="A54" i="99"/>
  <c r="A55" i="99"/>
  <c r="A56" i="99"/>
  <c r="A57" i="99"/>
  <c r="A58" i="99"/>
  <c r="A59" i="99"/>
  <c r="A60" i="99"/>
  <c r="A61" i="99"/>
  <c r="A62" i="99"/>
  <c r="A63" i="99"/>
  <c r="A64" i="99"/>
  <c r="A65" i="99"/>
  <c r="A66" i="99"/>
  <c r="A67" i="99"/>
  <c r="A68" i="99"/>
  <c r="A69" i="99"/>
  <c r="A70" i="99"/>
  <c r="A71" i="99"/>
  <c r="A72" i="99"/>
  <c r="A73" i="99"/>
  <c r="A74" i="99"/>
  <c r="A75" i="99"/>
  <c r="A76" i="99"/>
  <c r="A77" i="99"/>
  <c r="A78" i="99"/>
  <c r="A79" i="99"/>
  <c r="A80" i="99"/>
  <c r="A81" i="99"/>
  <c r="A82" i="99"/>
  <c r="A83" i="99"/>
  <c r="A84" i="99"/>
  <c r="A85" i="99"/>
  <c r="A86" i="99"/>
  <c r="A87" i="99"/>
  <c r="A88" i="99"/>
  <c r="A89" i="99"/>
  <c r="A90" i="99"/>
  <c r="A91" i="99"/>
  <c r="A92" i="99"/>
  <c r="A93" i="99"/>
  <c r="A94" i="99"/>
  <c r="A95" i="99"/>
  <c r="A96" i="99"/>
  <c r="A97" i="99"/>
  <c r="A98" i="99"/>
  <c r="A99" i="99"/>
  <c r="A100" i="99"/>
  <c r="A101" i="99"/>
  <c r="A102" i="99"/>
  <c r="A103" i="99"/>
  <c r="A104" i="99"/>
  <c r="A105" i="99"/>
  <c r="A106" i="99"/>
  <c r="A107" i="99"/>
  <c r="A108" i="99"/>
  <c r="A109" i="99"/>
  <c r="A110" i="99"/>
  <c r="A111" i="99"/>
  <c r="A112" i="99"/>
  <c r="A113" i="99"/>
  <c r="A114" i="99"/>
  <c r="A115" i="99"/>
  <c r="A116" i="99"/>
  <c r="A117" i="99"/>
  <c r="A118" i="99"/>
  <c r="A119" i="99"/>
  <c r="A120" i="99"/>
  <c r="A121" i="99"/>
  <c r="A122" i="99"/>
  <c r="A123" i="99"/>
  <c r="A124" i="99"/>
  <c r="A125" i="99"/>
  <c r="A126" i="99"/>
  <c r="A127" i="99"/>
  <c r="A128" i="99"/>
  <c r="A129" i="99"/>
  <c r="A130" i="99"/>
  <c r="A131" i="99"/>
  <c r="A132" i="99"/>
  <c r="A133" i="99"/>
  <c r="A134" i="99"/>
  <c r="A135" i="99"/>
  <c r="A136" i="99"/>
  <c r="A137" i="99"/>
  <c r="A138" i="99"/>
  <c r="A139" i="99"/>
  <c r="A140" i="99"/>
  <c r="A141" i="99"/>
  <c r="A142" i="99"/>
  <c r="A143" i="99"/>
  <c r="A144" i="99"/>
  <c r="A145" i="99"/>
  <c r="A146" i="99"/>
  <c r="A147" i="99"/>
  <c r="A148" i="99"/>
  <c r="A149" i="99"/>
  <c r="A150" i="99"/>
  <c r="A151" i="99"/>
  <c r="A152" i="99"/>
  <c r="A153" i="99"/>
  <c r="A154" i="99"/>
  <c r="A155" i="99"/>
  <c r="A156" i="99"/>
  <c r="A157" i="99"/>
  <c r="A158" i="99"/>
  <c r="A159" i="99"/>
  <c r="A160" i="99"/>
  <c r="A161" i="99"/>
  <c r="A162" i="99"/>
  <c r="A163" i="99"/>
  <c r="A164" i="99"/>
  <c r="A165" i="99"/>
  <c r="A166" i="99"/>
  <c r="A167" i="99"/>
  <c r="A168" i="99"/>
  <c r="A169" i="99"/>
  <c r="A170" i="99"/>
  <c r="A171" i="99"/>
  <c r="A172" i="99"/>
  <c r="A173" i="99"/>
  <c r="A174" i="99"/>
  <c r="A175" i="99"/>
  <c r="A176" i="99"/>
  <c r="A177" i="99"/>
  <c r="A178" i="99"/>
  <c r="A179" i="99"/>
  <c r="A180" i="99"/>
  <c r="A181" i="99"/>
  <c r="A182" i="99"/>
  <c r="A183" i="99"/>
  <c r="A184" i="99"/>
  <c r="A185" i="99"/>
  <c r="A186" i="99"/>
  <c r="A187" i="99"/>
  <c r="A188" i="99"/>
  <c r="A189" i="99"/>
  <c r="A190" i="99"/>
  <c r="A191" i="99"/>
  <c r="A192" i="99"/>
  <c r="A193" i="99"/>
  <c r="A194" i="99"/>
  <c r="A195" i="99"/>
  <c r="A196" i="99"/>
  <c r="A197" i="99"/>
  <c r="A198" i="99"/>
  <c r="A199" i="99"/>
  <c r="A200" i="99"/>
  <c r="A201" i="99"/>
  <c r="A202" i="99"/>
  <c r="A203" i="99"/>
  <c r="A204" i="99"/>
  <c r="A205" i="99"/>
  <c r="A206" i="99"/>
  <c r="A207" i="99"/>
  <c r="A208" i="99"/>
  <c r="A209" i="99"/>
  <c r="A210" i="99"/>
  <c r="A211" i="99"/>
  <c r="A212" i="99"/>
  <c r="A213" i="99"/>
  <c r="A214" i="99"/>
  <c r="A215" i="99"/>
  <c r="A216" i="99"/>
  <c r="A217" i="99"/>
  <c r="A218" i="99"/>
  <c r="A219" i="99"/>
  <c r="A220" i="99"/>
  <c r="A221" i="99"/>
  <c r="A222" i="99"/>
  <c r="A223" i="99"/>
  <c r="A224" i="99"/>
  <c r="A225" i="99"/>
  <c r="A226" i="99"/>
  <c r="A227" i="99"/>
  <c r="A228" i="99"/>
  <c r="A229" i="99"/>
  <c r="A230" i="99"/>
  <c r="A231" i="99"/>
  <c r="A232" i="99"/>
  <c r="A233" i="99"/>
  <c r="A234" i="99"/>
  <c r="A235" i="99"/>
  <c r="A236" i="99"/>
  <c r="A237" i="99"/>
  <c r="A238" i="99"/>
  <c r="A239" i="99"/>
  <c r="A240" i="99"/>
  <c r="A241" i="99"/>
  <c r="A242" i="99"/>
  <c r="A243" i="99"/>
  <c r="A244" i="99"/>
  <c r="A245" i="99"/>
  <c r="A246" i="99"/>
  <c r="A247" i="99"/>
  <c r="A248" i="99"/>
  <c r="A249" i="99"/>
  <c r="A250" i="99"/>
  <c r="A251" i="99"/>
  <c r="A252" i="99"/>
  <c r="A253" i="99"/>
  <c r="A254" i="99"/>
  <c r="A255" i="99"/>
  <c r="A256" i="99"/>
  <c r="A257" i="99"/>
  <c r="A258" i="99"/>
  <c r="A259" i="99"/>
  <c r="A260" i="99"/>
  <c r="A261" i="99"/>
  <c r="A262" i="99"/>
  <c r="A263" i="99"/>
  <c r="A264" i="99"/>
  <c r="A265" i="99"/>
  <c r="A266" i="99"/>
  <c r="A267" i="99"/>
  <c r="A268" i="99"/>
  <c r="A269" i="99"/>
  <c r="A270" i="99"/>
  <c r="A271" i="99"/>
  <c r="A4" i="100"/>
  <c r="A4" i="101"/>
  <c r="A4" i="102"/>
  <c r="A4" i="103"/>
  <c r="A4" i="99"/>
  <c r="P271" i="99" l="1"/>
  <c r="R271" i="99" s="1"/>
  <c r="K271" i="99"/>
  <c r="L271" i="99"/>
  <c r="J271" i="99"/>
  <c r="P270" i="99"/>
  <c r="Q270" i="99" s="1"/>
  <c r="J270" i="99"/>
  <c r="K270" i="99"/>
  <c r="L270" i="99"/>
  <c r="J268" i="99"/>
  <c r="K268" i="99"/>
  <c r="L268" i="99"/>
  <c r="K267" i="99"/>
  <c r="L267" i="99"/>
  <c r="J267" i="99"/>
  <c r="J266" i="99"/>
  <c r="K266" i="99"/>
  <c r="P266" i="99"/>
  <c r="R266" i="99" s="1"/>
  <c r="L266" i="99"/>
  <c r="J265" i="99"/>
  <c r="K265" i="99"/>
  <c r="L265" i="99"/>
  <c r="P265" i="99"/>
  <c r="R265" i="99" s="1"/>
  <c r="K264" i="99"/>
  <c r="P264" i="99"/>
  <c r="R264" i="99" s="1"/>
  <c r="L264" i="99"/>
  <c r="J264" i="99"/>
  <c r="L263" i="99"/>
  <c r="J263" i="99"/>
  <c r="P263" i="99"/>
  <c r="R263" i="99" s="1"/>
  <c r="K263" i="99"/>
  <c r="K262" i="99"/>
  <c r="L262" i="99"/>
  <c r="J262" i="99"/>
  <c r="P262" i="99"/>
  <c r="R262" i="99" s="1"/>
  <c r="J261" i="99"/>
  <c r="K261" i="99"/>
  <c r="P261" i="99"/>
  <c r="Q261" i="99" s="1"/>
  <c r="P260" i="99"/>
  <c r="Q260" i="99" s="1"/>
  <c r="J260" i="99"/>
  <c r="K260" i="99"/>
  <c r="K256" i="99"/>
  <c r="L256" i="99"/>
  <c r="J256" i="99"/>
  <c r="J255" i="99"/>
  <c r="K255" i="99"/>
  <c r="L255" i="99"/>
  <c r="J254" i="99"/>
  <c r="P254" i="99"/>
  <c r="R254" i="99" s="1"/>
  <c r="K254" i="99"/>
  <c r="L254" i="99"/>
  <c r="M254" i="99"/>
  <c r="M253" i="99"/>
  <c r="P253" i="99"/>
  <c r="R253" i="99" s="1"/>
  <c r="K253" i="99"/>
  <c r="L253" i="99"/>
  <c r="J253" i="99"/>
  <c r="M252" i="99"/>
  <c r="P252" i="99"/>
  <c r="Q252" i="99" s="1"/>
  <c r="K252" i="99"/>
  <c r="J252" i="99"/>
  <c r="L252" i="99"/>
  <c r="L251" i="99"/>
  <c r="M251" i="99"/>
  <c r="P251" i="99"/>
  <c r="Q251" i="99" s="1"/>
  <c r="J251" i="99"/>
  <c r="K251" i="99"/>
  <c r="J250" i="99"/>
  <c r="K250" i="99"/>
  <c r="L250" i="99"/>
  <c r="M250" i="99"/>
  <c r="P250" i="99"/>
  <c r="Q250" i="99" s="1"/>
  <c r="J249" i="99"/>
  <c r="P249" i="99"/>
  <c r="Q249" i="99" s="1"/>
  <c r="L249" i="99"/>
  <c r="M249" i="99"/>
  <c r="K249" i="99"/>
  <c r="P248" i="99"/>
  <c r="Q248" i="99" s="1"/>
  <c r="L248" i="99"/>
  <c r="M248" i="99"/>
  <c r="K248" i="99"/>
  <c r="J248" i="99"/>
  <c r="M247" i="99"/>
  <c r="P247" i="99"/>
  <c r="Q247" i="99" s="1"/>
  <c r="K247" i="99"/>
  <c r="L247" i="99"/>
  <c r="J247" i="99"/>
  <c r="K246" i="99"/>
  <c r="L246" i="99"/>
  <c r="M246" i="99"/>
  <c r="J246" i="99"/>
  <c r="P246" i="99"/>
  <c r="Q246" i="99" s="1"/>
  <c r="J245" i="99"/>
  <c r="K245" i="99"/>
  <c r="L245" i="99"/>
  <c r="M245" i="99"/>
  <c r="P245" i="99"/>
  <c r="Q245" i="99" s="1"/>
  <c r="J244" i="99"/>
  <c r="K244" i="99"/>
  <c r="L244" i="99"/>
  <c r="P244" i="99"/>
  <c r="R244" i="99" s="1"/>
  <c r="K243" i="99"/>
  <c r="P243" i="99"/>
  <c r="Q243" i="99" s="1"/>
  <c r="J243" i="99"/>
  <c r="L242" i="99"/>
  <c r="M242" i="99"/>
  <c r="P242" i="99"/>
  <c r="Q242" i="99" s="1"/>
  <c r="J242" i="99"/>
  <c r="K242" i="99"/>
  <c r="K241" i="99"/>
  <c r="L241" i="99"/>
  <c r="M241" i="99"/>
  <c r="J241" i="99"/>
  <c r="P241" i="99"/>
  <c r="R241" i="99" s="1"/>
  <c r="J240" i="99"/>
  <c r="P240" i="99"/>
  <c r="R240" i="99" s="1"/>
  <c r="K240" i="99"/>
  <c r="J239" i="99"/>
  <c r="K239" i="99"/>
  <c r="P239" i="99"/>
  <c r="R239" i="99" s="1"/>
  <c r="J238" i="99"/>
  <c r="P238" i="99"/>
  <c r="R238" i="99" s="1"/>
  <c r="K238" i="99"/>
  <c r="L236" i="99"/>
  <c r="J236" i="99"/>
  <c r="K236" i="99"/>
  <c r="P229" i="99"/>
  <c r="R229" i="99" s="1"/>
  <c r="L229" i="99"/>
  <c r="J229" i="99"/>
  <c r="K229" i="99"/>
  <c r="K228" i="99"/>
  <c r="P228" i="99"/>
  <c r="R228" i="99" s="1"/>
  <c r="J228" i="99"/>
  <c r="K227" i="99"/>
  <c r="P227" i="99"/>
  <c r="R227" i="99" s="1"/>
  <c r="J227" i="99"/>
  <c r="P226" i="99"/>
  <c r="R226" i="99" s="1"/>
  <c r="J226" i="99"/>
  <c r="K226" i="99"/>
  <c r="K225" i="99"/>
  <c r="L225" i="99"/>
  <c r="P225" i="99"/>
  <c r="Q225" i="99" s="1"/>
  <c r="J225" i="99"/>
  <c r="K223" i="99"/>
  <c r="L223" i="99"/>
  <c r="J223" i="99"/>
  <c r="P223" i="99"/>
  <c r="R223" i="99" s="1"/>
  <c r="J222" i="99"/>
  <c r="K222" i="99"/>
  <c r="P222" i="99"/>
  <c r="R222" i="99" s="1"/>
  <c r="P221" i="99"/>
  <c r="R221" i="99" s="1"/>
  <c r="J221" i="99"/>
  <c r="K221" i="99"/>
  <c r="P220" i="99"/>
  <c r="Q220" i="99" s="1"/>
  <c r="L220" i="99"/>
  <c r="M220" i="99"/>
  <c r="K220" i="99"/>
  <c r="J220" i="99"/>
  <c r="L219" i="99"/>
  <c r="M219" i="99"/>
  <c r="P219" i="99"/>
  <c r="Q219" i="99" s="1"/>
  <c r="J219" i="99"/>
  <c r="K219" i="99"/>
  <c r="K218" i="99"/>
  <c r="L218" i="99"/>
  <c r="J218" i="99"/>
  <c r="J217" i="99"/>
  <c r="K217" i="99"/>
  <c r="L217" i="99"/>
  <c r="J212" i="99"/>
  <c r="M211" i="99"/>
  <c r="J211" i="99"/>
  <c r="K211" i="99"/>
  <c r="P211" i="99"/>
  <c r="R211" i="99" s="1"/>
  <c r="L211" i="99"/>
  <c r="P210" i="99"/>
  <c r="R210" i="99" s="1"/>
  <c r="L210" i="99"/>
  <c r="M210" i="99"/>
  <c r="J210" i="99"/>
  <c r="K210" i="99"/>
  <c r="P209" i="99"/>
  <c r="R209" i="99" s="1"/>
  <c r="L209" i="99"/>
  <c r="J209" i="99"/>
  <c r="K209" i="99"/>
  <c r="P208" i="99"/>
  <c r="R208" i="99" s="1"/>
  <c r="J208" i="99"/>
  <c r="L208" i="99"/>
  <c r="K208" i="99"/>
  <c r="P207" i="99"/>
  <c r="Q207" i="99" s="1"/>
  <c r="J207" i="99"/>
  <c r="K207" i="99"/>
  <c r="L207" i="99"/>
  <c r="P206" i="99"/>
  <c r="Q206" i="99" s="1"/>
  <c r="J206" i="99"/>
  <c r="K206" i="99"/>
  <c r="L206" i="99"/>
  <c r="J205" i="99"/>
  <c r="K205" i="99"/>
  <c r="L205" i="99"/>
  <c r="P205" i="99"/>
  <c r="Q205" i="99" s="1"/>
  <c r="J204" i="99"/>
  <c r="K204" i="99"/>
  <c r="P204" i="99"/>
  <c r="Q204" i="99" s="1"/>
  <c r="L204" i="99"/>
  <c r="J203" i="99"/>
  <c r="K203" i="99"/>
  <c r="L203" i="99"/>
  <c r="P203" i="99"/>
  <c r="Q203" i="99" s="1"/>
  <c r="J202" i="99"/>
  <c r="K202" i="99"/>
  <c r="L202" i="99"/>
  <c r="P202" i="99"/>
  <c r="Q202" i="99" s="1"/>
  <c r="N202" i="99"/>
  <c r="O202" i="99"/>
  <c r="M202" i="99"/>
  <c r="K201" i="99"/>
  <c r="L201" i="99"/>
  <c r="M201" i="99"/>
  <c r="N201" i="99"/>
  <c r="O201" i="99"/>
  <c r="J201" i="99"/>
  <c r="P201" i="99"/>
  <c r="Q201" i="99" s="1"/>
  <c r="K200" i="99"/>
  <c r="L200" i="99"/>
  <c r="M200" i="99"/>
  <c r="O200" i="99"/>
  <c r="J200" i="99"/>
  <c r="N200" i="99"/>
  <c r="P200" i="99"/>
  <c r="Q200" i="99" s="1"/>
  <c r="J199" i="99"/>
  <c r="K199" i="99"/>
  <c r="L199" i="99"/>
  <c r="J198" i="99"/>
  <c r="K198" i="99"/>
  <c r="L198" i="99"/>
  <c r="L175" i="99"/>
  <c r="J175" i="99"/>
  <c r="K175" i="99"/>
  <c r="K160" i="99"/>
  <c r="L160" i="99"/>
  <c r="J160" i="99"/>
  <c r="J153" i="99"/>
  <c r="K153" i="99"/>
  <c r="L153" i="99"/>
  <c r="K152" i="99"/>
  <c r="L152" i="99"/>
  <c r="J152" i="99"/>
  <c r="L145" i="99"/>
  <c r="J145" i="99"/>
  <c r="K145" i="99"/>
  <c r="K144" i="99"/>
  <c r="L144" i="99"/>
  <c r="J144" i="99"/>
  <c r="J143" i="99"/>
  <c r="K143" i="99"/>
  <c r="L143" i="99"/>
  <c r="J142" i="99"/>
  <c r="K142" i="99"/>
  <c r="L142" i="99"/>
  <c r="K138" i="99"/>
  <c r="L138" i="99"/>
  <c r="J138" i="99"/>
  <c r="J117" i="99"/>
  <c r="P117" i="99"/>
  <c r="Q117" i="99" s="1"/>
  <c r="K117" i="99"/>
  <c r="P116" i="99"/>
  <c r="R116" i="99" s="1"/>
  <c r="J116" i="99"/>
  <c r="K116" i="99"/>
  <c r="J115" i="99"/>
  <c r="K115" i="99"/>
  <c r="P115" i="99"/>
  <c r="R115" i="99" s="1"/>
  <c r="P114" i="99"/>
  <c r="R114" i="99" s="1"/>
  <c r="J114" i="99"/>
  <c r="K114" i="99"/>
  <c r="J113" i="99"/>
  <c r="K113" i="99"/>
  <c r="P113" i="99"/>
  <c r="R113" i="99" s="1"/>
  <c r="P112" i="99"/>
  <c r="R112" i="99" s="1"/>
  <c r="J112" i="99"/>
  <c r="K112" i="99"/>
  <c r="K111" i="99"/>
  <c r="P111" i="99"/>
  <c r="R111" i="99" s="1"/>
  <c r="J111" i="99"/>
  <c r="P110" i="99"/>
  <c r="R110" i="99" s="1"/>
  <c r="J110" i="99"/>
  <c r="K110" i="99"/>
  <c r="K109" i="99"/>
  <c r="P109" i="99"/>
  <c r="R109" i="99" s="1"/>
  <c r="J109" i="99"/>
  <c r="J108" i="99"/>
  <c r="K108" i="99"/>
  <c r="P108" i="99"/>
  <c r="R108" i="99" s="1"/>
  <c r="P107" i="99"/>
  <c r="Q107" i="99" s="1"/>
  <c r="J107" i="99"/>
  <c r="K107" i="99"/>
  <c r="J106" i="99"/>
  <c r="P106" i="99"/>
  <c r="Q106" i="99" s="1"/>
  <c r="K106" i="99"/>
  <c r="P105" i="99"/>
  <c r="R105" i="99" s="1"/>
  <c r="J105" i="99"/>
  <c r="K105" i="99"/>
  <c r="J104" i="99"/>
  <c r="K104" i="99"/>
  <c r="P104" i="99"/>
  <c r="R104" i="99" s="1"/>
  <c r="P103" i="99"/>
  <c r="Q103" i="99" s="1"/>
  <c r="K103" i="99"/>
  <c r="J103" i="99"/>
  <c r="J102" i="99"/>
  <c r="K102" i="99"/>
  <c r="P102" i="99"/>
  <c r="Q102" i="99" s="1"/>
  <c r="J101" i="99"/>
  <c r="K101" i="99"/>
  <c r="P101" i="99"/>
  <c r="Q101" i="99" s="1"/>
  <c r="K100" i="99"/>
  <c r="P100" i="99"/>
  <c r="Q100" i="99" s="1"/>
  <c r="J100" i="99"/>
  <c r="J99" i="99"/>
  <c r="K99" i="99"/>
  <c r="P99" i="99"/>
  <c r="Q99" i="99" s="1"/>
  <c r="P98" i="99"/>
  <c r="Q98" i="99" s="1"/>
  <c r="J98" i="99"/>
  <c r="K98" i="99"/>
  <c r="J97" i="99"/>
  <c r="K97" i="99"/>
  <c r="P97" i="99"/>
  <c r="R97" i="99" s="1"/>
  <c r="K96" i="99"/>
  <c r="P96" i="99"/>
  <c r="R96" i="99" s="1"/>
  <c r="J96" i="99"/>
  <c r="J95" i="99"/>
  <c r="K95" i="99"/>
  <c r="P95" i="99"/>
  <c r="R95" i="99" s="1"/>
  <c r="K94" i="99"/>
  <c r="J94" i="99"/>
  <c r="P94" i="99"/>
  <c r="R94" i="99" s="1"/>
  <c r="J93" i="99"/>
  <c r="K93" i="99"/>
  <c r="P93" i="99"/>
  <c r="R93" i="99" s="1"/>
  <c r="P92" i="99"/>
  <c r="R92" i="99" s="1"/>
  <c r="J92" i="99"/>
  <c r="K92" i="99"/>
  <c r="J91" i="99"/>
  <c r="K91" i="99"/>
  <c r="P91" i="99"/>
  <c r="R91" i="99" s="1"/>
  <c r="J90" i="99"/>
  <c r="K90" i="99"/>
  <c r="P90" i="99"/>
  <c r="Q90" i="99" s="1"/>
  <c r="P89" i="99"/>
  <c r="Q89" i="99" s="1"/>
  <c r="J89" i="99"/>
  <c r="K89" i="99"/>
  <c r="J88" i="99"/>
  <c r="K88" i="99"/>
  <c r="P88" i="99"/>
  <c r="R88" i="99" s="1"/>
  <c r="K87" i="99"/>
  <c r="J87" i="99"/>
  <c r="P87" i="99"/>
  <c r="R87" i="99" s="1"/>
  <c r="J86" i="99"/>
  <c r="K86" i="99"/>
  <c r="P86" i="99"/>
  <c r="R86" i="99" s="1"/>
  <c r="P85" i="99"/>
  <c r="R85" i="99" s="1"/>
  <c r="J85" i="99"/>
  <c r="K85" i="99"/>
  <c r="J84" i="99"/>
  <c r="K84" i="99"/>
  <c r="P84" i="99"/>
  <c r="R84" i="99" s="1"/>
  <c r="P83" i="99"/>
  <c r="R83" i="99" s="1"/>
  <c r="J83" i="99"/>
  <c r="K83" i="99"/>
  <c r="K82" i="99"/>
  <c r="P82" i="99"/>
  <c r="R82" i="99" s="1"/>
  <c r="J82" i="99"/>
  <c r="K81" i="99"/>
  <c r="J81" i="99"/>
  <c r="P81" i="99"/>
  <c r="R81" i="99" s="1"/>
  <c r="J80" i="99"/>
  <c r="P80" i="99"/>
  <c r="R80" i="99" s="1"/>
  <c r="K80" i="99"/>
  <c r="P79" i="99"/>
  <c r="R79" i="99" s="1"/>
  <c r="J79" i="99"/>
  <c r="K79" i="99"/>
  <c r="K78" i="99"/>
  <c r="P78" i="99"/>
  <c r="R78" i="99" s="1"/>
  <c r="J78" i="99"/>
  <c r="J77" i="99"/>
  <c r="K77" i="99"/>
  <c r="P77" i="99"/>
  <c r="R77" i="99" s="1"/>
  <c r="P76" i="99"/>
  <c r="R76" i="99" s="1"/>
  <c r="J76" i="99"/>
  <c r="K76" i="99"/>
  <c r="K75" i="99"/>
  <c r="J75" i="99"/>
  <c r="P75" i="99"/>
  <c r="L75" i="99"/>
  <c r="K74" i="99"/>
  <c r="P74" i="99"/>
  <c r="R74" i="99" s="1"/>
  <c r="J74" i="99"/>
  <c r="L74" i="99"/>
  <c r="P73" i="99"/>
  <c r="R73" i="99" s="1"/>
  <c r="L73" i="99"/>
  <c r="J73" i="99"/>
  <c r="K73" i="99"/>
  <c r="P72" i="99"/>
  <c r="R72" i="99" s="1"/>
  <c r="L72" i="99"/>
  <c r="J72" i="99"/>
  <c r="K72" i="99"/>
  <c r="P71" i="99"/>
  <c r="R71" i="99" s="1"/>
  <c r="J71" i="99"/>
  <c r="K71" i="99"/>
  <c r="L71" i="99"/>
  <c r="P70" i="99"/>
  <c r="R70" i="99" s="1"/>
  <c r="L70" i="99"/>
  <c r="J70" i="99"/>
  <c r="K70" i="99"/>
  <c r="P69" i="99"/>
  <c r="R69" i="99" s="1"/>
  <c r="J69" i="99"/>
  <c r="K69" i="99"/>
  <c r="L69" i="99"/>
  <c r="P68" i="99"/>
  <c r="R68" i="99" s="1"/>
  <c r="J68" i="99"/>
  <c r="L68" i="99"/>
  <c r="K68" i="99"/>
  <c r="P67" i="99"/>
  <c r="R67" i="99" s="1"/>
  <c r="J67" i="99"/>
  <c r="K67" i="99"/>
  <c r="L67" i="99"/>
  <c r="J66" i="99"/>
  <c r="K66" i="99"/>
  <c r="L66" i="99"/>
  <c r="P66" i="99"/>
  <c r="R66" i="99" s="1"/>
  <c r="J65" i="99"/>
  <c r="K65" i="99"/>
  <c r="L65" i="99"/>
  <c r="P65" i="99"/>
  <c r="R65" i="99" s="1"/>
  <c r="K64" i="99"/>
  <c r="L64" i="99"/>
  <c r="P64" i="99"/>
  <c r="R64" i="99" s="1"/>
  <c r="J64" i="99"/>
  <c r="K63" i="99"/>
  <c r="L63" i="99"/>
  <c r="P63" i="99"/>
  <c r="R63" i="99" s="1"/>
  <c r="J63" i="99"/>
  <c r="K62" i="99"/>
  <c r="L62" i="99"/>
  <c r="P62" i="99"/>
  <c r="R62" i="99" s="1"/>
  <c r="J62" i="99"/>
  <c r="K61" i="99"/>
  <c r="L61" i="99"/>
  <c r="P61" i="99"/>
  <c r="R61" i="99" s="1"/>
  <c r="J61" i="99"/>
  <c r="L58" i="99"/>
  <c r="J58" i="99"/>
  <c r="K58" i="99"/>
  <c r="L56" i="99"/>
  <c r="J56" i="99"/>
  <c r="K56" i="99"/>
  <c r="L55" i="99"/>
  <c r="J55" i="99"/>
  <c r="K55" i="99"/>
  <c r="J28" i="99"/>
  <c r="K28" i="99"/>
  <c r="P28" i="99"/>
  <c r="Q28" i="99" s="1"/>
  <c r="L28" i="99"/>
  <c r="M28" i="99"/>
  <c r="J27" i="99"/>
  <c r="K27" i="99"/>
  <c r="L27" i="99"/>
  <c r="M27" i="99"/>
  <c r="P27" i="99"/>
  <c r="Q27" i="99" s="1"/>
  <c r="J26" i="99"/>
  <c r="K26" i="99"/>
  <c r="L26" i="99"/>
  <c r="P26" i="99"/>
  <c r="Q26" i="99" s="1"/>
  <c r="M26" i="99"/>
  <c r="J25" i="99"/>
  <c r="K25" i="99"/>
  <c r="L25" i="99"/>
  <c r="P25" i="99"/>
  <c r="Q25" i="99" s="1"/>
  <c r="M25" i="99"/>
  <c r="M10" i="99"/>
  <c r="L10" i="99"/>
  <c r="P10" i="99"/>
  <c r="R10" i="99" s="1"/>
  <c r="J10" i="99"/>
  <c r="K10" i="99"/>
  <c r="P6" i="99"/>
  <c r="R6" i="99" s="1"/>
  <c r="J6" i="99"/>
  <c r="K6" i="99"/>
  <c r="J5" i="99"/>
  <c r="K5" i="99"/>
  <c r="P5" i="99"/>
  <c r="R5" i="99" s="1"/>
  <c r="J271" i="103"/>
  <c r="K271" i="103"/>
  <c r="L271" i="103"/>
  <c r="K270" i="103"/>
  <c r="J270" i="103"/>
  <c r="L270" i="103"/>
  <c r="L268" i="103"/>
  <c r="K268" i="103"/>
  <c r="J268" i="103"/>
  <c r="K267" i="103"/>
  <c r="J267" i="103"/>
  <c r="L267" i="103"/>
  <c r="L266" i="103"/>
  <c r="J266" i="103"/>
  <c r="K266" i="103"/>
  <c r="J265" i="103"/>
  <c r="L265" i="103"/>
  <c r="K265" i="103"/>
  <c r="J264" i="103"/>
  <c r="K264" i="103"/>
  <c r="L264" i="103"/>
  <c r="K263" i="103"/>
  <c r="L263" i="103"/>
  <c r="J263" i="103"/>
  <c r="L262" i="103"/>
  <c r="J262" i="103"/>
  <c r="K262" i="103"/>
  <c r="J261" i="103"/>
  <c r="K261" i="103"/>
  <c r="K260" i="103"/>
  <c r="J260" i="103"/>
  <c r="J256" i="103"/>
  <c r="K256" i="103"/>
  <c r="L256" i="103"/>
  <c r="J255" i="103"/>
  <c r="K255" i="103"/>
  <c r="L255" i="103"/>
  <c r="L254" i="103"/>
  <c r="K254" i="103"/>
  <c r="J254" i="103"/>
  <c r="M254" i="103"/>
  <c r="K253" i="103"/>
  <c r="L253" i="103"/>
  <c r="M253" i="103"/>
  <c r="J253" i="103"/>
  <c r="J252" i="103"/>
  <c r="K252" i="103"/>
  <c r="L252" i="103"/>
  <c r="M252" i="103"/>
  <c r="M251" i="103"/>
  <c r="K251" i="103"/>
  <c r="J251" i="103"/>
  <c r="L251" i="103"/>
  <c r="J250" i="103"/>
  <c r="K250" i="103"/>
  <c r="L250" i="103"/>
  <c r="M250" i="103"/>
  <c r="M249" i="103"/>
  <c r="J249" i="103"/>
  <c r="K249" i="103"/>
  <c r="L249" i="103"/>
  <c r="L248" i="103"/>
  <c r="M248" i="103"/>
  <c r="J248" i="103"/>
  <c r="K248" i="103"/>
  <c r="J247" i="103"/>
  <c r="K247" i="103"/>
  <c r="L247" i="103"/>
  <c r="M247" i="103"/>
  <c r="L246" i="103"/>
  <c r="J246" i="103"/>
  <c r="K246" i="103"/>
  <c r="M246" i="103"/>
  <c r="K245" i="103"/>
  <c r="L245" i="103"/>
  <c r="M245" i="103"/>
  <c r="J245" i="103"/>
  <c r="K244" i="103"/>
  <c r="L244" i="103"/>
  <c r="J244" i="103"/>
  <c r="J243" i="103"/>
  <c r="K243" i="103"/>
  <c r="K242" i="103"/>
  <c r="L242" i="103"/>
  <c r="M242" i="103"/>
  <c r="J242" i="103"/>
  <c r="J241" i="103"/>
  <c r="M241" i="103"/>
  <c r="K241" i="103"/>
  <c r="L241" i="103"/>
  <c r="J240" i="103"/>
  <c r="K240" i="103"/>
  <c r="K239" i="103"/>
  <c r="J239" i="103"/>
  <c r="K238" i="103"/>
  <c r="J238" i="103"/>
  <c r="K236" i="103"/>
  <c r="J236" i="103"/>
  <c r="L236" i="103"/>
  <c r="J229" i="103"/>
  <c r="K229" i="103"/>
  <c r="L229" i="103"/>
  <c r="J228" i="103"/>
  <c r="K228" i="103"/>
  <c r="K227" i="103"/>
  <c r="J227" i="103"/>
  <c r="J226" i="103"/>
  <c r="K226" i="103"/>
  <c r="J225" i="103"/>
  <c r="K225" i="103"/>
  <c r="L225" i="103"/>
  <c r="J223" i="103"/>
  <c r="K223" i="103"/>
  <c r="L223" i="103"/>
  <c r="J222" i="103"/>
  <c r="K222" i="103"/>
  <c r="J221" i="103"/>
  <c r="K221" i="103"/>
  <c r="L220" i="103"/>
  <c r="K220" i="103"/>
  <c r="J220" i="103"/>
  <c r="M220" i="103"/>
  <c r="K219" i="103"/>
  <c r="L219" i="103"/>
  <c r="M219" i="103"/>
  <c r="J219" i="103"/>
  <c r="J218" i="103"/>
  <c r="K218" i="103"/>
  <c r="L218" i="103"/>
  <c r="J217" i="103"/>
  <c r="K217" i="103"/>
  <c r="L217" i="103"/>
  <c r="J212" i="103"/>
  <c r="M211" i="103"/>
  <c r="K211" i="103"/>
  <c r="J211" i="103"/>
  <c r="L211" i="103"/>
  <c r="J210" i="103"/>
  <c r="K210" i="103"/>
  <c r="L210" i="103"/>
  <c r="M210" i="103"/>
  <c r="J209" i="103"/>
  <c r="K209" i="103"/>
  <c r="L209" i="103"/>
  <c r="J208" i="103"/>
  <c r="K208" i="103"/>
  <c r="L208" i="103"/>
  <c r="L207" i="103"/>
  <c r="J207" i="103"/>
  <c r="K207" i="103"/>
  <c r="L206" i="103"/>
  <c r="J206" i="103"/>
  <c r="K206" i="103"/>
  <c r="K205" i="103"/>
  <c r="J205" i="103"/>
  <c r="L205" i="103"/>
  <c r="L204" i="103"/>
  <c r="J204" i="103"/>
  <c r="K204" i="103"/>
  <c r="K203" i="103"/>
  <c r="L203" i="103"/>
  <c r="J203" i="103"/>
  <c r="K202" i="103"/>
  <c r="L202" i="103"/>
  <c r="M202" i="103"/>
  <c r="P202" i="103"/>
  <c r="Q202" i="103" s="1"/>
  <c r="J202" i="103"/>
  <c r="N202" i="103"/>
  <c r="O202" i="103"/>
  <c r="K201" i="103"/>
  <c r="L201" i="103"/>
  <c r="M201" i="103"/>
  <c r="N201" i="103"/>
  <c r="O201" i="103"/>
  <c r="P201" i="103"/>
  <c r="Q201" i="103" s="1"/>
  <c r="J201" i="103"/>
  <c r="L200" i="103"/>
  <c r="M200" i="103"/>
  <c r="N200" i="103"/>
  <c r="J200" i="103"/>
  <c r="P200" i="103"/>
  <c r="Q200" i="103" s="1"/>
  <c r="K200" i="103"/>
  <c r="O200" i="103"/>
  <c r="K199" i="103"/>
  <c r="L199" i="103"/>
  <c r="J199" i="103"/>
  <c r="J198" i="103"/>
  <c r="K198" i="103"/>
  <c r="L198" i="103"/>
  <c r="L175" i="103"/>
  <c r="J175" i="103"/>
  <c r="K175" i="103"/>
  <c r="K160" i="103"/>
  <c r="L160" i="103"/>
  <c r="J160" i="103"/>
  <c r="J153" i="103"/>
  <c r="K153" i="103"/>
  <c r="L153" i="103"/>
  <c r="L152" i="103"/>
  <c r="K152" i="103"/>
  <c r="J152" i="103"/>
  <c r="L145" i="103"/>
  <c r="J145" i="103"/>
  <c r="K145" i="103"/>
  <c r="K144" i="103"/>
  <c r="L144" i="103"/>
  <c r="J144" i="103"/>
  <c r="J143" i="103"/>
  <c r="K143" i="103"/>
  <c r="L143" i="103"/>
  <c r="J142" i="103"/>
  <c r="K142" i="103"/>
  <c r="L142" i="103"/>
  <c r="L138" i="103"/>
  <c r="J138" i="103"/>
  <c r="K138" i="103"/>
  <c r="J117" i="103"/>
  <c r="K117" i="103"/>
  <c r="J116" i="103"/>
  <c r="K116" i="103"/>
  <c r="K115" i="103"/>
  <c r="J115" i="103"/>
  <c r="J114" i="103"/>
  <c r="K114" i="103"/>
  <c r="K113" i="103"/>
  <c r="J113" i="103"/>
  <c r="K112" i="103"/>
  <c r="J112" i="103"/>
  <c r="J111" i="103"/>
  <c r="K111" i="103"/>
  <c r="J110" i="103"/>
  <c r="K110" i="103"/>
  <c r="J109" i="103"/>
  <c r="K109" i="103"/>
  <c r="J108" i="103"/>
  <c r="K108" i="103"/>
  <c r="K107" i="103"/>
  <c r="J107" i="103"/>
  <c r="J106" i="103"/>
  <c r="K106" i="103"/>
  <c r="K105" i="103"/>
  <c r="J105" i="103"/>
  <c r="J104" i="103"/>
  <c r="K104" i="103"/>
  <c r="J103" i="103"/>
  <c r="K103" i="103"/>
  <c r="J102" i="103"/>
  <c r="K102" i="103"/>
  <c r="K101" i="103"/>
  <c r="J101" i="103"/>
  <c r="J100" i="103"/>
  <c r="K100" i="103"/>
  <c r="K99" i="103"/>
  <c r="J99" i="103"/>
  <c r="J98" i="103"/>
  <c r="K98" i="103"/>
  <c r="K97" i="103"/>
  <c r="J97" i="103"/>
  <c r="K96" i="103"/>
  <c r="J96" i="103"/>
  <c r="J95" i="103"/>
  <c r="K95" i="103"/>
  <c r="J94" i="103"/>
  <c r="K94" i="103"/>
  <c r="J93" i="103"/>
  <c r="K93" i="103"/>
  <c r="J92" i="103"/>
  <c r="K92" i="103"/>
  <c r="K91" i="103"/>
  <c r="J91" i="103"/>
  <c r="J90" i="103"/>
  <c r="K90" i="103"/>
  <c r="K89" i="103"/>
  <c r="J89" i="103"/>
  <c r="J88" i="103"/>
  <c r="K88" i="103"/>
  <c r="J87" i="103"/>
  <c r="K87" i="103"/>
  <c r="J86" i="103"/>
  <c r="K86" i="103"/>
  <c r="J85" i="103"/>
  <c r="K85" i="103"/>
  <c r="J84" i="103"/>
  <c r="K84" i="103"/>
  <c r="K83" i="103"/>
  <c r="J83" i="103"/>
  <c r="J82" i="103"/>
  <c r="K82" i="103"/>
  <c r="K81" i="103"/>
  <c r="J81" i="103"/>
  <c r="K80" i="103"/>
  <c r="J80" i="103"/>
  <c r="J79" i="103"/>
  <c r="K79" i="103"/>
  <c r="J78" i="103"/>
  <c r="K78" i="103"/>
  <c r="J77" i="103"/>
  <c r="K77" i="103"/>
  <c r="J76" i="103"/>
  <c r="K76" i="103"/>
  <c r="J75" i="103"/>
  <c r="K75" i="103"/>
  <c r="L75" i="103"/>
  <c r="J74" i="103"/>
  <c r="K74" i="103"/>
  <c r="L74" i="103"/>
  <c r="J73" i="103"/>
  <c r="L73" i="103"/>
  <c r="K73" i="103"/>
  <c r="J72" i="103"/>
  <c r="K72" i="103"/>
  <c r="L72" i="103"/>
  <c r="L71" i="103"/>
  <c r="K71" i="103"/>
  <c r="J71" i="103"/>
  <c r="K70" i="103"/>
  <c r="J70" i="103"/>
  <c r="L70" i="103"/>
  <c r="L69" i="103"/>
  <c r="J69" i="103"/>
  <c r="K69" i="103"/>
  <c r="K68" i="103"/>
  <c r="L68" i="103"/>
  <c r="J68" i="103"/>
  <c r="J67" i="103"/>
  <c r="K67" i="103"/>
  <c r="L67" i="103"/>
  <c r="J66" i="103"/>
  <c r="K66" i="103"/>
  <c r="L66" i="103"/>
  <c r="J65" i="103"/>
  <c r="K65" i="103"/>
  <c r="L65" i="103"/>
  <c r="L64" i="103"/>
  <c r="K64" i="103"/>
  <c r="J64" i="103"/>
  <c r="L63" i="103"/>
  <c r="J63" i="103"/>
  <c r="K63" i="103"/>
  <c r="K62" i="103"/>
  <c r="J62" i="103"/>
  <c r="L62" i="103"/>
  <c r="L61" i="103"/>
  <c r="J61" i="103"/>
  <c r="K61" i="103"/>
  <c r="L58" i="103"/>
  <c r="K58" i="103"/>
  <c r="J58" i="103"/>
  <c r="J56" i="103"/>
  <c r="K56" i="103"/>
  <c r="L56" i="103"/>
  <c r="L55" i="103"/>
  <c r="J55" i="103"/>
  <c r="K55" i="103"/>
  <c r="J28" i="103"/>
  <c r="K28" i="103"/>
  <c r="L28" i="103"/>
  <c r="M28" i="103"/>
  <c r="J27" i="103"/>
  <c r="M27" i="103"/>
  <c r="K27" i="103"/>
  <c r="L27" i="103"/>
  <c r="M26" i="103"/>
  <c r="J26" i="103"/>
  <c r="K26" i="103"/>
  <c r="L26" i="103"/>
  <c r="L25" i="103"/>
  <c r="K25" i="103"/>
  <c r="J25" i="103"/>
  <c r="M25" i="103"/>
  <c r="J10" i="103"/>
  <c r="K10" i="103"/>
  <c r="L10" i="103"/>
  <c r="M10" i="103"/>
  <c r="J6" i="103"/>
  <c r="K6" i="103"/>
  <c r="J5" i="103"/>
  <c r="K5" i="103"/>
  <c r="J271" i="102"/>
  <c r="K271" i="102"/>
  <c r="L271" i="102"/>
  <c r="L270" i="102"/>
  <c r="J270" i="102"/>
  <c r="K270" i="102"/>
  <c r="L268" i="102"/>
  <c r="J268" i="102"/>
  <c r="K268" i="102"/>
  <c r="L267" i="102"/>
  <c r="J267" i="102"/>
  <c r="K267" i="102"/>
  <c r="K266" i="102"/>
  <c r="J266" i="102"/>
  <c r="L266" i="102"/>
  <c r="J265" i="102"/>
  <c r="K265" i="102"/>
  <c r="L265" i="102"/>
  <c r="J264" i="102"/>
  <c r="K264" i="102"/>
  <c r="L264" i="102"/>
  <c r="L263" i="102"/>
  <c r="J263" i="102"/>
  <c r="K263" i="102"/>
  <c r="J262" i="102"/>
  <c r="K262" i="102"/>
  <c r="L262" i="102"/>
  <c r="K261" i="102"/>
  <c r="J261" i="102"/>
  <c r="J260" i="102"/>
  <c r="K260" i="102"/>
  <c r="K256" i="102"/>
  <c r="L256" i="102"/>
  <c r="J256" i="102"/>
  <c r="J255" i="102"/>
  <c r="K255" i="102"/>
  <c r="L255" i="102"/>
  <c r="M254" i="102"/>
  <c r="L254" i="102"/>
  <c r="J254" i="102"/>
  <c r="K254" i="102"/>
  <c r="L253" i="102"/>
  <c r="M253" i="102"/>
  <c r="J253" i="102"/>
  <c r="K253" i="102"/>
  <c r="J252" i="102"/>
  <c r="K252" i="102"/>
  <c r="L252" i="102"/>
  <c r="M252" i="102"/>
  <c r="L251" i="102"/>
  <c r="K251" i="102"/>
  <c r="J251" i="102"/>
  <c r="M251" i="102"/>
  <c r="K250" i="102"/>
  <c r="L250" i="102"/>
  <c r="M250" i="102"/>
  <c r="J250" i="102"/>
  <c r="J249" i="102"/>
  <c r="K249" i="102"/>
  <c r="L249" i="102"/>
  <c r="M249" i="102"/>
  <c r="L248" i="102"/>
  <c r="J248" i="102"/>
  <c r="K248" i="102"/>
  <c r="M248" i="102"/>
  <c r="K247" i="102"/>
  <c r="L247" i="102"/>
  <c r="M247" i="102"/>
  <c r="J247" i="102"/>
  <c r="J246" i="102"/>
  <c r="M246" i="102"/>
  <c r="L246" i="102"/>
  <c r="K246" i="102"/>
  <c r="M245" i="102"/>
  <c r="K245" i="102"/>
  <c r="J245" i="102"/>
  <c r="L245" i="102"/>
  <c r="L244" i="102"/>
  <c r="J244" i="102"/>
  <c r="K244" i="102"/>
  <c r="J243" i="102"/>
  <c r="K243" i="102"/>
  <c r="L242" i="102"/>
  <c r="M242" i="102"/>
  <c r="J242" i="102"/>
  <c r="K242" i="102"/>
  <c r="J241" i="102"/>
  <c r="K241" i="102"/>
  <c r="L241" i="102"/>
  <c r="M241" i="102"/>
  <c r="J240" i="102"/>
  <c r="K240" i="102"/>
  <c r="J239" i="102"/>
  <c r="K239" i="102"/>
  <c r="K238" i="102"/>
  <c r="J238" i="102"/>
  <c r="L236" i="102"/>
  <c r="J236" i="102"/>
  <c r="K236" i="102"/>
  <c r="J229" i="102"/>
  <c r="L229" i="102"/>
  <c r="K229" i="102"/>
  <c r="K228" i="102"/>
  <c r="J228" i="102"/>
  <c r="J227" i="102"/>
  <c r="K227" i="102"/>
  <c r="J226" i="102"/>
  <c r="K226" i="102"/>
  <c r="J225" i="102"/>
  <c r="K225" i="102"/>
  <c r="L225" i="102"/>
  <c r="L223" i="102"/>
  <c r="K223" i="102"/>
  <c r="J223" i="102"/>
  <c r="J222" i="102"/>
  <c r="K222" i="102"/>
  <c r="J221" i="102"/>
  <c r="K221" i="102"/>
  <c r="K220" i="102"/>
  <c r="L220" i="102"/>
  <c r="M220" i="102"/>
  <c r="J220" i="102"/>
  <c r="J219" i="102"/>
  <c r="M219" i="102"/>
  <c r="K219" i="102"/>
  <c r="L219" i="102"/>
  <c r="J218" i="102"/>
  <c r="K218" i="102"/>
  <c r="L218" i="102"/>
  <c r="L217" i="102"/>
  <c r="K217" i="102"/>
  <c r="J217" i="102"/>
  <c r="J212" i="102"/>
  <c r="K211" i="102"/>
  <c r="L211" i="102"/>
  <c r="M211" i="102"/>
  <c r="J211" i="102"/>
  <c r="J210" i="102"/>
  <c r="K210" i="102"/>
  <c r="L210" i="102"/>
  <c r="M210" i="102"/>
  <c r="L209" i="102"/>
  <c r="K209" i="102"/>
  <c r="J209" i="102"/>
  <c r="L208" i="102"/>
  <c r="J208" i="102"/>
  <c r="K208" i="102"/>
  <c r="K207" i="102"/>
  <c r="J207" i="102"/>
  <c r="L207" i="102"/>
  <c r="L206" i="102"/>
  <c r="J206" i="102"/>
  <c r="K206" i="102"/>
  <c r="K205" i="102"/>
  <c r="L205" i="102"/>
  <c r="J205" i="102"/>
  <c r="J204" i="102"/>
  <c r="K204" i="102"/>
  <c r="L204" i="102"/>
  <c r="J203" i="102"/>
  <c r="K203" i="102"/>
  <c r="L203" i="102"/>
  <c r="J202" i="102"/>
  <c r="K202" i="102"/>
  <c r="O202" i="102"/>
  <c r="N202" i="102"/>
  <c r="L202" i="102"/>
  <c r="M202" i="102"/>
  <c r="P202" i="102"/>
  <c r="Q202" i="102" s="1"/>
  <c r="J201" i="102"/>
  <c r="K201" i="102"/>
  <c r="L201" i="102"/>
  <c r="P201" i="102"/>
  <c r="Q201" i="102" s="1"/>
  <c r="M201" i="102"/>
  <c r="N201" i="102"/>
  <c r="O201" i="102"/>
  <c r="J200" i="102"/>
  <c r="K200" i="102"/>
  <c r="L200" i="102"/>
  <c r="P200" i="102"/>
  <c r="Q200" i="102" s="1"/>
  <c r="O200" i="102"/>
  <c r="N200" i="102"/>
  <c r="M200" i="102"/>
  <c r="J199" i="102"/>
  <c r="K199" i="102"/>
  <c r="L199" i="102"/>
  <c r="J198" i="102"/>
  <c r="K198" i="102"/>
  <c r="L198" i="102"/>
  <c r="K175" i="102"/>
  <c r="J175" i="102"/>
  <c r="L175" i="102"/>
  <c r="J160" i="102"/>
  <c r="K160" i="102"/>
  <c r="L160" i="102"/>
  <c r="L153" i="102"/>
  <c r="J153" i="102"/>
  <c r="K153" i="102"/>
  <c r="K152" i="102"/>
  <c r="J152" i="102"/>
  <c r="L152" i="102"/>
  <c r="L145" i="102"/>
  <c r="J145" i="102"/>
  <c r="K145" i="102"/>
  <c r="K144" i="102"/>
  <c r="L144" i="102"/>
  <c r="J144" i="102"/>
  <c r="J143" i="102"/>
  <c r="K143" i="102"/>
  <c r="L143" i="102"/>
  <c r="J142" i="102"/>
  <c r="K142" i="102"/>
  <c r="L142" i="102"/>
  <c r="K138" i="102"/>
  <c r="L138" i="102"/>
  <c r="J138" i="102"/>
  <c r="J117" i="102"/>
  <c r="K117" i="102"/>
  <c r="J116" i="102"/>
  <c r="K116" i="102"/>
  <c r="K115" i="102"/>
  <c r="J115" i="102"/>
  <c r="J114" i="102"/>
  <c r="K114" i="102"/>
  <c r="K113" i="102"/>
  <c r="J113" i="102"/>
  <c r="J112" i="102"/>
  <c r="K112" i="102"/>
  <c r="J111" i="102"/>
  <c r="K111" i="102"/>
  <c r="J110" i="102"/>
  <c r="K110" i="102"/>
  <c r="J109" i="102"/>
  <c r="K109" i="102"/>
  <c r="J108" i="102"/>
  <c r="K108" i="102"/>
  <c r="K107" i="102"/>
  <c r="J107" i="102"/>
  <c r="J106" i="102"/>
  <c r="K106" i="102"/>
  <c r="K105" i="102"/>
  <c r="J105" i="102"/>
  <c r="K104" i="102"/>
  <c r="J104" i="102"/>
  <c r="J103" i="102"/>
  <c r="K103" i="102"/>
  <c r="J102" i="102"/>
  <c r="K102" i="102"/>
  <c r="J101" i="102"/>
  <c r="K101" i="102"/>
  <c r="J100" i="102"/>
  <c r="K100" i="102"/>
  <c r="K99" i="102"/>
  <c r="J99" i="102"/>
  <c r="J98" i="102"/>
  <c r="K98" i="102"/>
  <c r="K97" i="102"/>
  <c r="J97" i="102"/>
  <c r="J96" i="102"/>
  <c r="K96" i="102"/>
  <c r="J95" i="102"/>
  <c r="K95" i="102"/>
  <c r="J94" i="102"/>
  <c r="K94" i="102"/>
  <c r="K93" i="102"/>
  <c r="J93" i="102"/>
  <c r="J92" i="102"/>
  <c r="K92" i="102"/>
  <c r="K91" i="102"/>
  <c r="J91" i="102"/>
  <c r="J90" i="102"/>
  <c r="K90" i="102"/>
  <c r="K89" i="102"/>
  <c r="J89" i="102"/>
  <c r="K88" i="102"/>
  <c r="J88" i="102"/>
  <c r="J87" i="102"/>
  <c r="K87" i="102"/>
  <c r="J86" i="102"/>
  <c r="K86" i="102"/>
  <c r="J85" i="102"/>
  <c r="K85" i="102"/>
  <c r="J84" i="102"/>
  <c r="K84" i="102"/>
  <c r="K83" i="102"/>
  <c r="J83" i="102"/>
  <c r="J82" i="102"/>
  <c r="K82" i="102"/>
  <c r="K81" i="102"/>
  <c r="J81" i="102"/>
  <c r="J80" i="102"/>
  <c r="K80" i="102"/>
  <c r="J79" i="102"/>
  <c r="K79" i="102"/>
  <c r="J78" i="102"/>
  <c r="K78" i="102"/>
  <c r="J77" i="102"/>
  <c r="K77" i="102"/>
  <c r="J76" i="102"/>
  <c r="K76" i="102"/>
  <c r="J75" i="102"/>
  <c r="K75" i="102"/>
  <c r="L75" i="102"/>
  <c r="J74" i="102"/>
  <c r="K74" i="102"/>
  <c r="L74" i="102"/>
  <c r="J73" i="102"/>
  <c r="K73" i="102"/>
  <c r="L73" i="102"/>
  <c r="L72" i="102"/>
  <c r="J72" i="102"/>
  <c r="K72" i="102"/>
  <c r="L71" i="102"/>
  <c r="J71" i="102"/>
  <c r="K71" i="102"/>
  <c r="K70" i="102"/>
  <c r="J70" i="102"/>
  <c r="L70" i="102"/>
  <c r="L69" i="102"/>
  <c r="J69" i="102"/>
  <c r="K69" i="102"/>
  <c r="K68" i="102"/>
  <c r="L68" i="102"/>
  <c r="J68" i="102"/>
  <c r="J67" i="102"/>
  <c r="K67" i="102"/>
  <c r="L67" i="102"/>
  <c r="J66" i="102"/>
  <c r="K66" i="102"/>
  <c r="L66" i="102"/>
  <c r="J65" i="102"/>
  <c r="L65" i="102"/>
  <c r="K65" i="102"/>
  <c r="J64" i="102"/>
  <c r="K64" i="102"/>
  <c r="L64" i="102"/>
  <c r="L63" i="102"/>
  <c r="K63" i="102"/>
  <c r="J63" i="102"/>
  <c r="K62" i="102"/>
  <c r="J62" i="102"/>
  <c r="L62" i="102"/>
  <c r="L61" i="102"/>
  <c r="J61" i="102"/>
  <c r="K61" i="102"/>
  <c r="J58" i="102"/>
  <c r="K58" i="102"/>
  <c r="L58" i="102"/>
  <c r="J56" i="102"/>
  <c r="K56" i="102"/>
  <c r="L56" i="102"/>
  <c r="J55" i="102"/>
  <c r="K55" i="102"/>
  <c r="L55" i="102"/>
  <c r="L28" i="102"/>
  <c r="M28" i="102"/>
  <c r="J28" i="102"/>
  <c r="K28" i="102"/>
  <c r="L27" i="102"/>
  <c r="M27" i="102"/>
  <c r="J27" i="102"/>
  <c r="K27" i="102"/>
  <c r="K26" i="102"/>
  <c r="L26" i="102"/>
  <c r="M26" i="102"/>
  <c r="J26" i="102"/>
  <c r="J25" i="102"/>
  <c r="K25" i="102"/>
  <c r="L25" i="102"/>
  <c r="M25" i="102"/>
  <c r="M10" i="102"/>
  <c r="K10" i="102"/>
  <c r="J10" i="102"/>
  <c r="L10" i="102"/>
  <c r="K6" i="102"/>
  <c r="J6" i="102"/>
  <c r="K5" i="102"/>
  <c r="J5" i="102"/>
  <c r="J271" i="101"/>
  <c r="K271" i="101"/>
  <c r="L271" i="101"/>
  <c r="K270" i="101"/>
  <c r="J270" i="101"/>
  <c r="L270" i="101"/>
  <c r="L268" i="101"/>
  <c r="J268" i="101"/>
  <c r="K268" i="101"/>
  <c r="K267" i="101"/>
  <c r="J267" i="101"/>
  <c r="L267" i="101"/>
  <c r="L266" i="101"/>
  <c r="J266" i="101"/>
  <c r="K266" i="101"/>
  <c r="J265" i="101"/>
  <c r="K265" i="101"/>
  <c r="L265" i="101"/>
  <c r="L264" i="101"/>
  <c r="J264" i="101"/>
  <c r="K264" i="101"/>
  <c r="K263" i="101"/>
  <c r="L263" i="101"/>
  <c r="J263" i="101"/>
  <c r="L262" i="101"/>
  <c r="J262" i="101"/>
  <c r="K262" i="101"/>
  <c r="J261" i="101"/>
  <c r="K261" i="101"/>
  <c r="K260" i="101"/>
  <c r="J260" i="101"/>
  <c r="J256" i="101"/>
  <c r="K256" i="101"/>
  <c r="L256" i="101"/>
  <c r="J255" i="101"/>
  <c r="K255" i="101"/>
  <c r="L255" i="101"/>
  <c r="M254" i="101"/>
  <c r="L254" i="101"/>
  <c r="J254" i="101"/>
  <c r="K254" i="101"/>
  <c r="P254" i="101"/>
  <c r="R254" i="101" s="1"/>
  <c r="P253" i="101"/>
  <c r="R253" i="101" s="1"/>
  <c r="L253" i="101"/>
  <c r="J253" i="101"/>
  <c r="K253" i="101"/>
  <c r="M253" i="101"/>
  <c r="L252" i="101"/>
  <c r="M252" i="101"/>
  <c r="P252" i="101"/>
  <c r="Q252" i="101" s="1"/>
  <c r="J252" i="101"/>
  <c r="K252" i="101"/>
  <c r="J251" i="101"/>
  <c r="K251" i="101"/>
  <c r="L251" i="101"/>
  <c r="P251" i="101"/>
  <c r="Q251" i="101" s="1"/>
  <c r="M251" i="101"/>
  <c r="J250" i="101"/>
  <c r="P250" i="101"/>
  <c r="Q250" i="101" s="1"/>
  <c r="K250" i="101"/>
  <c r="L250" i="101"/>
  <c r="M250" i="101"/>
  <c r="M249" i="101"/>
  <c r="L249" i="101"/>
  <c r="J249" i="101"/>
  <c r="K249" i="101"/>
  <c r="P249" i="101"/>
  <c r="Q249" i="101" s="1"/>
  <c r="P248" i="101"/>
  <c r="Q248" i="101" s="1"/>
  <c r="L248" i="101"/>
  <c r="J248" i="101"/>
  <c r="K248" i="101"/>
  <c r="M248" i="101"/>
  <c r="L247" i="101"/>
  <c r="M247" i="101"/>
  <c r="P247" i="101"/>
  <c r="Q247" i="101" s="1"/>
  <c r="J247" i="101"/>
  <c r="K247" i="101"/>
  <c r="J246" i="101"/>
  <c r="K246" i="101"/>
  <c r="L246" i="101"/>
  <c r="P246" i="101"/>
  <c r="Q246" i="101" s="1"/>
  <c r="M246" i="101"/>
  <c r="J245" i="101"/>
  <c r="K245" i="101"/>
  <c r="L245" i="101"/>
  <c r="M245" i="101"/>
  <c r="P245" i="101"/>
  <c r="Q245" i="101" s="1"/>
  <c r="J244" i="101"/>
  <c r="K244" i="101"/>
  <c r="L244" i="101"/>
  <c r="K243" i="101"/>
  <c r="J243" i="101"/>
  <c r="J242" i="101"/>
  <c r="K242" i="101"/>
  <c r="L242" i="101"/>
  <c r="M242" i="101"/>
  <c r="P242" i="101"/>
  <c r="Q242" i="101" s="1"/>
  <c r="J241" i="101"/>
  <c r="P241" i="101"/>
  <c r="R241" i="101" s="1"/>
  <c r="M241" i="101"/>
  <c r="L241" i="101"/>
  <c r="K241" i="101"/>
  <c r="J240" i="101"/>
  <c r="K240" i="101"/>
  <c r="K239" i="101"/>
  <c r="J239" i="101"/>
  <c r="K238" i="101"/>
  <c r="J238" i="101"/>
  <c r="K236" i="101"/>
  <c r="J236" i="101"/>
  <c r="L236" i="101"/>
  <c r="J229" i="101"/>
  <c r="K229" i="101"/>
  <c r="L229" i="101"/>
  <c r="J228" i="101"/>
  <c r="K228" i="101"/>
  <c r="K227" i="101"/>
  <c r="J227" i="101"/>
  <c r="J226" i="101"/>
  <c r="K226" i="101"/>
  <c r="J225" i="101"/>
  <c r="K225" i="101"/>
  <c r="L225" i="101"/>
  <c r="K223" i="101"/>
  <c r="J223" i="101"/>
  <c r="L223" i="101"/>
  <c r="J222" i="101"/>
  <c r="K222" i="101"/>
  <c r="K221" i="101"/>
  <c r="J221" i="101"/>
  <c r="K220" i="101"/>
  <c r="L220" i="101"/>
  <c r="M220" i="101"/>
  <c r="P220" i="101"/>
  <c r="Q220" i="101" s="1"/>
  <c r="J220" i="101"/>
  <c r="J219" i="101"/>
  <c r="K219" i="101"/>
  <c r="L219" i="101"/>
  <c r="M219" i="101"/>
  <c r="P219" i="101"/>
  <c r="Q219" i="101" s="1"/>
  <c r="J218" i="101"/>
  <c r="L218" i="101"/>
  <c r="K218" i="101"/>
  <c r="J217" i="101"/>
  <c r="K217" i="101"/>
  <c r="L217" i="101"/>
  <c r="J212" i="101"/>
  <c r="L211" i="101"/>
  <c r="M211" i="101"/>
  <c r="P211" i="101"/>
  <c r="R211" i="101" s="1"/>
  <c r="J211" i="101"/>
  <c r="K211" i="101"/>
  <c r="J210" i="101"/>
  <c r="K210" i="101"/>
  <c r="L210" i="101"/>
  <c r="P210" i="101"/>
  <c r="R210" i="101" s="1"/>
  <c r="M210" i="101"/>
  <c r="J209" i="101"/>
  <c r="K209" i="101"/>
  <c r="L209" i="101"/>
  <c r="J208" i="101"/>
  <c r="K208" i="101"/>
  <c r="L208" i="101"/>
  <c r="J207" i="101"/>
  <c r="K207" i="101"/>
  <c r="L207" i="101"/>
  <c r="L206" i="101"/>
  <c r="K206" i="101"/>
  <c r="J206" i="101"/>
  <c r="K205" i="101"/>
  <c r="J205" i="101"/>
  <c r="L205" i="101"/>
  <c r="L204" i="101"/>
  <c r="J204" i="101"/>
  <c r="K204" i="101"/>
  <c r="L203" i="101"/>
  <c r="J203" i="101"/>
  <c r="K203" i="101"/>
  <c r="M202" i="101"/>
  <c r="N202" i="101"/>
  <c r="O202" i="101"/>
  <c r="K202" i="101"/>
  <c r="P202" i="101"/>
  <c r="Q202" i="101" s="1"/>
  <c r="J202" i="101"/>
  <c r="L202" i="101"/>
  <c r="N201" i="101"/>
  <c r="O201" i="101"/>
  <c r="P201" i="101"/>
  <c r="Q201" i="101" s="1"/>
  <c r="L201" i="101"/>
  <c r="J201" i="101"/>
  <c r="K201" i="101"/>
  <c r="M201" i="101"/>
  <c r="N200" i="101"/>
  <c r="O200" i="101"/>
  <c r="P200" i="101"/>
  <c r="Q200" i="101" s="1"/>
  <c r="L200" i="101"/>
  <c r="K200" i="101"/>
  <c r="J200" i="101"/>
  <c r="M200" i="101"/>
  <c r="K199" i="101"/>
  <c r="J199" i="101"/>
  <c r="L199" i="101"/>
  <c r="L198" i="101"/>
  <c r="J198" i="101"/>
  <c r="K198" i="101"/>
  <c r="J175" i="101"/>
  <c r="K175" i="101"/>
  <c r="L175" i="101"/>
  <c r="K160" i="101"/>
  <c r="J160" i="101"/>
  <c r="L160" i="101"/>
  <c r="J153" i="101"/>
  <c r="K153" i="101"/>
  <c r="L153" i="101"/>
  <c r="J152" i="101"/>
  <c r="K152" i="101"/>
  <c r="L152" i="101"/>
  <c r="L145" i="101"/>
  <c r="J145" i="101"/>
  <c r="K145" i="101"/>
  <c r="K144" i="101"/>
  <c r="J144" i="101"/>
  <c r="L144" i="101"/>
  <c r="L143" i="101"/>
  <c r="J143" i="101"/>
  <c r="K143" i="101"/>
  <c r="K142" i="101"/>
  <c r="L142" i="101"/>
  <c r="J142" i="101"/>
  <c r="K138" i="101"/>
  <c r="J138" i="101"/>
  <c r="L138" i="101"/>
  <c r="J117" i="101"/>
  <c r="K117" i="101"/>
  <c r="K116" i="101"/>
  <c r="J116" i="101"/>
  <c r="K115" i="101"/>
  <c r="J115" i="101"/>
  <c r="J114" i="101"/>
  <c r="K114" i="101"/>
  <c r="J113" i="101"/>
  <c r="K113" i="101"/>
  <c r="J112" i="101"/>
  <c r="K112" i="101"/>
  <c r="J111" i="101"/>
  <c r="K111" i="101"/>
  <c r="K110" i="101"/>
  <c r="J110" i="101"/>
  <c r="J109" i="101"/>
  <c r="K109" i="101"/>
  <c r="K108" i="101"/>
  <c r="J108" i="101"/>
  <c r="J107" i="101"/>
  <c r="K107" i="101"/>
  <c r="J106" i="101"/>
  <c r="K106" i="101"/>
  <c r="J105" i="101"/>
  <c r="K105" i="101"/>
  <c r="K104" i="101"/>
  <c r="J104" i="101"/>
  <c r="J103" i="101"/>
  <c r="K103" i="101"/>
  <c r="K102" i="101"/>
  <c r="J102" i="101"/>
  <c r="J101" i="101"/>
  <c r="K101" i="101"/>
  <c r="K100" i="101"/>
  <c r="J100" i="101"/>
  <c r="K99" i="101"/>
  <c r="J99" i="101"/>
  <c r="J98" i="101"/>
  <c r="K98" i="101"/>
  <c r="J97" i="101"/>
  <c r="K97" i="101"/>
  <c r="J96" i="101"/>
  <c r="K96" i="101"/>
  <c r="J95" i="101"/>
  <c r="K95" i="101"/>
  <c r="K94" i="101"/>
  <c r="J94" i="101"/>
  <c r="J93" i="101"/>
  <c r="K93" i="101"/>
  <c r="K92" i="101"/>
  <c r="J92" i="101"/>
  <c r="J91" i="101"/>
  <c r="K91" i="101"/>
  <c r="J90" i="101"/>
  <c r="K90" i="101"/>
  <c r="J89" i="101"/>
  <c r="K89" i="101"/>
  <c r="J88" i="101"/>
  <c r="K88" i="101"/>
  <c r="J87" i="101"/>
  <c r="K87" i="101"/>
  <c r="K86" i="101"/>
  <c r="J86" i="101"/>
  <c r="J85" i="101"/>
  <c r="K85" i="101"/>
  <c r="K84" i="101"/>
  <c r="J84" i="101"/>
  <c r="K83" i="101"/>
  <c r="J83" i="101"/>
  <c r="J82" i="101"/>
  <c r="K82" i="101"/>
  <c r="J81" i="101"/>
  <c r="K81" i="101"/>
  <c r="J80" i="101"/>
  <c r="K80" i="101"/>
  <c r="J79" i="101"/>
  <c r="K79" i="101"/>
  <c r="K78" i="101"/>
  <c r="J78" i="101"/>
  <c r="J77" i="101"/>
  <c r="K77" i="101"/>
  <c r="K76" i="101"/>
  <c r="J76" i="101"/>
  <c r="K75" i="101"/>
  <c r="L75" i="101"/>
  <c r="J75" i="101"/>
  <c r="J74" i="101"/>
  <c r="K74" i="101"/>
  <c r="L74" i="101"/>
  <c r="J73" i="101"/>
  <c r="K73" i="101"/>
  <c r="L73" i="101"/>
  <c r="J72" i="101"/>
  <c r="K72" i="101"/>
  <c r="L72" i="101"/>
  <c r="J71" i="101"/>
  <c r="K71" i="101"/>
  <c r="L71" i="101"/>
  <c r="L70" i="101"/>
  <c r="K70" i="101"/>
  <c r="J70" i="101"/>
  <c r="K69" i="101"/>
  <c r="J69" i="101"/>
  <c r="L69" i="101"/>
  <c r="K68" i="101"/>
  <c r="J68" i="101"/>
  <c r="L68" i="101"/>
  <c r="K67" i="101"/>
  <c r="J67" i="101"/>
  <c r="L67" i="101"/>
  <c r="L66" i="101"/>
  <c r="J66" i="101"/>
  <c r="K66" i="101"/>
  <c r="K65" i="101"/>
  <c r="L65" i="101"/>
  <c r="J65" i="101"/>
  <c r="J64" i="101"/>
  <c r="K64" i="101"/>
  <c r="L64" i="101"/>
  <c r="J63" i="101"/>
  <c r="K63" i="101"/>
  <c r="L63" i="101"/>
  <c r="J62" i="101"/>
  <c r="K62" i="101"/>
  <c r="L62" i="101"/>
  <c r="L61" i="101"/>
  <c r="K61" i="101"/>
  <c r="J61" i="101"/>
  <c r="J58" i="101"/>
  <c r="K58" i="101"/>
  <c r="L58" i="101"/>
  <c r="K56" i="101"/>
  <c r="L56" i="101"/>
  <c r="J56" i="101"/>
  <c r="J55" i="101"/>
  <c r="K55" i="101"/>
  <c r="L55" i="101"/>
  <c r="M28" i="101"/>
  <c r="P28" i="101"/>
  <c r="Q28" i="101" s="1"/>
  <c r="K28" i="101"/>
  <c r="J28" i="101"/>
  <c r="L28" i="101"/>
  <c r="M27" i="101"/>
  <c r="K27" i="101"/>
  <c r="P27" i="101"/>
  <c r="Q27" i="101" s="1"/>
  <c r="J27" i="101"/>
  <c r="L27" i="101"/>
  <c r="M26" i="101"/>
  <c r="K26" i="101"/>
  <c r="J26" i="101"/>
  <c r="L26" i="101"/>
  <c r="P26" i="101"/>
  <c r="Q26" i="101" s="1"/>
  <c r="M25" i="101"/>
  <c r="K25" i="101"/>
  <c r="P25" i="101"/>
  <c r="Q25" i="101" s="1"/>
  <c r="J25" i="101"/>
  <c r="L25" i="101"/>
  <c r="J10" i="101"/>
  <c r="K10" i="101"/>
  <c r="L10" i="101"/>
  <c r="P10" i="101"/>
  <c r="R10" i="101" s="1"/>
  <c r="M10" i="101"/>
  <c r="J6" i="101"/>
  <c r="K6" i="101"/>
  <c r="K5" i="101"/>
  <c r="J5" i="101"/>
  <c r="K271" i="100"/>
  <c r="L271" i="100"/>
  <c r="J271" i="100"/>
  <c r="J270" i="100"/>
  <c r="K270" i="100"/>
  <c r="L270" i="100"/>
  <c r="P270" i="100"/>
  <c r="Q270" i="100" s="1"/>
  <c r="J268" i="100"/>
  <c r="K268" i="100"/>
  <c r="L268" i="100"/>
  <c r="J267" i="100"/>
  <c r="K267" i="100"/>
  <c r="L267" i="100"/>
  <c r="L266" i="100"/>
  <c r="J266" i="100"/>
  <c r="K266" i="100"/>
  <c r="L265" i="100"/>
  <c r="P265" i="100"/>
  <c r="R265" i="100" s="1"/>
  <c r="J265" i="100"/>
  <c r="K265" i="100"/>
  <c r="K264" i="100"/>
  <c r="L264" i="100"/>
  <c r="J264" i="100"/>
  <c r="J263" i="100"/>
  <c r="K263" i="100"/>
  <c r="L263" i="100"/>
  <c r="P263" i="100"/>
  <c r="R263" i="100" s="1"/>
  <c r="L262" i="100"/>
  <c r="J262" i="100"/>
  <c r="K262" i="100"/>
  <c r="P262" i="100"/>
  <c r="R262" i="100" s="1"/>
  <c r="J261" i="100"/>
  <c r="K261" i="100"/>
  <c r="J260" i="100"/>
  <c r="K260" i="100"/>
  <c r="J256" i="100"/>
  <c r="K256" i="100"/>
  <c r="L256" i="100"/>
  <c r="J255" i="100"/>
  <c r="K255" i="100"/>
  <c r="L255" i="100"/>
  <c r="P254" i="100"/>
  <c r="R254" i="100" s="1"/>
  <c r="L254" i="100"/>
  <c r="J254" i="100"/>
  <c r="K254" i="100"/>
  <c r="M254" i="100"/>
  <c r="M253" i="100"/>
  <c r="P253" i="100"/>
  <c r="R253" i="100" s="1"/>
  <c r="K253" i="100"/>
  <c r="J253" i="100"/>
  <c r="L253" i="100"/>
  <c r="K252" i="100"/>
  <c r="L252" i="100"/>
  <c r="M252" i="100"/>
  <c r="J252" i="100"/>
  <c r="P252" i="100"/>
  <c r="Q252" i="100" s="1"/>
  <c r="J251" i="100"/>
  <c r="K251" i="100"/>
  <c r="L251" i="100"/>
  <c r="M251" i="100"/>
  <c r="P251" i="100"/>
  <c r="Q251" i="100" s="1"/>
  <c r="M250" i="100"/>
  <c r="L250" i="100"/>
  <c r="J250" i="100"/>
  <c r="P250" i="100"/>
  <c r="Q250" i="100" s="1"/>
  <c r="K250" i="100"/>
  <c r="M249" i="100"/>
  <c r="P249" i="100"/>
  <c r="Q249" i="100" s="1"/>
  <c r="K249" i="100"/>
  <c r="J249" i="100"/>
  <c r="L249" i="100"/>
  <c r="L248" i="100"/>
  <c r="M248" i="100"/>
  <c r="P248" i="100"/>
  <c r="Q248" i="100" s="1"/>
  <c r="J248" i="100"/>
  <c r="K248" i="100"/>
  <c r="K247" i="100"/>
  <c r="L247" i="100"/>
  <c r="M247" i="100"/>
  <c r="J247" i="100"/>
  <c r="P247" i="100"/>
  <c r="Q247" i="100" s="1"/>
  <c r="J246" i="100"/>
  <c r="K246" i="100"/>
  <c r="L246" i="100"/>
  <c r="M246" i="100"/>
  <c r="P246" i="100"/>
  <c r="Q246" i="100" s="1"/>
  <c r="M245" i="100"/>
  <c r="L245" i="100"/>
  <c r="J245" i="100"/>
  <c r="P245" i="100"/>
  <c r="Q245" i="100" s="1"/>
  <c r="K245" i="100"/>
  <c r="L244" i="100"/>
  <c r="J244" i="100"/>
  <c r="K244" i="100"/>
  <c r="J243" i="100"/>
  <c r="K243" i="100"/>
  <c r="M242" i="100"/>
  <c r="L242" i="100"/>
  <c r="P242" i="100"/>
  <c r="Q242" i="100" s="1"/>
  <c r="J242" i="100"/>
  <c r="K242" i="100"/>
  <c r="M241" i="100"/>
  <c r="P241" i="100"/>
  <c r="R241" i="100" s="1"/>
  <c r="K241" i="100"/>
  <c r="J241" i="100"/>
  <c r="L241" i="100"/>
  <c r="J240" i="100"/>
  <c r="K240" i="100"/>
  <c r="K239" i="100"/>
  <c r="J239" i="100"/>
  <c r="J238" i="100"/>
  <c r="K238" i="100"/>
  <c r="J236" i="100"/>
  <c r="K236" i="100"/>
  <c r="L236" i="100"/>
  <c r="P229" i="100"/>
  <c r="R229" i="100" s="1"/>
  <c r="K229" i="100"/>
  <c r="J229" i="100"/>
  <c r="L229" i="100"/>
  <c r="J228" i="100"/>
  <c r="K228" i="100"/>
  <c r="K227" i="100"/>
  <c r="J227" i="100"/>
  <c r="J226" i="100"/>
  <c r="K226" i="100"/>
  <c r="K225" i="100"/>
  <c r="J225" i="100"/>
  <c r="L225" i="100"/>
  <c r="K223" i="100"/>
  <c r="P223" i="100"/>
  <c r="R223" i="100" s="1"/>
  <c r="J223" i="100"/>
  <c r="L223" i="100"/>
  <c r="J222" i="100"/>
  <c r="K222" i="100"/>
  <c r="K221" i="100"/>
  <c r="J221" i="100"/>
  <c r="K220" i="100"/>
  <c r="L220" i="100"/>
  <c r="M220" i="100"/>
  <c r="P220" i="100"/>
  <c r="Q220" i="100" s="1"/>
  <c r="J220" i="100"/>
  <c r="J219" i="100"/>
  <c r="K219" i="100"/>
  <c r="P219" i="100"/>
  <c r="Q219" i="100" s="1"/>
  <c r="L219" i="100"/>
  <c r="M219" i="100"/>
  <c r="J218" i="100"/>
  <c r="K218" i="100"/>
  <c r="L218" i="100"/>
  <c r="L217" i="100"/>
  <c r="J217" i="100"/>
  <c r="K217" i="100"/>
  <c r="J212" i="100"/>
  <c r="L211" i="100"/>
  <c r="M211" i="100"/>
  <c r="P211" i="100"/>
  <c r="R211" i="100" s="1"/>
  <c r="J211" i="100"/>
  <c r="K211" i="100"/>
  <c r="K210" i="100"/>
  <c r="L210" i="100"/>
  <c r="M210" i="100"/>
  <c r="P210" i="100"/>
  <c r="R210" i="100" s="1"/>
  <c r="J210" i="100"/>
  <c r="J209" i="100"/>
  <c r="K209" i="100"/>
  <c r="L209" i="100"/>
  <c r="J208" i="100"/>
  <c r="K208" i="100"/>
  <c r="L208" i="100"/>
  <c r="J207" i="100"/>
  <c r="K207" i="100"/>
  <c r="L207" i="100"/>
  <c r="P207" i="100"/>
  <c r="Q207" i="100" s="1"/>
  <c r="J206" i="100"/>
  <c r="K206" i="100"/>
  <c r="L206" i="100"/>
  <c r="P206" i="100"/>
  <c r="Q206" i="100" s="1"/>
  <c r="L205" i="100"/>
  <c r="J205" i="100"/>
  <c r="K205" i="100"/>
  <c r="P205" i="100"/>
  <c r="Q205" i="100" s="1"/>
  <c r="J204" i="100"/>
  <c r="K204" i="100"/>
  <c r="L204" i="100"/>
  <c r="P204" i="100"/>
  <c r="Q204" i="100" s="1"/>
  <c r="J203" i="100"/>
  <c r="K203" i="100"/>
  <c r="L203" i="100"/>
  <c r="P203" i="100"/>
  <c r="Q203" i="100" s="1"/>
  <c r="J202" i="100"/>
  <c r="K202" i="100"/>
  <c r="L202" i="100"/>
  <c r="P202" i="100"/>
  <c r="Q202" i="100" s="1"/>
  <c r="O202" i="100"/>
  <c r="N202" i="100"/>
  <c r="M202" i="100"/>
  <c r="K201" i="100"/>
  <c r="L201" i="100"/>
  <c r="M201" i="100"/>
  <c r="N201" i="100"/>
  <c r="O201" i="100"/>
  <c r="P201" i="100"/>
  <c r="Q201" i="100" s="1"/>
  <c r="J201" i="100"/>
  <c r="K200" i="100"/>
  <c r="L200" i="100"/>
  <c r="M200" i="100"/>
  <c r="P200" i="100"/>
  <c r="Q200" i="100" s="1"/>
  <c r="J200" i="100"/>
  <c r="N200" i="100"/>
  <c r="O200" i="100"/>
  <c r="J199" i="100"/>
  <c r="K199" i="100"/>
  <c r="L199" i="100"/>
  <c r="J198" i="100"/>
  <c r="K198" i="100"/>
  <c r="L198" i="100"/>
  <c r="L175" i="100"/>
  <c r="K175" i="100"/>
  <c r="J175" i="100"/>
  <c r="J160" i="100"/>
  <c r="K160" i="100"/>
  <c r="L160" i="100"/>
  <c r="J153" i="100"/>
  <c r="K153" i="100"/>
  <c r="L153" i="100"/>
  <c r="L152" i="100"/>
  <c r="K152" i="100"/>
  <c r="J152" i="100"/>
  <c r="K145" i="100"/>
  <c r="L145" i="100"/>
  <c r="J145" i="100"/>
  <c r="J144" i="100"/>
  <c r="K144" i="100"/>
  <c r="L144" i="100"/>
  <c r="J143" i="100"/>
  <c r="K143" i="100"/>
  <c r="L143" i="100"/>
  <c r="J142" i="100"/>
  <c r="K142" i="100"/>
  <c r="L142" i="100"/>
  <c r="J138" i="100"/>
  <c r="K138" i="100"/>
  <c r="L138" i="100"/>
  <c r="K117" i="100"/>
  <c r="J117" i="100"/>
  <c r="J116" i="100"/>
  <c r="K116" i="100"/>
  <c r="K115" i="100"/>
  <c r="J115" i="100"/>
  <c r="J114" i="100"/>
  <c r="K114" i="100"/>
  <c r="J113" i="100"/>
  <c r="K113" i="100"/>
  <c r="J112" i="100"/>
  <c r="K112" i="100"/>
  <c r="J111" i="100"/>
  <c r="K111" i="100"/>
  <c r="J110" i="100"/>
  <c r="K110" i="100"/>
  <c r="K109" i="100"/>
  <c r="J109" i="100"/>
  <c r="J108" i="100"/>
  <c r="K108" i="100"/>
  <c r="K107" i="100"/>
  <c r="J107" i="100"/>
  <c r="K106" i="100"/>
  <c r="J106" i="100"/>
  <c r="J105" i="100"/>
  <c r="K105" i="100"/>
  <c r="J104" i="100"/>
  <c r="K104" i="100"/>
  <c r="J103" i="100"/>
  <c r="K103" i="100"/>
  <c r="J102" i="100"/>
  <c r="K102" i="100"/>
  <c r="K101" i="100"/>
  <c r="J101" i="100"/>
  <c r="J100" i="100"/>
  <c r="K100" i="100"/>
  <c r="K99" i="100"/>
  <c r="J99" i="100"/>
  <c r="J98" i="100"/>
  <c r="K98" i="100"/>
  <c r="J97" i="100"/>
  <c r="K97" i="100"/>
  <c r="J96" i="100"/>
  <c r="K96" i="100"/>
  <c r="K95" i="100"/>
  <c r="J95" i="100"/>
  <c r="J94" i="100"/>
  <c r="K94" i="100"/>
  <c r="K93" i="100"/>
  <c r="J93" i="100"/>
  <c r="J92" i="100"/>
  <c r="K92" i="100"/>
  <c r="K91" i="100"/>
  <c r="J91" i="100"/>
  <c r="K90" i="100"/>
  <c r="J90" i="100"/>
  <c r="J89" i="100"/>
  <c r="K89" i="100"/>
  <c r="J88" i="100"/>
  <c r="K88" i="100"/>
  <c r="J87" i="100"/>
  <c r="K87" i="100"/>
  <c r="J86" i="100"/>
  <c r="K86" i="100"/>
  <c r="K85" i="100"/>
  <c r="J85" i="100"/>
  <c r="J84" i="100"/>
  <c r="K84" i="100"/>
  <c r="K83" i="100"/>
  <c r="J83" i="100"/>
  <c r="J82" i="100"/>
  <c r="K82" i="100"/>
  <c r="J81" i="100"/>
  <c r="K81" i="100"/>
  <c r="J80" i="100"/>
  <c r="K80" i="100"/>
  <c r="J79" i="100"/>
  <c r="K79" i="100"/>
  <c r="J78" i="100"/>
  <c r="K78" i="100"/>
  <c r="K77" i="100"/>
  <c r="J77" i="100"/>
  <c r="J76" i="100"/>
  <c r="K76" i="100"/>
  <c r="J75" i="100"/>
  <c r="L75" i="100"/>
  <c r="K75" i="100"/>
  <c r="J74" i="100"/>
  <c r="K74" i="100"/>
  <c r="L74" i="100"/>
  <c r="L73" i="100"/>
  <c r="K73" i="100"/>
  <c r="J73" i="100"/>
  <c r="K72" i="100"/>
  <c r="J72" i="100"/>
  <c r="L72" i="100"/>
  <c r="L71" i="100"/>
  <c r="J71" i="100"/>
  <c r="K71" i="100"/>
  <c r="K70" i="100"/>
  <c r="L70" i="100"/>
  <c r="J70" i="100"/>
  <c r="J69" i="100"/>
  <c r="K69" i="100"/>
  <c r="L69" i="100"/>
  <c r="J68" i="100"/>
  <c r="K68" i="100"/>
  <c r="L68" i="100"/>
  <c r="J67" i="100"/>
  <c r="K67" i="100"/>
  <c r="L67" i="100"/>
  <c r="J66" i="100"/>
  <c r="K66" i="100"/>
  <c r="L66" i="100"/>
  <c r="J65" i="100"/>
  <c r="K65" i="100"/>
  <c r="L65" i="100"/>
  <c r="L64" i="100"/>
  <c r="J64" i="100"/>
  <c r="K64" i="100"/>
  <c r="L63" i="100"/>
  <c r="J63" i="100"/>
  <c r="K63" i="100"/>
  <c r="K62" i="100"/>
  <c r="J62" i="100"/>
  <c r="L62" i="100"/>
  <c r="L61" i="100"/>
  <c r="J61" i="100"/>
  <c r="K61" i="100"/>
  <c r="L58" i="100"/>
  <c r="J58" i="100"/>
  <c r="K58" i="100"/>
  <c r="J56" i="100"/>
  <c r="K56" i="100"/>
  <c r="L56" i="100"/>
  <c r="L55" i="100"/>
  <c r="K55" i="100"/>
  <c r="J55" i="100"/>
  <c r="J28" i="100"/>
  <c r="K28" i="100"/>
  <c r="L28" i="100"/>
  <c r="M28" i="100"/>
  <c r="P28" i="100"/>
  <c r="Q28" i="100" s="1"/>
  <c r="K27" i="100"/>
  <c r="L27" i="100"/>
  <c r="M27" i="100"/>
  <c r="P27" i="100"/>
  <c r="Q27" i="100" s="1"/>
  <c r="J27" i="100"/>
  <c r="L26" i="100"/>
  <c r="M26" i="100"/>
  <c r="J26" i="100"/>
  <c r="P26" i="100"/>
  <c r="Q26" i="100" s="1"/>
  <c r="K26" i="100"/>
  <c r="L25" i="100"/>
  <c r="M25" i="100"/>
  <c r="J25" i="100"/>
  <c r="K25" i="100"/>
  <c r="P25" i="100"/>
  <c r="Q25" i="100" s="1"/>
  <c r="J10" i="100"/>
  <c r="P10" i="100"/>
  <c r="R10" i="100" s="1"/>
  <c r="K10" i="100"/>
  <c r="L10" i="100"/>
  <c r="M10" i="100"/>
  <c r="K6" i="100"/>
  <c r="J6" i="100"/>
  <c r="J5" i="100"/>
  <c r="K5" i="100"/>
  <c r="Q264" i="99"/>
  <c r="Q263" i="99"/>
  <c r="Q258" i="99"/>
  <c r="R258" i="99"/>
  <c r="Q253" i="99"/>
  <c r="R251" i="99"/>
  <c r="R247" i="99"/>
  <c r="R242" i="99"/>
  <c r="Q241" i="99"/>
  <c r="Q240" i="99"/>
  <c r="Q226" i="99"/>
  <c r="R225" i="99"/>
  <c r="Q223" i="99"/>
  <c r="Q221" i="99"/>
  <c r="Q210" i="99"/>
  <c r="Q208" i="99"/>
  <c r="R207" i="99"/>
  <c r="R205" i="99"/>
  <c r="R203" i="99"/>
  <c r="R201" i="99"/>
  <c r="Q113" i="99"/>
  <c r="Q112" i="99"/>
  <c r="Q111" i="99"/>
  <c r="R107" i="99"/>
  <c r="Q104" i="99"/>
  <c r="R103" i="99"/>
  <c r="R101" i="99"/>
  <c r="R99" i="99"/>
  <c r="Q97" i="99"/>
  <c r="Q93" i="99"/>
  <c r="R90" i="99"/>
  <c r="R89" i="99"/>
  <c r="Q88" i="99"/>
  <c r="Q85" i="99"/>
  <c r="Q82" i="99"/>
  <c r="Q80" i="99"/>
  <c r="Q79" i="99"/>
  <c r="Q77" i="99"/>
  <c r="R75" i="99"/>
  <c r="Q75" i="99"/>
  <c r="Q73" i="99"/>
  <c r="Q72" i="99"/>
  <c r="Q69" i="99"/>
  <c r="Q66" i="99"/>
  <c r="Q65" i="99"/>
  <c r="Q64" i="99"/>
  <c r="R26" i="99"/>
  <c r="Q10" i="99"/>
  <c r="Q258" i="103"/>
  <c r="R258" i="103"/>
  <c r="R200" i="103"/>
  <c r="Q75" i="103"/>
  <c r="R75" i="103"/>
  <c r="Q258" i="102"/>
  <c r="R258" i="102"/>
  <c r="R201" i="102"/>
  <c r="Q75" i="102"/>
  <c r="R75" i="102"/>
  <c r="Q258" i="101"/>
  <c r="R258" i="101"/>
  <c r="Q253" i="101"/>
  <c r="R249" i="101"/>
  <c r="R248" i="101"/>
  <c r="R245" i="101"/>
  <c r="Q241" i="101"/>
  <c r="R202" i="101"/>
  <c r="R201" i="101"/>
  <c r="R75" i="101"/>
  <c r="Q75" i="101"/>
  <c r="Q10" i="101"/>
  <c r="Q263" i="100"/>
  <c r="Q258" i="100"/>
  <c r="R258" i="100"/>
  <c r="Q253" i="100"/>
  <c r="R248" i="100"/>
  <c r="R247" i="100"/>
  <c r="Q223" i="100"/>
  <c r="Q210" i="100"/>
  <c r="R207" i="100"/>
  <c r="R205" i="100"/>
  <c r="R201" i="100"/>
  <c r="Q75" i="100"/>
  <c r="R75" i="100"/>
  <c r="R27" i="100"/>
  <c r="R26" i="100"/>
  <c r="G280" i="103"/>
  <c r="G280" i="99"/>
  <c r="G280" i="100"/>
  <c r="G279" i="99"/>
  <c r="G280" i="101"/>
  <c r="G279" i="100"/>
  <c r="G280" i="102"/>
  <c r="G279" i="102"/>
  <c r="G279" i="103"/>
  <c r="G279" i="101"/>
  <c r="P209" i="100" l="1"/>
  <c r="R209" i="100" s="1"/>
  <c r="P236" i="99"/>
  <c r="Q236" i="99" s="1"/>
  <c r="P61" i="100"/>
  <c r="R61" i="100" s="1"/>
  <c r="P199" i="100"/>
  <c r="R199" i="100" s="1"/>
  <c r="P218" i="100"/>
  <c r="R218" i="100" s="1"/>
  <c r="P145" i="99"/>
  <c r="Q145" i="99" s="1"/>
  <c r="P75" i="100"/>
  <c r="P175" i="100"/>
  <c r="Q175" i="100" s="1"/>
  <c r="P218" i="99"/>
  <c r="R218" i="99" s="1"/>
  <c r="P144" i="99"/>
  <c r="Q144" i="99" s="1"/>
  <c r="P198" i="99"/>
  <c r="R198" i="99" s="1"/>
  <c r="P256" i="99"/>
  <c r="Q256" i="99" s="1"/>
  <c r="P68" i="100"/>
  <c r="R68" i="100" s="1"/>
  <c r="P67" i="100"/>
  <c r="R67" i="100" s="1"/>
  <c r="P264" i="100"/>
  <c r="R264" i="100" s="1"/>
  <c r="P152" i="99"/>
  <c r="Q152" i="99" s="1"/>
  <c r="P268" i="99"/>
  <c r="R268" i="99" s="1"/>
  <c r="P66" i="100"/>
  <c r="R66" i="100" s="1"/>
  <c r="P71" i="100"/>
  <c r="R71" i="100" s="1"/>
  <c r="P73" i="100"/>
  <c r="R73" i="100" s="1"/>
  <c r="P74" i="100"/>
  <c r="R74" i="100" s="1"/>
  <c r="P138" i="100"/>
  <c r="Q138" i="100" s="1"/>
  <c r="P236" i="100"/>
  <c r="Q236" i="100" s="1"/>
  <c r="P56" i="99"/>
  <c r="Q56" i="99" s="1"/>
  <c r="P266" i="100"/>
  <c r="R266" i="100" s="1"/>
  <c r="P268" i="100"/>
  <c r="R268" i="100" s="1"/>
  <c r="P153" i="99"/>
  <c r="Q153" i="99" s="1"/>
  <c r="P72" i="100"/>
  <c r="R72" i="100" s="1"/>
  <c r="P160" i="100"/>
  <c r="R160" i="100" s="1"/>
  <c r="P63" i="100"/>
  <c r="R63" i="100" s="1"/>
  <c r="P144" i="100"/>
  <c r="Q144" i="100" s="1"/>
  <c r="P153" i="100"/>
  <c r="Q153" i="100" s="1"/>
  <c r="P55" i="100"/>
  <c r="Q55" i="100" s="1"/>
  <c r="P143" i="100"/>
  <c r="Q143" i="100" s="1"/>
  <c r="P145" i="100"/>
  <c r="Q145" i="100" s="1"/>
  <c r="P152" i="100"/>
  <c r="Q152" i="100" s="1"/>
  <c r="P208" i="100"/>
  <c r="R208" i="100" s="1"/>
  <c r="P244" i="100"/>
  <c r="R244" i="100" s="1"/>
  <c r="P64" i="100"/>
  <c r="R64" i="100" s="1"/>
  <c r="P271" i="100"/>
  <c r="R271" i="100" s="1"/>
  <c r="P255" i="100"/>
  <c r="Q255" i="100" s="1"/>
  <c r="P267" i="100"/>
  <c r="R267" i="100" s="1"/>
  <c r="P217" i="100"/>
  <c r="Q217" i="100" s="1"/>
  <c r="P65" i="100"/>
  <c r="R65" i="100" s="1"/>
  <c r="P56" i="100"/>
  <c r="Q56" i="100" s="1"/>
  <c r="P256" i="100"/>
  <c r="Q256" i="100" s="1"/>
  <c r="P143" i="99"/>
  <c r="Q143" i="99" s="1"/>
  <c r="P199" i="99"/>
  <c r="R199" i="99" s="1"/>
  <c r="P160" i="99"/>
  <c r="R160" i="99" s="1"/>
  <c r="P55" i="99"/>
  <c r="Q55" i="99" s="1"/>
  <c r="P142" i="99"/>
  <c r="R142" i="99" s="1"/>
  <c r="P62" i="100"/>
  <c r="R62" i="100" s="1"/>
  <c r="P225" i="100"/>
  <c r="Q225" i="100" s="1"/>
  <c r="P138" i="99"/>
  <c r="Q138" i="99" s="1"/>
  <c r="P175" i="99"/>
  <c r="Q175" i="99" s="1"/>
  <c r="P255" i="99"/>
  <c r="Q255" i="99" s="1"/>
  <c r="P267" i="99"/>
  <c r="R267" i="99" s="1"/>
  <c r="P58" i="100"/>
  <c r="Q58" i="100" s="1"/>
  <c r="P69" i="100"/>
  <c r="R69" i="100" s="1"/>
  <c r="P198" i="100"/>
  <c r="R198" i="100" s="1"/>
  <c r="P142" i="100"/>
  <c r="R142" i="100" s="1"/>
  <c r="P70" i="100"/>
  <c r="R70" i="100" s="1"/>
  <c r="P58" i="99"/>
  <c r="Q58" i="99" s="1"/>
  <c r="P217" i="99"/>
  <c r="Q217" i="99" s="1"/>
  <c r="X3" i="105" l="1"/>
  <c r="X3" i="106"/>
  <c r="X3" i="107"/>
  <c r="X3" i="108"/>
  <c r="X3" i="104"/>
  <c r="X3" i="98"/>
  <c r="Q3" i="107" l="1"/>
  <c r="Q3" i="108"/>
  <c r="Q3" i="106"/>
  <c r="Q3" i="104"/>
  <c r="Q3" i="105"/>
  <c r="P3" i="107"/>
  <c r="P3" i="104"/>
  <c r="P3" i="108"/>
  <c r="P3" i="105"/>
  <c r="P3" i="106"/>
  <c r="R3" i="98"/>
  <c r="V3" i="98" l="1"/>
  <c r="R3" i="105"/>
  <c r="V3" i="105" s="1"/>
  <c r="R3" i="104"/>
  <c r="V3" i="104" s="1"/>
  <c r="R3" i="106"/>
  <c r="V3" i="106" s="1"/>
  <c r="R3" i="107"/>
  <c r="V3" i="107" s="1"/>
  <c r="R3" i="108"/>
  <c r="V3" i="108" s="1"/>
  <c r="I29" i="108" l="1"/>
  <c r="I30" i="108"/>
  <c r="I28" i="108"/>
  <c r="I199" i="108"/>
  <c r="I151" i="108"/>
  <c r="I243" i="108"/>
  <c r="I200" i="108"/>
  <c r="I28" i="107"/>
  <c r="I199" i="107"/>
  <c r="I29" i="107"/>
  <c r="I151" i="107"/>
  <c r="I200" i="107"/>
  <c r="I30" i="107"/>
  <c r="I151" i="106"/>
  <c r="I30" i="106"/>
  <c r="I29" i="105"/>
  <c r="I28" i="106"/>
  <c r="I200" i="106"/>
  <c r="I28" i="105"/>
  <c r="I30" i="105"/>
  <c r="I243" i="105"/>
  <c r="I199" i="105"/>
  <c r="I29" i="106"/>
  <c r="I243" i="107"/>
  <c r="I199" i="106"/>
  <c r="I151" i="105"/>
  <c r="I200" i="105"/>
  <c r="I200" i="104"/>
  <c r="I151" i="104"/>
  <c r="I199" i="104"/>
  <c r="I28" i="98"/>
  <c r="O28" i="98" s="1"/>
  <c r="I243" i="106"/>
  <c r="I29" i="98"/>
  <c r="O29" i="98" s="1"/>
  <c r="I200" i="98"/>
  <c r="O200" i="98" s="1"/>
  <c r="I29" i="104"/>
  <c r="I151" i="98"/>
  <c r="O151" i="98" s="1"/>
  <c r="I199" i="98"/>
  <c r="O199" i="98" s="1"/>
  <c r="I30" i="104"/>
  <c r="I30" i="98"/>
  <c r="O30" i="98" s="1"/>
  <c r="I243" i="98"/>
  <c r="O243" i="98" s="1"/>
  <c r="I28" i="104"/>
  <c r="I243" i="104"/>
  <c r="J34" i="89"/>
  <c r="P34" i="89" s="1"/>
  <c r="Q34" i="89" s="1"/>
  <c r="J33" i="89"/>
  <c r="P33" i="89" s="1"/>
  <c r="R33" i="89" s="1"/>
  <c r="J118" i="89"/>
  <c r="P118" i="89" s="1"/>
  <c r="R118" i="89" s="1"/>
  <c r="J224" i="89"/>
  <c r="P224" i="89" s="1"/>
  <c r="R224" i="89" s="1"/>
  <c r="J32" i="89"/>
  <c r="P32" i="89" s="1"/>
  <c r="R32" i="89" s="1"/>
  <c r="J118" i="99"/>
  <c r="J32" i="99"/>
  <c r="J118" i="101"/>
  <c r="J32" i="102"/>
  <c r="J118" i="100"/>
  <c r="J34" i="101"/>
  <c r="J33" i="99"/>
  <c r="J32" i="101"/>
  <c r="J224" i="99"/>
  <c r="J34" i="99"/>
  <c r="J34" i="103"/>
  <c r="J33" i="102"/>
  <c r="J224" i="101"/>
  <c r="J33" i="103"/>
  <c r="J224" i="103"/>
  <c r="J118" i="103"/>
  <c r="J32" i="103"/>
  <c r="J118" i="102"/>
  <c r="J34" i="102"/>
  <c r="J33" i="101"/>
  <c r="J224" i="100"/>
  <c r="J34" i="100"/>
  <c r="J32" i="100"/>
  <c r="J224" i="102"/>
  <c r="J33" i="100"/>
  <c r="T29" i="98" l="1"/>
  <c r="S29" i="98"/>
  <c r="W29" i="98" s="1"/>
  <c r="U29" i="98"/>
  <c r="T243" i="98"/>
  <c r="Y243" i="98" s="1"/>
  <c r="S243" i="98"/>
  <c r="W243" i="98" s="1"/>
  <c r="U243" i="98"/>
  <c r="V243" i="98"/>
  <c r="S30" i="98"/>
  <c r="W30" i="98" s="1"/>
  <c r="U30" i="98"/>
  <c r="T30" i="98"/>
  <c r="Y30" i="98" s="1"/>
  <c r="T28" i="98"/>
  <c r="S28" i="98"/>
  <c r="W28" i="98" s="1"/>
  <c r="U28" i="98"/>
  <c r="T199" i="98"/>
  <c r="S199" i="98"/>
  <c r="W199" i="98" s="1"/>
  <c r="U199" i="98"/>
  <c r="S151" i="98"/>
  <c r="T151" i="98"/>
  <c r="U151" i="98"/>
  <c r="S200" i="98"/>
  <c r="U200" i="98"/>
  <c r="T200" i="98"/>
  <c r="J11" i="103"/>
  <c r="J14" i="103"/>
  <c r="J12" i="103"/>
  <c r="J13" i="103"/>
  <c r="J9" i="103"/>
  <c r="J16" i="103"/>
  <c r="J23" i="103"/>
  <c r="J35" i="103"/>
  <c r="J36" i="103"/>
  <c r="J37" i="103"/>
  <c r="J22" i="103"/>
  <c r="J19" i="103"/>
  <c r="J20" i="103"/>
  <c r="J21" i="103"/>
  <c r="J43" i="103"/>
  <c r="J39" i="103"/>
  <c r="J8" i="103"/>
  <c r="J128" i="103"/>
  <c r="J139" i="103"/>
  <c r="J148" i="103"/>
  <c r="J156" i="103"/>
  <c r="J165" i="103"/>
  <c r="J183" i="103"/>
  <c r="J191" i="103"/>
  <c r="J230" i="103"/>
  <c r="J231" i="103"/>
  <c r="J15" i="102"/>
  <c r="J38" i="102"/>
  <c r="J31" i="103"/>
  <c r="J41" i="103"/>
  <c r="J127" i="103"/>
  <c r="J147" i="103"/>
  <c r="J155" i="103"/>
  <c r="J163" i="103"/>
  <c r="J164" i="103"/>
  <c r="J182" i="103"/>
  <c r="J190" i="103"/>
  <c r="J11" i="102"/>
  <c r="J14" i="102"/>
  <c r="J24" i="102"/>
  <c r="J35" i="102"/>
  <c r="J36" i="102"/>
  <c r="J37" i="102"/>
  <c r="J24" i="103"/>
  <c r="J29" i="103"/>
  <c r="J126" i="103"/>
  <c r="J146" i="103"/>
  <c r="J154" i="103"/>
  <c r="J162" i="103"/>
  <c r="J181" i="103"/>
  <c r="J189" i="103"/>
  <c r="J257" i="103"/>
  <c r="J12" i="102"/>
  <c r="J13" i="102"/>
  <c r="J23" i="102"/>
  <c r="J7" i="103"/>
  <c r="J15" i="103"/>
  <c r="J18" i="103"/>
  <c r="J40" i="103"/>
  <c r="J120" i="103"/>
  <c r="J130" i="103"/>
  <c r="J141" i="103"/>
  <c r="J150" i="103"/>
  <c r="J158" i="103"/>
  <c r="J167" i="103"/>
  <c r="J176" i="103"/>
  <c r="J185" i="103"/>
  <c r="J193" i="103"/>
  <c r="J233" i="103"/>
  <c r="J17" i="102"/>
  <c r="J30" i="102"/>
  <c r="J40" i="102"/>
  <c r="J45" i="103"/>
  <c r="J119" i="103"/>
  <c r="J125" i="103"/>
  <c r="J157" i="103"/>
  <c r="J166" i="103"/>
  <c r="J186" i="103"/>
  <c r="J194" i="103"/>
  <c r="J29" i="102"/>
  <c r="J41" i="102"/>
  <c r="J45" i="102"/>
  <c r="J125" i="102"/>
  <c r="J141" i="102"/>
  <c r="J149" i="102"/>
  <c r="J158" i="102"/>
  <c r="J166" i="102"/>
  <c r="J167" i="102"/>
  <c r="J176" i="102"/>
  <c r="J185" i="102"/>
  <c r="J194" i="102"/>
  <c r="J30" i="103"/>
  <c r="J131" i="103"/>
  <c r="J161" i="103"/>
  <c r="J184" i="103"/>
  <c r="J192" i="103"/>
  <c r="J39" i="102"/>
  <c r="J124" i="102"/>
  <c r="J140" i="102"/>
  <c r="J148" i="102"/>
  <c r="J156" i="102"/>
  <c r="J157" i="102"/>
  <c r="J165" i="102"/>
  <c r="J184" i="102"/>
  <c r="J193" i="102"/>
  <c r="J122" i="103"/>
  <c r="J129" i="103"/>
  <c r="J140" i="103"/>
  <c r="J151" i="103"/>
  <c r="J179" i="103"/>
  <c r="J234" i="103"/>
  <c r="J237" i="103"/>
  <c r="J123" i="102"/>
  <c r="J131" i="102"/>
  <c r="J139" i="102"/>
  <c r="J147" i="102"/>
  <c r="J155" i="102"/>
  <c r="J164" i="102"/>
  <c r="J182" i="102"/>
  <c r="J183" i="102"/>
  <c r="J192" i="102"/>
  <c r="J38" i="103"/>
  <c r="J44" i="103"/>
  <c r="J123" i="103"/>
  <c r="J178" i="103"/>
  <c r="J119" i="102"/>
  <c r="J127" i="102"/>
  <c r="J151" i="102"/>
  <c r="J178" i="102"/>
  <c r="J187" i="102"/>
  <c r="J196" i="102"/>
  <c r="J121" i="103"/>
  <c r="J180" i="103"/>
  <c r="J187" i="103"/>
  <c r="J196" i="103"/>
  <c r="J9" i="102"/>
  <c r="J20" i="102"/>
  <c r="J31" i="102"/>
  <c r="J188" i="102"/>
  <c r="J232" i="102"/>
  <c r="J7" i="101"/>
  <c r="J22" i="101"/>
  <c r="J29" i="101"/>
  <c r="J39" i="101"/>
  <c r="J232" i="103"/>
  <c r="J235" i="103"/>
  <c r="J122" i="102"/>
  <c r="J130" i="102"/>
  <c r="J159" i="102"/>
  <c r="J186" i="102"/>
  <c r="J230" i="102"/>
  <c r="J231" i="102"/>
  <c r="J19" i="101"/>
  <c r="J20" i="101"/>
  <c r="J21" i="101"/>
  <c r="J38" i="101"/>
  <c r="J149" i="103"/>
  <c r="J197" i="103"/>
  <c r="J120" i="102"/>
  <c r="J128" i="102"/>
  <c r="J181" i="102"/>
  <c r="J18" i="101"/>
  <c r="J35" i="101"/>
  <c r="J36" i="101"/>
  <c r="J37" i="101"/>
  <c r="J17" i="103"/>
  <c r="J42" i="103"/>
  <c r="J8" i="102"/>
  <c r="J19" i="102"/>
  <c r="J22" i="102"/>
  <c r="J150" i="102"/>
  <c r="J180" i="102"/>
  <c r="J195" i="102"/>
  <c r="J234" i="102"/>
  <c r="J235" i="102"/>
  <c r="J9" i="101"/>
  <c r="J11" i="101"/>
  <c r="J14" i="101"/>
  <c r="J24" i="101"/>
  <c r="J31" i="101"/>
  <c r="J41" i="101"/>
  <c r="J161" i="102"/>
  <c r="J233" i="102"/>
  <c r="J257" i="102"/>
  <c r="J16" i="101"/>
  <c r="J23" i="101"/>
  <c r="J40" i="101"/>
  <c r="J43" i="102"/>
  <c r="J121" i="102"/>
  <c r="J154" i="102"/>
  <c r="J177" i="102"/>
  <c r="J12" i="101"/>
  <c r="J195" i="103"/>
  <c r="J18" i="102"/>
  <c r="J190" i="102"/>
  <c r="J43" i="101"/>
  <c r="J159" i="103"/>
  <c r="J44" i="102"/>
  <c r="J146" i="102"/>
  <c r="J162" i="102"/>
  <c r="J237" i="102"/>
  <c r="J45" i="101"/>
  <c r="J124" i="103"/>
  <c r="J21" i="102"/>
  <c r="J8" i="101"/>
  <c r="J42" i="101"/>
  <c r="J121" i="101"/>
  <c r="J129" i="101"/>
  <c r="J162" i="101"/>
  <c r="J7" i="102"/>
  <c r="J120" i="101"/>
  <c r="J128" i="101"/>
  <c r="J139" i="101"/>
  <c r="J161" i="101"/>
  <c r="J16" i="102"/>
  <c r="J13" i="101"/>
  <c r="J17" i="101"/>
  <c r="J119" i="101"/>
  <c r="J127" i="101"/>
  <c r="J140" i="101"/>
  <c r="J141" i="101"/>
  <c r="J151" i="101"/>
  <c r="J188" i="103"/>
  <c r="J163" i="102"/>
  <c r="J44" i="101"/>
  <c r="J124" i="101"/>
  <c r="J148" i="101"/>
  <c r="J157" i="101"/>
  <c r="J167" i="101"/>
  <c r="J179" i="101"/>
  <c r="J126" i="101"/>
  <c r="J184" i="101"/>
  <c r="J194" i="101"/>
  <c r="J237" i="101"/>
  <c r="J16" i="100"/>
  <c r="J35" i="100"/>
  <c r="J36" i="100"/>
  <c r="J37" i="100"/>
  <c r="J126" i="100"/>
  <c r="J127" i="100"/>
  <c r="J42" i="102"/>
  <c r="J122" i="101"/>
  <c r="J130" i="101"/>
  <c r="J164" i="101"/>
  <c r="J182" i="101"/>
  <c r="J183" i="101"/>
  <c r="J193" i="101"/>
  <c r="J234" i="101"/>
  <c r="J235" i="101"/>
  <c r="J257" i="101"/>
  <c r="J9" i="100"/>
  <c r="J11" i="100"/>
  <c r="J14" i="100"/>
  <c r="J15" i="100"/>
  <c r="J123" i="100"/>
  <c r="J124" i="100"/>
  <c r="J125" i="100"/>
  <c r="J177" i="103"/>
  <c r="J129" i="102"/>
  <c r="J189" i="102"/>
  <c r="J15" i="101"/>
  <c r="J149" i="101"/>
  <c r="J155" i="101"/>
  <c r="J159" i="101"/>
  <c r="J176" i="101"/>
  <c r="J181" i="101"/>
  <c r="J192" i="101"/>
  <c r="J233" i="101"/>
  <c r="J8" i="100"/>
  <c r="J12" i="100"/>
  <c r="J13" i="100"/>
  <c r="J122" i="100"/>
  <c r="J191" i="102"/>
  <c r="J197" i="102"/>
  <c r="J123" i="101"/>
  <c r="J131" i="101"/>
  <c r="J163" i="101"/>
  <c r="J187" i="101"/>
  <c r="J188" i="101"/>
  <c r="J197" i="101"/>
  <c r="J230" i="101"/>
  <c r="J19" i="100"/>
  <c r="J20" i="100"/>
  <c r="J21" i="100"/>
  <c r="J29" i="100"/>
  <c r="J41" i="100"/>
  <c r="J119" i="100"/>
  <c r="J130" i="100"/>
  <c r="J146" i="101"/>
  <c r="J177" i="101"/>
  <c r="J180" i="101"/>
  <c r="J190" i="101"/>
  <c r="J166" i="100"/>
  <c r="J167" i="100"/>
  <c r="J182" i="100"/>
  <c r="J183" i="100"/>
  <c r="J194" i="100"/>
  <c r="J196" i="100"/>
  <c r="J197" i="100"/>
  <c r="J232" i="100"/>
  <c r="J7" i="99"/>
  <c r="J24" i="99"/>
  <c r="J43" i="99"/>
  <c r="J130" i="99"/>
  <c r="J146" i="99"/>
  <c r="J148" i="99"/>
  <c r="J149" i="99"/>
  <c r="J163" i="99"/>
  <c r="J166" i="99"/>
  <c r="J167" i="99"/>
  <c r="J182" i="99"/>
  <c r="J183" i="99"/>
  <c r="J19" i="89"/>
  <c r="P19" i="89" s="1"/>
  <c r="R19" i="89" s="1"/>
  <c r="J20" i="89"/>
  <c r="P20" i="89" s="1"/>
  <c r="R20" i="89" s="1"/>
  <c r="J21" i="89"/>
  <c r="P21" i="89" s="1"/>
  <c r="Q21" i="89" s="1"/>
  <c r="J29" i="89"/>
  <c r="P29" i="89" s="1"/>
  <c r="Q29" i="89" s="1"/>
  <c r="J41" i="89"/>
  <c r="P41" i="89" s="1"/>
  <c r="Q41" i="89" s="1"/>
  <c r="J186" i="101"/>
  <c r="J232" i="101"/>
  <c r="J43" i="100"/>
  <c r="J128" i="100"/>
  <c r="J146" i="100"/>
  <c r="J147" i="100"/>
  <c r="J150" i="100"/>
  <c r="J151" i="100"/>
  <c r="J162" i="100"/>
  <c r="J163" i="100"/>
  <c r="J164" i="100"/>
  <c r="J165" i="100"/>
  <c r="J179" i="100"/>
  <c r="J180" i="100"/>
  <c r="J181" i="100"/>
  <c r="J193" i="100"/>
  <c r="J230" i="100"/>
  <c r="J231" i="100"/>
  <c r="J22" i="99"/>
  <c r="J23" i="99"/>
  <c r="J30" i="99"/>
  <c r="J31" i="99"/>
  <c r="J42" i="99"/>
  <c r="J44" i="99"/>
  <c r="J45" i="99"/>
  <c r="J129" i="99"/>
  <c r="J161" i="99"/>
  <c r="J162" i="99"/>
  <c r="J164" i="99"/>
  <c r="J165" i="99"/>
  <c r="J178" i="99"/>
  <c r="J179" i="99"/>
  <c r="J180" i="99"/>
  <c r="J181" i="99"/>
  <c r="J195" i="99"/>
  <c r="J18" i="89"/>
  <c r="P18" i="89" s="1"/>
  <c r="R18" i="89" s="1"/>
  <c r="J40" i="89"/>
  <c r="P40" i="89" s="1"/>
  <c r="Q40" i="89" s="1"/>
  <c r="J147" i="101"/>
  <c r="J150" i="101"/>
  <c r="J158" i="101"/>
  <c r="J165" i="101"/>
  <c r="J196" i="101"/>
  <c r="J23" i="100"/>
  <c r="J31" i="100"/>
  <c r="J39" i="100"/>
  <c r="J45" i="100"/>
  <c r="J121" i="100"/>
  <c r="J148" i="100"/>
  <c r="J149" i="100"/>
  <c r="J161" i="100"/>
  <c r="J178" i="100"/>
  <c r="J192" i="100"/>
  <c r="J19" i="99"/>
  <c r="J20" i="99"/>
  <c r="J21" i="99"/>
  <c r="J29" i="99"/>
  <c r="J41" i="99"/>
  <c r="J128" i="99"/>
  <c r="J177" i="99"/>
  <c r="J194" i="99"/>
  <c r="J196" i="99"/>
  <c r="J197" i="99"/>
  <c r="J17" i="89"/>
  <c r="P17" i="89" s="1"/>
  <c r="R17" i="89" s="1"/>
  <c r="J38" i="89"/>
  <c r="P38" i="89" s="1"/>
  <c r="Q38" i="89" s="1"/>
  <c r="J39" i="89"/>
  <c r="P39" i="89" s="1"/>
  <c r="Q39" i="89" s="1"/>
  <c r="J125" i="101"/>
  <c r="J195" i="101"/>
  <c r="J22" i="100"/>
  <c r="J24" i="100"/>
  <c r="J30" i="100"/>
  <c r="J38" i="100"/>
  <c r="J40" i="100"/>
  <c r="J44" i="100"/>
  <c r="J120" i="100"/>
  <c r="J154" i="100"/>
  <c r="J185" i="100"/>
  <c r="J234" i="100"/>
  <c r="J257" i="100"/>
  <c r="J9" i="99"/>
  <c r="J11" i="99"/>
  <c r="J14" i="99"/>
  <c r="J15" i="99"/>
  <c r="J120" i="99"/>
  <c r="J185" i="99"/>
  <c r="J186" i="99"/>
  <c r="J187" i="99"/>
  <c r="J188" i="99"/>
  <c r="J189" i="99"/>
  <c r="J232" i="99"/>
  <c r="J7" i="89"/>
  <c r="P7" i="89" s="1"/>
  <c r="Q7" i="89" s="1"/>
  <c r="J24" i="89"/>
  <c r="P24" i="89" s="1"/>
  <c r="Q24" i="89" s="1"/>
  <c r="J43" i="89"/>
  <c r="P43" i="89" s="1"/>
  <c r="Q43" i="89" s="1"/>
  <c r="J126" i="102"/>
  <c r="J156" i="101"/>
  <c r="J189" i="101"/>
  <c r="J187" i="100"/>
  <c r="J189" i="100"/>
  <c r="J12" i="99"/>
  <c r="J16" i="99"/>
  <c r="J131" i="99"/>
  <c r="J150" i="99"/>
  <c r="J176" i="99"/>
  <c r="J191" i="99"/>
  <c r="J23" i="89"/>
  <c r="P23" i="89" s="1"/>
  <c r="Q23" i="89" s="1"/>
  <c r="J36" i="89"/>
  <c r="P36" i="89" s="1"/>
  <c r="R36" i="89" s="1"/>
  <c r="J128" i="89"/>
  <c r="P128" i="89" s="1"/>
  <c r="Q128" i="89" s="1"/>
  <c r="J139" i="89"/>
  <c r="P139" i="89" s="1"/>
  <c r="Q139" i="89" s="1"/>
  <c r="J155" i="89"/>
  <c r="P155" i="89" s="1"/>
  <c r="Q155" i="89" s="1"/>
  <c r="J158" i="89"/>
  <c r="P158" i="89" s="1"/>
  <c r="R158" i="89" s="1"/>
  <c r="J159" i="89"/>
  <c r="P159" i="89" s="1"/>
  <c r="R159" i="89" s="1"/>
  <c r="J176" i="89"/>
  <c r="P176" i="89" s="1"/>
  <c r="Q176" i="89" s="1"/>
  <c r="J190" i="89"/>
  <c r="P190" i="89" s="1"/>
  <c r="Q190" i="89" s="1"/>
  <c r="J191" i="89"/>
  <c r="P191" i="89" s="1"/>
  <c r="Q191" i="89" s="1"/>
  <c r="J232" i="89"/>
  <c r="P232" i="89" s="1"/>
  <c r="R232" i="89" s="1"/>
  <c r="J30" i="101"/>
  <c r="J166" i="101"/>
  <c r="J191" i="100"/>
  <c r="J122" i="99"/>
  <c r="J124" i="99"/>
  <c r="J126" i="99"/>
  <c r="J235" i="99"/>
  <c r="J9" i="89"/>
  <c r="P9" i="89" s="1"/>
  <c r="R9" i="89" s="1"/>
  <c r="J14" i="89"/>
  <c r="P14" i="89" s="1"/>
  <c r="R14" i="89" s="1"/>
  <c r="J16" i="89"/>
  <c r="P16" i="89" s="1"/>
  <c r="R16" i="89" s="1"/>
  <c r="J126" i="89"/>
  <c r="P126" i="89" s="1"/>
  <c r="Q126" i="89" s="1"/>
  <c r="J127" i="89"/>
  <c r="P127" i="89" s="1"/>
  <c r="Q127" i="89" s="1"/>
  <c r="J140" i="89"/>
  <c r="P140" i="89" s="1"/>
  <c r="Q140" i="89" s="1"/>
  <c r="J141" i="89"/>
  <c r="P141" i="89" s="1"/>
  <c r="Q141" i="89" s="1"/>
  <c r="J154" i="89"/>
  <c r="P154" i="89" s="1"/>
  <c r="Q154" i="89" s="1"/>
  <c r="J156" i="89"/>
  <c r="P156" i="89" s="1"/>
  <c r="R156" i="89" s="1"/>
  <c r="J157" i="89"/>
  <c r="P157" i="89" s="1"/>
  <c r="R157" i="89" s="1"/>
  <c r="J187" i="89"/>
  <c r="P187" i="89" s="1"/>
  <c r="R187" i="89" s="1"/>
  <c r="J188" i="89"/>
  <c r="P188" i="89" s="1"/>
  <c r="R188" i="89" s="1"/>
  <c r="J189" i="89"/>
  <c r="P189" i="89" s="1"/>
  <c r="R189" i="89" s="1"/>
  <c r="J230" i="89"/>
  <c r="P230" i="89" s="1"/>
  <c r="Q230" i="89" s="1"/>
  <c r="J231" i="89"/>
  <c r="P231" i="89" s="1"/>
  <c r="R231" i="89" s="1"/>
  <c r="J18" i="100"/>
  <c r="J140" i="100"/>
  <c r="J159" i="100"/>
  <c r="J176" i="100"/>
  <c r="J39" i="99"/>
  <c r="J233" i="99"/>
  <c r="J12" i="89"/>
  <c r="P12" i="89" s="1"/>
  <c r="Q12" i="89" s="1"/>
  <c r="J31" i="89"/>
  <c r="P31" i="89" s="1"/>
  <c r="Q31" i="89" s="1"/>
  <c r="J45" i="89"/>
  <c r="P45" i="89" s="1"/>
  <c r="Q45" i="89" s="1"/>
  <c r="J123" i="89"/>
  <c r="P123" i="89" s="1"/>
  <c r="R123" i="89" s="1"/>
  <c r="J124" i="89"/>
  <c r="P124" i="89" s="1"/>
  <c r="R124" i="89" s="1"/>
  <c r="J125" i="89"/>
  <c r="P125" i="89" s="1"/>
  <c r="R125" i="89" s="1"/>
  <c r="J186" i="89"/>
  <c r="P186" i="89" s="1"/>
  <c r="R186" i="89" s="1"/>
  <c r="J178" i="101"/>
  <c r="J17" i="100"/>
  <c r="J139" i="100"/>
  <c r="J141" i="100"/>
  <c r="J158" i="100"/>
  <c r="J177" i="100"/>
  <c r="J184" i="100"/>
  <c r="J38" i="99"/>
  <c r="J40" i="99"/>
  <c r="J121" i="99"/>
  <c r="J127" i="99"/>
  <c r="J139" i="99"/>
  <c r="J230" i="99"/>
  <c r="J257" i="99"/>
  <c r="J8" i="89"/>
  <c r="P8" i="89" s="1"/>
  <c r="Q8" i="89" s="1"/>
  <c r="J13" i="89"/>
  <c r="P13" i="89" s="1"/>
  <c r="Q13" i="89" s="1"/>
  <c r="J119" i="89"/>
  <c r="P119" i="89" s="1"/>
  <c r="Q119" i="89" s="1"/>
  <c r="J130" i="89"/>
  <c r="P130" i="89" s="1"/>
  <c r="R130" i="89" s="1"/>
  <c r="J161" i="89"/>
  <c r="P161" i="89" s="1"/>
  <c r="R161" i="89" s="1"/>
  <c r="J178" i="89"/>
  <c r="P178" i="89" s="1"/>
  <c r="Q178" i="89" s="1"/>
  <c r="J180" i="89"/>
  <c r="P180" i="89" s="1"/>
  <c r="Q180" i="89" s="1"/>
  <c r="J181" i="89"/>
  <c r="P181" i="89" s="1"/>
  <c r="Q181" i="89" s="1"/>
  <c r="J193" i="89"/>
  <c r="P193" i="89" s="1"/>
  <c r="Q193" i="89" s="1"/>
  <c r="J234" i="89"/>
  <c r="P234" i="89" s="1"/>
  <c r="R234" i="89" s="1"/>
  <c r="J237" i="89"/>
  <c r="P237" i="89" s="1"/>
  <c r="R237" i="89" s="1"/>
  <c r="J179" i="102"/>
  <c r="J156" i="100"/>
  <c r="J37" i="99"/>
  <c r="J123" i="99"/>
  <c r="J141" i="99"/>
  <c r="J147" i="99"/>
  <c r="J37" i="89"/>
  <c r="P37" i="89" s="1"/>
  <c r="Q37" i="89" s="1"/>
  <c r="J146" i="89"/>
  <c r="P146" i="89" s="1"/>
  <c r="Q146" i="89" s="1"/>
  <c r="J148" i="89"/>
  <c r="P148" i="89" s="1"/>
  <c r="Q148" i="89" s="1"/>
  <c r="J166" i="89"/>
  <c r="P166" i="89" s="1"/>
  <c r="Q166" i="89" s="1"/>
  <c r="J185" i="89"/>
  <c r="P185" i="89" s="1"/>
  <c r="R185" i="89" s="1"/>
  <c r="J192" i="89"/>
  <c r="P192" i="89" s="1"/>
  <c r="Q192" i="89" s="1"/>
  <c r="J235" i="89"/>
  <c r="P235" i="89" s="1"/>
  <c r="Q235" i="89" s="1"/>
  <c r="J231" i="101"/>
  <c r="J237" i="100"/>
  <c r="J156" i="99"/>
  <c r="J159" i="99"/>
  <c r="J184" i="99"/>
  <c r="J15" i="89"/>
  <c r="P15" i="89" s="1"/>
  <c r="R15" i="89" s="1"/>
  <c r="J162" i="89"/>
  <c r="P162" i="89" s="1"/>
  <c r="Q162" i="89" s="1"/>
  <c r="J164" i="89"/>
  <c r="P164" i="89" s="1"/>
  <c r="Q164" i="89" s="1"/>
  <c r="J179" i="89"/>
  <c r="P179" i="89" s="1"/>
  <c r="Q179" i="89" s="1"/>
  <c r="J183" i="89"/>
  <c r="P183" i="89" s="1"/>
  <c r="R183" i="89" s="1"/>
  <c r="J233" i="89"/>
  <c r="P233" i="89" s="1"/>
  <c r="R233" i="89" s="1"/>
  <c r="J154" i="101"/>
  <c r="J42" i="100"/>
  <c r="J131" i="100"/>
  <c r="J157" i="100"/>
  <c r="J195" i="100"/>
  <c r="J18" i="99"/>
  <c r="J35" i="99"/>
  <c r="J151" i="99"/>
  <c r="J192" i="99"/>
  <c r="J231" i="99"/>
  <c r="J234" i="99"/>
  <c r="J35" i="89"/>
  <c r="P35" i="89" s="1"/>
  <c r="R35" i="89" s="1"/>
  <c r="J44" i="89"/>
  <c r="P44" i="89" s="1"/>
  <c r="Q44" i="89" s="1"/>
  <c r="J177" i="89"/>
  <c r="P177" i="89" s="1"/>
  <c r="Q177" i="89" s="1"/>
  <c r="J195" i="89"/>
  <c r="P195" i="89" s="1"/>
  <c r="Q195" i="89" s="1"/>
  <c r="J13" i="99"/>
  <c r="J17" i="99"/>
  <c r="J36" i="99"/>
  <c r="J190" i="99"/>
  <c r="J193" i="99"/>
  <c r="J185" i="101"/>
  <c r="J191" i="101"/>
  <c r="J190" i="100"/>
  <c r="J237" i="99"/>
  <c r="J122" i="89"/>
  <c r="P122" i="89" s="1"/>
  <c r="Q122" i="89" s="1"/>
  <c r="J147" i="89"/>
  <c r="P147" i="89" s="1"/>
  <c r="Q147" i="89" s="1"/>
  <c r="J150" i="89"/>
  <c r="P150" i="89" s="1"/>
  <c r="Q150" i="89" s="1"/>
  <c r="J163" i="89"/>
  <c r="P163" i="89" s="1"/>
  <c r="Q163" i="89" s="1"/>
  <c r="J119" i="99"/>
  <c r="J167" i="89"/>
  <c r="P167" i="89" s="1"/>
  <c r="Q167" i="89" s="1"/>
  <c r="J7" i="100"/>
  <c r="J186" i="100"/>
  <c r="J233" i="100"/>
  <c r="J125" i="99"/>
  <c r="J42" i="89"/>
  <c r="P42" i="89" s="1"/>
  <c r="Q42" i="89" s="1"/>
  <c r="J151" i="89"/>
  <c r="P151" i="89" s="1"/>
  <c r="Q151" i="89" s="1"/>
  <c r="J196" i="89"/>
  <c r="P196" i="89" s="1"/>
  <c r="Q196" i="89" s="1"/>
  <c r="J30" i="89"/>
  <c r="P30" i="89" s="1"/>
  <c r="Q30" i="89" s="1"/>
  <c r="J121" i="89"/>
  <c r="P121" i="89" s="1"/>
  <c r="Q121" i="89" s="1"/>
  <c r="J8" i="99"/>
  <c r="J149" i="89"/>
  <c r="P149" i="89" s="1"/>
  <c r="Q149" i="89" s="1"/>
  <c r="J154" i="99"/>
  <c r="J11" i="89"/>
  <c r="P11" i="89" s="1"/>
  <c r="Q11" i="89" s="1"/>
  <c r="J194" i="89"/>
  <c r="P194" i="89" s="1"/>
  <c r="Q194" i="89" s="1"/>
  <c r="J158" i="99"/>
  <c r="J165" i="89"/>
  <c r="P165" i="89" s="1"/>
  <c r="Q165" i="89" s="1"/>
  <c r="J235" i="100"/>
  <c r="J155" i="99"/>
  <c r="J22" i="89"/>
  <c r="P22" i="89" s="1"/>
  <c r="Q22" i="89" s="1"/>
  <c r="J131" i="89"/>
  <c r="P131" i="89" s="1"/>
  <c r="R131" i="89" s="1"/>
  <c r="J182" i="89"/>
  <c r="P182" i="89" s="1"/>
  <c r="Q182" i="89" s="1"/>
  <c r="J129" i="100"/>
  <c r="J188" i="100"/>
  <c r="J157" i="99"/>
  <c r="J184" i="89"/>
  <c r="P184" i="89" s="1"/>
  <c r="R184" i="89" s="1"/>
  <c r="J140" i="99"/>
  <c r="J257" i="89"/>
  <c r="P257" i="89" s="1"/>
  <c r="R257" i="89" s="1"/>
  <c r="J129" i="89"/>
  <c r="P129" i="89" s="1"/>
  <c r="Q129" i="89" s="1"/>
  <c r="J120" i="89"/>
  <c r="P120" i="89" s="1"/>
  <c r="Q120" i="89" s="1"/>
  <c r="J197" i="89"/>
  <c r="P197" i="89" s="1"/>
  <c r="Q197" i="89" s="1"/>
  <c r="J155" i="100"/>
  <c r="E43" i="44"/>
  <c r="E27" i="44"/>
  <c r="E21" i="44"/>
  <c r="Y199" i="98" l="1"/>
  <c r="Y29" i="98"/>
  <c r="Y28" i="98"/>
  <c r="K15" i="103"/>
  <c r="K11" i="103"/>
  <c r="K14" i="103"/>
  <c r="K12" i="103"/>
  <c r="K13" i="103"/>
  <c r="K17" i="103"/>
  <c r="K7" i="103"/>
  <c r="K9" i="103"/>
  <c r="K24" i="103"/>
  <c r="K38" i="103"/>
  <c r="K49" i="103"/>
  <c r="K16" i="103"/>
  <c r="K23" i="103"/>
  <c r="K35" i="103"/>
  <c r="K36" i="103"/>
  <c r="K37" i="103"/>
  <c r="K48" i="103"/>
  <c r="K59" i="103"/>
  <c r="K22" i="103"/>
  <c r="K47" i="103"/>
  <c r="K60" i="103"/>
  <c r="K29" i="103"/>
  <c r="K40" i="103"/>
  <c r="K51" i="103"/>
  <c r="K54" i="103"/>
  <c r="K20" i="103"/>
  <c r="K44" i="103"/>
  <c r="K119" i="103"/>
  <c r="K129" i="103"/>
  <c r="K140" i="103"/>
  <c r="K149" i="103"/>
  <c r="K157" i="103"/>
  <c r="K166" i="103"/>
  <c r="K184" i="103"/>
  <c r="K192" i="103"/>
  <c r="K232" i="103"/>
  <c r="K16" i="102"/>
  <c r="K29" i="102"/>
  <c r="K39" i="102"/>
  <c r="K50" i="102"/>
  <c r="K51" i="102"/>
  <c r="K52" i="102"/>
  <c r="K53" i="102"/>
  <c r="K8" i="103"/>
  <c r="K57" i="103"/>
  <c r="K128" i="103"/>
  <c r="K139" i="103"/>
  <c r="K148" i="103"/>
  <c r="K156" i="103"/>
  <c r="K165" i="103"/>
  <c r="K174" i="103"/>
  <c r="K183" i="103"/>
  <c r="K191" i="103"/>
  <c r="K230" i="103"/>
  <c r="K231" i="103"/>
  <c r="K15" i="102"/>
  <c r="K38" i="102"/>
  <c r="K49" i="102"/>
  <c r="K31" i="103"/>
  <c r="K41" i="103"/>
  <c r="K43" i="103"/>
  <c r="K46" i="103"/>
  <c r="K127" i="103"/>
  <c r="K147" i="103"/>
  <c r="K155" i="103"/>
  <c r="K163" i="103"/>
  <c r="K164" i="103"/>
  <c r="K173" i="103"/>
  <c r="K182" i="103"/>
  <c r="K190" i="103"/>
  <c r="K216" i="103"/>
  <c r="K258" i="103"/>
  <c r="K259" i="103"/>
  <c r="K11" i="102"/>
  <c r="K14" i="102"/>
  <c r="K24" i="102"/>
  <c r="K35" i="102"/>
  <c r="K36" i="102"/>
  <c r="K37" i="102"/>
  <c r="K48" i="102"/>
  <c r="K30" i="103"/>
  <c r="K42" i="103"/>
  <c r="K50" i="103"/>
  <c r="K121" i="103"/>
  <c r="K131" i="103"/>
  <c r="K132" i="103"/>
  <c r="K133" i="103"/>
  <c r="K151" i="103"/>
  <c r="K159" i="103"/>
  <c r="K168" i="103"/>
  <c r="K177" i="103"/>
  <c r="K186" i="103"/>
  <c r="K194" i="103"/>
  <c r="K234" i="103"/>
  <c r="K237" i="103"/>
  <c r="K7" i="102"/>
  <c r="K18" i="102"/>
  <c r="K31" i="102"/>
  <c r="K41" i="102"/>
  <c r="K39" i="103"/>
  <c r="K176" i="103"/>
  <c r="K180" i="103"/>
  <c r="K188" i="103"/>
  <c r="K196" i="103"/>
  <c r="K8" i="102"/>
  <c r="K13" i="102"/>
  <c r="K19" i="102"/>
  <c r="K21" i="102"/>
  <c r="K23" i="102"/>
  <c r="K43" i="102"/>
  <c r="K126" i="102"/>
  <c r="K134" i="102"/>
  <c r="K150" i="102"/>
  <c r="K159" i="102"/>
  <c r="K168" i="102"/>
  <c r="K177" i="102"/>
  <c r="K186" i="102"/>
  <c r="K195" i="102"/>
  <c r="K45" i="103"/>
  <c r="K125" i="103"/>
  <c r="K135" i="103"/>
  <c r="K17" i="102"/>
  <c r="K45" i="102"/>
  <c r="K125" i="102"/>
  <c r="K133" i="102"/>
  <c r="K141" i="102"/>
  <c r="K149" i="102"/>
  <c r="K158" i="102"/>
  <c r="K166" i="102"/>
  <c r="K167" i="102"/>
  <c r="K176" i="102"/>
  <c r="K185" i="102"/>
  <c r="K194" i="102"/>
  <c r="K18" i="103"/>
  <c r="K21" i="103"/>
  <c r="K52" i="103"/>
  <c r="K137" i="103"/>
  <c r="K161" i="103"/>
  <c r="K172" i="103"/>
  <c r="K213" i="103"/>
  <c r="K269" i="103"/>
  <c r="K47" i="102"/>
  <c r="K59" i="102"/>
  <c r="K124" i="102"/>
  <c r="K132" i="102"/>
  <c r="K140" i="102"/>
  <c r="K148" i="102"/>
  <c r="K156" i="102"/>
  <c r="K157" i="102"/>
  <c r="K165" i="102"/>
  <c r="K174" i="102"/>
  <c r="K184" i="102"/>
  <c r="K193" i="102"/>
  <c r="K130" i="103"/>
  <c r="K141" i="103"/>
  <c r="K146" i="103"/>
  <c r="K162" i="103"/>
  <c r="K235" i="103"/>
  <c r="K120" i="102"/>
  <c r="K128" i="102"/>
  <c r="K136" i="102"/>
  <c r="K161" i="102"/>
  <c r="K170" i="102"/>
  <c r="K179" i="102"/>
  <c r="K188" i="102"/>
  <c r="K197" i="102"/>
  <c r="K124" i="103"/>
  <c r="K154" i="103"/>
  <c r="K171" i="103"/>
  <c r="K42" i="102"/>
  <c r="K54" i="102"/>
  <c r="K155" i="102"/>
  <c r="K162" i="102"/>
  <c r="K164" i="102"/>
  <c r="K178" i="102"/>
  <c r="K190" i="102"/>
  <c r="K233" i="102"/>
  <c r="K8" i="101"/>
  <c r="K12" i="101"/>
  <c r="K13" i="101"/>
  <c r="K23" i="101"/>
  <c r="K30" i="101"/>
  <c r="K40" i="101"/>
  <c r="K51" i="101"/>
  <c r="K54" i="101"/>
  <c r="K19" i="103"/>
  <c r="K158" i="103"/>
  <c r="K169" i="103"/>
  <c r="K187" i="103"/>
  <c r="K193" i="103"/>
  <c r="K9" i="102"/>
  <c r="K20" i="102"/>
  <c r="K137" i="102"/>
  <c r="K147" i="102"/>
  <c r="K172" i="102"/>
  <c r="K192" i="102"/>
  <c r="K232" i="102"/>
  <c r="K269" i="102"/>
  <c r="K7" i="101"/>
  <c r="K22" i="101"/>
  <c r="K29" i="101"/>
  <c r="K39" i="101"/>
  <c r="K50" i="101"/>
  <c r="K52" i="101"/>
  <c r="K53" i="101"/>
  <c r="K53" i="103"/>
  <c r="K122" i="103"/>
  <c r="K134" i="103"/>
  <c r="K178" i="103"/>
  <c r="K181" i="103"/>
  <c r="K46" i="102"/>
  <c r="K57" i="102"/>
  <c r="K122" i="102"/>
  <c r="K130" i="102"/>
  <c r="K135" i="102"/>
  <c r="K151" i="102"/>
  <c r="K196" i="102"/>
  <c r="K216" i="102"/>
  <c r="K230" i="102"/>
  <c r="K231" i="102"/>
  <c r="K19" i="101"/>
  <c r="K20" i="101"/>
  <c r="K21" i="101"/>
  <c r="K38" i="101"/>
  <c r="K49" i="101"/>
  <c r="K150" i="103"/>
  <c r="K189" i="103"/>
  <c r="K44" i="102"/>
  <c r="K121" i="102"/>
  <c r="K123" i="102"/>
  <c r="K129" i="102"/>
  <c r="K131" i="102"/>
  <c r="K169" i="102"/>
  <c r="K173" i="102"/>
  <c r="K237" i="102"/>
  <c r="K15" i="101"/>
  <c r="K42" i="101"/>
  <c r="K44" i="101"/>
  <c r="K45" i="101"/>
  <c r="K120" i="103"/>
  <c r="K215" i="103"/>
  <c r="K180" i="102"/>
  <c r="K183" i="102"/>
  <c r="K214" i="102"/>
  <c r="K235" i="102"/>
  <c r="K48" i="101"/>
  <c r="K22" i="102"/>
  <c r="K257" i="102"/>
  <c r="K16" i="101"/>
  <c r="K18" i="101"/>
  <c r="K31" i="101"/>
  <c r="K35" i="101"/>
  <c r="K57" i="101"/>
  <c r="K185" i="103"/>
  <c r="K257" i="103"/>
  <c r="K154" i="102"/>
  <c r="K181" i="102"/>
  <c r="K9" i="101"/>
  <c r="K14" i="101"/>
  <c r="K60" i="101"/>
  <c r="K126" i="103"/>
  <c r="K195" i="103"/>
  <c r="K30" i="102"/>
  <c r="K60" i="102"/>
  <c r="K127" i="102"/>
  <c r="K187" i="102"/>
  <c r="K259" i="102"/>
  <c r="K37" i="101"/>
  <c r="K43" i="101"/>
  <c r="K47" i="101"/>
  <c r="K214" i="103"/>
  <c r="K171" i="102"/>
  <c r="K189" i="102"/>
  <c r="K36" i="101"/>
  <c r="K122" i="101"/>
  <c r="K130" i="101"/>
  <c r="K146" i="101"/>
  <c r="K154" i="101"/>
  <c r="K163" i="101"/>
  <c r="K197" i="103"/>
  <c r="K40" i="102"/>
  <c r="K119" i="102"/>
  <c r="K215" i="102"/>
  <c r="K121" i="101"/>
  <c r="K129" i="101"/>
  <c r="K162" i="101"/>
  <c r="K176" i="101"/>
  <c r="K179" i="103"/>
  <c r="K233" i="103"/>
  <c r="K46" i="101"/>
  <c r="K120" i="101"/>
  <c r="K128" i="101"/>
  <c r="K139" i="101"/>
  <c r="K161" i="101"/>
  <c r="K171" i="101"/>
  <c r="K174" i="101"/>
  <c r="K139" i="102"/>
  <c r="K41" i="101"/>
  <c r="K125" i="101"/>
  <c r="K136" i="101"/>
  <c r="K149" i="101"/>
  <c r="K158" i="101"/>
  <c r="K168" i="101"/>
  <c r="K180" i="101"/>
  <c r="K170" i="103"/>
  <c r="K59" i="101"/>
  <c r="K133" i="101"/>
  <c r="K156" i="101"/>
  <c r="K173" i="101"/>
  <c r="K179" i="101"/>
  <c r="K185" i="101"/>
  <c r="K195" i="101"/>
  <c r="K213" i="101"/>
  <c r="K17" i="100"/>
  <c r="K38" i="100"/>
  <c r="K39" i="100"/>
  <c r="K54" i="100"/>
  <c r="K128" i="100"/>
  <c r="K123" i="103"/>
  <c r="K167" i="103"/>
  <c r="K182" i="102"/>
  <c r="K124" i="101"/>
  <c r="K126" i="101"/>
  <c r="K135" i="101"/>
  <c r="K137" i="101"/>
  <c r="K140" i="101"/>
  <c r="K172" i="101"/>
  <c r="K184" i="101"/>
  <c r="K194" i="101"/>
  <c r="K237" i="101"/>
  <c r="K258" i="101"/>
  <c r="K259" i="101"/>
  <c r="K16" i="100"/>
  <c r="K35" i="100"/>
  <c r="K36" i="100"/>
  <c r="K37" i="100"/>
  <c r="K50" i="100"/>
  <c r="K51" i="100"/>
  <c r="K52" i="100"/>
  <c r="K53" i="100"/>
  <c r="K126" i="100"/>
  <c r="K127" i="100"/>
  <c r="K163" i="102"/>
  <c r="K213" i="102"/>
  <c r="K258" i="102"/>
  <c r="K11" i="101"/>
  <c r="K164" i="101"/>
  <c r="K182" i="101"/>
  <c r="K183" i="101"/>
  <c r="K193" i="101"/>
  <c r="K234" i="101"/>
  <c r="K235" i="101"/>
  <c r="K257" i="101"/>
  <c r="K9" i="100"/>
  <c r="K11" i="100"/>
  <c r="K14" i="100"/>
  <c r="K15" i="100"/>
  <c r="K49" i="100"/>
  <c r="K123" i="100"/>
  <c r="K124" i="100"/>
  <c r="K125" i="100"/>
  <c r="K136" i="103"/>
  <c r="K119" i="101"/>
  <c r="K127" i="101"/>
  <c r="K189" i="101"/>
  <c r="K216" i="101"/>
  <c r="K231" i="101"/>
  <c r="K22" i="100"/>
  <c r="K23" i="100"/>
  <c r="K30" i="100"/>
  <c r="K31" i="100"/>
  <c r="K42" i="100"/>
  <c r="K44" i="100"/>
  <c r="K45" i="100"/>
  <c r="K59" i="100"/>
  <c r="K120" i="100"/>
  <c r="K131" i="100"/>
  <c r="K132" i="100"/>
  <c r="K133" i="100"/>
  <c r="K134" i="101"/>
  <c r="K167" i="101"/>
  <c r="K8" i="100"/>
  <c r="K18" i="100"/>
  <c r="K136" i="100"/>
  <c r="K168" i="100"/>
  <c r="K184" i="100"/>
  <c r="K195" i="100"/>
  <c r="K233" i="100"/>
  <c r="K8" i="99"/>
  <c r="P8" i="99" s="1"/>
  <c r="Q8" i="99" s="1"/>
  <c r="K12" i="99"/>
  <c r="P12" i="99" s="1"/>
  <c r="Q12" i="99" s="1"/>
  <c r="K13" i="99"/>
  <c r="P13" i="99" s="1"/>
  <c r="Q13" i="99" s="1"/>
  <c r="K48" i="99"/>
  <c r="P48" i="99" s="1"/>
  <c r="Q48" i="99" s="1"/>
  <c r="K119" i="99"/>
  <c r="P119" i="99" s="1"/>
  <c r="Q119" i="99" s="1"/>
  <c r="K131" i="99"/>
  <c r="P131" i="99" s="1"/>
  <c r="R131" i="99" s="1"/>
  <c r="K132" i="99"/>
  <c r="P132" i="99" s="1"/>
  <c r="R132" i="99" s="1"/>
  <c r="K133" i="99"/>
  <c r="P133" i="99" s="1"/>
  <c r="R133" i="99" s="1"/>
  <c r="K147" i="99"/>
  <c r="P147" i="99" s="1"/>
  <c r="Q147" i="99" s="1"/>
  <c r="K150" i="99"/>
  <c r="P150" i="99" s="1"/>
  <c r="Q150" i="99" s="1"/>
  <c r="K151" i="99"/>
  <c r="P151" i="99" s="1"/>
  <c r="Q151" i="99" s="1"/>
  <c r="K168" i="99"/>
  <c r="P168" i="99" s="1"/>
  <c r="Q168" i="99" s="1"/>
  <c r="K184" i="99"/>
  <c r="P184" i="99" s="1"/>
  <c r="R184" i="99" s="1"/>
  <c r="K214" i="99"/>
  <c r="P214" i="99" s="1"/>
  <c r="R214" i="99" s="1"/>
  <c r="K215" i="99"/>
  <c r="P215" i="99" s="1"/>
  <c r="R215" i="99" s="1"/>
  <c r="K230" i="99"/>
  <c r="P230" i="99" s="1"/>
  <c r="Q230" i="99" s="1"/>
  <c r="K231" i="99"/>
  <c r="P231" i="99" s="1"/>
  <c r="R231" i="99" s="1"/>
  <c r="K269" i="99"/>
  <c r="P269" i="99" s="1"/>
  <c r="R269" i="99" s="1"/>
  <c r="K22" i="89"/>
  <c r="K23" i="89"/>
  <c r="K30" i="89"/>
  <c r="K31" i="89"/>
  <c r="K42" i="89"/>
  <c r="K44" i="89"/>
  <c r="K45" i="89"/>
  <c r="K48" i="89"/>
  <c r="K191" i="102"/>
  <c r="K234" i="102"/>
  <c r="K24" i="101"/>
  <c r="K141" i="101"/>
  <c r="K177" i="101"/>
  <c r="K188" i="101"/>
  <c r="K190" i="101"/>
  <c r="K215" i="101"/>
  <c r="K48" i="100"/>
  <c r="K57" i="100"/>
  <c r="K60" i="100"/>
  <c r="K130" i="100"/>
  <c r="K135" i="100"/>
  <c r="K166" i="100"/>
  <c r="K167" i="100"/>
  <c r="K182" i="100"/>
  <c r="K183" i="100"/>
  <c r="K194" i="100"/>
  <c r="K196" i="100"/>
  <c r="K197" i="100"/>
  <c r="K216" i="100"/>
  <c r="K232" i="100"/>
  <c r="K7" i="99"/>
  <c r="P7" i="99" s="1"/>
  <c r="Q7" i="99" s="1"/>
  <c r="K24" i="99"/>
  <c r="P24" i="99" s="1"/>
  <c r="Q24" i="99" s="1"/>
  <c r="K43" i="99"/>
  <c r="P43" i="99" s="1"/>
  <c r="Q43" i="99" s="1"/>
  <c r="K46" i="99"/>
  <c r="P46" i="99" s="1"/>
  <c r="Q46" i="99" s="1"/>
  <c r="K47" i="99"/>
  <c r="P47" i="99" s="1"/>
  <c r="Q47" i="99" s="1"/>
  <c r="K59" i="99"/>
  <c r="P59" i="99" s="1"/>
  <c r="Q59" i="99" s="1"/>
  <c r="K60" i="99"/>
  <c r="P60" i="99" s="1"/>
  <c r="Q60" i="99" s="1"/>
  <c r="K130" i="99"/>
  <c r="P130" i="99" s="1"/>
  <c r="R130" i="99" s="1"/>
  <c r="K146" i="99"/>
  <c r="P146" i="99" s="1"/>
  <c r="Q146" i="99" s="1"/>
  <c r="K148" i="99"/>
  <c r="P148" i="99" s="1"/>
  <c r="Q148" i="99" s="1"/>
  <c r="K149" i="99"/>
  <c r="P149" i="99" s="1"/>
  <c r="Q149" i="99" s="1"/>
  <c r="K163" i="99"/>
  <c r="P163" i="99" s="1"/>
  <c r="Q163" i="99" s="1"/>
  <c r="K166" i="99"/>
  <c r="P166" i="99" s="1"/>
  <c r="Q166" i="99" s="1"/>
  <c r="K167" i="99"/>
  <c r="P167" i="99" s="1"/>
  <c r="Q167" i="99" s="1"/>
  <c r="K182" i="99"/>
  <c r="P182" i="99" s="1"/>
  <c r="Q182" i="99" s="1"/>
  <c r="K183" i="99"/>
  <c r="P183" i="99" s="1"/>
  <c r="R183" i="99" s="1"/>
  <c r="K213" i="99"/>
  <c r="P213" i="99" s="1"/>
  <c r="R213" i="99" s="1"/>
  <c r="K19" i="89"/>
  <c r="K20" i="89"/>
  <c r="K21" i="89"/>
  <c r="K29" i="89"/>
  <c r="K41" i="89"/>
  <c r="K49" i="89"/>
  <c r="K123" i="101"/>
  <c r="K132" i="101"/>
  <c r="K155" i="101"/>
  <c r="K170" i="101"/>
  <c r="K186" i="101"/>
  <c r="K192" i="101"/>
  <c r="K230" i="101"/>
  <c r="K232" i="101"/>
  <c r="K13" i="100"/>
  <c r="K41" i="100"/>
  <c r="K43" i="100"/>
  <c r="K134" i="100"/>
  <c r="K146" i="100"/>
  <c r="K147" i="100"/>
  <c r="K150" i="100"/>
  <c r="K151" i="100"/>
  <c r="K162" i="100"/>
  <c r="K163" i="100"/>
  <c r="K164" i="100"/>
  <c r="K165" i="100"/>
  <c r="K179" i="100"/>
  <c r="K180" i="100"/>
  <c r="K181" i="100"/>
  <c r="K193" i="100"/>
  <c r="K214" i="100"/>
  <c r="K215" i="100"/>
  <c r="K230" i="100"/>
  <c r="K231" i="100"/>
  <c r="K22" i="99"/>
  <c r="P22" i="99" s="1"/>
  <c r="Q22" i="99" s="1"/>
  <c r="K23" i="99"/>
  <c r="P23" i="99" s="1"/>
  <c r="Q23" i="99" s="1"/>
  <c r="K30" i="99"/>
  <c r="P30" i="99" s="1"/>
  <c r="Q30" i="99" s="1"/>
  <c r="K31" i="99"/>
  <c r="P31" i="99" s="1"/>
  <c r="Q31" i="99" s="1"/>
  <c r="K42" i="99"/>
  <c r="P42" i="99" s="1"/>
  <c r="Q42" i="99" s="1"/>
  <c r="K44" i="99"/>
  <c r="P44" i="99" s="1"/>
  <c r="Q44" i="99" s="1"/>
  <c r="K45" i="99"/>
  <c r="P45" i="99" s="1"/>
  <c r="Q45" i="99" s="1"/>
  <c r="K129" i="99"/>
  <c r="P129" i="99" s="1"/>
  <c r="Q129" i="99" s="1"/>
  <c r="K161" i="99"/>
  <c r="P161" i="99" s="1"/>
  <c r="R161" i="99" s="1"/>
  <c r="K162" i="99"/>
  <c r="K164" i="99"/>
  <c r="P164" i="99" s="1"/>
  <c r="Q164" i="99" s="1"/>
  <c r="K165" i="99"/>
  <c r="P165" i="99" s="1"/>
  <c r="Q165" i="99" s="1"/>
  <c r="K178" i="99"/>
  <c r="P178" i="99" s="1"/>
  <c r="Q178" i="99" s="1"/>
  <c r="K179" i="99"/>
  <c r="P179" i="99" s="1"/>
  <c r="Q179" i="99" s="1"/>
  <c r="K180" i="99"/>
  <c r="P180" i="99" s="1"/>
  <c r="Q180" i="99" s="1"/>
  <c r="K181" i="99"/>
  <c r="P181" i="99" s="1"/>
  <c r="Q181" i="99" s="1"/>
  <c r="K195" i="99"/>
  <c r="P195" i="99" s="1"/>
  <c r="Q195" i="99" s="1"/>
  <c r="K18" i="89"/>
  <c r="K40" i="89"/>
  <c r="K12" i="102"/>
  <c r="K131" i="101"/>
  <c r="K166" i="101"/>
  <c r="K191" i="101"/>
  <c r="K197" i="101"/>
  <c r="K233" i="101"/>
  <c r="K269" i="101"/>
  <c r="K129" i="100"/>
  <c r="K139" i="100"/>
  <c r="K140" i="100"/>
  <c r="K141" i="100"/>
  <c r="K155" i="100"/>
  <c r="K156" i="100"/>
  <c r="K157" i="100"/>
  <c r="K170" i="100"/>
  <c r="K171" i="100"/>
  <c r="K174" i="100"/>
  <c r="K186" i="100"/>
  <c r="K235" i="100"/>
  <c r="K258" i="100"/>
  <c r="K259" i="100"/>
  <c r="K16" i="99"/>
  <c r="P16" i="99" s="1"/>
  <c r="R16" i="99" s="1"/>
  <c r="K35" i="99"/>
  <c r="P35" i="99" s="1"/>
  <c r="R35" i="99" s="1"/>
  <c r="K36" i="99"/>
  <c r="P36" i="99" s="1"/>
  <c r="R36" i="99" s="1"/>
  <c r="K37" i="99"/>
  <c r="P37" i="99" s="1"/>
  <c r="Q37" i="99" s="1"/>
  <c r="K50" i="99"/>
  <c r="P50" i="99" s="1"/>
  <c r="Q50" i="99" s="1"/>
  <c r="K52" i="99"/>
  <c r="P52" i="99" s="1"/>
  <c r="Q52" i="99" s="1"/>
  <c r="K53" i="99"/>
  <c r="P53" i="99" s="1"/>
  <c r="Q53" i="99" s="1"/>
  <c r="K121" i="99"/>
  <c r="P121" i="99" s="1"/>
  <c r="Q121" i="99" s="1"/>
  <c r="K136" i="99"/>
  <c r="P136" i="99" s="1"/>
  <c r="R136" i="99" s="1"/>
  <c r="K170" i="99"/>
  <c r="P170" i="99" s="1"/>
  <c r="Q170" i="99" s="1"/>
  <c r="K172" i="99"/>
  <c r="P172" i="99" s="1"/>
  <c r="R172" i="99" s="1"/>
  <c r="K173" i="99"/>
  <c r="P173" i="99" s="1"/>
  <c r="R173" i="99" s="1"/>
  <c r="K190" i="99"/>
  <c r="P190" i="99" s="1"/>
  <c r="Q190" i="99" s="1"/>
  <c r="K191" i="99"/>
  <c r="P191" i="99" s="1"/>
  <c r="Q191" i="99" s="1"/>
  <c r="K233" i="99"/>
  <c r="P233" i="99" s="1"/>
  <c r="R233" i="99" s="1"/>
  <c r="K8" i="89"/>
  <c r="K12" i="89"/>
  <c r="K13" i="89"/>
  <c r="K17" i="101"/>
  <c r="K7" i="100"/>
  <c r="K20" i="100"/>
  <c r="K154" i="100"/>
  <c r="K234" i="100"/>
  <c r="K18" i="99"/>
  <c r="P18" i="99" s="1"/>
  <c r="R18" i="99" s="1"/>
  <c r="K29" i="99"/>
  <c r="P29" i="99" s="1"/>
  <c r="Q29" i="99" s="1"/>
  <c r="K51" i="99"/>
  <c r="P51" i="99" s="1"/>
  <c r="Q51" i="99" s="1"/>
  <c r="K141" i="99"/>
  <c r="P141" i="99" s="1"/>
  <c r="Q141" i="99" s="1"/>
  <c r="K154" i="99"/>
  <c r="P154" i="99" s="1"/>
  <c r="Q154" i="99" s="1"/>
  <c r="K156" i="99"/>
  <c r="P156" i="99" s="1"/>
  <c r="R156" i="99" s="1"/>
  <c r="K158" i="99"/>
  <c r="P158" i="99" s="1"/>
  <c r="R158" i="99" s="1"/>
  <c r="K193" i="99"/>
  <c r="P193" i="99" s="1"/>
  <c r="Q193" i="99" s="1"/>
  <c r="K43" i="89"/>
  <c r="K60" i="89"/>
  <c r="K129" i="89"/>
  <c r="K136" i="89"/>
  <c r="K174" i="89"/>
  <c r="K177" i="89"/>
  <c r="K192" i="89"/>
  <c r="K233" i="89"/>
  <c r="K146" i="102"/>
  <c r="K150" i="101"/>
  <c r="K169" i="101"/>
  <c r="K214" i="101"/>
  <c r="K12" i="100"/>
  <c r="K121" i="100"/>
  <c r="K187" i="100"/>
  <c r="K189" i="100"/>
  <c r="K9" i="99"/>
  <c r="P9" i="99" s="1"/>
  <c r="R9" i="99" s="1"/>
  <c r="K14" i="99"/>
  <c r="P14" i="99" s="1"/>
  <c r="R14" i="99" s="1"/>
  <c r="K20" i="99"/>
  <c r="P20" i="99" s="1"/>
  <c r="R20" i="99" s="1"/>
  <c r="K49" i="99"/>
  <c r="P49" i="99" s="1"/>
  <c r="Q49" i="99" s="1"/>
  <c r="K176" i="99"/>
  <c r="P176" i="99" s="1"/>
  <c r="Q176" i="99" s="1"/>
  <c r="K185" i="99"/>
  <c r="P185" i="99" s="1"/>
  <c r="R185" i="99" s="1"/>
  <c r="K187" i="99"/>
  <c r="P187" i="99" s="1"/>
  <c r="R187" i="99" s="1"/>
  <c r="K189" i="99"/>
  <c r="P189" i="99" s="1"/>
  <c r="R189" i="99" s="1"/>
  <c r="K36" i="89"/>
  <c r="K128" i="89"/>
  <c r="K137" i="89"/>
  <c r="K139" i="89"/>
  <c r="K155" i="89"/>
  <c r="K158" i="89"/>
  <c r="K159" i="89"/>
  <c r="K176" i="89"/>
  <c r="K190" i="89"/>
  <c r="K191" i="89"/>
  <c r="K232" i="89"/>
  <c r="K269" i="89"/>
  <c r="K157" i="101"/>
  <c r="K21" i="100"/>
  <c r="K24" i="100"/>
  <c r="K47" i="100"/>
  <c r="K169" i="100"/>
  <c r="K185" i="100"/>
  <c r="K191" i="100"/>
  <c r="K122" i="99"/>
  <c r="P122" i="99" s="1"/>
  <c r="Q122" i="99" s="1"/>
  <c r="K124" i="99"/>
  <c r="P124" i="99" s="1"/>
  <c r="R124" i="99" s="1"/>
  <c r="K126" i="99"/>
  <c r="P126" i="99" s="1"/>
  <c r="Q126" i="99" s="1"/>
  <c r="K171" i="99"/>
  <c r="P171" i="99" s="1"/>
  <c r="Q171" i="99" s="1"/>
  <c r="K235" i="99"/>
  <c r="P235" i="99" s="1"/>
  <c r="Q235" i="99" s="1"/>
  <c r="K9" i="89"/>
  <c r="K14" i="89"/>
  <c r="K16" i="89"/>
  <c r="K38" i="89"/>
  <c r="K126" i="89"/>
  <c r="K127" i="89"/>
  <c r="K140" i="89"/>
  <c r="K141" i="89"/>
  <c r="K154" i="89"/>
  <c r="K156" i="89"/>
  <c r="K157" i="89"/>
  <c r="K187" i="89"/>
  <c r="K188" i="89"/>
  <c r="K189" i="89"/>
  <c r="K230" i="89"/>
  <c r="K231" i="89"/>
  <c r="K159" i="101"/>
  <c r="K192" i="100"/>
  <c r="K213" i="100"/>
  <c r="K237" i="100"/>
  <c r="K269" i="100"/>
  <c r="K21" i="99"/>
  <c r="P21" i="99" s="1"/>
  <c r="Q21" i="99" s="1"/>
  <c r="K57" i="99"/>
  <c r="P57" i="99" s="1"/>
  <c r="Q57" i="99" s="1"/>
  <c r="K123" i="99"/>
  <c r="P123" i="99" s="1"/>
  <c r="R123" i="99" s="1"/>
  <c r="K125" i="99"/>
  <c r="P125" i="99" s="1"/>
  <c r="R125" i="99" s="1"/>
  <c r="K174" i="99"/>
  <c r="P174" i="99" s="1"/>
  <c r="Q174" i="99" s="1"/>
  <c r="K196" i="99"/>
  <c r="P196" i="99" s="1"/>
  <c r="Q196" i="99" s="1"/>
  <c r="K234" i="99"/>
  <c r="P234" i="99" s="1"/>
  <c r="R234" i="99" s="1"/>
  <c r="K237" i="99"/>
  <c r="P237" i="99" s="1"/>
  <c r="R237" i="99" s="1"/>
  <c r="K11" i="89"/>
  <c r="K15" i="89"/>
  <c r="K17" i="89"/>
  <c r="K37" i="89"/>
  <c r="K50" i="89"/>
  <c r="K120" i="89"/>
  <c r="K131" i="89"/>
  <c r="K132" i="89"/>
  <c r="K133" i="89"/>
  <c r="K146" i="89"/>
  <c r="K148" i="89"/>
  <c r="K149" i="89"/>
  <c r="K162" i="89"/>
  <c r="K164" i="89"/>
  <c r="K165" i="89"/>
  <c r="K171" i="89"/>
  <c r="K179" i="89"/>
  <c r="K182" i="89"/>
  <c r="K183" i="89"/>
  <c r="K194" i="89"/>
  <c r="K196" i="89"/>
  <c r="K197" i="89"/>
  <c r="K216" i="89"/>
  <c r="K235" i="89"/>
  <c r="K165" i="101"/>
  <c r="K187" i="101"/>
  <c r="K188" i="100"/>
  <c r="K11" i="99"/>
  <c r="P11" i="99" s="1"/>
  <c r="Q11" i="99" s="1"/>
  <c r="K40" i="99"/>
  <c r="P40" i="99" s="1"/>
  <c r="Q40" i="99" s="1"/>
  <c r="K137" i="99"/>
  <c r="P137" i="99" s="1"/>
  <c r="R137" i="99" s="1"/>
  <c r="K194" i="99"/>
  <c r="P194" i="99" s="1"/>
  <c r="Q194" i="99" s="1"/>
  <c r="K51" i="89"/>
  <c r="K57" i="89"/>
  <c r="K121" i="89"/>
  <c r="K123" i="89"/>
  <c r="K130" i="89"/>
  <c r="K150" i="89"/>
  <c r="K172" i="89"/>
  <c r="K213" i="89"/>
  <c r="K257" i="89"/>
  <c r="K151" i="101"/>
  <c r="K178" i="101"/>
  <c r="K161" i="100"/>
  <c r="K120" i="99"/>
  <c r="P120" i="99" s="1"/>
  <c r="Q120" i="99" s="1"/>
  <c r="K169" i="99"/>
  <c r="P169" i="99" s="1"/>
  <c r="Q169" i="99" s="1"/>
  <c r="K197" i="99"/>
  <c r="P197" i="99" s="1"/>
  <c r="Q197" i="99" s="1"/>
  <c r="K216" i="99"/>
  <c r="P216" i="99" s="1"/>
  <c r="R216" i="99" s="1"/>
  <c r="K7" i="89"/>
  <c r="K46" i="89"/>
  <c r="K54" i="89"/>
  <c r="K119" i="89"/>
  <c r="K134" i="89"/>
  <c r="K166" i="89"/>
  <c r="K168" i="89"/>
  <c r="K185" i="89"/>
  <c r="K147" i="101"/>
  <c r="K29" i="100"/>
  <c r="K122" i="100"/>
  <c r="K148" i="100"/>
  <c r="K176" i="100"/>
  <c r="K41" i="99"/>
  <c r="P41" i="99" s="1"/>
  <c r="Q41" i="99" s="1"/>
  <c r="K135" i="99"/>
  <c r="P135" i="99" s="1"/>
  <c r="R135" i="99" s="1"/>
  <c r="K139" i="99"/>
  <c r="P139" i="99" s="1"/>
  <c r="Q139" i="99" s="1"/>
  <c r="K159" i="99"/>
  <c r="P159" i="99" s="1"/>
  <c r="R159" i="99" s="1"/>
  <c r="K188" i="99"/>
  <c r="P188" i="99" s="1"/>
  <c r="R188" i="99" s="1"/>
  <c r="K24" i="89"/>
  <c r="K53" i="89"/>
  <c r="K125" i="89"/>
  <c r="K181" i="89"/>
  <c r="K181" i="101"/>
  <c r="K173" i="100"/>
  <c r="K155" i="99"/>
  <c r="P155" i="99" s="1"/>
  <c r="Q155" i="99" s="1"/>
  <c r="K186" i="99"/>
  <c r="P186" i="99" s="1"/>
  <c r="R186" i="99" s="1"/>
  <c r="K232" i="99"/>
  <c r="P232" i="99" s="1"/>
  <c r="R232" i="99" s="1"/>
  <c r="K135" i="89"/>
  <c r="K161" i="89"/>
  <c r="K178" i="89"/>
  <c r="K180" i="89"/>
  <c r="K148" i="101"/>
  <c r="K196" i="101"/>
  <c r="K46" i="100"/>
  <c r="K19" i="100"/>
  <c r="K140" i="99"/>
  <c r="P140" i="99" s="1"/>
  <c r="Q140" i="99" s="1"/>
  <c r="K186" i="89"/>
  <c r="K158" i="100"/>
  <c r="K190" i="100"/>
  <c r="K122" i="89"/>
  <c r="K147" i="89"/>
  <c r="K163" i="89"/>
  <c r="K169" i="89"/>
  <c r="K193" i="89"/>
  <c r="K215" i="89"/>
  <c r="K258" i="89"/>
  <c r="K19" i="99"/>
  <c r="P19" i="99" s="1"/>
  <c r="R19" i="99" s="1"/>
  <c r="K52" i="89"/>
  <c r="K167" i="89"/>
  <c r="K173" i="89"/>
  <c r="K172" i="100"/>
  <c r="K128" i="99"/>
  <c r="P128" i="99" s="1"/>
  <c r="Q128" i="99" s="1"/>
  <c r="K214" i="89"/>
  <c r="K237" i="89"/>
  <c r="K149" i="100"/>
  <c r="K192" i="99"/>
  <c r="P192" i="99" s="1"/>
  <c r="Q192" i="99" s="1"/>
  <c r="K257" i="99"/>
  <c r="P257" i="99" s="1"/>
  <c r="R257" i="99" s="1"/>
  <c r="K119" i="100"/>
  <c r="K178" i="100"/>
  <c r="K15" i="99"/>
  <c r="P15" i="99" s="1"/>
  <c r="R15" i="99" s="1"/>
  <c r="K259" i="99"/>
  <c r="P259" i="99" s="1"/>
  <c r="R259" i="99" s="1"/>
  <c r="K35" i="89"/>
  <c r="K39" i="89"/>
  <c r="K159" i="100"/>
  <c r="K54" i="99"/>
  <c r="P54" i="99" s="1"/>
  <c r="Q54" i="99" s="1"/>
  <c r="K195" i="89"/>
  <c r="K259" i="89"/>
  <c r="K40" i="100"/>
  <c r="K137" i="100"/>
  <c r="K257" i="100"/>
  <c r="K39" i="99"/>
  <c r="P39" i="99" s="1"/>
  <c r="Q39" i="99" s="1"/>
  <c r="K127" i="99"/>
  <c r="P127" i="99" s="1"/>
  <c r="Q127" i="99" s="1"/>
  <c r="K177" i="99"/>
  <c r="P177" i="99" s="1"/>
  <c r="Q177" i="99" s="1"/>
  <c r="K59" i="89"/>
  <c r="K151" i="89"/>
  <c r="K170" i="89"/>
  <c r="K177" i="100"/>
  <c r="K47" i="89"/>
  <c r="K234" i="89"/>
  <c r="K134" i="99"/>
  <c r="P134" i="99" s="1"/>
  <c r="R134" i="99" s="1"/>
  <c r="K124" i="89"/>
  <c r="K184" i="89"/>
  <c r="K38" i="99"/>
  <c r="P38" i="99" s="1"/>
  <c r="Q38" i="99" s="1"/>
  <c r="K157" i="99"/>
  <c r="P157" i="99" s="1"/>
  <c r="R157" i="99" s="1"/>
  <c r="K258" i="99"/>
  <c r="P258" i="99" s="1"/>
  <c r="K17" i="99"/>
  <c r="P17" i="99" s="1"/>
  <c r="R17" i="99" s="1"/>
  <c r="P162" i="99"/>
  <c r="Q162" i="99" s="1"/>
  <c r="H11" i="109"/>
  <c r="C12" i="15"/>
  <c r="C13" i="15" s="1"/>
  <c r="C13" i="56" l="1"/>
  <c r="D4" i="50" s="1"/>
  <c r="B21" i="59" l="1"/>
  <c r="B34" i="59" s="1"/>
  <c r="C21" i="59"/>
  <c r="C34" i="59" s="1"/>
  <c r="B5" i="58"/>
  <c r="B10" i="59" s="1"/>
  <c r="C5" i="58"/>
  <c r="C10" i="59" s="1"/>
  <c r="B50" i="57"/>
  <c r="C50" i="57"/>
  <c r="B51" i="57"/>
  <c r="C51" i="57"/>
  <c r="B3" i="63"/>
  <c r="C3" i="63"/>
  <c r="B18" i="63"/>
  <c r="C18" i="63"/>
  <c r="B17" i="60"/>
  <c r="B22" i="60" s="1"/>
  <c r="B34" i="60" s="1"/>
  <c r="B3" i="62" s="1"/>
  <c r="C17" i="60"/>
  <c r="C23" i="60" s="1"/>
  <c r="C35" i="60" s="1"/>
  <c r="C9" i="62" s="1"/>
  <c r="C11" i="62" s="1"/>
  <c r="B21" i="60"/>
  <c r="B33" i="60" s="1"/>
  <c r="B23" i="60"/>
  <c r="B35" i="60" s="1"/>
  <c r="B9" i="62" s="1"/>
  <c r="B11" i="62" s="1"/>
  <c r="B24" i="60"/>
  <c r="B36" i="60" s="1"/>
  <c r="B25" i="60"/>
  <c r="C25" i="60"/>
  <c r="C37" i="60" s="1"/>
  <c r="C27" i="62" s="1"/>
  <c r="B26" i="60"/>
  <c r="B38" i="60" s="1"/>
  <c r="B15" i="62" s="1"/>
  <c r="B27" i="60"/>
  <c r="B39" i="60" s="1"/>
  <c r="B28" i="60"/>
  <c r="C28" i="60"/>
  <c r="C40" i="60" s="1"/>
  <c r="B29" i="60"/>
  <c r="C29" i="60"/>
  <c r="B30" i="60"/>
  <c r="B42" i="60" s="1"/>
  <c r="B37" i="60"/>
  <c r="B27" i="62" s="1"/>
  <c r="B40" i="60"/>
  <c r="C9" i="59"/>
  <c r="B44" i="59"/>
  <c r="C14" i="51" s="1"/>
  <c r="C44" i="59"/>
  <c r="B49" i="59"/>
  <c r="C24" i="51" s="1"/>
  <c r="C49" i="59"/>
  <c r="D24" i="51" s="1"/>
  <c r="B54" i="57"/>
  <c r="C54" i="57"/>
  <c r="B46" i="57"/>
  <c r="C46" i="57"/>
  <c r="B16" i="56"/>
  <c r="C16" i="56"/>
  <c r="B17" i="56"/>
  <c r="B22" i="56"/>
  <c r="B37" i="56" s="1"/>
  <c r="B14" i="59" s="1"/>
  <c r="C22" i="56"/>
  <c r="C37" i="56" s="1"/>
  <c r="C14" i="59" s="1"/>
  <c r="B30" i="56"/>
  <c r="B7" i="59" s="1"/>
  <c r="C30" i="56"/>
  <c r="C7" i="59" s="1"/>
  <c r="B31" i="56"/>
  <c r="B8" i="59" s="1"/>
  <c r="C31" i="56"/>
  <c r="C8" i="59" s="1"/>
  <c r="C32" i="56"/>
  <c r="B51" i="59" l="1"/>
  <c r="C51" i="59"/>
  <c r="D14" i="51"/>
  <c r="B21" i="62"/>
  <c r="C24" i="60"/>
  <c r="C36" i="60" s="1"/>
  <c r="C22" i="60"/>
  <c r="C34" i="60" s="1"/>
  <c r="C3" i="62" s="1"/>
  <c r="C26" i="60"/>
  <c r="C38" i="60" s="1"/>
  <c r="C15" i="62" s="1"/>
  <c r="C30" i="60"/>
  <c r="C42" i="60" s="1"/>
  <c r="C21" i="60"/>
  <c r="C33" i="60" s="1"/>
  <c r="C21" i="62" s="1"/>
  <c r="B22" i="63"/>
  <c r="B20" i="63"/>
  <c r="B21" i="63"/>
  <c r="C21" i="63"/>
  <c r="C22" i="63"/>
  <c r="C20" i="63"/>
  <c r="C6" i="63"/>
  <c r="B6" i="63"/>
  <c r="C27" i="60"/>
  <c r="C39" i="60" s="1"/>
  <c r="C43" i="60" s="1"/>
  <c r="C38" i="62" s="1"/>
  <c r="B43" i="60"/>
  <c r="B38" i="62" s="1"/>
  <c r="B23" i="63" l="1"/>
  <c r="C23" i="63"/>
  <c r="F52" i="44"/>
  <c r="G52" i="44"/>
  <c r="E52" i="44"/>
  <c r="F48" i="113"/>
  <c r="F48" i="112"/>
  <c r="F48" i="111"/>
  <c r="F48" i="110"/>
  <c r="H11" i="113"/>
  <c r="G11" i="113"/>
  <c r="H11" i="112"/>
  <c r="G11" i="112"/>
  <c r="H11" i="111"/>
  <c r="G11" i="111"/>
  <c r="C21" i="110"/>
  <c r="H11" i="110"/>
  <c r="G11" i="110"/>
  <c r="G11" i="109"/>
  <c r="J4" i="101" l="1"/>
  <c r="J4" i="99"/>
  <c r="J4" i="103"/>
  <c r="J4" i="89"/>
  <c r="P4" i="89" s="1"/>
  <c r="V7" i="89" s="1"/>
  <c r="J4" i="102"/>
  <c r="J4" i="100"/>
  <c r="K4" i="103"/>
  <c r="K4" i="100"/>
  <c r="K4" i="101"/>
  <c r="K4" i="99"/>
  <c r="K4" i="102"/>
  <c r="K4" i="89"/>
  <c r="J3" i="108"/>
  <c r="J32" i="108" l="1"/>
  <c r="J40" i="108"/>
  <c r="J43" i="108"/>
  <c r="J13" i="108"/>
  <c r="J20" i="108"/>
  <c r="J33" i="108"/>
  <c r="J14" i="108"/>
  <c r="J17" i="108"/>
  <c r="J19" i="108"/>
  <c r="J31" i="108"/>
  <c r="J18" i="108"/>
  <c r="J15" i="108"/>
  <c r="J44" i="108"/>
  <c r="J34" i="108"/>
  <c r="J16" i="108"/>
  <c r="J152" i="108"/>
  <c r="J153" i="108"/>
  <c r="J157" i="108"/>
  <c r="J166" i="108"/>
  <c r="J175" i="108"/>
  <c r="J191" i="108"/>
  <c r="J160" i="108"/>
  <c r="J167" i="108"/>
  <c r="J202" i="108"/>
  <c r="J230" i="108"/>
  <c r="J27" i="108"/>
  <c r="J155" i="108"/>
  <c r="J159" i="108"/>
  <c r="J165" i="108"/>
  <c r="J177" i="108"/>
  <c r="J194" i="108"/>
  <c r="J206" i="108"/>
  <c r="J162" i="108"/>
  <c r="J168" i="108"/>
  <c r="J174" i="108"/>
  <c r="J265" i="108"/>
  <c r="J179" i="108"/>
  <c r="J192" i="108"/>
  <c r="J197" i="108"/>
  <c r="J266" i="108"/>
  <c r="J273" i="108"/>
  <c r="J171" i="108"/>
  <c r="J176" i="108"/>
  <c r="J189" i="108"/>
  <c r="J190" i="108"/>
  <c r="J228" i="108"/>
  <c r="J264" i="108"/>
  <c r="J283" i="108"/>
  <c r="J173" i="108"/>
  <c r="J193" i="108"/>
  <c r="J201" i="108"/>
  <c r="J203" i="108"/>
  <c r="J205" i="108"/>
  <c r="J310" i="108"/>
  <c r="J181" i="108"/>
  <c r="J183" i="108"/>
  <c r="J241" i="108"/>
  <c r="J308" i="108"/>
  <c r="J311" i="108"/>
  <c r="J315" i="108"/>
  <c r="J325" i="108"/>
  <c r="J13" i="107"/>
  <c r="J17" i="107"/>
  <c r="J20" i="107"/>
  <c r="J27" i="107"/>
  <c r="J154" i="108"/>
  <c r="J196" i="108"/>
  <c r="J198" i="108"/>
  <c r="J258" i="108"/>
  <c r="J280" i="108"/>
  <c r="J303" i="108"/>
  <c r="J309" i="108"/>
  <c r="J321" i="108"/>
  <c r="J14" i="107"/>
  <c r="J156" i="108"/>
  <c r="J184" i="108"/>
  <c r="J267" i="108"/>
  <c r="J16" i="107"/>
  <c r="J152" i="107"/>
  <c r="J187" i="108"/>
  <c r="J229" i="108"/>
  <c r="J242" i="108"/>
  <c r="J281" i="108"/>
  <c r="J343" i="108"/>
  <c r="J32" i="107"/>
  <c r="J33" i="107"/>
  <c r="J156" i="107"/>
  <c r="J165" i="107"/>
  <c r="J173" i="107"/>
  <c r="J340" i="108"/>
  <c r="J44" i="107"/>
  <c r="J189" i="107"/>
  <c r="J192" i="107"/>
  <c r="J203" i="107"/>
  <c r="J206" i="107"/>
  <c r="J314" i="108"/>
  <c r="J43" i="107"/>
  <c r="J342" i="108"/>
  <c r="J153" i="107"/>
  <c r="J154" i="107"/>
  <c r="J157" i="107"/>
  <c r="J158" i="107"/>
  <c r="J298" i="108"/>
  <c r="J313" i="108"/>
  <c r="J322" i="108"/>
  <c r="J155" i="107"/>
  <c r="J158" i="108"/>
  <c r="J161" i="108"/>
  <c r="J263" i="108"/>
  <c r="J15" i="107"/>
  <c r="J18" i="107"/>
  <c r="J161" i="107"/>
  <c r="J168" i="107"/>
  <c r="J194" i="107"/>
  <c r="J195" i="107"/>
  <c r="J230" i="107"/>
  <c r="J263" i="107"/>
  <c r="J298" i="107"/>
  <c r="J308" i="107"/>
  <c r="J322" i="107"/>
  <c r="J325" i="107"/>
  <c r="J340" i="107"/>
  <c r="J13" i="106"/>
  <c r="J17" i="106"/>
  <c r="J19" i="106"/>
  <c r="J160" i="107"/>
  <c r="J184" i="107"/>
  <c r="J196" i="107"/>
  <c r="J258" i="107"/>
  <c r="J341" i="107"/>
  <c r="J14" i="106"/>
  <c r="J195" i="108"/>
  <c r="J331" i="108"/>
  <c r="J175" i="107"/>
  <c r="J176" i="107"/>
  <c r="J180" i="107"/>
  <c r="J187" i="107"/>
  <c r="J198" i="107"/>
  <c r="J241" i="107"/>
  <c r="J265" i="107"/>
  <c r="J279" i="107"/>
  <c r="J310" i="107"/>
  <c r="J16" i="106"/>
  <c r="J182" i="108"/>
  <c r="J164" i="107"/>
  <c r="J174" i="107"/>
  <c r="J191" i="107"/>
  <c r="J229" i="107"/>
  <c r="J307" i="107"/>
  <c r="J343" i="107"/>
  <c r="J19" i="107"/>
  <c r="J162" i="107"/>
  <c r="J171" i="107"/>
  <c r="J177" i="107"/>
  <c r="J190" i="107"/>
  <c r="J193" i="107"/>
  <c r="J202" i="107"/>
  <c r="J188" i="108"/>
  <c r="J167" i="107"/>
  <c r="J182" i="107"/>
  <c r="J228" i="107"/>
  <c r="J180" i="108"/>
  <c r="J307" i="108"/>
  <c r="J312" i="108"/>
  <c r="J34" i="107"/>
  <c r="J279" i="108"/>
  <c r="J166" i="107"/>
  <c r="J205" i="107"/>
  <c r="J266" i="107"/>
  <c r="J273" i="107"/>
  <c r="J164" i="108"/>
  <c r="J159" i="107"/>
  <c r="J281" i="107"/>
  <c r="J311" i="107"/>
  <c r="J155" i="106"/>
  <c r="J160" i="106"/>
  <c r="J165" i="106"/>
  <c r="J171" i="106"/>
  <c r="J241" i="106"/>
  <c r="J272" i="106"/>
  <c r="J281" i="106"/>
  <c r="J325" i="106"/>
  <c r="J14" i="105"/>
  <c r="J19" i="105"/>
  <c r="J40" i="107"/>
  <c r="J332" i="107"/>
  <c r="J18" i="106"/>
  <c r="J33" i="106"/>
  <c r="J153" i="106"/>
  <c r="J157" i="106"/>
  <c r="J161" i="106"/>
  <c r="J172" i="106"/>
  <c r="J182" i="106"/>
  <c r="J189" i="106"/>
  <c r="J192" i="106"/>
  <c r="J202" i="106"/>
  <c r="J242" i="106"/>
  <c r="J273" i="106"/>
  <c r="J279" i="106"/>
  <c r="J314" i="106"/>
  <c r="J331" i="106"/>
  <c r="J16" i="105"/>
  <c r="J27" i="105"/>
  <c r="J31" i="105"/>
  <c r="J40" i="105"/>
  <c r="J204" i="108"/>
  <c r="J183" i="107"/>
  <c r="J188" i="107"/>
  <c r="J201" i="107"/>
  <c r="J204" i="107"/>
  <c r="J268" i="107"/>
  <c r="J313" i="107"/>
  <c r="J31" i="106"/>
  <c r="J34" i="106"/>
  <c r="J154" i="106"/>
  <c r="J193" i="106"/>
  <c r="J228" i="106"/>
  <c r="J264" i="106"/>
  <c r="J280" i="106"/>
  <c r="J18" i="105"/>
  <c r="J33" i="105"/>
  <c r="J44" i="105"/>
  <c r="J341" i="108"/>
  <c r="J267" i="107"/>
  <c r="J272" i="107"/>
  <c r="J15" i="106"/>
  <c r="J40" i="106"/>
  <c r="J159" i="106"/>
  <c r="J164" i="106"/>
  <c r="J174" i="106"/>
  <c r="J179" i="106"/>
  <c r="J265" i="106"/>
  <c r="J162" i="105"/>
  <c r="J165" i="105"/>
  <c r="J172" i="105"/>
  <c r="J177" i="105"/>
  <c r="J189" i="105"/>
  <c r="J191" i="105"/>
  <c r="J202" i="105"/>
  <c r="J263" i="105"/>
  <c r="J281" i="105"/>
  <c r="J283" i="105"/>
  <c r="J298" i="105"/>
  <c r="J311" i="105"/>
  <c r="J268" i="108"/>
  <c r="J332" i="108"/>
  <c r="J197" i="107"/>
  <c r="J309" i="107"/>
  <c r="J315" i="107"/>
  <c r="J168" i="106"/>
  <c r="J173" i="106"/>
  <c r="J177" i="106"/>
  <c r="J203" i="106"/>
  <c r="J312" i="106"/>
  <c r="J322" i="106"/>
  <c r="J332" i="106"/>
  <c r="J17" i="105"/>
  <c r="J173" i="105"/>
  <c r="J192" i="105"/>
  <c r="J203" i="105"/>
  <c r="J264" i="105"/>
  <c r="J268" i="105"/>
  <c r="J279" i="105"/>
  <c r="J309" i="105"/>
  <c r="J312" i="105"/>
  <c r="J315" i="105"/>
  <c r="J179" i="107"/>
  <c r="J314" i="107"/>
  <c r="J20" i="106"/>
  <c r="J44" i="106"/>
  <c r="J156" i="106"/>
  <c r="J181" i="106"/>
  <c r="J196" i="106"/>
  <c r="J230" i="106"/>
  <c r="J308" i="106"/>
  <c r="J315" i="106"/>
  <c r="J340" i="106"/>
  <c r="J341" i="106"/>
  <c r="J342" i="106"/>
  <c r="J343" i="106"/>
  <c r="J20" i="105"/>
  <c r="J43" i="105"/>
  <c r="J161" i="105"/>
  <c r="J164" i="105"/>
  <c r="J190" i="105"/>
  <c r="J195" i="105"/>
  <c r="J201" i="105"/>
  <c r="J205" i="105"/>
  <c r="J242" i="105"/>
  <c r="J265" i="105"/>
  <c r="J267" i="105"/>
  <c r="J313" i="105"/>
  <c r="J172" i="108"/>
  <c r="J242" i="107"/>
  <c r="J303" i="107"/>
  <c r="J43" i="106"/>
  <c r="J175" i="106"/>
  <c r="J195" i="106"/>
  <c r="J206" i="106"/>
  <c r="J229" i="106"/>
  <c r="J266" i="106"/>
  <c r="J283" i="106"/>
  <c r="J172" i="107"/>
  <c r="J264" i="107"/>
  <c r="J312" i="107"/>
  <c r="J183" i="106"/>
  <c r="J198" i="106"/>
  <c r="J310" i="106"/>
  <c r="J13" i="105"/>
  <c r="J15" i="105"/>
  <c r="J166" i="106"/>
  <c r="J176" i="106"/>
  <c r="J194" i="106"/>
  <c r="J263" i="106"/>
  <c r="J268" i="106"/>
  <c r="J283" i="107"/>
  <c r="J342" i="107"/>
  <c r="J184" i="106"/>
  <c r="J204" i="106"/>
  <c r="J311" i="106"/>
  <c r="J321" i="106"/>
  <c r="J180" i="106"/>
  <c r="J187" i="106"/>
  <c r="J191" i="106"/>
  <c r="J205" i="106"/>
  <c r="J267" i="106"/>
  <c r="J303" i="106"/>
  <c r="J152" i="105"/>
  <c r="J156" i="105"/>
  <c r="J321" i="107"/>
  <c r="J331" i="107"/>
  <c r="J201" i="106"/>
  <c r="J258" i="106"/>
  <c r="J158" i="105"/>
  <c r="J168" i="105"/>
  <c r="J174" i="105"/>
  <c r="J182" i="105"/>
  <c r="J197" i="105"/>
  <c r="J228" i="105"/>
  <c r="J230" i="105"/>
  <c r="J322" i="105"/>
  <c r="J331" i="105"/>
  <c r="J15" i="104"/>
  <c r="J280" i="107"/>
  <c r="J197" i="106"/>
  <c r="J34" i="105"/>
  <c r="J157" i="105"/>
  <c r="J188" i="105"/>
  <c r="J196" i="105"/>
  <c r="J307" i="105"/>
  <c r="J308" i="105"/>
  <c r="J310" i="105"/>
  <c r="J325" i="105"/>
  <c r="J341" i="105"/>
  <c r="J343" i="105"/>
  <c r="J16" i="104"/>
  <c r="J34" i="104"/>
  <c r="J27" i="106"/>
  <c r="J32" i="106"/>
  <c r="J158" i="106"/>
  <c r="J160" i="105"/>
  <c r="J171" i="105"/>
  <c r="J179" i="105"/>
  <c r="J184" i="105"/>
  <c r="J14" i="104"/>
  <c r="J27" i="104"/>
  <c r="J43" i="104"/>
  <c r="O43" i="104" s="1"/>
  <c r="J181" i="107"/>
  <c r="J298" i="106"/>
  <c r="J32" i="105"/>
  <c r="J155" i="105"/>
  <c r="J159" i="105"/>
  <c r="J175" i="105"/>
  <c r="J176" i="105"/>
  <c r="J193" i="105"/>
  <c r="J194" i="105"/>
  <c r="J20" i="104"/>
  <c r="J167" i="105"/>
  <c r="J181" i="105"/>
  <c r="J273" i="105"/>
  <c r="J321" i="105"/>
  <c r="J19" i="104"/>
  <c r="J157" i="104"/>
  <c r="O157" i="104" s="1"/>
  <c r="J162" i="104"/>
  <c r="O162" i="104" s="1"/>
  <c r="J198" i="105"/>
  <c r="J32" i="104"/>
  <c r="J154" i="104"/>
  <c r="J159" i="104"/>
  <c r="O159" i="104" s="1"/>
  <c r="J167" i="104"/>
  <c r="J181" i="104"/>
  <c r="J202" i="104"/>
  <c r="J167" i="106"/>
  <c r="J190" i="106"/>
  <c r="J307" i="106"/>
  <c r="J313" i="106"/>
  <c r="J187" i="105"/>
  <c r="J229" i="105"/>
  <c r="J303" i="105"/>
  <c r="J13" i="104"/>
  <c r="J44" i="104"/>
  <c r="O44" i="104" s="1"/>
  <c r="J156" i="104"/>
  <c r="O156" i="104" s="1"/>
  <c r="J158" i="104"/>
  <c r="O158" i="104" s="1"/>
  <c r="J165" i="104"/>
  <c r="J171" i="104"/>
  <c r="J177" i="104"/>
  <c r="J183" i="104"/>
  <c r="J193" i="104"/>
  <c r="O193" i="104" s="1"/>
  <c r="J206" i="104"/>
  <c r="J309" i="106"/>
  <c r="J183" i="105"/>
  <c r="J241" i="105"/>
  <c r="J280" i="105"/>
  <c r="J33" i="104"/>
  <c r="J153" i="104"/>
  <c r="J173" i="104"/>
  <c r="J191" i="104"/>
  <c r="O191" i="104" s="1"/>
  <c r="J153" i="105"/>
  <c r="J166" i="105"/>
  <c r="J258" i="105"/>
  <c r="J18" i="104"/>
  <c r="J40" i="104"/>
  <c r="O40" i="104" s="1"/>
  <c r="J175" i="104"/>
  <c r="J187" i="104"/>
  <c r="O187" i="104" s="1"/>
  <c r="J188" i="104"/>
  <c r="O188" i="104" s="1"/>
  <c r="J197" i="104"/>
  <c r="J205" i="104"/>
  <c r="J267" i="104"/>
  <c r="J312" i="104"/>
  <c r="O312" i="104" s="1"/>
  <c r="J321" i="104"/>
  <c r="O321" i="104" s="1"/>
  <c r="J13" i="98"/>
  <c r="J27" i="98"/>
  <c r="J155" i="98"/>
  <c r="J156" i="98"/>
  <c r="J164" i="98"/>
  <c r="J188" i="98"/>
  <c r="J191" i="98"/>
  <c r="J195" i="98"/>
  <c r="J198" i="98"/>
  <c r="J202" i="98"/>
  <c r="J154" i="105"/>
  <c r="J204" i="105"/>
  <c r="J161" i="104"/>
  <c r="O161" i="104" s="1"/>
  <c r="J174" i="104"/>
  <c r="J184" i="104"/>
  <c r="J204" i="104"/>
  <c r="J230" i="104"/>
  <c r="O230" i="104" s="1"/>
  <c r="J265" i="104"/>
  <c r="J313" i="104"/>
  <c r="O313" i="104" s="1"/>
  <c r="J315" i="104"/>
  <c r="O315" i="104" s="1"/>
  <c r="J31" i="98"/>
  <c r="J181" i="98"/>
  <c r="J183" i="98"/>
  <c r="J192" i="98"/>
  <c r="J279" i="98"/>
  <c r="J308" i="98"/>
  <c r="J322" i="98"/>
  <c r="J332" i="98"/>
  <c r="J343" i="98"/>
  <c r="J152" i="106"/>
  <c r="J206" i="105"/>
  <c r="J266" i="105"/>
  <c r="J180" i="104"/>
  <c r="J228" i="104"/>
  <c r="O228" i="104" s="1"/>
  <c r="J242" i="104"/>
  <c r="J264" i="104"/>
  <c r="J266" i="104"/>
  <c r="J268" i="104"/>
  <c r="J272" i="104"/>
  <c r="J311" i="104"/>
  <c r="J332" i="104"/>
  <c r="O332" i="104" s="1"/>
  <c r="J16" i="98"/>
  <c r="J19" i="98"/>
  <c r="J33" i="98"/>
  <c r="J153" i="98"/>
  <c r="J154" i="98"/>
  <c r="J160" i="98"/>
  <c r="J162" i="98"/>
  <c r="J165" i="98"/>
  <c r="J167" i="98"/>
  <c r="J179" i="98"/>
  <c r="J184" i="98"/>
  <c r="J197" i="98"/>
  <c r="J201" i="98"/>
  <c r="J204" i="98"/>
  <c r="J241" i="98"/>
  <c r="J264" i="98"/>
  <c r="J272" i="98"/>
  <c r="J314" i="105"/>
  <c r="J152" i="104"/>
  <c r="J179" i="104"/>
  <c r="J194" i="104"/>
  <c r="O194" i="104" s="1"/>
  <c r="J280" i="104"/>
  <c r="J322" i="104"/>
  <c r="O322" i="104" s="1"/>
  <c r="J331" i="104"/>
  <c r="O331" i="104" s="1"/>
  <c r="J15" i="98"/>
  <c r="J182" i="98"/>
  <c r="J187" i="98"/>
  <c r="J310" i="98"/>
  <c r="J315" i="98"/>
  <c r="J332" i="105"/>
  <c r="J340" i="105"/>
  <c r="J172" i="104"/>
  <c r="J176" i="104"/>
  <c r="J201" i="104"/>
  <c r="J203" i="104"/>
  <c r="J279" i="104"/>
  <c r="J303" i="104"/>
  <c r="J325" i="104"/>
  <c r="O325" i="104" s="1"/>
  <c r="J14" i="98"/>
  <c r="J34" i="98"/>
  <c r="J158" i="98"/>
  <c r="J168" i="98"/>
  <c r="J203" i="98"/>
  <c r="J230" i="98"/>
  <c r="J273" i="98"/>
  <c r="J342" i="98"/>
  <c r="J303" i="98"/>
  <c r="J321" i="98"/>
  <c r="J272" i="108"/>
  <c r="J17" i="104"/>
  <c r="J160" i="104"/>
  <c r="O160" i="104" s="1"/>
  <c r="J258" i="104"/>
  <c r="J343" i="104"/>
  <c r="O343" i="104" s="1"/>
  <c r="J32" i="98"/>
  <c r="J40" i="98"/>
  <c r="J331" i="98"/>
  <c r="J188" i="106"/>
  <c r="J272" i="105"/>
  <c r="J155" i="104"/>
  <c r="J196" i="104"/>
  <c r="O196" i="104" s="1"/>
  <c r="J241" i="104"/>
  <c r="J310" i="104"/>
  <c r="O310" i="104" s="1"/>
  <c r="J159" i="98"/>
  <c r="J161" i="98"/>
  <c r="J166" i="98"/>
  <c r="J177" i="98"/>
  <c r="J228" i="98"/>
  <c r="J229" i="98"/>
  <c r="J281" i="98"/>
  <c r="J311" i="98"/>
  <c r="J340" i="98"/>
  <c r="J164" i="104"/>
  <c r="J168" i="104"/>
  <c r="J198" i="104"/>
  <c r="J309" i="104"/>
  <c r="J175" i="98"/>
  <c r="J176" i="98"/>
  <c r="J189" i="98"/>
  <c r="J268" i="98"/>
  <c r="J280" i="98"/>
  <c r="J283" i="98"/>
  <c r="J298" i="98"/>
  <c r="J312" i="98"/>
  <c r="J166" i="104"/>
  <c r="J190" i="104"/>
  <c r="O190" i="104" s="1"/>
  <c r="J273" i="104"/>
  <c r="J308" i="104"/>
  <c r="J266" i="98"/>
  <c r="J267" i="98"/>
  <c r="J313" i="98"/>
  <c r="J31" i="107"/>
  <c r="J195" i="104"/>
  <c r="O195" i="104" s="1"/>
  <c r="J342" i="104"/>
  <c r="O342" i="104" s="1"/>
  <c r="J17" i="98"/>
  <c r="J18" i="98"/>
  <c r="J43" i="98"/>
  <c r="J44" i="98"/>
  <c r="J174" i="98"/>
  <c r="J190" i="98"/>
  <c r="J193" i="98"/>
  <c r="J258" i="98"/>
  <c r="J265" i="98"/>
  <c r="J314" i="98"/>
  <c r="J342" i="105"/>
  <c r="J31" i="104"/>
  <c r="J192" i="104"/>
  <c r="O192" i="104" s="1"/>
  <c r="J307" i="104"/>
  <c r="J314" i="104"/>
  <c r="O314" i="104" s="1"/>
  <c r="J341" i="104"/>
  <c r="O341" i="104" s="1"/>
  <c r="J20" i="98"/>
  <c r="J152" i="98"/>
  <c r="J172" i="98"/>
  <c r="J173" i="98"/>
  <c r="J180" i="98"/>
  <c r="J194" i="98"/>
  <c r="J196" i="98"/>
  <c r="J307" i="98"/>
  <c r="J309" i="98"/>
  <c r="J325" i="98"/>
  <c r="J341" i="98"/>
  <c r="J162" i="106"/>
  <c r="J180" i="105"/>
  <c r="J182" i="104"/>
  <c r="J189" i="104"/>
  <c r="O189" i="104" s="1"/>
  <c r="J229" i="104"/>
  <c r="O229" i="104" s="1"/>
  <c r="J263" i="104"/>
  <c r="J281" i="104"/>
  <c r="J283" i="104"/>
  <c r="J298" i="104"/>
  <c r="J340" i="104"/>
  <c r="O340" i="104" s="1"/>
  <c r="J157" i="98"/>
  <c r="J171" i="98"/>
  <c r="J205" i="98"/>
  <c r="J206" i="98"/>
  <c r="J242" i="98"/>
  <c r="J263" i="98"/>
  <c r="I16" i="108"/>
  <c r="I27" i="108"/>
  <c r="I17" i="108"/>
  <c r="I34" i="108"/>
  <c r="I15" i="108"/>
  <c r="I19" i="108"/>
  <c r="I33" i="108"/>
  <c r="I18" i="108"/>
  <c r="I14" i="108"/>
  <c r="I32" i="108"/>
  <c r="I20" i="108"/>
  <c r="I154" i="108"/>
  <c r="I172" i="108"/>
  <c r="I181" i="108"/>
  <c r="I184" i="108"/>
  <c r="I197" i="108"/>
  <c r="I201" i="108"/>
  <c r="I205" i="108"/>
  <c r="I173" i="108"/>
  <c r="I176" i="108"/>
  <c r="I168" i="108"/>
  <c r="I174" i="108"/>
  <c r="I183" i="108"/>
  <c r="I241" i="108"/>
  <c r="I155" i="108"/>
  <c r="I167" i="108"/>
  <c r="I180" i="108"/>
  <c r="I198" i="108"/>
  <c r="I202" i="108"/>
  <c r="I242" i="108"/>
  <c r="I263" i="108"/>
  <c r="I268" i="108"/>
  <c r="I281" i="108"/>
  <c r="I166" i="108"/>
  <c r="I279" i="108"/>
  <c r="I164" i="108"/>
  <c r="I182" i="108"/>
  <c r="I204" i="108"/>
  <c r="I267" i="108"/>
  <c r="I280" i="108"/>
  <c r="I171" i="108"/>
  <c r="I175" i="108"/>
  <c r="I177" i="108"/>
  <c r="I31" i="108"/>
  <c r="I264" i="108"/>
  <c r="I273" i="108"/>
  <c r="I283" i="108"/>
  <c r="I34" i="107"/>
  <c r="I19" i="107"/>
  <c r="I31" i="107"/>
  <c r="I258" i="108"/>
  <c r="I311" i="108"/>
  <c r="I15" i="107"/>
  <c r="I153" i="107"/>
  <c r="I27" i="107"/>
  <c r="I171" i="107"/>
  <c r="I152" i="108"/>
  <c r="I307" i="108"/>
  <c r="I167" i="107"/>
  <c r="I175" i="107"/>
  <c r="I180" i="107"/>
  <c r="I183" i="107"/>
  <c r="I17" i="107"/>
  <c r="I33" i="107"/>
  <c r="I153" i="108"/>
  <c r="I298" i="108"/>
  <c r="I16" i="107"/>
  <c r="I32" i="107"/>
  <c r="I155" i="107"/>
  <c r="I168" i="107"/>
  <c r="I206" i="108"/>
  <c r="I272" i="108"/>
  <c r="I18" i="107"/>
  <c r="I13" i="108"/>
  <c r="I182" i="107"/>
  <c r="I203" i="107"/>
  <c r="I267" i="107"/>
  <c r="I272" i="107"/>
  <c r="I280" i="107"/>
  <c r="I283" i="107"/>
  <c r="I179" i="108"/>
  <c r="I154" i="107"/>
  <c r="I166" i="107"/>
  <c r="I197" i="107"/>
  <c r="I204" i="107"/>
  <c r="I205" i="107"/>
  <c r="I264" i="107"/>
  <c r="I268" i="107"/>
  <c r="I303" i="107"/>
  <c r="I309" i="107"/>
  <c r="I18" i="106"/>
  <c r="I20" i="106"/>
  <c r="I266" i="108"/>
  <c r="I14" i="107"/>
  <c r="I164" i="107"/>
  <c r="I174" i="107"/>
  <c r="I307" i="107"/>
  <c r="I203" i="108"/>
  <c r="I309" i="108"/>
  <c r="I172" i="107"/>
  <c r="I173" i="107"/>
  <c r="I177" i="107"/>
  <c r="I181" i="107"/>
  <c r="I201" i="107"/>
  <c r="I202" i="107"/>
  <c r="I242" i="107"/>
  <c r="I266" i="107"/>
  <c r="I311" i="107"/>
  <c r="I303" i="108"/>
  <c r="I184" i="107"/>
  <c r="I265" i="107"/>
  <c r="I165" i="108"/>
  <c r="I265" i="108"/>
  <c r="I165" i="107"/>
  <c r="I176" i="107"/>
  <c r="I241" i="107"/>
  <c r="I263" i="107"/>
  <c r="I281" i="107"/>
  <c r="I179" i="107"/>
  <c r="I14" i="106"/>
  <c r="I168" i="106"/>
  <c r="I176" i="106"/>
  <c r="I179" i="106"/>
  <c r="I198" i="106"/>
  <c r="I201" i="106"/>
  <c r="I266" i="106"/>
  <c r="I307" i="106"/>
  <c r="I15" i="105"/>
  <c r="I152" i="107"/>
  <c r="I308" i="107"/>
  <c r="I13" i="106"/>
  <c r="I19" i="106"/>
  <c r="I27" i="106"/>
  <c r="I166" i="106"/>
  <c r="I177" i="106"/>
  <c r="I203" i="106"/>
  <c r="I206" i="106"/>
  <c r="I263" i="106"/>
  <c r="I267" i="106"/>
  <c r="I308" i="106"/>
  <c r="I20" i="105"/>
  <c r="I32" i="105"/>
  <c r="I198" i="107"/>
  <c r="I32" i="106"/>
  <c r="I152" i="106"/>
  <c r="I167" i="106"/>
  <c r="I174" i="106"/>
  <c r="I181" i="106"/>
  <c r="I184" i="106"/>
  <c r="I197" i="106"/>
  <c r="I204" i="106"/>
  <c r="I268" i="106"/>
  <c r="I283" i="106"/>
  <c r="I309" i="106"/>
  <c r="I33" i="106"/>
  <c r="I153" i="106"/>
  <c r="I279" i="106"/>
  <c r="I13" i="105"/>
  <c r="I14" i="105"/>
  <c r="I152" i="105"/>
  <c r="I167" i="105"/>
  <c r="I180" i="105"/>
  <c r="I183" i="105"/>
  <c r="I197" i="105"/>
  <c r="I206" i="105"/>
  <c r="I258" i="105"/>
  <c r="I307" i="105"/>
  <c r="I13" i="107"/>
  <c r="I206" i="107"/>
  <c r="I273" i="107"/>
  <c r="I183" i="106"/>
  <c r="I242" i="106"/>
  <c r="I311" i="106"/>
  <c r="I153" i="105"/>
  <c r="I176" i="105"/>
  <c r="I181" i="105"/>
  <c r="I184" i="105"/>
  <c r="I241" i="105"/>
  <c r="I20" i="107"/>
  <c r="I258" i="107"/>
  <c r="I165" i="106"/>
  <c r="I171" i="106"/>
  <c r="I175" i="106"/>
  <c r="I273" i="106"/>
  <c r="I33" i="105"/>
  <c r="I155" i="105"/>
  <c r="I171" i="105"/>
  <c r="I175" i="105"/>
  <c r="I182" i="105"/>
  <c r="I308" i="105"/>
  <c r="I155" i="106"/>
  <c r="I180" i="106"/>
  <c r="I205" i="106"/>
  <c r="I281" i="106"/>
  <c r="I308" i="108"/>
  <c r="I298" i="107"/>
  <c r="I31" i="105"/>
  <c r="I279" i="107"/>
  <c r="I241" i="106"/>
  <c r="I272" i="106"/>
  <c r="I280" i="106"/>
  <c r="I298" i="106"/>
  <c r="I16" i="105"/>
  <c r="I18" i="105"/>
  <c r="I34" i="105"/>
  <c r="I17" i="106"/>
  <c r="I154" i="106"/>
  <c r="I258" i="106"/>
  <c r="I34" i="106"/>
  <c r="I182" i="106"/>
  <c r="I19" i="105"/>
  <c r="I154" i="105"/>
  <c r="I166" i="105"/>
  <c r="I203" i="105"/>
  <c r="I266" i="105"/>
  <c r="I279" i="105"/>
  <c r="I283" i="105"/>
  <c r="I311" i="105"/>
  <c r="I33" i="104"/>
  <c r="I164" i="106"/>
  <c r="I202" i="106"/>
  <c r="I165" i="105"/>
  <c r="I202" i="105"/>
  <c r="I265" i="105"/>
  <c r="I273" i="105"/>
  <c r="I303" i="105"/>
  <c r="I19" i="104"/>
  <c r="I15" i="106"/>
  <c r="I264" i="106"/>
  <c r="I263" i="105"/>
  <c r="I20" i="104"/>
  <c r="I31" i="104"/>
  <c r="I16" i="106"/>
  <c r="I177" i="105"/>
  <c r="I198" i="105"/>
  <c r="I204" i="105"/>
  <c r="I280" i="105"/>
  <c r="I281" i="105"/>
  <c r="I13" i="104"/>
  <c r="I18" i="104"/>
  <c r="I205" i="105"/>
  <c r="I32" i="104"/>
  <c r="I154" i="104"/>
  <c r="O154" i="104" s="1"/>
  <c r="I167" i="104"/>
  <c r="I172" i="105"/>
  <c r="I267" i="105"/>
  <c r="I164" i="104"/>
  <c r="I172" i="104"/>
  <c r="O172" i="104" s="1"/>
  <c r="I180" i="104"/>
  <c r="I205" i="104"/>
  <c r="I164" i="105"/>
  <c r="I264" i="105"/>
  <c r="I153" i="104"/>
  <c r="I173" i="104"/>
  <c r="I174" i="105"/>
  <c r="I309" i="105"/>
  <c r="I16" i="104"/>
  <c r="I27" i="104"/>
  <c r="I176" i="104"/>
  <c r="I184" i="104"/>
  <c r="I197" i="104"/>
  <c r="I201" i="104"/>
  <c r="I204" i="104"/>
  <c r="O204" i="104" s="1"/>
  <c r="I15" i="104"/>
  <c r="I34" i="104"/>
  <c r="I206" i="104"/>
  <c r="O206" i="104" s="1"/>
  <c r="I263" i="104"/>
  <c r="I280" i="104"/>
  <c r="I309" i="104"/>
  <c r="I18" i="98"/>
  <c r="O18" i="98" s="1"/>
  <c r="I20" i="98"/>
  <c r="O20" i="98" s="1"/>
  <c r="I168" i="98"/>
  <c r="O168" i="98" s="1"/>
  <c r="I171" i="98"/>
  <c r="O171" i="98" s="1"/>
  <c r="I174" i="98"/>
  <c r="O174" i="98" s="1"/>
  <c r="I177" i="98"/>
  <c r="O177" i="98" s="1"/>
  <c r="I205" i="98"/>
  <c r="O205" i="98" s="1"/>
  <c r="I258" i="98"/>
  <c r="O258" i="98" s="1"/>
  <c r="I266" i="98"/>
  <c r="O266" i="98" s="1"/>
  <c r="I31" i="106"/>
  <c r="I27" i="105"/>
  <c r="I272" i="105"/>
  <c r="I166" i="104"/>
  <c r="I203" i="104"/>
  <c r="O203" i="104" s="1"/>
  <c r="I241" i="104"/>
  <c r="I273" i="104"/>
  <c r="I283" i="104"/>
  <c r="I298" i="104"/>
  <c r="I14" i="98"/>
  <c r="O14" i="98" s="1"/>
  <c r="I32" i="98"/>
  <c r="O32" i="98" s="1"/>
  <c r="I166" i="98"/>
  <c r="O166" i="98" s="1"/>
  <c r="I175" i="98"/>
  <c r="O175" i="98" s="1"/>
  <c r="I263" i="98"/>
  <c r="O263" i="98" s="1"/>
  <c r="I280" i="98"/>
  <c r="O280" i="98" s="1"/>
  <c r="I298" i="98"/>
  <c r="O298" i="98" s="1"/>
  <c r="I309" i="98"/>
  <c r="O309" i="98" s="1"/>
  <c r="I168" i="104"/>
  <c r="I179" i="104"/>
  <c r="I182" i="104"/>
  <c r="I258" i="104"/>
  <c r="I279" i="104"/>
  <c r="O279" i="104" s="1"/>
  <c r="I308" i="104"/>
  <c r="I17" i="98"/>
  <c r="O17" i="98" s="1"/>
  <c r="I34" i="98"/>
  <c r="O34" i="98" s="1"/>
  <c r="I176" i="98"/>
  <c r="O176" i="98" s="1"/>
  <c r="I180" i="98"/>
  <c r="O180" i="98" s="1"/>
  <c r="I268" i="98"/>
  <c r="O268" i="98" s="1"/>
  <c r="I242" i="104"/>
  <c r="I303" i="104"/>
  <c r="I311" i="104"/>
  <c r="I27" i="98"/>
  <c r="O27" i="98" s="1"/>
  <c r="I203" i="98"/>
  <c r="O203" i="98" s="1"/>
  <c r="I273" i="98"/>
  <c r="O273" i="98" s="1"/>
  <c r="I172" i="106"/>
  <c r="I168" i="105"/>
  <c r="I155" i="104"/>
  <c r="O155" i="104" s="1"/>
  <c r="I174" i="104"/>
  <c r="I155" i="98"/>
  <c r="O155" i="98" s="1"/>
  <c r="I164" i="98"/>
  <c r="O164" i="98" s="1"/>
  <c r="I165" i="98"/>
  <c r="O165" i="98" s="1"/>
  <c r="I167" i="98"/>
  <c r="O167" i="98" s="1"/>
  <c r="I202" i="98"/>
  <c r="O202" i="98" s="1"/>
  <c r="I272" i="98"/>
  <c r="O272" i="98" s="1"/>
  <c r="I281" i="98"/>
  <c r="O281" i="98" s="1"/>
  <c r="I311" i="98"/>
  <c r="O311" i="98" s="1"/>
  <c r="I265" i="106"/>
  <c r="I303" i="106"/>
  <c r="I202" i="104"/>
  <c r="I268" i="104"/>
  <c r="O268" i="104" s="1"/>
  <c r="I173" i="106"/>
  <c r="I181" i="104"/>
  <c r="I198" i="104"/>
  <c r="I13" i="98"/>
  <c r="O13" i="98" s="1"/>
  <c r="I154" i="98"/>
  <c r="O154" i="98" s="1"/>
  <c r="I201" i="98"/>
  <c r="O201" i="98" s="1"/>
  <c r="I283" i="98"/>
  <c r="O283" i="98" s="1"/>
  <c r="I303" i="98"/>
  <c r="O303" i="98" s="1"/>
  <c r="I268" i="105"/>
  <c r="I17" i="104"/>
  <c r="O17" i="104" s="1"/>
  <c r="I183" i="104"/>
  <c r="I272" i="104"/>
  <c r="I33" i="98"/>
  <c r="O33" i="98" s="1"/>
  <c r="I267" i="98"/>
  <c r="O267" i="98" s="1"/>
  <c r="I267" i="104"/>
  <c r="I153" i="98"/>
  <c r="O153" i="98" s="1"/>
  <c r="I265" i="98"/>
  <c r="O265" i="98" s="1"/>
  <c r="I279" i="98"/>
  <c r="O279" i="98" s="1"/>
  <c r="I179" i="105"/>
  <c r="I175" i="104"/>
  <c r="I266" i="104"/>
  <c r="I307" i="104"/>
  <c r="I19" i="98"/>
  <c r="O19" i="98" s="1"/>
  <c r="I31" i="98"/>
  <c r="O31" i="98" s="1"/>
  <c r="I152" i="98"/>
  <c r="O152" i="98" s="1"/>
  <c r="I172" i="98"/>
  <c r="O172" i="98" s="1"/>
  <c r="I173" i="98"/>
  <c r="O173" i="98" s="1"/>
  <c r="I198" i="98"/>
  <c r="O198" i="98" s="1"/>
  <c r="I307" i="98"/>
  <c r="O307" i="98" s="1"/>
  <c r="I17" i="105"/>
  <c r="I298" i="105"/>
  <c r="I171" i="104"/>
  <c r="I264" i="104"/>
  <c r="I265" i="104"/>
  <c r="I281" i="104"/>
  <c r="I16" i="98"/>
  <c r="O16" i="98" s="1"/>
  <c r="I181" i="98"/>
  <c r="O181" i="98" s="1"/>
  <c r="I197" i="98"/>
  <c r="O197" i="98" s="1"/>
  <c r="I206" i="98"/>
  <c r="O206" i="98" s="1"/>
  <c r="I242" i="98"/>
  <c r="O242" i="98" s="1"/>
  <c r="I264" i="98"/>
  <c r="O264" i="98" s="1"/>
  <c r="I308" i="98"/>
  <c r="O308" i="98" s="1"/>
  <c r="I173" i="105"/>
  <c r="I201" i="105"/>
  <c r="I242" i="105"/>
  <c r="I14" i="104"/>
  <c r="I152" i="104"/>
  <c r="I165" i="104"/>
  <c r="O165" i="104" s="1"/>
  <c r="I177" i="104"/>
  <c r="O177" i="104" s="1"/>
  <c r="I15" i="98"/>
  <c r="O15" i="98" s="1"/>
  <c r="I179" i="98"/>
  <c r="O179" i="98" s="1"/>
  <c r="I182" i="98"/>
  <c r="O182" i="98" s="1"/>
  <c r="I183" i="98"/>
  <c r="O183" i="98" s="1"/>
  <c r="I184" i="98"/>
  <c r="O184" i="98" s="1"/>
  <c r="I204" i="98"/>
  <c r="O204" i="98" s="1"/>
  <c r="I241" i="98"/>
  <c r="O241" i="98" s="1"/>
  <c r="P279" i="89"/>
  <c r="I3" i="98"/>
  <c r="O3" i="98" s="1"/>
  <c r="I3" i="105"/>
  <c r="J3" i="98"/>
  <c r="J3" i="104"/>
  <c r="J3" i="105"/>
  <c r="I3" i="104"/>
  <c r="I3" i="107"/>
  <c r="J3" i="107"/>
  <c r="J3" i="106"/>
  <c r="I3" i="108"/>
  <c r="I3" i="106"/>
  <c r="Q4" i="89"/>
  <c r="P4" i="99"/>
  <c r="C28" i="79"/>
  <c r="D28" i="79"/>
  <c r="E28" i="79"/>
  <c r="C7" i="79"/>
  <c r="C8" i="79"/>
  <c r="C10" i="79"/>
  <c r="C15" i="79" s="1"/>
  <c r="D5" i="79"/>
  <c r="D6" i="79"/>
  <c r="D9" i="79"/>
  <c r="D15" i="79" s="1"/>
  <c r="D45" i="78"/>
  <c r="E45" i="78"/>
  <c r="F45" i="78"/>
  <c r="G45" i="78"/>
  <c r="I45" i="78"/>
  <c r="H44" i="78"/>
  <c r="I44" i="78"/>
  <c r="F44" i="78"/>
  <c r="E44" i="78"/>
  <c r="D44" i="78"/>
  <c r="G44" i="78"/>
  <c r="D19" i="80"/>
  <c r="E19" i="80"/>
  <c r="F19" i="80"/>
  <c r="G19" i="80"/>
  <c r="H19" i="80"/>
  <c r="I19" i="80"/>
  <c r="D26" i="80"/>
  <c r="E26" i="80"/>
  <c r="F26" i="80"/>
  <c r="G26" i="80"/>
  <c r="H26" i="80"/>
  <c r="I26" i="80"/>
  <c r="D33" i="80"/>
  <c r="E33" i="80"/>
  <c r="F33" i="80"/>
  <c r="G33" i="80"/>
  <c r="H33" i="80"/>
  <c r="I33" i="80"/>
  <c r="D40" i="80"/>
  <c r="E40" i="80"/>
  <c r="F40" i="80"/>
  <c r="G40" i="80"/>
  <c r="H40" i="80"/>
  <c r="I40" i="80"/>
  <c r="D47" i="80"/>
  <c r="E47" i="80"/>
  <c r="F47" i="80"/>
  <c r="G47" i="80"/>
  <c r="H47" i="80"/>
  <c r="I47" i="80"/>
  <c r="G7" i="78"/>
  <c r="H7" i="78"/>
  <c r="F12" i="80"/>
  <c r="E12" i="80"/>
  <c r="D12" i="80"/>
  <c r="D26" i="77"/>
  <c r="E26" i="77"/>
  <c r="D19" i="77"/>
  <c r="F19" i="77"/>
  <c r="F18" i="77"/>
  <c r="E18" i="77"/>
  <c r="G26" i="77"/>
  <c r="H26" i="77"/>
  <c r="H19" i="77"/>
  <c r="I19" i="77"/>
  <c r="I18" i="77"/>
  <c r="G18" i="77"/>
  <c r="G31" i="75"/>
  <c r="H31" i="75"/>
  <c r="I31" i="75"/>
  <c r="I7" i="78" s="1"/>
  <c r="E13" i="76"/>
  <c r="E14" i="76" s="1"/>
  <c r="E22" i="75" s="1"/>
  <c r="E35" i="75" s="1"/>
  <c r="E11" i="78" s="1"/>
  <c r="G32" i="75"/>
  <c r="G8" i="78" s="1"/>
  <c r="H32" i="75"/>
  <c r="H8" i="78" s="1"/>
  <c r="I32" i="75"/>
  <c r="I8" i="78" s="1"/>
  <c r="G13" i="76"/>
  <c r="G14" i="76" s="1"/>
  <c r="G22" i="75" s="1"/>
  <c r="G35" i="75" s="1"/>
  <c r="H18" i="76"/>
  <c r="H19" i="76" s="1"/>
  <c r="I18" i="76"/>
  <c r="I19" i="76" s="1"/>
  <c r="D13" i="76"/>
  <c r="D14" i="76" s="1"/>
  <c r="D22" i="75" s="1"/>
  <c r="D35" i="75" s="1"/>
  <c r="D11" i="78" s="1"/>
  <c r="F18" i="76"/>
  <c r="F19" i="76" s="1"/>
  <c r="E18" i="76"/>
  <c r="E19" i="76" s="1"/>
  <c r="G17" i="75"/>
  <c r="H17" i="75"/>
  <c r="I17" i="75"/>
  <c r="G18" i="75"/>
  <c r="H18" i="75"/>
  <c r="I18" i="75"/>
  <c r="G19" i="75"/>
  <c r="H19" i="75"/>
  <c r="I19" i="75"/>
  <c r="H20" i="75"/>
  <c r="I20" i="75"/>
  <c r="G33" i="75"/>
  <c r="G9" i="78" s="1"/>
  <c r="H33" i="75"/>
  <c r="H9" i="78" s="1"/>
  <c r="I33" i="75"/>
  <c r="I9" i="78" s="1"/>
  <c r="F17" i="75"/>
  <c r="F18" i="75"/>
  <c r="F19" i="75"/>
  <c r="F33" i="75"/>
  <c r="F9" i="78" s="1"/>
  <c r="F20" i="75"/>
  <c r="F32" i="75"/>
  <c r="E17" i="75"/>
  <c r="E18" i="75"/>
  <c r="E19" i="75"/>
  <c r="E33" i="75"/>
  <c r="E9" i="78" s="1"/>
  <c r="E20" i="75"/>
  <c r="E32" i="75"/>
  <c r="E8" i="78" s="1"/>
  <c r="D17" i="75"/>
  <c r="D18" i="75"/>
  <c r="D19" i="75"/>
  <c r="D33" i="75"/>
  <c r="D9" i="78" s="1"/>
  <c r="D20" i="75"/>
  <c r="D15" i="73"/>
  <c r="C9" i="73"/>
  <c r="C11" i="73" s="1"/>
  <c r="D8" i="73"/>
  <c r="D7" i="73"/>
  <c r="G17" i="71"/>
  <c r="G18" i="71"/>
  <c r="G19" i="71"/>
  <c r="G20" i="71"/>
  <c r="G30" i="71"/>
  <c r="G9" i="72" s="1"/>
  <c r="G29" i="72" s="1"/>
  <c r="G28" i="71"/>
  <c r="G7" i="72" s="1"/>
  <c r="F29" i="71"/>
  <c r="F8" i="72" s="1"/>
  <c r="F25" i="72" s="1"/>
  <c r="F20" i="71"/>
  <c r="F30" i="71"/>
  <c r="F19" i="71"/>
  <c r="F18" i="71"/>
  <c r="F17" i="71"/>
  <c r="D20" i="71"/>
  <c r="E20" i="71"/>
  <c r="C20" i="71"/>
  <c r="D29" i="71"/>
  <c r="D8" i="72" s="1"/>
  <c r="E29" i="71"/>
  <c r="D17" i="71"/>
  <c r="E17" i="71"/>
  <c r="D18" i="71"/>
  <c r="E18" i="71"/>
  <c r="D19" i="71"/>
  <c r="E19" i="71"/>
  <c r="D30" i="71"/>
  <c r="D9" i="72" s="1"/>
  <c r="D29" i="72" s="1"/>
  <c r="E30" i="71"/>
  <c r="E9" i="72" s="1"/>
  <c r="E29" i="72" s="1"/>
  <c r="C17" i="71"/>
  <c r="C18" i="71"/>
  <c r="C19" i="71"/>
  <c r="C30" i="71"/>
  <c r="C9" i="72" s="1"/>
  <c r="C29" i="72" s="1"/>
  <c r="C29" i="71"/>
  <c r="E42" i="69"/>
  <c r="F42" i="69"/>
  <c r="G42" i="69"/>
  <c r="H42" i="69"/>
  <c r="I42" i="69"/>
  <c r="D42" i="69"/>
  <c r="E12" i="69"/>
  <c r="F12" i="69"/>
  <c r="G12" i="69"/>
  <c r="H12" i="69"/>
  <c r="I12" i="69"/>
  <c r="E18" i="69"/>
  <c r="F18" i="69"/>
  <c r="G18" i="69"/>
  <c r="H18" i="69"/>
  <c r="I18" i="69"/>
  <c r="E24" i="69"/>
  <c r="F24" i="69"/>
  <c r="G24" i="69"/>
  <c r="H24" i="69"/>
  <c r="I24" i="69"/>
  <c r="E30" i="69"/>
  <c r="F30" i="69"/>
  <c r="G30" i="69"/>
  <c r="H30" i="69"/>
  <c r="I30" i="69"/>
  <c r="E23" i="64"/>
  <c r="E37" i="64" s="1"/>
  <c r="E13" i="67" s="1"/>
  <c r="F23" i="64"/>
  <c r="F37" i="64" s="1"/>
  <c r="F13" i="67" s="1"/>
  <c r="G23" i="64"/>
  <c r="G37" i="64" s="1"/>
  <c r="G13" i="67" s="1"/>
  <c r="H23" i="64"/>
  <c r="H37" i="64" s="1"/>
  <c r="H13" i="67" s="1"/>
  <c r="I23" i="64"/>
  <c r="I37" i="64" s="1"/>
  <c r="I13" i="67" s="1"/>
  <c r="E36" i="69"/>
  <c r="F36" i="69"/>
  <c r="G36" i="69"/>
  <c r="H36" i="69"/>
  <c r="I36" i="69"/>
  <c r="D12" i="69"/>
  <c r="D18" i="69"/>
  <c r="D24" i="69"/>
  <c r="D30" i="69"/>
  <c r="D23" i="64"/>
  <c r="D37" i="64" s="1"/>
  <c r="D13" i="67" s="1"/>
  <c r="D36" i="69"/>
  <c r="H31" i="64"/>
  <c r="I31" i="64"/>
  <c r="E32" i="64"/>
  <c r="F32" i="64"/>
  <c r="F8" i="67" s="1"/>
  <c r="G32" i="64"/>
  <c r="G8" i="67" s="1"/>
  <c r="H32" i="64"/>
  <c r="H8" i="67" s="1"/>
  <c r="E17" i="64"/>
  <c r="F17" i="64"/>
  <c r="G17" i="64"/>
  <c r="H17" i="64"/>
  <c r="I17" i="64"/>
  <c r="E33" i="64"/>
  <c r="E9" i="67" s="1"/>
  <c r="F33" i="64"/>
  <c r="F9" i="67" s="1"/>
  <c r="G33" i="64"/>
  <c r="G9" i="67" s="1"/>
  <c r="H33" i="64"/>
  <c r="H9" i="67" s="1"/>
  <c r="I33" i="64"/>
  <c r="I9" i="67" s="1"/>
  <c r="D32" i="64"/>
  <c r="D8" i="67" s="1"/>
  <c r="D17" i="64"/>
  <c r="D33" i="64"/>
  <c r="D9" i="67" s="1"/>
  <c r="C14" i="68"/>
  <c r="D24" i="68"/>
  <c r="E14" i="68"/>
  <c r="C15" i="68"/>
  <c r="D15" i="68"/>
  <c r="C16" i="68"/>
  <c r="D16" i="68"/>
  <c r="E16" i="68"/>
  <c r="C17" i="68"/>
  <c r="D17" i="68"/>
  <c r="E17" i="68"/>
  <c r="B25" i="68"/>
  <c r="B16" i="68"/>
  <c r="C27" i="68"/>
  <c r="C17" i="61"/>
  <c r="C7" i="61"/>
  <c r="C8" i="61"/>
  <c r="E47" i="59"/>
  <c r="G47" i="59"/>
  <c r="H47" i="59"/>
  <c r="D47" i="59"/>
  <c r="E3" i="60"/>
  <c r="G3" i="60"/>
  <c r="H3" i="60"/>
  <c r="F3" i="63"/>
  <c r="G3" i="63"/>
  <c r="H3" i="63"/>
  <c r="E18" i="63"/>
  <c r="F18" i="63"/>
  <c r="G18" i="63"/>
  <c r="H18" i="63"/>
  <c r="D18" i="63"/>
  <c r="D3" i="63"/>
  <c r="D3" i="60"/>
  <c r="A10" i="59"/>
  <c r="E10" i="59"/>
  <c r="H37" i="59"/>
  <c r="H48" i="59" s="1"/>
  <c r="E44" i="57"/>
  <c r="D44" i="57"/>
  <c r="E13" i="56"/>
  <c r="F4" i="50" s="1"/>
  <c r="G4" i="50"/>
  <c r="H4" i="50"/>
  <c r="W4" i="50" s="1"/>
  <c r="I4" i="50"/>
  <c r="D13" i="56"/>
  <c r="E4" i="50" s="1"/>
  <c r="E13" i="57"/>
  <c r="D13" i="57"/>
  <c r="Q5" i="83"/>
  <c r="I5" i="3"/>
  <c r="N227" i="84"/>
  <c r="M227" i="84"/>
  <c r="L227" i="84"/>
  <c r="T5" i="84"/>
  <c r="G3" i="84"/>
  <c r="F3" i="84"/>
  <c r="F3" i="83"/>
  <c r="K3" i="2"/>
  <c r="J17" i="20"/>
  <c r="E31" i="75"/>
  <c r="E7" i="78" s="1"/>
  <c r="F31" i="75"/>
  <c r="F7" i="78" s="1"/>
  <c r="E12" i="79"/>
  <c r="D23" i="73"/>
  <c r="E23" i="73"/>
  <c r="C23" i="73"/>
  <c r="F7" i="72"/>
  <c r="D13" i="74"/>
  <c r="D20" i="74"/>
  <c r="D24" i="74" s="1"/>
  <c r="D6" i="74"/>
  <c r="D21" i="72"/>
  <c r="D28" i="72" s="1"/>
  <c r="D33" i="72"/>
  <c r="D34" i="72"/>
  <c r="E26" i="51" s="1"/>
  <c r="D28" i="71"/>
  <c r="D7" i="72" s="1"/>
  <c r="E28" i="71"/>
  <c r="E7" i="72" s="1"/>
  <c r="F28" i="71"/>
  <c r="D32" i="61"/>
  <c r="E32" i="61"/>
  <c r="C33" i="25"/>
  <c r="D33" i="25"/>
  <c r="B29" i="25"/>
  <c r="B30" i="25"/>
  <c r="B31" i="25"/>
  <c r="B33" i="25"/>
  <c r="B34" i="25"/>
  <c r="B35" i="25"/>
  <c r="B28" i="25"/>
  <c r="F18" i="20"/>
  <c r="E18" i="20"/>
  <c r="E10" i="20"/>
  <c r="F10" i="20"/>
  <c r="H49" i="57"/>
  <c r="H52" i="57" s="1"/>
  <c r="H44" i="57" s="1"/>
  <c r="H46" i="57" s="1"/>
  <c r="D49" i="57"/>
  <c r="B13" i="76"/>
  <c r="B14" i="76" s="1"/>
  <c r="B22" i="75" s="1"/>
  <c r="B35" i="75" s="1"/>
  <c r="B11" i="78" s="1"/>
  <c r="B18" i="77"/>
  <c r="B20" i="77" s="1"/>
  <c r="B23" i="75" s="1"/>
  <c r="B19" i="77"/>
  <c r="B31" i="75"/>
  <c r="B32" i="75"/>
  <c r="B33" i="75"/>
  <c r="B9" i="78" s="1"/>
  <c r="E49" i="57"/>
  <c r="C13" i="76"/>
  <c r="C14" i="76" s="1"/>
  <c r="C22" i="75" s="1"/>
  <c r="C35" i="75" s="1"/>
  <c r="C11" i="78" s="1"/>
  <c r="C18" i="77"/>
  <c r="C20" i="77" s="1"/>
  <c r="C23" i="75" s="1"/>
  <c r="C19" i="77"/>
  <c r="C31" i="75"/>
  <c r="C32" i="75"/>
  <c r="C8" i="78" s="1"/>
  <c r="C33" i="75"/>
  <c r="F49" i="57"/>
  <c r="G49" i="57"/>
  <c r="H3" i="2"/>
  <c r="I3" i="2"/>
  <c r="O4" i="50"/>
  <c r="B14" i="75"/>
  <c r="C7" i="50"/>
  <c r="C14" i="75"/>
  <c r="D7" i="50"/>
  <c r="E18" i="79"/>
  <c r="E15" i="79"/>
  <c r="B12" i="80"/>
  <c r="B19" i="80"/>
  <c r="B26" i="80"/>
  <c r="B33" i="80"/>
  <c r="B40" i="80"/>
  <c r="B47" i="80"/>
  <c r="C12" i="80"/>
  <c r="C19" i="80"/>
  <c r="C26" i="80"/>
  <c r="C33" i="80"/>
  <c r="C40" i="80"/>
  <c r="C47" i="80"/>
  <c r="B24" i="78"/>
  <c r="B38" i="78" s="1"/>
  <c r="C24" i="78"/>
  <c r="C38" i="78" s="1"/>
  <c r="C9" i="78"/>
  <c r="A38" i="78"/>
  <c r="A6" i="80"/>
  <c r="A7" i="80"/>
  <c r="A33" i="80"/>
  <c r="A40" i="80"/>
  <c r="A47" i="80"/>
  <c r="A31" i="75"/>
  <c r="A7" i="78" s="1"/>
  <c r="B7" i="78"/>
  <c r="C7" i="78"/>
  <c r="D31" i="75"/>
  <c r="D7" i="78"/>
  <c r="B8" i="78"/>
  <c r="A9" i="78"/>
  <c r="A35" i="75"/>
  <c r="A11" i="78"/>
  <c r="A36" i="75"/>
  <c r="A12" i="78"/>
  <c r="B29" i="78"/>
  <c r="C29" i="78"/>
  <c r="C35" i="78" s="1"/>
  <c r="A43" i="78"/>
  <c r="A44" i="78"/>
  <c r="B44" i="78"/>
  <c r="C44" i="78"/>
  <c r="B45" i="78"/>
  <c r="C45" i="78"/>
  <c r="B12" i="77"/>
  <c r="B7" i="77"/>
  <c r="B14" i="77" s="1"/>
  <c r="C12" i="77"/>
  <c r="C7" i="77" s="1"/>
  <c r="A18" i="77"/>
  <c r="A19" i="77"/>
  <c r="A26" i="77"/>
  <c r="B26" i="77"/>
  <c r="C26" i="77"/>
  <c r="B10" i="76"/>
  <c r="C10" i="76"/>
  <c r="A13" i="76"/>
  <c r="A18" i="76"/>
  <c r="B18" i="76"/>
  <c r="B19" i="76" s="1"/>
  <c r="C18" i="76"/>
  <c r="C19" i="76" s="1"/>
  <c r="A17" i="75"/>
  <c r="B17" i="75"/>
  <c r="C17" i="75"/>
  <c r="A18" i="75"/>
  <c r="B18" i="75"/>
  <c r="C18" i="75"/>
  <c r="A19" i="75"/>
  <c r="B19" i="75"/>
  <c r="C19" i="75"/>
  <c r="A20" i="75"/>
  <c r="B20" i="75"/>
  <c r="C20" i="75"/>
  <c r="A32" i="75"/>
  <c r="B6" i="74"/>
  <c r="C6" i="74"/>
  <c r="D11" i="73"/>
  <c r="E11" i="73"/>
  <c r="B13" i="74"/>
  <c r="C13" i="74"/>
  <c r="B20" i="74"/>
  <c r="B22" i="74" s="1"/>
  <c r="C20" i="74"/>
  <c r="E20" i="73"/>
  <c r="B21" i="72"/>
  <c r="B28" i="72" s="1"/>
  <c r="B30" i="71"/>
  <c r="B9" i="72"/>
  <c r="B29" i="72" s="1"/>
  <c r="C21" i="72"/>
  <c r="C25" i="72" s="1"/>
  <c r="K23" i="72" s="1"/>
  <c r="C28" i="72"/>
  <c r="B28" i="71"/>
  <c r="B32" i="71" s="1"/>
  <c r="C28" i="71"/>
  <c r="C7" i="72"/>
  <c r="A29" i="71"/>
  <c r="A8" i="72" s="1"/>
  <c r="B29" i="71"/>
  <c r="B8" i="72" s="1"/>
  <c r="A30" i="71"/>
  <c r="A9" i="72"/>
  <c r="B33" i="72"/>
  <c r="B34" i="72" s="1"/>
  <c r="C26" i="51" s="1"/>
  <c r="C33" i="72"/>
  <c r="C34" i="72" s="1"/>
  <c r="D26" i="51" s="1"/>
  <c r="B12" i="71"/>
  <c r="B14" i="71" s="1"/>
  <c r="C6" i="50" s="1"/>
  <c r="A17" i="71"/>
  <c r="B17" i="71"/>
  <c r="A18" i="71"/>
  <c r="B18" i="71"/>
  <c r="A19" i="71"/>
  <c r="B19" i="71"/>
  <c r="A20" i="71"/>
  <c r="A28" i="71"/>
  <c r="B7" i="67"/>
  <c r="B6" i="69"/>
  <c r="B12" i="69"/>
  <c r="B18" i="69"/>
  <c r="B24" i="69"/>
  <c r="B30" i="69"/>
  <c r="B36" i="69"/>
  <c r="B42" i="69"/>
  <c r="C7" i="67"/>
  <c r="C6" i="69"/>
  <c r="C12" i="69"/>
  <c r="C18" i="69"/>
  <c r="C24" i="69"/>
  <c r="C30" i="69"/>
  <c r="C36" i="69"/>
  <c r="C42" i="69"/>
  <c r="B38" i="67"/>
  <c r="B39" i="67"/>
  <c r="B47" i="67"/>
  <c r="B40" i="67"/>
  <c r="B41" i="67"/>
  <c r="B27" i="65"/>
  <c r="B28" i="65"/>
  <c r="B29" i="65"/>
  <c r="B21" i="64" s="1"/>
  <c r="B35" i="64" s="1"/>
  <c r="B11" i="67" s="1"/>
  <c r="B33" i="64"/>
  <c r="B9" i="67"/>
  <c r="C38" i="67"/>
  <c r="C39" i="67"/>
  <c r="C47" i="67"/>
  <c r="C40" i="67"/>
  <c r="C41" i="67"/>
  <c r="C27" i="65"/>
  <c r="C29" i="65" s="1"/>
  <c r="C21" i="64" s="1"/>
  <c r="C35" i="64" s="1"/>
  <c r="C11" i="67" s="1"/>
  <c r="C28" i="65"/>
  <c r="C33" i="64"/>
  <c r="C9" i="67"/>
  <c r="B54" i="67"/>
  <c r="C54" i="67"/>
  <c r="A31" i="64"/>
  <c r="A7" i="67"/>
  <c r="B32" i="64"/>
  <c r="B8" i="67" s="1"/>
  <c r="C32" i="64"/>
  <c r="C8" i="67"/>
  <c r="A9" i="67"/>
  <c r="A11" i="67"/>
  <c r="A12" i="67"/>
  <c r="B20" i="66"/>
  <c r="B21" i="66"/>
  <c r="B22" i="66"/>
  <c r="B24" i="66" s="1"/>
  <c r="B22" i="64" s="1"/>
  <c r="B36" i="64" s="1"/>
  <c r="B12" i="67" s="1"/>
  <c r="B48" i="67" s="1"/>
  <c r="B23" i="66"/>
  <c r="C20" i="66"/>
  <c r="C21" i="66"/>
  <c r="C22" i="66"/>
  <c r="C24" i="66" s="1"/>
  <c r="C22" i="64" s="1"/>
  <c r="C23" i="66"/>
  <c r="A13" i="67"/>
  <c r="B23" i="64"/>
  <c r="B37" i="64"/>
  <c r="B13" i="67" s="1"/>
  <c r="C23" i="64"/>
  <c r="C37" i="64"/>
  <c r="C13" i="67" s="1"/>
  <c r="A38" i="67"/>
  <c r="B14" i="66"/>
  <c r="B7" i="66"/>
  <c r="B16" i="66" s="1"/>
  <c r="C14" i="66"/>
  <c r="C7" i="66"/>
  <c r="C16" i="66" s="1"/>
  <c r="B24" i="65"/>
  <c r="C24" i="65"/>
  <c r="A27" i="65"/>
  <c r="A28" i="65"/>
  <c r="B13" i="64"/>
  <c r="C5" i="50"/>
  <c r="C13" i="64"/>
  <c r="D5" i="50" s="1"/>
  <c r="A17" i="64"/>
  <c r="B17" i="64"/>
  <c r="C17" i="64"/>
  <c r="A18" i="64"/>
  <c r="B18" i="64"/>
  <c r="C18" i="64"/>
  <c r="A19" i="64"/>
  <c r="B19" i="64"/>
  <c r="C19" i="64"/>
  <c r="B31" i="64"/>
  <c r="C31" i="64"/>
  <c r="E9" i="61"/>
  <c r="D32" i="56"/>
  <c r="D9" i="59"/>
  <c r="E32" i="56"/>
  <c r="E9" i="59"/>
  <c r="F32" i="56"/>
  <c r="F9" i="59" s="1"/>
  <c r="G32" i="56"/>
  <c r="G9" i="59" s="1"/>
  <c r="H32" i="56"/>
  <c r="H9" i="59" s="1"/>
  <c r="A30" i="56"/>
  <c r="A7" i="59" s="1"/>
  <c r="D30" i="56"/>
  <c r="D7" i="59" s="1"/>
  <c r="E30" i="56"/>
  <c r="E7" i="59" s="1"/>
  <c r="F30" i="56"/>
  <c r="F7" i="59" s="1"/>
  <c r="G30" i="56"/>
  <c r="G7" i="59"/>
  <c r="H30" i="56"/>
  <c r="H7" i="59" s="1"/>
  <c r="D31" i="56"/>
  <c r="E31" i="56"/>
  <c r="E8" i="59" s="1"/>
  <c r="F31" i="56"/>
  <c r="F8" i="59" s="1"/>
  <c r="G31" i="56"/>
  <c r="G8" i="59" s="1"/>
  <c r="H31" i="56"/>
  <c r="H8" i="59" s="1"/>
  <c r="A9" i="59"/>
  <c r="A11" i="59"/>
  <c r="A12" i="59"/>
  <c r="A13" i="59"/>
  <c r="A14" i="59"/>
  <c r="A47" i="59"/>
  <c r="A49" i="57"/>
  <c r="A50" i="57"/>
  <c r="A51" i="57"/>
  <c r="A16" i="56"/>
  <c r="D16" i="56"/>
  <c r="E16" i="56"/>
  <c r="F16" i="56"/>
  <c r="G16" i="56"/>
  <c r="H16" i="56"/>
  <c r="A17" i="56"/>
  <c r="D17" i="56"/>
  <c r="E17" i="56"/>
  <c r="F17" i="56"/>
  <c r="G17" i="56"/>
  <c r="H17" i="56"/>
  <c r="A18" i="56"/>
  <c r="D18" i="56"/>
  <c r="E18" i="56"/>
  <c r="F18" i="56"/>
  <c r="G18" i="56"/>
  <c r="H18" i="56"/>
  <c r="D22" i="56"/>
  <c r="D37" i="56" s="1"/>
  <c r="D14" i="59" s="1"/>
  <c r="D38" i="59" s="1"/>
  <c r="E22" i="56"/>
  <c r="E37" i="56" s="1"/>
  <c r="E14" i="59" s="1"/>
  <c r="E38" i="59" s="1"/>
  <c r="F22" i="56"/>
  <c r="F37" i="56" s="1"/>
  <c r="F14" i="59" s="1"/>
  <c r="F38" i="59" s="1"/>
  <c r="G22" i="56"/>
  <c r="G37" i="56" s="1"/>
  <c r="G14" i="59" s="1"/>
  <c r="G38" i="59" s="1"/>
  <c r="H22" i="56"/>
  <c r="H37" i="56" s="1"/>
  <c r="H14" i="59" s="1"/>
  <c r="H38" i="59" s="1"/>
  <c r="C21" i="15"/>
  <c r="C22" i="15" s="1"/>
  <c r="I3" i="3"/>
  <c r="J3" i="3"/>
  <c r="G10" i="37"/>
  <c r="H16" i="20"/>
  <c r="C88" i="15"/>
  <c r="C37" i="15" s="1"/>
  <c r="D8" i="59"/>
  <c r="G11" i="37"/>
  <c r="B11" i="73"/>
  <c r="D12" i="73" s="1"/>
  <c r="C24" i="74"/>
  <c r="C20" i="73"/>
  <c r="D20" i="73"/>
  <c r="H10" i="37"/>
  <c r="J3" i="2"/>
  <c r="H8" i="20"/>
  <c r="K3" i="3"/>
  <c r="H11" i="37"/>
  <c r="G37" i="59"/>
  <c r="G48" i="59" s="1"/>
  <c r="C23" i="74"/>
  <c r="C22" i="74"/>
  <c r="D16" i="73"/>
  <c r="E16" i="73"/>
  <c r="C16" i="73"/>
  <c r="B23" i="73"/>
  <c r="E24" i="73" s="1"/>
  <c r="F21" i="44"/>
  <c r="F27" i="44"/>
  <c r="F43" i="44"/>
  <c r="Z18" i="2"/>
  <c r="H20" i="56" l="1"/>
  <c r="H35" i="56" s="1"/>
  <c r="Q5" i="50"/>
  <c r="C42" i="67"/>
  <c r="C44" i="67"/>
  <c r="C56" i="67" s="1"/>
  <c r="C25" i="64"/>
  <c r="C27" i="64" s="1"/>
  <c r="C36" i="64"/>
  <c r="C12" i="67" s="1"/>
  <c r="C48" i="67" s="1"/>
  <c r="C50" i="67" s="1"/>
  <c r="C52" i="67" s="1"/>
  <c r="B25" i="64"/>
  <c r="B27" i="64" s="1"/>
  <c r="B15" i="67"/>
  <c r="B42" i="67"/>
  <c r="B44" i="67" s="1"/>
  <c r="B56" i="67" s="1"/>
  <c r="C15" i="67"/>
  <c r="B50" i="67"/>
  <c r="C25" i="51" s="1"/>
  <c r="C39" i="64"/>
  <c r="D5" i="51" s="1"/>
  <c r="B39" i="64"/>
  <c r="C14" i="50" s="1"/>
  <c r="C24" i="50" s="1"/>
  <c r="B20" i="71"/>
  <c r="B22" i="71" s="1"/>
  <c r="B24" i="71" s="1"/>
  <c r="B7" i="72"/>
  <c r="D25" i="72"/>
  <c r="B23" i="74"/>
  <c r="B25" i="74" s="1"/>
  <c r="B24" i="74"/>
  <c r="C25" i="74"/>
  <c r="C39" i="78"/>
  <c r="C7" i="80" s="1"/>
  <c r="B39" i="78"/>
  <c r="B7" i="80" s="1"/>
  <c r="C25" i="75"/>
  <c r="C27" i="75" s="1"/>
  <c r="C36" i="75"/>
  <c r="B25" i="75"/>
  <c r="B27" i="75" s="1"/>
  <c r="B36" i="75"/>
  <c r="C14" i="77"/>
  <c r="C25" i="77"/>
  <c r="C27" i="77" s="1"/>
  <c r="B25" i="77"/>
  <c r="B27" i="77" s="1"/>
  <c r="B35" i="78"/>
  <c r="O201" i="104"/>
  <c r="O198" i="104"/>
  <c r="T198" i="104" s="1"/>
  <c r="O242" i="104"/>
  <c r="O258" i="104"/>
  <c r="S258" i="104" s="1"/>
  <c r="W258" i="104" s="1"/>
  <c r="O166" i="104"/>
  <c r="T166" i="104" s="1"/>
  <c r="O205" i="104"/>
  <c r="O32" i="104"/>
  <c r="S32" i="104" s="1"/>
  <c r="O179" i="104"/>
  <c r="S179" i="104" s="1"/>
  <c r="O16" i="104"/>
  <c r="T16" i="104" s="1"/>
  <c r="O266" i="104"/>
  <c r="T266" i="104" s="1"/>
  <c r="O309" i="104"/>
  <c r="O197" i="104"/>
  <c r="T197" i="104" s="1"/>
  <c r="O153" i="104"/>
  <c r="S153" i="104" s="1"/>
  <c r="W153" i="104" s="1"/>
  <c r="O298" i="104"/>
  <c r="O202" i="104"/>
  <c r="U202" i="104" s="1"/>
  <c r="X202" i="104" s="1"/>
  <c r="O13" i="104"/>
  <c r="T13" i="104" s="1"/>
  <c r="O183" i="104"/>
  <c r="S183" i="104" s="1"/>
  <c r="W183" i="104" s="1"/>
  <c r="O19" i="104"/>
  <c r="T19" i="104" s="1"/>
  <c r="O265" i="104"/>
  <c r="O171" i="104"/>
  <c r="U171" i="104" s="1"/>
  <c r="O168" i="104"/>
  <c r="S168" i="104" s="1"/>
  <c r="O15" i="104"/>
  <c r="T15" i="104" s="1"/>
  <c r="Y15" i="104" s="1"/>
  <c r="O18" i="104"/>
  <c r="S18" i="104" s="1"/>
  <c r="O31" i="104"/>
  <c r="T31" i="104" s="1"/>
  <c r="Y31" i="104" s="1"/>
  <c r="O283" i="104"/>
  <c r="T283" i="104" s="1"/>
  <c r="O181" i="104"/>
  <c r="U181" i="104" s="1"/>
  <c r="O311" i="104"/>
  <c r="O308" i="104"/>
  <c r="U308" i="104" s="1"/>
  <c r="O273" i="104"/>
  <c r="T273" i="104" s="1"/>
  <c r="O272" i="104"/>
  <c r="T272" i="104" s="1"/>
  <c r="O280" i="104"/>
  <c r="S280" i="104" s="1"/>
  <c r="O184" i="104"/>
  <c r="T184" i="104" s="1"/>
  <c r="Y184" i="104" s="1"/>
  <c r="O167" i="104"/>
  <c r="T167" i="104" s="1"/>
  <c r="Y167" i="104" s="1"/>
  <c r="O281" i="104"/>
  <c r="T281" i="104" s="1"/>
  <c r="Y281" i="104" s="1"/>
  <c r="O263" i="104"/>
  <c r="O176" i="104"/>
  <c r="U176" i="104" s="1"/>
  <c r="O33" i="104"/>
  <c r="T33" i="104" s="1"/>
  <c r="Y33" i="104" s="1"/>
  <c r="O307" i="104"/>
  <c r="T307" i="104" s="1"/>
  <c r="T281" i="98"/>
  <c r="Y281" i="98" s="1"/>
  <c r="S281" i="98"/>
  <c r="W281" i="98" s="1"/>
  <c r="U281" i="98"/>
  <c r="X281" i="98" s="1"/>
  <c r="U31" i="98"/>
  <c r="X31" i="98" s="1"/>
  <c r="T31" i="98"/>
  <c r="Y31" i="98" s="1"/>
  <c r="S31" i="98"/>
  <c r="W31" i="98" s="1"/>
  <c r="S153" i="98"/>
  <c r="W153" i="98" s="1"/>
  <c r="T153" i="98"/>
  <c r="Y153" i="98" s="1"/>
  <c r="U153" i="98"/>
  <c r="X153" i="98" s="1"/>
  <c r="L50" i="108"/>
  <c r="L53" i="108"/>
  <c r="L55" i="108"/>
  <c r="L4" i="108"/>
  <c r="L56" i="108"/>
  <c r="L48" i="108"/>
  <c r="L52" i="108"/>
  <c r="L54" i="108"/>
  <c r="L58" i="108"/>
  <c r="L51" i="108"/>
  <c r="L46" i="108"/>
  <c r="L59" i="108"/>
  <c r="L57" i="108"/>
  <c r="L47" i="108"/>
  <c r="L49" i="108"/>
  <c r="L42" i="108"/>
  <c r="L45" i="108"/>
  <c r="L22" i="108"/>
  <c r="L186" i="108"/>
  <c r="L217" i="108"/>
  <c r="L223" i="108"/>
  <c r="L209" i="108"/>
  <c r="L221" i="108"/>
  <c r="L224" i="108"/>
  <c r="L233" i="108"/>
  <c r="L163" i="108"/>
  <c r="L169" i="108"/>
  <c r="L216" i="108"/>
  <c r="L218" i="108"/>
  <c r="L219" i="108"/>
  <c r="L220" i="108"/>
  <c r="L222" i="108"/>
  <c r="L236" i="108"/>
  <c r="L246" i="108"/>
  <c r="L270" i="108"/>
  <c r="L289" i="108"/>
  <c r="L292" i="108"/>
  <c r="L271" i="108"/>
  <c r="L232" i="108"/>
  <c r="L247" i="108"/>
  <c r="L318" i="108"/>
  <c r="L324" i="108"/>
  <c r="L336" i="108"/>
  <c r="L339" i="108"/>
  <c r="L287" i="108"/>
  <c r="L288" i="108"/>
  <c r="L337" i="108"/>
  <c r="L351" i="108"/>
  <c r="L45" i="107"/>
  <c r="L59" i="107"/>
  <c r="L208" i="108"/>
  <c r="L210" i="108"/>
  <c r="L306" i="108"/>
  <c r="L335" i="108"/>
  <c r="L47" i="107"/>
  <c r="L56" i="107"/>
  <c r="L305" i="108"/>
  <c r="L51" i="107"/>
  <c r="L57" i="107"/>
  <c r="L231" i="108"/>
  <c r="L234" i="108"/>
  <c r="L323" i="108"/>
  <c r="L22" i="107"/>
  <c r="L54" i="107"/>
  <c r="L235" i="108"/>
  <c r="L240" i="108"/>
  <c r="L248" i="108"/>
  <c r="L290" i="108"/>
  <c r="L46" i="107"/>
  <c r="L169" i="107"/>
  <c r="L185" i="107"/>
  <c r="L220" i="107"/>
  <c r="L223" i="107"/>
  <c r="L185" i="108"/>
  <c r="L301" i="108"/>
  <c r="L327" i="108"/>
  <c r="L338" i="108"/>
  <c r="L4" i="107"/>
  <c r="L249" i="108"/>
  <c r="L269" i="108"/>
  <c r="L304" i="108"/>
  <c r="L326" i="108"/>
  <c r="L350" i="108"/>
  <c r="L42" i="107"/>
  <c r="L53" i="107"/>
  <c r="L48" i="107"/>
  <c r="L163" i="107"/>
  <c r="L207" i="107"/>
  <c r="L245" i="107"/>
  <c r="L288" i="107"/>
  <c r="L304" i="107"/>
  <c r="L339" i="107"/>
  <c r="L207" i="108"/>
  <c r="L49" i="107"/>
  <c r="L210" i="107"/>
  <c r="L218" i="107"/>
  <c r="L235" i="107"/>
  <c r="L246" i="107"/>
  <c r="L289" i="107"/>
  <c r="L292" i="107"/>
  <c r="L305" i="107"/>
  <c r="L337" i="107"/>
  <c r="L244" i="108"/>
  <c r="L216" i="107"/>
  <c r="L234" i="107"/>
  <c r="L236" i="107"/>
  <c r="L248" i="107"/>
  <c r="L318" i="107"/>
  <c r="L323" i="107"/>
  <c r="L338" i="107"/>
  <c r="L351" i="107"/>
  <c r="L50" i="107"/>
  <c r="L55" i="107"/>
  <c r="L186" i="107"/>
  <c r="L224" i="107"/>
  <c r="L240" i="107"/>
  <c r="L244" i="107"/>
  <c r="L287" i="107"/>
  <c r="L327" i="107"/>
  <c r="L334" i="108"/>
  <c r="L209" i="107"/>
  <c r="L219" i="107"/>
  <c r="L232" i="107"/>
  <c r="L333" i="108"/>
  <c r="L221" i="107"/>
  <c r="L233" i="107"/>
  <c r="L269" i="107"/>
  <c r="L301" i="107"/>
  <c r="L350" i="107"/>
  <c r="L48" i="106"/>
  <c r="O48" i="106" s="1"/>
  <c r="L56" i="106"/>
  <c r="O56" i="106" s="1"/>
  <c r="L222" i="106"/>
  <c r="O222" i="106" s="1"/>
  <c r="L231" i="106"/>
  <c r="O231" i="106" s="1"/>
  <c r="L240" i="106"/>
  <c r="O240" i="106" s="1"/>
  <c r="L247" i="106"/>
  <c r="O247" i="106" s="1"/>
  <c r="L271" i="106"/>
  <c r="O271" i="106" s="1"/>
  <c r="L289" i="106"/>
  <c r="O289" i="106" s="1"/>
  <c r="L335" i="106"/>
  <c r="O335" i="106" s="1"/>
  <c r="L42" i="105"/>
  <c r="L53" i="105"/>
  <c r="L245" i="108"/>
  <c r="L208" i="107"/>
  <c r="L306" i="107"/>
  <c r="L324" i="107"/>
  <c r="L4" i="106"/>
  <c r="O4" i="106" s="1"/>
  <c r="L42" i="106"/>
  <c r="O42" i="106" s="1"/>
  <c r="L49" i="106"/>
  <c r="O49" i="106" s="1"/>
  <c r="L57" i="106"/>
  <c r="O57" i="106" s="1"/>
  <c r="L185" i="106"/>
  <c r="O185" i="106" s="1"/>
  <c r="L220" i="106"/>
  <c r="O220" i="106" s="1"/>
  <c r="L223" i="106"/>
  <c r="O223" i="106" s="1"/>
  <c r="L232" i="106"/>
  <c r="O232" i="106" s="1"/>
  <c r="L236" i="106"/>
  <c r="O236" i="106" s="1"/>
  <c r="L249" i="106"/>
  <c r="O249" i="106" s="1"/>
  <c r="L269" i="106"/>
  <c r="O269" i="106" s="1"/>
  <c r="L287" i="106"/>
  <c r="O287" i="106" s="1"/>
  <c r="L327" i="106"/>
  <c r="O327" i="106" s="1"/>
  <c r="L350" i="106"/>
  <c r="O350" i="106" s="1"/>
  <c r="L57" i="105"/>
  <c r="L222" i="107"/>
  <c r="L249" i="107"/>
  <c r="L326" i="107"/>
  <c r="L335" i="107"/>
  <c r="L58" i="106"/>
  <c r="O58" i="106" s="1"/>
  <c r="L218" i="106"/>
  <c r="O218" i="106" s="1"/>
  <c r="L234" i="106"/>
  <c r="O234" i="106" s="1"/>
  <c r="L270" i="106"/>
  <c r="O270" i="106" s="1"/>
  <c r="L323" i="106"/>
  <c r="O323" i="106" s="1"/>
  <c r="L334" i="106"/>
  <c r="O334" i="106" s="1"/>
  <c r="L351" i="106"/>
  <c r="O351" i="106" s="1"/>
  <c r="L247" i="107"/>
  <c r="L334" i="107"/>
  <c r="L50" i="106"/>
  <c r="O50" i="106" s="1"/>
  <c r="L52" i="106"/>
  <c r="O52" i="106" s="1"/>
  <c r="L338" i="106"/>
  <c r="O338" i="106" s="1"/>
  <c r="L50" i="105"/>
  <c r="L54" i="105"/>
  <c r="L55" i="105"/>
  <c r="L185" i="105"/>
  <c r="L210" i="105"/>
  <c r="L219" i="105"/>
  <c r="L246" i="105"/>
  <c r="L304" i="105"/>
  <c r="L217" i="107"/>
  <c r="L231" i="107"/>
  <c r="L270" i="107"/>
  <c r="L47" i="106"/>
  <c r="O47" i="106" s="1"/>
  <c r="L169" i="106"/>
  <c r="O169" i="106" s="1"/>
  <c r="L224" i="106"/>
  <c r="O224" i="106" s="1"/>
  <c r="L306" i="106"/>
  <c r="O306" i="106" s="1"/>
  <c r="L324" i="106"/>
  <c r="O324" i="106" s="1"/>
  <c r="L333" i="106"/>
  <c r="O333" i="106" s="1"/>
  <c r="L49" i="105"/>
  <c r="L218" i="105"/>
  <c r="L235" i="105"/>
  <c r="L240" i="105"/>
  <c r="L244" i="105"/>
  <c r="L248" i="105"/>
  <c r="L270" i="105"/>
  <c r="L305" i="105"/>
  <c r="L58" i="107"/>
  <c r="L271" i="107"/>
  <c r="L45" i="106"/>
  <c r="O45" i="106" s="1"/>
  <c r="L55" i="106"/>
  <c r="O55" i="106" s="1"/>
  <c r="L219" i="106"/>
  <c r="O219" i="106" s="1"/>
  <c r="L288" i="106"/>
  <c r="O288" i="106" s="1"/>
  <c r="L292" i="106"/>
  <c r="O292" i="106" s="1"/>
  <c r="L318" i="106"/>
  <c r="O318" i="106" s="1"/>
  <c r="L46" i="105"/>
  <c r="L216" i="105"/>
  <c r="L222" i="105"/>
  <c r="L245" i="105"/>
  <c r="L289" i="105"/>
  <c r="L306" i="105"/>
  <c r="L54" i="106"/>
  <c r="O54" i="106" s="1"/>
  <c r="L207" i="106"/>
  <c r="O207" i="106" s="1"/>
  <c r="L216" i="106"/>
  <c r="O216" i="106" s="1"/>
  <c r="L217" i="106"/>
  <c r="O217" i="106" s="1"/>
  <c r="L235" i="106"/>
  <c r="O235" i="106" s="1"/>
  <c r="L52" i="107"/>
  <c r="L163" i="106"/>
  <c r="O163" i="106" s="1"/>
  <c r="L245" i="106"/>
  <c r="O245" i="106" s="1"/>
  <c r="L339" i="106"/>
  <c r="O339" i="106" s="1"/>
  <c r="L290" i="107"/>
  <c r="L208" i="106"/>
  <c r="O208" i="106" s="1"/>
  <c r="L51" i="105"/>
  <c r="L58" i="105"/>
  <c r="L186" i="106"/>
  <c r="O186" i="106" s="1"/>
  <c r="L244" i="106"/>
  <c r="O244" i="106" s="1"/>
  <c r="L304" i="106"/>
  <c r="O304" i="106" s="1"/>
  <c r="L46" i="106"/>
  <c r="O46" i="106" s="1"/>
  <c r="L221" i="106"/>
  <c r="O221" i="106" s="1"/>
  <c r="L248" i="106"/>
  <c r="O248" i="106" s="1"/>
  <c r="L290" i="106"/>
  <c r="O290" i="106" s="1"/>
  <c r="L305" i="106"/>
  <c r="O305" i="106" s="1"/>
  <c r="L337" i="106"/>
  <c r="O337" i="106" s="1"/>
  <c r="L52" i="105"/>
  <c r="L56" i="105"/>
  <c r="L326" i="106"/>
  <c r="O326" i="106" s="1"/>
  <c r="L4" i="105"/>
  <c r="L169" i="105"/>
  <c r="L231" i="105"/>
  <c r="L288" i="105"/>
  <c r="L290" i="105"/>
  <c r="L334" i="105"/>
  <c r="L47" i="104"/>
  <c r="L53" i="104"/>
  <c r="L59" i="104"/>
  <c r="L209" i="105"/>
  <c r="L269" i="105"/>
  <c r="L287" i="105"/>
  <c r="L338" i="105"/>
  <c r="L4" i="104"/>
  <c r="L50" i="104"/>
  <c r="L52" i="104"/>
  <c r="L333" i="107"/>
  <c r="L59" i="106"/>
  <c r="O59" i="106" s="1"/>
  <c r="L209" i="106"/>
  <c r="O209" i="106" s="1"/>
  <c r="L246" i="106"/>
  <c r="O246" i="106" s="1"/>
  <c r="L336" i="106"/>
  <c r="O336" i="106" s="1"/>
  <c r="L45" i="105"/>
  <c r="L47" i="105"/>
  <c r="L59" i="105"/>
  <c r="L217" i="105"/>
  <c r="L333" i="105"/>
  <c r="L339" i="105"/>
  <c r="L351" i="105"/>
  <c r="L233" i="106"/>
  <c r="O233" i="106" s="1"/>
  <c r="L301" i="106"/>
  <c r="O301" i="106" s="1"/>
  <c r="L22" i="105"/>
  <c r="L186" i="105"/>
  <c r="L232" i="105"/>
  <c r="L337" i="105"/>
  <c r="L207" i="105"/>
  <c r="L220" i="105"/>
  <c r="L223" i="105"/>
  <c r="L234" i="105"/>
  <c r="L301" i="105"/>
  <c r="L22" i="104"/>
  <c r="L42" i="104"/>
  <c r="L45" i="104"/>
  <c r="L54" i="104"/>
  <c r="L55" i="104"/>
  <c r="L56" i="104"/>
  <c r="L51" i="106"/>
  <c r="O51" i="106" s="1"/>
  <c r="L48" i="105"/>
  <c r="L247" i="105"/>
  <c r="L324" i="105"/>
  <c r="L326" i="105"/>
  <c r="L46" i="104"/>
  <c r="L221" i="104"/>
  <c r="L53" i="106"/>
  <c r="O53" i="106" s="1"/>
  <c r="L327" i="105"/>
  <c r="L221" i="105"/>
  <c r="L236" i="105"/>
  <c r="L318" i="105"/>
  <c r="L335" i="105"/>
  <c r="L350" i="105"/>
  <c r="L57" i="104"/>
  <c r="L58" i="104"/>
  <c r="L163" i="104"/>
  <c r="L186" i="104"/>
  <c r="L210" i="104"/>
  <c r="L219" i="104"/>
  <c r="L336" i="107"/>
  <c r="L208" i="105"/>
  <c r="L271" i="105"/>
  <c r="L49" i="104"/>
  <c r="L220" i="104"/>
  <c r="L222" i="104"/>
  <c r="L232" i="104"/>
  <c r="L287" i="104"/>
  <c r="L289" i="104"/>
  <c r="L318" i="104"/>
  <c r="L323" i="104"/>
  <c r="L335" i="104"/>
  <c r="L337" i="104"/>
  <c r="L339" i="104"/>
  <c r="L351" i="104"/>
  <c r="L59" i="98"/>
  <c r="L185" i="98"/>
  <c r="L207" i="98"/>
  <c r="L234" i="98"/>
  <c r="L48" i="104"/>
  <c r="L207" i="104"/>
  <c r="L234" i="104"/>
  <c r="L245" i="104"/>
  <c r="L247" i="104"/>
  <c r="L271" i="104"/>
  <c r="L49" i="98"/>
  <c r="L54" i="98"/>
  <c r="L218" i="98"/>
  <c r="L224" i="98"/>
  <c r="L233" i="98"/>
  <c r="L324" i="98"/>
  <c r="L326" i="98"/>
  <c r="L335" i="98"/>
  <c r="L338" i="98"/>
  <c r="L292" i="105"/>
  <c r="L217" i="104"/>
  <c r="L224" i="104"/>
  <c r="L244" i="104"/>
  <c r="L249" i="104"/>
  <c r="L269" i="104"/>
  <c r="L301" i="104"/>
  <c r="L222" i="98"/>
  <c r="L232" i="98"/>
  <c r="L236" i="98"/>
  <c r="L240" i="98"/>
  <c r="L271" i="98"/>
  <c r="L289" i="98"/>
  <c r="L22" i="106"/>
  <c r="O22" i="106" s="1"/>
  <c r="L290" i="104"/>
  <c r="L292" i="104"/>
  <c r="L305" i="104"/>
  <c r="L327" i="104"/>
  <c r="L334" i="104"/>
  <c r="L336" i="104"/>
  <c r="L338" i="104"/>
  <c r="L22" i="98"/>
  <c r="L46" i="98"/>
  <c r="L216" i="98"/>
  <c r="L235" i="98"/>
  <c r="L287" i="98"/>
  <c r="L288" i="98"/>
  <c r="L350" i="98"/>
  <c r="L210" i="106"/>
  <c r="O210" i="106" s="1"/>
  <c r="L249" i="105"/>
  <c r="L208" i="104"/>
  <c r="L223" i="104"/>
  <c r="L233" i="104"/>
  <c r="L304" i="104"/>
  <c r="L326" i="104"/>
  <c r="L333" i="104"/>
  <c r="L350" i="104"/>
  <c r="L47" i="98"/>
  <c r="L186" i="98"/>
  <c r="L223" i="98"/>
  <c r="L231" i="98"/>
  <c r="L244" i="98"/>
  <c r="L245" i="98"/>
  <c r="L246" i="98"/>
  <c r="L247" i="98"/>
  <c r="L301" i="98"/>
  <c r="L337" i="98"/>
  <c r="L163" i="105"/>
  <c r="L323" i="105"/>
  <c r="L4" i="98"/>
  <c r="L210" i="98"/>
  <c r="L233" i="105"/>
  <c r="L51" i="104"/>
  <c r="L324" i="104"/>
  <c r="L48" i="98"/>
  <c r="L169" i="98"/>
  <c r="L217" i="98"/>
  <c r="L248" i="98"/>
  <c r="L249" i="98"/>
  <c r="L269" i="98"/>
  <c r="L270" i="98"/>
  <c r="L290" i="98"/>
  <c r="L305" i="98"/>
  <c r="L323" i="98"/>
  <c r="L334" i="98"/>
  <c r="L339" i="98"/>
  <c r="L224" i="105"/>
  <c r="L218" i="104"/>
  <c r="L236" i="104"/>
  <c r="L246" i="104"/>
  <c r="L50" i="98"/>
  <c r="L52" i="98"/>
  <c r="L292" i="98"/>
  <c r="L240" i="104"/>
  <c r="L51" i="98"/>
  <c r="L163" i="98"/>
  <c r="L351" i="98"/>
  <c r="L185" i="104"/>
  <c r="L231" i="104"/>
  <c r="L235" i="104"/>
  <c r="L208" i="98"/>
  <c r="L209" i="98"/>
  <c r="L306" i="98"/>
  <c r="L336" i="105"/>
  <c r="L209" i="104"/>
  <c r="L216" i="104"/>
  <c r="L248" i="104"/>
  <c r="L270" i="104"/>
  <c r="L42" i="98"/>
  <c r="L53" i="98"/>
  <c r="L56" i="98"/>
  <c r="L57" i="98"/>
  <c r="L304" i="98"/>
  <c r="L327" i="98"/>
  <c r="L169" i="104"/>
  <c r="L288" i="104"/>
  <c r="L306" i="104"/>
  <c r="L45" i="98"/>
  <c r="L55" i="98"/>
  <c r="L58" i="98"/>
  <c r="L219" i="98"/>
  <c r="L220" i="98"/>
  <c r="L221" i="98"/>
  <c r="L318" i="98"/>
  <c r="L333" i="98"/>
  <c r="L336" i="98"/>
  <c r="T241" i="98"/>
  <c r="U241" i="98"/>
  <c r="S241" i="98"/>
  <c r="W241" i="98" s="1"/>
  <c r="S165" i="104"/>
  <c r="T165" i="104"/>
  <c r="Y165" i="104" s="1"/>
  <c r="U165" i="104"/>
  <c r="S242" i="98"/>
  <c r="W242" i="98" s="1"/>
  <c r="T242" i="98"/>
  <c r="U242" i="98"/>
  <c r="S171" i="104"/>
  <c r="T303" i="98"/>
  <c r="S303" i="98"/>
  <c r="W303" i="98" s="1"/>
  <c r="U303" i="98"/>
  <c r="T183" i="98"/>
  <c r="Y183" i="98" s="1"/>
  <c r="S183" i="98"/>
  <c r="W183" i="98" s="1"/>
  <c r="U183" i="98"/>
  <c r="V183" i="98"/>
  <c r="T181" i="98"/>
  <c r="U181" i="98"/>
  <c r="S181" i="98"/>
  <c r="S307" i="98"/>
  <c r="W307" i="98" s="1"/>
  <c r="T307" i="98"/>
  <c r="U307" i="98"/>
  <c r="S266" i="104"/>
  <c r="U266" i="104"/>
  <c r="T33" i="98"/>
  <c r="Y33" i="98" s="1"/>
  <c r="S33" i="98"/>
  <c r="W33" i="98" s="1"/>
  <c r="U33" i="98"/>
  <c r="X33" i="98" s="1"/>
  <c r="T154" i="98"/>
  <c r="Y154" i="98" s="1"/>
  <c r="S154" i="98"/>
  <c r="U154" i="98"/>
  <c r="S155" i="98"/>
  <c r="W155" i="98" s="1"/>
  <c r="T155" i="98"/>
  <c r="Y155" i="98" s="1"/>
  <c r="U155" i="98"/>
  <c r="X155" i="98" s="1"/>
  <c r="T311" i="104"/>
  <c r="S311" i="104"/>
  <c r="W311" i="104" s="1"/>
  <c r="U311" i="104"/>
  <c r="T280" i="98"/>
  <c r="S280" i="98"/>
  <c r="U280" i="98"/>
  <c r="U258" i="98"/>
  <c r="S258" i="98"/>
  <c r="W258" i="98" s="1"/>
  <c r="T258" i="98"/>
  <c r="T309" i="104"/>
  <c r="S309" i="104"/>
  <c r="W309" i="104" s="1"/>
  <c r="U309" i="104"/>
  <c r="S197" i="104"/>
  <c r="W197" i="104" s="1"/>
  <c r="J28" i="108"/>
  <c r="J29" i="108"/>
  <c r="J200" i="108"/>
  <c r="J227" i="108"/>
  <c r="J199" i="108"/>
  <c r="J243" i="108"/>
  <c r="J151" i="107"/>
  <c r="J151" i="108"/>
  <c r="J28" i="107"/>
  <c r="J302" i="108"/>
  <c r="J30" i="107"/>
  <c r="J243" i="107"/>
  <c r="J227" i="107"/>
  <c r="J199" i="107"/>
  <c r="J200" i="107"/>
  <c r="J29" i="106"/>
  <c r="J227" i="106"/>
  <c r="J29" i="107"/>
  <c r="J302" i="107"/>
  <c r="J243" i="106"/>
  <c r="J28" i="105"/>
  <c r="J28" i="106"/>
  <c r="J199" i="106"/>
  <c r="J200" i="105"/>
  <c r="J302" i="105"/>
  <c r="J30" i="106"/>
  <c r="J302" i="106"/>
  <c r="J151" i="105"/>
  <c r="J30" i="108"/>
  <c r="J151" i="106"/>
  <c r="J29" i="105"/>
  <c r="J28" i="104"/>
  <c r="O28" i="104" s="1"/>
  <c r="J30" i="105"/>
  <c r="J243" i="105"/>
  <c r="J30" i="104"/>
  <c r="O30" i="104" s="1"/>
  <c r="J199" i="105"/>
  <c r="J29" i="104"/>
  <c r="O29" i="104" s="1"/>
  <c r="J151" i="104"/>
  <c r="O151" i="104" s="1"/>
  <c r="J200" i="104"/>
  <c r="O200" i="104" s="1"/>
  <c r="J243" i="104"/>
  <c r="O243" i="104" s="1"/>
  <c r="J30" i="98"/>
  <c r="J199" i="98"/>
  <c r="J227" i="98"/>
  <c r="J243" i="98"/>
  <c r="J200" i="106"/>
  <c r="J302" i="104"/>
  <c r="O302" i="104" s="1"/>
  <c r="J199" i="104"/>
  <c r="O199" i="104" s="1"/>
  <c r="J227" i="105"/>
  <c r="J302" i="98"/>
  <c r="J227" i="104"/>
  <c r="O227" i="104" s="1"/>
  <c r="J200" i="98"/>
  <c r="J29" i="98"/>
  <c r="J151" i="98"/>
  <c r="J28" i="98"/>
  <c r="S179" i="98"/>
  <c r="T179" i="98"/>
  <c r="Y179" i="98" s="1"/>
  <c r="U179" i="98"/>
  <c r="S173" i="98"/>
  <c r="T173" i="98"/>
  <c r="Y173" i="98" s="1"/>
  <c r="U173" i="98"/>
  <c r="U183" i="104"/>
  <c r="T242" i="104"/>
  <c r="S242" i="104"/>
  <c r="W242" i="104" s="1"/>
  <c r="U242" i="104"/>
  <c r="T175" i="98"/>
  <c r="Y175" i="98" s="1"/>
  <c r="S175" i="98"/>
  <c r="U175" i="98"/>
  <c r="W175" i="98" s="1"/>
  <c r="S177" i="98"/>
  <c r="T177" i="98"/>
  <c r="Y177" i="98" s="1"/>
  <c r="U177" i="98"/>
  <c r="T315" i="104"/>
  <c r="S315" i="104"/>
  <c r="W315" i="104" s="1"/>
  <c r="U315" i="104"/>
  <c r="T15" i="98"/>
  <c r="Y15" i="98" s="1"/>
  <c r="S15" i="98"/>
  <c r="W15" i="98" s="1"/>
  <c r="U15" i="98"/>
  <c r="X15" i="98" s="1"/>
  <c r="S308" i="98"/>
  <c r="W308" i="98" s="1"/>
  <c r="T308" i="98"/>
  <c r="U308" i="98"/>
  <c r="T265" i="104"/>
  <c r="S265" i="104"/>
  <c r="U265" i="104"/>
  <c r="T172" i="98"/>
  <c r="S172" i="98"/>
  <c r="W172" i="98" s="1"/>
  <c r="U172" i="98"/>
  <c r="S279" i="98"/>
  <c r="T279" i="98"/>
  <c r="U279" i="98"/>
  <c r="S17" i="104"/>
  <c r="W17" i="104" s="1"/>
  <c r="T17" i="104"/>
  <c r="Y17" i="104" s="1"/>
  <c r="U17" i="104"/>
  <c r="X17" i="104" s="1"/>
  <c r="S272" i="98"/>
  <c r="W272" i="98" s="1"/>
  <c r="T272" i="98"/>
  <c r="U272" i="98"/>
  <c r="T268" i="98"/>
  <c r="S268" i="98"/>
  <c r="U268" i="98"/>
  <c r="O182" i="104"/>
  <c r="T166" i="98"/>
  <c r="S166" i="98"/>
  <c r="W166" i="98" s="1"/>
  <c r="U166" i="98"/>
  <c r="T174" i="98"/>
  <c r="Y174" i="98" s="1"/>
  <c r="S174" i="98"/>
  <c r="W174" i="98" s="1"/>
  <c r="U174" i="98"/>
  <c r="X174" i="98" s="1"/>
  <c r="T206" i="104"/>
  <c r="S206" i="104"/>
  <c r="W206" i="104" s="1"/>
  <c r="U206" i="104"/>
  <c r="O27" i="104"/>
  <c r="T205" i="104"/>
  <c r="Y205" i="104" s="1"/>
  <c r="S205" i="104"/>
  <c r="U205" i="104"/>
  <c r="S340" i="104"/>
  <c r="W340" i="104" s="1"/>
  <c r="T340" i="104"/>
  <c r="U340" i="104"/>
  <c r="T192" i="104"/>
  <c r="S192" i="104"/>
  <c r="W192" i="104" s="1"/>
  <c r="U192" i="104"/>
  <c r="T313" i="104"/>
  <c r="Y313" i="104" s="1"/>
  <c r="S313" i="104"/>
  <c r="W313" i="104" s="1"/>
  <c r="U313" i="104"/>
  <c r="X313" i="104" s="1"/>
  <c r="S188" i="104"/>
  <c r="U188" i="104"/>
  <c r="T188" i="104"/>
  <c r="Y188" i="104" s="1"/>
  <c r="S191" i="104"/>
  <c r="W191" i="104" s="1"/>
  <c r="T191" i="104"/>
  <c r="Y191" i="104" s="1"/>
  <c r="U191" i="104"/>
  <c r="X191" i="104" s="1"/>
  <c r="T44" i="104"/>
  <c r="Y44" i="104" s="1"/>
  <c r="S44" i="104"/>
  <c r="W44" i="104" s="1"/>
  <c r="U44" i="104"/>
  <c r="X44" i="104" s="1"/>
  <c r="S162" i="104"/>
  <c r="W162" i="104" s="1"/>
  <c r="T162" i="104"/>
  <c r="U162" i="104"/>
  <c r="U155" i="104"/>
  <c r="X155" i="104" s="1"/>
  <c r="S155" i="104"/>
  <c r="W155" i="104" s="1"/>
  <c r="T155" i="104"/>
  <c r="Y155" i="104" s="1"/>
  <c r="U258" i="104"/>
  <c r="T203" i="104"/>
  <c r="S203" i="104"/>
  <c r="W203" i="104" s="1"/>
  <c r="U203" i="104"/>
  <c r="T263" i="104"/>
  <c r="S263" i="104"/>
  <c r="U263" i="104"/>
  <c r="U154" i="104"/>
  <c r="S154" i="104"/>
  <c r="T154" i="104"/>
  <c r="Y154" i="104" s="1"/>
  <c r="S307" i="104"/>
  <c r="W307" i="104" s="1"/>
  <c r="U307" i="104"/>
  <c r="T160" i="104"/>
  <c r="Y160" i="104" s="1"/>
  <c r="S160" i="104"/>
  <c r="W160" i="104" s="1"/>
  <c r="U160" i="104"/>
  <c r="X160" i="104" s="1"/>
  <c r="U156" i="104"/>
  <c r="X156" i="104" s="1"/>
  <c r="T156" i="104"/>
  <c r="Y156" i="104" s="1"/>
  <c r="S156" i="104"/>
  <c r="W156" i="104" s="1"/>
  <c r="S177" i="104"/>
  <c r="T177" i="104"/>
  <c r="Y177" i="104" s="1"/>
  <c r="U177" i="104"/>
  <c r="T264" i="98"/>
  <c r="S264" i="98"/>
  <c r="U264" i="98"/>
  <c r="O264" i="104"/>
  <c r="S152" i="98"/>
  <c r="W152" i="98" s="1"/>
  <c r="T152" i="98"/>
  <c r="Y152" i="98" s="1"/>
  <c r="U152" i="98"/>
  <c r="X152" i="98" s="1"/>
  <c r="S265" i="98"/>
  <c r="T265" i="98"/>
  <c r="U265" i="98"/>
  <c r="S202" i="98"/>
  <c r="W202" i="98" s="1"/>
  <c r="T202" i="98"/>
  <c r="Y202" i="98" s="1"/>
  <c r="U202" i="98"/>
  <c r="X202" i="98" s="1"/>
  <c r="T180" i="98"/>
  <c r="U180" i="98"/>
  <c r="S180" i="98"/>
  <c r="T32" i="98"/>
  <c r="Y32" i="98" s="1"/>
  <c r="S32" i="98"/>
  <c r="U32" i="98"/>
  <c r="S171" i="98"/>
  <c r="T171" i="98"/>
  <c r="U171" i="98"/>
  <c r="S16" i="104"/>
  <c r="U16" i="104"/>
  <c r="O180" i="104"/>
  <c r="S228" i="104"/>
  <c r="W228" i="104" s="1"/>
  <c r="T228" i="104"/>
  <c r="U228" i="104"/>
  <c r="T187" i="104"/>
  <c r="Y187" i="104" s="1"/>
  <c r="S187" i="104"/>
  <c r="U187" i="104"/>
  <c r="O173" i="104"/>
  <c r="T193" i="104"/>
  <c r="S193" i="104"/>
  <c r="W193" i="104" s="1"/>
  <c r="U193" i="104"/>
  <c r="T157" i="104"/>
  <c r="S157" i="104"/>
  <c r="W157" i="104" s="1"/>
  <c r="U157" i="104"/>
  <c r="T43" i="104"/>
  <c r="S43" i="104"/>
  <c r="U43" i="104"/>
  <c r="S268" i="104"/>
  <c r="T268" i="104"/>
  <c r="U268" i="104"/>
  <c r="T273" i="98"/>
  <c r="S273" i="98"/>
  <c r="W273" i="98" s="1"/>
  <c r="U273" i="98"/>
  <c r="S15" i="104"/>
  <c r="W15" i="104" s="1"/>
  <c r="U15" i="104"/>
  <c r="X15" i="104" s="1"/>
  <c r="T332" i="104"/>
  <c r="S332" i="104"/>
  <c r="W332" i="104" s="1"/>
  <c r="U332" i="104"/>
  <c r="U230" i="104"/>
  <c r="S230" i="104"/>
  <c r="W230" i="104" s="1"/>
  <c r="T230" i="104"/>
  <c r="S204" i="98"/>
  <c r="W204" i="98" s="1"/>
  <c r="T204" i="98"/>
  <c r="Y204" i="98" s="1"/>
  <c r="U204" i="98"/>
  <c r="X204" i="98" s="1"/>
  <c r="O152" i="104"/>
  <c r="S206" i="98"/>
  <c r="W206" i="98" s="1"/>
  <c r="T206" i="98"/>
  <c r="U206" i="98"/>
  <c r="S19" i="98"/>
  <c r="T19" i="98"/>
  <c r="U19" i="98"/>
  <c r="O267" i="104"/>
  <c r="S283" i="98"/>
  <c r="W283" i="98" s="1"/>
  <c r="T283" i="98"/>
  <c r="U283" i="98"/>
  <c r="T202" i="104"/>
  <c r="Y202" i="104" s="1"/>
  <c r="S165" i="98"/>
  <c r="T165" i="98"/>
  <c r="Y165" i="98" s="1"/>
  <c r="U165" i="98"/>
  <c r="S203" i="98"/>
  <c r="W203" i="98" s="1"/>
  <c r="T203" i="98"/>
  <c r="U203" i="98"/>
  <c r="U34" i="98"/>
  <c r="X34" i="98" s="1"/>
  <c r="S34" i="98"/>
  <c r="W34" i="98" s="1"/>
  <c r="T34" i="98"/>
  <c r="Y34" i="98" s="1"/>
  <c r="S309" i="98"/>
  <c r="W309" i="98" s="1"/>
  <c r="U309" i="98"/>
  <c r="T309" i="98"/>
  <c r="T298" i="104"/>
  <c r="Y298" i="104" s="1"/>
  <c r="S298" i="104"/>
  <c r="W298" i="104" s="1"/>
  <c r="U298" i="104"/>
  <c r="T20" i="98"/>
  <c r="Y20" i="98" s="1"/>
  <c r="S20" i="98"/>
  <c r="W20" i="98" s="1"/>
  <c r="U20" i="98"/>
  <c r="X20" i="98" s="1"/>
  <c r="T204" i="104"/>
  <c r="Y204" i="104" s="1"/>
  <c r="S204" i="104"/>
  <c r="W204" i="104" s="1"/>
  <c r="U204" i="104"/>
  <c r="X204" i="104" s="1"/>
  <c r="O164" i="104"/>
  <c r="O20" i="104"/>
  <c r="U322" i="104"/>
  <c r="T322" i="104"/>
  <c r="S322" i="104"/>
  <c r="W322" i="104" s="1"/>
  <c r="U321" i="104"/>
  <c r="T321" i="104"/>
  <c r="S321" i="104"/>
  <c r="W321" i="104" s="1"/>
  <c r="T40" i="104"/>
  <c r="S40" i="104"/>
  <c r="W40" i="104" s="1"/>
  <c r="U40" i="104"/>
  <c r="O14" i="104"/>
  <c r="O34" i="104"/>
  <c r="T167" i="98"/>
  <c r="Y167" i="98" s="1"/>
  <c r="S167" i="98"/>
  <c r="U167" i="98"/>
  <c r="T176" i="98"/>
  <c r="Y176" i="98" s="1"/>
  <c r="S176" i="98"/>
  <c r="W176" i="98" s="1"/>
  <c r="U176" i="98"/>
  <c r="V176" i="98"/>
  <c r="S14" i="98"/>
  <c r="W14" i="98" s="1"/>
  <c r="U14" i="98"/>
  <c r="X14" i="98" s="1"/>
  <c r="T14" i="98"/>
  <c r="Y14" i="98" s="1"/>
  <c r="S168" i="98"/>
  <c r="T168" i="98"/>
  <c r="U168" i="98"/>
  <c r="U172" i="104"/>
  <c r="T172" i="104"/>
  <c r="S172" i="104"/>
  <c r="W172" i="104" s="1"/>
  <c r="S331" i="104"/>
  <c r="W331" i="104" s="1"/>
  <c r="T331" i="104"/>
  <c r="U331" i="104"/>
  <c r="S184" i="98"/>
  <c r="T184" i="98"/>
  <c r="Y184" i="98" s="1"/>
  <c r="U184" i="98"/>
  <c r="S197" i="98"/>
  <c r="W197" i="98" s="1"/>
  <c r="U197" i="98"/>
  <c r="T197" i="98"/>
  <c r="S267" i="98"/>
  <c r="U267" i="98"/>
  <c r="T267" i="98"/>
  <c r="U201" i="98"/>
  <c r="X201" i="98" s="1"/>
  <c r="T201" i="98"/>
  <c r="Y201" i="98" s="1"/>
  <c r="S201" i="98"/>
  <c r="W201" i="98" s="1"/>
  <c r="T164" i="98"/>
  <c r="Y164" i="98" s="1"/>
  <c r="S164" i="98"/>
  <c r="W164" i="98" s="1"/>
  <c r="U164" i="98"/>
  <c r="X164" i="98" s="1"/>
  <c r="S27" i="98"/>
  <c r="T27" i="98"/>
  <c r="Y27" i="98" s="1"/>
  <c r="U27" i="98"/>
  <c r="T17" i="98"/>
  <c r="Y17" i="98" s="1"/>
  <c r="S17" i="98"/>
  <c r="W17" i="98" s="1"/>
  <c r="U17" i="98"/>
  <c r="X17" i="98" s="1"/>
  <c r="S298" i="98"/>
  <c r="W298" i="98" s="1"/>
  <c r="T298" i="98"/>
  <c r="U298" i="98"/>
  <c r="U266" i="98"/>
  <c r="T266" i="98"/>
  <c r="S266" i="98"/>
  <c r="T18" i="98"/>
  <c r="Y18" i="98" s="1"/>
  <c r="S18" i="98"/>
  <c r="U18" i="98"/>
  <c r="T201" i="104"/>
  <c r="Y201" i="104" s="1"/>
  <c r="S201" i="104"/>
  <c r="W201" i="104" s="1"/>
  <c r="U201" i="104"/>
  <c r="X201" i="104" s="1"/>
  <c r="S310" i="104"/>
  <c r="W310" i="104" s="1"/>
  <c r="T310" i="104"/>
  <c r="U310" i="104"/>
  <c r="T325" i="104"/>
  <c r="Y325" i="104" s="1"/>
  <c r="S325" i="104"/>
  <c r="W325" i="104" s="1"/>
  <c r="U325" i="104"/>
  <c r="U312" i="104"/>
  <c r="T312" i="104"/>
  <c r="S312" i="104"/>
  <c r="W312" i="104" s="1"/>
  <c r="T159" i="104"/>
  <c r="S159" i="104"/>
  <c r="W159" i="104" s="1"/>
  <c r="U159" i="104"/>
  <c r="T229" i="104"/>
  <c r="Y229" i="104" s="1"/>
  <c r="S229" i="104"/>
  <c r="W229" i="104" s="1"/>
  <c r="U229" i="104"/>
  <c r="X229" i="104" s="1"/>
  <c r="U341" i="104"/>
  <c r="T341" i="104"/>
  <c r="S341" i="104"/>
  <c r="W341" i="104" s="1"/>
  <c r="T342" i="104"/>
  <c r="S342" i="104"/>
  <c r="W342" i="104" s="1"/>
  <c r="U342" i="104"/>
  <c r="T190" i="104"/>
  <c r="S190" i="104"/>
  <c r="W190" i="104" s="1"/>
  <c r="U190" i="104"/>
  <c r="T343" i="104"/>
  <c r="S343" i="104"/>
  <c r="W343" i="104" s="1"/>
  <c r="U343" i="104"/>
  <c r="U194" i="104"/>
  <c r="X194" i="104" s="1"/>
  <c r="S194" i="104"/>
  <c r="W194" i="104" s="1"/>
  <c r="T194" i="104"/>
  <c r="Y194" i="104" s="1"/>
  <c r="T182" i="98"/>
  <c r="Y182" i="98" s="1"/>
  <c r="S182" i="98"/>
  <c r="W182" i="98" s="1"/>
  <c r="U182" i="98"/>
  <c r="V182" i="98"/>
  <c r="T16" i="98"/>
  <c r="S16" i="98"/>
  <c r="U16" i="98"/>
  <c r="S198" i="98"/>
  <c r="W198" i="98" s="1"/>
  <c r="T198" i="98"/>
  <c r="U198" i="98"/>
  <c r="O175" i="104"/>
  <c r="S272" i="104"/>
  <c r="W272" i="104" s="1"/>
  <c r="U272" i="104"/>
  <c r="U13" i="98"/>
  <c r="S13" i="98"/>
  <c r="T13" i="98"/>
  <c r="S311" i="98"/>
  <c r="W311" i="98" s="1"/>
  <c r="T311" i="98"/>
  <c r="U311" i="98"/>
  <c r="O174" i="104"/>
  <c r="O303" i="104"/>
  <c r="S279" i="104"/>
  <c r="T279" i="104"/>
  <c r="U279" i="104"/>
  <c r="T263" i="98"/>
  <c r="S263" i="98"/>
  <c r="U263" i="98"/>
  <c r="O241" i="104"/>
  <c r="T205" i="98"/>
  <c r="Y205" i="98" s="1"/>
  <c r="U205" i="98"/>
  <c r="S205" i="98"/>
  <c r="S189" i="104"/>
  <c r="W189" i="104" s="1"/>
  <c r="T189" i="104"/>
  <c r="U189" i="104"/>
  <c r="U314" i="104"/>
  <c r="S314" i="104"/>
  <c r="W314" i="104" s="1"/>
  <c r="T314" i="104"/>
  <c r="T195" i="104"/>
  <c r="Y195" i="104" s="1"/>
  <c r="S195" i="104"/>
  <c r="W195" i="104" s="1"/>
  <c r="U195" i="104"/>
  <c r="X195" i="104" s="1"/>
  <c r="S196" i="104"/>
  <c r="W196" i="104" s="1"/>
  <c r="T196" i="104"/>
  <c r="U196" i="104"/>
  <c r="T161" i="104"/>
  <c r="Y161" i="104" s="1"/>
  <c r="S161" i="104"/>
  <c r="W161" i="104" s="1"/>
  <c r="U161" i="104"/>
  <c r="X161" i="104" s="1"/>
  <c r="S158" i="104"/>
  <c r="W158" i="104" s="1"/>
  <c r="T158" i="104"/>
  <c r="U158" i="104"/>
  <c r="D25" i="51"/>
  <c r="B21" i="7"/>
  <c r="C22" i="37" s="1"/>
  <c r="B22" i="7"/>
  <c r="F24" i="83"/>
  <c r="F42" i="83"/>
  <c r="F45" i="83"/>
  <c r="F61" i="83"/>
  <c r="F64" i="83"/>
  <c r="F66" i="83"/>
  <c r="F88" i="83"/>
  <c r="F92" i="83"/>
  <c r="F179" i="83"/>
  <c r="F36" i="83"/>
  <c r="F89" i="83"/>
  <c r="F110" i="83"/>
  <c r="F189" i="83"/>
  <c r="F197" i="83"/>
  <c r="F200" i="83"/>
  <c r="F50" i="83"/>
  <c r="F67" i="83"/>
  <c r="F104" i="83"/>
  <c r="F106" i="83"/>
  <c r="F207" i="83"/>
  <c r="F141" i="83"/>
  <c r="F149" i="83"/>
  <c r="F204" i="83"/>
  <c r="F206" i="83"/>
  <c r="F238" i="83"/>
  <c r="F105" i="83"/>
  <c r="F165" i="83"/>
  <c r="F228" i="83"/>
  <c r="F232" i="83"/>
  <c r="F258" i="83"/>
  <c r="F274" i="83"/>
  <c r="F279" i="83"/>
  <c r="F282" i="83"/>
  <c r="F306" i="83"/>
  <c r="F309" i="83"/>
  <c r="F328" i="83"/>
  <c r="F332" i="83"/>
  <c r="F334" i="83"/>
  <c r="F335" i="83"/>
  <c r="F353" i="83"/>
  <c r="F86" i="83"/>
  <c r="F112" i="83"/>
  <c r="F252" i="83"/>
  <c r="F260" i="83"/>
  <c r="F285" i="83"/>
  <c r="F290" i="83"/>
  <c r="F292" i="83"/>
  <c r="F312" i="83"/>
  <c r="F320" i="83"/>
  <c r="F342" i="83"/>
  <c r="F170" i="83"/>
  <c r="F184" i="83"/>
  <c r="F212" i="83"/>
  <c r="F215" i="83"/>
  <c r="F220" i="83"/>
  <c r="F222" i="83"/>
  <c r="F236" i="83"/>
  <c r="F76" i="83"/>
  <c r="F239" i="83"/>
  <c r="F294" i="83"/>
  <c r="F305" i="83"/>
  <c r="F337" i="83"/>
  <c r="F350" i="83"/>
  <c r="F352" i="83"/>
  <c r="F144" i="83"/>
  <c r="F241" i="83"/>
  <c r="F246" i="83"/>
  <c r="F257" i="83"/>
  <c r="F336" i="83"/>
  <c r="F365" i="83"/>
  <c r="F372" i="83"/>
  <c r="F412" i="83"/>
  <c r="F68" i="83"/>
  <c r="F244" i="83"/>
  <c r="F311" i="83"/>
  <c r="F319" i="83"/>
  <c r="F327" i="83"/>
  <c r="F367" i="83"/>
  <c r="F409" i="83"/>
  <c r="F51" i="83"/>
  <c r="F120" i="83"/>
  <c r="F147" i="83"/>
  <c r="F237" i="83"/>
  <c r="F351" i="83"/>
  <c r="F356" i="83"/>
  <c r="F360" i="83"/>
  <c r="F381" i="83"/>
  <c r="F398" i="83"/>
  <c r="F416" i="83"/>
  <c r="F221" i="83"/>
  <c r="F223" i="83"/>
  <c r="F340" i="83"/>
  <c r="F364" i="83"/>
  <c r="F394" i="83"/>
  <c r="F399" i="83"/>
  <c r="F30" i="83"/>
  <c r="F78" i="83"/>
  <c r="F209" i="83"/>
  <c r="F217" i="83"/>
  <c r="F253" i="83"/>
  <c r="F277" i="83"/>
  <c r="F278" i="83"/>
  <c r="F302" i="83"/>
  <c r="F318" i="83"/>
  <c r="F396" i="83"/>
  <c r="F414" i="83"/>
  <c r="F432" i="83"/>
  <c r="F229" i="83"/>
  <c r="F230" i="83"/>
  <c r="F269" i="83"/>
  <c r="F303" i="83"/>
  <c r="F382" i="83"/>
  <c r="F129" i="83"/>
  <c r="F263" i="83"/>
  <c r="F383" i="83"/>
  <c r="F384" i="83"/>
  <c r="F249" i="83"/>
  <c r="F368" i="83"/>
  <c r="F380" i="83"/>
  <c r="F389" i="83"/>
  <c r="F425" i="83"/>
  <c r="F140" i="83"/>
  <c r="F173" i="83"/>
  <c r="F248" i="83"/>
  <c r="F391" i="83"/>
  <c r="F421" i="83"/>
  <c r="F256" i="83"/>
  <c r="F308" i="83"/>
  <c r="F406" i="83"/>
  <c r="F385" i="83"/>
  <c r="F366" i="83"/>
  <c r="F417" i="83"/>
  <c r="F298" i="83"/>
  <c r="F287" i="83"/>
  <c r="F324" i="83"/>
  <c r="F321" i="83"/>
  <c r="F348" i="83"/>
  <c r="F349" i="83"/>
  <c r="F262" i="83"/>
  <c r="F54" i="83"/>
  <c r="F424" i="83"/>
  <c r="F359" i="83"/>
  <c r="F313" i="83"/>
  <c r="F213" i="83"/>
  <c r="F188" i="83"/>
  <c r="F219" i="83"/>
  <c r="F180" i="83"/>
  <c r="F148" i="83"/>
  <c r="F8" i="83"/>
  <c r="F38" i="83"/>
  <c r="F393" i="83"/>
  <c r="F413" i="83"/>
  <c r="F322" i="83"/>
  <c r="F259" i="83"/>
  <c r="F386" i="83"/>
  <c r="F293" i="83"/>
  <c r="F118" i="83"/>
  <c r="F281" i="83"/>
  <c r="F121" i="83"/>
  <c r="F316" i="83"/>
  <c r="F420" i="83"/>
  <c r="F346" i="83"/>
  <c r="F428" i="83"/>
  <c r="F289" i="83"/>
  <c r="F157" i="83"/>
  <c r="F52" i="83"/>
  <c r="F133" i="83"/>
  <c r="F37" i="83"/>
  <c r="F74" i="83"/>
  <c r="F29" i="83"/>
  <c r="F12" i="83"/>
  <c r="F95" i="83"/>
  <c r="F339" i="83"/>
  <c r="F218" i="83"/>
  <c r="F408" i="83"/>
  <c r="F376" i="83"/>
  <c r="F363" i="83"/>
  <c r="F301" i="83"/>
  <c r="F427" i="83"/>
  <c r="F261" i="83"/>
  <c r="F344" i="83"/>
  <c r="F429" i="83"/>
  <c r="F371" i="83"/>
  <c r="F280" i="83"/>
  <c r="F270" i="83"/>
  <c r="F333" i="83"/>
  <c r="F214" i="83"/>
  <c r="F430" i="83"/>
  <c r="F390" i="83"/>
  <c r="F85" i="83"/>
  <c r="F284" i="83"/>
  <c r="F347" i="83"/>
  <c r="F172" i="83"/>
  <c r="F162" i="83"/>
  <c r="F379" i="83"/>
  <c r="F288" i="83"/>
  <c r="F72" i="83"/>
  <c r="F240" i="83"/>
  <c r="F20" i="83"/>
  <c r="F41" i="83"/>
  <c r="F96" i="83"/>
  <c r="F195" i="83"/>
  <c r="F70" i="83"/>
  <c r="F97" i="83"/>
  <c r="F11" i="83"/>
  <c r="F53" i="83"/>
  <c r="F22" i="83"/>
  <c r="F35" i="83"/>
  <c r="F397" i="83"/>
  <c r="F345" i="83"/>
  <c r="F193" i="83"/>
  <c r="F159" i="83"/>
  <c r="F422" i="83"/>
  <c r="F315" i="83"/>
  <c r="F266" i="83"/>
  <c r="F403" i="83"/>
  <c r="F136" i="83"/>
  <c r="F210" i="83"/>
  <c r="F268" i="83"/>
  <c r="F404" i="83"/>
  <c r="F181" i="83"/>
  <c r="F317" i="83"/>
  <c r="F434" i="83"/>
  <c r="F401" i="83"/>
  <c r="F156" i="83"/>
  <c r="F56" i="83"/>
  <c r="F388" i="83"/>
  <c r="F69" i="83"/>
  <c r="F331" i="83"/>
  <c r="F185" i="83"/>
  <c r="F91" i="83"/>
  <c r="F150" i="83"/>
  <c r="F32" i="83"/>
  <c r="F28" i="83"/>
  <c r="F296" i="83"/>
  <c r="F419" i="83"/>
  <c r="F310" i="83"/>
  <c r="F375" i="83"/>
  <c r="F433" i="83"/>
  <c r="F307" i="83"/>
  <c r="F234" i="83"/>
  <c r="F370" i="83"/>
  <c r="F163" i="83"/>
  <c r="F155" i="83"/>
  <c r="F137" i="83"/>
  <c r="F410" i="83"/>
  <c r="F276" i="83"/>
  <c r="F415" i="83"/>
  <c r="F272" i="83"/>
  <c r="F226" i="83"/>
  <c r="F109" i="83"/>
  <c r="F431" i="83"/>
  <c r="F362" i="83"/>
  <c r="F146" i="83"/>
  <c r="F123" i="83"/>
  <c r="F81" i="83"/>
  <c r="F131" i="83"/>
  <c r="F174" i="83"/>
  <c r="F151" i="83"/>
  <c r="F87" i="83"/>
  <c r="F33" i="83"/>
  <c r="F31" i="83"/>
  <c r="F34" i="83"/>
  <c r="F377" i="83"/>
  <c r="F254" i="83"/>
  <c r="F208" i="83"/>
  <c r="F361" i="83"/>
  <c r="F373" i="83"/>
  <c r="F291" i="83"/>
  <c r="F102" i="83"/>
  <c r="F161" i="83"/>
  <c r="F90" i="83"/>
  <c r="F326" i="83"/>
  <c r="F55" i="83"/>
  <c r="F242" i="83"/>
  <c r="F19" i="83"/>
  <c r="F48" i="83"/>
  <c r="F107" i="83"/>
  <c r="F164" i="83"/>
  <c r="F10" i="83"/>
  <c r="F407" i="83"/>
  <c r="F227" i="83"/>
  <c r="F124" i="83"/>
  <c r="F338" i="83"/>
  <c r="F187" i="83"/>
  <c r="F295" i="83"/>
  <c r="F71" i="83"/>
  <c r="F134" i="83"/>
  <c r="F143" i="83"/>
  <c r="F46" i="83"/>
  <c r="F341" i="83"/>
  <c r="F154" i="83"/>
  <c r="F225" i="83"/>
  <c r="F132" i="83"/>
  <c r="F101" i="83"/>
  <c r="F216" i="83"/>
  <c r="F175" i="83"/>
  <c r="F122" i="83"/>
  <c r="F435" i="83"/>
  <c r="F357" i="83"/>
  <c r="F125" i="83"/>
  <c r="F245" i="83"/>
  <c r="F411" i="83"/>
  <c r="F392" i="83"/>
  <c r="F387" i="83"/>
  <c r="F171" i="83"/>
  <c r="F323" i="83"/>
  <c r="F211" i="83"/>
  <c r="F183" i="83"/>
  <c r="F135" i="83"/>
  <c r="F103" i="83"/>
  <c r="F190" i="83"/>
  <c r="F177" i="83"/>
  <c r="F44" i="83"/>
  <c r="F142" i="83"/>
  <c r="F182" i="83"/>
  <c r="F94" i="83"/>
  <c r="F167" i="83"/>
  <c r="F139" i="83"/>
  <c r="F114" i="83"/>
  <c r="F113" i="83"/>
  <c r="F65" i="83"/>
  <c r="F98" i="83"/>
  <c r="F119" i="83"/>
  <c r="F9" i="83"/>
  <c r="F297" i="83"/>
  <c r="F205" i="83"/>
  <c r="F273" i="83"/>
  <c r="F265" i="83"/>
  <c r="F233" i="83"/>
  <c r="F127" i="83"/>
  <c r="F166" i="83"/>
  <c r="F330" i="83"/>
  <c r="F108" i="83"/>
  <c r="F199" i="83"/>
  <c r="F300" i="83"/>
  <c r="F255" i="83"/>
  <c r="F224" i="83"/>
  <c r="F235" i="83"/>
  <c r="F198" i="83"/>
  <c r="F14" i="83"/>
  <c r="F40" i="83"/>
  <c r="F21" i="83"/>
  <c r="F423" i="83"/>
  <c r="F374" i="83"/>
  <c r="F400" i="83"/>
  <c r="F6" i="83"/>
  <c r="F426" i="83"/>
  <c r="F243" i="83"/>
  <c r="F299" i="83"/>
  <c r="F75" i="83"/>
  <c r="F192" i="83"/>
  <c r="F191" i="83"/>
  <c r="F158" i="83"/>
  <c r="F145" i="83"/>
  <c r="F7" i="83"/>
  <c r="F153" i="83"/>
  <c r="F73" i="83"/>
  <c r="F93" i="83"/>
  <c r="F77" i="83"/>
  <c r="F23" i="83"/>
  <c r="F17" i="83"/>
  <c r="F25" i="83"/>
  <c r="F369" i="83"/>
  <c r="F178" i="83"/>
  <c r="F80" i="83"/>
  <c r="F186" i="83"/>
  <c r="F247" i="83"/>
  <c r="F111" i="83"/>
  <c r="F27" i="83"/>
  <c r="F250" i="83"/>
  <c r="F128" i="83"/>
  <c r="F231" i="83"/>
  <c r="F418" i="83"/>
  <c r="F283" i="83"/>
  <c r="F267" i="83"/>
  <c r="F160" i="83"/>
  <c r="F168" i="83"/>
  <c r="F84" i="83"/>
  <c r="F13" i="83"/>
  <c r="F39" i="83"/>
  <c r="F43" i="83"/>
  <c r="F16" i="83"/>
  <c r="F196" i="83"/>
  <c r="F57" i="83"/>
  <c r="F251" i="83"/>
  <c r="F59" i="83"/>
  <c r="F395" i="83"/>
  <c r="F126" i="83"/>
  <c r="F79" i="83"/>
  <c r="F63" i="83"/>
  <c r="F26" i="83"/>
  <c r="F304" i="83"/>
  <c r="F49" i="83"/>
  <c r="F343" i="83"/>
  <c r="F402" i="83"/>
  <c r="F58" i="83"/>
  <c r="F354" i="83"/>
  <c r="F116" i="83"/>
  <c r="F203" i="83"/>
  <c r="F264" i="83"/>
  <c r="F325" i="83"/>
  <c r="F355" i="83"/>
  <c r="F99" i="83"/>
  <c r="F100" i="83"/>
  <c r="F152" i="83"/>
  <c r="F15" i="83"/>
  <c r="F18" i="83"/>
  <c r="F194" i="83"/>
  <c r="F271" i="83"/>
  <c r="F202" i="83"/>
  <c r="F275" i="83"/>
  <c r="F117" i="83"/>
  <c r="F47" i="83"/>
  <c r="F138" i="83"/>
  <c r="F83" i="83"/>
  <c r="F62" i="83"/>
  <c r="F329" i="83"/>
  <c r="F358" i="83"/>
  <c r="F405" i="83"/>
  <c r="F314" i="83"/>
  <c r="F286" i="83"/>
  <c r="F130" i="83"/>
  <c r="F115" i="83"/>
  <c r="F169" i="83"/>
  <c r="F82" i="83"/>
  <c r="F60" i="83"/>
  <c r="F378" i="83"/>
  <c r="F201" i="83"/>
  <c r="F176" i="83"/>
  <c r="K34" i="89"/>
  <c r="K224" i="89"/>
  <c r="K32" i="89"/>
  <c r="K118" i="89"/>
  <c r="K212" i="89"/>
  <c r="K33" i="89"/>
  <c r="K33" i="103"/>
  <c r="K33" i="100"/>
  <c r="K224" i="101"/>
  <c r="K34" i="103"/>
  <c r="K34" i="100"/>
  <c r="K118" i="100"/>
  <c r="K118" i="99"/>
  <c r="P118" i="99" s="1"/>
  <c r="R118" i="99" s="1"/>
  <c r="K32" i="99"/>
  <c r="P32" i="99" s="1"/>
  <c r="R32" i="99" s="1"/>
  <c r="K32" i="102"/>
  <c r="K33" i="99"/>
  <c r="P33" i="99" s="1"/>
  <c r="R33" i="99" s="1"/>
  <c r="K33" i="102"/>
  <c r="K212" i="101"/>
  <c r="K33" i="101"/>
  <c r="K32" i="101"/>
  <c r="K32" i="103"/>
  <c r="K118" i="101"/>
  <c r="K32" i="100"/>
  <c r="K212" i="99"/>
  <c r="P212" i="99" s="1"/>
  <c r="R212" i="99" s="1"/>
  <c r="K34" i="99"/>
  <c r="P34" i="99" s="1"/>
  <c r="Q34" i="99" s="1"/>
  <c r="K212" i="102"/>
  <c r="K224" i="99"/>
  <c r="P224" i="99" s="1"/>
  <c r="R224" i="99" s="1"/>
  <c r="K224" i="103"/>
  <c r="K212" i="103"/>
  <c r="K118" i="102"/>
  <c r="K34" i="102"/>
  <c r="K34" i="101"/>
  <c r="K212" i="100"/>
  <c r="K118" i="103"/>
  <c r="K224" i="102"/>
  <c r="K224" i="100"/>
  <c r="F6" i="84"/>
  <c r="F12" i="84"/>
  <c r="F44" i="84"/>
  <c r="F18" i="84"/>
  <c r="F24" i="84"/>
  <c r="F45" i="84"/>
  <c r="F16" i="84"/>
  <c r="F56" i="84"/>
  <c r="F60" i="84"/>
  <c r="F73" i="84"/>
  <c r="F25" i="84"/>
  <c r="F10" i="84"/>
  <c r="F53" i="84"/>
  <c r="F80" i="84"/>
  <c r="F84" i="84"/>
  <c r="F89" i="84"/>
  <c r="F107" i="84"/>
  <c r="F114" i="84"/>
  <c r="F115" i="84"/>
  <c r="F122" i="84"/>
  <c r="F124" i="84"/>
  <c r="F134" i="84"/>
  <c r="F145" i="84"/>
  <c r="F130" i="84"/>
  <c r="F218" i="84"/>
  <c r="F31" i="84"/>
  <c r="F86" i="84"/>
  <c r="F188" i="84"/>
  <c r="F55" i="84"/>
  <c r="F82" i="84"/>
  <c r="F102" i="84"/>
  <c r="F142" i="84"/>
  <c r="F164" i="84"/>
  <c r="F88" i="84"/>
  <c r="F196" i="84"/>
  <c r="F50" i="84"/>
  <c r="F90" i="84"/>
  <c r="F161" i="84"/>
  <c r="F193" i="84"/>
  <c r="F209" i="84"/>
  <c r="F58" i="84"/>
  <c r="F47" i="84"/>
  <c r="F91" i="84"/>
  <c r="F99" i="84"/>
  <c r="F195" i="84"/>
  <c r="F212" i="84"/>
  <c r="F76" i="84"/>
  <c r="F220" i="84"/>
  <c r="F62" i="84"/>
  <c r="F156" i="84"/>
  <c r="F217" i="84"/>
  <c r="F123" i="84"/>
  <c r="F180" i="84"/>
  <c r="F187" i="84"/>
  <c r="F153" i="84"/>
  <c r="F174" i="84"/>
  <c r="F163" i="84"/>
  <c r="F172" i="84"/>
  <c r="F178" i="84"/>
  <c r="F215" i="84"/>
  <c r="F158" i="84"/>
  <c r="F28" i="84"/>
  <c r="F54" i="84"/>
  <c r="F106" i="84"/>
  <c r="F201" i="84"/>
  <c r="F40" i="84"/>
  <c r="F108" i="84"/>
  <c r="F148" i="84"/>
  <c r="F169" i="84"/>
  <c r="F64" i="84"/>
  <c r="F48" i="84"/>
  <c r="F75" i="84"/>
  <c r="F7" i="84"/>
  <c r="F94" i="84"/>
  <c r="F179" i="84"/>
  <c r="F205" i="84"/>
  <c r="F110" i="84"/>
  <c r="F36" i="84"/>
  <c r="F159" i="84"/>
  <c r="F191" i="84"/>
  <c r="F146" i="84"/>
  <c r="F206" i="84"/>
  <c r="F177" i="84"/>
  <c r="F59" i="84"/>
  <c r="F129" i="84"/>
  <c r="F97" i="84"/>
  <c r="F51" i="84"/>
  <c r="F42" i="84"/>
  <c r="F211" i="84"/>
  <c r="F186" i="84"/>
  <c r="F199" i="84"/>
  <c r="F70" i="84"/>
  <c r="F197" i="84"/>
  <c r="F132" i="84"/>
  <c r="F109" i="84"/>
  <c r="F26" i="84"/>
  <c r="F155" i="84"/>
  <c r="F139" i="84"/>
  <c r="F57" i="84"/>
  <c r="F39" i="84"/>
  <c r="F21" i="84"/>
  <c r="F13" i="84"/>
  <c r="F194" i="84"/>
  <c r="F128" i="84"/>
  <c r="F147" i="84"/>
  <c r="F226" i="84"/>
  <c r="F8" i="84"/>
  <c r="F32" i="84"/>
  <c r="F127" i="84"/>
  <c r="F14" i="84"/>
  <c r="F162" i="84"/>
  <c r="F144" i="84"/>
  <c r="F141" i="84"/>
  <c r="F213" i="84"/>
  <c r="F189" i="84"/>
  <c r="F67" i="84"/>
  <c r="F176" i="84"/>
  <c r="F111" i="84"/>
  <c r="F113" i="84"/>
  <c r="F202" i="84"/>
  <c r="F121" i="84"/>
  <c r="F103" i="84"/>
  <c r="F125" i="84"/>
  <c r="F81" i="84"/>
  <c r="F15" i="84"/>
  <c r="F29" i="84"/>
  <c r="F152" i="84"/>
  <c r="F183" i="84"/>
  <c r="F160" i="84"/>
  <c r="F203" i="84"/>
  <c r="F198" i="84"/>
  <c r="F181" i="84"/>
  <c r="F167" i="84"/>
  <c r="F63" i="84"/>
  <c r="F175" i="84"/>
  <c r="F116" i="84"/>
  <c r="F38" i="84"/>
  <c r="F11" i="84"/>
  <c r="F225" i="84"/>
  <c r="F126" i="84"/>
  <c r="F210" i="84"/>
  <c r="F105" i="84"/>
  <c r="F140" i="84"/>
  <c r="F137" i="84"/>
  <c r="F219" i="84"/>
  <c r="F135" i="84"/>
  <c r="F222" i="84"/>
  <c r="F72" i="84"/>
  <c r="F151" i="84"/>
  <c r="F117" i="84"/>
  <c r="F157" i="84"/>
  <c r="F20" i="84"/>
  <c r="F224" i="84"/>
  <c r="F9" i="84"/>
  <c r="F131" i="84"/>
  <c r="F61" i="84"/>
  <c r="F17" i="84"/>
  <c r="F170" i="84"/>
  <c r="F207" i="84"/>
  <c r="F93" i="84"/>
  <c r="F185" i="84"/>
  <c r="F52" i="84"/>
  <c r="F200" i="84"/>
  <c r="F79" i="84"/>
  <c r="F77" i="84"/>
  <c r="F166" i="84"/>
  <c r="F66" i="84"/>
  <c r="F214" i="84"/>
  <c r="F208" i="84"/>
  <c r="F27" i="84"/>
  <c r="F168" i="84"/>
  <c r="F98" i="84"/>
  <c r="F87" i="84"/>
  <c r="F143" i="84"/>
  <c r="F112" i="84"/>
  <c r="F149" i="84"/>
  <c r="F190" i="84"/>
  <c r="F46" i="84"/>
  <c r="F33" i="84"/>
  <c r="F68" i="84"/>
  <c r="F23" i="84"/>
  <c r="F120" i="84"/>
  <c r="F104" i="84"/>
  <c r="F96" i="84"/>
  <c r="F78" i="84"/>
  <c r="F138" i="84"/>
  <c r="F69" i="84"/>
  <c r="F49" i="84"/>
  <c r="F223" i="84"/>
  <c r="F184" i="84"/>
  <c r="F182" i="84"/>
  <c r="F150" i="84"/>
  <c r="F74" i="84"/>
  <c r="F83" i="84"/>
  <c r="F101" i="84"/>
  <c r="F136" i="84"/>
  <c r="F37" i="84"/>
  <c r="F65" i="84"/>
  <c r="F35" i="84"/>
  <c r="F118" i="84"/>
  <c r="F100" i="84"/>
  <c r="F92" i="84"/>
  <c r="F71" i="84"/>
  <c r="F154" i="84"/>
  <c r="F34" i="84"/>
  <c r="F171" i="84"/>
  <c r="F22" i="84"/>
  <c r="F43" i="84"/>
  <c r="F204" i="84"/>
  <c r="F173" i="84"/>
  <c r="F95" i="84"/>
  <c r="F165" i="84"/>
  <c r="F85" i="84"/>
  <c r="F41" i="84"/>
  <c r="F119" i="84"/>
  <c r="F192" i="84"/>
  <c r="F133" i="84"/>
  <c r="F30" i="84"/>
  <c r="F19" i="84"/>
  <c r="F221" i="84"/>
  <c r="F216" i="84"/>
  <c r="D23" i="7"/>
  <c r="E22" i="110" s="1"/>
  <c r="D22" i="7"/>
  <c r="E22" i="109" s="1"/>
  <c r="D21" i="7"/>
  <c r="E22" i="37" s="1"/>
  <c r="G10" i="84"/>
  <c r="G45" i="84"/>
  <c r="G12" i="84"/>
  <c r="G18" i="84"/>
  <c r="G24" i="84"/>
  <c r="G11" i="84"/>
  <c r="G32" i="84"/>
  <c r="G31" i="84"/>
  <c r="G55" i="84"/>
  <c r="G130" i="84"/>
  <c r="G35" i="84"/>
  <c r="G41" i="84"/>
  <c r="G7" i="84"/>
  <c r="G77" i="84"/>
  <c r="G52" i="84"/>
  <c r="G82" i="84"/>
  <c r="G84" i="84"/>
  <c r="G102" i="84"/>
  <c r="G33" i="84"/>
  <c r="G43" i="84"/>
  <c r="G73" i="84"/>
  <c r="G76" i="84"/>
  <c r="G91" i="84"/>
  <c r="G144" i="84"/>
  <c r="G195" i="84"/>
  <c r="G71" i="84"/>
  <c r="G114" i="84"/>
  <c r="G118" i="84"/>
  <c r="G196" i="84"/>
  <c r="G56" i="84"/>
  <c r="G109" i="84"/>
  <c r="G121" i="84"/>
  <c r="G142" i="84"/>
  <c r="G159" i="84"/>
  <c r="G177" i="84"/>
  <c r="G218" i="84"/>
  <c r="G220" i="84"/>
  <c r="G23" i="84"/>
  <c r="G157" i="84"/>
  <c r="G180" i="84"/>
  <c r="G57" i="84"/>
  <c r="G158" i="84"/>
  <c r="G178" i="84"/>
  <c r="G212" i="84"/>
  <c r="G215" i="84"/>
  <c r="G86" i="84"/>
  <c r="G100" i="84"/>
  <c r="G125" i="84"/>
  <c r="G161" i="84"/>
  <c r="G194" i="84"/>
  <c r="G198" i="84"/>
  <c r="G164" i="84"/>
  <c r="G117" i="84"/>
  <c r="G136" i="84"/>
  <c r="G185" i="84"/>
  <c r="G93" i="84"/>
  <c r="G148" i="84"/>
  <c r="G66" i="84"/>
  <c r="G188" i="84"/>
  <c r="G210" i="84"/>
  <c r="G204" i="84"/>
  <c r="G187" i="84"/>
  <c r="G156" i="84"/>
  <c r="G226" i="84"/>
  <c r="G27" i="84"/>
  <c r="G138" i="84"/>
  <c r="G94" i="84"/>
  <c r="G211" i="84"/>
  <c r="G97" i="84"/>
  <c r="G150" i="84"/>
  <c r="G113" i="84"/>
  <c r="G127" i="84"/>
  <c r="G119" i="84"/>
  <c r="G162" i="84"/>
  <c r="G170" i="84"/>
  <c r="G149" i="84"/>
  <c r="G152" i="84"/>
  <c r="G222" i="84"/>
  <c r="G155" i="84"/>
  <c r="G139" i="84"/>
  <c r="G167" i="84"/>
  <c r="G63" i="84"/>
  <c r="G128" i="84"/>
  <c r="G112" i="84"/>
  <c r="G37" i="84"/>
  <c r="G28" i="84"/>
  <c r="G17" i="84"/>
  <c r="G64" i="84"/>
  <c r="G9" i="84"/>
  <c r="G202" i="84"/>
  <c r="G126" i="84"/>
  <c r="G106" i="84"/>
  <c r="G40" i="84"/>
  <c r="G181" i="84"/>
  <c r="G108" i="84"/>
  <c r="G75" i="84"/>
  <c r="G101" i="84"/>
  <c r="G122" i="84"/>
  <c r="G107" i="84"/>
  <c r="G85" i="84"/>
  <c r="G53" i="84"/>
  <c r="G16" i="84"/>
  <c r="G47" i="84"/>
  <c r="G179" i="84"/>
  <c r="G135" i="84"/>
  <c r="G197" i="84"/>
  <c r="G59" i="84"/>
  <c r="G129" i="84"/>
  <c r="G96" i="84"/>
  <c r="G51" i="84"/>
  <c r="G168" i="84"/>
  <c r="G201" i="84"/>
  <c r="G217" i="84"/>
  <c r="G199" i="84"/>
  <c r="G70" i="84"/>
  <c r="G58" i="84"/>
  <c r="G49" i="84"/>
  <c r="G145" i="84"/>
  <c r="G65" i="84"/>
  <c r="G176" i="84"/>
  <c r="G26" i="84"/>
  <c r="G131" i="84"/>
  <c r="G216" i="84"/>
  <c r="G22" i="84"/>
  <c r="G182" i="84"/>
  <c r="G29" i="84"/>
  <c r="G183" i="84"/>
  <c r="G6" i="84"/>
  <c r="G223" i="84"/>
  <c r="G153" i="84"/>
  <c r="G169" i="84"/>
  <c r="G39" i="84"/>
  <c r="G115" i="84"/>
  <c r="G38" i="84"/>
  <c r="G20" i="84"/>
  <c r="G30" i="84"/>
  <c r="G21" i="84"/>
  <c r="G13" i="84"/>
  <c r="G206" i="84"/>
  <c r="G175" i="84"/>
  <c r="G98" i="84"/>
  <c r="G166" i="84"/>
  <c r="G174" i="84"/>
  <c r="G186" i="84"/>
  <c r="G190" i="84"/>
  <c r="G160" i="84"/>
  <c r="G48" i="84"/>
  <c r="G208" i="84"/>
  <c r="G172" i="84"/>
  <c r="G140" i="84"/>
  <c r="G44" i="84"/>
  <c r="G214" i="84"/>
  <c r="G88" i="84"/>
  <c r="G42" i="84"/>
  <c r="G209" i="84"/>
  <c r="G83" i="84"/>
  <c r="G225" i="84"/>
  <c r="G189" i="84"/>
  <c r="G132" i="84"/>
  <c r="G78" i="84"/>
  <c r="G154" i="84"/>
  <c r="G124" i="84"/>
  <c r="G184" i="84"/>
  <c r="G133" i="84"/>
  <c r="G111" i="84"/>
  <c r="G68" i="84"/>
  <c r="G134" i="84"/>
  <c r="G192" i="84"/>
  <c r="G79" i="84"/>
  <c r="G90" i="84"/>
  <c r="G200" i="84"/>
  <c r="G120" i="84"/>
  <c r="G15" i="84"/>
  <c r="G219" i="84"/>
  <c r="G151" i="84"/>
  <c r="G116" i="84"/>
  <c r="G92" i="84"/>
  <c r="G203" i="84"/>
  <c r="G99" i="84"/>
  <c r="G54" i="84"/>
  <c r="G213" i="84"/>
  <c r="G19" i="84"/>
  <c r="G36" i="84"/>
  <c r="G173" i="84"/>
  <c r="G146" i="84"/>
  <c r="G50" i="84"/>
  <c r="G80" i="84"/>
  <c r="G163" i="84"/>
  <c r="G103" i="84"/>
  <c r="G74" i="84"/>
  <c r="G147" i="84"/>
  <c r="G89" i="84"/>
  <c r="G8" i="84"/>
  <c r="G34" i="84"/>
  <c r="G171" i="84"/>
  <c r="G110" i="84"/>
  <c r="G141" i="84"/>
  <c r="G81" i="84"/>
  <c r="G95" i="84"/>
  <c r="G25" i="84"/>
  <c r="G60" i="84"/>
  <c r="G221" i="84"/>
  <c r="G191" i="84"/>
  <c r="G67" i="84"/>
  <c r="G137" i="84"/>
  <c r="G72" i="84"/>
  <c r="G69" i="84"/>
  <c r="G205" i="84"/>
  <c r="G61" i="84"/>
  <c r="G14" i="84"/>
  <c r="G224" i="84"/>
  <c r="G123" i="84"/>
  <c r="G46" i="84"/>
  <c r="G62" i="84"/>
  <c r="G165" i="84"/>
  <c r="G193" i="84"/>
  <c r="G207" i="84"/>
  <c r="G87" i="84"/>
  <c r="G105" i="84"/>
  <c r="G143" i="84"/>
  <c r="G104" i="84"/>
  <c r="K11" i="2"/>
  <c r="K16" i="2"/>
  <c r="K25" i="2"/>
  <c r="K27" i="2"/>
  <c r="K39" i="2"/>
  <c r="K48" i="2"/>
  <c r="K50" i="2"/>
  <c r="K58" i="2"/>
  <c r="K69" i="2"/>
  <c r="K79" i="2"/>
  <c r="K118" i="2"/>
  <c r="K141" i="2"/>
  <c r="K147" i="2"/>
  <c r="K150" i="2"/>
  <c r="K174" i="2"/>
  <c r="K176" i="2"/>
  <c r="K9" i="2"/>
  <c r="K35" i="2"/>
  <c r="K37" i="2"/>
  <c r="K44" i="2"/>
  <c r="K46" i="2"/>
  <c r="K59" i="2"/>
  <c r="K65" i="2"/>
  <c r="K94" i="2"/>
  <c r="K105" i="2"/>
  <c r="K126" i="2"/>
  <c r="K133" i="2"/>
  <c r="K138" i="2"/>
  <c r="K142" i="2"/>
  <c r="K146" i="2"/>
  <c r="K154" i="2"/>
  <c r="K173" i="2"/>
  <c r="K7" i="2"/>
  <c r="K21" i="2"/>
  <c r="K42" i="2"/>
  <c r="K90" i="2"/>
  <c r="K134" i="2"/>
  <c r="K145" i="2"/>
  <c r="K177" i="2"/>
  <c r="K178" i="2"/>
  <c r="K184" i="2"/>
  <c r="K20" i="2"/>
  <c r="K22" i="2"/>
  <c r="K52" i="2"/>
  <c r="K55" i="2"/>
  <c r="K61" i="2"/>
  <c r="K72" i="2"/>
  <c r="K101" i="2"/>
  <c r="K137" i="2"/>
  <c r="K139" i="2"/>
  <c r="K158" i="2"/>
  <c r="K166" i="2"/>
  <c r="K190" i="2"/>
  <c r="K31" i="2"/>
  <c r="K36" i="2"/>
  <c r="K41" i="2"/>
  <c r="K73" i="2"/>
  <c r="K76" i="2"/>
  <c r="K84" i="2"/>
  <c r="K106" i="2"/>
  <c r="K201" i="2"/>
  <c r="K212" i="2"/>
  <c r="K226" i="2"/>
  <c r="K233" i="2"/>
  <c r="K237" i="2"/>
  <c r="K242" i="2"/>
  <c r="K248" i="2"/>
  <c r="K253" i="2"/>
  <c r="K254" i="2"/>
  <c r="K261" i="2"/>
  <c r="K273" i="2"/>
  <c r="K276" i="2"/>
  <c r="K278" i="2"/>
  <c r="K288" i="2"/>
  <c r="K304" i="2"/>
  <c r="K312" i="2"/>
  <c r="K339" i="2"/>
  <c r="K26" i="2"/>
  <c r="K49" i="2"/>
  <c r="K103" i="2"/>
  <c r="K111" i="2"/>
  <c r="K159" i="2"/>
  <c r="K185" i="2"/>
  <c r="K192" i="2"/>
  <c r="K193" i="2"/>
  <c r="K205" i="2"/>
  <c r="K222" i="2"/>
  <c r="K229" i="2"/>
  <c r="K277" i="2"/>
  <c r="K281" i="2"/>
  <c r="K282" i="2"/>
  <c r="K293" i="2"/>
  <c r="K303" i="2"/>
  <c r="K311" i="2"/>
  <c r="K332" i="2"/>
  <c r="K86" i="2"/>
  <c r="K92" i="2"/>
  <c r="K97" i="2"/>
  <c r="K102" i="2"/>
  <c r="K131" i="2"/>
  <c r="K170" i="2"/>
  <c r="K182" i="2"/>
  <c r="K189" i="2"/>
  <c r="K197" i="2"/>
  <c r="K216" i="2"/>
  <c r="K225" i="2"/>
  <c r="K236" i="2"/>
  <c r="K249" i="2"/>
  <c r="K250" i="2"/>
  <c r="K252" i="2"/>
  <c r="K266" i="2"/>
  <c r="K269" i="2"/>
  <c r="K272" i="2"/>
  <c r="K274" i="2"/>
  <c r="K316" i="2"/>
  <c r="K319" i="2"/>
  <c r="K321" i="2"/>
  <c r="K325" i="2"/>
  <c r="K12" i="2"/>
  <c r="K63" i="2"/>
  <c r="K96" i="2"/>
  <c r="K109" i="2"/>
  <c r="K135" i="2"/>
  <c r="K161" i="2"/>
  <c r="K168" i="2"/>
  <c r="K241" i="2"/>
  <c r="K308" i="2"/>
  <c r="K17" i="2"/>
  <c r="K99" i="2"/>
  <c r="K143" i="2"/>
  <c r="K165" i="2"/>
  <c r="K169" i="2"/>
  <c r="K221" i="2"/>
  <c r="K301" i="2"/>
  <c r="K340" i="2"/>
  <c r="K114" i="2"/>
  <c r="K246" i="2"/>
  <c r="K258" i="2"/>
  <c r="K280" i="2"/>
  <c r="K333" i="2"/>
  <c r="K337" i="2"/>
  <c r="K162" i="2"/>
  <c r="K245" i="2"/>
  <c r="K270" i="2"/>
  <c r="K307" i="2"/>
  <c r="K320" i="2"/>
  <c r="K345" i="2"/>
  <c r="K24" i="2"/>
  <c r="K67" i="2"/>
  <c r="K130" i="2"/>
  <c r="K210" i="2"/>
  <c r="K300" i="2"/>
  <c r="K328" i="2"/>
  <c r="K244" i="2"/>
  <c r="K113" i="2"/>
  <c r="K122" i="2"/>
  <c r="K257" i="2"/>
  <c r="K285" i="2"/>
  <c r="K343" i="2"/>
  <c r="K110" i="2"/>
  <c r="K186" i="2"/>
  <c r="K209" i="2"/>
  <c r="K81" i="2"/>
  <c r="K87" i="2"/>
  <c r="K256" i="2"/>
  <c r="K265" i="2"/>
  <c r="K10" i="2"/>
  <c r="K213" i="2"/>
  <c r="K284" i="2"/>
  <c r="K296" i="2"/>
  <c r="K40" i="2"/>
  <c r="K45" i="2"/>
  <c r="K214" i="2"/>
  <c r="K341" i="2"/>
  <c r="K107" i="2"/>
  <c r="K181" i="2"/>
  <c r="K309" i="2"/>
  <c r="K336" i="2"/>
  <c r="K217" i="2"/>
  <c r="K335" i="2"/>
  <c r="K88" i="2"/>
  <c r="K224" i="2"/>
  <c r="K324" i="2"/>
  <c r="K344" i="2"/>
  <c r="K292" i="2"/>
  <c r="K15" i="2"/>
  <c r="K8" i="2"/>
  <c r="K148" i="2"/>
  <c r="K23" i="2"/>
  <c r="K305" i="2"/>
  <c r="K267" i="2"/>
  <c r="K194" i="2"/>
  <c r="K127" i="2"/>
  <c r="K323" i="2"/>
  <c r="K218" i="2"/>
  <c r="K191" i="2"/>
  <c r="K223" i="2"/>
  <c r="K155" i="2"/>
  <c r="K179" i="2"/>
  <c r="K119" i="2"/>
  <c r="K13" i="2"/>
  <c r="K60" i="2"/>
  <c r="K231" i="2"/>
  <c r="K120" i="2"/>
  <c r="K153" i="2"/>
  <c r="K149" i="2"/>
  <c r="K338" i="2"/>
  <c r="K247" i="2"/>
  <c r="K75" i="2"/>
  <c r="K215" i="2"/>
  <c r="K54" i="2"/>
  <c r="K30" i="2"/>
  <c r="K279" i="2"/>
  <c r="K98" i="2"/>
  <c r="K289" i="2"/>
  <c r="K326" i="2"/>
  <c r="K302" i="2"/>
  <c r="K227" i="2"/>
  <c r="K33" i="2"/>
  <c r="K14" i="2"/>
  <c r="K313" i="2"/>
  <c r="K346" i="2"/>
  <c r="K167" i="2"/>
  <c r="K268" i="2"/>
  <c r="K347" i="2"/>
  <c r="K271" i="2"/>
  <c r="K295" i="2"/>
  <c r="K228" i="2"/>
  <c r="K157" i="2"/>
  <c r="K172" i="2"/>
  <c r="K136" i="2"/>
  <c r="K140" i="2"/>
  <c r="K68" i="2"/>
  <c r="K62" i="2"/>
  <c r="K116" i="2"/>
  <c r="K238" i="2"/>
  <c r="K93" i="2"/>
  <c r="K151" i="2"/>
  <c r="K195" i="2"/>
  <c r="K251" i="2"/>
  <c r="K196" i="2"/>
  <c r="K100" i="2"/>
  <c r="K144" i="2"/>
  <c r="K124" i="2"/>
  <c r="K82" i="2"/>
  <c r="K56" i="2"/>
  <c r="K206" i="2"/>
  <c r="K314" i="2"/>
  <c r="K125" i="2"/>
  <c r="K259" i="2"/>
  <c r="K239" i="2"/>
  <c r="K207" i="2"/>
  <c r="K18" i="2"/>
  <c r="K28" i="2"/>
  <c r="K183" i="2"/>
  <c r="K287" i="2"/>
  <c r="K290" i="2"/>
  <c r="K202" i="2"/>
  <c r="K95" i="2"/>
  <c r="K208" i="2"/>
  <c r="K342" i="2"/>
  <c r="K70" i="2"/>
  <c r="K306" i="2"/>
  <c r="K232" i="2"/>
  <c r="K164" i="2"/>
  <c r="K275" i="2"/>
  <c r="K117" i="2"/>
  <c r="K104" i="2"/>
  <c r="K121" i="2"/>
  <c r="K89" i="2"/>
  <c r="K51" i="2"/>
  <c r="K47" i="2"/>
  <c r="K175" i="2"/>
  <c r="K283" i="2"/>
  <c r="K108" i="2"/>
  <c r="K243" i="2"/>
  <c r="K234" i="2"/>
  <c r="K78" i="2"/>
  <c r="K329" i="2"/>
  <c r="K77" i="2"/>
  <c r="K163" i="2"/>
  <c r="K330" i="2"/>
  <c r="K298" i="2"/>
  <c r="K152" i="2"/>
  <c r="K198" i="2"/>
  <c r="K230" i="2"/>
  <c r="K29" i="2"/>
  <c r="K19" i="2"/>
  <c r="K334" i="2"/>
  <c r="K331" i="2"/>
  <c r="K322" i="2"/>
  <c r="K327" i="2"/>
  <c r="K291" i="2"/>
  <c r="K6" i="2"/>
  <c r="K200" i="2"/>
  <c r="K262" i="2"/>
  <c r="K187" i="2"/>
  <c r="K180" i="2"/>
  <c r="K112" i="2"/>
  <c r="K71" i="2"/>
  <c r="K171" i="2"/>
  <c r="K129" i="2"/>
  <c r="K286" i="2"/>
  <c r="K260" i="2"/>
  <c r="K85" i="2"/>
  <c r="K263" i="2"/>
  <c r="K318" i="2"/>
  <c r="K203" i="2"/>
  <c r="K123" i="2"/>
  <c r="K188" i="2"/>
  <c r="K74" i="2"/>
  <c r="K64" i="2"/>
  <c r="K294" i="2"/>
  <c r="K220" i="2"/>
  <c r="K43" i="2"/>
  <c r="K160" i="2"/>
  <c r="K57" i="2"/>
  <c r="K264" i="2"/>
  <c r="K132" i="2"/>
  <c r="K53" i="2"/>
  <c r="K240" i="2"/>
  <c r="K156" i="2"/>
  <c r="K204" i="2"/>
  <c r="K255" i="2"/>
  <c r="K299" i="2"/>
  <c r="K115" i="2"/>
  <c r="K32" i="2"/>
  <c r="K199" i="2"/>
  <c r="K128" i="2"/>
  <c r="K317" i="2"/>
  <c r="K315" i="2"/>
  <c r="K211" i="2"/>
  <c r="K310" i="2"/>
  <c r="K297" i="2"/>
  <c r="K219" i="2"/>
  <c r="K34" i="2"/>
  <c r="K91" i="2"/>
  <c r="K38" i="2"/>
  <c r="K83" i="2"/>
  <c r="K66" i="2"/>
  <c r="K235" i="2"/>
  <c r="K80" i="2"/>
  <c r="K15" i="3"/>
  <c r="K18" i="3"/>
  <c r="K21" i="3"/>
  <c r="K31" i="3"/>
  <c r="K34" i="3"/>
  <c r="K53" i="3"/>
  <c r="K60" i="3"/>
  <c r="K70" i="3"/>
  <c r="K86" i="3"/>
  <c r="K102" i="3"/>
  <c r="K9" i="3"/>
  <c r="K12" i="3"/>
  <c r="K25" i="3"/>
  <c r="K28" i="3"/>
  <c r="K41" i="3"/>
  <c r="K44" i="3"/>
  <c r="K47" i="3"/>
  <c r="K50" i="3"/>
  <c r="K57" i="3"/>
  <c r="K67" i="3"/>
  <c r="K77" i="3"/>
  <c r="K80" i="3"/>
  <c r="K83" i="3"/>
  <c r="K93" i="3"/>
  <c r="K96" i="3"/>
  <c r="K99" i="3"/>
  <c r="K109" i="3"/>
  <c r="K6" i="3"/>
  <c r="K22" i="3"/>
  <c r="K38" i="3"/>
  <c r="K54" i="3"/>
  <c r="K64" i="3"/>
  <c r="K71" i="3"/>
  <c r="K74" i="3"/>
  <c r="K87" i="3"/>
  <c r="K90" i="3"/>
  <c r="K103" i="3"/>
  <c r="K106" i="3"/>
  <c r="K116" i="3"/>
  <c r="K126" i="3"/>
  <c r="K133" i="3"/>
  <c r="K136" i="3"/>
  <c r="K143" i="3"/>
  <c r="K146" i="3"/>
  <c r="K14" i="3"/>
  <c r="K30" i="3"/>
  <c r="K49" i="3"/>
  <c r="K52" i="3"/>
  <c r="K59" i="3"/>
  <c r="K79" i="3"/>
  <c r="K82" i="3"/>
  <c r="K95" i="3"/>
  <c r="K98" i="3"/>
  <c r="K11" i="3"/>
  <c r="K20" i="3"/>
  <c r="K32" i="3"/>
  <c r="K51" i="3"/>
  <c r="K55" i="3"/>
  <c r="K61" i="3"/>
  <c r="K85" i="3"/>
  <c r="K128" i="3"/>
  <c r="K23" i="3"/>
  <c r="K26" i="3"/>
  <c r="K29" i="3"/>
  <c r="K33" i="3"/>
  <c r="K58" i="3"/>
  <c r="K62" i="3"/>
  <c r="K63" i="3"/>
  <c r="K65" i="3"/>
  <c r="K88" i="3"/>
  <c r="K89" i="3"/>
  <c r="K111" i="3"/>
  <c r="K115" i="3"/>
  <c r="K120" i="3"/>
  <c r="K124" i="3"/>
  <c r="K129" i="3"/>
  <c r="K142" i="3"/>
  <c r="K151" i="3"/>
  <c r="K154" i="3"/>
  <c r="K24" i="3"/>
  <c r="K27" i="3"/>
  <c r="K35" i="3"/>
  <c r="K56" i="3"/>
  <c r="K68" i="3"/>
  <c r="K91" i="3"/>
  <c r="K92" i="3"/>
  <c r="K94" i="3"/>
  <c r="K134" i="3"/>
  <c r="K138" i="3"/>
  <c r="K147" i="3"/>
  <c r="K10" i="3"/>
  <c r="K16" i="3"/>
  <c r="K17" i="3"/>
  <c r="K110" i="3"/>
  <c r="K113" i="3"/>
  <c r="K117" i="3"/>
  <c r="K161" i="3"/>
  <c r="K164" i="3"/>
  <c r="K177" i="3"/>
  <c r="K180" i="3"/>
  <c r="K193" i="3"/>
  <c r="K196" i="3"/>
  <c r="K209" i="3"/>
  <c r="K212" i="3"/>
  <c r="K222" i="3"/>
  <c r="K235" i="3"/>
  <c r="K238" i="3"/>
  <c r="K254" i="3"/>
  <c r="K257" i="3"/>
  <c r="K260" i="3"/>
  <c r="K266" i="3"/>
  <c r="K275" i="3"/>
  <c r="K303" i="3"/>
  <c r="K309" i="3"/>
  <c r="K312" i="3"/>
  <c r="K318" i="3"/>
  <c r="K321" i="3"/>
  <c r="K324" i="3"/>
  <c r="K340" i="3"/>
  <c r="K346" i="3"/>
  <c r="K365" i="3"/>
  <c r="K368" i="3"/>
  <c r="K388" i="3"/>
  <c r="K391" i="3"/>
  <c r="K394" i="3"/>
  <c r="K397" i="3"/>
  <c r="K400" i="3"/>
  <c r="K73" i="3"/>
  <c r="K75" i="3"/>
  <c r="K100" i="3"/>
  <c r="K114" i="3"/>
  <c r="K165" i="3"/>
  <c r="K171" i="3"/>
  <c r="K184" i="3"/>
  <c r="K213" i="3"/>
  <c r="K216" i="3"/>
  <c r="K236" i="3"/>
  <c r="K255" i="3"/>
  <c r="K264" i="3"/>
  <c r="K270" i="3"/>
  <c r="K273" i="3"/>
  <c r="K276" i="3"/>
  <c r="K282" i="3"/>
  <c r="K328" i="3"/>
  <c r="K331" i="3"/>
  <c r="K7" i="3"/>
  <c r="K8" i="3"/>
  <c r="K69" i="3"/>
  <c r="K78" i="3"/>
  <c r="K81" i="3"/>
  <c r="K97" i="3"/>
  <c r="K108" i="3"/>
  <c r="K141" i="3"/>
  <c r="K153" i="3"/>
  <c r="K158" i="3"/>
  <c r="K174" i="3"/>
  <c r="K190" i="3"/>
  <c r="K203" i="3"/>
  <c r="K206" i="3"/>
  <c r="K219" i="3"/>
  <c r="K229" i="3"/>
  <c r="K232" i="3"/>
  <c r="K245" i="3"/>
  <c r="K248" i="3"/>
  <c r="K251" i="3"/>
  <c r="K279" i="3"/>
  <c r="K285" i="3"/>
  <c r="K288" i="3"/>
  <c r="K294" i="3"/>
  <c r="K297" i="3"/>
  <c r="K300" i="3"/>
  <c r="K306" i="3"/>
  <c r="K315" i="3"/>
  <c r="K334" i="3"/>
  <c r="K337" i="3"/>
  <c r="K359" i="3"/>
  <c r="K362" i="3"/>
  <c r="K372" i="3"/>
  <c r="K375" i="3"/>
  <c r="K378" i="3"/>
  <c r="K385" i="3"/>
  <c r="K404" i="3"/>
  <c r="K407" i="3"/>
  <c r="K410" i="3"/>
  <c r="K413" i="3"/>
  <c r="K416" i="3"/>
  <c r="K419" i="3"/>
  <c r="K72" i="3"/>
  <c r="K76" i="3"/>
  <c r="K107" i="3"/>
  <c r="K144" i="3"/>
  <c r="K168" i="3"/>
  <c r="K181" i="3"/>
  <c r="K187" i="3"/>
  <c r="K197" i="3"/>
  <c r="K200" i="3"/>
  <c r="K223" i="3"/>
  <c r="K226" i="3"/>
  <c r="K239" i="3"/>
  <c r="K242" i="3"/>
  <c r="K261" i="3"/>
  <c r="K291" i="3"/>
  <c r="K319" i="3"/>
  <c r="K325" i="3"/>
  <c r="K66" i="3"/>
  <c r="K101" i="3"/>
  <c r="K104" i="3"/>
  <c r="K105" i="3"/>
  <c r="K118" i="3"/>
  <c r="K119" i="3"/>
  <c r="K121" i="3"/>
  <c r="K130" i="3"/>
  <c r="K159" i="3"/>
  <c r="K162" i="3"/>
  <c r="K175" i="3"/>
  <c r="K178" i="3"/>
  <c r="K191" i="3"/>
  <c r="K194" i="3"/>
  <c r="K204" i="3"/>
  <c r="K207" i="3"/>
  <c r="K210" i="3"/>
  <c r="K220" i="3"/>
  <c r="K233" i="3"/>
  <c r="K249" i="3"/>
  <c r="K252" i="3"/>
  <c r="K258" i="3"/>
  <c r="K267" i="3"/>
  <c r="K295" i="3"/>
  <c r="K301" i="3"/>
  <c r="K304" i="3"/>
  <c r="K310" i="3"/>
  <c r="K313" i="3"/>
  <c r="K316" i="3"/>
  <c r="K322" i="3"/>
  <c r="K335" i="3"/>
  <c r="K347" i="3"/>
  <c r="K363" i="3"/>
  <c r="K366" i="3"/>
  <c r="K379" i="3"/>
  <c r="K389" i="3"/>
  <c r="K392" i="3"/>
  <c r="K395" i="3"/>
  <c r="K398" i="3"/>
  <c r="K417" i="3"/>
  <c r="K420" i="3"/>
  <c r="K19" i="3"/>
  <c r="K40" i="3"/>
  <c r="K43" i="3"/>
  <c r="K46" i="3"/>
  <c r="K127" i="3"/>
  <c r="K132" i="3"/>
  <c r="K137" i="3"/>
  <c r="K139" i="3"/>
  <c r="K149" i="3"/>
  <c r="K156" i="3"/>
  <c r="K160" i="3"/>
  <c r="K163" i="3"/>
  <c r="K173" i="3"/>
  <c r="K176" i="3"/>
  <c r="K179" i="3"/>
  <c r="K189" i="3"/>
  <c r="K192" i="3"/>
  <c r="K195" i="3"/>
  <c r="K205" i="3"/>
  <c r="K208" i="3"/>
  <c r="K211" i="3"/>
  <c r="K231" i="3"/>
  <c r="K234" i="3"/>
  <c r="K247" i="3"/>
  <c r="K250" i="3"/>
  <c r="K259" i="3"/>
  <c r="K287" i="3"/>
  <c r="K293" i="3"/>
  <c r="K296" i="3"/>
  <c r="K302" i="3"/>
  <c r="K305" i="3"/>
  <c r="K308" i="3"/>
  <c r="K314" i="3"/>
  <c r="K323" i="3"/>
  <c r="K333" i="3"/>
  <c r="K336" i="3"/>
  <c r="K339" i="3"/>
  <c r="K361" i="3"/>
  <c r="K377" i="3"/>
  <c r="K387" i="3"/>
  <c r="K390" i="3"/>
  <c r="K409" i="3"/>
  <c r="K412" i="3"/>
  <c r="K415" i="3"/>
  <c r="K418" i="3"/>
  <c r="K421" i="3"/>
  <c r="K48" i="3"/>
  <c r="K112" i="3"/>
  <c r="K123" i="3"/>
  <c r="K135" i="3"/>
  <c r="K155" i="3"/>
  <c r="K157" i="3"/>
  <c r="K202" i="3"/>
  <c r="K218" i="3"/>
  <c r="K237" i="3"/>
  <c r="K317" i="3"/>
  <c r="K345" i="3"/>
  <c r="K358" i="3"/>
  <c r="K360" i="3"/>
  <c r="K364" i="3"/>
  <c r="K367" i="3"/>
  <c r="K369" i="3"/>
  <c r="K384" i="3"/>
  <c r="K386" i="3"/>
  <c r="K182" i="3"/>
  <c r="K225" i="3"/>
  <c r="K290" i="3"/>
  <c r="K307" i="3"/>
  <c r="K148" i="3"/>
  <c r="K269" i="3"/>
  <c r="K277" i="3"/>
  <c r="K330" i="3"/>
  <c r="K342" i="3"/>
  <c r="K343" i="3"/>
  <c r="K396" i="3"/>
  <c r="K401" i="3"/>
  <c r="K42" i="3"/>
  <c r="K84" i="3"/>
  <c r="K221" i="3"/>
  <c r="K240" i="3"/>
  <c r="K243" i="3"/>
  <c r="K283" i="3"/>
  <c r="K383" i="3"/>
  <c r="K13" i="3"/>
  <c r="K125" i="3"/>
  <c r="K198" i="3"/>
  <c r="K214" i="3"/>
  <c r="K274" i="3"/>
  <c r="K39" i="3"/>
  <c r="K122" i="3"/>
  <c r="K166" i="3"/>
  <c r="K167" i="3"/>
  <c r="K169" i="3"/>
  <c r="K256" i="3"/>
  <c r="K298" i="3"/>
  <c r="K348" i="3"/>
  <c r="K349" i="3"/>
  <c r="K406" i="3"/>
  <c r="K408" i="3"/>
  <c r="K185" i="3"/>
  <c r="K376" i="3"/>
  <c r="K380" i="3"/>
  <c r="K186" i="3"/>
  <c r="K188" i="3"/>
  <c r="K263" i="3"/>
  <c r="K332" i="3"/>
  <c r="K354" i="3"/>
  <c r="K356" i="3"/>
  <c r="K382" i="3"/>
  <c r="K145" i="3"/>
  <c r="K241" i="3"/>
  <c r="K244" i="3"/>
  <c r="K265" i="3"/>
  <c r="K272" i="3"/>
  <c r="K278" i="3"/>
  <c r="K284" i="3"/>
  <c r="K344" i="3"/>
  <c r="K37" i="3"/>
  <c r="K152" i="3"/>
  <c r="K170" i="3"/>
  <c r="K172" i="3"/>
  <c r="K253" i="3"/>
  <c r="K299" i="3"/>
  <c r="K350" i="3"/>
  <c r="K370" i="3"/>
  <c r="K371" i="3"/>
  <c r="K373" i="3"/>
  <c r="K411" i="3"/>
  <c r="K414" i="3"/>
  <c r="K224" i="3"/>
  <c r="K228" i="3"/>
  <c r="K326" i="3"/>
  <c r="K329" i="3"/>
  <c r="K374" i="3"/>
  <c r="K262" i="3"/>
  <c r="K268" i="3"/>
  <c r="K281" i="3"/>
  <c r="K355" i="3"/>
  <c r="K393" i="3"/>
  <c r="K399" i="3"/>
  <c r="K320" i="3"/>
  <c r="K402" i="3"/>
  <c r="K36" i="3"/>
  <c r="K45" i="3"/>
  <c r="K131" i="3"/>
  <c r="K140" i="3"/>
  <c r="K230" i="3"/>
  <c r="K289" i="3"/>
  <c r="K311" i="3"/>
  <c r="K341" i="3"/>
  <c r="K351" i="3"/>
  <c r="K150" i="3"/>
  <c r="K183" i="3"/>
  <c r="K227" i="3"/>
  <c r="K246" i="3"/>
  <c r="K280" i="3"/>
  <c r="K286" i="3"/>
  <c r="K292" i="3"/>
  <c r="K327" i="3"/>
  <c r="K338" i="3"/>
  <c r="K352" i="3"/>
  <c r="K353" i="3"/>
  <c r="K381" i="3"/>
  <c r="K271" i="3"/>
  <c r="K357" i="3"/>
  <c r="K199" i="3"/>
  <c r="K201" i="3"/>
  <c r="K215" i="3"/>
  <c r="K217" i="3"/>
  <c r="K403" i="3"/>
  <c r="K405" i="3"/>
  <c r="J59" i="2"/>
  <c r="J65" i="2"/>
  <c r="J68" i="2"/>
  <c r="J94" i="2"/>
  <c r="J105" i="2"/>
  <c r="J126" i="2"/>
  <c r="J133" i="2"/>
  <c r="J138" i="2"/>
  <c r="J142" i="2"/>
  <c r="J146" i="2"/>
  <c r="J154" i="2"/>
  <c r="J173" i="2"/>
  <c r="J179" i="2"/>
  <c r="J60" i="2"/>
  <c r="J82" i="2"/>
  <c r="J89" i="2"/>
  <c r="J90" i="2"/>
  <c r="J120" i="2"/>
  <c r="J134" i="2"/>
  <c r="J145" i="2"/>
  <c r="J164" i="2"/>
  <c r="J177" i="2"/>
  <c r="J184" i="2"/>
  <c r="J186" i="2"/>
  <c r="J97" i="2"/>
  <c r="J106" i="2"/>
  <c r="J107" i="2"/>
  <c r="J135" i="2"/>
  <c r="J144" i="2"/>
  <c r="J163" i="2"/>
  <c r="J63" i="2"/>
  <c r="J86" i="2"/>
  <c r="J87" i="2"/>
  <c r="J110" i="2"/>
  <c r="J124" i="2"/>
  <c r="J143" i="2"/>
  <c r="J151" i="2"/>
  <c r="J165" i="2"/>
  <c r="J169" i="2"/>
  <c r="J103" i="2"/>
  <c r="J111" i="2"/>
  <c r="J148" i="2"/>
  <c r="J160" i="2"/>
  <c r="J185" i="2"/>
  <c r="J192" i="2"/>
  <c r="J193" i="2"/>
  <c r="J205" i="2"/>
  <c r="J222" i="2"/>
  <c r="J229" i="2"/>
  <c r="J240" i="2"/>
  <c r="J262" i="2"/>
  <c r="J277" i="2"/>
  <c r="J281" i="2"/>
  <c r="J282" i="2"/>
  <c r="J293" i="2"/>
  <c r="J306" i="2"/>
  <c r="J311" i="2"/>
  <c r="J317" i="2"/>
  <c r="J322" i="2"/>
  <c r="J332" i="2"/>
  <c r="J102" i="2"/>
  <c r="J131" i="2"/>
  <c r="J150" i="2"/>
  <c r="J189" i="2"/>
  <c r="J197" i="2"/>
  <c r="J203" i="2"/>
  <c r="J216" i="2"/>
  <c r="J225" i="2"/>
  <c r="J249" i="2"/>
  <c r="J250" i="2"/>
  <c r="J252" i="2"/>
  <c r="J269" i="2"/>
  <c r="J272" i="2"/>
  <c r="J274" i="2"/>
  <c r="J275" i="2"/>
  <c r="J283" i="2"/>
  <c r="J289" i="2"/>
  <c r="J316" i="2"/>
  <c r="J319" i="2"/>
  <c r="J325" i="2"/>
  <c r="J330" i="2"/>
  <c r="J338" i="2"/>
  <c r="J72" i="2"/>
  <c r="J81" i="2"/>
  <c r="J91" i="2"/>
  <c r="J99" i="2"/>
  <c r="J130" i="2"/>
  <c r="J139" i="2"/>
  <c r="J141" i="2"/>
  <c r="J152" i="2"/>
  <c r="J176" i="2"/>
  <c r="J191" i="2"/>
  <c r="J194" i="2"/>
  <c r="J211" i="2"/>
  <c r="J213" i="2"/>
  <c r="J221" i="2"/>
  <c r="J224" i="2"/>
  <c r="J244" i="2"/>
  <c r="J245" i="2"/>
  <c r="J259" i="2"/>
  <c r="J260" i="2"/>
  <c r="J265" i="2"/>
  <c r="J267" i="2"/>
  <c r="J270" i="2"/>
  <c r="J292" i="2"/>
  <c r="J337" i="2"/>
  <c r="J341" i="2"/>
  <c r="J67" i="2"/>
  <c r="J69" i="2"/>
  <c r="J77" i="2"/>
  <c r="J113" i="2"/>
  <c r="J116" i="2"/>
  <c r="J171" i="2"/>
  <c r="J190" i="2"/>
  <c r="J208" i="2"/>
  <c r="J220" i="2"/>
  <c r="J230" i="2"/>
  <c r="J256" i="2"/>
  <c r="J257" i="2"/>
  <c r="J263" i="2"/>
  <c r="J285" i="2"/>
  <c r="J307" i="2"/>
  <c r="J326" i="2"/>
  <c r="J101" i="2"/>
  <c r="J114" i="2"/>
  <c r="J119" i="2"/>
  <c r="J128" i="2"/>
  <c r="J158" i="2"/>
  <c r="J180" i="2"/>
  <c r="J246" i="2"/>
  <c r="J258" i="2"/>
  <c r="J280" i="2"/>
  <c r="J327" i="2"/>
  <c r="J156" i="2"/>
  <c r="J254" i="2"/>
  <c r="J261" i="2"/>
  <c r="J298" i="2"/>
  <c r="J320" i="2"/>
  <c r="J345" i="2"/>
  <c r="J168" i="2"/>
  <c r="J172" i="2"/>
  <c r="J195" i="2"/>
  <c r="J199" i="2"/>
  <c r="J214" i="2"/>
  <c r="J227" i="2"/>
  <c r="J248" i="2"/>
  <c r="J300" i="2"/>
  <c r="J304" i="2"/>
  <c r="J312" i="2"/>
  <c r="J344" i="2"/>
  <c r="J122" i="2"/>
  <c r="J273" i="2"/>
  <c r="J295" i="2"/>
  <c r="J308" i="2"/>
  <c r="J339" i="2"/>
  <c r="J343" i="2"/>
  <c r="J201" i="2"/>
  <c r="J118" i="2"/>
  <c r="J209" i="2"/>
  <c r="J212" i="2"/>
  <c r="J223" i="2"/>
  <c r="J231" i="2"/>
  <c r="J288" i="2"/>
  <c r="J147" i="2"/>
  <c r="J207" i="2"/>
  <c r="J137" i="2"/>
  <c r="J161" i="2"/>
  <c r="J181" i="2"/>
  <c r="J217" i="2"/>
  <c r="J242" i="2"/>
  <c r="J253" i="2"/>
  <c r="J318" i="2"/>
  <c r="J290" i="2"/>
  <c r="J294" i="2"/>
  <c r="J324" i="2"/>
  <c r="J335" i="2"/>
  <c r="J109" i="2"/>
  <c r="J132" i="2"/>
  <c r="J328" i="2"/>
  <c r="J210" i="2"/>
  <c r="J239" i="2"/>
  <c r="J241" i="2"/>
  <c r="J296" i="2"/>
  <c r="J309" i="2"/>
  <c r="J336" i="2"/>
  <c r="J198" i="2"/>
  <c r="J297" i="2"/>
  <c r="J340" i="2"/>
  <c r="J235" i="2"/>
  <c r="J226" i="2"/>
  <c r="J237" i="2"/>
  <c r="J278" i="2"/>
  <c r="J233" i="2"/>
  <c r="J276" i="2"/>
  <c r="J315" i="2"/>
  <c r="J219" i="2"/>
  <c r="J243" i="2"/>
  <c r="J236" i="2"/>
  <c r="J264" i="2"/>
  <c r="J347" i="2"/>
  <c r="J266" i="2"/>
  <c r="J32" i="2"/>
  <c r="J123" i="2"/>
  <c r="J73" i="2"/>
  <c r="J10" i="2"/>
  <c r="J7" i="2"/>
  <c r="J26" i="2"/>
  <c r="J8" i="2"/>
  <c r="J80" i="2"/>
  <c r="J84" i="2"/>
  <c r="J204" i="2"/>
  <c r="J202" i="2"/>
  <c r="J238" i="2"/>
  <c r="J41" i="2"/>
  <c r="J286" i="2"/>
  <c r="J125" i="2"/>
  <c r="J75" i="2"/>
  <c r="J112" i="2"/>
  <c r="J44" i="2"/>
  <c r="J48" i="2"/>
  <c r="J76" i="2"/>
  <c r="J79" i="2"/>
  <c r="J302" i="2"/>
  <c r="J331" i="2"/>
  <c r="J287" i="2"/>
  <c r="J299" i="2"/>
  <c r="J182" i="2"/>
  <c r="J329" i="2"/>
  <c r="J70" i="2"/>
  <c r="J342" i="2"/>
  <c r="J115" i="2"/>
  <c r="J178" i="2"/>
  <c r="J155" i="2"/>
  <c r="J64" i="2"/>
  <c r="J117" i="2"/>
  <c r="J100" i="2"/>
  <c r="J159" i="2"/>
  <c r="J33" i="2"/>
  <c r="J35" i="2"/>
  <c r="J9" i="2"/>
  <c r="J38" i="2"/>
  <c r="J14" i="2"/>
  <c r="J23" i="2"/>
  <c r="J12" i="2"/>
  <c r="J218" i="2"/>
  <c r="J78" i="2"/>
  <c r="J200" i="2"/>
  <c r="J121" i="2"/>
  <c r="J16" i="2"/>
  <c r="J15" i="2"/>
  <c r="J334" i="2"/>
  <c r="J153" i="2"/>
  <c r="J333" i="2"/>
  <c r="J162" i="2"/>
  <c r="J247" i="2"/>
  <c r="J215" i="2"/>
  <c r="J88" i="2"/>
  <c r="J346" i="2"/>
  <c r="J206" i="2"/>
  <c r="J167" i="2"/>
  <c r="J291" i="2"/>
  <c r="J228" i="2"/>
  <c r="J71" i="2"/>
  <c r="J29" i="2"/>
  <c r="J129" i="2"/>
  <c r="J140" i="2"/>
  <c r="J83" i="2"/>
  <c r="J57" i="2"/>
  <c r="J37" i="2"/>
  <c r="J36" i="2"/>
  <c r="J21" i="2"/>
  <c r="J24" i="2"/>
  <c r="J49" i="2"/>
  <c r="J46" i="2"/>
  <c r="J174" i="2"/>
  <c r="J187" i="2"/>
  <c r="J136" i="2"/>
  <c r="J17" i="2"/>
  <c r="J52" i="2"/>
  <c r="J321" i="2"/>
  <c r="J149" i="2"/>
  <c r="J284" i="2"/>
  <c r="J188" i="2"/>
  <c r="J104" i="2"/>
  <c r="J157" i="2"/>
  <c r="J85" i="2"/>
  <c r="J323" i="2"/>
  <c r="J310" i="2"/>
  <c r="J183" i="2"/>
  <c r="J305" i="2"/>
  <c r="J95" i="2"/>
  <c r="J268" i="2"/>
  <c r="J74" i="2"/>
  <c r="J271" i="2"/>
  <c r="J232" i="2"/>
  <c r="J170" i="2"/>
  <c r="J93" i="2"/>
  <c r="J30" i="2"/>
  <c r="J255" i="2"/>
  <c r="J13" i="2"/>
  <c r="J43" i="2"/>
  <c r="J40" i="2"/>
  <c r="J39" i="2"/>
  <c r="J53" i="2"/>
  <c r="J175" i="2"/>
  <c r="J303" i="2"/>
  <c r="J108" i="2"/>
  <c r="J50" i="2"/>
  <c r="J251" i="2"/>
  <c r="J301" i="2"/>
  <c r="J6" i="2"/>
  <c r="J234" i="2"/>
  <c r="J45" i="2"/>
  <c r="J11" i="2"/>
  <c r="J92" i="2"/>
  <c r="J22" i="2"/>
  <c r="J20" i="2"/>
  <c r="J51" i="2"/>
  <c r="J25" i="2"/>
  <c r="J31" i="2"/>
  <c r="J34" i="2"/>
  <c r="J166" i="2"/>
  <c r="J314" i="2"/>
  <c r="J27" i="2"/>
  <c r="J55" i="2"/>
  <c r="J98" i="2"/>
  <c r="J54" i="2"/>
  <c r="J42" i="2"/>
  <c r="J58" i="2"/>
  <c r="J313" i="2"/>
  <c r="J127" i="2"/>
  <c r="J66" i="2"/>
  <c r="J47" i="2"/>
  <c r="J18" i="2"/>
  <c r="J96" i="2"/>
  <c r="J196" i="2"/>
  <c r="J19" i="2"/>
  <c r="J61" i="2"/>
  <c r="J28" i="2"/>
  <c r="J56" i="2"/>
  <c r="J279" i="2"/>
  <c r="J62" i="2"/>
  <c r="C43" i="78"/>
  <c r="S5" i="50"/>
  <c r="P5" i="50"/>
  <c r="P4" i="50"/>
  <c r="R5" i="50"/>
  <c r="Q7" i="50"/>
  <c r="X4" i="50"/>
  <c r="Y4" i="50"/>
  <c r="Q4" i="50"/>
  <c r="S7" i="50"/>
  <c r="P7" i="50"/>
  <c r="R7" i="50"/>
  <c r="C67" i="15"/>
  <c r="C89" i="15"/>
  <c r="B30" i="72"/>
  <c r="B34" i="74" s="1"/>
  <c r="D22" i="74"/>
  <c r="K18" i="72"/>
  <c r="K17" i="72"/>
  <c r="K16" i="72"/>
  <c r="L16" i="72"/>
  <c r="D30" i="72"/>
  <c r="D36" i="72" s="1"/>
  <c r="K15" i="72"/>
  <c r="L15" i="72"/>
  <c r="K20" i="72"/>
  <c r="K14" i="72"/>
  <c r="L14" i="72"/>
  <c r="D23" i="74"/>
  <c r="B25" i="72"/>
  <c r="J14" i="72" s="1"/>
  <c r="K19" i="72"/>
  <c r="C30" i="72"/>
  <c r="C36" i="72" s="1"/>
  <c r="C15" i="50"/>
  <c r="C6" i="51"/>
  <c r="B34" i="71"/>
  <c r="R6" i="50"/>
  <c r="I15" i="63"/>
  <c r="C15" i="63"/>
  <c r="H15" i="63"/>
  <c r="E15" i="63"/>
  <c r="B15" i="63"/>
  <c r="G15" i="63"/>
  <c r="D15" i="63"/>
  <c r="F15" i="63"/>
  <c r="J13" i="62"/>
  <c r="I13" i="62"/>
  <c r="J15" i="63"/>
  <c r="B13" i="62"/>
  <c r="C13" i="62"/>
  <c r="D14" i="63"/>
  <c r="B14" i="63"/>
  <c r="F14" i="63"/>
  <c r="H14" i="63"/>
  <c r="I14" i="63"/>
  <c r="G14" i="63"/>
  <c r="E14" i="63"/>
  <c r="C14" i="63"/>
  <c r="I12" i="62"/>
  <c r="J14" i="63"/>
  <c r="J12" i="62"/>
  <c r="C12" i="62"/>
  <c r="C14" i="62" s="1"/>
  <c r="B12" i="62"/>
  <c r="I11" i="109"/>
  <c r="H10" i="110"/>
  <c r="H10" i="113"/>
  <c r="H10" i="112"/>
  <c r="H10" i="111"/>
  <c r="H10" i="109"/>
  <c r="G10" i="112"/>
  <c r="G10" i="110"/>
  <c r="G10" i="109"/>
  <c r="G10" i="113"/>
  <c r="G10" i="111"/>
  <c r="X17" i="84"/>
  <c r="P5" i="83"/>
  <c r="M5" i="83"/>
  <c r="O5" i="3"/>
  <c r="V4" i="50"/>
  <c r="T4" i="50"/>
  <c r="U4" i="50"/>
  <c r="G20" i="63"/>
  <c r="G22" i="63"/>
  <c r="G21" i="63"/>
  <c r="E20" i="63"/>
  <c r="E22" i="63"/>
  <c r="E21" i="63"/>
  <c r="F20" i="63"/>
  <c r="F22" i="63"/>
  <c r="F21" i="63"/>
  <c r="D21" i="63"/>
  <c r="D20" i="63"/>
  <c r="D22" i="63"/>
  <c r="W5" i="2"/>
  <c r="F351" i="2"/>
  <c r="F350" i="2"/>
  <c r="H20" i="63"/>
  <c r="H22" i="63"/>
  <c r="H21" i="63"/>
  <c r="C17" i="74"/>
  <c r="B17" i="74"/>
  <c r="D17" i="74"/>
  <c r="C24" i="73"/>
  <c r="D24" i="73"/>
  <c r="B9" i="74"/>
  <c r="C9" i="74"/>
  <c r="D9" i="74"/>
  <c r="C12" i="73"/>
  <c r="E12" i="73"/>
  <c r="D21" i="56"/>
  <c r="D11" i="56" s="1"/>
  <c r="D10" i="59"/>
  <c r="D37" i="59" s="1"/>
  <c r="D48" i="59" s="1"/>
  <c r="D49" i="59" s="1"/>
  <c r="E24" i="51" s="1"/>
  <c r="B11" i="72"/>
  <c r="C25" i="50"/>
  <c r="Q6" i="50"/>
  <c r="P6" i="50"/>
  <c r="B20" i="56"/>
  <c r="B35" i="56" s="1"/>
  <c r="B12" i="59" s="1"/>
  <c r="O356" i="98"/>
  <c r="AB6" i="98" s="1"/>
  <c r="V4" i="89"/>
  <c r="D48" i="37" s="1"/>
  <c r="Q279" i="89"/>
  <c r="W4" i="89"/>
  <c r="E48" i="37" s="1"/>
  <c r="R279" i="89"/>
  <c r="D36" i="79"/>
  <c r="F31" i="64"/>
  <c r="E15" i="68"/>
  <c r="E19" i="68" s="1"/>
  <c r="E25" i="68"/>
  <c r="U3" i="98"/>
  <c r="T3" i="98"/>
  <c r="S3" i="98"/>
  <c r="O3" i="104"/>
  <c r="D25" i="68"/>
  <c r="D28" i="68" s="1"/>
  <c r="C9" i="61"/>
  <c r="E33" i="68"/>
  <c r="B22" i="69" s="1"/>
  <c r="B26" i="68"/>
  <c r="C26" i="68" s="1"/>
  <c r="C28" i="68" s="1"/>
  <c r="B26" i="61"/>
  <c r="C26" i="61" s="1"/>
  <c r="U5" i="2"/>
  <c r="B27" i="61"/>
  <c r="C27" i="61" s="1"/>
  <c r="F5" i="84"/>
  <c r="Q4" i="99"/>
  <c r="J5" i="3"/>
  <c r="B40" i="78"/>
  <c r="B12" i="81" s="1"/>
  <c r="B6" i="80"/>
  <c r="B9" i="80" s="1"/>
  <c r="B43" i="78"/>
  <c r="F7" i="67"/>
  <c r="G12" i="37"/>
  <c r="C6" i="80"/>
  <c r="C9" i="80" s="1"/>
  <c r="C40" i="78"/>
  <c r="S5" i="3"/>
  <c r="E24" i="68"/>
  <c r="D10" i="68"/>
  <c r="D25" i="79"/>
  <c r="D6" i="61"/>
  <c r="D15" i="61" s="1"/>
  <c r="B25" i="61"/>
  <c r="D33" i="68"/>
  <c r="C21" i="69" s="1"/>
  <c r="B24" i="68"/>
  <c r="B14" i="68"/>
  <c r="B15" i="68"/>
  <c r="F20" i="77"/>
  <c r="F23" i="75" s="1"/>
  <c r="F36" i="75" s="1"/>
  <c r="F12" i="78" s="1"/>
  <c r="F46" i="78" s="1"/>
  <c r="E25" i="79"/>
  <c r="E39" i="79" s="1"/>
  <c r="F21" i="64"/>
  <c r="F35" i="64" s="1"/>
  <c r="F11" i="67" s="1"/>
  <c r="F42" i="67" s="1"/>
  <c r="F44" i="67" s="1"/>
  <c r="F56" i="67" s="1"/>
  <c r="F52" i="57"/>
  <c r="E15" i="61"/>
  <c r="O5" i="50"/>
  <c r="O6" i="50"/>
  <c r="O7" i="50"/>
  <c r="C10" i="68"/>
  <c r="E10" i="68"/>
  <c r="F28" i="69" s="1"/>
  <c r="E22" i="71"/>
  <c r="B19" i="61"/>
  <c r="O5" i="83"/>
  <c r="N5" i="83"/>
  <c r="F21" i="59"/>
  <c r="F42" i="59" s="1"/>
  <c r="D14" i="71"/>
  <c r="E6" i="50" s="1"/>
  <c r="E21" i="59"/>
  <c r="E42" i="59" s="1"/>
  <c r="H422" i="3"/>
  <c r="D422" i="3"/>
  <c r="D21" i="59"/>
  <c r="I20" i="77"/>
  <c r="I23" i="75" s="1"/>
  <c r="I36" i="75" s="1"/>
  <c r="I12" i="78" s="1"/>
  <c r="I46" i="78" s="1"/>
  <c r="D12" i="77"/>
  <c r="D7" i="77" s="1"/>
  <c r="D25" i="77" s="1"/>
  <c r="D27" i="77" s="1"/>
  <c r="E17" i="60"/>
  <c r="E29" i="60" s="1"/>
  <c r="D52" i="57"/>
  <c r="D54" i="57" s="1"/>
  <c r="D5" i="61"/>
  <c r="B9" i="61"/>
  <c r="D31" i="64"/>
  <c r="I10" i="113"/>
  <c r="I10" i="110"/>
  <c r="I10" i="111"/>
  <c r="I10" i="109"/>
  <c r="I10" i="112"/>
  <c r="B17" i="68"/>
  <c r="I29" i="78"/>
  <c r="I43" i="78" s="1"/>
  <c r="C16" i="61"/>
  <c r="D14" i="68"/>
  <c r="D19" i="68" s="1"/>
  <c r="D18" i="77"/>
  <c r="D20" i="77" s="1"/>
  <c r="D23" i="75" s="1"/>
  <c r="D36" i="75" s="1"/>
  <c r="D12" i="78" s="1"/>
  <c r="F14" i="71"/>
  <c r="G6" i="50" s="1"/>
  <c r="F17" i="60"/>
  <c r="F22" i="60" s="1"/>
  <c r="E7" i="67"/>
  <c r="E31" i="64"/>
  <c r="C22" i="71"/>
  <c r="C18" i="79"/>
  <c r="D7" i="67"/>
  <c r="G21" i="64"/>
  <c r="G35" i="64" s="1"/>
  <c r="G11" i="67" s="1"/>
  <c r="G42" i="67" s="1"/>
  <c r="G44" i="67" s="1"/>
  <c r="G56" i="67" s="1"/>
  <c r="D14" i="75"/>
  <c r="E7" i="50" s="1"/>
  <c r="T7" i="50" s="1"/>
  <c r="D32" i="75"/>
  <c r="D8" i="78" s="1"/>
  <c r="F13" i="76"/>
  <c r="F14" i="76" s="1"/>
  <c r="F22" i="75" s="1"/>
  <c r="F35" i="75" s="1"/>
  <c r="F11" i="78" s="1"/>
  <c r="F39" i="78" s="1"/>
  <c r="F7" i="80" s="1"/>
  <c r="F10" i="76"/>
  <c r="K17" i="20"/>
  <c r="I5" i="2"/>
  <c r="H5" i="2"/>
  <c r="G348" i="2"/>
  <c r="D10" i="76"/>
  <c r="D18" i="76"/>
  <c r="D19" i="76" s="1"/>
  <c r="G13" i="110"/>
  <c r="G13" i="113"/>
  <c r="G13" i="111"/>
  <c r="G13" i="109"/>
  <c r="G13" i="112"/>
  <c r="G13" i="37"/>
  <c r="D39" i="78"/>
  <c r="D7" i="80" s="1"/>
  <c r="H21" i="56"/>
  <c r="H24" i="56" s="1"/>
  <c r="H26" i="56" s="1"/>
  <c r="E14" i="61"/>
  <c r="C33" i="68"/>
  <c r="C14" i="71"/>
  <c r="D6" i="50" s="1"/>
  <c r="S6" i="50" s="1"/>
  <c r="D29" i="78"/>
  <c r="D43" i="78" s="1"/>
  <c r="E10" i="76"/>
  <c r="J10" i="113"/>
  <c r="J10" i="111"/>
  <c r="J10" i="110"/>
  <c r="J10" i="112"/>
  <c r="J10" i="109"/>
  <c r="H12" i="109"/>
  <c r="H12" i="112"/>
  <c r="H12" i="113"/>
  <c r="H12" i="111"/>
  <c r="H12" i="110"/>
  <c r="C20" i="56"/>
  <c r="C21" i="56"/>
  <c r="C36" i="56" s="1"/>
  <c r="C13" i="59" s="1"/>
  <c r="C25" i="79"/>
  <c r="E21" i="80" s="1"/>
  <c r="I11" i="112"/>
  <c r="I11" i="113"/>
  <c r="I11" i="111"/>
  <c r="I11" i="110"/>
  <c r="G21" i="59"/>
  <c r="G42" i="59" s="1"/>
  <c r="H21" i="64"/>
  <c r="H35" i="64" s="1"/>
  <c r="H11" i="67" s="1"/>
  <c r="H42" i="67" s="1"/>
  <c r="H44" i="67" s="1"/>
  <c r="H56" i="67" s="1"/>
  <c r="E29" i="78"/>
  <c r="E43" i="78" s="1"/>
  <c r="G12" i="109"/>
  <c r="G12" i="112"/>
  <c r="G12" i="113"/>
  <c r="G12" i="111"/>
  <c r="G12" i="110"/>
  <c r="H29" i="78"/>
  <c r="H43" i="78" s="1"/>
  <c r="D348" i="2"/>
  <c r="G18" i="58"/>
  <c r="E14" i="71"/>
  <c r="F6" i="50" s="1"/>
  <c r="D6" i="63"/>
  <c r="G17" i="60"/>
  <c r="G24" i="60" s="1"/>
  <c r="G36" i="60" s="1"/>
  <c r="H17" i="60"/>
  <c r="H22" i="60" s="1"/>
  <c r="H34" i="60" s="1"/>
  <c r="H3" i="62" s="1"/>
  <c r="D17" i="60"/>
  <c r="D24" i="60" s="1"/>
  <c r="D36" i="60" s="1"/>
  <c r="H21" i="59"/>
  <c r="F3" i="60"/>
  <c r="H49" i="59"/>
  <c r="I24" i="51" s="1"/>
  <c r="F18" i="58"/>
  <c r="G21" i="56"/>
  <c r="E20" i="56"/>
  <c r="E35" i="56" s="1"/>
  <c r="H18" i="58"/>
  <c r="F47" i="59"/>
  <c r="F37" i="59"/>
  <c r="F48" i="59" s="1"/>
  <c r="F21" i="56"/>
  <c r="E3" i="63"/>
  <c r="F9" i="72"/>
  <c r="F32" i="71"/>
  <c r="G15" i="50" s="1"/>
  <c r="H12" i="59"/>
  <c r="G6" i="63"/>
  <c r="R5" i="3"/>
  <c r="D22" i="71"/>
  <c r="E39" i="78"/>
  <c r="E7" i="80" s="1"/>
  <c r="H18" i="77"/>
  <c r="H20" i="77" s="1"/>
  <c r="H23" i="75" s="1"/>
  <c r="H36" i="75" s="1"/>
  <c r="H12" i="78" s="1"/>
  <c r="H46" i="78" s="1"/>
  <c r="H12" i="77"/>
  <c r="H7" i="77" s="1"/>
  <c r="D24" i="78"/>
  <c r="F12" i="77"/>
  <c r="F7" i="77" s="1"/>
  <c r="F26" i="77"/>
  <c r="H12" i="80"/>
  <c r="H24" i="78"/>
  <c r="H38" i="78" s="1"/>
  <c r="H6" i="80" s="1"/>
  <c r="F24" i="78"/>
  <c r="F38" i="78" s="1"/>
  <c r="G10" i="76"/>
  <c r="G18" i="76"/>
  <c r="G19" i="76" s="1"/>
  <c r="G29" i="78"/>
  <c r="G43" i="78" s="1"/>
  <c r="B28" i="79"/>
  <c r="E29" i="79" s="1"/>
  <c r="G422" i="3"/>
  <c r="F29" i="78"/>
  <c r="F43" i="78" s="1"/>
  <c r="G14" i="75"/>
  <c r="H7" i="50" s="1"/>
  <c r="C12" i="79"/>
  <c r="D6" i="8"/>
  <c r="H54" i="57"/>
  <c r="E52" i="57"/>
  <c r="E54" i="57" s="1"/>
  <c r="E14" i="75"/>
  <c r="F7" i="50" s="1"/>
  <c r="I8" i="20"/>
  <c r="C22" i="7"/>
  <c r="D22" i="109" s="1"/>
  <c r="C21" i="7"/>
  <c r="D22" i="37" s="1"/>
  <c r="I16" i="20"/>
  <c r="G5" i="84"/>
  <c r="H12" i="37"/>
  <c r="I3" i="84"/>
  <c r="H3" i="84"/>
  <c r="J9" i="20"/>
  <c r="G3" i="83"/>
  <c r="F5" i="83"/>
  <c r="D22" i="64"/>
  <c r="D36" i="64" s="1"/>
  <c r="D12" i="67" s="1"/>
  <c r="D48" i="67" s="1"/>
  <c r="D50" i="67" s="1"/>
  <c r="E21" i="64"/>
  <c r="E35" i="64" s="1"/>
  <c r="E11" i="67" s="1"/>
  <c r="E42" i="67" s="1"/>
  <c r="E44" i="67" s="1"/>
  <c r="E56" i="67" s="1"/>
  <c r="F22" i="64"/>
  <c r="F36" i="64" s="1"/>
  <c r="F12" i="67" s="1"/>
  <c r="F48" i="67" s="1"/>
  <c r="F50" i="67" s="1"/>
  <c r="I21" i="64"/>
  <c r="I35" i="64" s="1"/>
  <c r="I11" i="67" s="1"/>
  <c r="I42" i="67" s="1"/>
  <c r="I44" i="67" s="1"/>
  <c r="I56" i="67" s="1"/>
  <c r="E22" i="64"/>
  <c r="E36" i="64" s="1"/>
  <c r="E12" i="67" s="1"/>
  <c r="E48" i="67" s="1"/>
  <c r="E50" i="67" s="1"/>
  <c r="H7" i="67"/>
  <c r="D21" i="64"/>
  <c r="D35" i="64" s="1"/>
  <c r="D11" i="67" s="1"/>
  <c r="D42" i="67" s="1"/>
  <c r="D44" i="67" s="1"/>
  <c r="D56" i="67" s="1"/>
  <c r="K5" i="2"/>
  <c r="J10" i="37"/>
  <c r="J5" i="2"/>
  <c r="I10" i="37"/>
  <c r="I14" i="20"/>
  <c r="K5" i="3"/>
  <c r="I11" i="37"/>
  <c r="I6" i="20"/>
  <c r="L3" i="3"/>
  <c r="C32" i="71"/>
  <c r="D15" i="50" s="1"/>
  <c r="C8" i="72"/>
  <c r="C11" i="72" s="1"/>
  <c r="P5" i="3"/>
  <c r="E8" i="67"/>
  <c r="D11" i="72"/>
  <c r="D32" i="71"/>
  <c r="E15" i="50" s="1"/>
  <c r="C19" i="68"/>
  <c r="G49" i="59"/>
  <c r="H24" i="51" s="1"/>
  <c r="F22" i="71"/>
  <c r="E8" i="72"/>
  <c r="E32" i="71"/>
  <c r="F15" i="50" s="1"/>
  <c r="F8" i="78"/>
  <c r="C348" i="2"/>
  <c r="C422" i="3"/>
  <c r="E436" i="83"/>
  <c r="G12" i="77"/>
  <c r="G7" i="77" s="1"/>
  <c r="G19" i="77"/>
  <c r="G20" i="77" s="1"/>
  <c r="G23" i="75" s="1"/>
  <c r="E12" i="77"/>
  <c r="E7" i="77" s="1"/>
  <c r="E19" i="77"/>
  <c r="E20" i="77" s="1"/>
  <c r="E23" i="75" s="1"/>
  <c r="G12" i="80"/>
  <c r="G24" i="78"/>
  <c r="G38" i="78" s="1"/>
  <c r="I32" i="64"/>
  <c r="I8" i="67" s="1"/>
  <c r="G7" i="67"/>
  <c r="G31" i="64"/>
  <c r="G11" i="78"/>
  <c r="G39" i="78" s="1"/>
  <c r="G7" i="80" s="1"/>
  <c r="I12" i="77"/>
  <c r="I7" i="77" s="1"/>
  <c r="I26" i="77"/>
  <c r="I24" i="78"/>
  <c r="I38" i="78" s="1"/>
  <c r="I12" i="80"/>
  <c r="H45" i="78"/>
  <c r="E227" i="84"/>
  <c r="I22" i="64"/>
  <c r="H22" i="64"/>
  <c r="H36" i="64" s="1"/>
  <c r="H12" i="67" s="1"/>
  <c r="H48" i="67" s="1"/>
  <c r="H50" i="67" s="1"/>
  <c r="I13" i="76"/>
  <c r="I14" i="76" s="1"/>
  <c r="I22" i="75" s="1"/>
  <c r="I35" i="75" s="1"/>
  <c r="I10" i="76"/>
  <c r="B15" i="79"/>
  <c r="E16" i="79" s="1"/>
  <c r="G44" i="80" s="1"/>
  <c r="I7" i="67"/>
  <c r="G20" i="75"/>
  <c r="E21" i="56"/>
  <c r="G14" i="71"/>
  <c r="H6" i="50" s="1"/>
  <c r="X6" i="50" s="1"/>
  <c r="G29" i="71"/>
  <c r="B21" i="56"/>
  <c r="B36" i="56" s="1"/>
  <c r="B13" i="59" s="1"/>
  <c r="H13" i="76"/>
  <c r="H14" i="76" s="1"/>
  <c r="H22" i="75" s="1"/>
  <c r="H10" i="76"/>
  <c r="E24" i="78"/>
  <c r="E38" i="78" s="1"/>
  <c r="D12" i="79"/>
  <c r="D18" i="79"/>
  <c r="B18" i="79"/>
  <c r="E19" i="79" s="1"/>
  <c r="E41" i="79" s="1"/>
  <c r="D5" i="8"/>
  <c r="G52" i="57"/>
  <c r="F14" i="75"/>
  <c r="G7" i="50" s="1"/>
  <c r="G22" i="64"/>
  <c r="G36" i="64" s="1"/>
  <c r="G12" i="67" s="1"/>
  <c r="G48" i="67" s="1"/>
  <c r="G50" i="67" s="1"/>
  <c r="G22" i="71"/>
  <c r="I14" i="75"/>
  <c r="J7" i="50" s="1"/>
  <c r="H14" i="75"/>
  <c r="I7" i="50" s="1"/>
  <c r="F54" i="57" l="1"/>
  <c r="F44" i="57"/>
  <c r="G54" i="57"/>
  <c r="G44" i="57"/>
  <c r="I14" i="62"/>
  <c r="D15" i="51"/>
  <c r="D35" i="51" s="1"/>
  <c r="B41" i="64"/>
  <c r="C5" i="51"/>
  <c r="C24" i="70"/>
  <c r="C41" i="64"/>
  <c r="C15" i="51"/>
  <c r="C35" i="51" s="1"/>
  <c r="B24" i="70"/>
  <c r="B52" i="67"/>
  <c r="D14" i="50"/>
  <c r="D24" i="50" s="1"/>
  <c r="B36" i="72"/>
  <c r="C16" i="51"/>
  <c r="L23" i="72"/>
  <c r="L18" i="72"/>
  <c r="L17" i="72"/>
  <c r="L19" i="72"/>
  <c r="L20" i="72"/>
  <c r="B12" i="78"/>
  <c r="B38" i="75"/>
  <c r="C38" i="75"/>
  <c r="C12" i="78"/>
  <c r="U31" i="104"/>
  <c r="X31" i="104" s="1"/>
  <c r="U197" i="104"/>
  <c r="T181" i="104"/>
  <c r="U198" i="104"/>
  <c r="Y198" i="104" s="1"/>
  <c r="Y198" i="98"/>
  <c r="U13" i="104"/>
  <c r="S198" i="104"/>
  <c r="W198" i="104" s="1"/>
  <c r="S184" i="104"/>
  <c r="W184" i="104" s="1"/>
  <c r="U19" i="104"/>
  <c r="U184" i="104"/>
  <c r="S13" i="104"/>
  <c r="S31" i="104"/>
  <c r="W31" i="104" s="1"/>
  <c r="Y321" i="104"/>
  <c r="U179" i="104"/>
  <c r="W179" i="104" s="1"/>
  <c r="T179" i="104"/>
  <c r="Y179" i="104" s="1"/>
  <c r="T258" i="104"/>
  <c r="Y258" i="104" s="1"/>
  <c r="T168" i="104"/>
  <c r="T32" i="104"/>
  <c r="Y32" i="104" s="1"/>
  <c r="T171" i="104"/>
  <c r="U273" i="104"/>
  <c r="Y273" i="104" s="1"/>
  <c r="S202" i="104"/>
  <c r="W202" i="104" s="1"/>
  <c r="U166" i="104"/>
  <c r="S273" i="104"/>
  <c r="W273" i="104" s="1"/>
  <c r="T176" i="104"/>
  <c r="Y176" i="104" s="1"/>
  <c r="S166" i="104"/>
  <c r="W166" i="104" s="1"/>
  <c r="U33" i="104"/>
  <c r="X33" i="104" s="1"/>
  <c r="Y342" i="104"/>
  <c r="U32" i="104"/>
  <c r="S33" i="104"/>
  <c r="W33" i="104" s="1"/>
  <c r="U153" i="104"/>
  <c r="X153" i="104" s="1"/>
  <c r="U168" i="104"/>
  <c r="T153" i="104"/>
  <c r="Y153" i="104" s="1"/>
  <c r="Y192" i="104"/>
  <c r="T308" i="104"/>
  <c r="Y307" i="98"/>
  <c r="S181" i="104"/>
  <c r="S19" i="104"/>
  <c r="S283" i="104"/>
  <c r="W283" i="104" s="1"/>
  <c r="S176" i="104"/>
  <c r="W176" i="104" s="1"/>
  <c r="Y308" i="98"/>
  <c r="T183" i="104"/>
  <c r="Y183" i="104" s="1"/>
  <c r="Y159" i="104"/>
  <c r="Y273" i="98"/>
  <c r="S308" i="104"/>
  <c r="W308" i="104" s="1"/>
  <c r="Y272" i="98"/>
  <c r="Y311" i="98"/>
  <c r="W32" i="104"/>
  <c r="Y166" i="98"/>
  <c r="U281" i="104"/>
  <c r="X281" i="104" s="1"/>
  <c r="W154" i="98"/>
  <c r="Y241" i="98"/>
  <c r="Y332" i="104"/>
  <c r="Y193" i="104"/>
  <c r="Y228" i="104"/>
  <c r="V176" i="104"/>
  <c r="V183" i="104"/>
  <c r="S281" i="104"/>
  <c r="W281" i="104" s="1"/>
  <c r="S167" i="104"/>
  <c r="Y206" i="98"/>
  <c r="U283" i="104"/>
  <c r="U18" i="104"/>
  <c r="Y166" i="104"/>
  <c r="W173" i="98"/>
  <c r="Y258" i="98"/>
  <c r="Y172" i="98"/>
  <c r="Y308" i="104"/>
  <c r="Y172" i="104"/>
  <c r="W154" i="104"/>
  <c r="Y158" i="104"/>
  <c r="T280" i="104"/>
  <c r="Y40" i="104"/>
  <c r="W165" i="98"/>
  <c r="W32" i="98"/>
  <c r="Y203" i="104"/>
  <c r="W205" i="104"/>
  <c r="U280" i="104"/>
  <c r="U167" i="104"/>
  <c r="W167" i="104" s="1"/>
  <c r="T18" i="104"/>
  <c r="Y18" i="104" s="1"/>
  <c r="Y311" i="104"/>
  <c r="Y190" i="104"/>
  <c r="Y315" i="104"/>
  <c r="Y309" i="104"/>
  <c r="Y303" i="98"/>
  <c r="M42" i="108"/>
  <c r="M45" i="108"/>
  <c r="M22" i="108"/>
  <c r="M46" i="108"/>
  <c r="M59" i="108"/>
  <c r="M21" i="108"/>
  <c r="M52" i="108"/>
  <c r="M53" i="108"/>
  <c r="M56" i="108"/>
  <c r="M47" i="108"/>
  <c r="M58" i="108"/>
  <c r="M4" i="108"/>
  <c r="M54" i="108"/>
  <c r="M49" i="108"/>
  <c r="M51" i="108"/>
  <c r="M50" i="108"/>
  <c r="M210" i="108"/>
  <c r="M222" i="108"/>
  <c r="M57" i="108"/>
  <c r="M207" i="108"/>
  <c r="M220" i="108"/>
  <c r="M231" i="108"/>
  <c r="M235" i="108"/>
  <c r="M238" i="108"/>
  <c r="M232" i="108"/>
  <c r="M209" i="108"/>
  <c r="M217" i="108"/>
  <c r="M223" i="108"/>
  <c r="M224" i="108"/>
  <c r="M249" i="108"/>
  <c r="M288" i="108"/>
  <c r="M48" i="108"/>
  <c r="M55" i="108"/>
  <c r="M208" i="108"/>
  <c r="M233" i="108"/>
  <c r="M234" i="108"/>
  <c r="M240" i="108"/>
  <c r="M244" i="108"/>
  <c r="M287" i="108"/>
  <c r="M290" i="108"/>
  <c r="M163" i="108"/>
  <c r="M248" i="108"/>
  <c r="M292" i="108"/>
  <c r="M326" i="108"/>
  <c r="M245" i="108"/>
  <c r="M289" i="108"/>
  <c r="M304" i="108"/>
  <c r="M327" i="108"/>
  <c r="M333" i="108"/>
  <c r="M54" i="107"/>
  <c r="O54" i="107" s="1"/>
  <c r="M301" i="108"/>
  <c r="M323" i="108"/>
  <c r="M334" i="108"/>
  <c r="M338" i="108"/>
  <c r="M4" i="107"/>
  <c r="O4" i="107" s="1"/>
  <c r="M186" i="108"/>
  <c r="M216" i="108"/>
  <c r="M221" i="108"/>
  <c r="M236" i="108"/>
  <c r="M247" i="108"/>
  <c r="M306" i="108"/>
  <c r="M337" i="108"/>
  <c r="M169" i="108"/>
  <c r="M218" i="108"/>
  <c r="M269" i="108"/>
  <c r="M335" i="108"/>
  <c r="M336" i="108"/>
  <c r="M21" i="107"/>
  <c r="O21" i="107" s="1"/>
  <c r="M52" i="107"/>
  <c r="M53" i="107"/>
  <c r="O53" i="107" s="1"/>
  <c r="M55" i="107"/>
  <c r="O55" i="107" s="1"/>
  <c r="M56" i="107"/>
  <c r="M58" i="107"/>
  <c r="O58" i="107" s="1"/>
  <c r="M185" i="108"/>
  <c r="M42" i="107"/>
  <c r="O42" i="107" s="1"/>
  <c r="M208" i="107"/>
  <c r="O208" i="107" s="1"/>
  <c r="M305" i="108"/>
  <c r="M50" i="107"/>
  <c r="O50" i="107" s="1"/>
  <c r="M350" i="108"/>
  <c r="M59" i="107"/>
  <c r="O59" i="107" s="1"/>
  <c r="M271" i="108"/>
  <c r="M57" i="107"/>
  <c r="O57" i="107" s="1"/>
  <c r="M217" i="107"/>
  <c r="O217" i="107" s="1"/>
  <c r="M232" i="107"/>
  <c r="O232" i="107" s="1"/>
  <c r="M249" i="107"/>
  <c r="O249" i="107" s="1"/>
  <c r="M269" i="107"/>
  <c r="O269" i="107" s="1"/>
  <c r="M271" i="107"/>
  <c r="O271" i="107" s="1"/>
  <c r="M324" i="107"/>
  <c r="O324" i="107" s="1"/>
  <c r="M336" i="107"/>
  <c r="O336" i="107" s="1"/>
  <c r="M324" i="108"/>
  <c r="M47" i="107"/>
  <c r="O47" i="107" s="1"/>
  <c r="M209" i="107"/>
  <c r="O209" i="107" s="1"/>
  <c r="M221" i="107"/>
  <c r="O221" i="107" s="1"/>
  <c r="M233" i="107"/>
  <c r="O233" i="107" s="1"/>
  <c r="M301" i="107"/>
  <c r="O301" i="107" s="1"/>
  <c r="M333" i="107"/>
  <c r="O333" i="107" s="1"/>
  <c r="M22" i="106"/>
  <c r="M246" i="108"/>
  <c r="M219" i="107"/>
  <c r="O219" i="107" s="1"/>
  <c r="M231" i="107"/>
  <c r="O231" i="107" s="1"/>
  <c r="M247" i="107"/>
  <c r="O247" i="107" s="1"/>
  <c r="M290" i="107"/>
  <c r="O290" i="107" s="1"/>
  <c r="M306" i="107"/>
  <c r="O306" i="107" s="1"/>
  <c r="M326" i="107"/>
  <c r="O326" i="107" s="1"/>
  <c r="M335" i="107"/>
  <c r="O335" i="107" s="1"/>
  <c r="M270" i="108"/>
  <c r="M351" i="108"/>
  <c r="M48" i="107"/>
  <c r="O48" i="107" s="1"/>
  <c r="M185" i="107"/>
  <c r="O185" i="107" s="1"/>
  <c r="M216" i="107"/>
  <c r="O216" i="107" s="1"/>
  <c r="M234" i="107"/>
  <c r="O234" i="107" s="1"/>
  <c r="M236" i="107"/>
  <c r="O236" i="107" s="1"/>
  <c r="M248" i="107"/>
  <c r="O248" i="107" s="1"/>
  <c r="M318" i="107"/>
  <c r="O318" i="107" s="1"/>
  <c r="M323" i="107"/>
  <c r="O323" i="107" s="1"/>
  <c r="M338" i="107"/>
  <c r="O338" i="107" s="1"/>
  <c r="M351" i="107"/>
  <c r="O351" i="107" s="1"/>
  <c r="M219" i="108"/>
  <c r="M45" i="107"/>
  <c r="O45" i="107" s="1"/>
  <c r="M220" i="107"/>
  <c r="O220" i="107" s="1"/>
  <c r="M169" i="107"/>
  <c r="O169" i="107" s="1"/>
  <c r="M207" i="107"/>
  <c r="O207" i="107" s="1"/>
  <c r="M318" i="108"/>
  <c r="M339" i="108"/>
  <c r="M210" i="107"/>
  <c r="O210" i="107" s="1"/>
  <c r="M245" i="107"/>
  <c r="O245" i="107" s="1"/>
  <c r="M270" i="107"/>
  <c r="O270" i="107" s="1"/>
  <c r="M305" i="107"/>
  <c r="O305" i="107" s="1"/>
  <c r="M304" i="107"/>
  <c r="O304" i="107" s="1"/>
  <c r="M334" i="107"/>
  <c r="O334" i="107" s="1"/>
  <c r="M59" i="106"/>
  <c r="M163" i="106"/>
  <c r="M207" i="106"/>
  <c r="M219" i="106"/>
  <c r="M235" i="106"/>
  <c r="M305" i="106"/>
  <c r="M318" i="106"/>
  <c r="M324" i="106"/>
  <c r="M55" i="105"/>
  <c r="M59" i="105"/>
  <c r="M163" i="107"/>
  <c r="O163" i="107" s="1"/>
  <c r="M218" i="107"/>
  <c r="O218" i="107" s="1"/>
  <c r="M235" i="107"/>
  <c r="O235" i="107" s="1"/>
  <c r="M327" i="107"/>
  <c r="O327" i="107" s="1"/>
  <c r="M21" i="106"/>
  <c r="M53" i="106"/>
  <c r="M208" i="106"/>
  <c r="M216" i="106"/>
  <c r="M238" i="106"/>
  <c r="M244" i="106"/>
  <c r="M248" i="106"/>
  <c r="M292" i="106"/>
  <c r="M306" i="106"/>
  <c r="M333" i="106"/>
  <c r="M338" i="106"/>
  <c r="M22" i="105"/>
  <c r="M47" i="105"/>
  <c r="M51" i="105"/>
  <c r="M56" i="105"/>
  <c r="M240" i="107"/>
  <c r="O240" i="107" s="1"/>
  <c r="M46" i="106"/>
  <c r="M186" i="106"/>
  <c r="M209" i="106"/>
  <c r="M224" i="106"/>
  <c r="M245" i="106"/>
  <c r="M304" i="106"/>
  <c r="M326" i="106"/>
  <c r="M336" i="106"/>
  <c r="M4" i="105"/>
  <c r="M45" i="105"/>
  <c r="M49" i="105"/>
  <c r="M54" i="105"/>
  <c r="M58" i="105"/>
  <c r="M288" i="107"/>
  <c r="O288" i="107" s="1"/>
  <c r="M42" i="106"/>
  <c r="M234" i="106"/>
  <c r="M240" i="106"/>
  <c r="M246" i="106"/>
  <c r="M301" i="106"/>
  <c r="M327" i="106"/>
  <c r="M339" i="106"/>
  <c r="M53" i="105"/>
  <c r="M223" i="105"/>
  <c r="M231" i="105"/>
  <c r="M234" i="105"/>
  <c r="M236" i="105"/>
  <c r="M269" i="105"/>
  <c r="M287" i="105"/>
  <c r="M323" i="105"/>
  <c r="M326" i="105"/>
  <c r="M238" i="107"/>
  <c r="O238" i="107" s="1"/>
  <c r="M48" i="106"/>
  <c r="M51" i="106"/>
  <c r="M210" i="106"/>
  <c r="M233" i="106"/>
  <c r="M337" i="106"/>
  <c r="M21" i="105"/>
  <c r="M169" i="105"/>
  <c r="M208" i="105"/>
  <c r="M224" i="105"/>
  <c r="M232" i="105"/>
  <c r="M247" i="105"/>
  <c r="M288" i="105"/>
  <c r="M290" i="105"/>
  <c r="M301" i="105"/>
  <c r="M22" i="107"/>
  <c r="O22" i="107" s="1"/>
  <c r="M224" i="107"/>
  <c r="O224" i="107" s="1"/>
  <c r="M246" i="107"/>
  <c r="O246" i="107" s="1"/>
  <c r="M289" i="107"/>
  <c r="O289" i="107" s="1"/>
  <c r="M337" i="107"/>
  <c r="O337" i="107" s="1"/>
  <c r="M56" i="106"/>
  <c r="M220" i="106"/>
  <c r="M221" i="106"/>
  <c r="M236" i="106"/>
  <c r="M289" i="106"/>
  <c r="M290" i="106"/>
  <c r="M350" i="106"/>
  <c r="M351" i="106"/>
  <c r="M57" i="105"/>
  <c r="M163" i="105"/>
  <c r="M186" i="105"/>
  <c r="M209" i="105"/>
  <c r="M217" i="105"/>
  <c r="M249" i="105"/>
  <c r="M271" i="105"/>
  <c r="M46" i="107"/>
  <c r="M222" i="107"/>
  <c r="O222" i="107" s="1"/>
  <c r="M339" i="107"/>
  <c r="O339" i="107" s="1"/>
  <c r="M350" i="107"/>
  <c r="O350" i="107" s="1"/>
  <c r="M45" i="106"/>
  <c r="M55" i="106"/>
  <c r="M218" i="106"/>
  <c r="M231" i="106"/>
  <c r="M287" i="106"/>
  <c r="M288" i="106"/>
  <c r="M49" i="107"/>
  <c r="O49" i="107" s="1"/>
  <c r="M287" i="107"/>
  <c r="O287" i="107" s="1"/>
  <c r="M292" i="107"/>
  <c r="O292" i="107" s="1"/>
  <c r="M50" i="106"/>
  <c r="M232" i="106"/>
  <c r="M57" i="106"/>
  <c r="M49" i="106"/>
  <c r="M217" i="106"/>
  <c r="M222" i="106"/>
  <c r="M48" i="105"/>
  <c r="M186" i="107"/>
  <c r="O186" i="107" s="1"/>
  <c r="M58" i="106"/>
  <c r="M323" i="106"/>
  <c r="M334" i="106"/>
  <c r="M335" i="106"/>
  <c r="M52" i="105"/>
  <c r="M248" i="105"/>
  <c r="M45" i="104"/>
  <c r="M49" i="104"/>
  <c r="M223" i="106"/>
  <c r="M42" i="105"/>
  <c r="M210" i="105"/>
  <c r="M216" i="105"/>
  <c r="M219" i="105"/>
  <c r="M305" i="105"/>
  <c r="M306" i="105"/>
  <c r="M335" i="105"/>
  <c r="M22" i="104"/>
  <c r="M55" i="104"/>
  <c r="M57" i="104"/>
  <c r="M52" i="106"/>
  <c r="M207" i="105"/>
  <c r="M221" i="105"/>
  <c r="M233" i="105"/>
  <c r="M238" i="105"/>
  <c r="M240" i="105"/>
  <c r="M318" i="105"/>
  <c r="M324" i="105"/>
  <c r="M327" i="105"/>
  <c r="M42" i="104"/>
  <c r="M48" i="104"/>
  <c r="M54" i="104"/>
  <c r="M58" i="104"/>
  <c r="M244" i="107"/>
  <c r="O244" i="107" s="1"/>
  <c r="M185" i="106"/>
  <c r="M269" i="106"/>
  <c r="M333" i="105"/>
  <c r="M339" i="105"/>
  <c r="M351" i="105"/>
  <c r="M169" i="106"/>
  <c r="M350" i="105"/>
  <c r="M4" i="104"/>
  <c r="M53" i="104"/>
  <c r="M59" i="104"/>
  <c r="M163" i="104"/>
  <c r="M54" i="106"/>
  <c r="M220" i="105"/>
  <c r="M245" i="105"/>
  <c r="M338" i="105"/>
  <c r="M56" i="104"/>
  <c r="M216" i="104"/>
  <c r="M236" i="104"/>
  <c r="M238" i="104"/>
  <c r="M47" i="106"/>
  <c r="M271" i="106"/>
  <c r="M50" i="105"/>
  <c r="M246" i="105"/>
  <c r="M270" i="105"/>
  <c r="M292" i="105"/>
  <c r="M336" i="105"/>
  <c r="M21" i="104"/>
  <c r="M185" i="104"/>
  <c r="M207" i="104"/>
  <c r="M209" i="104"/>
  <c r="M217" i="104"/>
  <c r="M223" i="107"/>
  <c r="O223" i="107" s="1"/>
  <c r="M185" i="105"/>
  <c r="M289" i="105"/>
  <c r="M219" i="104"/>
  <c r="M246" i="104"/>
  <c r="M248" i="104"/>
  <c r="M270" i="104"/>
  <c r="M305" i="104"/>
  <c r="M48" i="98"/>
  <c r="M51" i="98"/>
  <c r="M53" i="98"/>
  <c r="M169" i="98"/>
  <c r="M216" i="98"/>
  <c r="M219" i="98"/>
  <c r="M223" i="98"/>
  <c r="M247" i="98"/>
  <c r="M247" i="106"/>
  <c r="M208" i="104"/>
  <c r="M223" i="104"/>
  <c r="M233" i="104"/>
  <c r="M240" i="104"/>
  <c r="M306" i="104"/>
  <c r="M22" i="98"/>
  <c r="M46" i="98"/>
  <c r="M52" i="98"/>
  <c r="M57" i="98"/>
  <c r="M163" i="98"/>
  <c r="M208" i="98"/>
  <c r="M220" i="98"/>
  <c r="M244" i="98"/>
  <c r="M269" i="98"/>
  <c r="M287" i="98"/>
  <c r="M46" i="104"/>
  <c r="M169" i="104"/>
  <c r="M235" i="104"/>
  <c r="M288" i="104"/>
  <c r="M290" i="104"/>
  <c r="M304" i="104"/>
  <c r="M324" i="104"/>
  <c r="M336" i="104"/>
  <c r="M338" i="104"/>
  <c r="M4" i="98"/>
  <c r="M21" i="98"/>
  <c r="M45" i="98"/>
  <c r="M47" i="98"/>
  <c r="M50" i="98"/>
  <c r="M55" i="98"/>
  <c r="M58" i="98"/>
  <c r="M209" i="98"/>
  <c r="M217" i="98"/>
  <c r="M249" i="98"/>
  <c r="M301" i="98"/>
  <c r="M270" i="106"/>
  <c r="M334" i="105"/>
  <c r="M337" i="105"/>
  <c r="M244" i="104"/>
  <c r="M269" i="104"/>
  <c r="M289" i="104"/>
  <c r="M335" i="104"/>
  <c r="M207" i="98"/>
  <c r="M221" i="98"/>
  <c r="M222" i="98"/>
  <c r="M232" i="98"/>
  <c r="M238" i="98"/>
  <c r="M318" i="98"/>
  <c r="M333" i="98"/>
  <c r="M336" i="98"/>
  <c r="M186" i="104"/>
  <c r="M220" i="104"/>
  <c r="M221" i="104"/>
  <c r="M245" i="104"/>
  <c r="M249" i="104"/>
  <c r="M292" i="104"/>
  <c r="M327" i="104"/>
  <c r="M334" i="104"/>
  <c r="M337" i="104"/>
  <c r="M339" i="104"/>
  <c r="M59" i="98"/>
  <c r="M185" i="98"/>
  <c r="M233" i="98"/>
  <c r="M235" i="98"/>
  <c r="M240" i="98"/>
  <c r="M288" i="98"/>
  <c r="M289" i="98"/>
  <c r="M350" i="98"/>
  <c r="M248" i="98"/>
  <c r="M290" i="98"/>
  <c r="M305" i="98"/>
  <c r="M323" i="98"/>
  <c r="M4" i="106"/>
  <c r="M235" i="105"/>
  <c r="M218" i="104"/>
  <c r="M232" i="104"/>
  <c r="M247" i="104"/>
  <c r="M326" i="98"/>
  <c r="M210" i="104"/>
  <c r="M222" i="104"/>
  <c r="M224" i="104"/>
  <c r="M318" i="104"/>
  <c r="M323" i="104"/>
  <c r="M326" i="104"/>
  <c r="M333" i="104"/>
  <c r="M350" i="104"/>
  <c r="M186" i="98"/>
  <c r="M224" i="98"/>
  <c r="M231" i="98"/>
  <c r="M234" i="98"/>
  <c r="M245" i="98"/>
  <c r="M246" i="98"/>
  <c r="M337" i="98"/>
  <c r="M338" i="98"/>
  <c r="M218" i="105"/>
  <c r="M244" i="105"/>
  <c r="M51" i="104"/>
  <c r="M351" i="104"/>
  <c r="M49" i="98"/>
  <c r="M270" i="98"/>
  <c r="M271" i="98"/>
  <c r="M334" i="98"/>
  <c r="M339" i="98"/>
  <c r="M292" i="98"/>
  <c r="M222" i="105"/>
  <c r="M50" i="104"/>
  <c r="M271" i="104"/>
  <c r="M210" i="98"/>
  <c r="M218" i="98"/>
  <c r="M335" i="98"/>
  <c r="M351" i="98"/>
  <c r="M51" i="107"/>
  <c r="M47" i="104"/>
  <c r="M231" i="104"/>
  <c r="M301" i="104"/>
  <c r="M306" i="98"/>
  <c r="M324" i="98"/>
  <c r="M249" i="106"/>
  <c r="M46" i="105"/>
  <c r="M304" i="105"/>
  <c r="M52" i="104"/>
  <c r="M234" i="104"/>
  <c r="M287" i="104"/>
  <c r="M42" i="98"/>
  <c r="M54" i="98"/>
  <c r="M56" i="98"/>
  <c r="M236" i="98"/>
  <c r="M304" i="98"/>
  <c r="M327" i="98"/>
  <c r="U164" i="104"/>
  <c r="X164" i="104" s="1"/>
  <c r="S164" i="104"/>
  <c r="W164" i="104" s="1"/>
  <c r="T164" i="104"/>
  <c r="Y164" i="104" s="1"/>
  <c r="S51" i="106"/>
  <c r="W51" i="106" s="1"/>
  <c r="T51" i="106"/>
  <c r="Y51" i="106" s="1"/>
  <c r="U51" i="106"/>
  <c r="X51" i="106" s="1"/>
  <c r="T163" i="106"/>
  <c r="Y163" i="106" s="1"/>
  <c r="S163" i="106"/>
  <c r="U163" i="106"/>
  <c r="T218" i="106"/>
  <c r="Y218" i="106" s="1"/>
  <c r="S218" i="106"/>
  <c r="W218" i="106" s="1"/>
  <c r="U218" i="106"/>
  <c r="V218" i="106"/>
  <c r="T231" i="106"/>
  <c r="S231" i="106"/>
  <c r="W231" i="106" s="1"/>
  <c r="U231" i="106"/>
  <c r="Y231" i="106" s="1"/>
  <c r="O46" i="107"/>
  <c r="Y314" i="104"/>
  <c r="Y310" i="104"/>
  <c r="S34" i="104"/>
  <c r="W34" i="104" s="1"/>
  <c r="T34" i="104"/>
  <c r="Y34" i="104" s="1"/>
  <c r="U34" i="104"/>
  <c r="X34" i="104" s="1"/>
  <c r="Y283" i="104"/>
  <c r="T227" i="104"/>
  <c r="S227" i="104"/>
  <c r="W227" i="104" s="1"/>
  <c r="U227" i="104"/>
  <c r="Y242" i="98"/>
  <c r="T53" i="106"/>
  <c r="S53" i="106"/>
  <c r="U53" i="106"/>
  <c r="S233" i="106"/>
  <c r="T233" i="106"/>
  <c r="Y233" i="106" s="1"/>
  <c r="U233" i="106"/>
  <c r="S336" i="106"/>
  <c r="W336" i="106" s="1"/>
  <c r="T336" i="106"/>
  <c r="U336" i="106"/>
  <c r="U337" i="106"/>
  <c r="S337" i="106"/>
  <c r="W337" i="106" s="1"/>
  <c r="T337" i="106"/>
  <c r="T186" i="106"/>
  <c r="Y186" i="106" s="1"/>
  <c r="S186" i="106"/>
  <c r="W186" i="106" s="1"/>
  <c r="U186" i="106"/>
  <c r="X186" i="106" s="1"/>
  <c r="O52" i="107"/>
  <c r="U55" i="106"/>
  <c r="T55" i="106"/>
  <c r="S55" i="106"/>
  <c r="W55" i="106" s="1"/>
  <c r="T169" i="106"/>
  <c r="S169" i="106"/>
  <c r="U169" i="106"/>
  <c r="S58" i="106"/>
  <c r="W58" i="106" s="1"/>
  <c r="T58" i="106"/>
  <c r="U58" i="106"/>
  <c r="U287" i="106"/>
  <c r="S287" i="106"/>
  <c r="W287" i="106" s="1"/>
  <c r="T287" i="106"/>
  <c r="T57" i="106"/>
  <c r="Y57" i="106" s="1"/>
  <c r="S57" i="106"/>
  <c r="W57" i="106" s="1"/>
  <c r="U57" i="106"/>
  <c r="V57" i="106"/>
  <c r="T222" i="106"/>
  <c r="S222" i="106"/>
  <c r="W222" i="106" s="1"/>
  <c r="U222" i="106"/>
  <c r="W205" i="98"/>
  <c r="Y312" i="104"/>
  <c r="W18" i="98"/>
  <c r="Y197" i="98"/>
  <c r="T14" i="104"/>
  <c r="Y14" i="104" s="1"/>
  <c r="S14" i="104"/>
  <c r="W14" i="104" s="1"/>
  <c r="U14" i="104"/>
  <c r="X14" i="104" s="1"/>
  <c r="Y203" i="98"/>
  <c r="Y230" i="104"/>
  <c r="Y157" i="104"/>
  <c r="W177" i="104"/>
  <c r="Y307" i="104"/>
  <c r="U27" i="104"/>
  <c r="S27" i="104"/>
  <c r="T27" i="104"/>
  <c r="Y27" i="104" s="1"/>
  <c r="W179" i="98"/>
  <c r="U246" i="106"/>
  <c r="X246" i="106" s="1"/>
  <c r="S246" i="106"/>
  <c r="W246" i="106" s="1"/>
  <c r="T246" i="106"/>
  <c r="Y246" i="106" s="1"/>
  <c r="T305" i="106"/>
  <c r="Y305" i="106" s="1"/>
  <c r="S305" i="106"/>
  <c r="W305" i="106" s="1"/>
  <c r="U305" i="106"/>
  <c r="V305" i="106"/>
  <c r="T235" i="106"/>
  <c r="S235" i="106"/>
  <c r="W235" i="106" s="1"/>
  <c r="U235" i="106"/>
  <c r="T45" i="106"/>
  <c r="Y45" i="106" s="1"/>
  <c r="S45" i="106"/>
  <c r="W45" i="106" s="1"/>
  <c r="U45" i="106"/>
  <c r="X45" i="106" s="1"/>
  <c r="U47" i="106"/>
  <c r="S47" i="106"/>
  <c r="W47" i="106" s="1"/>
  <c r="T47" i="106"/>
  <c r="Y47" i="106" s="1"/>
  <c r="V47" i="106"/>
  <c r="T269" i="106"/>
  <c r="S269" i="106"/>
  <c r="W269" i="106" s="1"/>
  <c r="U269" i="106"/>
  <c r="T49" i="106"/>
  <c r="S49" i="106"/>
  <c r="W49" i="106" s="1"/>
  <c r="U49" i="106"/>
  <c r="S56" i="106"/>
  <c r="W56" i="106" s="1"/>
  <c r="T56" i="106"/>
  <c r="Y56" i="106" s="1"/>
  <c r="U56" i="106"/>
  <c r="X56" i="106" s="1"/>
  <c r="U244" i="106"/>
  <c r="T244" i="106"/>
  <c r="S244" i="106"/>
  <c r="T50" i="106"/>
  <c r="S50" i="106"/>
  <c r="W50" i="106" s="1"/>
  <c r="U50" i="106"/>
  <c r="S327" i="106"/>
  <c r="W327" i="106" s="1"/>
  <c r="T327" i="106"/>
  <c r="U327" i="106"/>
  <c r="S243" i="104"/>
  <c r="W243" i="104" s="1"/>
  <c r="T243" i="104"/>
  <c r="Y243" i="104" s="1"/>
  <c r="U243" i="104"/>
  <c r="V243" i="104"/>
  <c r="Y322" i="104"/>
  <c r="S20" i="104"/>
  <c r="W20" i="104" s="1"/>
  <c r="T20" i="104"/>
  <c r="Y20" i="104" s="1"/>
  <c r="U20" i="104"/>
  <c r="X20" i="104" s="1"/>
  <c r="Y309" i="98"/>
  <c r="Y283" i="98"/>
  <c r="T264" i="104"/>
  <c r="S264" i="104"/>
  <c r="U264" i="104"/>
  <c r="Y162" i="104"/>
  <c r="S199" i="104"/>
  <c r="W199" i="104" s="1"/>
  <c r="T199" i="104"/>
  <c r="U199" i="104"/>
  <c r="S200" i="104"/>
  <c r="T200" i="104"/>
  <c r="U200" i="104"/>
  <c r="Y197" i="104"/>
  <c r="S59" i="106"/>
  <c r="U59" i="106"/>
  <c r="T59" i="106"/>
  <c r="T248" i="106"/>
  <c r="Y248" i="106" s="1"/>
  <c r="S248" i="106"/>
  <c r="W248" i="106" s="1"/>
  <c r="U248" i="106"/>
  <c r="X248" i="106" s="1"/>
  <c r="S208" i="106"/>
  <c r="W208" i="106" s="1"/>
  <c r="T208" i="106"/>
  <c r="U208" i="106"/>
  <c r="T216" i="106"/>
  <c r="Y216" i="106" s="1"/>
  <c r="S216" i="106"/>
  <c r="W216" i="106" s="1"/>
  <c r="U216" i="106"/>
  <c r="V216" i="106"/>
  <c r="S334" i="106"/>
  <c r="W334" i="106" s="1"/>
  <c r="T334" i="106"/>
  <c r="Y334" i="106" s="1"/>
  <c r="U334" i="106"/>
  <c r="X334" i="106" s="1"/>
  <c r="T236" i="106"/>
  <c r="Y236" i="106" s="1"/>
  <c r="S236" i="106"/>
  <c r="W236" i="106" s="1"/>
  <c r="U236" i="106"/>
  <c r="X236" i="106" s="1"/>
  <c r="S4" i="106"/>
  <c r="T4" i="106"/>
  <c r="U4" i="106"/>
  <c r="U289" i="106"/>
  <c r="S289" i="106"/>
  <c r="W289" i="106" s="1"/>
  <c r="T289" i="106"/>
  <c r="S30" i="104"/>
  <c r="W30" i="104" s="1"/>
  <c r="U30" i="104"/>
  <c r="T30" i="104"/>
  <c r="T301" i="106"/>
  <c r="S301" i="106"/>
  <c r="W301" i="106" s="1"/>
  <c r="U301" i="106"/>
  <c r="S219" i="106"/>
  <c r="U219" i="106"/>
  <c r="T219" i="106"/>
  <c r="Y219" i="106" s="1"/>
  <c r="T28" i="104"/>
  <c r="S28" i="104"/>
  <c r="W28" i="104" s="1"/>
  <c r="U28" i="104"/>
  <c r="S209" i="106"/>
  <c r="T209" i="106"/>
  <c r="U209" i="106"/>
  <c r="S290" i="106"/>
  <c r="W290" i="106" s="1"/>
  <c r="T290" i="106"/>
  <c r="U290" i="106"/>
  <c r="T217" i="106"/>
  <c r="Y217" i="106" s="1"/>
  <c r="S217" i="106"/>
  <c r="W217" i="106" s="1"/>
  <c r="U217" i="106"/>
  <c r="V217" i="106"/>
  <c r="T351" i="106"/>
  <c r="Y351" i="106" s="1"/>
  <c r="S351" i="106"/>
  <c r="W351" i="106" s="1"/>
  <c r="U351" i="106"/>
  <c r="V351" i="106"/>
  <c r="T249" i="106"/>
  <c r="S249" i="106"/>
  <c r="W249" i="106" s="1"/>
  <c r="U249" i="106"/>
  <c r="S42" i="106"/>
  <c r="W42" i="106" s="1"/>
  <c r="T42" i="106"/>
  <c r="Y42" i="106" s="1"/>
  <c r="U42" i="106"/>
  <c r="V42" i="106"/>
  <c r="U335" i="106"/>
  <c r="T335" i="106"/>
  <c r="S335" i="106"/>
  <c r="W335" i="106" s="1"/>
  <c r="T48" i="106"/>
  <c r="Y48" i="106" s="1"/>
  <c r="S48" i="106"/>
  <c r="W48" i="106" s="1"/>
  <c r="U48" i="106"/>
  <c r="X48" i="106" s="1"/>
  <c r="O51" i="107"/>
  <c r="K15" i="108"/>
  <c r="K19" i="108"/>
  <c r="K31" i="108"/>
  <c r="K62" i="108"/>
  <c r="K66" i="108"/>
  <c r="K16" i="108"/>
  <c r="K27" i="108"/>
  <c r="K63" i="108"/>
  <c r="K67" i="108"/>
  <c r="K76" i="108"/>
  <c r="K8" i="108"/>
  <c r="K18" i="108"/>
  <c r="K61" i="108"/>
  <c r="K74" i="108"/>
  <c r="K77" i="108"/>
  <c r="K14" i="108"/>
  <c r="K10" i="108"/>
  <c r="K20" i="108"/>
  <c r="K32" i="108"/>
  <c r="K64" i="108"/>
  <c r="K78" i="108"/>
  <c r="K84" i="108"/>
  <c r="K87" i="108"/>
  <c r="K97" i="108"/>
  <c r="K104" i="108"/>
  <c r="K109" i="108"/>
  <c r="K9" i="108"/>
  <c r="K68" i="108"/>
  <c r="K69" i="108"/>
  <c r="K70" i="108"/>
  <c r="K71" i="108"/>
  <c r="K99" i="108"/>
  <c r="K103" i="108"/>
  <c r="K11" i="108"/>
  <c r="K12" i="108"/>
  <c r="K33" i="108"/>
  <c r="K81" i="108"/>
  <c r="K86" i="108"/>
  <c r="K96" i="108"/>
  <c r="K108" i="108"/>
  <c r="K17" i="108"/>
  <c r="K60" i="108"/>
  <c r="K85" i="108"/>
  <c r="K100" i="108"/>
  <c r="K128" i="108"/>
  <c r="K132" i="108"/>
  <c r="K135" i="108"/>
  <c r="K141" i="108"/>
  <c r="K75" i="108"/>
  <c r="K92" i="108"/>
  <c r="K93" i="108"/>
  <c r="K107" i="108"/>
  <c r="K123" i="108"/>
  <c r="K131" i="108"/>
  <c r="K136" i="108"/>
  <c r="K142" i="108"/>
  <c r="K40" i="108"/>
  <c r="K98" i="108"/>
  <c r="K118" i="108"/>
  <c r="K124" i="108"/>
  <c r="K143" i="108"/>
  <c r="K13" i="108"/>
  <c r="K43" i="108"/>
  <c r="K90" i="108"/>
  <c r="K150" i="108"/>
  <c r="K156" i="108"/>
  <c r="K171" i="108"/>
  <c r="K180" i="108"/>
  <c r="K187" i="108"/>
  <c r="K196" i="108"/>
  <c r="K204" i="108"/>
  <c r="K229" i="108"/>
  <c r="K72" i="108"/>
  <c r="K105" i="108"/>
  <c r="K113" i="108"/>
  <c r="K125" i="108"/>
  <c r="K126" i="108"/>
  <c r="K137" i="108"/>
  <c r="K138" i="108"/>
  <c r="K154" i="108"/>
  <c r="K172" i="108"/>
  <c r="K181" i="108"/>
  <c r="K184" i="108"/>
  <c r="K188" i="108"/>
  <c r="K192" i="108"/>
  <c r="K197" i="108"/>
  <c r="K201" i="108"/>
  <c r="K205" i="108"/>
  <c r="K65" i="108"/>
  <c r="K83" i="108"/>
  <c r="K117" i="108"/>
  <c r="K119" i="108"/>
  <c r="K120" i="108"/>
  <c r="K146" i="108"/>
  <c r="K161" i="108"/>
  <c r="K164" i="108"/>
  <c r="K179" i="108"/>
  <c r="K182" i="108"/>
  <c r="K198" i="108"/>
  <c r="K203" i="108"/>
  <c r="K228" i="108"/>
  <c r="K88" i="108"/>
  <c r="K94" i="108"/>
  <c r="K116" i="108"/>
  <c r="K194" i="108"/>
  <c r="K250" i="108"/>
  <c r="K258" i="108"/>
  <c r="K272" i="108"/>
  <c r="K286" i="108"/>
  <c r="K73" i="108"/>
  <c r="K102" i="108"/>
  <c r="K106" i="108"/>
  <c r="K130" i="108"/>
  <c r="K147" i="108"/>
  <c r="K173" i="108"/>
  <c r="K193" i="108"/>
  <c r="K239" i="108"/>
  <c r="K241" i="108"/>
  <c r="K242" i="108"/>
  <c r="K252" i="108"/>
  <c r="K263" i="108"/>
  <c r="K268" i="108"/>
  <c r="K281" i="108"/>
  <c r="K129" i="108"/>
  <c r="K157" i="108"/>
  <c r="K158" i="108"/>
  <c r="K183" i="108"/>
  <c r="K285" i="108"/>
  <c r="K82" i="108"/>
  <c r="K114" i="108"/>
  <c r="K139" i="108"/>
  <c r="K148" i="108"/>
  <c r="K266" i="108"/>
  <c r="K267" i="108"/>
  <c r="K307" i="108"/>
  <c r="K314" i="108"/>
  <c r="K322" i="108"/>
  <c r="K342" i="108"/>
  <c r="K80" i="108"/>
  <c r="K89" i="108"/>
  <c r="K101" i="108"/>
  <c r="K145" i="108"/>
  <c r="K153" i="108"/>
  <c r="K155" i="108"/>
  <c r="K195" i="108"/>
  <c r="K251" i="108"/>
  <c r="K265" i="108"/>
  <c r="K331" i="108"/>
  <c r="K340" i="108"/>
  <c r="K343" i="108"/>
  <c r="K33" i="107"/>
  <c r="K40" i="107"/>
  <c r="K43" i="107"/>
  <c r="K62" i="107"/>
  <c r="K70" i="107"/>
  <c r="K75" i="107"/>
  <c r="K85" i="107"/>
  <c r="K94" i="107"/>
  <c r="K103" i="107"/>
  <c r="K110" i="107"/>
  <c r="K114" i="107"/>
  <c r="K95" i="108"/>
  <c r="K127" i="108"/>
  <c r="K149" i="108"/>
  <c r="K174" i="108"/>
  <c r="K176" i="108"/>
  <c r="K206" i="108"/>
  <c r="K298" i="108"/>
  <c r="K312" i="108"/>
  <c r="K332" i="108"/>
  <c r="K341" i="108"/>
  <c r="K8" i="107"/>
  <c r="K18" i="107"/>
  <c r="K60" i="107"/>
  <c r="K68" i="107"/>
  <c r="K71" i="107"/>
  <c r="K74" i="107"/>
  <c r="K76" i="107"/>
  <c r="K92" i="107"/>
  <c r="K95" i="107"/>
  <c r="K98" i="107"/>
  <c r="K100" i="107"/>
  <c r="K104" i="107"/>
  <c r="K107" i="107"/>
  <c r="K111" i="107"/>
  <c r="K119" i="107"/>
  <c r="K123" i="107"/>
  <c r="K127" i="107"/>
  <c r="K79" i="108"/>
  <c r="K91" i="108"/>
  <c r="K121" i="108"/>
  <c r="K9" i="107"/>
  <c r="K10" i="107"/>
  <c r="K17" i="107"/>
  <c r="K20" i="107"/>
  <c r="K115" i="107"/>
  <c r="K121" i="107"/>
  <c r="K124" i="107"/>
  <c r="K132" i="107"/>
  <c r="K134" i="107"/>
  <c r="K140" i="107"/>
  <c r="K142" i="107"/>
  <c r="K145" i="107"/>
  <c r="K149" i="107"/>
  <c r="K159" i="108"/>
  <c r="K189" i="108"/>
  <c r="K279" i="108"/>
  <c r="K303" i="108"/>
  <c r="K12" i="107"/>
  <c r="K13" i="107"/>
  <c r="K14" i="107"/>
  <c r="K15" i="107"/>
  <c r="K34" i="107"/>
  <c r="K63" i="107"/>
  <c r="K64" i="107"/>
  <c r="K65" i="107"/>
  <c r="K77" i="107"/>
  <c r="K79" i="107"/>
  <c r="K80" i="107"/>
  <c r="K81" i="107"/>
  <c r="K97" i="107"/>
  <c r="K153" i="107"/>
  <c r="K162" i="107"/>
  <c r="K44" i="108"/>
  <c r="K115" i="108"/>
  <c r="K283" i="108"/>
  <c r="K308" i="108"/>
  <c r="K317" i="108"/>
  <c r="K83" i="107"/>
  <c r="K84" i="107"/>
  <c r="K87" i="107"/>
  <c r="K88" i="107"/>
  <c r="K130" i="107"/>
  <c r="K148" i="107"/>
  <c r="K154" i="107"/>
  <c r="K157" i="107"/>
  <c r="K166" i="107"/>
  <c r="K174" i="107"/>
  <c r="K182" i="107"/>
  <c r="K191" i="107"/>
  <c r="K111" i="108"/>
  <c r="K166" i="108"/>
  <c r="K191" i="108"/>
  <c r="K31" i="107"/>
  <c r="K61" i="107"/>
  <c r="K66" i="107"/>
  <c r="K112" i="108"/>
  <c r="K140" i="108"/>
  <c r="K311" i="108"/>
  <c r="K27" i="107"/>
  <c r="K82" i="107"/>
  <c r="K89" i="107"/>
  <c r="K135" i="107"/>
  <c r="K136" i="107"/>
  <c r="K147" i="107"/>
  <c r="K133" i="108"/>
  <c r="K160" i="108"/>
  <c r="K168" i="108"/>
  <c r="K230" i="108"/>
  <c r="K264" i="108"/>
  <c r="K316" i="108"/>
  <c r="K349" i="108"/>
  <c r="K16" i="107"/>
  <c r="K32" i="107"/>
  <c r="K69" i="107"/>
  <c r="K73" i="107"/>
  <c r="K102" i="107"/>
  <c r="K126" i="107"/>
  <c r="K131" i="107"/>
  <c r="K146" i="107"/>
  <c r="K156" i="107"/>
  <c r="K158" i="107"/>
  <c r="K152" i="108"/>
  <c r="K348" i="108"/>
  <c r="K105" i="107"/>
  <c r="K116" i="107"/>
  <c r="K143" i="107"/>
  <c r="K152" i="107"/>
  <c r="K171" i="107"/>
  <c r="K172" i="107"/>
  <c r="K177" i="107"/>
  <c r="K181" i="107"/>
  <c r="K188" i="107"/>
  <c r="K193" i="107"/>
  <c r="K201" i="107"/>
  <c r="K202" i="107"/>
  <c r="K242" i="107"/>
  <c r="K266" i="107"/>
  <c r="K285" i="107"/>
  <c r="K311" i="107"/>
  <c r="K313" i="107"/>
  <c r="K316" i="107"/>
  <c r="K349" i="107"/>
  <c r="K10" i="106"/>
  <c r="K34" i="108"/>
  <c r="K162" i="108"/>
  <c r="K310" i="108"/>
  <c r="K11" i="107"/>
  <c r="K72" i="107"/>
  <c r="K128" i="107"/>
  <c r="K167" i="107"/>
  <c r="K183" i="107"/>
  <c r="K189" i="107"/>
  <c r="K228" i="107"/>
  <c r="K267" i="107"/>
  <c r="K272" i="107"/>
  <c r="K280" i="107"/>
  <c r="K283" i="107"/>
  <c r="K314" i="107"/>
  <c r="K317" i="107"/>
  <c r="K331" i="107"/>
  <c r="K165" i="108"/>
  <c r="K202" i="108"/>
  <c r="K325" i="108"/>
  <c r="K44" i="107"/>
  <c r="K93" i="107"/>
  <c r="K101" i="107"/>
  <c r="K109" i="107"/>
  <c r="K122" i="107"/>
  <c r="K165" i="107"/>
  <c r="K179" i="107"/>
  <c r="K190" i="107"/>
  <c r="K206" i="107"/>
  <c r="K273" i="107"/>
  <c r="K281" i="107"/>
  <c r="K284" i="107"/>
  <c r="K315" i="107"/>
  <c r="K321" i="107"/>
  <c r="K332" i="107"/>
  <c r="K342" i="107"/>
  <c r="K348" i="107"/>
  <c r="K15" i="106"/>
  <c r="K122" i="108"/>
  <c r="K284" i="108"/>
  <c r="K90" i="107"/>
  <c r="K133" i="107"/>
  <c r="K137" i="107"/>
  <c r="K150" i="107"/>
  <c r="K175" i="107"/>
  <c r="K176" i="107"/>
  <c r="K180" i="107"/>
  <c r="K187" i="107"/>
  <c r="K192" i="107"/>
  <c r="K198" i="107"/>
  <c r="K241" i="107"/>
  <c r="K252" i="107"/>
  <c r="K265" i="107"/>
  <c r="K279" i="107"/>
  <c r="K310" i="107"/>
  <c r="K175" i="108"/>
  <c r="K86" i="107"/>
  <c r="K108" i="107"/>
  <c r="K164" i="107"/>
  <c r="K173" i="107"/>
  <c r="K110" i="108"/>
  <c r="K177" i="108"/>
  <c r="K19" i="107"/>
  <c r="K67" i="107"/>
  <c r="K99" i="107"/>
  <c r="K113" i="107"/>
  <c r="K160" i="107"/>
  <c r="K195" i="107"/>
  <c r="K229" i="107"/>
  <c r="K251" i="107"/>
  <c r="K268" i="107"/>
  <c r="K273" i="108"/>
  <c r="K315" i="108"/>
  <c r="K120" i="107"/>
  <c r="K125" i="107"/>
  <c r="K138" i="107"/>
  <c r="K309" i="108"/>
  <c r="K313" i="108"/>
  <c r="K78" i="107"/>
  <c r="K112" i="107"/>
  <c r="K155" i="107"/>
  <c r="K159" i="107"/>
  <c r="K196" i="107"/>
  <c r="K230" i="107"/>
  <c r="K286" i="107"/>
  <c r="K308" i="107"/>
  <c r="K321" i="108"/>
  <c r="K309" i="107"/>
  <c r="K44" i="106"/>
  <c r="K63" i="106"/>
  <c r="K82" i="106"/>
  <c r="K86" i="106"/>
  <c r="K91" i="106"/>
  <c r="K97" i="106"/>
  <c r="K113" i="106"/>
  <c r="K116" i="106"/>
  <c r="K118" i="106"/>
  <c r="K128" i="106"/>
  <c r="K132" i="106"/>
  <c r="K135" i="106"/>
  <c r="K141" i="106"/>
  <c r="K147" i="106"/>
  <c r="K150" i="106"/>
  <c r="K164" i="106"/>
  <c r="K175" i="106"/>
  <c r="K194" i="106"/>
  <c r="K205" i="106"/>
  <c r="K265" i="106"/>
  <c r="K298" i="106"/>
  <c r="K303" i="106"/>
  <c r="K312" i="106"/>
  <c r="K321" i="106"/>
  <c r="K341" i="106"/>
  <c r="K34" i="105"/>
  <c r="O34" i="105" s="1"/>
  <c r="K73" i="105"/>
  <c r="O73" i="105" s="1"/>
  <c r="K82" i="105"/>
  <c r="O82" i="105" s="1"/>
  <c r="K88" i="105"/>
  <c r="O88" i="105" s="1"/>
  <c r="K168" i="107"/>
  <c r="K197" i="107"/>
  <c r="K250" i="107"/>
  <c r="K263" i="107"/>
  <c r="K303" i="107"/>
  <c r="K340" i="107"/>
  <c r="K343" i="107"/>
  <c r="K20" i="106"/>
  <c r="K40" i="106"/>
  <c r="K61" i="106"/>
  <c r="K64" i="106"/>
  <c r="K66" i="106"/>
  <c r="K76" i="106"/>
  <c r="K87" i="106"/>
  <c r="K92" i="106"/>
  <c r="K95" i="106"/>
  <c r="K98" i="106"/>
  <c r="K104" i="106"/>
  <c r="K111" i="106"/>
  <c r="K126" i="106"/>
  <c r="K136" i="106"/>
  <c r="K148" i="106"/>
  <c r="K156" i="106"/>
  <c r="K168" i="106"/>
  <c r="K176" i="106"/>
  <c r="K179" i="106"/>
  <c r="K191" i="106"/>
  <c r="K195" i="106"/>
  <c r="K198" i="106"/>
  <c r="K201" i="106"/>
  <c r="K229" i="106"/>
  <c r="K266" i="106"/>
  <c r="K307" i="106"/>
  <c r="K310" i="106"/>
  <c r="K313" i="106"/>
  <c r="K317" i="106"/>
  <c r="K322" i="106"/>
  <c r="K15" i="105"/>
  <c r="O15" i="105" s="1"/>
  <c r="K43" i="105"/>
  <c r="O43" i="105" s="1"/>
  <c r="K60" i="105"/>
  <c r="O60" i="105" s="1"/>
  <c r="K62" i="105"/>
  <c r="O62" i="105" s="1"/>
  <c r="K70" i="105"/>
  <c r="O70" i="105" s="1"/>
  <c r="K74" i="105"/>
  <c r="O74" i="105" s="1"/>
  <c r="K77" i="105"/>
  <c r="O77" i="105" s="1"/>
  <c r="K89" i="105"/>
  <c r="O89" i="105" s="1"/>
  <c r="K100" i="105"/>
  <c r="O100" i="105" s="1"/>
  <c r="K103" i="105"/>
  <c r="O103" i="105" s="1"/>
  <c r="K106" i="105"/>
  <c r="O106" i="105" s="1"/>
  <c r="K111" i="105"/>
  <c r="O111" i="105" s="1"/>
  <c r="K114" i="105"/>
  <c r="O114" i="105" s="1"/>
  <c r="K120" i="105"/>
  <c r="O120" i="105" s="1"/>
  <c r="K126" i="105"/>
  <c r="O126" i="105" s="1"/>
  <c r="K132" i="105"/>
  <c r="O132" i="105" s="1"/>
  <c r="K141" i="105"/>
  <c r="O141" i="105" s="1"/>
  <c r="K106" i="107"/>
  <c r="K141" i="107"/>
  <c r="K161" i="107"/>
  <c r="K258" i="107"/>
  <c r="K298" i="107"/>
  <c r="K322" i="107"/>
  <c r="K11" i="106"/>
  <c r="K16" i="106"/>
  <c r="K43" i="106"/>
  <c r="K62" i="106"/>
  <c r="K71" i="106"/>
  <c r="K74" i="106"/>
  <c r="K78" i="106"/>
  <c r="K84" i="106"/>
  <c r="K90" i="106"/>
  <c r="K99" i="106"/>
  <c r="K112" i="106"/>
  <c r="K115" i="106"/>
  <c r="K120" i="106"/>
  <c r="K124" i="106"/>
  <c r="K127" i="106"/>
  <c r="K131" i="106"/>
  <c r="K134" i="106"/>
  <c r="K137" i="106"/>
  <c r="K140" i="106"/>
  <c r="K149" i="106"/>
  <c r="K158" i="106"/>
  <c r="K173" i="106"/>
  <c r="K180" i="106"/>
  <c r="K183" i="106"/>
  <c r="K251" i="106"/>
  <c r="K258" i="106"/>
  <c r="K311" i="106"/>
  <c r="K315" i="106"/>
  <c r="K332" i="106"/>
  <c r="K8" i="105"/>
  <c r="O8" i="105" s="1"/>
  <c r="K13" i="105"/>
  <c r="O13" i="105" s="1"/>
  <c r="K17" i="105"/>
  <c r="O17" i="105" s="1"/>
  <c r="K63" i="105"/>
  <c r="O63" i="105" s="1"/>
  <c r="K81" i="105"/>
  <c r="O81" i="105" s="1"/>
  <c r="K84" i="105"/>
  <c r="O84" i="105" s="1"/>
  <c r="K90" i="105"/>
  <c r="O90" i="105" s="1"/>
  <c r="K107" i="105"/>
  <c r="O107" i="105" s="1"/>
  <c r="K112" i="105"/>
  <c r="O112" i="105" s="1"/>
  <c r="K125" i="105"/>
  <c r="O125" i="105" s="1"/>
  <c r="K127" i="105"/>
  <c r="O127" i="105" s="1"/>
  <c r="K140" i="105"/>
  <c r="O140" i="105" s="1"/>
  <c r="K142" i="105"/>
  <c r="O142" i="105" s="1"/>
  <c r="K134" i="108"/>
  <c r="K91" i="107"/>
  <c r="K129" i="107"/>
  <c r="K325" i="107"/>
  <c r="K13" i="106"/>
  <c r="K17" i="106"/>
  <c r="K34" i="106"/>
  <c r="K75" i="106"/>
  <c r="K119" i="106"/>
  <c r="K145" i="106"/>
  <c r="K146" i="106"/>
  <c r="K154" i="106"/>
  <c r="K272" i="106"/>
  <c r="K280" i="106"/>
  <c r="K325" i="106"/>
  <c r="K18" i="105"/>
  <c r="O18" i="105" s="1"/>
  <c r="K32" i="105"/>
  <c r="O32" i="105" s="1"/>
  <c r="K40" i="105"/>
  <c r="O40" i="105" s="1"/>
  <c r="K87" i="105"/>
  <c r="O87" i="105" s="1"/>
  <c r="K93" i="105"/>
  <c r="O93" i="105" s="1"/>
  <c r="K104" i="105"/>
  <c r="O104" i="105" s="1"/>
  <c r="K105" i="105"/>
  <c r="O105" i="105" s="1"/>
  <c r="K108" i="105"/>
  <c r="O108" i="105" s="1"/>
  <c r="K109" i="105"/>
  <c r="O109" i="105" s="1"/>
  <c r="K123" i="105"/>
  <c r="O123" i="105" s="1"/>
  <c r="K156" i="105"/>
  <c r="O156" i="105" s="1"/>
  <c r="K159" i="105"/>
  <c r="O159" i="105" s="1"/>
  <c r="K179" i="105"/>
  <c r="O179" i="105" s="1"/>
  <c r="K193" i="105"/>
  <c r="O193" i="105" s="1"/>
  <c r="K196" i="105"/>
  <c r="O196" i="105" s="1"/>
  <c r="K266" i="105"/>
  <c r="O266" i="105" s="1"/>
  <c r="K273" i="105"/>
  <c r="O273" i="105" s="1"/>
  <c r="K314" i="105"/>
  <c r="O314" i="105" s="1"/>
  <c r="K331" i="105"/>
  <c r="O331" i="105" s="1"/>
  <c r="K280" i="108"/>
  <c r="K264" i="107"/>
  <c r="K27" i="106"/>
  <c r="K32" i="106"/>
  <c r="K60" i="106"/>
  <c r="K72" i="106"/>
  <c r="K83" i="106"/>
  <c r="K93" i="106"/>
  <c r="K94" i="106"/>
  <c r="K125" i="106"/>
  <c r="K133" i="106"/>
  <c r="K142" i="106"/>
  <c r="K143" i="106"/>
  <c r="K152" i="106"/>
  <c r="K184" i="106"/>
  <c r="K192" i="106"/>
  <c r="K204" i="106"/>
  <c r="K250" i="106"/>
  <c r="K264" i="106"/>
  <c r="K9" i="105"/>
  <c r="O9" i="105" s="1"/>
  <c r="K31" i="105"/>
  <c r="O31" i="105" s="1"/>
  <c r="K65" i="105"/>
  <c r="O65" i="105" s="1"/>
  <c r="K69" i="105"/>
  <c r="O69" i="105" s="1"/>
  <c r="K71" i="105"/>
  <c r="O71" i="105" s="1"/>
  <c r="K83" i="105"/>
  <c r="O83" i="105" s="1"/>
  <c r="K95" i="105"/>
  <c r="O95" i="105" s="1"/>
  <c r="K96" i="105"/>
  <c r="O96" i="105" s="1"/>
  <c r="K97" i="105"/>
  <c r="O97" i="105" s="1"/>
  <c r="K117" i="105"/>
  <c r="O117" i="105" s="1"/>
  <c r="K137" i="105"/>
  <c r="O137" i="105" s="1"/>
  <c r="K146" i="105"/>
  <c r="O146" i="105" s="1"/>
  <c r="K152" i="105"/>
  <c r="O152" i="105" s="1"/>
  <c r="K157" i="105"/>
  <c r="O157" i="105" s="1"/>
  <c r="K167" i="105"/>
  <c r="O167" i="105" s="1"/>
  <c r="K180" i="105"/>
  <c r="O180" i="105" s="1"/>
  <c r="K183" i="105"/>
  <c r="O183" i="105" s="1"/>
  <c r="K197" i="105"/>
  <c r="O197" i="105" s="1"/>
  <c r="K206" i="105"/>
  <c r="O206" i="105" s="1"/>
  <c r="K229" i="105"/>
  <c r="O229" i="105" s="1"/>
  <c r="K258" i="105"/>
  <c r="O258" i="105" s="1"/>
  <c r="K307" i="105"/>
  <c r="O307" i="105" s="1"/>
  <c r="K317" i="105"/>
  <c r="O317" i="105" s="1"/>
  <c r="K167" i="108"/>
  <c r="K96" i="107"/>
  <c r="K194" i="107"/>
  <c r="K203" i="107"/>
  <c r="K312" i="107"/>
  <c r="K9" i="106"/>
  <c r="K69" i="106"/>
  <c r="K89" i="106"/>
  <c r="K101" i="106"/>
  <c r="K103" i="106"/>
  <c r="K106" i="106"/>
  <c r="K107" i="106"/>
  <c r="K108" i="106"/>
  <c r="K110" i="106"/>
  <c r="K122" i="106"/>
  <c r="K123" i="106"/>
  <c r="K138" i="106"/>
  <c r="K139" i="106"/>
  <c r="K161" i="106"/>
  <c r="K166" i="106"/>
  <c r="K182" i="106"/>
  <c r="K187" i="106"/>
  <c r="K188" i="106"/>
  <c r="K190" i="106"/>
  <c r="K197" i="106"/>
  <c r="K202" i="106"/>
  <c r="K241" i="106"/>
  <c r="K267" i="106"/>
  <c r="K286" i="106"/>
  <c r="K309" i="106"/>
  <c r="K316" i="106"/>
  <c r="K44" i="105"/>
  <c r="O44" i="105" s="1"/>
  <c r="K80" i="105"/>
  <c r="O80" i="105" s="1"/>
  <c r="K99" i="105"/>
  <c r="O99" i="105" s="1"/>
  <c r="K118" i="105"/>
  <c r="O118" i="105" s="1"/>
  <c r="K129" i="105"/>
  <c r="O129" i="105" s="1"/>
  <c r="K130" i="105"/>
  <c r="O130" i="105" s="1"/>
  <c r="K131" i="105"/>
  <c r="O131" i="105" s="1"/>
  <c r="K138" i="105"/>
  <c r="O138" i="105" s="1"/>
  <c r="K139" i="105"/>
  <c r="O139" i="105" s="1"/>
  <c r="K150" i="105"/>
  <c r="O150" i="105" s="1"/>
  <c r="K154" i="105"/>
  <c r="O154" i="105" s="1"/>
  <c r="K158" i="105"/>
  <c r="O158" i="105" s="1"/>
  <c r="K166" i="105"/>
  <c r="O166" i="105" s="1"/>
  <c r="K168" i="105"/>
  <c r="O168" i="105" s="1"/>
  <c r="K174" i="105"/>
  <c r="O174" i="105" s="1"/>
  <c r="K187" i="105"/>
  <c r="O187" i="105" s="1"/>
  <c r="K194" i="105"/>
  <c r="O194" i="105" s="1"/>
  <c r="K198" i="105"/>
  <c r="O198" i="105" s="1"/>
  <c r="K204" i="105"/>
  <c r="O204" i="105" s="1"/>
  <c r="K228" i="105"/>
  <c r="O228" i="105" s="1"/>
  <c r="K250" i="105"/>
  <c r="O250" i="105" s="1"/>
  <c r="K272" i="105"/>
  <c r="O272" i="105" s="1"/>
  <c r="K280" i="105"/>
  <c r="O280" i="105" s="1"/>
  <c r="K303" i="105"/>
  <c r="O303" i="105" s="1"/>
  <c r="K190" i="108"/>
  <c r="K184" i="107"/>
  <c r="K239" i="107"/>
  <c r="K65" i="106"/>
  <c r="K67" i="106"/>
  <c r="K68" i="106"/>
  <c r="K100" i="106"/>
  <c r="K105" i="106"/>
  <c r="K109" i="106"/>
  <c r="K121" i="106"/>
  <c r="K130" i="106"/>
  <c r="K165" i="106"/>
  <c r="K171" i="106"/>
  <c r="K181" i="106"/>
  <c r="K196" i="106"/>
  <c r="K228" i="106"/>
  <c r="K230" i="106"/>
  <c r="K273" i="106"/>
  <c r="K284" i="106"/>
  <c r="K285" i="106"/>
  <c r="K308" i="106"/>
  <c r="K307" i="107"/>
  <c r="K77" i="106"/>
  <c r="K79" i="106"/>
  <c r="K203" i="106"/>
  <c r="K239" i="106"/>
  <c r="K252" i="106"/>
  <c r="K314" i="106"/>
  <c r="K348" i="106"/>
  <c r="K19" i="105"/>
  <c r="O19" i="105" s="1"/>
  <c r="K33" i="105"/>
  <c r="O33" i="105" s="1"/>
  <c r="K341" i="107"/>
  <c r="K14" i="106"/>
  <c r="K18" i="106"/>
  <c r="K33" i="106"/>
  <c r="K81" i="106"/>
  <c r="K88" i="106"/>
  <c r="K102" i="106"/>
  <c r="K157" i="106"/>
  <c r="K159" i="106"/>
  <c r="K75" i="105"/>
  <c r="O75" i="105" s="1"/>
  <c r="K79" i="105"/>
  <c r="O79" i="105" s="1"/>
  <c r="K117" i="107"/>
  <c r="K19" i="106"/>
  <c r="K31" i="106"/>
  <c r="K117" i="106"/>
  <c r="K153" i="106"/>
  <c r="K174" i="106"/>
  <c r="K343" i="106"/>
  <c r="K12" i="105"/>
  <c r="O12" i="105" s="1"/>
  <c r="K61" i="105"/>
  <c r="O61" i="105" s="1"/>
  <c r="K64" i="105"/>
  <c r="O64" i="105" s="1"/>
  <c r="K78" i="105"/>
  <c r="O78" i="105" s="1"/>
  <c r="K118" i="107"/>
  <c r="K204" i="107"/>
  <c r="K8" i="106"/>
  <c r="K189" i="106"/>
  <c r="K279" i="106"/>
  <c r="K331" i="106"/>
  <c r="K342" i="106"/>
  <c r="K349" i="106"/>
  <c r="K27" i="105"/>
  <c r="O27" i="105" s="1"/>
  <c r="K66" i="105"/>
  <c r="O66" i="105" s="1"/>
  <c r="K128" i="105"/>
  <c r="O128" i="105" s="1"/>
  <c r="K136" i="105"/>
  <c r="O136" i="105" s="1"/>
  <c r="K164" i="105"/>
  <c r="O164" i="105" s="1"/>
  <c r="K96" i="106"/>
  <c r="K162" i="106"/>
  <c r="K167" i="106"/>
  <c r="K172" i="106"/>
  <c r="K193" i="106"/>
  <c r="K206" i="106"/>
  <c r="K94" i="105"/>
  <c r="O94" i="105" s="1"/>
  <c r="K98" i="105"/>
  <c r="O98" i="105" s="1"/>
  <c r="K113" i="105"/>
  <c r="O113" i="105" s="1"/>
  <c r="K124" i="105"/>
  <c r="O124" i="105" s="1"/>
  <c r="K133" i="105"/>
  <c r="O133" i="105" s="1"/>
  <c r="K143" i="105"/>
  <c r="O143" i="105" s="1"/>
  <c r="K147" i="105"/>
  <c r="O147" i="105" s="1"/>
  <c r="K191" i="105"/>
  <c r="O191" i="105" s="1"/>
  <c r="K321" i="105"/>
  <c r="O321" i="105" s="1"/>
  <c r="K340" i="105"/>
  <c r="O340" i="105" s="1"/>
  <c r="K342" i="105"/>
  <c r="O342" i="105" s="1"/>
  <c r="K10" i="104"/>
  <c r="K13" i="104"/>
  <c r="K18" i="104"/>
  <c r="K32" i="104"/>
  <c r="K69" i="104"/>
  <c r="K78" i="104"/>
  <c r="K160" i="106"/>
  <c r="K242" i="106"/>
  <c r="K10" i="105"/>
  <c r="O10" i="105" s="1"/>
  <c r="K16" i="105"/>
  <c r="O16" i="105" s="1"/>
  <c r="K20" i="105"/>
  <c r="O20" i="105" s="1"/>
  <c r="K68" i="105"/>
  <c r="O68" i="105" s="1"/>
  <c r="K116" i="105"/>
  <c r="O116" i="105" s="1"/>
  <c r="K173" i="105"/>
  <c r="O173" i="105" s="1"/>
  <c r="K181" i="105"/>
  <c r="O181" i="105" s="1"/>
  <c r="K242" i="105"/>
  <c r="O242" i="105" s="1"/>
  <c r="K267" i="105"/>
  <c r="O267" i="105" s="1"/>
  <c r="K268" i="105"/>
  <c r="O268" i="105" s="1"/>
  <c r="K284" i="105"/>
  <c r="O284" i="105" s="1"/>
  <c r="K285" i="105"/>
  <c r="O285" i="105" s="1"/>
  <c r="K286" i="105"/>
  <c r="O286" i="105" s="1"/>
  <c r="K309" i="105"/>
  <c r="O309" i="105" s="1"/>
  <c r="K332" i="105"/>
  <c r="O332" i="105" s="1"/>
  <c r="K8" i="104"/>
  <c r="K12" i="104"/>
  <c r="K33" i="104"/>
  <c r="K44" i="104"/>
  <c r="K66" i="104"/>
  <c r="K68" i="104"/>
  <c r="K80" i="104"/>
  <c r="K94" i="104"/>
  <c r="K99" i="104"/>
  <c r="K139" i="107"/>
  <c r="K70" i="106"/>
  <c r="K67" i="105"/>
  <c r="O67" i="105" s="1"/>
  <c r="K91" i="105"/>
  <c r="O91" i="105" s="1"/>
  <c r="K149" i="105"/>
  <c r="O149" i="105" s="1"/>
  <c r="K153" i="105"/>
  <c r="O153" i="105" s="1"/>
  <c r="K205" i="105"/>
  <c r="O205" i="105" s="1"/>
  <c r="K239" i="105"/>
  <c r="O239" i="105" s="1"/>
  <c r="K17" i="104"/>
  <c r="K65" i="104"/>
  <c r="K67" i="104"/>
  <c r="K71" i="104"/>
  <c r="K77" i="104"/>
  <c r="K73" i="106"/>
  <c r="K155" i="106"/>
  <c r="K11" i="105"/>
  <c r="O11" i="105" s="1"/>
  <c r="K86" i="105"/>
  <c r="O86" i="105" s="1"/>
  <c r="K134" i="105"/>
  <c r="O134" i="105" s="1"/>
  <c r="K148" i="105"/>
  <c r="O148" i="105" s="1"/>
  <c r="K160" i="105"/>
  <c r="O160" i="105" s="1"/>
  <c r="K171" i="105"/>
  <c r="O171" i="105" s="1"/>
  <c r="K184" i="105"/>
  <c r="O184" i="105" s="1"/>
  <c r="K192" i="105"/>
  <c r="O192" i="105" s="1"/>
  <c r="K263" i="105"/>
  <c r="O263" i="105" s="1"/>
  <c r="K313" i="105"/>
  <c r="O313" i="105" s="1"/>
  <c r="K9" i="104"/>
  <c r="K14" i="104"/>
  <c r="K27" i="104"/>
  <c r="K268" i="106"/>
  <c r="K122" i="105"/>
  <c r="O122" i="105" s="1"/>
  <c r="K135" i="105"/>
  <c r="O135" i="105" s="1"/>
  <c r="K155" i="105"/>
  <c r="O155" i="105" s="1"/>
  <c r="K162" i="105"/>
  <c r="O162" i="105" s="1"/>
  <c r="K195" i="105"/>
  <c r="O195" i="105" s="1"/>
  <c r="K241" i="105"/>
  <c r="O241" i="105" s="1"/>
  <c r="K252" i="105"/>
  <c r="O252" i="105" s="1"/>
  <c r="K343" i="105"/>
  <c r="O343" i="105" s="1"/>
  <c r="K348" i="105"/>
  <c r="O348" i="105" s="1"/>
  <c r="K349" i="105"/>
  <c r="O349" i="105" s="1"/>
  <c r="K16" i="104"/>
  <c r="K60" i="104"/>
  <c r="K73" i="104"/>
  <c r="K82" i="104"/>
  <c r="K85" i="104"/>
  <c r="K95" i="104"/>
  <c r="K104" i="104"/>
  <c r="K108" i="104"/>
  <c r="K124" i="104"/>
  <c r="K129" i="104"/>
  <c r="K134" i="104"/>
  <c r="K139" i="104"/>
  <c r="K149" i="104"/>
  <c r="K153" i="104"/>
  <c r="K173" i="104"/>
  <c r="K205" i="107"/>
  <c r="K129" i="106"/>
  <c r="K110" i="105"/>
  <c r="O110" i="105" s="1"/>
  <c r="K165" i="105"/>
  <c r="O165" i="105" s="1"/>
  <c r="K19" i="104"/>
  <c r="K64" i="104"/>
  <c r="K74" i="104"/>
  <c r="K75" i="104"/>
  <c r="K92" i="104"/>
  <c r="K100" i="104"/>
  <c r="K110" i="104"/>
  <c r="K115" i="104"/>
  <c r="K141" i="104"/>
  <c r="K157" i="104"/>
  <c r="K162" i="104"/>
  <c r="K176" i="104"/>
  <c r="K184" i="104"/>
  <c r="K189" i="104"/>
  <c r="K194" i="104"/>
  <c r="K197" i="104"/>
  <c r="K201" i="104"/>
  <c r="K204" i="104"/>
  <c r="K12" i="106"/>
  <c r="K177" i="106"/>
  <c r="K189" i="105"/>
  <c r="O189" i="105" s="1"/>
  <c r="K298" i="105"/>
  <c r="O298" i="105" s="1"/>
  <c r="K11" i="104"/>
  <c r="K20" i="104"/>
  <c r="K43" i="104"/>
  <c r="K70" i="104"/>
  <c r="K81" i="104"/>
  <c r="K86" i="104"/>
  <c r="K116" i="104"/>
  <c r="K120" i="104"/>
  <c r="K130" i="104"/>
  <c r="K137" i="104"/>
  <c r="K142" i="104"/>
  <c r="K161" i="104"/>
  <c r="K166" i="104"/>
  <c r="K175" i="104"/>
  <c r="K179" i="104"/>
  <c r="K188" i="104"/>
  <c r="K80" i="106"/>
  <c r="K114" i="106"/>
  <c r="K340" i="106"/>
  <c r="K72" i="105"/>
  <c r="O72" i="105" s="1"/>
  <c r="K101" i="105"/>
  <c r="O101" i="105" s="1"/>
  <c r="K145" i="105"/>
  <c r="O145" i="105" s="1"/>
  <c r="K176" i="105"/>
  <c r="O176" i="105" s="1"/>
  <c r="K202" i="105"/>
  <c r="O202" i="105" s="1"/>
  <c r="K264" i="105"/>
  <c r="O264" i="105" s="1"/>
  <c r="K283" i="105"/>
  <c r="O283" i="105" s="1"/>
  <c r="K311" i="105"/>
  <c r="O311" i="105" s="1"/>
  <c r="K315" i="105"/>
  <c r="O315" i="105" s="1"/>
  <c r="K63" i="104"/>
  <c r="K72" i="104"/>
  <c r="K88" i="104"/>
  <c r="K91" i="104"/>
  <c r="K93" i="104"/>
  <c r="K97" i="104"/>
  <c r="K106" i="104"/>
  <c r="K113" i="104"/>
  <c r="K118" i="104"/>
  <c r="K122" i="104"/>
  <c r="K127" i="104"/>
  <c r="K132" i="104"/>
  <c r="K147" i="104"/>
  <c r="K156" i="104"/>
  <c r="K158" i="104"/>
  <c r="K165" i="104"/>
  <c r="K171" i="104"/>
  <c r="K177" i="104"/>
  <c r="K183" i="104"/>
  <c r="K193" i="104"/>
  <c r="K206" i="104"/>
  <c r="K102" i="105"/>
  <c r="O102" i="105" s="1"/>
  <c r="K188" i="105"/>
  <c r="O188" i="105" s="1"/>
  <c r="K230" i="105"/>
  <c r="O230" i="105" s="1"/>
  <c r="K31" i="104"/>
  <c r="K105" i="104"/>
  <c r="K109" i="104"/>
  <c r="K152" i="104"/>
  <c r="K155" i="104"/>
  <c r="K167" i="104"/>
  <c r="K190" i="104"/>
  <c r="K198" i="104"/>
  <c r="K229" i="104"/>
  <c r="K252" i="104"/>
  <c r="K303" i="104"/>
  <c r="K342" i="104"/>
  <c r="K44" i="98"/>
  <c r="K72" i="98"/>
  <c r="K74" i="98"/>
  <c r="K80" i="98"/>
  <c r="K89" i="98"/>
  <c r="K104" i="98"/>
  <c r="K106" i="98"/>
  <c r="K113" i="98"/>
  <c r="K134" i="98"/>
  <c r="K145" i="98"/>
  <c r="K148" i="98"/>
  <c r="K161" i="98"/>
  <c r="K173" i="98"/>
  <c r="K182" i="98"/>
  <c r="K193" i="98"/>
  <c r="K230" i="98"/>
  <c r="K242" i="98"/>
  <c r="K251" i="98"/>
  <c r="K265" i="98"/>
  <c r="K172" i="105"/>
  <c r="O172" i="105" s="1"/>
  <c r="K251" i="105"/>
  <c r="O251" i="105" s="1"/>
  <c r="K265" i="105"/>
  <c r="O265" i="105" s="1"/>
  <c r="K312" i="105"/>
  <c r="O312" i="105" s="1"/>
  <c r="K76" i="104"/>
  <c r="K89" i="104"/>
  <c r="K101" i="104"/>
  <c r="K102" i="104"/>
  <c r="K103" i="104"/>
  <c r="K138" i="104"/>
  <c r="K143" i="104"/>
  <c r="K148" i="104"/>
  <c r="K196" i="104"/>
  <c r="K250" i="104"/>
  <c r="K263" i="104"/>
  <c r="K280" i="104"/>
  <c r="K309" i="104"/>
  <c r="K317" i="104"/>
  <c r="K331" i="104"/>
  <c r="K340" i="104"/>
  <c r="K343" i="104"/>
  <c r="K11" i="98"/>
  <c r="K18" i="98"/>
  <c r="K20" i="98"/>
  <c r="K60" i="98"/>
  <c r="K81" i="98"/>
  <c r="K86" i="98"/>
  <c r="K97" i="98"/>
  <c r="K100" i="98"/>
  <c r="K103" i="98"/>
  <c r="K107" i="98"/>
  <c r="K109" i="98"/>
  <c r="K127" i="98"/>
  <c r="K139" i="98"/>
  <c r="K146" i="98"/>
  <c r="K157" i="98"/>
  <c r="K159" i="98"/>
  <c r="K168" i="98"/>
  <c r="K171" i="98"/>
  <c r="K174" i="98"/>
  <c r="K177" i="98"/>
  <c r="K196" i="98"/>
  <c r="K205" i="98"/>
  <c r="K239" i="98"/>
  <c r="K252" i="98"/>
  <c r="K258" i="98"/>
  <c r="K266" i="98"/>
  <c r="K284" i="98"/>
  <c r="K303" i="98"/>
  <c r="K312" i="98"/>
  <c r="K341" i="98"/>
  <c r="K85" i="106"/>
  <c r="K85" i="105"/>
  <c r="O85" i="105" s="1"/>
  <c r="K115" i="105"/>
  <c r="O115" i="105" s="1"/>
  <c r="K190" i="105"/>
  <c r="O190" i="105" s="1"/>
  <c r="K201" i="105"/>
  <c r="O201" i="105" s="1"/>
  <c r="K316" i="105"/>
  <c r="O316" i="105" s="1"/>
  <c r="K62" i="104"/>
  <c r="K83" i="104"/>
  <c r="K96" i="104"/>
  <c r="K160" i="104"/>
  <c r="K164" i="104"/>
  <c r="K172" i="104"/>
  <c r="K251" i="104"/>
  <c r="K281" i="104"/>
  <c r="K307" i="104"/>
  <c r="K341" i="104"/>
  <c r="K349" i="104"/>
  <c r="K12" i="98"/>
  <c r="K15" i="98"/>
  <c r="K40" i="98"/>
  <c r="K43" i="98"/>
  <c r="K71" i="98"/>
  <c r="K83" i="98"/>
  <c r="K101" i="98"/>
  <c r="K105" i="98"/>
  <c r="K108" i="98"/>
  <c r="K114" i="98"/>
  <c r="K117" i="98"/>
  <c r="K126" i="98"/>
  <c r="K147" i="98"/>
  <c r="K152" i="98"/>
  <c r="K172" i="98"/>
  <c r="K194" i="98"/>
  <c r="K203" i="98"/>
  <c r="K206" i="98"/>
  <c r="K228" i="98"/>
  <c r="K267" i="98"/>
  <c r="K281" i="98"/>
  <c r="K15" i="104"/>
  <c r="K111" i="104"/>
  <c r="K150" i="104"/>
  <c r="K182" i="104"/>
  <c r="K283" i="104"/>
  <c r="K298" i="104"/>
  <c r="K312" i="104"/>
  <c r="K332" i="104"/>
  <c r="K8" i="98"/>
  <c r="K9" i="98"/>
  <c r="K61" i="98"/>
  <c r="K65" i="98"/>
  <c r="K87" i="98"/>
  <c r="K95" i="98"/>
  <c r="K115" i="98"/>
  <c r="K116" i="98"/>
  <c r="K136" i="98"/>
  <c r="K143" i="98"/>
  <c r="K156" i="98"/>
  <c r="K179" i="98"/>
  <c r="K183" i="98"/>
  <c r="K184" i="98"/>
  <c r="K204" i="98"/>
  <c r="K241" i="98"/>
  <c r="K263" i="98"/>
  <c r="K322" i="98"/>
  <c r="K121" i="105"/>
  <c r="O121" i="105" s="1"/>
  <c r="K175" i="105"/>
  <c r="O175" i="105" s="1"/>
  <c r="K182" i="105"/>
  <c r="O182" i="105" s="1"/>
  <c r="K203" i="105"/>
  <c r="O203" i="105" s="1"/>
  <c r="K322" i="105"/>
  <c r="O322" i="105" s="1"/>
  <c r="K107" i="104"/>
  <c r="K128" i="104"/>
  <c r="K136" i="104"/>
  <c r="K140" i="104"/>
  <c r="K159" i="104"/>
  <c r="K191" i="104"/>
  <c r="K228" i="104"/>
  <c r="K242" i="104"/>
  <c r="K285" i="104"/>
  <c r="K311" i="104"/>
  <c r="K321" i="104"/>
  <c r="K322" i="104"/>
  <c r="K10" i="98"/>
  <c r="K27" i="98"/>
  <c r="K82" i="98"/>
  <c r="K88" i="98"/>
  <c r="K90" i="98"/>
  <c r="K187" i="98"/>
  <c r="K310" i="98"/>
  <c r="K315" i="98"/>
  <c r="K332" i="98"/>
  <c r="K229" i="98"/>
  <c r="K14" i="105"/>
  <c r="O14" i="105" s="1"/>
  <c r="K92" i="105"/>
  <c r="O92" i="105" s="1"/>
  <c r="K119" i="105"/>
  <c r="O119" i="105" s="1"/>
  <c r="K281" i="105"/>
  <c r="O281" i="105" s="1"/>
  <c r="K34" i="104"/>
  <c r="K98" i="104"/>
  <c r="K114" i="104"/>
  <c r="K126" i="104"/>
  <c r="K131" i="104"/>
  <c r="K168" i="104"/>
  <c r="K272" i="104"/>
  <c r="K33" i="98"/>
  <c r="K63" i="98"/>
  <c r="K84" i="98"/>
  <c r="K91" i="98"/>
  <c r="K175" i="98"/>
  <c r="K176" i="98"/>
  <c r="K317" i="98"/>
  <c r="K321" i="98"/>
  <c r="K343" i="98"/>
  <c r="K161" i="105"/>
  <c r="O161" i="105" s="1"/>
  <c r="K279" i="105"/>
  <c r="O279" i="105" s="1"/>
  <c r="K310" i="105"/>
  <c r="O310" i="105" s="1"/>
  <c r="K325" i="105"/>
  <c r="O325" i="105" s="1"/>
  <c r="K119" i="104"/>
  <c r="K123" i="104"/>
  <c r="K174" i="104"/>
  <c r="K203" i="104"/>
  <c r="K205" i="104"/>
  <c r="K279" i="104"/>
  <c r="K325" i="104"/>
  <c r="K14" i="98"/>
  <c r="K34" i="98"/>
  <c r="K62" i="98"/>
  <c r="K66" i="98"/>
  <c r="K75" i="98"/>
  <c r="K96" i="98"/>
  <c r="K98" i="98"/>
  <c r="K110" i="98"/>
  <c r="K118" i="98"/>
  <c r="K128" i="98"/>
  <c r="K137" i="98"/>
  <c r="K155" i="98"/>
  <c r="K158" i="98"/>
  <c r="K164" i="98"/>
  <c r="K165" i="98"/>
  <c r="K167" i="98"/>
  <c r="K202" i="98"/>
  <c r="K250" i="98"/>
  <c r="K272" i="98"/>
  <c r="K273" i="98"/>
  <c r="K342" i="98"/>
  <c r="K349" i="98"/>
  <c r="K263" i="106"/>
  <c r="K283" i="106"/>
  <c r="K177" i="105"/>
  <c r="O177" i="105" s="1"/>
  <c r="K341" i="105"/>
  <c r="O341" i="105" s="1"/>
  <c r="K79" i="104"/>
  <c r="K135" i="104"/>
  <c r="K181" i="104"/>
  <c r="K239" i="104"/>
  <c r="K241" i="104"/>
  <c r="K286" i="104"/>
  <c r="K310" i="104"/>
  <c r="K13" i="98"/>
  <c r="K67" i="98"/>
  <c r="K111" i="98"/>
  <c r="K119" i="98"/>
  <c r="K129" i="98"/>
  <c r="K130" i="98"/>
  <c r="K138" i="98"/>
  <c r="K154" i="98"/>
  <c r="K160" i="98"/>
  <c r="K166" i="98"/>
  <c r="K188" i="98"/>
  <c r="K201" i="98"/>
  <c r="K311" i="98"/>
  <c r="K316" i="98"/>
  <c r="K340" i="98"/>
  <c r="K99" i="98"/>
  <c r="K102" i="98"/>
  <c r="K131" i="98"/>
  <c r="K140" i="98"/>
  <c r="K162" i="98"/>
  <c r="K189" i="98"/>
  <c r="K192" i="98"/>
  <c r="K268" i="98"/>
  <c r="K280" i="98"/>
  <c r="K283" i="98"/>
  <c r="K298" i="98"/>
  <c r="K281" i="106"/>
  <c r="K76" i="105"/>
  <c r="O76" i="105" s="1"/>
  <c r="K40" i="104"/>
  <c r="K84" i="104"/>
  <c r="K87" i="104"/>
  <c r="K121" i="104"/>
  <c r="K125" i="104"/>
  <c r="K180" i="104"/>
  <c r="K202" i="104"/>
  <c r="K258" i="104"/>
  <c r="K267" i="104"/>
  <c r="K268" i="104"/>
  <c r="K273" i="104"/>
  <c r="K308" i="104"/>
  <c r="K32" i="98"/>
  <c r="K68" i="98"/>
  <c r="K69" i="98"/>
  <c r="K70" i="98"/>
  <c r="K73" i="98"/>
  <c r="K76" i="98"/>
  <c r="K92" i="98"/>
  <c r="K112" i="98"/>
  <c r="K120" i="98"/>
  <c r="K121" i="98"/>
  <c r="K122" i="98"/>
  <c r="K132" i="98"/>
  <c r="K133" i="98"/>
  <c r="K149" i="98"/>
  <c r="K153" i="98"/>
  <c r="K191" i="98"/>
  <c r="K279" i="98"/>
  <c r="K285" i="98"/>
  <c r="K313" i="98"/>
  <c r="K331" i="98"/>
  <c r="K61" i="104"/>
  <c r="K90" i="104"/>
  <c r="K146" i="104"/>
  <c r="K154" i="104"/>
  <c r="K187" i="104"/>
  <c r="K195" i="104"/>
  <c r="K230" i="104"/>
  <c r="K266" i="104"/>
  <c r="K313" i="104"/>
  <c r="K315" i="104"/>
  <c r="K316" i="104"/>
  <c r="K17" i="98"/>
  <c r="K19" i="98"/>
  <c r="K31" i="98"/>
  <c r="K77" i="98"/>
  <c r="K78" i="98"/>
  <c r="K123" i="98"/>
  <c r="K141" i="98"/>
  <c r="K150" i="98"/>
  <c r="K190" i="98"/>
  <c r="K198" i="98"/>
  <c r="K286" i="98"/>
  <c r="K314" i="98"/>
  <c r="K308" i="105"/>
  <c r="O308" i="105" s="1"/>
  <c r="K112" i="104"/>
  <c r="K117" i="104"/>
  <c r="K133" i="104"/>
  <c r="K145" i="104"/>
  <c r="K192" i="104"/>
  <c r="K264" i="104"/>
  <c r="K265" i="104"/>
  <c r="K284" i="104"/>
  <c r="K314" i="104"/>
  <c r="K348" i="104"/>
  <c r="K16" i="98"/>
  <c r="K64" i="98"/>
  <c r="K79" i="98"/>
  <c r="K85" i="98"/>
  <c r="K93" i="98"/>
  <c r="K94" i="98"/>
  <c r="K124" i="98"/>
  <c r="K125" i="98"/>
  <c r="K135" i="98"/>
  <c r="K142" i="98"/>
  <c r="K180" i="98"/>
  <c r="K181" i="98"/>
  <c r="K195" i="98"/>
  <c r="K197" i="98"/>
  <c r="K264" i="98"/>
  <c r="K307" i="98"/>
  <c r="K308" i="98"/>
  <c r="K309" i="98"/>
  <c r="K325" i="98"/>
  <c r="K348" i="98"/>
  <c r="Y196" i="104"/>
  <c r="S303" i="104"/>
  <c r="W303" i="104" s="1"/>
  <c r="T303" i="104"/>
  <c r="U303" i="104"/>
  <c r="Y189" i="104"/>
  <c r="S241" i="104"/>
  <c r="W241" i="104" s="1"/>
  <c r="U241" i="104"/>
  <c r="T241" i="104"/>
  <c r="S174" i="104"/>
  <c r="W174" i="104" s="1"/>
  <c r="T174" i="104"/>
  <c r="Y174" i="104" s="1"/>
  <c r="U174" i="104"/>
  <c r="X174" i="104" s="1"/>
  <c r="Y272" i="104"/>
  <c r="Y343" i="104"/>
  <c r="Y341" i="104"/>
  <c r="W27" i="98"/>
  <c r="W184" i="98"/>
  <c r="W18" i="104"/>
  <c r="W188" i="104"/>
  <c r="Y206" i="104"/>
  <c r="Y242" i="104"/>
  <c r="T302" i="104"/>
  <c r="S302" i="104"/>
  <c r="W302" i="104" s="1"/>
  <c r="U302" i="104"/>
  <c r="U151" i="104"/>
  <c r="T151" i="104"/>
  <c r="S151" i="104"/>
  <c r="W165" i="104"/>
  <c r="S22" i="106"/>
  <c r="W22" i="106" s="1"/>
  <c r="U22" i="106"/>
  <c r="X22" i="106" s="1"/>
  <c r="T22" i="106"/>
  <c r="Y22" i="106" s="1"/>
  <c r="U221" i="106"/>
  <c r="X221" i="106" s="1"/>
  <c r="S221" i="106"/>
  <c r="W221" i="106" s="1"/>
  <c r="T221" i="106"/>
  <c r="Y221" i="106" s="1"/>
  <c r="S207" i="106"/>
  <c r="W207" i="106" s="1"/>
  <c r="T207" i="106"/>
  <c r="U207" i="106"/>
  <c r="T318" i="106"/>
  <c r="S318" i="106"/>
  <c r="W318" i="106" s="1"/>
  <c r="U318" i="106"/>
  <c r="T333" i="106"/>
  <c r="S333" i="106"/>
  <c r="W333" i="106" s="1"/>
  <c r="U333" i="106"/>
  <c r="T323" i="106"/>
  <c r="S323" i="106"/>
  <c r="W323" i="106" s="1"/>
  <c r="U323" i="106"/>
  <c r="T232" i="106"/>
  <c r="Y232" i="106" s="1"/>
  <c r="S232" i="106"/>
  <c r="W232" i="106" s="1"/>
  <c r="U232" i="106"/>
  <c r="X232" i="106" s="1"/>
  <c r="T271" i="106"/>
  <c r="S271" i="106"/>
  <c r="W271" i="106" s="1"/>
  <c r="U271" i="106"/>
  <c r="O56" i="107"/>
  <c r="T224" i="106"/>
  <c r="S224" i="106"/>
  <c r="W224" i="106" s="1"/>
  <c r="U224" i="106"/>
  <c r="Y224" i="106" s="1"/>
  <c r="S185" i="106"/>
  <c r="U185" i="106"/>
  <c r="T185" i="106"/>
  <c r="Y185" i="106" s="1"/>
  <c r="U267" i="104"/>
  <c r="T267" i="104"/>
  <c r="S267" i="104"/>
  <c r="T152" i="104"/>
  <c r="Y152" i="104" s="1"/>
  <c r="S152" i="104"/>
  <c r="W152" i="104" s="1"/>
  <c r="U152" i="104"/>
  <c r="X152" i="104" s="1"/>
  <c r="T173" i="104"/>
  <c r="Y173" i="104" s="1"/>
  <c r="S173" i="104"/>
  <c r="U173" i="104"/>
  <c r="S29" i="104"/>
  <c r="W29" i="104" s="1"/>
  <c r="T29" i="104"/>
  <c r="U29" i="104"/>
  <c r="S210" i="106"/>
  <c r="W210" i="106" s="1"/>
  <c r="T210" i="106"/>
  <c r="U210" i="106"/>
  <c r="S326" i="106"/>
  <c r="W326" i="106" s="1"/>
  <c r="T326" i="106"/>
  <c r="U326" i="106"/>
  <c r="S46" i="106"/>
  <c r="W46" i="106" s="1"/>
  <c r="U46" i="106"/>
  <c r="T46" i="106"/>
  <c r="T339" i="106"/>
  <c r="S339" i="106"/>
  <c r="W339" i="106" s="1"/>
  <c r="U339" i="106"/>
  <c r="S54" i="106"/>
  <c r="T54" i="106"/>
  <c r="U54" i="106"/>
  <c r="U292" i="106"/>
  <c r="T292" i="106"/>
  <c r="S292" i="106"/>
  <c r="W292" i="106" s="1"/>
  <c r="U324" i="106"/>
  <c r="S324" i="106"/>
  <c r="W324" i="106" s="1"/>
  <c r="T324" i="106"/>
  <c r="S338" i="106"/>
  <c r="W338" i="106" s="1"/>
  <c r="T338" i="106"/>
  <c r="U338" i="106"/>
  <c r="S270" i="106"/>
  <c r="W270" i="106" s="1"/>
  <c r="T270" i="106"/>
  <c r="U270" i="106"/>
  <c r="T223" i="106"/>
  <c r="U223" i="106"/>
  <c r="S223" i="106"/>
  <c r="W223" i="106" s="1"/>
  <c r="T247" i="106"/>
  <c r="Y247" i="106" s="1"/>
  <c r="S247" i="106"/>
  <c r="W247" i="106" s="1"/>
  <c r="U247" i="106"/>
  <c r="X247" i="106" s="1"/>
  <c r="K29" i="108"/>
  <c r="K28" i="108"/>
  <c r="K30" i="108"/>
  <c r="K151" i="108"/>
  <c r="K227" i="108"/>
  <c r="K199" i="108"/>
  <c r="K275" i="108"/>
  <c r="K243" i="108"/>
  <c r="K276" i="108"/>
  <c r="K277" i="108"/>
  <c r="K278" i="108"/>
  <c r="K29" i="107"/>
  <c r="K200" i="108"/>
  <c r="K302" i="108"/>
  <c r="K30" i="107"/>
  <c r="K274" i="108"/>
  <c r="K200" i="107"/>
  <c r="K274" i="107"/>
  <c r="K302" i="107"/>
  <c r="K28" i="107"/>
  <c r="K227" i="107"/>
  <c r="K276" i="107"/>
  <c r="K243" i="107"/>
  <c r="K151" i="107"/>
  <c r="K199" i="107"/>
  <c r="K200" i="106"/>
  <c r="K30" i="105"/>
  <c r="O30" i="105" s="1"/>
  <c r="K278" i="107"/>
  <c r="K151" i="106"/>
  <c r="K199" i="106"/>
  <c r="K274" i="106"/>
  <c r="K277" i="106"/>
  <c r="K302" i="106"/>
  <c r="K275" i="105"/>
  <c r="O275" i="105" s="1"/>
  <c r="K243" i="106"/>
  <c r="K227" i="105"/>
  <c r="O227" i="105" s="1"/>
  <c r="K278" i="105"/>
  <c r="O278" i="105" s="1"/>
  <c r="K30" i="106"/>
  <c r="K29" i="105"/>
  <c r="O29" i="105" s="1"/>
  <c r="K28" i="106"/>
  <c r="K276" i="106"/>
  <c r="K227" i="106"/>
  <c r="K278" i="106"/>
  <c r="K275" i="107"/>
  <c r="K29" i="106"/>
  <c r="K151" i="105"/>
  <c r="O151" i="105" s="1"/>
  <c r="K275" i="106"/>
  <c r="K28" i="105"/>
  <c r="O28" i="105" s="1"/>
  <c r="K200" i="105"/>
  <c r="O200" i="105" s="1"/>
  <c r="K302" i="105"/>
  <c r="O302" i="105" s="1"/>
  <c r="K277" i="107"/>
  <c r="K199" i="105"/>
  <c r="O199" i="105" s="1"/>
  <c r="K151" i="104"/>
  <c r="K199" i="104"/>
  <c r="K227" i="104"/>
  <c r="K274" i="105"/>
  <c r="O274" i="105" s="1"/>
  <c r="K243" i="105"/>
  <c r="O243" i="105" s="1"/>
  <c r="K276" i="105"/>
  <c r="O276" i="105" s="1"/>
  <c r="K29" i="104"/>
  <c r="K274" i="104"/>
  <c r="K151" i="98"/>
  <c r="K276" i="104"/>
  <c r="K28" i="98"/>
  <c r="K28" i="104"/>
  <c r="K276" i="98"/>
  <c r="K243" i="104"/>
  <c r="K277" i="104"/>
  <c r="K227" i="98"/>
  <c r="K30" i="104"/>
  <c r="K200" i="98"/>
  <c r="K278" i="104"/>
  <c r="K274" i="98"/>
  <c r="K302" i="98"/>
  <c r="K302" i="104"/>
  <c r="K275" i="98"/>
  <c r="K277" i="98"/>
  <c r="K275" i="104"/>
  <c r="K199" i="98"/>
  <c r="K278" i="98"/>
  <c r="K277" i="105"/>
  <c r="O277" i="105" s="1"/>
  <c r="K200" i="104"/>
  <c r="K29" i="98"/>
  <c r="K30" i="98"/>
  <c r="K243" i="98"/>
  <c r="T175" i="104"/>
  <c r="Y175" i="104" s="1"/>
  <c r="S175" i="104"/>
  <c r="U175" i="104"/>
  <c r="Y298" i="98"/>
  <c r="Y331" i="104"/>
  <c r="W167" i="98"/>
  <c r="W187" i="104"/>
  <c r="U180" i="104"/>
  <c r="S180" i="104"/>
  <c r="T180" i="104"/>
  <c r="Y340" i="104"/>
  <c r="T182" i="104"/>
  <c r="Y182" i="104" s="1"/>
  <c r="S182" i="104"/>
  <c r="W182" i="104" s="1"/>
  <c r="U182" i="104"/>
  <c r="V182" i="104"/>
  <c r="W177" i="98"/>
  <c r="S304" i="106"/>
  <c r="W304" i="106" s="1"/>
  <c r="U304" i="106"/>
  <c r="T304" i="106"/>
  <c r="Y304" i="106" s="1"/>
  <c r="V304" i="106"/>
  <c r="U245" i="106"/>
  <c r="T245" i="106"/>
  <c r="Y245" i="106" s="1"/>
  <c r="S245" i="106"/>
  <c r="W245" i="106" s="1"/>
  <c r="V245" i="106"/>
  <c r="T288" i="106"/>
  <c r="S288" i="106"/>
  <c r="W288" i="106" s="1"/>
  <c r="U288" i="106"/>
  <c r="T306" i="106"/>
  <c r="U306" i="106"/>
  <c r="S306" i="106"/>
  <c r="W306" i="106" s="1"/>
  <c r="T52" i="106"/>
  <c r="S52" i="106"/>
  <c r="U52" i="106"/>
  <c r="U234" i="106"/>
  <c r="S234" i="106"/>
  <c r="W234" i="106" s="1"/>
  <c r="T234" i="106"/>
  <c r="S350" i="106"/>
  <c r="W350" i="106" s="1"/>
  <c r="T350" i="106"/>
  <c r="Y350" i="106" s="1"/>
  <c r="U350" i="106"/>
  <c r="V350" i="106"/>
  <c r="T220" i="106"/>
  <c r="Y220" i="106" s="1"/>
  <c r="S220" i="106"/>
  <c r="U220" i="106"/>
  <c r="T240" i="106"/>
  <c r="Y240" i="106" s="1"/>
  <c r="S240" i="106"/>
  <c r="W240" i="106" s="1"/>
  <c r="U240" i="106"/>
  <c r="X240" i="106" s="1"/>
  <c r="F52" i="67"/>
  <c r="H52" i="67"/>
  <c r="D52" i="67"/>
  <c r="G52" i="67"/>
  <c r="E52" i="67"/>
  <c r="E6" i="69"/>
  <c r="E15" i="67"/>
  <c r="D6" i="69"/>
  <c r="D15" i="67"/>
  <c r="G6" i="69"/>
  <c r="G15" i="67"/>
  <c r="F6" i="69"/>
  <c r="F15" i="67"/>
  <c r="I6" i="69"/>
  <c r="H6" i="69"/>
  <c r="H15" i="67"/>
  <c r="D18" i="8"/>
  <c r="E21" i="37" s="1"/>
  <c r="D19" i="8"/>
  <c r="E21" i="109" s="1"/>
  <c r="D20" i="8"/>
  <c r="E21" i="110" s="1"/>
  <c r="G35" i="83"/>
  <c r="G73" i="83"/>
  <c r="G21" i="83"/>
  <c r="G108" i="83"/>
  <c r="G140" i="83"/>
  <c r="G149" i="83"/>
  <c r="G165" i="83"/>
  <c r="G173" i="83"/>
  <c r="G184" i="83"/>
  <c r="G206" i="83"/>
  <c r="G238" i="83"/>
  <c r="G239" i="83"/>
  <c r="G249" i="83"/>
  <c r="G252" i="83"/>
  <c r="G253" i="83"/>
  <c r="G16" i="83"/>
  <c r="G45" i="83"/>
  <c r="G60" i="83"/>
  <c r="G64" i="83"/>
  <c r="G65" i="83"/>
  <c r="G66" i="83"/>
  <c r="G92" i="83"/>
  <c r="G138" i="83"/>
  <c r="G191" i="83"/>
  <c r="G61" i="83"/>
  <c r="G96" i="83"/>
  <c r="G189" i="83"/>
  <c r="G197" i="83"/>
  <c r="G200" i="83"/>
  <c r="G217" i="83"/>
  <c r="G222" i="83"/>
  <c r="G223" i="83"/>
  <c r="G105" i="83"/>
  <c r="G15" i="83"/>
  <c r="G20" i="83"/>
  <c r="G51" i="83"/>
  <c r="G106" i="83"/>
  <c r="G244" i="83"/>
  <c r="G257" i="83"/>
  <c r="G269" i="83"/>
  <c r="G299" i="83"/>
  <c r="G302" i="83"/>
  <c r="G318" i="83"/>
  <c r="G319" i="83"/>
  <c r="G337" i="83"/>
  <c r="G340" i="83"/>
  <c r="G349" i="83"/>
  <c r="G352" i="83"/>
  <c r="G382" i="83"/>
  <c r="G383" i="83"/>
  <c r="G385" i="83"/>
  <c r="G141" i="83"/>
  <c r="G150" i="83"/>
  <c r="G160" i="83"/>
  <c r="G204" i="83"/>
  <c r="G233" i="83"/>
  <c r="G240" i="83"/>
  <c r="G40" i="83"/>
  <c r="G114" i="83"/>
  <c r="G133" i="83"/>
  <c r="G151" i="83"/>
  <c r="G158" i="83"/>
  <c r="G166" i="83"/>
  <c r="G207" i="83"/>
  <c r="G304" i="83"/>
  <c r="G328" i="83"/>
  <c r="G332" i="83"/>
  <c r="G334" i="83"/>
  <c r="G335" i="83"/>
  <c r="G353" i="83"/>
  <c r="G116" i="83"/>
  <c r="G119" i="83"/>
  <c r="G145" i="83"/>
  <c r="G152" i="83"/>
  <c r="G164" i="83"/>
  <c r="G169" i="83"/>
  <c r="G205" i="83"/>
  <c r="G221" i="83"/>
  <c r="G287" i="83"/>
  <c r="G308" i="83"/>
  <c r="G324" i="83"/>
  <c r="G391" i="83"/>
  <c r="G432" i="83"/>
  <c r="G112" i="83"/>
  <c r="G208" i="83"/>
  <c r="G251" i="83"/>
  <c r="G289" i="83"/>
  <c r="G323" i="83"/>
  <c r="G350" i="83"/>
  <c r="G361" i="83"/>
  <c r="G388" i="83"/>
  <c r="G400" i="83"/>
  <c r="G405" i="83"/>
  <c r="G98" i="83"/>
  <c r="G235" i="83"/>
  <c r="G254" i="83"/>
  <c r="G320" i="83"/>
  <c r="G132" i="83"/>
  <c r="G148" i="83"/>
  <c r="G170" i="83"/>
  <c r="G224" i="83"/>
  <c r="G255" i="83"/>
  <c r="G260" i="83"/>
  <c r="G348" i="83"/>
  <c r="G355" i="83"/>
  <c r="G366" i="83"/>
  <c r="G167" i="83"/>
  <c r="G220" i="83"/>
  <c r="G292" i="83"/>
  <c r="G351" i="83"/>
  <c r="G380" i="83"/>
  <c r="G236" i="83"/>
  <c r="G237" i="83"/>
  <c r="G365" i="83"/>
  <c r="G372" i="83"/>
  <c r="G375" i="83"/>
  <c r="G381" i="83"/>
  <c r="G409" i="83"/>
  <c r="G412" i="83"/>
  <c r="G180" i="83"/>
  <c r="G186" i="83"/>
  <c r="G300" i="83"/>
  <c r="G347" i="83"/>
  <c r="G413" i="83"/>
  <c r="G161" i="83"/>
  <c r="G406" i="83"/>
  <c r="G420" i="83"/>
  <c r="G284" i="83"/>
  <c r="G356" i="83"/>
  <c r="G360" i="83"/>
  <c r="G367" i="83"/>
  <c r="G390" i="83"/>
  <c r="G395" i="83"/>
  <c r="G241" i="83"/>
  <c r="G379" i="83"/>
  <c r="G87" i="83"/>
  <c r="G384" i="83"/>
  <c r="G416" i="83"/>
  <c r="G417" i="83"/>
  <c r="G401" i="83"/>
  <c r="G358" i="83"/>
  <c r="G137" i="83"/>
  <c r="G434" i="83"/>
  <c r="G128" i="83"/>
  <c r="G357" i="83"/>
  <c r="G408" i="83"/>
  <c r="G331" i="83"/>
  <c r="G172" i="83"/>
  <c r="G330" i="83"/>
  <c r="G333" i="83"/>
  <c r="G369" i="83"/>
  <c r="G345" i="83"/>
  <c r="G143" i="83"/>
  <c r="G396" i="83"/>
  <c r="G371" i="83"/>
  <c r="G346" i="83"/>
  <c r="G265" i="83"/>
  <c r="G256" i="83"/>
  <c r="G83" i="83"/>
  <c r="G127" i="83"/>
  <c r="G37" i="83"/>
  <c r="G176" i="83"/>
  <c r="G27" i="83"/>
  <c r="G111" i="83"/>
  <c r="G74" i="83"/>
  <c r="G56" i="83"/>
  <c r="G12" i="83"/>
  <c r="G397" i="83"/>
  <c r="G411" i="83"/>
  <c r="G376" i="83"/>
  <c r="G422" i="83"/>
  <c r="G423" i="83"/>
  <c r="G243" i="83"/>
  <c r="G124" i="83"/>
  <c r="G338" i="83"/>
  <c r="G272" i="83"/>
  <c r="G387" i="83"/>
  <c r="G425" i="83"/>
  <c r="G404" i="83"/>
  <c r="G313" i="83"/>
  <c r="G267" i="83"/>
  <c r="G364" i="83"/>
  <c r="G303" i="83"/>
  <c r="G168" i="83"/>
  <c r="G290" i="83"/>
  <c r="G11" i="83"/>
  <c r="G212" i="83"/>
  <c r="G174" i="83"/>
  <c r="G100" i="83"/>
  <c r="G72" i="83"/>
  <c r="G23" i="83"/>
  <c r="G8" i="83"/>
  <c r="G50" i="83"/>
  <c r="G429" i="83"/>
  <c r="G392" i="83"/>
  <c r="G373" i="83"/>
  <c r="G430" i="83"/>
  <c r="G6" i="83"/>
  <c r="G329" i="83"/>
  <c r="G210" i="83"/>
  <c r="G424" i="83"/>
  <c r="G326" i="83"/>
  <c r="G281" i="83"/>
  <c r="G43" i="83"/>
  <c r="G316" i="83"/>
  <c r="G181" i="83"/>
  <c r="G368" i="83"/>
  <c r="G80" i="83"/>
  <c r="G321" i="83"/>
  <c r="G273" i="83"/>
  <c r="G219" i="83"/>
  <c r="G156" i="83"/>
  <c r="G55" i="83"/>
  <c r="G336" i="83"/>
  <c r="G305" i="83"/>
  <c r="G129" i="83"/>
  <c r="G157" i="83"/>
  <c r="G52" i="83"/>
  <c r="G120" i="83"/>
  <c r="G131" i="83"/>
  <c r="G88" i="83"/>
  <c r="G29" i="83"/>
  <c r="G91" i="83"/>
  <c r="G310" i="83"/>
  <c r="G399" i="83"/>
  <c r="G259" i="83"/>
  <c r="G277" i="83"/>
  <c r="G341" i="83"/>
  <c r="G419" i="83"/>
  <c r="G185" i="83"/>
  <c r="G199" i="83"/>
  <c r="G225" i="83"/>
  <c r="G125" i="83"/>
  <c r="G68" i="83"/>
  <c r="G339" i="83"/>
  <c r="G377" i="83"/>
  <c r="G231" i="83"/>
  <c r="G314" i="83"/>
  <c r="G315" i="83"/>
  <c r="G270" i="83"/>
  <c r="G171" i="83"/>
  <c r="G245" i="83"/>
  <c r="G311" i="83"/>
  <c r="G123" i="83"/>
  <c r="G214" i="83"/>
  <c r="G81" i="83"/>
  <c r="G279" i="83"/>
  <c r="G153" i="83"/>
  <c r="G293" i="83"/>
  <c r="G268" i="83"/>
  <c r="G182" i="83"/>
  <c r="G188" i="83"/>
  <c r="G59" i="83"/>
  <c r="G242" i="83"/>
  <c r="G327" i="83"/>
  <c r="G32" i="83"/>
  <c r="G192" i="83"/>
  <c r="G24" i="83"/>
  <c r="G146" i="83"/>
  <c r="G218" i="83"/>
  <c r="G407" i="83"/>
  <c r="G393" i="83"/>
  <c r="G307" i="83"/>
  <c r="G187" i="83"/>
  <c r="G410" i="83"/>
  <c r="G89" i="83"/>
  <c r="G130" i="83"/>
  <c r="G94" i="83"/>
  <c r="G113" i="83"/>
  <c r="G93" i="83"/>
  <c r="G42" i="83"/>
  <c r="G48" i="83"/>
  <c r="G343" i="83"/>
  <c r="G121" i="83"/>
  <c r="G276" i="83"/>
  <c r="G154" i="83"/>
  <c r="G95" i="83"/>
  <c r="G427" i="83"/>
  <c r="G342" i="83"/>
  <c r="G264" i="83"/>
  <c r="G248" i="83"/>
  <c r="G201" i="83"/>
  <c r="G378" i="83"/>
  <c r="G213" i="83"/>
  <c r="G117" i="83"/>
  <c r="G47" i="83"/>
  <c r="G118" i="83"/>
  <c r="G62" i="83"/>
  <c r="G54" i="83"/>
  <c r="G30" i="83"/>
  <c r="G34" i="83"/>
  <c r="G10" i="83"/>
  <c r="G190" i="83"/>
  <c r="G421" i="83"/>
  <c r="G104" i="83"/>
  <c r="G107" i="83"/>
  <c r="G418" i="83"/>
  <c r="G215" i="83"/>
  <c r="G282" i="83"/>
  <c r="G403" i="83"/>
  <c r="G306" i="83"/>
  <c r="G274" i="83"/>
  <c r="G79" i="83"/>
  <c r="G36" i="83"/>
  <c r="G266" i="83"/>
  <c r="G325" i="83"/>
  <c r="G322" i="83"/>
  <c r="G261" i="83"/>
  <c r="G227" i="83"/>
  <c r="G230" i="83"/>
  <c r="G386" i="83"/>
  <c r="G402" i="83"/>
  <c r="G370" i="83"/>
  <c r="G246" i="83"/>
  <c r="G147" i="83"/>
  <c r="G247" i="83"/>
  <c r="G203" i="83"/>
  <c r="G195" i="83"/>
  <c r="G162" i="83"/>
  <c r="G57" i="83"/>
  <c r="G97" i="83"/>
  <c r="G33" i="83"/>
  <c r="G14" i="83"/>
  <c r="G22" i="83"/>
  <c r="G283" i="83"/>
  <c r="G196" i="83"/>
  <c r="G139" i="83"/>
  <c r="G258" i="83"/>
  <c r="G75" i="83"/>
  <c r="G77" i="83"/>
  <c r="G297" i="83"/>
  <c r="G82" i="83"/>
  <c r="G84" i="83"/>
  <c r="G76" i="83"/>
  <c r="G63" i="83"/>
  <c r="G53" i="83"/>
  <c r="G415" i="83"/>
  <c r="G250" i="83"/>
  <c r="G296" i="83"/>
  <c r="G159" i="83"/>
  <c r="G234" i="83"/>
  <c r="G202" i="83"/>
  <c r="G263" i="83"/>
  <c r="G216" i="83"/>
  <c r="G155" i="83"/>
  <c r="G275" i="83"/>
  <c r="G179" i="83"/>
  <c r="G70" i="83"/>
  <c r="G41" i="83"/>
  <c r="G26" i="83"/>
  <c r="G136" i="83"/>
  <c r="G344" i="83"/>
  <c r="G301" i="83"/>
  <c r="G317" i="83"/>
  <c r="G115" i="83"/>
  <c r="G198" i="83"/>
  <c r="G226" i="83"/>
  <c r="G228" i="83"/>
  <c r="G144" i="83"/>
  <c r="G286" i="83"/>
  <c r="G363" i="83"/>
  <c r="G193" i="83"/>
  <c r="G280" i="83"/>
  <c r="G211" i="83"/>
  <c r="G163" i="83"/>
  <c r="G90" i="83"/>
  <c r="G126" i="83"/>
  <c r="G99" i="83"/>
  <c r="G354" i="83"/>
  <c r="G288" i="83"/>
  <c r="G433" i="83"/>
  <c r="G175" i="83"/>
  <c r="G229" i="83"/>
  <c r="G67" i="83"/>
  <c r="G58" i="83"/>
  <c r="G374" i="83"/>
  <c r="G291" i="83"/>
  <c r="G103" i="83"/>
  <c r="G178" i="83"/>
  <c r="G71" i="83"/>
  <c r="G44" i="83"/>
  <c r="G69" i="83"/>
  <c r="G13" i="83"/>
  <c r="G39" i="83"/>
  <c r="G135" i="83"/>
  <c r="G278" i="83"/>
  <c r="G86" i="83"/>
  <c r="G428" i="83"/>
  <c r="G394" i="83"/>
  <c r="G285" i="83"/>
  <c r="G142" i="83"/>
  <c r="G49" i="83"/>
  <c r="G17" i="83"/>
  <c r="G271" i="83"/>
  <c r="G7" i="83"/>
  <c r="G19" i="83"/>
  <c r="G359" i="83"/>
  <c r="G389" i="83"/>
  <c r="G414" i="83"/>
  <c r="G232" i="83"/>
  <c r="G78" i="83"/>
  <c r="G101" i="83"/>
  <c r="G31" i="83"/>
  <c r="G46" i="83"/>
  <c r="G109" i="83"/>
  <c r="G9" i="83"/>
  <c r="G18" i="83"/>
  <c r="G435" i="83"/>
  <c r="G122" i="83"/>
  <c r="G38" i="83"/>
  <c r="G183" i="83"/>
  <c r="G28" i="83"/>
  <c r="G177" i="83"/>
  <c r="G431" i="83"/>
  <c r="G398" i="83"/>
  <c r="G312" i="83"/>
  <c r="G294" i="83"/>
  <c r="G134" i="83"/>
  <c r="G25" i="83"/>
  <c r="G309" i="83"/>
  <c r="G209" i="83"/>
  <c r="G426" i="83"/>
  <c r="G262" i="83"/>
  <c r="G295" i="83"/>
  <c r="G102" i="83"/>
  <c r="G85" i="83"/>
  <c r="G194" i="83"/>
  <c r="G110" i="83"/>
  <c r="G362" i="83"/>
  <c r="G298" i="83"/>
  <c r="M64" i="89"/>
  <c r="M65" i="89"/>
  <c r="M138" i="89"/>
  <c r="M144" i="89"/>
  <c r="M223" i="89"/>
  <c r="M236" i="89"/>
  <c r="M66" i="89"/>
  <c r="M143" i="89"/>
  <c r="M199" i="89"/>
  <c r="M203" i="89"/>
  <c r="M204" i="89"/>
  <c r="M205" i="89"/>
  <c r="M67" i="89"/>
  <c r="M68" i="89"/>
  <c r="M69" i="89"/>
  <c r="M142" i="89"/>
  <c r="M198" i="89"/>
  <c r="M206" i="89"/>
  <c r="M207" i="89"/>
  <c r="M208" i="89"/>
  <c r="M209" i="89"/>
  <c r="M218" i="89"/>
  <c r="M244" i="89"/>
  <c r="M255" i="89"/>
  <c r="M256" i="89"/>
  <c r="M266" i="89"/>
  <c r="M267" i="89"/>
  <c r="M268" i="89"/>
  <c r="M62" i="89"/>
  <c r="M75" i="89"/>
  <c r="M74" i="89"/>
  <c r="M225" i="89"/>
  <c r="M271" i="89"/>
  <c r="M58" i="89"/>
  <c r="M70" i="89"/>
  <c r="M145" i="89"/>
  <c r="M175" i="89"/>
  <c r="M264" i="89"/>
  <c r="M73" i="89"/>
  <c r="M61" i="89"/>
  <c r="M72" i="89"/>
  <c r="M217" i="89"/>
  <c r="M63" i="89"/>
  <c r="M71" i="89"/>
  <c r="M268" i="99"/>
  <c r="M255" i="99"/>
  <c r="M207" i="99"/>
  <c r="M74" i="99"/>
  <c r="M72" i="99"/>
  <c r="M69" i="99"/>
  <c r="M64" i="99"/>
  <c r="M206" i="103"/>
  <c r="M204" i="103"/>
  <c r="M75" i="103"/>
  <c r="M68" i="103"/>
  <c r="M255" i="102"/>
  <c r="M198" i="102"/>
  <c r="M75" i="102"/>
  <c r="M66" i="102"/>
  <c r="M268" i="101"/>
  <c r="P268" i="101" s="1"/>
  <c r="R268" i="101" s="1"/>
  <c r="M266" i="101"/>
  <c r="P266" i="101" s="1"/>
  <c r="R266" i="101" s="1"/>
  <c r="M244" i="101"/>
  <c r="P244" i="101" s="1"/>
  <c r="R244" i="101" s="1"/>
  <c r="M208" i="101"/>
  <c r="P208" i="101" s="1"/>
  <c r="R208" i="101" s="1"/>
  <c r="M205" i="101"/>
  <c r="P205" i="101" s="1"/>
  <c r="Q205" i="101" s="1"/>
  <c r="M74" i="101"/>
  <c r="P74" i="101" s="1"/>
  <c r="R74" i="101" s="1"/>
  <c r="M70" i="101"/>
  <c r="P70" i="101" s="1"/>
  <c r="R70" i="101" s="1"/>
  <c r="M236" i="100"/>
  <c r="M223" i="100"/>
  <c r="M205" i="100"/>
  <c r="M175" i="100"/>
  <c r="M67" i="100"/>
  <c r="M64" i="100"/>
  <c r="M58" i="100"/>
  <c r="M69" i="102"/>
  <c r="M63" i="102"/>
  <c r="M217" i="101"/>
  <c r="P217" i="101" s="1"/>
  <c r="Q217" i="101" s="1"/>
  <c r="M218" i="100"/>
  <c r="M225" i="102"/>
  <c r="M175" i="101"/>
  <c r="P175" i="101" s="1"/>
  <c r="Q175" i="101" s="1"/>
  <c r="M268" i="100"/>
  <c r="M271" i="99"/>
  <c r="M267" i="99"/>
  <c r="M256" i="99"/>
  <c r="M209" i="99"/>
  <c r="M138" i="99"/>
  <c r="M75" i="99"/>
  <c r="M268" i="103"/>
  <c r="M266" i="103"/>
  <c r="M217" i="103"/>
  <c r="M205" i="103"/>
  <c r="M71" i="103"/>
  <c r="M69" i="103"/>
  <c r="M63" i="103"/>
  <c r="M61" i="103"/>
  <c r="M256" i="102"/>
  <c r="M209" i="102"/>
  <c r="M203" i="102"/>
  <c r="M72" i="102"/>
  <c r="M64" i="102"/>
  <c r="M58" i="102"/>
  <c r="M267" i="101"/>
  <c r="P267" i="101" s="1"/>
  <c r="R267" i="101" s="1"/>
  <c r="M264" i="101"/>
  <c r="P264" i="101" s="1"/>
  <c r="R264" i="101" s="1"/>
  <c r="M142" i="101"/>
  <c r="P142" i="101" s="1"/>
  <c r="R142" i="101" s="1"/>
  <c r="M72" i="101"/>
  <c r="P72" i="101" s="1"/>
  <c r="R72" i="101" s="1"/>
  <c r="M69" i="101"/>
  <c r="P69" i="101" s="1"/>
  <c r="R69" i="101" s="1"/>
  <c r="M62" i="101"/>
  <c r="P62" i="101" s="1"/>
  <c r="R62" i="101" s="1"/>
  <c r="M204" i="100"/>
  <c r="M198" i="100"/>
  <c r="M206" i="100"/>
  <c r="M199" i="100"/>
  <c r="M63" i="100"/>
  <c r="M204" i="99"/>
  <c r="M255" i="103"/>
  <c r="M143" i="103"/>
  <c r="M264" i="102"/>
  <c r="M205" i="102"/>
  <c r="M71" i="102"/>
  <c r="M61" i="102"/>
  <c r="M225" i="101"/>
  <c r="P225" i="101" s="1"/>
  <c r="Q225" i="101" s="1"/>
  <c r="M144" i="101"/>
  <c r="P144" i="101" s="1"/>
  <c r="Q144" i="101" s="1"/>
  <c r="M143" i="100"/>
  <c r="M74" i="100"/>
  <c r="M69" i="100"/>
  <c r="M68" i="100"/>
  <c r="M206" i="101"/>
  <c r="P206" i="101" s="1"/>
  <c r="Q206" i="101" s="1"/>
  <c r="M68" i="101"/>
  <c r="P68" i="101" s="1"/>
  <c r="R68" i="101" s="1"/>
  <c r="M244" i="99"/>
  <c r="M225" i="99"/>
  <c r="M218" i="99"/>
  <c r="M217" i="99"/>
  <c r="M203" i="99"/>
  <c r="M267" i="103"/>
  <c r="M264" i="103"/>
  <c r="M218" i="103"/>
  <c r="M199" i="103"/>
  <c r="M198" i="103"/>
  <c r="M73" i="103"/>
  <c r="M70" i="103"/>
  <c r="M62" i="103"/>
  <c r="M236" i="102"/>
  <c r="M218" i="102"/>
  <c r="M142" i="102"/>
  <c r="M68" i="102"/>
  <c r="M67" i="102"/>
  <c r="M255" i="101"/>
  <c r="P255" i="101" s="1"/>
  <c r="Q255" i="101" s="1"/>
  <c r="M145" i="101"/>
  <c r="P145" i="101" s="1"/>
  <c r="Q145" i="101" s="1"/>
  <c r="M143" i="101"/>
  <c r="P143" i="101" s="1"/>
  <c r="Q143" i="101" s="1"/>
  <c r="M271" i="100"/>
  <c r="M264" i="100"/>
  <c r="M255" i="100"/>
  <c r="M61" i="100"/>
  <c r="M198" i="99"/>
  <c r="M65" i="99"/>
  <c r="M208" i="103"/>
  <c r="M142" i="103"/>
  <c r="M268" i="102"/>
  <c r="M208" i="102"/>
  <c r="M236" i="101"/>
  <c r="P236" i="101" s="1"/>
  <c r="Q236" i="101" s="1"/>
  <c r="M62" i="100"/>
  <c r="M74" i="102"/>
  <c r="M199" i="101"/>
  <c r="P199" i="101" s="1"/>
  <c r="R199" i="101" s="1"/>
  <c r="M205" i="99"/>
  <c r="M142" i="99"/>
  <c r="M144" i="103"/>
  <c r="M65" i="103"/>
  <c r="M244" i="102"/>
  <c r="M207" i="102"/>
  <c r="M206" i="102"/>
  <c r="M204" i="102"/>
  <c r="M199" i="102"/>
  <c r="M175" i="102"/>
  <c r="M144" i="102"/>
  <c r="M70" i="102"/>
  <c r="M65" i="102"/>
  <c r="M62" i="102"/>
  <c r="M209" i="101"/>
  <c r="P209" i="101" s="1"/>
  <c r="R209" i="101" s="1"/>
  <c r="M64" i="101"/>
  <c r="P64" i="101" s="1"/>
  <c r="R64" i="101" s="1"/>
  <c r="M63" i="101"/>
  <c r="P63" i="101" s="1"/>
  <c r="R63" i="101" s="1"/>
  <c r="M61" i="101"/>
  <c r="P61" i="101" s="1"/>
  <c r="R61" i="101" s="1"/>
  <c r="M58" i="101"/>
  <c r="P58" i="101" s="1"/>
  <c r="Q58" i="101" s="1"/>
  <c r="M267" i="100"/>
  <c r="M225" i="100"/>
  <c r="M207" i="100"/>
  <c r="M70" i="100"/>
  <c r="M138" i="102"/>
  <c r="M223" i="101"/>
  <c r="P223" i="101" s="1"/>
  <c r="R223" i="101" s="1"/>
  <c r="M198" i="101"/>
  <c r="P198" i="101" s="1"/>
  <c r="R198" i="101" s="1"/>
  <c r="M71" i="101"/>
  <c r="P71" i="101" s="1"/>
  <c r="R71" i="101" s="1"/>
  <c r="M217" i="100"/>
  <c r="M75" i="100"/>
  <c r="M72" i="100"/>
  <c r="M266" i="99"/>
  <c r="M236" i="99"/>
  <c r="M223" i="99"/>
  <c r="M175" i="99"/>
  <c r="M145" i="99"/>
  <c r="M144" i="99"/>
  <c r="M58" i="99"/>
  <c r="M271" i="103"/>
  <c r="M225" i="103"/>
  <c r="M223" i="103"/>
  <c r="M72" i="103"/>
  <c r="M66" i="103"/>
  <c r="M223" i="102"/>
  <c r="M204" i="101"/>
  <c r="P204" i="101" s="1"/>
  <c r="Q204" i="101" s="1"/>
  <c r="M209" i="100"/>
  <c r="M203" i="100"/>
  <c r="M66" i="100"/>
  <c r="M208" i="99"/>
  <c r="M206" i="99"/>
  <c r="M199" i="99"/>
  <c r="M73" i="99"/>
  <c r="M68" i="99"/>
  <c r="M61" i="99"/>
  <c r="M209" i="103"/>
  <c r="M175" i="103"/>
  <c r="M145" i="103"/>
  <c r="M138" i="103"/>
  <c r="M267" i="102"/>
  <c r="M217" i="102"/>
  <c r="M145" i="102"/>
  <c r="M143" i="102"/>
  <c r="M73" i="102"/>
  <c r="M256" i="101"/>
  <c r="P256" i="101" s="1"/>
  <c r="Q256" i="101" s="1"/>
  <c r="M207" i="101"/>
  <c r="P207" i="101" s="1"/>
  <c r="Q207" i="101" s="1"/>
  <c r="M203" i="101"/>
  <c r="P203" i="101" s="1"/>
  <c r="Q203" i="101" s="1"/>
  <c r="M138" i="101"/>
  <c r="P138" i="101" s="1"/>
  <c r="Q138" i="101" s="1"/>
  <c r="M73" i="101"/>
  <c r="P73" i="101" s="1"/>
  <c r="R73" i="101" s="1"/>
  <c r="M67" i="101"/>
  <c r="P67" i="101" s="1"/>
  <c r="R67" i="101" s="1"/>
  <c r="M66" i="101"/>
  <c r="P66" i="101" s="1"/>
  <c r="R66" i="101" s="1"/>
  <c r="M65" i="101"/>
  <c r="P65" i="101" s="1"/>
  <c r="R65" i="101" s="1"/>
  <c r="M244" i="100"/>
  <c r="M208" i="100"/>
  <c r="M145" i="100"/>
  <c r="M73" i="100"/>
  <c r="M71" i="100"/>
  <c r="M65" i="100"/>
  <c r="M264" i="99"/>
  <c r="M143" i="99"/>
  <c r="M70" i="99"/>
  <c r="M67" i="99"/>
  <c r="M66" i="99"/>
  <c r="M62" i="99"/>
  <c r="M256" i="103"/>
  <c r="M207" i="103"/>
  <c r="M74" i="103"/>
  <c r="M271" i="102"/>
  <c r="M266" i="102"/>
  <c r="M271" i="101"/>
  <c r="P271" i="101" s="1"/>
  <c r="R271" i="101" s="1"/>
  <c r="M218" i="101"/>
  <c r="P218" i="101" s="1"/>
  <c r="R218" i="101" s="1"/>
  <c r="M256" i="100"/>
  <c r="M144" i="100"/>
  <c r="M138" i="100"/>
  <c r="M71" i="99"/>
  <c r="M63" i="99"/>
  <c r="M244" i="103"/>
  <c r="M236" i="103"/>
  <c r="M203" i="103"/>
  <c r="M67" i="103"/>
  <c r="M64" i="103"/>
  <c r="M58" i="103"/>
  <c r="M75" i="101"/>
  <c r="P75" i="101" s="1"/>
  <c r="M266" i="100"/>
  <c r="M142" i="100"/>
  <c r="C20" i="8"/>
  <c r="D21" i="110" s="1"/>
  <c r="C19" i="8"/>
  <c r="D21" i="109" s="1"/>
  <c r="C18" i="8"/>
  <c r="D21" i="37" s="1"/>
  <c r="I27" i="84"/>
  <c r="I43" i="84"/>
  <c r="I13" i="84"/>
  <c r="I45" i="84"/>
  <c r="I10" i="84"/>
  <c r="I32" i="84"/>
  <c r="I41" i="84"/>
  <c r="I82" i="84"/>
  <c r="I84" i="84"/>
  <c r="I85" i="84"/>
  <c r="I96" i="84"/>
  <c r="I31" i="84"/>
  <c r="I53" i="84"/>
  <c r="I55" i="84"/>
  <c r="I90" i="84"/>
  <c r="I100" i="84"/>
  <c r="I109" i="84"/>
  <c r="I69" i="84"/>
  <c r="I79" i="84"/>
  <c r="I56" i="84"/>
  <c r="I117" i="84"/>
  <c r="I121" i="84"/>
  <c r="I140" i="84"/>
  <c r="I142" i="84"/>
  <c r="I120" i="84"/>
  <c r="I73" i="84"/>
  <c r="I161" i="84"/>
  <c r="I164" i="84"/>
  <c r="I178" i="84"/>
  <c r="I180" i="84"/>
  <c r="I92" i="84"/>
  <c r="I174" i="84"/>
  <c r="I187" i="84"/>
  <c r="I77" i="84"/>
  <c r="I99" i="84"/>
  <c r="I127" i="84"/>
  <c r="I208" i="84"/>
  <c r="I218" i="84"/>
  <c r="I196" i="84"/>
  <c r="I74" i="84"/>
  <c r="I112" i="84"/>
  <c r="I143" i="84"/>
  <c r="I158" i="84"/>
  <c r="I163" i="84"/>
  <c r="I7" i="84"/>
  <c r="I226" i="84"/>
  <c r="I60" i="84"/>
  <c r="I181" i="84"/>
  <c r="I130" i="84"/>
  <c r="I197" i="84"/>
  <c r="I145" i="84"/>
  <c r="I172" i="84"/>
  <c r="I217" i="84"/>
  <c r="I66" i="84"/>
  <c r="I125" i="84"/>
  <c r="I114" i="84"/>
  <c r="I177" i="84"/>
  <c r="I192" i="84"/>
  <c r="I81" i="84"/>
  <c r="I24" i="84"/>
  <c r="I224" i="84"/>
  <c r="I98" i="84"/>
  <c r="I42" i="84"/>
  <c r="I21" i="84"/>
  <c r="I219" i="84"/>
  <c r="I200" i="84"/>
  <c r="I141" i="84"/>
  <c r="I195" i="84"/>
  <c r="I182" i="84"/>
  <c r="I207" i="84"/>
  <c r="I203" i="84"/>
  <c r="I153" i="84"/>
  <c r="I67" i="84"/>
  <c r="I176" i="84"/>
  <c r="I150" i="84"/>
  <c r="I20" i="84"/>
  <c r="I14" i="84"/>
  <c r="I97" i="84"/>
  <c r="I194" i="84"/>
  <c r="I49" i="84"/>
  <c r="I8" i="84"/>
  <c r="I15" i="84"/>
  <c r="I222" i="84"/>
  <c r="I191" i="84"/>
  <c r="I162" i="84"/>
  <c r="I205" i="84"/>
  <c r="I22" i="84"/>
  <c r="I149" i="84"/>
  <c r="I223" i="84"/>
  <c r="I204" i="84"/>
  <c r="I185" i="84"/>
  <c r="I169" i="84"/>
  <c r="I63" i="84"/>
  <c r="I71" i="84"/>
  <c r="I17" i="84"/>
  <c r="I30" i="84"/>
  <c r="I107" i="84"/>
  <c r="I156" i="84"/>
  <c r="I215" i="84"/>
  <c r="I75" i="84"/>
  <c r="I87" i="84"/>
  <c r="I34" i="84"/>
  <c r="I110" i="84"/>
  <c r="I179" i="84"/>
  <c r="I170" i="84"/>
  <c r="I159" i="84"/>
  <c r="I173" i="84"/>
  <c r="I198" i="84"/>
  <c r="I137" i="84"/>
  <c r="I166" i="84"/>
  <c r="I59" i="84"/>
  <c r="I52" i="84"/>
  <c r="I37" i="84"/>
  <c r="I70" i="84"/>
  <c r="I50" i="84"/>
  <c r="I80" i="84"/>
  <c r="I39" i="84"/>
  <c r="I148" i="84"/>
  <c r="I154" i="84"/>
  <c r="I76" i="84"/>
  <c r="I104" i="84"/>
  <c r="I23" i="84"/>
  <c r="I16" i="84"/>
  <c r="I135" i="84"/>
  <c r="I144" i="84"/>
  <c r="I119" i="84"/>
  <c r="I139" i="84"/>
  <c r="I57" i="84"/>
  <c r="I46" i="84"/>
  <c r="I134" i="84"/>
  <c r="I94" i="84"/>
  <c r="I28" i="84"/>
  <c r="I64" i="84"/>
  <c r="I103" i="84"/>
  <c r="I128" i="84"/>
  <c r="I58" i="84"/>
  <c r="I147" i="84"/>
  <c r="I48" i="84"/>
  <c r="I122" i="84"/>
  <c r="I26" i="84"/>
  <c r="I83" i="84"/>
  <c r="I225" i="84"/>
  <c r="I214" i="84"/>
  <c r="I160" i="84"/>
  <c r="I38" i="84"/>
  <c r="I116" i="84"/>
  <c r="I36" i="84"/>
  <c r="I157" i="84"/>
  <c r="I95" i="84"/>
  <c r="I138" i="84"/>
  <c r="I108" i="84"/>
  <c r="I124" i="84"/>
  <c r="I136" i="84"/>
  <c r="I88" i="84"/>
  <c r="I86" i="84"/>
  <c r="I193" i="84"/>
  <c r="I216" i="84"/>
  <c r="I209" i="84"/>
  <c r="I131" i="84"/>
  <c r="I211" i="84"/>
  <c r="I152" i="84"/>
  <c r="I184" i="84"/>
  <c r="I151" i="84"/>
  <c r="I101" i="84"/>
  <c r="I206" i="84"/>
  <c r="I201" i="84"/>
  <c r="I165" i="84"/>
  <c r="I65" i="84"/>
  <c r="I105" i="84"/>
  <c r="I33" i="84"/>
  <c r="I54" i="84"/>
  <c r="I175" i="84"/>
  <c r="I199" i="84"/>
  <c r="I123" i="84"/>
  <c r="I212" i="84"/>
  <c r="I132" i="84"/>
  <c r="I78" i="84"/>
  <c r="I61" i="84"/>
  <c r="I168" i="84"/>
  <c r="I11" i="84"/>
  <c r="I202" i="84"/>
  <c r="I186" i="84"/>
  <c r="I91" i="84"/>
  <c r="I89" i="84"/>
  <c r="I25" i="84"/>
  <c r="I35" i="84"/>
  <c r="I18" i="84"/>
  <c r="I221" i="84"/>
  <c r="I183" i="84"/>
  <c r="I155" i="84"/>
  <c r="I6" i="84"/>
  <c r="I188" i="84"/>
  <c r="I72" i="84"/>
  <c r="I167" i="84"/>
  <c r="I133" i="84"/>
  <c r="I51" i="84"/>
  <c r="I68" i="84"/>
  <c r="I213" i="84"/>
  <c r="I93" i="84"/>
  <c r="I115" i="84"/>
  <c r="I189" i="84"/>
  <c r="I29" i="84"/>
  <c r="I220" i="84"/>
  <c r="I129" i="84"/>
  <c r="I47" i="84"/>
  <c r="I12" i="84"/>
  <c r="I146" i="84"/>
  <c r="I111" i="84"/>
  <c r="I210" i="84"/>
  <c r="I9" i="84"/>
  <c r="I62" i="84"/>
  <c r="I113" i="84"/>
  <c r="I102" i="84"/>
  <c r="I44" i="84"/>
  <c r="I118" i="84"/>
  <c r="I126" i="84"/>
  <c r="I190" i="84"/>
  <c r="I40" i="84"/>
  <c r="I171" i="84"/>
  <c r="I19" i="84"/>
  <c r="I106" i="84"/>
  <c r="H10" i="84"/>
  <c r="H12" i="84"/>
  <c r="H16" i="84"/>
  <c r="H7" i="84"/>
  <c r="H53" i="84"/>
  <c r="H62" i="84"/>
  <c r="H88" i="84"/>
  <c r="H90" i="84"/>
  <c r="H100" i="84"/>
  <c r="H109" i="84"/>
  <c r="H130" i="84"/>
  <c r="H32" i="84"/>
  <c r="H74" i="84"/>
  <c r="H44" i="84"/>
  <c r="H94" i="84"/>
  <c r="H120" i="84"/>
  <c r="H136" i="84"/>
  <c r="H177" i="84"/>
  <c r="H188" i="84"/>
  <c r="H73" i="84"/>
  <c r="H60" i="84"/>
  <c r="H71" i="84"/>
  <c r="H84" i="84"/>
  <c r="H127" i="84"/>
  <c r="H18" i="84"/>
  <c r="H82" i="84"/>
  <c r="H158" i="84"/>
  <c r="H113" i="84"/>
  <c r="H121" i="84"/>
  <c r="H47" i="84"/>
  <c r="H114" i="84"/>
  <c r="H153" i="84"/>
  <c r="H164" i="84"/>
  <c r="H172" i="84"/>
  <c r="H226" i="84"/>
  <c r="H85" i="84"/>
  <c r="H143" i="84"/>
  <c r="H96" i="84"/>
  <c r="H140" i="84"/>
  <c r="H178" i="84"/>
  <c r="H184" i="84"/>
  <c r="H189" i="84"/>
  <c r="H209" i="84"/>
  <c r="H212" i="84"/>
  <c r="H180" i="84"/>
  <c r="H190" i="84"/>
  <c r="H199" i="84"/>
  <c r="H207" i="84"/>
  <c r="H142" i="84"/>
  <c r="H196" i="84"/>
  <c r="H118" i="84"/>
  <c r="H161" i="84"/>
  <c r="H56" i="84"/>
  <c r="H87" i="84"/>
  <c r="H102" i="84"/>
  <c r="H200" i="84"/>
  <c r="H215" i="84"/>
  <c r="H218" i="84"/>
  <c r="H105" i="84"/>
  <c r="H159" i="84"/>
  <c r="H210" i="84"/>
  <c r="H204" i="84"/>
  <c r="H89" i="84"/>
  <c r="H220" i="84"/>
  <c r="H208" i="84"/>
  <c r="H54" i="84"/>
  <c r="H150" i="84"/>
  <c r="H205" i="84"/>
  <c r="H225" i="84"/>
  <c r="H68" i="84"/>
  <c r="H170" i="84"/>
  <c r="H156" i="84"/>
  <c r="H70" i="84"/>
  <c r="H112" i="84"/>
  <c r="H49" i="84"/>
  <c r="H93" i="84"/>
  <c r="H8" i="84"/>
  <c r="H81" i="84"/>
  <c r="H104" i="84"/>
  <c r="H167" i="84"/>
  <c r="H15" i="84"/>
  <c r="H41" i="84"/>
  <c r="H173" i="84"/>
  <c r="H216" i="84"/>
  <c r="H116" i="84"/>
  <c r="H25" i="84"/>
  <c r="H101" i="84"/>
  <c r="H168" i="84"/>
  <c r="H145" i="84"/>
  <c r="H201" i="84"/>
  <c r="H169" i="84"/>
  <c r="H217" i="84"/>
  <c r="H123" i="84"/>
  <c r="H48" i="84"/>
  <c r="H125" i="84"/>
  <c r="H34" i="84"/>
  <c r="H131" i="84"/>
  <c r="H119" i="84"/>
  <c r="H193" i="84"/>
  <c r="H211" i="84"/>
  <c r="H29" i="84"/>
  <c r="H152" i="84"/>
  <c r="H146" i="84"/>
  <c r="H61" i="84"/>
  <c r="H176" i="84"/>
  <c r="H115" i="84"/>
  <c r="H37" i="84"/>
  <c r="H202" i="84"/>
  <c r="H138" i="84"/>
  <c r="H126" i="84"/>
  <c r="H106" i="84"/>
  <c r="H186" i="84"/>
  <c r="H40" i="84"/>
  <c r="H197" i="84"/>
  <c r="H151" i="84"/>
  <c r="H91" i="84"/>
  <c r="H36" i="84"/>
  <c r="H135" i="84"/>
  <c r="H155" i="84"/>
  <c r="H139" i="84"/>
  <c r="H165" i="84"/>
  <c r="H129" i="84"/>
  <c r="H92" i="84"/>
  <c r="H51" i="84"/>
  <c r="H33" i="84"/>
  <c r="H19" i="84"/>
  <c r="H64" i="84"/>
  <c r="H224" i="84"/>
  <c r="H182" i="84"/>
  <c r="H66" i="84"/>
  <c r="H137" i="84"/>
  <c r="H174" i="84"/>
  <c r="H107" i="84"/>
  <c r="H24" i="84"/>
  <c r="H171" i="84"/>
  <c r="H219" i="84"/>
  <c r="H141" i="84"/>
  <c r="H149" i="84"/>
  <c r="H195" i="84"/>
  <c r="H72" i="84"/>
  <c r="H79" i="84"/>
  <c r="H17" i="84"/>
  <c r="H27" i="84"/>
  <c r="H203" i="84"/>
  <c r="H97" i="84"/>
  <c r="H77" i="84"/>
  <c r="H98" i="84"/>
  <c r="H103" i="84"/>
  <c r="H58" i="84"/>
  <c r="H192" i="84"/>
  <c r="H76" i="84"/>
  <c r="H65" i="84"/>
  <c r="H179" i="84"/>
  <c r="H222" i="84"/>
  <c r="H214" i="84"/>
  <c r="H160" i="84"/>
  <c r="H221" i="84"/>
  <c r="H157" i="84"/>
  <c r="H57" i="84"/>
  <c r="H95" i="84"/>
  <c r="H75" i="84"/>
  <c r="H45" i="84"/>
  <c r="H148" i="84"/>
  <c r="H185" i="84"/>
  <c r="H86" i="84"/>
  <c r="H198" i="84"/>
  <c r="H124" i="84"/>
  <c r="H63" i="84"/>
  <c r="H206" i="84"/>
  <c r="H166" i="84"/>
  <c r="H154" i="84"/>
  <c r="H163" i="84"/>
  <c r="H111" i="84"/>
  <c r="H50" i="84"/>
  <c r="H133" i="84"/>
  <c r="H21" i="84"/>
  <c r="H175" i="84"/>
  <c r="H223" i="84"/>
  <c r="H183" i="84"/>
  <c r="H213" i="84"/>
  <c r="H194" i="84"/>
  <c r="H134" i="84"/>
  <c r="H22" i="84"/>
  <c r="H83" i="84"/>
  <c r="H132" i="84"/>
  <c r="H67" i="84"/>
  <c r="H59" i="84"/>
  <c r="H108" i="84"/>
  <c r="H30" i="84"/>
  <c r="H128" i="84"/>
  <c r="H147" i="84"/>
  <c r="H122" i="84"/>
  <c r="H80" i="84"/>
  <c r="H42" i="84"/>
  <c r="H23" i="84"/>
  <c r="H26" i="84"/>
  <c r="H162" i="84"/>
  <c r="H144" i="84"/>
  <c r="H6" i="84"/>
  <c r="H99" i="84"/>
  <c r="H187" i="84"/>
  <c r="H39" i="84"/>
  <c r="H38" i="84"/>
  <c r="H43" i="84"/>
  <c r="H13" i="84"/>
  <c r="H20" i="84"/>
  <c r="H31" i="84"/>
  <c r="H78" i="84"/>
  <c r="H181" i="84"/>
  <c r="H52" i="84"/>
  <c r="H35" i="84"/>
  <c r="H14" i="84"/>
  <c r="H117" i="84"/>
  <c r="H110" i="84"/>
  <c r="H11" i="84"/>
  <c r="H9" i="84"/>
  <c r="H69" i="84"/>
  <c r="H55" i="84"/>
  <c r="H191" i="84"/>
  <c r="H28" i="84"/>
  <c r="H46" i="84"/>
  <c r="L118" i="89"/>
  <c r="L238" i="89"/>
  <c r="L239" i="89"/>
  <c r="L240" i="89"/>
  <c r="L32" i="89"/>
  <c r="L34" i="89"/>
  <c r="L224" i="89"/>
  <c r="L33" i="89"/>
  <c r="L212" i="89"/>
  <c r="L239" i="99"/>
  <c r="L224" i="102"/>
  <c r="L118" i="101"/>
  <c r="L238" i="100"/>
  <c r="P238" i="100" s="1"/>
  <c r="R238" i="100" s="1"/>
  <c r="L118" i="100"/>
  <c r="P118" i="100" s="1"/>
  <c r="R118" i="100" s="1"/>
  <c r="L212" i="103"/>
  <c r="L240" i="99"/>
  <c r="L224" i="99"/>
  <c r="L212" i="99"/>
  <c r="L240" i="103"/>
  <c r="L33" i="103"/>
  <c r="L238" i="102"/>
  <c r="L239" i="101"/>
  <c r="L239" i="100"/>
  <c r="P239" i="100" s="1"/>
  <c r="R239" i="100" s="1"/>
  <c r="L33" i="100"/>
  <c r="P33" i="100" s="1"/>
  <c r="R33" i="100" s="1"/>
  <c r="L32" i="100"/>
  <c r="P32" i="100" s="1"/>
  <c r="R32" i="100" s="1"/>
  <c r="L34" i="100"/>
  <c r="P34" i="100" s="1"/>
  <c r="Q34" i="100" s="1"/>
  <c r="L32" i="99"/>
  <c r="L118" i="103"/>
  <c r="L34" i="103"/>
  <c r="L32" i="103"/>
  <c r="L118" i="102"/>
  <c r="L238" i="101"/>
  <c r="L224" i="101"/>
  <c r="L212" i="101"/>
  <c r="L240" i="100"/>
  <c r="P240" i="100" s="1"/>
  <c r="R240" i="100" s="1"/>
  <c r="L224" i="100"/>
  <c r="P224" i="100" s="1"/>
  <c r="R224" i="100" s="1"/>
  <c r="L212" i="102"/>
  <c r="L34" i="102"/>
  <c r="L240" i="101"/>
  <c r="L240" i="102"/>
  <c r="L33" i="101"/>
  <c r="L238" i="99"/>
  <c r="L32" i="101"/>
  <c r="L118" i="99"/>
  <c r="L239" i="103"/>
  <c r="L239" i="102"/>
  <c r="L33" i="102"/>
  <c r="L34" i="101"/>
  <c r="L212" i="100"/>
  <c r="P212" i="100" s="1"/>
  <c r="R212" i="100" s="1"/>
  <c r="L34" i="99"/>
  <c r="L33" i="99"/>
  <c r="L238" i="103"/>
  <c r="L32" i="102"/>
  <c r="L224" i="103"/>
  <c r="L5" i="103"/>
  <c r="L16" i="103"/>
  <c r="L15" i="103"/>
  <c r="L11" i="103"/>
  <c r="L14" i="103"/>
  <c r="L7" i="103"/>
  <c r="L12" i="103"/>
  <c r="L39" i="103"/>
  <c r="L50" i="103"/>
  <c r="L52" i="103"/>
  <c r="L53" i="103"/>
  <c r="L76" i="103"/>
  <c r="L77" i="103"/>
  <c r="L85" i="103"/>
  <c r="L97" i="103"/>
  <c r="L9" i="103"/>
  <c r="L24" i="103"/>
  <c r="L38" i="103"/>
  <c r="L49" i="103"/>
  <c r="L84" i="103"/>
  <c r="L96" i="103"/>
  <c r="L23" i="103"/>
  <c r="L35" i="103"/>
  <c r="L36" i="103"/>
  <c r="L37" i="103"/>
  <c r="L48" i="103"/>
  <c r="L59" i="103"/>
  <c r="L83" i="103"/>
  <c r="L94" i="103"/>
  <c r="L95" i="103"/>
  <c r="L17" i="103"/>
  <c r="L30" i="103"/>
  <c r="L41" i="103"/>
  <c r="L79" i="103"/>
  <c r="L87" i="103"/>
  <c r="L99" i="103"/>
  <c r="L102" i="103"/>
  <c r="L18" i="103"/>
  <c r="L47" i="103"/>
  <c r="L54" i="103"/>
  <c r="L92" i="103"/>
  <c r="L101" i="103"/>
  <c r="L103" i="103"/>
  <c r="L112" i="103"/>
  <c r="L120" i="103"/>
  <c r="L130" i="103"/>
  <c r="L141" i="103"/>
  <c r="L150" i="103"/>
  <c r="L158" i="103"/>
  <c r="L167" i="103"/>
  <c r="L176" i="103"/>
  <c r="L185" i="103"/>
  <c r="L193" i="103"/>
  <c r="L222" i="103"/>
  <c r="L233" i="103"/>
  <c r="L6" i="102"/>
  <c r="L17" i="102"/>
  <c r="L30" i="102"/>
  <c r="L40" i="102"/>
  <c r="L13" i="103"/>
  <c r="L20" i="103"/>
  <c r="L44" i="103"/>
  <c r="L91" i="103"/>
  <c r="L110" i="103"/>
  <c r="L111" i="103"/>
  <c r="L119" i="103"/>
  <c r="L129" i="103"/>
  <c r="L140" i="103"/>
  <c r="L149" i="103"/>
  <c r="L157" i="103"/>
  <c r="L166" i="103"/>
  <c r="L184" i="103"/>
  <c r="L192" i="103"/>
  <c r="L221" i="103"/>
  <c r="L232" i="103"/>
  <c r="L5" i="102"/>
  <c r="L16" i="102"/>
  <c r="L29" i="102"/>
  <c r="L39" i="102"/>
  <c r="L50" i="102"/>
  <c r="L51" i="102"/>
  <c r="L52" i="102"/>
  <c r="L8" i="103"/>
  <c r="L22" i="103"/>
  <c r="L51" i="103"/>
  <c r="L57" i="103"/>
  <c r="L82" i="103"/>
  <c r="L90" i="103"/>
  <c r="L98" i="103"/>
  <c r="L109" i="103"/>
  <c r="L128" i="103"/>
  <c r="L139" i="103"/>
  <c r="L148" i="103"/>
  <c r="L156" i="103"/>
  <c r="L165" i="103"/>
  <c r="L174" i="103"/>
  <c r="L183" i="103"/>
  <c r="L191" i="103"/>
  <c r="L230" i="103"/>
  <c r="L231" i="103"/>
  <c r="L243" i="103"/>
  <c r="L261" i="103"/>
  <c r="L15" i="102"/>
  <c r="L38" i="102"/>
  <c r="L49" i="102"/>
  <c r="L21" i="103"/>
  <c r="L45" i="103"/>
  <c r="L105" i="103"/>
  <c r="L114" i="103"/>
  <c r="L122" i="103"/>
  <c r="L134" i="103"/>
  <c r="L135" i="103"/>
  <c r="L169" i="103"/>
  <c r="L178" i="103"/>
  <c r="L187" i="103"/>
  <c r="L195" i="103"/>
  <c r="L196" i="103"/>
  <c r="L235" i="103"/>
  <c r="L8" i="102"/>
  <c r="L19" i="102"/>
  <c r="L20" i="102"/>
  <c r="L21" i="102"/>
  <c r="L42" i="102"/>
  <c r="L44" i="102"/>
  <c r="L45" i="102"/>
  <c r="L6" i="103"/>
  <c r="L42" i="103"/>
  <c r="L86" i="103"/>
  <c r="L88" i="103"/>
  <c r="L93" i="103"/>
  <c r="L121" i="103"/>
  <c r="L123" i="103"/>
  <c r="L155" i="103"/>
  <c r="L159" i="103"/>
  <c r="L164" i="103"/>
  <c r="L168" i="103"/>
  <c r="L170" i="103"/>
  <c r="L173" i="103"/>
  <c r="L214" i="103"/>
  <c r="L257" i="103"/>
  <c r="L31" i="102"/>
  <c r="L48" i="102"/>
  <c r="L54" i="102"/>
  <c r="L78" i="102"/>
  <c r="L86" i="102"/>
  <c r="L94" i="102"/>
  <c r="L102" i="102"/>
  <c r="L110" i="102"/>
  <c r="L119" i="102"/>
  <c r="L127" i="102"/>
  <c r="L135" i="102"/>
  <c r="L151" i="102"/>
  <c r="L169" i="102"/>
  <c r="L178" i="102"/>
  <c r="L187" i="102"/>
  <c r="L196" i="102"/>
  <c r="L107" i="103"/>
  <c r="L180" i="103"/>
  <c r="L182" i="103"/>
  <c r="L186" i="103"/>
  <c r="L188" i="103"/>
  <c r="L190" i="103"/>
  <c r="L194" i="103"/>
  <c r="L228" i="103"/>
  <c r="L13" i="102"/>
  <c r="L23" i="102"/>
  <c r="L37" i="102"/>
  <c r="L41" i="102"/>
  <c r="L43" i="102"/>
  <c r="L53" i="102"/>
  <c r="L76" i="102"/>
  <c r="L77" i="102"/>
  <c r="L85" i="102"/>
  <c r="L93" i="102"/>
  <c r="L101" i="102"/>
  <c r="L109" i="102"/>
  <c r="L117" i="102"/>
  <c r="L126" i="102"/>
  <c r="L134" i="102"/>
  <c r="L150" i="102"/>
  <c r="L159" i="102"/>
  <c r="L168" i="102"/>
  <c r="L177" i="102"/>
  <c r="L186" i="102"/>
  <c r="L195" i="102"/>
  <c r="L43" i="103"/>
  <c r="L113" i="103"/>
  <c r="L115" i="103"/>
  <c r="L125" i="103"/>
  <c r="L127" i="103"/>
  <c r="L131" i="103"/>
  <c r="L133" i="103"/>
  <c r="L260" i="103"/>
  <c r="L84" i="102"/>
  <c r="L92" i="102"/>
  <c r="L100" i="102"/>
  <c r="L108" i="102"/>
  <c r="L116" i="102"/>
  <c r="L125" i="102"/>
  <c r="L133" i="102"/>
  <c r="L141" i="102"/>
  <c r="L149" i="102"/>
  <c r="L158" i="102"/>
  <c r="L166" i="102"/>
  <c r="L167" i="102"/>
  <c r="L176" i="102"/>
  <c r="L185" i="102"/>
  <c r="L194" i="102"/>
  <c r="L126" i="103"/>
  <c r="L132" i="103"/>
  <c r="L136" i="103"/>
  <c r="L215" i="103"/>
  <c r="L226" i="103"/>
  <c r="L11" i="102"/>
  <c r="L46" i="102"/>
  <c r="L80" i="102"/>
  <c r="L88" i="102"/>
  <c r="L96" i="102"/>
  <c r="L104" i="102"/>
  <c r="L112" i="102"/>
  <c r="L121" i="102"/>
  <c r="L129" i="102"/>
  <c r="L137" i="102"/>
  <c r="L162" i="102"/>
  <c r="L171" i="102"/>
  <c r="L180" i="102"/>
  <c r="L189" i="102"/>
  <c r="L100" i="103"/>
  <c r="L151" i="103"/>
  <c r="L162" i="103"/>
  <c r="L177" i="103"/>
  <c r="L213" i="103"/>
  <c r="L22" i="102"/>
  <c r="L83" i="102"/>
  <c r="L91" i="102"/>
  <c r="L99" i="102"/>
  <c r="L107" i="102"/>
  <c r="L115" i="102"/>
  <c r="L140" i="102"/>
  <c r="L182" i="102"/>
  <c r="L221" i="102"/>
  <c r="L234" i="102"/>
  <c r="L235" i="102"/>
  <c r="L9" i="101"/>
  <c r="L11" i="101"/>
  <c r="L14" i="101"/>
  <c r="L24" i="101"/>
  <c r="L31" i="101"/>
  <c r="L41" i="101"/>
  <c r="L79" i="101"/>
  <c r="L90" i="101"/>
  <c r="L91" i="101"/>
  <c r="L92" i="101"/>
  <c r="L93" i="101"/>
  <c r="L31" i="103"/>
  <c r="L60" i="103"/>
  <c r="L124" i="103"/>
  <c r="L154" i="103"/>
  <c r="L171" i="103"/>
  <c r="L36" i="102"/>
  <c r="L155" i="102"/>
  <c r="L157" i="102"/>
  <c r="L164" i="102"/>
  <c r="L184" i="102"/>
  <c r="L188" i="102"/>
  <c r="L190" i="102"/>
  <c r="L233" i="102"/>
  <c r="L8" i="101"/>
  <c r="L12" i="101"/>
  <c r="L13" i="101"/>
  <c r="L23" i="101"/>
  <c r="L30" i="101"/>
  <c r="L40" i="101"/>
  <c r="L51" i="101"/>
  <c r="L54" i="101"/>
  <c r="L78" i="101"/>
  <c r="L89" i="101"/>
  <c r="L19" i="103"/>
  <c r="L40" i="103"/>
  <c r="L117" i="103"/>
  <c r="L146" i="103"/>
  <c r="L163" i="103"/>
  <c r="L258" i="103"/>
  <c r="L9" i="102"/>
  <c r="L14" i="102"/>
  <c r="L82" i="102"/>
  <c r="L90" i="102"/>
  <c r="L98" i="102"/>
  <c r="L106" i="102"/>
  <c r="L114" i="102"/>
  <c r="L147" i="102"/>
  <c r="L170" i="102"/>
  <c r="L172" i="102"/>
  <c r="L192" i="102"/>
  <c r="L232" i="102"/>
  <c r="L243" i="102"/>
  <c r="L269" i="102"/>
  <c r="L7" i="101"/>
  <c r="L22" i="101"/>
  <c r="L29" i="101"/>
  <c r="L39" i="101"/>
  <c r="L50" i="101"/>
  <c r="L52" i="101"/>
  <c r="L53" i="101"/>
  <c r="L76" i="101"/>
  <c r="L77" i="101"/>
  <c r="L88" i="101"/>
  <c r="L99" i="101"/>
  <c r="L29" i="103"/>
  <c r="L46" i="103"/>
  <c r="L106" i="103"/>
  <c r="L116" i="103"/>
  <c r="L269" i="103"/>
  <c r="L47" i="102"/>
  <c r="L59" i="102"/>
  <c r="L136" i="102"/>
  <c r="L146" i="102"/>
  <c r="L148" i="102"/>
  <c r="L191" i="102"/>
  <c r="L193" i="102"/>
  <c r="L197" i="102"/>
  <c r="L213" i="102"/>
  <c r="L257" i="102"/>
  <c r="L259" i="102"/>
  <c r="L260" i="102"/>
  <c r="L261" i="102"/>
  <c r="L16" i="101"/>
  <c r="L43" i="101"/>
  <c r="L46" i="101"/>
  <c r="L57" i="101"/>
  <c r="L81" i="101"/>
  <c r="L95" i="101"/>
  <c r="L108" i="103"/>
  <c r="L179" i="103"/>
  <c r="L189" i="103"/>
  <c r="L12" i="102"/>
  <c r="L132" i="102"/>
  <c r="L139" i="102"/>
  <c r="L231" i="102"/>
  <c r="L5" i="101"/>
  <c r="L21" i="101"/>
  <c r="L38" i="101"/>
  <c r="L42" i="101"/>
  <c r="L44" i="101"/>
  <c r="L78" i="103"/>
  <c r="L80" i="103"/>
  <c r="L104" i="103"/>
  <c r="L137" i="103"/>
  <c r="L237" i="103"/>
  <c r="L259" i="103"/>
  <c r="L124" i="102"/>
  <c r="L161" i="102"/>
  <c r="L183" i="102"/>
  <c r="L214" i="102"/>
  <c r="L228" i="102"/>
  <c r="L48" i="101"/>
  <c r="L85" i="101"/>
  <c r="L113" i="101"/>
  <c r="L113" i="102"/>
  <c r="L130" i="102"/>
  <c r="L173" i="102"/>
  <c r="L18" i="101"/>
  <c r="L35" i="101"/>
  <c r="L172" i="103"/>
  <c r="L181" i="103"/>
  <c r="L216" i="103"/>
  <c r="L227" i="103"/>
  <c r="L18" i="102"/>
  <c r="L35" i="102"/>
  <c r="L105" i="102"/>
  <c r="L111" i="102"/>
  <c r="L154" i="102"/>
  <c r="L165" i="102"/>
  <c r="L181" i="102"/>
  <c r="L216" i="102"/>
  <c r="L222" i="102"/>
  <c r="L227" i="102"/>
  <c r="L230" i="102"/>
  <c r="L20" i="101"/>
  <c r="L60" i="101"/>
  <c r="L98" i="101"/>
  <c r="L174" i="102"/>
  <c r="L59" i="101"/>
  <c r="L80" i="101"/>
  <c r="L82" i="101"/>
  <c r="L84" i="101"/>
  <c r="L123" i="101"/>
  <c r="L131" i="101"/>
  <c r="L132" i="101"/>
  <c r="L133" i="101"/>
  <c r="L147" i="101"/>
  <c r="L155" i="101"/>
  <c r="L156" i="101"/>
  <c r="L164" i="101"/>
  <c r="L165" i="101"/>
  <c r="L166" i="101"/>
  <c r="L89" i="103"/>
  <c r="L147" i="103"/>
  <c r="L123" i="102"/>
  <c r="L128" i="102"/>
  <c r="L19" i="101"/>
  <c r="L36" i="101"/>
  <c r="L86" i="101"/>
  <c r="L104" i="101"/>
  <c r="L114" i="101"/>
  <c r="L122" i="101"/>
  <c r="L130" i="101"/>
  <c r="L146" i="101"/>
  <c r="L154" i="101"/>
  <c r="L163" i="101"/>
  <c r="L177" i="101"/>
  <c r="L197" i="103"/>
  <c r="L7" i="102"/>
  <c r="L60" i="102"/>
  <c r="L81" i="102"/>
  <c r="L97" i="102"/>
  <c r="L215" i="102"/>
  <c r="L237" i="102"/>
  <c r="L97" i="101"/>
  <c r="L100" i="101"/>
  <c r="L121" i="101"/>
  <c r="L129" i="101"/>
  <c r="L162" i="101"/>
  <c r="L176" i="101"/>
  <c r="L57" i="102"/>
  <c r="L47" i="101"/>
  <c r="L102" i="101"/>
  <c r="L107" i="101"/>
  <c r="L110" i="101"/>
  <c r="L111" i="101"/>
  <c r="L117" i="101"/>
  <c r="L126" i="101"/>
  <c r="L137" i="101"/>
  <c r="L150" i="101"/>
  <c r="L159" i="101"/>
  <c r="L169" i="101"/>
  <c r="L49" i="101"/>
  <c r="L103" i="101"/>
  <c r="L148" i="101"/>
  <c r="L167" i="101"/>
  <c r="L186" i="101"/>
  <c r="L196" i="101"/>
  <c r="L214" i="101"/>
  <c r="L243" i="101"/>
  <c r="L18" i="100"/>
  <c r="P18" i="100" s="1"/>
  <c r="R18" i="100" s="1"/>
  <c r="L40" i="100"/>
  <c r="P40" i="100" s="1"/>
  <c r="Q40" i="100" s="1"/>
  <c r="L86" i="100"/>
  <c r="P86" i="100" s="1"/>
  <c r="R86" i="100" s="1"/>
  <c r="L87" i="100"/>
  <c r="P87" i="100" s="1"/>
  <c r="R87" i="100" s="1"/>
  <c r="L98" i="100"/>
  <c r="P98" i="100" s="1"/>
  <c r="Q98" i="100" s="1"/>
  <c r="L100" i="100"/>
  <c r="P100" i="100" s="1"/>
  <c r="Q100" i="100" s="1"/>
  <c r="L101" i="100"/>
  <c r="P101" i="100" s="1"/>
  <c r="Q101" i="100" s="1"/>
  <c r="L115" i="100"/>
  <c r="P115" i="100" s="1"/>
  <c r="R115" i="100" s="1"/>
  <c r="L116" i="100"/>
  <c r="P116" i="100" s="1"/>
  <c r="R116" i="100" s="1"/>
  <c r="L117" i="100"/>
  <c r="P117" i="100" s="1"/>
  <c r="Q117" i="100" s="1"/>
  <c r="L129" i="100"/>
  <c r="P129" i="100" s="1"/>
  <c r="Q129" i="100" s="1"/>
  <c r="L161" i="103"/>
  <c r="L226" i="102"/>
  <c r="L105" i="101"/>
  <c r="L173" i="101"/>
  <c r="L179" i="101"/>
  <c r="L185" i="101"/>
  <c r="L195" i="101"/>
  <c r="L213" i="101"/>
  <c r="L228" i="101"/>
  <c r="L17" i="100"/>
  <c r="P17" i="100" s="1"/>
  <c r="R17" i="100" s="1"/>
  <c r="L38" i="100"/>
  <c r="P38" i="100" s="1"/>
  <c r="Q38" i="100" s="1"/>
  <c r="L39" i="100"/>
  <c r="P39" i="100" s="1"/>
  <c r="Q39" i="100" s="1"/>
  <c r="L54" i="100"/>
  <c r="P54" i="100" s="1"/>
  <c r="Q54" i="100" s="1"/>
  <c r="L83" i="100"/>
  <c r="P83" i="100" s="1"/>
  <c r="R83" i="100" s="1"/>
  <c r="L84" i="100"/>
  <c r="P84" i="100" s="1"/>
  <c r="R84" i="100" s="1"/>
  <c r="L85" i="100"/>
  <c r="P85" i="100" s="1"/>
  <c r="R85" i="100" s="1"/>
  <c r="L97" i="100"/>
  <c r="P97" i="100" s="1"/>
  <c r="R97" i="100" s="1"/>
  <c r="L114" i="100"/>
  <c r="P114" i="100" s="1"/>
  <c r="R114" i="100" s="1"/>
  <c r="L128" i="100"/>
  <c r="P128" i="100" s="1"/>
  <c r="Q128" i="100" s="1"/>
  <c r="L95" i="102"/>
  <c r="L37" i="101"/>
  <c r="L87" i="101"/>
  <c r="L115" i="101"/>
  <c r="L120" i="101"/>
  <c r="L124" i="101"/>
  <c r="L128" i="101"/>
  <c r="L135" i="101"/>
  <c r="L140" i="101"/>
  <c r="L171" i="101"/>
  <c r="L172" i="101"/>
  <c r="L184" i="101"/>
  <c r="L194" i="101"/>
  <c r="L226" i="101"/>
  <c r="L227" i="101"/>
  <c r="L237" i="101"/>
  <c r="L258" i="101"/>
  <c r="L259" i="101"/>
  <c r="L260" i="101"/>
  <c r="L261" i="101"/>
  <c r="L16" i="100"/>
  <c r="P16" i="100" s="1"/>
  <c r="R16" i="100" s="1"/>
  <c r="L35" i="100"/>
  <c r="P35" i="100" s="1"/>
  <c r="R35" i="100" s="1"/>
  <c r="L36" i="100"/>
  <c r="P36" i="100" s="1"/>
  <c r="R36" i="100" s="1"/>
  <c r="L37" i="100"/>
  <c r="P37" i="100" s="1"/>
  <c r="Q37" i="100" s="1"/>
  <c r="L50" i="100"/>
  <c r="P50" i="100" s="1"/>
  <c r="Q50" i="100" s="1"/>
  <c r="L51" i="100"/>
  <c r="P51" i="100" s="1"/>
  <c r="Q51" i="100" s="1"/>
  <c r="L52" i="100"/>
  <c r="P52" i="100" s="1"/>
  <c r="Q52" i="100" s="1"/>
  <c r="L53" i="100"/>
  <c r="P53" i="100" s="1"/>
  <c r="Q53" i="100" s="1"/>
  <c r="L82" i="100"/>
  <c r="P82" i="100" s="1"/>
  <c r="R82" i="100" s="1"/>
  <c r="L96" i="100"/>
  <c r="P96" i="100" s="1"/>
  <c r="R96" i="100" s="1"/>
  <c r="L113" i="100"/>
  <c r="P113" i="100" s="1"/>
  <c r="R113" i="100" s="1"/>
  <c r="L126" i="100"/>
  <c r="P126" i="100" s="1"/>
  <c r="Q126" i="100" s="1"/>
  <c r="L127" i="100"/>
  <c r="P127" i="100" s="1"/>
  <c r="Q127" i="100" s="1"/>
  <c r="L234" i="103"/>
  <c r="L89" i="102"/>
  <c r="L131" i="102"/>
  <c r="L179" i="102"/>
  <c r="L83" i="101"/>
  <c r="L106" i="101"/>
  <c r="L125" i="101"/>
  <c r="L134" i="101"/>
  <c r="L136" i="101"/>
  <c r="L170" i="101"/>
  <c r="L178" i="101"/>
  <c r="L180" i="101"/>
  <c r="L190" i="101"/>
  <c r="L191" i="101"/>
  <c r="L222" i="101"/>
  <c r="L232" i="101"/>
  <c r="L7" i="100"/>
  <c r="P7" i="100" s="1"/>
  <c r="Q7" i="100" s="1"/>
  <c r="L24" i="100"/>
  <c r="P24" i="100" s="1"/>
  <c r="Q24" i="100" s="1"/>
  <c r="L43" i="100"/>
  <c r="P43" i="100" s="1"/>
  <c r="Q43" i="100" s="1"/>
  <c r="L46" i="100"/>
  <c r="P46" i="100" s="1"/>
  <c r="Q46" i="100" s="1"/>
  <c r="L47" i="100"/>
  <c r="P47" i="100" s="1"/>
  <c r="Q47" i="100" s="1"/>
  <c r="L78" i="100"/>
  <c r="P78" i="100" s="1"/>
  <c r="R78" i="100" s="1"/>
  <c r="L79" i="100"/>
  <c r="P79" i="100" s="1"/>
  <c r="R79" i="100" s="1"/>
  <c r="L90" i="100"/>
  <c r="P90" i="100" s="1"/>
  <c r="Q90" i="100" s="1"/>
  <c r="L105" i="100"/>
  <c r="P105" i="100" s="1"/>
  <c r="R105" i="100" s="1"/>
  <c r="L108" i="100"/>
  <c r="P108" i="100" s="1"/>
  <c r="R108" i="100" s="1"/>
  <c r="L109" i="100"/>
  <c r="P109" i="100" s="1"/>
  <c r="R109" i="100" s="1"/>
  <c r="L121" i="100"/>
  <c r="P121" i="100" s="1"/>
  <c r="Q121" i="100" s="1"/>
  <c r="L134" i="100"/>
  <c r="P134" i="100" s="1"/>
  <c r="R134" i="100" s="1"/>
  <c r="L87" i="102"/>
  <c r="L258" i="102"/>
  <c r="L6" i="101"/>
  <c r="L17" i="101"/>
  <c r="L116" i="101"/>
  <c r="L157" i="101"/>
  <c r="L235" i="101"/>
  <c r="L257" i="101"/>
  <c r="L6" i="100"/>
  <c r="P6" i="100" s="1"/>
  <c r="R6" i="100" s="1"/>
  <c r="L11" i="100"/>
  <c r="P11" i="100" s="1"/>
  <c r="Q11" i="100" s="1"/>
  <c r="L20" i="100"/>
  <c r="P20" i="100" s="1"/>
  <c r="R20" i="100" s="1"/>
  <c r="L77" i="100"/>
  <c r="P77" i="100" s="1"/>
  <c r="R77" i="100" s="1"/>
  <c r="L88" i="100"/>
  <c r="P88" i="100" s="1"/>
  <c r="R88" i="100" s="1"/>
  <c r="L94" i="100"/>
  <c r="P94" i="100" s="1"/>
  <c r="R94" i="100" s="1"/>
  <c r="L122" i="100"/>
  <c r="P122" i="100" s="1"/>
  <c r="Q122" i="100" s="1"/>
  <c r="L137" i="100"/>
  <c r="P137" i="100" s="1"/>
  <c r="R137" i="100" s="1"/>
  <c r="L154" i="100"/>
  <c r="P154" i="100" s="1"/>
  <c r="Q154" i="100" s="1"/>
  <c r="L169" i="100"/>
  <c r="P169" i="100" s="1"/>
  <c r="Q169" i="100" s="1"/>
  <c r="L172" i="100"/>
  <c r="P172" i="100" s="1"/>
  <c r="R172" i="100" s="1"/>
  <c r="L173" i="100"/>
  <c r="P173" i="100" s="1"/>
  <c r="R173" i="100" s="1"/>
  <c r="L185" i="100"/>
  <c r="P185" i="100" s="1"/>
  <c r="R185" i="100" s="1"/>
  <c r="L234" i="100"/>
  <c r="P234" i="100" s="1"/>
  <c r="R234" i="100" s="1"/>
  <c r="L257" i="100"/>
  <c r="P257" i="100" s="1"/>
  <c r="R257" i="100" s="1"/>
  <c r="L9" i="99"/>
  <c r="L11" i="99"/>
  <c r="L14" i="99"/>
  <c r="L15" i="99"/>
  <c r="L49" i="99"/>
  <c r="L81" i="99"/>
  <c r="L94" i="99"/>
  <c r="L95" i="99"/>
  <c r="L105" i="99"/>
  <c r="L115" i="99"/>
  <c r="L116" i="99"/>
  <c r="L117" i="99"/>
  <c r="L120" i="99"/>
  <c r="L134" i="99"/>
  <c r="L135" i="99"/>
  <c r="L169" i="99"/>
  <c r="L185" i="99"/>
  <c r="L186" i="99"/>
  <c r="L187" i="99"/>
  <c r="L188" i="99"/>
  <c r="L189" i="99"/>
  <c r="L216" i="99"/>
  <c r="L227" i="99"/>
  <c r="L228" i="99"/>
  <c r="L232" i="99"/>
  <c r="L243" i="99"/>
  <c r="L6" i="89"/>
  <c r="L7" i="89"/>
  <c r="L24" i="89"/>
  <c r="L43" i="89"/>
  <c r="L46" i="89"/>
  <c r="L47" i="89"/>
  <c r="L45" i="101"/>
  <c r="L108" i="101"/>
  <c r="L112" i="101"/>
  <c r="L182" i="101"/>
  <c r="L8" i="100"/>
  <c r="P8" i="100" s="1"/>
  <c r="Q8" i="100" s="1"/>
  <c r="L111" i="100"/>
  <c r="P111" i="100" s="1"/>
  <c r="R111" i="100" s="1"/>
  <c r="L124" i="100"/>
  <c r="P124" i="100" s="1"/>
  <c r="R124" i="100" s="1"/>
  <c r="L132" i="100"/>
  <c r="P132" i="100" s="1"/>
  <c r="R132" i="100" s="1"/>
  <c r="L136" i="100"/>
  <c r="P136" i="100" s="1"/>
  <c r="R136" i="100" s="1"/>
  <c r="L168" i="100"/>
  <c r="P168" i="100" s="1"/>
  <c r="Q168" i="100" s="1"/>
  <c r="L184" i="100"/>
  <c r="P184" i="100" s="1"/>
  <c r="R184" i="100" s="1"/>
  <c r="L195" i="100"/>
  <c r="P195" i="100" s="1"/>
  <c r="Q195" i="100" s="1"/>
  <c r="L233" i="100"/>
  <c r="P233" i="100" s="1"/>
  <c r="R233" i="100" s="1"/>
  <c r="L5" i="99"/>
  <c r="L8" i="99"/>
  <c r="L12" i="99"/>
  <c r="L13" i="99"/>
  <c r="L48" i="99"/>
  <c r="L82" i="99"/>
  <c r="L96" i="99"/>
  <c r="L106" i="99"/>
  <c r="L119" i="99"/>
  <c r="L131" i="99"/>
  <c r="L132" i="99"/>
  <c r="L133" i="99"/>
  <c r="L147" i="99"/>
  <c r="L150" i="99"/>
  <c r="L151" i="99"/>
  <c r="L168" i="99"/>
  <c r="L184" i="99"/>
  <c r="L214" i="99"/>
  <c r="L215" i="99"/>
  <c r="L230" i="99"/>
  <c r="L231" i="99"/>
  <c r="L269" i="99"/>
  <c r="L22" i="89"/>
  <c r="L23" i="89"/>
  <c r="L30" i="89"/>
  <c r="L31" i="89"/>
  <c r="L42" i="89"/>
  <c r="L44" i="89"/>
  <c r="L45" i="89"/>
  <c r="L48" i="89"/>
  <c r="L103" i="102"/>
  <c r="L120" i="102"/>
  <c r="L139" i="101"/>
  <c r="L141" i="101"/>
  <c r="L188" i="101"/>
  <c r="L215" i="101"/>
  <c r="L48" i="100"/>
  <c r="P48" i="100" s="1"/>
  <c r="Q48" i="100" s="1"/>
  <c r="L57" i="100"/>
  <c r="P57" i="100" s="1"/>
  <c r="Q57" i="100" s="1"/>
  <c r="L60" i="100"/>
  <c r="P60" i="100" s="1"/>
  <c r="Q60" i="100" s="1"/>
  <c r="L93" i="100"/>
  <c r="P93" i="100" s="1"/>
  <c r="R93" i="100" s="1"/>
  <c r="L102" i="100"/>
  <c r="P102" i="100" s="1"/>
  <c r="Q102" i="100" s="1"/>
  <c r="L130" i="100"/>
  <c r="P130" i="100" s="1"/>
  <c r="R130" i="100" s="1"/>
  <c r="L135" i="100"/>
  <c r="P135" i="100" s="1"/>
  <c r="R135" i="100" s="1"/>
  <c r="L166" i="100"/>
  <c r="P166" i="100" s="1"/>
  <c r="Q166" i="100" s="1"/>
  <c r="L167" i="100"/>
  <c r="P167" i="100" s="1"/>
  <c r="Q167" i="100" s="1"/>
  <c r="L182" i="100"/>
  <c r="P182" i="100" s="1"/>
  <c r="Q182" i="100" s="1"/>
  <c r="L183" i="100"/>
  <c r="P183" i="100" s="1"/>
  <c r="R183" i="100" s="1"/>
  <c r="L194" i="100"/>
  <c r="P194" i="100" s="1"/>
  <c r="Q194" i="100" s="1"/>
  <c r="L196" i="100"/>
  <c r="P196" i="100" s="1"/>
  <c r="Q196" i="100" s="1"/>
  <c r="L197" i="100"/>
  <c r="P197" i="100" s="1"/>
  <c r="Q197" i="100" s="1"/>
  <c r="L216" i="100"/>
  <c r="P216" i="100" s="1"/>
  <c r="R216" i="100" s="1"/>
  <c r="L232" i="100"/>
  <c r="P232" i="100" s="1"/>
  <c r="R232" i="100" s="1"/>
  <c r="L6" i="99"/>
  <c r="L7" i="99"/>
  <c r="L24" i="99"/>
  <c r="L43" i="99"/>
  <c r="L46" i="99"/>
  <c r="L47" i="99"/>
  <c r="L59" i="99"/>
  <c r="L60" i="99"/>
  <c r="L83" i="99"/>
  <c r="L84" i="99"/>
  <c r="L85" i="99"/>
  <c r="L97" i="99"/>
  <c r="L107" i="99"/>
  <c r="L130" i="99"/>
  <c r="L146" i="99"/>
  <c r="L148" i="99"/>
  <c r="L149" i="99"/>
  <c r="L163" i="99"/>
  <c r="L166" i="99"/>
  <c r="L167" i="99"/>
  <c r="L182" i="99"/>
  <c r="L183" i="99"/>
  <c r="L213" i="99"/>
  <c r="L19" i="89"/>
  <c r="L20" i="89"/>
  <c r="L21" i="89"/>
  <c r="L29" i="89"/>
  <c r="L41" i="89"/>
  <c r="L49" i="89"/>
  <c r="L79" i="102"/>
  <c r="L151" i="101"/>
  <c r="L183" i="101"/>
  <c r="L187" i="101"/>
  <c r="L231" i="101"/>
  <c r="L12" i="100"/>
  <c r="P12" i="100" s="1"/>
  <c r="Q12" i="100" s="1"/>
  <c r="L42" i="100"/>
  <c r="P42" i="100" s="1"/>
  <c r="Q42" i="100" s="1"/>
  <c r="L91" i="100"/>
  <c r="P91" i="100" s="1"/>
  <c r="R91" i="100" s="1"/>
  <c r="L125" i="100"/>
  <c r="P125" i="100" s="1"/>
  <c r="R125" i="100" s="1"/>
  <c r="L158" i="100"/>
  <c r="P158" i="100" s="1"/>
  <c r="R158" i="100" s="1"/>
  <c r="L159" i="100"/>
  <c r="P159" i="100" s="1"/>
  <c r="R159" i="100" s="1"/>
  <c r="L176" i="100"/>
  <c r="P176" i="100" s="1"/>
  <c r="Q176" i="100" s="1"/>
  <c r="L187" i="100"/>
  <c r="P187" i="100" s="1"/>
  <c r="R187" i="100" s="1"/>
  <c r="L188" i="100"/>
  <c r="P188" i="100" s="1"/>
  <c r="R188" i="100" s="1"/>
  <c r="L189" i="100"/>
  <c r="P189" i="100" s="1"/>
  <c r="R189" i="100" s="1"/>
  <c r="L222" i="100"/>
  <c r="P222" i="100" s="1"/>
  <c r="R222" i="100" s="1"/>
  <c r="L237" i="100"/>
  <c r="P237" i="100" s="1"/>
  <c r="R237" i="100" s="1"/>
  <c r="L17" i="99"/>
  <c r="L38" i="99"/>
  <c r="L39" i="99"/>
  <c r="L51" i="99"/>
  <c r="L54" i="99"/>
  <c r="L78" i="99"/>
  <c r="L79" i="99"/>
  <c r="L90" i="99"/>
  <c r="L102" i="99"/>
  <c r="L103" i="99"/>
  <c r="L113" i="99"/>
  <c r="L122" i="99"/>
  <c r="L123" i="99"/>
  <c r="L124" i="99"/>
  <c r="L125" i="99"/>
  <c r="L137" i="99"/>
  <c r="L140" i="99"/>
  <c r="L141" i="99"/>
  <c r="L154" i="99"/>
  <c r="L155" i="99"/>
  <c r="L156" i="99"/>
  <c r="L157" i="99"/>
  <c r="L171" i="99"/>
  <c r="L174" i="99"/>
  <c r="L192" i="99"/>
  <c r="L222" i="99"/>
  <c r="L234" i="99"/>
  <c r="L9" i="89"/>
  <c r="L11" i="89"/>
  <c r="L14" i="89"/>
  <c r="L15" i="89"/>
  <c r="L54" i="89"/>
  <c r="L156" i="102"/>
  <c r="L192" i="101"/>
  <c r="L269" i="101"/>
  <c r="L14" i="100"/>
  <c r="P14" i="100" s="1"/>
  <c r="R14" i="100" s="1"/>
  <c r="L107" i="100"/>
  <c r="P107" i="100" s="1"/>
  <c r="Q107" i="100" s="1"/>
  <c r="L148" i="100"/>
  <c r="P148" i="100" s="1"/>
  <c r="Q148" i="100" s="1"/>
  <c r="L156" i="100"/>
  <c r="P156" i="100" s="1"/>
  <c r="R156" i="100" s="1"/>
  <c r="L174" i="100"/>
  <c r="P174" i="100" s="1"/>
  <c r="Q174" i="100" s="1"/>
  <c r="L177" i="100"/>
  <c r="P177" i="100" s="1"/>
  <c r="Q177" i="100" s="1"/>
  <c r="L179" i="100"/>
  <c r="P179" i="100" s="1"/>
  <c r="Q179" i="100" s="1"/>
  <c r="L226" i="100"/>
  <c r="P226" i="100" s="1"/>
  <c r="R226" i="100" s="1"/>
  <c r="L260" i="100"/>
  <c r="P260" i="100" s="1"/>
  <c r="Q260" i="100" s="1"/>
  <c r="L23" i="99"/>
  <c r="L36" i="99"/>
  <c r="L40" i="99"/>
  <c r="L42" i="99"/>
  <c r="L91" i="99"/>
  <c r="L99" i="99"/>
  <c r="L100" i="99"/>
  <c r="L104" i="99"/>
  <c r="L109" i="99"/>
  <c r="L127" i="99"/>
  <c r="L129" i="99"/>
  <c r="L136" i="99"/>
  <c r="L139" i="99"/>
  <c r="L161" i="99"/>
  <c r="L257" i="99"/>
  <c r="L39" i="89"/>
  <c r="L59" i="89"/>
  <c r="L82" i="89"/>
  <c r="L96" i="89"/>
  <c r="L106" i="89"/>
  <c r="L119" i="89"/>
  <c r="L130" i="89"/>
  <c r="L134" i="89"/>
  <c r="L135" i="89"/>
  <c r="L161" i="89"/>
  <c r="L172" i="89"/>
  <c r="L173" i="89"/>
  <c r="L178" i="89"/>
  <c r="L180" i="89"/>
  <c r="L181" i="89"/>
  <c r="L193" i="89"/>
  <c r="L222" i="89"/>
  <c r="L234" i="89"/>
  <c r="L237" i="89"/>
  <c r="L81" i="103"/>
  <c r="L109" i="101"/>
  <c r="L174" i="101"/>
  <c r="L189" i="101"/>
  <c r="L31" i="100"/>
  <c r="P31" i="100" s="1"/>
  <c r="Q31" i="100" s="1"/>
  <c r="L41" i="100"/>
  <c r="P41" i="100" s="1"/>
  <c r="Q41" i="100" s="1"/>
  <c r="L44" i="100"/>
  <c r="P44" i="100" s="1"/>
  <c r="Q44" i="100" s="1"/>
  <c r="L76" i="100"/>
  <c r="P76" i="100" s="1"/>
  <c r="R76" i="100" s="1"/>
  <c r="L80" i="100"/>
  <c r="P80" i="100" s="1"/>
  <c r="R80" i="100" s="1"/>
  <c r="L92" i="100"/>
  <c r="P92" i="100" s="1"/>
  <c r="R92" i="100" s="1"/>
  <c r="L133" i="100"/>
  <c r="P133" i="100" s="1"/>
  <c r="R133" i="100" s="1"/>
  <c r="L150" i="100"/>
  <c r="P150" i="100" s="1"/>
  <c r="Q150" i="100" s="1"/>
  <c r="L165" i="100"/>
  <c r="P165" i="100" s="1"/>
  <c r="Q165" i="100" s="1"/>
  <c r="L221" i="100"/>
  <c r="P221" i="100" s="1"/>
  <c r="R221" i="100" s="1"/>
  <c r="L16" i="99"/>
  <c r="L18" i="99"/>
  <c r="L29" i="99"/>
  <c r="L44" i="99"/>
  <c r="L53" i="99"/>
  <c r="L98" i="99"/>
  <c r="L108" i="99"/>
  <c r="L158" i="99"/>
  <c r="L181" i="99"/>
  <c r="L191" i="99"/>
  <c r="L193" i="99"/>
  <c r="L195" i="99"/>
  <c r="L261" i="99"/>
  <c r="L60" i="89"/>
  <c r="L83" i="89"/>
  <c r="L84" i="89"/>
  <c r="L85" i="89"/>
  <c r="L97" i="89"/>
  <c r="L107" i="89"/>
  <c r="L129" i="89"/>
  <c r="L136" i="89"/>
  <c r="L174" i="89"/>
  <c r="L177" i="89"/>
  <c r="L192" i="89"/>
  <c r="L226" i="89"/>
  <c r="L233" i="89"/>
  <c r="L127" i="101"/>
  <c r="L5" i="100"/>
  <c r="P5" i="100" s="1"/>
  <c r="R5" i="100" s="1"/>
  <c r="L15" i="100"/>
  <c r="P15" i="100" s="1"/>
  <c r="R15" i="100" s="1"/>
  <c r="L49" i="100"/>
  <c r="P49" i="100" s="1"/>
  <c r="Q49" i="100" s="1"/>
  <c r="L147" i="100"/>
  <c r="P147" i="100" s="1"/>
  <c r="Q147" i="100" s="1"/>
  <c r="L162" i="100"/>
  <c r="P162" i="100" s="1"/>
  <c r="Q162" i="100" s="1"/>
  <c r="L171" i="100"/>
  <c r="P171" i="100" s="1"/>
  <c r="Q171" i="100" s="1"/>
  <c r="L181" i="100"/>
  <c r="P181" i="100" s="1"/>
  <c r="Q181" i="100" s="1"/>
  <c r="L215" i="100"/>
  <c r="P215" i="100" s="1"/>
  <c r="R215" i="100" s="1"/>
  <c r="L20" i="99"/>
  <c r="L31" i="99"/>
  <c r="L93" i="99"/>
  <c r="L165" i="99"/>
  <c r="L176" i="99"/>
  <c r="L178" i="99"/>
  <c r="L226" i="99"/>
  <c r="L260" i="99"/>
  <c r="L5" i="89"/>
  <c r="L36" i="89"/>
  <c r="L86" i="89"/>
  <c r="L87" i="89"/>
  <c r="L98" i="89"/>
  <c r="L108" i="89"/>
  <c r="L109" i="89"/>
  <c r="L128" i="89"/>
  <c r="L137" i="89"/>
  <c r="L139" i="89"/>
  <c r="L155" i="89"/>
  <c r="L158" i="89"/>
  <c r="L159" i="89"/>
  <c r="L176" i="89"/>
  <c r="L190" i="89"/>
  <c r="L191" i="89"/>
  <c r="L227" i="89"/>
  <c r="L228" i="89"/>
  <c r="L232" i="89"/>
  <c r="L269" i="89"/>
  <c r="L24" i="102"/>
  <c r="L197" i="101"/>
  <c r="L216" i="101"/>
  <c r="L221" i="101"/>
  <c r="L151" i="100"/>
  <c r="P151" i="100" s="1"/>
  <c r="Q151" i="100" s="1"/>
  <c r="L161" i="100"/>
  <c r="P161" i="100" s="1"/>
  <c r="R161" i="100" s="1"/>
  <c r="L170" i="100"/>
  <c r="P170" i="100" s="1"/>
  <c r="Q170" i="100" s="1"/>
  <c r="L186" i="100"/>
  <c r="P186" i="100" s="1"/>
  <c r="R186" i="100" s="1"/>
  <c r="L190" i="100"/>
  <c r="P190" i="100" s="1"/>
  <c r="Q190" i="100" s="1"/>
  <c r="L243" i="100"/>
  <c r="P243" i="100" s="1"/>
  <c r="Q243" i="100" s="1"/>
  <c r="L45" i="99"/>
  <c r="L101" i="99"/>
  <c r="L111" i="99"/>
  <c r="L112" i="99"/>
  <c r="L159" i="99"/>
  <c r="L177" i="99"/>
  <c r="L51" i="89"/>
  <c r="L52" i="89"/>
  <c r="L57" i="89"/>
  <c r="L80" i="89"/>
  <c r="L91" i="89"/>
  <c r="L92" i="89"/>
  <c r="L93" i="89"/>
  <c r="L104" i="89"/>
  <c r="L114" i="89"/>
  <c r="L121" i="89"/>
  <c r="L147" i="89"/>
  <c r="L150" i="89"/>
  <c r="L151" i="89"/>
  <c r="L163" i="89"/>
  <c r="L166" i="89"/>
  <c r="L167" i="89"/>
  <c r="L170" i="89"/>
  <c r="L184" i="89"/>
  <c r="L195" i="89"/>
  <c r="L214" i="89"/>
  <c r="L215" i="89"/>
  <c r="L163" i="102"/>
  <c r="L15" i="101"/>
  <c r="L94" i="101"/>
  <c r="L101" i="101"/>
  <c r="L19" i="100"/>
  <c r="P19" i="100" s="1"/>
  <c r="R19" i="100" s="1"/>
  <c r="L45" i="100"/>
  <c r="P45" i="100" s="1"/>
  <c r="Q45" i="100" s="1"/>
  <c r="L89" i="100"/>
  <c r="P89" i="100" s="1"/>
  <c r="Q89" i="100" s="1"/>
  <c r="L104" i="100"/>
  <c r="P104" i="100" s="1"/>
  <c r="R104" i="100" s="1"/>
  <c r="L106" i="100"/>
  <c r="P106" i="100" s="1"/>
  <c r="Q106" i="100" s="1"/>
  <c r="L139" i="100"/>
  <c r="P139" i="100" s="1"/>
  <c r="Q139" i="100" s="1"/>
  <c r="L163" i="100"/>
  <c r="P163" i="100" s="1"/>
  <c r="Q163" i="100" s="1"/>
  <c r="L178" i="100"/>
  <c r="P178" i="100" s="1"/>
  <c r="Q178" i="100" s="1"/>
  <c r="L213" i="100"/>
  <c r="P213" i="100" s="1"/>
  <c r="R213" i="100" s="1"/>
  <c r="L235" i="100"/>
  <c r="P235" i="100" s="1"/>
  <c r="Q235" i="100" s="1"/>
  <c r="L80" i="99"/>
  <c r="L126" i="99"/>
  <c r="L233" i="99"/>
  <c r="L237" i="99"/>
  <c r="L258" i="99"/>
  <c r="L94" i="89"/>
  <c r="L110" i="89"/>
  <c r="L116" i="89"/>
  <c r="L132" i="89"/>
  <c r="L141" i="89"/>
  <c r="L169" i="89"/>
  <c r="L194" i="89"/>
  <c r="L196" i="89"/>
  <c r="L161" i="101"/>
  <c r="L9" i="100"/>
  <c r="P9" i="100" s="1"/>
  <c r="R9" i="100" s="1"/>
  <c r="L37" i="99"/>
  <c r="L57" i="99"/>
  <c r="L86" i="99"/>
  <c r="L194" i="99"/>
  <c r="L18" i="89"/>
  <c r="L37" i="89"/>
  <c r="L40" i="89"/>
  <c r="L79" i="89"/>
  <c r="L123" i="89"/>
  <c r="L146" i="89"/>
  <c r="L148" i="89"/>
  <c r="L213" i="89"/>
  <c r="L231" i="89"/>
  <c r="L235" i="89"/>
  <c r="L257" i="89"/>
  <c r="L119" i="101"/>
  <c r="L193" i="101"/>
  <c r="L140" i="100"/>
  <c r="P140" i="100" s="1"/>
  <c r="Q140" i="100" s="1"/>
  <c r="L164" i="100"/>
  <c r="P164" i="100" s="1"/>
  <c r="Q164" i="100" s="1"/>
  <c r="L192" i="100"/>
  <c r="P192" i="100" s="1"/>
  <c r="Q192" i="100" s="1"/>
  <c r="L228" i="100"/>
  <c r="P228" i="100" s="1"/>
  <c r="R228" i="100" s="1"/>
  <c r="L52" i="99"/>
  <c r="L76" i="99"/>
  <c r="L164" i="99"/>
  <c r="L197" i="99"/>
  <c r="L221" i="99"/>
  <c r="L12" i="89"/>
  <c r="L89" i="89"/>
  <c r="L90" i="89"/>
  <c r="L162" i="89"/>
  <c r="L164" i="89"/>
  <c r="L168" i="89"/>
  <c r="L179" i="89"/>
  <c r="L183" i="89"/>
  <c r="L185" i="89"/>
  <c r="L187" i="89"/>
  <c r="L216" i="89"/>
  <c r="L261" i="89"/>
  <c r="L168" i="101"/>
  <c r="L149" i="101"/>
  <c r="L181" i="101"/>
  <c r="L234" i="101"/>
  <c r="L81" i="100"/>
  <c r="P81" i="100" s="1"/>
  <c r="R81" i="100" s="1"/>
  <c r="L95" i="100"/>
  <c r="P95" i="100" s="1"/>
  <c r="R95" i="100" s="1"/>
  <c r="L99" i="100"/>
  <c r="P99" i="100" s="1"/>
  <c r="Q99" i="100" s="1"/>
  <c r="L110" i="100"/>
  <c r="P110" i="100" s="1"/>
  <c r="R110" i="100" s="1"/>
  <c r="L120" i="100"/>
  <c r="P120" i="100" s="1"/>
  <c r="Q120" i="100" s="1"/>
  <c r="L114" i="99"/>
  <c r="L128" i="99"/>
  <c r="L180" i="99"/>
  <c r="L259" i="99"/>
  <c r="L81" i="89"/>
  <c r="L100" i="89"/>
  <c r="L112" i="89"/>
  <c r="L113" i="89"/>
  <c r="L124" i="89"/>
  <c r="L156" i="89"/>
  <c r="L165" i="89"/>
  <c r="L182" i="89"/>
  <c r="L186" i="89"/>
  <c r="L258" i="89"/>
  <c r="L259" i="89"/>
  <c r="L122" i="102"/>
  <c r="L96" i="101"/>
  <c r="L233" i="101"/>
  <c r="L23" i="100"/>
  <c r="P23" i="100" s="1"/>
  <c r="Q23" i="100" s="1"/>
  <c r="L131" i="100"/>
  <c r="P131" i="100" s="1"/>
  <c r="R131" i="100" s="1"/>
  <c r="L149" i="100"/>
  <c r="P149" i="100" s="1"/>
  <c r="Q149" i="100" s="1"/>
  <c r="L157" i="100"/>
  <c r="P157" i="100" s="1"/>
  <c r="R157" i="100" s="1"/>
  <c r="L193" i="100"/>
  <c r="P193" i="100" s="1"/>
  <c r="Q193" i="100" s="1"/>
  <c r="L231" i="100"/>
  <c r="P231" i="100" s="1"/>
  <c r="R231" i="100" s="1"/>
  <c r="L13" i="100"/>
  <c r="P13" i="100" s="1"/>
  <c r="Q13" i="100" s="1"/>
  <c r="L112" i="100"/>
  <c r="P112" i="100" s="1"/>
  <c r="R112" i="100" s="1"/>
  <c r="L146" i="100"/>
  <c r="P146" i="100" s="1"/>
  <c r="Q146" i="100" s="1"/>
  <c r="L269" i="100"/>
  <c r="P269" i="100" s="1"/>
  <c r="R269" i="100" s="1"/>
  <c r="L22" i="99"/>
  <c r="L35" i="99"/>
  <c r="L89" i="99"/>
  <c r="L16" i="89"/>
  <c r="L131" i="89"/>
  <c r="L230" i="89"/>
  <c r="L180" i="100"/>
  <c r="P180" i="100" s="1"/>
  <c r="Q180" i="100" s="1"/>
  <c r="L214" i="100"/>
  <c r="P214" i="100" s="1"/>
  <c r="R214" i="100" s="1"/>
  <c r="L227" i="100"/>
  <c r="P227" i="100" s="1"/>
  <c r="R227" i="100" s="1"/>
  <c r="L261" i="100"/>
  <c r="P261" i="100" s="1"/>
  <c r="Q261" i="100" s="1"/>
  <c r="L88" i="99"/>
  <c r="L125" i="89"/>
  <c r="L189" i="89"/>
  <c r="L221" i="89"/>
  <c r="L29" i="100"/>
  <c r="P29" i="100" s="1"/>
  <c r="Q29" i="100" s="1"/>
  <c r="L103" i="100"/>
  <c r="P103" i="100" s="1"/>
  <c r="Q103" i="100" s="1"/>
  <c r="L123" i="100"/>
  <c r="P123" i="100" s="1"/>
  <c r="R123" i="100" s="1"/>
  <c r="L141" i="100"/>
  <c r="P141" i="100" s="1"/>
  <c r="Q141" i="100" s="1"/>
  <c r="L259" i="100"/>
  <c r="P259" i="100" s="1"/>
  <c r="R259" i="100" s="1"/>
  <c r="L41" i="99"/>
  <c r="L170" i="99"/>
  <c r="L173" i="99"/>
  <c r="L179" i="99"/>
  <c r="L38" i="89"/>
  <c r="L88" i="89"/>
  <c r="L122" i="89"/>
  <c r="L171" i="89"/>
  <c r="L59" i="100"/>
  <c r="P59" i="100" s="1"/>
  <c r="Q59" i="100" s="1"/>
  <c r="L103" i="89"/>
  <c r="L117" i="89"/>
  <c r="L188" i="89"/>
  <c r="L197" i="89"/>
  <c r="L260" i="89"/>
  <c r="L50" i="99"/>
  <c r="L17" i="89"/>
  <c r="L35" i="89"/>
  <c r="L22" i="100"/>
  <c r="P22" i="100" s="1"/>
  <c r="Q22" i="100" s="1"/>
  <c r="L258" i="100"/>
  <c r="P258" i="100" s="1"/>
  <c r="L30" i="99"/>
  <c r="L110" i="99"/>
  <c r="L196" i="99"/>
  <c r="L111" i="89"/>
  <c r="L133" i="89"/>
  <c r="L119" i="100"/>
  <c r="P119" i="100" s="1"/>
  <c r="Q119" i="100" s="1"/>
  <c r="L191" i="100"/>
  <c r="P191" i="100" s="1"/>
  <c r="Q191" i="100" s="1"/>
  <c r="L21" i="99"/>
  <c r="L126" i="89"/>
  <c r="L102" i="89"/>
  <c r="L105" i="89"/>
  <c r="L149" i="89"/>
  <c r="L230" i="101"/>
  <c r="L30" i="100"/>
  <c r="P30" i="100" s="1"/>
  <c r="Q30" i="100" s="1"/>
  <c r="L155" i="100"/>
  <c r="P155" i="100" s="1"/>
  <c r="Q155" i="100" s="1"/>
  <c r="L77" i="99"/>
  <c r="L235" i="99"/>
  <c r="L53" i="89"/>
  <c r="L95" i="89"/>
  <c r="L120" i="89"/>
  <c r="L162" i="99"/>
  <c r="L13" i="89"/>
  <c r="L78" i="89"/>
  <c r="L140" i="89"/>
  <c r="L157" i="89"/>
  <c r="L154" i="89"/>
  <c r="L87" i="99"/>
  <c r="L172" i="99"/>
  <c r="L77" i="89"/>
  <c r="L243" i="89"/>
  <c r="L21" i="100"/>
  <c r="P21" i="100" s="1"/>
  <c r="Q21" i="100" s="1"/>
  <c r="L115" i="89"/>
  <c r="L230" i="100"/>
  <c r="P230" i="100" s="1"/>
  <c r="Q230" i="100" s="1"/>
  <c r="L190" i="99"/>
  <c r="L92" i="99"/>
  <c r="L19" i="99"/>
  <c r="L99" i="89"/>
  <c r="L158" i="101"/>
  <c r="L101" i="89"/>
  <c r="L127" i="89"/>
  <c r="L121" i="99"/>
  <c r="L8" i="89"/>
  <c r="L50" i="89"/>
  <c r="L76" i="89"/>
  <c r="L8" i="3"/>
  <c r="L11" i="3"/>
  <c r="L24" i="3"/>
  <c r="L27" i="3"/>
  <c r="L37" i="3"/>
  <c r="L40" i="3"/>
  <c r="L43" i="3"/>
  <c r="L46" i="3"/>
  <c r="L56" i="3"/>
  <c r="L63" i="3"/>
  <c r="L66" i="3"/>
  <c r="L73" i="3"/>
  <c r="L76" i="3"/>
  <c r="L89" i="3"/>
  <c r="L92" i="3"/>
  <c r="L105" i="3"/>
  <c r="L108" i="3"/>
  <c r="L15" i="3"/>
  <c r="L18" i="3"/>
  <c r="L21" i="3"/>
  <c r="L31" i="3"/>
  <c r="L34" i="3"/>
  <c r="L53" i="3"/>
  <c r="L60" i="3"/>
  <c r="L70" i="3"/>
  <c r="L86" i="3"/>
  <c r="L102" i="3"/>
  <c r="L9" i="3"/>
  <c r="L12" i="3"/>
  <c r="L25" i="3"/>
  <c r="L28" i="3"/>
  <c r="L41" i="3"/>
  <c r="L44" i="3"/>
  <c r="L47" i="3"/>
  <c r="L50" i="3"/>
  <c r="L57" i="3"/>
  <c r="L67" i="3"/>
  <c r="L77" i="3"/>
  <c r="L80" i="3"/>
  <c r="L83" i="3"/>
  <c r="L93" i="3"/>
  <c r="L96" i="3"/>
  <c r="L99" i="3"/>
  <c r="L109" i="3"/>
  <c r="L112" i="3"/>
  <c r="L119" i="3"/>
  <c r="L122" i="3"/>
  <c r="L129" i="3"/>
  <c r="L139" i="3"/>
  <c r="L149" i="3"/>
  <c r="L17" i="3"/>
  <c r="L20" i="3"/>
  <c r="L33" i="3"/>
  <c r="L36" i="3"/>
  <c r="L62" i="3"/>
  <c r="L69" i="3"/>
  <c r="L72" i="3"/>
  <c r="L75" i="3"/>
  <c r="L85" i="3"/>
  <c r="L88" i="3"/>
  <c r="L91" i="3"/>
  <c r="L101" i="3"/>
  <c r="L104" i="3"/>
  <c r="L107" i="3"/>
  <c r="L10" i="3"/>
  <c r="L13" i="3"/>
  <c r="L14" i="3"/>
  <c r="L19" i="3"/>
  <c r="L22" i="3"/>
  <c r="L64" i="3"/>
  <c r="L84" i="3"/>
  <c r="L87" i="3"/>
  <c r="L110" i="3"/>
  <c r="L114" i="3"/>
  <c r="L123" i="3"/>
  <c r="L132" i="3"/>
  <c r="L133" i="3"/>
  <c r="L137" i="3"/>
  <c r="L146" i="3"/>
  <c r="L150" i="3"/>
  <c r="L32" i="3"/>
  <c r="L51" i="3"/>
  <c r="L52" i="3"/>
  <c r="L55" i="3"/>
  <c r="L61" i="3"/>
  <c r="L90" i="3"/>
  <c r="L128" i="3"/>
  <c r="L157" i="3"/>
  <c r="L23" i="3"/>
  <c r="L26" i="3"/>
  <c r="L29" i="3"/>
  <c r="L30" i="3"/>
  <c r="L58" i="3"/>
  <c r="L59" i="3"/>
  <c r="L65" i="3"/>
  <c r="L111" i="3"/>
  <c r="L115" i="3"/>
  <c r="L116" i="3"/>
  <c r="L120" i="3"/>
  <c r="L124" i="3"/>
  <c r="L142" i="3"/>
  <c r="L143" i="3"/>
  <c r="L151" i="3"/>
  <c r="L6" i="3"/>
  <c r="L140" i="3"/>
  <c r="L152" i="3"/>
  <c r="L167" i="3"/>
  <c r="L170" i="3"/>
  <c r="L183" i="3"/>
  <c r="L186" i="3"/>
  <c r="L199" i="3"/>
  <c r="L202" i="3"/>
  <c r="L215" i="3"/>
  <c r="L218" i="3"/>
  <c r="L225" i="3"/>
  <c r="L228" i="3"/>
  <c r="L241" i="3"/>
  <c r="L244" i="3"/>
  <c r="L263" i="3"/>
  <c r="L269" i="3"/>
  <c r="L272" i="3"/>
  <c r="L278" i="3"/>
  <c r="L281" i="3"/>
  <c r="L284" i="3"/>
  <c r="L290" i="3"/>
  <c r="L299" i="3"/>
  <c r="L327" i="3"/>
  <c r="L330" i="3"/>
  <c r="L343" i="3"/>
  <c r="L349" i="3"/>
  <c r="L352" i="3"/>
  <c r="L355" i="3"/>
  <c r="L358" i="3"/>
  <c r="L371" i="3"/>
  <c r="L374" i="3"/>
  <c r="L381" i="3"/>
  <c r="L384" i="3"/>
  <c r="L403" i="3"/>
  <c r="L406" i="3"/>
  <c r="L79" i="3"/>
  <c r="L81" i="3"/>
  <c r="L98" i="3"/>
  <c r="L106" i="3"/>
  <c r="L141" i="3"/>
  <c r="L153" i="3"/>
  <c r="L174" i="3"/>
  <c r="L285" i="3"/>
  <c r="L288" i="3"/>
  <c r="L315" i="3"/>
  <c r="L16" i="3"/>
  <c r="L68" i="3"/>
  <c r="L71" i="3"/>
  <c r="L74" i="3"/>
  <c r="L82" i="3"/>
  <c r="L94" i="3"/>
  <c r="L95" i="3"/>
  <c r="L113" i="3"/>
  <c r="L117" i="3"/>
  <c r="L161" i="3"/>
  <c r="L164" i="3"/>
  <c r="L177" i="3"/>
  <c r="L180" i="3"/>
  <c r="L193" i="3"/>
  <c r="L196" i="3"/>
  <c r="L209" i="3"/>
  <c r="L212" i="3"/>
  <c r="L222" i="3"/>
  <c r="L235" i="3"/>
  <c r="L238" i="3"/>
  <c r="L254" i="3"/>
  <c r="L257" i="3"/>
  <c r="L260" i="3"/>
  <c r="L266" i="3"/>
  <c r="L275" i="3"/>
  <c r="L303" i="3"/>
  <c r="L309" i="3"/>
  <c r="L312" i="3"/>
  <c r="L318" i="3"/>
  <c r="L321" i="3"/>
  <c r="L324" i="3"/>
  <c r="L340" i="3"/>
  <c r="L346" i="3"/>
  <c r="L365" i="3"/>
  <c r="L368" i="3"/>
  <c r="L388" i="3"/>
  <c r="L391" i="3"/>
  <c r="L394" i="3"/>
  <c r="L397" i="3"/>
  <c r="L400" i="3"/>
  <c r="L7" i="3"/>
  <c r="L78" i="3"/>
  <c r="L97" i="3"/>
  <c r="L103" i="3"/>
  <c r="L154" i="3"/>
  <c r="L158" i="3"/>
  <c r="L190" i="3"/>
  <c r="L203" i="3"/>
  <c r="L206" i="3"/>
  <c r="L219" i="3"/>
  <c r="L229" i="3"/>
  <c r="L232" i="3"/>
  <c r="L245" i="3"/>
  <c r="L248" i="3"/>
  <c r="L251" i="3"/>
  <c r="L279" i="3"/>
  <c r="L294" i="3"/>
  <c r="L297" i="3"/>
  <c r="L300" i="3"/>
  <c r="L306" i="3"/>
  <c r="L100" i="3"/>
  <c r="L144" i="3"/>
  <c r="L165" i="3"/>
  <c r="L168" i="3"/>
  <c r="L171" i="3"/>
  <c r="L181" i="3"/>
  <c r="L184" i="3"/>
  <c r="L187" i="3"/>
  <c r="L197" i="3"/>
  <c r="L200" i="3"/>
  <c r="L213" i="3"/>
  <c r="L216" i="3"/>
  <c r="L223" i="3"/>
  <c r="L226" i="3"/>
  <c r="L236" i="3"/>
  <c r="L239" i="3"/>
  <c r="L242" i="3"/>
  <c r="L255" i="3"/>
  <c r="L261" i="3"/>
  <c r="L264" i="3"/>
  <c r="L270" i="3"/>
  <c r="L273" i="3"/>
  <c r="L276" i="3"/>
  <c r="L282" i="3"/>
  <c r="L291" i="3"/>
  <c r="L319" i="3"/>
  <c r="L325" i="3"/>
  <c r="L328" i="3"/>
  <c r="L331" i="3"/>
  <c r="L341" i="3"/>
  <c r="L344" i="3"/>
  <c r="L350" i="3"/>
  <c r="L353" i="3"/>
  <c r="L356" i="3"/>
  <c r="L369" i="3"/>
  <c r="L382" i="3"/>
  <c r="L401" i="3"/>
  <c r="L39" i="3"/>
  <c r="L42" i="3"/>
  <c r="L45" i="3"/>
  <c r="L48" i="3"/>
  <c r="L54" i="3"/>
  <c r="L131" i="3"/>
  <c r="L135" i="3"/>
  <c r="L136" i="3"/>
  <c r="L138" i="3"/>
  <c r="L148" i="3"/>
  <c r="L166" i="3"/>
  <c r="L182" i="3"/>
  <c r="L198" i="3"/>
  <c r="L214" i="3"/>
  <c r="L221" i="3"/>
  <c r="L224" i="3"/>
  <c r="L227" i="3"/>
  <c r="L237" i="3"/>
  <c r="L240" i="3"/>
  <c r="L243" i="3"/>
  <c r="L253" i="3"/>
  <c r="L256" i="3"/>
  <c r="L262" i="3"/>
  <c r="L265" i="3"/>
  <c r="L268" i="3"/>
  <c r="L274" i="3"/>
  <c r="L283" i="3"/>
  <c r="L311" i="3"/>
  <c r="L317" i="3"/>
  <c r="L320" i="3"/>
  <c r="L326" i="3"/>
  <c r="L342" i="3"/>
  <c r="L345" i="3"/>
  <c r="L348" i="3"/>
  <c r="L354" i="3"/>
  <c r="L364" i="3"/>
  <c r="L367" i="3"/>
  <c r="L370" i="3"/>
  <c r="L380" i="3"/>
  <c r="L393" i="3"/>
  <c r="L396" i="3"/>
  <c r="L399" i="3"/>
  <c r="L402" i="3"/>
  <c r="L125" i="3"/>
  <c r="L134" i="3"/>
  <c r="L201" i="3"/>
  <c r="L217" i="3"/>
  <c r="L258" i="3"/>
  <c r="L259" i="3"/>
  <c r="L301" i="3"/>
  <c r="L302" i="3"/>
  <c r="L316" i="3"/>
  <c r="L359" i="3"/>
  <c r="L362" i="3"/>
  <c r="L363" i="3"/>
  <c r="L366" i="3"/>
  <c r="L385" i="3"/>
  <c r="L405" i="3"/>
  <c r="L379" i="3"/>
  <c r="L247" i="3"/>
  <c r="L286" i="3"/>
  <c r="L293" i="3"/>
  <c r="L308" i="3"/>
  <c r="L329" i="3"/>
  <c r="L334" i="3"/>
  <c r="L336" i="3"/>
  <c r="L338" i="3"/>
  <c r="L376" i="3"/>
  <c r="L377" i="3"/>
  <c r="L392" i="3"/>
  <c r="L398" i="3"/>
  <c r="L204" i="3"/>
  <c r="L277" i="3"/>
  <c r="L304" i="3"/>
  <c r="L305" i="3"/>
  <c r="L323" i="3"/>
  <c r="L333" i="3"/>
  <c r="L49" i="3"/>
  <c r="L126" i="3"/>
  <c r="L127" i="3"/>
  <c r="L145" i="3"/>
  <c r="L159" i="3"/>
  <c r="L160" i="3"/>
  <c r="L178" i="3"/>
  <c r="L404" i="3"/>
  <c r="L38" i="3"/>
  <c r="L121" i="3"/>
  <c r="L155" i="3"/>
  <c r="L156" i="3"/>
  <c r="L347" i="3"/>
  <c r="L360" i="3"/>
  <c r="L361" i="3"/>
  <c r="L386" i="3"/>
  <c r="L387" i="3"/>
  <c r="L407" i="3"/>
  <c r="L410" i="3"/>
  <c r="L419" i="3"/>
  <c r="L420" i="3"/>
  <c r="L375" i="3"/>
  <c r="L147" i="3"/>
  <c r="L192" i="3"/>
  <c r="L207" i="3"/>
  <c r="L208" i="3"/>
  <c r="L246" i="3"/>
  <c r="L267" i="3"/>
  <c r="L292" i="3"/>
  <c r="L188" i="3"/>
  <c r="L189" i="3"/>
  <c r="L205" i="3"/>
  <c r="L220" i="3"/>
  <c r="L271" i="3"/>
  <c r="L322" i="3"/>
  <c r="L332" i="3"/>
  <c r="L169" i="3"/>
  <c r="L175" i="3"/>
  <c r="L176" i="3"/>
  <c r="L194" i="3"/>
  <c r="L195" i="3"/>
  <c r="L210" i="3"/>
  <c r="L211" i="3"/>
  <c r="L252" i="3"/>
  <c r="L298" i="3"/>
  <c r="L313" i="3"/>
  <c r="L314" i="3"/>
  <c r="L372" i="3"/>
  <c r="L408" i="3"/>
  <c r="L409" i="3"/>
  <c r="L413" i="3"/>
  <c r="L416" i="3"/>
  <c r="L417" i="3"/>
  <c r="L418" i="3"/>
  <c r="L421" i="3"/>
  <c r="L35" i="3"/>
  <c r="L162" i="3"/>
  <c r="L230" i="3"/>
  <c r="L337" i="3"/>
  <c r="L378" i="3"/>
  <c r="L118" i="3"/>
  <c r="L191" i="3"/>
  <c r="L287" i="3"/>
  <c r="L307" i="3"/>
  <c r="L335" i="3"/>
  <c r="L383" i="3"/>
  <c r="L389" i="3"/>
  <c r="L130" i="3"/>
  <c r="L172" i="3"/>
  <c r="L173" i="3"/>
  <c r="L233" i="3"/>
  <c r="L234" i="3"/>
  <c r="L249" i="3"/>
  <c r="L250" i="3"/>
  <c r="L295" i="3"/>
  <c r="L296" i="3"/>
  <c r="L310" i="3"/>
  <c r="L373" i="3"/>
  <c r="L411" i="3"/>
  <c r="L412" i="3"/>
  <c r="L414" i="3"/>
  <c r="L415" i="3"/>
  <c r="L163" i="3"/>
  <c r="L231" i="3"/>
  <c r="L289" i="3"/>
  <c r="L351" i="3"/>
  <c r="L185" i="3"/>
  <c r="L280" i="3"/>
  <c r="L339" i="3"/>
  <c r="L395" i="3"/>
  <c r="L179" i="3"/>
  <c r="L357" i="3"/>
  <c r="L390" i="3"/>
  <c r="C17" i="51"/>
  <c r="G16" i="63"/>
  <c r="C68" i="15"/>
  <c r="C38" i="15"/>
  <c r="C34" i="74"/>
  <c r="D34" i="74"/>
  <c r="D16" i="51"/>
  <c r="D25" i="74"/>
  <c r="E16" i="51"/>
  <c r="N16" i="72"/>
  <c r="G16" i="72" s="1"/>
  <c r="G13" i="74" s="1"/>
  <c r="G16" i="74" s="1"/>
  <c r="J20" i="72"/>
  <c r="J16" i="72"/>
  <c r="M16" i="72" s="1"/>
  <c r="O16" i="72" s="1"/>
  <c r="H16" i="72" s="1"/>
  <c r="H13" i="74" s="1"/>
  <c r="H15" i="74" s="1"/>
  <c r="J19" i="72"/>
  <c r="M19" i="72" s="1"/>
  <c r="N19" i="72" s="1"/>
  <c r="G19" i="72" s="1"/>
  <c r="M14" i="72"/>
  <c r="J18" i="72"/>
  <c r="M18" i="72" s="1"/>
  <c r="N18" i="72" s="1"/>
  <c r="G18" i="72" s="1"/>
  <c r="J23" i="72"/>
  <c r="M23" i="72" s="1"/>
  <c r="J15" i="72"/>
  <c r="M15" i="72" s="1"/>
  <c r="N15" i="72" s="1"/>
  <c r="G15" i="72" s="1"/>
  <c r="G6" i="74" s="1"/>
  <c r="G8" i="74" s="1"/>
  <c r="J17" i="72"/>
  <c r="M17" i="72" s="1"/>
  <c r="N17" i="72" s="1"/>
  <c r="G17" i="72" s="1"/>
  <c r="C36" i="51"/>
  <c r="J14" i="62"/>
  <c r="F16" i="63"/>
  <c r="B16" i="63"/>
  <c r="J16" i="63"/>
  <c r="C16" i="63"/>
  <c r="D16" i="63"/>
  <c r="E16" i="63"/>
  <c r="B14" i="62"/>
  <c r="I16" i="63"/>
  <c r="H16" i="63"/>
  <c r="F227" i="84"/>
  <c r="O356" i="104"/>
  <c r="AB6" i="104" s="1"/>
  <c r="F436" i="83"/>
  <c r="G227" i="84"/>
  <c r="M436" i="83"/>
  <c r="J11" i="109"/>
  <c r="D33" i="37"/>
  <c r="H22" i="69"/>
  <c r="H32" i="69"/>
  <c r="H27" i="69"/>
  <c r="I27" i="69"/>
  <c r="X7" i="50"/>
  <c r="G26" i="69"/>
  <c r="D20" i="56"/>
  <c r="D35" i="56" s="1"/>
  <c r="D12" i="59" s="1"/>
  <c r="D36" i="59" s="1"/>
  <c r="D43" i="59" s="1"/>
  <c r="D31" i="63" s="1"/>
  <c r="G27" i="69"/>
  <c r="D36" i="56"/>
  <c r="D13" i="59" s="1"/>
  <c r="G21" i="69"/>
  <c r="H33" i="69"/>
  <c r="H23" i="63"/>
  <c r="D23" i="63"/>
  <c r="G23" i="63"/>
  <c r="E23" i="63"/>
  <c r="G22" i="69"/>
  <c r="I33" i="69"/>
  <c r="F353" i="2"/>
  <c r="F352" i="2"/>
  <c r="I22" i="69"/>
  <c r="F23" i="63"/>
  <c r="D15" i="74"/>
  <c r="C15" i="74"/>
  <c r="B15" i="74"/>
  <c r="B16" i="74"/>
  <c r="B30" i="74" s="1"/>
  <c r="C16" i="74"/>
  <c r="C30" i="74" s="1"/>
  <c r="D16" i="74"/>
  <c r="D30" i="74" s="1"/>
  <c r="C8" i="74"/>
  <c r="B8" i="74"/>
  <c r="D8" i="74"/>
  <c r="D10" i="74"/>
  <c r="D31" i="74" s="1"/>
  <c r="B10" i="74"/>
  <c r="B31" i="74" s="1"/>
  <c r="C10" i="74"/>
  <c r="C31" i="74" s="1"/>
  <c r="H20" i="69"/>
  <c r="I34" i="69"/>
  <c r="G28" i="69"/>
  <c r="G20" i="69"/>
  <c r="H21" i="69"/>
  <c r="I21" i="69"/>
  <c r="I32" i="69"/>
  <c r="H28" i="69"/>
  <c r="H26" i="69"/>
  <c r="I26" i="69"/>
  <c r="G34" i="69"/>
  <c r="W7" i="50"/>
  <c r="I28" i="69"/>
  <c r="G33" i="69"/>
  <c r="I20" i="69"/>
  <c r="Y7" i="50"/>
  <c r="G32" i="69"/>
  <c r="H34" i="69"/>
  <c r="B22" i="80"/>
  <c r="C26" i="69"/>
  <c r="B50" i="80"/>
  <c r="D22" i="80"/>
  <c r="D50" i="80"/>
  <c r="C22" i="80"/>
  <c r="B26" i="69"/>
  <c r="D32" i="69"/>
  <c r="B32" i="69"/>
  <c r="V7" i="99"/>
  <c r="F26" i="69"/>
  <c r="B28" i="68"/>
  <c r="C29" i="68" s="1"/>
  <c r="C33" i="69"/>
  <c r="P279" i="99"/>
  <c r="C42" i="79"/>
  <c r="G49" i="80"/>
  <c r="C22" i="69"/>
  <c r="F22" i="69"/>
  <c r="T356" i="98"/>
  <c r="U356" i="98"/>
  <c r="S356" i="98"/>
  <c r="H22" i="80"/>
  <c r="G22" i="80"/>
  <c r="F50" i="80"/>
  <c r="E22" i="80"/>
  <c r="H50" i="80"/>
  <c r="G50" i="80"/>
  <c r="D42" i="79"/>
  <c r="D22" i="69"/>
  <c r="F22" i="80"/>
  <c r="C50" i="80"/>
  <c r="I50" i="80"/>
  <c r="E22" i="69"/>
  <c r="E50" i="80"/>
  <c r="D39" i="79"/>
  <c r="I22" i="80"/>
  <c r="E28" i="68"/>
  <c r="Y3" i="98"/>
  <c r="W3" i="98"/>
  <c r="C20" i="69"/>
  <c r="F33" i="69"/>
  <c r="D9" i="61"/>
  <c r="D10" i="61" s="1"/>
  <c r="C28" i="61"/>
  <c r="T3" i="104"/>
  <c r="U3" i="104"/>
  <c r="S3" i="104"/>
  <c r="C27" i="69"/>
  <c r="E32" i="69"/>
  <c r="D26" i="69"/>
  <c r="F32" i="69"/>
  <c r="D28" i="69"/>
  <c r="E33" i="69"/>
  <c r="K3" i="104"/>
  <c r="K3" i="107"/>
  <c r="K3" i="106"/>
  <c r="K3" i="105"/>
  <c r="O3" i="105" s="1"/>
  <c r="K3" i="108"/>
  <c r="K3" i="98"/>
  <c r="E42" i="79"/>
  <c r="V7" i="50"/>
  <c r="E34" i="69"/>
  <c r="F23" i="60"/>
  <c r="F35" i="60" s="1"/>
  <c r="F9" i="62" s="1"/>
  <c r="F12" i="62" s="1"/>
  <c r="F27" i="60"/>
  <c r="F39" i="60" s="1"/>
  <c r="L4" i="99"/>
  <c r="L4" i="103"/>
  <c r="L4" i="100"/>
  <c r="P4" i="100" s="1"/>
  <c r="L4" i="89"/>
  <c r="L4" i="101"/>
  <c r="L4" i="102"/>
  <c r="B19" i="68"/>
  <c r="E20" i="68" s="1"/>
  <c r="H21" i="80"/>
  <c r="D27" i="69"/>
  <c r="B33" i="69"/>
  <c r="F27" i="69"/>
  <c r="D20" i="69"/>
  <c r="I51" i="80"/>
  <c r="D33" i="69"/>
  <c r="E27" i="69"/>
  <c r="D49" i="80"/>
  <c r="B27" i="69"/>
  <c r="F21" i="80"/>
  <c r="J16" i="20"/>
  <c r="J8" i="20"/>
  <c r="F47" i="78"/>
  <c r="G27" i="51" s="1"/>
  <c r="F38" i="75"/>
  <c r="G16" i="50" s="1"/>
  <c r="G26" i="50" s="1"/>
  <c r="D39" i="64"/>
  <c r="E14" i="50" s="1"/>
  <c r="D17" i="51"/>
  <c r="C12" i="81"/>
  <c r="U6" i="50"/>
  <c r="D24" i="71"/>
  <c r="J3" i="84"/>
  <c r="F25" i="51"/>
  <c r="D21" i="80"/>
  <c r="E19" i="61"/>
  <c r="E20" i="61" s="1"/>
  <c r="E23" i="80"/>
  <c r="I49" i="80"/>
  <c r="E21" i="69"/>
  <c r="G21" i="80"/>
  <c r="H49" i="80"/>
  <c r="F25" i="75"/>
  <c r="F27" i="75" s="1"/>
  <c r="E25" i="51"/>
  <c r="B21" i="69"/>
  <c r="H51" i="80"/>
  <c r="U7" i="50"/>
  <c r="C23" i="80"/>
  <c r="H23" i="80"/>
  <c r="E26" i="69"/>
  <c r="F34" i="71"/>
  <c r="F51" i="80"/>
  <c r="V6" i="50"/>
  <c r="G51" i="80"/>
  <c r="D21" i="69"/>
  <c r="I23" i="80"/>
  <c r="C51" i="80"/>
  <c r="B23" i="80"/>
  <c r="E25" i="61"/>
  <c r="D25" i="61"/>
  <c r="F13" i="78"/>
  <c r="D14" i="77"/>
  <c r="D51" i="80"/>
  <c r="E51" i="80"/>
  <c r="F23" i="80"/>
  <c r="J422" i="3"/>
  <c r="T6" i="50"/>
  <c r="I348" i="2"/>
  <c r="W6" i="50"/>
  <c r="D23" i="80"/>
  <c r="C32" i="69"/>
  <c r="G34" i="59"/>
  <c r="B51" i="80"/>
  <c r="F21" i="69"/>
  <c r="G23" i="80"/>
  <c r="D9" i="50"/>
  <c r="D40" i="50" s="1"/>
  <c r="G25" i="50"/>
  <c r="B34" i="69"/>
  <c r="C28" i="69"/>
  <c r="C34" i="69"/>
  <c r="G24" i="71"/>
  <c r="H44" i="80"/>
  <c r="D25" i="75"/>
  <c r="D27" i="75" s="1"/>
  <c r="F30" i="60"/>
  <c r="F42" i="60" s="1"/>
  <c r="I21" i="80"/>
  <c r="F35" i="78"/>
  <c r="F26" i="60"/>
  <c r="F38" i="60" s="1"/>
  <c r="F15" i="62" s="1"/>
  <c r="B28" i="69"/>
  <c r="D34" i="69"/>
  <c r="F25" i="60"/>
  <c r="F37" i="60" s="1"/>
  <c r="F27" i="62" s="1"/>
  <c r="E28" i="69"/>
  <c r="I35" i="78"/>
  <c r="F34" i="69"/>
  <c r="I422" i="3"/>
  <c r="E28" i="60"/>
  <c r="E40" i="60" s="1"/>
  <c r="H26" i="60"/>
  <c r="H38" i="60" s="1"/>
  <c r="H15" i="62" s="1"/>
  <c r="E21" i="60"/>
  <c r="E33" i="60" s="1"/>
  <c r="G23" i="60"/>
  <c r="G35" i="60" s="1"/>
  <c r="G9" i="62" s="1"/>
  <c r="G13" i="62" s="1"/>
  <c r="D27" i="60"/>
  <c r="D39" i="60" s="1"/>
  <c r="G28" i="60"/>
  <c r="G40" i="60" s="1"/>
  <c r="E27" i="60"/>
  <c r="E39" i="60" s="1"/>
  <c r="E26" i="60"/>
  <c r="E38" i="60" s="1"/>
  <c r="E15" i="62" s="1"/>
  <c r="E24" i="60"/>
  <c r="E36" i="60" s="1"/>
  <c r="F29" i="60"/>
  <c r="F24" i="60"/>
  <c r="F36" i="60" s="1"/>
  <c r="E23" i="60"/>
  <c r="E35" i="60" s="1"/>
  <c r="E9" i="62" s="1"/>
  <c r="E13" i="62" s="1"/>
  <c r="G25" i="60"/>
  <c r="G37" i="60" s="1"/>
  <c r="G27" i="62" s="1"/>
  <c r="F28" i="60"/>
  <c r="F40" i="60" s="1"/>
  <c r="E22" i="60"/>
  <c r="E34" i="60" s="1"/>
  <c r="E3" i="62" s="1"/>
  <c r="G26" i="60"/>
  <c r="G38" i="60" s="1"/>
  <c r="G15" i="62" s="1"/>
  <c r="F21" i="60"/>
  <c r="F33" i="60" s="1"/>
  <c r="E25" i="60"/>
  <c r="E37" i="60" s="1"/>
  <c r="E27" i="62" s="1"/>
  <c r="E30" i="60"/>
  <c r="E42" i="60" s="1"/>
  <c r="H11" i="56"/>
  <c r="H36" i="56"/>
  <c r="H13" i="59" s="1"/>
  <c r="D24" i="61"/>
  <c r="E24" i="61"/>
  <c r="B28" i="61"/>
  <c r="D19" i="79"/>
  <c r="D41" i="79" s="1"/>
  <c r="J11" i="112"/>
  <c r="J11" i="113"/>
  <c r="J11" i="111"/>
  <c r="J11" i="110"/>
  <c r="C35" i="56"/>
  <c r="C24" i="71"/>
  <c r="C19" i="61"/>
  <c r="C20" i="61" s="1"/>
  <c r="H47" i="78"/>
  <c r="I27" i="51" s="1"/>
  <c r="G6" i="51"/>
  <c r="F39" i="64"/>
  <c r="G14" i="50" s="1"/>
  <c r="G5" i="83"/>
  <c r="H13" i="109"/>
  <c r="H13" i="113"/>
  <c r="H13" i="111"/>
  <c r="H13" i="110"/>
  <c r="H13" i="112"/>
  <c r="E10" i="61"/>
  <c r="C10" i="61"/>
  <c r="K422" i="3"/>
  <c r="K9" i="20"/>
  <c r="J12" i="112"/>
  <c r="J12" i="113"/>
  <c r="J12" i="111"/>
  <c r="J12" i="110"/>
  <c r="J12" i="109"/>
  <c r="F49" i="80"/>
  <c r="E24" i="71"/>
  <c r="G25" i="51"/>
  <c r="E20" i="69"/>
  <c r="L17" i="20"/>
  <c r="E35" i="78"/>
  <c r="F24" i="71"/>
  <c r="I12" i="109"/>
  <c r="I12" i="111"/>
  <c r="I12" i="112"/>
  <c r="I12" i="113"/>
  <c r="I12" i="110"/>
  <c r="F20" i="69"/>
  <c r="B20" i="69"/>
  <c r="F34" i="59"/>
  <c r="C39" i="79"/>
  <c r="C49" i="80"/>
  <c r="B21" i="80"/>
  <c r="B49" i="80"/>
  <c r="E49" i="80"/>
  <c r="C21" i="80"/>
  <c r="D14" i="61"/>
  <c r="D19" i="61" s="1"/>
  <c r="D20" i="61" s="1"/>
  <c r="H6" i="63"/>
  <c r="H27" i="60"/>
  <c r="H39" i="60" s="1"/>
  <c r="H23" i="60"/>
  <c r="H35" i="60" s="1"/>
  <c r="H9" i="62" s="1"/>
  <c r="H12" i="62" s="1"/>
  <c r="G22" i="60"/>
  <c r="G34" i="60" s="1"/>
  <c r="G3" i="62" s="1"/>
  <c r="H24" i="60"/>
  <c r="H36" i="60" s="1"/>
  <c r="H29" i="60"/>
  <c r="G29" i="60"/>
  <c r="H25" i="60"/>
  <c r="H37" i="60" s="1"/>
  <c r="H27" i="62" s="1"/>
  <c r="H30" i="60"/>
  <c r="H42" i="60" s="1"/>
  <c r="H28" i="60"/>
  <c r="H40" i="60" s="1"/>
  <c r="G21" i="60"/>
  <c r="G33" i="60" s="1"/>
  <c r="G21" i="62" s="1"/>
  <c r="G30" i="60"/>
  <c r="G42" i="60" s="1"/>
  <c r="H21" i="60"/>
  <c r="H33" i="60" s="1"/>
  <c r="G27" i="60"/>
  <c r="G39" i="60" s="1"/>
  <c r="F34" i="60"/>
  <c r="F3" i="62" s="1"/>
  <c r="D21" i="60"/>
  <c r="D33" i="60" s="1"/>
  <c r="D21" i="62" s="1"/>
  <c r="D26" i="60"/>
  <c r="D38" i="60" s="1"/>
  <c r="D15" i="62" s="1"/>
  <c r="D30" i="60"/>
  <c r="D42" i="60" s="1"/>
  <c r="D22" i="60"/>
  <c r="D34" i="60" s="1"/>
  <c r="D3" i="62" s="1"/>
  <c r="D23" i="60"/>
  <c r="D35" i="60" s="1"/>
  <c r="D9" i="62" s="1"/>
  <c r="D29" i="60"/>
  <c r="D28" i="60"/>
  <c r="D40" i="60" s="1"/>
  <c r="D25" i="60"/>
  <c r="D37" i="60" s="1"/>
  <c r="D27" i="62" s="1"/>
  <c r="E34" i="59"/>
  <c r="H42" i="59"/>
  <c r="H34" i="59"/>
  <c r="G36" i="56"/>
  <c r="G13" i="59" s="1"/>
  <c r="G11" i="56"/>
  <c r="C22" i="109"/>
  <c r="J7" i="20"/>
  <c r="C23" i="7"/>
  <c r="D22" i="110" s="1"/>
  <c r="F14" i="77"/>
  <c r="F25" i="77"/>
  <c r="F27" i="77" s="1"/>
  <c r="F6" i="63"/>
  <c r="E40" i="79"/>
  <c r="C30" i="80"/>
  <c r="B30" i="80"/>
  <c r="D30" i="80"/>
  <c r="I30" i="80"/>
  <c r="H30" i="80"/>
  <c r="F30" i="80"/>
  <c r="E30" i="80"/>
  <c r="G30" i="80"/>
  <c r="J6" i="20"/>
  <c r="D29" i="79"/>
  <c r="B29" i="80" s="1"/>
  <c r="C19" i="79"/>
  <c r="C41" i="79" s="1"/>
  <c r="F6" i="80"/>
  <c r="F9" i="80" s="1"/>
  <c r="F40" i="78"/>
  <c r="D35" i="78"/>
  <c r="D38" i="78"/>
  <c r="C29" i="79"/>
  <c r="E28" i="80" s="1"/>
  <c r="H35" i="78"/>
  <c r="H348" i="2"/>
  <c r="F11" i="72"/>
  <c r="F29" i="72"/>
  <c r="E6" i="63"/>
  <c r="J14" i="20"/>
  <c r="D34" i="59"/>
  <c r="D42" i="59"/>
  <c r="H36" i="59"/>
  <c r="G35" i="78"/>
  <c r="F11" i="56"/>
  <c r="F36" i="56"/>
  <c r="F13" i="59" s="1"/>
  <c r="F49" i="59"/>
  <c r="G24" i="51" s="1"/>
  <c r="E39" i="64"/>
  <c r="F14" i="50" s="1"/>
  <c r="L3" i="2"/>
  <c r="I12" i="37"/>
  <c r="J12" i="37"/>
  <c r="H13" i="37"/>
  <c r="H5" i="84"/>
  <c r="I5" i="84"/>
  <c r="H3" i="83"/>
  <c r="I3" i="83"/>
  <c r="E15" i="51"/>
  <c r="I25" i="51"/>
  <c r="H25" i="51"/>
  <c r="J348" i="2"/>
  <c r="M3" i="3"/>
  <c r="L5" i="3"/>
  <c r="J11" i="37"/>
  <c r="I36" i="64"/>
  <c r="D46" i="78"/>
  <c r="D47" i="78" s="1"/>
  <c r="E27" i="51" s="1"/>
  <c r="D13" i="78"/>
  <c r="H35" i="75"/>
  <c r="H25" i="75"/>
  <c r="H27" i="75" s="1"/>
  <c r="E36" i="56"/>
  <c r="E13" i="59" s="1"/>
  <c r="E11" i="56"/>
  <c r="G6" i="80"/>
  <c r="G9" i="80" s="1"/>
  <c r="G40" i="78"/>
  <c r="H17" i="51" s="1"/>
  <c r="D38" i="75"/>
  <c r="E16" i="50" s="1"/>
  <c r="C34" i="71"/>
  <c r="D25" i="50"/>
  <c r="D6" i="51"/>
  <c r="H39" i="64"/>
  <c r="I25" i="75"/>
  <c r="I27" i="75" s="1"/>
  <c r="D16" i="79"/>
  <c r="E37" i="59"/>
  <c r="E48" i="59" s="1"/>
  <c r="E49" i="59" s="1"/>
  <c r="F24" i="51" s="1"/>
  <c r="I47" i="78"/>
  <c r="J27" i="51" s="1"/>
  <c r="I6" i="80"/>
  <c r="K348" i="2"/>
  <c r="G39" i="64"/>
  <c r="E25" i="75"/>
  <c r="E27" i="75" s="1"/>
  <c r="E36" i="75"/>
  <c r="G8" i="72"/>
  <c r="G32" i="71"/>
  <c r="H6" i="51" s="1"/>
  <c r="C16" i="79"/>
  <c r="I38" i="75"/>
  <c r="I11" i="78"/>
  <c r="G36" i="75"/>
  <c r="G25" i="75"/>
  <c r="G27" i="75" s="1"/>
  <c r="E12" i="59"/>
  <c r="E36" i="59" s="1"/>
  <c r="E43" i="59" s="1"/>
  <c r="E31" i="63" s="1"/>
  <c r="D34" i="71"/>
  <c r="E25" i="50"/>
  <c r="E6" i="51"/>
  <c r="G25" i="77"/>
  <c r="G27" i="77" s="1"/>
  <c r="G14" i="77"/>
  <c r="F44" i="80"/>
  <c r="B44" i="80"/>
  <c r="E44" i="80"/>
  <c r="C44" i="80"/>
  <c r="D44" i="80"/>
  <c r="E34" i="71"/>
  <c r="F25" i="50"/>
  <c r="F6" i="51"/>
  <c r="E24" i="56"/>
  <c r="E26" i="56" s="1"/>
  <c r="H25" i="77"/>
  <c r="H27" i="77" s="1"/>
  <c r="H14" i="77"/>
  <c r="I25" i="77"/>
  <c r="I27" i="77" s="1"/>
  <c r="I14" i="77"/>
  <c r="B12" i="79"/>
  <c r="D13" i="79" s="1"/>
  <c r="E25" i="77"/>
  <c r="E27" i="77" s="1"/>
  <c r="E14" i="77"/>
  <c r="I44" i="80"/>
  <c r="E40" i="78"/>
  <c r="E6" i="80"/>
  <c r="E9" i="80" s="1"/>
  <c r="E25" i="72"/>
  <c r="E14" i="72" s="1"/>
  <c r="E11" i="72"/>
  <c r="G20" i="56" l="1"/>
  <c r="G46" i="57"/>
  <c r="F20" i="56"/>
  <c r="F46" i="57"/>
  <c r="M20" i="72"/>
  <c r="N20" i="72" s="1"/>
  <c r="G20" i="72" s="1"/>
  <c r="G20" i="74" s="1"/>
  <c r="C46" i="78"/>
  <c r="C47" i="78" s="1"/>
  <c r="C13" i="78"/>
  <c r="D16" i="50"/>
  <c r="D26" i="50" s="1"/>
  <c r="C40" i="75"/>
  <c r="D7" i="51"/>
  <c r="D37" i="51" s="1"/>
  <c r="C16" i="50"/>
  <c r="C26" i="50" s="1"/>
  <c r="B40" i="75"/>
  <c r="C7" i="51"/>
  <c r="C37" i="51" s="1"/>
  <c r="B46" i="78"/>
  <c r="B47" i="78" s="1"/>
  <c r="B13" i="78"/>
  <c r="Y234" i="106"/>
  <c r="Y241" i="104"/>
  <c r="W220" i="106"/>
  <c r="Y207" i="106"/>
  <c r="Y303" i="104"/>
  <c r="Y306" i="106"/>
  <c r="Y288" i="106"/>
  <c r="Y223" i="106"/>
  <c r="W173" i="104"/>
  <c r="Y55" i="106"/>
  <c r="Y338" i="106"/>
  <c r="Y271" i="106"/>
  <c r="W175" i="104"/>
  <c r="Y324" i="106"/>
  <c r="Y326" i="106"/>
  <c r="Y289" i="106"/>
  <c r="Y227" i="104"/>
  <c r="Y290" i="106"/>
  <c r="W163" i="106"/>
  <c r="Y30" i="104"/>
  <c r="Y46" i="106"/>
  <c r="Y318" i="106"/>
  <c r="Y327" i="106"/>
  <c r="S246" i="107"/>
  <c r="W246" i="107" s="1"/>
  <c r="T246" i="107"/>
  <c r="Y246" i="107" s="1"/>
  <c r="U246" i="107"/>
  <c r="X246" i="107" s="1"/>
  <c r="U327" i="107"/>
  <c r="S327" i="107"/>
  <c r="W327" i="107" s="1"/>
  <c r="T327" i="107"/>
  <c r="T333" i="107"/>
  <c r="S333" i="107"/>
  <c r="W333" i="107" s="1"/>
  <c r="U333" i="107"/>
  <c r="S169" i="107"/>
  <c r="T169" i="107"/>
  <c r="U169" i="107"/>
  <c r="U200" i="105"/>
  <c r="T200" i="105"/>
  <c r="S200" i="105"/>
  <c r="T210" i="107"/>
  <c r="S210" i="107"/>
  <c r="W210" i="107" s="1"/>
  <c r="U210" i="107"/>
  <c r="T336" i="107"/>
  <c r="S336" i="107"/>
  <c r="W336" i="107" s="1"/>
  <c r="U336" i="107"/>
  <c r="T247" i="107"/>
  <c r="Y247" i="107" s="1"/>
  <c r="S247" i="107"/>
  <c r="W247" i="107" s="1"/>
  <c r="U247" i="107"/>
  <c r="X247" i="107" s="1"/>
  <c r="T42" i="107"/>
  <c r="Y42" i="107" s="1"/>
  <c r="U42" i="107"/>
  <c r="S42" i="107"/>
  <c r="W42" i="107" s="1"/>
  <c r="V42" i="107"/>
  <c r="S28" i="105"/>
  <c r="W28" i="105" s="1"/>
  <c r="T28" i="105"/>
  <c r="U28" i="105"/>
  <c r="T56" i="107"/>
  <c r="Y56" i="107" s="1"/>
  <c r="S56" i="107"/>
  <c r="W56" i="107" s="1"/>
  <c r="U56" i="107"/>
  <c r="X56" i="107" s="1"/>
  <c r="T308" i="105"/>
  <c r="S308" i="105"/>
  <c r="W308" i="105" s="1"/>
  <c r="U308" i="105"/>
  <c r="T76" i="105"/>
  <c r="S76" i="105"/>
  <c r="U76" i="105"/>
  <c r="T281" i="105"/>
  <c r="Y281" i="105" s="1"/>
  <c r="S281" i="105"/>
  <c r="W281" i="105" s="1"/>
  <c r="U281" i="105"/>
  <c r="X281" i="105" s="1"/>
  <c r="S251" i="105"/>
  <c r="W251" i="105" s="1"/>
  <c r="T251" i="105"/>
  <c r="Y251" i="105" s="1"/>
  <c r="U251" i="105"/>
  <c r="X251" i="105" s="1"/>
  <c r="T101" i="105"/>
  <c r="Y101" i="105" s="1"/>
  <c r="S101" i="105"/>
  <c r="W101" i="105" s="1"/>
  <c r="U101" i="105"/>
  <c r="X101" i="105" s="1"/>
  <c r="U343" i="105"/>
  <c r="T343" i="105"/>
  <c r="S343" i="105"/>
  <c r="W343" i="105" s="1"/>
  <c r="S171" i="105"/>
  <c r="T171" i="105"/>
  <c r="U171" i="105"/>
  <c r="T149" i="105"/>
  <c r="S149" i="105"/>
  <c r="W149" i="105" s="1"/>
  <c r="U149" i="105"/>
  <c r="T286" i="105"/>
  <c r="S286" i="105"/>
  <c r="W286" i="105" s="1"/>
  <c r="U286" i="105"/>
  <c r="U116" i="105"/>
  <c r="T116" i="105"/>
  <c r="S116" i="105"/>
  <c r="W116" i="105" s="1"/>
  <c r="S191" i="105"/>
  <c r="W191" i="105" s="1"/>
  <c r="T191" i="105"/>
  <c r="Y191" i="105" s="1"/>
  <c r="U191" i="105"/>
  <c r="X191" i="105" s="1"/>
  <c r="T128" i="105"/>
  <c r="S128" i="105"/>
  <c r="W128" i="105" s="1"/>
  <c r="U128" i="105"/>
  <c r="T303" i="105"/>
  <c r="S303" i="105"/>
  <c r="W303" i="105" s="1"/>
  <c r="U303" i="105"/>
  <c r="S187" i="105"/>
  <c r="T187" i="105"/>
  <c r="Y187" i="105" s="1"/>
  <c r="U187" i="105"/>
  <c r="S138" i="105"/>
  <c r="T138" i="105"/>
  <c r="Y138" i="105" s="1"/>
  <c r="U138" i="105"/>
  <c r="S307" i="105"/>
  <c r="W307" i="105" s="1"/>
  <c r="T307" i="105"/>
  <c r="U307" i="105"/>
  <c r="T157" i="105"/>
  <c r="S157" i="105"/>
  <c r="W157" i="105" s="1"/>
  <c r="U157" i="105"/>
  <c r="S83" i="105"/>
  <c r="T83" i="105"/>
  <c r="U83" i="105"/>
  <c r="U159" i="105"/>
  <c r="S159" i="105"/>
  <c r="W159" i="105" s="1"/>
  <c r="T159" i="105"/>
  <c r="S87" i="105"/>
  <c r="W87" i="105" s="1"/>
  <c r="T87" i="105"/>
  <c r="Y87" i="105" s="1"/>
  <c r="U87" i="105"/>
  <c r="V87" i="105"/>
  <c r="S107" i="105"/>
  <c r="T107" i="105"/>
  <c r="U107" i="105"/>
  <c r="T111" i="105"/>
  <c r="S111" i="105"/>
  <c r="W111" i="105" s="1"/>
  <c r="U111" i="105"/>
  <c r="T62" i="105"/>
  <c r="U62" i="105"/>
  <c r="S62" i="105"/>
  <c r="T245" i="107"/>
  <c r="Y245" i="107" s="1"/>
  <c r="U245" i="107"/>
  <c r="S245" i="107"/>
  <c r="W245" i="107" s="1"/>
  <c r="V245" i="107"/>
  <c r="T57" i="107"/>
  <c r="Y57" i="107" s="1"/>
  <c r="S57" i="107"/>
  <c r="W57" i="107" s="1"/>
  <c r="U57" i="107"/>
  <c r="V57" i="107"/>
  <c r="S243" i="105"/>
  <c r="W243" i="105" s="1"/>
  <c r="T243" i="105"/>
  <c r="Y243" i="105" s="1"/>
  <c r="U243" i="105"/>
  <c r="V243" i="105"/>
  <c r="S240" i="107"/>
  <c r="W240" i="107" s="1"/>
  <c r="T240" i="107"/>
  <c r="Y240" i="107" s="1"/>
  <c r="U240" i="107"/>
  <c r="X240" i="107" s="1"/>
  <c r="T305" i="107"/>
  <c r="Y305" i="107" s="1"/>
  <c r="S305" i="107"/>
  <c r="W305" i="107" s="1"/>
  <c r="U305" i="107"/>
  <c r="V305" i="107"/>
  <c r="S236" i="107"/>
  <c r="W236" i="107" s="1"/>
  <c r="T236" i="107"/>
  <c r="Y236" i="107" s="1"/>
  <c r="U236" i="107"/>
  <c r="X236" i="107" s="1"/>
  <c r="T326" i="107"/>
  <c r="S326" i="107"/>
  <c r="W326" i="107" s="1"/>
  <c r="U326" i="107"/>
  <c r="U324" i="107"/>
  <c r="S324" i="107"/>
  <c r="W324" i="107" s="1"/>
  <c r="T324" i="107"/>
  <c r="S59" i="107"/>
  <c r="T59" i="107"/>
  <c r="U59" i="107"/>
  <c r="L28" i="108"/>
  <c r="L29" i="108"/>
  <c r="L199" i="108"/>
  <c r="L200" i="108"/>
  <c r="L30" i="108"/>
  <c r="L151" i="108"/>
  <c r="L278" i="108"/>
  <c r="L302" i="108"/>
  <c r="L277" i="108"/>
  <c r="L275" i="108"/>
  <c r="L243" i="108"/>
  <c r="L274" i="108"/>
  <c r="L28" i="107"/>
  <c r="L29" i="107"/>
  <c r="L30" i="107"/>
  <c r="L199" i="107"/>
  <c r="L227" i="108"/>
  <c r="L277" i="107"/>
  <c r="L278" i="107"/>
  <c r="L200" i="107"/>
  <c r="L276" i="108"/>
  <c r="L243" i="107"/>
  <c r="L275" i="107"/>
  <c r="L28" i="106"/>
  <c r="O28" i="106" s="1"/>
  <c r="L275" i="106"/>
  <c r="O275" i="106" s="1"/>
  <c r="L274" i="107"/>
  <c r="L29" i="106"/>
  <c r="O29" i="106" s="1"/>
  <c r="L276" i="106"/>
  <c r="L278" i="106"/>
  <c r="L276" i="107"/>
  <c r="L30" i="106"/>
  <c r="O30" i="106" s="1"/>
  <c r="L29" i="105"/>
  <c r="L227" i="106"/>
  <c r="O227" i="106" s="1"/>
  <c r="L199" i="105"/>
  <c r="L277" i="105"/>
  <c r="L151" i="106"/>
  <c r="O151" i="106" s="1"/>
  <c r="L200" i="106"/>
  <c r="O200" i="106" s="1"/>
  <c r="L274" i="106"/>
  <c r="O274" i="106" s="1"/>
  <c r="L243" i="105"/>
  <c r="L274" i="105"/>
  <c r="L302" i="106"/>
  <c r="O302" i="106" s="1"/>
  <c r="L243" i="106"/>
  <c r="O243" i="106" s="1"/>
  <c r="L227" i="107"/>
  <c r="L28" i="105"/>
  <c r="L277" i="106"/>
  <c r="O277" i="106" s="1"/>
  <c r="L302" i="107"/>
  <c r="L227" i="105"/>
  <c r="L28" i="104"/>
  <c r="L151" i="107"/>
  <c r="L199" i="106"/>
  <c r="O199" i="106" s="1"/>
  <c r="L200" i="105"/>
  <c r="L302" i="105"/>
  <c r="L30" i="105"/>
  <c r="L276" i="105"/>
  <c r="L200" i="104"/>
  <c r="L199" i="104"/>
  <c r="L277" i="104"/>
  <c r="L275" i="105"/>
  <c r="L243" i="104"/>
  <c r="L30" i="98"/>
  <c r="L274" i="98"/>
  <c r="L278" i="98"/>
  <c r="L30" i="104"/>
  <c r="L275" i="104"/>
  <c r="L278" i="104"/>
  <c r="L29" i="98"/>
  <c r="L200" i="98"/>
  <c r="L276" i="104"/>
  <c r="L28" i="98"/>
  <c r="L243" i="98"/>
  <c r="L278" i="105"/>
  <c r="L151" i="104"/>
  <c r="L302" i="104"/>
  <c r="L227" i="98"/>
  <c r="L29" i="104"/>
  <c r="L227" i="104"/>
  <c r="L276" i="98"/>
  <c r="L302" i="98"/>
  <c r="L275" i="98"/>
  <c r="L274" i="104"/>
  <c r="L277" i="98"/>
  <c r="L151" i="105"/>
  <c r="L151" i="98"/>
  <c r="L199" i="98"/>
  <c r="U49" i="107"/>
  <c r="T49" i="107"/>
  <c r="S49" i="107"/>
  <c r="W49" i="107" s="1"/>
  <c r="S208" i="107"/>
  <c r="W208" i="107" s="1"/>
  <c r="T208" i="107"/>
  <c r="U208" i="107"/>
  <c r="U29" i="105"/>
  <c r="S29" i="105"/>
  <c r="W29" i="105" s="1"/>
  <c r="T29" i="105"/>
  <c r="T54" i="107"/>
  <c r="S54" i="107"/>
  <c r="U54" i="107"/>
  <c r="Y302" i="104"/>
  <c r="T234" i="107"/>
  <c r="S234" i="107"/>
  <c r="W234" i="107" s="1"/>
  <c r="U234" i="107"/>
  <c r="T227" i="105"/>
  <c r="S227" i="105"/>
  <c r="W227" i="105" s="1"/>
  <c r="U227" i="105"/>
  <c r="U30" i="105"/>
  <c r="T30" i="105"/>
  <c r="S30" i="105"/>
  <c r="W30" i="105" s="1"/>
  <c r="U223" i="107"/>
  <c r="S223" i="107"/>
  <c r="W223" i="107" s="1"/>
  <c r="T223" i="107"/>
  <c r="T244" i="107"/>
  <c r="U244" i="107"/>
  <c r="S244" i="107"/>
  <c r="T224" i="107"/>
  <c r="S224" i="107"/>
  <c r="W224" i="107" s="1"/>
  <c r="U224" i="107"/>
  <c r="U238" i="107"/>
  <c r="X238" i="107" s="1"/>
  <c r="S238" i="107"/>
  <c r="W238" i="107" s="1"/>
  <c r="T238" i="107"/>
  <c r="Y238" i="107" s="1"/>
  <c r="U235" i="107"/>
  <c r="T235" i="107"/>
  <c r="S235" i="107"/>
  <c r="W235" i="107" s="1"/>
  <c r="S270" i="107"/>
  <c r="W270" i="107" s="1"/>
  <c r="T270" i="107"/>
  <c r="U270" i="107"/>
  <c r="T45" i="107"/>
  <c r="Y45" i="107" s="1"/>
  <c r="S45" i="107"/>
  <c r="W45" i="107" s="1"/>
  <c r="U45" i="107"/>
  <c r="X45" i="107" s="1"/>
  <c r="S271" i="107"/>
  <c r="W271" i="107" s="1"/>
  <c r="T271" i="107"/>
  <c r="U271" i="107"/>
  <c r="S55" i="107"/>
  <c r="W55" i="107" s="1"/>
  <c r="T55" i="107"/>
  <c r="U55" i="107"/>
  <c r="U4" i="107"/>
  <c r="S4" i="107"/>
  <c r="T4" i="107"/>
  <c r="S151" i="105"/>
  <c r="T151" i="105"/>
  <c r="U151" i="105"/>
  <c r="S220" i="107"/>
  <c r="T220" i="107"/>
  <c r="Y220" i="107" s="1"/>
  <c r="U220" i="107"/>
  <c r="S292" i="107"/>
  <c r="W292" i="107" s="1"/>
  <c r="T292" i="107"/>
  <c r="U292" i="107"/>
  <c r="T22" i="107"/>
  <c r="Y22" i="107" s="1"/>
  <c r="S22" i="107"/>
  <c r="W22" i="107" s="1"/>
  <c r="U22" i="107"/>
  <c r="X22" i="107" s="1"/>
  <c r="U288" i="107"/>
  <c r="S288" i="107"/>
  <c r="W288" i="107" s="1"/>
  <c r="T288" i="107"/>
  <c r="S269" i="107"/>
  <c r="W269" i="107" s="1"/>
  <c r="T269" i="107"/>
  <c r="U269" i="107"/>
  <c r="T278" i="105"/>
  <c r="S278" i="105"/>
  <c r="U278" i="105"/>
  <c r="T47" i="107"/>
  <c r="Y47" i="107" s="1"/>
  <c r="U47" i="107"/>
  <c r="S47" i="107"/>
  <c r="W47" i="107" s="1"/>
  <c r="V47" i="107"/>
  <c r="Y292" i="106"/>
  <c r="S341" i="105"/>
  <c r="W341" i="105" s="1"/>
  <c r="U341" i="105"/>
  <c r="T341" i="105"/>
  <c r="S14" i="105"/>
  <c r="W14" i="105" s="1"/>
  <c r="T14" i="105"/>
  <c r="Y14" i="105" s="1"/>
  <c r="U14" i="105"/>
  <c r="X14" i="105" s="1"/>
  <c r="T203" i="105"/>
  <c r="U203" i="105"/>
  <c r="S203" i="105"/>
  <c r="W203" i="105" s="1"/>
  <c r="S190" i="105"/>
  <c r="W190" i="105" s="1"/>
  <c r="T190" i="105"/>
  <c r="U190" i="105"/>
  <c r="T102" i="105"/>
  <c r="Y102" i="105" s="1"/>
  <c r="S102" i="105"/>
  <c r="W102" i="105" s="1"/>
  <c r="U102" i="105"/>
  <c r="X102" i="105" s="1"/>
  <c r="S283" i="105"/>
  <c r="W283" i="105" s="1"/>
  <c r="T283" i="105"/>
  <c r="U283" i="105"/>
  <c r="T165" i="105"/>
  <c r="Y165" i="105" s="1"/>
  <c r="S165" i="105"/>
  <c r="U165" i="105"/>
  <c r="T195" i="105"/>
  <c r="Y195" i="105" s="1"/>
  <c r="S195" i="105"/>
  <c r="W195" i="105" s="1"/>
  <c r="U195" i="105"/>
  <c r="X195" i="105" s="1"/>
  <c r="T134" i="105"/>
  <c r="S134" i="105"/>
  <c r="W134" i="105" s="1"/>
  <c r="U134" i="105"/>
  <c r="T268" i="105"/>
  <c r="S268" i="105"/>
  <c r="U268" i="105"/>
  <c r="S16" i="105"/>
  <c r="T16" i="105"/>
  <c r="U16" i="105"/>
  <c r="T133" i="105"/>
  <c r="S133" i="105"/>
  <c r="W133" i="105" s="1"/>
  <c r="U133" i="105"/>
  <c r="T78" i="105"/>
  <c r="S78" i="105"/>
  <c r="U78" i="105"/>
  <c r="S250" i="105"/>
  <c r="W250" i="105" s="1"/>
  <c r="T250" i="105"/>
  <c r="Y250" i="105" s="1"/>
  <c r="U250" i="105"/>
  <c r="X250" i="105" s="1"/>
  <c r="S166" i="105"/>
  <c r="W166" i="105" s="1"/>
  <c r="T166" i="105"/>
  <c r="U166" i="105"/>
  <c r="S129" i="105"/>
  <c r="W129" i="105" s="1"/>
  <c r="T129" i="105"/>
  <c r="Y129" i="105" s="1"/>
  <c r="U129" i="105"/>
  <c r="X129" i="105" s="1"/>
  <c r="T206" i="105"/>
  <c r="S206" i="105"/>
  <c r="W206" i="105" s="1"/>
  <c r="U206" i="105"/>
  <c r="S137" i="105"/>
  <c r="W137" i="105" s="1"/>
  <c r="T137" i="105"/>
  <c r="U137" i="105"/>
  <c r="S65" i="105"/>
  <c r="T65" i="105"/>
  <c r="U65" i="105"/>
  <c r="T273" i="105"/>
  <c r="S273" i="105"/>
  <c r="W273" i="105" s="1"/>
  <c r="U273" i="105"/>
  <c r="S109" i="105"/>
  <c r="T109" i="105"/>
  <c r="U109" i="105"/>
  <c r="U18" i="105"/>
  <c r="S18" i="105"/>
  <c r="T18" i="105"/>
  <c r="Y18" i="105" s="1"/>
  <c r="T142" i="105"/>
  <c r="S142" i="105"/>
  <c r="W142" i="105" s="1"/>
  <c r="U142" i="105"/>
  <c r="U81" i="105"/>
  <c r="T81" i="105"/>
  <c r="S81" i="105"/>
  <c r="W81" i="105" s="1"/>
  <c r="S141" i="105"/>
  <c r="W141" i="105" s="1"/>
  <c r="T141" i="105"/>
  <c r="U141" i="105"/>
  <c r="S100" i="105"/>
  <c r="W100" i="105" s="1"/>
  <c r="T100" i="105"/>
  <c r="Y100" i="105" s="1"/>
  <c r="U100" i="105"/>
  <c r="X100" i="105" s="1"/>
  <c r="T15" i="105"/>
  <c r="Y15" i="105" s="1"/>
  <c r="S15" i="105"/>
  <c r="W15" i="105" s="1"/>
  <c r="U15" i="105"/>
  <c r="X15" i="105" s="1"/>
  <c r="S73" i="105"/>
  <c r="T73" i="105"/>
  <c r="U73" i="105"/>
  <c r="T186" i="107"/>
  <c r="Y186" i="107" s="1"/>
  <c r="U186" i="107"/>
  <c r="X186" i="107" s="1"/>
  <c r="S186" i="107"/>
  <c r="W186" i="107" s="1"/>
  <c r="T290" i="107"/>
  <c r="S290" i="107"/>
  <c r="W290" i="107" s="1"/>
  <c r="U290" i="107"/>
  <c r="T50" i="107"/>
  <c r="S50" i="107"/>
  <c r="W50" i="107" s="1"/>
  <c r="U50" i="107"/>
  <c r="S287" i="107"/>
  <c r="W287" i="107" s="1"/>
  <c r="T287" i="107"/>
  <c r="U287" i="107"/>
  <c r="T216" i="107"/>
  <c r="Y216" i="107" s="1"/>
  <c r="S216" i="107"/>
  <c r="W216" i="107" s="1"/>
  <c r="U216" i="107"/>
  <c r="V216" i="107"/>
  <c r="S222" i="107"/>
  <c r="W222" i="107" s="1"/>
  <c r="U222" i="107"/>
  <c r="T222" i="107"/>
  <c r="Y222" i="107" s="1"/>
  <c r="S177" i="105"/>
  <c r="T177" i="105"/>
  <c r="Y177" i="105" s="1"/>
  <c r="U177" i="105"/>
  <c r="T325" i="105"/>
  <c r="S325" i="105"/>
  <c r="W325" i="105" s="1"/>
  <c r="U325" i="105"/>
  <c r="T182" i="105"/>
  <c r="Y182" i="105" s="1"/>
  <c r="S182" i="105"/>
  <c r="W182" i="105" s="1"/>
  <c r="U182" i="105"/>
  <c r="V182" i="105"/>
  <c r="S115" i="105"/>
  <c r="W115" i="105" s="1"/>
  <c r="T115" i="105"/>
  <c r="U115" i="105"/>
  <c r="U264" i="105"/>
  <c r="T264" i="105"/>
  <c r="S264" i="105"/>
  <c r="S110" i="105"/>
  <c r="T110" i="105"/>
  <c r="U110" i="105"/>
  <c r="S162" i="105"/>
  <c r="W162" i="105" s="1"/>
  <c r="T162" i="105"/>
  <c r="U162" i="105"/>
  <c r="T313" i="105"/>
  <c r="Y313" i="105" s="1"/>
  <c r="S313" i="105"/>
  <c r="W313" i="105" s="1"/>
  <c r="U313" i="105"/>
  <c r="X313" i="105" s="1"/>
  <c r="U86" i="105"/>
  <c r="T86" i="105"/>
  <c r="Y86" i="105" s="1"/>
  <c r="S86" i="105"/>
  <c r="W86" i="105" s="1"/>
  <c r="V86" i="105"/>
  <c r="S267" i="105"/>
  <c r="T267" i="105"/>
  <c r="U267" i="105"/>
  <c r="S10" i="105"/>
  <c r="T10" i="105"/>
  <c r="U10" i="105"/>
  <c r="T124" i="105"/>
  <c r="S124" i="105"/>
  <c r="W124" i="105" s="1"/>
  <c r="U124" i="105"/>
  <c r="S64" i="105"/>
  <c r="T64" i="105"/>
  <c r="U64" i="105"/>
  <c r="U228" i="105"/>
  <c r="S228" i="105"/>
  <c r="W228" i="105" s="1"/>
  <c r="T228" i="105"/>
  <c r="S158" i="105"/>
  <c r="W158" i="105" s="1"/>
  <c r="T158" i="105"/>
  <c r="U158" i="105"/>
  <c r="S118" i="105"/>
  <c r="W118" i="105" s="1"/>
  <c r="T118" i="105"/>
  <c r="U118" i="105"/>
  <c r="U197" i="105"/>
  <c r="S197" i="105"/>
  <c r="W197" i="105" s="1"/>
  <c r="T197" i="105"/>
  <c r="U117" i="105"/>
  <c r="S117" i="105"/>
  <c r="W117" i="105" s="1"/>
  <c r="T117" i="105"/>
  <c r="T31" i="105"/>
  <c r="Y31" i="105" s="1"/>
  <c r="S31" i="105"/>
  <c r="W31" i="105" s="1"/>
  <c r="U31" i="105"/>
  <c r="X31" i="105" s="1"/>
  <c r="S266" i="105"/>
  <c r="T266" i="105"/>
  <c r="U266" i="105"/>
  <c r="S108" i="105"/>
  <c r="T108" i="105"/>
  <c r="U108" i="105"/>
  <c r="T140" i="105"/>
  <c r="S140" i="105"/>
  <c r="W140" i="105" s="1"/>
  <c r="U140" i="105"/>
  <c r="S63" i="105"/>
  <c r="U63" i="105"/>
  <c r="T63" i="105"/>
  <c r="S132" i="105"/>
  <c r="W132" i="105" s="1"/>
  <c r="T132" i="105"/>
  <c r="U132" i="105"/>
  <c r="U89" i="105"/>
  <c r="T89" i="105"/>
  <c r="S89" i="105"/>
  <c r="T34" i="105"/>
  <c r="Y34" i="105" s="1"/>
  <c r="U34" i="105"/>
  <c r="X34" i="105" s="1"/>
  <c r="S34" i="105"/>
  <c r="W34" i="105" s="1"/>
  <c r="U233" i="107"/>
  <c r="S233" i="107"/>
  <c r="T233" i="107"/>
  <c r="Y233" i="107" s="1"/>
  <c r="U306" i="107"/>
  <c r="S306" i="107"/>
  <c r="W306" i="107" s="1"/>
  <c r="T306" i="107"/>
  <c r="S301" i="107"/>
  <c r="W301" i="107" s="1"/>
  <c r="T301" i="107"/>
  <c r="U301" i="107"/>
  <c r="T310" i="105"/>
  <c r="S310" i="105"/>
  <c r="W310" i="105" s="1"/>
  <c r="U310" i="105"/>
  <c r="S175" i="105"/>
  <c r="T175" i="105"/>
  <c r="Y175" i="105" s="1"/>
  <c r="U175" i="105"/>
  <c r="T85" i="105"/>
  <c r="S85" i="105"/>
  <c r="U85" i="105"/>
  <c r="T202" i="105"/>
  <c r="Y202" i="105" s="1"/>
  <c r="S202" i="105"/>
  <c r="W202" i="105" s="1"/>
  <c r="U202" i="105"/>
  <c r="X202" i="105" s="1"/>
  <c r="T298" i="105"/>
  <c r="S298" i="105"/>
  <c r="W298" i="105" s="1"/>
  <c r="U298" i="105"/>
  <c r="T155" i="105"/>
  <c r="Y155" i="105" s="1"/>
  <c r="S155" i="105"/>
  <c r="W155" i="105" s="1"/>
  <c r="U155" i="105"/>
  <c r="X155" i="105" s="1"/>
  <c r="T263" i="105"/>
  <c r="S263" i="105"/>
  <c r="U263" i="105"/>
  <c r="U11" i="105"/>
  <c r="S11" i="105"/>
  <c r="W11" i="105" s="1"/>
  <c r="T11" i="105"/>
  <c r="Y11" i="105" s="1"/>
  <c r="V11" i="105"/>
  <c r="T239" i="105"/>
  <c r="Y239" i="105" s="1"/>
  <c r="S239" i="105"/>
  <c r="W239" i="105" s="1"/>
  <c r="U239" i="105"/>
  <c r="X239" i="105" s="1"/>
  <c r="S242" i="105"/>
  <c r="W242" i="105" s="1"/>
  <c r="T242" i="105"/>
  <c r="U242" i="105"/>
  <c r="T342" i="105"/>
  <c r="U342" i="105"/>
  <c r="S342" i="105"/>
  <c r="W342" i="105" s="1"/>
  <c r="S113" i="105"/>
  <c r="W113" i="105" s="1"/>
  <c r="T113" i="105"/>
  <c r="U113" i="105"/>
  <c r="T61" i="105"/>
  <c r="S61" i="105"/>
  <c r="W61" i="105" s="1"/>
  <c r="U61" i="105"/>
  <c r="U204" i="105"/>
  <c r="X204" i="105" s="1"/>
  <c r="S204" i="105"/>
  <c r="W204" i="105" s="1"/>
  <c r="T204" i="105"/>
  <c r="Y204" i="105" s="1"/>
  <c r="S154" i="105"/>
  <c r="T154" i="105"/>
  <c r="Y154" i="105" s="1"/>
  <c r="U154" i="105"/>
  <c r="T99" i="105"/>
  <c r="Y99" i="105" s="1"/>
  <c r="S99" i="105"/>
  <c r="W99" i="105" s="1"/>
  <c r="U99" i="105"/>
  <c r="V99" i="105"/>
  <c r="T183" i="105"/>
  <c r="Y183" i="105" s="1"/>
  <c r="S183" i="105"/>
  <c r="W183" i="105" s="1"/>
  <c r="U183" i="105"/>
  <c r="V183" i="105"/>
  <c r="U97" i="105"/>
  <c r="X97" i="105" s="1"/>
  <c r="T97" i="105"/>
  <c r="Y97" i="105" s="1"/>
  <c r="S97" i="105"/>
  <c r="W97" i="105" s="1"/>
  <c r="T9" i="105"/>
  <c r="Y9" i="105" s="1"/>
  <c r="S9" i="105"/>
  <c r="W9" i="105" s="1"/>
  <c r="U9" i="105"/>
  <c r="X9" i="105" s="1"/>
  <c r="T196" i="105"/>
  <c r="U196" i="105"/>
  <c r="S196" i="105"/>
  <c r="W196" i="105" s="1"/>
  <c r="U105" i="105"/>
  <c r="T105" i="105"/>
  <c r="S105" i="105"/>
  <c r="W105" i="105" s="1"/>
  <c r="S127" i="105"/>
  <c r="W127" i="105" s="1"/>
  <c r="T127" i="105"/>
  <c r="Y127" i="105" s="1"/>
  <c r="U127" i="105"/>
  <c r="X127" i="105" s="1"/>
  <c r="S17" i="105"/>
  <c r="W17" i="105" s="1"/>
  <c r="T17" i="105"/>
  <c r="Y17" i="105" s="1"/>
  <c r="U17" i="105"/>
  <c r="X17" i="105" s="1"/>
  <c r="T126" i="105"/>
  <c r="Y126" i="105" s="1"/>
  <c r="S126" i="105"/>
  <c r="W126" i="105" s="1"/>
  <c r="U126" i="105"/>
  <c r="V126" i="105"/>
  <c r="S51" i="107"/>
  <c r="W51" i="107" s="1"/>
  <c r="T51" i="107"/>
  <c r="Y51" i="107" s="1"/>
  <c r="U51" i="107"/>
  <c r="X51" i="107" s="1"/>
  <c r="T219" i="107"/>
  <c r="Y219" i="107" s="1"/>
  <c r="S219" i="107"/>
  <c r="U219" i="107"/>
  <c r="V217" i="107"/>
  <c r="T217" i="107"/>
  <c r="Y217" i="107" s="1"/>
  <c r="S217" i="107"/>
  <c r="W217" i="107" s="1"/>
  <c r="U217" i="107"/>
  <c r="U276" i="105"/>
  <c r="S276" i="105"/>
  <c r="T276" i="105"/>
  <c r="S302" i="105"/>
  <c r="W302" i="105" s="1"/>
  <c r="T302" i="105"/>
  <c r="U302" i="105"/>
  <c r="S275" i="105"/>
  <c r="T275" i="105"/>
  <c r="U275" i="105"/>
  <c r="S163" i="107"/>
  <c r="T163" i="107"/>
  <c r="Y163" i="107" s="1"/>
  <c r="U163" i="107"/>
  <c r="U335" i="107"/>
  <c r="T335" i="107"/>
  <c r="S335" i="107"/>
  <c r="W335" i="107" s="1"/>
  <c r="S46" i="107"/>
  <c r="W46" i="107" s="1"/>
  <c r="T46" i="107"/>
  <c r="U46" i="107"/>
  <c r="S77" i="105"/>
  <c r="T77" i="105"/>
  <c r="U77" i="105"/>
  <c r="Y28" i="104"/>
  <c r="Y199" i="104"/>
  <c r="T339" i="107"/>
  <c r="S339" i="107"/>
  <c r="W339" i="107" s="1"/>
  <c r="U339" i="107"/>
  <c r="Y58" i="106"/>
  <c r="U53" i="107"/>
  <c r="T53" i="107"/>
  <c r="S53" i="107"/>
  <c r="T218" i="107"/>
  <c r="Y218" i="107" s="1"/>
  <c r="S218" i="107"/>
  <c r="W218" i="107" s="1"/>
  <c r="U218" i="107"/>
  <c r="V218" i="107"/>
  <c r="L9" i="108"/>
  <c r="L12" i="108"/>
  <c r="L71" i="108"/>
  <c r="L75" i="108"/>
  <c r="L10" i="108"/>
  <c r="L32" i="108"/>
  <c r="L40" i="108"/>
  <c r="L43" i="108"/>
  <c r="L69" i="108"/>
  <c r="L72" i="108"/>
  <c r="L78" i="108"/>
  <c r="L17" i="108"/>
  <c r="L34" i="108"/>
  <c r="L44" i="108"/>
  <c r="L64" i="108"/>
  <c r="L70" i="108"/>
  <c r="L8" i="108"/>
  <c r="L18" i="108"/>
  <c r="L27" i="108"/>
  <c r="L65" i="108"/>
  <c r="L77" i="108"/>
  <c r="L90" i="108"/>
  <c r="L93" i="108"/>
  <c r="L106" i="108"/>
  <c r="L14" i="108"/>
  <c r="L13" i="108"/>
  <c r="L60" i="108"/>
  <c r="L67" i="108"/>
  <c r="L80" i="108"/>
  <c r="L83" i="108"/>
  <c r="L89" i="108"/>
  <c r="L95" i="108"/>
  <c r="L102" i="108"/>
  <c r="L66" i="108"/>
  <c r="L68" i="108"/>
  <c r="L99" i="108"/>
  <c r="L103" i="108"/>
  <c r="L20" i="108"/>
  <c r="L31" i="108"/>
  <c r="L87" i="108"/>
  <c r="L88" i="108"/>
  <c r="L101" i="108"/>
  <c r="L107" i="108"/>
  <c r="L112" i="108"/>
  <c r="L117" i="108"/>
  <c r="L120" i="108"/>
  <c r="L124" i="108"/>
  <c r="L127" i="108"/>
  <c r="L137" i="108"/>
  <c r="L15" i="108"/>
  <c r="L19" i="108"/>
  <c r="L73" i="108"/>
  <c r="L79" i="108"/>
  <c r="L100" i="108"/>
  <c r="L129" i="108"/>
  <c r="L130" i="108"/>
  <c r="L146" i="108"/>
  <c r="L149" i="108"/>
  <c r="L152" i="108"/>
  <c r="L92" i="108"/>
  <c r="L123" i="108"/>
  <c r="L131" i="108"/>
  <c r="L136" i="108"/>
  <c r="L142" i="108"/>
  <c r="L81" i="108"/>
  <c r="L96" i="108"/>
  <c r="L115" i="108"/>
  <c r="L141" i="108"/>
  <c r="L148" i="108"/>
  <c r="L162" i="108"/>
  <c r="L168" i="108"/>
  <c r="L174" i="108"/>
  <c r="L183" i="108"/>
  <c r="L190" i="108"/>
  <c r="L195" i="108"/>
  <c r="L11" i="108"/>
  <c r="L61" i="108"/>
  <c r="L109" i="108"/>
  <c r="L114" i="108"/>
  <c r="L135" i="108"/>
  <c r="L140" i="108"/>
  <c r="L153" i="108"/>
  <c r="L157" i="108"/>
  <c r="L166" i="108"/>
  <c r="L175" i="108"/>
  <c r="L191" i="108"/>
  <c r="L242" i="108"/>
  <c r="L104" i="108"/>
  <c r="L108" i="108"/>
  <c r="L111" i="108"/>
  <c r="L118" i="108"/>
  <c r="L121" i="108"/>
  <c r="L158" i="108"/>
  <c r="L173" i="108"/>
  <c r="L176" i="108"/>
  <c r="L189" i="108"/>
  <c r="L193" i="108"/>
  <c r="L63" i="108"/>
  <c r="L85" i="108"/>
  <c r="L125" i="108"/>
  <c r="L128" i="108"/>
  <c r="L139" i="108"/>
  <c r="L145" i="108"/>
  <c r="L156" i="108"/>
  <c r="L181" i="108"/>
  <c r="L187" i="108"/>
  <c r="L203" i="108"/>
  <c r="L254" i="108"/>
  <c r="L267" i="108"/>
  <c r="L280" i="108"/>
  <c r="L82" i="108"/>
  <c r="L98" i="108"/>
  <c r="L110" i="108"/>
  <c r="L134" i="108"/>
  <c r="L154" i="108"/>
  <c r="L155" i="108"/>
  <c r="L161" i="108"/>
  <c r="L167" i="108"/>
  <c r="L180" i="108"/>
  <c r="L198" i="108"/>
  <c r="L202" i="108"/>
  <c r="L251" i="108"/>
  <c r="L265" i="108"/>
  <c r="L284" i="108"/>
  <c r="L74" i="108"/>
  <c r="L97" i="108"/>
  <c r="L105" i="108"/>
  <c r="L132" i="108"/>
  <c r="L150" i="108"/>
  <c r="L165" i="108"/>
  <c r="L177" i="108"/>
  <c r="L196" i="108"/>
  <c r="L205" i="108"/>
  <c r="L206" i="108"/>
  <c r="L229" i="108"/>
  <c r="L253" i="108"/>
  <c r="L256" i="108"/>
  <c r="L279" i="108"/>
  <c r="L84" i="108"/>
  <c r="L86" i="108"/>
  <c r="L116" i="108"/>
  <c r="L122" i="108"/>
  <c r="L143" i="108"/>
  <c r="L239" i="108"/>
  <c r="L257" i="108"/>
  <c r="L313" i="108"/>
  <c r="L316" i="108"/>
  <c r="L330" i="108"/>
  <c r="L348" i="108"/>
  <c r="L16" i="108"/>
  <c r="L91" i="108"/>
  <c r="L94" i="108"/>
  <c r="L160" i="108"/>
  <c r="L179" i="108"/>
  <c r="L188" i="108"/>
  <c r="L286" i="108"/>
  <c r="L310" i="108"/>
  <c r="L10" i="107"/>
  <c r="L16" i="107"/>
  <c r="L67" i="107"/>
  <c r="L73" i="107"/>
  <c r="L78" i="107"/>
  <c r="L84" i="107"/>
  <c r="L88" i="107"/>
  <c r="L99" i="107"/>
  <c r="L109" i="107"/>
  <c r="L112" i="107"/>
  <c r="L117" i="107"/>
  <c r="L125" i="107"/>
  <c r="L76" i="108"/>
  <c r="L133" i="108"/>
  <c r="L172" i="108"/>
  <c r="L194" i="108"/>
  <c r="L204" i="108"/>
  <c r="L228" i="108"/>
  <c r="L272" i="108"/>
  <c r="L281" i="108"/>
  <c r="L317" i="108"/>
  <c r="L320" i="108"/>
  <c r="L344" i="108"/>
  <c r="L347" i="108"/>
  <c r="L11" i="107"/>
  <c r="L34" i="107"/>
  <c r="L63" i="107"/>
  <c r="L66" i="107"/>
  <c r="L79" i="107"/>
  <c r="L86" i="107"/>
  <c r="L89" i="107"/>
  <c r="L115" i="107"/>
  <c r="L147" i="108"/>
  <c r="L252" i="108"/>
  <c r="L298" i="108"/>
  <c r="L312" i="108"/>
  <c r="L8" i="107"/>
  <c r="L18" i="107"/>
  <c r="L19" i="107"/>
  <c r="L69" i="107"/>
  <c r="L72" i="107"/>
  <c r="L74" i="107"/>
  <c r="L90" i="107"/>
  <c r="L114" i="107"/>
  <c r="L136" i="107"/>
  <c r="L126" i="108"/>
  <c r="L138" i="108"/>
  <c r="L255" i="108"/>
  <c r="L311" i="108"/>
  <c r="L322" i="108"/>
  <c r="L325" i="108"/>
  <c r="L345" i="108"/>
  <c r="L349" i="108"/>
  <c r="L40" i="107"/>
  <c r="L61" i="107"/>
  <c r="L62" i="107"/>
  <c r="L75" i="107"/>
  <c r="L76" i="107"/>
  <c r="L91" i="107"/>
  <c r="L93" i="107"/>
  <c r="L96" i="107"/>
  <c r="L98" i="107"/>
  <c r="L116" i="107"/>
  <c r="L118" i="107"/>
  <c r="L120" i="107"/>
  <c r="L122" i="107"/>
  <c r="L126" i="107"/>
  <c r="L128" i="107"/>
  <c r="L137" i="107"/>
  <c r="L146" i="107"/>
  <c r="L152" i="107"/>
  <c r="L155" i="107"/>
  <c r="L164" i="107"/>
  <c r="L168" i="107"/>
  <c r="L33" i="108"/>
  <c r="L164" i="108"/>
  <c r="L201" i="108"/>
  <c r="L268" i="108"/>
  <c r="L309" i="108"/>
  <c r="L314" i="108"/>
  <c r="L331" i="108"/>
  <c r="L341" i="108"/>
  <c r="L31" i="107"/>
  <c r="L101" i="107"/>
  <c r="L106" i="107"/>
  <c r="L108" i="107"/>
  <c r="L135" i="107"/>
  <c r="L141" i="107"/>
  <c r="L143" i="107"/>
  <c r="L159" i="107"/>
  <c r="L171" i="107"/>
  <c r="L177" i="107"/>
  <c r="L179" i="107"/>
  <c r="L195" i="107"/>
  <c r="L198" i="107"/>
  <c r="L258" i="108"/>
  <c r="L273" i="108"/>
  <c r="L321" i="108"/>
  <c r="L343" i="108"/>
  <c r="L15" i="107"/>
  <c r="L20" i="107"/>
  <c r="L44" i="107"/>
  <c r="L71" i="107"/>
  <c r="L87" i="107"/>
  <c r="L182" i="108"/>
  <c r="L241" i="108"/>
  <c r="L329" i="108"/>
  <c r="L332" i="108"/>
  <c r="L14" i="107"/>
  <c r="L64" i="107"/>
  <c r="L94" i="107"/>
  <c r="L107" i="107"/>
  <c r="L123" i="107"/>
  <c r="L132" i="107"/>
  <c r="L133" i="107"/>
  <c r="L134" i="107"/>
  <c r="L62" i="108"/>
  <c r="L342" i="108"/>
  <c r="L27" i="107"/>
  <c r="L82" i="107"/>
  <c r="L85" i="107"/>
  <c r="L110" i="107"/>
  <c r="L119" i="107"/>
  <c r="L147" i="107"/>
  <c r="L153" i="107"/>
  <c r="L154" i="107"/>
  <c r="L157" i="107"/>
  <c r="L184" i="108"/>
  <c r="L197" i="108"/>
  <c r="L250" i="108"/>
  <c r="L68" i="107"/>
  <c r="L80" i="107"/>
  <c r="L129" i="107"/>
  <c r="L156" i="107"/>
  <c r="L162" i="107"/>
  <c r="L173" i="107"/>
  <c r="L229" i="107"/>
  <c r="L307" i="107"/>
  <c r="L330" i="107"/>
  <c r="L343" i="107"/>
  <c r="L346" i="107"/>
  <c r="L113" i="108"/>
  <c r="L264" i="108"/>
  <c r="L283" i="108"/>
  <c r="L285" i="108"/>
  <c r="L307" i="108"/>
  <c r="L315" i="108"/>
  <c r="L13" i="107"/>
  <c r="L32" i="107"/>
  <c r="L65" i="107"/>
  <c r="L70" i="107"/>
  <c r="L77" i="107"/>
  <c r="L102" i="107"/>
  <c r="L113" i="107"/>
  <c r="L139" i="107"/>
  <c r="L142" i="107"/>
  <c r="L161" i="107"/>
  <c r="L182" i="107"/>
  <c r="L194" i="107"/>
  <c r="L203" i="107"/>
  <c r="L230" i="107"/>
  <c r="L250" i="107"/>
  <c r="L263" i="107"/>
  <c r="L298" i="107"/>
  <c r="L308" i="107"/>
  <c r="L320" i="107"/>
  <c r="L322" i="107"/>
  <c r="L325" i="107"/>
  <c r="L328" i="107"/>
  <c r="L340" i="107"/>
  <c r="L13" i="106"/>
  <c r="O13" i="106" s="1"/>
  <c r="L17" i="106"/>
  <c r="O17" i="106" s="1"/>
  <c r="L19" i="106"/>
  <c r="O19" i="106" s="1"/>
  <c r="L33" i="107"/>
  <c r="L81" i="107"/>
  <c r="L130" i="107"/>
  <c r="L197" i="107"/>
  <c r="L204" i="107"/>
  <c r="L205" i="107"/>
  <c r="L255" i="107"/>
  <c r="L264" i="107"/>
  <c r="L268" i="107"/>
  <c r="L303" i="107"/>
  <c r="L309" i="107"/>
  <c r="L312" i="107"/>
  <c r="L329" i="107"/>
  <c r="L345" i="107"/>
  <c r="L11" i="106"/>
  <c r="O11" i="106" s="1"/>
  <c r="L18" i="106"/>
  <c r="O18" i="106" s="1"/>
  <c r="L20" i="106"/>
  <c r="O20" i="106" s="1"/>
  <c r="L266" i="108"/>
  <c r="L17" i="107"/>
  <c r="L124" i="107"/>
  <c r="L127" i="107"/>
  <c r="L140" i="107"/>
  <c r="L165" i="107"/>
  <c r="L190" i="107"/>
  <c r="L206" i="107"/>
  <c r="L256" i="107"/>
  <c r="L273" i="107"/>
  <c r="L281" i="107"/>
  <c r="L284" i="107"/>
  <c r="L315" i="107"/>
  <c r="L321" i="107"/>
  <c r="L332" i="107"/>
  <c r="L342" i="107"/>
  <c r="L348" i="107"/>
  <c r="L340" i="108"/>
  <c r="L97" i="107"/>
  <c r="L175" i="107"/>
  <c r="L180" i="107"/>
  <c r="L187" i="107"/>
  <c r="L192" i="108"/>
  <c r="L263" i="108"/>
  <c r="L303" i="108"/>
  <c r="L328" i="108"/>
  <c r="L346" i="108"/>
  <c r="L95" i="107"/>
  <c r="L104" i="107"/>
  <c r="L131" i="107"/>
  <c r="L150" i="107"/>
  <c r="L158" i="107"/>
  <c r="L193" i="107"/>
  <c r="L202" i="107"/>
  <c r="L272" i="107"/>
  <c r="L171" i="108"/>
  <c r="L230" i="108"/>
  <c r="L12" i="107"/>
  <c r="L92" i="107"/>
  <c r="L103" i="107"/>
  <c r="L121" i="107"/>
  <c r="L183" i="107"/>
  <c r="L188" i="107"/>
  <c r="L191" i="107"/>
  <c r="L254" i="107"/>
  <c r="L258" i="107"/>
  <c r="L311" i="107"/>
  <c r="L308" i="108"/>
  <c r="L167" i="107"/>
  <c r="L181" i="107"/>
  <c r="L184" i="107"/>
  <c r="L189" i="107"/>
  <c r="L196" i="107"/>
  <c r="L239" i="107"/>
  <c r="L241" i="107"/>
  <c r="L285" i="107"/>
  <c r="L316" i="107"/>
  <c r="L341" i="107"/>
  <c r="L15" i="106"/>
  <c r="O15" i="106" s="1"/>
  <c r="L32" i="106"/>
  <c r="O32" i="106" s="1"/>
  <c r="L68" i="106"/>
  <c r="O68" i="106" s="1"/>
  <c r="L72" i="106"/>
  <c r="O72" i="106" s="1"/>
  <c r="L75" i="106"/>
  <c r="O75" i="106" s="1"/>
  <c r="L79" i="106"/>
  <c r="O79" i="106" s="1"/>
  <c r="L94" i="106"/>
  <c r="O94" i="106" s="1"/>
  <c r="L100" i="106"/>
  <c r="O100" i="106" s="1"/>
  <c r="L103" i="106"/>
  <c r="O103" i="106" s="1"/>
  <c r="L105" i="106"/>
  <c r="O105" i="106" s="1"/>
  <c r="L108" i="106"/>
  <c r="O108" i="106" s="1"/>
  <c r="L121" i="106"/>
  <c r="O121" i="106" s="1"/>
  <c r="L125" i="106"/>
  <c r="O125" i="106" s="1"/>
  <c r="L138" i="106"/>
  <c r="O138" i="106" s="1"/>
  <c r="L152" i="106"/>
  <c r="O152" i="106" s="1"/>
  <c r="L159" i="106"/>
  <c r="O159" i="106" s="1"/>
  <c r="L167" i="106"/>
  <c r="O167" i="106" s="1"/>
  <c r="L174" i="106"/>
  <c r="O174" i="106" s="1"/>
  <c r="L181" i="106"/>
  <c r="O181" i="106" s="1"/>
  <c r="L184" i="106"/>
  <c r="L188" i="106"/>
  <c r="O188" i="106" s="1"/>
  <c r="L190" i="106"/>
  <c r="O190" i="106" s="1"/>
  <c r="L197" i="106"/>
  <c r="L204" i="106"/>
  <c r="O204" i="106" s="1"/>
  <c r="L252" i="106"/>
  <c r="O252" i="106" s="1"/>
  <c r="L255" i="106"/>
  <c r="O255" i="106" s="1"/>
  <c r="L268" i="106"/>
  <c r="O268" i="106" s="1"/>
  <c r="L283" i="106"/>
  <c r="O283" i="106" s="1"/>
  <c r="L309" i="106"/>
  <c r="O309" i="106" s="1"/>
  <c r="L316" i="106"/>
  <c r="O316" i="106" s="1"/>
  <c r="L329" i="106"/>
  <c r="O329" i="106" s="1"/>
  <c r="L343" i="106"/>
  <c r="O343" i="106" s="1"/>
  <c r="L346" i="106"/>
  <c r="O346" i="106" s="1"/>
  <c r="L9" i="105"/>
  <c r="L12" i="105"/>
  <c r="L64" i="105"/>
  <c r="L76" i="105"/>
  <c r="L83" i="107"/>
  <c r="L148" i="107"/>
  <c r="L172" i="107"/>
  <c r="L192" i="107"/>
  <c r="L265" i="107"/>
  <c r="L267" i="107"/>
  <c r="L344" i="107"/>
  <c r="L349" i="107"/>
  <c r="L14" i="106"/>
  <c r="L60" i="106"/>
  <c r="O60" i="106" s="1"/>
  <c r="L69" i="106"/>
  <c r="O69" i="106" s="1"/>
  <c r="L73" i="106"/>
  <c r="O73" i="106" s="1"/>
  <c r="L80" i="106"/>
  <c r="O80" i="106" s="1"/>
  <c r="L89" i="106"/>
  <c r="O89" i="106" s="1"/>
  <c r="L101" i="106"/>
  <c r="O101" i="106" s="1"/>
  <c r="L106" i="106"/>
  <c r="O106" i="106" s="1"/>
  <c r="L122" i="106"/>
  <c r="O122" i="106" s="1"/>
  <c r="L155" i="106"/>
  <c r="L160" i="106"/>
  <c r="O160" i="106" s="1"/>
  <c r="L165" i="106"/>
  <c r="O165" i="106" s="1"/>
  <c r="L171" i="106"/>
  <c r="O171" i="106" s="1"/>
  <c r="L241" i="106"/>
  <c r="O241" i="106" s="1"/>
  <c r="L272" i="106"/>
  <c r="O272" i="106" s="1"/>
  <c r="L281" i="106"/>
  <c r="O281" i="106" s="1"/>
  <c r="L284" i="106"/>
  <c r="O284" i="106" s="1"/>
  <c r="L319" i="106"/>
  <c r="O319" i="106" s="1"/>
  <c r="L325" i="106"/>
  <c r="O325" i="106" s="1"/>
  <c r="L330" i="106"/>
  <c r="O330" i="106" s="1"/>
  <c r="L347" i="106"/>
  <c r="O347" i="106" s="1"/>
  <c r="L10" i="105"/>
  <c r="L14" i="105"/>
  <c r="L19" i="105"/>
  <c r="L65" i="105"/>
  <c r="L68" i="105"/>
  <c r="L79" i="105"/>
  <c r="L85" i="105"/>
  <c r="L92" i="105"/>
  <c r="L94" i="105"/>
  <c r="L109" i="105"/>
  <c r="L134" i="105"/>
  <c r="L138" i="105"/>
  <c r="L149" i="107"/>
  <c r="L174" i="107"/>
  <c r="L252" i="107"/>
  <c r="L283" i="107"/>
  <c r="L331" i="107"/>
  <c r="L10" i="106"/>
  <c r="O10" i="106" s="1"/>
  <c r="L12" i="106"/>
  <c r="O12" i="106" s="1"/>
  <c r="L27" i="106"/>
  <c r="O27" i="106" s="1"/>
  <c r="L67" i="106"/>
  <c r="O67" i="106" s="1"/>
  <c r="L77" i="106"/>
  <c r="L81" i="106"/>
  <c r="O81" i="106" s="1"/>
  <c r="L88" i="106"/>
  <c r="O88" i="106" s="1"/>
  <c r="L93" i="106"/>
  <c r="O93" i="106" s="1"/>
  <c r="L96" i="106"/>
  <c r="O96" i="106" s="1"/>
  <c r="L107" i="106"/>
  <c r="O107" i="106" s="1"/>
  <c r="L109" i="106"/>
  <c r="O109" i="106" s="1"/>
  <c r="L117" i="106"/>
  <c r="O117" i="106" s="1"/>
  <c r="L123" i="106"/>
  <c r="L130" i="106"/>
  <c r="O130" i="106" s="1"/>
  <c r="L162" i="106"/>
  <c r="O162" i="106" s="1"/>
  <c r="L166" i="106"/>
  <c r="O166" i="106" s="1"/>
  <c r="L177" i="106"/>
  <c r="O177" i="106" s="1"/>
  <c r="L187" i="106"/>
  <c r="O187" i="106" s="1"/>
  <c r="L196" i="106"/>
  <c r="O196" i="106" s="1"/>
  <c r="L203" i="106"/>
  <c r="L206" i="106"/>
  <c r="O206" i="106" s="1"/>
  <c r="L230" i="106"/>
  <c r="O230" i="106" s="1"/>
  <c r="L239" i="106"/>
  <c r="O239" i="106" s="1"/>
  <c r="L250" i="106"/>
  <c r="O250" i="106" s="1"/>
  <c r="L263" i="106"/>
  <c r="L267" i="106"/>
  <c r="O267" i="106" s="1"/>
  <c r="L285" i="106"/>
  <c r="O285" i="106" s="1"/>
  <c r="L308" i="106"/>
  <c r="O308" i="106" s="1"/>
  <c r="L328" i="106"/>
  <c r="O328" i="106" s="1"/>
  <c r="L340" i="106"/>
  <c r="O340" i="106" s="1"/>
  <c r="L342" i="106"/>
  <c r="O342" i="106" s="1"/>
  <c r="L11" i="105"/>
  <c r="L20" i="105"/>
  <c r="L32" i="105"/>
  <c r="L71" i="105"/>
  <c r="L75" i="105"/>
  <c r="L86" i="105"/>
  <c r="L95" i="105"/>
  <c r="L98" i="105"/>
  <c r="L122" i="105"/>
  <c r="L129" i="105"/>
  <c r="L100" i="107"/>
  <c r="L138" i="107"/>
  <c r="L176" i="107"/>
  <c r="L228" i="107"/>
  <c r="L253" i="107"/>
  <c r="L280" i="107"/>
  <c r="L286" i="107"/>
  <c r="L8" i="106"/>
  <c r="O8" i="106" s="1"/>
  <c r="L62" i="106"/>
  <c r="O62" i="106" s="1"/>
  <c r="L76" i="106"/>
  <c r="O76" i="106" s="1"/>
  <c r="L85" i="106"/>
  <c r="L98" i="106"/>
  <c r="O98" i="106" s="1"/>
  <c r="L128" i="106"/>
  <c r="O128" i="106" s="1"/>
  <c r="L129" i="106"/>
  <c r="O129" i="106" s="1"/>
  <c r="L135" i="106"/>
  <c r="O135" i="106" s="1"/>
  <c r="L180" i="106"/>
  <c r="O180" i="106" s="1"/>
  <c r="L194" i="106"/>
  <c r="O194" i="106" s="1"/>
  <c r="L201" i="106"/>
  <c r="O201" i="106" s="1"/>
  <c r="L205" i="106"/>
  <c r="O205" i="106" s="1"/>
  <c r="L251" i="106"/>
  <c r="O251" i="106" s="1"/>
  <c r="L253" i="106"/>
  <c r="O253" i="106" s="1"/>
  <c r="L254" i="106"/>
  <c r="O254" i="106" s="1"/>
  <c r="L307" i="106"/>
  <c r="O307" i="106" s="1"/>
  <c r="L314" i="106"/>
  <c r="O314" i="106" s="1"/>
  <c r="L73" i="105"/>
  <c r="L101" i="105"/>
  <c r="L102" i="105"/>
  <c r="L106" i="105"/>
  <c r="L107" i="105"/>
  <c r="L115" i="105"/>
  <c r="L120" i="105"/>
  <c r="L121" i="105"/>
  <c r="L135" i="105"/>
  <c r="L143" i="105"/>
  <c r="L155" i="105"/>
  <c r="L171" i="105"/>
  <c r="L175" i="105"/>
  <c r="L182" i="105"/>
  <c r="L188" i="105"/>
  <c r="L239" i="105"/>
  <c r="L251" i="105"/>
  <c r="L257" i="105"/>
  <c r="L308" i="105"/>
  <c r="L310" i="105"/>
  <c r="L319" i="105"/>
  <c r="L321" i="105"/>
  <c r="L145" i="107"/>
  <c r="L201" i="107"/>
  <c r="L33" i="106"/>
  <c r="O33" i="106" s="1"/>
  <c r="L95" i="106"/>
  <c r="O95" i="106" s="1"/>
  <c r="L115" i="106"/>
  <c r="O115" i="106" s="1"/>
  <c r="L126" i="106"/>
  <c r="O126" i="106" s="1"/>
  <c r="L153" i="106"/>
  <c r="O153" i="106" s="1"/>
  <c r="L158" i="106"/>
  <c r="O158" i="106" s="1"/>
  <c r="L193" i="106"/>
  <c r="O193" i="106" s="1"/>
  <c r="L279" i="106"/>
  <c r="L313" i="106"/>
  <c r="O313" i="106" s="1"/>
  <c r="L13" i="105"/>
  <c r="L66" i="105"/>
  <c r="L67" i="105"/>
  <c r="L72" i="105"/>
  <c r="L116" i="105"/>
  <c r="L124" i="105"/>
  <c r="L136" i="105"/>
  <c r="L145" i="105"/>
  <c r="L149" i="105"/>
  <c r="L162" i="105"/>
  <c r="L165" i="105"/>
  <c r="L172" i="105"/>
  <c r="L177" i="105"/>
  <c r="L189" i="105"/>
  <c r="L191" i="105"/>
  <c r="L202" i="105"/>
  <c r="L263" i="105"/>
  <c r="L281" i="105"/>
  <c r="L283" i="105"/>
  <c r="L285" i="105"/>
  <c r="L298" i="105"/>
  <c r="L311" i="105"/>
  <c r="L319" i="108"/>
  <c r="L160" i="107"/>
  <c r="L166" i="107"/>
  <c r="L279" i="107"/>
  <c r="L310" i="107"/>
  <c r="L31" i="106"/>
  <c r="O31" i="106" s="1"/>
  <c r="L70" i="106"/>
  <c r="O70" i="106" s="1"/>
  <c r="L78" i="106"/>
  <c r="O78" i="106" s="1"/>
  <c r="L87" i="106"/>
  <c r="O87" i="106" s="1"/>
  <c r="L90" i="106"/>
  <c r="O90" i="106" s="1"/>
  <c r="L102" i="106"/>
  <c r="O102" i="106" s="1"/>
  <c r="L104" i="106"/>
  <c r="O104" i="106" s="1"/>
  <c r="L112" i="106"/>
  <c r="O112" i="106" s="1"/>
  <c r="L149" i="106"/>
  <c r="O149" i="106" s="1"/>
  <c r="L172" i="106"/>
  <c r="O172" i="106" s="1"/>
  <c r="L176" i="106"/>
  <c r="O176" i="106" s="1"/>
  <c r="L189" i="106"/>
  <c r="L191" i="106"/>
  <c r="O191" i="106" s="1"/>
  <c r="L258" i="106"/>
  <c r="O258" i="106" s="1"/>
  <c r="L298" i="106"/>
  <c r="L303" i="106"/>
  <c r="O303" i="106" s="1"/>
  <c r="L310" i="106"/>
  <c r="O310" i="106" s="1"/>
  <c r="L317" i="106"/>
  <c r="O317" i="106" s="1"/>
  <c r="L331" i="106"/>
  <c r="O331" i="106" s="1"/>
  <c r="L348" i="106"/>
  <c r="O348" i="106" s="1"/>
  <c r="L349" i="106"/>
  <c r="O349" i="106" s="1"/>
  <c r="L16" i="105"/>
  <c r="L27" i="105"/>
  <c r="L34" i="105"/>
  <c r="L61" i="105"/>
  <c r="L62" i="105"/>
  <c r="L113" i="105"/>
  <c r="L114" i="105"/>
  <c r="L132" i="105"/>
  <c r="L140" i="105"/>
  <c r="L147" i="105"/>
  <c r="L153" i="105"/>
  <c r="L160" i="105"/>
  <c r="L176" i="105"/>
  <c r="L181" i="105"/>
  <c r="L184" i="105"/>
  <c r="L230" i="105"/>
  <c r="L241" i="105"/>
  <c r="L254" i="105"/>
  <c r="L286" i="105"/>
  <c r="L330" i="105"/>
  <c r="L332" i="105"/>
  <c r="L105" i="107"/>
  <c r="L266" i="107"/>
  <c r="L314" i="107"/>
  <c r="L319" i="107"/>
  <c r="L9" i="106"/>
  <c r="L44" i="106"/>
  <c r="O44" i="106" s="1"/>
  <c r="L64" i="106"/>
  <c r="O64" i="106" s="1"/>
  <c r="L86" i="106"/>
  <c r="O86" i="106" s="1"/>
  <c r="L110" i="106"/>
  <c r="O110" i="106" s="1"/>
  <c r="L111" i="106"/>
  <c r="O111" i="106" s="1"/>
  <c r="L137" i="106"/>
  <c r="O137" i="106" s="1"/>
  <c r="L139" i="106"/>
  <c r="O139" i="106" s="1"/>
  <c r="L148" i="106"/>
  <c r="O148" i="106" s="1"/>
  <c r="L156" i="106"/>
  <c r="L161" i="106"/>
  <c r="O161" i="106" s="1"/>
  <c r="L182" i="106"/>
  <c r="O182" i="106" s="1"/>
  <c r="L202" i="106"/>
  <c r="O202" i="106" s="1"/>
  <c r="L256" i="106"/>
  <c r="O256" i="106" s="1"/>
  <c r="L257" i="106"/>
  <c r="O257" i="106" s="1"/>
  <c r="L286" i="106"/>
  <c r="L118" i="106"/>
  <c r="O118" i="106" s="1"/>
  <c r="L127" i="106"/>
  <c r="O127" i="106" s="1"/>
  <c r="L134" i="106"/>
  <c r="O134" i="106" s="1"/>
  <c r="L168" i="106"/>
  <c r="O168" i="106" s="1"/>
  <c r="L173" i="106"/>
  <c r="O173" i="106" s="1"/>
  <c r="L228" i="106"/>
  <c r="O228" i="106" s="1"/>
  <c r="L265" i="106"/>
  <c r="O265" i="106" s="1"/>
  <c r="L322" i="106"/>
  <c r="O322" i="106" s="1"/>
  <c r="L345" i="106"/>
  <c r="O345" i="106" s="1"/>
  <c r="L17" i="105"/>
  <c r="L119" i="108"/>
  <c r="L9" i="107"/>
  <c r="L43" i="107"/>
  <c r="L60" i="107"/>
  <c r="L74" i="106"/>
  <c r="O74" i="106" s="1"/>
  <c r="L113" i="106"/>
  <c r="O113" i="106" s="1"/>
  <c r="L143" i="106"/>
  <c r="O143" i="106" s="1"/>
  <c r="L150" i="106"/>
  <c r="L183" i="106"/>
  <c r="O183" i="106" s="1"/>
  <c r="L192" i="106"/>
  <c r="O192" i="106" s="1"/>
  <c r="L198" i="106"/>
  <c r="O198" i="106" s="1"/>
  <c r="L341" i="106"/>
  <c r="O341" i="106" s="1"/>
  <c r="L15" i="105"/>
  <c r="L31" i="105"/>
  <c r="L33" i="105"/>
  <c r="L69" i="105"/>
  <c r="L111" i="107"/>
  <c r="L251" i="107"/>
  <c r="L313" i="107"/>
  <c r="L61" i="106"/>
  <c r="O61" i="106" s="1"/>
  <c r="L71" i="106"/>
  <c r="O71" i="106" s="1"/>
  <c r="L83" i="106"/>
  <c r="O83" i="106" s="1"/>
  <c r="L131" i="106"/>
  <c r="O131" i="106" s="1"/>
  <c r="L140" i="106"/>
  <c r="O140" i="106" s="1"/>
  <c r="L164" i="106"/>
  <c r="O164" i="106" s="1"/>
  <c r="L179" i="106"/>
  <c r="L266" i="106"/>
  <c r="O266" i="106" s="1"/>
  <c r="L81" i="105"/>
  <c r="L84" i="105"/>
  <c r="L82" i="106"/>
  <c r="O82" i="106" s="1"/>
  <c r="L91" i="106"/>
  <c r="O91" i="106" s="1"/>
  <c r="L114" i="106"/>
  <c r="O114" i="106" s="1"/>
  <c r="L116" i="106"/>
  <c r="O116" i="106" s="1"/>
  <c r="L175" i="106"/>
  <c r="O175" i="106" s="1"/>
  <c r="L195" i="106"/>
  <c r="O195" i="106" s="1"/>
  <c r="L63" i="105"/>
  <c r="L80" i="105"/>
  <c r="L83" i="105"/>
  <c r="L89" i="105"/>
  <c r="L103" i="105"/>
  <c r="L157" i="105"/>
  <c r="L347" i="107"/>
  <c r="L120" i="106"/>
  <c r="O120" i="106" s="1"/>
  <c r="L44" i="105"/>
  <c r="L90" i="105"/>
  <c r="L110" i="105"/>
  <c r="L117" i="105"/>
  <c r="L183" i="105"/>
  <c r="L198" i="105"/>
  <c r="L204" i="105"/>
  <c r="L258" i="105"/>
  <c r="L280" i="105"/>
  <c r="L312" i="105"/>
  <c r="L346" i="105"/>
  <c r="L349" i="105"/>
  <c r="L20" i="104"/>
  <c r="L31" i="104"/>
  <c r="L40" i="104"/>
  <c r="L70" i="104"/>
  <c r="L74" i="104"/>
  <c r="L76" i="104"/>
  <c r="L159" i="108"/>
  <c r="L257" i="107"/>
  <c r="L92" i="106"/>
  <c r="O92" i="106" s="1"/>
  <c r="L142" i="106"/>
  <c r="O142" i="106" s="1"/>
  <c r="L60" i="105"/>
  <c r="L93" i="105"/>
  <c r="L104" i="105"/>
  <c r="L112" i="105"/>
  <c r="L123" i="105"/>
  <c r="L146" i="105"/>
  <c r="L154" i="105"/>
  <c r="L166" i="105"/>
  <c r="L167" i="105"/>
  <c r="L190" i="105"/>
  <c r="L203" i="105"/>
  <c r="L229" i="105"/>
  <c r="L266" i="105"/>
  <c r="L279" i="105"/>
  <c r="L322" i="105"/>
  <c r="L15" i="104"/>
  <c r="L61" i="104"/>
  <c r="L64" i="104"/>
  <c r="L72" i="104"/>
  <c r="L82" i="104"/>
  <c r="L97" i="104"/>
  <c r="L317" i="107"/>
  <c r="L124" i="106"/>
  <c r="O124" i="106" s="1"/>
  <c r="L145" i="106"/>
  <c r="O145" i="106" s="1"/>
  <c r="L154" i="106"/>
  <c r="O154" i="106" s="1"/>
  <c r="L332" i="106"/>
  <c r="O332" i="106" s="1"/>
  <c r="L43" i="105"/>
  <c r="L82" i="105"/>
  <c r="L111" i="105"/>
  <c r="L119" i="105"/>
  <c r="L125" i="105"/>
  <c r="L164" i="105"/>
  <c r="L195" i="105"/>
  <c r="L201" i="105"/>
  <c r="L206" i="105"/>
  <c r="L250" i="105"/>
  <c r="L252" i="105"/>
  <c r="L253" i="105"/>
  <c r="L264" i="105"/>
  <c r="L272" i="105"/>
  <c r="L314" i="105"/>
  <c r="L11" i="104"/>
  <c r="L19" i="104"/>
  <c r="L60" i="104"/>
  <c r="L63" i="104"/>
  <c r="L73" i="104"/>
  <c r="L264" i="106"/>
  <c r="O264" i="106" s="1"/>
  <c r="L312" i="106"/>
  <c r="O312" i="106" s="1"/>
  <c r="L315" i="106"/>
  <c r="O315" i="106" s="1"/>
  <c r="L18" i="105"/>
  <c r="L78" i="105"/>
  <c r="L91" i="105"/>
  <c r="L99" i="105"/>
  <c r="L105" i="105"/>
  <c r="L118" i="105"/>
  <c r="L131" i="105"/>
  <c r="L141" i="105"/>
  <c r="L179" i="105"/>
  <c r="L205" i="105"/>
  <c r="L320" i="105"/>
  <c r="L329" i="105"/>
  <c r="L344" i="105"/>
  <c r="L347" i="105"/>
  <c r="L17" i="104"/>
  <c r="L16" i="106"/>
  <c r="O16" i="106" s="1"/>
  <c r="L40" i="106"/>
  <c r="O40" i="106" s="1"/>
  <c r="L63" i="106"/>
  <c r="O63" i="106" s="1"/>
  <c r="L146" i="106"/>
  <c r="O146" i="106" s="1"/>
  <c r="L320" i="106"/>
  <c r="O320" i="106" s="1"/>
  <c r="L344" i="106"/>
  <c r="O344" i="106" s="1"/>
  <c r="L40" i="105"/>
  <c r="L70" i="105"/>
  <c r="L133" i="105"/>
  <c r="L137" i="105"/>
  <c r="L139" i="105"/>
  <c r="L152" i="105"/>
  <c r="L174" i="105"/>
  <c r="L193" i="105"/>
  <c r="L307" i="105"/>
  <c r="L309" i="105"/>
  <c r="L313" i="105"/>
  <c r="L315" i="105"/>
  <c r="L8" i="104"/>
  <c r="L9" i="104"/>
  <c r="L27" i="104"/>
  <c r="L33" i="104"/>
  <c r="L88" i="104"/>
  <c r="L91" i="104"/>
  <c r="L93" i="104"/>
  <c r="L106" i="104"/>
  <c r="L113" i="104"/>
  <c r="L118" i="104"/>
  <c r="L122" i="104"/>
  <c r="L127" i="104"/>
  <c r="L132" i="104"/>
  <c r="L147" i="104"/>
  <c r="L156" i="104"/>
  <c r="L158" i="104"/>
  <c r="L165" i="104"/>
  <c r="L171" i="104"/>
  <c r="L84" i="106"/>
  <c r="O84" i="106" s="1"/>
  <c r="L99" i="106"/>
  <c r="O99" i="106" s="1"/>
  <c r="L132" i="106"/>
  <c r="O132" i="106" s="1"/>
  <c r="L229" i="106"/>
  <c r="L311" i="106"/>
  <c r="O311" i="106" s="1"/>
  <c r="L108" i="105"/>
  <c r="L158" i="105"/>
  <c r="L228" i="105"/>
  <c r="L273" i="105"/>
  <c r="L343" i="105"/>
  <c r="L348" i="105"/>
  <c r="L16" i="104"/>
  <c r="L85" i="104"/>
  <c r="L95" i="104"/>
  <c r="L104" i="104"/>
  <c r="L108" i="104"/>
  <c r="L124" i="104"/>
  <c r="L129" i="104"/>
  <c r="L134" i="104"/>
  <c r="L139" i="104"/>
  <c r="L149" i="104"/>
  <c r="L153" i="104"/>
  <c r="L173" i="104"/>
  <c r="L191" i="104"/>
  <c r="L229" i="104"/>
  <c r="L242" i="107"/>
  <c r="L77" i="105"/>
  <c r="L88" i="105"/>
  <c r="L126" i="105"/>
  <c r="L180" i="105"/>
  <c r="L197" i="105"/>
  <c r="L268" i="105"/>
  <c r="L331" i="105"/>
  <c r="L340" i="105"/>
  <c r="L14" i="104"/>
  <c r="L34" i="104"/>
  <c r="L80" i="104"/>
  <c r="L99" i="104"/>
  <c r="L101" i="104"/>
  <c r="L103" i="104"/>
  <c r="L109" i="104"/>
  <c r="L111" i="104"/>
  <c r="L125" i="104"/>
  <c r="L133" i="104"/>
  <c r="L135" i="104"/>
  <c r="L140" i="104"/>
  <c r="L150" i="104"/>
  <c r="L152" i="104"/>
  <c r="L155" i="104"/>
  <c r="L168" i="104"/>
  <c r="L174" i="104"/>
  <c r="L182" i="104"/>
  <c r="L190" i="104"/>
  <c r="L196" i="104"/>
  <c r="L203" i="104"/>
  <c r="L34" i="106"/>
  <c r="O34" i="106" s="1"/>
  <c r="L65" i="106"/>
  <c r="O65" i="106" s="1"/>
  <c r="L273" i="106"/>
  <c r="O273" i="106" s="1"/>
  <c r="L97" i="105"/>
  <c r="L128" i="105"/>
  <c r="L187" i="105"/>
  <c r="L303" i="105"/>
  <c r="L345" i="105"/>
  <c r="L10" i="104"/>
  <c r="L12" i="104"/>
  <c r="L13" i="104"/>
  <c r="L43" i="104"/>
  <c r="L44" i="104"/>
  <c r="L71" i="104"/>
  <c r="L81" i="104"/>
  <c r="L86" i="104"/>
  <c r="L116" i="104"/>
  <c r="L120" i="104"/>
  <c r="L130" i="104"/>
  <c r="L137" i="104"/>
  <c r="L142" i="104"/>
  <c r="L161" i="104"/>
  <c r="L166" i="104"/>
  <c r="L175" i="104"/>
  <c r="L179" i="104"/>
  <c r="L188" i="104"/>
  <c r="L97" i="106"/>
  <c r="O97" i="106" s="1"/>
  <c r="L280" i="106"/>
  <c r="O280" i="106" s="1"/>
  <c r="L127" i="105"/>
  <c r="L161" i="105"/>
  <c r="L342" i="105"/>
  <c r="L77" i="104"/>
  <c r="L107" i="104"/>
  <c r="L110" i="104"/>
  <c r="L112" i="104"/>
  <c r="L114" i="104"/>
  <c r="L117" i="104"/>
  <c r="L159" i="104"/>
  <c r="L162" i="104"/>
  <c r="L177" i="104"/>
  <c r="L181" i="104"/>
  <c r="L189" i="104"/>
  <c r="L192" i="104"/>
  <c r="L256" i="104"/>
  <c r="L258" i="104"/>
  <c r="L279" i="104"/>
  <c r="L308" i="104"/>
  <c r="L314" i="104"/>
  <c r="L325" i="104"/>
  <c r="L348" i="104"/>
  <c r="L17" i="98"/>
  <c r="L34" i="98"/>
  <c r="L62" i="98"/>
  <c r="L66" i="98"/>
  <c r="L68" i="98"/>
  <c r="L75" i="98"/>
  <c r="L82" i="98"/>
  <c r="L85" i="98"/>
  <c r="L93" i="98"/>
  <c r="L96" i="98"/>
  <c r="L99" i="98"/>
  <c r="L115" i="98"/>
  <c r="L120" i="98"/>
  <c r="L141" i="98"/>
  <c r="L158" i="98"/>
  <c r="L176" i="98"/>
  <c r="L180" i="98"/>
  <c r="L190" i="98"/>
  <c r="L229" i="98"/>
  <c r="L257" i="98"/>
  <c r="L268" i="98"/>
  <c r="L66" i="106"/>
  <c r="O66" i="106" s="1"/>
  <c r="L119" i="106"/>
  <c r="O119" i="106" s="1"/>
  <c r="L8" i="105"/>
  <c r="L100" i="105"/>
  <c r="L192" i="105"/>
  <c r="L32" i="104"/>
  <c r="L68" i="104"/>
  <c r="L90" i="104"/>
  <c r="L145" i="104"/>
  <c r="L154" i="104"/>
  <c r="L157" i="104"/>
  <c r="L187" i="104"/>
  <c r="L205" i="104"/>
  <c r="L267" i="104"/>
  <c r="L286" i="104"/>
  <c r="L312" i="104"/>
  <c r="L319" i="104"/>
  <c r="L321" i="104"/>
  <c r="L347" i="104"/>
  <c r="L8" i="98"/>
  <c r="L13" i="98"/>
  <c r="L27" i="98"/>
  <c r="L64" i="98"/>
  <c r="L69" i="98"/>
  <c r="L77" i="98"/>
  <c r="L84" i="98"/>
  <c r="L91" i="98"/>
  <c r="L94" i="98"/>
  <c r="L116" i="98"/>
  <c r="L118" i="98"/>
  <c r="L121" i="98"/>
  <c r="L124" i="98"/>
  <c r="L129" i="98"/>
  <c r="L132" i="98"/>
  <c r="L155" i="98"/>
  <c r="L156" i="98"/>
  <c r="L164" i="98"/>
  <c r="L188" i="98"/>
  <c r="L191" i="98"/>
  <c r="L195" i="98"/>
  <c r="L198" i="98"/>
  <c r="L202" i="98"/>
  <c r="L255" i="98"/>
  <c r="L307" i="98"/>
  <c r="L329" i="98"/>
  <c r="L345" i="98"/>
  <c r="L147" i="106"/>
  <c r="O147" i="106" s="1"/>
  <c r="L173" i="105"/>
  <c r="L78" i="104"/>
  <c r="L84" i="104"/>
  <c r="L121" i="104"/>
  <c r="L123" i="104"/>
  <c r="L126" i="104"/>
  <c r="L128" i="104"/>
  <c r="L131" i="104"/>
  <c r="L183" i="104"/>
  <c r="L194" i="104"/>
  <c r="L195" i="104"/>
  <c r="L202" i="104"/>
  <c r="L241" i="104"/>
  <c r="L253" i="104"/>
  <c r="L255" i="104"/>
  <c r="L273" i="104"/>
  <c r="L283" i="104"/>
  <c r="L298" i="104"/>
  <c r="L310" i="104"/>
  <c r="L322" i="104"/>
  <c r="L345" i="104"/>
  <c r="L14" i="98"/>
  <c r="L32" i="98"/>
  <c r="L63" i="98"/>
  <c r="L65" i="98"/>
  <c r="L87" i="98"/>
  <c r="L92" i="98"/>
  <c r="L95" i="98"/>
  <c r="L119" i="98"/>
  <c r="L149" i="98"/>
  <c r="L166" i="98"/>
  <c r="L175" i="98"/>
  <c r="L187" i="98"/>
  <c r="L189" i="98"/>
  <c r="L253" i="98"/>
  <c r="L263" i="98"/>
  <c r="L280" i="98"/>
  <c r="L285" i="98"/>
  <c r="L298" i="98"/>
  <c r="L43" i="106"/>
  <c r="O43" i="106" s="1"/>
  <c r="L74" i="105"/>
  <c r="L142" i="105"/>
  <c r="L242" i="105"/>
  <c r="L317" i="105"/>
  <c r="L66" i="104"/>
  <c r="L83" i="104"/>
  <c r="L100" i="104"/>
  <c r="L141" i="104"/>
  <c r="L167" i="104"/>
  <c r="L263" i="104"/>
  <c r="L264" i="104"/>
  <c r="L265" i="104"/>
  <c r="L281" i="104"/>
  <c r="L284" i="104"/>
  <c r="L317" i="104"/>
  <c r="L328" i="104"/>
  <c r="L329" i="104"/>
  <c r="L330" i="104"/>
  <c r="L340" i="104"/>
  <c r="L349" i="104"/>
  <c r="L16" i="98"/>
  <c r="L79" i="98"/>
  <c r="L86" i="98"/>
  <c r="L104" i="98"/>
  <c r="L114" i="98"/>
  <c r="L125" i="98"/>
  <c r="L135" i="98"/>
  <c r="L142" i="98"/>
  <c r="L157" i="98"/>
  <c r="L171" i="98"/>
  <c r="L181" i="98"/>
  <c r="L197" i="98"/>
  <c r="L205" i="98"/>
  <c r="L206" i="98"/>
  <c r="L239" i="98"/>
  <c r="L242" i="98"/>
  <c r="L264" i="98"/>
  <c r="L308" i="98"/>
  <c r="L309" i="98"/>
  <c r="L325" i="98"/>
  <c r="L328" i="98"/>
  <c r="L348" i="98"/>
  <c r="L141" i="106"/>
  <c r="O141" i="106" s="1"/>
  <c r="L157" i="106"/>
  <c r="L267" i="105"/>
  <c r="L89" i="104"/>
  <c r="L252" i="104"/>
  <c r="L280" i="104"/>
  <c r="L331" i="104"/>
  <c r="L332" i="104"/>
  <c r="L9" i="98"/>
  <c r="L15" i="98"/>
  <c r="L60" i="98"/>
  <c r="L61" i="98"/>
  <c r="L89" i="98"/>
  <c r="L105" i="98"/>
  <c r="L106" i="98"/>
  <c r="L107" i="98"/>
  <c r="L108" i="98"/>
  <c r="L117" i="98"/>
  <c r="L127" i="98"/>
  <c r="L136" i="98"/>
  <c r="L143" i="98"/>
  <c r="L179" i="98"/>
  <c r="L182" i="98"/>
  <c r="L183" i="98"/>
  <c r="L184" i="98"/>
  <c r="L204" i="98"/>
  <c r="L241" i="98"/>
  <c r="L319" i="98"/>
  <c r="L322" i="98"/>
  <c r="L228" i="98"/>
  <c r="L250" i="98"/>
  <c r="L320" i="98"/>
  <c r="L342" i="98"/>
  <c r="L256" i="105"/>
  <c r="L341" i="105"/>
  <c r="L67" i="104"/>
  <c r="L79" i="104"/>
  <c r="L115" i="104"/>
  <c r="L164" i="104"/>
  <c r="L198" i="104"/>
  <c r="L239" i="104"/>
  <c r="L309" i="104"/>
  <c r="L67" i="98"/>
  <c r="L111" i="98"/>
  <c r="L145" i="98"/>
  <c r="L146" i="98"/>
  <c r="L147" i="98"/>
  <c r="L148" i="98"/>
  <c r="L154" i="98"/>
  <c r="L201" i="98"/>
  <c r="L312" i="98"/>
  <c r="L316" i="98"/>
  <c r="L330" i="98"/>
  <c r="L340" i="98"/>
  <c r="L156" i="105"/>
  <c r="L168" i="105"/>
  <c r="L196" i="105"/>
  <c r="L328" i="105"/>
  <c r="L75" i="104"/>
  <c r="L92" i="104"/>
  <c r="L96" i="104"/>
  <c r="L136" i="104"/>
  <c r="L172" i="104"/>
  <c r="L176" i="104"/>
  <c r="L201" i="104"/>
  <c r="L228" i="104"/>
  <c r="L242" i="104"/>
  <c r="L251" i="104"/>
  <c r="L285" i="104"/>
  <c r="L303" i="104"/>
  <c r="L311" i="104"/>
  <c r="L320" i="104"/>
  <c r="L10" i="98"/>
  <c r="L88" i="98"/>
  <c r="L90" i="98"/>
  <c r="L168" i="98"/>
  <c r="L203" i="98"/>
  <c r="L230" i="98"/>
  <c r="L251" i="98"/>
  <c r="L252" i="98"/>
  <c r="L310" i="98"/>
  <c r="L315" i="98"/>
  <c r="L332" i="98"/>
  <c r="L242" i="106"/>
  <c r="O242" i="106" s="1"/>
  <c r="L325" i="105"/>
  <c r="L62" i="104"/>
  <c r="L65" i="104"/>
  <c r="L119" i="104"/>
  <c r="L143" i="104"/>
  <c r="L148" i="104"/>
  <c r="L250" i="104"/>
  <c r="L346" i="104"/>
  <c r="L11" i="98"/>
  <c r="L12" i="98"/>
  <c r="L83" i="98"/>
  <c r="L97" i="98"/>
  <c r="L98" i="98"/>
  <c r="L109" i="98"/>
  <c r="L110" i="98"/>
  <c r="L128" i="98"/>
  <c r="L137" i="98"/>
  <c r="L159" i="98"/>
  <c r="L161" i="98"/>
  <c r="L165" i="98"/>
  <c r="L167" i="98"/>
  <c r="L177" i="98"/>
  <c r="L272" i="98"/>
  <c r="L273" i="98"/>
  <c r="L281" i="98"/>
  <c r="L349" i="98"/>
  <c r="L193" i="104"/>
  <c r="L130" i="98"/>
  <c r="L138" i="98"/>
  <c r="L160" i="98"/>
  <c r="L254" i="98"/>
  <c r="L303" i="98"/>
  <c r="L311" i="98"/>
  <c r="L346" i="98"/>
  <c r="L150" i="105"/>
  <c r="L316" i="105"/>
  <c r="L18" i="104"/>
  <c r="L69" i="104"/>
  <c r="L94" i="104"/>
  <c r="L98" i="104"/>
  <c r="L102" i="104"/>
  <c r="L105" i="104"/>
  <c r="L138" i="104"/>
  <c r="L160" i="104"/>
  <c r="L254" i="104"/>
  <c r="L272" i="104"/>
  <c r="L343" i="104"/>
  <c r="L344" i="104"/>
  <c r="L33" i="98"/>
  <c r="L40" i="98"/>
  <c r="L71" i="98"/>
  <c r="L72" i="98"/>
  <c r="L100" i="98"/>
  <c r="L101" i="98"/>
  <c r="L102" i="98"/>
  <c r="L131" i="98"/>
  <c r="L139" i="98"/>
  <c r="L140" i="98"/>
  <c r="L162" i="98"/>
  <c r="L192" i="98"/>
  <c r="L266" i="98"/>
  <c r="L267" i="98"/>
  <c r="L283" i="98"/>
  <c r="L284" i="98"/>
  <c r="L317" i="98"/>
  <c r="L321" i="98"/>
  <c r="L343" i="98"/>
  <c r="L136" i="106"/>
  <c r="O136" i="106" s="1"/>
  <c r="L321" i="106"/>
  <c r="O321" i="106" s="1"/>
  <c r="L87" i="105"/>
  <c r="L284" i="105"/>
  <c r="L87" i="104"/>
  <c r="L180" i="104"/>
  <c r="L204" i="104"/>
  <c r="L257" i="104"/>
  <c r="L268" i="104"/>
  <c r="L342" i="104"/>
  <c r="L18" i="98"/>
  <c r="L43" i="98"/>
  <c r="L44" i="98"/>
  <c r="L70" i="98"/>
  <c r="L73" i="98"/>
  <c r="L76" i="98"/>
  <c r="L103" i="98"/>
  <c r="L112" i="98"/>
  <c r="L122" i="98"/>
  <c r="L133" i="98"/>
  <c r="L153" i="98"/>
  <c r="L174" i="98"/>
  <c r="L193" i="98"/>
  <c r="L256" i="98"/>
  <c r="L258" i="98"/>
  <c r="L265" i="98"/>
  <c r="L279" i="98"/>
  <c r="L313" i="98"/>
  <c r="L331" i="98"/>
  <c r="L347" i="98"/>
  <c r="L133" i="106"/>
  <c r="O133" i="106" s="1"/>
  <c r="L96" i="105"/>
  <c r="L130" i="105"/>
  <c r="L148" i="105"/>
  <c r="L159" i="105"/>
  <c r="L194" i="105"/>
  <c r="L255" i="105"/>
  <c r="L265" i="105"/>
  <c r="L146" i="104"/>
  <c r="L184" i="104"/>
  <c r="L197" i="104"/>
  <c r="L206" i="104"/>
  <c r="L230" i="104"/>
  <c r="L266" i="104"/>
  <c r="L307" i="104"/>
  <c r="L313" i="104"/>
  <c r="L315" i="104"/>
  <c r="L316" i="104"/>
  <c r="L341" i="104"/>
  <c r="L19" i="98"/>
  <c r="L20" i="98"/>
  <c r="L31" i="98"/>
  <c r="L74" i="98"/>
  <c r="L78" i="98"/>
  <c r="L80" i="98"/>
  <c r="L81" i="98"/>
  <c r="L113" i="98"/>
  <c r="L123" i="98"/>
  <c r="L126" i="98"/>
  <c r="L134" i="98"/>
  <c r="L150" i="98"/>
  <c r="L152" i="98"/>
  <c r="L172" i="98"/>
  <c r="L173" i="98"/>
  <c r="L194" i="98"/>
  <c r="L196" i="98"/>
  <c r="L286" i="98"/>
  <c r="L314" i="98"/>
  <c r="L341" i="98"/>
  <c r="L344" i="98"/>
  <c r="N21" i="108"/>
  <c r="O21" i="108" s="1"/>
  <c r="N49" i="108"/>
  <c r="O49" i="108" s="1"/>
  <c r="N50" i="108"/>
  <c r="O50" i="108" s="1"/>
  <c r="N53" i="108"/>
  <c r="O53" i="108" s="1"/>
  <c r="N55" i="108"/>
  <c r="O55" i="108" s="1"/>
  <c r="N47" i="108"/>
  <c r="O47" i="108" s="1"/>
  <c r="N51" i="108"/>
  <c r="O51" i="108" s="1"/>
  <c r="N57" i="108"/>
  <c r="O57" i="108" s="1"/>
  <c r="N22" i="108"/>
  <c r="O22" i="108" s="1"/>
  <c r="N45" i="108"/>
  <c r="O45" i="108" s="1"/>
  <c r="N4" i="108"/>
  <c r="O4" i="108" s="1"/>
  <c r="N48" i="108"/>
  <c r="O48" i="108" s="1"/>
  <c r="N46" i="108"/>
  <c r="O46" i="108" s="1"/>
  <c r="N59" i="108"/>
  <c r="O59" i="108" s="1"/>
  <c r="N52" i="108"/>
  <c r="O52" i="108" s="1"/>
  <c r="N56" i="108"/>
  <c r="O56" i="108" s="1"/>
  <c r="N42" i="108"/>
  <c r="O42" i="108" s="1"/>
  <c r="N185" i="108"/>
  <c r="O185" i="108" s="1"/>
  <c r="N216" i="108"/>
  <c r="O216" i="108" s="1"/>
  <c r="N219" i="108"/>
  <c r="O219" i="108" s="1"/>
  <c r="N186" i="108"/>
  <c r="O186" i="108" s="1"/>
  <c r="N217" i="108"/>
  <c r="O217" i="108" s="1"/>
  <c r="N163" i="108"/>
  <c r="O163" i="108" s="1"/>
  <c r="N169" i="108"/>
  <c r="O169" i="108" s="1"/>
  <c r="N208" i="108"/>
  <c r="O208" i="108" s="1"/>
  <c r="N218" i="108"/>
  <c r="O218" i="108" s="1"/>
  <c r="N236" i="108"/>
  <c r="O236" i="108" s="1"/>
  <c r="N245" i="108"/>
  <c r="O245" i="108" s="1"/>
  <c r="N248" i="108"/>
  <c r="O248" i="108" s="1"/>
  <c r="N269" i="108"/>
  <c r="O269" i="108" s="1"/>
  <c r="N221" i="108"/>
  <c r="O221" i="108" s="1"/>
  <c r="N235" i="108"/>
  <c r="O235" i="108" s="1"/>
  <c r="N246" i="108"/>
  <c r="O246" i="108" s="1"/>
  <c r="N231" i="108"/>
  <c r="O231" i="108" s="1"/>
  <c r="N247" i="108"/>
  <c r="O247" i="108" s="1"/>
  <c r="N223" i="108"/>
  <c r="O223" i="108" s="1"/>
  <c r="N240" i="108"/>
  <c r="O240" i="108" s="1"/>
  <c r="N207" i="108"/>
  <c r="O207" i="108" s="1"/>
  <c r="N209" i="108"/>
  <c r="O209" i="108" s="1"/>
  <c r="N222" i="108"/>
  <c r="O222" i="108" s="1"/>
  <c r="N234" i="108"/>
  <c r="O234" i="108" s="1"/>
  <c r="N238" i="108"/>
  <c r="O238" i="108" s="1"/>
  <c r="N290" i="108"/>
  <c r="O290" i="108" s="1"/>
  <c r="N318" i="108"/>
  <c r="O318" i="108" s="1"/>
  <c r="N324" i="108"/>
  <c r="O324" i="108" s="1"/>
  <c r="N336" i="108"/>
  <c r="O336" i="108" s="1"/>
  <c r="N339" i="108"/>
  <c r="O339" i="108" s="1"/>
  <c r="N350" i="108"/>
  <c r="O350" i="108" s="1"/>
  <c r="N22" i="107"/>
  <c r="N42" i="107"/>
  <c r="N49" i="107"/>
  <c r="N58" i="107"/>
  <c r="N233" i="108"/>
  <c r="O233" i="108" s="1"/>
  <c r="N305" i="108"/>
  <c r="O305" i="108" s="1"/>
  <c r="N46" i="107"/>
  <c r="N50" i="107"/>
  <c r="N52" i="107"/>
  <c r="N55" i="107"/>
  <c r="N292" i="108"/>
  <c r="O292" i="108" s="1"/>
  <c r="N301" i="108"/>
  <c r="O301" i="108" s="1"/>
  <c r="N327" i="108"/>
  <c r="O327" i="108" s="1"/>
  <c r="N4" i="107"/>
  <c r="N45" i="107"/>
  <c r="N48" i="107"/>
  <c r="N244" i="108"/>
  <c r="O244" i="108" s="1"/>
  <c r="N249" i="108"/>
  <c r="O249" i="108" s="1"/>
  <c r="N304" i="108"/>
  <c r="O304" i="108" s="1"/>
  <c r="N326" i="108"/>
  <c r="O326" i="108" s="1"/>
  <c r="N51" i="107"/>
  <c r="N57" i="107"/>
  <c r="N59" i="107"/>
  <c r="N224" i="108"/>
  <c r="O224" i="108" s="1"/>
  <c r="N232" i="108"/>
  <c r="O232" i="108" s="1"/>
  <c r="N287" i="108"/>
  <c r="O287" i="108" s="1"/>
  <c r="N222" i="107"/>
  <c r="N54" i="108"/>
  <c r="O54" i="108" s="1"/>
  <c r="N270" i="108"/>
  <c r="O270" i="108" s="1"/>
  <c r="N289" i="108"/>
  <c r="O289" i="108" s="1"/>
  <c r="N333" i="108"/>
  <c r="O333" i="108" s="1"/>
  <c r="N47" i="107"/>
  <c r="N210" i="108"/>
  <c r="O210" i="108" s="1"/>
  <c r="N220" i="108"/>
  <c r="O220" i="108" s="1"/>
  <c r="N271" i="108"/>
  <c r="O271" i="108" s="1"/>
  <c r="N323" i="108"/>
  <c r="O323" i="108" s="1"/>
  <c r="N335" i="108"/>
  <c r="O335" i="108" s="1"/>
  <c r="N288" i="108"/>
  <c r="O288" i="108" s="1"/>
  <c r="N53" i="107"/>
  <c r="N58" i="108"/>
  <c r="O58" i="108" s="1"/>
  <c r="N338" i="108"/>
  <c r="O338" i="108" s="1"/>
  <c r="N186" i="107"/>
  <c r="N220" i="107"/>
  <c r="N224" i="107"/>
  <c r="N240" i="107"/>
  <c r="N244" i="107"/>
  <c r="N287" i="107"/>
  <c r="N327" i="107"/>
  <c r="N4" i="106"/>
  <c r="N21" i="106"/>
  <c r="N334" i="108"/>
  <c r="O334" i="108" s="1"/>
  <c r="N163" i="107"/>
  <c r="N169" i="107"/>
  <c r="N207" i="107"/>
  <c r="N208" i="107"/>
  <c r="N245" i="107"/>
  <c r="N288" i="107"/>
  <c r="N304" i="107"/>
  <c r="N339" i="107"/>
  <c r="N337" i="108"/>
  <c r="O337" i="108" s="1"/>
  <c r="N223" i="107"/>
  <c r="N270" i="107"/>
  <c r="N334" i="107"/>
  <c r="N350" i="107"/>
  <c r="N21" i="107"/>
  <c r="N219" i="107"/>
  <c r="N231" i="107"/>
  <c r="N247" i="107"/>
  <c r="N290" i="107"/>
  <c r="N306" i="107"/>
  <c r="N326" i="107"/>
  <c r="N335" i="107"/>
  <c r="N185" i="107"/>
  <c r="N351" i="108"/>
  <c r="O351" i="108" s="1"/>
  <c r="N236" i="107"/>
  <c r="N54" i="107"/>
  <c r="N216" i="107"/>
  <c r="N249" i="107"/>
  <c r="N210" i="107"/>
  <c r="N246" i="107"/>
  <c r="N289" i="107"/>
  <c r="N338" i="107"/>
  <c r="N47" i="106"/>
  <c r="N50" i="106"/>
  <c r="N52" i="106"/>
  <c r="N55" i="106"/>
  <c r="N169" i="106"/>
  <c r="N210" i="106"/>
  <c r="N221" i="106"/>
  <c r="N246" i="106"/>
  <c r="N288" i="106"/>
  <c r="N337" i="106"/>
  <c r="N46" i="105"/>
  <c r="N50" i="105"/>
  <c r="N221" i="107"/>
  <c r="N269" i="107"/>
  <c r="N292" i="107"/>
  <c r="N333" i="107"/>
  <c r="N337" i="107"/>
  <c r="N22" i="106"/>
  <c r="N48" i="106"/>
  <c r="N56" i="106"/>
  <c r="N222" i="106"/>
  <c r="N231" i="106"/>
  <c r="N240" i="106"/>
  <c r="N247" i="106"/>
  <c r="N271" i="106"/>
  <c r="N289" i="106"/>
  <c r="N335" i="106"/>
  <c r="N42" i="105"/>
  <c r="N53" i="105"/>
  <c r="N217" i="107"/>
  <c r="N232" i="107"/>
  <c r="N305" i="107"/>
  <c r="N318" i="107"/>
  <c r="N323" i="107"/>
  <c r="N45" i="106"/>
  <c r="N51" i="106"/>
  <c r="N54" i="106"/>
  <c r="N217" i="106"/>
  <c r="N233" i="106"/>
  <c r="N290" i="106"/>
  <c r="N301" i="106"/>
  <c r="N339" i="106"/>
  <c r="N21" i="105"/>
  <c r="N48" i="105"/>
  <c r="N52" i="105"/>
  <c r="N56" i="107"/>
  <c r="N209" i="107"/>
  <c r="N53" i="106"/>
  <c r="N186" i="106"/>
  <c r="N238" i="106"/>
  <c r="N326" i="106"/>
  <c r="N45" i="105"/>
  <c r="N51" i="105"/>
  <c r="N207" i="105"/>
  <c r="N220" i="105"/>
  <c r="N318" i="105"/>
  <c r="N234" i="107"/>
  <c r="N336" i="107"/>
  <c r="N49" i="106"/>
  <c r="N185" i="106"/>
  <c r="N244" i="106"/>
  <c r="N245" i="106"/>
  <c r="N185" i="105"/>
  <c r="N210" i="105"/>
  <c r="N219" i="105"/>
  <c r="N246" i="105"/>
  <c r="N304" i="105"/>
  <c r="N235" i="107"/>
  <c r="N324" i="107"/>
  <c r="N46" i="106"/>
  <c r="N57" i="106"/>
  <c r="N58" i="106"/>
  <c r="N208" i="106"/>
  <c r="N232" i="106"/>
  <c r="N248" i="106"/>
  <c r="N304" i="106"/>
  <c r="N47" i="105"/>
  <c r="N58" i="105"/>
  <c r="N59" i="105"/>
  <c r="N221" i="105"/>
  <c r="N233" i="105"/>
  <c r="N292" i="105"/>
  <c r="N271" i="107"/>
  <c r="N219" i="106"/>
  <c r="N220" i="106"/>
  <c r="N236" i="106"/>
  <c r="N292" i="106"/>
  <c r="N218" i="106"/>
  <c r="N223" i="106"/>
  <c r="N333" i="106"/>
  <c r="N238" i="107"/>
  <c r="N248" i="107"/>
  <c r="N163" i="106"/>
  <c r="N235" i="106"/>
  <c r="N287" i="106"/>
  <c r="N351" i="107"/>
  <c r="N59" i="106"/>
  <c r="N249" i="106"/>
  <c r="N270" i="106"/>
  <c r="N306" i="106"/>
  <c r="N318" i="106"/>
  <c r="N336" i="106"/>
  <c r="N338" i="106"/>
  <c r="N351" i="106"/>
  <c r="N4" i="105"/>
  <c r="N42" i="106"/>
  <c r="N207" i="106"/>
  <c r="N216" i="106"/>
  <c r="N234" i="106"/>
  <c r="N269" i="106"/>
  <c r="N163" i="105"/>
  <c r="N218" i="105"/>
  <c r="N249" i="105"/>
  <c r="N271" i="105"/>
  <c r="N301" i="105"/>
  <c r="N337" i="105"/>
  <c r="N51" i="104"/>
  <c r="N56" i="104"/>
  <c r="N54" i="105"/>
  <c r="N224" i="105"/>
  <c r="N247" i="105"/>
  <c r="N270" i="105"/>
  <c r="N289" i="105"/>
  <c r="N334" i="105"/>
  <c r="N47" i="104"/>
  <c r="N53" i="104"/>
  <c r="N59" i="104"/>
  <c r="N224" i="106"/>
  <c r="N334" i="106"/>
  <c r="N57" i="105"/>
  <c r="N222" i="105"/>
  <c r="N234" i="105"/>
  <c r="N244" i="105"/>
  <c r="N245" i="105"/>
  <c r="N326" i="105"/>
  <c r="N336" i="105"/>
  <c r="N350" i="105"/>
  <c r="N46" i="104"/>
  <c r="N301" i="107"/>
  <c r="N209" i="106"/>
  <c r="N49" i="105"/>
  <c r="N55" i="105"/>
  <c r="N217" i="105"/>
  <c r="N238" i="105"/>
  <c r="N240" i="105"/>
  <c r="N324" i="105"/>
  <c r="N327" i="105"/>
  <c r="N169" i="105"/>
  <c r="N236" i="105"/>
  <c r="N288" i="105"/>
  <c r="N335" i="105"/>
  <c r="N339" i="105"/>
  <c r="N57" i="104"/>
  <c r="N58" i="104"/>
  <c r="N305" i="106"/>
  <c r="N223" i="105"/>
  <c r="N232" i="105"/>
  <c r="N4" i="104"/>
  <c r="N22" i="104"/>
  <c r="N42" i="104"/>
  <c r="N45" i="104"/>
  <c r="N54" i="104"/>
  <c r="N55" i="104"/>
  <c r="N163" i="104"/>
  <c r="N186" i="104"/>
  <c r="N210" i="104"/>
  <c r="N219" i="104"/>
  <c r="N222" i="104"/>
  <c r="N224" i="104"/>
  <c r="N233" i="104"/>
  <c r="N306" i="108"/>
  <c r="O306" i="108" s="1"/>
  <c r="N56" i="105"/>
  <c r="N216" i="105"/>
  <c r="N231" i="105"/>
  <c r="N351" i="105"/>
  <c r="N52" i="104"/>
  <c r="N233" i="107"/>
  <c r="N323" i="106"/>
  <c r="N327" i="106"/>
  <c r="N209" i="105"/>
  <c r="N248" i="105"/>
  <c r="N305" i="105"/>
  <c r="N21" i="104"/>
  <c r="N185" i="104"/>
  <c r="N207" i="104"/>
  <c r="N209" i="104"/>
  <c r="N217" i="104"/>
  <c r="N323" i="105"/>
  <c r="N218" i="104"/>
  <c r="N231" i="104"/>
  <c r="N327" i="104"/>
  <c r="N334" i="104"/>
  <c r="N56" i="98"/>
  <c r="N210" i="98"/>
  <c r="N246" i="98"/>
  <c r="N22" i="105"/>
  <c r="N235" i="105"/>
  <c r="N338" i="105"/>
  <c r="N220" i="104"/>
  <c r="N232" i="104"/>
  <c r="N287" i="104"/>
  <c r="N289" i="104"/>
  <c r="N318" i="104"/>
  <c r="N323" i="104"/>
  <c r="N335" i="104"/>
  <c r="N337" i="104"/>
  <c r="N339" i="104"/>
  <c r="N351" i="104"/>
  <c r="N59" i="98"/>
  <c r="N185" i="98"/>
  <c r="N207" i="98"/>
  <c r="N234" i="98"/>
  <c r="N238" i="98"/>
  <c r="N318" i="98"/>
  <c r="N337" i="98"/>
  <c r="N324" i="106"/>
  <c r="N216" i="104"/>
  <c r="N221" i="104"/>
  <c r="N238" i="104"/>
  <c r="N292" i="104"/>
  <c r="N326" i="104"/>
  <c r="N333" i="104"/>
  <c r="N350" i="104"/>
  <c r="N42" i="98"/>
  <c r="N186" i="98"/>
  <c r="N221" i="98"/>
  <c r="N231" i="98"/>
  <c r="N235" i="98"/>
  <c r="N245" i="98"/>
  <c r="N248" i="98"/>
  <c r="N270" i="98"/>
  <c r="N288" i="98"/>
  <c r="N292" i="98"/>
  <c r="N169" i="104"/>
  <c r="N234" i="104"/>
  <c r="N288" i="104"/>
  <c r="N306" i="104"/>
  <c r="N45" i="98"/>
  <c r="N54" i="98"/>
  <c r="N55" i="98"/>
  <c r="N58" i="98"/>
  <c r="N219" i="98"/>
  <c r="N220" i="98"/>
  <c r="N236" i="98"/>
  <c r="N304" i="98"/>
  <c r="N327" i="98"/>
  <c r="N49" i="104"/>
  <c r="N244" i="104"/>
  <c r="N269" i="104"/>
  <c r="N290" i="104"/>
  <c r="N305" i="104"/>
  <c r="N336" i="104"/>
  <c r="N338" i="104"/>
  <c r="N22" i="98"/>
  <c r="N46" i="98"/>
  <c r="N216" i="98"/>
  <c r="N222" i="98"/>
  <c r="N232" i="98"/>
  <c r="N287" i="98"/>
  <c r="N333" i="98"/>
  <c r="N336" i="98"/>
  <c r="N224" i="98"/>
  <c r="N249" i="98"/>
  <c r="N306" i="105"/>
  <c r="N333" i="105"/>
  <c r="N48" i="104"/>
  <c r="N323" i="98"/>
  <c r="N334" i="98"/>
  <c r="N339" i="98"/>
  <c r="N208" i="104"/>
  <c r="N223" i="104"/>
  <c r="N245" i="104"/>
  <c r="N249" i="104"/>
  <c r="N304" i="104"/>
  <c r="N47" i="98"/>
  <c r="N223" i="98"/>
  <c r="N233" i="98"/>
  <c r="N240" i="98"/>
  <c r="N244" i="98"/>
  <c r="N247" i="98"/>
  <c r="N289" i="98"/>
  <c r="N301" i="98"/>
  <c r="N350" i="98"/>
  <c r="N324" i="104"/>
  <c r="N48" i="98"/>
  <c r="N169" i="98"/>
  <c r="N217" i="98"/>
  <c r="N269" i="98"/>
  <c r="N338" i="98"/>
  <c r="N236" i="104"/>
  <c r="N246" i="104"/>
  <c r="N49" i="98"/>
  <c r="N50" i="98"/>
  <c r="N52" i="98"/>
  <c r="N271" i="98"/>
  <c r="N290" i="98"/>
  <c r="N305" i="98"/>
  <c r="N218" i="107"/>
  <c r="N240" i="104"/>
  <c r="N247" i="104"/>
  <c r="N4" i="98"/>
  <c r="N51" i="98"/>
  <c r="N163" i="98"/>
  <c r="N326" i="98"/>
  <c r="N269" i="105"/>
  <c r="N290" i="105"/>
  <c r="N50" i="104"/>
  <c r="N235" i="104"/>
  <c r="N271" i="104"/>
  <c r="N208" i="98"/>
  <c r="N209" i="98"/>
  <c r="N218" i="98"/>
  <c r="N335" i="98"/>
  <c r="N351" i="98"/>
  <c r="N350" i="106"/>
  <c r="N186" i="105"/>
  <c r="N208" i="105"/>
  <c r="N287" i="105"/>
  <c r="N248" i="104"/>
  <c r="N270" i="104"/>
  <c r="N301" i="104"/>
  <c r="N21" i="98"/>
  <c r="N53" i="98"/>
  <c r="N57" i="98"/>
  <c r="N306" i="98"/>
  <c r="N324" i="98"/>
  <c r="W185" i="106"/>
  <c r="Y323" i="106"/>
  <c r="O263" i="106"/>
  <c r="T279" i="105"/>
  <c r="S279" i="105"/>
  <c r="U279" i="105"/>
  <c r="T121" i="105"/>
  <c r="S121" i="105"/>
  <c r="U121" i="105"/>
  <c r="O85" i="106"/>
  <c r="U312" i="105"/>
  <c r="S312" i="105"/>
  <c r="W312" i="105" s="1"/>
  <c r="T312" i="105"/>
  <c r="T176" i="105"/>
  <c r="Y176" i="105" s="1"/>
  <c r="S176" i="105"/>
  <c r="W176" i="105" s="1"/>
  <c r="U176" i="105"/>
  <c r="V176" i="105"/>
  <c r="U189" i="105"/>
  <c r="T189" i="105"/>
  <c r="S189" i="105"/>
  <c r="W189" i="105" s="1"/>
  <c r="S349" i="105"/>
  <c r="W349" i="105" s="1"/>
  <c r="T349" i="105"/>
  <c r="U349" i="105"/>
  <c r="S135" i="105"/>
  <c r="W135" i="105" s="1"/>
  <c r="T135" i="105"/>
  <c r="U135" i="105"/>
  <c r="S192" i="105"/>
  <c r="W192" i="105" s="1"/>
  <c r="T192" i="105"/>
  <c r="U192" i="105"/>
  <c r="O155" i="106"/>
  <c r="U205" i="105"/>
  <c r="T205" i="105"/>
  <c r="Y205" i="105" s="1"/>
  <c r="S205" i="105"/>
  <c r="U332" i="105"/>
  <c r="S332" i="105"/>
  <c r="W332" i="105" s="1"/>
  <c r="T332" i="105"/>
  <c r="U181" i="105"/>
  <c r="S181" i="105"/>
  <c r="T181" i="105"/>
  <c r="U340" i="105"/>
  <c r="S340" i="105"/>
  <c r="W340" i="105" s="1"/>
  <c r="T340" i="105"/>
  <c r="T98" i="105"/>
  <c r="S98" i="105"/>
  <c r="U98" i="105"/>
  <c r="S164" i="105"/>
  <c r="W164" i="105" s="1"/>
  <c r="T164" i="105"/>
  <c r="Y164" i="105" s="1"/>
  <c r="U164" i="105"/>
  <c r="X164" i="105" s="1"/>
  <c r="O279" i="106"/>
  <c r="T12" i="105"/>
  <c r="S12" i="105"/>
  <c r="W12" i="105" s="1"/>
  <c r="U12" i="105"/>
  <c r="S79" i="105"/>
  <c r="W79" i="105" s="1"/>
  <c r="T79" i="105"/>
  <c r="U79" i="105"/>
  <c r="T198" i="105"/>
  <c r="U198" i="105"/>
  <c r="S198" i="105"/>
  <c r="W198" i="105" s="1"/>
  <c r="S150" i="105"/>
  <c r="W150" i="105" s="1"/>
  <c r="T150" i="105"/>
  <c r="Y150" i="105" s="1"/>
  <c r="U150" i="105"/>
  <c r="X150" i="105" s="1"/>
  <c r="S80" i="105"/>
  <c r="W80" i="105" s="1"/>
  <c r="T80" i="105"/>
  <c r="U80" i="105"/>
  <c r="O197" i="106"/>
  <c r="S180" i="105"/>
  <c r="U180" i="105"/>
  <c r="T180" i="105"/>
  <c r="T96" i="105"/>
  <c r="S96" i="105"/>
  <c r="U96" i="105"/>
  <c r="U193" i="105"/>
  <c r="S193" i="105"/>
  <c r="W193" i="105" s="1"/>
  <c r="T193" i="105"/>
  <c r="T104" i="105"/>
  <c r="Y104" i="105" s="1"/>
  <c r="S104" i="105"/>
  <c r="W104" i="105" s="1"/>
  <c r="U104" i="105"/>
  <c r="S125" i="105"/>
  <c r="T125" i="105"/>
  <c r="U125" i="105"/>
  <c r="T13" i="105"/>
  <c r="S13" i="105"/>
  <c r="U13" i="105"/>
  <c r="S120" i="105"/>
  <c r="T120" i="105"/>
  <c r="U120" i="105"/>
  <c r="T74" i="105"/>
  <c r="S74" i="105"/>
  <c r="U74" i="105"/>
  <c r="Y301" i="106"/>
  <c r="U209" i="107"/>
  <c r="T209" i="107"/>
  <c r="S209" i="107"/>
  <c r="U304" i="107"/>
  <c r="T304" i="107"/>
  <c r="Y304" i="107" s="1"/>
  <c r="S304" i="107"/>
  <c r="W304" i="107" s="1"/>
  <c r="V304" i="107"/>
  <c r="Y235" i="106"/>
  <c r="S52" i="107"/>
  <c r="T52" i="107"/>
  <c r="U52" i="107"/>
  <c r="Y336" i="106"/>
  <c r="W219" i="106"/>
  <c r="T58" i="107"/>
  <c r="S58" i="107"/>
  <c r="W58" i="107" s="1"/>
  <c r="U58" i="107"/>
  <c r="T48" i="107"/>
  <c r="Y48" i="107" s="1"/>
  <c r="S48" i="107"/>
  <c r="W48" i="107" s="1"/>
  <c r="U48" i="107"/>
  <c r="X48" i="107" s="1"/>
  <c r="S199" i="105"/>
  <c r="W199" i="105" s="1"/>
  <c r="T199" i="105"/>
  <c r="U199" i="105"/>
  <c r="O278" i="106"/>
  <c r="T351" i="107"/>
  <c r="Y351" i="107" s="1"/>
  <c r="S351" i="107"/>
  <c r="W351" i="107" s="1"/>
  <c r="U351" i="107"/>
  <c r="V351" i="107"/>
  <c r="U207" i="107"/>
  <c r="S207" i="107"/>
  <c r="W207" i="107" s="1"/>
  <c r="T207" i="107"/>
  <c r="S161" i="105"/>
  <c r="W161" i="105" s="1"/>
  <c r="T161" i="105"/>
  <c r="Y161" i="105" s="1"/>
  <c r="U161" i="105"/>
  <c r="X161" i="105" s="1"/>
  <c r="T265" i="105"/>
  <c r="S265" i="105"/>
  <c r="U265" i="105"/>
  <c r="S145" i="105"/>
  <c r="W145" i="105" s="1"/>
  <c r="T145" i="105"/>
  <c r="Y145" i="105" s="1"/>
  <c r="U145" i="105"/>
  <c r="X145" i="105" s="1"/>
  <c r="T348" i="105"/>
  <c r="S348" i="105"/>
  <c r="W348" i="105" s="1"/>
  <c r="U348" i="105"/>
  <c r="U122" i="105"/>
  <c r="S122" i="105"/>
  <c r="W122" i="105" s="1"/>
  <c r="T122" i="105"/>
  <c r="U184" i="105"/>
  <c r="S184" i="105"/>
  <c r="T184" i="105"/>
  <c r="Y184" i="105" s="1"/>
  <c r="T153" i="105"/>
  <c r="Y153" i="105" s="1"/>
  <c r="S153" i="105"/>
  <c r="W153" i="105" s="1"/>
  <c r="U153" i="105"/>
  <c r="X153" i="105" s="1"/>
  <c r="T309" i="105"/>
  <c r="S309" i="105"/>
  <c r="W309" i="105" s="1"/>
  <c r="U309" i="105"/>
  <c r="U173" i="105"/>
  <c r="T173" i="105"/>
  <c r="Y173" i="105" s="1"/>
  <c r="S173" i="105"/>
  <c r="T321" i="105"/>
  <c r="S321" i="105"/>
  <c r="W321" i="105" s="1"/>
  <c r="U321" i="105"/>
  <c r="U94" i="105"/>
  <c r="T94" i="105"/>
  <c r="S94" i="105"/>
  <c r="T136" i="105"/>
  <c r="S136" i="105"/>
  <c r="W136" i="105" s="1"/>
  <c r="U136" i="105"/>
  <c r="O189" i="106"/>
  <c r="T75" i="105"/>
  <c r="U75" i="105"/>
  <c r="S75" i="105"/>
  <c r="W75" i="105" s="1"/>
  <c r="O14" i="106"/>
  <c r="O203" i="106"/>
  <c r="T194" i="105"/>
  <c r="Y194" i="105" s="1"/>
  <c r="U194" i="105"/>
  <c r="X194" i="105" s="1"/>
  <c r="S194" i="105"/>
  <c r="W194" i="105" s="1"/>
  <c r="T139" i="105"/>
  <c r="Y139" i="105" s="1"/>
  <c r="S139" i="105"/>
  <c r="W139" i="105" s="1"/>
  <c r="U139" i="105"/>
  <c r="X139" i="105" s="1"/>
  <c r="S44" i="105"/>
  <c r="W44" i="105" s="1"/>
  <c r="T44" i="105"/>
  <c r="Y44" i="105" s="1"/>
  <c r="U44" i="105"/>
  <c r="X44" i="105" s="1"/>
  <c r="O123" i="106"/>
  <c r="T317" i="105"/>
  <c r="S317" i="105"/>
  <c r="W317" i="105" s="1"/>
  <c r="U317" i="105"/>
  <c r="U167" i="105"/>
  <c r="S167" i="105"/>
  <c r="T167" i="105"/>
  <c r="Y167" i="105" s="1"/>
  <c r="S95" i="105"/>
  <c r="T95" i="105"/>
  <c r="U95" i="105"/>
  <c r="T179" i="105"/>
  <c r="Y179" i="105" s="1"/>
  <c r="U179" i="105"/>
  <c r="S179" i="105"/>
  <c r="W179" i="105" s="1"/>
  <c r="T93" i="105"/>
  <c r="Y93" i="105" s="1"/>
  <c r="S93" i="105"/>
  <c r="W93" i="105" s="1"/>
  <c r="U93" i="105"/>
  <c r="V93" i="105"/>
  <c r="S112" i="105"/>
  <c r="W112" i="105" s="1"/>
  <c r="T112" i="105"/>
  <c r="U112" i="105"/>
  <c r="S8" i="105"/>
  <c r="W8" i="105" s="1"/>
  <c r="U8" i="105"/>
  <c r="T8" i="105"/>
  <c r="Y8" i="105" s="1"/>
  <c r="V8" i="105"/>
  <c r="S114" i="105"/>
  <c r="W114" i="105" s="1"/>
  <c r="T114" i="105"/>
  <c r="U114" i="105"/>
  <c r="S70" i="105"/>
  <c r="T70" i="105"/>
  <c r="U70" i="105"/>
  <c r="O179" i="106"/>
  <c r="O150" i="106"/>
  <c r="Y335" i="106"/>
  <c r="Y249" i="106"/>
  <c r="T350" i="107"/>
  <c r="Y350" i="107" s="1"/>
  <c r="S350" i="107"/>
  <c r="W350" i="107" s="1"/>
  <c r="U350" i="107"/>
  <c r="V350" i="107"/>
  <c r="Y50" i="106"/>
  <c r="S248" i="107"/>
  <c r="W248" i="107" s="1"/>
  <c r="T248" i="107"/>
  <c r="Y248" i="107" s="1"/>
  <c r="U248" i="107"/>
  <c r="X248" i="107" s="1"/>
  <c r="Y49" i="106"/>
  <c r="W27" i="104"/>
  <c r="S318" i="107"/>
  <c r="W318" i="107" s="1"/>
  <c r="T318" i="107"/>
  <c r="U318" i="107"/>
  <c r="S334" i="107"/>
  <c r="W334" i="107" s="1"/>
  <c r="T334" i="107"/>
  <c r="Y334" i="107" s="1"/>
  <c r="U334" i="107"/>
  <c r="X334" i="107" s="1"/>
  <c r="U231" i="107"/>
  <c r="S231" i="107"/>
  <c r="W231" i="107" s="1"/>
  <c r="T231" i="107"/>
  <c r="T21" i="107"/>
  <c r="Y21" i="107" s="1"/>
  <c r="U21" i="107"/>
  <c r="S21" i="107"/>
  <c r="S323" i="107"/>
  <c r="W323" i="107" s="1"/>
  <c r="T323" i="107"/>
  <c r="U323" i="107"/>
  <c r="T337" i="107"/>
  <c r="S337" i="107"/>
  <c r="W337" i="107" s="1"/>
  <c r="U337" i="107"/>
  <c r="O276" i="106"/>
  <c r="Y29" i="104"/>
  <c r="S119" i="105"/>
  <c r="W119" i="105" s="1"/>
  <c r="T119" i="105"/>
  <c r="U119" i="105"/>
  <c r="U316" i="105"/>
  <c r="S316" i="105"/>
  <c r="T316" i="105"/>
  <c r="Y316" i="105" s="1"/>
  <c r="S172" i="105"/>
  <c r="W172" i="105" s="1"/>
  <c r="T172" i="105"/>
  <c r="U172" i="105"/>
  <c r="T230" i="105"/>
  <c r="S230" i="105"/>
  <c r="W230" i="105" s="1"/>
  <c r="U230" i="105"/>
  <c r="T315" i="105"/>
  <c r="S315" i="105"/>
  <c r="W315" i="105" s="1"/>
  <c r="U315" i="105"/>
  <c r="T72" i="105"/>
  <c r="Y72" i="105" s="1"/>
  <c r="U72" i="105"/>
  <c r="S72" i="105"/>
  <c r="W72" i="105" s="1"/>
  <c r="V72" i="105"/>
  <c r="T252" i="105"/>
  <c r="S252" i="105"/>
  <c r="W252" i="105" s="1"/>
  <c r="U252" i="105"/>
  <c r="U160" i="105"/>
  <c r="X160" i="105" s="1"/>
  <c r="S160" i="105"/>
  <c r="W160" i="105" s="1"/>
  <c r="T160" i="105"/>
  <c r="Y160" i="105" s="1"/>
  <c r="T91" i="105"/>
  <c r="Y91" i="105" s="1"/>
  <c r="S91" i="105"/>
  <c r="W91" i="105" s="1"/>
  <c r="U91" i="105"/>
  <c r="X91" i="105" s="1"/>
  <c r="T285" i="105"/>
  <c r="S285" i="105"/>
  <c r="W285" i="105" s="1"/>
  <c r="U285" i="105"/>
  <c r="S68" i="105"/>
  <c r="W68" i="105" s="1"/>
  <c r="T68" i="105"/>
  <c r="U68" i="105"/>
  <c r="S147" i="105"/>
  <c r="W147" i="105" s="1"/>
  <c r="T147" i="105"/>
  <c r="U147" i="105"/>
  <c r="T66" i="105"/>
  <c r="U66" i="105"/>
  <c r="S66" i="105"/>
  <c r="O157" i="106"/>
  <c r="T33" i="105"/>
  <c r="Y33" i="105" s="1"/>
  <c r="S33" i="105"/>
  <c r="W33" i="105" s="1"/>
  <c r="U33" i="105"/>
  <c r="X33" i="105" s="1"/>
  <c r="O77" i="106"/>
  <c r="U280" i="105"/>
  <c r="T280" i="105"/>
  <c r="S280" i="105"/>
  <c r="T174" i="105"/>
  <c r="Y174" i="105" s="1"/>
  <c r="S174" i="105"/>
  <c r="W174" i="105" s="1"/>
  <c r="U174" i="105"/>
  <c r="X174" i="105" s="1"/>
  <c r="U131" i="105"/>
  <c r="S131" i="105"/>
  <c r="W131" i="105" s="1"/>
  <c r="T131" i="105"/>
  <c r="O9" i="106"/>
  <c r="S258" i="105"/>
  <c r="W258" i="105" s="1"/>
  <c r="T258" i="105"/>
  <c r="U258" i="105"/>
  <c r="T152" i="105"/>
  <c r="Y152" i="105" s="1"/>
  <c r="S152" i="105"/>
  <c r="W152" i="105" s="1"/>
  <c r="U152" i="105"/>
  <c r="X152" i="105" s="1"/>
  <c r="S71" i="105"/>
  <c r="T71" i="105"/>
  <c r="U71" i="105"/>
  <c r="T331" i="105"/>
  <c r="S331" i="105"/>
  <c r="W331" i="105" s="1"/>
  <c r="U331" i="105"/>
  <c r="U156" i="105"/>
  <c r="X156" i="105" s="1"/>
  <c r="S156" i="105"/>
  <c r="W156" i="105" s="1"/>
  <c r="T156" i="105"/>
  <c r="Y156" i="105" s="1"/>
  <c r="T40" i="105"/>
  <c r="S40" i="105"/>
  <c r="W40" i="105" s="1"/>
  <c r="U40" i="105"/>
  <c r="T90" i="105"/>
  <c r="S90" i="105"/>
  <c r="U90" i="105"/>
  <c r="S106" i="105"/>
  <c r="W106" i="105" s="1"/>
  <c r="T106" i="105"/>
  <c r="U106" i="105"/>
  <c r="T60" i="105"/>
  <c r="Y60" i="105" s="1"/>
  <c r="S60" i="105"/>
  <c r="W60" i="105" s="1"/>
  <c r="U60" i="105"/>
  <c r="X60" i="105" s="1"/>
  <c r="S88" i="105"/>
  <c r="T88" i="105"/>
  <c r="Y88" i="105" s="1"/>
  <c r="U88" i="105"/>
  <c r="O298" i="106"/>
  <c r="T249" i="107"/>
  <c r="S249" i="107"/>
  <c r="W249" i="107" s="1"/>
  <c r="U249" i="107"/>
  <c r="T221" i="107"/>
  <c r="Y221" i="107" s="1"/>
  <c r="S221" i="107"/>
  <c r="W221" i="107" s="1"/>
  <c r="U221" i="107"/>
  <c r="X221" i="107" s="1"/>
  <c r="T232" i="107"/>
  <c r="Y232" i="107" s="1"/>
  <c r="S232" i="107"/>
  <c r="W232" i="107" s="1"/>
  <c r="U232" i="107"/>
  <c r="X232" i="107" s="1"/>
  <c r="Y287" i="106"/>
  <c r="S338" i="107"/>
  <c r="W338" i="107" s="1"/>
  <c r="T338" i="107"/>
  <c r="U338" i="107"/>
  <c r="T277" i="105"/>
  <c r="S277" i="105"/>
  <c r="W277" i="105" s="1"/>
  <c r="U277" i="105"/>
  <c r="S274" i="105"/>
  <c r="W274" i="105" s="1"/>
  <c r="T274" i="105"/>
  <c r="U274" i="105"/>
  <c r="T185" i="107"/>
  <c r="Y185" i="107" s="1"/>
  <c r="U185" i="107"/>
  <c r="S185" i="107"/>
  <c r="Y270" i="106"/>
  <c r="Y339" i="106"/>
  <c r="Y210" i="106"/>
  <c r="Y333" i="106"/>
  <c r="S92" i="105"/>
  <c r="W92" i="105" s="1"/>
  <c r="T92" i="105"/>
  <c r="U92" i="105"/>
  <c r="S322" i="105"/>
  <c r="W322" i="105" s="1"/>
  <c r="T322" i="105"/>
  <c r="U322" i="105"/>
  <c r="T201" i="105"/>
  <c r="Y201" i="105" s="1"/>
  <c r="S201" i="105"/>
  <c r="W201" i="105" s="1"/>
  <c r="U201" i="105"/>
  <c r="X201" i="105" s="1"/>
  <c r="T188" i="105"/>
  <c r="Y188" i="105" s="1"/>
  <c r="S188" i="105"/>
  <c r="U188" i="105"/>
  <c r="U311" i="105"/>
  <c r="T311" i="105"/>
  <c r="S311" i="105"/>
  <c r="W311" i="105" s="1"/>
  <c r="T241" i="105"/>
  <c r="U241" i="105"/>
  <c r="S241" i="105"/>
  <c r="W241" i="105" s="1"/>
  <c r="S148" i="105"/>
  <c r="W148" i="105" s="1"/>
  <c r="T148" i="105"/>
  <c r="U148" i="105"/>
  <c r="S67" i="105"/>
  <c r="U67" i="105"/>
  <c r="T67" i="105"/>
  <c r="T284" i="105"/>
  <c r="Y284" i="105" s="1"/>
  <c r="S284" i="105"/>
  <c r="U284" i="105"/>
  <c r="S20" i="105"/>
  <c r="W20" i="105" s="1"/>
  <c r="T20" i="105"/>
  <c r="Y20" i="105" s="1"/>
  <c r="U20" i="105"/>
  <c r="X20" i="105" s="1"/>
  <c r="T143" i="105"/>
  <c r="S143" i="105"/>
  <c r="W143" i="105" s="1"/>
  <c r="U143" i="105"/>
  <c r="U27" i="105"/>
  <c r="S27" i="105"/>
  <c r="T27" i="105"/>
  <c r="Y27" i="105" s="1"/>
  <c r="U19" i="105"/>
  <c r="T19" i="105"/>
  <c r="S19" i="105"/>
  <c r="U272" i="105"/>
  <c r="S272" i="105"/>
  <c r="W272" i="105" s="1"/>
  <c r="T272" i="105"/>
  <c r="T168" i="105"/>
  <c r="S168" i="105"/>
  <c r="U168" i="105"/>
  <c r="S130" i="105"/>
  <c r="W130" i="105" s="1"/>
  <c r="T130" i="105"/>
  <c r="Y130" i="105" s="1"/>
  <c r="U130" i="105"/>
  <c r="X130" i="105" s="1"/>
  <c r="O286" i="106"/>
  <c r="T229" i="105"/>
  <c r="Y229" i="105" s="1"/>
  <c r="S229" i="105"/>
  <c r="W229" i="105" s="1"/>
  <c r="U229" i="105"/>
  <c r="X229" i="105" s="1"/>
  <c r="T146" i="105"/>
  <c r="U146" i="105"/>
  <c r="S146" i="105"/>
  <c r="W146" i="105" s="1"/>
  <c r="U69" i="105"/>
  <c r="T69" i="105"/>
  <c r="S69" i="105"/>
  <c r="O184" i="106"/>
  <c r="S314" i="105"/>
  <c r="W314" i="105" s="1"/>
  <c r="T314" i="105"/>
  <c r="U314" i="105"/>
  <c r="T123" i="105"/>
  <c r="Y123" i="105" s="1"/>
  <c r="S123" i="105"/>
  <c r="W123" i="105" s="1"/>
  <c r="U123" i="105"/>
  <c r="X123" i="105" s="1"/>
  <c r="T32" i="105"/>
  <c r="Y32" i="105" s="1"/>
  <c r="S32" i="105"/>
  <c r="U32" i="105"/>
  <c r="S84" i="105"/>
  <c r="T84" i="105"/>
  <c r="U84" i="105"/>
  <c r="S103" i="105"/>
  <c r="T103" i="105"/>
  <c r="U103" i="105"/>
  <c r="U43" i="105"/>
  <c r="S43" i="105"/>
  <c r="T43" i="105"/>
  <c r="O229" i="106"/>
  <c r="O156" i="106"/>
  <c r="T82" i="105"/>
  <c r="Y82" i="105" s="1"/>
  <c r="S82" i="105"/>
  <c r="W82" i="105" s="1"/>
  <c r="U82" i="105"/>
  <c r="Y208" i="106"/>
  <c r="Y269" i="106"/>
  <c r="Y222" i="106"/>
  <c r="Y337" i="106"/>
  <c r="W233" i="106"/>
  <c r="S289" i="107"/>
  <c r="W289" i="107" s="1"/>
  <c r="T289" i="107"/>
  <c r="U289" i="107"/>
  <c r="M160" i="89"/>
  <c r="M153" i="89"/>
  <c r="M152" i="89"/>
  <c r="M56" i="89"/>
  <c r="M55" i="89"/>
  <c r="M56" i="102"/>
  <c r="M55" i="101"/>
  <c r="P55" i="101" s="1"/>
  <c r="Q55" i="101" s="1"/>
  <c r="M153" i="100"/>
  <c r="M152" i="99"/>
  <c r="M56" i="99"/>
  <c r="M56" i="103"/>
  <c r="M160" i="101"/>
  <c r="P160" i="101" s="1"/>
  <c r="R160" i="101" s="1"/>
  <c r="M56" i="101"/>
  <c r="P56" i="101" s="1"/>
  <c r="Q56" i="101" s="1"/>
  <c r="M56" i="100"/>
  <c r="M55" i="99"/>
  <c r="M152" i="101"/>
  <c r="P152" i="101" s="1"/>
  <c r="Q152" i="101" s="1"/>
  <c r="M152" i="100"/>
  <c r="M160" i="103"/>
  <c r="M153" i="103"/>
  <c r="M55" i="103"/>
  <c r="M153" i="101"/>
  <c r="P153" i="101" s="1"/>
  <c r="Q153" i="101" s="1"/>
  <c r="M160" i="100"/>
  <c r="M55" i="100"/>
  <c r="M160" i="102"/>
  <c r="M153" i="99"/>
  <c r="M152" i="103"/>
  <c r="M153" i="102"/>
  <c r="M55" i="102"/>
  <c r="M160" i="99"/>
  <c r="M152" i="102"/>
  <c r="M224" i="89"/>
  <c r="M118" i="89"/>
  <c r="M238" i="89"/>
  <c r="M239" i="89"/>
  <c r="M240" i="89"/>
  <c r="M32" i="89"/>
  <c r="M212" i="89"/>
  <c r="M34" i="89"/>
  <c r="M33" i="89"/>
  <c r="M238" i="99"/>
  <c r="M239" i="103"/>
  <c r="M224" i="103"/>
  <c r="M33" i="102"/>
  <c r="M34" i="101"/>
  <c r="P34" i="101" s="1"/>
  <c r="Q34" i="101" s="1"/>
  <c r="M32" i="101"/>
  <c r="P32" i="101" s="1"/>
  <c r="R32" i="101" s="1"/>
  <c r="M212" i="102"/>
  <c r="M32" i="102"/>
  <c r="M239" i="99"/>
  <c r="M238" i="103"/>
  <c r="M32" i="103"/>
  <c r="M240" i="101"/>
  <c r="P240" i="101" s="1"/>
  <c r="R240" i="101" s="1"/>
  <c r="M33" i="101"/>
  <c r="P33" i="101" s="1"/>
  <c r="R33" i="101" s="1"/>
  <c r="M238" i="100"/>
  <c r="M239" i="100"/>
  <c r="M32" i="100"/>
  <c r="M118" i="103"/>
  <c r="M118" i="102"/>
  <c r="M240" i="100"/>
  <c r="M224" i="100"/>
  <c r="M240" i="99"/>
  <c r="M224" i="99"/>
  <c r="M33" i="103"/>
  <c r="M239" i="102"/>
  <c r="M33" i="100"/>
  <c r="M34" i="103"/>
  <c r="M118" i="101"/>
  <c r="P118" i="101" s="1"/>
  <c r="R118" i="101" s="1"/>
  <c r="M34" i="100"/>
  <c r="M34" i="102"/>
  <c r="M32" i="99"/>
  <c r="M238" i="102"/>
  <c r="M239" i="101"/>
  <c r="P239" i="101" s="1"/>
  <c r="R239" i="101" s="1"/>
  <c r="M118" i="100"/>
  <c r="M212" i="99"/>
  <c r="M34" i="99"/>
  <c r="M212" i="103"/>
  <c r="M240" i="102"/>
  <c r="M224" i="102"/>
  <c r="M238" i="101"/>
  <c r="P238" i="101" s="1"/>
  <c r="R238" i="101" s="1"/>
  <c r="M224" i="101"/>
  <c r="P224" i="101" s="1"/>
  <c r="R224" i="101" s="1"/>
  <c r="M212" i="101"/>
  <c r="P212" i="101" s="1"/>
  <c r="R212" i="101" s="1"/>
  <c r="M118" i="99"/>
  <c r="M240" i="103"/>
  <c r="M33" i="99"/>
  <c r="M212" i="100"/>
  <c r="I105" i="83"/>
  <c r="I112" i="83"/>
  <c r="I18" i="83"/>
  <c r="I24" i="83"/>
  <c r="I30" i="83"/>
  <c r="I83" i="83"/>
  <c r="I106" i="83"/>
  <c r="I127" i="83"/>
  <c r="I72" i="83"/>
  <c r="I95" i="83"/>
  <c r="I107" i="83"/>
  <c r="I111" i="83"/>
  <c r="I144" i="83"/>
  <c r="I165" i="83"/>
  <c r="I207" i="83"/>
  <c r="I8" i="83"/>
  <c r="I16" i="83"/>
  <c r="I35" i="83"/>
  <c r="I45" i="83"/>
  <c r="I64" i="83"/>
  <c r="I93" i="83"/>
  <c r="I110" i="83"/>
  <c r="I149" i="83"/>
  <c r="I173" i="83"/>
  <c r="I184" i="83"/>
  <c r="I206" i="83"/>
  <c r="I209" i="83"/>
  <c r="I56" i="83"/>
  <c r="I61" i="83"/>
  <c r="I152" i="83"/>
  <c r="I164" i="83"/>
  <c r="I170" i="83"/>
  <c r="I222" i="83"/>
  <c r="I255" i="83"/>
  <c r="I289" i="83"/>
  <c r="I298" i="83"/>
  <c r="I305" i="83"/>
  <c r="I101" i="83"/>
  <c r="I120" i="83"/>
  <c r="I197" i="83"/>
  <c r="I236" i="83"/>
  <c r="I244" i="83"/>
  <c r="I251" i="83"/>
  <c r="I253" i="83"/>
  <c r="I257" i="83"/>
  <c r="I300" i="83"/>
  <c r="I337" i="83"/>
  <c r="I11" i="83"/>
  <c r="I38" i="83"/>
  <c r="I42" i="83"/>
  <c r="I141" i="83"/>
  <c r="I238" i="83"/>
  <c r="I258" i="83"/>
  <c r="I269" i="83"/>
  <c r="I282" i="83"/>
  <c r="I302" i="83"/>
  <c r="I318" i="83"/>
  <c r="I319" i="83"/>
  <c r="I340" i="83"/>
  <c r="I349" i="83"/>
  <c r="I50" i="83"/>
  <c r="I148" i="83"/>
  <c r="I182" i="83"/>
  <c r="I166" i="83"/>
  <c r="I167" i="83"/>
  <c r="I212" i="83"/>
  <c r="I237" i="83"/>
  <c r="I260" i="83"/>
  <c r="I292" i="83"/>
  <c r="I366" i="83"/>
  <c r="I434" i="83"/>
  <c r="I125" i="83"/>
  <c r="I168" i="83"/>
  <c r="I205" i="83"/>
  <c r="I239" i="83"/>
  <c r="I242" i="83"/>
  <c r="I335" i="83"/>
  <c r="I381" i="83"/>
  <c r="I383" i="83"/>
  <c r="I391" i="83"/>
  <c r="I40" i="83"/>
  <c r="I97" i="83"/>
  <c r="I191" i="83"/>
  <c r="I226" i="83"/>
  <c r="I278" i="83"/>
  <c r="I309" i="83"/>
  <c r="I334" i="83"/>
  <c r="I382" i="83"/>
  <c r="I412" i="83"/>
  <c r="I417" i="83"/>
  <c r="I420" i="83"/>
  <c r="I129" i="83"/>
  <c r="I150" i="83"/>
  <c r="I189" i="83"/>
  <c r="I262" i="83"/>
  <c r="I385" i="83"/>
  <c r="I409" i="83"/>
  <c r="I69" i="83"/>
  <c r="I172" i="83"/>
  <c r="I252" i="83"/>
  <c r="I279" i="83"/>
  <c r="I398" i="83"/>
  <c r="I401" i="83"/>
  <c r="I198" i="83"/>
  <c r="I199" i="83"/>
  <c r="I223" i="83"/>
  <c r="I254" i="83"/>
  <c r="I332" i="83"/>
  <c r="I394" i="83"/>
  <c r="I399" i="83"/>
  <c r="I181" i="83"/>
  <c r="I151" i="83"/>
  <c r="I353" i="83"/>
  <c r="I388" i="83"/>
  <c r="I306" i="83"/>
  <c r="I347" i="83"/>
  <c r="I362" i="83"/>
  <c r="I32" i="83"/>
  <c r="I367" i="83"/>
  <c r="I433" i="83"/>
  <c r="I331" i="83"/>
  <c r="I274" i="83"/>
  <c r="I128" i="83"/>
  <c r="I290" i="83"/>
  <c r="I294" i="83"/>
  <c r="I180" i="83"/>
  <c r="I138" i="83"/>
  <c r="I200" i="83"/>
  <c r="I268" i="83"/>
  <c r="I67" i="83"/>
  <c r="I421" i="83"/>
  <c r="I387" i="83"/>
  <c r="I329" i="83"/>
  <c r="I267" i="83"/>
  <c r="I368" i="83"/>
  <c r="I425" i="83"/>
  <c r="I364" i="83"/>
  <c r="I303" i="83"/>
  <c r="I384" i="83"/>
  <c r="I156" i="83"/>
  <c r="I315" i="83"/>
  <c r="I235" i="83"/>
  <c r="I240" i="83"/>
  <c r="I220" i="83"/>
  <c r="I66" i="83"/>
  <c r="I27" i="83"/>
  <c r="I423" i="83"/>
  <c r="I286" i="83"/>
  <c r="I325" i="83"/>
  <c r="I218" i="83"/>
  <c r="I419" i="83"/>
  <c r="I159" i="83"/>
  <c r="I301" i="83"/>
  <c r="I314" i="83"/>
  <c r="I360" i="83"/>
  <c r="I270" i="83"/>
  <c r="I311" i="83"/>
  <c r="I248" i="83"/>
  <c r="I187" i="83"/>
  <c r="I175" i="83"/>
  <c r="I379" i="83"/>
  <c r="I330" i="83"/>
  <c r="I402" i="83"/>
  <c r="I369" i="83"/>
  <c r="I321" i="83"/>
  <c r="I283" i="83"/>
  <c r="I317" i="83"/>
  <c r="I432" i="83"/>
  <c r="I188" i="83"/>
  <c r="I219" i="83"/>
  <c r="I405" i="83"/>
  <c r="I372" i="83"/>
  <c r="I307" i="83"/>
  <c r="I221" i="83"/>
  <c r="I88" i="83"/>
  <c r="I320" i="83"/>
  <c r="I225" i="83"/>
  <c r="I48" i="83"/>
  <c r="I26" i="83"/>
  <c r="I397" i="83"/>
  <c r="I393" i="83"/>
  <c r="I343" i="83"/>
  <c r="I193" i="83"/>
  <c r="I351" i="83"/>
  <c r="I143" i="83"/>
  <c r="I54" i="83"/>
  <c r="I154" i="83"/>
  <c r="I403" i="83"/>
  <c r="I82" i="83"/>
  <c r="I241" i="83"/>
  <c r="I422" i="83"/>
  <c r="I304" i="83"/>
  <c r="I133" i="83"/>
  <c r="I162" i="83"/>
  <c r="I36" i="83"/>
  <c r="I22" i="83"/>
  <c r="I429" i="83"/>
  <c r="I339" i="83"/>
  <c r="I250" i="83"/>
  <c r="I296" i="83"/>
  <c r="I430" i="83"/>
  <c r="I400" i="83"/>
  <c r="I342" i="83"/>
  <c r="I288" i="83"/>
  <c r="I371" i="83"/>
  <c r="I287" i="83"/>
  <c r="I338" i="83"/>
  <c r="I323" i="83"/>
  <c r="I357" i="83"/>
  <c r="I201" i="83"/>
  <c r="I53" i="83"/>
  <c r="I407" i="83"/>
  <c r="I370" i="83"/>
  <c r="I435" i="83"/>
  <c r="I378" i="83"/>
  <c r="I350" i="83"/>
  <c r="I176" i="83"/>
  <c r="I284" i="83"/>
  <c r="I395" i="83"/>
  <c r="I352" i="83"/>
  <c r="I256" i="83"/>
  <c r="I139" i="83"/>
  <c r="I104" i="83"/>
  <c r="I12" i="83"/>
  <c r="I9" i="83"/>
  <c r="I413" i="83"/>
  <c r="I408" i="83"/>
  <c r="I354" i="83"/>
  <c r="I322" i="83"/>
  <c r="I418" i="83"/>
  <c r="I261" i="83"/>
  <c r="I6" i="83"/>
  <c r="I327" i="83"/>
  <c r="I326" i="83"/>
  <c r="I215" i="83"/>
  <c r="I312" i="83"/>
  <c r="I247" i="83"/>
  <c r="I136" i="83"/>
  <c r="I43" i="83"/>
  <c r="I259" i="83"/>
  <c r="I380" i="83"/>
  <c r="I34" i="83"/>
  <c r="I140" i="83"/>
  <c r="I119" i="83"/>
  <c r="I20" i="83"/>
  <c r="I431" i="83"/>
  <c r="I414" i="83"/>
  <c r="I358" i="83"/>
  <c r="I277" i="83"/>
  <c r="I217" i="83"/>
  <c r="I233" i="83"/>
  <c r="I155" i="83"/>
  <c r="I85" i="83"/>
  <c r="I90" i="83"/>
  <c r="I57" i="83"/>
  <c r="I179" i="83"/>
  <c r="I108" i="83"/>
  <c r="I86" i="83"/>
  <c r="I121" i="83"/>
  <c r="I324" i="83"/>
  <c r="I25" i="83"/>
  <c r="I427" i="83"/>
  <c r="I424" i="83"/>
  <c r="I229" i="83"/>
  <c r="I117" i="83"/>
  <c r="I204" i="83"/>
  <c r="I293" i="83"/>
  <c r="I308" i="83"/>
  <c r="I411" i="83"/>
  <c r="I365" i="83"/>
  <c r="I336" i="83"/>
  <c r="I208" i="83"/>
  <c r="I63" i="83"/>
  <c r="I146" i="83"/>
  <c r="I373" i="83"/>
  <c r="I344" i="83"/>
  <c r="I281" i="83"/>
  <c r="I234" i="83"/>
  <c r="I122" i="83"/>
  <c r="I132" i="83"/>
  <c r="I177" i="83"/>
  <c r="I99" i="83"/>
  <c r="I130" i="83"/>
  <c r="I49" i="83"/>
  <c r="I52" i="83"/>
  <c r="I14" i="83"/>
  <c r="I15" i="83"/>
  <c r="I55" i="83"/>
  <c r="I19" i="83"/>
  <c r="I74" i="83"/>
  <c r="I10" i="83"/>
  <c r="I341" i="83"/>
  <c r="I214" i="83"/>
  <c r="I328" i="83"/>
  <c r="I216" i="83"/>
  <c r="I91" i="83"/>
  <c r="I47" i="83"/>
  <c r="I426" i="83"/>
  <c r="I210" i="83"/>
  <c r="I190" i="83"/>
  <c r="I203" i="83"/>
  <c r="I275" i="83"/>
  <c r="I356" i="83"/>
  <c r="I194" i="83"/>
  <c r="I169" i="83"/>
  <c r="I96" i="83"/>
  <c r="I58" i="83"/>
  <c r="I428" i="83"/>
  <c r="I375" i="83"/>
  <c r="I291" i="83"/>
  <c r="I272" i="83"/>
  <c r="I271" i="83"/>
  <c r="I355" i="83"/>
  <c r="I71" i="83"/>
  <c r="I158" i="83"/>
  <c r="I137" i="83"/>
  <c r="I100" i="83"/>
  <c r="I7" i="83"/>
  <c r="I109" i="83"/>
  <c r="I76" i="83"/>
  <c r="I60" i="83"/>
  <c r="I23" i="83"/>
  <c r="I13" i="83"/>
  <c r="I386" i="83"/>
  <c r="I390" i="83"/>
  <c r="I316" i="83"/>
  <c r="I80" i="83"/>
  <c r="I406" i="83"/>
  <c r="I346" i="83"/>
  <c r="I348" i="83"/>
  <c r="I224" i="83"/>
  <c r="I98" i="83"/>
  <c r="I79" i="83"/>
  <c r="I17" i="83"/>
  <c r="I28" i="83"/>
  <c r="I153" i="83"/>
  <c r="I363" i="83"/>
  <c r="I389" i="83"/>
  <c r="I186" i="83"/>
  <c r="I115" i="83"/>
  <c r="I416" i="83"/>
  <c r="I228" i="83"/>
  <c r="I266" i="83"/>
  <c r="I345" i="83"/>
  <c r="I310" i="83"/>
  <c r="I280" i="83"/>
  <c r="I124" i="83"/>
  <c r="I183" i="83"/>
  <c r="I147" i="83"/>
  <c r="I103" i="83"/>
  <c r="I297" i="83"/>
  <c r="I131" i="83"/>
  <c r="I102" i="83"/>
  <c r="I174" i="83"/>
  <c r="I161" i="83"/>
  <c r="I142" i="83"/>
  <c r="I89" i="83"/>
  <c r="I114" i="83"/>
  <c r="I113" i="83"/>
  <c r="I116" i="83"/>
  <c r="I31" i="83"/>
  <c r="I46" i="83"/>
  <c r="I333" i="83"/>
  <c r="I410" i="83"/>
  <c r="I263" i="83"/>
  <c r="I196" i="83"/>
  <c r="I29" i="83"/>
  <c r="I33" i="83"/>
  <c r="I21" i="83"/>
  <c r="I415" i="83"/>
  <c r="I264" i="83"/>
  <c r="I171" i="83"/>
  <c r="I123" i="83"/>
  <c r="I81" i="83"/>
  <c r="I295" i="83"/>
  <c r="I213" i="83"/>
  <c r="I232" i="83"/>
  <c r="I44" i="83"/>
  <c r="I70" i="83"/>
  <c r="I68" i="83"/>
  <c r="I37" i="83"/>
  <c r="I185" i="83"/>
  <c r="I157" i="83"/>
  <c r="I273" i="83"/>
  <c r="I299" i="83"/>
  <c r="I202" i="83"/>
  <c r="I249" i="83"/>
  <c r="I359" i="83"/>
  <c r="I227" i="83"/>
  <c r="I163" i="83"/>
  <c r="I78" i="83"/>
  <c r="I77" i="83"/>
  <c r="I361" i="83"/>
  <c r="I230" i="83"/>
  <c r="I285" i="83"/>
  <c r="I94" i="83"/>
  <c r="I65" i="83"/>
  <c r="I92" i="83"/>
  <c r="I41" i="83"/>
  <c r="I313" i="83"/>
  <c r="I265" i="83"/>
  <c r="I135" i="83"/>
  <c r="I178" i="83"/>
  <c r="I126" i="83"/>
  <c r="I39" i="83"/>
  <c r="I404" i="83"/>
  <c r="I376" i="83"/>
  <c r="I73" i="83"/>
  <c r="I243" i="83"/>
  <c r="I192" i="83"/>
  <c r="I62" i="83"/>
  <c r="I396" i="83"/>
  <c r="I392" i="83"/>
  <c r="I118" i="83"/>
  <c r="I59" i="83"/>
  <c r="I276" i="83"/>
  <c r="I87" i="83"/>
  <c r="I374" i="83"/>
  <c r="I231" i="83"/>
  <c r="I245" i="83"/>
  <c r="I211" i="83"/>
  <c r="I75" i="83"/>
  <c r="I246" i="83"/>
  <c r="I195" i="83"/>
  <c r="I145" i="83"/>
  <c r="I134" i="83"/>
  <c r="I160" i="83"/>
  <c r="I84" i="83"/>
  <c r="I51" i="83"/>
  <c r="I377" i="83"/>
  <c r="C21" i="8"/>
  <c r="D21" i="111" s="1"/>
  <c r="H66" i="83"/>
  <c r="H105" i="83"/>
  <c r="H38" i="83"/>
  <c r="H42" i="83"/>
  <c r="H64" i="83"/>
  <c r="H72" i="83"/>
  <c r="H119" i="83"/>
  <c r="H144" i="83"/>
  <c r="H207" i="83"/>
  <c r="H212" i="83"/>
  <c r="H258" i="83"/>
  <c r="H8" i="83"/>
  <c r="H35" i="83"/>
  <c r="H73" i="83"/>
  <c r="H74" i="83"/>
  <c r="H88" i="83"/>
  <c r="H108" i="83"/>
  <c r="H140" i="83"/>
  <c r="H149" i="83"/>
  <c r="H173" i="83"/>
  <c r="H179" i="83"/>
  <c r="H184" i="83"/>
  <c r="H193" i="83"/>
  <c r="H206" i="83"/>
  <c r="H36" i="83"/>
  <c r="H60" i="83"/>
  <c r="H138" i="83"/>
  <c r="H191" i="83"/>
  <c r="H86" i="83"/>
  <c r="H68" i="83"/>
  <c r="H120" i="83"/>
  <c r="H197" i="83"/>
  <c r="H220" i="83"/>
  <c r="H236" i="83"/>
  <c r="H251" i="83"/>
  <c r="H253" i="83"/>
  <c r="H300" i="83"/>
  <c r="H14" i="83"/>
  <c r="H19" i="83"/>
  <c r="H100" i="83"/>
  <c r="H103" i="83"/>
  <c r="H238" i="83"/>
  <c r="H269" i="83"/>
  <c r="H302" i="83"/>
  <c r="H318" i="83"/>
  <c r="H319" i="83"/>
  <c r="H340" i="83"/>
  <c r="H349" i="83"/>
  <c r="H352" i="83"/>
  <c r="H142" i="83"/>
  <c r="H150" i="83"/>
  <c r="H204" i="83"/>
  <c r="H226" i="83"/>
  <c r="H228" i="83"/>
  <c r="H274" i="83"/>
  <c r="H279" i="83"/>
  <c r="H306" i="83"/>
  <c r="H309" i="83"/>
  <c r="H23" i="83"/>
  <c r="H56" i="83"/>
  <c r="H70" i="83"/>
  <c r="H135" i="83"/>
  <c r="H168" i="83"/>
  <c r="H185" i="83"/>
  <c r="H205" i="83"/>
  <c r="H237" i="83"/>
  <c r="H239" i="83"/>
  <c r="H278" i="83"/>
  <c r="H152" i="83"/>
  <c r="H169" i="83"/>
  <c r="H256" i="83"/>
  <c r="H335" i="83"/>
  <c r="H351" i="83"/>
  <c r="H356" i="83"/>
  <c r="H368" i="83"/>
  <c r="H381" i="83"/>
  <c r="H383" i="83"/>
  <c r="H416" i="83"/>
  <c r="H187" i="83"/>
  <c r="H221" i="83"/>
  <c r="H222" i="83"/>
  <c r="H252" i="83"/>
  <c r="H290" i="83"/>
  <c r="H294" i="83"/>
  <c r="H308" i="83"/>
  <c r="H324" i="83"/>
  <c r="H96" i="83"/>
  <c r="H223" i="83"/>
  <c r="H380" i="83"/>
  <c r="H384" i="83"/>
  <c r="H128" i="83"/>
  <c r="H180" i="83"/>
  <c r="H182" i="83"/>
  <c r="H331" i="83"/>
  <c r="H367" i="83"/>
  <c r="H208" i="83"/>
  <c r="H260" i="83"/>
  <c r="H332" i="83"/>
  <c r="H164" i="83"/>
  <c r="H166" i="83"/>
  <c r="H219" i="83"/>
  <c r="H55" i="83"/>
  <c r="H235" i="83"/>
  <c r="H250" i="83"/>
  <c r="H336" i="83"/>
  <c r="H365" i="83"/>
  <c r="H372" i="83"/>
  <c r="H396" i="83"/>
  <c r="H412" i="83"/>
  <c r="H189" i="83"/>
  <c r="H350" i="83"/>
  <c r="H366" i="83"/>
  <c r="H183" i="83"/>
  <c r="H320" i="83"/>
  <c r="H388" i="83"/>
  <c r="H420" i="83"/>
  <c r="H188" i="83"/>
  <c r="H307" i="83"/>
  <c r="H378" i="83"/>
  <c r="H312" i="83"/>
  <c r="H112" i="83"/>
  <c r="H156" i="83"/>
  <c r="H127" i="83"/>
  <c r="H304" i="83"/>
  <c r="H334" i="83"/>
  <c r="H348" i="83"/>
  <c r="H382" i="83"/>
  <c r="H136" i="83"/>
  <c r="H402" i="83"/>
  <c r="H435" i="83"/>
  <c r="H268" i="83"/>
  <c r="H118" i="83"/>
  <c r="H364" i="83"/>
  <c r="H317" i="83"/>
  <c r="H154" i="83"/>
  <c r="H432" i="83"/>
  <c r="H139" i="83"/>
  <c r="H241" i="83"/>
  <c r="H289" i="83"/>
  <c r="H257" i="83"/>
  <c r="H167" i="83"/>
  <c r="H292" i="83"/>
  <c r="H353" i="83"/>
  <c r="H225" i="83"/>
  <c r="H165" i="83"/>
  <c r="H20" i="83"/>
  <c r="H76" i="83"/>
  <c r="H48" i="83"/>
  <c r="H27" i="83"/>
  <c r="H61" i="83"/>
  <c r="H26" i="83"/>
  <c r="H266" i="83"/>
  <c r="H392" i="83"/>
  <c r="H373" i="83"/>
  <c r="H418" i="83"/>
  <c r="H344" i="83"/>
  <c r="H291" i="83"/>
  <c r="H171" i="83"/>
  <c r="H327" i="83"/>
  <c r="H230" i="83"/>
  <c r="H326" i="83"/>
  <c r="H211" i="83"/>
  <c r="H425" i="83"/>
  <c r="H333" i="83"/>
  <c r="H54" i="83"/>
  <c r="H80" i="83"/>
  <c r="H421" i="83"/>
  <c r="H275" i="83"/>
  <c r="H82" i="83"/>
  <c r="H337" i="83"/>
  <c r="H305" i="83"/>
  <c r="H92" i="83"/>
  <c r="H129" i="83"/>
  <c r="H240" i="83"/>
  <c r="H148" i="83"/>
  <c r="H200" i="83"/>
  <c r="H111" i="83"/>
  <c r="H95" i="83"/>
  <c r="H53" i="83"/>
  <c r="H146" i="83"/>
  <c r="H413" i="83"/>
  <c r="H361" i="83"/>
  <c r="H389" i="83"/>
  <c r="H273" i="83"/>
  <c r="H259" i="83"/>
  <c r="H293" i="83"/>
  <c r="H404" i="83"/>
  <c r="H433" i="83"/>
  <c r="H296" i="83"/>
  <c r="H303" i="83"/>
  <c r="H203" i="83"/>
  <c r="H417" i="83"/>
  <c r="H346" i="83"/>
  <c r="H254" i="83"/>
  <c r="H97" i="83"/>
  <c r="H62" i="83"/>
  <c r="H46" i="83"/>
  <c r="H286" i="83"/>
  <c r="H363" i="83"/>
  <c r="H301" i="83"/>
  <c r="H314" i="83"/>
  <c r="H6" i="83"/>
  <c r="H360" i="83"/>
  <c r="H341" i="83"/>
  <c r="H424" i="83"/>
  <c r="H271" i="83"/>
  <c r="H153" i="83"/>
  <c r="H369" i="83"/>
  <c r="H137" i="83"/>
  <c r="H276" i="83"/>
  <c r="H224" i="83"/>
  <c r="H98" i="83"/>
  <c r="H114" i="83"/>
  <c r="H87" i="83"/>
  <c r="H22" i="83"/>
  <c r="H78" i="83"/>
  <c r="H209" i="83"/>
  <c r="H107" i="83"/>
  <c r="H83" i="83"/>
  <c r="H30" i="83"/>
  <c r="H10" i="83"/>
  <c r="H374" i="83"/>
  <c r="H430" i="83"/>
  <c r="H411" i="83"/>
  <c r="H405" i="83"/>
  <c r="H359" i="83"/>
  <c r="H329" i="83"/>
  <c r="H280" i="83"/>
  <c r="H379" i="83"/>
  <c r="H358" i="83"/>
  <c r="H281" i="83"/>
  <c r="H243" i="83"/>
  <c r="H124" i="83"/>
  <c r="H262" i="83"/>
  <c r="H217" i="83"/>
  <c r="H406" i="83"/>
  <c r="H398" i="83"/>
  <c r="H75" i="83"/>
  <c r="H313" i="83"/>
  <c r="H147" i="83"/>
  <c r="H131" i="83"/>
  <c r="H121" i="83"/>
  <c r="H427" i="83"/>
  <c r="H277" i="83"/>
  <c r="H347" i="83"/>
  <c r="H115" i="83"/>
  <c r="H298" i="83"/>
  <c r="H244" i="83"/>
  <c r="H198" i="83"/>
  <c r="H18" i="83"/>
  <c r="H393" i="83"/>
  <c r="H342" i="83"/>
  <c r="H315" i="83"/>
  <c r="H264" i="83"/>
  <c r="H234" i="83"/>
  <c r="H248" i="83"/>
  <c r="H175" i="83"/>
  <c r="H399" i="83"/>
  <c r="H122" i="83"/>
  <c r="H215" i="83"/>
  <c r="H163" i="83"/>
  <c r="H192" i="83"/>
  <c r="H195" i="83"/>
  <c r="H71" i="83"/>
  <c r="H117" i="83"/>
  <c r="H47" i="83"/>
  <c r="H99" i="83"/>
  <c r="H49" i="83"/>
  <c r="H65" i="83"/>
  <c r="H15" i="83"/>
  <c r="H170" i="83"/>
  <c r="H265" i="83"/>
  <c r="H132" i="83"/>
  <c r="H134" i="83"/>
  <c r="H43" i="83"/>
  <c r="H410" i="83"/>
  <c r="H414" i="83"/>
  <c r="H321" i="83"/>
  <c r="H385" i="83"/>
  <c r="H362" i="83"/>
  <c r="H16" i="83"/>
  <c r="H339" i="83"/>
  <c r="H343" i="83"/>
  <c r="H415" i="83"/>
  <c r="H299" i="83"/>
  <c r="H214" i="83"/>
  <c r="H229" i="83"/>
  <c r="H178" i="83"/>
  <c r="H162" i="83"/>
  <c r="H90" i="83"/>
  <c r="H94" i="83"/>
  <c r="H125" i="83"/>
  <c r="H69" i="83"/>
  <c r="H13" i="83"/>
  <c r="H21" i="83"/>
  <c r="H172" i="83"/>
  <c r="H157" i="83"/>
  <c r="H428" i="83"/>
  <c r="H218" i="83"/>
  <c r="H231" i="83"/>
  <c r="H227" i="83"/>
  <c r="H245" i="83"/>
  <c r="H390" i="83"/>
  <c r="H201" i="83"/>
  <c r="H202" i="83"/>
  <c r="H246" i="83"/>
  <c r="H177" i="83"/>
  <c r="H145" i="83"/>
  <c r="H386" i="83"/>
  <c r="H395" i="83"/>
  <c r="H181" i="83"/>
  <c r="H267" i="83"/>
  <c r="H186" i="83"/>
  <c r="H311" i="83"/>
  <c r="H40" i="83"/>
  <c r="H12" i="83"/>
  <c r="H288" i="83"/>
  <c r="H354" i="83"/>
  <c r="H431" i="83"/>
  <c r="H81" i="83"/>
  <c r="H391" i="83"/>
  <c r="H328" i="83"/>
  <c r="H285" i="83"/>
  <c r="H249" i="83"/>
  <c r="H232" i="83"/>
  <c r="H85" i="83"/>
  <c r="H194" i="83"/>
  <c r="H126" i="83"/>
  <c r="H59" i="83"/>
  <c r="H101" i="83"/>
  <c r="H58" i="83"/>
  <c r="H63" i="83"/>
  <c r="H39" i="83"/>
  <c r="H29" i="83"/>
  <c r="H255" i="83"/>
  <c r="H84" i="83"/>
  <c r="H151" i="83"/>
  <c r="H93" i="83"/>
  <c r="H394" i="83"/>
  <c r="H210" i="83"/>
  <c r="H283" i="83"/>
  <c r="H401" i="83"/>
  <c r="H34" i="83"/>
  <c r="H196" i="83"/>
  <c r="H282" i="83"/>
  <c r="H11" i="83"/>
  <c r="H28" i="83"/>
  <c r="H377" i="83"/>
  <c r="H376" i="83"/>
  <c r="H123" i="83"/>
  <c r="H295" i="83"/>
  <c r="H213" i="83"/>
  <c r="H44" i="83"/>
  <c r="H130" i="83"/>
  <c r="H9" i="83"/>
  <c r="H330" i="83"/>
  <c r="H199" i="83"/>
  <c r="H116" i="83"/>
  <c r="H67" i="83"/>
  <c r="H32" i="83"/>
  <c r="H45" i="83"/>
  <c r="H24" i="83"/>
  <c r="H429" i="83"/>
  <c r="H400" i="83"/>
  <c r="H426" i="83"/>
  <c r="H323" i="83"/>
  <c r="H102" i="83"/>
  <c r="H113" i="83"/>
  <c r="H33" i="83"/>
  <c r="H79" i="83"/>
  <c r="H423" i="83"/>
  <c r="H371" i="83"/>
  <c r="H409" i="83"/>
  <c r="H355" i="83"/>
  <c r="H263" i="83"/>
  <c r="H233" i="83"/>
  <c r="H141" i="83"/>
  <c r="H41" i="83"/>
  <c r="H345" i="83"/>
  <c r="H422" i="83"/>
  <c r="H133" i="83"/>
  <c r="H17" i="83"/>
  <c r="H316" i="83"/>
  <c r="H434" i="83"/>
  <c r="H106" i="83"/>
  <c r="H325" i="83"/>
  <c r="H159" i="83"/>
  <c r="H155" i="83"/>
  <c r="H161" i="83"/>
  <c r="H110" i="83"/>
  <c r="H109" i="83"/>
  <c r="H31" i="83"/>
  <c r="H284" i="83"/>
  <c r="H287" i="83"/>
  <c r="H216" i="83"/>
  <c r="H143" i="83"/>
  <c r="H242" i="83"/>
  <c r="H375" i="83"/>
  <c r="H176" i="83"/>
  <c r="H338" i="83"/>
  <c r="H50" i="83"/>
  <c r="H419" i="83"/>
  <c r="H403" i="83"/>
  <c r="H247" i="83"/>
  <c r="H297" i="83"/>
  <c r="H174" i="83"/>
  <c r="H158" i="83"/>
  <c r="H77" i="83"/>
  <c r="H272" i="83"/>
  <c r="H7" i="83"/>
  <c r="H408" i="83"/>
  <c r="H89" i="83"/>
  <c r="H310" i="83"/>
  <c r="H407" i="83"/>
  <c r="H261" i="83"/>
  <c r="H397" i="83"/>
  <c r="H270" i="83"/>
  <c r="H357" i="83"/>
  <c r="H91" i="83"/>
  <c r="H190" i="83"/>
  <c r="H160" i="83"/>
  <c r="H51" i="83"/>
  <c r="H52" i="83"/>
  <c r="H104" i="83"/>
  <c r="H322" i="83"/>
  <c r="H387" i="83"/>
  <c r="H370" i="83"/>
  <c r="H37" i="83"/>
  <c r="H25" i="83"/>
  <c r="H57" i="83"/>
  <c r="N58" i="89"/>
  <c r="N61" i="89"/>
  <c r="N62" i="89"/>
  <c r="N63" i="89"/>
  <c r="N145" i="89"/>
  <c r="N220" i="89"/>
  <c r="N225" i="89"/>
  <c r="N64" i="89"/>
  <c r="N65" i="89"/>
  <c r="N138" i="89"/>
  <c r="N144" i="89"/>
  <c r="N223" i="89"/>
  <c r="N236" i="89"/>
  <c r="N66" i="89"/>
  <c r="N143" i="89"/>
  <c r="N199" i="89"/>
  <c r="N203" i="89"/>
  <c r="N204" i="89"/>
  <c r="N205" i="89"/>
  <c r="N27" i="89"/>
  <c r="N264" i="89"/>
  <c r="N218" i="89"/>
  <c r="N255" i="89"/>
  <c r="N68" i="89"/>
  <c r="N198" i="89"/>
  <c r="N209" i="89"/>
  <c r="N266" i="89"/>
  <c r="N75" i="89"/>
  <c r="N71" i="89"/>
  <c r="N206" i="89"/>
  <c r="N267" i="89"/>
  <c r="N217" i="89"/>
  <c r="N256" i="89"/>
  <c r="N271" i="89"/>
  <c r="N69" i="89"/>
  <c r="N73" i="89"/>
  <c r="N142" i="89"/>
  <c r="N244" i="89"/>
  <c r="N268" i="89"/>
  <c r="N208" i="89"/>
  <c r="N67" i="89"/>
  <c r="N207" i="89"/>
  <c r="N72" i="89"/>
  <c r="N70" i="89"/>
  <c r="N26" i="89"/>
  <c r="N25" i="89"/>
  <c r="N74" i="89"/>
  <c r="N175" i="89"/>
  <c r="N236" i="99"/>
  <c r="N223" i="99"/>
  <c r="N175" i="99"/>
  <c r="N145" i="99"/>
  <c r="N63" i="99"/>
  <c r="N27" i="99"/>
  <c r="N26" i="99"/>
  <c r="N236" i="103"/>
  <c r="N217" i="103"/>
  <c r="N208" i="103"/>
  <c r="N203" i="103"/>
  <c r="N67" i="103"/>
  <c r="N27" i="103"/>
  <c r="N267" i="102"/>
  <c r="P267" i="102" s="1"/>
  <c r="R267" i="102" s="1"/>
  <c r="N264" i="102"/>
  <c r="P264" i="102" s="1"/>
  <c r="R264" i="102" s="1"/>
  <c r="N145" i="102"/>
  <c r="P145" i="102" s="1"/>
  <c r="Q145" i="102" s="1"/>
  <c r="N138" i="102"/>
  <c r="N204" i="101"/>
  <c r="N199" i="101"/>
  <c r="N175" i="101"/>
  <c r="N75" i="101"/>
  <c r="N72" i="101"/>
  <c r="N68" i="101"/>
  <c r="N65" i="101"/>
  <c r="N61" i="101"/>
  <c r="N244" i="100"/>
  <c r="N218" i="100"/>
  <c r="N209" i="100"/>
  <c r="N203" i="100"/>
  <c r="N198" i="100"/>
  <c r="N73" i="100"/>
  <c r="N25" i="100"/>
  <c r="N268" i="101"/>
  <c r="N143" i="101"/>
  <c r="N199" i="100"/>
  <c r="N61" i="100"/>
  <c r="N244" i="101"/>
  <c r="N223" i="101"/>
  <c r="N208" i="101"/>
  <c r="N74" i="101"/>
  <c r="N138" i="100"/>
  <c r="N72" i="100"/>
  <c r="N255" i="99"/>
  <c r="N74" i="99"/>
  <c r="N62" i="99"/>
  <c r="N204" i="103"/>
  <c r="N175" i="103"/>
  <c r="N75" i="103"/>
  <c r="N73" i="103"/>
  <c r="N65" i="103"/>
  <c r="N255" i="102"/>
  <c r="P255" i="102" s="1"/>
  <c r="Q255" i="102" s="1"/>
  <c r="N217" i="102"/>
  <c r="P217" i="102" s="1"/>
  <c r="Q217" i="102" s="1"/>
  <c r="N75" i="102"/>
  <c r="P75" i="102" s="1"/>
  <c r="N66" i="102"/>
  <c r="P66" i="102" s="1"/>
  <c r="R66" i="102" s="1"/>
  <c r="N26" i="102"/>
  <c r="P26" i="102" s="1"/>
  <c r="Q26" i="102" s="1"/>
  <c r="N25" i="102"/>
  <c r="P25" i="102" s="1"/>
  <c r="Q25" i="102" s="1"/>
  <c r="N266" i="101"/>
  <c r="N207" i="101"/>
  <c r="N205" i="101"/>
  <c r="N25" i="101"/>
  <c r="N267" i="100"/>
  <c r="N266" i="100"/>
  <c r="N255" i="100"/>
  <c r="N236" i="100"/>
  <c r="N223" i="100"/>
  <c r="N217" i="100"/>
  <c r="N67" i="100"/>
  <c r="N26" i="100"/>
  <c r="N205" i="100"/>
  <c r="N65" i="100"/>
  <c r="N268" i="99"/>
  <c r="N225" i="99"/>
  <c r="N206" i="99"/>
  <c r="N203" i="99"/>
  <c r="N71" i="99"/>
  <c r="N66" i="99"/>
  <c r="N64" i="99"/>
  <c r="N267" i="103"/>
  <c r="N225" i="103"/>
  <c r="N218" i="103"/>
  <c r="N206" i="103"/>
  <c r="N199" i="103"/>
  <c r="N70" i="103"/>
  <c r="N64" i="103"/>
  <c r="N58" i="103"/>
  <c r="N25" i="103"/>
  <c r="N256" i="102"/>
  <c r="P256" i="102" s="1"/>
  <c r="Q256" i="102" s="1"/>
  <c r="N204" i="102"/>
  <c r="P204" i="102" s="1"/>
  <c r="Q204" i="102" s="1"/>
  <c r="N67" i="102"/>
  <c r="P67" i="102" s="1"/>
  <c r="R67" i="102" s="1"/>
  <c r="N65" i="102"/>
  <c r="P65" i="102" s="1"/>
  <c r="R65" i="102" s="1"/>
  <c r="N70" i="101"/>
  <c r="N264" i="100"/>
  <c r="N206" i="100"/>
  <c r="N256" i="100"/>
  <c r="N267" i="99"/>
  <c r="N266" i="99"/>
  <c r="N144" i="99"/>
  <c r="N138" i="99"/>
  <c r="N75" i="99"/>
  <c r="N72" i="99"/>
  <c r="N70" i="99"/>
  <c r="N58" i="99"/>
  <c r="N266" i="103"/>
  <c r="N244" i="103"/>
  <c r="N207" i="103"/>
  <c r="N205" i="103"/>
  <c r="N142" i="103"/>
  <c r="N69" i="103"/>
  <c r="N68" i="103"/>
  <c r="N61" i="103"/>
  <c r="N26" i="103"/>
  <c r="N223" i="102"/>
  <c r="P223" i="102" s="1"/>
  <c r="R223" i="102" s="1"/>
  <c r="N203" i="102"/>
  <c r="P203" i="102" s="1"/>
  <c r="Q203" i="102" s="1"/>
  <c r="N73" i="102"/>
  <c r="P73" i="102" s="1"/>
  <c r="R73" i="102" s="1"/>
  <c r="N27" i="102"/>
  <c r="P27" i="102" s="1"/>
  <c r="Q27" i="102" s="1"/>
  <c r="N267" i="101"/>
  <c r="N206" i="101"/>
  <c r="N142" i="101"/>
  <c r="N71" i="101"/>
  <c r="N69" i="101"/>
  <c r="N63" i="101"/>
  <c r="N26" i="101"/>
  <c r="N204" i="100"/>
  <c r="N256" i="99"/>
  <c r="N244" i="99"/>
  <c r="N217" i="99"/>
  <c r="N67" i="99"/>
  <c r="N198" i="103"/>
  <c r="N72" i="103"/>
  <c r="N62" i="103"/>
  <c r="N142" i="102"/>
  <c r="P142" i="102" s="1"/>
  <c r="R142" i="102" s="1"/>
  <c r="N68" i="102"/>
  <c r="P68" i="102" s="1"/>
  <c r="R68" i="102" s="1"/>
  <c r="N255" i="101"/>
  <c r="N27" i="101"/>
  <c r="N175" i="100"/>
  <c r="N266" i="102"/>
  <c r="P266" i="102" s="1"/>
  <c r="R266" i="102" s="1"/>
  <c r="N220" i="102"/>
  <c r="P220" i="102" s="1"/>
  <c r="Q220" i="102" s="1"/>
  <c r="N271" i="101"/>
  <c r="N70" i="100"/>
  <c r="N220" i="99"/>
  <c r="N218" i="99"/>
  <c r="N209" i="99"/>
  <c r="N207" i="99"/>
  <c r="N204" i="99"/>
  <c r="N198" i="99"/>
  <c r="N68" i="99"/>
  <c r="N65" i="99"/>
  <c r="N268" i="103"/>
  <c r="N255" i="103"/>
  <c r="N209" i="103"/>
  <c r="N143" i="103"/>
  <c r="N71" i="103"/>
  <c r="N63" i="103"/>
  <c r="N205" i="102"/>
  <c r="P205" i="102" s="1"/>
  <c r="Q205" i="102" s="1"/>
  <c r="N143" i="102"/>
  <c r="P143" i="102" s="1"/>
  <c r="Q143" i="102" s="1"/>
  <c r="N69" i="102"/>
  <c r="P69" i="102" s="1"/>
  <c r="R69" i="102" s="1"/>
  <c r="N61" i="102"/>
  <c r="P61" i="102" s="1"/>
  <c r="R61" i="102" s="1"/>
  <c r="N256" i="101"/>
  <c r="N236" i="101"/>
  <c r="N144" i="101"/>
  <c r="N271" i="100"/>
  <c r="N143" i="100"/>
  <c r="N69" i="100"/>
  <c r="N68" i="100"/>
  <c r="N64" i="100"/>
  <c r="N62" i="100"/>
  <c r="N58" i="100"/>
  <c r="N225" i="102"/>
  <c r="P225" i="102" s="1"/>
  <c r="Q225" i="102" s="1"/>
  <c r="N63" i="102"/>
  <c r="P63" i="102" s="1"/>
  <c r="R63" i="102" s="1"/>
  <c r="N203" i="101"/>
  <c r="N66" i="101"/>
  <c r="N208" i="100"/>
  <c r="N145" i="100"/>
  <c r="N142" i="100"/>
  <c r="N264" i="99"/>
  <c r="N143" i="99"/>
  <c r="N73" i="99"/>
  <c r="N268" i="102"/>
  <c r="P268" i="102" s="1"/>
  <c r="R268" i="102" s="1"/>
  <c r="N225" i="101"/>
  <c r="N198" i="101"/>
  <c r="N74" i="100"/>
  <c r="N205" i="99"/>
  <c r="N142" i="99"/>
  <c r="N69" i="99"/>
  <c r="N256" i="103"/>
  <c r="N220" i="103"/>
  <c r="N66" i="103"/>
  <c r="N271" i="102"/>
  <c r="P271" i="102" s="1"/>
  <c r="R271" i="102" s="1"/>
  <c r="N244" i="102"/>
  <c r="P244" i="102" s="1"/>
  <c r="R244" i="102" s="1"/>
  <c r="N236" i="102"/>
  <c r="P236" i="102" s="1"/>
  <c r="Q236" i="102" s="1"/>
  <c r="N209" i="102"/>
  <c r="P209" i="102" s="1"/>
  <c r="R209" i="102" s="1"/>
  <c r="N207" i="102"/>
  <c r="P207" i="102" s="1"/>
  <c r="Q207" i="102" s="1"/>
  <c r="N206" i="102"/>
  <c r="P206" i="102" s="1"/>
  <c r="Q206" i="102" s="1"/>
  <c r="N199" i="102"/>
  <c r="P199" i="102" s="1"/>
  <c r="R199" i="102" s="1"/>
  <c r="N175" i="102"/>
  <c r="P175" i="102" s="1"/>
  <c r="Q175" i="102" s="1"/>
  <c r="N144" i="102"/>
  <c r="P144" i="102" s="1"/>
  <c r="Q144" i="102" s="1"/>
  <c r="N72" i="102"/>
  <c r="P72" i="102" s="1"/>
  <c r="R72" i="102" s="1"/>
  <c r="N70" i="102"/>
  <c r="P70" i="102" s="1"/>
  <c r="R70" i="102" s="1"/>
  <c r="N64" i="102"/>
  <c r="P64" i="102" s="1"/>
  <c r="R64" i="102" s="1"/>
  <c r="N62" i="102"/>
  <c r="P62" i="102" s="1"/>
  <c r="R62" i="102" s="1"/>
  <c r="N58" i="102"/>
  <c r="P58" i="102" s="1"/>
  <c r="Q58" i="102" s="1"/>
  <c r="N264" i="101"/>
  <c r="N220" i="101"/>
  <c r="N218" i="101"/>
  <c r="N209" i="101"/>
  <c r="N145" i="101"/>
  <c r="N64" i="101"/>
  <c r="N58" i="101"/>
  <c r="N268" i="100"/>
  <c r="N225" i="100"/>
  <c r="N207" i="100"/>
  <c r="N144" i="100"/>
  <c r="N75" i="100"/>
  <c r="N63" i="100"/>
  <c r="N27" i="100"/>
  <c r="N271" i="99"/>
  <c r="N208" i="99"/>
  <c r="N199" i="99"/>
  <c r="N61" i="99"/>
  <c r="N25" i="99"/>
  <c r="N271" i="103"/>
  <c r="N264" i="103"/>
  <c r="N223" i="103"/>
  <c r="N145" i="103"/>
  <c r="N144" i="103"/>
  <c r="N138" i="103"/>
  <c r="N208" i="102"/>
  <c r="P208" i="102" s="1"/>
  <c r="R208" i="102" s="1"/>
  <c r="N74" i="102"/>
  <c r="P74" i="102" s="1"/>
  <c r="R74" i="102" s="1"/>
  <c r="N71" i="102"/>
  <c r="P71" i="102" s="1"/>
  <c r="R71" i="102" s="1"/>
  <c r="N138" i="101"/>
  <c r="N73" i="101"/>
  <c r="N67" i="101"/>
  <c r="N62" i="101"/>
  <c r="N220" i="100"/>
  <c r="N71" i="100"/>
  <c r="N66" i="100"/>
  <c r="N74" i="103"/>
  <c r="N218" i="102"/>
  <c r="P218" i="102" s="1"/>
  <c r="R218" i="102" s="1"/>
  <c r="N198" i="102"/>
  <c r="P198" i="102" s="1"/>
  <c r="R198" i="102" s="1"/>
  <c r="N217" i="101"/>
  <c r="P138" i="102"/>
  <c r="Q138" i="102" s="1"/>
  <c r="D21" i="8"/>
  <c r="E21" i="111" s="1"/>
  <c r="E36" i="51"/>
  <c r="J27" i="84"/>
  <c r="J13" i="84"/>
  <c r="J12" i="84"/>
  <c r="J51" i="84"/>
  <c r="J102" i="84"/>
  <c r="J62" i="84"/>
  <c r="J82" i="84"/>
  <c r="J84" i="84"/>
  <c r="J88" i="84"/>
  <c r="J41" i="84"/>
  <c r="J53" i="84"/>
  <c r="J56" i="84"/>
  <c r="J86" i="84"/>
  <c r="J158" i="84"/>
  <c r="J44" i="84"/>
  <c r="J76" i="84"/>
  <c r="J140" i="84"/>
  <c r="J167" i="84"/>
  <c r="J10" i="84"/>
  <c r="J35" i="84"/>
  <c r="J120" i="84"/>
  <c r="J212" i="84"/>
  <c r="J214" i="84"/>
  <c r="J143" i="84"/>
  <c r="J159" i="84"/>
  <c r="J203" i="84"/>
  <c r="J218" i="84"/>
  <c r="J116" i="84"/>
  <c r="J130" i="84"/>
  <c r="J145" i="84"/>
  <c r="J60" i="84"/>
  <c r="J109" i="84"/>
  <c r="J188" i="84"/>
  <c r="J192" i="84"/>
  <c r="J197" i="84"/>
  <c r="J118" i="84"/>
  <c r="J134" i="84"/>
  <c r="J150" i="84"/>
  <c r="J180" i="84"/>
  <c r="J18" i="84"/>
  <c r="J90" i="84"/>
  <c r="J151" i="84"/>
  <c r="J165" i="84"/>
  <c r="J176" i="84"/>
  <c r="J196" i="84"/>
  <c r="J74" i="84"/>
  <c r="J164" i="84"/>
  <c r="J199" i="84"/>
  <c r="J71" i="84"/>
  <c r="J213" i="84"/>
  <c r="J178" i="84"/>
  <c r="J194" i="84"/>
  <c r="J222" i="84"/>
  <c r="J69" i="84"/>
  <c r="J153" i="84"/>
  <c r="J58" i="84"/>
  <c r="J184" i="84"/>
  <c r="J215" i="84"/>
  <c r="J77" i="84"/>
  <c r="J161" i="84"/>
  <c r="J174" i="84"/>
  <c r="J175" i="84"/>
  <c r="J168" i="84"/>
  <c r="J181" i="84"/>
  <c r="J217" i="84"/>
  <c r="J177" i="84"/>
  <c r="J136" i="84"/>
  <c r="J122" i="84"/>
  <c r="J34" i="84"/>
  <c r="J73" i="84"/>
  <c r="J144" i="84"/>
  <c r="J183" i="84"/>
  <c r="J6" i="84"/>
  <c r="J46" i="84"/>
  <c r="J39" i="84"/>
  <c r="J117" i="84"/>
  <c r="J65" i="84"/>
  <c r="J138" i="84"/>
  <c r="J54" i="84"/>
  <c r="J170" i="84"/>
  <c r="J95" i="84"/>
  <c r="J147" i="84"/>
  <c r="J93" i="84"/>
  <c r="J87" i="84"/>
  <c r="J133" i="84"/>
  <c r="J200" i="84"/>
  <c r="J141" i="84"/>
  <c r="J182" i="84"/>
  <c r="J221" i="84"/>
  <c r="J207" i="84"/>
  <c r="J105" i="84"/>
  <c r="J128" i="84"/>
  <c r="J113" i="84"/>
  <c r="J112" i="84"/>
  <c r="J92" i="84"/>
  <c r="J33" i="84"/>
  <c r="J20" i="84"/>
  <c r="J14" i="84"/>
  <c r="J224" i="84"/>
  <c r="J103" i="84"/>
  <c r="J142" i="84"/>
  <c r="J210" i="84"/>
  <c r="J169" i="84"/>
  <c r="J157" i="84"/>
  <c r="J185" i="84"/>
  <c r="J115" i="84"/>
  <c r="J100" i="84"/>
  <c r="J193" i="84"/>
  <c r="J191" i="84"/>
  <c r="J205" i="84"/>
  <c r="J152" i="84"/>
  <c r="J219" i="84"/>
  <c r="J162" i="84"/>
  <c r="J61" i="84"/>
  <c r="J63" i="84"/>
  <c r="J187" i="84"/>
  <c r="J127" i="84"/>
  <c r="J96" i="84"/>
  <c r="J75" i="84"/>
  <c r="J15" i="84"/>
  <c r="J68" i="84"/>
  <c r="J204" i="84"/>
  <c r="J80" i="84"/>
  <c r="J195" i="84"/>
  <c r="J8" i="84"/>
  <c r="J55" i="84"/>
  <c r="J119" i="84"/>
  <c r="J179" i="84"/>
  <c r="J155" i="84"/>
  <c r="J146" i="84"/>
  <c r="J67" i="84"/>
  <c r="J126" i="84"/>
  <c r="J97" i="84"/>
  <c r="J211" i="84"/>
  <c r="J131" i="84"/>
  <c r="J209" i="84"/>
  <c r="J189" i="84"/>
  <c r="J99" i="84"/>
  <c r="J101" i="84"/>
  <c r="J123" i="84"/>
  <c r="J37" i="84"/>
  <c r="J45" i="84"/>
  <c r="J17" i="84"/>
  <c r="J42" i="84"/>
  <c r="J47" i="84"/>
  <c r="J7" i="84"/>
  <c r="J160" i="84"/>
  <c r="J57" i="84"/>
  <c r="J121" i="84"/>
  <c r="J25" i="84"/>
  <c r="J201" i="84"/>
  <c r="J70" i="84"/>
  <c r="J114" i="84"/>
  <c r="J26" i="84"/>
  <c r="J16" i="84"/>
  <c r="J32" i="84"/>
  <c r="J135" i="84"/>
  <c r="J139" i="84"/>
  <c r="J72" i="84"/>
  <c r="J98" i="84"/>
  <c r="J163" i="84"/>
  <c r="J48" i="84"/>
  <c r="J79" i="84"/>
  <c r="J9" i="84"/>
  <c r="J21" i="84"/>
  <c r="J106" i="84"/>
  <c r="J40" i="84"/>
  <c r="J172" i="84"/>
  <c r="J107" i="84"/>
  <c r="J31" i="84"/>
  <c r="J24" i="84"/>
  <c r="J171" i="84"/>
  <c r="J110" i="84"/>
  <c r="J111" i="84"/>
  <c r="J94" i="84"/>
  <c r="J52" i="84"/>
  <c r="J19" i="84"/>
  <c r="J202" i="84"/>
  <c r="J104" i="84"/>
  <c r="J223" i="84"/>
  <c r="J186" i="84"/>
  <c r="J190" i="84"/>
  <c r="J208" i="84"/>
  <c r="J81" i="84"/>
  <c r="J29" i="84"/>
  <c r="J129" i="84"/>
  <c r="J85" i="84"/>
  <c r="J43" i="84"/>
  <c r="J28" i="84"/>
  <c r="J149" i="84"/>
  <c r="J64" i="84"/>
  <c r="J49" i="84"/>
  <c r="J91" i="84"/>
  <c r="J22" i="84"/>
  <c r="J225" i="84"/>
  <c r="J216" i="84"/>
  <c r="J78" i="84"/>
  <c r="J30" i="84"/>
  <c r="J89" i="84"/>
  <c r="J154" i="84"/>
  <c r="J198" i="84"/>
  <c r="J148" i="84"/>
  <c r="J166" i="84"/>
  <c r="J125" i="84"/>
  <c r="J66" i="84"/>
  <c r="J36" i="84"/>
  <c r="J124" i="84"/>
  <c r="J59" i="84"/>
  <c r="J220" i="84"/>
  <c r="J137" i="84"/>
  <c r="J11" i="84"/>
  <c r="J173" i="84"/>
  <c r="J206" i="84"/>
  <c r="J23" i="84"/>
  <c r="J132" i="84"/>
  <c r="J38" i="84"/>
  <c r="J226" i="84"/>
  <c r="J108" i="84"/>
  <c r="J83" i="84"/>
  <c r="J156" i="84"/>
  <c r="J50" i="84"/>
  <c r="L86" i="2"/>
  <c r="L87" i="2"/>
  <c r="L110" i="2"/>
  <c r="L116" i="2"/>
  <c r="L129" i="2"/>
  <c r="L143" i="2"/>
  <c r="L165" i="2"/>
  <c r="L169" i="2"/>
  <c r="L170" i="2"/>
  <c r="L68" i="2"/>
  <c r="L79" i="2"/>
  <c r="L118" i="2"/>
  <c r="L141" i="2"/>
  <c r="L150" i="2"/>
  <c r="L174" i="2"/>
  <c r="L176" i="2"/>
  <c r="L189" i="2"/>
  <c r="L60" i="2"/>
  <c r="L65" i="2"/>
  <c r="L82" i="2"/>
  <c r="L94" i="2"/>
  <c r="L105" i="2"/>
  <c r="L120" i="2"/>
  <c r="L126" i="2"/>
  <c r="L133" i="2"/>
  <c r="L138" i="2"/>
  <c r="L142" i="2"/>
  <c r="L146" i="2"/>
  <c r="L154" i="2"/>
  <c r="L173" i="2"/>
  <c r="L76" i="2"/>
  <c r="L102" i="2"/>
  <c r="L103" i="2"/>
  <c r="L109" i="2"/>
  <c r="L111" i="2"/>
  <c r="L114" i="2"/>
  <c r="L122" i="2"/>
  <c r="L130" i="2"/>
  <c r="L131" i="2"/>
  <c r="L148" i="2"/>
  <c r="L156" i="2"/>
  <c r="L159" i="2"/>
  <c r="L160" i="2"/>
  <c r="L168" i="2"/>
  <c r="L181" i="2"/>
  <c r="L185" i="2"/>
  <c r="L61" i="2"/>
  <c r="L137" i="2"/>
  <c r="L155" i="2"/>
  <c r="L184" i="2"/>
  <c r="L195" i="2"/>
  <c r="L257" i="2"/>
  <c r="L294" i="2"/>
  <c r="L307" i="2"/>
  <c r="L73" i="2"/>
  <c r="L84" i="2"/>
  <c r="L106" i="2"/>
  <c r="L134" i="2"/>
  <c r="L177" i="2"/>
  <c r="L201" i="2"/>
  <c r="L212" i="2"/>
  <c r="L233" i="2"/>
  <c r="L234" i="2"/>
  <c r="L237" i="2"/>
  <c r="L242" i="2"/>
  <c r="L248" i="2"/>
  <c r="L253" i="2"/>
  <c r="L254" i="2"/>
  <c r="L261" i="2"/>
  <c r="L273" i="2"/>
  <c r="L276" i="2"/>
  <c r="L288" i="2"/>
  <c r="L304" i="2"/>
  <c r="L306" i="2"/>
  <c r="L312" i="2"/>
  <c r="L322" i="2"/>
  <c r="L187" i="2"/>
  <c r="L193" i="2"/>
  <c r="L205" i="2"/>
  <c r="L222" i="2"/>
  <c r="L229" i="2"/>
  <c r="L277" i="2"/>
  <c r="L281" i="2"/>
  <c r="L282" i="2"/>
  <c r="L303" i="2"/>
  <c r="L311" i="2"/>
  <c r="L329" i="2"/>
  <c r="L330" i="2"/>
  <c r="L332" i="2"/>
  <c r="L338" i="2"/>
  <c r="L107" i="2"/>
  <c r="L227" i="2"/>
  <c r="L251" i="2"/>
  <c r="L279" i="2"/>
  <c r="L280" i="2"/>
  <c r="L295" i="2"/>
  <c r="L297" i="2"/>
  <c r="L300" i="2"/>
  <c r="L309" i="2"/>
  <c r="L320" i="2"/>
  <c r="L327" i="2"/>
  <c r="L335" i="2"/>
  <c r="L340" i="2"/>
  <c r="L343" i="2"/>
  <c r="L345" i="2"/>
  <c r="L88" i="2"/>
  <c r="L272" i="2"/>
  <c r="L308" i="2"/>
  <c r="L99" i="2"/>
  <c r="L101" i="2"/>
  <c r="L128" i="2"/>
  <c r="L152" i="2"/>
  <c r="L158" i="2"/>
  <c r="L221" i="2"/>
  <c r="L225" i="2"/>
  <c r="L249" i="2"/>
  <c r="L252" i="2"/>
  <c r="L263" i="2"/>
  <c r="L266" i="2"/>
  <c r="L274" i="2"/>
  <c r="L301" i="2"/>
  <c r="L346" i="2"/>
  <c r="L182" i="2"/>
  <c r="L197" i="2"/>
  <c r="L246" i="2"/>
  <c r="L298" i="2"/>
  <c r="L314" i="2"/>
  <c r="L337" i="2"/>
  <c r="L124" i="2"/>
  <c r="L245" i="2"/>
  <c r="L259" i="2"/>
  <c r="L270" i="2"/>
  <c r="L324" i="2"/>
  <c r="L341" i="2"/>
  <c r="L139" i="2"/>
  <c r="L231" i="2"/>
  <c r="L199" i="2"/>
  <c r="L210" i="2"/>
  <c r="L232" i="2"/>
  <c r="L319" i="2"/>
  <c r="L321" i="2"/>
  <c r="L328" i="2"/>
  <c r="L91" i="2"/>
  <c r="L186" i="2"/>
  <c r="L207" i="2"/>
  <c r="L209" i="2"/>
  <c r="L244" i="2"/>
  <c r="L90" i="2"/>
  <c r="L178" i="2"/>
  <c r="L216" i="2"/>
  <c r="L292" i="2"/>
  <c r="L326" i="2"/>
  <c r="L336" i="2"/>
  <c r="L344" i="2"/>
  <c r="L135" i="2"/>
  <c r="L214" i="2"/>
  <c r="L265" i="2"/>
  <c r="L269" i="2"/>
  <c r="L162" i="2"/>
  <c r="L161" i="2"/>
  <c r="L316" i="2"/>
  <c r="L213" i="2"/>
  <c r="L239" i="2"/>
  <c r="L241" i="2"/>
  <c r="L296" i="2"/>
  <c r="L190" i="2"/>
  <c r="L235" i="2"/>
  <c r="L217" i="2"/>
  <c r="L318" i="2"/>
  <c r="L287" i="2"/>
  <c r="L167" i="2"/>
  <c r="L299" i="2"/>
  <c r="L310" i="2"/>
  <c r="L228" i="2"/>
  <c r="L203" i="2"/>
  <c r="L157" i="2"/>
  <c r="L172" i="2"/>
  <c r="L98" i="2"/>
  <c r="L83" i="2"/>
  <c r="L25" i="2"/>
  <c r="L66" i="2"/>
  <c r="L54" i="2"/>
  <c r="L20" i="2"/>
  <c r="L45" i="2"/>
  <c r="L23" i="2"/>
  <c r="L42" i="2"/>
  <c r="L58" i="2"/>
  <c r="L24" i="2"/>
  <c r="L46" i="2"/>
  <c r="L291" i="2"/>
  <c r="L208" i="2"/>
  <c r="L70" i="2"/>
  <c r="L69" i="2"/>
  <c r="L30" i="2"/>
  <c r="L198" i="2"/>
  <c r="L40" i="2"/>
  <c r="L16" i="2"/>
  <c r="L19" i="2"/>
  <c r="L258" i="2"/>
  <c r="L267" i="2"/>
  <c r="L183" i="2"/>
  <c r="L305" i="2"/>
  <c r="L290" i="2"/>
  <c r="L95" i="2"/>
  <c r="L255" i="2"/>
  <c r="L236" i="2"/>
  <c r="L127" i="2"/>
  <c r="L264" i="2"/>
  <c r="L164" i="2"/>
  <c r="L211" i="2"/>
  <c r="L92" i="2"/>
  <c r="L117" i="2"/>
  <c r="L93" i="2"/>
  <c r="L71" i="2"/>
  <c r="L32" i="2"/>
  <c r="L132" i="2"/>
  <c r="L62" i="2"/>
  <c r="L89" i="2"/>
  <c r="L10" i="2"/>
  <c r="L26" i="2"/>
  <c r="L8" i="2"/>
  <c r="L9" i="2"/>
  <c r="L15" i="2"/>
  <c r="L57" i="2"/>
  <c r="L36" i="2"/>
  <c r="L325" i="2"/>
  <c r="L163" i="2"/>
  <c r="L302" i="2"/>
  <c r="L74" i="2"/>
  <c r="L230" i="2"/>
  <c r="L13" i="2"/>
  <c r="L47" i="2"/>
  <c r="L11" i="2"/>
  <c r="L27" i="2"/>
  <c r="L339" i="2"/>
  <c r="L220" i="2"/>
  <c r="L317" i="2"/>
  <c r="L75" i="2"/>
  <c r="L224" i="2"/>
  <c r="L112" i="2"/>
  <c r="L44" i="2"/>
  <c r="L97" i="2"/>
  <c r="L333" i="2"/>
  <c r="L250" i="2"/>
  <c r="L313" i="2"/>
  <c r="L166" i="2"/>
  <c r="L347" i="2"/>
  <c r="L268" i="2"/>
  <c r="L191" i="2"/>
  <c r="L262" i="2"/>
  <c r="L223" i="2"/>
  <c r="L180" i="2"/>
  <c r="L77" i="2"/>
  <c r="L136" i="2"/>
  <c r="L171" i="2"/>
  <c r="L145" i="2"/>
  <c r="L113" i="2"/>
  <c r="L43" i="2"/>
  <c r="L33" i="2"/>
  <c r="L39" i="2"/>
  <c r="L38" i="2"/>
  <c r="L21" i="2"/>
  <c r="L14" i="2"/>
  <c r="L49" i="2"/>
  <c r="L67" i="2"/>
  <c r="L331" i="2"/>
  <c r="L293" i="2"/>
  <c r="L80" i="2"/>
  <c r="L55" i="2"/>
  <c r="L31" i="2"/>
  <c r="L204" i="2"/>
  <c r="L247" i="2"/>
  <c r="L192" i="2"/>
  <c r="L51" i="2"/>
  <c r="L52" i="2"/>
  <c r="L108" i="2"/>
  <c r="L240" i="2"/>
  <c r="L175" i="2"/>
  <c r="L285" i="2"/>
  <c r="L278" i="2"/>
  <c r="L206" i="2"/>
  <c r="L260" i="2"/>
  <c r="L149" i="2"/>
  <c r="L219" i="2"/>
  <c r="L342" i="2"/>
  <c r="L275" i="2"/>
  <c r="L85" i="2"/>
  <c r="L151" i="2"/>
  <c r="L104" i="2"/>
  <c r="L29" i="2"/>
  <c r="L100" i="2"/>
  <c r="L140" i="2"/>
  <c r="L121" i="2"/>
  <c r="L37" i="2"/>
  <c r="L81" i="2"/>
  <c r="L271" i="2"/>
  <c r="L289" i="2"/>
  <c r="L196" i="2"/>
  <c r="L12" i="2"/>
  <c r="L63" i="2"/>
  <c r="L284" i="2"/>
  <c r="L202" i="2"/>
  <c r="L200" i="2"/>
  <c r="L238" i="2"/>
  <c r="L215" i="2"/>
  <c r="L17" i="2"/>
  <c r="L41" i="2"/>
  <c r="L53" i="2"/>
  <c r="L59" i="2"/>
  <c r="L334" i="2"/>
  <c r="L243" i="2"/>
  <c r="L218" i="2"/>
  <c r="L226" i="2"/>
  <c r="L115" i="2"/>
  <c r="L144" i="2"/>
  <c r="L48" i="2"/>
  <c r="L194" i="2"/>
  <c r="L179" i="2"/>
  <c r="L96" i="2"/>
  <c r="L7" i="2"/>
  <c r="L286" i="2"/>
  <c r="L188" i="2"/>
  <c r="L123" i="2"/>
  <c r="L28" i="2"/>
  <c r="L56" i="2"/>
  <c r="L147" i="2"/>
  <c r="L153" i="2"/>
  <c r="L125" i="2"/>
  <c r="L35" i="2"/>
  <c r="L18" i="2"/>
  <c r="L22" i="2"/>
  <c r="L72" i="2"/>
  <c r="L119" i="2"/>
  <c r="L78" i="2"/>
  <c r="L6" i="2"/>
  <c r="L315" i="2"/>
  <c r="L256" i="2"/>
  <c r="L50" i="2"/>
  <c r="L64" i="2"/>
  <c r="L283" i="2"/>
  <c r="L323" i="2"/>
  <c r="L34" i="2"/>
  <c r="M14" i="3"/>
  <c r="M30" i="3"/>
  <c r="M49" i="3"/>
  <c r="M52" i="3"/>
  <c r="M59" i="3"/>
  <c r="M79" i="3"/>
  <c r="M82" i="3"/>
  <c r="M95" i="3"/>
  <c r="M98" i="3"/>
  <c r="M111" i="3"/>
  <c r="M8" i="3"/>
  <c r="M11" i="3"/>
  <c r="M24" i="3"/>
  <c r="M27" i="3"/>
  <c r="M37" i="3"/>
  <c r="M40" i="3"/>
  <c r="M43" i="3"/>
  <c r="M46" i="3"/>
  <c r="M56" i="3"/>
  <c r="M63" i="3"/>
  <c r="M66" i="3"/>
  <c r="M73" i="3"/>
  <c r="M76" i="3"/>
  <c r="M89" i="3"/>
  <c r="M92" i="3"/>
  <c r="M105" i="3"/>
  <c r="M108" i="3"/>
  <c r="M15" i="3"/>
  <c r="M18" i="3"/>
  <c r="M21" i="3"/>
  <c r="M31" i="3"/>
  <c r="M34" i="3"/>
  <c r="M53" i="3"/>
  <c r="M60" i="3"/>
  <c r="M70" i="3"/>
  <c r="M86" i="3"/>
  <c r="M102" i="3"/>
  <c r="M115" i="3"/>
  <c r="M132" i="3"/>
  <c r="M142" i="3"/>
  <c r="M7" i="3"/>
  <c r="M10" i="3"/>
  <c r="M23" i="3"/>
  <c r="M26" i="3"/>
  <c r="M39" i="3"/>
  <c r="M42" i="3"/>
  <c r="M45" i="3"/>
  <c r="M48" i="3"/>
  <c r="M51" i="3"/>
  <c r="M55" i="3"/>
  <c r="M58" i="3"/>
  <c r="M65" i="3"/>
  <c r="M78" i="3"/>
  <c r="M94" i="3"/>
  <c r="M16" i="3"/>
  <c r="M17" i="3"/>
  <c r="M54" i="3"/>
  <c r="M81" i="3"/>
  <c r="M107" i="3"/>
  <c r="M118" i="3"/>
  <c r="M119" i="3"/>
  <c r="M127" i="3"/>
  <c r="M141" i="3"/>
  <c r="M145" i="3"/>
  <c r="M153" i="3"/>
  <c r="M13" i="3"/>
  <c r="M19" i="3"/>
  <c r="M20" i="3"/>
  <c r="M22" i="3"/>
  <c r="M25" i="3"/>
  <c r="M28" i="3"/>
  <c r="M57" i="3"/>
  <c r="M64" i="3"/>
  <c r="M84" i="3"/>
  <c r="M85" i="3"/>
  <c r="M87" i="3"/>
  <c r="M93" i="3"/>
  <c r="M110" i="3"/>
  <c r="M114" i="3"/>
  <c r="M123" i="3"/>
  <c r="M133" i="3"/>
  <c r="M137" i="3"/>
  <c r="M146" i="3"/>
  <c r="M150" i="3"/>
  <c r="M32" i="3"/>
  <c r="M33" i="3"/>
  <c r="M61" i="3"/>
  <c r="M62" i="3"/>
  <c r="M67" i="3"/>
  <c r="M88" i="3"/>
  <c r="M90" i="3"/>
  <c r="M128" i="3"/>
  <c r="M129" i="3"/>
  <c r="M9" i="3"/>
  <c r="M83" i="3"/>
  <c r="M109" i="3"/>
  <c r="M112" i="3"/>
  <c r="M116" i="3"/>
  <c r="M156" i="3"/>
  <c r="M157" i="3"/>
  <c r="M160" i="3"/>
  <c r="M163" i="3"/>
  <c r="M173" i="3"/>
  <c r="M176" i="3"/>
  <c r="M179" i="3"/>
  <c r="M189" i="3"/>
  <c r="M192" i="3"/>
  <c r="M195" i="3"/>
  <c r="M205" i="3"/>
  <c r="M208" i="3"/>
  <c r="M211" i="3"/>
  <c r="M231" i="3"/>
  <c r="M234" i="3"/>
  <c r="M247" i="3"/>
  <c r="M250" i="3"/>
  <c r="M259" i="3"/>
  <c r="M287" i="3"/>
  <c r="M293" i="3"/>
  <c r="M296" i="3"/>
  <c r="M302" i="3"/>
  <c r="M305" i="3"/>
  <c r="M308" i="3"/>
  <c r="M314" i="3"/>
  <c r="M323" i="3"/>
  <c r="M333" i="3"/>
  <c r="M336" i="3"/>
  <c r="M339" i="3"/>
  <c r="M361" i="3"/>
  <c r="M377" i="3"/>
  <c r="M387" i="3"/>
  <c r="M390" i="3"/>
  <c r="M409" i="3"/>
  <c r="M412" i="3"/>
  <c r="M415" i="3"/>
  <c r="M418" i="3"/>
  <c r="M421" i="3"/>
  <c r="M68" i="3"/>
  <c r="M71" i="3"/>
  <c r="M113" i="3"/>
  <c r="M164" i="3"/>
  <c r="M177" i="3"/>
  <c r="M180" i="3"/>
  <c r="M212" i="3"/>
  <c r="M235" i="3"/>
  <c r="M254" i="3"/>
  <c r="M257" i="3"/>
  <c r="M260" i="3"/>
  <c r="M266" i="3"/>
  <c r="M275" i="3"/>
  <c r="M309" i="3"/>
  <c r="M312" i="3"/>
  <c r="M318" i="3"/>
  <c r="M321" i="3"/>
  <c r="M324" i="3"/>
  <c r="M6" i="3"/>
  <c r="M77" i="3"/>
  <c r="M80" i="3"/>
  <c r="M96" i="3"/>
  <c r="M140" i="3"/>
  <c r="M143" i="3"/>
  <c r="M152" i="3"/>
  <c r="M167" i="3"/>
  <c r="M170" i="3"/>
  <c r="M183" i="3"/>
  <c r="M186" i="3"/>
  <c r="M199" i="3"/>
  <c r="M202" i="3"/>
  <c r="M215" i="3"/>
  <c r="M218" i="3"/>
  <c r="M225" i="3"/>
  <c r="M228" i="3"/>
  <c r="M241" i="3"/>
  <c r="M244" i="3"/>
  <c r="M263" i="3"/>
  <c r="M269" i="3"/>
  <c r="M272" i="3"/>
  <c r="M278" i="3"/>
  <c r="M281" i="3"/>
  <c r="M284" i="3"/>
  <c r="M290" i="3"/>
  <c r="M299" i="3"/>
  <c r="M327" i="3"/>
  <c r="M330" i="3"/>
  <c r="M343" i="3"/>
  <c r="M349" i="3"/>
  <c r="M352" i="3"/>
  <c r="M355" i="3"/>
  <c r="M358" i="3"/>
  <c r="M371" i="3"/>
  <c r="M374" i="3"/>
  <c r="M381" i="3"/>
  <c r="M384" i="3"/>
  <c r="M403" i="3"/>
  <c r="M406" i="3"/>
  <c r="M69" i="3"/>
  <c r="M74" i="3"/>
  <c r="M99" i="3"/>
  <c r="M117" i="3"/>
  <c r="M161" i="3"/>
  <c r="M193" i="3"/>
  <c r="M196" i="3"/>
  <c r="M209" i="3"/>
  <c r="M222" i="3"/>
  <c r="M238" i="3"/>
  <c r="M303" i="3"/>
  <c r="M72" i="3"/>
  <c r="M75" i="3"/>
  <c r="M97" i="3"/>
  <c r="M103" i="3"/>
  <c r="M106" i="3"/>
  <c r="M120" i="3"/>
  <c r="M154" i="3"/>
  <c r="M158" i="3"/>
  <c r="M174" i="3"/>
  <c r="M190" i="3"/>
  <c r="M203" i="3"/>
  <c r="M206" i="3"/>
  <c r="M219" i="3"/>
  <c r="M229" i="3"/>
  <c r="M232" i="3"/>
  <c r="M245" i="3"/>
  <c r="M248" i="3"/>
  <c r="M251" i="3"/>
  <c r="M279" i="3"/>
  <c r="M285" i="3"/>
  <c r="M288" i="3"/>
  <c r="M294" i="3"/>
  <c r="M297" i="3"/>
  <c r="M300" i="3"/>
  <c r="M306" i="3"/>
  <c r="M315" i="3"/>
  <c r="M334" i="3"/>
  <c r="M337" i="3"/>
  <c r="M359" i="3"/>
  <c r="M362" i="3"/>
  <c r="M372" i="3"/>
  <c r="M375" i="3"/>
  <c r="M378" i="3"/>
  <c r="M385" i="3"/>
  <c r="M404" i="3"/>
  <c r="M407" i="3"/>
  <c r="M410" i="3"/>
  <c r="M413" i="3"/>
  <c r="M416" i="3"/>
  <c r="M419" i="3"/>
  <c r="M29" i="3"/>
  <c r="M35" i="3"/>
  <c r="M36" i="3"/>
  <c r="M122" i="3"/>
  <c r="M125" i="3"/>
  <c r="M126" i="3"/>
  <c r="M151" i="3"/>
  <c r="M155" i="3"/>
  <c r="M169" i="3"/>
  <c r="M172" i="3"/>
  <c r="M185" i="3"/>
  <c r="M188" i="3"/>
  <c r="M201" i="3"/>
  <c r="M217" i="3"/>
  <c r="M230" i="3"/>
  <c r="M246" i="3"/>
  <c r="M271" i="3"/>
  <c r="M277" i="3"/>
  <c r="M280" i="3"/>
  <c r="M286" i="3"/>
  <c r="M289" i="3"/>
  <c r="M292" i="3"/>
  <c r="M298" i="3"/>
  <c r="M307" i="3"/>
  <c r="M329" i="3"/>
  <c r="M332" i="3"/>
  <c r="M338" i="3"/>
  <c r="M351" i="3"/>
  <c r="M357" i="3"/>
  <c r="M360" i="3"/>
  <c r="M373" i="3"/>
  <c r="M376" i="3"/>
  <c r="M383" i="3"/>
  <c r="M386" i="3"/>
  <c r="M405" i="3"/>
  <c r="M408" i="3"/>
  <c r="M411" i="3"/>
  <c r="M414" i="3"/>
  <c r="M12" i="3"/>
  <c r="M136" i="3"/>
  <c r="M159" i="3"/>
  <c r="M178" i="3"/>
  <c r="M198" i="3"/>
  <c r="M214" i="3"/>
  <c r="M236" i="3"/>
  <c r="M255" i="3"/>
  <c r="M274" i="3"/>
  <c r="M320" i="3"/>
  <c r="M388" i="3"/>
  <c r="M389" i="3"/>
  <c r="M402" i="3"/>
  <c r="M44" i="3"/>
  <c r="M130" i="3"/>
  <c r="M139" i="3"/>
  <c r="M181" i="3"/>
  <c r="M184" i="3"/>
  <c r="M187" i="3"/>
  <c r="M282" i="3"/>
  <c r="M326" i="3"/>
  <c r="M331" i="3"/>
  <c r="M380" i="3"/>
  <c r="M50" i="3"/>
  <c r="M147" i="3"/>
  <c r="M148" i="3"/>
  <c r="M239" i="3"/>
  <c r="M242" i="3"/>
  <c r="M262" i="3"/>
  <c r="M273" i="3"/>
  <c r="M319" i="3"/>
  <c r="M392" i="3"/>
  <c r="M394" i="3"/>
  <c r="M397" i="3"/>
  <c r="M400" i="3"/>
  <c r="M41" i="3"/>
  <c r="M124" i="3"/>
  <c r="M200" i="3"/>
  <c r="M216" i="3"/>
  <c r="M221" i="3"/>
  <c r="M240" i="3"/>
  <c r="M243" i="3"/>
  <c r="M47" i="3"/>
  <c r="M91" i="3"/>
  <c r="M134" i="3"/>
  <c r="M135" i="3"/>
  <c r="M165" i="3"/>
  <c r="M168" i="3"/>
  <c r="M237" i="3"/>
  <c r="M258" i="3"/>
  <c r="M301" i="3"/>
  <c r="M316" i="3"/>
  <c r="M317" i="3"/>
  <c r="M345" i="3"/>
  <c r="M346" i="3"/>
  <c r="M363" i="3"/>
  <c r="M364" i="3"/>
  <c r="M365" i="3"/>
  <c r="M366" i="3"/>
  <c r="M367" i="3"/>
  <c r="M368" i="3"/>
  <c r="M369" i="3"/>
  <c r="M223" i="3"/>
  <c r="M226" i="3"/>
  <c r="M249" i="3"/>
  <c r="M291" i="3"/>
  <c r="M311" i="3"/>
  <c r="M162" i="3"/>
  <c r="M224" i="3"/>
  <c r="M261" i="3"/>
  <c r="M270" i="3"/>
  <c r="M353" i="3"/>
  <c r="M104" i="3"/>
  <c r="M144" i="3"/>
  <c r="M191" i="3"/>
  <c r="M207" i="3"/>
  <c r="M267" i="3"/>
  <c r="M268" i="3"/>
  <c r="M335" i="3"/>
  <c r="M342" i="3"/>
  <c r="M354" i="3"/>
  <c r="M356" i="3"/>
  <c r="M382" i="3"/>
  <c r="M391" i="3"/>
  <c r="M395" i="3"/>
  <c r="M398" i="3"/>
  <c r="M401" i="3"/>
  <c r="M38" i="3"/>
  <c r="M101" i="3"/>
  <c r="M121" i="3"/>
  <c r="M166" i="3"/>
  <c r="M171" i="3"/>
  <c r="M256" i="3"/>
  <c r="M347" i="3"/>
  <c r="M348" i="3"/>
  <c r="M420" i="3"/>
  <c r="M233" i="3"/>
  <c r="M310" i="3"/>
  <c r="M341" i="3"/>
  <c r="M182" i="3"/>
  <c r="M276" i="3"/>
  <c r="M379" i="3"/>
  <c r="M265" i="3"/>
  <c r="M304" i="3"/>
  <c r="M322" i="3"/>
  <c r="M100" i="3"/>
  <c r="M175" i="3"/>
  <c r="M194" i="3"/>
  <c r="M210" i="3"/>
  <c r="M252" i="3"/>
  <c r="M253" i="3"/>
  <c r="M313" i="3"/>
  <c r="M325" i="3"/>
  <c r="M350" i="3"/>
  <c r="M370" i="3"/>
  <c r="M417" i="3"/>
  <c r="M131" i="3"/>
  <c r="M295" i="3"/>
  <c r="M328" i="3"/>
  <c r="M340" i="3"/>
  <c r="M138" i="3"/>
  <c r="M149" i="3"/>
  <c r="M227" i="3"/>
  <c r="M264" i="3"/>
  <c r="M393" i="3"/>
  <c r="M396" i="3"/>
  <c r="M399" i="3"/>
  <c r="M197" i="3"/>
  <c r="M204" i="3"/>
  <c r="M213" i="3"/>
  <c r="M220" i="3"/>
  <c r="M283" i="3"/>
  <c r="M344" i="3"/>
  <c r="M6" i="103"/>
  <c r="M5" i="103"/>
  <c r="M15" i="103"/>
  <c r="M8" i="103"/>
  <c r="M29" i="103"/>
  <c r="M40" i="103"/>
  <c r="M51" i="103"/>
  <c r="M54" i="103"/>
  <c r="M78" i="103"/>
  <c r="M86" i="103"/>
  <c r="M98" i="103"/>
  <c r="M100" i="103"/>
  <c r="M101" i="103"/>
  <c r="M7" i="103"/>
  <c r="M12" i="103"/>
  <c r="M14" i="103"/>
  <c r="M39" i="103"/>
  <c r="M50" i="103"/>
  <c r="M52" i="103"/>
  <c r="M53" i="103"/>
  <c r="M76" i="103"/>
  <c r="M77" i="103"/>
  <c r="M85" i="103"/>
  <c r="M97" i="103"/>
  <c r="M9" i="103"/>
  <c r="M16" i="103"/>
  <c r="M24" i="103"/>
  <c r="M38" i="103"/>
  <c r="M49" i="103"/>
  <c r="M84" i="103"/>
  <c r="M96" i="103"/>
  <c r="M13" i="103"/>
  <c r="M18" i="103"/>
  <c r="M31" i="103"/>
  <c r="M42" i="103"/>
  <c r="M44" i="103"/>
  <c r="M45" i="103"/>
  <c r="M80" i="103"/>
  <c r="M88" i="103"/>
  <c r="M83" i="103"/>
  <c r="M93" i="103"/>
  <c r="M104" i="103"/>
  <c r="M113" i="103"/>
  <c r="M121" i="103"/>
  <c r="M131" i="103"/>
  <c r="M132" i="103"/>
  <c r="M133" i="103"/>
  <c r="M151" i="103"/>
  <c r="M159" i="103"/>
  <c r="M168" i="103"/>
  <c r="M177" i="103"/>
  <c r="M186" i="103"/>
  <c r="M194" i="103"/>
  <c r="M234" i="103"/>
  <c r="M237" i="103"/>
  <c r="M265" i="103"/>
  <c r="M7" i="102"/>
  <c r="M18" i="102"/>
  <c r="M31" i="102"/>
  <c r="M41" i="102"/>
  <c r="M47" i="103"/>
  <c r="M92" i="103"/>
  <c r="M103" i="103"/>
  <c r="M112" i="103"/>
  <c r="M120" i="103"/>
  <c r="M130" i="103"/>
  <c r="M141" i="103"/>
  <c r="M150" i="103"/>
  <c r="M158" i="103"/>
  <c r="M167" i="103"/>
  <c r="M176" i="103"/>
  <c r="M185" i="103"/>
  <c r="M193" i="103"/>
  <c r="M222" i="103"/>
  <c r="M233" i="103"/>
  <c r="M6" i="102"/>
  <c r="M17" i="102"/>
  <c r="M30" i="102"/>
  <c r="M40" i="102"/>
  <c r="M20" i="103"/>
  <c r="M91" i="103"/>
  <c r="M110" i="103"/>
  <c r="M111" i="103"/>
  <c r="M119" i="103"/>
  <c r="M129" i="103"/>
  <c r="M140" i="103"/>
  <c r="M149" i="103"/>
  <c r="M157" i="103"/>
  <c r="M166" i="103"/>
  <c r="M184" i="103"/>
  <c r="M192" i="103"/>
  <c r="M221" i="103"/>
  <c r="M232" i="103"/>
  <c r="M262" i="103"/>
  <c r="M263" i="103"/>
  <c r="M5" i="102"/>
  <c r="M16" i="102"/>
  <c r="M29" i="102"/>
  <c r="M39" i="102"/>
  <c r="M50" i="102"/>
  <c r="M51" i="102"/>
  <c r="M52" i="102"/>
  <c r="M23" i="103"/>
  <c r="M59" i="103"/>
  <c r="M99" i="103"/>
  <c r="M106" i="103"/>
  <c r="M115" i="103"/>
  <c r="M123" i="103"/>
  <c r="M124" i="103"/>
  <c r="M125" i="103"/>
  <c r="M136" i="103"/>
  <c r="M161" i="103"/>
  <c r="M170" i="103"/>
  <c r="M179" i="103"/>
  <c r="M180" i="103"/>
  <c r="M188" i="103"/>
  <c r="M197" i="103"/>
  <c r="M213" i="103"/>
  <c r="M226" i="103"/>
  <c r="M9" i="102"/>
  <c r="M22" i="102"/>
  <c r="M43" i="102"/>
  <c r="M46" i="102"/>
  <c r="M17" i="103"/>
  <c r="M36" i="103"/>
  <c r="M60" i="103"/>
  <c r="M82" i="103"/>
  <c r="M105" i="103"/>
  <c r="M108" i="103"/>
  <c r="M116" i="103"/>
  <c r="M146" i="103"/>
  <c r="M162" i="103"/>
  <c r="M178" i="103"/>
  <c r="M229" i="103"/>
  <c r="M243" i="103"/>
  <c r="M261" i="103"/>
  <c r="M35" i="102"/>
  <c r="M79" i="102"/>
  <c r="M87" i="102"/>
  <c r="M95" i="102"/>
  <c r="M103" i="102"/>
  <c r="M111" i="102"/>
  <c r="M120" i="102"/>
  <c r="M128" i="102"/>
  <c r="M136" i="102"/>
  <c r="M161" i="102"/>
  <c r="M170" i="102"/>
  <c r="M179" i="102"/>
  <c r="M188" i="102"/>
  <c r="M197" i="102"/>
  <c r="M57" i="103"/>
  <c r="M90" i="103"/>
  <c r="M95" i="103"/>
  <c r="M155" i="103"/>
  <c r="M164" i="103"/>
  <c r="M173" i="103"/>
  <c r="M196" i="103"/>
  <c r="M214" i="103"/>
  <c r="M257" i="103"/>
  <c r="M8" i="102"/>
  <c r="M15" i="102"/>
  <c r="M19" i="102"/>
  <c r="M21" i="102"/>
  <c r="M48" i="102"/>
  <c r="M54" i="102"/>
  <c r="M78" i="102"/>
  <c r="M86" i="102"/>
  <c r="M94" i="102"/>
  <c r="M102" i="102"/>
  <c r="M110" i="102"/>
  <c r="M119" i="102"/>
  <c r="M127" i="102"/>
  <c r="M135" i="102"/>
  <c r="M151" i="102"/>
  <c r="M169" i="102"/>
  <c r="M178" i="102"/>
  <c r="M187" i="102"/>
  <c r="M196" i="102"/>
  <c r="M30" i="103"/>
  <c r="M37" i="103"/>
  <c r="M107" i="103"/>
  <c r="M135" i="103"/>
  <c r="M182" i="103"/>
  <c r="M190" i="103"/>
  <c r="M228" i="103"/>
  <c r="M270" i="103"/>
  <c r="M13" i="102"/>
  <c r="M23" i="102"/>
  <c r="M37" i="102"/>
  <c r="M45" i="102"/>
  <c r="M53" i="102"/>
  <c r="M76" i="102"/>
  <c r="M77" i="102"/>
  <c r="M85" i="102"/>
  <c r="M93" i="102"/>
  <c r="M101" i="102"/>
  <c r="M109" i="102"/>
  <c r="M117" i="102"/>
  <c r="M126" i="102"/>
  <c r="M134" i="102"/>
  <c r="M150" i="102"/>
  <c r="M159" i="102"/>
  <c r="M168" i="102"/>
  <c r="M177" i="102"/>
  <c r="M186" i="102"/>
  <c r="M195" i="102"/>
  <c r="M19" i="103"/>
  <c r="M46" i="103"/>
  <c r="M114" i="103"/>
  <c r="M117" i="103"/>
  <c r="M128" i="103"/>
  <c r="M134" i="103"/>
  <c r="M139" i="103"/>
  <c r="M171" i="103"/>
  <c r="M181" i="103"/>
  <c r="M189" i="103"/>
  <c r="M258" i="103"/>
  <c r="M14" i="102"/>
  <c r="M24" i="102"/>
  <c r="M44" i="102"/>
  <c r="M57" i="102"/>
  <c r="M81" i="102"/>
  <c r="M89" i="102"/>
  <c r="M97" i="102"/>
  <c r="M105" i="102"/>
  <c r="M113" i="102"/>
  <c r="M122" i="102"/>
  <c r="M130" i="102"/>
  <c r="M146" i="102"/>
  <c r="M154" i="102"/>
  <c r="M163" i="102"/>
  <c r="M172" i="102"/>
  <c r="M181" i="102"/>
  <c r="M190" i="102"/>
  <c r="M191" i="102"/>
  <c r="M43" i="103"/>
  <c r="M87" i="103"/>
  <c r="M89" i="103"/>
  <c r="M102" i="103"/>
  <c r="M127" i="103"/>
  <c r="M148" i="103"/>
  <c r="M183" i="103"/>
  <c r="M215" i="103"/>
  <c r="M227" i="103"/>
  <c r="M259" i="103"/>
  <c r="M123" i="102"/>
  <c r="M131" i="102"/>
  <c r="M173" i="102"/>
  <c r="M176" i="102"/>
  <c r="M180" i="102"/>
  <c r="M222" i="102"/>
  <c r="M237" i="102"/>
  <c r="M15" i="101"/>
  <c r="P15" i="101" s="1"/>
  <c r="R15" i="101" s="1"/>
  <c r="M42" i="101"/>
  <c r="P42" i="101" s="1"/>
  <c r="Q42" i="101" s="1"/>
  <c r="M44" i="101"/>
  <c r="P44" i="101" s="1"/>
  <c r="Q44" i="101" s="1"/>
  <c r="M45" i="101"/>
  <c r="P45" i="101" s="1"/>
  <c r="Q45" i="101" s="1"/>
  <c r="M80" i="101"/>
  <c r="P80" i="101" s="1"/>
  <c r="R80" i="101" s="1"/>
  <c r="M94" i="101"/>
  <c r="P94" i="101" s="1"/>
  <c r="R94" i="101" s="1"/>
  <c r="M35" i="103"/>
  <c r="M42" i="102"/>
  <c r="M80" i="102"/>
  <c r="M83" i="102"/>
  <c r="M88" i="102"/>
  <c r="M91" i="102"/>
  <c r="M96" i="102"/>
  <c r="M99" i="102"/>
  <c r="M104" i="102"/>
  <c r="M107" i="102"/>
  <c r="M112" i="102"/>
  <c r="M115" i="102"/>
  <c r="M133" i="102"/>
  <c r="M140" i="102"/>
  <c r="M162" i="102"/>
  <c r="M166" i="102"/>
  <c r="M182" i="102"/>
  <c r="M221" i="102"/>
  <c r="M234" i="102"/>
  <c r="M235" i="102"/>
  <c r="M9" i="101"/>
  <c r="P9" i="101" s="1"/>
  <c r="R9" i="101" s="1"/>
  <c r="M11" i="101"/>
  <c r="P11" i="101" s="1"/>
  <c r="Q11" i="101" s="1"/>
  <c r="M14" i="101"/>
  <c r="P14" i="101" s="1"/>
  <c r="R14" i="101" s="1"/>
  <c r="M24" i="101"/>
  <c r="P24" i="101" s="1"/>
  <c r="Q24" i="101" s="1"/>
  <c r="M31" i="101"/>
  <c r="P31" i="101" s="1"/>
  <c r="Q31" i="101" s="1"/>
  <c r="M41" i="101"/>
  <c r="P41" i="101" s="1"/>
  <c r="Q41" i="101" s="1"/>
  <c r="M79" i="101"/>
  <c r="P79" i="101" s="1"/>
  <c r="R79" i="101" s="1"/>
  <c r="M90" i="101"/>
  <c r="P90" i="101" s="1"/>
  <c r="Q90" i="101" s="1"/>
  <c r="M91" i="101"/>
  <c r="P91" i="101" s="1"/>
  <c r="R91" i="101" s="1"/>
  <c r="M92" i="101"/>
  <c r="P92" i="101" s="1"/>
  <c r="R92" i="101" s="1"/>
  <c r="M93" i="101"/>
  <c r="P93" i="101" s="1"/>
  <c r="R93" i="101" s="1"/>
  <c r="M154" i="103"/>
  <c r="M169" i="103"/>
  <c r="M187" i="103"/>
  <c r="M235" i="103"/>
  <c r="M11" i="102"/>
  <c r="M20" i="102"/>
  <c r="M36" i="102"/>
  <c r="M137" i="102"/>
  <c r="M149" i="102"/>
  <c r="M155" i="102"/>
  <c r="M157" i="102"/>
  <c r="M164" i="102"/>
  <c r="M184" i="102"/>
  <c r="M194" i="102"/>
  <c r="M233" i="102"/>
  <c r="M270" i="102"/>
  <c r="M8" i="101"/>
  <c r="P8" i="101" s="1"/>
  <c r="Q8" i="101" s="1"/>
  <c r="M12" i="101"/>
  <c r="P12" i="101" s="1"/>
  <c r="Q12" i="101" s="1"/>
  <c r="M13" i="101"/>
  <c r="P13" i="101" s="1"/>
  <c r="Q13" i="101" s="1"/>
  <c r="M23" i="101"/>
  <c r="P23" i="101" s="1"/>
  <c r="Q23" i="101" s="1"/>
  <c r="M30" i="101"/>
  <c r="P30" i="101" s="1"/>
  <c r="Q30" i="101" s="1"/>
  <c r="M40" i="101"/>
  <c r="P40" i="101" s="1"/>
  <c r="Q40" i="101" s="1"/>
  <c r="M51" i="101"/>
  <c r="P51" i="101" s="1"/>
  <c r="Q51" i="101" s="1"/>
  <c r="M54" i="101"/>
  <c r="P54" i="101" s="1"/>
  <c r="Q54" i="101" s="1"/>
  <c r="M78" i="101"/>
  <c r="P78" i="101" s="1"/>
  <c r="R78" i="101" s="1"/>
  <c r="M89" i="101"/>
  <c r="P89" i="101" s="1"/>
  <c r="Q89" i="101" s="1"/>
  <c r="M126" i="103"/>
  <c r="M172" i="103"/>
  <c r="M195" i="103"/>
  <c r="M12" i="102"/>
  <c r="M60" i="102"/>
  <c r="M84" i="102"/>
  <c r="M92" i="102"/>
  <c r="M100" i="102"/>
  <c r="M108" i="102"/>
  <c r="M116" i="102"/>
  <c r="M156" i="102"/>
  <c r="M165" i="102"/>
  <c r="M171" i="102"/>
  <c r="M183" i="102"/>
  <c r="M214" i="102"/>
  <c r="M258" i="102"/>
  <c r="M262" i="102"/>
  <c r="M263" i="102"/>
  <c r="M17" i="101"/>
  <c r="P17" i="101" s="1"/>
  <c r="R17" i="101" s="1"/>
  <c r="M47" i="101"/>
  <c r="P47" i="101" s="1"/>
  <c r="Q47" i="101" s="1"/>
  <c r="M60" i="101"/>
  <c r="P60" i="101" s="1"/>
  <c r="Q60" i="101" s="1"/>
  <c r="M82" i="101"/>
  <c r="P82" i="101" s="1"/>
  <c r="R82" i="101" s="1"/>
  <c r="M83" i="101"/>
  <c r="P83" i="101" s="1"/>
  <c r="R83" i="101" s="1"/>
  <c r="M84" i="101"/>
  <c r="P84" i="101" s="1"/>
  <c r="R84" i="101" s="1"/>
  <c r="M85" i="101"/>
  <c r="P85" i="101" s="1"/>
  <c r="R85" i="101" s="1"/>
  <c r="M96" i="101"/>
  <c r="P96" i="101" s="1"/>
  <c r="R96" i="101" s="1"/>
  <c r="M11" i="103"/>
  <c r="M59" i="102"/>
  <c r="M98" i="102"/>
  <c r="M129" i="102"/>
  <c r="M167" i="102"/>
  <c r="M189" i="102"/>
  <c r="M192" i="102"/>
  <c r="M229" i="102"/>
  <c r="M260" i="102"/>
  <c r="M36" i="101"/>
  <c r="P36" i="101" s="1"/>
  <c r="R36" i="101" s="1"/>
  <c r="M46" i="101"/>
  <c r="P46" i="101" s="1"/>
  <c r="Q46" i="101" s="1"/>
  <c r="M22" i="103"/>
  <c r="M94" i="103"/>
  <c r="M174" i="103"/>
  <c r="M231" i="103"/>
  <c r="M38" i="102"/>
  <c r="M90" i="102"/>
  <c r="M132" i="102"/>
  <c r="M139" i="102"/>
  <c r="M231" i="102"/>
  <c r="M5" i="101"/>
  <c r="P5" i="101" s="1"/>
  <c r="R5" i="101" s="1"/>
  <c r="M21" i="101"/>
  <c r="P21" i="101" s="1"/>
  <c r="Q21" i="101" s="1"/>
  <c r="M29" i="101"/>
  <c r="P29" i="101" s="1"/>
  <c r="Q29" i="101" s="1"/>
  <c r="M38" i="101"/>
  <c r="P38" i="101" s="1"/>
  <c r="Q38" i="101" s="1"/>
  <c r="M99" i="101"/>
  <c r="P99" i="101" s="1"/>
  <c r="Q99" i="101" s="1"/>
  <c r="M100" i="101"/>
  <c r="P100" i="101" s="1"/>
  <c r="Q100" i="101" s="1"/>
  <c r="M114" i="101"/>
  <c r="P114" i="101" s="1"/>
  <c r="R114" i="101" s="1"/>
  <c r="M48" i="103"/>
  <c r="M137" i="103"/>
  <c r="M47" i="102"/>
  <c r="M82" i="102"/>
  <c r="M121" i="102"/>
  <c r="M124" i="102"/>
  <c r="M148" i="102"/>
  <c r="M228" i="102"/>
  <c r="M243" i="102"/>
  <c r="M257" i="102"/>
  <c r="M265" i="102"/>
  <c r="M7" i="101"/>
  <c r="P7" i="101" s="1"/>
  <c r="Q7" i="101" s="1"/>
  <c r="M16" i="101"/>
  <c r="P16" i="101" s="1"/>
  <c r="R16" i="101" s="1"/>
  <c r="M48" i="101"/>
  <c r="P48" i="101" s="1"/>
  <c r="Q48" i="101" s="1"/>
  <c r="M53" i="101"/>
  <c r="P53" i="101" s="1"/>
  <c r="Q53" i="101" s="1"/>
  <c r="M57" i="101"/>
  <c r="P57" i="101" s="1"/>
  <c r="Q57" i="101" s="1"/>
  <c r="M122" i="103"/>
  <c r="M165" i="103"/>
  <c r="M191" i="103"/>
  <c r="M193" i="102"/>
  <c r="M269" i="102"/>
  <c r="M18" i="101"/>
  <c r="P18" i="101" s="1"/>
  <c r="R18" i="101" s="1"/>
  <c r="M35" i="101"/>
  <c r="P35" i="101" s="1"/>
  <c r="R35" i="101" s="1"/>
  <c r="M50" i="101"/>
  <c r="P50" i="101" s="1"/>
  <c r="Q50" i="101" s="1"/>
  <c r="M77" i="101"/>
  <c r="P77" i="101" s="1"/>
  <c r="R77" i="101" s="1"/>
  <c r="M79" i="103"/>
  <c r="M81" i="103"/>
  <c r="M156" i="103"/>
  <c r="M141" i="102"/>
  <c r="M39" i="101"/>
  <c r="P39" i="101" s="1"/>
  <c r="Q39" i="101" s="1"/>
  <c r="M98" i="101"/>
  <c r="P98" i="101" s="1"/>
  <c r="Q98" i="101" s="1"/>
  <c r="M101" i="101"/>
  <c r="P101" i="101" s="1"/>
  <c r="Q101" i="101" s="1"/>
  <c r="M105" i="101"/>
  <c r="P105" i="101" s="1"/>
  <c r="R105" i="101" s="1"/>
  <c r="M115" i="101"/>
  <c r="P115" i="101" s="1"/>
  <c r="R115" i="101" s="1"/>
  <c r="M124" i="101"/>
  <c r="P124" i="101" s="1"/>
  <c r="R124" i="101" s="1"/>
  <c r="M134" i="101"/>
  <c r="P134" i="101" s="1"/>
  <c r="R134" i="101" s="1"/>
  <c r="M135" i="101"/>
  <c r="P135" i="101" s="1"/>
  <c r="R135" i="101" s="1"/>
  <c r="M148" i="101"/>
  <c r="P148" i="101" s="1"/>
  <c r="Q148" i="101" s="1"/>
  <c r="M157" i="101"/>
  <c r="P157" i="101" s="1"/>
  <c r="R157" i="101" s="1"/>
  <c r="M167" i="101"/>
  <c r="P167" i="101" s="1"/>
  <c r="Q167" i="101" s="1"/>
  <c r="M21" i="103"/>
  <c r="M49" i="102"/>
  <c r="M106" i="102"/>
  <c r="M174" i="102"/>
  <c r="M185" i="102"/>
  <c r="M232" i="102"/>
  <c r="M22" i="101"/>
  <c r="P22" i="101" s="1"/>
  <c r="Q22" i="101" s="1"/>
  <c r="M59" i="101"/>
  <c r="P59" i="101" s="1"/>
  <c r="Q59" i="101" s="1"/>
  <c r="M123" i="101"/>
  <c r="P123" i="101" s="1"/>
  <c r="R123" i="101" s="1"/>
  <c r="M131" i="101"/>
  <c r="P131" i="101" s="1"/>
  <c r="R131" i="101" s="1"/>
  <c r="M132" i="101"/>
  <c r="P132" i="101" s="1"/>
  <c r="R132" i="101" s="1"/>
  <c r="M133" i="101"/>
  <c r="P133" i="101" s="1"/>
  <c r="R133" i="101" s="1"/>
  <c r="M147" i="101"/>
  <c r="P147" i="101" s="1"/>
  <c r="Q147" i="101" s="1"/>
  <c r="M155" i="101"/>
  <c r="P155" i="101" s="1"/>
  <c r="Q155" i="101" s="1"/>
  <c r="M156" i="101"/>
  <c r="P156" i="101" s="1"/>
  <c r="R156" i="101" s="1"/>
  <c r="M164" i="101"/>
  <c r="P164" i="101" s="1"/>
  <c r="Q164" i="101" s="1"/>
  <c r="M165" i="101"/>
  <c r="P165" i="101" s="1"/>
  <c r="Q165" i="101" s="1"/>
  <c r="M166" i="101"/>
  <c r="P166" i="101" s="1"/>
  <c r="Q166" i="101" s="1"/>
  <c r="M178" i="101"/>
  <c r="P178" i="101" s="1"/>
  <c r="Q178" i="101" s="1"/>
  <c r="M147" i="103"/>
  <c r="M269" i="103"/>
  <c r="M147" i="102"/>
  <c r="M227" i="102"/>
  <c r="M19" i="101"/>
  <c r="P19" i="101" s="1"/>
  <c r="R19" i="101" s="1"/>
  <c r="M43" i="101"/>
  <c r="P43" i="101" s="1"/>
  <c r="Q43" i="101" s="1"/>
  <c r="M86" i="101"/>
  <c r="P86" i="101" s="1"/>
  <c r="R86" i="101" s="1"/>
  <c r="M95" i="101"/>
  <c r="P95" i="101" s="1"/>
  <c r="R95" i="101" s="1"/>
  <c r="M104" i="101"/>
  <c r="P104" i="101" s="1"/>
  <c r="R104" i="101" s="1"/>
  <c r="M122" i="101"/>
  <c r="P122" i="101" s="1"/>
  <c r="Q122" i="101" s="1"/>
  <c r="M130" i="101"/>
  <c r="P130" i="101" s="1"/>
  <c r="R130" i="101" s="1"/>
  <c r="M146" i="101"/>
  <c r="P146" i="101" s="1"/>
  <c r="Q146" i="101" s="1"/>
  <c r="M154" i="101"/>
  <c r="P154" i="101" s="1"/>
  <c r="Q154" i="101" s="1"/>
  <c r="M163" i="101"/>
  <c r="P163" i="101" s="1"/>
  <c r="Q163" i="101" s="1"/>
  <c r="M177" i="101"/>
  <c r="P177" i="101" s="1"/>
  <c r="Q177" i="101" s="1"/>
  <c r="M216" i="103"/>
  <c r="M226" i="102"/>
  <c r="M52" i="101"/>
  <c r="P52" i="101" s="1"/>
  <c r="Q52" i="101" s="1"/>
  <c r="M76" i="101"/>
  <c r="P76" i="101" s="1"/>
  <c r="R76" i="101" s="1"/>
  <c r="M112" i="101"/>
  <c r="P112" i="101" s="1"/>
  <c r="R112" i="101" s="1"/>
  <c r="M119" i="101"/>
  <c r="P119" i="101" s="1"/>
  <c r="Q119" i="101" s="1"/>
  <c r="M127" i="101"/>
  <c r="P127" i="101" s="1"/>
  <c r="Q127" i="101" s="1"/>
  <c r="M140" i="101"/>
  <c r="P140" i="101" s="1"/>
  <c r="Q140" i="101" s="1"/>
  <c r="M141" i="101"/>
  <c r="P141" i="101" s="1"/>
  <c r="Q141" i="101" s="1"/>
  <c r="M151" i="101"/>
  <c r="P151" i="101" s="1"/>
  <c r="Q151" i="101" s="1"/>
  <c r="M170" i="101"/>
  <c r="P170" i="101" s="1"/>
  <c r="Q170" i="101" s="1"/>
  <c r="M172" i="101"/>
  <c r="P172" i="101" s="1"/>
  <c r="R172" i="101" s="1"/>
  <c r="M173" i="101"/>
  <c r="P173" i="101" s="1"/>
  <c r="R173" i="101" s="1"/>
  <c r="M215" i="102"/>
  <c r="M108" i="101"/>
  <c r="P108" i="101" s="1"/>
  <c r="R108" i="101" s="1"/>
  <c r="M150" i="101"/>
  <c r="P150" i="101" s="1"/>
  <c r="Q150" i="101" s="1"/>
  <c r="M158" i="101"/>
  <c r="P158" i="101" s="1"/>
  <c r="R158" i="101" s="1"/>
  <c r="M169" i="101"/>
  <c r="P169" i="101" s="1"/>
  <c r="Q169" i="101" s="1"/>
  <c r="M187" i="101"/>
  <c r="P187" i="101" s="1"/>
  <c r="R187" i="101" s="1"/>
  <c r="M188" i="101"/>
  <c r="P188" i="101" s="1"/>
  <c r="R188" i="101" s="1"/>
  <c r="M197" i="101"/>
  <c r="P197" i="101" s="1"/>
  <c r="Q197" i="101" s="1"/>
  <c r="M215" i="101"/>
  <c r="P215" i="101" s="1"/>
  <c r="R215" i="101" s="1"/>
  <c r="M230" i="101"/>
  <c r="P230" i="101" s="1"/>
  <c r="Q230" i="101" s="1"/>
  <c r="M5" i="100"/>
  <c r="M19" i="100"/>
  <c r="M20" i="100"/>
  <c r="M21" i="100"/>
  <c r="M29" i="100"/>
  <c r="M41" i="100"/>
  <c r="M57" i="100"/>
  <c r="M60" i="100"/>
  <c r="M88" i="100"/>
  <c r="M99" i="100"/>
  <c r="M102" i="100"/>
  <c r="M103" i="100"/>
  <c r="M119" i="100"/>
  <c r="M130" i="100"/>
  <c r="M41" i="103"/>
  <c r="M49" i="101"/>
  <c r="P49" i="101" s="1"/>
  <c r="Q49" i="101" s="1"/>
  <c r="M103" i="101"/>
  <c r="P103" i="101" s="1"/>
  <c r="Q103" i="101" s="1"/>
  <c r="M110" i="101"/>
  <c r="P110" i="101" s="1"/>
  <c r="R110" i="101" s="1"/>
  <c r="M113" i="101"/>
  <c r="P113" i="101" s="1"/>
  <c r="R113" i="101" s="1"/>
  <c r="M186" i="101"/>
  <c r="P186" i="101" s="1"/>
  <c r="R186" i="101" s="1"/>
  <c r="M196" i="101"/>
  <c r="P196" i="101" s="1"/>
  <c r="Q196" i="101" s="1"/>
  <c r="M214" i="101"/>
  <c r="P214" i="101" s="1"/>
  <c r="R214" i="101" s="1"/>
  <c r="M229" i="101"/>
  <c r="P229" i="101" s="1"/>
  <c r="R229" i="101" s="1"/>
  <c r="M243" i="101"/>
  <c r="P243" i="101" s="1"/>
  <c r="Q243" i="101" s="1"/>
  <c r="M263" i="101"/>
  <c r="P263" i="101" s="1"/>
  <c r="R263" i="101" s="1"/>
  <c r="M18" i="100"/>
  <c r="M40" i="100"/>
  <c r="M86" i="100"/>
  <c r="M87" i="100"/>
  <c r="M98" i="100"/>
  <c r="M100" i="100"/>
  <c r="M101" i="100"/>
  <c r="M115" i="100"/>
  <c r="M116" i="100"/>
  <c r="M117" i="100"/>
  <c r="M129" i="100"/>
  <c r="M260" i="103"/>
  <c r="M107" i="101"/>
  <c r="P107" i="101" s="1"/>
  <c r="Q107" i="101" s="1"/>
  <c r="M126" i="101"/>
  <c r="P126" i="101" s="1"/>
  <c r="Q126" i="101" s="1"/>
  <c r="M137" i="101"/>
  <c r="P137" i="101" s="1"/>
  <c r="R137" i="101" s="1"/>
  <c r="M162" i="101"/>
  <c r="P162" i="101" s="1"/>
  <c r="Q162" i="101" s="1"/>
  <c r="M179" i="101"/>
  <c r="P179" i="101" s="1"/>
  <c r="Q179" i="101" s="1"/>
  <c r="M185" i="101"/>
  <c r="P185" i="101" s="1"/>
  <c r="R185" i="101" s="1"/>
  <c r="M195" i="101"/>
  <c r="P195" i="101" s="1"/>
  <c r="Q195" i="101" s="1"/>
  <c r="M213" i="101"/>
  <c r="P213" i="101" s="1"/>
  <c r="R213" i="101" s="1"/>
  <c r="M228" i="101"/>
  <c r="P228" i="101" s="1"/>
  <c r="R228" i="101" s="1"/>
  <c r="M262" i="101"/>
  <c r="P262" i="101" s="1"/>
  <c r="R262" i="101" s="1"/>
  <c r="M17" i="100"/>
  <c r="M38" i="100"/>
  <c r="M39" i="100"/>
  <c r="M54" i="100"/>
  <c r="M83" i="100"/>
  <c r="M84" i="100"/>
  <c r="M85" i="100"/>
  <c r="M97" i="100"/>
  <c r="M114" i="100"/>
  <c r="M128" i="100"/>
  <c r="M6" i="101"/>
  <c r="P6" i="101" s="1"/>
  <c r="R6" i="101" s="1"/>
  <c r="M109" i="101"/>
  <c r="P109" i="101" s="1"/>
  <c r="R109" i="101" s="1"/>
  <c r="M139" i="101"/>
  <c r="P139" i="101" s="1"/>
  <c r="Q139" i="101" s="1"/>
  <c r="M181" i="101"/>
  <c r="P181" i="101" s="1"/>
  <c r="Q181" i="101" s="1"/>
  <c r="M192" i="101"/>
  <c r="P192" i="101" s="1"/>
  <c r="Q192" i="101" s="1"/>
  <c r="M233" i="101"/>
  <c r="P233" i="101" s="1"/>
  <c r="R233" i="101" s="1"/>
  <c r="M269" i="101"/>
  <c r="P269" i="101" s="1"/>
  <c r="R269" i="101" s="1"/>
  <c r="M8" i="100"/>
  <c r="M12" i="100"/>
  <c r="M13" i="100"/>
  <c r="M48" i="100"/>
  <c r="M80" i="100"/>
  <c r="M91" i="100"/>
  <c r="M92" i="100"/>
  <c r="M93" i="100"/>
  <c r="M106" i="100"/>
  <c r="M107" i="100"/>
  <c r="M110" i="100"/>
  <c r="M111" i="100"/>
  <c r="M122" i="100"/>
  <c r="M109" i="103"/>
  <c r="M97" i="101"/>
  <c r="P97" i="101" s="1"/>
  <c r="R97" i="101" s="1"/>
  <c r="M149" i="101"/>
  <c r="P149" i="101" s="1"/>
  <c r="Q149" i="101" s="1"/>
  <c r="M161" i="101"/>
  <c r="P161" i="101" s="1"/>
  <c r="R161" i="101" s="1"/>
  <c r="M193" i="101"/>
  <c r="P193" i="101" s="1"/>
  <c r="Q193" i="101" s="1"/>
  <c r="M221" i="101"/>
  <c r="P221" i="101" s="1"/>
  <c r="R221" i="101" s="1"/>
  <c r="M260" i="101"/>
  <c r="P260" i="101" s="1"/>
  <c r="Q260" i="101" s="1"/>
  <c r="M14" i="100"/>
  <c r="M16" i="100"/>
  <c r="M22" i="100"/>
  <c r="M24" i="100"/>
  <c r="M30" i="100"/>
  <c r="M44" i="100"/>
  <c r="M46" i="100"/>
  <c r="M49" i="100"/>
  <c r="M95" i="100"/>
  <c r="M105" i="100"/>
  <c r="M112" i="100"/>
  <c r="M120" i="100"/>
  <c r="M139" i="100"/>
  <c r="M140" i="100"/>
  <c r="M141" i="100"/>
  <c r="M155" i="100"/>
  <c r="M156" i="100"/>
  <c r="M157" i="100"/>
  <c r="M170" i="100"/>
  <c r="M171" i="100"/>
  <c r="M174" i="100"/>
  <c r="M186" i="100"/>
  <c r="M221" i="100"/>
  <c r="M235" i="100"/>
  <c r="M258" i="100"/>
  <c r="M259" i="100"/>
  <c r="M260" i="100"/>
  <c r="M261" i="100"/>
  <c r="M262" i="100"/>
  <c r="M263" i="100"/>
  <c r="M265" i="100"/>
  <c r="M16" i="99"/>
  <c r="M35" i="99"/>
  <c r="M36" i="99"/>
  <c r="M37" i="99"/>
  <c r="M50" i="99"/>
  <c r="M52" i="99"/>
  <c r="M53" i="99"/>
  <c r="M80" i="99"/>
  <c r="M91" i="99"/>
  <c r="M92" i="99"/>
  <c r="M93" i="99"/>
  <c r="M104" i="99"/>
  <c r="M114" i="99"/>
  <c r="M121" i="99"/>
  <c r="M136" i="99"/>
  <c r="M170" i="99"/>
  <c r="M172" i="99"/>
  <c r="M173" i="99"/>
  <c r="M190" i="99"/>
  <c r="M191" i="99"/>
  <c r="M226" i="99"/>
  <c r="M233" i="99"/>
  <c r="M265" i="99"/>
  <c r="M5" i="89"/>
  <c r="M8" i="89"/>
  <c r="M12" i="89"/>
  <c r="M13" i="89"/>
  <c r="M230" i="103"/>
  <c r="M125" i="102"/>
  <c r="M88" i="101"/>
  <c r="P88" i="101" s="1"/>
  <c r="R88" i="101" s="1"/>
  <c r="M106" i="101"/>
  <c r="P106" i="101" s="1"/>
  <c r="Q106" i="101" s="1"/>
  <c r="M116" i="101"/>
  <c r="P116" i="101" s="1"/>
  <c r="R116" i="101" s="1"/>
  <c r="M129" i="101"/>
  <c r="P129" i="101" s="1"/>
  <c r="Q129" i="101" s="1"/>
  <c r="M180" i="101"/>
  <c r="P180" i="101" s="1"/>
  <c r="Q180" i="101" s="1"/>
  <c r="M235" i="101"/>
  <c r="P235" i="101" s="1"/>
  <c r="Q235" i="101" s="1"/>
  <c r="M257" i="101"/>
  <c r="P257" i="101" s="1"/>
  <c r="R257" i="101" s="1"/>
  <c r="M6" i="100"/>
  <c r="M11" i="100"/>
  <c r="M51" i="100"/>
  <c r="M77" i="100"/>
  <c r="M90" i="100"/>
  <c r="M94" i="100"/>
  <c r="M108" i="100"/>
  <c r="M137" i="100"/>
  <c r="M154" i="100"/>
  <c r="M169" i="100"/>
  <c r="M172" i="100"/>
  <c r="M173" i="100"/>
  <c r="M185" i="100"/>
  <c r="M234" i="100"/>
  <c r="M257" i="100"/>
  <c r="M9" i="99"/>
  <c r="M11" i="99"/>
  <c r="M14" i="99"/>
  <c r="M15" i="99"/>
  <c r="M49" i="99"/>
  <c r="M81" i="99"/>
  <c r="M94" i="99"/>
  <c r="M95" i="99"/>
  <c r="M105" i="99"/>
  <c r="M115" i="99"/>
  <c r="M116" i="99"/>
  <c r="M117" i="99"/>
  <c r="M120" i="99"/>
  <c r="M134" i="99"/>
  <c r="M135" i="99"/>
  <c r="M169" i="99"/>
  <c r="M185" i="99"/>
  <c r="M186" i="99"/>
  <c r="M187" i="99"/>
  <c r="M188" i="99"/>
  <c r="M189" i="99"/>
  <c r="M216" i="99"/>
  <c r="M227" i="99"/>
  <c r="M228" i="99"/>
  <c r="M229" i="99"/>
  <c r="M232" i="99"/>
  <c r="M243" i="99"/>
  <c r="M270" i="99"/>
  <c r="M6" i="89"/>
  <c r="M7" i="89"/>
  <c r="M24" i="89"/>
  <c r="M43" i="89"/>
  <c r="M46" i="89"/>
  <c r="M47" i="89"/>
  <c r="M81" i="101"/>
  <c r="P81" i="101" s="1"/>
  <c r="R81" i="101" s="1"/>
  <c r="M120" i="101"/>
  <c r="P120" i="101" s="1"/>
  <c r="Q120" i="101" s="1"/>
  <c r="M182" i="101"/>
  <c r="P182" i="101" s="1"/>
  <c r="Q182" i="101" s="1"/>
  <c r="M184" i="101"/>
  <c r="P184" i="101" s="1"/>
  <c r="R184" i="101" s="1"/>
  <c r="M190" i="101"/>
  <c r="P190" i="101" s="1"/>
  <c r="Q190" i="101" s="1"/>
  <c r="M259" i="101"/>
  <c r="P259" i="101" s="1"/>
  <c r="R259" i="101" s="1"/>
  <c r="M79" i="100"/>
  <c r="M124" i="100"/>
  <c r="M126" i="100"/>
  <c r="M132" i="100"/>
  <c r="M136" i="100"/>
  <c r="M168" i="100"/>
  <c r="M184" i="100"/>
  <c r="M195" i="100"/>
  <c r="M233" i="100"/>
  <c r="M5" i="99"/>
  <c r="M8" i="99"/>
  <c r="M12" i="99"/>
  <c r="M13" i="99"/>
  <c r="M48" i="99"/>
  <c r="M82" i="99"/>
  <c r="M96" i="99"/>
  <c r="M106" i="99"/>
  <c r="M119" i="99"/>
  <c r="M131" i="99"/>
  <c r="M132" i="99"/>
  <c r="M133" i="99"/>
  <c r="M147" i="99"/>
  <c r="M150" i="99"/>
  <c r="M151" i="99"/>
  <c r="M168" i="99"/>
  <c r="M184" i="99"/>
  <c r="M214" i="99"/>
  <c r="M215" i="99"/>
  <c r="M230" i="99"/>
  <c r="M231" i="99"/>
  <c r="M269" i="99"/>
  <c r="M22" i="89"/>
  <c r="M23" i="89"/>
  <c r="M30" i="89"/>
  <c r="M31" i="89"/>
  <c r="M42" i="89"/>
  <c r="M44" i="89"/>
  <c r="M45" i="89"/>
  <c r="M48" i="89"/>
  <c r="M128" i="101"/>
  <c r="P128" i="101" s="1"/>
  <c r="Q128" i="101" s="1"/>
  <c r="M136" i="101"/>
  <c r="P136" i="101" s="1"/>
  <c r="R136" i="101" s="1"/>
  <c r="M159" i="101"/>
  <c r="P159" i="101" s="1"/>
  <c r="R159" i="101" s="1"/>
  <c r="M189" i="101"/>
  <c r="P189" i="101" s="1"/>
  <c r="R189" i="101" s="1"/>
  <c r="M216" i="101"/>
  <c r="P216" i="101" s="1"/>
  <c r="R216" i="101" s="1"/>
  <c r="M261" i="101"/>
  <c r="P261" i="101" s="1"/>
  <c r="Q261" i="101" s="1"/>
  <c r="M265" i="101"/>
  <c r="P265" i="101" s="1"/>
  <c r="R265" i="101" s="1"/>
  <c r="M270" i="101"/>
  <c r="P270" i="101" s="1"/>
  <c r="Q270" i="101" s="1"/>
  <c r="M9" i="100"/>
  <c r="M52" i="100"/>
  <c r="M81" i="100"/>
  <c r="M109" i="100"/>
  <c r="M127" i="100"/>
  <c r="M131" i="100"/>
  <c r="M133" i="100"/>
  <c r="M177" i="100"/>
  <c r="M190" i="100"/>
  <c r="M191" i="100"/>
  <c r="M226" i="100"/>
  <c r="M243" i="100"/>
  <c r="M269" i="100"/>
  <c r="M18" i="99"/>
  <c r="M40" i="99"/>
  <c r="M76" i="99"/>
  <c r="M77" i="99"/>
  <c r="M89" i="99"/>
  <c r="M100" i="99"/>
  <c r="M101" i="99"/>
  <c r="M112" i="99"/>
  <c r="M126" i="99"/>
  <c r="M127" i="99"/>
  <c r="M139" i="99"/>
  <c r="M158" i="99"/>
  <c r="M159" i="99"/>
  <c r="M176" i="99"/>
  <c r="M193" i="99"/>
  <c r="M221" i="99"/>
  <c r="M235" i="99"/>
  <c r="M237" i="99"/>
  <c r="M257" i="99"/>
  <c r="M262" i="99"/>
  <c r="M263" i="99"/>
  <c r="M16" i="89"/>
  <c r="M35" i="89"/>
  <c r="M36" i="89"/>
  <c r="M37" i="89"/>
  <c r="M52" i="89"/>
  <c r="M53" i="89"/>
  <c r="M261" i="102"/>
  <c r="M111" i="101"/>
  <c r="P111" i="101" s="1"/>
  <c r="R111" i="101" s="1"/>
  <c r="M171" i="101"/>
  <c r="P171" i="101" s="1"/>
  <c r="Q171" i="101" s="1"/>
  <c r="M232" i="101"/>
  <c r="P232" i="101" s="1"/>
  <c r="R232" i="101" s="1"/>
  <c r="M23" i="100"/>
  <c r="M123" i="100"/>
  <c r="M158" i="100"/>
  <c r="M163" i="100"/>
  <c r="M192" i="100"/>
  <c r="M196" i="100"/>
  <c r="M213" i="100"/>
  <c r="M230" i="100"/>
  <c r="M232" i="100"/>
  <c r="M21" i="99"/>
  <c r="M38" i="99"/>
  <c r="M47" i="99"/>
  <c r="M57" i="99"/>
  <c r="M60" i="99"/>
  <c r="M110" i="99"/>
  <c r="M148" i="99"/>
  <c r="M163" i="99"/>
  <c r="M179" i="99"/>
  <c r="M196" i="99"/>
  <c r="M17" i="89"/>
  <c r="M41" i="89"/>
  <c r="M50" i="89"/>
  <c r="M81" i="89"/>
  <c r="M94" i="89"/>
  <c r="M95" i="89"/>
  <c r="M105" i="89"/>
  <c r="M115" i="89"/>
  <c r="M116" i="89"/>
  <c r="M117" i="89"/>
  <c r="M120" i="89"/>
  <c r="M131" i="89"/>
  <c r="M132" i="89"/>
  <c r="M133" i="89"/>
  <c r="M146" i="89"/>
  <c r="M148" i="89"/>
  <c r="M149" i="89"/>
  <c r="M162" i="89"/>
  <c r="M164" i="89"/>
  <c r="M165" i="89"/>
  <c r="M171" i="89"/>
  <c r="M179" i="89"/>
  <c r="M182" i="89"/>
  <c r="M183" i="89"/>
  <c r="M194" i="89"/>
  <c r="M196" i="89"/>
  <c r="M197" i="89"/>
  <c r="M216" i="89"/>
  <c r="M221" i="89"/>
  <c r="M235" i="89"/>
  <c r="M259" i="102"/>
  <c r="M102" i="101"/>
  <c r="P102" i="101" s="1"/>
  <c r="Q102" i="101" s="1"/>
  <c r="M121" i="101"/>
  <c r="P121" i="101" s="1"/>
  <c r="Q121" i="101" s="1"/>
  <c r="M227" i="101"/>
  <c r="P227" i="101" s="1"/>
  <c r="R227" i="101" s="1"/>
  <c r="M237" i="101"/>
  <c r="P237" i="101" s="1"/>
  <c r="R237" i="101" s="1"/>
  <c r="M7" i="100"/>
  <c r="M35" i="100"/>
  <c r="M78" i="100"/>
  <c r="M148" i="100"/>
  <c r="M167" i="100"/>
  <c r="M179" i="100"/>
  <c r="M7" i="99"/>
  <c r="M23" i="99"/>
  <c r="M42" i="99"/>
  <c r="M51" i="99"/>
  <c r="M97" i="99"/>
  <c r="M99" i="99"/>
  <c r="M107" i="99"/>
  <c r="M109" i="99"/>
  <c r="M129" i="99"/>
  <c r="M141" i="99"/>
  <c r="M154" i="99"/>
  <c r="M156" i="99"/>
  <c r="M161" i="99"/>
  <c r="M183" i="99"/>
  <c r="M29" i="89"/>
  <c r="M39" i="89"/>
  <c r="M59" i="89"/>
  <c r="M82" i="89"/>
  <c r="M96" i="89"/>
  <c r="M106" i="89"/>
  <c r="M119" i="89"/>
  <c r="M130" i="89"/>
  <c r="M134" i="89"/>
  <c r="M135" i="89"/>
  <c r="M161" i="89"/>
  <c r="M172" i="89"/>
  <c r="M173" i="89"/>
  <c r="M178" i="89"/>
  <c r="M180" i="89"/>
  <c r="M181" i="89"/>
  <c r="M193" i="89"/>
  <c r="M222" i="89"/>
  <c r="M234" i="89"/>
  <c r="M237" i="89"/>
  <c r="M265" i="89"/>
  <c r="M163" i="103"/>
  <c r="M174" i="101"/>
  <c r="P174" i="101" s="1"/>
  <c r="Q174" i="101" s="1"/>
  <c r="M222" i="101"/>
  <c r="P222" i="101" s="1"/>
  <c r="R222" i="101" s="1"/>
  <c r="M31" i="100"/>
  <c r="M76" i="100"/>
  <c r="M82" i="100"/>
  <c r="M121" i="100"/>
  <c r="M135" i="100"/>
  <c r="M150" i="100"/>
  <c r="M165" i="100"/>
  <c r="M183" i="100"/>
  <c r="M187" i="100"/>
  <c r="M189" i="100"/>
  <c r="M229" i="100"/>
  <c r="M29" i="99"/>
  <c r="M44" i="99"/>
  <c r="M78" i="99"/>
  <c r="M90" i="99"/>
  <c r="M98" i="99"/>
  <c r="M103" i="99"/>
  <c r="M108" i="99"/>
  <c r="M167" i="99"/>
  <c r="M181" i="99"/>
  <c r="M195" i="99"/>
  <c r="M261" i="99"/>
  <c r="M60" i="89"/>
  <c r="M83" i="89"/>
  <c r="M84" i="89"/>
  <c r="M85" i="89"/>
  <c r="M97" i="89"/>
  <c r="M107" i="89"/>
  <c r="M129" i="89"/>
  <c r="M136" i="89"/>
  <c r="M174" i="89"/>
  <c r="M177" i="89"/>
  <c r="M192" i="89"/>
  <c r="M226" i="89"/>
  <c r="M233" i="89"/>
  <c r="M213" i="102"/>
  <c r="M87" i="101"/>
  <c r="P87" i="101" s="1"/>
  <c r="R87" i="101" s="1"/>
  <c r="M168" i="101"/>
  <c r="P168" i="101" s="1"/>
  <c r="Q168" i="101" s="1"/>
  <c r="M191" i="101"/>
  <c r="P191" i="101" s="1"/>
  <c r="Q191" i="101" s="1"/>
  <c r="M194" i="101"/>
  <c r="P194" i="101" s="1"/>
  <c r="Q194" i="101" s="1"/>
  <c r="M231" i="101"/>
  <c r="P231" i="101" s="1"/>
  <c r="R231" i="101" s="1"/>
  <c r="M234" i="101"/>
  <c r="P234" i="101" s="1"/>
  <c r="R234" i="101" s="1"/>
  <c r="M43" i="100"/>
  <c r="M59" i="100"/>
  <c r="M89" i="100"/>
  <c r="M125" i="100"/>
  <c r="M146" i="100"/>
  <c r="M149" i="100"/>
  <c r="M180" i="100"/>
  <c r="M182" i="100"/>
  <c r="M188" i="100"/>
  <c r="M227" i="100"/>
  <c r="M19" i="99"/>
  <c r="M30" i="99"/>
  <c r="M84" i="99"/>
  <c r="M86" i="99"/>
  <c r="M164" i="99"/>
  <c r="M166" i="99"/>
  <c r="M194" i="99"/>
  <c r="M258" i="99"/>
  <c r="M78" i="89"/>
  <c r="M79" i="89"/>
  <c r="M90" i="89"/>
  <c r="M102" i="89"/>
  <c r="M103" i="89"/>
  <c r="M113" i="89"/>
  <c r="M122" i="89"/>
  <c r="M168" i="89"/>
  <c r="M169" i="89"/>
  <c r="M185" i="89"/>
  <c r="M213" i="89"/>
  <c r="M257" i="89"/>
  <c r="M259" i="89"/>
  <c r="M260" i="89"/>
  <c r="M261" i="89"/>
  <c r="M114" i="102"/>
  <c r="M159" i="100"/>
  <c r="M166" i="100"/>
  <c r="M181" i="100"/>
  <c r="M194" i="100"/>
  <c r="M215" i="100"/>
  <c r="M231" i="100"/>
  <c r="M17" i="99"/>
  <c r="M20" i="99"/>
  <c r="M54" i="99"/>
  <c r="M83" i="99"/>
  <c r="M87" i="99"/>
  <c r="M113" i="99"/>
  <c r="M171" i="99"/>
  <c r="M178" i="99"/>
  <c r="M222" i="99"/>
  <c r="M11" i="89"/>
  <c r="M80" i="89"/>
  <c r="M91" i="89"/>
  <c r="M99" i="89"/>
  <c r="M109" i="89"/>
  <c r="M111" i="89"/>
  <c r="M126" i="89"/>
  <c r="M128" i="89"/>
  <c r="M188" i="89"/>
  <c r="M190" i="89"/>
  <c r="M214" i="89"/>
  <c r="M117" i="101"/>
  <c r="P117" i="101" s="1"/>
  <c r="Q117" i="101" s="1"/>
  <c r="M183" i="101"/>
  <c r="P183" i="101" s="1"/>
  <c r="R183" i="101" s="1"/>
  <c r="M258" i="101"/>
  <c r="P258" i="101" s="1"/>
  <c r="M15" i="100"/>
  <c r="M37" i="100"/>
  <c r="M45" i="100"/>
  <c r="M104" i="100"/>
  <c r="M178" i="100"/>
  <c r="M46" i="99"/>
  <c r="M123" i="99"/>
  <c r="M137" i="99"/>
  <c r="M51" i="89"/>
  <c r="M57" i="89"/>
  <c r="M104" i="89"/>
  <c r="M108" i="89"/>
  <c r="M110" i="89"/>
  <c r="M121" i="89"/>
  <c r="M137" i="89"/>
  <c r="M141" i="89"/>
  <c r="M150" i="89"/>
  <c r="M155" i="89"/>
  <c r="M262" i="89"/>
  <c r="M226" i="101"/>
  <c r="P226" i="101" s="1"/>
  <c r="R226" i="101" s="1"/>
  <c r="M96" i="100"/>
  <c r="M134" i="100"/>
  <c r="M161" i="100"/>
  <c r="M237" i="100"/>
  <c r="M24" i="99"/>
  <c r="M31" i="99"/>
  <c r="M79" i="99"/>
  <c r="M85" i="99"/>
  <c r="M130" i="99"/>
  <c r="M174" i="99"/>
  <c r="M15" i="89"/>
  <c r="M18" i="89"/>
  <c r="M40" i="89"/>
  <c r="M54" i="89"/>
  <c r="M93" i="89"/>
  <c r="M123" i="89"/>
  <c r="M166" i="89"/>
  <c r="M231" i="89"/>
  <c r="M230" i="102"/>
  <c r="M125" i="101"/>
  <c r="P125" i="101" s="1"/>
  <c r="R125" i="101" s="1"/>
  <c r="M216" i="102"/>
  <c r="M20" i="101"/>
  <c r="P20" i="101" s="1"/>
  <c r="R20" i="101" s="1"/>
  <c r="M176" i="101"/>
  <c r="P176" i="101" s="1"/>
  <c r="Q176" i="101" s="1"/>
  <c r="M147" i="100"/>
  <c r="M22" i="99"/>
  <c r="M39" i="99"/>
  <c r="M45" i="99"/>
  <c r="M88" i="99"/>
  <c r="M122" i="99"/>
  <c r="M125" i="99"/>
  <c r="M140" i="99"/>
  <c r="M146" i="99"/>
  <c r="M162" i="99"/>
  <c r="M177" i="99"/>
  <c r="M213" i="99"/>
  <c r="M9" i="89"/>
  <c r="M101" i="89"/>
  <c r="M139" i="89"/>
  <c r="M154" i="89"/>
  <c r="M163" i="89"/>
  <c r="M167" i="89"/>
  <c r="M170" i="89"/>
  <c r="M176" i="89"/>
  <c r="M184" i="89"/>
  <c r="M228" i="89"/>
  <c r="M229" i="89"/>
  <c r="M243" i="89"/>
  <c r="M197" i="100"/>
  <c r="M6" i="99"/>
  <c r="M42" i="100"/>
  <c r="M193" i="100"/>
  <c r="M216" i="100"/>
  <c r="M124" i="99"/>
  <c r="M128" i="99"/>
  <c r="M155" i="99"/>
  <c r="M165" i="99"/>
  <c r="M192" i="99"/>
  <c r="M260" i="99"/>
  <c r="M76" i="89"/>
  <c r="M127" i="89"/>
  <c r="M158" i="89"/>
  <c r="M50" i="100"/>
  <c r="M53" i="100"/>
  <c r="M164" i="100"/>
  <c r="M176" i="100"/>
  <c r="M59" i="99"/>
  <c r="M111" i="99"/>
  <c r="M197" i="99"/>
  <c r="M20" i="89"/>
  <c r="M89" i="89"/>
  <c r="M92" i="89"/>
  <c r="M186" i="89"/>
  <c r="M227" i="89"/>
  <c r="M230" i="89"/>
  <c r="M47" i="100"/>
  <c r="M151" i="100"/>
  <c r="M214" i="100"/>
  <c r="M149" i="99"/>
  <c r="M87" i="89"/>
  <c r="M100" i="89"/>
  <c r="M125" i="89"/>
  <c r="M147" i="89"/>
  <c r="M156" i="89"/>
  <c r="M159" i="89"/>
  <c r="M189" i="89"/>
  <c r="M215" i="89"/>
  <c r="M258" i="89"/>
  <c r="M36" i="100"/>
  <c r="M157" i="99"/>
  <c r="M140" i="89"/>
  <c r="M232" i="89"/>
  <c r="M41" i="99"/>
  <c r="M21" i="89"/>
  <c r="M86" i="89"/>
  <c r="M114" i="89"/>
  <c r="M263" i="89"/>
  <c r="M180" i="99"/>
  <c r="M259" i="99"/>
  <c r="M113" i="100"/>
  <c r="M222" i="100"/>
  <c r="M158" i="102"/>
  <c r="M14" i="89"/>
  <c r="M19" i="89"/>
  <c r="M38" i="89"/>
  <c r="M88" i="89"/>
  <c r="M98" i="89"/>
  <c r="M112" i="89"/>
  <c r="M124" i="89"/>
  <c r="M157" i="89"/>
  <c r="M269" i="89"/>
  <c r="M270" i="89"/>
  <c r="M234" i="99"/>
  <c r="M195" i="89"/>
  <c r="M191" i="89"/>
  <c r="M102" i="99"/>
  <c r="M228" i="100"/>
  <c r="M49" i="89"/>
  <c r="M162" i="100"/>
  <c r="M270" i="100"/>
  <c r="M43" i="99"/>
  <c r="M77" i="89"/>
  <c r="M182" i="99"/>
  <c r="M187" i="89"/>
  <c r="M37" i="101"/>
  <c r="P37" i="101" s="1"/>
  <c r="Q37" i="101" s="1"/>
  <c r="M151" i="89"/>
  <c r="G17" i="74"/>
  <c r="G24" i="74"/>
  <c r="G22" i="74"/>
  <c r="G23" i="74"/>
  <c r="N23" i="72"/>
  <c r="G23" i="72" s="1"/>
  <c r="G33" i="72" s="1"/>
  <c r="G34" i="72" s="1"/>
  <c r="H26" i="51" s="1"/>
  <c r="F23" i="72"/>
  <c r="F33" i="72" s="1"/>
  <c r="F34" i="72" s="1"/>
  <c r="G26" i="51" s="1"/>
  <c r="G29" i="51" s="1"/>
  <c r="H17" i="74"/>
  <c r="G10" i="74"/>
  <c r="O18" i="72"/>
  <c r="H18" i="72" s="1"/>
  <c r="F18" i="72"/>
  <c r="O17" i="72"/>
  <c r="H17" i="72" s="1"/>
  <c r="F17" i="72"/>
  <c r="F15" i="72"/>
  <c r="F6" i="74" s="1"/>
  <c r="B18" i="74"/>
  <c r="D36" i="51"/>
  <c r="H16" i="74"/>
  <c r="G9" i="74"/>
  <c r="F14" i="72"/>
  <c r="N14" i="72"/>
  <c r="G14" i="72" s="1"/>
  <c r="G21" i="72" s="1"/>
  <c r="G28" i="72" s="1"/>
  <c r="G30" i="72" s="1"/>
  <c r="G36" i="72" s="1"/>
  <c r="O15" i="72"/>
  <c r="H15" i="72" s="1"/>
  <c r="H6" i="74" s="1"/>
  <c r="G15" i="74"/>
  <c r="F19" i="72"/>
  <c r="O19" i="72"/>
  <c r="H19" i="72" s="1"/>
  <c r="F20" i="72"/>
  <c r="F20" i="74" s="1"/>
  <c r="O20" i="72"/>
  <c r="H20" i="72" s="1"/>
  <c r="H20" i="74" s="1"/>
  <c r="P16" i="72"/>
  <c r="I16" i="72" s="1"/>
  <c r="I13" i="74" s="1"/>
  <c r="F16" i="72"/>
  <c r="F13" i="74" s="1"/>
  <c r="S356" i="104"/>
  <c r="D28" i="61"/>
  <c r="G436" i="83"/>
  <c r="U356" i="104"/>
  <c r="T356" i="104"/>
  <c r="O356" i="105"/>
  <c r="AB6" i="105" s="1"/>
  <c r="K11" i="109"/>
  <c r="I227" i="84"/>
  <c r="H227" i="84"/>
  <c r="K12" i="111"/>
  <c r="D24" i="56"/>
  <c r="D26" i="56" s="1"/>
  <c r="H35" i="69"/>
  <c r="G23" i="69"/>
  <c r="H23" i="69"/>
  <c r="G29" i="69"/>
  <c r="I35" i="69"/>
  <c r="D15" i="59"/>
  <c r="D29" i="68"/>
  <c r="D39" i="56"/>
  <c r="E4" i="51" s="1"/>
  <c r="I29" i="69"/>
  <c r="G35" i="69"/>
  <c r="H29" i="69"/>
  <c r="C18" i="74"/>
  <c r="D18" i="74"/>
  <c r="D11" i="74"/>
  <c r="D29" i="74"/>
  <c r="C29" i="74"/>
  <c r="C11" i="74"/>
  <c r="B11" i="74"/>
  <c r="B29" i="74"/>
  <c r="H15" i="51"/>
  <c r="G24" i="70"/>
  <c r="H14" i="50"/>
  <c r="H5" i="51"/>
  <c r="I40" i="75"/>
  <c r="J7" i="51"/>
  <c r="J16" i="50"/>
  <c r="J26" i="50" s="1"/>
  <c r="I38" i="69"/>
  <c r="H38" i="69"/>
  <c r="G38" i="69"/>
  <c r="J15" i="51"/>
  <c r="I24" i="70"/>
  <c r="I15" i="51"/>
  <c r="H24" i="70"/>
  <c r="I14" i="50"/>
  <c r="I5" i="51"/>
  <c r="I23" i="69"/>
  <c r="I24" i="62"/>
  <c r="J30" i="62"/>
  <c r="J24" i="62"/>
  <c r="I30" i="62"/>
  <c r="I29" i="62"/>
  <c r="J23" i="62"/>
  <c r="I23" i="62"/>
  <c r="J29" i="62"/>
  <c r="J25" i="62"/>
  <c r="I31" i="62"/>
  <c r="I25" i="62"/>
  <c r="J31" i="62"/>
  <c r="E29" i="68"/>
  <c r="B40" i="69" s="1"/>
  <c r="G52" i="80"/>
  <c r="R279" i="99"/>
  <c r="D52" i="80"/>
  <c r="F29" i="69"/>
  <c r="E43" i="79"/>
  <c r="E5" i="51"/>
  <c r="E35" i="51" s="1"/>
  <c r="V4" i="99"/>
  <c r="D48" i="109" s="1"/>
  <c r="P279" i="100"/>
  <c r="V7" i="100"/>
  <c r="Q279" i="99"/>
  <c r="W4" i="99"/>
  <c r="E48" i="109" s="1"/>
  <c r="C29" i="61"/>
  <c r="C23" i="69"/>
  <c r="E24" i="80"/>
  <c r="F24" i="80"/>
  <c r="D35" i="69"/>
  <c r="B29" i="69"/>
  <c r="Q4" i="100"/>
  <c r="H24" i="80"/>
  <c r="B35" i="69"/>
  <c r="G24" i="80"/>
  <c r="M4" i="99"/>
  <c r="C29" i="69"/>
  <c r="M4" i="100"/>
  <c r="E35" i="69"/>
  <c r="D29" i="69"/>
  <c r="W3" i="104"/>
  <c r="Y3" i="104"/>
  <c r="M4" i="89"/>
  <c r="B23" i="69"/>
  <c r="F35" i="69"/>
  <c r="I52" i="80"/>
  <c r="S3" i="105"/>
  <c r="U3" i="105"/>
  <c r="T3" i="105"/>
  <c r="E28" i="61"/>
  <c r="E29" i="61" s="1"/>
  <c r="D24" i="80"/>
  <c r="M4" i="103"/>
  <c r="M4" i="102"/>
  <c r="M4" i="101"/>
  <c r="P4" i="101" s="1"/>
  <c r="C20" i="68"/>
  <c r="D23" i="69"/>
  <c r="L3" i="108"/>
  <c r="L3" i="106"/>
  <c r="O3" i="106" s="1"/>
  <c r="L3" i="105"/>
  <c r="L3" i="98"/>
  <c r="L3" i="107"/>
  <c r="L3" i="104"/>
  <c r="C52" i="80"/>
  <c r="D20" i="68"/>
  <c r="I24" i="80"/>
  <c r="D29" i="61"/>
  <c r="K12" i="37"/>
  <c r="H52" i="80"/>
  <c r="G31" i="62"/>
  <c r="F40" i="75"/>
  <c r="G7" i="51"/>
  <c r="B24" i="80"/>
  <c r="K16" i="20"/>
  <c r="K8" i="20"/>
  <c r="F52" i="80"/>
  <c r="E52" i="80"/>
  <c r="F24" i="70"/>
  <c r="K12" i="113"/>
  <c r="K12" i="112"/>
  <c r="K12" i="109"/>
  <c r="J5" i="84"/>
  <c r="K12" i="110"/>
  <c r="E23" i="69"/>
  <c r="E29" i="69"/>
  <c r="L5" i="2"/>
  <c r="G5" i="51"/>
  <c r="F33" i="109"/>
  <c r="B52" i="80"/>
  <c r="F30" i="62"/>
  <c r="C24" i="80"/>
  <c r="F23" i="69"/>
  <c r="C35" i="69"/>
  <c r="G34" i="71"/>
  <c r="H15" i="50"/>
  <c r="H25" i="50" s="1"/>
  <c r="J3" i="83"/>
  <c r="E21" i="62"/>
  <c r="E23" i="62" s="1"/>
  <c r="C24" i="7"/>
  <c r="D22" i="111" s="1"/>
  <c r="D24" i="70"/>
  <c r="N3" i="3"/>
  <c r="D38" i="50"/>
  <c r="D41" i="50"/>
  <c r="D46" i="50" s="1"/>
  <c r="D39" i="50"/>
  <c r="C29" i="62"/>
  <c r="B23" i="62"/>
  <c r="B29" i="62"/>
  <c r="C23" i="62"/>
  <c r="F5" i="51"/>
  <c r="E30" i="62"/>
  <c r="G15" i="51"/>
  <c r="B24" i="62"/>
  <c r="B30" i="62"/>
  <c r="C24" i="62"/>
  <c r="C30" i="62"/>
  <c r="D29" i="80"/>
  <c r="C25" i="62"/>
  <c r="B25" i="62"/>
  <c r="C31" i="62"/>
  <c r="B31" i="62"/>
  <c r="C39" i="56"/>
  <c r="C12" i="59"/>
  <c r="C15" i="59" s="1"/>
  <c r="G12" i="62"/>
  <c r="E12" i="62"/>
  <c r="G11" i="62"/>
  <c r="F31" i="62"/>
  <c r="G30" i="62"/>
  <c r="E11" i="62"/>
  <c r="H43" i="60"/>
  <c r="H38" i="62" s="1"/>
  <c r="E43" i="60"/>
  <c r="E38" i="62" s="1"/>
  <c r="H13" i="62"/>
  <c r="F29" i="62"/>
  <c r="H31" i="62"/>
  <c r="K3" i="84"/>
  <c r="H15" i="59"/>
  <c r="H39" i="56"/>
  <c r="C28" i="80"/>
  <c r="E24" i="70"/>
  <c r="K10" i="112"/>
  <c r="K10" i="113"/>
  <c r="K10" i="111"/>
  <c r="K10" i="110"/>
  <c r="K10" i="109"/>
  <c r="H11" i="62"/>
  <c r="G22" i="109"/>
  <c r="D33" i="109"/>
  <c r="E29" i="62"/>
  <c r="I13" i="109"/>
  <c r="I13" i="113"/>
  <c r="I13" i="111"/>
  <c r="I13" i="110"/>
  <c r="I13" i="112"/>
  <c r="F15" i="51"/>
  <c r="E31" i="62"/>
  <c r="G29" i="62"/>
  <c r="D28" i="80"/>
  <c r="K11" i="37"/>
  <c r="K11" i="112"/>
  <c r="K11" i="113"/>
  <c r="K11" i="111"/>
  <c r="K11" i="110"/>
  <c r="J13" i="37"/>
  <c r="J13" i="113"/>
  <c r="J13" i="111"/>
  <c r="J13" i="110"/>
  <c r="J13" i="112"/>
  <c r="J13" i="109"/>
  <c r="H30" i="62"/>
  <c r="H29" i="62"/>
  <c r="I28" i="80"/>
  <c r="G43" i="60"/>
  <c r="G38" i="62" s="1"/>
  <c r="L9" i="20"/>
  <c r="E33" i="109"/>
  <c r="H21" i="62"/>
  <c r="H24" i="62" s="1"/>
  <c r="D43" i="60"/>
  <c r="D38" i="62" s="1"/>
  <c r="D30" i="62"/>
  <c r="D31" i="62"/>
  <c r="D29" i="62"/>
  <c r="D13" i="62"/>
  <c r="D11" i="62"/>
  <c r="D12" i="62"/>
  <c r="F21" i="62"/>
  <c r="F23" i="62" s="1"/>
  <c r="H39" i="59"/>
  <c r="F43" i="60"/>
  <c r="F38" i="62" s="1"/>
  <c r="D23" i="62"/>
  <c r="D25" i="62"/>
  <c r="D24" i="62"/>
  <c r="F11" i="62"/>
  <c r="F13" i="62"/>
  <c r="D44" i="59"/>
  <c r="E14" i="51" s="1"/>
  <c r="D39" i="59"/>
  <c r="B23" i="7"/>
  <c r="C22" i="110" s="1"/>
  <c r="K7" i="20"/>
  <c r="G28" i="80"/>
  <c r="H28" i="80"/>
  <c r="C40" i="79"/>
  <c r="C43" i="79" s="1"/>
  <c r="B28" i="80"/>
  <c r="B31" i="80" s="1"/>
  <c r="F28" i="80"/>
  <c r="D6" i="80"/>
  <c r="D9" i="80" s="1"/>
  <c r="D40" i="78"/>
  <c r="H43" i="59"/>
  <c r="H31" i="63" s="1"/>
  <c r="E15" i="59"/>
  <c r="E39" i="56"/>
  <c r="F4" i="51" s="1"/>
  <c r="G29" i="80"/>
  <c r="F29" i="80"/>
  <c r="D40" i="79"/>
  <c r="D43" i="79" s="1"/>
  <c r="E29" i="80"/>
  <c r="E31" i="80" s="1"/>
  <c r="I29" i="80"/>
  <c r="C29" i="80"/>
  <c r="H29" i="80"/>
  <c r="G17" i="51"/>
  <c r="F12" i="81"/>
  <c r="F49" i="78"/>
  <c r="K14" i="20"/>
  <c r="M3" i="2"/>
  <c r="K6" i="20"/>
  <c r="K10" i="37"/>
  <c r="J15" i="20"/>
  <c r="I13" i="37"/>
  <c r="I5" i="83"/>
  <c r="H5" i="83"/>
  <c r="L422" i="3"/>
  <c r="M5" i="3"/>
  <c r="B42" i="80"/>
  <c r="C42" i="80"/>
  <c r="D42" i="80"/>
  <c r="F42" i="80"/>
  <c r="E42" i="80"/>
  <c r="G42" i="80"/>
  <c r="H42" i="80"/>
  <c r="I42" i="80"/>
  <c r="E15" i="72"/>
  <c r="E6" i="74" s="1"/>
  <c r="E23" i="72"/>
  <c r="E33" i="72" s="1"/>
  <c r="E34" i="72" s="1"/>
  <c r="F26" i="51" s="1"/>
  <c r="E16" i="72"/>
  <c r="E13" i="74" s="1"/>
  <c r="E20" i="72"/>
  <c r="E20" i="74" s="1"/>
  <c r="E17" i="72"/>
  <c r="E19" i="72"/>
  <c r="E18" i="72"/>
  <c r="I39" i="78"/>
  <c r="I13" i="78"/>
  <c r="E39" i="59"/>
  <c r="H11" i="78"/>
  <c r="H38" i="75"/>
  <c r="I7" i="51" s="1"/>
  <c r="G25" i="72"/>
  <c r="G11" i="72"/>
  <c r="E12" i="78"/>
  <c r="E38" i="75"/>
  <c r="F16" i="50" s="1"/>
  <c r="E26" i="50"/>
  <c r="D40" i="75"/>
  <c r="E7" i="51"/>
  <c r="E29" i="51"/>
  <c r="F17" i="51"/>
  <c r="E12" i="81"/>
  <c r="C13" i="79"/>
  <c r="E13" i="79"/>
  <c r="F38" i="69"/>
  <c r="E38" i="69"/>
  <c r="C38" i="69"/>
  <c r="B38" i="69"/>
  <c r="D38" i="69"/>
  <c r="G12" i="78"/>
  <c r="G38" i="75"/>
  <c r="H7" i="51" s="1"/>
  <c r="H37" i="51" s="1"/>
  <c r="E44" i="59"/>
  <c r="F14" i="51" s="1"/>
  <c r="I36" i="80"/>
  <c r="F36" i="80"/>
  <c r="D36" i="80"/>
  <c r="E36" i="80"/>
  <c r="B36" i="80"/>
  <c r="C36" i="80"/>
  <c r="H36" i="80"/>
  <c r="G36" i="80"/>
  <c r="G23" i="62"/>
  <c r="G24" i="62"/>
  <c r="G25" i="62"/>
  <c r="D43" i="80"/>
  <c r="C43" i="80"/>
  <c r="B43" i="80"/>
  <c r="G43" i="80"/>
  <c r="F43" i="80"/>
  <c r="E43" i="80"/>
  <c r="H43" i="80"/>
  <c r="I43" i="80"/>
  <c r="G12" i="81"/>
  <c r="I12" i="67"/>
  <c r="I39" i="64"/>
  <c r="F35" i="56" l="1"/>
  <c r="F24" i="56"/>
  <c r="F26" i="56" s="1"/>
  <c r="G24" i="56"/>
  <c r="G26" i="56" s="1"/>
  <c r="G35" i="56"/>
  <c r="P19" i="72"/>
  <c r="I19" i="72" s="1"/>
  <c r="P15" i="72"/>
  <c r="I15" i="72" s="1"/>
  <c r="I6" i="74" s="1"/>
  <c r="O23" i="72"/>
  <c r="H23" i="72" s="1"/>
  <c r="H33" i="72" s="1"/>
  <c r="H34" i="72" s="1"/>
  <c r="I26" i="51" s="1"/>
  <c r="I29" i="51" s="1"/>
  <c r="P20" i="72"/>
  <c r="I20" i="72" s="1"/>
  <c r="I20" i="74" s="1"/>
  <c r="I24" i="74" s="1"/>
  <c r="P17" i="72"/>
  <c r="I17" i="72" s="1"/>
  <c r="C27" i="51"/>
  <c r="C29" i="51" s="1"/>
  <c r="B49" i="78"/>
  <c r="D27" i="51"/>
  <c r="D29" i="51" s="1"/>
  <c r="C49" i="78"/>
  <c r="W167" i="105"/>
  <c r="Y61" i="105"/>
  <c r="Y303" i="105"/>
  <c r="Y116" i="105"/>
  <c r="Y286" i="105"/>
  <c r="Y206" i="105"/>
  <c r="Y227" i="105"/>
  <c r="Y105" i="105"/>
  <c r="Y338" i="107"/>
  <c r="W88" i="105"/>
  <c r="Y199" i="105"/>
  <c r="Y159" i="105"/>
  <c r="Y314" i="105"/>
  <c r="W163" i="107"/>
  <c r="Y208" i="107"/>
  <c r="Y79" i="105"/>
  <c r="Y327" i="107"/>
  <c r="Y40" i="105"/>
  <c r="Y230" i="105"/>
  <c r="Y224" i="107"/>
  <c r="Y119" i="105"/>
  <c r="Y189" i="105"/>
  <c r="Y307" i="105"/>
  <c r="Y289" i="107"/>
  <c r="Y172" i="105"/>
  <c r="W173" i="105"/>
  <c r="Y342" i="105"/>
  <c r="Y142" i="105"/>
  <c r="Y223" i="107"/>
  <c r="Y29" i="105"/>
  <c r="W187" i="105"/>
  <c r="W188" i="105"/>
  <c r="W185" i="107"/>
  <c r="Y147" i="105"/>
  <c r="Y315" i="105"/>
  <c r="W316" i="105"/>
  <c r="W177" i="105"/>
  <c r="W18" i="105"/>
  <c r="Y258" i="105"/>
  <c r="Y241" i="105"/>
  <c r="Y92" i="105"/>
  <c r="Y131" i="105"/>
  <c r="Y68" i="105"/>
  <c r="Y323" i="107"/>
  <c r="Y309" i="105"/>
  <c r="W184" i="105"/>
  <c r="Y58" i="107"/>
  <c r="Y115" i="105"/>
  <c r="Y137" i="105"/>
  <c r="Y134" i="105"/>
  <c r="Y310" i="105"/>
  <c r="W138" i="105"/>
  <c r="Y321" i="105"/>
  <c r="Y122" i="105"/>
  <c r="Y207" i="107"/>
  <c r="Y80" i="105"/>
  <c r="Y340" i="105"/>
  <c r="Y141" i="105"/>
  <c r="Y166" i="105"/>
  <c r="Y49" i="107"/>
  <c r="Y149" i="105"/>
  <c r="Y333" i="107"/>
  <c r="Y55" i="107"/>
  <c r="W27" i="105"/>
  <c r="Y148" i="105"/>
  <c r="Y322" i="105"/>
  <c r="W21" i="107"/>
  <c r="Y339" i="107"/>
  <c r="W154" i="105"/>
  <c r="W165" i="105"/>
  <c r="Y292" i="107"/>
  <c r="Y111" i="105"/>
  <c r="Y157" i="105"/>
  <c r="Y28" i="105"/>
  <c r="Y337" i="107"/>
  <c r="Y136" i="105"/>
  <c r="Y140" i="105"/>
  <c r="Y190" i="105"/>
  <c r="Y234" i="107"/>
  <c r="Y331" i="105"/>
  <c r="Y146" i="105"/>
  <c r="Y277" i="105"/>
  <c r="Y318" i="107"/>
  <c r="Y114" i="105"/>
  <c r="Y112" i="105"/>
  <c r="Y298" i="105"/>
  <c r="Y132" i="105"/>
  <c r="Y308" i="105"/>
  <c r="T351" i="108"/>
  <c r="Y351" i="108" s="1"/>
  <c r="S351" i="108"/>
  <c r="W351" i="108" s="1"/>
  <c r="U351" i="108"/>
  <c r="V351" i="108"/>
  <c r="S287" i="108"/>
  <c r="W287" i="108" s="1"/>
  <c r="U287" i="108"/>
  <c r="T287" i="108"/>
  <c r="T238" i="108"/>
  <c r="Y238" i="108" s="1"/>
  <c r="S238" i="108"/>
  <c r="W238" i="108" s="1"/>
  <c r="U238" i="108"/>
  <c r="X238" i="108" s="1"/>
  <c r="T231" i="108"/>
  <c r="U231" i="108"/>
  <c r="S231" i="108"/>
  <c r="W231" i="108" s="1"/>
  <c r="V218" i="108"/>
  <c r="T218" i="108"/>
  <c r="Y218" i="108" s="1"/>
  <c r="S218" i="108"/>
  <c r="W218" i="108" s="1"/>
  <c r="U218" i="108"/>
  <c r="S332" i="106"/>
  <c r="W332" i="106" s="1"/>
  <c r="T332" i="106"/>
  <c r="U332" i="106"/>
  <c r="S120" i="106"/>
  <c r="T120" i="106"/>
  <c r="U120" i="106"/>
  <c r="T195" i="106"/>
  <c r="Y195" i="106" s="1"/>
  <c r="U195" i="106"/>
  <c r="X195" i="106" s="1"/>
  <c r="S195" i="106"/>
  <c r="W195" i="106" s="1"/>
  <c r="S266" i="106"/>
  <c r="T266" i="106"/>
  <c r="U266" i="106"/>
  <c r="S198" i="106"/>
  <c r="W198" i="106" s="1"/>
  <c r="T198" i="106"/>
  <c r="U198" i="106"/>
  <c r="T173" i="106"/>
  <c r="Y173" i="106" s="1"/>
  <c r="S173" i="106"/>
  <c r="U173" i="106"/>
  <c r="T202" i="106"/>
  <c r="Y202" i="106" s="1"/>
  <c r="S202" i="106"/>
  <c r="W202" i="106" s="1"/>
  <c r="U202" i="106"/>
  <c r="X202" i="106" s="1"/>
  <c r="U331" i="106"/>
  <c r="S331" i="106"/>
  <c r="W331" i="106" s="1"/>
  <c r="T331" i="106"/>
  <c r="S176" i="106"/>
  <c r="W176" i="106" s="1"/>
  <c r="T176" i="106"/>
  <c r="Y176" i="106" s="1"/>
  <c r="U176" i="106"/>
  <c r="V176" i="106"/>
  <c r="S78" i="106"/>
  <c r="U78" i="106"/>
  <c r="T78" i="106"/>
  <c r="T307" i="106"/>
  <c r="S307" i="106"/>
  <c r="W307" i="106" s="1"/>
  <c r="U307" i="106"/>
  <c r="S135" i="106"/>
  <c r="W135" i="106" s="1"/>
  <c r="U135" i="106"/>
  <c r="T135" i="106"/>
  <c r="T250" i="106"/>
  <c r="Y250" i="106" s="1"/>
  <c r="S250" i="106"/>
  <c r="W250" i="106" s="1"/>
  <c r="U250" i="106"/>
  <c r="X250" i="106" s="1"/>
  <c r="S166" i="106"/>
  <c r="W166" i="106" s="1"/>
  <c r="T166" i="106"/>
  <c r="U166" i="106"/>
  <c r="T93" i="106"/>
  <c r="Y93" i="106" s="1"/>
  <c r="S93" i="106"/>
  <c r="W93" i="106" s="1"/>
  <c r="U93" i="106"/>
  <c r="V93" i="106"/>
  <c r="U241" i="106"/>
  <c r="S241" i="106"/>
  <c r="W241" i="106" s="1"/>
  <c r="T241" i="106"/>
  <c r="T89" i="106"/>
  <c r="S89" i="106"/>
  <c r="U89" i="106"/>
  <c r="S268" i="106"/>
  <c r="T268" i="106"/>
  <c r="U268" i="106"/>
  <c r="S68" i="106"/>
  <c r="W68" i="106" s="1"/>
  <c r="T68" i="106"/>
  <c r="U68" i="106"/>
  <c r="T13" i="106"/>
  <c r="S13" i="106"/>
  <c r="U13" i="106"/>
  <c r="T274" i="106"/>
  <c r="S274" i="106"/>
  <c r="W274" i="106" s="1"/>
  <c r="U274" i="106"/>
  <c r="U338" i="108"/>
  <c r="T338" i="108"/>
  <c r="S338" i="108"/>
  <c r="W338" i="108" s="1"/>
  <c r="U16" i="106"/>
  <c r="T16" i="106"/>
  <c r="S16" i="106"/>
  <c r="U175" i="106"/>
  <c r="S175" i="106"/>
  <c r="T175" i="106"/>
  <c r="Y175" i="106" s="1"/>
  <c r="S158" i="106"/>
  <c r="W158" i="106" s="1"/>
  <c r="T158" i="106"/>
  <c r="U158" i="106"/>
  <c r="S162" i="106"/>
  <c r="W162" i="106" s="1"/>
  <c r="T162" i="106"/>
  <c r="U162" i="106"/>
  <c r="U80" i="106"/>
  <c r="T80" i="106"/>
  <c r="S80" i="106"/>
  <c r="W80" i="106" s="1"/>
  <c r="S105" i="106"/>
  <c r="W105" i="106" s="1"/>
  <c r="T105" i="106"/>
  <c r="U105" i="106"/>
  <c r="U32" i="106"/>
  <c r="S32" i="106"/>
  <c r="T32" i="106"/>
  <c r="Y32" i="106" s="1"/>
  <c r="S58" i="108"/>
  <c r="W58" i="108" s="1"/>
  <c r="T58" i="108"/>
  <c r="U58" i="108"/>
  <c r="T57" i="108"/>
  <c r="Y57" i="108" s="1"/>
  <c r="S57" i="108"/>
  <c r="W57" i="108" s="1"/>
  <c r="U57" i="108"/>
  <c r="V57" i="108"/>
  <c r="S134" i="106"/>
  <c r="W134" i="106" s="1"/>
  <c r="T134" i="106"/>
  <c r="U134" i="106"/>
  <c r="U31" i="106"/>
  <c r="X31" i="106" s="1"/>
  <c r="S31" i="106"/>
  <c r="W31" i="106" s="1"/>
  <c r="T31" i="106"/>
  <c r="Y31" i="106" s="1"/>
  <c r="T130" i="106"/>
  <c r="Y130" i="106" s="1"/>
  <c r="S130" i="106"/>
  <c r="W130" i="106" s="1"/>
  <c r="U130" i="106"/>
  <c r="X130" i="106" s="1"/>
  <c r="T167" i="106"/>
  <c r="Y167" i="106" s="1"/>
  <c r="S167" i="106"/>
  <c r="U167" i="106"/>
  <c r="T52" i="108"/>
  <c r="S52" i="108"/>
  <c r="U52" i="108"/>
  <c r="U51" i="108"/>
  <c r="X51" i="108" s="1"/>
  <c r="S51" i="108"/>
  <c r="W51" i="108" s="1"/>
  <c r="T51" i="108"/>
  <c r="Y51" i="108" s="1"/>
  <c r="T242" i="106"/>
  <c r="S242" i="106"/>
  <c r="W242" i="106" s="1"/>
  <c r="U242" i="106"/>
  <c r="T280" i="106"/>
  <c r="S280" i="106"/>
  <c r="U280" i="106"/>
  <c r="S132" i="106"/>
  <c r="W132" i="106" s="1"/>
  <c r="T132" i="106"/>
  <c r="U132" i="106"/>
  <c r="S264" i="106"/>
  <c r="T264" i="106"/>
  <c r="U264" i="106"/>
  <c r="U124" i="106"/>
  <c r="T124" i="106"/>
  <c r="S124" i="106"/>
  <c r="W124" i="106" s="1"/>
  <c r="U92" i="106"/>
  <c r="T92" i="106"/>
  <c r="S92" i="106"/>
  <c r="W92" i="106" s="1"/>
  <c r="T114" i="106"/>
  <c r="S114" i="106"/>
  <c r="W114" i="106" s="1"/>
  <c r="U114" i="106"/>
  <c r="T127" i="106"/>
  <c r="Y127" i="106" s="1"/>
  <c r="U127" i="106"/>
  <c r="X127" i="106" s="1"/>
  <c r="S127" i="106"/>
  <c r="W127" i="106" s="1"/>
  <c r="T44" i="106"/>
  <c r="Y44" i="106" s="1"/>
  <c r="S44" i="106"/>
  <c r="W44" i="106" s="1"/>
  <c r="U44" i="106"/>
  <c r="X44" i="106" s="1"/>
  <c r="S126" i="106"/>
  <c r="W126" i="106" s="1"/>
  <c r="T126" i="106"/>
  <c r="Y126" i="106" s="1"/>
  <c r="U126" i="106"/>
  <c r="V126" i="106"/>
  <c r="T251" i="106"/>
  <c r="Y251" i="106" s="1"/>
  <c r="S251" i="106"/>
  <c r="W251" i="106" s="1"/>
  <c r="U251" i="106"/>
  <c r="X251" i="106" s="1"/>
  <c r="U98" i="106"/>
  <c r="T98" i="106"/>
  <c r="S98" i="106"/>
  <c r="S206" i="106"/>
  <c r="W206" i="106" s="1"/>
  <c r="U206" i="106"/>
  <c r="T206" i="106"/>
  <c r="T325" i="106"/>
  <c r="S325" i="106"/>
  <c r="W325" i="106" s="1"/>
  <c r="U325" i="106"/>
  <c r="U160" i="106"/>
  <c r="X160" i="106" s="1"/>
  <c r="T160" i="106"/>
  <c r="Y160" i="106" s="1"/>
  <c r="S160" i="106"/>
  <c r="W160" i="106" s="1"/>
  <c r="S69" i="106"/>
  <c r="T69" i="106"/>
  <c r="U69" i="106"/>
  <c r="S343" i="106"/>
  <c r="W343" i="106" s="1"/>
  <c r="U343" i="106"/>
  <c r="T343" i="106"/>
  <c r="T204" i="106"/>
  <c r="Y204" i="106" s="1"/>
  <c r="S204" i="106"/>
  <c r="W204" i="106" s="1"/>
  <c r="U204" i="106"/>
  <c r="X204" i="106" s="1"/>
  <c r="S159" i="106"/>
  <c r="W159" i="106" s="1"/>
  <c r="T159" i="106"/>
  <c r="U159" i="106"/>
  <c r="T100" i="106"/>
  <c r="Y100" i="106" s="1"/>
  <c r="U100" i="106"/>
  <c r="X100" i="106" s="1"/>
  <c r="S100" i="106"/>
  <c r="W100" i="106" s="1"/>
  <c r="T29" i="106"/>
  <c r="S29" i="106"/>
  <c r="W29" i="106" s="1"/>
  <c r="U29" i="106"/>
  <c r="T289" i="108"/>
  <c r="S289" i="108"/>
  <c r="W289" i="108" s="1"/>
  <c r="U289" i="108"/>
  <c r="S131" i="106"/>
  <c r="W131" i="106" s="1"/>
  <c r="T131" i="106"/>
  <c r="U131" i="106"/>
  <c r="U148" i="106"/>
  <c r="S148" i="106"/>
  <c r="W148" i="106" s="1"/>
  <c r="T148" i="106"/>
  <c r="U308" i="106"/>
  <c r="S308" i="106"/>
  <c r="W308" i="106" s="1"/>
  <c r="T308" i="106"/>
  <c r="U67" i="106"/>
  <c r="T67" i="106"/>
  <c r="S67" i="106"/>
  <c r="T60" i="106"/>
  <c r="Y60" i="106" s="1"/>
  <c r="S60" i="106"/>
  <c r="W60" i="106" s="1"/>
  <c r="U60" i="106"/>
  <c r="X60" i="106" s="1"/>
  <c r="S152" i="106"/>
  <c r="W152" i="106" s="1"/>
  <c r="T152" i="106"/>
  <c r="Y152" i="106" s="1"/>
  <c r="U152" i="106"/>
  <c r="X152" i="106" s="1"/>
  <c r="U94" i="106"/>
  <c r="S94" i="106"/>
  <c r="T94" i="106"/>
  <c r="T327" i="108"/>
  <c r="S327" i="108"/>
  <c r="W327" i="108" s="1"/>
  <c r="U327" i="108"/>
  <c r="S186" i="108"/>
  <c r="W186" i="108" s="1"/>
  <c r="T186" i="108"/>
  <c r="Y186" i="108" s="1"/>
  <c r="U186" i="108"/>
  <c r="X186" i="108" s="1"/>
  <c r="T65" i="106"/>
  <c r="S65" i="106"/>
  <c r="U65" i="106"/>
  <c r="S84" i="106"/>
  <c r="T84" i="106"/>
  <c r="U84" i="106"/>
  <c r="S82" i="106"/>
  <c r="W82" i="106" s="1"/>
  <c r="T82" i="106"/>
  <c r="U82" i="106"/>
  <c r="S258" i="106"/>
  <c r="W258" i="106" s="1"/>
  <c r="T258" i="106"/>
  <c r="U258" i="106"/>
  <c r="U201" i="106"/>
  <c r="X201" i="106" s="1"/>
  <c r="T201" i="106"/>
  <c r="Y201" i="106" s="1"/>
  <c r="S201" i="106"/>
  <c r="W201" i="106" s="1"/>
  <c r="T285" i="106"/>
  <c r="S285" i="106"/>
  <c r="W285" i="106" s="1"/>
  <c r="U285" i="106"/>
  <c r="T122" i="106"/>
  <c r="U122" i="106"/>
  <c r="S122" i="106"/>
  <c r="W122" i="106" s="1"/>
  <c r="U316" i="106"/>
  <c r="T316" i="106"/>
  <c r="Y316" i="106" s="1"/>
  <c r="S316" i="106"/>
  <c r="T275" i="106"/>
  <c r="U275" i="106"/>
  <c r="S275" i="106"/>
  <c r="S350" i="108"/>
  <c r="W350" i="108" s="1"/>
  <c r="T350" i="108"/>
  <c r="Y350" i="108" s="1"/>
  <c r="U350" i="108"/>
  <c r="V350" i="108"/>
  <c r="S235" i="108"/>
  <c r="W235" i="108" s="1"/>
  <c r="T235" i="108"/>
  <c r="U235" i="108"/>
  <c r="T161" i="106"/>
  <c r="Y161" i="106" s="1"/>
  <c r="S161" i="106"/>
  <c r="W161" i="106" s="1"/>
  <c r="U161" i="106"/>
  <c r="X161" i="106" s="1"/>
  <c r="T128" i="106"/>
  <c r="S128" i="106"/>
  <c r="W128" i="106" s="1"/>
  <c r="U128" i="106"/>
  <c r="U252" i="106"/>
  <c r="S252" i="106"/>
  <c r="W252" i="106" s="1"/>
  <c r="T252" i="106"/>
  <c r="U103" i="106"/>
  <c r="S103" i="106"/>
  <c r="T103" i="106"/>
  <c r="T337" i="108"/>
  <c r="Y337" i="108" s="1"/>
  <c r="S337" i="108"/>
  <c r="W337" i="108" s="1"/>
  <c r="U337" i="108"/>
  <c r="T48" i="108"/>
  <c r="Y48" i="108" s="1"/>
  <c r="S48" i="108"/>
  <c r="W48" i="108" s="1"/>
  <c r="U48" i="108"/>
  <c r="X48" i="108" s="1"/>
  <c r="T53" i="108"/>
  <c r="S53" i="108"/>
  <c r="U53" i="108"/>
  <c r="S321" i="106"/>
  <c r="W321" i="106" s="1"/>
  <c r="T321" i="106"/>
  <c r="U321" i="106"/>
  <c r="S141" i="106"/>
  <c r="W141" i="106" s="1"/>
  <c r="T141" i="106"/>
  <c r="U141" i="106"/>
  <c r="U119" i="106"/>
  <c r="S119" i="106"/>
  <c r="W119" i="106" s="1"/>
  <c r="T119" i="106"/>
  <c r="T34" i="106"/>
  <c r="Y34" i="106" s="1"/>
  <c r="S34" i="106"/>
  <c r="W34" i="106" s="1"/>
  <c r="U34" i="106"/>
  <c r="X34" i="106" s="1"/>
  <c r="S146" i="106"/>
  <c r="W146" i="106" s="1"/>
  <c r="T146" i="106"/>
  <c r="U146" i="106"/>
  <c r="S71" i="106"/>
  <c r="T71" i="106"/>
  <c r="U71" i="106"/>
  <c r="T137" i="106"/>
  <c r="S137" i="106"/>
  <c r="W137" i="106" s="1"/>
  <c r="U137" i="106"/>
  <c r="T349" i="106"/>
  <c r="S349" i="106"/>
  <c r="W349" i="106" s="1"/>
  <c r="U349" i="106"/>
  <c r="T90" i="106"/>
  <c r="S90" i="106"/>
  <c r="U90" i="106"/>
  <c r="T313" i="106"/>
  <c r="Y313" i="106" s="1"/>
  <c r="S313" i="106"/>
  <c r="W313" i="106" s="1"/>
  <c r="U313" i="106"/>
  <c r="X313" i="106" s="1"/>
  <c r="T33" i="106"/>
  <c r="Y33" i="106" s="1"/>
  <c r="S33" i="106"/>
  <c r="W33" i="106" s="1"/>
  <c r="U33" i="106"/>
  <c r="X33" i="106" s="1"/>
  <c r="S194" i="106"/>
  <c r="W194" i="106" s="1"/>
  <c r="T194" i="106"/>
  <c r="Y194" i="106" s="1"/>
  <c r="U194" i="106"/>
  <c r="X194" i="106" s="1"/>
  <c r="S62" i="106"/>
  <c r="U62" i="106"/>
  <c r="T62" i="106"/>
  <c r="S267" i="106"/>
  <c r="U267" i="106"/>
  <c r="T267" i="106"/>
  <c r="T187" i="106"/>
  <c r="Y187" i="106" s="1"/>
  <c r="S187" i="106"/>
  <c r="U187" i="106"/>
  <c r="U12" i="106"/>
  <c r="S12" i="106"/>
  <c r="W12" i="106" s="1"/>
  <c r="T12" i="106"/>
  <c r="T106" i="106"/>
  <c r="S106" i="106"/>
  <c r="W106" i="106" s="1"/>
  <c r="U106" i="106"/>
  <c r="T309" i="106"/>
  <c r="S309" i="106"/>
  <c r="W309" i="106" s="1"/>
  <c r="U309" i="106"/>
  <c r="T188" i="106"/>
  <c r="Y188" i="106" s="1"/>
  <c r="S188" i="106"/>
  <c r="U188" i="106"/>
  <c r="S125" i="106"/>
  <c r="T125" i="106"/>
  <c r="U125" i="106"/>
  <c r="T75" i="106"/>
  <c r="S75" i="106"/>
  <c r="W75" i="106" s="1"/>
  <c r="U75" i="106"/>
  <c r="O311" i="107"/>
  <c r="T18" i="106"/>
  <c r="Y18" i="106" s="1"/>
  <c r="U18" i="106"/>
  <c r="S18" i="106"/>
  <c r="S19" i="106"/>
  <c r="T19" i="106"/>
  <c r="U19" i="106"/>
  <c r="S304" i="108"/>
  <c r="W304" i="108" s="1"/>
  <c r="U304" i="108"/>
  <c r="T304" i="108"/>
  <c r="Y304" i="108" s="1"/>
  <c r="V304" i="108"/>
  <c r="T50" i="108"/>
  <c r="S50" i="108"/>
  <c r="W50" i="108" s="1"/>
  <c r="U50" i="108"/>
  <c r="U136" i="106"/>
  <c r="T136" i="106"/>
  <c r="S136" i="106"/>
  <c r="W136" i="106" s="1"/>
  <c r="S66" i="106"/>
  <c r="T66" i="106"/>
  <c r="U66" i="106"/>
  <c r="T63" i="106"/>
  <c r="U63" i="106"/>
  <c r="S63" i="106"/>
  <c r="S228" i="106"/>
  <c r="W228" i="106" s="1"/>
  <c r="T228" i="106"/>
  <c r="U228" i="106"/>
  <c r="T348" i="106"/>
  <c r="S348" i="106"/>
  <c r="W348" i="106" s="1"/>
  <c r="U348" i="106"/>
  <c r="S314" i="106"/>
  <c r="W314" i="106" s="1"/>
  <c r="T314" i="106"/>
  <c r="U314" i="106"/>
  <c r="S8" i="106"/>
  <c r="W8" i="106" s="1"/>
  <c r="T8" i="106"/>
  <c r="Y8" i="106" s="1"/>
  <c r="U8" i="106"/>
  <c r="V8" i="106"/>
  <c r="S11" i="106"/>
  <c r="W11" i="106" s="1"/>
  <c r="T11" i="106"/>
  <c r="Y11" i="106" s="1"/>
  <c r="U11" i="106"/>
  <c r="V11" i="106"/>
  <c r="T17" i="106"/>
  <c r="Y17" i="106" s="1"/>
  <c r="S17" i="106"/>
  <c r="W17" i="106" s="1"/>
  <c r="U17" i="106"/>
  <c r="X17" i="106" s="1"/>
  <c r="U95" i="106"/>
  <c r="T95" i="106"/>
  <c r="S95" i="106"/>
  <c r="T110" i="106"/>
  <c r="S110" i="106"/>
  <c r="U110" i="106"/>
  <c r="S193" i="106"/>
  <c r="W193" i="106" s="1"/>
  <c r="T193" i="106"/>
  <c r="U193" i="106"/>
  <c r="T123" i="106"/>
  <c r="Y123" i="106" s="1"/>
  <c r="S123" i="106"/>
  <c r="W123" i="106" s="1"/>
  <c r="U123" i="106"/>
  <c r="X123" i="106" s="1"/>
  <c r="T317" i="106"/>
  <c r="S317" i="106"/>
  <c r="W317" i="106" s="1"/>
  <c r="U317" i="106"/>
  <c r="T249" i="108"/>
  <c r="S249" i="108"/>
  <c r="W249" i="108" s="1"/>
  <c r="U249" i="108"/>
  <c r="S185" i="108"/>
  <c r="T185" i="108"/>
  <c r="Y185" i="108" s="1"/>
  <c r="U185" i="108"/>
  <c r="S49" i="108"/>
  <c r="W49" i="108" s="1"/>
  <c r="T49" i="108"/>
  <c r="U49" i="108"/>
  <c r="T21" i="108"/>
  <c r="Y21" i="108" s="1"/>
  <c r="U21" i="108"/>
  <c r="S21" i="108"/>
  <c r="S227" i="106"/>
  <c r="W227" i="106" s="1"/>
  <c r="T227" i="106"/>
  <c r="U227" i="106"/>
  <c r="T284" i="106"/>
  <c r="Y284" i="106" s="1"/>
  <c r="S284" i="106"/>
  <c r="U284" i="106"/>
  <c r="S129" i="106"/>
  <c r="W129" i="106" s="1"/>
  <c r="T129" i="106"/>
  <c r="Y129" i="106" s="1"/>
  <c r="U129" i="106"/>
  <c r="X129" i="106" s="1"/>
  <c r="S143" i="106"/>
  <c r="W143" i="106" s="1"/>
  <c r="T143" i="106"/>
  <c r="U143" i="106"/>
  <c r="S165" i="106"/>
  <c r="T165" i="106"/>
  <c r="Y165" i="106" s="1"/>
  <c r="U165" i="106"/>
  <c r="T99" i="106"/>
  <c r="Y99" i="106" s="1"/>
  <c r="U99" i="106"/>
  <c r="S99" i="106"/>
  <c r="W99" i="106" s="1"/>
  <c r="V99" i="106"/>
  <c r="T288" i="108"/>
  <c r="S288" i="108"/>
  <c r="W288" i="108" s="1"/>
  <c r="U288" i="108"/>
  <c r="S91" i="106"/>
  <c r="W91" i="106" s="1"/>
  <c r="T91" i="106"/>
  <c r="Y91" i="106" s="1"/>
  <c r="U91" i="106"/>
  <c r="X91" i="106" s="1"/>
  <c r="T168" i="106"/>
  <c r="S168" i="106"/>
  <c r="U168" i="106"/>
  <c r="T190" i="106"/>
  <c r="S190" i="106"/>
  <c r="W190" i="106" s="1"/>
  <c r="U190" i="106"/>
  <c r="Y75" i="105"/>
  <c r="T121" i="106"/>
  <c r="S121" i="106"/>
  <c r="U121" i="106"/>
  <c r="Y332" i="105"/>
  <c r="Y192" i="105"/>
  <c r="Y312" i="105"/>
  <c r="T210" i="108"/>
  <c r="S210" i="108"/>
  <c r="W210" i="108" s="1"/>
  <c r="U210" i="108"/>
  <c r="T232" i="108"/>
  <c r="Y232" i="108" s="1"/>
  <c r="S232" i="108"/>
  <c r="W232" i="108" s="1"/>
  <c r="U232" i="108"/>
  <c r="X232" i="108" s="1"/>
  <c r="S234" i="108"/>
  <c r="W234" i="108" s="1"/>
  <c r="T234" i="108"/>
  <c r="U234" i="108"/>
  <c r="T246" i="108"/>
  <c r="Y246" i="108" s="1"/>
  <c r="S246" i="108"/>
  <c r="W246" i="108" s="1"/>
  <c r="U246" i="108"/>
  <c r="X246" i="108" s="1"/>
  <c r="T208" i="108"/>
  <c r="S208" i="108"/>
  <c r="W208" i="108" s="1"/>
  <c r="U208" i="108"/>
  <c r="S42" i="108"/>
  <c r="W42" i="108" s="1"/>
  <c r="U42" i="108"/>
  <c r="T42" i="108"/>
  <c r="Y42" i="108" s="1"/>
  <c r="V42" i="108"/>
  <c r="T254" i="106"/>
  <c r="Y254" i="106" s="1"/>
  <c r="S254" i="106"/>
  <c r="W254" i="106" s="1"/>
  <c r="U254" i="106"/>
  <c r="X254" i="106" s="1"/>
  <c r="T347" i="106"/>
  <c r="S347" i="106"/>
  <c r="W347" i="106" s="1"/>
  <c r="U347" i="106"/>
  <c r="T255" i="106"/>
  <c r="Y255" i="106" s="1"/>
  <c r="U255" i="106"/>
  <c r="X255" i="106" s="1"/>
  <c r="S255" i="106"/>
  <c r="W255" i="106" s="1"/>
  <c r="W219" i="107"/>
  <c r="Y242" i="105"/>
  <c r="Y341" i="105"/>
  <c r="U151" i="106"/>
  <c r="S151" i="106"/>
  <c r="T151" i="106"/>
  <c r="T199" i="106"/>
  <c r="S199" i="106"/>
  <c r="W199" i="106" s="1"/>
  <c r="U199" i="106"/>
  <c r="Y324" i="107"/>
  <c r="Y210" i="107"/>
  <c r="T265" i="106"/>
  <c r="S265" i="106"/>
  <c r="U265" i="106"/>
  <c r="T311" i="106"/>
  <c r="S311" i="106"/>
  <c r="W311" i="106" s="1"/>
  <c r="U311" i="106"/>
  <c r="T184" i="106"/>
  <c r="Y184" i="106" s="1"/>
  <c r="S184" i="106"/>
  <c r="U184" i="106"/>
  <c r="U181" i="106"/>
  <c r="S181" i="106"/>
  <c r="T181" i="106"/>
  <c r="S303" i="106"/>
  <c r="W303" i="106" s="1"/>
  <c r="T303" i="106"/>
  <c r="U303" i="106"/>
  <c r="T310" i="106"/>
  <c r="S310" i="106"/>
  <c r="W310" i="106" s="1"/>
  <c r="U310" i="106"/>
  <c r="T74" i="106"/>
  <c r="U74" i="106"/>
  <c r="S74" i="106"/>
  <c r="T177" i="106"/>
  <c r="Y177" i="106" s="1"/>
  <c r="S177" i="106"/>
  <c r="U177" i="106"/>
  <c r="S191" i="106"/>
  <c r="W191" i="106" s="1"/>
  <c r="T191" i="106"/>
  <c r="Y191" i="106" s="1"/>
  <c r="U191" i="106"/>
  <c r="X191" i="106" s="1"/>
  <c r="S220" i="108"/>
  <c r="T220" i="108"/>
  <c r="Y220" i="108" s="1"/>
  <c r="U220" i="108"/>
  <c r="S45" i="108"/>
  <c r="W45" i="108" s="1"/>
  <c r="U45" i="108"/>
  <c r="X45" i="108" s="1"/>
  <c r="T45" i="108"/>
  <c r="Y45" i="108" s="1"/>
  <c r="T40" i="106"/>
  <c r="S40" i="106"/>
  <c r="W40" i="106" s="1"/>
  <c r="U40" i="106"/>
  <c r="U22" i="108"/>
  <c r="X22" i="108" s="1"/>
  <c r="T22" i="108"/>
  <c r="Y22" i="108" s="1"/>
  <c r="S22" i="108"/>
  <c r="W22" i="108" s="1"/>
  <c r="U96" i="106"/>
  <c r="S96" i="106"/>
  <c r="T96" i="106"/>
  <c r="T283" i="106"/>
  <c r="S283" i="106"/>
  <c r="W283" i="106" s="1"/>
  <c r="U283" i="106"/>
  <c r="S342" i="106"/>
  <c r="W342" i="106" s="1"/>
  <c r="T342" i="106"/>
  <c r="U342" i="106"/>
  <c r="S302" i="106"/>
  <c r="W302" i="106" s="1"/>
  <c r="T302" i="106"/>
  <c r="U302" i="106"/>
  <c r="T172" i="106"/>
  <c r="S172" i="106"/>
  <c r="W172" i="106" s="1"/>
  <c r="U172" i="106"/>
  <c r="W284" i="105"/>
  <c r="Y249" i="107"/>
  <c r="T145" i="106"/>
  <c r="Y145" i="106" s="1"/>
  <c r="S145" i="106"/>
  <c r="W145" i="106" s="1"/>
  <c r="U145" i="106"/>
  <c r="X145" i="106" s="1"/>
  <c r="T157" i="106"/>
  <c r="S157" i="106"/>
  <c r="W157" i="106" s="1"/>
  <c r="U157" i="106"/>
  <c r="Y252" i="105"/>
  <c r="S113" i="106"/>
  <c r="W113" i="106" s="1"/>
  <c r="T113" i="106"/>
  <c r="U113" i="106"/>
  <c r="S116" i="106"/>
  <c r="W116" i="106" s="1"/>
  <c r="T116" i="106"/>
  <c r="U116" i="106"/>
  <c r="T27" i="106"/>
  <c r="Y27" i="106" s="1"/>
  <c r="S27" i="106"/>
  <c r="U27" i="106"/>
  <c r="T273" i="106"/>
  <c r="S273" i="106"/>
  <c r="W273" i="106" s="1"/>
  <c r="U273" i="106"/>
  <c r="Y273" i="106" s="1"/>
  <c r="Y12" i="105"/>
  <c r="S224" i="108"/>
  <c r="W224" i="108" s="1"/>
  <c r="T224" i="108"/>
  <c r="U224" i="108"/>
  <c r="T222" i="108"/>
  <c r="S222" i="108"/>
  <c r="W222" i="108" s="1"/>
  <c r="U222" i="108"/>
  <c r="S56" i="108"/>
  <c r="W56" i="108" s="1"/>
  <c r="T56" i="108"/>
  <c r="Y56" i="108" s="1"/>
  <c r="U56" i="108"/>
  <c r="X56" i="108" s="1"/>
  <c r="S312" i="106"/>
  <c r="W312" i="106" s="1"/>
  <c r="T312" i="106"/>
  <c r="U312" i="106"/>
  <c r="T253" i="106"/>
  <c r="S253" i="106"/>
  <c r="W253" i="106" s="1"/>
  <c r="U253" i="106"/>
  <c r="T330" i="106"/>
  <c r="S330" i="106"/>
  <c r="W330" i="106" s="1"/>
  <c r="U330" i="106"/>
  <c r="U346" i="106"/>
  <c r="S346" i="106"/>
  <c r="W346" i="106" s="1"/>
  <c r="T346" i="106"/>
  <c r="Y46" i="107"/>
  <c r="Y302" i="105"/>
  <c r="Y113" i="105"/>
  <c r="Y301" i="107"/>
  <c r="W233" i="107"/>
  <c r="Y158" i="105"/>
  <c r="Y50" i="107"/>
  <c r="Y273" i="105"/>
  <c r="Y283" i="105"/>
  <c r="Y269" i="107"/>
  <c r="Y270" i="107"/>
  <c r="S30" i="106"/>
  <c r="W30" i="106" s="1"/>
  <c r="U30" i="106"/>
  <c r="T30" i="106"/>
  <c r="Y128" i="105"/>
  <c r="E30" i="7"/>
  <c r="D24" i="7" s="1"/>
  <c r="E22" i="111" s="1"/>
  <c r="L39" i="108"/>
  <c r="L37" i="108"/>
  <c r="L41" i="108"/>
  <c r="L38" i="108"/>
  <c r="L35" i="108"/>
  <c r="L170" i="108"/>
  <c r="L144" i="108"/>
  <c r="L293" i="108"/>
  <c r="L36" i="107"/>
  <c r="L37" i="107"/>
  <c r="L41" i="107"/>
  <c r="L38" i="107"/>
  <c r="L178" i="108"/>
  <c r="L178" i="107"/>
  <c r="L36" i="108"/>
  <c r="L144" i="107"/>
  <c r="L39" i="107"/>
  <c r="L35" i="107"/>
  <c r="L170" i="106"/>
  <c r="O170" i="106" s="1"/>
  <c r="L178" i="106"/>
  <c r="O178" i="106" s="1"/>
  <c r="L38" i="105"/>
  <c r="L35" i="105"/>
  <c r="L39" i="105"/>
  <c r="L293" i="107"/>
  <c r="L37" i="106"/>
  <c r="O37" i="106" s="1"/>
  <c r="L293" i="106"/>
  <c r="O293" i="106" s="1"/>
  <c r="L37" i="105"/>
  <c r="L41" i="106"/>
  <c r="O41" i="106" s="1"/>
  <c r="L39" i="106"/>
  <c r="O39" i="106" s="1"/>
  <c r="L36" i="106"/>
  <c r="O36" i="106" s="1"/>
  <c r="L35" i="106"/>
  <c r="O35" i="106" s="1"/>
  <c r="L36" i="104"/>
  <c r="L170" i="107"/>
  <c r="L293" i="105"/>
  <c r="L38" i="104"/>
  <c r="L41" i="104"/>
  <c r="L37" i="104"/>
  <c r="L144" i="105"/>
  <c r="L144" i="104"/>
  <c r="L36" i="105"/>
  <c r="L178" i="105"/>
  <c r="L38" i="106"/>
  <c r="O38" i="106" s="1"/>
  <c r="L41" i="105"/>
  <c r="L41" i="98"/>
  <c r="L39" i="104"/>
  <c r="L293" i="98"/>
  <c r="L144" i="106"/>
  <c r="O144" i="106" s="1"/>
  <c r="L170" i="98"/>
  <c r="L178" i="98"/>
  <c r="L170" i="105"/>
  <c r="L170" i="104"/>
  <c r="L35" i="98"/>
  <c r="L36" i="98"/>
  <c r="L37" i="98"/>
  <c r="L144" i="98"/>
  <c r="L178" i="104"/>
  <c r="L38" i="98"/>
  <c r="L39" i="98"/>
  <c r="L35" i="104"/>
  <c r="L293" i="104"/>
  <c r="M29" i="108"/>
  <c r="M30" i="108"/>
  <c r="M28" i="108"/>
  <c r="M151" i="108"/>
  <c r="M243" i="108"/>
  <c r="M227" i="108"/>
  <c r="M274" i="108"/>
  <c r="M275" i="108"/>
  <c r="M199" i="108"/>
  <c r="M276" i="108"/>
  <c r="M151" i="107"/>
  <c r="O151" i="107" s="1"/>
  <c r="M302" i="108"/>
  <c r="M200" i="108"/>
  <c r="M30" i="107"/>
  <c r="O30" i="107" s="1"/>
  <c r="M227" i="107"/>
  <c r="O227" i="107" s="1"/>
  <c r="M276" i="107"/>
  <c r="O276" i="107" s="1"/>
  <c r="M29" i="107"/>
  <c r="O29" i="107" s="1"/>
  <c r="M200" i="107"/>
  <c r="O200" i="107" s="1"/>
  <c r="M274" i="107"/>
  <c r="O274" i="107" s="1"/>
  <c r="M243" i="107"/>
  <c r="O243" i="107" s="1"/>
  <c r="M275" i="107"/>
  <c r="O275" i="107" s="1"/>
  <c r="M278" i="107"/>
  <c r="O278" i="107" s="1"/>
  <c r="M277" i="108"/>
  <c r="M28" i="107"/>
  <c r="O28" i="107" s="1"/>
  <c r="M302" i="107"/>
  <c r="O302" i="107" s="1"/>
  <c r="M278" i="108"/>
  <c r="M243" i="106"/>
  <c r="M28" i="105"/>
  <c r="M200" i="106"/>
  <c r="M30" i="105"/>
  <c r="M227" i="106"/>
  <c r="M29" i="106"/>
  <c r="M151" i="105"/>
  <c r="M28" i="106"/>
  <c r="M275" i="105"/>
  <c r="M277" i="107"/>
  <c r="O277" i="107" s="1"/>
  <c r="M275" i="106"/>
  <c r="M29" i="105"/>
  <c r="M200" i="105"/>
  <c r="M276" i="105"/>
  <c r="M302" i="105"/>
  <c r="M274" i="106"/>
  <c r="M30" i="106"/>
  <c r="M302" i="106"/>
  <c r="M276" i="106"/>
  <c r="M29" i="104"/>
  <c r="M274" i="105"/>
  <c r="M277" i="105"/>
  <c r="M278" i="105"/>
  <c r="M30" i="104"/>
  <c r="M199" i="107"/>
  <c r="O199" i="107" s="1"/>
  <c r="M199" i="106"/>
  <c r="M278" i="106"/>
  <c r="M277" i="106"/>
  <c r="M243" i="105"/>
  <c r="M227" i="105"/>
  <c r="M28" i="104"/>
  <c r="M302" i="104"/>
  <c r="M199" i="105"/>
  <c r="M151" i="104"/>
  <c r="M200" i="104"/>
  <c r="M274" i="104"/>
  <c r="M151" i="98"/>
  <c r="M227" i="104"/>
  <c r="M199" i="98"/>
  <c r="M227" i="98"/>
  <c r="M243" i="98"/>
  <c r="M275" i="98"/>
  <c r="M30" i="98"/>
  <c r="M199" i="104"/>
  <c r="M243" i="104"/>
  <c r="M276" i="104"/>
  <c r="M28" i="98"/>
  <c r="M277" i="104"/>
  <c r="M278" i="104"/>
  <c r="M274" i="98"/>
  <c r="M276" i="98"/>
  <c r="M302" i="98"/>
  <c r="M151" i="106"/>
  <c r="M200" i="98"/>
  <c r="M275" i="104"/>
  <c r="M277" i="98"/>
  <c r="M278" i="98"/>
  <c r="M29" i="98"/>
  <c r="T108" i="106"/>
  <c r="S108" i="106"/>
  <c r="U108" i="106"/>
  <c r="T115" i="106"/>
  <c r="S115" i="106"/>
  <c r="W115" i="106" s="1"/>
  <c r="U115" i="106"/>
  <c r="T153" i="106"/>
  <c r="Y153" i="106" s="1"/>
  <c r="S153" i="106"/>
  <c r="W153" i="106" s="1"/>
  <c r="U153" i="106"/>
  <c r="X153" i="106" s="1"/>
  <c r="U276" i="106"/>
  <c r="T276" i="106"/>
  <c r="S276" i="106"/>
  <c r="S189" i="106"/>
  <c r="W189" i="106" s="1"/>
  <c r="T189" i="106"/>
  <c r="U189" i="106"/>
  <c r="T164" i="106"/>
  <c r="Y164" i="106" s="1"/>
  <c r="S164" i="106"/>
  <c r="W164" i="106" s="1"/>
  <c r="U164" i="106"/>
  <c r="X164" i="106" s="1"/>
  <c r="S272" i="106"/>
  <c r="W272" i="106" s="1"/>
  <c r="T272" i="106"/>
  <c r="U272" i="106"/>
  <c r="S279" i="106"/>
  <c r="U279" i="106"/>
  <c r="T279" i="106"/>
  <c r="S333" i="108"/>
  <c r="W333" i="108" s="1"/>
  <c r="T333" i="108"/>
  <c r="U333" i="108"/>
  <c r="S209" i="108"/>
  <c r="T209" i="108"/>
  <c r="U209" i="108"/>
  <c r="T163" i="108"/>
  <c r="Y163" i="108" s="1"/>
  <c r="U163" i="108"/>
  <c r="S163" i="108"/>
  <c r="T140" i="106"/>
  <c r="S140" i="106"/>
  <c r="W140" i="106" s="1"/>
  <c r="U140" i="106"/>
  <c r="S112" i="106"/>
  <c r="W112" i="106" s="1"/>
  <c r="T112" i="106"/>
  <c r="U112" i="106"/>
  <c r="T328" i="106"/>
  <c r="S328" i="106"/>
  <c r="W328" i="106" s="1"/>
  <c r="U328" i="106"/>
  <c r="Y328" i="106" s="1"/>
  <c r="T336" i="108"/>
  <c r="S336" i="108"/>
  <c r="W336" i="108" s="1"/>
  <c r="U336" i="108"/>
  <c r="U139" i="106"/>
  <c r="X139" i="106" s="1"/>
  <c r="S139" i="106"/>
  <c r="W139" i="106" s="1"/>
  <c r="T139" i="106"/>
  <c r="Y139" i="106" s="1"/>
  <c r="S76" i="106"/>
  <c r="T76" i="106"/>
  <c r="U76" i="106"/>
  <c r="T81" i="106"/>
  <c r="S81" i="106"/>
  <c r="W81" i="106" s="1"/>
  <c r="U81" i="106"/>
  <c r="V87" i="106"/>
  <c r="S87" i="106"/>
  <c r="W87" i="106" s="1"/>
  <c r="U87" i="106"/>
  <c r="T87" i="106"/>
  <c r="Y87" i="106" s="1"/>
  <c r="T72" i="106"/>
  <c r="Y72" i="106" s="1"/>
  <c r="S72" i="106"/>
  <c r="W72" i="106" s="1"/>
  <c r="U72" i="106"/>
  <c r="V72" i="106"/>
  <c r="T171" i="106"/>
  <c r="S171" i="106"/>
  <c r="U171" i="106"/>
  <c r="T290" i="108"/>
  <c r="S290" i="108"/>
  <c r="W290" i="108" s="1"/>
  <c r="U290" i="108"/>
  <c r="T79" i="106"/>
  <c r="S79" i="106"/>
  <c r="W79" i="106" s="1"/>
  <c r="U79" i="106"/>
  <c r="S28" i="106"/>
  <c r="W28" i="106" s="1"/>
  <c r="T28" i="106"/>
  <c r="U28" i="106"/>
  <c r="T182" i="106"/>
  <c r="Y182" i="106" s="1"/>
  <c r="S182" i="106"/>
  <c r="W182" i="106" s="1"/>
  <c r="U182" i="106"/>
  <c r="V182" i="106"/>
  <c r="Y272" i="105"/>
  <c r="S147" i="106"/>
  <c r="W147" i="106" s="1"/>
  <c r="T147" i="106"/>
  <c r="U147" i="106"/>
  <c r="S149" i="106"/>
  <c r="W149" i="106" s="1"/>
  <c r="T149" i="106"/>
  <c r="U149" i="106"/>
  <c r="S15" i="106"/>
  <c r="W15" i="106" s="1"/>
  <c r="T15" i="106"/>
  <c r="Y15" i="106" s="1"/>
  <c r="U15" i="106"/>
  <c r="X15" i="106" s="1"/>
  <c r="Y231" i="107"/>
  <c r="Y317" i="105"/>
  <c r="T230" i="106"/>
  <c r="U230" i="106"/>
  <c r="S230" i="106"/>
  <c r="W230" i="106" s="1"/>
  <c r="T278" i="106"/>
  <c r="S278" i="106"/>
  <c r="U278" i="106"/>
  <c r="T101" i="106"/>
  <c r="Y101" i="106" s="1"/>
  <c r="S101" i="106"/>
  <c r="W101" i="106" s="1"/>
  <c r="U101" i="106"/>
  <c r="X101" i="106" s="1"/>
  <c r="W205" i="105"/>
  <c r="Y135" i="105"/>
  <c r="T85" i="106"/>
  <c r="S85" i="106"/>
  <c r="U85" i="106"/>
  <c r="T305" i="108"/>
  <c r="Y305" i="108" s="1"/>
  <c r="S305" i="108"/>
  <c r="W305" i="108" s="1"/>
  <c r="U305" i="108"/>
  <c r="V305" i="108"/>
  <c r="S207" i="108"/>
  <c r="W207" i="108" s="1"/>
  <c r="T207" i="108"/>
  <c r="U207" i="108"/>
  <c r="U269" i="108"/>
  <c r="T269" i="108"/>
  <c r="S269" i="108"/>
  <c r="W269" i="108" s="1"/>
  <c r="U217" i="108"/>
  <c r="T217" i="108"/>
  <c r="Y217" i="108" s="1"/>
  <c r="S217" i="108"/>
  <c r="W217" i="108" s="1"/>
  <c r="V217" i="108"/>
  <c r="U59" i="108"/>
  <c r="S59" i="108"/>
  <c r="T59" i="108"/>
  <c r="S47" i="108"/>
  <c r="W47" i="108" s="1"/>
  <c r="T47" i="108"/>
  <c r="Y47" i="108" s="1"/>
  <c r="U47" i="108"/>
  <c r="V47" i="108"/>
  <c r="S344" i="106"/>
  <c r="T344" i="106"/>
  <c r="Y344" i="106" s="1"/>
  <c r="U344" i="106"/>
  <c r="S345" i="106"/>
  <c r="W345" i="106" s="1"/>
  <c r="T345" i="106"/>
  <c r="U345" i="106"/>
  <c r="S205" i="106"/>
  <c r="U205" i="106"/>
  <c r="T205" i="106"/>
  <c r="Y205" i="106" s="1"/>
  <c r="S117" i="106"/>
  <c r="W117" i="106" s="1"/>
  <c r="T117" i="106"/>
  <c r="U117" i="106"/>
  <c r="S319" i="106"/>
  <c r="W319" i="106" s="1"/>
  <c r="T319" i="106"/>
  <c r="U319" i="106"/>
  <c r="S329" i="106"/>
  <c r="W329" i="106" s="1"/>
  <c r="T329" i="106"/>
  <c r="U329" i="106"/>
  <c r="Y196" i="105"/>
  <c r="W175" i="105"/>
  <c r="Y306" i="107"/>
  <c r="Y117" i="105"/>
  <c r="Y228" i="105"/>
  <c r="Y124" i="105"/>
  <c r="Y162" i="105"/>
  <c r="Y325" i="105"/>
  <c r="Y287" i="107"/>
  <c r="Y81" i="105"/>
  <c r="Y203" i="105"/>
  <c r="Y288" i="107"/>
  <c r="Y271" i="107"/>
  <c r="Y30" i="105"/>
  <c r="T200" i="106"/>
  <c r="S200" i="106"/>
  <c r="U200" i="106"/>
  <c r="Y326" i="107"/>
  <c r="S298" i="106"/>
  <c r="W298" i="106" s="1"/>
  <c r="T298" i="106"/>
  <c r="U298" i="106"/>
  <c r="T150" i="106"/>
  <c r="Y150" i="106" s="1"/>
  <c r="S150" i="106"/>
  <c r="W150" i="106" s="1"/>
  <c r="U150" i="106"/>
  <c r="X150" i="106" s="1"/>
  <c r="S154" i="106"/>
  <c r="T154" i="106"/>
  <c r="Y154" i="106" s="1"/>
  <c r="U154" i="106"/>
  <c r="T180" i="106"/>
  <c r="U180" i="106"/>
  <c r="S180" i="106"/>
  <c r="T133" i="106"/>
  <c r="S133" i="106"/>
  <c r="W133" i="106" s="1"/>
  <c r="U133" i="106"/>
  <c r="U239" i="106"/>
  <c r="X239" i="106" s="1"/>
  <c r="S239" i="106"/>
  <c r="W239" i="106" s="1"/>
  <c r="T239" i="106"/>
  <c r="Y239" i="106" s="1"/>
  <c r="S263" i="106"/>
  <c r="U263" i="106"/>
  <c r="T263" i="106"/>
  <c r="T339" i="108"/>
  <c r="S339" i="108"/>
  <c r="W339" i="108" s="1"/>
  <c r="U339" i="108"/>
  <c r="U221" i="108"/>
  <c r="X221" i="108" s="1"/>
  <c r="S221" i="108"/>
  <c r="W221" i="108" s="1"/>
  <c r="T221" i="108"/>
  <c r="Y221" i="108" s="1"/>
  <c r="T286" i="106"/>
  <c r="S286" i="106"/>
  <c r="W286" i="106" s="1"/>
  <c r="U286" i="106"/>
  <c r="T102" i="106"/>
  <c r="Y102" i="106" s="1"/>
  <c r="S102" i="106"/>
  <c r="W102" i="106" s="1"/>
  <c r="U102" i="106"/>
  <c r="X102" i="106" s="1"/>
  <c r="Y143" i="105"/>
  <c r="U340" i="106"/>
  <c r="T340" i="106"/>
  <c r="S340" i="106"/>
  <c r="W340" i="106" s="1"/>
  <c r="T277" i="106"/>
  <c r="S277" i="106"/>
  <c r="W277" i="106" s="1"/>
  <c r="U277" i="106"/>
  <c r="T315" i="106"/>
  <c r="S315" i="106"/>
  <c r="W315" i="106" s="1"/>
  <c r="U315" i="106"/>
  <c r="T192" i="106"/>
  <c r="S192" i="106"/>
  <c r="W192" i="106" s="1"/>
  <c r="U192" i="106"/>
  <c r="T196" i="106"/>
  <c r="S196" i="106"/>
  <c r="W196" i="106" s="1"/>
  <c r="U196" i="106"/>
  <c r="S61" i="106"/>
  <c r="W61" i="106" s="1"/>
  <c r="T61" i="106"/>
  <c r="U61" i="106"/>
  <c r="S203" i="106"/>
  <c r="W203" i="106" s="1"/>
  <c r="T203" i="106"/>
  <c r="U203" i="106"/>
  <c r="S118" i="106"/>
  <c r="W118" i="106" s="1"/>
  <c r="T118" i="106"/>
  <c r="U118" i="106"/>
  <c r="S138" i="106"/>
  <c r="T138" i="106"/>
  <c r="Y138" i="106" s="1"/>
  <c r="U138" i="106"/>
  <c r="U306" i="108"/>
  <c r="T306" i="108"/>
  <c r="S306" i="108"/>
  <c r="W306" i="108" s="1"/>
  <c r="U335" i="108"/>
  <c r="S335" i="108"/>
  <c r="W335" i="108" s="1"/>
  <c r="T335" i="108"/>
  <c r="T270" i="108"/>
  <c r="S270" i="108"/>
  <c r="W270" i="108" s="1"/>
  <c r="U270" i="108"/>
  <c r="T233" i="108"/>
  <c r="Y233" i="108" s="1"/>
  <c r="S233" i="108"/>
  <c r="U233" i="108"/>
  <c r="S324" i="108"/>
  <c r="W324" i="108" s="1"/>
  <c r="T324" i="108"/>
  <c r="U324" i="108"/>
  <c r="T240" i="108"/>
  <c r="Y240" i="108" s="1"/>
  <c r="S240" i="108"/>
  <c r="W240" i="108" s="1"/>
  <c r="U240" i="108"/>
  <c r="X240" i="108" s="1"/>
  <c r="S248" i="108"/>
  <c r="W248" i="108" s="1"/>
  <c r="T248" i="108"/>
  <c r="Y248" i="108" s="1"/>
  <c r="U248" i="108"/>
  <c r="X248" i="108" s="1"/>
  <c r="U46" i="108"/>
  <c r="T46" i="108"/>
  <c r="S46" i="108"/>
  <c r="W46" i="108" s="1"/>
  <c r="S55" i="108"/>
  <c r="W55" i="108" s="1"/>
  <c r="T55" i="108"/>
  <c r="U55" i="108"/>
  <c r="T320" i="106"/>
  <c r="S320" i="106"/>
  <c r="W320" i="106" s="1"/>
  <c r="U320" i="106"/>
  <c r="T109" i="106"/>
  <c r="S109" i="106"/>
  <c r="U109" i="106"/>
  <c r="Y335" i="107"/>
  <c r="Y290" i="107"/>
  <c r="Y235" i="107"/>
  <c r="Y343" i="105"/>
  <c r="S86" i="106"/>
  <c r="W86" i="106" s="1"/>
  <c r="T86" i="106"/>
  <c r="Y86" i="106" s="1"/>
  <c r="U86" i="106"/>
  <c r="V86" i="106"/>
  <c r="T156" i="106"/>
  <c r="Y156" i="106" s="1"/>
  <c r="S156" i="106"/>
  <c r="W156" i="106" s="1"/>
  <c r="U156" i="106"/>
  <c r="X156" i="106" s="1"/>
  <c r="S77" i="106"/>
  <c r="T77" i="106"/>
  <c r="U77" i="106"/>
  <c r="T281" i="106"/>
  <c r="Y281" i="106" s="1"/>
  <c r="S281" i="106"/>
  <c r="W281" i="106" s="1"/>
  <c r="U281" i="106"/>
  <c r="X281" i="106" s="1"/>
  <c r="S104" i="106"/>
  <c r="W104" i="106" s="1"/>
  <c r="T104" i="106"/>
  <c r="U104" i="106"/>
  <c r="S14" i="106"/>
  <c r="W14" i="106" s="1"/>
  <c r="T14" i="106"/>
  <c r="Y14" i="106" s="1"/>
  <c r="U14" i="106"/>
  <c r="X14" i="106" s="1"/>
  <c r="T73" i="106"/>
  <c r="S73" i="106"/>
  <c r="U73" i="106"/>
  <c r="T341" i="106"/>
  <c r="U341" i="106"/>
  <c r="S341" i="106"/>
  <c r="W341" i="106" s="1"/>
  <c r="S10" i="106"/>
  <c r="T10" i="106"/>
  <c r="U10" i="106"/>
  <c r="U64" i="106"/>
  <c r="S64" i="106"/>
  <c r="T64" i="106"/>
  <c r="S197" i="106"/>
  <c r="W197" i="106" s="1"/>
  <c r="T197" i="106"/>
  <c r="U197" i="106"/>
  <c r="T323" i="108"/>
  <c r="S323" i="108"/>
  <c r="W323" i="108" s="1"/>
  <c r="U323" i="108"/>
  <c r="T54" i="108"/>
  <c r="S54" i="108"/>
  <c r="U54" i="108"/>
  <c r="S326" i="108"/>
  <c r="W326" i="108" s="1"/>
  <c r="T326" i="108"/>
  <c r="U326" i="108"/>
  <c r="U301" i="108"/>
  <c r="S301" i="108"/>
  <c r="W301" i="108" s="1"/>
  <c r="T301" i="108"/>
  <c r="S318" i="108"/>
  <c r="W318" i="108" s="1"/>
  <c r="T318" i="108"/>
  <c r="U318" i="108"/>
  <c r="T223" i="108"/>
  <c r="S223" i="108"/>
  <c r="W223" i="108" s="1"/>
  <c r="U223" i="108"/>
  <c r="S245" i="108"/>
  <c r="W245" i="108" s="1"/>
  <c r="T245" i="108"/>
  <c r="Y245" i="108" s="1"/>
  <c r="U245" i="108"/>
  <c r="V245" i="108"/>
  <c r="U219" i="108"/>
  <c r="S219" i="108"/>
  <c r="T219" i="108"/>
  <c r="Y219" i="108" s="1"/>
  <c r="U257" i="106"/>
  <c r="S257" i="106"/>
  <c r="W257" i="106" s="1"/>
  <c r="T257" i="106"/>
  <c r="T107" i="106"/>
  <c r="S107" i="106"/>
  <c r="U107" i="106"/>
  <c r="S183" i="106"/>
  <c r="W183" i="106" s="1"/>
  <c r="T183" i="106"/>
  <c r="Y183" i="106" s="1"/>
  <c r="U183" i="106"/>
  <c r="V183" i="106"/>
  <c r="T142" i="106"/>
  <c r="Y142" i="106" s="1"/>
  <c r="S142" i="106"/>
  <c r="W142" i="106" s="1"/>
  <c r="U142" i="106"/>
  <c r="S322" i="106"/>
  <c r="W322" i="106" s="1"/>
  <c r="T322" i="106"/>
  <c r="U322" i="106"/>
  <c r="U88" i="106"/>
  <c r="T88" i="106"/>
  <c r="Y88" i="106" s="1"/>
  <c r="S88" i="106"/>
  <c r="S70" i="106"/>
  <c r="T70" i="106"/>
  <c r="U70" i="106"/>
  <c r="U244" i="108"/>
  <c r="T244" i="108"/>
  <c r="S244" i="108"/>
  <c r="T169" i="108"/>
  <c r="S169" i="108"/>
  <c r="U169" i="108"/>
  <c r="U174" i="106"/>
  <c r="X174" i="106" s="1"/>
  <c r="T174" i="106"/>
  <c r="Y174" i="106" s="1"/>
  <c r="S174" i="106"/>
  <c r="W174" i="106" s="1"/>
  <c r="Y336" i="107"/>
  <c r="M14" i="108"/>
  <c r="M65" i="108"/>
  <c r="M68" i="108"/>
  <c r="M6" i="108"/>
  <c r="M15" i="108"/>
  <c r="M19" i="108"/>
  <c r="M31" i="108"/>
  <c r="M62" i="108"/>
  <c r="M66" i="108"/>
  <c r="M7" i="108"/>
  <c r="M11" i="108"/>
  <c r="M13" i="108"/>
  <c r="M20" i="108"/>
  <c r="M24" i="108"/>
  <c r="M33" i="108"/>
  <c r="M60" i="108"/>
  <c r="M73" i="108"/>
  <c r="M5" i="108"/>
  <c r="M17" i="108"/>
  <c r="M43" i="108"/>
  <c r="M44" i="108"/>
  <c r="M81" i="108"/>
  <c r="M86" i="108"/>
  <c r="M96" i="108"/>
  <c r="M108" i="108"/>
  <c r="M112" i="108"/>
  <c r="M16" i="108"/>
  <c r="M34" i="108"/>
  <c r="M72" i="108"/>
  <c r="M92" i="108"/>
  <c r="M101" i="108"/>
  <c r="M18" i="108"/>
  <c r="M23" i="108"/>
  <c r="M67" i="108"/>
  <c r="M69" i="108"/>
  <c r="M70" i="108"/>
  <c r="M71" i="108"/>
  <c r="M80" i="108"/>
  <c r="M83" i="108"/>
  <c r="M89" i="108"/>
  <c r="M95" i="108"/>
  <c r="M102" i="108"/>
  <c r="M107" i="108"/>
  <c r="M8" i="108"/>
  <c r="M10" i="108"/>
  <c r="M26" i="108"/>
  <c r="M109" i="108"/>
  <c r="M110" i="108"/>
  <c r="M111" i="108"/>
  <c r="M134" i="108"/>
  <c r="M140" i="108"/>
  <c r="M63" i="108"/>
  <c r="M88" i="108"/>
  <c r="M94" i="108"/>
  <c r="M103" i="108"/>
  <c r="M104" i="108"/>
  <c r="M105" i="108"/>
  <c r="M106" i="108"/>
  <c r="M116" i="108"/>
  <c r="M117" i="108"/>
  <c r="M122" i="108"/>
  <c r="M139" i="108"/>
  <c r="M141" i="108"/>
  <c r="M145" i="108"/>
  <c r="M12" i="108"/>
  <c r="M32" i="108"/>
  <c r="M75" i="108"/>
  <c r="M78" i="108"/>
  <c r="M79" i="108"/>
  <c r="M87" i="108"/>
  <c r="M93" i="108"/>
  <c r="M99" i="108"/>
  <c r="M100" i="108"/>
  <c r="M129" i="108"/>
  <c r="M130" i="108"/>
  <c r="M146" i="108"/>
  <c r="M149" i="108"/>
  <c r="M152" i="108"/>
  <c r="M40" i="108"/>
  <c r="M82" i="108"/>
  <c r="M91" i="108"/>
  <c r="M97" i="108"/>
  <c r="M128" i="108"/>
  <c r="M147" i="108"/>
  <c r="M155" i="108"/>
  <c r="M159" i="108"/>
  <c r="M165" i="108"/>
  <c r="M177" i="108"/>
  <c r="M194" i="108"/>
  <c r="M206" i="108"/>
  <c r="M74" i="108"/>
  <c r="M76" i="108"/>
  <c r="M124" i="108"/>
  <c r="M127" i="108"/>
  <c r="M136" i="108"/>
  <c r="M150" i="108"/>
  <c r="M156" i="108"/>
  <c r="M171" i="108"/>
  <c r="M180" i="108"/>
  <c r="M187" i="108"/>
  <c r="M196" i="108"/>
  <c r="M204" i="108"/>
  <c r="M229" i="108"/>
  <c r="M77" i="108"/>
  <c r="M84" i="108"/>
  <c r="M133" i="108"/>
  <c r="M160" i="108"/>
  <c r="M167" i="108"/>
  <c r="M202" i="108"/>
  <c r="M230" i="108"/>
  <c r="M237" i="108"/>
  <c r="M239" i="108"/>
  <c r="M61" i="108"/>
  <c r="M119" i="108"/>
  <c r="M164" i="108"/>
  <c r="M175" i="108"/>
  <c r="M182" i="108"/>
  <c r="M188" i="108"/>
  <c r="M195" i="108"/>
  <c r="M257" i="108"/>
  <c r="M264" i="108"/>
  <c r="M283" i="108"/>
  <c r="M291" i="108"/>
  <c r="M9" i="108"/>
  <c r="M113" i="108"/>
  <c r="M118" i="108"/>
  <c r="M121" i="108"/>
  <c r="M138" i="108"/>
  <c r="M148" i="108"/>
  <c r="M162" i="108"/>
  <c r="M168" i="108"/>
  <c r="M174" i="108"/>
  <c r="M250" i="108"/>
  <c r="M258" i="108"/>
  <c r="M272" i="108"/>
  <c r="M286" i="108"/>
  <c r="M153" i="108"/>
  <c r="M172" i="108"/>
  <c r="M184" i="108"/>
  <c r="M191" i="108"/>
  <c r="M201" i="108"/>
  <c r="M260" i="108"/>
  <c r="M266" i="108"/>
  <c r="M273" i="108"/>
  <c r="M299" i="108"/>
  <c r="M132" i="108"/>
  <c r="M242" i="108"/>
  <c r="M268" i="108"/>
  <c r="M279" i="108"/>
  <c r="M303" i="108"/>
  <c r="M309" i="108"/>
  <c r="M321" i="108"/>
  <c r="M345" i="108"/>
  <c r="M25" i="108"/>
  <c r="M126" i="108"/>
  <c r="M157" i="108"/>
  <c r="M197" i="108"/>
  <c r="M252" i="108"/>
  <c r="M255" i="108"/>
  <c r="M295" i="108"/>
  <c r="M307" i="108"/>
  <c r="M314" i="108"/>
  <c r="M322" i="108"/>
  <c r="M342" i="108"/>
  <c r="M346" i="108"/>
  <c r="M6" i="107"/>
  <c r="O6" i="107" s="1"/>
  <c r="M12" i="107"/>
  <c r="O12" i="107" s="1"/>
  <c r="M15" i="107"/>
  <c r="O15" i="107" s="1"/>
  <c r="M23" i="107"/>
  <c r="O23" i="107" s="1"/>
  <c r="M26" i="107"/>
  <c r="O26" i="107" s="1"/>
  <c r="M32" i="107"/>
  <c r="O32" i="107" s="1"/>
  <c r="M65" i="107"/>
  <c r="O65" i="107" s="1"/>
  <c r="M69" i="107"/>
  <c r="O69" i="107" s="1"/>
  <c r="M77" i="107"/>
  <c r="O77" i="107" s="1"/>
  <c r="M81" i="107"/>
  <c r="O81" i="107" s="1"/>
  <c r="M93" i="107"/>
  <c r="O93" i="107" s="1"/>
  <c r="M96" i="107"/>
  <c r="O96" i="107" s="1"/>
  <c r="M102" i="107"/>
  <c r="O102" i="107" s="1"/>
  <c r="M105" i="107"/>
  <c r="O105" i="107" s="1"/>
  <c r="M121" i="107"/>
  <c r="O121" i="107" s="1"/>
  <c r="M115" i="108"/>
  <c r="M125" i="108"/>
  <c r="M225" i="108"/>
  <c r="M261" i="108"/>
  <c r="M263" i="108"/>
  <c r="M308" i="108"/>
  <c r="M311" i="108"/>
  <c r="M315" i="108"/>
  <c r="M325" i="108"/>
  <c r="M328" i="108"/>
  <c r="M349" i="108"/>
  <c r="M7" i="107"/>
  <c r="O7" i="107" s="1"/>
  <c r="M13" i="107"/>
  <c r="O13" i="107" s="1"/>
  <c r="M17" i="107"/>
  <c r="O17" i="107" s="1"/>
  <c r="M20" i="107"/>
  <c r="O20" i="107" s="1"/>
  <c r="M27" i="107"/>
  <c r="O27" i="107" s="1"/>
  <c r="M82" i="107"/>
  <c r="O82" i="107" s="1"/>
  <c r="M91" i="107"/>
  <c r="O91" i="107" s="1"/>
  <c r="M97" i="107"/>
  <c r="O97" i="107" s="1"/>
  <c r="M106" i="107"/>
  <c r="O106" i="107" s="1"/>
  <c r="M118" i="107"/>
  <c r="O118" i="107" s="1"/>
  <c r="M122" i="107"/>
  <c r="O122" i="107" s="1"/>
  <c r="M126" i="107"/>
  <c r="O126" i="107" s="1"/>
  <c r="M85" i="108"/>
  <c r="M123" i="108"/>
  <c r="M193" i="108"/>
  <c r="M241" i="108"/>
  <c r="M256" i="108"/>
  <c r="M259" i="108"/>
  <c r="M265" i="108"/>
  <c r="M313" i="108"/>
  <c r="M44" i="107"/>
  <c r="O44" i="107" s="1"/>
  <c r="M68" i="107"/>
  <c r="O68" i="107" s="1"/>
  <c r="M70" i="107"/>
  <c r="O70" i="107" s="1"/>
  <c r="M71" i="107"/>
  <c r="O71" i="107" s="1"/>
  <c r="M73" i="107"/>
  <c r="O73" i="107" s="1"/>
  <c r="M113" i="107"/>
  <c r="O113" i="107" s="1"/>
  <c r="M131" i="107"/>
  <c r="O131" i="107" s="1"/>
  <c r="M139" i="107"/>
  <c r="O139" i="107" s="1"/>
  <c r="M114" i="108"/>
  <c r="M143" i="108"/>
  <c r="M154" i="108"/>
  <c r="M166" i="108"/>
  <c r="M203" i="108"/>
  <c r="M282" i="108"/>
  <c r="M285" i="108"/>
  <c r="M347" i="108"/>
  <c r="M348" i="108"/>
  <c r="M9" i="107"/>
  <c r="O9" i="107" s="1"/>
  <c r="M11" i="107"/>
  <c r="O11" i="107" s="1"/>
  <c r="M16" i="107"/>
  <c r="O16" i="107" s="1"/>
  <c r="M24" i="107"/>
  <c r="O24" i="107" s="1"/>
  <c r="M60" i="107"/>
  <c r="O60" i="107" s="1"/>
  <c r="M78" i="107"/>
  <c r="O78" i="107" s="1"/>
  <c r="M92" i="107"/>
  <c r="O92" i="107" s="1"/>
  <c r="M94" i="107"/>
  <c r="O94" i="107" s="1"/>
  <c r="M95" i="107"/>
  <c r="O95" i="107" s="1"/>
  <c r="M117" i="107"/>
  <c r="O117" i="107" s="1"/>
  <c r="M119" i="107"/>
  <c r="O119" i="107" s="1"/>
  <c r="M123" i="107"/>
  <c r="O123" i="107" s="1"/>
  <c r="M124" i="107"/>
  <c r="O124" i="107" s="1"/>
  <c r="M125" i="107"/>
  <c r="O125" i="107" s="1"/>
  <c r="M127" i="107"/>
  <c r="O127" i="107" s="1"/>
  <c r="M132" i="107"/>
  <c r="O132" i="107" s="1"/>
  <c r="M134" i="107"/>
  <c r="O134" i="107" s="1"/>
  <c r="M140" i="107"/>
  <c r="O140" i="107" s="1"/>
  <c r="M142" i="107"/>
  <c r="O142" i="107" s="1"/>
  <c r="M145" i="107"/>
  <c r="O145" i="107" s="1"/>
  <c r="M149" i="107"/>
  <c r="O149" i="107" s="1"/>
  <c r="M158" i="107"/>
  <c r="O158" i="107" s="1"/>
  <c r="M161" i="107"/>
  <c r="O161" i="107" s="1"/>
  <c r="M172" i="107"/>
  <c r="O172" i="107" s="1"/>
  <c r="M90" i="108"/>
  <c r="M120" i="108"/>
  <c r="M192" i="108"/>
  <c r="M316" i="108"/>
  <c r="M332" i="108"/>
  <c r="M43" i="107"/>
  <c r="O43" i="107" s="1"/>
  <c r="M66" i="107"/>
  <c r="O66" i="107" s="1"/>
  <c r="M85" i="107"/>
  <c r="O85" i="107" s="1"/>
  <c r="M86" i="107"/>
  <c r="O86" i="107" s="1"/>
  <c r="M100" i="107"/>
  <c r="O100" i="107" s="1"/>
  <c r="M107" i="107"/>
  <c r="O107" i="107" s="1"/>
  <c r="M109" i="107"/>
  <c r="O109" i="107" s="1"/>
  <c r="M112" i="107"/>
  <c r="O112" i="107" s="1"/>
  <c r="M129" i="107"/>
  <c r="O129" i="107" s="1"/>
  <c r="M133" i="107"/>
  <c r="O133" i="107" s="1"/>
  <c r="M138" i="107"/>
  <c r="O138" i="107" s="1"/>
  <c r="M147" i="107"/>
  <c r="O147" i="107" s="1"/>
  <c r="M150" i="107"/>
  <c r="O150" i="107" s="1"/>
  <c r="M156" i="107"/>
  <c r="O156" i="107" s="1"/>
  <c r="M165" i="107"/>
  <c r="O165" i="107" s="1"/>
  <c r="M173" i="107"/>
  <c r="O173" i="107" s="1"/>
  <c r="M194" i="107"/>
  <c r="O194" i="107" s="1"/>
  <c r="M202" i="107"/>
  <c r="O202" i="107" s="1"/>
  <c r="M205" i="107"/>
  <c r="O205" i="107" s="1"/>
  <c r="M27" i="108"/>
  <c r="M161" i="108"/>
  <c r="M198" i="108"/>
  <c r="M254" i="108"/>
  <c r="M310" i="108"/>
  <c r="M312" i="108"/>
  <c r="M5" i="107"/>
  <c r="O5" i="107" s="1"/>
  <c r="M25" i="107"/>
  <c r="O25" i="107" s="1"/>
  <c r="M67" i="107"/>
  <c r="O67" i="107" s="1"/>
  <c r="M80" i="107"/>
  <c r="O80" i="107" s="1"/>
  <c r="M135" i="108"/>
  <c r="M205" i="108"/>
  <c r="M226" i="108"/>
  <c r="M251" i="108"/>
  <c r="M253" i="108"/>
  <c r="M280" i="108"/>
  <c r="M300" i="108"/>
  <c r="M320" i="108"/>
  <c r="M340" i="108"/>
  <c r="M19" i="107"/>
  <c r="O19" i="107" s="1"/>
  <c r="M83" i="107"/>
  <c r="O83" i="107" s="1"/>
  <c r="M90" i="107"/>
  <c r="O90" i="107" s="1"/>
  <c r="M99" i="107"/>
  <c r="O99" i="107" s="1"/>
  <c r="M103" i="107"/>
  <c r="O103" i="107" s="1"/>
  <c r="M111" i="107"/>
  <c r="O111" i="107" s="1"/>
  <c r="M116" i="107"/>
  <c r="O116" i="107" s="1"/>
  <c r="M120" i="107"/>
  <c r="O120" i="107" s="1"/>
  <c r="M137" i="107"/>
  <c r="O137" i="107" s="1"/>
  <c r="M148" i="107"/>
  <c r="O148" i="107" s="1"/>
  <c r="M173" i="108"/>
  <c r="M183" i="108"/>
  <c r="M329" i="108"/>
  <c r="M10" i="107"/>
  <c r="O10" i="107" s="1"/>
  <c r="M14" i="107"/>
  <c r="O14" i="107" s="1"/>
  <c r="M64" i="107"/>
  <c r="O64" i="107" s="1"/>
  <c r="M89" i="107"/>
  <c r="O89" i="107" s="1"/>
  <c r="M98" i="107"/>
  <c r="O98" i="107" s="1"/>
  <c r="M115" i="107"/>
  <c r="O115" i="107" s="1"/>
  <c r="M135" i="107"/>
  <c r="O135" i="107" s="1"/>
  <c r="M136" i="107"/>
  <c r="O136" i="107" s="1"/>
  <c r="M98" i="108"/>
  <c r="M176" i="108"/>
  <c r="M298" i="108"/>
  <c r="M343" i="108"/>
  <c r="M31" i="107"/>
  <c r="O31" i="107" s="1"/>
  <c r="M34" i="107"/>
  <c r="O34" i="107" s="1"/>
  <c r="M61" i="107"/>
  <c r="O61" i="107" s="1"/>
  <c r="M164" i="107"/>
  <c r="O164" i="107" s="1"/>
  <c r="M174" i="107"/>
  <c r="O174" i="107" s="1"/>
  <c r="M175" i="107"/>
  <c r="O175" i="107" s="1"/>
  <c r="M176" i="107"/>
  <c r="O176" i="107" s="1"/>
  <c r="M180" i="107"/>
  <c r="O180" i="107" s="1"/>
  <c r="M187" i="107"/>
  <c r="O187" i="107" s="1"/>
  <c r="M191" i="107"/>
  <c r="O191" i="107" s="1"/>
  <c r="M192" i="107"/>
  <c r="O192" i="107" s="1"/>
  <c r="M237" i="107"/>
  <c r="O237" i="107" s="1"/>
  <c r="M241" i="107"/>
  <c r="O241" i="107" s="1"/>
  <c r="M252" i="107"/>
  <c r="O252" i="107" s="1"/>
  <c r="M262" i="107"/>
  <c r="O262" i="107" s="1"/>
  <c r="M265" i="107"/>
  <c r="O265" i="107" s="1"/>
  <c r="M279" i="107"/>
  <c r="O279" i="107" s="1"/>
  <c r="M282" i="107"/>
  <c r="O282" i="107" s="1"/>
  <c r="M291" i="107"/>
  <c r="O291" i="107" s="1"/>
  <c r="M297" i="107"/>
  <c r="O297" i="107" s="1"/>
  <c r="M300" i="107"/>
  <c r="O300" i="107" s="1"/>
  <c r="M310" i="107"/>
  <c r="O310" i="107" s="1"/>
  <c r="M319" i="107"/>
  <c r="O319" i="107" s="1"/>
  <c r="M7" i="106"/>
  <c r="M9" i="106"/>
  <c r="M12" i="106"/>
  <c r="M16" i="106"/>
  <c r="M330" i="108"/>
  <c r="M341" i="108"/>
  <c r="M84" i="107"/>
  <c r="O84" i="107" s="1"/>
  <c r="M108" i="107"/>
  <c r="O108" i="107" s="1"/>
  <c r="M110" i="107"/>
  <c r="O110" i="107" s="1"/>
  <c r="M155" i="107"/>
  <c r="O155" i="107" s="1"/>
  <c r="M168" i="107"/>
  <c r="O168" i="107" s="1"/>
  <c r="M181" i="107"/>
  <c r="O181" i="107" s="1"/>
  <c r="M188" i="107"/>
  <c r="O188" i="107" s="1"/>
  <c r="M193" i="107"/>
  <c r="O193" i="107" s="1"/>
  <c r="M195" i="107"/>
  <c r="O195" i="107" s="1"/>
  <c r="M201" i="107"/>
  <c r="O201" i="107" s="1"/>
  <c r="M225" i="107"/>
  <c r="O225" i="107" s="1"/>
  <c r="M242" i="107"/>
  <c r="O242" i="107" s="1"/>
  <c r="M253" i="107"/>
  <c r="O253" i="107" s="1"/>
  <c r="M257" i="107"/>
  <c r="O257" i="107" s="1"/>
  <c r="M260" i="107"/>
  <c r="O260" i="107" s="1"/>
  <c r="M266" i="107"/>
  <c r="O266" i="107" s="1"/>
  <c r="M285" i="107"/>
  <c r="O285" i="107" s="1"/>
  <c r="M295" i="107"/>
  <c r="O295" i="107" s="1"/>
  <c r="M311" i="107"/>
  <c r="M313" i="107"/>
  <c r="O313" i="107" s="1"/>
  <c r="M316" i="107"/>
  <c r="O316" i="107" s="1"/>
  <c r="M349" i="107"/>
  <c r="O349" i="107" s="1"/>
  <c r="M10" i="106"/>
  <c r="M64" i="108"/>
  <c r="M181" i="108"/>
  <c r="M319" i="108"/>
  <c r="M344" i="108"/>
  <c r="M40" i="107"/>
  <c r="O40" i="107" s="1"/>
  <c r="M76" i="107"/>
  <c r="O76" i="107" s="1"/>
  <c r="M141" i="107"/>
  <c r="O141" i="107" s="1"/>
  <c r="M153" i="107"/>
  <c r="O153" i="107" s="1"/>
  <c r="M159" i="107"/>
  <c r="O159" i="107" s="1"/>
  <c r="M160" i="107"/>
  <c r="O160" i="107" s="1"/>
  <c r="M166" i="107"/>
  <c r="O166" i="107" s="1"/>
  <c r="M184" i="107"/>
  <c r="O184" i="107" s="1"/>
  <c r="M196" i="107"/>
  <c r="O196" i="107" s="1"/>
  <c r="M239" i="107"/>
  <c r="O239" i="107" s="1"/>
  <c r="M251" i="107"/>
  <c r="O251" i="107" s="1"/>
  <c r="M254" i="107"/>
  <c r="O254" i="107" s="1"/>
  <c r="M258" i="107"/>
  <c r="O258" i="107" s="1"/>
  <c r="M261" i="107"/>
  <c r="O261" i="107" s="1"/>
  <c r="M286" i="107"/>
  <c r="O286" i="107" s="1"/>
  <c r="M296" i="107"/>
  <c r="O296" i="107" s="1"/>
  <c r="M341" i="107"/>
  <c r="O341" i="107" s="1"/>
  <c r="M347" i="107"/>
  <c r="O347" i="107" s="1"/>
  <c r="M8" i="106"/>
  <c r="M14" i="106"/>
  <c r="M297" i="108"/>
  <c r="M331" i="108"/>
  <c r="M8" i="107"/>
  <c r="O8" i="107" s="1"/>
  <c r="M33" i="107"/>
  <c r="O33" i="107" s="1"/>
  <c r="M101" i="107"/>
  <c r="O101" i="107" s="1"/>
  <c r="M114" i="107"/>
  <c r="O114" i="107" s="1"/>
  <c r="M130" i="107"/>
  <c r="O130" i="107" s="1"/>
  <c r="M157" i="107"/>
  <c r="O157" i="107" s="1"/>
  <c r="M179" i="107"/>
  <c r="O179" i="107" s="1"/>
  <c r="M197" i="107"/>
  <c r="O197" i="107" s="1"/>
  <c r="M204" i="107"/>
  <c r="O204" i="107" s="1"/>
  <c r="M226" i="107"/>
  <c r="O226" i="107" s="1"/>
  <c r="M255" i="107"/>
  <c r="O255" i="107" s="1"/>
  <c r="M264" i="107"/>
  <c r="O264" i="107" s="1"/>
  <c r="M268" i="107"/>
  <c r="O268" i="107" s="1"/>
  <c r="M299" i="107"/>
  <c r="O299" i="107" s="1"/>
  <c r="M303" i="107"/>
  <c r="O303" i="107" s="1"/>
  <c r="M309" i="107"/>
  <c r="O309" i="107" s="1"/>
  <c r="M312" i="107"/>
  <c r="O312" i="107" s="1"/>
  <c r="M329" i="107"/>
  <c r="O329" i="107" s="1"/>
  <c r="M345" i="107"/>
  <c r="O345" i="107" s="1"/>
  <c r="M262" i="108"/>
  <c r="M281" i="108"/>
  <c r="M284" i="108"/>
  <c r="M62" i="107"/>
  <c r="O62" i="107" s="1"/>
  <c r="M198" i="107"/>
  <c r="O198" i="107" s="1"/>
  <c r="M142" i="108"/>
  <c r="M72" i="107"/>
  <c r="O72" i="107" s="1"/>
  <c r="M74" i="107"/>
  <c r="O74" i="107" s="1"/>
  <c r="M146" i="107"/>
  <c r="O146" i="107" s="1"/>
  <c r="M162" i="107"/>
  <c r="O162" i="107" s="1"/>
  <c r="M171" i="107"/>
  <c r="O171" i="107" s="1"/>
  <c r="M177" i="107"/>
  <c r="M190" i="107"/>
  <c r="O190" i="107" s="1"/>
  <c r="M256" i="107"/>
  <c r="O256" i="107" s="1"/>
  <c r="M158" i="108"/>
  <c r="M189" i="108"/>
  <c r="M63" i="107"/>
  <c r="O63" i="107" s="1"/>
  <c r="M154" i="107"/>
  <c r="O154" i="107" s="1"/>
  <c r="M167" i="107"/>
  <c r="O167" i="107" s="1"/>
  <c r="M131" i="108"/>
  <c r="M190" i="108"/>
  <c r="M128" i="107"/>
  <c r="O128" i="107" s="1"/>
  <c r="M152" i="107"/>
  <c r="O152" i="107" s="1"/>
  <c r="M203" i="107"/>
  <c r="O203" i="107" s="1"/>
  <c r="M137" i="108"/>
  <c r="M296" i="108"/>
  <c r="M18" i="107"/>
  <c r="O18" i="107" s="1"/>
  <c r="M88" i="107"/>
  <c r="O88" i="107" s="1"/>
  <c r="M272" i="107"/>
  <c r="O272" i="107" s="1"/>
  <c r="M321" i="107"/>
  <c r="O321" i="107" s="1"/>
  <c r="M325" i="107"/>
  <c r="O325" i="107" s="1"/>
  <c r="M346" i="107"/>
  <c r="O346" i="107" s="1"/>
  <c r="M31" i="106"/>
  <c r="M34" i="106"/>
  <c r="M65" i="106"/>
  <c r="M85" i="106"/>
  <c r="M110" i="106"/>
  <c r="M143" i="106"/>
  <c r="M146" i="106"/>
  <c r="M154" i="106"/>
  <c r="M193" i="106"/>
  <c r="M228" i="106"/>
  <c r="M262" i="106"/>
  <c r="M264" i="106"/>
  <c r="M280" i="106"/>
  <c r="M286" i="106"/>
  <c r="M300" i="106"/>
  <c r="M320" i="106"/>
  <c r="M349" i="106"/>
  <c r="M18" i="105"/>
  <c r="M33" i="105"/>
  <c r="M44" i="105"/>
  <c r="M61" i="105"/>
  <c r="M67" i="105"/>
  <c r="M69" i="105"/>
  <c r="M72" i="105"/>
  <c r="M78" i="105"/>
  <c r="M87" i="105"/>
  <c r="M182" i="107"/>
  <c r="O182" i="107" s="1"/>
  <c r="M284" i="107"/>
  <c r="O284" i="107" s="1"/>
  <c r="M315" i="107"/>
  <c r="O315" i="107" s="1"/>
  <c r="M320" i="107"/>
  <c r="O320" i="107" s="1"/>
  <c r="M44" i="106"/>
  <c r="M63" i="106"/>
  <c r="M82" i="106"/>
  <c r="M86" i="106"/>
  <c r="M91" i="106"/>
  <c r="M97" i="106"/>
  <c r="M113" i="106"/>
  <c r="M116" i="106"/>
  <c r="M118" i="106"/>
  <c r="M128" i="106"/>
  <c r="M132" i="106"/>
  <c r="M135" i="106"/>
  <c r="M141" i="106"/>
  <c r="M147" i="106"/>
  <c r="M150" i="106"/>
  <c r="M164" i="106"/>
  <c r="M175" i="106"/>
  <c r="M194" i="106"/>
  <c r="M205" i="106"/>
  <c r="M226" i="106"/>
  <c r="M256" i="106"/>
  <c r="M265" i="106"/>
  <c r="M298" i="106"/>
  <c r="M303" i="106"/>
  <c r="M312" i="106"/>
  <c r="M321" i="106"/>
  <c r="M341" i="106"/>
  <c r="M26" i="105"/>
  <c r="M34" i="105"/>
  <c r="M73" i="105"/>
  <c r="M82" i="105"/>
  <c r="M88" i="105"/>
  <c r="M97" i="105"/>
  <c r="M102" i="105"/>
  <c r="M105" i="105"/>
  <c r="M123" i="105"/>
  <c r="M128" i="105"/>
  <c r="M131" i="105"/>
  <c r="M136" i="105"/>
  <c r="M143" i="105"/>
  <c r="M146" i="105"/>
  <c r="M228" i="108"/>
  <c r="M87" i="107"/>
  <c r="O87" i="107" s="1"/>
  <c r="M230" i="107"/>
  <c r="O230" i="107" s="1"/>
  <c r="M280" i="107"/>
  <c r="O280" i="107" s="1"/>
  <c r="M314" i="107"/>
  <c r="O314" i="107" s="1"/>
  <c r="M342" i="107"/>
  <c r="O342" i="107" s="1"/>
  <c r="M17" i="106"/>
  <c r="M33" i="106"/>
  <c r="M70" i="106"/>
  <c r="M83" i="106"/>
  <c r="M102" i="106"/>
  <c r="M114" i="106"/>
  <c r="M119" i="106"/>
  <c r="M129" i="106"/>
  <c r="M133" i="106"/>
  <c r="M139" i="106"/>
  <c r="M142" i="106"/>
  <c r="M145" i="106"/>
  <c r="M153" i="106"/>
  <c r="M157" i="106"/>
  <c r="M161" i="106"/>
  <c r="M172" i="106"/>
  <c r="M182" i="106"/>
  <c r="M189" i="106"/>
  <c r="M192" i="106"/>
  <c r="M202" i="106"/>
  <c r="M242" i="106"/>
  <c r="M260" i="106"/>
  <c r="M273" i="106"/>
  <c r="M279" i="106"/>
  <c r="M296" i="106"/>
  <c r="M314" i="106"/>
  <c r="M331" i="106"/>
  <c r="M348" i="106"/>
  <c r="M16" i="105"/>
  <c r="M27" i="105"/>
  <c r="M31" i="105"/>
  <c r="M40" i="105"/>
  <c r="M66" i="105"/>
  <c r="M80" i="105"/>
  <c r="M83" i="105"/>
  <c r="M116" i="105"/>
  <c r="M118" i="105"/>
  <c r="M121" i="105"/>
  <c r="M124" i="105"/>
  <c r="M135" i="105"/>
  <c r="M137" i="105"/>
  <c r="M139" i="105"/>
  <c r="M317" i="108"/>
  <c r="M75" i="107"/>
  <c r="O75" i="107" s="1"/>
  <c r="M330" i="107"/>
  <c r="O330" i="107" s="1"/>
  <c r="M5" i="106"/>
  <c r="M23" i="106"/>
  <c r="M24" i="106"/>
  <c r="M43" i="106"/>
  <c r="M66" i="106"/>
  <c r="M77" i="106"/>
  <c r="M99" i="106"/>
  <c r="M120" i="106"/>
  <c r="M136" i="106"/>
  <c r="M155" i="106"/>
  <c r="M160" i="106"/>
  <c r="M195" i="106"/>
  <c r="M206" i="106"/>
  <c r="M229" i="106"/>
  <c r="M239" i="106"/>
  <c r="M252" i="106"/>
  <c r="M255" i="106"/>
  <c r="M266" i="106"/>
  <c r="M281" i="106"/>
  <c r="M282" i="106"/>
  <c r="M283" i="106"/>
  <c r="M295" i="106"/>
  <c r="M328" i="106"/>
  <c r="M329" i="106"/>
  <c r="M344" i="106"/>
  <c r="M345" i="106"/>
  <c r="M6" i="105"/>
  <c r="M15" i="105"/>
  <c r="M19" i="105"/>
  <c r="M74" i="105"/>
  <c r="M91" i="105"/>
  <c r="M103" i="105"/>
  <c r="M119" i="105"/>
  <c r="M122" i="105"/>
  <c r="M133" i="105"/>
  <c r="M134" i="105"/>
  <c r="M141" i="105"/>
  <c r="M142" i="105"/>
  <c r="M148" i="105"/>
  <c r="M161" i="105"/>
  <c r="M164" i="105"/>
  <c r="M190" i="105"/>
  <c r="M195" i="105"/>
  <c r="M201" i="105"/>
  <c r="M205" i="105"/>
  <c r="M226" i="105"/>
  <c r="M242" i="105"/>
  <c r="M253" i="105"/>
  <c r="M259" i="105"/>
  <c r="M265" i="105"/>
  <c r="M267" i="105"/>
  <c r="M284" i="105"/>
  <c r="M313" i="105"/>
  <c r="M316" i="105"/>
  <c r="M298" i="107"/>
  <c r="O298" i="107" s="1"/>
  <c r="M19" i="106"/>
  <c r="M25" i="106"/>
  <c r="M40" i="106"/>
  <c r="M61" i="106"/>
  <c r="M73" i="106"/>
  <c r="M74" i="106"/>
  <c r="M84" i="106"/>
  <c r="M96" i="106"/>
  <c r="M117" i="106"/>
  <c r="M127" i="106"/>
  <c r="M134" i="106"/>
  <c r="M159" i="106"/>
  <c r="M174" i="106"/>
  <c r="M179" i="106"/>
  <c r="M225" i="106"/>
  <c r="M10" i="105"/>
  <c r="M11" i="105"/>
  <c r="M12" i="105"/>
  <c r="M14" i="105"/>
  <c r="M68" i="105"/>
  <c r="M84" i="105"/>
  <c r="M85" i="105"/>
  <c r="M86" i="105"/>
  <c r="M93" i="105"/>
  <c r="M94" i="105"/>
  <c r="M104" i="105"/>
  <c r="M108" i="105"/>
  <c r="M125" i="105"/>
  <c r="M156" i="105"/>
  <c r="M159" i="105"/>
  <c r="M179" i="105"/>
  <c r="M193" i="105"/>
  <c r="M196" i="105"/>
  <c r="M255" i="105"/>
  <c r="M266" i="105"/>
  <c r="M273" i="105"/>
  <c r="M296" i="105"/>
  <c r="M314" i="105"/>
  <c r="M183" i="107"/>
  <c r="O183" i="107" s="1"/>
  <c r="M229" i="107"/>
  <c r="O229" i="107" s="1"/>
  <c r="M307" i="107"/>
  <c r="O307" i="107" s="1"/>
  <c r="M328" i="107"/>
  <c r="O328" i="107" s="1"/>
  <c r="M348" i="107"/>
  <c r="O348" i="107" s="1"/>
  <c r="M18" i="106"/>
  <c r="M79" i="106"/>
  <c r="M88" i="106"/>
  <c r="M131" i="106"/>
  <c r="M140" i="106"/>
  <c r="M162" i="106"/>
  <c r="M167" i="106"/>
  <c r="M183" i="106"/>
  <c r="M198" i="106"/>
  <c r="M263" i="106"/>
  <c r="M268" i="106"/>
  <c r="M291" i="106"/>
  <c r="M297" i="106"/>
  <c r="M311" i="106"/>
  <c r="M319" i="106"/>
  <c r="M23" i="105"/>
  <c r="M60" i="105"/>
  <c r="M63" i="105"/>
  <c r="M81" i="105"/>
  <c r="M98" i="105"/>
  <c r="M110" i="105"/>
  <c r="M111" i="105"/>
  <c r="M112" i="105"/>
  <c r="M173" i="105"/>
  <c r="M192" i="105"/>
  <c r="M203" i="105"/>
  <c r="M225" i="105"/>
  <c r="M252" i="105"/>
  <c r="M256" i="105"/>
  <c r="M260" i="105"/>
  <c r="M264" i="105"/>
  <c r="M268" i="105"/>
  <c r="M279" i="105"/>
  <c r="M300" i="105"/>
  <c r="M309" i="105"/>
  <c r="M312" i="105"/>
  <c r="M315" i="105"/>
  <c r="M322" i="105"/>
  <c r="M325" i="105"/>
  <c r="M328" i="105"/>
  <c r="M20" i="106"/>
  <c r="M69" i="106"/>
  <c r="M78" i="106"/>
  <c r="M87" i="106"/>
  <c r="M89" i="106"/>
  <c r="M90" i="106"/>
  <c r="M101" i="106"/>
  <c r="M103" i="106"/>
  <c r="M104" i="106"/>
  <c r="M106" i="106"/>
  <c r="M107" i="106"/>
  <c r="M108" i="106"/>
  <c r="M112" i="106"/>
  <c r="M122" i="106"/>
  <c r="M123" i="106"/>
  <c r="M138" i="106"/>
  <c r="M149" i="106"/>
  <c r="M166" i="106"/>
  <c r="M176" i="106"/>
  <c r="M187" i="106"/>
  <c r="M188" i="106"/>
  <c r="M190" i="106"/>
  <c r="M191" i="106"/>
  <c r="M197" i="106"/>
  <c r="M237" i="106"/>
  <c r="M241" i="106"/>
  <c r="M258" i="106"/>
  <c r="M259" i="106"/>
  <c r="M267" i="106"/>
  <c r="M299" i="106"/>
  <c r="M309" i="106"/>
  <c r="M310" i="106"/>
  <c r="M267" i="108"/>
  <c r="M206" i="107"/>
  <c r="O206" i="107" s="1"/>
  <c r="M317" i="107"/>
  <c r="O317" i="107" s="1"/>
  <c r="M322" i="107"/>
  <c r="O322" i="107" s="1"/>
  <c r="M6" i="106"/>
  <c r="M62" i="106"/>
  <c r="M72" i="106"/>
  <c r="M109" i="106"/>
  <c r="M152" i="106"/>
  <c r="M325" i="106"/>
  <c r="M259" i="107"/>
  <c r="O259" i="107" s="1"/>
  <c r="M308" i="107"/>
  <c r="O308" i="107" s="1"/>
  <c r="M11" i="106"/>
  <c r="M26" i="106"/>
  <c r="M95" i="106"/>
  <c r="M100" i="106"/>
  <c r="M111" i="106"/>
  <c r="M148" i="106"/>
  <c r="M168" i="106"/>
  <c r="M173" i="106"/>
  <c r="M203" i="106"/>
  <c r="M230" i="106"/>
  <c r="M285" i="106"/>
  <c r="M308" i="106"/>
  <c r="M316" i="106"/>
  <c r="M322" i="106"/>
  <c r="M13" i="105"/>
  <c r="M17" i="105"/>
  <c r="M43" i="105"/>
  <c r="M62" i="105"/>
  <c r="M65" i="105"/>
  <c r="M179" i="108"/>
  <c r="M104" i="107"/>
  <c r="O104" i="107" s="1"/>
  <c r="M189" i="107"/>
  <c r="O189" i="107" s="1"/>
  <c r="M344" i="107"/>
  <c r="O344" i="107" s="1"/>
  <c r="M15" i="106"/>
  <c r="M76" i="106"/>
  <c r="M92" i="106"/>
  <c r="M124" i="106"/>
  <c r="M201" i="106"/>
  <c r="M251" i="106"/>
  <c r="M330" i="106"/>
  <c r="M332" i="106"/>
  <c r="M347" i="106"/>
  <c r="M5" i="105"/>
  <c r="M25" i="105"/>
  <c r="M343" i="107"/>
  <c r="O343" i="107" s="1"/>
  <c r="M27" i="106"/>
  <c r="M32" i="106"/>
  <c r="M75" i="106"/>
  <c r="M156" i="106"/>
  <c r="M158" i="106"/>
  <c r="M165" i="106"/>
  <c r="M307" i="106"/>
  <c r="M317" i="106"/>
  <c r="M346" i="106"/>
  <c r="M77" i="105"/>
  <c r="M99" i="105"/>
  <c r="M106" i="105"/>
  <c r="M120" i="105"/>
  <c r="M140" i="105"/>
  <c r="M145" i="105"/>
  <c r="M153" i="105"/>
  <c r="M158" i="105"/>
  <c r="M165" i="105"/>
  <c r="M71" i="106"/>
  <c r="M81" i="106"/>
  <c r="M98" i="106"/>
  <c r="M177" i="106"/>
  <c r="M196" i="106"/>
  <c r="M342" i="106"/>
  <c r="M71" i="105"/>
  <c r="M75" i="105"/>
  <c r="M152" i="105"/>
  <c r="M155" i="105"/>
  <c r="M175" i="105"/>
  <c r="M176" i="105"/>
  <c r="M177" i="105"/>
  <c r="M194" i="105"/>
  <c r="M254" i="105"/>
  <c r="M262" i="105"/>
  <c r="M281" i="105"/>
  <c r="M330" i="105"/>
  <c r="M9" i="104"/>
  <c r="M14" i="104"/>
  <c r="M27" i="104"/>
  <c r="M43" i="104"/>
  <c r="M62" i="104"/>
  <c r="M79" i="104"/>
  <c r="M283" i="107"/>
  <c r="O283" i="107" s="1"/>
  <c r="M254" i="106"/>
  <c r="M261" i="106"/>
  <c r="M313" i="106"/>
  <c r="M340" i="106"/>
  <c r="M343" i="106"/>
  <c r="M8" i="105"/>
  <c r="M64" i="105"/>
  <c r="M79" i="105"/>
  <c r="M101" i="105"/>
  <c r="M127" i="105"/>
  <c r="M130" i="105"/>
  <c r="M162" i="105"/>
  <c r="M168" i="105"/>
  <c r="M174" i="105"/>
  <c r="M182" i="105"/>
  <c r="M189" i="105"/>
  <c r="M197" i="105"/>
  <c r="M228" i="105"/>
  <c r="M230" i="105"/>
  <c r="M257" i="105"/>
  <c r="M283" i="105"/>
  <c r="M291" i="105"/>
  <c r="M311" i="105"/>
  <c r="M331" i="105"/>
  <c r="M340" i="105"/>
  <c r="M342" i="105"/>
  <c r="M6" i="104"/>
  <c r="M10" i="104"/>
  <c r="M13" i="104"/>
  <c r="M18" i="104"/>
  <c r="M32" i="104"/>
  <c r="M69" i="104"/>
  <c r="M78" i="104"/>
  <c r="M84" i="104"/>
  <c r="M88" i="104"/>
  <c r="M95" i="104"/>
  <c r="M273" i="107"/>
  <c r="O273" i="107" s="1"/>
  <c r="M340" i="107"/>
  <c r="O340" i="107" s="1"/>
  <c r="M80" i="106"/>
  <c r="M180" i="106"/>
  <c r="M204" i="106"/>
  <c r="M272" i="106"/>
  <c r="M7" i="105"/>
  <c r="M76" i="105"/>
  <c r="M115" i="105"/>
  <c r="M129" i="105"/>
  <c r="M150" i="105"/>
  <c r="M172" i="105"/>
  <c r="M180" i="105"/>
  <c r="M187" i="105"/>
  <c r="M241" i="105"/>
  <c r="M251" i="105"/>
  <c r="M295" i="105"/>
  <c r="M298" i="105"/>
  <c r="M303" i="105"/>
  <c r="M317" i="105"/>
  <c r="M319" i="105"/>
  <c r="M341" i="105"/>
  <c r="M343" i="105"/>
  <c r="M348" i="105"/>
  <c r="M16" i="104"/>
  <c r="M26" i="104"/>
  <c r="M34" i="104"/>
  <c r="M75" i="104"/>
  <c r="M143" i="107"/>
  <c r="O143" i="107" s="1"/>
  <c r="M267" i="107"/>
  <c r="O267" i="107" s="1"/>
  <c r="M93" i="106"/>
  <c r="M171" i="106"/>
  <c r="M181" i="106"/>
  <c r="M253" i="106"/>
  <c r="M257" i="106"/>
  <c r="M284" i="106"/>
  <c r="M9" i="105"/>
  <c r="M95" i="105"/>
  <c r="M114" i="105"/>
  <c r="M149" i="105"/>
  <c r="M206" i="105"/>
  <c r="M239" i="105"/>
  <c r="M250" i="105"/>
  <c r="M261" i="105"/>
  <c r="M272" i="105"/>
  <c r="M297" i="105"/>
  <c r="M299" i="105"/>
  <c r="M5" i="104"/>
  <c r="M11" i="104"/>
  <c r="M19" i="104"/>
  <c r="M331" i="107"/>
  <c r="O331" i="107" s="1"/>
  <c r="M60" i="106"/>
  <c r="M126" i="106"/>
  <c r="M137" i="106"/>
  <c r="M20" i="105"/>
  <c r="M183" i="105"/>
  <c r="M202" i="105"/>
  <c r="M280" i="105"/>
  <c r="M345" i="105"/>
  <c r="M12" i="104"/>
  <c r="M44" i="104"/>
  <c r="M63" i="104"/>
  <c r="M71" i="104"/>
  <c r="M72" i="104"/>
  <c r="M81" i="104"/>
  <c r="M86" i="104"/>
  <c r="M97" i="104"/>
  <c r="M116" i="104"/>
  <c r="M120" i="104"/>
  <c r="M130" i="104"/>
  <c r="M137" i="104"/>
  <c r="M142" i="104"/>
  <c r="M161" i="104"/>
  <c r="M166" i="104"/>
  <c r="M70" i="105"/>
  <c r="M89" i="105"/>
  <c r="M160" i="105"/>
  <c r="M167" i="105"/>
  <c r="M181" i="105"/>
  <c r="M307" i="105"/>
  <c r="M321" i="105"/>
  <c r="M346" i="105"/>
  <c r="M347" i="105"/>
  <c r="M349" i="105"/>
  <c r="M7" i="104"/>
  <c r="M8" i="104"/>
  <c r="M23" i="104"/>
  <c r="M33" i="104"/>
  <c r="M60" i="104"/>
  <c r="M73" i="104"/>
  <c r="M82" i="104"/>
  <c r="M91" i="104"/>
  <c r="M93" i="104"/>
  <c r="M106" i="104"/>
  <c r="M113" i="104"/>
  <c r="M118" i="104"/>
  <c r="M122" i="104"/>
  <c r="M127" i="104"/>
  <c r="M132" i="104"/>
  <c r="M147" i="104"/>
  <c r="M156" i="104"/>
  <c r="M158" i="104"/>
  <c r="M165" i="104"/>
  <c r="M171" i="104"/>
  <c r="M177" i="104"/>
  <c r="M183" i="104"/>
  <c r="M193" i="104"/>
  <c r="M206" i="104"/>
  <c r="M79" i="107"/>
  <c r="O79" i="107" s="1"/>
  <c r="M67" i="106"/>
  <c r="M154" i="105"/>
  <c r="M157" i="105"/>
  <c r="M204" i="105"/>
  <c r="M17" i="104"/>
  <c r="M90" i="104"/>
  <c r="M96" i="104"/>
  <c r="M123" i="104"/>
  <c r="M160" i="104"/>
  <c r="M192" i="104"/>
  <c r="M195" i="104"/>
  <c r="M198" i="104"/>
  <c r="M13" i="106"/>
  <c r="M24" i="105"/>
  <c r="M126" i="105"/>
  <c r="M147" i="105"/>
  <c r="M171" i="105"/>
  <c r="M191" i="105"/>
  <c r="M229" i="105"/>
  <c r="M286" i="105"/>
  <c r="M344" i="105"/>
  <c r="M20" i="104"/>
  <c r="M70" i="104"/>
  <c r="M80" i="104"/>
  <c r="M99" i="104"/>
  <c r="M101" i="104"/>
  <c r="M103" i="104"/>
  <c r="M109" i="104"/>
  <c r="M111" i="104"/>
  <c r="M125" i="104"/>
  <c r="M133" i="104"/>
  <c r="M135" i="104"/>
  <c r="M140" i="104"/>
  <c r="M150" i="104"/>
  <c r="M152" i="104"/>
  <c r="M155" i="104"/>
  <c r="M168" i="104"/>
  <c r="M174" i="104"/>
  <c r="M182" i="104"/>
  <c r="M190" i="104"/>
  <c r="M196" i="104"/>
  <c r="M203" i="104"/>
  <c r="M281" i="107"/>
  <c r="O281" i="107" s="1"/>
  <c r="M332" i="107"/>
  <c r="O332" i="107" s="1"/>
  <c r="M115" i="106"/>
  <c r="M125" i="106"/>
  <c r="M237" i="105"/>
  <c r="M263" i="105"/>
  <c r="M282" i="105"/>
  <c r="M310" i="105"/>
  <c r="M61" i="104"/>
  <c r="M66" i="104"/>
  <c r="M92" i="104"/>
  <c r="M119" i="104"/>
  <c r="M176" i="104"/>
  <c r="M180" i="104"/>
  <c r="M191" i="104"/>
  <c r="M201" i="104"/>
  <c r="M228" i="104"/>
  <c r="M237" i="104"/>
  <c r="M239" i="104"/>
  <c r="M242" i="104"/>
  <c r="M261" i="104"/>
  <c r="M264" i="104"/>
  <c r="M266" i="104"/>
  <c r="M268" i="104"/>
  <c r="M272" i="104"/>
  <c r="M284" i="104"/>
  <c r="M296" i="104"/>
  <c r="M311" i="104"/>
  <c r="M316" i="104"/>
  <c r="M330" i="104"/>
  <c r="M332" i="104"/>
  <c r="M5" i="98"/>
  <c r="M7" i="98"/>
  <c r="M10" i="98"/>
  <c r="M16" i="98"/>
  <c r="M19" i="98"/>
  <c r="M24" i="98"/>
  <c r="M33" i="98"/>
  <c r="M76" i="98"/>
  <c r="M79" i="98"/>
  <c r="M88" i="98"/>
  <c r="M102" i="98"/>
  <c r="M111" i="98"/>
  <c r="M123" i="98"/>
  <c r="M128" i="98"/>
  <c r="M131" i="98"/>
  <c r="M136" i="98"/>
  <c r="M138" i="98"/>
  <c r="M143" i="98"/>
  <c r="M150" i="98"/>
  <c r="M153" i="98"/>
  <c r="M154" i="98"/>
  <c r="M160" i="98"/>
  <c r="M162" i="98"/>
  <c r="M165" i="98"/>
  <c r="M167" i="98"/>
  <c r="M179" i="98"/>
  <c r="M184" i="98"/>
  <c r="M197" i="98"/>
  <c r="M201" i="98"/>
  <c r="M204" i="98"/>
  <c r="M241" i="98"/>
  <c r="M250" i="98"/>
  <c r="M254" i="98"/>
  <c r="M260" i="98"/>
  <c r="M264" i="98"/>
  <c r="M250" i="106"/>
  <c r="M92" i="105"/>
  <c r="M332" i="105"/>
  <c r="M15" i="104"/>
  <c r="M24" i="104"/>
  <c r="M25" i="104"/>
  <c r="M40" i="104"/>
  <c r="M65" i="104"/>
  <c r="M104" i="104"/>
  <c r="M105" i="104"/>
  <c r="M115" i="104"/>
  <c r="M167" i="104"/>
  <c r="M197" i="104"/>
  <c r="M252" i="104"/>
  <c r="M303" i="104"/>
  <c r="M328" i="104"/>
  <c r="M342" i="104"/>
  <c r="M6" i="98"/>
  <c r="M44" i="98"/>
  <c r="M72" i="98"/>
  <c r="M74" i="98"/>
  <c r="M80" i="98"/>
  <c r="M89" i="98"/>
  <c r="M104" i="98"/>
  <c r="M106" i="98"/>
  <c r="M113" i="98"/>
  <c r="M134" i="98"/>
  <c r="M145" i="98"/>
  <c r="M148" i="98"/>
  <c r="M161" i="98"/>
  <c r="M173" i="98"/>
  <c r="M182" i="98"/>
  <c r="M193" i="98"/>
  <c r="M226" i="98"/>
  <c r="M230" i="98"/>
  <c r="M242" i="98"/>
  <c r="M251" i="98"/>
  <c r="M265" i="98"/>
  <c r="M273" i="98"/>
  <c r="M283" i="98"/>
  <c r="M291" i="98"/>
  <c r="M311" i="98"/>
  <c r="M315" i="98"/>
  <c r="M348" i="98"/>
  <c r="M64" i="106"/>
  <c r="M329" i="105"/>
  <c r="M67" i="104"/>
  <c r="M85" i="104"/>
  <c r="M87" i="104"/>
  <c r="M98" i="104"/>
  <c r="M124" i="104"/>
  <c r="M136" i="104"/>
  <c r="M139" i="104"/>
  <c r="M141" i="104"/>
  <c r="M146" i="104"/>
  <c r="M153" i="104"/>
  <c r="M230" i="104"/>
  <c r="M257" i="104"/>
  <c r="M265" i="104"/>
  <c r="M285" i="104"/>
  <c r="M313" i="104"/>
  <c r="M315" i="104"/>
  <c r="M329" i="104"/>
  <c r="M346" i="104"/>
  <c r="M9" i="98"/>
  <c r="M31" i="98"/>
  <c r="M61" i="98"/>
  <c r="M67" i="98"/>
  <c r="M70" i="98"/>
  <c r="M73" i="98"/>
  <c r="M78" i="98"/>
  <c r="M90" i="98"/>
  <c r="M98" i="98"/>
  <c r="M110" i="98"/>
  <c r="M112" i="98"/>
  <c r="M122" i="98"/>
  <c r="M125" i="98"/>
  <c r="M130" i="98"/>
  <c r="M133" i="98"/>
  <c r="M135" i="98"/>
  <c r="M137" i="98"/>
  <c r="M140" i="98"/>
  <c r="M142" i="98"/>
  <c r="M181" i="98"/>
  <c r="M183" i="98"/>
  <c r="M192" i="98"/>
  <c r="M225" i="98"/>
  <c r="M279" i="98"/>
  <c r="M130" i="106"/>
  <c r="M96" i="105"/>
  <c r="M166" i="105"/>
  <c r="M308" i="105"/>
  <c r="M112" i="104"/>
  <c r="M117" i="104"/>
  <c r="M129" i="104"/>
  <c r="M145" i="104"/>
  <c r="M184" i="104"/>
  <c r="M189" i="104"/>
  <c r="M229" i="104"/>
  <c r="M307" i="104"/>
  <c r="M314" i="104"/>
  <c r="M341" i="104"/>
  <c r="M345" i="104"/>
  <c r="M348" i="104"/>
  <c r="M20" i="98"/>
  <c r="M26" i="98"/>
  <c r="M64" i="98"/>
  <c r="M81" i="98"/>
  <c r="M85" i="98"/>
  <c r="M93" i="98"/>
  <c r="M94" i="98"/>
  <c r="M124" i="98"/>
  <c r="M126" i="98"/>
  <c r="M152" i="98"/>
  <c r="M172" i="98"/>
  <c r="M180" i="98"/>
  <c r="M194" i="98"/>
  <c r="M195" i="98"/>
  <c r="M196" i="98"/>
  <c r="M259" i="98"/>
  <c r="M261" i="98"/>
  <c r="M286" i="98"/>
  <c r="M295" i="98"/>
  <c r="M307" i="98"/>
  <c r="M314" i="98"/>
  <c r="M341" i="98"/>
  <c r="M344" i="98"/>
  <c r="M315" i="106"/>
  <c r="M109" i="105"/>
  <c r="M285" i="105"/>
  <c r="M68" i="104"/>
  <c r="M83" i="104"/>
  <c r="M100" i="104"/>
  <c r="M108" i="104"/>
  <c r="M157" i="104"/>
  <c r="M179" i="104"/>
  <c r="M194" i="104"/>
  <c r="M260" i="104"/>
  <c r="M263" i="104"/>
  <c r="M281" i="104"/>
  <c r="M282" i="104"/>
  <c r="M283" i="104"/>
  <c r="M297" i="104"/>
  <c r="M298" i="104"/>
  <c r="M312" i="104"/>
  <c r="M317" i="104"/>
  <c r="M319" i="104"/>
  <c r="M340" i="104"/>
  <c r="M349" i="104"/>
  <c r="M8" i="98"/>
  <c r="M65" i="98"/>
  <c r="M86" i="98"/>
  <c r="M87" i="98"/>
  <c r="M95" i="98"/>
  <c r="M114" i="98"/>
  <c r="M115" i="98"/>
  <c r="M116" i="98"/>
  <c r="M156" i="98"/>
  <c r="M157" i="98"/>
  <c r="M171" i="98"/>
  <c r="M205" i="98"/>
  <c r="M206" i="98"/>
  <c r="M239" i="98"/>
  <c r="M262" i="98"/>
  <c r="M263" i="98"/>
  <c r="M296" i="98"/>
  <c r="M300" i="98"/>
  <c r="M308" i="98"/>
  <c r="M309" i="98"/>
  <c r="M325" i="98"/>
  <c r="M328" i="98"/>
  <c r="M252" i="98"/>
  <c r="M253" i="98"/>
  <c r="M329" i="98"/>
  <c r="M332" i="98"/>
  <c r="M121" i="106"/>
  <c r="M107" i="105"/>
  <c r="M113" i="105"/>
  <c r="M132" i="105"/>
  <c r="M198" i="105"/>
  <c r="M143" i="104"/>
  <c r="M148" i="104"/>
  <c r="M181" i="104"/>
  <c r="M241" i="104"/>
  <c r="M286" i="104"/>
  <c r="M300" i="104"/>
  <c r="M12" i="98"/>
  <c r="M109" i="98"/>
  <c r="M119" i="98"/>
  <c r="M177" i="98"/>
  <c r="M228" i="98"/>
  <c r="M229" i="98"/>
  <c r="M320" i="98"/>
  <c r="M342" i="98"/>
  <c r="M349" i="98"/>
  <c r="M250" i="107"/>
  <c r="O250" i="107" s="1"/>
  <c r="M105" i="106"/>
  <c r="M100" i="105"/>
  <c r="M188" i="105"/>
  <c r="M320" i="105"/>
  <c r="M89" i="104"/>
  <c r="M107" i="104"/>
  <c r="M128" i="104"/>
  <c r="M159" i="104"/>
  <c r="M253" i="104"/>
  <c r="M280" i="104"/>
  <c r="M291" i="104"/>
  <c r="M299" i="104"/>
  <c r="M321" i="104"/>
  <c r="M322" i="104"/>
  <c r="M331" i="104"/>
  <c r="M15" i="98"/>
  <c r="M27" i="98"/>
  <c r="M60" i="98"/>
  <c r="M82" i="98"/>
  <c r="M105" i="98"/>
  <c r="M107" i="98"/>
  <c r="M108" i="98"/>
  <c r="M117" i="98"/>
  <c r="M127" i="98"/>
  <c r="M187" i="98"/>
  <c r="M319" i="98"/>
  <c r="M322" i="98"/>
  <c r="M345" i="98"/>
  <c r="M94" i="106"/>
  <c r="M184" i="105"/>
  <c r="M258" i="105"/>
  <c r="M77" i="104"/>
  <c r="M110" i="104"/>
  <c r="M149" i="104"/>
  <c r="M172" i="104"/>
  <c r="M188" i="104"/>
  <c r="M205" i="104"/>
  <c r="M225" i="104"/>
  <c r="M251" i="104"/>
  <c r="M279" i="104"/>
  <c r="M320" i="104"/>
  <c r="M325" i="104"/>
  <c r="M14" i="98"/>
  <c r="M23" i="98"/>
  <c r="M34" i="98"/>
  <c r="M62" i="98"/>
  <c r="M66" i="98"/>
  <c r="M75" i="98"/>
  <c r="M96" i="98"/>
  <c r="M118" i="98"/>
  <c r="M155" i="98"/>
  <c r="M158" i="98"/>
  <c r="M164" i="98"/>
  <c r="M168" i="98"/>
  <c r="M202" i="98"/>
  <c r="M203" i="98"/>
  <c r="M310" i="98"/>
  <c r="M162" i="104"/>
  <c r="M226" i="104"/>
  <c r="M250" i="104"/>
  <c r="M310" i="104"/>
  <c r="M11" i="98"/>
  <c r="M13" i="98"/>
  <c r="M83" i="98"/>
  <c r="M97" i="98"/>
  <c r="M129" i="98"/>
  <c r="M159" i="98"/>
  <c r="M166" i="98"/>
  <c r="M188" i="98"/>
  <c r="M272" i="98"/>
  <c r="M281" i="98"/>
  <c r="M297" i="98"/>
  <c r="M68" i="106"/>
  <c r="M184" i="106"/>
  <c r="M138" i="105"/>
  <c r="M64" i="104"/>
  <c r="M74" i="104"/>
  <c r="M114" i="104"/>
  <c r="M126" i="104"/>
  <c r="M131" i="104"/>
  <c r="M164" i="104"/>
  <c r="M255" i="104"/>
  <c r="M295" i="104"/>
  <c r="M309" i="104"/>
  <c r="M347" i="104"/>
  <c r="M63" i="98"/>
  <c r="M84" i="98"/>
  <c r="M91" i="98"/>
  <c r="M99" i="98"/>
  <c r="M146" i="98"/>
  <c r="M147" i="98"/>
  <c r="M175" i="98"/>
  <c r="M176" i="98"/>
  <c r="M189" i="98"/>
  <c r="M255" i="98"/>
  <c r="M268" i="98"/>
  <c r="M280" i="98"/>
  <c r="M282" i="98"/>
  <c r="M298" i="98"/>
  <c r="M303" i="98"/>
  <c r="M312" i="98"/>
  <c r="M316" i="98"/>
  <c r="M330" i="98"/>
  <c r="M340" i="98"/>
  <c r="M346" i="98"/>
  <c r="M228" i="107"/>
  <c r="O228" i="107" s="1"/>
  <c r="M32" i="105"/>
  <c r="M117" i="105"/>
  <c r="M94" i="104"/>
  <c r="M102" i="104"/>
  <c r="M121" i="104"/>
  <c r="M134" i="104"/>
  <c r="M138" i="104"/>
  <c r="M173" i="104"/>
  <c r="M175" i="104"/>
  <c r="M202" i="104"/>
  <c r="M254" i="104"/>
  <c r="M256" i="104"/>
  <c r="M258" i="104"/>
  <c r="M267" i="104"/>
  <c r="M273" i="104"/>
  <c r="M308" i="104"/>
  <c r="M343" i="104"/>
  <c r="M344" i="104"/>
  <c r="M32" i="98"/>
  <c r="M40" i="98"/>
  <c r="M68" i="98"/>
  <c r="M69" i="98"/>
  <c r="M71" i="98"/>
  <c r="M92" i="98"/>
  <c r="M100" i="98"/>
  <c r="M101" i="98"/>
  <c r="M120" i="98"/>
  <c r="M121" i="98"/>
  <c r="M132" i="98"/>
  <c r="M139" i="98"/>
  <c r="M149" i="98"/>
  <c r="M191" i="98"/>
  <c r="M266" i="98"/>
  <c r="M267" i="98"/>
  <c r="M284" i="98"/>
  <c r="M285" i="98"/>
  <c r="M317" i="98"/>
  <c r="M321" i="98"/>
  <c r="M343" i="98"/>
  <c r="M263" i="107"/>
  <c r="O263" i="107" s="1"/>
  <c r="M90" i="105"/>
  <c r="M31" i="104"/>
  <c r="M76" i="104"/>
  <c r="M154" i="104"/>
  <c r="M187" i="104"/>
  <c r="M204" i="104"/>
  <c r="M259" i="104"/>
  <c r="M262" i="104"/>
  <c r="M17" i="98"/>
  <c r="M18" i="98"/>
  <c r="M25" i="98"/>
  <c r="M43" i="98"/>
  <c r="M77" i="98"/>
  <c r="M103" i="98"/>
  <c r="M141" i="98"/>
  <c r="M174" i="98"/>
  <c r="M190" i="98"/>
  <c r="M198" i="98"/>
  <c r="M237" i="98"/>
  <c r="M256" i="98"/>
  <c r="M257" i="98"/>
  <c r="M258" i="98"/>
  <c r="M299" i="98"/>
  <c r="M313" i="98"/>
  <c r="M331" i="98"/>
  <c r="M347" i="98"/>
  <c r="S229" i="106"/>
  <c r="W229" i="106" s="1"/>
  <c r="U229" i="106"/>
  <c r="X229" i="106" s="1"/>
  <c r="T229" i="106"/>
  <c r="Y229" i="106" s="1"/>
  <c r="S43" i="106"/>
  <c r="T43" i="106"/>
  <c r="U43" i="106"/>
  <c r="W32" i="105"/>
  <c r="S83" i="106"/>
  <c r="T83" i="106"/>
  <c r="U83" i="106"/>
  <c r="Y311" i="105"/>
  <c r="Y274" i="105"/>
  <c r="S20" i="106"/>
  <c r="W20" i="106" s="1"/>
  <c r="T20" i="106"/>
  <c r="Y20" i="106" s="1"/>
  <c r="U20" i="106"/>
  <c r="X20" i="106" s="1"/>
  <c r="Y106" i="105"/>
  <c r="T9" i="106"/>
  <c r="Y9" i="106" s="1"/>
  <c r="S9" i="106"/>
  <c r="W9" i="106" s="1"/>
  <c r="U9" i="106"/>
  <c r="X9" i="106" s="1"/>
  <c r="Y285" i="105"/>
  <c r="S97" i="106"/>
  <c r="W97" i="106" s="1"/>
  <c r="T97" i="106"/>
  <c r="Y97" i="106" s="1"/>
  <c r="U97" i="106"/>
  <c r="X97" i="106" s="1"/>
  <c r="U179" i="106"/>
  <c r="S179" i="106"/>
  <c r="T179" i="106"/>
  <c r="Y179" i="106" s="1"/>
  <c r="Y348" i="105"/>
  <c r="T111" i="106"/>
  <c r="S111" i="106"/>
  <c r="W111" i="106" s="1"/>
  <c r="U111" i="106"/>
  <c r="Y193" i="105"/>
  <c r="Y198" i="105"/>
  <c r="T155" i="106"/>
  <c r="Y155" i="106" s="1"/>
  <c r="S155" i="106"/>
  <c r="W155" i="106" s="1"/>
  <c r="U155" i="106"/>
  <c r="X155" i="106" s="1"/>
  <c r="Y349" i="105"/>
  <c r="S334" i="108"/>
  <c r="W334" i="108" s="1"/>
  <c r="U334" i="108"/>
  <c r="X334" i="108" s="1"/>
  <c r="T334" i="108"/>
  <c r="Y334" i="108" s="1"/>
  <c r="S271" i="108"/>
  <c r="W271" i="108" s="1"/>
  <c r="T271" i="108"/>
  <c r="U271" i="108"/>
  <c r="S292" i="108"/>
  <c r="W292" i="108" s="1"/>
  <c r="T292" i="108"/>
  <c r="U292" i="108"/>
  <c r="U247" i="108"/>
  <c r="X247" i="108" s="1"/>
  <c r="S247" i="108"/>
  <c r="W247" i="108" s="1"/>
  <c r="T247" i="108"/>
  <c r="Y247" i="108" s="1"/>
  <c r="U236" i="108"/>
  <c r="X236" i="108" s="1"/>
  <c r="T236" i="108"/>
  <c r="Y236" i="108" s="1"/>
  <c r="S236" i="108"/>
  <c r="W236" i="108" s="1"/>
  <c r="T216" i="108"/>
  <c r="Y216" i="108" s="1"/>
  <c r="S216" i="108"/>
  <c r="W216" i="108" s="1"/>
  <c r="U216" i="108"/>
  <c r="V216" i="108"/>
  <c r="S4" i="108"/>
  <c r="T4" i="108"/>
  <c r="U4" i="108"/>
  <c r="S256" i="106"/>
  <c r="W256" i="106" s="1"/>
  <c r="T256" i="106"/>
  <c r="U256" i="106"/>
  <c r="O177" i="107"/>
  <c r="Y197" i="105"/>
  <c r="Y118" i="105"/>
  <c r="Y133" i="105"/>
  <c r="W220" i="107"/>
  <c r="S243" i="106"/>
  <c r="W243" i="106" s="1"/>
  <c r="T243" i="106"/>
  <c r="Y243" i="106" s="1"/>
  <c r="U243" i="106"/>
  <c r="V243" i="106"/>
  <c r="I48" i="67"/>
  <c r="I50" i="67" s="1"/>
  <c r="I52" i="67" s="1"/>
  <c r="I15" i="67"/>
  <c r="D22" i="8"/>
  <c r="E21" i="112" s="1"/>
  <c r="K27" i="84"/>
  <c r="K32" i="84"/>
  <c r="K25" i="84"/>
  <c r="K44" i="84"/>
  <c r="K15" i="84"/>
  <c r="K85" i="84"/>
  <c r="K102" i="84"/>
  <c r="K82" i="84"/>
  <c r="K73" i="84"/>
  <c r="K51" i="84"/>
  <c r="K88" i="84"/>
  <c r="K109" i="84"/>
  <c r="K164" i="84"/>
  <c r="K178" i="84"/>
  <c r="K65" i="84"/>
  <c r="K86" i="84"/>
  <c r="K91" i="84"/>
  <c r="K129" i="84"/>
  <c r="K140" i="84"/>
  <c r="K74" i="84"/>
  <c r="K77" i="84"/>
  <c r="K90" i="84"/>
  <c r="K87" i="84"/>
  <c r="K185" i="84"/>
  <c r="K69" i="84"/>
  <c r="K104" i="84"/>
  <c r="K114" i="84"/>
  <c r="K172" i="84"/>
  <c r="K118" i="84"/>
  <c r="K128" i="84"/>
  <c r="K83" i="84"/>
  <c r="K203" i="84"/>
  <c r="K127" i="84"/>
  <c r="K176" i="84"/>
  <c r="K13" i="84"/>
  <c r="K120" i="84"/>
  <c r="K165" i="84"/>
  <c r="K122" i="84"/>
  <c r="K217" i="84"/>
  <c r="K97" i="84"/>
  <c r="K218" i="84"/>
  <c r="K112" i="84"/>
  <c r="K194" i="84"/>
  <c r="K201" i="84"/>
  <c r="K130" i="84"/>
  <c r="K147" i="84"/>
  <c r="K115" i="84"/>
  <c r="K202" i="84"/>
  <c r="K126" i="84"/>
  <c r="K186" i="84"/>
  <c r="K199" i="84"/>
  <c r="K133" i="84"/>
  <c r="K125" i="84"/>
  <c r="K107" i="84"/>
  <c r="K188" i="84"/>
  <c r="K55" i="84"/>
  <c r="K26" i="84"/>
  <c r="K16" i="84"/>
  <c r="K47" i="84"/>
  <c r="K7" i="84"/>
  <c r="K135" i="84"/>
  <c r="K221" i="84"/>
  <c r="K29" i="84"/>
  <c r="K206" i="84"/>
  <c r="K72" i="84"/>
  <c r="K57" i="84"/>
  <c r="K92" i="84"/>
  <c r="K71" i="84"/>
  <c r="K210" i="84"/>
  <c r="K156" i="84"/>
  <c r="K58" i="84"/>
  <c r="K187" i="84"/>
  <c r="K145" i="84"/>
  <c r="K180" i="84"/>
  <c r="K94" i="84"/>
  <c r="K41" i="84"/>
  <c r="K12" i="84"/>
  <c r="K170" i="84"/>
  <c r="K144" i="84"/>
  <c r="K219" i="84"/>
  <c r="K183" i="84"/>
  <c r="K159" i="84"/>
  <c r="K173" i="84"/>
  <c r="K6" i="84"/>
  <c r="K153" i="84"/>
  <c r="K67" i="84"/>
  <c r="K166" i="84"/>
  <c r="K81" i="84"/>
  <c r="K70" i="84"/>
  <c r="K50" i="84"/>
  <c r="K226" i="84"/>
  <c r="K123" i="84"/>
  <c r="K93" i="84"/>
  <c r="K101" i="84"/>
  <c r="K53" i="84"/>
  <c r="K60" i="84"/>
  <c r="K222" i="84"/>
  <c r="K200" i="84"/>
  <c r="K211" i="84"/>
  <c r="K207" i="84"/>
  <c r="K78" i="84"/>
  <c r="K179" i="84"/>
  <c r="K105" i="84"/>
  <c r="K143" i="84"/>
  <c r="K108" i="84"/>
  <c r="K49" i="84"/>
  <c r="K14" i="84"/>
  <c r="K223" i="84"/>
  <c r="K19" i="84"/>
  <c r="K113" i="84"/>
  <c r="K215" i="84"/>
  <c r="K80" i="84"/>
  <c r="K158" i="84"/>
  <c r="K142" i="84"/>
  <c r="K35" i="84"/>
  <c r="K84" i="84"/>
  <c r="K31" i="84"/>
  <c r="K18" i="84"/>
  <c r="K36" i="84"/>
  <c r="K22" i="84"/>
  <c r="K224" i="84"/>
  <c r="K214" i="84"/>
  <c r="K190" i="84"/>
  <c r="K99" i="84"/>
  <c r="K157" i="84"/>
  <c r="K61" i="84"/>
  <c r="K151" i="84"/>
  <c r="K59" i="84"/>
  <c r="K121" i="84"/>
  <c r="K89" i="84"/>
  <c r="K45" i="84"/>
  <c r="K54" i="84"/>
  <c r="K43" i="84"/>
  <c r="K9" i="84"/>
  <c r="K149" i="84"/>
  <c r="K184" i="84"/>
  <c r="K76" i="84"/>
  <c r="K95" i="84"/>
  <c r="K196" i="84"/>
  <c r="K39" i="84"/>
  <c r="K106" i="84"/>
  <c r="K204" i="84"/>
  <c r="K75" i="84"/>
  <c r="K216" i="84"/>
  <c r="K119" i="84"/>
  <c r="K152" i="84"/>
  <c r="K154" i="84"/>
  <c r="K100" i="84"/>
  <c r="K64" i="84"/>
  <c r="K225" i="84"/>
  <c r="K167" i="84"/>
  <c r="K181" i="84"/>
  <c r="K148" i="84"/>
  <c r="K169" i="84"/>
  <c r="K48" i="84"/>
  <c r="K56" i="84"/>
  <c r="K131" i="84"/>
  <c r="K189" i="84"/>
  <c r="K124" i="84"/>
  <c r="K116" i="84"/>
  <c r="K37" i="84"/>
  <c r="K17" i="84"/>
  <c r="K117" i="84"/>
  <c r="K62" i="84"/>
  <c r="K193" i="84"/>
  <c r="K209" i="84"/>
  <c r="K182" i="84"/>
  <c r="K139" i="84"/>
  <c r="K208" i="84"/>
  <c r="K175" i="84"/>
  <c r="K52" i="84"/>
  <c r="K28" i="84"/>
  <c r="K66" i="84"/>
  <c r="K34" i="84"/>
  <c r="K10" i="84"/>
  <c r="K171" i="84"/>
  <c r="K205" i="84"/>
  <c r="K141" i="84"/>
  <c r="K198" i="84"/>
  <c r="K68" i="84"/>
  <c r="K150" i="84"/>
  <c r="K42" i="84"/>
  <c r="K23" i="84"/>
  <c r="K191" i="84"/>
  <c r="K162" i="84"/>
  <c r="K146" i="84"/>
  <c r="K137" i="84"/>
  <c r="K46" i="84"/>
  <c r="K136" i="84"/>
  <c r="K38" i="84"/>
  <c r="K11" i="84"/>
  <c r="K20" i="84"/>
  <c r="K103" i="84"/>
  <c r="K220" i="84"/>
  <c r="K96" i="84"/>
  <c r="K155" i="84"/>
  <c r="K177" i="84"/>
  <c r="K110" i="84"/>
  <c r="K192" i="84"/>
  <c r="K63" i="84"/>
  <c r="K161" i="84"/>
  <c r="K98" i="84"/>
  <c r="K212" i="84"/>
  <c r="K213" i="84"/>
  <c r="K132" i="84"/>
  <c r="K111" i="84"/>
  <c r="K79" i="84"/>
  <c r="K30" i="84"/>
  <c r="K24" i="84"/>
  <c r="K195" i="84"/>
  <c r="K21" i="84"/>
  <c r="K174" i="84"/>
  <c r="K168" i="84"/>
  <c r="K163" i="84"/>
  <c r="K134" i="84"/>
  <c r="K160" i="84"/>
  <c r="K8" i="84"/>
  <c r="K197" i="84"/>
  <c r="K33" i="84"/>
  <c r="K40" i="84"/>
  <c r="K138" i="84"/>
  <c r="N224" i="89"/>
  <c r="N118" i="89"/>
  <c r="N238" i="89"/>
  <c r="N239" i="89"/>
  <c r="N33" i="89"/>
  <c r="N32" i="89"/>
  <c r="N240" i="89"/>
  <c r="N212" i="89"/>
  <c r="N34" i="89"/>
  <c r="N212" i="99"/>
  <c r="N34" i="99"/>
  <c r="N32" i="103"/>
  <c r="N32" i="102"/>
  <c r="P32" i="102" s="1"/>
  <c r="R32" i="102" s="1"/>
  <c r="N224" i="101"/>
  <c r="N212" i="101"/>
  <c r="N32" i="100"/>
  <c r="N33" i="100"/>
  <c r="N238" i="99"/>
  <c r="N32" i="99"/>
  <c r="N224" i="103"/>
  <c r="N224" i="102"/>
  <c r="P224" i="102" s="1"/>
  <c r="R224" i="102" s="1"/>
  <c r="N33" i="102"/>
  <c r="P33" i="102" s="1"/>
  <c r="R33" i="102" s="1"/>
  <c r="N32" i="101"/>
  <c r="N240" i="99"/>
  <c r="N224" i="99"/>
  <c r="N239" i="103"/>
  <c r="N33" i="103"/>
  <c r="N239" i="101"/>
  <c r="N239" i="99"/>
  <c r="N240" i="103"/>
  <c r="N238" i="103"/>
  <c r="N212" i="102"/>
  <c r="P212" i="102" s="1"/>
  <c r="R212" i="102" s="1"/>
  <c r="N34" i="102"/>
  <c r="P34" i="102" s="1"/>
  <c r="Q34" i="102" s="1"/>
  <c r="N33" i="101"/>
  <c r="N238" i="100"/>
  <c r="N34" i="101"/>
  <c r="N212" i="100"/>
  <c r="N238" i="102"/>
  <c r="P238" i="102" s="1"/>
  <c r="R238" i="102" s="1"/>
  <c r="N212" i="103"/>
  <c r="N118" i="103"/>
  <c r="N240" i="102"/>
  <c r="P240" i="102" s="1"/>
  <c r="R240" i="102" s="1"/>
  <c r="N118" i="102"/>
  <c r="P118" i="102" s="1"/>
  <c r="R118" i="102" s="1"/>
  <c r="N118" i="101"/>
  <c r="N240" i="100"/>
  <c r="N239" i="100"/>
  <c r="N224" i="100"/>
  <c r="N238" i="101"/>
  <c r="N118" i="99"/>
  <c r="N33" i="99"/>
  <c r="N34" i="103"/>
  <c r="N240" i="101"/>
  <c r="N118" i="100"/>
  <c r="N239" i="102"/>
  <c r="P239" i="102" s="1"/>
  <c r="R239" i="102" s="1"/>
  <c r="N34" i="100"/>
  <c r="J21" i="83"/>
  <c r="J61" i="83"/>
  <c r="J68" i="83"/>
  <c r="J66" i="83"/>
  <c r="J112" i="83"/>
  <c r="J142" i="83"/>
  <c r="J246" i="83"/>
  <c r="J127" i="83"/>
  <c r="J73" i="83"/>
  <c r="J74" i="83"/>
  <c r="J88" i="83"/>
  <c r="J92" i="83"/>
  <c r="J95" i="83"/>
  <c r="J111" i="83"/>
  <c r="J140" i="83"/>
  <c r="J144" i="83"/>
  <c r="J165" i="83"/>
  <c r="J179" i="83"/>
  <c r="J212" i="83"/>
  <c r="J141" i="83"/>
  <c r="J104" i="83"/>
  <c r="J169" i="83"/>
  <c r="J224" i="83"/>
  <c r="J237" i="83"/>
  <c r="J278" i="83"/>
  <c r="J379" i="83"/>
  <c r="J206" i="83"/>
  <c r="J220" i="83"/>
  <c r="J222" i="83"/>
  <c r="J289" i="83"/>
  <c r="J305" i="83"/>
  <c r="J157" i="83"/>
  <c r="J197" i="83"/>
  <c r="J225" i="83"/>
  <c r="J236" i="83"/>
  <c r="J240" i="83"/>
  <c r="J251" i="83"/>
  <c r="J253" i="83"/>
  <c r="J264" i="83"/>
  <c r="J300" i="83"/>
  <c r="J337" i="83"/>
  <c r="J352" i="83"/>
  <c r="J93" i="83"/>
  <c r="J173" i="83"/>
  <c r="J189" i="83"/>
  <c r="J191" i="83"/>
  <c r="J209" i="83"/>
  <c r="J221" i="83"/>
  <c r="J260" i="83"/>
  <c r="J294" i="83"/>
  <c r="J24" i="83"/>
  <c r="J258" i="83"/>
  <c r="J269" i="83"/>
  <c r="J304" i="83"/>
  <c r="J306" i="83"/>
  <c r="J348" i="83"/>
  <c r="J349" i="83"/>
  <c r="J353" i="83"/>
  <c r="J270" i="83"/>
  <c r="J292" i="83"/>
  <c r="J346" i="83"/>
  <c r="J356" i="83"/>
  <c r="J366" i="83"/>
  <c r="J416" i="83"/>
  <c r="J432" i="83"/>
  <c r="J434" i="83"/>
  <c r="J64" i="83"/>
  <c r="J185" i="83"/>
  <c r="J274" i="83"/>
  <c r="J312" i="83"/>
  <c r="J332" i="83"/>
  <c r="J365" i="83"/>
  <c r="J372" i="83"/>
  <c r="J388" i="83"/>
  <c r="J401" i="83"/>
  <c r="J406" i="83"/>
  <c r="J58" i="83"/>
  <c r="J204" i="83"/>
  <c r="J235" i="83"/>
  <c r="J254" i="83"/>
  <c r="J320" i="83"/>
  <c r="J238" i="83"/>
  <c r="J334" i="83"/>
  <c r="J395" i="83"/>
  <c r="J79" i="83"/>
  <c r="J252" i="83"/>
  <c r="J267" i="83"/>
  <c r="J340" i="83"/>
  <c r="J364" i="83"/>
  <c r="J380" i="83"/>
  <c r="J228" i="83"/>
  <c r="J316" i="83"/>
  <c r="J318" i="83"/>
  <c r="J381" i="83"/>
  <c r="J410" i="83"/>
  <c r="J97" i="83"/>
  <c r="J275" i="83"/>
  <c r="J290" i="83"/>
  <c r="J382" i="83"/>
  <c r="J70" i="83"/>
  <c r="J309" i="83"/>
  <c r="J324" i="83"/>
  <c r="J385" i="83"/>
  <c r="J226" i="83"/>
  <c r="J350" i="83"/>
  <c r="J419" i="83"/>
  <c r="J38" i="83"/>
  <c r="J420" i="83"/>
  <c r="J116" i="83"/>
  <c r="J412" i="83"/>
  <c r="J293" i="83"/>
  <c r="J404" i="83"/>
  <c r="J121" i="83"/>
  <c r="J54" i="83"/>
  <c r="J284" i="83"/>
  <c r="J321" i="83"/>
  <c r="J55" i="83"/>
  <c r="J336" i="83"/>
  <c r="J383" i="83"/>
  <c r="J308" i="83"/>
  <c r="J98" i="83"/>
  <c r="J52" i="83"/>
  <c r="J134" i="83"/>
  <c r="J101" i="83"/>
  <c r="J96" i="83"/>
  <c r="J108" i="83"/>
  <c r="J63" i="83"/>
  <c r="J32" i="83"/>
  <c r="J429" i="83"/>
  <c r="J374" i="83"/>
  <c r="J405" i="83"/>
  <c r="J343" i="83"/>
  <c r="J362" i="83"/>
  <c r="J329" i="83"/>
  <c r="J341" i="83"/>
  <c r="J398" i="83"/>
  <c r="J271" i="83"/>
  <c r="J403" i="83"/>
  <c r="J295" i="83"/>
  <c r="J268" i="83"/>
  <c r="J143" i="83"/>
  <c r="J396" i="83"/>
  <c r="J368" i="83"/>
  <c r="J384" i="83"/>
  <c r="J257" i="83"/>
  <c r="J335" i="83"/>
  <c r="J20" i="83"/>
  <c r="J76" i="83"/>
  <c r="J168" i="83"/>
  <c r="J128" i="83"/>
  <c r="J105" i="83"/>
  <c r="J286" i="83"/>
  <c r="J345" i="83"/>
  <c r="J325" i="83"/>
  <c r="J250" i="83"/>
  <c r="J354" i="83"/>
  <c r="J159" i="83"/>
  <c r="J422" i="83"/>
  <c r="J360" i="83"/>
  <c r="J287" i="83"/>
  <c r="J330" i="83"/>
  <c r="J386" i="83"/>
  <c r="J136" i="83"/>
  <c r="J387" i="83"/>
  <c r="J369" i="83"/>
  <c r="J297" i="83"/>
  <c r="J283" i="83"/>
  <c r="J317" i="83"/>
  <c r="J219" i="83"/>
  <c r="J188" i="83"/>
  <c r="J255" i="83"/>
  <c r="J198" i="83"/>
  <c r="J205" i="83"/>
  <c r="J149" i="83"/>
  <c r="J37" i="83"/>
  <c r="J207" i="83"/>
  <c r="J56" i="83"/>
  <c r="J26" i="83"/>
  <c r="J146" i="83"/>
  <c r="J415" i="83"/>
  <c r="J408" i="83"/>
  <c r="J231" i="83"/>
  <c r="J427" i="83"/>
  <c r="J273" i="83"/>
  <c r="J230" i="83"/>
  <c r="J248" i="83"/>
  <c r="J123" i="83"/>
  <c r="J402" i="83"/>
  <c r="J333" i="83"/>
  <c r="J190" i="83"/>
  <c r="J155" i="83"/>
  <c r="J373" i="83"/>
  <c r="J313" i="83"/>
  <c r="J331" i="83"/>
  <c r="J186" i="83"/>
  <c r="J421" i="83"/>
  <c r="J319" i="83"/>
  <c r="J244" i="83"/>
  <c r="J208" i="83"/>
  <c r="J245" i="83"/>
  <c r="J239" i="83"/>
  <c r="J48" i="83"/>
  <c r="J16" i="83"/>
  <c r="J60" i="83"/>
  <c r="J45" i="83"/>
  <c r="J18" i="83"/>
  <c r="J431" i="83"/>
  <c r="J393" i="83"/>
  <c r="J266" i="83"/>
  <c r="J218" i="83"/>
  <c r="J376" i="83"/>
  <c r="J397" i="83"/>
  <c r="J344" i="83"/>
  <c r="J426" i="83"/>
  <c r="J227" i="83"/>
  <c r="J291" i="83"/>
  <c r="J272" i="83"/>
  <c r="J409" i="83"/>
  <c r="J201" i="83"/>
  <c r="J355" i="83"/>
  <c r="J122" i="83"/>
  <c r="J298" i="83"/>
  <c r="J265" i="83"/>
  <c r="J229" i="83"/>
  <c r="J262" i="83"/>
  <c r="J367" i="83"/>
  <c r="J223" i="83"/>
  <c r="J28" i="83"/>
  <c r="J377" i="83"/>
  <c r="J296" i="83"/>
  <c r="J389" i="83"/>
  <c r="J280" i="83"/>
  <c r="J124" i="83"/>
  <c r="J338" i="83"/>
  <c r="J299" i="83"/>
  <c r="J213" i="83"/>
  <c r="J196" i="83"/>
  <c r="J102" i="83"/>
  <c r="J91" i="83"/>
  <c r="J161" i="83"/>
  <c r="J44" i="83"/>
  <c r="J150" i="83"/>
  <c r="J69" i="83"/>
  <c r="J51" i="83"/>
  <c r="J35" i="83"/>
  <c r="J435" i="83"/>
  <c r="J194" i="83"/>
  <c r="J171" i="83"/>
  <c r="J351" i="83"/>
  <c r="J177" i="83"/>
  <c r="J428" i="83"/>
  <c r="J301" i="83"/>
  <c r="J314" i="83"/>
  <c r="J327" i="83"/>
  <c r="J247" i="83"/>
  <c r="J178" i="83"/>
  <c r="J162" i="83"/>
  <c r="J176" i="83"/>
  <c r="J71" i="83"/>
  <c r="J170" i="83"/>
  <c r="J137" i="83"/>
  <c r="J256" i="83"/>
  <c r="J29" i="83"/>
  <c r="J361" i="83"/>
  <c r="J430" i="83"/>
  <c r="J358" i="83"/>
  <c r="J307" i="83"/>
  <c r="J175" i="83"/>
  <c r="J81" i="83"/>
  <c r="J163" i="83"/>
  <c r="J57" i="83"/>
  <c r="J160" i="83"/>
  <c r="J148" i="83"/>
  <c r="J59" i="83"/>
  <c r="J87" i="83"/>
  <c r="J39" i="83"/>
  <c r="J424" i="83"/>
  <c r="J276" i="83"/>
  <c r="J181" i="83"/>
  <c r="J242" i="83"/>
  <c r="J129" i="83"/>
  <c r="J152" i="83"/>
  <c r="J62" i="83"/>
  <c r="J413" i="83"/>
  <c r="J187" i="83"/>
  <c r="J302" i="83"/>
  <c r="J200" i="83"/>
  <c r="J378" i="83"/>
  <c r="J281" i="83"/>
  <c r="J394" i="83"/>
  <c r="J417" i="83"/>
  <c r="J9" i="83"/>
  <c r="J241" i="83"/>
  <c r="J139" i="83"/>
  <c r="J8" i="83"/>
  <c r="J423" i="83"/>
  <c r="J363" i="83"/>
  <c r="J359" i="83"/>
  <c r="J193" i="83"/>
  <c r="J288" i="83"/>
  <c r="J357" i="83"/>
  <c r="J311" i="83"/>
  <c r="J263" i="83"/>
  <c r="J216" i="83"/>
  <c r="J145" i="83"/>
  <c r="J89" i="83"/>
  <c r="J110" i="83"/>
  <c r="J164" i="83"/>
  <c r="J78" i="83"/>
  <c r="J77" i="83"/>
  <c r="J17" i="83"/>
  <c r="J41" i="83"/>
  <c r="J25" i="83"/>
  <c r="J50" i="83"/>
  <c r="J19" i="83"/>
  <c r="J418" i="83"/>
  <c r="J210" i="83"/>
  <c r="J154" i="83"/>
  <c r="J390" i="83"/>
  <c r="J156" i="83"/>
  <c r="J392" i="83"/>
  <c r="J40" i="83"/>
  <c r="J86" i="83"/>
  <c r="J433" i="83"/>
  <c r="J80" i="83"/>
  <c r="J303" i="83"/>
  <c r="J347" i="83"/>
  <c r="J120" i="83"/>
  <c r="J67" i="83"/>
  <c r="J322" i="83"/>
  <c r="J407" i="83"/>
  <c r="J414" i="83"/>
  <c r="J371" i="83"/>
  <c r="J277" i="83"/>
  <c r="J211" i="83"/>
  <c r="J425" i="83"/>
  <c r="J285" i="83"/>
  <c r="J135" i="83"/>
  <c r="J233" i="83"/>
  <c r="J203" i="83"/>
  <c r="J195" i="83"/>
  <c r="J47" i="83"/>
  <c r="J99" i="83"/>
  <c r="J49" i="83"/>
  <c r="J180" i="83"/>
  <c r="J115" i="83"/>
  <c r="J133" i="83"/>
  <c r="J65" i="83"/>
  <c r="J33" i="83"/>
  <c r="J107" i="83"/>
  <c r="J53" i="83"/>
  <c r="J11" i="83"/>
  <c r="J153" i="83"/>
  <c r="J370" i="83"/>
  <c r="J118" i="83"/>
  <c r="J243" i="83"/>
  <c r="J126" i="83"/>
  <c r="J82" i="83"/>
  <c r="J399" i="83"/>
  <c r="J84" i="83"/>
  <c r="J34" i="83"/>
  <c r="J12" i="83"/>
  <c r="J339" i="83"/>
  <c r="J411" i="83"/>
  <c r="J103" i="83"/>
  <c r="J132" i="83"/>
  <c r="J85" i="83"/>
  <c r="J184" i="83"/>
  <c r="J167" i="83"/>
  <c r="J31" i="83"/>
  <c r="J14" i="83"/>
  <c r="J259" i="83"/>
  <c r="J174" i="83"/>
  <c r="J23" i="83"/>
  <c r="J46" i="83"/>
  <c r="J7" i="83"/>
  <c r="J119" i="83"/>
  <c r="J117" i="83"/>
  <c r="J182" i="83"/>
  <c r="J138" i="83"/>
  <c r="J36" i="83"/>
  <c r="J42" i="83"/>
  <c r="J391" i="83"/>
  <c r="J131" i="83"/>
  <c r="J232" i="83"/>
  <c r="J166" i="83"/>
  <c r="J113" i="83"/>
  <c r="J106" i="83"/>
  <c r="J15" i="83"/>
  <c r="J27" i="83"/>
  <c r="J6" i="83"/>
  <c r="J192" i="83"/>
  <c r="J100" i="83"/>
  <c r="J30" i="83"/>
  <c r="J114" i="83"/>
  <c r="J72" i="83"/>
  <c r="J315" i="83"/>
  <c r="J234" i="83"/>
  <c r="J183" i="83"/>
  <c r="J215" i="83"/>
  <c r="J109" i="83"/>
  <c r="J375" i="83"/>
  <c r="J158" i="83"/>
  <c r="J151" i="83"/>
  <c r="J125" i="83"/>
  <c r="J279" i="83"/>
  <c r="J22" i="83"/>
  <c r="J172" i="83"/>
  <c r="J217" i="83"/>
  <c r="J147" i="83"/>
  <c r="J83" i="83"/>
  <c r="J342" i="83"/>
  <c r="J214" i="83"/>
  <c r="J75" i="83"/>
  <c r="J282" i="83"/>
  <c r="J130" i="83"/>
  <c r="J310" i="83"/>
  <c r="J400" i="83"/>
  <c r="J261" i="83"/>
  <c r="J323" i="83"/>
  <c r="J326" i="83"/>
  <c r="J328" i="83"/>
  <c r="J90" i="83"/>
  <c r="J13" i="83"/>
  <c r="J202" i="83"/>
  <c r="J249" i="83"/>
  <c r="J43" i="83"/>
  <c r="J10" i="83"/>
  <c r="J199" i="83"/>
  <c r="J94" i="83"/>
  <c r="C22" i="8"/>
  <c r="D21" i="112" s="1"/>
  <c r="N160" i="89"/>
  <c r="N152" i="89"/>
  <c r="N55" i="89"/>
  <c r="N56" i="89"/>
  <c r="N153" i="89"/>
  <c r="N55" i="103"/>
  <c r="N153" i="102"/>
  <c r="P153" i="102" s="1"/>
  <c r="Q153" i="102" s="1"/>
  <c r="N56" i="101"/>
  <c r="N152" i="102"/>
  <c r="P152" i="102" s="1"/>
  <c r="Q152" i="102" s="1"/>
  <c r="N153" i="103"/>
  <c r="N55" i="102"/>
  <c r="P55" i="102" s="1"/>
  <c r="Q55" i="102" s="1"/>
  <c r="N55" i="101"/>
  <c r="N153" i="99"/>
  <c r="N153" i="101"/>
  <c r="N55" i="100"/>
  <c r="N152" i="99"/>
  <c r="N160" i="101"/>
  <c r="N152" i="103"/>
  <c r="N152" i="101"/>
  <c r="N160" i="102"/>
  <c r="P160" i="102" s="1"/>
  <c r="R160" i="102" s="1"/>
  <c r="N153" i="100"/>
  <c r="N160" i="99"/>
  <c r="N56" i="102"/>
  <c r="P56" i="102" s="1"/>
  <c r="Q56" i="102" s="1"/>
  <c r="N56" i="99"/>
  <c r="N160" i="103"/>
  <c r="N160" i="100"/>
  <c r="N152" i="100"/>
  <c r="N55" i="99"/>
  <c r="N56" i="103"/>
  <c r="N56" i="100"/>
  <c r="O58" i="89"/>
  <c r="O61" i="89"/>
  <c r="O62" i="89"/>
  <c r="O63" i="89"/>
  <c r="O145" i="89"/>
  <c r="O220" i="89"/>
  <c r="O225" i="89"/>
  <c r="O64" i="89"/>
  <c r="O65" i="89"/>
  <c r="O138" i="89"/>
  <c r="O144" i="89"/>
  <c r="O223" i="89"/>
  <c r="O236" i="89"/>
  <c r="O25" i="89"/>
  <c r="O26" i="89"/>
  <c r="O175" i="89"/>
  <c r="O273" i="89"/>
  <c r="O69" i="89"/>
  <c r="O70" i="89"/>
  <c r="O204" i="89"/>
  <c r="O218" i="89"/>
  <c r="O255" i="89"/>
  <c r="O68" i="89"/>
  <c r="O198" i="89"/>
  <c r="O209" i="89"/>
  <c r="O266" i="89"/>
  <c r="O66" i="89"/>
  <c r="O72" i="89"/>
  <c r="O207" i="89"/>
  <c r="O256" i="89"/>
  <c r="O67" i="89"/>
  <c r="O74" i="89"/>
  <c r="O199" i="89"/>
  <c r="O205" i="89"/>
  <c r="O264" i="89"/>
  <c r="O217" i="89"/>
  <c r="O271" i="89"/>
  <c r="O274" i="89"/>
  <c r="O73" i="89"/>
  <c r="O142" i="89"/>
  <c r="O244" i="89"/>
  <c r="O268" i="89"/>
  <c r="O75" i="89"/>
  <c r="O267" i="89"/>
  <c r="O203" i="89"/>
  <c r="O208" i="89"/>
  <c r="O71" i="89"/>
  <c r="O143" i="89"/>
  <c r="O206" i="89"/>
  <c r="O27" i="89"/>
  <c r="O273" i="101"/>
  <c r="O274" i="102"/>
  <c r="O273" i="99"/>
  <c r="O274" i="103"/>
  <c r="P274" i="103" s="1"/>
  <c r="R274" i="103" s="1"/>
  <c r="O274" i="101"/>
  <c r="O274" i="99"/>
  <c r="O274" i="100"/>
  <c r="O273" i="100"/>
  <c r="O273" i="103"/>
  <c r="P273" i="103" s="1"/>
  <c r="R273" i="103" s="1"/>
  <c r="O273" i="102"/>
  <c r="O143" i="99"/>
  <c r="O73" i="99"/>
  <c r="O244" i="103"/>
  <c r="P244" i="103" s="1"/>
  <c r="R244" i="103" s="1"/>
  <c r="O145" i="103"/>
  <c r="P145" i="103" s="1"/>
  <c r="Q145" i="103" s="1"/>
  <c r="O138" i="103"/>
  <c r="P138" i="103" s="1"/>
  <c r="Q138" i="103" s="1"/>
  <c r="O266" i="102"/>
  <c r="O220" i="102"/>
  <c r="O209" i="102"/>
  <c r="O206" i="102"/>
  <c r="O142" i="102"/>
  <c r="O72" i="102"/>
  <c r="O64" i="102"/>
  <c r="O58" i="102"/>
  <c r="O264" i="101"/>
  <c r="O255" i="101"/>
  <c r="O223" i="101"/>
  <c r="O66" i="101"/>
  <c r="O204" i="100"/>
  <c r="O138" i="100"/>
  <c r="O75" i="100"/>
  <c r="O72" i="100"/>
  <c r="O71" i="100"/>
  <c r="O206" i="101"/>
  <c r="O25" i="100"/>
  <c r="O244" i="102"/>
  <c r="O71" i="102"/>
  <c r="O63" i="102"/>
  <c r="O198" i="100"/>
  <c r="O223" i="99"/>
  <c r="O217" i="99"/>
  <c r="O204" i="99"/>
  <c r="O144" i="99"/>
  <c r="O69" i="99"/>
  <c r="O63" i="99"/>
  <c r="O264" i="103"/>
  <c r="P264" i="103" s="1"/>
  <c r="R264" i="103" s="1"/>
  <c r="O255" i="103"/>
  <c r="P255" i="103" s="1"/>
  <c r="Q255" i="103" s="1"/>
  <c r="O236" i="103"/>
  <c r="P236" i="103" s="1"/>
  <c r="Q236" i="103" s="1"/>
  <c r="O203" i="103"/>
  <c r="P203" i="103" s="1"/>
  <c r="Q203" i="103" s="1"/>
  <c r="O198" i="103"/>
  <c r="P198" i="103" s="1"/>
  <c r="R198" i="103" s="1"/>
  <c r="O142" i="103"/>
  <c r="P142" i="103" s="1"/>
  <c r="R142" i="103" s="1"/>
  <c r="O68" i="103"/>
  <c r="P68" i="103" s="1"/>
  <c r="R68" i="103" s="1"/>
  <c r="O67" i="103"/>
  <c r="P67" i="103" s="1"/>
  <c r="R67" i="103" s="1"/>
  <c r="O267" i="102"/>
  <c r="O145" i="102"/>
  <c r="O138" i="102"/>
  <c r="O67" i="102"/>
  <c r="O218" i="101"/>
  <c r="O203" i="101"/>
  <c r="O199" i="101"/>
  <c r="O198" i="101"/>
  <c r="O75" i="101"/>
  <c r="O68" i="101"/>
  <c r="O63" i="101"/>
  <c r="O244" i="100"/>
  <c r="O203" i="100"/>
  <c r="O143" i="100"/>
  <c r="O73" i="100"/>
  <c r="O223" i="100"/>
  <c r="O142" i="100"/>
  <c r="O74" i="100"/>
  <c r="O67" i="100"/>
  <c r="O236" i="99"/>
  <c r="O138" i="99"/>
  <c r="O209" i="103"/>
  <c r="P209" i="103" s="1"/>
  <c r="R209" i="103" s="1"/>
  <c r="O205" i="103"/>
  <c r="P205" i="103" s="1"/>
  <c r="Q205" i="103" s="1"/>
  <c r="O223" i="102"/>
  <c r="O218" i="102"/>
  <c r="O198" i="102"/>
  <c r="O143" i="102"/>
  <c r="O256" i="101"/>
  <c r="O244" i="101"/>
  <c r="O208" i="101"/>
  <c r="O142" i="101"/>
  <c r="O73" i="101"/>
  <c r="O61" i="101"/>
  <c r="O26" i="101"/>
  <c r="O208" i="100"/>
  <c r="O138" i="101"/>
  <c r="O64" i="100"/>
  <c r="O255" i="99"/>
  <c r="O205" i="99"/>
  <c r="O145" i="99"/>
  <c r="O74" i="99"/>
  <c r="O66" i="99"/>
  <c r="O62" i="99"/>
  <c r="O268" i="102"/>
  <c r="O256" i="102"/>
  <c r="O255" i="102"/>
  <c r="O225" i="102"/>
  <c r="O204" i="102"/>
  <c r="O199" i="102"/>
  <c r="O75" i="102"/>
  <c r="O26" i="102"/>
  <c r="O225" i="101"/>
  <c r="O217" i="101"/>
  <c r="O209" i="101"/>
  <c r="O205" i="101"/>
  <c r="O204" i="101"/>
  <c r="O62" i="101"/>
  <c r="O25" i="101"/>
  <c r="O68" i="100"/>
  <c r="O208" i="99"/>
  <c r="O142" i="99"/>
  <c r="O75" i="99"/>
  <c r="O58" i="99"/>
  <c r="O204" i="103"/>
  <c r="P204" i="103" s="1"/>
  <c r="Q204" i="103" s="1"/>
  <c r="O267" i="101"/>
  <c r="O69" i="101"/>
  <c r="O207" i="100"/>
  <c r="O205" i="100"/>
  <c r="O26" i="100"/>
  <c r="O208" i="102"/>
  <c r="O65" i="102"/>
  <c r="O236" i="100"/>
  <c r="O58" i="100"/>
  <c r="O268" i="99"/>
  <c r="O267" i="99"/>
  <c r="O266" i="99"/>
  <c r="O256" i="99"/>
  <c r="O225" i="99"/>
  <c r="O206" i="99"/>
  <c r="O203" i="99"/>
  <c r="O70" i="99"/>
  <c r="O64" i="99"/>
  <c r="O267" i="103"/>
  <c r="P267" i="103" s="1"/>
  <c r="R267" i="103" s="1"/>
  <c r="O266" i="103"/>
  <c r="P266" i="103" s="1"/>
  <c r="R266" i="103" s="1"/>
  <c r="O256" i="103"/>
  <c r="P256" i="103" s="1"/>
  <c r="Q256" i="103" s="1"/>
  <c r="O218" i="103"/>
  <c r="P218" i="103" s="1"/>
  <c r="R218" i="103" s="1"/>
  <c r="O208" i="103"/>
  <c r="P208" i="103" s="1"/>
  <c r="R208" i="103" s="1"/>
  <c r="O206" i="103"/>
  <c r="P206" i="103" s="1"/>
  <c r="Q206" i="103" s="1"/>
  <c r="O199" i="103"/>
  <c r="P199" i="103" s="1"/>
  <c r="R199" i="103" s="1"/>
  <c r="O175" i="103"/>
  <c r="P175" i="103" s="1"/>
  <c r="Q175" i="103" s="1"/>
  <c r="O74" i="103"/>
  <c r="P74" i="103" s="1"/>
  <c r="R74" i="103" s="1"/>
  <c r="O70" i="103"/>
  <c r="P70" i="103" s="1"/>
  <c r="R70" i="103" s="1"/>
  <c r="O69" i="103"/>
  <c r="P69" i="103" s="1"/>
  <c r="R69" i="103" s="1"/>
  <c r="O66" i="103"/>
  <c r="P66" i="103" s="1"/>
  <c r="R66" i="103" s="1"/>
  <c r="O62" i="103"/>
  <c r="P62" i="103" s="1"/>
  <c r="R62" i="103" s="1"/>
  <c r="O27" i="103"/>
  <c r="P27" i="103" s="1"/>
  <c r="Q27" i="103" s="1"/>
  <c r="O25" i="103"/>
  <c r="P25" i="103" s="1"/>
  <c r="Q25" i="103" s="1"/>
  <c r="O271" i="102"/>
  <c r="O264" i="102"/>
  <c r="O217" i="102"/>
  <c r="O68" i="102"/>
  <c r="O27" i="102"/>
  <c r="O271" i="101"/>
  <c r="O268" i="101"/>
  <c r="O266" i="101"/>
  <c r="O207" i="101"/>
  <c r="O72" i="101"/>
  <c r="O70" i="101"/>
  <c r="O27" i="101"/>
  <c r="O268" i="100"/>
  <c r="O264" i="100"/>
  <c r="O256" i="100"/>
  <c r="O218" i="100"/>
  <c r="O206" i="100"/>
  <c r="O199" i="100"/>
  <c r="O175" i="100"/>
  <c r="O144" i="100"/>
  <c r="O27" i="100"/>
  <c r="O236" i="102"/>
  <c r="O207" i="102"/>
  <c r="O73" i="102"/>
  <c r="O70" i="102"/>
  <c r="O66" i="102"/>
  <c r="O61" i="102"/>
  <c r="O220" i="101"/>
  <c r="O145" i="101"/>
  <c r="O143" i="101"/>
  <c r="O74" i="101"/>
  <c r="O64" i="101"/>
  <c r="O225" i="100"/>
  <c r="O65" i="100"/>
  <c r="O61" i="100"/>
  <c r="O244" i="99"/>
  <c r="O207" i="99"/>
  <c r="O199" i="99"/>
  <c r="O67" i="99"/>
  <c r="O144" i="103"/>
  <c r="P144" i="103" s="1"/>
  <c r="Q144" i="103" s="1"/>
  <c r="O75" i="103"/>
  <c r="P75" i="103" s="1"/>
  <c r="O203" i="102"/>
  <c r="O25" i="102"/>
  <c r="O220" i="100"/>
  <c r="O145" i="100"/>
  <c r="O271" i="99"/>
  <c r="O264" i="99"/>
  <c r="O220" i="99"/>
  <c r="O218" i="99"/>
  <c r="O209" i="99"/>
  <c r="O198" i="99"/>
  <c r="O71" i="99"/>
  <c r="O65" i="99"/>
  <c r="O27" i="99"/>
  <c r="O271" i="103"/>
  <c r="P271" i="103" s="1"/>
  <c r="R271" i="103" s="1"/>
  <c r="O268" i="103"/>
  <c r="P268" i="103" s="1"/>
  <c r="R268" i="103" s="1"/>
  <c r="O223" i="103"/>
  <c r="P223" i="103" s="1"/>
  <c r="R223" i="103" s="1"/>
  <c r="O207" i="103"/>
  <c r="P207" i="103" s="1"/>
  <c r="Q207" i="103" s="1"/>
  <c r="O143" i="103"/>
  <c r="P143" i="103" s="1"/>
  <c r="Q143" i="103" s="1"/>
  <c r="O73" i="103"/>
  <c r="P73" i="103" s="1"/>
  <c r="R73" i="103" s="1"/>
  <c r="O71" i="103"/>
  <c r="P71" i="103" s="1"/>
  <c r="R71" i="103" s="1"/>
  <c r="O65" i="103"/>
  <c r="P65" i="103" s="1"/>
  <c r="R65" i="103" s="1"/>
  <c r="O63" i="103"/>
  <c r="P63" i="103" s="1"/>
  <c r="R63" i="103" s="1"/>
  <c r="O61" i="103"/>
  <c r="P61" i="103" s="1"/>
  <c r="R61" i="103" s="1"/>
  <c r="O26" i="103"/>
  <c r="P26" i="103" s="1"/>
  <c r="Q26" i="103" s="1"/>
  <c r="O205" i="102"/>
  <c r="O74" i="102"/>
  <c r="O236" i="101"/>
  <c r="O175" i="101"/>
  <c r="O144" i="101"/>
  <c r="O71" i="101"/>
  <c r="O271" i="100"/>
  <c r="O267" i="100"/>
  <c r="O255" i="100"/>
  <c r="O217" i="100"/>
  <c r="O70" i="100"/>
  <c r="O69" i="100"/>
  <c r="O66" i="100"/>
  <c r="O62" i="100"/>
  <c r="O175" i="99"/>
  <c r="O72" i="99"/>
  <c r="O68" i="99"/>
  <c r="O26" i="99"/>
  <c r="O225" i="103"/>
  <c r="P225" i="103" s="1"/>
  <c r="Q225" i="103" s="1"/>
  <c r="O220" i="103"/>
  <c r="P220" i="103" s="1"/>
  <c r="Q220" i="103" s="1"/>
  <c r="O72" i="103"/>
  <c r="P72" i="103" s="1"/>
  <c r="R72" i="103" s="1"/>
  <c r="O64" i="103"/>
  <c r="P64" i="103" s="1"/>
  <c r="R64" i="103" s="1"/>
  <c r="O58" i="103"/>
  <c r="P58" i="103" s="1"/>
  <c r="Q58" i="103" s="1"/>
  <c r="O175" i="102"/>
  <c r="O144" i="102"/>
  <c r="O69" i="102"/>
  <c r="O62" i="102"/>
  <c r="O65" i="101"/>
  <c r="O58" i="101"/>
  <c r="O266" i="100"/>
  <c r="O209" i="100"/>
  <c r="O63" i="100"/>
  <c r="O61" i="99"/>
  <c r="O25" i="99"/>
  <c r="O217" i="103"/>
  <c r="P217" i="103" s="1"/>
  <c r="Q217" i="103" s="1"/>
  <c r="O67" i="101"/>
  <c r="N7" i="103"/>
  <c r="N6" i="103"/>
  <c r="N5" i="103"/>
  <c r="N16" i="103"/>
  <c r="N9" i="103"/>
  <c r="N17" i="103"/>
  <c r="N30" i="103"/>
  <c r="N41" i="103"/>
  <c r="N79" i="103"/>
  <c r="N87" i="103"/>
  <c r="N99" i="103"/>
  <c r="N102" i="103"/>
  <c r="N10" i="103"/>
  <c r="N28" i="103"/>
  <c r="N29" i="103"/>
  <c r="N40" i="103"/>
  <c r="N51" i="103"/>
  <c r="N54" i="103"/>
  <c r="N78" i="103"/>
  <c r="N86" i="103"/>
  <c r="N98" i="103"/>
  <c r="N100" i="103"/>
  <c r="N101" i="103"/>
  <c r="N12" i="103"/>
  <c r="N14" i="103"/>
  <c r="N39" i="103"/>
  <c r="N50" i="103"/>
  <c r="N52" i="103"/>
  <c r="N53" i="103"/>
  <c r="N76" i="103"/>
  <c r="N77" i="103"/>
  <c r="N85" i="103"/>
  <c r="N97" i="103"/>
  <c r="N8" i="103"/>
  <c r="N15" i="103"/>
  <c r="N19" i="103"/>
  <c r="N20" i="103"/>
  <c r="N21" i="103"/>
  <c r="N43" i="103"/>
  <c r="N46" i="103"/>
  <c r="N57" i="103"/>
  <c r="N81" i="103"/>
  <c r="N89" i="103"/>
  <c r="N36" i="103"/>
  <c r="N38" i="103"/>
  <c r="N42" i="103"/>
  <c r="N80" i="103"/>
  <c r="N88" i="103"/>
  <c r="N105" i="103"/>
  <c r="N114" i="103"/>
  <c r="N122" i="103"/>
  <c r="N134" i="103"/>
  <c r="N135" i="103"/>
  <c r="N169" i="103"/>
  <c r="N178" i="103"/>
  <c r="N187" i="103"/>
  <c r="N195" i="103"/>
  <c r="N196" i="103"/>
  <c r="N211" i="103"/>
  <c r="N235" i="103"/>
  <c r="N251" i="103"/>
  <c r="N254" i="103"/>
  <c r="N8" i="102"/>
  <c r="P8" i="102" s="1"/>
  <c r="Q8" i="102" s="1"/>
  <c r="N19" i="102"/>
  <c r="P19" i="102" s="1"/>
  <c r="R19" i="102" s="1"/>
  <c r="N20" i="102"/>
  <c r="P20" i="102" s="1"/>
  <c r="R20" i="102" s="1"/>
  <c r="N21" i="102"/>
  <c r="P21" i="102" s="1"/>
  <c r="Q21" i="102" s="1"/>
  <c r="N42" i="102"/>
  <c r="P42" i="102" s="1"/>
  <c r="Q42" i="102" s="1"/>
  <c r="N44" i="102"/>
  <c r="P44" i="102" s="1"/>
  <c r="Q44" i="102" s="1"/>
  <c r="N45" i="102"/>
  <c r="P45" i="102" s="1"/>
  <c r="Q45" i="102" s="1"/>
  <c r="N18" i="103"/>
  <c r="N83" i="103"/>
  <c r="N93" i="103"/>
  <c r="N96" i="103"/>
  <c r="N104" i="103"/>
  <c r="N113" i="103"/>
  <c r="N121" i="103"/>
  <c r="N131" i="103"/>
  <c r="N132" i="103"/>
  <c r="N133" i="103"/>
  <c r="N151" i="103"/>
  <c r="N159" i="103"/>
  <c r="N168" i="103"/>
  <c r="N177" i="103"/>
  <c r="N186" i="103"/>
  <c r="N194" i="103"/>
  <c r="N210" i="103"/>
  <c r="N234" i="103"/>
  <c r="N237" i="103"/>
  <c r="N250" i="103"/>
  <c r="N252" i="103"/>
  <c r="N253" i="103"/>
  <c r="N265" i="103"/>
  <c r="N7" i="102"/>
  <c r="P7" i="102" s="1"/>
  <c r="Q7" i="102" s="1"/>
  <c r="N18" i="102"/>
  <c r="P18" i="102" s="1"/>
  <c r="R18" i="102" s="1"/>
  <c r="N31" i="102"/>
  <c r="P31" i="102" s="1"/>
  <c r="Q31" i="102" s="1"/>
  <c r="N41" i="102"/>
  <c r="P41" i="102" s="1"/>
  <c r="Q41" i="102" s="1"/>
  <c r="N13" i="103"/>
  <c r="N44" i="103"/>
  <c r="N47" i="103"/>
  <c r="N49" i="103"/>
  <c r="N92" i="103"/>
  <c r="N103" i="103"/>
  <c r="N112" i="103"/>
  <c r="N120" i="103"/>
  <c r="N130" i="103"/>
  <c r="N141" i="103"/>
  <c r="N150" i="103"/>
  <c r="N158" i="103"/>
  <c r="N167" i="103"/>
  <c r="N176" i="103"/>
  <c r="N185" i="103"/>
  <c r="N193" i="103"/>
  <c r="N219" i="103"/>
  <c r="N222" i="103"/>
  <c r="N233" i="103"/>
  <c r="N249" i="103"/>
  <c r="N6" i="102"/>
  <c r="P6" i="102" s="1"/>
  <c r="R6" i="102" s="1"/>
  <c r="N17" i="102"/>
  <c r="P17" i="102" s="1"/>
  <c r="R17" i="102" s="1"/>
  <c r="N30" i="102"/>
  <c r="P30" i="102" s="1"/>
  <c r="Q30" i="102" s="1"/>
  <c r="N40" i="102"/>
  <c r="P40" i="102" s="1"/>
  <c r="Q40" i="102" s="1"/>
  <c r="N48" i="103"/>
  <c r="N60" i="103"/>
  <c r="N84" i="103"/>
  <c r="N94" i="103"/>
  <c r="N107" i="103"/>
  <c r="N116" i="103"/>
  <c r="N126" i="103"/>
  <c r="N137" i="103"/>
  <c r="N146" i="103"/>
  <c r="N154" i="103"/>
  <c r="N162" i="103"/>
  <c r="N171" i="103"/>
  <c r="N172" i="103"/>
  <c r="N181" i="103"/>
  <c r="N189" i="103"/>
  <c r="N214" i="103"/>
  <c r="N215" i="103"/>
  <c r="N227" i="103"/>
  <c r="N228" i="103"/>
  <c r="N241" i="103"/>
  <c r="N257" i="103"/>
  <c r="N269" i="103"/>
  <c r="N10" i="102"/>
  <c r="P10" i="102" s="1"/>
  <c r="R10" i="102" s="1"/>
  <c r="N12" i="102"/>
  <c r="P12" i="102" s="1"/>
  <c r="Q12" i="102" s="1"/>
  <c r="N13" i="102"/>
  <c r="P13" i="102" s="1"/>
  <c r="Q13" i="102" s="1"/>
  <c r="N23" i="102"/>
  <c r="P23" i="102" s="1"/>
  <c r="Q23" i="102" s="1"/>
  <c r="N47" i="102"/>
  <c r="P47" i="102" s="1"/>
  <c r="Q47" i="102" s="1"/>
  <c r="N23" i="103"/>
  <c r="N148" i="103"/>
  <c r="N231" i="103"/>
  <c r="N11" i="102"/>
  <c r="P11" i="102" s="1"/>
  <c r="Q11" i="102" s="1"/>
  <c r="N80" i="102"/>
  <c r="P80" i="102" s="1"/>
  <c r="R80" i="102" s="1"/>
  <c r="N88" i="102"/>
  <c r="P88" i="102" s="1"/>
  <c r="R88" i="102" s="1"/>
  <c r="N96" i="102"/>
  <c r="P96" i="102" s="1"/>
  <c r="R96" i="102" s="1"/>
  <c r="N104" i="102"/>
  <c r="P104" i="102" s="1"/>
  <c r="R104" i="102" s="1"/>
  <c r="N112" i="102"/>
  <c r="P112" i="102" s="1"/>
  <c r="R112" i="102" s="1"/>
  <c r="N121" i="102"/>
  <c r="P121" i="102" s="1"/>
  <c r="Q121" i="102" s="1"/>
  <c r="N129" i="102"/>
  <c r="P129" i="102" s="1"/>
  <c r="Q129" i="102" s="1"/>
  <c r="N137" i="102"/>
  <c r="P137" i="102" s="1"/>
  <c r="R137" i="102" s="1"/>
  <c r="N162" i="102"/>
  <c r="P162" i="102" s="1"/>
  <c r="Q162" i="102" s="1"/>
  <c r="N171" i="102"/>
  <c r="P171" i="102" s="1"/>
  <c r="Q171" i="102" s="1"/>
  <c r="N180" i="102"/>
  <c r="P180" i="102" s="1"/>
  <c r="Q180" i="102" s="1"/>
  <c r="N189" i="102"/>
  <c r="P189" i="102" s="1"/>
  <c r="R189" i="102" s="1"/>
  <c r="N82" i="103"/>
  <c r="N108" i="103"/>
  <c r="N111" i="103"/>
  <c r="N119" i="103"/>
  <c r="N123" i="103"/>
  <c r="N157" i="103"/>
  <c r="N166" i="103"/>
  <c r="N170" i="103"/>
  <c r="N229" i="103"/>
  <c r="N243" i="103"/>
  <c r="N245" i="103"/>
  <c r="N261" i="103"/>
  <c r="N29" i="102"/>
  <c r="P29" i="102" s="1"/>
  <c r="Q29" i="102" s="1"/>
  <c r="N35" i="102"/>
  <c r="P35" i="102" s="1"/>
  <c r="R35" i="102" s="1"/>
  <c r="N79" i="102"/>
  <c r="P79" i="102" s="1"/>
  <c r="R79" i="102" s="1"/>
  <c r="N87" i="102"/>
  <c r="P87" i="102" s="1"/>
  <c r="R87" i="102" s="1"/>
  <c r="N95" i="102"/>
  <c r="P95" i="102" s="1"/>
  <c r="R95" i="102" s="1"/>
  <c r="N103" i="102"/>
  <c r="P103" i="102" s="1"/>
  <c r="Q103" i="102" s="1"/>
  <c r="N111" i="102"/>
  <c r="P111" i="102" s="1"/>
  <c r="R111" i="102" s="1"/>
  <c r="N120" i="102"/>
  <c r="P120" i="102" s="1"/>
  <c r="Q120" i="102" s="1"/>
  <c r="N128" i="102"/>
  <c r="P128" i="102" s="1"/>
  <c r="Q128" i="102" s="1"/>
  <c r="N136" i="102"/>
  <c r="P136" i="102" s="1"/>
  <c r="R136" i="102" s="1"/>
  <c r="N161" i="102"/>
  <c r="P161" i="102" s="1"/>
  <c r="R161" i="102" s="1"/>
  <c r="N170" i="102"/>
  <c r="P170" i="102" s="1"/>
  <c r="Q170" i="102" s="1"/>
  <c r="N179" i="102"/>
  <c r="P179" i="102" s="1"/>
  <c r="Q179" i="102" s="1"/>
  <c r="N188" i="102"/>
  <c r="P188" i="102" s="1"/>
  <c r="R188" i="102" s="1"/>
  <c r="N197" i="102"/>
  <c r="P197" i="102" s="1"/>
  <c r="Q197" i="102" s="1"/>
  <c r="N24" i="103"/>
  <c r="N45" i="103"/>
  <c r="N90" i="103"/>
  <c r="N95" i="103"/>
  <c r="N155" i="103"/>
  <c r="N164" i="103"/>
  <c r="N173" i="103"/>
  <c r="N180" i="103"/>
  <c r="N184" i="103"/>
  <c r="N188" i="103"/>
  <c r="N192" i="103"/>
  <c r="N15" i="102"/>
  <c r="P15" i="102" s="1"/>
  <c r="R15" i="102" s="1"/>
  <c r="N39" i="102"/>
  <c r="P39" i="102" s="1"/>
  <c r="Q39" i="102" s="1"/>
  <c r="N43" i="102"/>
  <c r="P43" i="102" s="1"/>
  <c r="Q43" i="102" s="1"/>
  <c r="N48" i="102"/>
  <c r="P48" i="102" s="1"/>
  <c r="Q48" i="102" s="1"/>
  <c r="N50" i="102"/>
  <c r="P50" i="102" s="1"/>
  <c r="Q50" i="102" s="1"/>
  <c r="N54" i="102"/>
  <c r="P54" i="102" s="1"/>
  <c r="Q54" i="102" s="1"/>
  <c r="N78" i="102"/>
  <c r="P78" i="102" s="1"/>
  <c r="R78" i="102" s="1"/>
  <c r="N86" i="102"/>
  <c r="P86" i="102" s="1"/>
  <c r="R86" i="102" s="1"/>
  <c r="N94" i="102"/>
  <c r="P94" i="102" s="1"/>
  <c r="R94" i="102" s="1"/>
  <c r="N102" i="102"/>
  <c r="P102" i="102" s="1"/>
  <c r="Q102" i="102" s="1"/>
  <c r="N110" i="102"/>
  <c r="P110" i="102" s="1"/>
  <c r="R110" i="102" s="1"/>
  <c r="N119" i="102"/>
  <c r="P119" i="102" s="1"/>
  <c r="Q119" i="102" s="1"/>
  <c r="N127" i="102"/>
  <c r="P127" i="102" s="1"/>
  <c r="Q127" i="102" s="1"/>
  <c r="N135" i="102"/>
  <c r="P135" i="102" s="1"/>
  <c r="R135" i="102" s="1"/>
  <c r="N151" i="102"/>
  <c r="P151" i="102" s="1"/>
  <c r="Q151" i="102" s="1"/>
  <c r="N169" i="102"/>
  <c r="P169" i="102" s="1"/>
  <c r="Q169" i="102" s="1"/>
  <c r="N178" i="102"/>
  <c r="P178" i="102" s="1"/>
  <c r="Q178" i="102" s="1"/>
  <c r="N187" i="102"/>
  <c r="P187" i="102" s="1"/>
  <c r="R187" i="102" s="1"/>
  <c r="N196" i="102"/>
  <c r="P196" i="102" s="1"/>
  <c r="Q196" i="102" s="1"/>
  <c r="N22" i="103"/>
  <c r="N109" i="103"/>
  <c r="N124" i="103"/>
  <c r="N174" i="103"/>
  <c r="N183" i="103"/>
  <c r="N191" i="103"/>
  <c r="N197" i="103"/>
  <c r="N247" i="103"/>
  <c r="N263" i="103"/>
  <c r="N9" i="102"/>
  <c r="P9" i="102" s="1"/>
  <c r="R9" i="102" s="1"/>
  <c r="N16" i="102"/>
  <c r="P16" i="102" s="1"/>
  <c r="R16" i="102" s="1"/>
  <c r="N22" i="102"/>
  <c r="P22" i="102" s="1"/>
  <c r="Q22" i="102" s="1"/>
  <c r="N36" i="102"/>
  <c r="P36" i="102" s="1"/>
  <c r="R36" i="102" s="1"/>
  <c r="N38" i="102"/>
  <c r="P38" i="102" s="1"/>
  <c r="Q38" i="102" s="1"/>
  <c r="N49" i="102"/>
  <c r="P49" i="102" s="1"/>
  <c r="Q49" i="102" s="1"/>
  <c r="N60" i="102"/>
  <c r="P60" i="102" s="1"/>
  <c r="Q60" i="102" s="1"/>
  <c r="N82" i="102"/>
  <c r="P82" i="102" s="1"/>
  <c r="R82" i="102" s="1"/>
  <c r="N90" i="102"/>
  <c r="P90" i="102" s="1"/>
  <c r="Q90" i="102" s="1"/>
  <c r="N98" i="102"/>
  <c r="P98" i="102" s="1"/>
  <c r="Q98" i="102" s="1"/>
  <c r="N106" i="102"/>
  <c r="P106" i="102" s="1"/>
  <c r="Q106" i="102" s="1"/>
  <c r="N114" i="102"/>
  <c r="P114" i="102" s="1"/>
  <c r="R114" i="102" s="1"/>
  <c r="N123" i="102"/>
  <c r="P123" i="102" s="1"/>
  <c r="R123" i="102" s="1"/>
  <c r="N131" i="102"/>
  <c r="P131" i="102" s="1"/>
  <c r="R131" i="102" s="1"/>
  <c r="N139" i="102"/>
  <c r="P139" i="102" s="1"/>
  <c r="Q139" i="102" s="1"/>
  <c r="N147" i="102"/>
  <c r="P147" i="102" s="1"/>
  <c r="Q147" i="102" s="1"/>
  <c r="N155" i="102"/>
  <c r="P155" i="102" s="1"/>
  <c r="Q155" i="102" s="1"/>
  <c r="N164" i="102"/>
  <c r="P164" i="102" s="1"/>
  <c r="Q164" i="102" s="1"/>
  <c r="N173" i="102"/>
  <c r="P173" i="102" s="1"/>
  <c r="R173" i="102" s="1"/>
  <c r="N182" i="102"/>
  <c r="P182" i="102" s="1"/>
  <c r="Q182" i="102" s="1"/>
  <c r="N183" i="102"/>
  <c r="P183" i="102" s="1"/>
  <c r="R183" i="102" s="1"/>
  <c r="N192" i="102"/>
  <c r="P192" i="102" s="1"/>
  <c r="Q192" i="102" s="1"/>
  <c r="N91" i="103"/>
  <c r="N110" i="103"/>
  <c r="N136" i="103"/>
  <c r="N140" i="103"/>
  <c r="N165" i="103"/>
  <c r="N52" i="102"/>
  <c r="P52" i="102" s="1"/>
  <c r="Q52" i="102" s="1"/>
  <c r="N59" i="102"/>
  <c r="P59" i="102" s="1"/>
  <c r="Q59" i="102" s="1"/>
  <c r="N125" i="102"/>
  <c r="P125" i="102" s="1"/>
  <c r="R125" i="102" s="1"/>
  <c r="N148" i="102"/>
  <c r="P148" i="102" s="1"/>
  <c r="Q148" i="102" s="1"/>
  <c r="N193" i="102"/>
  <c r="P193" i="102" s="1"/>
  <c r="Q193" i="102" s="1"/>
  <c r="N213" i="102"/>
  <c r="P213" i="102" s="1"/>
  <c r="R213" i="102" s="1"/>
  <c r="N248" i="102"/>
  <c r="P248" i="102" s="1"/>
  <c r="Q248" i="102" s="1"/>
  <c r="N257" i="102"/>
  <c r="P257" i="102" s="1"/>
  <c r="R257" i="102" s="1"/>
  <c r="N259" i="102"/>
  <c r="P259" i="102" s="1"/>
  <c r="R259" i="102" s="1"/>
  <c r="N260" i="102"/>
  <c r="P260" i="102" s="1"/>
  <c r="Q260" i="102" s="1"/>
  <c r="N261" i="102"/>
  <c r="P261" i="102" s="1"/>
  <c r="Q261" i="102" s="1"/>
  <c r="N16" i="101"/>
  <c r="N43" i="101"/>
  <c r="N46" i="101"/>
  <c r="N57" i="101"/>
  <c r="N81" i="101"/>
  <c r="N95" i="101"/>
  <c r="N127" i="103"/>
  <c r="N213" i="103"/>
  <c r="N259" i="103"/>
  <c r="N28" i="102"/>
  <c r="P28" i="102" s="1"/>
  <c r="Q28" i="102" s="1"/>
  <c r="N176" i="102"/>
  <c r="P176" i="102" s="1"/>
  <c r="Q176" i="102" s="1"/>
  <c r="N210" i="102"/>
  <c r="P210" i="102" s="1"/>
  <c r="R210" i="102" s="1"/>
  <c r="N211" i="102"/>
  <c r="P211" i="102" s="1"/>
  <c r="R211" i="102" s="1"/>
  <c r="N222" i="102"/>
  <c r="P222" i="102" s="1"/>
  <c r="R222" i="102" s="1"/>
  <c r="N237" i="102"/>
  <c r="P237" i="102" s="1"/>
  <c r="R237" i="102" s="1"/>
  <c r="N247" i="102"/>
  <c r="P247" i="102" s="1"/>
  <c r="Q247" i="102" s="1"/>
  <c r="N10" i="101"/>
  <c r="N15" i="101"/>
  <c r="N42" i="101"/>
  <c r="N44" i="101"/>
  <c r="N45" i="101"/>
  <c r="N80" i="101"/>
  <c r="N94" i="101"/>
  <c r="N31" i="103"/>
  <c r="N35" i="103"/>
  <c r="N115" i="103"/>
  <c r="N190" i="103"/>
  <c r="N232" i="103"/>
  <c r="N246" i="103"/>
  <c r="N83" i="102"/>
  <c r="P83" i="102" s="1"/>
  <c r="R83" i="102" s="1"/>
  <c r="N91" i="102"/>
  <c r="P91" i="102" s="1"/>
  <c r="R91" i="102" s="1"/>
  <c r="N99" i="102"/>
  <c r="P99" i="102" s="1"/>
  <c r="Q99" i="102" s="1"/>
  <c r="N107" i="102"/>
  <c r="P107" i="102" s="1"/>
  <c r="Q107" i="102" s="1"/>
  <c r="N115" i="102"/>
  <c r="P115" i="102" s="1"/>
  <c r="R115" i="102" s="1"/>
  <c r="N133" i="102"/>
  <c r="P133" i="102" s="1"/>
  <c r="R133" i="102" s="1"/>
  <c r="N140" i="102"/>
  <c r="P140" i="102" s="1"/>
  <c r="Q140" i="102" s="1"/>
  <c r="N159" i="102"/>
  <c r="P159" i="102" s="1"/>
  <c r="R159" i="102" s="1"/>
  <c r="N166" i="102"/>
  <c r="P166" i="102" s="1"/>
  <c r="Q166" i="102" s="1"/>
  <c r="N168" i="102"/>
  <c r="P168" i="102" s="1"/>
  <c r="Q168" i="102" s="1"/>
  <c r="N186" i="102"/>
  <c r="P186" i="102" s="1"/>
  <c r="R186" i="102" s="1"/>
  <c r="N190" i="102"/>
  <c r="P190" i="102" s="1"/>
  <c r="Q190" i="102" s="1"/>
  <c r="N221" i="102"/>
  <c r="P221" i="102" s="1"/>
  <c r="R221" i="102" s="1"/>
  <c r="N234" i="102"/>
  <c r="P234" i="102" s="1"/>
  <c r="R234" i="102" s="1"/>
  <c r="N235" i="102"/>
  <c r="P235" i="102" s="1"/>
  <c r="Q235" i="102" s="1"/>
  <c r="N246" i="102"/>
  <c r="P246" i="102" s="1"/>
  <c r="Q246" i="102" s="1"/>
  <c r="N9" i="101"/>
  <c r="N11" i="101"/>
  <c r="N14" i="101"/>
  <c r="N24" i="101"/>
  <c r="N31" i="101"/>
  <c r="N41" i="101"/>
  <c r="N79" i="101"/>
  <c r="N90" i="101"/>
  <c r="N91" i="101"/>
  <c r="N92" i="101"/>
  <c r="N93" i="101"/>
  <c r="N59" i="103"/>
  <c r="N139" i="103"/>
  <c r="N147" i="103"/>
  <c r="N156" i="103"/>
  <c r="N161" i="103"/>
  <c r="N179" i="103"/>
  <c r="N182" i="103"/>
  <c r="N248" i="103"/>
  <c r="N260" i="103"/>
  <c r="N262" i="103"/>
  <c r="N5" i="102"/>
  <c r="P5" i="102" s="1"/>
  <c r="R5" i="102" s="1"/>
  <c r="N76" i="102"/>
  <c r="P76" i="102" s="1"/>
  <c r="R76" i="102" s="1"/>
  <c r="N81" i="102"/>
  <c r="P81" i="102" s="1"/>
  <c r="R81" i="102" s="1"/>
  <c r="N89" i="102"/>
  <c r="P89" i="102" s="1"/>
  <c r="Q89" i="102" s="1"/>
  <c r="N97" i="102"/>
  <c r="P97" i="102" s="1"/>
  <c r="R97" i="102" s="1"/>
  <c r="N105" i="102"/>
  <c r="P105" i="102" s="1"/>
  <c r="R105" i="102" s="1"/>
  <c r="N113" i="102"/>
  <c r="P113" i="102" s="1"/>
  <c r="R113" i="102" s="1"/>
  <c r="N132" i="102"/>
  <c r="P132" i="102" s="1"/>
  <c r="R132" i="102" s="1"/>
  <c r="N134" i="102"/>
  <c r="P134" i="102" s="1"/>
  <c r="R134" i="102" s="1"/>
  <c r="N154" i="102"/>
  <c r="P154" i="102" s="1"/>
  <c r="Q154" i="102" s="1"/>
  <c r="N158" i="102"/>
  <c r="P158" i="102" s="1"/>
  <c r="R158" i="102" s="1"/>
  <c r="N163" i="102"/>
  <c r="P163" i="102" s="1"/>
  <c r="Q163" i="102" s="1"/>
  <c r="N167" i="102"/>
  <c r="P167" i="102" s="1"/>
  <c r="Q167" i="102" s="1"/>
  <c r="N174" i="102"/>
  <c r="P174" i="102" s="1"/>
  <c r="Q174" i="102" s="1"/>
  <c r="N185" i="102"/>
  <c r="P185" i="102" s="1"/>
  <c r="R185" i="102" s="1"/>
  <c r="N215" i="102"/>
  <c r="P215" i="102" s="1"/>
  <c r="R215" i="102" s="1"/>
  <c r="N226" i="102"/>
  <c r="P226" i="102" s="1"/>
  <c r="R226" i="102" s="1"/>
  <c r="N227" i="102"/>
  <c r="P227" i="102" s="1"/>
  <c r="R227" i="102" s="1"/>
  <c r="N228" i="102"/>
  <c r="P228" i="102" s="1"/>
  <c r="R228" i="102" s="1"/>
  <c r="N229" i="102"/>
  <c r="P229" i="102" s="1"/>
  <c r="R229" i="102" s="1"/>
  <c r="N250" i="102"/>
  <c r="P250" i="102" s="1"/>
  <c r="Q250" i="102" s="1"/>
  <c r="N251" i="102"/>
  <c r="P251" i="102" s="1"/>
  <c r="Q251" i="102" s="1"/>
  <c r="N5" i="101"/>
  <c r="N18" i="101"/>
  <c r="N35" i="101"/>
  <c r="N36" i="101"/>
  <c r="N37" i="101"/>
  <c r="N48" i="101"/>
  <c r="N59" i="101"/>
  <c r="N86" i="101"/>
  <c r="N97" i="101"/>
  <c r="N106" i="103"/>
  <c r="N129" i="103"/>
  <c r="N163" i="103"/>
  <c r="N100" i="102"/>
  <c r="P100" i="102" s="1"/>
  <c r="Q100" i="102" s="1"/>
  <c r="N126" i="102"/>
  <c r="P126" i="102" s="1"/>
  <c r="Q126" i="102" s="1"/>
  <c r="N156" i="102"/>
  <c r="P156" i="102" s="1"/>
  <c r="R156" i="102" s="1"/>
  <c r="N195" i="102"/>
  <c r="P195" i="102" s="1"/>
  <c r="Q195" i="102" s="1"/>
  <c r="N249" i="102"/>
  <c r="P249" i="102" s="1"/>
  <c r="Q249" i="102" s="1"/>
  <c r="N253" i="102"/>
  <c r="P253" i="102" s="1"/>
  <c r="R253" i="102" s="1"/>
  <c r="N6" i="101"/>
  <c r="N19" i="101"/>
  <c r="N49" i="101"/>
  <c r="N51" i="101"/>
  <c r="N83" i="101"/>
  <c r="N89" i="101"/>
  <c r="N11" i="103"/>
  <c r="N37" i="103"/>
  <c r="N125" i="103"/>
  <c r="N242" i="103"/>
  <c r="N270" i="103"/>
  <c r="N53" i="102"/>
  <c r="P53" i="102" s="1"/>
  <c r="Q53" i="102" s="1"/>
  <c r="N92" i="102"/>
  <c r="P92" i="102" s="1"/>
  <c r="R92" i="102" s="1"/>
  <c r="N233" i="102"/>
  <c r="P233" i="102" s="1"/>
  <c r="R233" i="102" s="1"/>
  <c r="N245" i="102"/>
  <c r="P245" i="102" s="1"/>
  <c r="Q245" i="102" s="1"/>
  <c r="N262" i="102"/>
  <c r="P262" i="102" s="1"/>
  <c r="R262" i="102" s="1"/>
  <c r="N23" i="101"/>
  <c r="N40" i="101"/>
  <c r="N78" i="101"/>
  <c r="N96" i="101"/>
  <c r="N101" i="101"/>
  <c r="N102" i="101"/>
  <c r="N103" i="101"/>
  <c r="N149" i="103"/>
  <c r="N84" i="102"/>
  <c r="P84" i="102" s="1"/>
  <c r="R84" i="102" s="1"/>
  <c r="N117" i="102"/>
  <c r="P117" i="102" s="1"/>
  <c r="Q117" i="102" s="1"/>
  <c r="N157" i="102"/>
  <c r="P157" i="102" s="1"/>
  <c r="R157" i="102" s="1"/>
  <c r="N177" i="102"/>
  <c r="P177" i="102" s="1"/>
  <c r="Q177" i="102" s="1"/>
  <c r="N214" i="102"/>
  <c r="P214" i="102" s="1"/>
  <c r="R214" i="102" s="1"/>
  <c r="N219" i="102"/>
  <c r="P219" i="102" s="1"/>
  <c r="Q219" i="102" s="1"/>
  <c r="N231" i="102"/>
  <c r="P231" i="102" s="1"/>
  <c r="R231" i="102" s="1"/>
  <c r="N252" i="102"/>
  <c r="P252" i="102" s="1"/>
  <c r="Q252" i="102" s="1"/>
  <c r="N270" i="102"/>
  <c r="P270" i="102" s="1"/>
  <c r="Q270" i="102" s="1"/>
  <c r="N12" i="101"/>
  <c r="N21" i="101"/>
  <c r="N29" i="101"/>
  <c r="N38" i="101"/>
  <c r="N221" i="103"/>
  <c r="N14" i="102"/>
  <c r="P14" i="102" s="1"/>
  <c r="R14" i="102" s="1"/>
  <c r="N109" i="102"/>
  <c r="P109" i="102" s="1"/>
  <c r="R109" i="102" s="1"/>
  <c r="N124" i="102"/>
  <c r="P124" i="102" s="1"/>
  <c r="R124" i="102" s="1"/>
  <c r="N130" i="102"/>
  <c r="P130" i="102" s="1"/>
  <c r="R130" i="102" s="1"/>
  <c r="N243" i="102"/>
  <c r="P243" i="102" s="1"/>
  <c r="Q243" i="102" s="1"/>
  <c r="N265" i="102"/>
  <c r="P265" i="102" s="1"/>
  <c r="R265" i="102" s="1"/>
  <c r="N7" i="101"/>
  <c r="N53" i="101"/>
  <c r="N82" i="101"/>
  <c r="N88" i="101"/>
  <c r="N108" i="102"/>
  <c r="P108" i="102" s="1"/>
  <c r="R108" i="102" s="1"/>
  <c r="N146" i="102"/>
  <c r="P146" i="102" s="1"/>
  <c r="Q146" i="102" s="1"/>
  <c r="N150" i="102"/>
  <c r="P150" i="102" s="1"/>
  <c r="Q150" i="102" s="1"/>
  <c r="N258" i="102"/>
  <c r="P258" i="102" s="1"/>
  <c r="N87" i="101"/>
  <c r="N106" i="101"/>
  <c r="N108" i="101"/>
  <c r="N109" i="101"/>
  <c r="N116" i="101"/>
  <c r="N125" i="101"/>
  <c r="N136" i="101"/>
  <c r="N149" i="101"/>
  <c r="N158" i="101"/>
  <c r="N168" i="101"/>
  <c r="N117" i="103"/>
  <c r="N141" i="102"/>
  <c r="P141" i="102" s="1"/>
  <c r="Q141" i="102" s="1"/>
  <c r="N194" i="102"/>
  <c r="P194" i="102" s="1"/>
  <c r="Q194" i="102" s="1"/>
  <c r="N8" i="101"/>
  <c r="N39" i="101"/>
  <c r="N84" i="101"/>
  <c r="N98" i="101"/>
  <c r="N105" i="101"/>
  <c r="N115" i="101"/>
  <c r="N124" i="101"/>
  <c r="N134" i="101"/>
  <c r="N135" i="101"/>
  <c r="N148" i="101"/>
  <c r="N157" i="101"/>
  <c r="N167" i="101"/>
  <c r="N179" i="101"/>
  <c r="N46" i="102"/>
  <c r="P46" i="102" s="1"/>
  <c r="Q46" i="102" s="1"/>
  <c r="N165" i="102"/>
  <c r="P165" i="102" s="1"/>
  <c r="Q165" i="102" s="1"/>
  <c r="N181" i="102"/>
  <c r="P181" i="102" s="1"/>
  <c r="Q181" i="102" s="1"/>
  <c r="N232" i="102"/>
  <c r="P232" i="102" s="1"/>
  <c r="R232" i="102" s="1"/>
  <c r="N22" i="101"/>
  <c r="N114" i="101"/>
  <c r="N123" i="101"/>
  <c r="N131" i="101"/>
  <c r="N132" i="101"/>
  <c r="N133" i="101"/>
  <c r="N147" i="101"/>
  <c r="N155" i="101"/>
  <c r="N156" i="101"/>
  <c r="N164" i="101"/>
  <c r="N165" i="101"/>
  <c r="N166" i="101"/>
  <c r="N178" i="101"/>
  <c r="N128" i="103"/>
  <c r="N230" i="103"/>
  <c r="N258" i="103"/>
  <c r="N24" i="102"/>
  <c r="P24" i="102" s="1"/>
  <c r="Q24" i="102" s="1"/>
  <c r="N37" i="102"/>
  <c r="P37" i="102" s="1"/>
  <c r="Q37" i="102" s="1"/>
  <c r="N149" i="102"/>
  <c r="P149" i="102" s="1"/>
  <c r="Q149" i="102" s="1"/>
  <c r="N191" i="102"/>
  <c r="P191" i="102" s="1"/>
  <c r="Q191" i="102" s="1"/>
  <c r="N230" i="102"/>
  <c r="P230" i="102" s="1"/>
  <c r="Q230" i="102" s="1"/>
  <c r="N241" i="102"/>
  <c r="P241" i="102" s="1"/>
  <c r="R241" i="102" s="1"/>
  <c r="N17" i="101"/>
  <c r="N20" i="101"/>
  <c r="N30" i="101"/>
  <c r="N54" i="101"/>
  <c r="N60" i="101"/>
  <c r="N85" i="101"/>
  <c r="N99" i="101"/>
  <c r="N120" i="101"/>
  <c r="N128" i="101"/>
  <c r="N139" i="101"/>
  <c r="N161" i="101"/>
  <c r="N171" i="101"/>
  <c r="N174" i="101"/>
  <c r="N57" i="102"/>
  <c r="P57" i="102" s="1"/>
  <c r="Q57" i="102" s="1"/>
  <c r="N122" i="102"/>
  <c r="P122" i="102" s="1"/>
  <c r="Q122" i="102" s="1"/>
  <c r="N242" i="102"/>
  <c r="P242" i="102" s="1"/>
  <c r="Q242" i="102" s="1"/>
  <c r="N254" i="102"/>
  <c r="P254" i="102" s="1"/>
  <c r="R254" i="102" s="1"/>
  <c r="N141" i="101"/>
  <c r="N146" i="101"/>
  <c r="N177" i="101"/>
  <c r="N189" i="101"/>
  <c r="N216" i="101"/>
  <c r="N221" i="101"/>
  <c r="N231" i="101"/>
  <c r="N241" i="101"/>
  <c r="N265" i="101"/>
  <c r="N6" i="100"/>
  <c r="N22" i="100"/>
  <c r="N23" i="100"/>
  <c r="N30" i="100"/>
  <c r="N31" i="100"/>
  <c r="N42" i="100"/>
  <c r="N44" i="100"/>
  <c r="N45" i="100"/>
  <c r="N59" i="100"/>
  <c r="N76" i="100"/>
  <c r="N77" i="100"/>
  <c r="N89" i="100"/>
  <c r="N104" i="100"/>
  <c r="N120" i="100"/>
  <c r="N131" i="100"/>
  <c r="N132" i="100"/>
  <c r="N133" i="100"/>
  <c r="N216" i="103"/>
  <c r="N51" i="102"/>
  <c r="P51" i="102" s="1"/>
  <c r="Q51" i="102" s="1"/>
  <c r="N52" i="101"/>
  <c r="N150" i="101"/>
  <c r="N169" i="101"/>
  <c r="N187" i="101"/>
  <c r="N188" i="101"/>
  <c r="N197" i="101"/>
  <c r="N215" i="101"/>
  <c r="N230" i="101"/>
  <c r="N242" i="101"/>
  <c r="N245" i="101"/>
  <c r="N5" i="100"/>
  <c r="N19" i="100"/>
  <c r="N20" i="100"/>
  <c r="N21" i="100"/>
  <c r="N28" i="100"/>
  <c r="N29" i="100"/>
  <c r="N41" i="100"/>
  <c r="N57" i="100"/>
  <c r="N60" i="100"/>
  <c r="N88" i="100"/>
  <c r="N99" i="100"/>
  <c r="N102" i="100"/>
  <c r="N103" i="100"/>
  <c r="N119" i="100"/>
  <c r="N130" i="100"/>
  <c r="N226" i="103"/>
  <c r="N93" i="102"/>
  <c r="P93" i="102" s="1"/>
  <c r="R93" i="102" s="1"/>
  <c r="N269" i="102"/>
  <c r="P269" i="102" s="1"/>
  <c r="R269" i="102" s="1"/>
  <c r="N28" i="101"/>
  <c r="N76" i="101"/>
  <c r="N110" i="101"/>
  <c r="N113" i="101"/>
  <c r="N122" i="101"/>
  <c r="N130" i="101"/>
  <c r="N173" i="101"/>
  <c r="N186" i="101"/>
  <c r="N196" i="101"/>
  <c r="N214" i="101"/>
  <c r="N229" i="101"/>
  <c r="N243" i="101"/>
  <c r="N246" i="101"/>
  <c r="N247" i="101"/>
  <c r="N263" i="101"/>
  <c r="N18" i="100"/>
  <c r="N40" i="100"/>
  <c r="N86" i="100"/>
  <c r="N87" i="100"/>
  <c r="N98" i="100"/>
  <c r="N100" i="100"/>
  <c r="N101" i="100"/>
  <c r="N115" i="100"/>
  <c r="N116" i="100"/>
  <c r="N117" i="100"/>
  <c r="N129" i="100"/>
  <c r="N77" i="102"/>
  <c r="P77" i="102" s="1"/>
  <c r="R77" i="102" s="1"/>
  <c r="N101" i="102"/>
  <c r="P101" i="102" s="1"/>
  <c r="Q101" i="102" s="1"/>
  <c r="N104" i="101"/>
  <c r="N151" i="101"/>
  <c r="N159" i="101"/>
  <c r="N182" i="101"/>
  <c r="N183" i="101"/>
  <c r="N193" i="101"/>
  <c r="N234" i="101"/>
  <c r="N235" i="101"/>
  <c r="N250" i="101"/>
  <c r="N251" i="101"/>
  <c r="N257" i="101"/>
  <c r="N270" i="101"/>
  <c r="N9" i="100"/>
  <c r="N11" i="100"/>
  <c r="N14" i="100"/>
  <c r="N15" i="100"/>
  <c r="N49" i="100"/>
  <c r="N81" i="100"/>
  <c r="N94" i="100"/>
  <c r="N95" i="100"/>
  <c r="N112" i="100"/>
  <c r="N123" i="100"/>
  <c r="N124" i="100"/>
  <c r="N125" i="100"/>
  <c r="N119" i="101"/>
  <c r="N154" i="101"/>
  <c r="N191" i="101"/>
  <c r="N226" i="101"/>
  <c r="N233" i="101"/>
  <c r="N249" i="101"/>
  <c r="N269" i="101"/>
  <c r="N36" i="100"/>
  <c r="N80" i="100"/>
  <c r="N83" i="100"/>
  <c r="N158" i="100"/>
  <c r="N159" i="100"/>
  <c r="N176" i="100"/>
  <c r="N187" i="100"/>
  <c r="N188" i="100"/>
  <c r="N189" i="100"/>
  <c r="N222" i="100"/>
  <c r="N237" i="100"/>
  <c r="N248" i="100"/>
  <c r="N17" i="99"/>
  <c r="N38" i="99"/>
  <c r="N39" i="99"/>
  <c r="N51" i="99"/>
  <c r="N54" i="99"/>
  <c r="N78" i="99"/>
  <c r="N79" i="99"/>
  <c r="N90" i="99"/>
  <c r="N102" i="99"/>
  <c r="N103" i="99"/>
  <c r="N113" i="99"/>
  <c r="N122" i="99"/>
  <c r="N123" i="99"/>
  <c r="N124" i="99"/>
  <c r="N125" i="99"/>
  <c r="N137" i="99"/>
  <c r="N140" i="99"/>
  <c r="N141" i="99"/>
  <c r="N154" i="99"/>
  <c r="N155" i="99"/>
  <c r="N156" i="99"/>
  <c r="N157" i="99"/>
  <c r="N171" i="99"/>
  <c r="N174" i="99"/>
  <c r="N192" i="99"/>
  <c r="N222" i="99"/>
  <c r="N234" i="99"/>
  <c r="N241" i="99"/>
  <c r="N252" i="99"/>
  <c r="N253" i="99"/>
  <c r="N9" i="89"/>
  <c r="N11" i="89"/>
  <c r="N14" i="89"/>
  <c r="N15" i="89"/>
  <c r="N85" i="102"/>
  <c r="P85" i="102" s="1"/>
  <c r="R85" i="102" s="1"/>
  <c r="N184" i="102"/>
  <c r="P184" i="102" s="1"/>
  <c r="R184" i="102" s="1"/>
  <c r="N13" i="101"/>
  <c r="N126" i="101"/>
  <c r="N137" i="101"/>
  <c r="N213" i="101"/>
  <c r="N260" i="101"/>
  <c r="N16" i="100"/>
  <c r="N24" i="100"/>
  <c r="N46" i="100"/>
  <c r="N105" i="100"/>
  <c r="N122" i="100"/>
  <c r="N139" i="100"/>
  <c r="N140" i="100"/>
  <c r="N141" i="100"/>
  <c r="N155" i="100"/>
  <c r="N156" i="100"/>
  <c r="N157" i="100"/>
  <c r="N170" i="100"/>
  <c r="N171" i="100"/>
  <c r="N174" i="100"/>
  <c r="N186" i="100"/>
  <c r="N219" i="100"/>
  <c r="N221" i="100"/>
  <c r="N235" i="100"/>
  <c r="N249" i="100"/>
  <c r="N258" i="100"/>
  <c r="N259" i="100"/>
  <c r="N260" i="100"/>
  <c r="N261" i="100"/>
  <c r="N262" i="100"/>
  <c r="N263" i="100"/>
  <c r="N265" i="100"/>
  <c r="N10" i="99"/>
  <c r="N16" i="99"/>
  <c r="N35" i="99"/>
  <c r="N36" i="99"/>
  <c r="N37" i="99"/>
  <c r="N50" i="99"/>
  <c r="N52" i="99"/>
  <c r="N53" i="99"/>
  <c r="N80" i="99"/>
  <c r="N91" i="99"/>
  <c r="N92" i="99"/>
  <c r="N93" i="99"/>
  <c r="N104" i="99"/>
  <c r="N114" i="99"/>
  <c r="N121" i="99"/>
  <c r="N136" i="99"/>
  <c r="N170" i="99"/>
  <c r="N172" i="99"/>
  <c r="N173" i="99"/>
  <c r="N190" i="99"/>
  <c r="N191" i="99"/>
  <c r="N226" i="99"/>
  <c r="N233" i="99"/>
  <c r="N242" i="99"/>
  <c r="N254" i="99"/>
  <c r="N265" i="99"/>
  <c r="N5" i="89"/>
  <c r="N8" i="89"/>
  <c r="N12" i="89"/>
  <c r="N13" i="89"/>
  <c r="N112" i="101"/>
  <c r="N129" i="101"/>
  <c r="N162" i="101"/>
  <c r="N180" i="101"/>
  <c r="N219" i="101"/>
  <c r="N228" i="101"/>
  <c r="N8" i="100"/>
  <c r="N51" i="100"/>
  <c r="N85" i="100"/>
  <c r="N90" i="100"/>
  <c r="N97" i="100"/>
  <c r="N108" i="100"/>
  <c r="N111" i="100"/>
  <c r="N114" i="100"/>
  <c r="N128" i="100"/>
  <c r="N137" i="100"/>
  <c r="N154" i="100"/>
  <c r="N169" i="100"/>
  <c r="N172" i="100"/>
  <c r="N173" i="100"/>
  <c r="N185" i="100"/>
  <c r="N234" i="100"/>
  <c r="N250" i="100"/>
  <c r="N257" i="100"/>
  <c r="N9" i="99"/>
  <c r="N11" i="99"/>
  <c r="N14" i="99"/>
  <c r="N15" i="99"/>
  <c r="N49" i="99"/>
  <c r="N81" i="99"/>
  <c r="N94" i="99"/>
  <c r="N95" i="99"/>
  <c r="N105" i="99"/>
  <c r="N115" i="99"/>
  <c r="N116" i="99"/>
  <c r="N117" i="99"/>
  <c r="N120" i="99"/>
  <c r="N134" i="99"/>
  <c r="N135" i="99"/>
  <c r="N169" i="99"/>
  <c r="N185" i="99"/>
  <c r="N186" i="99"/>
  <c r="N187" i="99"/>
  <c r="N188" i="99"/>
  <c r="N189" i="99"/>
  <c r="N216" i="99"/>
  <c r="N227" i="99"/>
  <c r="N228" i="99"/>
  <c r="N229" i="99"/>
  <c r="N232" i="99"/>
  <c r="N243" i="99"/>
  <c r="N270" i="99"/>
  <c r="N6" i="89"/>
  <c r="N7" i="89"/>
  <c r="N24" i="89"/>
  <c r="N43" i="89"/>
  <c r="N46" i="89"/>
  <c r="N47" i="89"/>
  <c r="N47" i="101"/>
  <c r="N117" i="101"/>
  <c r="N121" i="101"/>
  <c r="N140" i="101"/>
  <c r="N176" i="101"/>
  <c r="N181" i="101"/>
  <c r="N185" i="101"/>
  <c r="N211" i="101"/>
  <c r="N227" i="101"/>
  <c r="N252" i="101"/>
  <c r="N253" i="101"/>
  <c r="N258" i="101"/>
  <c r="N7" i="100"/>
  <c r="N47" i="100"/>
  <c r="N78" i="100"/>
  <c r="N96" i="100"/>
  <c r="N106" i="100"/>
  <c r="N113" i="100"/>
  <c r="N148" i="100"/>
  <c r="N149" i="100"/>
  <c r="N161" i="100"/>
  <c r="N178" i="100"/>
  <c r="N192" i="100"/>
  <c r="N210" i="100"/>
  <c r="N213" i="100"/>
  <c r="N227" i="100"/>
  <c r="N242" i="100"/>
  <c r="N245" i="100"/>
  <c r="N270" i="100"/>
  <c r="N19" i="99"/>
  <c r="N20" i="99"/>
  <c r="N21" i="99"/>
  <c r="N28" i="99"/>
  <c r="N29" i="99"/>
  <c r="N41" i="99"/>
  <c r="N57" i="99"/>
  <c r="N88" i="99"/>
  <c r="N99" i="99"/>
  <c r="N110" i="99"/>
  <c r="N111" i="99"/>
  <c r="N128" i="99"/>
  <c r="N177" i="99"/>
  <c r="N194" i="99"/>
  <c r="N196" i="99"/>
  <c r="N197" i="99"/>
  <c r="N250" i="99"/>
  <c r="N258" i="99"/>
  <c r="N259" i="99"/>
  <c r="N260" i="99"/>
  <c r="N261" i="99"/>
  <c r="N17" i="89"/>
  <c r="N38" i="89"/>
  <c r="N39" i="89"/>
  <c r="N51" i="89"/>
  <c r="N50" i="101"/>
  <c r="N262" i="101"/>
  <c r="N37" i="100"/>
  <c r="N53" i="100"/>
  <c r="N126" i="100"/>
  <c r="N151" i="100"/>
  <c r="N194" i="100"/>
  <c r="N216" i="100"/>
  <c r="N251" i="100"/>
  <c r="N252" i="100"/>
  <c r="N253" i="100"/>
  <c r="N269" i="100"/>
  <c r="N45" i="99"/>
  <c r="N82" i="99"/>
  <c r="N83" i="99"/>
  <c r="N119" i="99"/>
  <c r="N146" i="99"/>
  <c r="N210" i="99"/>
  <c r="N219" i="99"/>
  <c r="N237" i="99"/>
  <c r="N19" i="89"/>
  <c r="N21" i="89"/>
  <c r="N37" i="89"/>
  <c r="N49" i="89"/>
  <c r="N57" i="89"/>
  <c r="N80" i="89"/>
  <c r="N91" i="89"/>
  <c r="N92" i="89"/>
  <c r="N93" i="89"/>
  <c r="N104" i="89"/>
  <c r="N114" i="89"/>
  <c r="N121" i="89"/>
  <c r="N147" i="89"/>
  <c r="N150" i="89"/>
  <c r="N151" i="89"/>
  <c r="N163" i="89"/>
  <c r="N166" i="89"/>
  <c r="N167" i="89"/>
  <c r="N170" i="89"/>
  <c r="N184" i="89"/>
  <c r="N195" i="89"/>
  <c r="N214" i="89"/>
  <c r="N215" i="89"/>
  <c r="N219" i="89"/>
  <c r="N248" i="89"/>
  <c r="N262" i="89"/>
  <c r="N263" i="89"/>
  <c r="N263" i="102"/>
  <c r="P263" i="102" s="1"/>
  <c r="R263" i="102" s="1"/>
  <c r="N100" i="101"/>
  <c r="N111" i="101"/>
  <c r="N192" i="101"/>
  <c r="N195" i="101"/>
  <c r="N232" i="101"/>
  <c r="N248" i="101"/>
  <c r="N107" i="100"/>
  <c r="N109" i="100"/>
  <c r="N163" i="100"/>
  <c r="N177" i="100"/>
  <c r="N196" i="100"/>
  <c r="N226" i="100"/>
  <c r="N230" i="100"/>
  <c r="N232" i="100"/>
  <c r="N254" i="100"/>
  <c r="N12" i="99"/>
  <c r="N40" i="99"/>
  <c r="N47" i="99"/>
  <c r="N60" i="99"/>
  <c r="N100" i="99"/>
  <c r="N127" i="99"/>
  <c r="N131" i="99"/>
  <c r="N139" i="99"/>
  <c r="N148" i="99"/>
  <c r="N150" i="99"/>
  <c r="N163" i="99"/>
  <c r="N179" i="99"/>
  <c r="N211" i="99"/>
  <c r="N251" i="99"/>
  <c r="N257" i="99"/>
  <c r="N262" i="99"/>
  <c r="N10" i="89"/>
  <c r="N23" i="89"/>
  <c r="N41" i="89"/>
  <c r="N50" i="89"/>
  <c r="N81" i="89"/>
  <c r="N94" i="89"/>
  <c r="N95" i="89"/>
  <c r="N105" i="89"/>
  <c r="N115" i="89"/>
  <c r="N116" i="89"/>
  <c r="N117" i="89"/>
  <c r="N120" i="89"/>
  <c r="N131" i="89"/>
  <c r="N132" i="89"/>
  <c r="N133" i="89"/>
  <c r="N146" i="89"/>
  <c r="N148" i="89"/>
  <c r="N149" i="89"/>
  <c r="N162" i="89"/>
  <c r="N164" i="89"/>
  <c r="N165" i="89"/>
  <c r="N171" i="89"/>
  <c r="N179" i="89"/>
  <c r="N182" i="89"/>
  <c r="N183" i="89"/>
  <c r="N194" i="89"/>
  <c r="N196" i="89"/>
  <c r="N197" i="89"/>
  <c r="N216" i="89"/>
  <c r="N221" i="89"/>
  <c r="N235" i="89"/>
  <c r="N249" i="89"/>
  <c r="N107" i="101"/>
  <c r="N163" i="101"/>
  <c r="N237" i="101"/>
  <c r="N12" i="100"/>
  <c r="N35" i="100"/>
  <c r="N38" i="100"/>
  <c r="N84" i="100"/>
  <c r="N92" i="100"/>
  <c r="N167" i="100"/>
  <c r="N179" i="100"/>
  <c r="N241" i="100"/>
  <c r="N247" i="100"/>
  <c r="N7" i="99"/>
  <c r="N18" i="99"/>
  <c r="N23" i="99"/>
  <c r="N42" i="99"/>
  <c r="N96" i="99"/>
  <c r="N97" i="99"/>
  <c r="N107" i="99"/>
  <c r="N109" i="99"/>
  <c r="N129" i="99"/>
  <c r="N158" i="99"/>
  <c r="N161" i="99"/>
  <c r="N183" i="99"/>
  <c r="N193" i="99"/>
  <c r="N214" i="99"/>
  <c r="N29" i="89"/>
  <c r="N48" i="89"/>
  <c r="N59" i="89"/>
  <c r="N82" i="89"/>
  <c r="N96" i="89"/>
  <c r="N106" i="89"/>
  <c r="N119" i="89"/>
  <c r="N130" i="89"/>
  <c r="N134" i="89"/>
  <c r="N135" i="89"/>
  <c r="N161" i="89"/>
  <c r="N172" i="89"/>
  <c r="N173" i="89"/>
  <c r="N178" i="89"/>
  <c r="N180" i="89"/>
  <c r="N181" i="89"/>
  <c r="N193" i="89"/>
  <c r="N222" i="89"/>
  <c r="N234" i="89"/>
  <c r="N237" i="89"/>
  <c r="N250" i="89"/>
  <c r="N265" i="89"/>
  <c r="N216" i="102"/>
  <c r="P216" i="102" s="1"/>
  <c r="R216" i="102" s="1"/>
  <c r="N77" i="101"/>
  <c r="N210" i="101"/>
  <c r="N48" i="100"/>
  <c r="N50" i="100"/>
  <c r="N93" i="100"/>
  <c r="N110" i="100"/>
  <c r="N134" i="100"/>
  <c r="N164" i="100"/>
  <c r="N166" i="100"/>
  <c r="N168" i="100"/>
  <c r="N214" i="100"/>
  <c r="N231" i="100"/>
  <c r="N8" i="99"/>
  <c r="N13" i="99"/>
  <c r="N76" i="99"/>
  <c r="N85" i="99"/>
  <c r="N87" i="99"/>
  <c r="N132" i="99"/>
  <c r="N151" i="99"/>
  <c r="N162" i="99"/>
  <c r="N180" i="99"/>
  <c r="N182" i="99"/>
  <c r="N184" i="99"/>
  <c r="N213" i="99"/>
  <c r="N221" i="99"/>
  <c r="N30" i="89"/>
  <c r="N35" i="89"/>
  <c r="N40" i="89"/>
  <c r="N44" i="89"/>
  <c r="N53" i="89"/>
  <c r="N54" i="89"/>
  <c r="N76" i="89"/>
  <c r="N77" i="89"/>
  <c r="N89" i="89"/>
  <c r="N100" i="89"/>
  <c r="N101" i="89"/>
  <c r="N112" i="89"/>
  <c r="N123" i="89"/>
  <c r="N124" i="89"/>
  <c r="N125" i="89"/>
  <c r="N186" i="89"/>
  <c r="N210" i="89"/>
  <c r="N245" i="89"/>
  <c r="N258" i="89"/>
  <c r="N172" i="102"/>
  <c r="P172" i="102" s="1"/>
  <c r="R172" i="102" s="1"/>
  <c r="N172" i="101"/>
  <c r="N121" i="100"/>
  <c r="N150" i="100"/>
  <c r="N184" i="100"/>
  <c r="N191" i="100"/>
  <c r="N197" i="100"/>
  <c r="N6" i="99"/>
  <c r="N30" i="99"/>
  <c r="N43" i="99"/>
  <c r="N48" i="99"/>
  <c r="N77" i="99"/>
  <c r="N166" i="99"/>
  <c r="N230" i="99"/>
  <c r="N20" i="89"/>
  <c r="N97" i="89"/>
  <c r="N98" i="89"/>
  <c r="N156" i="89"/>
  <c r="N158" i="89"/>
  <c r="N226" i="89"/>
  <c r="N227" i="89"/>
  <c r="N222" i="101"/>
  <c r="N181" i="100"/>
  <c r="N215" i="100"/>
  <c r="N229" i="100"/>
  <c r="N101" i="99"/>
  <c r="N126" i="99"/>
  <c r="N147" i="99"/>
  <c r="N178" i="99"/>
  <c r="N83" i="89"/>
  <c r="N99" i="89"/>
  <c r="N109" i="89"/>
  <c r="N111" i="89"/>
  <c r="N126" i="89"/>
  <c r="N128" i="89"/>
  <c r="N169" i="89"/>
  <c r="N188" i="89"/>
  <c r="N190" i="89"/>
  <c r="N192" i="89"/>
  <c r="N170" i="101"/>
  <c r="N54" i="100"/>
  <c r="N82" i="100"/>
  <c r="N136" i="100"/>
  <c r="N5" i="99"/>
  <c r="N46" i="99"/>
  <c r="N86" i="99"/>
  <c r="N106" i="99"/>
  <c r="N112" i="99"/>
  <c r="N167" i="99"/>
  <c r="N181" i="99"/>
  <c r="N28" i="89"/>
  <c r="N31" i="89"/>
  <c r="N79" i="89"/>
  <c r="N108" i="89"/>
  <c r="N110" i="89"/>
  <c r="N137" i="89"/>
  <c r="N141" i="89"/>
  <c r="N155" i="89"/>
  <c r="N174" i="89"/>
  <c r="N213" i="89"/>
  <c r="N233" i="89"/>
  <c r="N251" i="89"/>
  <c r="N252" i="89"/>
  <c r="N253" i="89"/>
  <c r="N257" i="89"/>
  <c r="N127" i="101"/>
  <c r="N254" i="101"/>
  <c r="N13" i="100"/>
  <c r="N135" i="100"/>
  <c r="N165" i="100"/>
  <c r="N180" i="100"/>
  <c r="N193" i="100"/>
  <c r="N89" i="99"/>
  <c r="N108" i="99"/>
  <c r="N149" i="99"/>
  <c r="N165" i="99"/>
  <c r="N168" i="99"/>
  <c r="N215" i="99"/>
  <c r="N235" i="99"/>
  <c r="N22" i="89"/>
  <c r="N36" i="89"/>
  <c r="N42" i="89"/>
  <c r="N52" i="89"/>
  <c r="N102" i="89"/>
  <c r="N122" i="89"/>
  <c r="N127" i="89"/>
  <c r="N189" i="89"/>
  <c r="N230" i="89"/>
  <c r="N232" i="89"/>
  <c r="N242" i="89"/>
  <c r="N246" i="89"/>
  <c r="N270" i="89"/>
  <c r="N116" i="102"/>
  <c r="P116" i="102" s="1"/>
  <c r="R116" i="102" s="1"/>
  <c r="N246" i="100"/>
  <c r="N79" i="100"/>
  <c r="N127" i="100"/>
  <c r="N44" i="99"/>
  <c r="N231" i="99"/>
  <c r="N263" i="99"/>
  <c r="N90" i="89"/>
  <c r="N140" i="89"/>
  <c r="N247" i="89"/>
  <c r="N259" i="89"/>
  <c r="N146" i="100"/>
  <c r="N22" i="99"/>
  <c r="N31" i="99"/>
  <c r="N159" i="99"/>
  <c r="N269" i="99"/>
  <c r="N16" i="89"/>
  <c r="N113" i="89"/>
  <c r="N176" i="89"/>
  <c r="N39" i="100"/>
  <c r="N43" i="100"/>
  <c r="N190" i="100"/>
  <c r="N59" i="99"/>
  <c r="N133" i="99"/>
  <c r="N84" i="89"/>
  <c r="N107" i="89"/>
  <c r="N254" i="89"/>
  <c r="N194" i="101"/>
  <c r="N183" i="100"/>
  <c r="N233" i="100"/>
  <c r="N243" i="100"/>
  <c r="N164" i="99"/>
  <c r="N129" i="89"/>
  <c r="N154" i="89"/>
  <c r="N211" i="89"/>
  <c r="N17" i="100"/>
  <c r="N52" i="100"/>
  <c r="N248" i="99"/>
  <c r="N86" i="89"/>
  <c r="N10" i="100"/>
  <c r="N245" i="99"/>
  <c r="N246" i="99"/>
  <c r="N247" i="99"/>
  <c r="N249" i="99"/>
  <c r="N45" i="89"/>
  <c r="N103" i="89"/>
  <c r="N177" i="89"/>
  <c r="N185" i="89"/>
  <c r="N229" i="89"/>
  <c r="N260" i="89"/>
  <c r="N98" i="99"/>
  <c r="N159" i="89"/>
  <c r="N190" i="101"/>
  <c r="N261" i="101"/>
  <c r="N130" i="99"/>
  <c r="N60" i="89"/>
  <c r="N228" i="89"/>
  <c r="N162" i="100"/>
  <c r="N182" i="100"/>
  <c r="N24" i="99"/>
  <c r="N195" i="99"/>
  <c r="N231" i="89"/>
  <c r="N261" i="89"/>
  <c r="N85" i="89"/>
  <c r="N136" i="89"/>
  <c r="N168" i="89"/>
  <c r="N147" i="100"/>
  <c r="N184" i="101"/>
  <c r="N84" i="99"/>
  <c r="N78" i="89"/>
  <c r="N87" i="89"/>
  <c r="N157" i="89"/>
  <c r="N241" i="89"/>
  <c r="N259" i="101"/>
  <c r="N91" i="100"/>
  <c r="N176" i="99"/>
  <c r="N18" i="89"/>
  <c r="N139" i="89"/>
  <c r="N228" i="100"/>
  <c r="N88" i="89"/>
  <c r="N211" i="100"/>
  <c r="N191" i="89"/>
  <c r="N243" i="89"/>
  <c r="N195" i="100"/>
  <c r="N269" i="89"/>
  <c r="N187" i="89"/>
  <c r="M61" i="2"/>
  <c r="M63" i="2"/>
  <c r="M124" i="2"/>
  <c r="M127" i="2"/>
  <c r="M139" i="2"/>
  <c r="M155" i="2"/>
  <c r="M158" i="2"/>
  <c r="M58" i="2"/>
  <c r="M69" i="2"/>
  <c r="M86" i="2"/>
  <c r="M110" i="2"/>
  <c r="M116" i="2"/>
  <c r="M165" i="2"/>
  <c r="M169" i="2"/>
  <c r="M170" i="2"/>
  <c r="M179" i="2"/>
  <c r="M59" i="2"/>
  <c r="M68" i="2"/>
  <c r="M79" i="2"/>
  <c r="M89" i="2"/>
  <c r="M118" i="2"/>
  <c r="M150" i="2"/>
  <c r="M73" i="2"/>
  <c r="M88" i="2"/>
  <c r="M96" i="2"/>
  <c r="M99" i="2"/>
  <c r="M152" i="2"/>
  <c r="M161" i="2"/>
  <c r="M162" i="2"/>
  <c r="M171" i="2"/>
  <c r="M135" i="2"/>
  <c r="M138" i="2"/>
  <c r="M142" i="2"/>
  <c r="M173" i="2"/>
  <c r="M198" i="2"/>
  <c r="M241" i="2"/>
  <c r="M263" i="2"/>
  <c r="M308" i="2"/>
  <c r="M326" i="2"/>
  <c r="M76" i="2"/>
  <c r="M148" i="2"/>
  <c r="M163" i="2"/>
  <c r="M195" i="2"/>
  <c r="M257" i="2"/>
  <c r="M262" i="2"/>
  <c r="M294" i="2"/>
  <c r="M84" i="2"/>
  <c r="M103" i="2"/>
  <c r="M106" i="2"/>
  <c r="M134" i="2"/>
  <c r="M159" i="2"/>
  <c r="M177" i="2"/>
  <c r="M185" i="2"/>
  <c r="M201" i="2"/>
  <c r="M233" i="2"/>
  <c r="M237" i="2"/>
  <c r="M242" i="2"/>
  <c r="M253" i="2"/>
  <c r="M261" i="2"/>
  <c r="M273" i="2"/>
  <c r="M275" i="2"/>
  <c r="M288" i="2"/>
  <c r="M293" i="2"/>
  <c r="M304" i="2"/>
  <c r="M312" i="2"/>
  <c r="M322" i="2"/>
  <c r="M65" i="2"/>
  <c r="M114" i="2"/>
  <c r="M122" i="2"/>
  <c r="M178" i="2"/>
  <c r="M181" i="2"/>
  <c r="M186" i="2"/>
  <c r="M199" i="2"/>
  <c r="M209" i="2"/>
  <c r="M210" i="2"/>
  <c r="M214" i="2"/>
  <c r="M217" i="2"/>
  <c r="M235" i="2"/>
  <c r="M246" i="2"/>
  <c r="M296" i="2"/>
  <c r="M324" i="2"/>
  <c r="M328" i="2"/>
  <c r="M336" i="2"/>
  <c r="M344" i="2"/>
  <c r="M90" i="2"/>
  <c r="M107" i="2"/>
  <c r="M130" i="2"/>
  <c r="M205" i="2"/>
  <c r="M72" i="2"/>
  <c r="M97" i="2"/>
  <c r="M154" i="2"/>
  <c r="M189" i="2"/>
  <c r="M193" i="2"/>
  <c r="M277" i="2"/>
  <c r="M281" i="2"/>
  <c r="M340" i="2"/>
  <c r="M144" i="2"/>
  <c r="M146" i="2"/>
  <c r="M215" i="2"/>
  <c r="M221" i="2"/>
  <c r="M225" i="2"/>
  <c r="M249" i="2"/>
  <c r="M266" i="2"/>
  <c r="M274" i="2"/>
  <c r="M329" i="2"/>
  <c r="M151" i="2"/>
  <c r="M213" i="2"/>
  <c r="M337" i="2"/>
  <c r="M191" i="2"/>
  <c r="M223" i="2"/>
  <c r="M227" i="2"/>
  <c r="M229" i="2"/>
  <c r="M345" i="2"/>
  <c r="M245" i="2"/>
  <c r="M259" i="2"/>
  <c r="M282" i="2"/>
  <c r="M298" i="2"/>
  <c r="M300" i="2"/>
  <c r="M314" i="2"/>
  <c r="M341" i="2"/>
  <c r="M197" i="2"/>
  <c r="M279" i="2"/>
  <c r="M131" i="2"/>
  <c r="M231" i="2"/>
  <c r="M102" i="2"/>
  <c r="M126" i="2"/>
  <c r="M309" i="2"/>
  <c r="M320" i="2"/>
  <c r="M332" i="2"/>
  <c r="M91" i="2"/>
  <c r="M230" i="2"/>
  <c r="M265" i="2"/>
  <c r="M269" i="2"/>
  <c r="M318" i="2"/>
  <c r="M297" i="2"/>
  <c r="M316" i="2"/>
  <c r="M120" i="2"/>
  <c r="M81" i="2"/>
  <c r="M292" i="2"/>
  <c r="M176" i="2"/>
  <c r="M248" i="2"/>
  <c r="M105" i="2"/>
  <c r="M109" i="2"/>
  <c r="M113" i="2"/>
  <c r="M313" i="2"/>
  <c r="M331" i="2"/>
  <c r="M286" i="2"/>
  <c r="M299" i="2"/>
  <c r="M95" i="2"/>
  <c r="M208" i="2"/>
  <c r="M247" i="2"/>
  <c r="M295" i="2"/>
  <c r="M272" i="2"/>
  <c r="M164" i="2"/>
  <c r="M211" i="2"/>
  <c r="M254" i="2"/>
  <c r="M92" i="2"/>
  <c r="M117" i="2"/>
  <c r="M64" i="2"/>
  <c r="M129" i="2"/>
  <c r="M132" i="2"/>
  <c r="M51" i="2"/>
  <c r="M47" i="2"/>
  <c r="M28" i="2"/>
  <c r="M11" i="2"/>
  <c r="M56" i="2"/>
  <c r="M19" i="2"/>
  <c r="M50" i="2"/>
  <c r="M27" i="2"/>
  <c r="M325" i="2"/>
  <c r="M125" i="2"/>
  <c r="M36" i="2"/>
  <c r="M21" i="2"/>
  <c r="M24" i="2"/>
  <c r="M141" i="2"/>
  <c r="M115" i="2"/>
  <c r="M258" i="2"/>
  <c r="M187" i="2"/>
  <c r="M67" i="2"/>
  <c r="M12" i="2"/>
  <c r="M335" i="2"/>
  <c r="M190" i="2"/>
  <c r="M347" i="2"/>
  <c r="M212" i="2"/>
  <c r="M216" i="2"/>
  <c r="M137" i="2"/>
  <c r="M166" i="2"/>
  <c r="M267" i="2"/>
  <c r="M307" i="2"/>
  <c r="M219" i="2"/>
  <c r="M6" i="2"/>
  <c r="M310" i="2"/>
  <c r="M232" i="2"/>
  <c r="M180" i="2"/>
  <c r="M98" i="2"/>
  <c r="M18" i="2"/>
  <c r="M121" i="2"/>
  <c r="M83" i="2"/>
  <c r="M82" i="2"/>
  <c r="M25" i="2"/>
  <c r="M22" i="2"/>
  <c r="M7" i="2"/>
  <c r="M20" i="2"/>
  <c r="M45" i="2"/>
  <c r="M34" i="2"/>
  <c r="M35" i="2"/>
  <c r="M8" i="2"/>
  <c r="M42" i="2"/>
  <c r="M10" i="2"/>
  <c r="M33" i="2"/>
  <c r="M9" i="2"/>
  <c r="M26" i="2"/>
  <c r="M315" i="2"/>
  <c r="M301" i="2"/>
  <c r="M303" i="2"/>
  <c r="M77" i="2"/>
  <c r="M100" i="2"/>
  <c r="M57" i="2"/>
  <c r="M37" i="2"/>
  <c r="M224" i="2"/>
  <c r="M184" i="2"/>
  <c r="M183" i="2"/>
  <c r="M240" i="2"/>
  <c r="M39" i="2"/>
  <c r="M15" i="2"/>
  <c r="M101" i="2"/>
  <c r="M175" i="2"/>
  <c r="M174" i="2"/>
  <c r="M264" i="2"/>
  <c r="M244" i="2"/>
  <c r="M168" i="2"/>
  <c r="M305" i="2"/>
  <c r="M346" i="2"/>
  <c r="M330" i="2"/>
  <c r="M278" i="2"/>
  <c r="M260" i="2"/>
  <c r="M149" i="2"/>
  <c r="M78" i="2"/>
  <c r="M327" i="2"/>
  <c r="M200" i="2"/>
  <c r="M271" i="2"/>
  <c r="M321" i="2"/>
  <c r="M207" i="2"/>
  <c r="M32" i="2"/>
  <c r="M87" i="2"/>
  <c r="M62" i="2"/>
  <c r="M54" i="2"/>
  <c r="M111" i="2"/>
  <c r="M23" i="2"/>
  <c r="M256" i="2"/>
  <c r="M220" i="2"/>
  <c r="M74" i="2"/>
  <c r="M104" i="2"/>
  <c r="M140" i="2"/>
  <c r="M49" i="2"/>
  <c r="M38" i="2"/>
  <c r="M112" i="2"/>
  <c r="M133" i="2"/>
  <c r="M206" i="2"/>
  <c r="M285" i="2"/>
  <c r="M46" i="2"/>
  <c r="M287" i="2"/>
  <c r="M302" i="2"/>
  <c r="M317" i="2"/>
  <c r="M194" i="2"/>
  <c r="M147" i="2"/>
  <c r="M276" i="2"/>
  <c r="M343" i="2"/>
  <c r="M204" i="2"/>
  <c r="M202" i="2"/>
  <c r="M339" i="2"/>
  <c r="M182" i="2"/>
  <c r="M153" i="2"/>
  <c r="M291" i="2"/>
  <c r="M289" i="2"/>
  <c r="M250" i="2"/>
  <c r="M167" i="2"/>
  <c r="M284" i="2"/>
  <c r="M255" i="2"/>
  <c r="M188" i="2"/>
  <c r="M70" i="2"/>
  <c r="M333" i="2"/>
  <c r="M306" i="2"/>
  <c r="M290" i="2"/>
  <c r="M196" i="2"/>
  <c r="M252" i="2"/>
  <c r="M239" i="2"/>
  <c r="M136" i="2"/>
  <c r="M143" i="2"/>
  <c r="M71" i="2"/>
  <c r="M29" i="2"/>
  <c r="M66" i="2"/>
  <c r="M243" i="2"/>
  <c r="M338" i="2"/>
  <c r="M157" i="2"/>
  <c r="M226" i="2"/>
  <c r="M85" i="2"/>
  <c r="M93" i="2"/>
  <c r="M80" i="2"/>
  <c r="M43" i="2"/>
  <c r="M14" i="2"/>
  <c r="M283" i="2"/>
  <c r="M323" i="2"/>
  <c r="M234" i="2"/>
  <c r="M334" i="2"/>
  <c r="M75" i="2"/>
  <c r="M222" i="2"/>
  <c r="M44" i="2"/>
  <c r="M128" i="2"/>
  <c r="M55" i="2"/>
  <c r="M17" i="2"/>
  <c r="M40" i="2"/>
  <c r="M52" i="2"/>
  <c r="M119" i="2"/>
  <c r="M41" i="2"/>
  <c r="M94" i="2"/>
  <c r="M268" i="2"/>
  <c r="M108" i="2"/>
  <c r="M16" i="2"/>
  <c r="M172" i="2"/>
  <c r="M123" i="2"/>
  <c r="M192" i="2"/>
  <c r="M145" i="2"/>
  <c r="M218" i="2"/>
  <c r="M53" i="2"/>
  <c r="M319" i="2"/>
  <c r="M236" i="2"/>
  <c r="M203" i="2"/>
  <c r="M60" i="2"/>
  <c r="M156" i="2"/>
  <c r="M311" i="2"/>
  <c r="M342" i="2"/>
  <c r="M280" i="2"/>
  <c r="M30" i="2"/>
  <c r="M238" i="2"/>
  <c r="M270" i="2"/>
  <c r="M160" i="2"/>
  <c r="M251" i="2"/>
  <c r="M228" i="2"/>
  <c r="M13" i="2"/>
  <c r="M48" i="2"/>
  <c r="M31" i="2"/>
  <c r="N17" i="3"/>
  <c r="Q17" i="3" s="1"/>
  <c r="N20" i="3"/>
  <c r="R20" i="3" s="1"/>
  <c r="N33" i="3"/>
  <c r="Q33" i="3" s="1"/>
  <c r="N36" i="3"/>
  <c r="P36" i="3" s="1"/>
  <c r="N62" i="3"/>
  <c r="S62" i="3" s="1"/>
  <c r="N69" i="3"/>
  <c r="Q69" i="3" s="1"/>
  <c r="N72" i="3"/>
  <c r="S72" i="3" s="1"/>
  <c r="N75" i="3"/>
  <c r="Q75" i="3" s="1"/>
  <c r="N85" i="3"/>
  <c r="Q85" i="3" s="1"/>
  <c r="N88" i="3"/>
  <c r="Q88" i="3" s="1"/>
  <c r="N91" i="3"/>
  <c r="Q91" i="3" s="1"/>
  <c r="N101" i="3"/>
  <c r="Q101" i="3" s="1"/>
  <c r="N104" i="3"/>
  <c r="Q104" i="3" s="1"/>
  <c r="N107" i="3"/>
  <c r="Q107" i="3" s="1"/>
  <c r="N14" i="3"/>
  <c r="Q14" i="3" s="1"/>
  <c r="N30" i="3"/>
  <c r="Q30" i="3" s="1"/>
  <c r="N49" i="3"/>
  <c r="Q49" i="3" s="1"/>
  <c r="N52" i="3"/>
  <c r="Q52" i="3" s="1"/>
  <c r="N59" i="3"/>
  <c r="S59" i="3" s="1"/>
  <c r="N79" i="3"/>
  <c r="Q79" i="3" s="1"/>
  <c r="N82" i="3"/>
  <c r="Q82" i="3" s="1"/>
  <c r="N95" i="3"/>
  <c r="Q95" i="3" s="1"/>
  <c r="N98" i="3"/>
  <c r="Q98" i="3" s="1"/>
  <c r="N8" i="3"/>
  <c r="Q8" i="3" s="1"/>
  <c r="N11" i="3"/>
  <c r="S11" i="3" s="1"/>
  <c r="N24" i="3"/>
  <c r="Q24" i="3" s="1"/>
  <c r="N27" i="3"/>
  <c r="R27" i="3" s="1"/>
  <c r="N37" i="3"/>
  <c r="S37" i="3" s="1"/>
  <c r="N40" i="3"/>
  <c r="Q40" i="3" s="1"/>
  <c r="N43" i="3"/>
  <c r="R43" i="3" s="1"/>
  <c r="N46" i="3"/>
  <c r="Q46" i="3" s="1"/>
  <c r="N56" i="3"/>
  <c r="S56" i="3" s="1"/>
  <c r="N63" i="3"/>
  <c r="R63" i="3" s="1"/>
  <c r="N66" i="3"/>
  <c r="S66" i="3" s="1"/>
  <c r="N73" i="3"/>
  <c r="S73" i="3" s="1"/>
  <c r="N76" i="3"/>
  <c r="Q76" i="3" s="1"/>
  <c r="N89" i="3"/>
  <c r="Q89" i="3" s="1"/>
  <c r="N92" i="3"/>
  <c r="Q92" i="3" s="1"/>
  <c r="N105" i="3"/>
  <c r="Q105" i="3" s="1"/>
  <c r="N108" i="3"/>
  <c r="Q108" i="3" s="1"/>
  <c r="N118" i="3"/>
  <c r="Q118" i="3" s="1"/>
  <c r="N125" i="3"/>
  <c r="Q125" i="3" s="1"/>
  <c r="N128" i="3"/>
  <c r="Q128" i="3" s="1"/>
  <c r="N135" i="3"/>
  <c r="Q135" i="3" s="1"/>
  <c r="N138" i="3"/>
  <c r="S138" i="3" s="1"/>
  <c r="N145" i="3"/>
  <c r="Q145" i="3" s="1"/>
  <c r="N148" i="3"/>
  <c r="Q148" i="3" s="1"/>
  <c r="N13" i="3"/>
  <c r="Q13" i="3" s="1"/>
  <c r="N16" i="3"/>
  <c r="S16" i="3" s="1"/>
  <c r="N19" i="3"/>
  <c r="Q19" i="3" s="1"/>
  <c r="N29" i="3"/>
  <c r="Q29" i="3" s="1"/>
  <c r="N32" i="3"/>
  <c r="Q32" i="3" s="1"/>
  <c r="N35" i="3"/>
  <c r="S35" i="3" s="1"/>
  <c r="N61" i="3"/>
  <c r="R61" i="3" s="1"/>
  <c r="N68" i="3"/>
  <c r="Q68" i="3" s="1"/>
  <c r="N81" i="3"/>
  <c r="Q81" i="3" s="1"/>
  <c r="N84" i="3"/>
  <c r="Q84" i="3" s="1"/>
  <c r="N97" i="3"/>
  <c r="Q97" i="3" s="1"/>
  <c r="N100" i="3"/>
  <c r="Q100" i="3" s="1"/>
  <c r="N7" i="3"/>
  <c r="Q7" i="3" s="1"/>
  <c r="N12" i="3"/>
  <c r="Q12" i="3" s="1"/>
  <c r="N18" i="3"/>
  <c r="Q18" i="3" s="1"/>
  <c r="N48" i="3"/>
  <c r="S48" i="3" s="1"/>
  <c r="N50" i="3"/>
  <c r="Q50" i="3" s="1"/>
  <c r="N53" i="3"/>
  <c r="R53" i="3" s="1"/>
  <c r="N83" i="3"/>
  <c r="Q83" i="3" s="1"/>
  <c r="N106" i="3"/>
  <c r="Q106" i="3" s="1"/>
  <c r="N122" i="3"/>
  <c r="S122" i="3" s="1"/>
  <c r="N131" i="3"/>
  <c r="Q131" i="3" s="1"/>
  <c r="N136" i="3"/>
  <c r="Q136" i="3" s="1"/>
  <c r="N10" i="3"/>
  <c r="Q10" i="3" s="1"/>
  <c r="N21" i="3"/>
  <c r="R21" i="3" s="1"/>
  <c r="N31" i="3"/>
  <c r="Q31" i="3" s="1"/>
  <c r="N54" i="3"/>
  <c r="S54" i="3" s="1"/>
  <c r="N60" i="3"/>
  <c r="S60" i="3" s="1"/>
  <c r="N86" i="3"/>
  <c r="Q86" i="3" s="1"/>
  <c r="N119" i="3"/>
  <c r="Q119" i="3" s="1"/>
  <c r="N127" i="3"/>
  <c r="Q127" i="3" s="1"/>
  <c r="N132" i="3"/>
  <c r="Q132" i="3" s="1"/>
  <c r="N141" i="3"/>
  <c r="Q141" i="3" s="1"/>
  <c r="N153" i="3"/>
  <c r="S153" i="3" s="1"/>
  <c r="N156" i="3"/>
  <c r="Q156" i="3" s="1"/>
  <c r="N22" i="3"/>
  <c r="R22" i="3" s="1"/>
  <c r="N25" i="3"/>
  <c r="R25" i="3" s="1"/>
  <c r="N28" i="3"/>
  <c r="Q28" i="3" s="1"/>
  <c r="N34" i="3"/>
  <c r="R34" i="3" s="1"/>
  <c r="N51" i="3"/>
  <c r="S51" i="3" s="1"/>
  <c r="N55" i="3"/>
  <c r="R55" i="3" s="1"/>
  <c r="N57" i="3"/>
  <c r="S57" i="3" s="1"/>
  <c r="N64" i="3"/>
  <c r="S64" i="3" s="1"/>
  <c r="N87" i="3"/>
  <c r="Q87" i="3" s="1"/>
  <c r="N93" i="3"/>
  <c r="Q93" i="3" s="1"/>
  <c r="N110" i="3"/>
  <c r="Q110" i="3" s="1"/>
  <c r="N114" i="3"/>
  <c r="S114" i="3" s="1"/>
  <c r="N123" i="3"/>
  <c r="Q123" i="3" s="1"/>
  <c r="N133" i="3"/>
  <c r="Q133" i="3" s="1"/>
  <c r="N137" i="3"/>
  <c r="S137" i="3" s="1"/>
  <c r="N146" i="3"/>
  <c r="Q146" i="3" s="1"/>
  <c r="N150" i="3"/>
  <c r="Q150" i="3" s="1"/>
  <c r="N23" i="3"/>
  <c r="Q23" i="3" s="1"/>
  <c r="N58" i="3"/>
  <c r="S58" i="3" s="1"/>
  <c r="N139" i="3"/>
  <c r="S139" i="3" s="1"/>
  <c r="N149" i="3"/>
  <c r="Q149" i="3" s="1"/>
  <c r="N166" i="3"/>
  <c r="Q166" i="3" s="1"/>
  <c r="N182" i="3"/>
  <c r="Q182" i="3" s="1"/>
  <c r="N198" i="3"/>
  <c r="Q198" i="3" s="1"/>
  <c r="N214" i="3"/>
  <c r="Q214" i="3" s="1"/>
  <c r="N221" i="3"/>
  <c r="Q221" i="3" s="1"/>
  <c r="N224" i="3"/>
  <c r="Q224" i="3" s="1"/>
  <c r="N227" i="3"/>
  <c r="Q227" i="3" s="1"/>
  <c r="N237" i="3"/>
  <c r="Q237" i="3" s="1"/>
  <c r="N240" i="3"/>
  <c r="Q240" i="3" s="1"/>
  <c r="N243" i="3"/>
  <c r="Q243" i="3" s="1"/>
  <c r="N253" i="3"/>
  <c r="Q253" i="3" s="1"/>
  <c r="N256" i="3"/>
  <c r="P256" i="3" s="1"/>
  <c r="N262" i="3"/>
  <c r="P262" i="3" s="1"/>
  <c r="N265" i="3"/>
  <c r="P265" i="3" s="1"/>
  <c r="N268" i="3"/>
  <c r="P268" i="3" s="1"/>
  <c r="N274" i="3"/>
  <c r="P274" i="3" s="1"/>
  <c r="N283" i="3"/>
  <c r="P283" i="3" s="1"/>
  <c r="N311" i="3"/>
  <c r="P311" i="3" s="1"/>
  <c r="N317" i="3"/>
  <c r="P317" i="3" s="1"/>
  <c r="N320" i="3"/>
  <c r="P320" i="3" s="1"/>
  <c r="N326" i="3"/>
  <c r="P326" i="3" s="1"/>
  <c r="N342" i="3"/>
  <c r="S342" i="3" s="1"/>
  <c r="N345" i="3"/>
  <c r="P345" i="3" s="1"/>
  <c r="N348" i="3"/>
  <c r="P348" i="3" s="1"/>
  <c r="N354" i="3"/>
  <c r="O354" i="3" s="1"/>
  <c r="N364" i="3"/>
  <c r="S364" i="3" s="1"/>
  <c r="N367" i="3"/>
  <c r="S367" i="3" s="1"/>
  <c r="N370" i="3"/>
  <c r="S370" i="3" s="1"/>
  <c r="N380" i="3"/>
  <c r="Q380" i="3" s="1"/>
  <c r="N393" i="3"/>
  <c r="S393" i="3" s="1"/>
  <c r="N396" i="3"/>
  <c r="S396" i="3" s="1"/>
  <c r="N399" i="3"/>
  <c r="S399" i="3" s="1"/>
  <c r="N402" i="3"/>
  <c r="S402" i="3" s="1"/>
  <c r="N6" i="3"/>
  <c r="R6" i="3" s="1"/>
  <c r="N77" i="3"/>
  <c r="Q77" i="3" s="1"/>
  <c r="N94" i="3"/>
  <c r="Q94" i="3" s="1"/>
  <c r="N96" i="3"/>
  <c r="Q96" i="3" s="1"/>
  <c r="N140" i="3"/>
  <c r="Q140" i="3" s="1"/>
  <c r="N143" i="3"/>
  <c r="Q143" i="3" s="1"/>
  <c r="N152" i="3"/>
  <c r="S152" i="3" s="1"/>
  <c r="N170" i="3"/>
  <c r="Q170" i="3" s="1"/>
  <c r="N183" i="3"/>
  <c r="Q183" i="3" s="1"/>
  <c r="N263" i="3"/>
  <c r="P263" i="3" s="1"/>
  <c r="N269" i="3"/>
  <c r="P269" i="3" s="1"/>
  <c r="N272" i="3"/>
  <c r="P272" i="3" s="1"/>
  <c r="N281" i="3"/>
  <c r="P281" i="3" s="1"/>
  <c r="N284" i="3"/>
  <c r="P284" i="3" s="1"/>
  <c r="N327" i="3"/>
  <c r="P327" i="3" s="1"/>
  <c r="N330" i="3"/>
  <c r="P330" i="3" s="1"/>
  <c r="N9" i="3"/>
  <c r="Q9" i="3" s="1"/>
  <c r="N15" i="3"/>
  <c r="Q15" i="3" s="1"/>
  <c r="N109" i="3"/>
  <c r="Q109" i="3" s="1"/>
  <c r="N112" i="3"/>
  <c r="Q112" i="3" s="1"/>
  <c r="N115" i="3"/>
  <c r="Q115" i="3" s="1"/>
  <c r="N116" i="3"/>
  <c r="Q116" i="3" s="1"/>
  <c r="N157" i="3"/>
  <c r="Q157" i="3" s="1"/>
  <c r="N160" i="3"/>
  <c r="Q160" i="3" s="1"/>
  <c r="N163" i="3"/>
  <c r="S163" i="3" s="1"/>
  <c r="N173" i="3"/>
  <c r="Q173" i="3" s="1"/>
  <c r="N176" i="3"/>
  <c r="S176" i="3" s="1"/>
  <c r="N179" i="3"/>
  <c r="Q179" i="3" s="1"/>
  <c r="N189" i="3"/>
  <c r="Q189" i="3" s="1"/>
  <c r="N192" i="3"/>
  <c r="Q192" i="3" s="1"/>
  <c r="N195" i="3"/>
  <c r="Q195" i="3" s="1"/>
  <c r="N205" i="3"/>
  <c r="Q205" i="3" s="1"/>
  <c r="N208" i="3"/>
  <c r="S208" i="3" s="1"/>
  <c r="N211" i="3"/>
  <c r="Q211" i="3" s="1"/>
  <c r="N231" i="3"/>
  <c r="Q231" i="3" s="1"/>
  <c r="N234" i="3"/>
  <c r="S234" i="3" s="1"/>
  <c r="N247" i="3"/>
  <c r="S247" i="3" s="1"/>
  <c r="N250" i="3"/>
  <c r="Q250" i="3" s="1"/>
  <c r="N259" i="3"/>
  <c r="P259" i="3" s="1"/>
  <c r="N287" i="3"/>
  <c r="P287" i="3" s="1"/>
  <c r="N293" i="3"/>
  <c r="P293" i="3" s="1"/>
  <c r="N296" i="3"/>
  <c r="P296" i="3" s="1"/>
  <c r="N302" i="3"/>
  <c r="P302" i="3" s="1"/>
  <c r="N305" i="3"/>
  <c r="P305" i="3" s="1"/>
  <c r="N308" i="3"/>
  <c r="P308" i="3" s="1"/>
  <c r="N314" i="3"/>
  <c r="P314" i="3" s="1"/>
  <c r="N323" i="3"/>
  <c r="P323" i="3" s="1"/>
  <c r="N333" i="3"/>
  <c r="P333" i="3" s="1"/>
  <c r="N336" i="3"/>
  <c r="P336" i="3" s="1"/>
  <c r="N339" i="3"/>
  <c r="S339" i="3" s="1"/>
  <c r="N361" i="3"/>
  <c r="S361" i="3" s="1"/>
  <c r="N377" i="3"/>
  <c r="S377" i="3" s="1"/>
  <c r="N387" i="3"/>
  <c r="S387" i="3" s="1"/>
  <c r="N390" i="3"/>
  <c r="S390" i="3" s="1"/>
  <c r="N409" i="3"/>
  <c r="S409" i="3" s="1"/>
  <c r="N412" i="3"/>
  <c r="S412" i="3" s="1"/>
  <c r="N415" i="3"/>
  <c r="S415" i="3" s="1"/>
  <c r="N418" i="3"/>
  <c r="S418" i="3" s="1"/>
  <c r="N421" i="3"/>
  <c r="R421" i="3" s="1"/>
  <c r="N67" i="3"/>
  <c r="S67" i="3" s="1"/>
  <c r="N70" i="3"/>
  <c r="Q70" i="3" s="1"/>
  <c r="N80" i="3"/>
  <c r="Q80" i="3" s="1"/>
  <c r="N142" i="3"/>
  <c r="Q142" i="3" s="1"/>
  <c r="N167" i="3"/>
  <c r="Q167" i="3" s="1"/>
  <c r="N186" i="3"/>
  <c r="Q186" i="3" s="1"/>
  <c r="N199" i="3"/>
  <c r="Q199" i="3" s="1"/>
  <c r="N202" i="3"/>
  <c r="S202" i="3" s="1"/>
  <c r="N215" i="3"/>
  <c r="Q215" i="3" s="1"/>
  <c r="N218" i="3"/>
  <c r="S218" i="3" s="1"/>
  <c r="N225" i="3"/>
  <c r="Q225" i="3" s="1"/>
  <c r="N228" i="3"/>
  <c r="Q228" i="3" s="1"/>
  <c r="N241" i="3"/>
  <c r="Q241" i="3" s="1"/>
  <c r="N244" i="3"/>
  <c r="Q244" i="3" s="1"/>
  <c r="N278" i="3"/>
  <c r="P278" i="3" s="1"/>
  <c r="N290" i="3"/>
  <c r="P290" i="3" s="1"/>
  <c r="N299" i="3"/>
  <c r="P299" i="3" s="1"/>
  <c r="N26" i="3"/>
  <c r="Q26" i="3" s="1"/>
  <c r="N65" i="3"/>
  <c r="R65" i="3" s="1"/>
  <c r="N71" i="3"/>
  <c r="Q71" i="3" s="1"/>
  <c r="N74" i="3"/>
  <c r="Q74" i="3" s="1"/>
  <c r="N78" i="3"/>
  <c r="S78" i="3" s="1"/>
  <c r="N99" i="3"/>
  <c r="Q99" i="3" s="1"/>
  <c r="N102" i="3"/>
  <c r="Q102" i="3" s="1"/>
  <c r="N113" i="3"/>
  <c r="Q113" i="3" s="1"/>
  <c r="N117" i="3"/>
  <c r="S117" i="3" s="1"/>
  <c r="N161" i="3"/>
  <c r="Q161" i="3" s="1"/>
  <c r="N164" i="3"/>
  <c r="Q164" i="3" s="1"/>
  <c r="N177" i="3"/>
  <c r="Q177" i="3" s="1"/>
  <c r="N180" i="3"/>
  <c r="Q180" i="3" s="1"/>
  <c r="N193" i="3"/>
  <c r="Q193" i="3" s="1"/>
  <c r="N196" i="3"/>
  <c r="Q196" i="3" s="1"/>
  <c r="N209" i="3"/>
  <c r="Q209" i="3" s="1"/>
  <c r="N212" i="3"/>
  <c r="Q212" i="3" s="1"/>
  <c r="N222" i="3"/>
  <c r="Q222" i="3" s="1"/>
  <c r="N235" i="3"/>
  <c r="Q235" i="3" s="1"/>
  <c r="N238" i="3"/>
  <c r="S238" i="3" s="1"/>
  <c r="N254" i="3"/>
  <c r="Q254" i="3" s="1"/>
  <c r="N257" i="3"/>
  <c r="P257" i="3" s="1"/>
  <c r="N260" i="3"/>
  <c r="P260" i="3" s="1"/>
  <c r="N266" i="3"/>
  <c r="P266" i="3" s="1"/>
  <c r="N275" i="3"/>
  <c r="P275" i="3" s="1"/>
  <c r="N303" i="3"/>
  <c r="P303" i="3" s="1"/>
  <c r="N309" i="3"/>
  <c r="P309" i="3" s="1"/>
  <c r="N312" i="3"/>
  <c r="P312" i="3" s="1"/>
  <c r="N318" i="3"/>
  <c r="P318" i="3" s="1"/>
  <c r="N321" i="3"/>
  <c r="P321" i="3" s="1"/>
  <c r="N324" i="3"/>
  <c r="P324" i="3" s="1"/>
  <c r="N340" i="3"/>
  <c r="P340" i="3" s="1"/>
  <c r="N346" i="3"/>
  <c r="P346" i="3" s="1"/>
  <c r="N365" i="3"/>
  <c r="S365" i="3" s="1"/>
  <c r="N368" i="3"/>
  <c r="R368" i="3" s="1"/>
  <c r="N388" i="3"/>
  <c r="S388" i="3" s="1"/>
  <c r="N391" i="3"/>
  <c r="S391" i="3" s="1"/>
  <c r="N394" i="3"/>
  <c r="Q394" i="3" s="1"/>
  <c r="N397" i="3"/>
  <c r="S397" i="3" s="1"/>
  <c r="N400" i="3"/>
  <c r="Q400" i="3" s="1"/>
  <c r="N38" i="3"/>
  <c r="Q38" i="3" s="1"/>
  <c r="N41" i="3"/>
  <c r="Q41" i="3" s="1"/>
  <c r="N44" i="3"/>
  <c r="R44" i="3" s="1"/>
  <c r="N47" i="3"/>
  <c r="Q47" i="3" s="1"/>
  <c r="N90" i="3"/>
  <c r="Q90" i="3" s="1"/>
  <c r="N121" i="3"/>
  <c r="Q121" i="3" s="1"/>
  <c r="N130" i="3"/>
  <c r="S130" i="3" s="1"/>
  <c r="N134" i="3"/>
  <c r="Q134" i="3" s="1"/>
  <c r="N147" i="3"/>
  <c r="Q147" i="3" s="1"/>
  <c r="N159" i="3"/>
  <c r="S159" i="3" s="1"/>
  <c r="N162" i="3"/>
  <c r="Q162" i="3" s="1"/>
  <c r="N175" i="3"/>
  <c r="Q175" i="3" s="1"/>
  <c r="N178" i="3"/>
  <c r="Q178" i="3" s="1"/>
  <c r="N191" i="3"/>
  <c r="Q191" i="3" s="1"/>
  <c r="N194" i="3"/>
  <c r="Q194" i="3" s="1"/>
  <c r="N204" i="3"/>
  <c r="S204" i="3" s="1"/>
  <c r="N207" i="3"/>
  <c r="S207" i="3" s="1"/>
  <c r="N210" i="3"/>
  <c r="Q210" i="3" s="1"/>
  <c r="N220" i="3"/>
  <c r="Q220" i="3" s="1"/>
  <c r="N233" i="3"/>
  <c r="Q233" i="3" s="1"/>
  <c r="N249" i="3"/>
  <c r="S249" i="3" s="1"/>
  <c r="N252" i="3"/>
  <c r="Q252" i="3" s="1"/>
  <c r="N258" i="3"/>
  <c r="P258" i="3" s="1"/>
  <c r="N267" i="3"/>
  <c r="P267" i="3" s="1"/>
  <c r="N295" i="3"/>
  <c r="P295" i="3" s="1"/>
  <c r="N301" i="3"/>
  <c r="P301" i="3" s="1"/>
  <c r="N304" i="3"/>
  <c r="P304" i="3" s="1"/>
  <c r="N310" i="3"/>
  <c r="P310" i="3" s="1"/>
  <c r="N313" i="3"/>
  <c r="P313" i="3" s="1"/>
  <c r="N316" i="3"/>
  <c r="P316" i="3" s="1"/>
  <c r="N322" i="3"/>
  <c r="P322" i="3" s="1"/>
  <c r="N335" i="3"/>
  <c r="P335" i="3" s="1"/>
  <c r="N347" i="3"/>
  <c r="P347" i="3" s="1"/>
  <c r="N363" i="3"/>
  <c r="S363" i="3" s="1"/>
  <c r="N366" i="3"/>
  <c r="S366" i="3" s="1"/>
  <c r="N379" i="3"/>
  <c r="S379" i="3" s="1"/>
  <c r="N389" i="3"/>
  <c r="S389" i="3" s="1"/>
  <c r="N392" i="3"/>
  <c r="S392" i="3" s="1"/>
  <c r="N395" i="3"/>
  <c r="Q395" i="3" s="1"/>
  <c r="N398" i="3"/>
  <c r="S398" i="3" s="1"/>
  <c r="N417" i="3"/>
  <c r="S417" i="3" s="1"/>
  <c r="N420" i="3"/>
  <c r="R420" i="3" s="1"/>
  <c r="N124" i="3"/>
  <c r="Q124" i="3" s="1"/>
  <c r="N126" i="3"/>
  <c r="Q126" i="3" s="1"/>
  <c r="N154" i="3"/>
  <c r="Q154" i="3" s="1"/>
  <c r="N158" i="3"/>
  <c r="Q158" i="3" s="1"/>
  <c r="N197" i="3"/>
  <c r="Q197" i="3" s="1"/>
  <c r="N200" i="3"/>
  <c r="Q200" i="3" s="1"/>
  <c r="N213" i="3"/>
  <c r="Q213" i="3" s="1"/>
  <c r="N216" i="3"/>
  <c r="Q216" i="3" s="1"/>
  <c r="N344" i="3"/>
  <c r="P344" i="3" s="1"/>
  <c r="N357" i="3"/>
  <c r="S357" i="3" s="1"/>
  <c r="N383" i="3"/>
  <c r="S383" i="3" s="1"/>
  <c r="N403" i="3"/>
  <c r="S403" i="3" s="1"/>
  <c r="N404" i="3"/>
  <c r="S404" i="3" s="1"/>
  <c r="N45" i="3"/>
  <c r="Q45" i="3" s="1"/>
  <c r="N232" i="3"/>
  <c r="Q232" i="3" s="1"/>
  <c r="N350" i="3"/>
  <c r="O350" i="3" s="1"/>
  <c r="N230" i="3"/>
  <c r="Q230" i="3" s="1"/>
  <c r="N306" i="3"/>
  <c r="P306" i="3" s="1"/>
  <c r="N328" i="3"/>
  <c r="S328" i="3" s="1"/>
  <c r="N352" i="3"/>
  <c r="O352" i="3" s="1"/>
  <c r="N374" i="3"/>
  <c r="Q374" i="3" s="1"/>
  <c r="N378" i="3"/>
  <c r="S378" i="3" s="1"/>
  <c r="N190" i="3"/>
  <c r="Q190" i="3" s="1"/>
  <c r="N206" i="3"/>
  <c r="Q206" i="3" s="1"/>
  <c r="N280" i="3"/>
  <c r="P280" i="3" s="1"/>
  <c r="N282" i="3"/>
  <c r="P282" i="3" s="1"/>
  <c r="N307" i="3"/>
  <c r="P307" i="3" s="1"/>
  <c r="N376" i="3"/>
  <c r="S376" i="3" s="1"/>
  <c r="N42" i="3"/>
  <c r="Q42" i="3" s="1"/>
  <c r="N103" i="3"/>
  <c r="Q103" i="3" s="1"/>
  <c r="N144" i="3"/>
  <c r="S144" i="3" s="1"/>
  <c r="N203" i="3"/>
  <c r="S203" i="3" s="1"/>
  <c r="N219" i="3"/>
  <c r="Q219" i="3" s="1"/>
  <c r="N332" i="3"/>
  <c r="P332" i="3" s="1"/>
  <c r="N401" i="3"/>
  <c r="S401" i="3" s="1"/>
  <c r="N111" i="3"/>
  <c r="Q111" i="3" s="1"/>
  <c r="N201" i="3"/>
  <c r="Q201" i="3" s="1"/>
  <c r="N217" i="3"/>
  <c r="Q217" i="3" s="1"/>
  <c r="N236" i="3"/>
  <c r="S236" i="3" s="1"/>
  <c r="N255" i="3"/>
  <c r="P255" i="3" s="1"/>
  <c r="N300" i="3"/>
  <c r="P300" i="3" s="1"/>
  <c r="N315" i="3"/>
  <c r="P315" i="3" s="1"/>
  <c r="N358" i="3"/>
  <c r="S358" i="3" s="1"/>
  <c r="N359" i="3"/>
  <c r="S359" i="3" s="1"/>
  <c r="N362" i="3"/>
  <c r="S362" i="3" s="1"/>
  <c r="N384" i="3"/>
  <c r="S384" i="3" s="1"/>
  <c r="N385" i="3"/>
  <c r="S385" i="3" s="1"/>
  <c r="N405" i="3"/>
  <c r="S405" i="3" s="1"/>
  <c r="N288" i="3"/>
  <c r="P288" i="3" s="1"/>
  <c r="N294" i="3"/>
  <c r="P294" i="3" s="1"/>
  <c r="N373" i="3"/>
  <c r="S373" i="3" s="1"/>
  <c r="N411" i="3"/>
  <c r="S411" i="3" s="1"/>
  <c r="N181" i="3"/>
  <c r="Q181" i="3" s="1"/>
  <c r="N184" i="3"/>
  <c r="S184" i="3" s="1"/>
  <c r="N226" i="3"/>
  <c r="Q226" i="3" s="1"/>
  <c r="N279" i="3"/>
  <c r="P279" i="3" s="1"/>
  <c r="N285" i="3"/>
  <c r="P285" i="3" s="1"/>
  <c r="N289" i="3"/>
  <c r="P289" i="3" s="1"/>
  <c r="N337" i="3"/>
  <c r="P337" i="3" s="1"/>
  <c r="N341" i="3"/>
  <c r="P341" i="3" s="1"/>
  <c r="N185" i="3"/>
  <c r="Q185" i="3" s="1"/>
  <c r="N187" i="3"/>
  <c r="Q187" i="3" s="1"/>
  <c r="N246" i="3"/>
  <c r="Q246" i="3" s="1"/>
  <c r="N261" i="3"/>
  <c r="S261" i="3" s="1"/>
  <c r="N264" i="3"/>
  <c r="P264" i="3" s="1"/>
  <c r="N270" i="3"/>
  <c r="P270" i="3" s="1"/>
  <c r="N276" i="3"/>
  <c r="P276" i="3" s="1"/>
  <c r="N286" i="3"/>
  <c r="P286" i="3" s="1"/>
  <c r="N292" i="3"/>
  <c r="P292" i="3" s="1"/>
  <c r="N331" i="3"/>
  <c r="P331" i="3" s="1"/>
  <c r="N334" i="3"/>
  <c r="P334" i="3" s="1"/>
  <c r="N338" i="3"/>
  <c r="S338" i="3" s="1"/>
  <c r="N343" i="3"/>
  <c r="S343" i="3" s="1"/>
  <c r="N39" i="3"/>
  <c r="Q39" i="3" s="1"/>
  <c r="N120" i="3"/>
  <c r="S120" i="3" s="1"/>
  <c r="N155" i="3"/>
  <c r="Q155" i="3" s="1"/>
  <c r="N165" i="3"/>
  <c r="S165" i="3" s="1"/>
  <c r="N168" i="3"/>
  <c r="Q168" i="3" s="1"/>
  <c r="N297" i="3"/>
  <c r="P297" i="3" s="1"/>
  <c r="N349" i="3"/>
  <c r="P349" i="3" s="1"/>
  <c r="N360" i="3"/>
  <c r="S360" i="3" s="1"/>
  <c r="N369" i="3"/>
  <c r="S369" i="3" s="1"/>
  <c r="N386" i="3"/>
  <c r="S386" i="3" s="1"/>
  <c r="N406" i="3"/>
  <c r="R406" i="3" s="1"/>
  <c r="N407" i="3"/>
  <c r="S407" i="3" s="1"/>
  <c r="N410" i="3"/>
  <c r="Q410" i="3" s="1"/>
  <c r="N419" i="3"/>
  <c r="R419" i="3" s="1"/>
  <c r="N129" i="3"/>
  <c r="S129" i="3" s="1"/>
  <c r="N172" i="3"/>
  <c r="Q172" i="3" s="1"/>
  <c r="N248" i="3"/>
  <c r="Q248" i="3" s="1"/>
  <c r="N245" i="3"/>
  <c r="S245" i="3" s="1"/>
  <c r="N291" i="3"/>
  <c r="P291" i="3" s="1"/>
  <c r="N375" i="3"/>
  <c r="S375" i="3" s="1"/>
  <c r="N273" i="3"/>
  <c r="P273" i="3" s="1"/>
  <c r="N277" i="3"/>
  <c r="P277" i="3" s="1"/>
  <c r="N356" i="3"/>
  <c r="O356" i="3" s="1"/>
  <c r="N151" i="3"/>
  <c r="Q151" i="3" s="1"/>
  <c r="N169" i="3"/>
  <c r="Q169" i="3" s="1"/>
  <c r="N171" i="3"/>
  <c r="Q171" i="3" s="1"/>
  <c r="N174" i="3"/>
  <c r="Q174" i="3" s="1"/>
  <c r="N229" i="3"/>
  <c r="Q229" i="3" s="1"/>
  <c r="N251" i="3"/>
  <c r="Q251" i="3" s="1"/>
  <c r="N298" i="3"/>
  <c r="P298" i="3" s="1"/>
  <c r="N371" i="3"/>
  <c r="S371" i="3" s="1"/>
  <c r="N372" i="3"/>
  <c r="S372" i="3" s="1"/>
  <c r="N408" i="3"/>
  <c r="R408" i="3" s="1"/>
  <c r="N413" i="3"/>
  <c r="S413" i="3" s="1"/>
  <c r="N416" i="3"/>
  <c r="Q416" i="3" s="1"/>
  <c r="N325" i="3"/>
  <c r="P325" i="3" s="1"/>
  <c r="N414" i="3"/>
  <c r="R414" i="3" s="1"/>
  <c r="N223" i="3"/>
  <c r="Q223" i="3" s="1"/>
  <c r="N351" i="3"/>
  <c r="O351" i="3" s="1"/>
  <c r="N381" i="3"/>
  <c r="S381" i="3" s="1"/>
  <c r="N329" i="3"/>
  <c r="P329" i="3" s="1"/>
  <c r="N353" i="3"/>
  <c r="O353" i="3" s="1"/>
  <c r="N355" i="3"/>
  <c r="O355" i="3" s="1"/>
  <c r="N188" i="3"/>
  <c r="Q188" i="3" s="1"/>
  <c r="N239" i="3"/>
  <c r="Q239" i="3" s="1"/>
  <c r="N242" i="3"/>
  <c r="Q242" i="3" s="1"/>
  <c r="N271" i="3"/>
  <c r="P271" i="3" s="1"/>
  <c r="N319" i="3"/>
  <c r="P319" i="3" s="1"/>
  <c r="N382" i="3"/>
  <c r="S382" i="3" s="1"/>
  <c r="G30" i="74"/>
  <c r="G25" i="74"/>
  <c r="G29" i="74"/>
  <c r="G31" i="74"/>
  <c r="G18" i="74"/>
  <c r="U356" i="105"/>
  <c r="H18" i="74"/>
  <c r="I22" i="74"/>
  <c r="I23" i="74"/>
  <c r="I9" i="74"/>
  <c r="I8" i="74"/>
  <c r="I10" i="74"/>
  <c r="G11" i="74"/>
  <c r="O14" i="72"/>
  <c r="H14" i="72" s="1"/>
  <c r="H21" i="72" s="1"/>
  <c r="H28" i="72" s="1"/>
  <c r="H30" i="72" s="1"/>
  <c r="F21" i="72"/>
  <c r="F28" i="72" s="1"/>
  <c r="F30" i="72" s="1"/>
  <c r="F34" i="74" s="1"/>
  <c r="G34" i="74"/>
  <c r="I16" i="74"/>
  <c r="I17" i="74"/>
  <c r="I15" i="74"/>
  <c r="F16" i="74"/>
  <c r="F15" i="74"/>
  <c r="F17" i="74"/>
  <c r="H16" i="51"/>
  <c r="H36" i="51" s="1"/>
  <c r="H24" i="74"/>
  <c r="H23" i="74"/>
  <c r="H22" i="74"/>
  <c r="P18" i="72"/>
  <c r="I18" i="72" s="1"/>
  <c r="P23" i="72"/>
  <c r="I23" i="72" s="1"/>
  <c r="I33" i="72" s="1"/>
  <c r="I34" i="72" s="1"/>
  <c r="J26" i="51" s="1"/>
  <c r="F24" i="74"/>
  <c r="F23" i="74"/>
  <c r="F22" i="74"/>
  <c r="H9" i="74"/>
  <c r="H10" i="74"/>
  <c r="H8" i="74"/>
  <c r="F9" i="74"/>
  <c r="F8" i="74"/>
  <c r="F10" i="74"/>
  <c r="D10" i="63"/>
  <c r="E10" i="63"/>
  <c r="C10" i="63"/>
  <c r="G10" i="63"/>
  <c r="B10" i="63"/>
  <c r="H10" i="63"/>
  <c r="I10" i="63"/>
  <c r="F10" i="63"/>
  <c r="I8" i="63"/>
  <c r="H8" i="63"/>
  <c r="B8" i="63"/>
  <c r="G8" i="63"/>
  <c r="D8" i="63"/>
  <c r="E8" i="63"/>
  <c r="C8" i="63"/>
  <c r="F8" i="63"/>
  <c r="H9" i="63"/>
  <c r="C9" i="63"/>
  <c r="G9" i="63"/>
  <c r="I9" i="63"/>
  <c r="F9" i="63"/>
  <c r="E9" i="63"/>
  <c r="B9" i="63"/>
  <c r="D9" i="63"/>
  <c r="S356" i="105"/>
  <c r="L11" i="109"/>
  <c r="J227" i="84"/>
  <c r="H436" i="83"/>
  <c r="I436" i="83"/>
  <c r="T356" i="105"/>
  <c r="E39" i="69"/>
  <c r="D41" i="56"/>
  <c r="B39" i="69"/>
  <c r="B41" i="69" s="1"/>
  <c r="F39" i="69"/>
  <c r="C39" i="69"/>
  <c r="G39" i="69"/>
  <c r="E13" i="50"/>
  <c r="E23" i="50" s="1"/>
  <c r="I39" i="69"/>
  <c r="D39" i="69"/>
  <c r="H39" i="69"/>
  <c r="I35" i="51"/>
  <c r="D32" i="74"/>
  <c r="D36" i="74" s="1"/>
  <c r="C32" i="74"/>
  <c r="C36" i="74" s="1"/>
  <c r="B32" i="74"/>
  <c r="B36" i="74" s="1"/>
  <c r="I13" i="50"/>
  <c r="I23" i="50" s="1"/>
  <c r="I4" i="51"/>
  <c r="I9" i="51" s="1"/>
  <c r="F40" i="69"/>
  <c r="J5" i="51"/>
  <c r="J9" i="51" s="1"/>
  <c r="J14" i="50"/>
  <c r="I26" i="62"/>
  <c r="J26" i="62"/>
  <c r="D13" i="50"/>
  <c r="D23" i="50" s="1"/>
  <c r="D4" i="51"/>
  <c r="D9" i="51" s="1"/>
  <c r="C40" i="69"/>
  <c r="E40" i="69"/>
  <c r="H35" i="51"/>
  <c r="D40" i="69"/>
  <c r="I40" i="69"/>
  <c r="H40" i="69"/>
  <c r="G40" i="69"/>
  <c r="J32" i="62"/>
  <c r="J17" i="62"/>
  <c r="I17" i="62"/>
  <c r="J8" i="63"/>
  <c r="I32" i="62"/>
  <c r="D18" i="62"/>
  <c r="I18" i="62"/>
  <c r="J18" i="62"/>
  <c r="J9" i="63"/>
  <c r="F19" i="62"/>
  <c r="I19" i="62"/>
  <c r="J19" i="62"/>
  <c r="J10" i="63"/>
  <c r="H17" i="62"/>
  <c r="F17" i="62"/>
  <c r="G17" i="62"/>
  <c r="B17" i="62"/>
  <c r="D17" i="62"/>
  <c r="E17" i="62"/>
  <c r="C17" i="62"/>
  <c r="W4" i="100"/>
  <c r="E48" i="110" s="1"/>
  <c r="R279" i="100"/>
  <c r="V4" i="100"/>
  <c r="D48" i="110" s="1"/>
  <c r="Q279" i="100"/>
  <c r="P279" i="101"/>
  <c r="V7" i="101"/>
  <c r="J5" i="83"/>
  <c r="Q4" i="101"/>
  <c r="G37" i="51"/>
  <c r="N4" i="99"/>
  <c r="N4" i="102"/>
  <c r="P4" i="102" s="1"/>
  <c r="D33" i="110"/>
  <c r="K13" i="110"/>
  <c r="N4" i="101"/>
  <c r="N4" i="103"/>
  <c r="G14" i="62"/>
  <c r="N4" i="100"/>
  <c r="V5" i="99"/>
  <c r="D52" i="109" s="1"/>
  <c r="T3" i="106"/>
  <c r="S3" i="106"/>
  <c r="U3" i="106"/>
  <c r="Y3" i="105"/>
  <c r="W3" i="105"/>
  <c r="K13" i="113"/>
  <c r="K13" i="111"/>
  <c r="K13" i="112"/>
  <c r="K13" i="37"/>
  <c r="W5" i="99"/>
  <c r="E52" i="109" s="1"/>
  <c r="N4" i="89"/>
  <c r="M3" i="98"/>
  <c r="M3" i="105"/>
  <c r="M3" i="107"/>
  <c r="O3" i="107" s="1"/>
  <c r="M3" i="104"/>
  <c r="M3" i="108"/>
  <c r="M3" i="106"/>
  <c r="L16" i="20"/>
  <c r="L8" i="20"/>
  <c r="B9" i="8" s="1"/>
  <c r="C14" i="8" s="1"/>
  <c r="K13" i="109"/>
  <c r="L11" i="37"/>
  <c r="N5" i="3"/>
  <c r="Q5" i="3" s="1"/>
  <c r="L11" i="112"/>
  <c r="E25" i="62"/>
  <c r="L11" i="113"/>
  <c r="F35" i="51"/>
  <c r="D45" i="50"/>
  <c r="G35" i="51"/>
  <c r="B43" i="79"/>
  <c r="E44" i="79" s="1"/>
  <c r="F16" i="80" s="1"/>
  <c r="E24" i="62"/>
  <c r="L11" i="110"/>
  <c r="E14" i="62"/>
  <c r="L11" i="111"/>
  <c r="G40" i="75"/>
  <c r="H16" i="50"/>
  <c r="H26" i="50" s="1"/>
  <c r="E41" i="56"/>
  <c r="F13" i="50"/>
  <c r="F23" i="50" s="1"/>
  <c r="I31" i="80"/>
  <c r="B32" i="62"/>
  <c r="H40" i="75"/>
  <c r="I16" i="50"/>
  <c r="I26" i="50" s="1"/>
  <c r="D42" i="50"/>
  <c r="C18" i="62"/>
  <c r="B18" i="62"/>
  <c r="C19" i="62"/>
  <c r="B19" i="62"/>
  <c r="C26" i="62"/>
  <c r="C31" i="80"/>
  <c r="B26" i="62"/>
  <c r="D31" i="80"/>
  <c r="C32" i="62"/>
  <c r="G32" i="62"/>
  <c r="F32" i="62"/>
  <c r="H14" i="62"/>
  <c r="E32" i="62"/>
  <c r="H32" i="62"/>
  <c r="E33" i="110"/>
  <c r="F31" i="80"/>
  <c r="F33" i="110"/>
  <c r="G22" i="110"/>
  <c r="H41" i="56"/>
  <c r="C45" i="80"/>
  <c r="D19" i="62"/>
  <c r="G19" i="62"/>
  <c r="E19" i="62"/>
  <c r="H19" i="62"/>
  <c r="G18" i="62"/>
  <c r="E18" i="62"/>
  <c r="H18" i="62"/>
  <c r="F18" i="62"/>
  <c r="L12" i="37"/>
  <c r="L12" i="109"/>
  <c r="L12" i="113"/>
  <c r="L12" i="111"/>
  <c r="L12" i="110"/>
  <c r="L12" i="112"/>
  <c r="K5" i="84"/>
  <c r="L10" i="113"/>
  <c r="L10" i="111"/>
  <c r="L10" i="110"/>
  <c r="L10" i="109"/>
  <c r="L10" i="112"/>
  <c r="K3" i="83"/>
  <c r="H23" i="62"/>
  <c r="H25" i="62"/>
  <c r="F24" i="62"/>
  <c r="D32" i="62"/>
  <c r="F25" i="62"/>
  <c r="D14" i="62"/>
  <c r="F14" i="62"/>
  <c r="D51" i="59"/>
  <c r="D26" i="62"/>
  <c r="H44" i="59"/>
  <c r="E32" i="110"/>
  <c r="G21" i="110"/>
  <c r="D32" i="110"/>
  <c r="F32" i="109"/>
  <c r="D32" i="109"/>
  <c r="E32" i="109"/>
  <c r="G21" i="109"/>
  <c r="F32" i="110"/>
  <c r="F32" i="37"/>
  <c r="F33" i="37"/>
  <c r="L7" i="20"/>
  <c r="C25" i="7"/>
  <c r="D22" i="112" s="1"/>
  <c r="V5" i="89"/>
  <c r="W5" i="89"/>
  <c r="L10" i="37"/>
  <c r="M5" i="2"/>
  <c r="E17" i="51"/>
  <c r="E37" i="51" s="1"/>
  <c r="D12" i="81"/>
  <c r="H31" i="80"/>
  <c r="D49" i="78"/>
  <c r="B45" i="80"/>
  <c r="L14" i="20"/>
  <c r="G31" i="80"/>
  <c r="L348" i="2"/>
  <c r="L6" i="20"/>
  <c r="E9" i="51"/>
  <c r="K15" i="20"/>
  <c r="E33" i="37"/>
  <c r="B24" i="7"/>
  <c r="C22" i="111" s="1"/>
  <c r="G21" i="37"/>
  <c r="E32" i="37"/>
  <c r="D32" i="37"/>
  <c r="M422" i="3"/>
  <c r="E8" i="74"/>
  <c r="E9" i="74"/>
  <c r="E10" i="74"/>
  <c r="I37" i="80"/>
  <c r="E37" i="80"/>
  <c r="F37" i="80"/>
  <c r="B37" i="80"/>
  <c r="D37" i="80"/>
  <c r="C37" i="80"/>
  <c r="H37" i="80"/>
  <c r="G37" i="80"/>
  <c r="I7" i="80"/>
  <c r="I9" i="80" s="1"/>
  <c r="I40" i="78"/>
  <c r="J17" i="51" s="1"/>
  <c r="J37" i="51" s="1"/>
  <c r="E45" i="80"/>
  <c r="G35" i="80"/>
  <c r="C35" i="80"/>
  <c r="B35" i="80"/>
  <c r="E35" i="80"/>
  <c r="D35" i="80"/>
  <c r="F35" i="80"/>
  <c r="I35" i="80"/>
  <c r="H35" i="80"/>
  <c r="E24" i="74"/>
  <c r="E23" i="74"/>
  <c r="E22" i="74"/>
  <c r="F45" i="80"/>
  <c r="G46" i="78"/>
  <c r="G47" i="78" s="1"/>
  <c r="G13" i="78"/>
  <c r="E51" i="59"/>
  <c r="E40" i="75"/>
  <c r="F7" i="51"/>
  <c r="F37" i="51" s="1"/>
  <c r="E15" i="74"/>
  <c r="E16" i="74"/>
  <c r="E17" i="74"/>
  <c r="D45" i="80"/>
  <c r="C19" i="51"/>
  <c r="E21" i="72"/>
  <c r="E28" i="72" s="1"/>
  <c r="E30" i="72" s="1"/>
  <c r="I45" i="80"/>
  <c r="H13" i="78"/>
  <c r="H39" i="78"/>
  <c r="H45" i="80"/>
  <c r="E46" i="78"/>
  <c r="E47" i="78" s="1"/>
  <c r="F27" i="51" s="1"/>
  <c r="E13" i="78"/>
  <c r="G26" i="62"/>
  <c r="D19" i="51"/>
  <c r="G45" i="80"/>
  <c r="G39" i="56" l="1"/>
  <c r="G12" i="59"/>
  <c r="F12" i="59"/>
  <c r="F39" i="56"/>
  <c r="Y124" i="106"/>
  <c r="Y330" i="106"/>
  <c r="Y157" i="106"/>
  <c r="Y172" i="106"/>
  <c r="Y314" i="106"/>
  <c r="W187" i="106"/>
  <c r="W233" i="108"/>
  <c r="Y210" i="108"/>
  <c r="Y339" i="108"/>
  <c r="Y287" i="108"/>
  <c r="Y322" i="106"/>
  <c r="Y329" i="106"/>
  <c r="Y289" i="108"/>
  <c r="Y335" i="108"/>
  <c r="Y79" i="106"/>
  <c r="Y332" i="106"/>
  <c r="Y231" i="108"/>
  <c r="W344" i="106"/>
  <c r="Y148" i="106"/>
  <c r="W138" i="106"/>
  <c r="Y133" i="106"/>
  <c r="Y113" i="106"/>
  <c r="Y119" i="106"/>
  <c r="Y114" i="106"/>
  <c r="Y105" i="106"/>
  <c r="Y224" i="108"/>
  <c r="W284" i="106"/>
  <c r="Y193" i="106"/>
  <c r="Y146" i="106"/>
  <c r="Y132" i="106"/>
  <c r="Y319" i="106"/>
  <c r="Y81" i="106"/>
  <c r="Y303" i="106"/>
  <c r="Y288" i="108"/>
  <c r="Y317" i="106"/>
  <c r="Y141" i="106"/>
  <c r="Y58" i="108"/>
  <c r="Y241" i="106"/>
  <c r="W184" i="106"/>
  <c r="W167" i="106"/>
  <c r="W154" i="106"/>
  <c r="Y147" i="106"/>
  <c r="Y28" i="106"/>
  <c r="W18" i="106"/>
  <c r="Y111" i="106"/>
  <c r="Y323" i="108"/>
  <c r="Y118" i="106"/>
  <c r="Y196" i="106"/>
  <c r="Y315" i="106"/>
  <c r="W205" i="106"/>
  <c r="Y230" i="106"/>
  <c r="Y290" i="108"/>
  <c r="Y336" i="108"/>
  <c r="W27" i="106"/>
  <c r="W185" i="108"/>
  <c r="Y131" i="106"/>
  <c r="W32" i="106"/>
  <c r="W175" i="106"/>
  <c r="Y135" i="106"/>
  <c r="Y190" i="106"/>
  <c r="W165" i="106"/>
  <c r="Y249" i="108"/>
  <c r="Y252" i="106"/>
  <c r="Y234" i="108"/>
  <c r="Y50" i="108"/>
  <c r="Y122" i="106"/>
  <c r="Y258" i="106"/>
  <c r="Y117" i="106"/>
  <c r="Y49" i="108"/>
  <c r="Y134" i="106"/>
  <c r="W173" i="106"/>
  <c r="Y318" i="108"/>
  <c r="Y341" i="106"/>
  <c r="Y46" i="108"/>
  <c r="Y270" i="108"/>
  <c r="Y192" i="106"/>
  <c r="Y286" i="106"/>
  <c r="Y348" i="106"/>
  <c r="Y309" i="106"/>
  <c r="W316" i="106"/>
  <c r="Y307" i="106"/>
  <c r="Y331" i="106"/>
  <c r="Y343" i="106"/>
  <c r="Y80" i="106"/>
  <c r="Y338" i="108"/>
  <c r="Y189" i="106"/>
  <c r="Y137" i="106"/>
  <c r="Y325" i="106"/>
  <c r="S340" i="107"/>
  <c r="W340" i="107" s="1"/>
  <c r="T340" i="107"/>
  <c r="U340" i="107"/>
  <c r="T88" i="107"/>
  <c r="Y88" i="107" s="1"/>
  <c r="S88" i="107"/>
  <c r="U88" i="107"/>
  <c r="S62" i="107"/>
  <c r="T62" i="107"/>
  <c r="U62" i="107"/>
  <c r="U241" i="107"/>
  <c r="T241" i="107"/>
  <c r="S241" i="107"/>
  <c r="W241" i="107" s="1"/>
  <c r="T10" i="107"/>
  <c r="S10" i="107"/>
  <c r="U10" i="107"/>
  <c r="S134" i="107"/>
  <c r="W134" i="107" s="1"/>
  <c r="T134" i="107"/>
  <c r="U134" i="107"/>
  <c r="T243" i="107"/>
  <c r="Y243" i="107" s="1"/>
  <c r="S243" i="107"/>
  <c r="W243" i="107" s="1"/>
  <c r="U243" i="107"/>
  <c r="V243" i="107"/>
  <c r="S153" i="107"/>
  <c r="W153" i="107" s="1"/>
  <c r="T153" i="107"/>
  <c r="Y153" i="107" s="1"/>
  <c r="U153" i="107"/>
  <c r="X153" i="107" s="1"/>
  <c r="S172" i="107"/>
  <c r="W172" i="107" s="1"/>
  <c r="T172" i="107"/>
  <c r="U172" i="107"/>
  <c r="U65" i="107"/>
  <c r="T65" i="107"/>
  <c r="S65" i="107"/>
  <c r="T151" i="107"/>
  <c r="S151" i="107"/>
  <c r="U151" i="107"/>
  <c r="S330" i="107"/>
  <c r="W330" i="107" s="1"/>
  <c r="T330" i="107"/>
  <c r="U330" i="107"/>
  <c r="S162" i="107"/>
  <c r="W162" i="107" s="1"/>
  <c r="T162" i="107"/>
  <c r="U162" i="107"/>
  <c r="U130" i="107"/>
  <c r="X130" i="107" s="1"/>
  <c r="T130" i="107"/>
  <c r="Y130" i="107" s="1"/>
  <c r="S130" i="107"/>
  <c r="W130" i="107" s="1"/>
  <c r="S141" i="107"/>
  <c r="W141" i="107" s="1"/>
  <c r="T141" i="107"/>
  <c r="U141" i="107"/>
  <c r="U257" i="107"/>
  <c r="S257" i="107"/>
  <c r="W257" i="107" s="1"/>
  <c r="T257" i="107"/>
  <c r="T181" i="107"/>
  <c r="U181" i="107"/>
  <c r="S181" i="107"/>
  <c r="S99" i="107"/>
  <c r="W99" i="107" s="1"/>
  <c r="T99" i="107"/>
  <c r="Y99" i="107" s="1"/>
  <c r="U99" i="107"/>
  <c r="V99" i="107"/>
  <c r="T202" i="107"/>
  <c r="Y202" i="107" s="1"/>
  <c r="S202" i="107"/>
  <c r="W202" i="107" s="1"/>
  <c r="U202" i="107"/>
  <c r="X202" i="107" s="1"/>
  <c r="U133" i="107"/>
  <c r="S133" i="107"/>
  <c r="W133" i="107" s="1"/>
  <c r="T133" i="107"/>
  <c r="T161" i="107"/>
  <c r="Y161" i="107" s="1"/>
  <c r="S161" i="107"/>
  <c r="W161" i="107" s="1"/>
  <c r="U161" i="107"/>
  <c r="X161" i="107" s="1"/>
  <c r="T139" i="107"/>
  <c r="Y139" i="107" s="1"/>
  <c r="S139" i="107"/>
  <c r="W139" i="107" s="1"/>
  <c r="U139" i="107"/>
  <c r="X139" i="107" s="1"/>
  <c r="S20" i="107"/>
  <c r="W20" i="107" s="1"/>
  <c r="T20" i="107"/>
  <c r="Y20" i="107" s="1"/>
  <c r="U20" i="107"/>
  <c r="X20" i="107" s="1"/>
  <c r="S105" i="107"/>
  <c r="W105" i="107" s="1"/>
  <c r="U105" i="107"/>
  <c r="T105" i="107"/>
  <c r="T32" i="107"/>
  <c r="Y32" i="107" s="1"/>
  <c r="S32" i="107"/>
  <c r="U32" i="107"/>
  <c r="S200" i="107"/>
  <c r="U200" i="107"/>
  <c r="T200" i="107"/>
  <c r="T263" i="107"/>
  <c r="S263" i="107"/>
  <c r="U263" i="107"/>
  <c r="T63" i="107"/>
  <c r="S63" i="107"/>
  <c r="U63" i="107"/>
  <c r="S239" i="107"/>
  <c r="W239" i="107" s="1"/>
  <c r="T239" i="107"/>
  <c r="Y239" i="107" s="1"/>
  <c r="U239" i="107"/>
  <c r="X239" i="107" s="1"/>
  <c r="T253" i="107"/>
  <c r="U253" i="107"/>
  <c r="S253" i="107"/>
  <c r="W253" i="107" s="1"/>
  <c r="S90" i="107"/>
  <c r="T90" i="107"/>
  <c r="U90" i="107"/>
  <c r="T129" i="107"/>
  <c r="Y129" i="107" s="1"/>
  <c r="S129" i="107"/>
  <c r="W129" i="107" s="1"/>
  <c r="U129" i="107"/>
  <c r="X129" i="107" s="1"/>
  <c r="S43" i="107"/>
  <c r="T43" i="107"/>
  <c r="U43" i="107"/>
  <c r="U122" i="107"/>
  <c r="T122" i="107"/>
  <c r="S122" i="107"/>
  <c r="W122" i="107" s="1"/>
  <c r="S267" i="107"/>
  <c r="T267" i="107"/>
  <c r="U267" i="107"/>
  <c r="S183" i="107"/>
  <c r="W183" i="107" s="1"/>
  <c r="T183" i="107"/>
  <c r="Y183" i="107" s="1"/>
  <c r="U183" i="107"/>
  <c r="V183" i="107"/>
  <c r="U346" i="107"/>
  <c r="S346" i="107"/>
  <c r="W346" i="107" s="1"/>
  <c r="T346" i="107"/>
  <c r="T203" i="107"/>
  <c r="S203" i="107"/>
  <c r="W203" i="107" s="1"/>
  <c r="U203" i="107"/>
  <c r="S255" i="107"/>
  <c r="W255" i="107" s="1"/>
  <c r="T255" i="107"/>
  <c r="Y255" i="107" s="1"/>
  <c r="U255" i="107"/>
  <c r="X255" i="107" s="1"/>
  <c r="T341" i="107"/>
  <c r="U341" i="107"/>
  <c r="S341" i="107"/>
  <c r="W341" i="107" s="1"/>
  <c r="T196" i="107"/>
  <c r="U196" i="107"/>
  <c r="S196" i="107"/>
  <c r="W196" i="107" s="1"/>
  <c r="S31" i="107"/>
  <c r="W31" i="107" s="1"/>
  <c r="T31" i="107"/>
  <c r="Y31" i="107" s="1"/>
  <c r="U31" i="107"/>
  <c r="X31" i="107" s="1"/>
  <c r="S173" i="107"/>
  <c r="T173" i="107"/>
  <c r="Y173" i="107" s="1"/>
  <c r="U173" i="107"/>
  <c r="T149" i="107"/>
  <c r="S149" i="107"/>
  <c r="W149" i="107" s="1"/>
  <c r="U149" i="107"/>
  <c r="T113" i="107"/>
  <c r="S113" i="107"/>
  <c r="W113" i="107" s="1"/>
  <c r="U113" i="107"/>
  <c r="U96" i="107"/>
  <c r="T96" i="107"/>
  <c r="S96" i="107"/>
  <c r="T115" i="107"/>
  <c r="S115" i="107"/>
  <c r="W115" i="107" s="1"/>
  <c r="U115" i="107"/>
  <c r="S79" i="107"/>
  <c r="W79" i="107" s="1"/>
  <c r="T79" i="107"/>
  <c r="U79" i="107"/>
  <c r="T110" i="107"/>
  <c r="S110" i="107"/>
  <c r="U110" i="107"/>
  <c r="T180" i="107"/>
  <c r="S180" i="107"/>
  <c r="U180" i="107"/>
  <c r="T227" i="107"/>
  <c r="S227" i="107"/>
  <c r="W227" i="107" s="1"/>
  <c r="U227" i="107"/>
  <c r="T114" i="107"/>
  <c r="S114" i="107"/>
  <c r="W114" i="107" s="1"/>
  <c r="U114" i="107"/>
  <c r="S321" i="107"/>
  <c r="W321" i="107" s="1"/>
  <c r="U321" i="107"/>
  <c r="T321" i="107"/>
  <c r="T256" i="107"/>
  <c r="S256" i="107"/>
  <c r="W256" i="107" s="1"/>
  <c r="U256" i="107"/>
  <c r="U64" i="107"/>
  <c r="S64" i="107"/>
  <c r="T64" i="107"/>
  <c r="S228" i="107"/>
  <c r="W228" i="107" s="1"/>
  <c r="T228" i="107"/>
  <c r="U228" i="107"/>
  <c r="S347" i="107"/>
  <c r="W347" i="107" s="1"/>
  <c r="T347" i="107"/>
  <c r="U347" i="107"/>
  <c r="U331" i="107"/>
  <c r="S331" i="107"/>
  <c r="W331" i="107" s="1"/>
  <c r="T331" i="107"/>
  <c r="S104" i="107"/>
  <c r="W104" i="107" s="1"/>
  <c r="T104" i="107"/>
  <c r="U104" i="107"/>
  <c r="T315" i="107"/>
  <c r="S315" i="107"/>
  <c r="W315" i="107" s="1"/>
  <c r="U315" i="107"/>
  <c r="U198" i="107"/>
  <c r="S198" i="107"/>
  <c r="W198" i="107" s="1"/>
  <c r="T198" i="107"/>
  <c r="S309" i="107"/>
  <c r="W309" i="107" s="1"/>
  <c r="T309" i="107"/>
  <c r="U309" i="107"/>
  <c r="T310" i="107"/>
  <c r="S310" i="107"/>
  <c r="W310" i="107" s="1"/>
  <c r="U310" i="107"/>
  <c r="T14" i="107"/>
  <c r="Y14" i="107" s="1"/>
  <c r="S14" i="107"/>
  <c r="W14" i="107" s="1"/>
  <c r="U14" i="107"/>
  <c r="X14" i="107" s="1"/>
  <c r="S100" i="107"/>
  <c r="W100" i="107" s="1"/>
  <c r="T100" i="107"/>
  <c r="Y100" i="107" s="1"/>
  <c r="U100" i="107"/>
  <c r="X100" i="107" s="1"/>
  <c r="S140" i="107"/>
  <c r="W140" i="107" s="1"/>
  <c r="T140" i="107"/>
  <c r="U140" i="107"/>
  <c r="S117" i="107"/>
  <c r="W117" i="107" s="1"/>
  <c r="T117" i="107"/>
  <c r="U117" i="107"/>
  <c r="U91" i="107"/>
  <c r="X91" i="107" s="1"/>
  <c r="S91" i="107"/>
  <c r="W91" i="107" s="1"/>
  <c r="T91" i="107"/>
  <c r="Y91" i="107" s="1"/>
  <c r="S349" i="107"/>
  <c r="W349" i="107" s="1"/>
  <c r="T349" i="107"/>
  <c r="U349" i="107"/>
  <c r="S135" i="107"/>
  <c r="W135" i="107" s="1"/>
  <c r="T135" i="107"/>
  <c r="U135" i="107"/>
  <c r="U17" i="107"/>
  <c r="X17" i="107" s="1"/>
  <c r="T17" i="107"/>
  <c r="Y17" i="107" s="1"/>
  <c r="S17" i="107"/>
  <c r="W17" i="107" s="1"/>
  <c r="S229" i="107"/>
  <c r="W229" i="107" s="1"/>
  <c r="T229" i="107"/>
  <c r="Y229" i="107" s="1"/>
  <c r="U229" i="107"/>
  <c r="X229" i="107" s="1"/>
  <c r="T75" i="107"/>
  <c r="U75" i="107"/>
  <c r="S75" i="107"/>
  <c r="W75" i="107" s="1"/>
  <c r="S146" i="107"/>
  <c r="W146" i="107" s="1"/>
  <c r="T146" i="107"/>
  <c r="U146" i="107"/>
  <c r="S78" i="107"/>
  <c r="T78" i="107"/>
  <c r="U78" i="107"/>
  <c r="T26" i="107"/>
  <c r="Y26" i="107" s="1"/>
  <c r="U26" i="107"/>
  <c r="S26" i="107"/>
  <c r="T319" i="107"/>
  <c r="S319" i="107"/>
  <c r="W319" i="107" s="1"/>
  <c r="U319" i="107"/>
  <c r="S274" i="107"/>
  <c r="W274" i="107" s="1"/>
  <c r="T274" i="107"/>
  <c r="U274" i="107"/>
  <c r="T144" i="106"/>
  <c r="U144" i="106"/>
  <c r="S144" i="106"/>
  <c r="W144" i="106" s="1"/>
  <c r="S35" i="106"/>
  <c r="W35" i="106" s="1"/>
  <c r="T35" i="106"/>
  <c r="Y35" i="106" s="1"/>
  <c r="U35" i="106"/>
  <c r="V35" i="106"/>
  <c r="T328" i="107"/>
  <c r="S328" i="107"/>
  <c r="W328" i="107" s="1"/>
  <c r="U328" i="107"/>
  <c r="U254" i="107"/>
  <c r="X254" i="107" s="1"/>
  <c r="T254" i="107"/>
  <c r="Y254" i="107" s="1"/>
  <c r="S254" i="107"/>
  <c r="W254" i="107" s="1"/>
  <c r="Y143" i="106"/>
  <c r="S160" i="107"/>
  <c r="W160" i="107" s="1"/>
  <c r="T160" i="107"/>
  <c r="Y160" i="107" s="1"/>
  <c r="U160" i="107"/>
  <c r="X160" i="107" s="1"/>
  <c r="U285" i="107"/>
  <c r="S285" i="107"/>
  <c r="W285" i="107" s="1"/>
  <c r="T285" i="107"/>
  <c r="S303" i="107"/>
  <c r="W303" i="107" s="1"/>
  <c r="T303" i="107"/>
  <c r="U303" i="107"/>
  <c r="T82" i="107"/>
  <c r="S82" i="107"/>
  <c r="W82" i="107" s="1"/>
  <c r="U82" i="107"/>
  <c r="S273" i="107"/>
  <c r="W273" i="107" s="1"/>
  <c r="T273" i="107"/>
  <c r="U273" i="107"/>
  <c r="S120" i="107"/>
  <c r="U120" i="107"/>
  <c r="T120" i="107"/>
  <c r="T74" i="107"/>
  <c r="U74" i="107"/>
  <c r="S74" i="107"/>
  <c r="U205" i="107"/>
  <c r="T205" i="107"/>
  <c r="Y205" i="107" s="1"/>
  <c r="S205" i="107"/>
  <c r="Y68" i="106"/>
  <c r="U308" i="107"/>
  <c r="S308" i="107"/>
  <c r="W308" i="107" s="1"/>
  <c r="T308" i="107"/>
  <c r="T322" i="107"/>
  <c r="S322" i="107"/>
  <c r="W322" i="107" s="1"/>
  <c r="U322" i="107"/>
  <c r="T101" i="107"/>
  <c r="Y101" i="107" s="1"/>
  <c r="S101" i="107"/>
  <c r="W101" i="107" s="1"/>
  <c r="U101" i="107"/>
  <c r="X101" i="107" s="1"/>
  <c r="S40" i="107"/>
  <c r="W40" i="107" s="1"/>
  <c r="T40" i="107"/>
  <c r="U40" i="107"/>
  <c r="T313" i="107"/>
  <c r="Y313" i="107" s="1"/>
  <c r="S313" i="107"/>
  <c r="W313" i="107" s="1"/>
  <c r="U313" i="107"/>
  <c r="X313" i="107" s="1"/>
  <c r="S242" i="107"/>
  <c r="W242" i="107" s="1"/>
  <c r="T242" i="107"/>
  <c r="U242" i="107"/>
  <c r="U155" i="107"/>
  <c r="X155" i="107" s="1"/>
  <c r="S155" i="107"/>
  <c r="W155" i="107" s="1"/>
  <c r="T155" i="107"/>
  <c r="Y155" i="107" s="1"/>
  <c r="T279" i="107"/>
  <c r="S279" i="107"/>
  <c r="U279" i="107"/>
  <c r="U187" i="107"/>
  <c r="T187" i="107"/>
  <c r="Y187" i="107" s="1"/>
  <c r="S187" i="107"/>
  <c r="U98" i="107"/>
  <c r="T98" i="107"/>
  <c r="S98" i="107"/>
  <c r="S148" i="107"/>
  <c r="W148" i="107" s="1"/>
  <c r="T148" i="107"/>
  <c r="U148" i="107"/>
  <c r="S83" i="107"/>
  <c r="T83" i="107"/>
  <c r="U83" i="107"/>
  <c r="U112" i="107"/>
  <c r="T112" i="107"/>
  <c r="S112" i="107"/>
  <c r="W112" i="107" s="1"/>
  <c r="T124" i="107"/>
  <c r="U124" i="107"/>
  <c r="S124" i="107"/>
  <c r="W124" i="107" s="1"/>
  <c r="S60" i="107"/>
  <c r="W60" i="107" s="1"/>
  <c r="T60" i="107"/>
  <c r="Y60" i="107" s="1"/>
  <c r="U60" i="107"/>
  <c r="X60" i="107" s="1"/>
  <c r="T118" i="107"/>
  <c r="S118" i="107"/>
  <c r="W118" i="107" s="1"/>
  <c r="U118" i="107"/>
  <c r="T13" i="107"/>
  <c r="S13" i="107"/>
  <c r="U13" i="107"/>
  <c r="S23" i="107"/>
  <c r="T23" i="107"/>
  <c r="Y23" i="107" s="1"/>
  <c r="U23" i="107"/>
  <c r="Y324" i="108"/>
  <c r="Y298" i="106"/>
  <c r="T94" i="107"/>
  <c r="S94" i="107"/>
  <c r="U94" i="107"/>
  <c r="Y345" i="106"/>
  <c r="Y149" i="106"/>
  <c r="Y140" i="106"/>
  <c r="Y333" i="108"/>
  <c r="T36" i="106"/>
  <c r="S36" i="106"/>
  <c r="W36" i="106" s="1"/>
  <c r="U36" i="106"/>
  <c r="W220" i="108"/>
  <c r="W177" i="106"/>
  <c r="Y208" i="108"/>
  <c r="Y228" i="106"/>
  <c r="S179" i="107"/>
  <c r="U179" i="107"/>
  <c r="T179" i="107"/>
  <c r="Y179" i="107" s="1"/>
  <c r="U311" i="107"/>
  <c r="T311" i="107"/>
  <c r="S311" i="107"/>
  <c r="W311" i="107" s="1"/>
  <c r="Y106" i="106"/>
  <c r="Y285" i="106"/>
  <c r="Y82" i="106"/>
  <c r="S29" i="107"/>
  <c r="W29" i="107" s="1"/>
  <c r="U29" i="107"/>
  <c r="T29" i="107"/>
  <c r="T68" i="107"/>
  <c r="S68" i="107"/>
  <c r="W68" i="107" s="1"/>
  <c r="U68" i="107"/>
  <c r="Y256" i="106"/>
  <c r="Y292" i="108"/>
  <c r="T250" i="107"/>
  <c r="Y250" i="107" s="1"/>
  <c r="S250" i="107"/>
  <c r="W250" i="107" s="1"/>
  <c r="U250" i="107"/>
  <c r="X250" i="107" s="1"/>
  <c r="T143" i="107"/>
  <c r="S143" i="107"/>
  <c r="W143" i="107" s="1"/>
  <c r="U143" i="107"/>
  <c r="U259" i="107"/>
  <c r="X259" i="107" s="1"/>
  <c r="S259" i="107"/>
  <c r="W259" i="107" s="1"/>
  <c r="T259" i="107"/>
  <c r="Y259" i="107" s="1"/>
  <c r="T317" i="107"/>
  <c r="S317" i="107"/>
  <c r="W317" i="107" s="1"/>
  <c r="U317" i="107"/>
  <c r="S152" i="107"/>
  <c r="W152" i="107" s="1"/>
  <c r="T152" i="107"/>
  <c r="Y152" i="107" s="1"/>
  <c r="U152" i="107"/>
  <c r="X152" i="107" s="1"/>
  <c r="T72" i="107"/>
  <c r="Y72" i="107" s="1"/>
  <c r="S72" i="107"/>
  <c r="W72" i="107" s="1"/>
  <c r="U72" i="107"/>
  <c r="V72" i="107"/>
  <c r="U226" i="107"/>
  <c r="X226" i="107" s="1"/>
  <c r="S226" i="107"/>
  <c r="W226" i="107" s="1"/>
  <c r="T226" i="107"/>
  <c r="Y226" i="107" s="1"/>
  <c r="T33" i="107"/>
  <c r="Y33" i="107" s="1"/>
  <c r="S33" i="107"/>
  <c r="W33" i="107" s="1"/>
  <c r="U33" i="107"/>
  <c r="X33" i="107" s="1"/>
  <c r="T296" i="107"/>
  <c r="S296" i="107"/>
  <c r="W296" i="107" s="1"/>
  <c r="U296" i="107"/>
  <c r="U184" i="107"/>
  <c r="S184" i="107"/>
  <c r="T184" i="107"/>
  <c r="Y184" i="107" s="1"/>
  <c r="U225" i="107"/>
  <c r="S225" i="107"/>
  <c r="W225" i="107" s="1"/>
  <c r="T225" i="107"/>
  <c r="T265" i="107"/>
  <c r="S265" i="107"/>
  <c r="U265" i="107"/>
  <c r="U89" i="107"/>
  <c r="T89" i="107"/>
  <c r="S89" i="107"/>
  <c r="S19" i="107"/>
  <c r="T19" i="107"/>
  <c r="U19" i="107"/>
  <c r="T109" i="107"/>
  <c r="S109" i="107"/>
  <c r="U109" i="107"/>
  <c r="S145" i="107"/>
  <c r="W145" i="107" s="1"/>
  <c r="T145" i="107"/>
  <c r="Y145" i="107" s="1"/>
  <c r="U145" i="107"/>
  <c r="X145" i="107" s="1"/>
  <c r="S123" i="107"/>
  <c r="W123" i="107" s="1"/>
  <c r="T123" i="107"/>
  <c r="Y123" i="107" s="1"/>
  <c r="U123" i="107"/>
  <c r="X123" i="107" s="1"/>
  <c r="U24" i="107"/>
  <c r="S24" i="107"/>
  <c r="T24" i="107"/>
  <c r="Y24" i="107" s="1"/>
  <c r="U73" i="107"/>
  <c r="T73" i="107"/>
  <c r="S73" i="107"/>
  <c r="S106" i="107"/>
  <c r="W106" i="107" s="1"/>
  <c r="T106" i="107"/>
  <c r="U106" i="107"/>
  <c r="T7" i="107"/>
  <c r="Y7" i="107" s="1"/>
  <c r="S7" i="107"/>
  <c r="W7" i="107" s="1"/>
  <c r="U7" i="107"/>
  <c r="V7" i="107"/>
  <c r="T93" i="107"/>
  <c r="Y93" i="107" s="1"/>
  <c r="S93" i="107"/>
  <c r="W93" i="107" s="1"/>
  <c r="U93" i="107"/>
  <c r="V93" i="107"/>
  <c r="T15" i="107"/>
  <c r="Y15" i="107" s="1"/>
  <c r="S15" i="107"/>
  <c r="W15" i="107" s="1"/>
  <c r="U15" i="107"/>
  <c r="X15" i="107" s="1"/>
  <c r="W219" i="108"/>
  <c r="Y223" i="108"/>
  <c r="Y326" i="108"/>
  <c r="Y104" i="106"/>
  <c r="Y203" i="106"/>
  <c r="W163" i="108"/>
  <c r="Y115" i="106"/>
  <c r="U39" i="106"/>
  <c r="S39" i="106"/>
  <c r="T39" i="106"/>
  <c r="Y39" i="106" s="1"/>
  <c r="Y346" i="106"/>
  <c r="Y222" i="108"/>
  <c r="Y116" i="106"/>
  <c r="Y342" i="106"/>
  <c r="Y310" i="106"/>
  <c r="Y199" i="106"/>
  <c r="Y227" i="106"/>
  <c r="Y136" i="106"/>
  <c r="W188" i="106"/>
  <c r="Y12" i="106"/>
  <c r="Y321" i="106"/>
  <c r="Y159" i="106"/>
  <c r="Y162" i="106"/>
  <c r="Y274" i="106"/>
  <c r="Y166" i="106"/>
  <c r="S307" i="107"/>
  <c r="W307" i="107" s="1"/>
  <c r="T307" i="107"/>
  <c r="U307" i="107"/>
  <c r="S192" i="107"/>
  <c r="W192" i="107" s="1"/>
  <c r="T192" i="107"/>
  <c r="U192" i="107"/>
  <c r="T66" i="107"/>
  <c r="U66" i="107"/>
  <c r="S66" i="107"/>
  <c r="U199" i="107"/>
  <c r="S199" i="107"/>
  <c r="W199" i="107" s="1"/>
  <c r="T199" i="107"/>
  <c r="S298" i="107"/>
  <c r="W298" i="107" s="1"/>
  <c r="T298" i="107"/>
  <c r="U298" i="107"/>
  <c r="T264" i="107"/>
  <c r="S264" i="107"/>
  <c r="U264" i="107"/>
  <c r="S316" i="107"/>
  <c r="T316" i="107"/>
  <c r="Y316" i="107" s="1"/>
  <c r="U316" i="107"/>
  <c r="T34" i="107"/>
  <c r="Y34" i="107" s="1"/>
  <c r="S34" i="107"/>
  <c r="W34" i="107" s="1"/>
  <c r="U34" i="107"/>
  <c r="X34" i="107" s="1"/>
  <c r="S158" i="107"/>
  <c r="W158" i="107" s="1"/>
  <c r="T158" i="107"/>
  <c r="U158" i="107"/>
  <c r="T131" i="107"/>
  <c r="S131" i="107"/>
  <c r="W131" i="107" s="1"/>
  <c r="U131" i="107"/>
  <c r="T329" i="107"/>
  <c r="S329" i="107"/>
  <c r="W329" i="107" s="1"/>
  <c r="U329" i="107"/>
  <c r="W179" i="106"/>
  <c r="U283" i="107"/>
  <c r="S283" i="107"/>
  <c r="W283" i="107" s="1"/>
  <c r="T283" i="107"/>
  <c r="S189" i="107"/>
  <c r="W189" i="107" s="1"/>
  <c r="T189" i="107"/>
  <c r="U189" i="107"/>
  <c r="T206" i="107"/>
  <c r="S206" i="107"/>
  <c r="W206" i="107" s="1"/>
  <c r="U206" i="107"/>
  <c r="T128" i="107"/>
  <c r="S128" i="107"/>
  <c r="W128" i="107" s="1"/>
  <c r="U128" i="107"/>
  <c r="T312" i="107"/>
  <c r="S312" i="107"/>
  <c r="W312" i="107" s="1"/>
  <c r="U312" i="107"/>
  <c r="T204" i="107"/>
  <c r="Y204" i="107" s="1"/>
  <c r="S204" i="107"/>
  <c r="W204" i="107" s="1"/>
  <c r="U204" i="107"/>
  <c r="X204" i="107" s="1"/>
  <c r="V8" i="107"/>
  <c r="T8" i="107"/>
  <c r="Y8" i="107" s="1"/>
  <c r="S8" i="107"/>
  <c r="W8" i="107" s="1"/>
  <c r="U8" i="107"/>
  <c r="S286" i="107"/>
  <c r="W286" i="107" s="1"/>
  <c r="T286" i="107"/>
  <c r="U286" i="107"/>
  <c r="S166" i="107"/>
  <c r="W166" i="107" s="1"/>
  <c r="T166" i="107"/>
  <c r="U166" i="107"/>
  <c r="U295" i="107"/>
  <c r="S295" i="107"/>
  <c r="W295" i="107" s="1"/>
  <c r="T295" i="107"/>
  <c r="S201" i="107"/>
  <c r="W201" i="107" s="1"/>
  <c r="T201" i="107"/>
  <c r="Y201" i="107" s="1"/>
  <c r="U201" i="107"/>
  <c r="X201" i="107" s="1"/>
  <c r="T108" i="107"/>
  <c r="S108" i="107"/>
  <c r="U108" i="107"/>
  <c r="T262" i="107"/>
  <c r="Y262" i="107" s="1"/>
  <c r="S262" i="107"/>
  <c r="W262" i="107" s="1"/>
  <c r="U262" i="107"/>
  <c r="V262" i="107"/>
  <c r="S176" i="107"/>
  <c r="W176" i="107" s="1"/>
  <c r="T176" i="107"/>
  <c r="Y176" i="107" s="1"/>
  <c r="U176" i="107"/>
  <c r="V176" i="107"/>
  <c r="S156" i="107"/>
  <c r="W156" i="107" s="1"/>
  <c r="T156" i="107"/>
  <c r="Y156" i="107" s="1"/>
  <c r="U156" i="107"/>
  <c r="X156" i="107" s="1"/>
  <c r="S107" i="107"/>
  <c r="T107" i="107"/>
  <c r="U107" i="107"/>
  <c r="S142" i="107"/>
  <c r="W142" i="107" s="1"/>
  <c r="T142" i="107"/>
  <c r="U142" i="107"/>
  <c r="S119" i="107"/>
  <c r="W119" i="107" s="1"/>
  <c r="T119" i="107"/>
  <c r="U119" i="107"/>
  <c r="U16" i="107"/>
  <c r="S16" i="107"/>
  <c r="T16" i="107"/>
  <c r="T71" i="107"/>
  <c r="S71" i="107"/>
  <c r="U71" i="107"/>
  <c r="T97" i="107"/>
  <c r="Y97" i="107" s="1"/>
  <c r="S97" i="107"/>
  <c r="W97" i="107" s="1"/>
  <c r="U97" i="107"/>
  <c r="X97" i="107" s="1"/>
  <c r="T81" i="107"/>
  <c r="S81" i="107"/>
  <c r="W81" i="107" s="1"/>
  <c r="U81" i="107"/>
  <c r="T12" i="107"/>
  <c r="S12" i="107"/>
  <c r="W12" i="107" s="1"/>
  <c r="U12" i="107"/>
  <c r="Y320" i="106"/>
  <c r="Y277" i="106"/>
  <c r="Y269" i="108"/>
  <c r="U276" i="107"/>
  <c r="S276" i="107"/>
  <c r="T276" i="107"/>
  <c r="S41" i="106"/>
  <c r="T41" i="106"/>
  <c r="U41" i="106"/>
  <c r="T178" i="106"/>
  <c r="Y178" i="106" s="1"/>
  <c r="S178" i="106"/>
  <c r="U178" i="106"/>
  <c r="Y30" i="106"/>
  <c r="Y253" i="106"/>
  <c r="Y40" i="106"/>
  <c r="Y29" i="106"/>
  <c r="F30" i="7"/>
  <c r="D25" i="7" s="1"/>
  <c r="E22" i="112" s="1"/>
  <c r="M35" i="108"/>
  <c r="M36" i="108"/>
  <c r="M37" i="108"/>
  <c r="M41" i="108"/>
  <c r="M39" i="108"/>
  <c r="M144" i="108"/>
  <c r="M38" i="108"/>
  <c r="M178" i="108"/>
  <c r="M293" i="108"/>
  <c r="M39" i="107"/>
  <c r="O39" i="107" s="1"/>
  <c r="M170" i="108"/>
  <c r="M144" i="107"/>
  <c r="O144" i="107" s="1"/>
  <c r="M35" i="107"/>
  <c r="O35" i="107" s="1"/>
  <c r="M170" i="107"/>
  <c r="O170" i="107" s="1"/>
  <c r="M38" i="107"/>
  <c r="O38" i="107" s="1"/>
  <c r="M293" i="107"/>
  <c r="O293" i="107" s="1"/>
  <c r="M36" i="107"/>
  <c r="O36" i="107" s="1"/>
  <c r="M37" i="107"/>
  <c r="O37" i="107" s="1"/>
  <c r="M178" i="107"/>
  <c r="O178" i="107" s="1"/>
  <c r="M38" i="106"/>
  <c r="M36" i="105"/>
  <c r="M35" i="106"/>
  <c r="M39" i="106"/>
  <c r="M144" i="106"/>
  <c r="M144" i="105"/>
  <c r="M41" i="105"/>
  <c r="M293" i="106"/>
  <c r="M37" i="105"/>
  <c r="M38" i="105"/>
  <c r="M170" i="105"/>
  <c r="M37" i="106"/>
  <c r="M178" i="106"/>
  <c r="M35" i="105"/>
  <c r="M41" i="106"/>
  <c r="M41" i="107"/>
  <c r="O41" i="107" s="1"/>
  <c r="M39" i="105"/>
  <c r="M178" i="105"/>
  <c r="M170" i="106"/>
  <c r="M36" i="106"/>
  <c r="M293" i="105"/>
  <c r="M144" i="104"/>
  <c r="M170" i="104"/>
  <c r="M178" i="104"/>
  <c r="M38" i="98"/>
  <c r="M38" i="104"/>
  <c r="M37" i="98"/>
  <c r="M170" i="98"/>
  <c r="M35" i="104"/>
  <c r="M41" i="104"/>
  <c r="M39" i="98"/>
  <c r="M144" i="98"/>
  <c r="M178" i="98"/>
  <c r="M293" i="104"/>
  <c r="M293" i="98"/>
  <c r="M35" i="98"/>
  <c r="M36" i="98"/>
  <c r="M36" i="104"/>
  <c r="M39" i="104"/>
  <c r="M37" i="104"/>
  <c r="M41" i="98"/>
  <c r="T281" i="107"/>
  <c r="Y281" i="107" s="1"/>
  <c r="S281" i="107"/>
  <c r="W281" i="107" s="1"/>
  <c r="U281" i="107"/>
  <c r="X281" i="107" s="1"/>
  <c r="T251" i="107"/>
  <c r="Y251" i="107" s="1"/>
  <c r="S251" i="107"/>
  <c r="W251" i="107" s="1"/>
  <c r="U251" i="107"/>
  <c r="X251" i="107" s="1"/>
  <c r="S291" i="107"/>
  <c r="W291" i="107" s="1"/>
  <c r="T291" i="107"/>
  <c r="U291" i="107"/>
  <c r="T92" i="107"/>
  <c r="S92" i="107"/>
  <c r="W92" i="107" s="1"/>
  <c r="U92" i="107"/>
  <c r="S28" i="107"/>
  <c r="W28" i="107" s="1"/>
  <c r="T28" i="107"/>
  <c r="U28" i="107"/>
  <c r="S332" i="107"/>
  <c r="W332" i="107" s="1"/>
  <c r="T332" i="107"/>
  <c r="U332" i="107"/>
  <c r="T194" i="107"/>
  <c r="Y194" i="107" s="1"/>
  <c r="S194" i="107"/>
  <c r="W194" i="107" s="1"/>
  <c r="U194" i="107"/>
  <c r="X194" i="107" s="1"/>
  <c r="T171" i="107"/>
  <c r="S171" i="107"/>
  <c r="U171" i="107"/>
  <c r="T344" i="107"/>
  <c r="Y344" i="107" s="1"/>
  <c r="S344" i="107"/>
  <c r="U344" i="107"/>
  <c r="U230" i="107"/>
  <c r="S230" i="107"/>
  <c r="W230" i="107" s="1"/>
  <c r="T230" i="107"/>
  <c r="T268" i="107"/>
  <c r="S268" i="107"/>
  <c r="U268" i="107"/>
  <c r="S277" i="107"/>
  <c r="W277" i="107" s="1"/>
  <c r="T277" i="107"/>
  <c r="U277" i="107"/>
  <c r="S345" i="107"/>
  <c r="W345" i="107" s="1"/>
  <c r="U345" i="107"/>
  <c r="T345" i="107"/>
  <c r="T282" i="107"/>
  <c r="Y282" i="107" s="1"/>
  <c r="S282" i="107"/>
  <c r="W282" i="107" s="1"/>
  <c r="U282" i="107"/>
  <c r="X282" i="107" s="1"/>
  <c r="Y198" i="106"/>
  <c r="S195" i="107"/>
  <c r="W195" i="107" s="1"/>
  <c r="T195" i="107"/>
  <c r="Y195" i="107" s="1"/>
  <c r="U195" i="107"/>
  <c r="X195" i="107" s="1"/>
  <c r="U70" i="107"/>
  <c r="T70" i="107"/>
  <c r="S70" i="107"/>
  <c r="T77" i="107"/>
  <c r="S77" i="107"/>
  <c r="U77" i="107"/>
  <c r="T302" i="107"/>
  <c r="S302" i="107"/>
  <c r="W302" i="107" s="1"/>
  <c r="U302" i="107"/>
  <c r="S165" i="107"/>
  <c r="U165" i="107"/>
  <c r="T165" i="107"/>
  <c r="Y165" i="107" s="1"/>
  <c r="Y271" i="108"/>
  <c r="U348" i="107"/>
  <c r="S348" i="107"/>
  <c r="W348" i="107" s="1"/>
  <c r="T348" i="107"/>
  <c r="T314" i="107"/>
  <c r="S314" i="107"/>
  <c r="W314" i="107" s="1"/>
  <c r="U314" i="107"/>
  <c r="S284" i="107"/>
  <c r="T284" i="107"/>
  <c r="Y284" i="107" s="1"/>
  <c r="U284" i="107"/>
  <c r="U258" i="107"/>
  <c r="T258" i="107"/>
  <c r="S258" i="107"/>
  <c r="W258" i="107" s="1"/>
  <c r="S159" i="107"/>
  <c r="W159" i="107" s="1"/>
  <c r="U159" i="107"/>
  <c r="T159" i="107"/>
  <c r="T266" i="107"/>
  <c r="S266" i="107"/>
  <c r="U266" i="107"/>
  <c r="S193" i="107"/>
  <c r="W193" i="107" s="1"/>
  <c r="T193" i="107"/>
  <c r="U193" i="107"/>
  <c r="S300" i="107"/>
  <c r="W300" i="107" s="1"/>
  <c r="T300" i="107"/>
  <c r="U300" i="107"/>
  <c r="S111" i="107"/>
  <c r="W111" i="107" s="1"/>
  <c r="T111" i="107"/>
  <c r="U111" i="107"/>
  <c r="T67" i="107"/>
  <c r="S67" i="107"/>
  <c r="U67" i="107"/>
  <c r="S86" i="107"/>
  <c r="W86" i="107" s="1"/>
  <c r="T86" i="107"/>
  <c r="Y86" i="107" s="1"/>
  <c r="U86" i="107"/>
  <c r="V86" i="107"/>
  <c r="S95" i="107"/>
  <c r="T95" i="107"/>
  <c r="U95" i="107"/>
  <c r="T69" i="107"/>
  <c r="S69" i="107"/>
  <c r="U69" i="107"/>
  <c r="W88" i="106"/>
  <c r="Y197" i="106"/>
  <c r="Y55" i="108"/>
  <c r="Y306" i="108"/>
  <c r="Y61" i="106"/>
  <c r="Y340" i="106"/>
  <c r="Y207" i="108"/>
  <c r="Y112" i="106"/>
  <c r="S278" i="107"/>
  <c r="T278" i="107"/>
  <c r="U278" i="107"/>
  <c r="S30" i="107"/>
  <c r="W30" i="107" s="1"/>
  <c r="T30" i="107"/>
  <c r="U30" i="107"/>
  <c r="S38" i="106"/>
  <c r="W38" i="106" s="1"/>
  <c r="T38" i="106"/>
  <c r="Y38" i="106" s="1"/>
  <c r="U38" i="106"/>
  <c r="V38" i="106"/>
  <c r="T293" i="106"/>
  <c r="Y293" i="106" s="1"/>
  <c r="S293" i="106"/>
  <c r="W293" i="106" s="1"/>
  <c r="U293" i="106"/>
  <c r="V293" i="106"/>
  <c r="Y312" i="106"/>
  <c r="Y302" i="106"/>
  <c r="Y311" i="106"/>
  <c r="W21" i="108"/>
  <c r="Y75" i="106"/>
  <c r="Y235" i="108"/>
  <c r="Y308" i="106"/>
  <c r="Y206" i="106"/>
  <c r="Y158" i="106"/>
  <c r="S154" i="107"/>
  <c r="T154" i="107"/>
  <c r="Y154" i="107" s="1"/>
  <c r="U154" i="107"/>
  <c r="S61" i="107"/>
  <c r="W61" i="107" s="1"/>
  <c r="T61" i="107"/>
  <c r="U61" i="107"/>
  <c r="T5" i="107"/>
  <c r="Y5" i="107" s="1"/>
  <c r="S5" i="107"/>
  <c r="W5" i="107" s="1"/>
  <c r="U5" i="107"/>
  <c r="X5" i="107" s="1"/>
  <c r="S127" i="107"/>
  <c r="W127" i="107" s="1"/>
  <c r="U127" i="107"/>
  <c r="X127" i="107" s="1"/>
  <c r="T127" i="107"/>
  <c r="Y127" i="107" s="1"/>
  <c r="U126" i="107"/>
  <c r="S126" i="107"/>
  <c r="W126" i="107" s="1"/>
  <c r="T126" i="107"/>
  <c r="Y126" i="107" s="1"/>
  <c r="V126" i="107"/>
  <c r="T137" i="107"/>
  <c r="S137" i="107"/>
  <c r="W137" i="107" s="1"/>
  <c r="U137" i="107"/>
  <c r="T164" i="107"/>
  <c r="Y164" i="107" s="1"/>
  <c r="S164" i="107"/>
  <c r="W164" i="107" s="1"/>
  <c r="U164" i="107"/>
  <c r="X164" i="107" s="1"/>
  <c r="U87" i="107"/>
  <c r="S87" i="107"/>
  <c r="W87" i="107" s="1"/>
  <c r="T87" i="107"/>
  <c r="Y87" i="107" s="1"/>
  <c r="V87" i="107"/>
  <c r="T191" i="107"/>
  <c r="Y191" i="107" s="1"/>
  <c r="S191" i="107"/>
  <c r="W191" i="107" s="1"/>
  <c r="U191" i="107"/>
  <c r="X191" i="107" s="1"/>
  <c r="S9" i="107"/>
  <c r="W9" i="107" s="1"/>
  <c r="T9" i="107"/>
  <c r="Y9" i="107" s="1"/>
  <c r="U9" i="107"/>
  <c r="X9" i="107" s="1"/>
  <c r="T76" i="107"/>
  <c r="S76" i="107"/>
  <c r="U76" i="107"/>
  <c r="T168" i="107"/>
  <c r="S168" i="107"/>
  <c r="U168" i="107"/>
  <c r="T125" i="107"/>
  <c r="S125" i="107"/>
  <c r="U125" i="107"/>
  <c r="T102" i="107"/>
  <c r="Y102" i="107" s="1"/>
  <c r="S102" i="107"/>
  <c r="W102" i="107" s="1"/>
  <c r="U102" i="107"/>
  <c r="X102" i="107" s="1"/>
  <c r="S177" i="107"/>
  <c r="T177" i="107"/>
  <c r="Y177" i="107" s="1"/>
  <c r="U177" i="107"/>
  <c r="S342" i="107"/>
  <c r="W342" i="107" s="1"/>
  <c r="T342" i="107"/>
  <c r="U342" i="107"/>
  <c r="S272" i="107"/>
  <c r="W272" i="107" s="1"/>
  <c r="U272" i="107"/>
  <c r="T272" i="107"/>
  <c r="S190" i="107"/>
  <c r="W190" i="107" s="1"/>
  <c r="T190" i="107"/>
  <c r="U190" i="107"/>
  <c r="S197" i="107"/>
  <c r="W197" i="107" s="1"/>
  <c r="T197" i="107"/>
  <c r="U197" i="107"/>
  <c r="U261" i="107"/>
  <c r="X261" i="107" s="1"/>
  <c r="S261" i="107"/>
  <c r="W261" i="107" s="1"/>
  <c r="T261" i="107"/>
  <c r="Y261" i="107" s="1"/>
  <c r="T84" i="107"/>
  <c r="S84" i="107"/>
  <c r="U84" i="107"/>
  <c r="T252" i="107"/>
  <c r="S252" i="107"/>
  <c r="W252" i="107" s="1"/>
  <c r="U252" i="107"/>
  <c r="S175" i="107"/>
  <c r="T175" i="107"/>
  <c r="Y175" i="107" s="1"/>
  <c r="U175" i="107"/>
  <c r="S116" i="107"/>
  <c r="W116" i="107" s="1"/>
  <c r="T116" i="107"/>
  <c r="U116" i="107"/>
  <c r="T80" i="107"/>
  <c r="S80" i="107"/>
  <c r="W80" i="107" s="1"/>
  <c r="U80" i="107"/>
  <c r="S150" i="107"/>
  <c r="W150" i="107" s="1"/>
  <c r="T150" i="107"/>
  <c r="Y150" i="107" s="1"/>
  <c r="U150" i="107"/>
  <c r="X150" i="107" s="1"/>
  <c r="T11" i="107"/>
  <c r="Y11" i="107" s="1"/>
  <c r="S11" i="107"/>
  <c r="W11" i="107" s="1"/>
  <c r="U11" i="107"/>
  <c r="V11" i="107"/>
  <c r="U6" i="107"/>
  <c r="T6" i="107"/>
  <c r="Y6" i="107" s="1"/>
  <c r="S6" i="107"/>
  <c r="T320" i="107"/>
  <c r="S320" i="107"/>
  <c r="W320" i="107" s="1"/>
  <c r="U320" i="107"/>
  <c r="S170" i="106"/>
  <c r="U170" i="106"/>
  <c r="T170" i="106"/>
  <c r="Y170" i="106" s="1"/>
  <c r="T147" i="107"/>
  <c r="S147" i="107"/>
  <c r="W147" i="107" s="1"/>
  <c r="U147" i="107"/>
  <c r="S136" i="107"/>
  <c r="W136" i="107" s="1"/>
  <c r="T136" i="107"/>
  <c r="U136" i="107"/>
  <c r="T325" i="107"/>
  <c r="U325" i="107"/>
  <c r="S325" i="107"/>
  <c r="W325" i="107" s="1"/>
  <c r="T174" i="107"/>
  <c r="Y174" i="107" s="1"/>
  <c r="U174" i="107"/>
  <c r="X174" i="107" s="1"/>
  <c r="S174" i="107"/>
  <c r="W174" i="107" s="1"/>
  <c r="N8" i="108"/>
  <c r="N18" i="108"/>
  <c r="O18" i="108" s="1"/>
  <c r="N25" i="108"/>
  <c r="O25" i="108" s="1"/>
  <c r="N61" i="108"/>
  <c r="O61" i="108" s="1"/>
  <c r="N74" i="108"/>
  <c r="O74" i="108" s="1"/>
  <c r="N77" i="108"/>
  <c r="O77" i="108" s="1"/>
  <c r="N9" i="108"/>
  <c r="O9" i="108" s="1"/>
  <c r="N12" i="108"/>
  <c r="O12" i="108" s="1"/>
  <c r="N26" i="108"/>
  <c r="O26" i="108" s="1"/>
  <c r="N71" i="108"/>
  <c r="O71" i="108" s="1"/>
  <c r="N75" i="108"/>
  <c r="O75" i="108" s="1"/>
  <c r="N16" i="108"/>
  <c r="O16" i="108" s="1"/>
  <c r="N27" i="108"/>
  <c r="O27" i="108" s="1"/>
  <c r="N63" i="108"/>
  <c r="O63" i="108" s="1"/>
  <c r="N67" i="108"/>
  <c r="O67" i="108" s="1"/>
  <c r="N76" i="108"/>
  <c r="O76" i="108" s="1"/>
  <c r="N7" i="108"/>
  <c r="O7" i="108" s="1"/>
  <c r="N11" i="108"/>
  <c r="O11" i="108" s="1"/>
  <c r="N13" i="108"/>
  <c r="O13" i="108" s="1"/>
  <c r="N20" i="108"/>
  <c r="O20" i="108" s="1"/>
  <c r="N24" i="108"/>
  <c r="O24" i="108" s="1"/>
  <c r="N15" i="108"/>
  <c r="O15" i="108" s="1"/>
  <c r="N33" i="108"/>
  <c r="O33" i="108" s="1"/>
  <c r="N99" i="108"/>
  <c r="O99" i="108" s="1"/>
  <c r="N103" i="108"/>
  <c r="O103" i="108" s="1"/>
  <c r="N10" i="108"/>
  <c r="O10" i="108" s="1"/>
  <c r="N17" i="108"/>
  <c r="O17" i="108" s="1"/>
  <c r="N32" i="108"/>
  <c r="O32" i="108" s="1"/>
  <c r="N40" i="108"/>
  <c r="O40" i="108" s="1"/>
  <c r="N73" i="108"/>
  <c r="O73" i="108" s="1"/>
  <c r="N79" i="108"/>
  <c r="O79" i="108" s="1"/>
  <c r="N85" i="108"/>
  <c r="O85" i="108" s="1"/>
  <c r="N88" i="108"/>
  <c r="O88" i="108" s="1"/>
  <c r="N98" i="108"/>
  <c r="O98" i="108" s="1"/>
  <c r="N34" i="108"/>
  <c r="O34" i="108" s="1"/>
  <c r="N60" i="108"/>
  <c r="O60" i="108" s="1"/>
  <c r="N72" i="108"/>
  <c r="O72" i="108" s="1"/>
  <c r="N92" i="108"/>
  <c r="O92" i="108" s="1"/>
  <c r="N101" i="108"/>
  <c r="O101" i="108" s="1"/>
  <c r="N105" i="108"/>
  <c r="O105" i="108" s="1"/>
  <c r="N111" i="108"/>
  <c r="O111" i="108" s="1"/>
  <c r="N5" i="108"/>
  <c r="O5" i="108" s="1"/>
  <c r="N66" i="108"/>
  <c r="O66" i="108" s="1"/>
  <c r="N90" i="108"/>
  <c r="O90" i="108" s="1"/>
  <c r="N91" i="108"/>
  <c r="O91" i="108" s="1"/>
  <c r="N108" i="108"/>
  <c r="O108" i="108" s="1"/>
  <c r="N116" i="108"/>
  <c r="O116" i="108" s="1"/>
  <c r="N123" i="108"/>
  <c r="O123" i="108" s="1"/>
  <c r="N126" i="108"/>
  <c r="O126" i="108" s="1"/>
  <c r="N131" i="108"/>
  <c r="O131" i="108" s="1"/>
  <c r="N139" i="108"/>
  <c r="O139" i="108" s="1"/>
  <c r="N143" i="108"/>
  <c r="O143" i="108" s="1"/>
  <c r="N31" i="108"/>
  <c r="O31" i="108" s="1"/>
  <c r="N19" i="108"/>
  <c r="O19" i="108" s="1"/>
  <c r="N114" i="108"/>
  <c r="O114" i="108" s="1"/>
  <c r="N115" i="108"/>
  <c r="O115" i="108" s="1"/>
  <c r="N121" i="108"/>
  <c r="O121" i="108" s="1"/>
  <c r="N127" i="108"/>
  <c r="O127" i="108" s="1"/>
  <c r="N128" i="108"/>
  <c r="O128" i="108" s="1"/>
  <c r="N135" i="108"/>
  <c r="O135" i="108" s="1"/>
  <c r="N140" i="108"/>
  <c r="O140" i="108" s="1"/>
  <c r="N148" i="108"/>
  <c r="O148" i="108" s="1"/>
  <c r="N68" i="108"/>
  <c r="O68" i="108" s="1"/>
  <c r="N94" i="108"/>
  <c r="O94" i="108" s="1"/>
  <c r="N104" i="108"/>
  <c r="O104" i="108" s="1"/>
  <c r="N106" i="108"/>
  <c r="O106" i="108" s="1"/>
  <c r="N107" i="108"/>
  <c r="O107" i="108" s="1"/>
  <c r="N117" i="108"/>
  <c r="O117" i="108" s="1"/>
  <c r="N122" i="108"/>
  <c r="O122" i="108" s="1"/>
  <c r="N141" i="108"/>
  <c r="O141" i="108" s="1"/>
  <c r="N145" i="108"/>
  <c r="O145" i="108" s="1"/>
  <c r="N62" i="108"/>
  <c r="O62" i="108" s="1"/>
  <c r="N64" i="108"/>
  <c r="O64" i="108" s="1"/>
  <c r="N110" i="108"/>
  <c r="O110" i="108" s="1"/>
  <c r="N119" i="108"/>
  <c r="O119" i="108" s="1"/>
  <c r="N142" i="108"/>
  <c r="O142" i="108" s="1"/>
  <c r="N149" i="108"/>
  <c r="O149" i="108" s="1"/>
  <c r="N161" i="108"/>
  <c r="O161" i="108" s="1"/>
  <c r="N164" i="108"/>
  <c r="O164" i="108" s="1"/>
  <c r="N179" i="108"/>
  <c r="O179" i="108" s="1"/>
  <c r="N182" i="108"/>
  <c r="O182" i="108" s="1"/>
  <c r="N198" i="108"/>
  <c r="O198" i="108" s="1"/>
  <c r="N203" i="108"/>
  <c r="O203" i="108" s="1"/>
  <c r="N228" i="108"/>
  <c r="O228" i="108" s="1"/>
  <c r="N6" i="108"/>
  <c r="O6" i="108" s="1"/>
  <c r="N14" i="108"/>
  <c r="O14" i="108" s="1"/>
  <c r="N70" i="108"/>
  <c r="O70" i="108" s="1"/>
  <c r="N78" i="108"/>
  <c r="O78" i="108" s="1"/>
  <c r="N87" i="108"/>
  <c r="O87" i="108" s="1"/>
  <c r="N93" i="108"/>
  <c r="O93" i="108" s="1"/>
  <c r="N152" i="108"/>
  <c r="O152" i="108" s="1"/>
  <c r="N162" i="108"/>
  <c r="O162" i="108" s="1"/>
  <c r="N168" i="108"/>
  <c r="O168" i="108" s="1"/>
  <c r="N174" i="108"/>
  <c r="O174" i="108" s="1"/>
  <c r="N183" i="108"/>
  <c r="O183" i="108" s="1"/>
  <c r="N190" i="108"/>
  <c r="O190" i="108" s="1"/>
  <c r="N195" i="108"/>
  <c r="O195" i="108" s="1"/>
  <c r="N225" i="108"/>
  <c r="O225" i="108" s="1"/>
  <c r="N241" i="108"/>
  <c r="O241" i="108" s="1"/>
  <c r="N44" i="108"/>
  <c r="O44" i="108" s="1"/>
  <c r="N113" i="108"/>
  <c r="O113" i="108" s="1"/>
  <c r="N125" i="108"/>
  <c r="O125" i="108" s="1"/>
  <c r="N130" i="108"/>
  <c r="O130" i="108" s="1"/>
  <c r="N132" i="108"/>
  <c r="O132" i="108" s="1"/>
  <c r="N134" i="108"/>
  <c r="O134" i="108" s="1"/>
  <c r="N138" i="108"/>
  <c r="O138" i="108" s="1"/>
  <c r="N154" i="108"/>
  <c r="O154" i="108" s="1"/>
  <c r="N172" i="108"/>
  <c r="O172" i="108" s="1"/>
  <c r="N181" i="108"/>
  <c r="O181" i="108" s="1"/>
  <c r="N184" i="108"/>
  <c r="O184" i="108" s="1"/>
  <c r="N188" i="108"/>
  <c r="O188" i="108" s="1"/>
  <c r="N192" i="108"/>
  <c r="O192" i="108" s="1"/>
  <c r="N197" i="108"/>
  <c r="O197" i="108" s="1"/>
  <c r="N201" i="108"/>
  <c r="O201" i="108" s="1"/>
  <c r="N205" i="108"/>
  <c r="O205" i="108" s="1"/>
  <c r="N96" i="108"/>
  <c r="O96" i="108" s="1"/>
  <c r="N176" i="108"/>
  <c r="O176" i="108" s="1"/>
  <c r="N189" i="108"/>
  <c r="O189" i="108" s="1"/>
  <c r="N204" i="108"/>
  <c r="O204" i="108" s="1"/>
  <c r="N285" i="108"/>
  <c r="O285" i="108" s="1"/>
  <c r="N80" i="108"/>
  <c r="O80" i="108" s="1"/>
  <c r="N124" i="108"/>
  <c r="O124" i="108" s="1"/>
  <c r="N194" i="108"/>
  <c r="O194" i="108" s="1"/>
  <c r="N226" i="108"/>
  <c r="O226" i="108" s="1"/>
  <c r="N254" i="108"/>
  <c r="O254" i="108" s="1"/>
  <c r="N262" i="108"/>
  <c r="O262" i="108" s="1"/>
  <c r="N267" i="108"/>
  <c r="O267" i="108" s="1"/>
  <c r="N280" i="108"/>
  <c r="O280" i="108" s="1"/>
  <c r="N81" i="108"/>
  <c r="O81" i="108" s="1"/>
  <c r="N95" i="108"/>
  <c r="O95" i="108" s="1"/>
  <c r="N120" i="108"/>
  <c r="O120" i="108" s="1"/>
  <c r="N133" i="108"/>
  <c r="O133" i="108" s="1"/>
  <c r="N136" i="108"/>
  <c r="O136" i="108" s="1"/>
  <c r="N159" i="108"/>
  <c r="O159" i="108" s="1"/>
  <c r="N160" i="108"/>
  <c r="O160" i="108" s="1"/>
  <c r="N166" i="108"/>
  <c r="O166" i="108" s="1"/>
  <c r="N230" i="108"/>
  <c r="O230" i="108" s="1"/>
  <c r="N252" i="108"/>
  <c r="O252" i="108" s="1"/>
  <c r="N255" i="108"/>
  <c r="O255" i="108" s="1"/>
  <c r="N259" i="108"/>
  <c r="O259" i="108" s="1"/>
  <c r="N263" i="108"/>
  <c r="O263" i="108" s="1"/>
  <c r="N268" i="108"/>
  <c r="O268" i="108" s="1"/>
  <c r="N281" i="108"/>
  <c r="O281" i="108" s="1"/>
  <c r="N65" i="108"/>
  <c r="O65" i="108" s="1"/>
  <c r="N112" i="108"/>
  <c r="O112" i="108" s="1"/>
  <c r="N158" i="108"/>
  <c r="O158" i="108" s="1"/>
  <c r="N165" i="108"/>
  <c r="O165" i="108" s="1"/>
  <c r="N167" i="108"/>
  <c r="O167" i="108" s="1"/>
  <c r="N191" i="108"/>
  <c r="O191" i="108" s="1"/>
  <c r="N298" i="108"/>
  <c r="O298" i="108" s="1"/>
  <c r="N312" i="108"/>
  <c r="O312" i="108" s="1"/>
  <c r="N329" i="108"/>
  <c r="O329" i="108" s="1"/>
  <c r="N332" i="108"/>
  <c r="O332" i="108" s="1"/>
  <c r="N341" i="108"/>
  <c r="O341" i="108" s="1"/>
  <c r="N171" i="108"/>
  <c r="O171" i="108" s="1"/>
  <c r="N173" i="108"/>
  <c r="O173" i="108" s="1"/>
  <c r="N175" i="108"/>
  <c r="O175" i="108" s="1"/>
  <c r="N177" i="108"/>
  <c r="O177" i="108" s="1"/>
  <c r="N193" i="108"/>
  <c r="O193" i="108" s="1"/>
  <c r="N229" i="108"/>
  <c r="O229" i="108" s="1"/>
  <c r="N237" i="108"/>
  <c r="O237" i="108" s="1"/>
  <c r="N253" i="108"/>
  <c r="O253" i="108" s="1"/>
  <c r="N256" i="108"/>
  <c r="O256" i="108" s="1"/>
  <c r="N266" i="108"/>
  <c r="O266" i="108" s="1"/>
  <c r="N291" i="108"/>
  <c r="O291" i="108" s="1"/>
  <c r="N313" i="108"/>
  <c r="O313" i="108" s="1"/>
  <c r="N316" i="108"/>
  <c r="O316" i="108" s="1"/>
  <c r="N330" i="108"/>
  <c r="O330" i="108" s="1"/>
  <c r="N348" i="108"/>
  <c r="O348" i="108" s="1"/>
  <c r="N9" i="107"/>
  <c r="N19" i="107"/>
  <c r="N31" i="107"/>
  <c r="N44" i="107"/>
  <c r="N61" i="107"/>
  <c r="N72" i="107"/>
  <c r="N83" i="107"/>
  <c r="N87" i="107"/>
  <c r="N90" i="107"/>
  <c r="N101" i="107"/>
  <c r="N108" i="107"/>
  <c r="N116" i="107"/>
  <c r="N120" i="107"/>
  <c r="N102" i="108"/>
  <c r="O102" i="108" s="1"/>
  <c r="N187" i="108"/>
  <c r="O187" i="108" s="1"/>
  <c r="N202" i="108"/>
  <c r="O202" i="108" s="1"/>
  <c r="N250" i="108"/>
  <c r="O250" i="108" s="1"/>
  <c r="N264" i="108"/>
  <c r="O264" i="108" s="1"/>
  <c r="N273" i="108"/>
  <c r="O273" i="108" s="1"/>
  <c r="N283" i="108"/>
  <c r="O283" i="108" s="1"/>
  <c r="N284" i="108"/>
  <c r="O284" i="108" s="1"/>
  <c r="N296" i="108"/>
  <c r="O296" i="108" s="1"/>
  <c r="N319" i="108"/>
  <c r="O319" i="108" s="1"/>
  <c r="N331" i="108"/>
  <c r="O331" i="108" s="1"/>
  <c r="N340" i="108"/>
  <c r="O340" i="108" s="1"/>
  <c r="N343" i="108"/>
  <c r="O343" i="108" s="1"/>
  <c r="N24" i="107"/>
  <c r="N33" i="107"/>
  <c r="N40" i="107"/>
  <c r="N43" i="107"/>
  <c r="N62" i="107"/>
  <c r="N70" i="107"/>
  <c r="N75" i="107"/>
  <c r="N85" i="107"/>
  <c r="N94" i="107"/>
  <c r="N103" i="107"/>
  <c r="N110" i="107"/>
  <c r="N114" i="107"/>
  <c r="N153" i="108"/>
  <c r="O153" i="108" s="1"/>
  <c r="N239" i="108"/>
  <c r="O239" i="108" s="1"/>
  <c r="N272" i="108"/>
  <c r="O272" i="108" s="1"/>
  <c r="N307" i="108"/>
  <c r="O307" i="108" s="1"/>
  <c r="N328" i="108"/>
  <c r="O328" i="108" s="1"/>
  <c r="N67" i="107"/>
  <c r="N89" i="107"/>
  <c r="N130" i="107"/>
  <c r="N148" i="107"/>
  <c r="N83" i="108"/>
  <c r="O83" i="108" s="1"/>
  <c r="N89" i="108"/>
  <c r="O89" i="108" s="1"/>
  <c r="N150" i="108"/>
  <c r="O150" i="108" s="1"/>
  <c r="N206" i="108"/>
  <c r="O206" i="108" s="1"/>
  <c r="N258" i="108"/>
  <c r="O258" i="108" s="1"/>
  <c r="N300" i="108"/>
  <c r="O300" i="108" s="1"/>
  <c r="N346" i="108"/>
  <c r="O346" i="108" s="1"/>
  <c r="N5" i="107"/>
  <c r="N7" i="107"/>
  <c r="N8" i="107"/>
  <c r="N10" i="107"/>
  <c r="N17" i="107"/>
  <c r="N18" i="107"/>
  <c r="N20" i="107"/>
  <c r="N23" i="107"/>
  <c r="N74" i="107"/>
  <c r="N115" i="107"/>
  <c r="N121" i="107"/>
  <c r="N136" i="107"/>
  <c r="N160" i="107"/>
  <c r="N167" i="107"/>
  <c r="N175" i="107"/>
  <c r="N84" i="108"/>
  <c r="O84" i="108" s="1"/>
  <c r="N97" i="108"/>
  <c r="O97" i="108" s="1"/>
  <c r="N155" i="108"/>
  <c r="O155" i="108" s="1"/>
  <c r="N310" i="108"/>
  <c r="O310" i="108" s="1"/>
  <c r="N315" i="108"/>
  <c r="O315" i="108" s="1"/>
  <c r="N321" i="108"/>
  <c r="O321" i="108" s="1"/>
  <c r="N342" i="108"/>
  <c r="O342" i="108" s="1"/>
  <c r="N14" i="107"/>
  <c r="N26" i="107"/>
  <c r="N27" i="107"/>
  <c r="N32" i="107"/>
  <c r="N64" i="107"/>
  <c r="N80" i="107"/>
  <c r="N82" i="107"/>
  <c r="N99" i="107"/>
  <c r="N102" i="107"/>
  <c r="N104" i="107"/>
  <c r="N105" i="107"/>
  <c r="N111" i="107"/>
  <c r="N153" i="107"/>
  <c r="N162" i="107"/>
  <c r="N181" i="107"/>
  <c r="N188" i="107"/>
  <c r="N190" i="107"/>
  <c r="N201" i="107"/>
  <c r="N204" i="107"/>
  <c r="N129" i="108"/>
  <c r="O129" i="108" s="1"/>
  <c r="N180" i="108"/>
  <c r="O180" i="108" s="1"/>
  <c r="N265" i="108"/>
  <c r="O265" i="108" s="1"/>
  <c r="N279" i="108"/>
  <c r="O279" i="108" s="1"/>
  <c r="N303" i="108"/>
  <c r="O303" i="108" s="1"/>
  <c r="N344" i="108"/>
  <c r="O344" i="108" s="1"/>
  <c r="N76" i="107"/>
  <c r="N84" i="107"/>
  <c r="N23" i="108"/>
  <c r="O23" i="108" s="1"/>
  <c r="N86" i="108"/>
  <c r="O86" i="108" s="1"/>
  <c r="N100" i="108"/>
  <c r="O100" i="108" s="1"/>
  <c r="N118" i="108"/>
  <c r="O118" i="108" s="1"/>
  <c r="N157" i="108"/>
  <c r="O157" i="108" s="1"/>
  <c r="N260" i="108"/>
  <c r="O260" i="108" s="1"/>
  <c r="N282" i="108"/>
  <c r="O282" i="108" s="1"/>
  <c r="N286" i="108"/>
  <c r="O286" i="108" s="1"/>
  <c r="N295" i="108"/>
  <c r="O295" i="108" s="1"/>
  <c r="N309" i="108"/>
  <c r="O309" i="108" s="1"/>
  <c r="N317" i="108"/>
  <c r="O317" i="108" s="1"/>
  <c r="N11" i="107"/>
  <c r="N60" i="107"/>
  <c r="N78" i="107"/>
  <c r="N86" i="107"/>
  <c r="N127" i="107"/>
  <c r="N138" i="107"/>
  <c r="N139" i="107"/>
  <c r="N69" i="108"/>
  <c r="O69" i="108" s="1"/>
  <c r="N146" i="108"/>
  <c r="O146" i="108" s="1"/>
  <c r="N251" i="108"/>
  <c r="O251" i="108" s="1"/>
  <c r="N299" i="108"/>
  <c r="O299" i="108" s="1"/>
  <c r="N311" i="108"/>
  <c r="O311" i="108" s="1"/>
  <c r="N320" i="108"/>
  <c r="O320" i="108" s="1"/>
  <c r="N107" i="107"/>
  <c r="N123" i="107"/>
  <c r="N132" i="107"/>
  <c r="N133" i="107"/>
  <c r="N134" i="107"/>
  <c r="N137" i="107"/>
  <c r="N109" i="108"/>
  <c r="O109" i="108" s="1"/>
  <c r="N322" i="108"/>
  <c r="O322" i="108" s="1"/>
  <c r="N12" i="107"/>
  <c r="N92" i="107"/>
  <c r="N95" i="107"/>
  <c r="N106" i="107"/>
  <c r="N150" i="107"/>
  <c r="N198" i="107"/>
  <c r="N206" i="107"/>
  <c r="N256" i="107"/>
  <c r="N259" i="107"/>
  <c r="N273" i="107"/>
  <c r="N281" i="107"/>
  <c r="N284" i="107"/>
  <c r="N315" i="107"/>
  <c r="N321" i="107"/>
  <c r="N332" i="107"/>
  <c r="N342" i="107"/>
  <c r="N348" i="107"/>
  <c r="N15" i="106"/>
  <c r="N242" i="108"/>
  <c r="O242" i="108" s="1"/>
  <c r="N345" i="108"/>
  <c r="O345" i="108" s="1"/>
  <c r="N63" i="107"/>
  <c r="N97" i="107"/>
  <c r="N100" i="107"/>
  <c r="N118" i="107"/>
  <c r="N143" i="107"/>
  <c r="N146" i="107"/>
  <c r="N149" i="107"/>
  <c r="N152" i="107"/>
  <c r="N171" i="107"/>
  <c r="N172" i="107"/>
  <c r="N177" i="107"/>
  <c r="N202" i="107"/>
  <c r="N229" i="107"/>
  <c r="N307" i="107"/>
  <c r="N330" i="107"/>
  <c r="N343" i="107"/>
  <c r="N346" i="107"/>
  <c r="N5" i="106"/>
  <c r="N43" i="108"/>
  <c r="O43" i="108" s="1"/>
  <c r="N82" i="108"/>
  <c r="O82" i="108" s="1"/>
  <c r="N156" i="108"/>
  <c r="O156" i="108" s="1"/>
  <c r="N308" i="108"/>
  <c r="O308" i="108" s="1"/>
  <c r="N349" i="108"/>
  <c r="O349" i="108" s="1"/>
  <c r="N69" i="107"/>
  <c r="N79" i="107"/>
  <c r="N112" i="107"/>
  <c r="N117" i="107"/>
  <c r="N158" i="107"/>
  <c r="N183" i="107"/>
  <c r="N189" i="107"/>
  <c r="N228" i="107"/>
  <c r="N267" i="107"/>
  <c r="N272" i="107"/>
  <c r="N280" i="107"/>
  <c r="N283" i="107"/>
  <c r="N314" i="107"/>
  <c r="N317" i="107"/>
  <c r="N331" i="107"/>
  <c r="N344" i="107"/>
  <c r="N147" i="108"/>
  <c r="O147" i="108" s="1"/>
  <c r="N314" i="108"/>
  <c r="O314" i="108" s="1"/>
  <c r="N325" i="108"/>
  <c r="O325" i="108" s="1"/>
  <c r="N71" i="107"/>
  <c r="N81" i="107"/>
  <c r="N93" i="107"/>
  <c r="N109" i="107"/>
  <c r="N122" i="107"/>
  <c r="N141" i="107"/>
  <c r="N159" i="107"/>
  <c r="N166" i="107"/>
  <c r="N184" i="107"/>
  <c r="N196" i="107"/>
  <c r="N205" i="107"/>
  <c r="N239" i="107"/>
  <c r="N251" i="107"/>
  <c r="N254" i="107"/>
  <c r="N258" i="107"/>
  <c r="N261" i="107"/>
  <c r="N286" i="107"/>
  <c r="N296" i="107"/>
  <c r="N341" i="107"/>
  <c r="N347" i="107"/>
  <c r="N196" i="108"/>
  <c r="O196" i="108" s="1"/>
  <c r="N13" i="107"/>
  <c r="N88" i="107"/>
  <c r="N124" i="107"/>
  <c r="N135" i="107"/>
  <c r="N164" i="107"/>
  <c r="N173" i="107"/>
  <c r="N180" i="107"/>
  <c r="N187" i="107"/>
  <c r="N252" i="107"/>
  <c r="N257" i="107"/>
  <c r="N263" i="107"/>
  <c r="N261" i="108"/>
  <c r="O261" i="108" s="1"/>
  <c r="N15" i="107"/>
  <c r="N91" i="107"/>
  <c r="N129" i="107"/>
  <c r="N140" i="107"/>
  <c r="N142" i="107"/>
  <c r="N66" i="107"/>
  <c r="N145" i="107"/>
  <c r="N147" i="107"/>
  <c r="N157" i="107"/>
  <c r="N168" i="107"/>
  <c r="N194" i="107"/>
  <c r="N264" i="107"/>
  <c r="N297" i="107"/>
  <c r="N96" i="107"/>
  <c r="N119" i="107"/>
  <c r="N125" i="107"/>
  <c r="N128" i="107"/>
  <c r="N131" i="107"/>
  <c r="N191" i="107"/>
  <c r="N279" i="107"/>
  <c r="N282" i="107"/>
  <c r="N312" i="107"/>
  <c r="N329" i="107"/>
  <c r="N8" i="106"/>
  <c r="N9" i="106"/>
  <c r="N25" i="106"/>
  <c r="N43" i="106"/>
  <c r="N62" i="106"/>
  <c r="N71" i="106"/>
  <c r="N74" i="106"/>
  <c r="N78" i="106"/>
  <c r="N84" i="106"/>
  <c r="N90" i="106"/>
  <c r="N99" i="106"/>
  <c r="N112" i="106"/>
  <c r="N115" i="106"/>
  <c r="N120" i="106"/>
  <c r="N124" i="106"/>
  <c r="N127" i="106"/>
  <c r="N131" i="106"/>
  <c r="N134" i="106"/>
  <c r="N137" i="106"/>
  <c r="N140" i="106"/>
  <c r="N149" i="106"/>
  <c r="N158" i="106"/>
  <c r="N173" i="106"/>
  <c r="N180" i="106"/>
  <c r="N183" i="106"/>
  <c r="N225" i="106"/>
  <c r="N251" i="106"/>
  <c r="N254" i="106"/>
  <c r="N258" i="106"/>
  <c r="N295" i="106"/>
  <c r="N311" i="106"/>
  <c r="N315" i="106"/>
  <c r="N332" i="106"/>
  <c r="N345" i="106"/>
  <c r="N8" i="105"/>
  <c r="N13" i="105"/>
  <c r="N17" i="105"/>
  <c r="N23" i="105"/>
  <c r="N25" i="105"/>
  <c r="N63" i="105"/>
  <c r="N81" i="105"/>
  <c r="N84" i="105"/>
  <c r="N65" i="107"/>
  <c r="N68" i="107"/>
  <c r="N176" i="107"/>
  <c r="N179" i="107"/>
  <c r="N328" i="107"/>
  <c r="N23" i="106"/>
  <c r="N32" i="106"/>
  <c r="N68" i="106"/>
  <c r="N72" i="106"/>
  <c r="N75" i="106"/>
  <c r="N79" i="106"/>
  <c r="N94" i="106"/>
  <c r="N100" i="106"/>
  <c r="N103" i="106"/>
  <c r="N105" i="106"/>
  <c r="N108" i="106"/>
  <c r="N121" i="106"/>
  <c r="N125" i="106"/>
  <c r="N138" i="106"/>
  <c r="N152" i="106"/>
  <c r="N159" i="106"/>
  <c r="N167" i="106"/>
  <c r="N174" i="106"/>
  <c r="N181" i="106"/>
  <c r="N184" i="106"/>
  <c r="N188" i="106"/>
  <c r="N190" i="106"/>
  <c r="N197" i="106"/>
  <c r="N204" i="106"/>
  <c r="N252" i="106"/>
  <c r="N255" i="106"/>
  <c r="N259" i="106"/>
  <c r="N268" i="106"/>
  <c r="N283" i="106"/>
  <c r="N309" i="106"/>
  <c r="N316" i="106"/>
  <c r="N329" i="106"/>
  <c r="N343" i="106"/>
  <c r="N346" i="106"/>
  <c r="N9" i="105"/>
  <c r="N12" i="105"/>
  <c r="N64" i="105"/>
  <c r="N76" i="105"/>
  <c r="N91" i="105"/>
  <c r="N99" i="105"/>
  <c r="N108" i="105"/>
  <c r="N110" i="105"/>
  <c r="N113" i="105"/>
  <c r="N115" i="105"/>
  <c r="N297" i="108"/>
  <c r="O297" i="108" s="1"/>
  <c r="N154" i="107"/>
  <c r="N165" i="107"/>
  <c r="N237" i="107"/>
  <c r="N242" i="107"/>
  <c r="N299" i="107"/>
  <c r="N310" i="107"/>
  <c r="N13" i="106"/>
  <c r="N18" i="106"/>
  <c r="N19" i="106"/>
  <c r="N40" i="106"/>
  <c r="N61" i="106"/>
  <c r="N64" i="106"/>
  <c r="N66" i="106"/>
  <c r="N76" i="106"/>
  <c r="N87" i="106"/>
  <c r="N92" i="106"/>
  <c r="N95" i="106"/>
  <c r="N98" i="106"/>
  <c r="N104" i="106"/>
  <c r="N111" i="106"/>
  <c r="N126" i="106"/>
  <c r="N136" i="106"/>
  <c r="N148" i="106"/>
  <c r="N156" i="106"/>
  <c r="N168" i="106"/>
  <c r="N176" i="106"/>
  <c r="N179" i="106"/>
  <c r="N191" i="106"/>
  <c r="N195" i="106"/>
  <c r="N198" i="106"/>
  <c r="N201" i="106"/>
  <c r="N229" i="106"/>
  <c r="N253" i="106"/>
  <c r="N257" i="106"/>
  <c r="N266" i="106"/>
  <c r="N282" i="106"/>
  <c r="N297" i="106"/>
  <c r="N299" i="106"/>
  <c r="N307" i="106"/>
  <c r="N310" i="106"/>
  <c r="N313" i="106"/>
  <c r="N317" i="106"/>
  <c r="N322" i="106"/>
  <c r="N344" i="106"/>
  <c r="N15" i="105"/>
  <c r="N24" i="105"/>
  <c r="N43" i="105"/>
  <c r="N60" i="105"/>
  <c r="N62" i="105"/>
  <c r="N70" i="105"/>
  <c r="N74" i="105"/>
  <c r="N77" i="105"/>
  <c r="N89" i="105"/>
  <c r="N100" i="105"/>
  <c r="N103" i="105"/>
  <c r="N106" i="105"/>
  <c r="N111" i="105"/>
  <c r="N114" i="105"/>
  <c r="N120" i="105"/>
  <c r="N126" i="105"/>
  <c r="N132" i="105"/>
  <c r="N141" i="105"/>
  <c r="N257" i="108"/>
  <c r="O257" i="108" s="1"/>
  <c r="N230" i="107"/>
  <c r="N291" i="107"/>
  <c r="N308" i="107"/>
  <c r="N311" i="107"/>
  <c r="N6" i="106"/>
  <c r="N11" i="106"/>
  <c r="N63" i="106"/>
  <c r="N65" i="106"/>
  <c r="N67" i="106"/>
  <c r="N109" i="106"/>
  <c r="N130" i="106"/>
  <c r="N147" i="106"/>
  <c r="N165" i="106"/>
  <c r="N171" i="106"/>
  <c r="N175" i="106"/>
  <c r="N196" i="106"/>
  <c r="N228" i="106"/>
  <c r="N230" i="106"/>
  <c r="N273" i="106"/>
  <c r="N284" i="106"/>
  <c r="N285" i="106"/>
  <c r="N308" i="106"/>
  <c r="N330" i="106"/>
  <c r="N340" i="106"/>
  <c r="N342" i="106"/>
  <c r="N20" i="105"/>
  <c r="N33" i="105"/>
  <c r="N75" i="105"/>
  <c r="N78" i="105"/>
  <c r="N79" i="105"/>
  <c r="N88" i="105"/>
  <c r="N90" i="105"/>
  <c r="N92" i="105"/>
  <c r="N130" i="105"/>
  <c r="N150" i="105"/>
  <c r="N154" i="105"/>
  <c r="N158" i="105"/>
  <c r="N166" i="105"/>
  <c r="N168" i="105"/>
  <c r="N174" i="105"/>
  <c r="N187" i="105"/>
  <c r="N194" i="105"/>
  <c r="N198" i="105"/>
  <c r="N204" i="105"/>
  <c r="N228" i="105"/>
  <c r="N250" i="105"/>
  <c r="N262" i="105"/>
  <c r="N272" i="105"/>
  <c r="N280" i="105"/>
  <c r="N295" i="105"/>
  <c r="N297" i="105"/>
  <c r="N299" i="105"/>
  <c r="N303" i="105"/>
  <c r="N25" i="107"/>
  <c r="N34" i="107"/>
  <c r="N193" i="107"/>
  <c r="N260" i="107"/>
  <c r="N313" i="107"/>
  <c r="N340" i="107"/>
  <c r="N349" i="107"/>
  <c r="N10" i="106"/>
  <c r="N34" i="106"/>
  <c r="N97" i="106"/>
  <c r="N116" i="106"/>
  <c r="N118" i="106"/>
  <c r="N119" i="106"/>
  <c r="N145" i="106"/>
  <c r="N146" i="106"/>
  <c r="N154" i="106"/>
  <c r="N164" i="106"/>
  <c r="N226" i="106"/>
  <c r="N261" i="106"/>
  <c r="N265" i="106"/>
  <c r="N272" i="106"/>
  <c r="N280" i="106"/>
  <c r="N296" i="106"/>
  <c r="N325" i="106"/>
  <c r="N18" i="105"/>
  <c r="N32" i="105"/>
  <c r="N40" i="105"/>
  <c r="N87" i="105"/>
  <c r="N101" i="105"/>
  <c r="N105" i="105"/>
  <c r="N107" i="105"/>
  <c r="N109" i="105"/>
  <c r="N123" i="105"/>
  <c r="N155" i="105"/>
  <c r="N171" i="105"/>
  <c r="N175" i="105"/>
  <c r="N182" i="105"/>
  <c r="N188" i="105"/>
  <c r="N237" i="105"/>
  <c r="N239" i="105"/>
  <c r="N251" i="105"/>
  <c r="N257" i="105"/>
  <c r="N308" i="105"/>
  <c r="N310" i="105"/>
  <c r="N156" i="107"/>
  <c r="N241" i="107"/>
  <c r="N262" i="107"/>
  <c r="N12" i="106"/>
  <c r="N14" i="106"/>
  <c r="N16" i="106"/>
  <c r="N80" i="106"/>
  <c r="N81" i="106"/>
  <c r="N91" i="106"/>
  <c r="N113" i="106"/>
  <c r="N114" i="106"/>
  <c r="N150" i="106"/>
  <c r="N157" i="106"/>
  <c r="N177" i="106"/>
  <c r="N203" i="106"/>
  <c r="N242" i="106"/>
  <c r="N321" i="106"/>
  <c r="N96" i="105"/>
  <c r="N117" i="105"/>
  <c r="N127" i="105"/>
  <c r="N128" i="105"/>
  <c r="N152" i="105"/>
  <c r="N157" i="105"/>
  <c r="N167" i="105"/>
  <c r="N180" i="105"/>
  <c r="N183" i="105"/>
  <c r="N197" i="105"/>
  <c r="N206" i="105"/>
  <c r="N229" i="105"/>
  <c r="N258" i="105"/>
  <c r="N307" i="105"/>
  <c r="N317" i="105"/>
  <c r="N320" i="105"/>
  <c r="N77" i="107"/>
  <c r="N174" i="107"/>
  <c r="N203" i="107"/>
  <c r="N300" i="107"/>
  <c r="N345" i="107"/>
  <c r="N31" i="106"/>
  <c r="N70" i="106"/>
  <c r="N88" i="106"/>
  <c r="N102" i="106"/>
  <c r="N162" i="106"/>
  <c r="N172" i="106"/>
  <c r="N189" i="106"/>
  <c r="N263" i="106"/>
  <c r="N291" i="106"/>
  <c r="N298" i="106"/>
  <c r="N303" i="106"/>
  <c r="N113" i="107"/>
  <c r="N182" i="107"/>
  <c r="N197" i="107"/>
  <c r="N250" i="107"/>
  <c r="N303" i="107"/>
  <c r="N325" i="107"/>
  <c r="N7" i="106"/>
  <c r="N60" i="106"/>
  <c r="N93" i="106"/>
  <c r="N132" i="106"/>
  <c r="N141" i="106"/>
  <c r="N250" i="106"/>
  <c r="N312" i="106"/>
  <c r="N320" i="106"/>
  <c r="N328" i="106"/>
  <c r="N10" i="105"/>
  <c r="N347" i="108"/>
  <c r="O347" i="108" s="1"/>
  <c r="N161" i="107"/>
  <c r="N192" i="107"/>
  <c r="N226" i="107"/>
  <c r="N298" i="107"/>
  <c r="N322" i="107"/>
  <c r="N77" i="106"/>
  <c r="N86" i="106"/>
  <c r="N161" i="106"/>
  <c r="N239" i="106"/>
  <c r="N300" i="106"/>
  <c r="N314" i="106"/>
  <c r="N319" i="106"/>
  <c r="N348" i="106"/>
  <c r="N19" i="105"/>
  <c r="N82" i="105"/>
  <c r="N225" i="107"/>
  <c r="N253" i="107"/>
  <c r="N266" i="107"/>
  <c r="N309" i="107"/>
  <c r="N320" i="107"/>
  <c r="N24" i="106"/>
  <c r="N69" i="106"/>
  <c r="N106" i="106"/>
  <c r="N122" i="106"/>
  <c r="N129" i="106"/>
  <c r="N155" i="106"/>
  <c r="N206" i="106"/>
  <c r="N237" i="106"/>
  <c r="N68" i="105"/>
  <c r="N72" i="105"/>
  <c r="N137" i="108"/>
  <c r="O137" i="108" s="1"/>
  <c r="N195" i="107"/>
  <c r="N295" i="107"/>
  <c r="N20" i="106"/>
  <c r="N44" i="106"/>
  <c r="N89" i="106"/>
  <c r="N96" i="106"/>
  <c r="N160" i="106"/>
  <c r="N182" i="106"/>
  <c r="N193" i="106"/>
  <c r="N202" i="106"/>
  <c r="N264" i="106"/>
  <c r="N281" i="106"/>
  <c r="N7" i="105"/>
  <c r="N11" i="105"/>
  <c r="N14" i="105"/>
  <c r="N44" i="105"/>
  <c r="N71" i="105"/>
  <c r="N94" i="105"/>
  <c r="N124" i="105"/>
  <c r="N129" i="105"/>
  <c r="N137" i="105"/>
  <c r="N160" i="105"/>
  <c r="N126" i="107"/>
  <c r="N285" i="107"/>
  <c r="N17" i="106"/>
  <c r="N279" i="106"/>
  <c r="N26" i="105"/>
  <c r="N73" i="105"/>
  <c r="N102" i="105"/>
  <c r="N121" i="105"/>
  <c r="N138" i="105"/>
  <c r="N140" i="105"/>
  <c r="N148" i="105"/>
  <c r="N159" i="105"/>
  <c r="N184" i="105"/>
  <c r="N192" i="105"/>
  <c r="N193" i="105"/>
  <c r="N263" i="105"/>
  <c r="N300" i="105"/>
  <c r="N313" i="105"/>
  <c r="N329" i="105"/>
  <c r="N344" i="105"/>
  <c r="N347" i="105"/>
  <c r="N7" i="104"/>
  <c r="N17" i="104"/>
  <c r="N23" i="104"/>
  <c r="N65" i="104"/>
  <c r="N67" i="104"/>
  <c r="N71" i="104"/>
  <c r="N77" i="104"/>
  <c r="N81" i="104"/>
  <c r="N316" i="107"/>
  <c r="N26" i="106"/>
  <c r="N101" i="106"/>
  <c r="N123" i="106"/>
  <c r="N187" i="106"/>
  <c r="N256" i="106"/>
  <c r="N85" i="105"/>
  <c r="N97" i="105"/>
  <c r="N133" i="105"/>
  <c r="N147" i="105"/>
  <c r="N191" i="105"/>
  <c r="N225" i="105"/>
  <c r="N226" i="105"/>
  <c r="N255" i="105"/>
  <c r="N256" i="105"/>
  <c r="N259" i="105"/>
  <c r="N282" i="105"/>
  <c r="N321" i="105"/>
  <c r="N346" i="105"/>
  <c r="N349" i="105"/>
  <c r="N20" i="104"/>
  <c r="N25" i="104"/>
  <c r="N31" i="104"/>
  <c r="N40" i="104"/>
  <c r="N70" i="104"/>
  <c r="N74" i="104"/>
  <c r="N76" i="104"/>
  <c r="N90" i="104"/>
  <c r="N100" i="104"/>
  <c r="N103" i="104"/>
  <c r="N265" i="107"/>
  <c r="N85" i="106"/>
  <c r="N107" i="106"/>
  <c r="N117" i="106"/>
  <c r="N133" i="106"/>
  <c r="N286" i="106"/>
  <c r="N341" i="106"/>
  <c r="N31" i="105"/>
  <c r="N80" i="105"/>
  <c r="N122" i="105"/>
  <c r="N135" i="105"/>
  <c r="N145" i="105"/>
  <c r="N156" i="105"/>
  <c r="N161" i="105"/>
  <c r="N202" i="105"/>
  <c r="N265" i="105"/>
  <c r="N273" i="105"/>
  <c r="N296" i="105"/>
  <c r="N315" i="105"/>
  <c r="N316" i="105"/>
  <c r="N325" i="105"/>
  <c r="N328" i="105"/>
  <c r="N345" i="105"/>
  <c r="N8" i="104"/>
  <c r="N12" i="104"/>
  <c r="N24" i="104"/>
  <c r="N33" i="104"/>
  <c r="N44" i="104"/>
  <c r="N66" i="104"/>
  <c r="N68" i="104"/>
  <c r="N98" i="107"/>
  <c r="N155" i="107"/>
  <c r="N27" i="106"/>
  <c r="N83" i="106"/>
  <c r="N110" i="106"/>
  <c r="N143" i="106"/>
  <c r="N166" i="106"/>
  <c r="N192" i="106"/>
  <c r="N6" i="105"/>
  <c r="N65" i="105"/>
  <c r="N67" i="105"/>
  <c r="N119" i="105"/>
  <c r="N125" i="105"/>
  <c r="N153" i="105"/>
  <c r="N164" i="105"/>
  <c r="N172" i="105"/>
  <c r="N195" i="105"/>
  <c r="N201" i="105"/>
  <c r="N241" i="105"/>
  <c r="N252" i="105"/>
  <c r="N253" i="105"/>
  <c r="N264" i="105"/>
  <c r="N298" i="105"/>
  <c r="N314" i="105"/>
  <c r="N319" i="105"/>
  <c r="N341" i="105"/>
  <c r="N343" i="105"/>
  <c r="N348" i="105"/>
  <c r="N16" i="104"/>
  <c r="N26" i="104"/>
  <c r="N319" i="107"/>
  <c r="N205" i="106"/>
  <c r="N349" i="106"/>
  <c r="N93" i="105"/>
  <c r="N95" i="105"/>
  <c r="N112" i="105"/>
  <c r="N116" i="105"/>
  <c r="N118" i="105"/>
  <c r="N176" i="105"/>
  <c r="N283" i="105"/>
  <c r="N286" i="105"/>
  <c r="N311" i="105"/>
  <c r="N5" i="104"/>
  <c r="N10" i="104"/>
  <c r="N13" i="104"/>
  <c r="N43" i="104"/>
  <c r="N80" i="104"/>
  <c r="N99" i="104"/>
  <c r="N101" i="104"/>
  <c r="N109" i="104"/>
  <c r="N111" i="104"/>
  <c r="N125" i="104"/>
  <c r="N133" i="104"/>
  <c r="N135" i="104"/>
  <c r="N140" i="104"/>
  <c r="N150" i="104"/>
  <c r="N152" i="104"/>
  <c r="N155" i="104"/>
  <c r="N168" i="104"/>
  <c r="N73" i="107"/>
  <c r="N135" i="106"/>
  <c r="N262" i="106"/>
  <c r="N131" i="105"/>
  <c r="N139" i="105"/>
  <c r="N162" i="105"/>
  <c r="N205" i="105"/>
  <c r="N260" i="105"/>
  <c r="N261" i="105"/>
  <c r="N291" i="105"/>
  <c r="N309" i="105"/>
  <c r="N330" i="105"/>
  <c r="N6" i="104"/>
  <c r="N9" i="104"/>
  <c r="N27" i="104"/>
  <c r="N63" i="104"/>
  <c r="N72" i="104"/>
  <c r="N86" i="104"/>
  <c r="N88" i="104"/>
  <c r="N97" i="104"/>
  <c r="N116" i="104"/>
  <c r="N120" i="104"/>
  <c r="N130" i="104"/>
  <c r="N137" i="104"/>
  <c r="N142" i="104"/>
  <c r="N161" i="104"/>
  <c r="N166" i="104"/>
  <c r="N175" i="104"/>
  <c r="N179" i="104"/>
  <c r="N188" i="104"/>
  <c r="N226" i="104"/>
  <c r="N6" i="107"/>
  <c r="N33" i="106"/>
  <c r="N73" i="106"/>
  <c r="N142" i="106"/>
  <c r="N83" i="105"/>
  <c r="N173" i="105"/>
  <c r="N266" i="105"/>
  <c r="N284" i="105"/>
  <c r="N322" i="105"/>
  <c r="N62" i="104"/>
  <c r="N84" i="104"/>
  <c r="N87" i="104"/>
  <c r="N94" i="104"/>
  <c r="N105" i="104"/>
  <c r="N107" i="104"/>
  <c r="N114" i="104"/>
  <c r="N117" i="104"/>
  <c r="N119" i="104"/>
  <c r="N128" i="104"/>
  <c r="N131" i="104"/>
  <c r="N143" i="104"/>
  <c r="N145" i="104"/>
  <c r="N146" i="104"/>
  <c r="N148" i="104"/>
  <c r="N164" i="104"/>
  <c r="N172" i="104"/>
  <c r="N180" i="104"/>
  <c r="N187" i="104"/>
  <c r="N205" i="104"/>
  <c r="N267" i="106"/>
  <c r="N86" i="105"/>
  <c r="N143" i="105"/>
  <c r="N149" i="105"/>
  <c r="N189" i="105"/>
  <c r="N268" i="105"/>
  <c r="N331" i="105"/>
  <c r="N340" i="105"/>
  <c r="N11" i="104"/>
  <c r="N14" i="104"/>
  <c r="N34" i="104"/>
  <c r="N96" i="104"/>
  <c r="N123" i="104"/>
  <c r="N160" i="104"/>
  <c r="N192" i="104"/>
  <c r="N195" i="104"/>
  <c r="N198" i="104"/>
  <c r="N194" i="106"/>
  <c r="N241" i="106"/>
  <c r="N260" i="106"/>
  <c r="N347" i="106"/>
  <c r="N16" i="105"/>
  <c r="N146" i="105"/>
  <c r="N203" i="105"/>
  <c r="N242" i="105"/>
  <c r="N69" i="104"/>
  <c r="N73" i="104"/>
  <c r="N83" i="104"/>
  <c r="N93" i="104"/>
  <c r="N118" i="104"/>
  <c r="N171" i="104"/>
  <c r="N182" i="104"/>
  <c r="N251" i="104"/>
  <c r="N281" i="104"/>
  <c r="N300" i="104"/>
  <c r="N307" i="104"/>
  <c r="N320" i="104"/>
  <c r="N341" i="104"/>
  <c r="N344" i="104"/>
  <c r="N349" i="104"/>
  <c r="N12" i="98"/>
  <c r="N15" i="98"/>
  <c r="N40" i="98"/>
  <c r="N43" i="98"/>
  <c r="N71" i="98"/>
  <c r="N83" i="98"/>
  <c r="N101" i="98"/>
  <c r="N105" i="98"/>
  <c r="N108" i="98"/>
  <c r="N114" i="98"/>
  <c r="N117" i="98"/>
  <c r="N126" i="98"/>
  <c r="N147" i="98"/>
  <c r="N152" i="98"/>
  <c r="N172" i="98"/>
  <c r="N194" i="98"/>
  <c r="N203" i="98"/>
  <c r="N206" i="98"/>
  <c r="N228" i="98"/>
  <c r="N237" i="98"/>
  <c r="N256" i="98"/>
  <c r="N259" i="98"/>
  <c r="N267" i="98"/>
  <c r="N268" i="107"/>
  <c r="N139" i="106"/>
  <c r="N136" i="105"/>
  <c r="N181" i="105"/>
  <c r="N281" i="105"/>
  <c r="N285" i="105"/>
  <c r="N18" i="104"/>
  <c r="N108" i="104"/>
  <c r="N110" i="104"/>
  <c r="N112" i="104"/>
  <c r="N158" i="104"/>
  <c r="N159" i="104"/>
  <c r="N162" i="104"/>
  <c r="N181" i="104"/>
  <c r="N189" i="104"/>
  <c r="N206" i="104"/>
  <c r="N225" i="104"/>
  <c r="N229" i="104"/>
  <c r="N256" i="104"/>
  <c r="N258" i="104"/>
  <c r="N260" i="104"/>
  <c r="N279" i="104"/>
  <c r="N282" i="104"/>
  <c r="N291" i="104"/>
  <c r="N299" i="104"/>
  <c r="N308" i="104"/>
  <c r="N314" i="104"/>
  <c r="N325" i="104"/>
  <c r="N348" i="104"/>
  <c r="N17" i="98"/>
  <c r="N34" i="98"/>
  <c r="N62" i="98"/>
  <c r="N66" i="98"/>
  <c r="N68" i="98"/>
  <c r="N75" i="98"/>
  <c r="N82" i="98"/>
  <c r="N85" i="98"/>
  <c r="N93" i="98"/>
  <c r="N96" i="98"/>
  <c r="N99" i="98"/>
  <c r="N115" i="98"/>
  <c r="N120" i="98"/>
  <c r="N141" i="98"/>
  <c r="N158" i="98"/>
  <c r="N176" i="98"/>
  <c r="N180" i="98"/>
  <c r="N190" i="98"/>
  <c r="N229" i="98"/>
  <c r="N257" i="98"/>
  <c r="N261" i="98"/>
  <c r="N268" i="98"/>
  <c r="N342" i="98"/>
  <c r="N142" i="105"/>
  <c r="N196" i="105"/>
  <c r="N75" i="104"/>
  <c r="N79" i="104"/>
  <c r="N89" i="104"/>
  <c r="N102" i="104"/>
  <c r="N132" i="104"/>
  <c r="N134" i="104"/>
  <c r="N138" i="104"/>
  <c r="N149" i="104"/>
  <c r="N156" i="104"/>
  <c r="N173" i="104"/>
  <c r="N184" i="104"/>
  <c r="N203" i="104"/>
  <c r="N204" i="104"/>
  <c r="N250" i="104"/>
  <c r="N254" i="104"/>
  <c r="N259" i="104"/>
  <c r="N263" i="104"/>
  <c r="N280" i="104"/>
  <c r="N309" i="104"/>
  <c r="N317" i="104"/>
  <c r="N331" i="104"/>
  <c r="N340" i="104"/>
  <c r="N343" i="104"/>
  <c r="N11" i="98"/>
  <c r="N18" i="98"/>
  <c r="N20" i="98"/>
  <c r="N25" i="98"/>
  <c r="N60" i="98"/>
  <c r="N81" i="98"/>
  <c r="N86" i="98"/>
  <c r="N97" i="98"/>
  <c r="N100" i="98"/>
  <c r="N103" i="98"/>
  <c r="N107" i="98"/>
  <c r="N109" i="98"/>
  <c r="N127" i="98"/>
  <c r="N139" i="98"/>
  <c r="N146" i="98"/>
  <c r="N157" i="98"/>
  <c r="N159" i="98"/>
  <c r="N168" i="98"/>
  <c r="N171" i="98"/>
  <c r="N174" i="98"/>
  <c r="N177" i="98"/>
  <c r="N196" i="98"/>
  <c r="N205" i="98"/>
  <c r="N239" i="98"/>
  <c r="N252" i="98"/>
  <c r="N258" i="98"/>
  <c r="N266" i="98"/>
  <c r="N284" i="98"/>
  <c r="N295" i="98"/>
  <c r="N255" i="107"/>
  <c r="N61" i="105"/>
  <c r="N32" i="104"/>
  <c r="N60" i="104"/>
  <c r="N124" i="104"/>
  <c r="N154" i="104"/>
  <c r="N165" i="104"/>
  <c r="N177" i="104"/>
  <c r="N197" i="104"/>
  <c r="N230" i="104"/>
  <c r="N262" i="104"/>
  <c r="N266" i="104"/>
  <c r="N296" i="104"/>
  <c r="N313" i="104"/>
  <c r="N315" i="104"/>
  <c r="N316" i="104"/>
  <c r="N19" i="98"/>
  <c r="N31" i="98"/>
  <c r="N74" i="98"/>
  <c r="N77" i="98"/>
  <c r="N78" i="98"/>
  <c r="N80" i="98"/>
  <c r="N113" i="98"/>
  <c r="N123" i="98"/>
  <c r="N134" i="98"/>
  <c r="N150" i="98"/>
  <c r="N173" i="98"/>
  <c r="N198" i="98"/>
  <c r="N260" i="98"/>
  <c r="N299" i="98"/>
  <c r="N313" i="98"/>
  <c r="N331" i="98"/>
  <c r="N347" i="98"/>
  <c r="N15" i="104"/>
  <c r="N104" i="104"/>
  <c r="N129" i="104"/>
  <c r="N141" i="104"/>
  <c r="N167" i="104"/>
  <c r="N264" i="104"/>
  <c r="N265" i="104"/>
  <c r="N284" i="104"/>
  <c r="N328" i="104"/>
  <c r="N329" i="104"/>
  <c r="N330" i="104"/>
  <c r="N345" i="104"/>
  <c r="N7" i="98"/>
  <c r="N16" i="98"/>
  <c r="N26" i="98"/>
  <c r="N64" i="98"/>
  <c r="N79" i="98"/>
  <c r="N94" i="98"/>
  <c r="N104" i="98"/>
  <c r="N124" i="98"/>
  <c r="N125" i="98"/>
  <c r="N135" i="98"/>
  <c r="N142" i="98"/>
  <c r="N181" i="98"/>
  <c r="N195" i="98"/>
  <c r="N197" i="98"/>
  <c r="N242" i="98"/>
  <c r="N264" i="98"/>
  <c r="N286" i="98"/>
  <c r="N307" i="98"/>
  <c r="N314" i="98"/>
  <c r="N341" i="98"/>
  <c r="N344" i="98"/>
  <c r="N348" i="98"/>
  <c r="N225" i="98"/>
  <c r="N230" i="98"/>
  <c r="N251" i="98"/>
  <c r="N319" i="98"/>
  <c r="N322" i="98"/>
  <c r="N5" i="105"/>
  <c r="N104" i="105"/>
  <c r="N177" i="105"/>
  <c r="N312" i="105"/>
  <c r="N91" i="104"/>
  <c r="N127" i="104"/>
  <c r="N139" i="104"/>
  <c r="N261" i="104"/>
  <c r="N14" i="98"/>
  <c r="N23" i="98"/>
  <c r="N110" i="98"/>
  <c r="N118" i="98"/>
  <c r="N202" i="98"/>
  <c r="N310" i="98"/>
  <c r="N332" i="98"/>
  <c r="N82" i="106"/>
  <c r="N134" i="105"/>
  <c r="N254" i="105"/>
  <c r="N267" i="105"/>
  <c r="N332" i="105"/>
  <c r="N157" i="104"/>
  <c r="N191" i="104"/>
  <c r="N194" i="104"/>
  <c r="N252" i="104"/>
  <c r="N283" i="104"/>
  <c r="N297" i="104"/>
  <c r="N298" i="104"/>
  <c r="N312" i="104"/>
  <c r="N319" i="104"/>
  <c r="N332" i="104"/>
  <c r="N8" i="98"/>
  <c r="N9" i="98"/>
  <c r="N61" i="98"/>
  <c r="N65" i="98"/>
  <c r="N87" i="98"/>
  <c r="N89" i="98"/>
  <c r="N95" i="98"/>
  <c r="N106" i="98"/>
  <c r="N116" i="98"/>
  <c r="N136" i="98"/>
  <c r="N143" i="98"/>
  <c r="N156" i="98"/>
  <c r="N179" i="98"/>
  <c r="N182" i="98"/>
  <c r="N183" i="98"/>
  <c r="N184" i="98"/>
  <c r="N204" i="98"/>
  <c r="N241" i="98"/>
  <c r="N262" i="98"/>
  <c r="N263" i="98"/>
  <c r="N296" i="98"/>
  <c r="N300" i="98"/>
  <c r="N308" i="98"/>
  <c r="N309" i="98"/>
  <c r="N325" i="98"/>
  <c r="N328" i="98"/>
  <c r="N128" i="106"/>
  <c r="N331" i="106"/>
  <c r="N66" i="105"/>
  <c r="N69" i="105"/>
  <c r="N279" i="105"/>
  <c r="N82" i="104"/>
  <c r="N85" i="104"/>
  <c r="N92" i="104"/>
  <c r="N106" i="104"/>
  <c r="N136" i="104"/>
  <c r="N174" i="104"/>
  <c r="N176" i="104"/>
  <c r="N196" i="104"/>
  <c r="N201" i="104"/>
  <c r="N228" i="104"/>
  <c r="N237" i="104"/>
  <c r="N242" i="104"/>
  <c r="N253" i="104"/>
  <c r="N285" i="104"/>
  <c r="N303" i="104"/>
  <c r="N311" i="104"/>
  <c r="N321" i="104"/>
  <c r="N322" i="104"/>
  <c r="N10" i="98"/>
  <c r="N27" i="98"/>
  <c r="N88" i="98"/>
  <c r="N90" i="98"/>
  <c r="N187" i="98"/>
  <c r="N315" i="98"/>
  <c r="N345" i="98"/>
  <c r="N153" i="104"/>
  <c r="N183" i="104"/>
  <c r="N346" i="104"/>
  <c r="N98" i="98"/>
  <c r="N128" i="98"/>
  <c r="N137" i="98"/>
  <c r="N155" i="98"/>
  <c r="N161" i="98"/>
  <c r="N164" i="98"/>
  <c r="N165" i="98"/>
  <c r="N167" i="98"/>
  <c r="N250" i="98"/>
  <c r="N253" i="98"/>
  <c r="N273" i="98"/>
  <c r="N291" i="98"/>
  <c r="N329" i="98"/>
  <c r="N16" i="107"/>
  <c r="N27" i="105"/>
  <c r="N98" i="105"/>
  <c r="N190" i="105"/>
  <c r="N95" i="104"/>
  <c r="N115" i="104"/>
  <c r="N122" i="104"/>
  <c r="N147" i="104"/>
  <c r="N190" i="104"/>
  <c r="N193" i="104"/>
  <c r="N239" i="104"/>
  <c r="N241" i="104"/>
  <c r="N286" i="104"/>
  <c r="N310" i="104"/>
  <c r="N13" i="98"/>
  <c r="N24" i="98"/>
  <c r="N67" i="98"/>
  <c r="N111" i="98"/>
  <c r="N119" i="98"/>
  <c r="N129" i="98"/>
  <c r="N130" i="98"/>
  <c r="N138" i="98"/>
  <c r="N145" i="98"/>
  <c r="N148" i="98"/>
  <c r="N154" i="98"/>
  <c r="N160" i="98"/>
  <c r="N166" i="98"/>
  <c r="N188" i="98"/>
  <c r="N201" i="98"/>
  <c r="N226" i="98"/>
  <c r="N254" i="98"/>
  <c r="N272" i="98"/>
  <c r="N281" i="98"/>
  <c r="N297" i="98"/>
  <c r="N311" i="98"/>
  <c r="N320" i="98"/>
  <c r="N349" i="98"/>
  <c r="N153" i="106"/>
  <c r="N165" i="105"/>
  <c r="N179" i="105"/>
  <c r="N64" i="104"/>
  <c r="N98" i="104"/>
  <c r="N113" i="104"/>
  <c r="N126" i="104"/>
  <c r="N255" i="104"/>
  <c r="N272" i="104"/>
  <c r="N295" i="104"/>
  <c r="N347" i="104"/>
  <c r="N5" i="98"/>
  <c r="N6" i="98"/>
  <c r="N33" i="98"/>
  <c r="N63" i="98"/>
  <c r="N72" i="98"/>
  <c r="N84" i="98"/>
  <c r="N91" i="98"/>
  <c r="N102" i="98"/>
  <c r="N131" i="98"/>
  <c r="N140" i="98"/>
  <c r="N162" i="98"/>
  <c r="N175" i="98"/>
  <c r="N189" i="98"/>
  <c r="N192" i="98"/>
  <c r="N255" i="98"/>
  <c r="N280" i="98"/>
  <c r="N282" i="98"/>
  <c r="N283" i="98"/>
  <c r="N298" i="98"/>
  <c r="N303" i="98"/>
  <c r="N312" i="98"/>
  <c r="N316" i="98"/>
  <c r="N330" i="98"/>
  <c r="N340" i="98"/>
  <c r="N346" i="98"/>
  <c r="N34" i="105"/>
  <c r="N230" i="105"/>
  <c r="N342" i="105"/>
  <c r="N19" i="104"/>
  <c r="N61" i="104"/>
  <c r="N78" i="104"/>
  <c r="N121" i="104"/>
  <c r="N202" i="104"/>
  <c r="N257" i="104"/>
  <c r="N267" i="104"/>
  <c r="N268" i="104"/>
  <c r="N273" i="104"/>
  <c r="N342" i="104"/>
  <c r="N32" i="98"/>
  <c r="N44" i="98"/>
  <c r="N69" i="98"/>
  <c r="N70" i="98"/>
  <c r="N73" i="98"/>
  <c r="N76" i="98"/>
  <c r="N92" i="98"/>
  <c r="N112" i="98"/>
  <c r="N121" i="98"/>
  <c r="N122" i="98"/>
  <c r="N132" i="98"/>
  <c r="N133" i="98"/>
  <c r="N149" i="98"/>
  <c r="N153" i="98"/>
  <c r="N191" i="98"/>
  <c r="N193" i="98"/>
  <c r="N265" i="98"/>
  <c r="N279" i="98"/>
  <c r="N285" i="98"/>
  <c r="N317" i="98"/>
  <c r="N321" i="98"/>
  <c r="N343" i="98"/>
  <c r="D23" i="8"/>
  <c r="E21" i="113" s="1"/>
  <c r="N28" i="108"/>
  <c r="O28" i="108" s="1"/>
  <c r="N30" i="108"/>
  <c r="O30" i="108" s="1"/>
  <c r="N29" i="108"/>
  <c r="O29" i="108" s="1"/>
  <c r="N199" i="108"/>
  <c r="O199" i="108" s="1"/>
  <c r="N227" i="108"/>
  <c r="O227" i="108" s="1"/>
  <c r="N200" i="108"/>
  <c r="O200" i="108" s="1"/>
  <c r="N277" i="108"/>
  <c r="O277" i="108" s="1"/>
  <c r="N276" i="108"/>
  <c r="O276" i="108" s="1"/>
  <c r="N278" i="108"/>
  <c r="O278" i="108" s="1"/>
  <c r="N28" i="107"/>
  <c r="N274" i="108"/>
  <c r="O274" i="108" s="1"/>
  <c r="N29" i="107"/>
  <c r="N352" i="108"/>
  <c r="O352" i="108" s="1"/>
  <c r="N302" i="108"/>
  <c r="O302" i="108" s="1"/>
  <c r="N199" i="107"/>
  <c r="N352" i="107"/>
  <c r="N30" i="107"/>
  <c r="N151" i="107"/>
  <c r="N302" i="107"/>
  <c r="N243" i="107"/>
  <c r="N275" i="107"/>
  <c r="N243" i="108"/>
  <c r="O243" i="108" s="1"/>
  <c r="N274" i="107"/>
  <c r="N275" i="108"/>
  <c r="O275" i="108" s="1"/>
  <c r="N199" i="106"/>
  <c r="N274" i="106"/>
  <c r="N277" i="106"/>
  <c r="N302" i="106"/>
  <c r="N28" i="106"/>
  <c r="N275" i="106"/>
  <c r="N277" i="107"/>
  <c r="N151" i="106"/>
  <c r="N200" i="107"/>
  <c r="N276" i="107"/>
  <c r="N30" i="106"/>
  <c r="N278" i="107"/>
  <c r="N199" i="105"/>
  <c r="N277" i="105"/>
  <c r="N227" i="107"/>
  <c r="N276" i="106"/>
  <c r="N278" i="106"/>
  <c r="N28" i="105"/>
  <c r="N30" i="105"/>
  <c r="N227" i="105"/>
  <c r="N278" i="105"/>
  <c r="N200" i="106"/>
  <c r="N151" i="108"/>
  <c r="O151" i="108" s="1"/>
  <c r="N243" i="106"/>
  <c r="N29" i="105"/>
  <c r="N227" i="106"/>
  <c r="N352" i="106"/>
  <c r="N151" i="105"/>
  <c r="N243" i="105"/>
  <c r="N275" i="105"/>
  <c r="N276" i="105"/>
  <c r="N274" i="105"/>
  <c r="N200" i="105"/>
  <c r="N352" i="105"/>
  <c r="N29" i="104"/>
  <c r="N30" i="104"/>
  <c r="N28" i="104"/>
  <c r="N199" i="104"/>
  <c r="N277" i="104"/>
  <c r="N277" i="98"/>
  <c r="N302" i="98"/>
  <c r="N302" i="105"/>
  <c r="N276" i="104"/>
  <c r="N28" i="98"/>
  <c r="N29" i="98"/>
  <c r="N30" i="98"/>
  <c r="N243" i="98"/>
  <c r="N227" i="104"/>
  <c r="N243" i="104"/>
  <c r="N352" i="98"/>
  <c r="N278" i="104"/>
  <c r="N274" i="98"/>
  <c r="N29" i="106"/>
  <c r="N151" i="104"/>
  <c r="N302" i="104"/>
  <c r="N227" i="98"/>
  <c r="N275" i="98"/>
  <c r="N276" i="98"/>
  <c r="N274" i="104"/>
  <c r="N352" i="104"/>
  <c r="N200" i="98"/>
  <c r="N200" i="104"/>
  <c r="N275" i="104"/>
  <c r="N151" i="98"/>
  <c r="N199" i="98"/>
  <c r="N278" i="98"/>
  <c r="T343" i="107"/>
  <c r="S343" i="107"/>
  <c r="W343" i="107" s="1"/>
  <c r="U343" i="107"/>
  <c r="T280" i="107"/>
  <c r="U280" i="107"/>
  <c r="S280" i="107"/>
  <c r="U182" i="107"/>
  <c r="T182" i="107"/>
  <c r="Y182" i="107" s="1"/>
  <c r="S182" i="107"/>
  <c r="W182" i="107" s="1"/>
  <c r="V182" i="107"/>
  <c r="T18" i="107"/>
  <c r="Y18" i="107" s="1"/>
  <c r="S18" i="107"/>
  <c r="U18" i="107"/>
  <c r="S167" i="107"/>
  <c r="T167" i="107"/>
  <c r="Y167" i="107" s="1"/>
  <c r="U167" i="107"/>
  <c r="T299" i="107"/>
  <c r="S299" i="107"/>
  <c r="W299" i="107" s="1"/>
  <c r="U299" i="107"/>
  <c r="S157" i="107"/>
  <c r="W157" i="107" s="1"/>
  <c r="U157" i="107"/>
  <c r="T157" i="107"/>
  <c r="T260" i="107"/>
  <c r="Y260" i="107" s="1"/>
  <c r="S260" i="107"/>
  <c r="W260" i="107" s="1"/>
  <c r="U260" i="107"/>
  <c r="X260" i="107" s="1"/>
  <c r="T188" i="107"/>
  <c r="Y188" i="107" s="1"/>
  <c r="S188" i="107"/>
  <c r="U188" i="107"/>
  <c r="S297" i="107"/>
  <c r="W297" i="107" s="1"/>
  <c r="T297" i="107"/>
  <c r="U297" i="107"/>
  <c r="T237" i="107"/>
  <c r="S237" i="107"/>
  <c r="W237" i="107" s="1"/>
  <c r="U237" i="107"/>
  <c r="U103" i="107"/>
  <c r="S103" i="107"/>
  <c r="T103" i="107"/>
  <c r="U25" i="107"/>
  <c r="T25" i="107"/>
  <c r="Y25" i="107" s="1"/>
  <c r="S25" i="107"/>
  <c r="S138" i="107"/>
  <c r="T138" i="107"/>
  <c r="Y138" i="107" s="1"/>
  <c r="U138" i="107"/>
  <c r="S85" i="107"/>
  <c r="T85" i="107"/>
  <c r="U85" i="107"/>
  <c r="U132" i="107"/>
  <c r="S132" i="107"/>
  <c r="W132" i="107" s="1"/>
  <c r="T132" i="107"/>
  <c r="S44" i="107"/>
  <c r="W44" i="107" s="1"/>
  <c r="T44" i="107"/>
  <c r="Y44" i="107" s="1"/>
  <c r="U44" i="107"/>
  <c r="X44" i="107" s="1"/>
  <c r="S27" i="107"/>
  <c r="T27" i="107"/>
  <c r="Y27" i="107" s="1"/>
  <c r="U27" i="107"/>
  <c r="T121" i="107"/>
  <c r="S121" i="107"/>
  <c r="U121" i="107"/>
  <c r="O8" i="108"/>
  <c r="Y257" i="106"/>
  <c r="Y301" i="108"/>
  <c r="Y272" i="106"/>
  <c r="T275" i="107"/>
  <c r="S275" i="107"/>
  <c r="U275" i="107"/>
  <c r="S37" i="106"/>
  <c r="W37" i="106" s="1"/>
  <c r="T37" i="106"/>
  <c r="Y37" i="106" s="1"/>
  <c r="U37" i="106"/>
  <c r="V37" i="106"/>
  <c r="Y283" i="106"/>
  <c r="Y347" i="106"/>
  <c r="Y349" i="106"/>
  <c r="Y128" i="106"/>
  <c r="Y327" i="108"/>
  <c r="Y92" i="106"/>
  <c r="Y242" i="106"/>
  <c r="G32" i="74"/>
  <c r="G37" i="74" s="1"/>
  <c r="H17" i="52" s="1"/>
  <c r="B10" i="8"/>
  <c r="D14" i="8" s="1"/>
  <c r="O192" i="84"/>
  <c r="S192" i="84" s="1"/>
  <c r="P192" i="84"/>
  <c r="Q192" i="84"/>
  <c r="P182" i="84"/>
  <c r="Q182" i="84"/>
  <c r="O182" i="84"/>
  <c r="S182" i="84" s="1"/>
  <c r="P149" i="84"/>
  <c r="O149" i="84"/>
  <c r="S149" i="84" s="1"/>
  <c r="Q149" i="84"/>
  <c r="Q105" i="84"/>
  <c r="P105" i="84"/>
  <c r="O105" i="84"/>
  <c r="S105" i="84" s="1"/>
  <c r="P144" i="84"/>
  <c r="O144" i="84"/>
  <c r="S144" i="84" s="1"/>
  <c r="Q144" i="84"/>
  <c r="P188" i="84"/>
  <c r="O188" i="84"/>
  <c r="S188" i="84" s="1"/>
  <c r="Q188" i="84"/>
  <c r="Q217" i="84"/>
  <c r="O217" i="84"/>
  <c r="S217" i="84" s="1"/>
  <c r="P217" i="84"/>
  <c r="O65" i="84"/>
  <c r="S65" i="84" s="1"/>
  <c r="P65" i="84"/>
  <c r="U65" i="84" s="1"/>
  <c r="R65" i="84"/>
  <c r="Q65" i="84"/>
  <c r="O163" i="84"/>
  <c r="S163" i="84" s="1"/>
  <c r="P163" i="84"/>
  <c r="U163" i="84" s="1"/>
  <c r="Q163" i="84"/>
  <c r="T163" i="84" s="1"/>
  <c r="Q111" i="84"/>
  <c r="O111" i="84"/>
  <c r="S111" i="84" s="1"/>
  <c r="P111" i="84"/>
  <c r="Q110" i="84"/>
  <c r="O110" i="84"/>
  <c r="S110" i="84" s="1"/>
  <c r="P110" i="84"/>
  <c r="O38" i="84"/>
  <c r="P38" i="84"/>
  <c r="U38" i="84" s="1"/>
  <c r="Q38" i="84"/>
  <c r="O42" i="84"/>
  <c r="S42" i="84" s="1"/>
  <c r="Q42" i="84"/>
  <c r="P42" i="84"/>
  <c r="P34" i="84"/>
  <c r="Q34" i="84"/>
  <c r="O34" i="84"/>
  <c r="S34" i="84" s="1"/>
  <c r="O209" i="84"/>
  <c r="S209" i="84" s="1"/>
  <c r="Q209" i="84"/>
  <c r="P209" i="84"/>
  <c r="Q189" i="84"/>
  <c r="T189" i="84" s="1"/>
  <c r="O189" i="84"/>
  <c r="S189" i="84" s="1"/>
  <c r="P189" i="84"/>
  <c r="U189" i="84" s="1"/>
  <c r="O225" i="84"/>
  <c r="S225" i="84" s="1"/>
  <c r="P225" i="84"/>
  <c r="U225" i="84" s="1"/>
  <c r="R225" i="84"/>
  <c r="Q225" i="84"/>
  <c r="P204" i="84"/>
  <c r="O204" i="84"/>
  <c r="S204" i="84" s="1"/>
  <c r="Q204" i="84"/>
  <c r="O9" i="84"/>
  <c r="S9" i="84" s="1"/>
  <c r="Q9" i="84"/>
  <c r="P9" i="84"/>
  <c r="Q61" i="84"/>
  <c r="O61" i="84"/>
  <c r="S61" i="84" s="1"/>
  <c r="P61" i="84"/>
  <c r="P18" i="84"/>
  <c r="Q18" i="84"/>
  <c r="O18" i="84"/>
  <c r="S18" i="84" s="1"/>
  <c r="O113" i="84"/>
  <c r="S113" i="84" s="1"/>
  <c r="P113" i="84"/>
  <c r="Q113" i="84"/>
  <c r="P179" i="84"/>
  <c r="Q179" i="84"/>
  <c r="O179" i="84"/>
  <c r="S179" i="84" s="1"/>
  <c r="Q101" i="84"/>
  <c r="T101" i="84" s="1"/>
  <c r="O101" i="84"/>
  <c r="S101" i="84" s="1"/>
  <c r="P101" i="84"/>
  <c r="U101" i="84" s="1"/>
  <c r="O67" i="84"/>
  <c r="S67" i="84" s="1"/>
  <c r="P67" i="84"/>
  <c r="Q67" i="84"/>
  <c r="O170" i="84"/>
  <c r="S170" i="84" s="1"/>
  <c r="P170" i="84"/>
  <c r="U170" i="84" s="1"/>
  <c r="Q170" i="84"/>
  <c r="T170" i="84" s="1"/>
  <c r="R156" i="84"/>
  <c r="P156" i="84"/>
  <c r="U156" i="84" s="1"/>
  <c r="Q156" i="84"/>
  <c r="O156" i="84"/>
  <c r="S156" i="84" s="1"/>
  <c r="O221" i="84"/>
  <c r="S221" i="84" s="1"/>
  <c r="P221" i="84"/>
  <c r="U221" i="84" s="1"/>
  <c r="Q221" i="84"/>
  <c r="R221" i="84"/>
  <c r="Q107" i="84"/>
  <c r="O107" i="84"/>
  <c r="S107" i="84" s="1"/>
  <c r="P107" i="84"/>
  <c r="O147" i="84"/>
  <c r="S147" i="84" s="1"/>
  <c r="P147" i="84"/>
  <c r="Q147" i="84"/>
  <c r="P122" i="84"/>
  <c r="Q122" i="84"/>
  <c r="O122" i="84"/>
  <c r="S122" i="84" s="1"/>
  <c r="Q128" i="84"/>
  <c r="O128" i="84"/>
  <c r="S128" i="84" s="1"/>
  <c r="P128" i="84"/>
  <c r="P90" i="84"/>
  <c r="O90" i="84"/>
  <c r="S90" i="84" s="1"/>
  <c r="Q90" i="84"/>
  <c r="P178" i="84"/>
  <c r="U178" i="84" s="1"/>
  <c r="Q178" i="84"/>
  <c r="T178" i="84" s="1"/>
  <c r="O178" i="84"/>
  <c r="S178" i="84" s="1"/>
  <c r="Q85" i="84"/>
  <c r="O85" i="84"/>
  <c r="S85" i="84" s="1"/>
  <c r="P85" i="84"/>
  <c r="O160" i="89"/>
  <c r="O56" i="89"/>
  <c r="O152" i="89"/>
  <c r="O55" i="89"/>
  <c r="O153" i="89"/>
  <c r="O160" i="99"/>
  <c r="O152" i="99"/>
  <c r="O56" i="99"/>
  <c r="O152" i="102"/>
  <c r="O152" i="101"/>
  <c r="O56" i="102"/>
  <c r="O160" i="101"/>
  <c r="O153" i="102"/>
  <c r="O56" i="100"/>
  <c r="O55" i="103"/>
  <c r="P55" i="103" s="1"/>
  <c r="Q55" i="103" s="1"/>
  <c r="O55" i="100"/>
  <c r="O56" i="103"/>
  <c r="P56" i="103" s="1"/>
  <c r="Q56" i="103" s="1"/>
  <c r="O153" i="101"/>
  <c r="O55" i="101"/>
  <c r="O160" i="102"/>
  <c r="O55" i="102"/>
  <c r="O56" i="101"/>
  <c r="O160" i="100"/>
  <c r="O153" i="100"/>
  <c r="O153" i="103"/>
  <c r="P153" i="103" s="1"/>
  <c r="Q153" i="103" s="1"/>
  <c r="O153" i="99"/>
  <c r="O160" i="103"/>
  <c r="P160" i="103" s="1"/>
  <c r="R160" i="103" s="1"/>
  <c r="O152" i="103"/>
  <c r="P152" i="103" s="1"/>
  <c r="Q152" i="103" s="1"/>
  <c r="O152" i="100"/>
  <c r="O55" i="99"/>
  <c r="O138" i="84"/>
  <c r="S138" i="84" s="1"/>
  <c r="P138" i="84"/>
  <c r="Q138" i="84"/>
  <c r="Q168" i="84"/>
  <c r="P168" i="84"/>
  <c r="O168" i="84"/>
  <c r="S168" i="84" s="1"/>
  <c r="P132" i="84"/>
  <c r="U132" i="84" s="1"/>
  <c r="O132" i="84"/>
  <c r="S132" i="84" s="1"/>
  <c r="Q132" i="84"/>
  <c r="T132" i="84" s="1"/>
  <c r="O177" i="84"/>
  <c r="S177" i="84" s="1"/>
  <c r="Q177" i="84"/>
  <c r="P177" i="84"/>
  <c r="P136" i="84"/>
  <c r="O136" i="84"/>
  <c r="S136" i="84" s="1"/>
  <c r="Q136" i="84"/>
  <c r="Q150" i="84"/>
  <c r="T150" i="84" s="1"/>
  <c r="O150" i="84"/>
  <c r="S150" i="84" s="1"/>
  <c r="P150" i="84"/>
  <c r="U150" i="84" s="1"/>
  <c r="P66" i="84"/>
  <c r="Q66" i="84"/>
  <c r="O66" i="84"/>
  <c r="S66" i="84" s="1"/>
  <c r="P193" i="84"/>
  <c r="O193" i="84"/>
  <c r="S193" i="84" s="1"/>
  <c r="Q193" i="84"/>
  <c r="O131" i="84"/>
  <c r="S131" i="84" s="1"/>
  <c r="Q131" i="84"/>
  <c r="P131" i="84"/>
  <c r="Q64" i="84"/>
  <c r="P64" i="84"/>
  <c r="U64" i="84" s="1"/>
  <c r="R64" i="84"/>
  <c r="O64" i="84"/>
  <c r="S64" i="84" s="1"/>
  <c r="P106" i="84"/>
  <c r="Q106" i="84"/>
  <c r="O106" i="84"/>
  <c r="S106" i="84" s="1"/>
  <c r="Q43" i="84"/>
  <c r="O43" i="84"/>
  <c r="S43" i="84" s="1"/>
  <c r="P43" i="84"/>
  <c r="P157" i="84"/>
  <c r="U157" i="84" s="1"/>
  <c r="O157" i="84"/>
  <c r="S157" i="84" s="1"/>
  <c r="Q157" i="84"/>
  <c r="T157" i="84" s="1"/>
  <c r="O31" i="84"/>
  <c r="S31" i="84" s="1"/>
  <c r="P31" i="84"/>
  <c r="U31" i="84" s="1"/>
  <c r="Q31" i="84"/>
  <c r="T31" i="84" s="1"/>
  <c r="Q19" i="84"/>
  <c r="O19" i="84"/>
  <c r="S19" i="84" s="1"/>
  <c r="P19" i="84"/>
  <c r="P78" i="84"/>
  <c r="Q78" i="84"/>
  <c r="O78" i="84"/>
  <c r="S78" i="84" s="1"/>
  <c r="Q93" i="84"/>
  <c r="P93" i="84"/>
  <c r="O93" i="84"/>
  <c r="S93" i="84" s="1"/>
  <c r="Q153" i="84"/>
  <c r="O153" i="84"/>
  <c r="S153" i="84" s="1"/>
  <c r="P153" i="84"/>
  <c r="P12" i="84"/>
  <c r="O12" i="84"/>
  <c r="S12" i="84" s="1"/>
  <c r="Q12" i="84"/>
  <c r="Q210" i="84"/>
  <c r="T210" i="84" s="1"/>
  <c r="O210" i="84"/>
  <c r="S210" i="84" s="1"/>
  <c r="P210" i="84"/>
  <c r="U210" i="84" s="1"/>
  <c r="O135" i="84"/>
  <c r="S135" i="84" s="1"/>
  <c r="Q135" i="84"/>
  <c r="T135" i="84" s="1"/>
  <c r="P135" i="84"/>
  <c r="U135" i="84" s="1"/>
  <c r="Q125" i="84"/>
  <c r="T125" i="84" s="1"/>
  <c r="P125" i="84"/>
  <c r="U125" i="84" s="1"/>
  <c r="O125" i="84"/>
  <c r="S125" i="84" s="1"/>
  <c r="P130" i="84"/>
  <c r="O130" i="84"/>
  <c r="S130" i="84" s="1"/>
  <c r="Q130" i="84"/>
  <c r="Q165" i="84"/>
  <c r="O165" i="84"/>
  <c r="S165" i="84" s="1"/>
  <c r="P165" i="84"/>
  <c r="O118" i="84"/>
  <c r="S118" i="84" s="1"/>
  <c r="P118" i="84"/>
  <c r="U118" i="84" s="1"/>
  <c r="Q118" i="84"/>
  <c r="T118" i="84" s="1"/>
  <c r="O77" i="84"/>
  <c r="S77" i="84" s="1"/>
  <c r="P77" i="84"/>
  <c r="Q77" i="84"/>
  <c r="P164" i="84"/>
  <c r="Q164" i="84"/>
  <c r="O164" i="84"/>
  <c r="S164" i="84" s="1"/>
  <c r="Q15" i="84"/>
  <c r="T15" i="84" s="1"/>
  <c r="P15" i="84"/>
  <c r="U15" i="84" s="1"/>
  <c r="O15" i="84"/>
  <c r="S15" i="84" s="1"/>
  <c r="Q11" i="84"/>
  <c r="P11" i="84"/>
  <c r="O11" i="84"/>
  <c r="S11" i="84" s="1"/>
  <c r="Q53" i="84"/>
  <c r="O53" i="84"/>
  <c r="S53" i="84" s="1"/>
  <c r="P53" i="84"/>
  <c r="Q155" i="84"/>
  <c r="P155" i="84"/>
  <c r="O155" i="84"/>
  <c r="S155" i="84" s="1"/>
  <c r="P56" i="84"/>
  <c r="Q56" i="84"/>
  <c r="O56" i="84"/>
  <c r="S56" i="84" s="1"/>
  <c r="O223" i="84"/>
  <c r="S223" i="84" s="1"/>
  <c r="Q223" i="84"/>
  <c r="P223" i="84"/>
  <c r="U223" i="84" s="1"/>
  <c r="R223" i="84"/>
  <c r="Q7" i="84"/>
  <c r="P7" i="84"/>
  <c r="U7" i="84" s="1"/>
  <c r="O7" i="84"/>
  <c r="O44" i="84"/>
  <c r="S44" i="84" s="1"/>
  <c r="Q44" i="84"/>
  <c r="T44" i="84" s="1"/>
  <c r="P44" i="84"/>
  <c r="U44" i="84" s="1"/>
  <c r="O33" i="84"/>
  <c r="P33" i="84"/>
  <c r="U33" i="84" s="1"/>
  <c r="Q33" i="84"/>
  <c r="P21" i="84"/>
  <c r="U21" i="84" s="1"/>
  <c r="O21" i="84"/>
  <c r="S21" i="84" s="1"/>
  <c r="Q21" i="84"/>
  <c r="T21" i="84" s="1"/>
  <c r="O212" i="84"/>
  <c r="S212" i="84" s="1"/>
  <c r="P212" i="84"/>
  <c r="U212" i="84" s="1"/>
  <c r="Q212" i="84"/>
  <c r="R212" i="84"/>
  <c r="Q96" i="84"/>
  <c r="O96" i="84"/>
  <c r="S96" i="84" s="1"/>
  <c r="P96" i="84"/>
  <c r="O137" i="84"/>
  <c r="S137" i="84" s="1"/>
  <c r="P137" i="84"/>
  <c r="Q137" i="84"/>
  <c r="P198" i="84"/>
  <c r="Q198" i="84"/>
  <c r="O198" i="84"/>
  <c r="S198" i="84" s="1"/>
  <c r="Q52" i="84"/>
  <c r="O52" i="84"/>
  <c r="S52" i="84" s="1"/>
  <c r="P52" i="84"/>
  <c r="P117" i="84"/>
  <c r="Q117" i="84"/>
  <c r="O117" i="84"/>
  <c r="S117" i="84" s="1"/>
  <c r="P48" i="84"/>
  <c r="U48" i="84" s="1"/>
  <c r="Q48" i="84"/>
  <c r="T48" i="84" s="1"/>
  <c r="O48" i="84"/>
  <c r="S48" i="84" s="1"/>
  <c r="P154" i="84"/>
  <c r="Q154" i="84"/>
  <c r="O154" i="84"/>
  <c r="S154" i="84" s="1"/>
  <c r="Q196" i="84"/>
  <c r="O196" i="84"/>
  <c r="S196" i="84" s="1"/>
  <c r="P196" i="84"/>
  <c r="O45" i="84"/>
  <c r="S45" i="84" s="1"/>
  <c r="Q45" i="84"/>
  <c r="T45" i="84" s="1"/>
  <c r="P45" i="84"/>
  <c r="U45" i="84" s="1"/>
  <c r="P190" i="84"/>
  <c r="U190" i="84" s="1"/>
  <c r="Q190" i="84"/>
  <c r="T190" i="84" s="1"/>
  <c r="O190" i="84"/>
  <c r="S190" i="84" s="1"/>
  <c r="O35" i="84"/>
  <c r="S35" i="84" s="1"/>
  <c r="P35" i="84"/>
  <c r="U35" i="84" s="1"/>
  <c r="Q35" i="84"/>
  <c r="T35" i="84" s="1"/>
  <c r="O14" i="84"/>
  <c r="S14" i="84" s="1"/>
  <c r="P14" i="84"/>
  <c r="Q14" i="84"/>
  <c r="P211" i="84"/>
  <c r="Q211" i="84"/>
  <c r="O211" i="84"/>
  <c r="S211" i="84" s="1"/>
  <c r="R226" i="84"/>
  <c r="Q226" i="84"/>
  <c r="P226" i="84"/>
  <c r="U226" i="84" s="1"/>
  <c r="O226" i="84"/>
  <c r="S226" i="84" s="1"/>
  <c r="O173" i="84"/>
  <c r="S173" i="84" s="1"/>
  <c r="P173" i="84"/>
  <c r="Q173" i="84"/>
  <c r="O94" i="84"/>
  <c r="S94" i="84" s="1"/>
  <c r="P94" i="84"/>
  <c r="Q94" i="84"/>
  <c r="Q92" i="84"/>
  <c r="O92" i="84"/>
  <c r="S92" i="84" s="1"/>
  <c r="P92" i="84"/>
  <c r="O47" i="84"/>
  <c r="S47" i="84" s="1"/>
  <c r="P47" i="84"/>
  <c r="U47" i="84" s="1"/>
  <c r="Q47" i="84"/>
  <c r="T47" i="84" s="1"/>
  <c r="O199" i="84"/>
  <c r="S199" i="84" s="1"/>
  <c r="Q199" i="84"/>
  <c r="P199" i="84"/>
  <c r="P194" i="84"/>
  <c r="Q194" i="84"/>
  <c r="O194" i="84"/>
  <c r="S194" i="84" s="1"/>
  <c r="O13" i="84"/>
  <c r="S13" i="84" s="1"/>
  <c r="P13" i="84"/>
  <c r="U13" i="84" s="1"/>
  <c r="Q13" i="84"/>
  <c r="T13" i="84" s="1"/>
  <c r="O114" i="84"/>
  <c r="S114" i="84" s="1"/>
  <c r="P114" i="84"/>
  <c r="Q114" i="84"/>
  <c r="Q140" i="84"/>
  <c r="O140" i="84"/>
  <c r="S140" i="84" s="1"/>
  <c r="P140" i="84"/>
  <c r="Q88" i="84"/>
  <c r="P88" i="84"/>
  <c r="O88" i="84"/>
  <c r="S88" i="84" s="1"/>
  <c r="O25" i="84"/>
  <c r="S25" i="84" s="1"/>
  <c r="P25" i="84"/>
  <c r="Q25" i="84"/>
  <c r="O23" i="84"/>
  <c r="S23" i="84" s="1"/>
  <c r="Q23" i="84"/>
  <c r="P23" i="84"/>
  <c r="R124" i="84"/>
  <c r="Q124" i="84"/>
  <c r="O124" i="84"/>
  <c r="S124" i="84" s="1"/>
  <c r="P124" i="84"/>
  <c r="U124" i="84" s="1"/>
  <c r="P75" i="84"/>
  <c r="Q75" i="84"/>
  <c r="O75" i="84"/>
  <c r="S75" i="84" s="1"/>
  <c r="O215" i="84"/>
  <c r="S215" i="84" s="1"/>
  <c r="P215" i="84"/>
  <c r="Q215" i="84"/>
  <c r="P166" i="84"/>
  <c r="O166" i="84"/>
  <c r="S166" i="84" s="1"/>
  <c r="Q166" i="84"/>
  <c r="O29" i="84"/>
  <c r="S29" i="84" s="1"/>
  <c r="P29" i="84"/>
  <c r="U29" i="84" s="1"/>
  <c r="Q29" i="84"/>
  <c r="T29" i="84" s="1"/>
  <c r="O115" i="84"/>
  <c r="S115" i="84" s="1"/>
  <c r="Q115" i="84"/>
  <c r="P115" i="84"/>
  <c r="P87" i="84"/>
  <c r="Q87" i="84"/>
  <c r="O87" i="84"/>
  <c r="S87" i="84" s="1"/>
  <c r="P102" i="84"/>
  <c r="Q102" i="84"/>
  <c r="O102" i="84"/>
  <c r="S102" i="84" s="1"/>
  <c r="K64" i="83"/>
  <c r="L64" i="83" s="1"/>
  <c r="K73" i="83"/>
  <c r="Q73" i="83" s="1"/>
  <c r="K93" i="83"/>
  <c r="L93" i="83" s="1"/>
  <c r="K61" i="83"/>
  <c r="P61" i="83" s="1"/>
  <c r="K15" i="83"/>
  <c r="L15" i="83" s="1"/>
  <c r="K35" i="83"/>
  <c r="L35" i="83" s="1"/>
  <c r="K20" i="83"/>
  <c r="L20" i="83" s="1"/>
  <c r="K28" i="83"/>
  <c r="L28" i="83" s="1"/>
  <c r="K133" i="83"/>
  <c r="L133" i="83" s="1"/>
  <c r="K63" i="83"/>
  <c r="L63" i="83" s="1"/>
  <c r="K83" i="83"/>
  <c r="P83" i="83" s="1"/>
  <c r="K119" i="83"/>
  <c r="L119" i="83" s="1"/>
  <c r="K27" i="83"/>
  <c r="L27" i="83" s="1"/>
  <c r="K127" i="83"/>
  <c r="L127" i="83" s="1"/>
  <c r="K207" i="83"/>
  <c r="Q207" i="83" s="1"/>
  <c r="K112" i="83"/>
  <c r="L112" i="83" s="1"/>
  <c r="K150" i="83"/>
  <c r="L150" i="83" s="1"/>
  <c r="K164" i="83"/>
  <c r="L164" i="83" s="1"/>
  <c r="K62" i="83"/>
  <c r="Q62" i="83" s="1"/>
  <c r="K67" i="83"/>
  <c r="L67" i="83" s="1"/>
  <c r="K79" i="83"/>
  <c r="L79" i="83" s="1"/>
  <c r="K116" i="83"/>
  <c r="L116" i="83" s="1"/>
  <c r="K212" i="83"/>
  <c r="O212" i="83" s="1"/>
  <c r="K239" i="83"/>
  <c r="L239" i="83" s="1"/>
  <c r="K12" i="83"/>
  <c r="L12" i="83" s="1"/>
  <c r="K104" i="83"/>
  <c r="L104" i="83" s="1"/>
  <c r="K149" i="83"/>
  <c r="L149" i="83" s="1"/>
  <c r="K224" i="83"/>
  <c r="O224" i="83" s="1"/>
  <c r="K255" i="83"/>
  <c r="O255" i="83" s="1"/>
  <c r="K298" i="83"/>
  <c r="Q298" i="83" s="1"/>
  <c r="K36" i="83"/>
  <c r="L36" i="83" s="1"/>
  <c r="K101" i="83"/>
  <c r="L101" i="83" s="1"/>
  <c r="K165" i="83"/>
  <c r="L165" i="83" s="1"/>
  <c r="K244" i="83"/>
  <c r="O244" i="83" s="1"/>
  <c r="K257" i="83"/>
  <c r="L257" i="83" s="1"/>
  <c r="K305" i="83"/>
  <c r="Q305" i="83" s="1"/>
  <c r="K338" i="83"/>
  <c r="L338" i="83" s="1"/>
  <c r="K144" i="83"/>
  <c r="L144" i="83" s="1"/>
  <c r="K174" i="83"/>
  <c r="O174" i="83" s="1"/>
  <c r="K223" i="83"/>
  <c r="O223" i="83" s="1"/>
  <c r="K252" i="83"/>
  <c r="O252" i="83" s="1"/>
  <c r="K77" i="83"/>
  <c r="L77" i="83" s="1"/>
  <c r="K141" i="83"/>
  <c r="L141" i="83" s="1"/>
  <c r="K157" i="83"/>
  <c r="L157" i="83" s="1"/>
  <c r="K331" i="83"/>
  <c r="L331" i="83" s="1"/>
  <c r="K360" i="83"/>
  <c r="L360" i="83" s="1"/>
  <c r="K367" i="83"/>
  <c r="L367" i="83" s="1"/>
  <c r="K385" i="83"/>
  <c r="N385" i="83" s="1"/>
  <c r="K240" i="83"/>
  <c r="O240" i="83" s="1"/>
  <c r="K256" i="83"/>
  <c r="O256" i="83" s="1"/>
  <c r="K258" i="83"/>
  <c r="O258" i="83" s="1"/>
  <c r="K304" i="83"/>
  <c r="Q304" i="83" s="1"/>
  <c r="K306" i="83"/>
  <c r="O306" i="83" s="1"/>
  <c r="K337" i="83"/>
  <c r="L337" i="83" s="1"/>
  <c r="K349" i="83"/>
  <c r="L349" i="83" s="1"/>
  <c r="K351" i="83"/>
  <c r="L351" i="83" s="1"/>
  <c r="K352" i="83"/>
  <c r="L352" i="83" s="1"/>
  <c r="K353" i="83"/>
  <c r="L353" i="83" s="1"/>
  <c r="K368" i="83"/>
  <c r="L368" i="83" s="1"/>
  <c r="K209" i="83"/>
  <c r="O209" i="83" s="1"/>
  <c r="K340" i="83"/>
  <c r="L340" i="83" s="1"/>
  <c r="K375" i="83"/>
  <c r="L375" i="83" s="1"/>
  <c r="K198" i="83"/>
  <c r="O198" i="83" s="1"/>
  <c r="K263" i="83"/>
  <c r="O263" i="83" s="1"/>
  <c r="K282" i="83"/>
  <c r="Q282" i="83" s="1"/>
  <c r="K309" i="83"/>
  <c r="Q309" i="83" s="1"/>
  <c r="K412" i="83"/>
  <c r="N412" i="83" s="1"/>
  <c r="K48" i="83"/>
  <c r="L48" i="83" s="1"/>
  <c r="K417" i="83"/>
  <c r="L417" i="83" s="1"/>
  <c r="K425" i="83"/>
  <c r="N425" i="83" s="1"/>
  <c r="K158" i="83"/>
  <c r="L158" i="83" s="1"/>
  <c r="K208" i="83"/>
  <c r="Q208" i="83" s="1"/>
  <c r="K319" i="83"/>
  <c r="L319" i="83" s="1"/>
  <c r="K355" i="83"/>
  <c r="L355" i="83" s="1"/>
  <c r="K401" i="83"/>
  <c r="L401" i="83" s="1"/>
  <c r="K56" i="83"/>
  <c r="Q56" i="83" s="1"/>
  <c r="K371" i="83"/>
  <c r="L371" i="83" s="1"/>
  <c r="K409" i="83"/>
  <c r="L409" i="83" s="1"/>
  <c r="K274" i="83"/>
  <c r="O274" i="83" s="1"/>
  <c r="K312" i="83"/>
  <c r="L312" i="83" s="1"/>
  <c r="K300" i="83"/>
  <c r="L300" i="83" s="1"/>
  <c r="K396" i="83"/>
  <c r="Q396" i="83" s="1"/>
  <c r="K276" i="83"/>
  <c r="O276" i="83" s="1"/>
  <c r="K129" i="83"/>
  <c r="L129" i="83" s="1"/>
  <c r="K148" i="83"/>
  <c r="L148" i="83" s="1"/>
  <c r="K88" i="83"/>
  <c r="L88" i="83" s="1"/>
  <c r="K228" i="83"/>
  <c r="Q228" i="83" s="1"/>
  <c r="K335" i="83"/>
  <c r="L335" i="83" s="1"/>
  <c r="K384" i="83"/>
  <c r="Q384" i="83" s="1"/>
  <c r="K383" i="83"/>
  <c r="N383" i="83" s="1"/>
  <c r="K388" i="83"/>
  <c r="N388" i="83" s="1"/>
  <c r="K400" i="83"/>
  <c r="L400" i="83" s="1"/>
  <c r="K247" i="83"/>
  <c r="O247" i="83" s="1"/>
  <c r="K229" i="83"/>
  <c r="Q229" i="83" s="1"/>
  <c r="K403" i="83"/>
  <c r="N403" i="83" s="1"/>
  <c r="K308" i="83"/>
  <c r="Q308" i="83" s="1"/>
  <c r="K369" i="83"/>
  <c r="L369" i="83" s="1"/>
  <c r="K434" i="83"/>
  <c r="L434" i="83" s="1"/>
  <c r="K243" i="83"/>
  <c r="O243" i="83" s="1"/>
  <c r="K275" i="83"/>
  <c r="O275" i="83" s="1"/>
  <c r="K372" i="83"/>
  <c r="L372" i="83" s="1"/>
  <c r="K120" i="83"/>
  <c r="L120" i="83" s="1"/>
  <c r="K260" i="83"/>
  <c r="O260" i="83" s="1"/>
  <c r="K166" i="83"/>
  <c r="L166" i="83" s="1"/>
  <c r="K279" i="83"/>
  <c r="O279" i="83" s="1"/>
  <c r="K87" i="83"/>
  <c r="L87" i="83" s="1"/>
  <c r="K39" i="83"/>
  <c r="L39" i="83" s="1"/>
  <c r="K345" i="83"/>
  <c r="L345" i="83" s="1"/>
  <c r="K250" i="83"/>
  <c r="O250" i="83" s="1"/>
  <c r="K408" i="83"/>
  <c r="N408" i="83" s="1"/>
  <c r="K354" i="83"/>
  <c r="L354" i="83" s="1"/>
  <c r="K430" i="83"/>
  <c r="L430" i="83" s="1"/>
  <c r="K261" i="83"/>
  <c r="O261" i="83" s="1"/>
  <c r="K6" i="83"/>
  <c r="L6" i="83" s="1"/>
  <c r="K280" i="83"/>
  <c r="O280" i="83" s="1"/>
  <c r="K227" i="83"/>
  <c r="Q227" i="83" s="1"/>
  <c r="K281" i="83"/>
  <c r="Q281" i="83" s="1"/>
  <c r="K307" i="83"/>
  <c r="L307" i="83" s="1"/>
  <c r="K217" i="83"/>
  <c r="L217" i="83" s="1"/>
  <c r="K285" i="83"/>
  <c r="O285" i="83" s="1"/>
  <c r="K136" i="83"/>
  <c r="L136" i="83" s="1"/>
  <c r="K435" i="83"/>
  <c r="L435" i="83" s="1"/>
  <c r="K356" i="83"/>
  <c r="L356" i="83" s="1"/>
  <c r="K213" i="83"/>
  <c r="O213" i="83" s="1"/>
  <c r="K154" i="83"/>
  <c r="L154" i="83" s="1"/>
  <c r="K284" i="83"/>
  <c r="O284" i="83" s="1"/>
  <c r="K321" i="83"/>
  <c r="L321" i="83" s="1"/>
  <c r="K332" i="83"/>
  <c r="L332" i="83" s="1"/>
  <c r="K156" i="83"/>
  <c r="L156" i="83" s="1"/>
  <c r="K55" i="83"/>
  <c r="P55" i="83" s="1"/>
  <c r="K336" i="83"/>
  <c r="L336" i="83" s="1"/>
  <c r="K241" i="83"/>
  <c r="O241" i="83" s="1"/>
  <c r="K382" i="83"/>
  <c r="N382" i="83" s="1"/>
  <c r="K254" i="83"/>
  <c r="O254" i="83" s="1"/>
  <c r="K96" i="83"/>
  <c r="L96" i="83" s="1"/>
  <c r="K138" i="83"/>
  <c r="L138" i="83" s="1"/>
  <c r="K53" i="83"/>
  <c r="P53" i="83" s="1"/>
  <c r="K24" i="83"/>
  <c r="L24" i="83" s="1"/>
  <c r="K405" i="83"/>
  <c r="N405" i="83" s="1"/>
  <c r="K419" i="83"/>
  <c r="L419" i="83" s="1"/>
  <c r="K322" i="83"/>
  <c r="L322" i="83" s="1"/>
  <c r="K310" i="83"/>
  <c r="Q310" i="83" s="1"/>
  <c r="K342" i="83"/>
  <c r="L342" i="83" s="1"/>
  <c r="K314" i="83"/>
  <c r="L314" i="83" s="1"/>
  <c r="K341" i="83"/>
  <c r="L341" i="83" s="1"/>
  <c r="K433" i="83"/>
  <c r="L433" i="83" s="1"/>
  <c r="K121" i="83"/>
  <c r="L121" i="83" s="1"/>
  <c r="K381" i="83"/>
  <c r="N381" i="83" s="1"/>
  <c r="K421" i="83"/>
  <c r="L421" i="83" s="1"/>
  <c r="K380" i="83"/>
  <c r="N380" i="83" s="1"/>
  <c r="K84" i="83"/>
  <c r="P84" i="83" s="1"/>
  <c r="K290" i="83"/>
  <c r="Q290" i="83" s="1"/>
  <c r="K334" i="83"/>
  <c r="L334" i="83" s="1"/>
  <c r="K225" i="83"/>
  <c r="O225" i="83" s="1"/>
  <c r="K237" i="83"/>
  <c r="O237" i="83" s="1"/>
  <c r="K111" i="83"/>
  <c r="L111" i="83" s="1"/>
  <c r="K97" i="83"/>
  <c r="L97" i="83" s="1"/>
  <c r="K392" i="83"/>
  <c r="N392" i="83" s="1"/>
  <c r="K361" i="83"/>
  <c r="L361" i="83" s="1"/>
  <c r="K325" i="83"/>
  <c r="L325" i="83" s="1"/>
  <c r="K373" i="83"/>
  <c r="L373" i="83" s="1"/>
  <c r="K343" i="83"/>
  <c r="L343" i="83" s="1"/>
  <c r="K389" i="83"/>
  <c r="N389" i="83" s="1"/>
  <c r="K414" i="83"/>
  <c r="L414" i="83" s="1"/>
  <c r="K171" i="83"/>
  <c r="O171" i="83" s="1"/>
  <c r="K234" i="83"/>
  <c r="O234" i="83" s="1"/>
  <c r="K394" i="83"/>
  <c r="N394" i="83" s="1"/>
  <c r="K299" i="83"/>
  <c r="O299" i="83" s="1"/>
  <c r="K214" i="83"/>
  <c r="O214" i="83" s="1"/>
  <c r="K211" i="83"/>
  <c r="O211" i="83" s="1"/>
  <c r="K357" i="83"/>
  <c r="L357" i="83" s="1"/>
  <c r="K80" i="83"/>
  <c r="L80" i="83" s="1"/>
  <c r="K265" i="83"/>
  <c r="O265" i="83" s="1"/>
  <c r="K242" i="83"/>
  <c r="O242" i="83" s="1"/>
  <c r="K269" i="83"/>
  <c r="O269" i="83" s="1"/>
  <c r="K194" i="83"/>
  <c r="O194" i="83" s="1"/>
  <c r="K180" i="83"/>
  <c r="O180" i="83" s="1"/>
  <c r="K264" i="83"/>
  <c r="O264" i="83" s="1"/>
  <c r="K226" i="83"/>
  <c r="O226" i="83" s="1"/>
  <c r="K151" i="83"/>
  <c r="L151" i="83" s="1"/>
  <c r="K366" i="83"/>
  <c r="L366" i="83" s="1"/>
  <c r="K140" i="83"/>
  <c r="L140" i="83" s="1"/>
  <c r="K128" i="83"/>
  <c r="L128" i="83" s="1"/>
  <c r="K19" i="83"/>
  <c r="L19" i="83" s="1"/>
  <c r="K40" i="83"/>
  <c r="L40" i="83" s="1"/>
  <c r="K60" i="83"/>
  <c r="P60" i="83" s="1"/>
  <c r="K8" i="83"/>
  <c r="L8" i="83" s="1"/>
  <c r="K423" i="83"/>
  <c r="L423" i="83" s="1"/>
  <c r="K159" i="83"/>
  <c r="L159" i="83" s="1"/>
  <c r="K422" i="83"/>
  <c r="L422" i="83" s="1"/>
  <c r="K407" i="83"/>
  <c r="N407" i="83" s="1"/>
  <c r="K301" i="83"/>
  <c r="L301" i="83" s="1"/>
  <c r="K362" i="83"/>
  <c r="L362" i="83" s="1"/>
  <c r="K432" i="83"/>
  <c r="L432" i="83" s="1"/>
  <c r="K379" i="83"/>
  <c r="N379" i="83" s="1"/>
  <c r="K187" i="83"/>
  <c r="O187" i="83" s="1"/>
  <c r="K175" i="83"/>
  <c r="O175" i="83" s="1"/>
  <c r="K328" i="83"/>
  <c r="L328" i="83" s="1"/>
  <c r="K246" i="83"/>
  <c r="O246" i="83" s="1"/>
  <c r="K135" i="83"/>
  <c r="L135" i="83" s="1"/>
  <c r="K103" i="83"/>
  <c r="L103" i="83" s="1"/>
  <c r="K192" i="83"/>
  <c r="Q192" i="83" s="1"/>
  <c r="K294" i="83"/>
  <c r="O294" i="83" s="1"/>
  <c r="K333" i="83"/>
  <c r="L333" i="83" s="1"/>
  <c r="K391" i="83"/>
  <c r="N391" i="83" s="1"/>
  <c r="K324" i="83"/>
  <c r="L324" i="83" s="1"/>
  <c r="K126" i="83"/>
  <c r="L126" i="83" s="1"/>
  <c r="K348" i="83"/>
  <c r="L348" i="83" s="1"/>
  <c r="K220" i="83"/>
  <c r="O220" i="83" s="1"/>
  <c r="K365" i="83"/>
  <c r="L365" i="83" s="1"/>
  <c r="K398" i="83"/>
  <c r="N398" i="83" s="1"/>
  <c r="K206" i="83"/>
  <c r="O206" i="83" s="1"/>
  <c r="K45" i="83"/>
  <c r="L45" i="83" s="1"/>
  <c r="K339" i="83"/>
  <c r="L339" i="83" s="1"/>
  <c r="K413" i="83"/>
  <c r="N413" i="83" s="1"/>
  <c r="K201" i="83"/>
  <c r="O201" i="83" s="1"/>
  <c r="K295" i="83"/>
  <c r="O295" i="83" s="1"/>
  <c r="K283" i="83"/>
  <c r="L283" i="83" s="1"/>
  <c r="K219" i="83"/>
  <c r="O219" i="83" s="1"/>
  <c r="K184" i="83"/>
  <c r="O184" i="83" s="1"/>
  <c r="K134" i="83"/>
  <c r="L134" i="83" s="1"/>
  <c r="K169" i="83"/>
  <c r="O169" i="83" s="1"/>
  <c r="K115" i="83"/>
  <c r="L115" i="83" s="1"/>
  <c r="K7" i="83"/>
  <c r="L7" i="83" s="1"/>
  <c r="K13" i="83"/>
  <c r="L13" i="83" s="1"/>
  <c r="K46" i="83"/>
  <c r="L46" i="83" s="1"/>
  <c r="K30" i="83"/>
  <c r="L30" i="83" s="1"/>
  <c r="K21" i="83"/>
  <c r="L21" i="83" s="1"/>
  <c r="K402" i="83"/>
  <c r="N402" i="83" s="1"/>
  <c r="K16" i="83"/>
  <c r="L16" i="83" s="1"/>
  <c r="K193" i="83"/>
  <c r="O193" i="83" s="1"/>
  <c r="K344" i="83"/>
  <c r="L344" i="83" s="1"/>
  <c r="K278" i="83"/>
  <c r="Q278" i="83" s="1"/>
  <c r="K57" i="83"/>
  <c r="P57" i="83" s="1"/>
  <c r="K424" i="83"/>
  <c r="N424" i="83" s="1"/>
  <c r="K197" i="83"/>
  <c r="O197" i="83" s="1"/>
  <c r="K167" i="83"/>
  <c r="L167" i="83" s="1"/>
  <c r="K204" i="83"/>
  <c r="O204" i="83" s="1"/>
  <c r="K182" i="83"/>
  <c r="O182" i="83" s="1"/>
  <c r="K222" i="83"/>
  <c r="O222" i="83" s="1"/>
  <c r="K74" i="83"/>
  <c r="Q74" i="83" s="1"/>
  <c r="K32" i="83"/>
  <c r="L32" i="83" s="1"/>
  <c r="K431" i="83"/>
  <c r="N431" i="83" s="1"/>
  <c r="K393" i="83"/>
  <c r="N393" i="83" s="1"/>
  <c r="K218" i="83"/>
  <c r="O218" i="83" s="1"/>
  <c r="K397" i="83"/>
  <c r="N397" i="83" s="1"/>
  <c r="K416" i="83"/>
  <c r="N416" i="83" s="1"/>
  <c r="K390" i="83"/>
  <c r="L390" i="83" s="1"/>
  <c r="K410" i="83"/>
  <c r="Q410" i="83" s="1"/>
  <c r="K303" i="83"/>
  <c r="L303" i="83" s="1"/>
  <c r="K215" i="83"/>
  <c r="O215" i="83" s="1"/>
  <c r="K196" i="83"/>
  <c r="Q196" i="83" s="1"/>
  <c r="K155" i="83"/>
  <c r="L155" i="83" s="1"/>
  <c r="K102" i="83"/>
  <c r="L102" i="83" s="1"/>
  <c r="K91" i="83"/>
  <c r="L91" i="83" s="1"/>
  <c r="K161" i="83"/>
  <c r="L161" i="83" s="1"/>
  <c r="K199" i="83"/>
  <c r="O199" i="83" s="1"/>
  <c r="K168" i="83"/>
  <c r="L168" i="83" s="1"/>
  <c r="K108" i="83"/>
  <c r="L108" i="83" s="1"/>
  <c r="K51" i="83"/>
  <c r="L51" i="83" s="1"/>
  <c r="K31" i="83"/>
  <c r="L31" i="83" s="1"/>
  <c r="K42" i="83"/>
  <c r="L42" i="83" s="1"/>
  <c r="K320" i="83"/>
  <c r="L320" i="83" s="1"/>
  <c r="K292" i="83"/>
  <c r="Q292" i="83" s="1"/>
  <c r="K189" i="83"/>
  <c r="O189" i="83" s="1"/>
  <c r="K364" i="83"/>
  <c r="L364" i="83" s="1"/>
  <c r="K429" i="83"/>
  <c r="N429" i="83" s="1"/>
  <c r="K286" i="83"/>
  <c r="O286" i="83" s="1"/>
  <c r="K273" i="83"/>
  <c r="Q273" i="83" s="1"/>
  <c r="K230" i="83"/>
  <c r="O230" i="83" s="1"/>
  <c r="K248" i="83"/>
  <c r="O248" i="83" s="1"/>
  <c r="K81" i="83"/>
  <c r="L81" i="83" s="1"/>
  <c r="K406" i="83"/>
  <c r="N406" i="83" s="1"/>
  <c r="K378" i="83"/>
  <c r="L378" i="83" s="1"/>
  <c r="K99" i="83"/>
  <c r="L99" i="83" s="1"/>
  <c r="K297" i="83"/>
  <c r="O297" i="83" s="1"/>
  <c r="K420" i="83"/>
  <c r="L420" i="83" s="1"/>
  <c r="K316" i="83"/>
  <c r="L316" i="83" s="1"/>
  <c r="K172" i="83"/>
  <c r="Q172" i="83" s="1"/>
  <c r="K395" i="83"/>
  <c r="N395" i="83" s="1"/>
  <c r="K271" i="83"/>
  <c r="L271" i="83" s="1"/>
  <c r="K302" i="83"/>
  <c r="Q302" i="83" s="1"/>
  <c r="K113" i="83"/>
  <c r="L113" i="83" s="1"/>
  <c r="K86" i="83"/>
  <c r="L86" i="83" s="1"/>
  <c r="K173" i="83"/>
  <c r="Q173" i="83" s="1"/>
  <c r="K95" i="83"/>
  <c r="L95" i="83" s="1"/>
  <c r="K374" i="83"/>
  <c r="L374" i="83" s="1"/>
  <c r="K231" i="83"/>
  <c r="O231" i="83" s="1"/>
  <c r="K418" i="83"/>
  <c r="L418" i="83" s="1"/>
  <c r="K426" i="83"/>
  <c r="L426" i="83" s="1"/>
  <c r="K411" i="83"/>
  <c r="N411" i="83" s="1"/>
  <c r="K270" i="83"/>
  <c r="O270" i="83" s="1"/>
  <c r="K259" i="83"/>
  <c r="Q259" i="83" s="1"/>
  <c r="K202" i="83"/>
  <c r="O202" i="83" s="1"/>
  <c r="K75" i="83"/>
  <c r="P75" i="83" s="1"/>
  <c r="K330" i="83"/>
  <c r="L330" i="83" s="1"/>
  <c r="K251" i="83"/>
  <c r="O251" i="83" s="1"/>
  <c r="K132" i="83"/>
  <c r="L132" i="83" s="1"/>
  <c r="K178" i="83"/>
  <c r="Q178" i="83" s="1"/>
  <c r="K176" i="83"/>
  <c r="Q176" i="83" s="1"/>
  <c r="K117" i="83"/>
  <c r="L117" i="83" s="1"/>
  <c r="K160" i="83"/>
  <c r="L160" i="83" s="1"/>
  <c r="K38" i="83"/>
  <c r="L38" i="83" s="1"/>
  <c r="K18" i="83"/>
  <c r="L18" i="83" s="1"/>
  <c r="K363" i="83"/>
  <c r="L363" i="83" s="1"/>
  <c r="K186" i="83"/>
  <c r="O186" i="83" s="1"/>
  <c r="K11" i="83"/>
  <c r="L11" i="83" s="1"/>
  <c r="K386" i="83"/>
  <c r="N386" i="83" s="1"/>
  <c r="K387" i="83"/>
  <c r="N387" i="83" s="1"/>
  <c r="K370" i="83"/>
  <c r="L370" i="83" s="1"/>
  <c r="K143" i="83"/>
  <c r="L143" i="83" s="1"/>
  <c r="K313" i="83"/>
  <c r="Q313" i="83" s="1"/>
  <c r="K317" i="83"/>
  <c r="L317" i="83" s="1"/>
  <c r="K253" i="83"/>
  <c r="Q253" i="83" s="1"/>
  <c r="K72" i="83"/>
  <c r="P72" i="83" s="1"/>
  <c r="K359" i="83"/>
  <c r="L359" i="83" s="1"/>
  <c r="K315" i="83"/>
  <c r="L315" i="83" s="1"/>
  <c r="K287" i="83"/>
  <c r="L287" i="83" s="1"/>
  <c r="K323" i="83"/>
  <c r="L323" i="83" s="1"/>
  <c r="K272" i="83"/>
  <c r="O272" i="83" s="1"/>
  <c r="K399" i="83"/>
  <c r="N399" i="83" s="1"/>
  <c r="K326" i="83"/>
  <c r="L326" i="83" s="1"/>
  <c r="K262" i="83"/>
  <c r="O262" i="83" s="1"/>
  <c r="K245" i="83"/>
  <c r="O245" i="83" s="1"/>
  <c r="K122" i="83"/>
  <c r="L122" i="83" s="1"/>
  <c r="K289" i="83"/>
  <c r="O289" i="83" s="1"/>
  <c r="K163" i="83"/>
  <c r="L163" i="83" s="1"/>
  <c r="K267" i="83"/>
  <c r="O267" i="83" s="1"/>
  <c r="K249" i="83"/>
  <c r="Q249" i="83" s="1"/>
  <c r="K232" i="83"/>
  <c r="Q232" i="83" s="1"/>
  <c r="K85" i="83"/>
  <c r="P85" i="83" s="1"/>
  <c r="K235" i="83"/>
  <c r="O235" i="83" s="1"/>
  <c r="K90" i="83"/>
  <c r="L90" i="83" s="1"/>
  <c r="K152" i="83"/>
  <c r="L152" i="83" s="1"/>
  <c r="K100" i="83"/>
  <c r="L100" i="83" s="1"/>
  <c r="K109" i="83"/>
  <c r="L109" i="83" s="1"/>
  <c r="K82" i="83"/>
  <c r="L82" i="83" s="1"/>
  <c r="K37" i="83"/>
  <c r="L37" i="83" s="1"/>
  <c r="K404" i="83"/>
  <c r="N404" i="83" s="1"/>
  <c r="K268" i="83"/>
  <c r="L268" i="83" s="1"/>
  <c r="K137" i="83"/>
  <c r="L137" i="83" s="1"/>
  <c r="K43" i="83"/>
  <c r="L43" i="83" s="1"/>
  <c r="K427" i="83"/>
  <c r="N427" i="83" s="1"/>
  <c r="K376" i="83"/>
  <c r="N376" i="83" s="1"/>
  <c r="K188" i="83"/>
  <c r="O188" i="83" s="1"/>
  <c r="K236" i="83"/>
  <c r="O236" i="83" s="1"/>
  <c r="K347" i="83"/>
  <c r="L347" i="83" s="1"/>
  <c r="K238" i="83"/>
  <c r="O238" i="83" s="1"/>
  <c r="K221" i="83"/>
  <c r="O221" i="83" s="1"/>
  <c r="K205" i="83"/>
  <c r="O205" i="83" s="1"/>
  <c r="K66" i="83"/>
  <c r="Q66" i="83" s="1"/>
  <c r="K9" i="83"/>
  <c r="L9" i="83" s="1"/>
  <c r="K146" i="83"/>
  <c r="L146" i="83" s="1"/>
  <c r="K181" i="83"/>
  <c r="O181" i="83" s="1"/>
  <c r="K318" i="83"/>
  <c r="L318" i="83" s="1"/>
  <c r="K195" i="83"/>
  <c r="O195" i="83" s="1"/>
  <c r="K191" i="83"/>
  <c r="O191" i="83" s="1"/>
  <c r="K71" i="83"/>
  <c r="Q71" i="83" s="1"/>
  <c r="K145" i="83"/>
  <c r="L145" i="83" s="1"/>
  <c r="K110" i="83"/>
  <c r="L110" i="83" s="1"/>
  <c r="K106" i="83"/>
  <c r="L106" i="83" s="1"/>
  <c r="K25" i="83"/>
  <c r="L25" i="83" s="1"/>
  <c r="K29" i="83"/>
  <c r="L29" i="83" s="1"/>
  <c r="K65" i="83"/>
  <c r="P65" i="83" s="1"/>
  <c r="K54" i="83"/>
  <c r="P54" i="83" s="1"/>
  <c r="K210" i="83"/>
  <c r="O210" i="83" s="1"/>
  <c r="K415" i="83"/>
  <c r="Q415" i="83" s="1"/>
  <c r="K216" i="83"/>
  <c r="O216" i="83" s="1"/>
  <c r="K10" i="83"/>
  <c r="L10" i="83" s="1"/>
  <c r="K350" i="83"/>
  <c r="L350" i="83" s="1"/>
  <c r="K142" i="83"/>
  <c r="L142" i="83" s="1"/>
  <c r="K22" i="83"/>
  <c r="L22" i="83" s="1"/>
  <c r="K266" i="83"/>
  <c r="O266" i="83" s="1"/>
  <c r="K329" i="83"/>
  <c r="L329" i="83" s="1"/>
  <c r="K358" i="83"/>
  <c r="L358" i="83" s="1"/>
  <c r="K124" i="83"/>
  <c r="L124" i="83" s="1"/>
  <c r="K183" i="83"/>
  <c r="Q183" i="83" s="1"/>
  <c r="K346" i="83"/>
  <c r="L346" i="83" s="1"/>
  <c r="K177" i="83"/>
  <c r="Q177" i="83" s="1"/>
  <c r="K33" i="83"/>
  <c r="L33" i="83" s="1"/>
  <c r="K70" i="83"/>
  <c r="L70" i="83" s="1"/>
  <c r="K14" i="83"/>
  <c r="L14" i="83" s="1"/>
  <c r="K377" i="83"/>
  <c r="N377" i="83" s="1"/>
  <c r="K203" i="83"/>
  <c r="O203" i="83" s="1"/>
  <c r="K114" i="83"/>
  <c r="L114" i="83" s="1"/>
  <c r="K58" i="83"/>
  <c r="P58" i="83" s="1"/>
  <c r="K170" i="83"/>
  <c r="O170" i="83" s="1"/>
  <c r="K311" i="83"/>
  <c r="Q311" i="83" s="1"/>
  <c r="K233" i="83"/>
  <c r="O233" i="83" s="1"/>
  <c r="K185" i="83"/>
  <c r="Q185" i="83" s="1"/>
  <c r="K139" i="83"/>
  <c r="L139" i="83" s="1"/>
  <c r="K52" i="83"/>
  <c r="P52" i="83" s="1"/>
  <c r="K428" i="83"/>
  <c r="Q428" i="83" s="1"/>
  <c r="K291" i="83"/>
  <c r="O291" i="83" s="1"/>
  <c r="K277" i="83"/>
  <c r="O277" i="83" s="1"/>
  <c r="K131" i="83"/>
  <c r="L131" i="83" s="1"/>
  <c r="K44" i="83"/>
  <c r="L44" i="83" s="1"/>
  <c r="K49" i="83"/>
  <c r="L49" i="83" s="1"/>
  <c r="K153" i="83"/>
  <c r="L153" i="83" s="1"/>
  <c r="K125" i="83"/>
  <c r="L125" i="83" s="1"/>
  <c r="K69" i="83"/>
  <c r="Q69" i="83" s="1"/>
  <c r="K105" i="83"/>
  <c r="L105" i="83" s="1"/>
  <c r="K76" i="83"/>
  <c r="P76" i="83" s="1"/>
  <c r="K26" i="83"/>
  <c r="L26" i="83" s="1"/>
  <c r="K288" i="83"/>
  <c r="O288" i="83" s="1"/>
  <c r="K78" i="83"/>
  <c r="L78" i="83" s="1"/>
  <c r="K98" i="83"/>
  <c r="L98" i="83" s="1"/>
  <c r="K190" i="83"/>
  <c r="O190" i="83" s="1"/>
  <c r="K296" i="83"/>
  <c r="O296" i="83" s="1"/>
  <c r="K327" i="83"/>
  <c r="L327" i="83" s="1"/>
  <c r="K162" i="83"/>
  <c r="L162" i="83" s="1"/>
  <c r="K200" i="83"/>
  <c r="O200" i="83" s="1"/>
  <c r="K179" i="83"/>
  <c r="Q179" i="83" s="1"/>
  <c r="K130" i="83"/>
  <c r="L130" i="83" s="1"/>
  <c r="K17" i="83"/>
  <c r="L17" i="83" s="1"/>
  <c r="K94" i="83"/>
  <c r="L94" i="83" s="1"/>
  <c r="K123" i="83"/>
  <c r="L123" i="83" s="1"/>
  <c r="K293" i="83"/>
  <c r="O293" i="83" s="1"/>
  <c r="K47" i="83"/>
  <c r="L47" i="83" s="1"/>
  <c r="K118" i="83"/>
  <c r="L118" i="83" s="1"/>
  <c r="K59" i="83"/>
  <c r="P59" i="83" s="1"/>
  <c r="K68" i="83"/>
  <c r="L68" i="83" s="1"/>
  <c r="K34" i="83"/>
  <c r="L34" i="83" s="1"/>
  <c r="K147" i="83"/>
  <c r="L147" i="83" s="1"/>
  <c r="K23" i="83"/>
  <c r="L23" i="83" s="1"/>
  <c r="K50" i="83"/>
  <c r="L50" i="83" s="1"/>
  <c r="K89" i="83"/>
  <c r="L89" i="83" s="1"/>
  <c r="K92" i="83"/>
  <c r="L92" i="83" s="1"/>
  <c r="K107" i="83"/>
  <c r="L107" i="83" s="1"/>
  <c r="K41" i="83"/>
  <c r="L41" i="83" s="1"/>
  <c r="O40" i="84"/>
  <c r="S40" i="84" s="1"/>
  <c r="P40" i="84"/>
  <c r="Q40" i="84"/>
  <c r="Q213" i="84"/>
  <c r="O213" i="84"/>
  <c r="S213" i="84" s="1"/>
  <c r="P213" i="84"/>
  <c r="U213" i="84" s="1"/>
  <c r="R213" i="84"/>
  <c r="P46" i="84"/>
  <c r="O46" i="84"/>
  <c r="S46" i="84" s="1"/>
  <c r="Q46" i="84"/>
  <c r="P62" i="84"/>
  <c r="O62" i="84"/>
  <c r="S62" i="84" s="1"/>
  <c r="Q62" i="84"/>
  <c r="R54" i="84"/>
  <c r="O54" i="84"/>
  <c r="S54" i="84" s="1"/>
  <c r="Q54" i="84"/>
  <c r="P54" i="84"/>
  <c r="U54" i="84" s="1"/>
  <c r="Q84" i="84"/>
  <c r="O84" i="84"/>
  <c r="S84" i="84" s="1"/>
  <c r="P84" i="84"/>
  <c r="P6" i="84"/>
  <c r="U6" i="84" s="1"/>
  <c r="O6" i="84"/>
  <c r="S6" i="84" s="1"/>
  <c r="Q6" i="84"/>
  <c r="T6" i="84" s="1"/>
  <c r="Q71" i="84"/>
  <c r="P71" i="84"/>
  <c r="O71" i="84"/>
  <c r="S71" i="84" s="1"/>
  <c r="Q120" i="84"/>
  <c r="P120" i="84"/>
  <c r="O120" i="84"/>
  <c r="S120" i="84" s="1"/>
  <c r="P74" i="84"/>
  <c r="O74" i="84"/>
  <c r="S74" i="84" s="1"/>
  <c r="Q74" i="84"/>
  <c r="O197" i="84"/>
  <c r="S197" i="84" s="1"/>
  <c r="P197" i="84"/>
  <c r="Q197" i="84"/>
  <c r="P195" i="84"/>
  <c r="O195" i="84"/>
  <c r="S195" i="84" s="1"/>
  <c r="Q195" i="84"/>
  <c r="P98" i="84"/>
  <c r="Q98" i="84"/>
  <c r="O98" i="84"/>
  <c r="S98" i="84" s="1"/>
  <c r="Q220" i="84"/>
  <c r="P220" i="84"/>
  <c r="O220" i="84"/>
  <c r="S220" i="84" s="1"/>
  <c r="Q146" i="84"/>
  <c r="P146" i="84"/>
  <c r="O146" i="84"/>
  <c r="S146" i="84" s="1"/>
  <c r="R141" i="84"/>
  <c r="Q141" i="84"/>
  <c r="O141" i="84"/>
  <c r="S141" i="84" s="1"/>
  <c r="P141" i="84"/>
  <c r="U141" i="84" s="1"/>
  <c r="P175" i="84"/>
  <c r="U175" i="84" s="1"/>
  <c r="Q175" i="84"/>
  <c r="T175" i="84" s="1"/>
  <c r="O175" i="84"/>
  <c r="S175" i="84" s="1"/>
  <c r="P17" i="84"/>
  <c r="U17" i="84" s="1"/>
  <c r="Q17" i="84"/>
  <c r="T17" i="84" s="1"/>
  <c r="O17" i="84"/>
  <c r="S17" i="84" s="1"/>
  <c r="P169" i="84"/>
  <c r="O169" i="84"/>
  <c r="S169" i="84" s="1"/>
  <c r="Q169" i="84"/>
  <c r="P152" i="84"/>
  <c r="U152" i="84" s="1"/>
  <c r="O152" i="84"/>
  <c r="S152" i="84" s="1"/>
  <c r="Q152" i="84"/>
  <c r="T152" i="84" s="1"/>
  <c r="O95" i="84"/>
  <c r="S95" i="84" s="1"/>
  <c r="P95" i="84"/>
  <c r="U95" i="84" s="1"/>
  <c r="Q95" i="84"/>
  <c r="R95" i="84"/>
  <c r="O89" i="84"/>
  <c r="S89" i="84" s="1"/>
  <c r="Q89" i="84"/>
  <c r="P89" i="84"/>
  <c r="O214" i="84"/>
  <c r="S214" i="84" s="1"/>
  <c r="P214" i="84"/>
  <c r="Q214" i="84"/>
  <c r="O142" i="84"/>
  <c r="S142" i="84" s="1"/>
  <c r="Q142" i="84"/>
  <c r="P142" i="84"/>
  <c r="Q49" i="84"/>
  <c r="O49" i="84"/>
  <c r="S49" i="84" s="1"/>
  <c r="P49" i="84"/>
  <c r="Q200" i="84"/>
  <c r="T200" i="84" s="1"/>
  <c r="P200" i="84"/>
  <c r="U200" i="84" s="1"/>
  <c r="O200" i="84"/>
  <c r="S200" i="84" s="1"/>
  <c r="O50" i="84"/>
  <c r="S50" i="84" s="1"/>
  <c r="P50" i="84"/>
  <c r="Q50" i="84"/>
  <c r="P159" i="84"/>
  <c r="O159" i="84"/>
  <c r="S159" i="84" s="1"/>
  <c r="Q159" i="84"/>
  <c r="O180" i="84"/>
  <c r="S180" i="84" s="1"/>
  <c r="Q180" i="84"/>
  <c r="P180" i="84"/>
  <c r="P57" i="84"/>
  <c r="O57" i="84"/>
  <c r="S57" i="84" s="1"/>
  <c r="Q57" i="84"/>
  <c r="P16" i="84"/>
  <c r="O16" i="84"/>
  <c r="S16" i="84" s="1"/>
  <c r="Q16" i="84"/>
  <c r="Q186" i="84"/>
  <c r="O186" i="84"/>
  <c r="S186" i="84" s="1"/>
  <c r="P186" i="84"/>
  <c r="Q112" i="84"/>
  <c r="P112" i="84"/>
  <c r="O112" i="84"/>
  <c r="S112" i="84" s="1"/>
  <c r="P176" i="84"/>
  <c r="O176" i="84"/>
  <c r="S176" i="84" s="1"/>
  <c r="Q176" i="84"/>
  <c r="Q104" i="84"/>
  <c r="R104" i="84"/>
  <c r="O104" i="84"/>
  <c r="S104" i="84" s="1"/>
  <c r="P104" i="84"/>
  <c r="U104" i="84" s="1"/>
  <c r="Q129" i="84"/>
  <c r="O129" i="84"/>
  <c r="S129" i="84" s="1"/>
  <c r="P129" i="84"/>
  <c r="P51" i="84"/>
  <c r="Q51" i="84"/>
  <c r="O51" i="84"/>
  <c r="S51" i="84" s="1"/>
  <c r="Q32" i="84"/>
  <c r="P32" i="84"/>
  <c r="O32" i="84"/>
  <c r="S32" i="84" s="1"/>
  <c r="P79" i="84"/>
  <c r="Q79" i="84"/>
  <c r="O79" i="84"/>
  <c r="S79" i="84" s="1"/>
  <c r="O151" i="84"/>
  <c r="S151" i="84" s="1"/>
  <c r="P151" i="84"/>
  <c r="Q151" i="84"/>
  <c r="P68" i="84"/>
  <c r="Q68" i="84"/>
  <c r="O68" i="84"/>
  <c r="S68" i="84" s="1"/>
  <c r="O100" i="84"/>
  <c r="S100" i="84" s="1"/>
  <c r="P100" i="84"/>
  <c r="Q100" i="84"/>
  <c r="O207" i="84"/>
  <c r="P207" i="84"/>
  <c r="U207" i="84" s="1"/>
  <c r="Q207" i="84"/>
  <c r="Q133" i="84"/>
  <c r="O133" i="84"/>
  <c r="S133" i="84" s="1"/>
  <c r="P133" i="84"/>
  <c r="O109" i="84"/>
  <c r="S109" i="84" s="1"/>
  <c r="Q109" i="84"/>
  <c r="P109" i="84"/>
  <c r="O32" i="89"/>
  <c r="O212" i="89"/>
  <c r="O224" i="89"/>
  <c r="O34" i="89"/>
  <c r="O239" i="89"/>
  <c r="O118" i="89"/>
  <c r="O33" i="89"/>
  <c r="O240" i="89"/>
  <c r="O238" i="89"/>
  <c r="O212" i="103"/>
  <c r="P212" i="103" s="1"/>
  <c r="R212" i="103" s="1"/>
  <c r="O240" i="102"/>
  <c r="O238" i="102"/>
  <c r="O240" i="101"/>
  <c r="O239" i="101"/>
  <c r="O32" i="102"/>
  <c r="O32" i="101"/>
  <c r="O238" i="100"/>
  <c r="O118" i="102"/>
  <c r="O32" i="100"/>
  <c r="O118" i="99"/>
  <c r="O34" i="99"/>
  <c r="O239" i="102"/>
  <c r="O224" i="101"/>
  <c r="O212" i="101"/>
  <c r="O34" i="102"/>
  <c r="O33" i="101"/>
  <c r="O224" i="103"/>
  <c r="P224" i="103" s="1"/>
  <c r="R224" i="103" s="1"/>
  <c r="O33" i="102"/>
  <c r="O238" i="99"/>
  <c r="O238" i="103"/>
  <c r="P238" i="103" s="1"/>
  <c r="R238" i="103" s="1"/>
  <c r="O212" i="102"/>
  <c r="O33" i="99"/>
  <c r="O239" i="103"/>
  <c r="P239" i="103" s="1"/>
  <c r="R239" i="103" s="1"/>
  <c r="O33" i="103"/>
  <c r="P33" i="103" s="1"/>
  <c r="R33" i="103" s="1"/>
  <c r="O224" i="102"/>
  <c r="O34" i="101"/>
  <c r="O212" i="100"/>
  <c r="O34" i="100"/>
  <c r="O33" i="100"/>
  <c r="O118" i="100"/>
  <c r="O240" i="99"/>
  <c r="O239" i="99"/>
  <c r="O224" i="99"/>
  <c r="O32" i="99"/>
  <c r="O240" i="103"/>
  <c r="P240" i="103" s="1"/>
  <c r="R240" i="103" s="1"/>
  <c r="O118" i="101"/>
  <c r="O239" i="100"/>
  <c r="O212" i="99"/>
  <c r="O118" i="103"/>
  <c r="P118" i="103" s="1"/>
  <c r="R118" i="103" s="1"/>
  <c r="O34" i="103"/>
  <c r="P34" i="103" s="1"/>
  <c r="Q34" i="103" s="1"/>
  <c r="O240" i="100"/>
  <c r="O224" i="100"/>
  <c r="O32" i="103"/>
  <c r="P32" i="103" s="1"/>
  <c r="R32" i="103" s="1"/>
  <c r="O238" i="101"/>
  <c r="C23" i="8"/>
  <c r="D21" i="113" s="1"/>
  <c r="P8" i="84"/>
  <c r="Q8" i="84"/>
  <c r="O8" i="84"/>
  <c r="S8" i="84" s="1"/>
  <c r="P24" i="84"/>
  <c r="Q24" i="84"/>
  <c r="O24" i="84"/>
  <c r="S24" i="84" s="1"/>
  <c r="P161" i="84"/>
  <c r="O161" i="84"/>
  <c r="S161" i="84" s="1"/>
  <c r="Q161" i="84"/>
  <c r="P103" i="84"/>
  <c r="Q103" i="84"/>
  <c r="O103" i="84"/>
  <c r="S103" i="84" s="1"/>
  <c r="Q162" i="84"/>
  <c r="P162" i="84"/>
  <c r="U162" i="84" s="1"/>
  <c r="O162" i="84"/>
  <c r="Q205" i="84"/>
  <c r="T205" i="84" s="1"/>
  <c r="O205" i="84"/>
  <c r="S205" i="84" s="1"/>
  <c r="P205" i="84"/>
  <c r="U205" i="84" s="1"/>
  <c r="P208" i="84"/>
  <c r="Q208" i="84"/>
  <c r="O208" i="84"/>
  <c r="S208" i="84" s="1"/>
  <c r="P37" i="84"/>
  <c r="U37" i="84" s="1"/>
  <c r="R37" i="84"/>
  <c r="Q37" i="84"/>
  <c r="O37" i="84"/>
  <c r="S37" i="84" s="1"/>
  <c r="P148" i="84"/>
  <c r="U148" i="84" s="1"/>
  <c r="Q148" i="84"/>
  <c r="R148" i="84"/>
  <c r="O148" i="84"/>
  <c r="S148" i="84" s="1"/>
  <c r="P119" i="84"/>
  <c r="O119" i="84"/>
  <c r="S119" i="84" s="1"/>
  <c r="Q119" i="84"/>
  <c r="P76" i="84"/>
  <c r="Q76" i="84"/>
  <c r="O76" i="84"/>
  <c r="S76" i="84" s="1"/>
  <c r="P121" i="84"/>
  <c r="Q121" i="84"/>
  <c r="O121" i="84"/>
  <c r="S121" i="84" s="1"/>
  <c r="O224" i="84"/>
  <c r="S224" i="84" s="1"/>
  <c r="Q224" i="84"/>
  <c r="P224" i="84"/>
  <c r="Q158" i="84"/>
  <c r="O158" i="84"/>
  <c r="S158" i="84" s="1"/>
  <c r="P158" i="84"/>
  <c r="P108" i="84"/>
  <c r="Q108" i="84"/>
  <c r="O108" i="84"/>
  <c r="S108" i="84" s="1"/>
  <c r="P222" i="84"/>
  <c r="U222" i="84" s="1"/>
  <c r="Q222" i="84"/>
  <c r="O222" i="84"/>
  <c r="P70" i="84"/>
  <c r="Q70" i="84"/>
  <c r="O70" i="84"/>
  <c r="S70" i="84" s="1"/>
  <c r="P183" i="84"/>
  <c r="Q183" i="84"/>
  <c r="O183" i="84"/>
  <c r="S183" i="84" s="1"/>
  <c r="O145" i="84"/>
  <c r="S145" i="84" s="1"/>
  <c r="P145" i="84"/>
  <c r="Q145" i="84"/>
  <c r="P72" i="84"/>
  <c r="Q72" i="84"/>
  <c r="O72" i="84"/>
  <c r="S72" i="84" s="1"/>
  <c r="P26" i="84"/>
  <c r="Q26" i="84"/>
  <c r="O26" i="84"/>
  <c r="S26" i="84" s="1"/>
  <c r="O126" i="84"/>
  <c r="S126" i="84" s="1"/>
  <c r="Q126" i="84"/>
  <c r="P126" i="84"/>
  <c r="P218" i="84"/>
  <c r="O218" i="84"/>
  <c r="S218" i="84" s="1"/>
  <c r="Q218" i="84"/>
  <c r="Q127" i="84"/>
  <c r="P127" i="84"/>
  <c r="O127" i="84"/>
  <c r="S127" i="84" s="1"/>
  <c r="Q69" i="84"/>
  <c r="O69" i="84"/>
  <c r="S69" i="84" s="1"/>
  <c r="P69" i="84"/>
  <c r="O91" i="84"/>
  <c r="S91" i="84" s="1"/>
  <c r="P91" i="84"/>
  <c r="Q91" i="84"/>
  <c r="O73" i="84"/>
  <c r="S73" i="84" s="1"/>
  <c r="Q73" i="84"/>
  <c r="P73" i="84"/>
  <c r="O27" i="84"/>
  <c r="S27" i="84" s="1"/>
  <c r="Q27" i="84"/>
  <c r="P27" i="84"/>
  <c r="P134" i="84"/>
  <c r="Q134" i="84"/>
  <c r="O134" i="84"/>
  <c r="S134" i="84" s="1"/>
  <c r="Q10" i="84"/>
  <c r="P10" i="84"/>
  <c r="O10" i="84"/>
  <c r="S10" i="84" s="1"/>
  <c r="Q167" i="84"/>
  <c r="O167" i="84"/>
  <c r="S167" i="84" s="1"/>
  <c r="P167" i="84"/>
  <c r="O36" i="84"/>
  <c r="S36" i="84" s="1"/>
  <c r="Q36" i="84"/>
  <c r="P36" i="84"/>
  <c r="O58" i="84"/>
  <c r="S58" i="84" s="1"/>
  <c r="Q58" i="84"/>
  <c r="P58" i="84"/>
  <c r="Q83" i="84"/>
  <c r="O83" i="84"/>
  <c r="S83" i="84" s="1"/>
  <c r="P83" i="84"/>
  <c r="O174" i="84"/>
  <c r="S174" i="84" s="1"/>
  <c r="P174" i="84"/>
  <c r="Q174" i="84"/>
  <c r="Q28" i="84"/>
  <c r="P28" i="84"/>
  <c r="O28" i="84"/>
  <c r="S28" i="84" s="1"/>
  <c r="P39" i="84"/>
  <c r="O39" i="84"/>
  <c r="S39" i="84" s="1"/>
  <c r="Q39" i="84"/>
  <c r="O99" i="84"/>
  <c r="P99" i="84"/>
  <c r="U99" i="84" s="1"/>
  <c r="Q99" i="84"/>
  <c r="O123" i="84"/>
  <c r="S123" i="84" s="1"/>
  <c r="Q123" i="84"/>
  <c r="T123" i="84" s="1"/>
  <c r="P123" i="84"/>
  <c r="U123" i="84" s="1"/>
  <c r="Q41" i="84"/>
  <c r="P41" i="84"/>
  <c r="O41" i="84"/>
  <c r="S41" i="84" s="1"/>
  <c r="O201" i="84"/>
  <c r="S201" i="84" s="1"/>
  <c r="Q201" i="84"/>
  <c r="P201" i="84"/>
  <c r="P172" i="84"/>
  <c r="O172" i="84"/>
  <c r="S172" i="84" s="1"/>
  <c r="Q172" i="84"/>
  <c r="P160" i="84"/>
  <c r="Q160" i="84"/>
  <c r="O160" i="84"/>
  <c r="S160" i="84" s="1"/>
  <c r="P30" i="84"/>
  <c r="O30" i="84"/>
  <c r="S30" i="84" s="1"/>
  <c r="Q30" i="84"/>
  <c r="P63" i="84"/>
  <c r="Q63" i="84"/>
  <c r="O63" i="84"/>
  <c r="S63" i="84" s="1"/>
  <c r="Q20" i="84"/>
  <c r="O20" i="84"/>
  <c r="S20" i="84" s="1"/>
  <c r="P20" i="84"/>
  <c r="Q191" i="84"/>
  <c r="P191" i="84"/>
  <c r="O191" i="84"/>
  <c r="S191" i="84" s="1"/>
  <c r="R171" i="84"/>
  <c r="Q171" i="84"/>
  <c r="O171" i="84"/>
  <c r="S171" i="84" s="1"/>
  <c r="P171" i="84"/>
  <c r="U171" i="84" s="1"/>
  <c r="O139" i="84"/>
  <c r="S139" i="84" s="1"/>
  <c r="Q139" i="84"/>
  <c r="P139" i="84"/>
  <c r="P116" i="84"/>
  <c r="Q116" i="84"/>
  <c r="O116" i="84"/>
  <c r="S116" i="84" s="1"/>
  <c r="Q181" i="84"/>
  <c r="P181" i="84"/>
  <c r="O181" i="84"/>
  <c r="S181" i="84" s="1"/>
  <c r="Q216" i="84"/>
  <c r="P216" i="84"/>
  <c r="O216" i="84"/>
  <c r="S216" i="84" s="1"/>
  <c r="O184" i="84"/>
  <c r="S184" i="84" s="1"/>
  <c r="Q184" i="84"/>
  <c r="P184" i="84"/>
  <c r="P59" i="84"/>
  <c r="O59" i="84"/>
  <c r="S59" i="84" s="1"/>
  <c r="Q59" i="84"/>
  <c r="P22" i="84"/>
  <c r="O22" i="84"/>
  <c r="S22" i="84" s="1"/>
  <c r="Q22" i="84"/>
  <c r="P80" i="84"/>
  <c r="U80" i="84" s="1"/>
  <c r="Q80" i="84"/>
  <c r="T80" i="84" s="1"/>
  <c r="O80" i="84"/>
  <c r="S80" i="84" s="1"/>
  <c r="O143" i="84"/>
  <c r="S143" i="84" s="1"/>
  <c r="P143" i="84"/>
  <c r="Q143" i="84"/>
  <c r="Q60" i="84"/>
  <c r="O60" i="84"/>
  <c r="S60" i="84" s="1"/>
  <c r="P60" i="84"/>
  <c r="Q81" i="84"/>
  <c r="O81" i="84"/>
  <c r="S81" i="84" s="1"/>
  <c r="P81" i="84"/>
  <c r="Q219" i="84"/>
  <c r="O219" i="84"/>
  <c r="S219" i="84" s="1"/>
  <c r="P219" i="84"/>
  <c r="P187" i="84"/>
  <c r="Q187" i="84"/>
  <c r="O187" i="84"/>
  <c r="S187" i="84" s="1"/>
  <c r="P206" i="84"/>
  <c r="Q206" i="84"/>
  <c r="O206" i="84"/>
  <c r="S206" i="84" s="1"/>
  <c r="Q55" i="84"/>
  <c r="T55" i="84" s="1"/>
  <c r="P55" i="84"/>
  <c r="U55" i="84" s="1"/>
  <c r="O55" i="84"/>
  <c r="S55" i="84" s="1"/>
  <c r="P202" i="84"/>
  <c r="Q202" i="84"/>
  <c r="O202" i="84"/>
  <c r="S202" i="84" s="1"/>
  <c r="P97" i="84"/>
  <c r="O97" i="84"/>
  <c r="S97" i="84" s="1"/>
  <c r="Q97" i="84"/>
  <c r="O203" i="84"/>
  <c r="S203" i="84" s="1"/>
  <c r="P203" i="84"/>
  <c r="Q203" i="84"/>
  <c r="P185" i="84"/>
  <c r="O185" i="84"/>
  <c r="S185" i="84" s="1"/>
  <c r="Q185" i="84"/>
  <c r="O86" i="84"/>
  <c r="S86" i="84" s="1"/>
  <c r="P86" i="84"/>
  <c r="Q86" i="84"/>
  <c r="P82" i="84"/>
  <c r="Q82" i="84"/>
  <c r="O82" i="84"/>
  <c r="S82" i="84" s="1"/>
  <c r="R40" i="2"/>
  <c r="V40" i="2" s="1"/>
  <c r="Q40" i="2"/>
  <c r="T40" i="2" s="1"/>
  <c r="S40" i="2"/>
  <c r="U40" i="2" s="1"/>
  <c r="S188" i="2"/>
  <c r="Q188" i="2"/>
  <c r="T188" i="2" s="1"/>
  <c r="R188" i="2"/>
  <c r="Q111" i="2"/>
  <c r="T111" i="2" s="1"/>
  <c r="R111" i="2"/>
  <c r="V111" i="2" s="1"/>
  <c r="S111" i="2"/>
  <c r="U111" i="2" s="1"/>
  <c r="Q77" i="2"/>
  <c r="T77" i="2" s="1"/>
  <c r="S77" i="2"/>
  <c r="R77" i="2"/>
  <c r="Q115" i="2"/>
  <c r="T115" i="2" s="1"/>
  <c r="R115" i="2"/>
  <c r="S115" i="2"/>
  <c r="Q113" i="2"/>
  <c r="T113" i="2" s="1"/>
  <c r="R113" i="2"/>
  <c r="S113" i="2"/>
  <c r="R229" i="2"/>
  <c r="S229" i="2"/>
  <c r="Q229" i="2"/>
  <c r="T229" i="2" s="1"/>
  <c r="R186" i="2"/>
  <c r="S186" i="2"/>
  <c r="Q186" i="2"/>
  <c r="T186" i="2" s="1"/>
  <c r="Q76" i="2"/>
  <c r="S76" i="2"/>
  <c r="R76" i="2"/>
  <c r="V76" i="2" s="1"/>
  <c r="S323" i="2"/>
  <c r="Q323" i="2"/>
  <c r="T323" i="2" s="1"/>
  <c r="R323" i="2"/>
  <c r="Q302" i="2"/>
  <c r="T302" i="2" s="1"/>
  <c r="R302" i="2"/>
  <c r="S302" i="2"/>
  <c r="Q168" i="2"/>
  <c r="T168" i="2" s="1"/>
  <c r="S168" i="2"/>
  <c r="R168" i="2"/>
  <c r="R82" i="2"/>
  <c r="S82" i="2"/>
  <c r="Q82" i="2"/>
  <c r="T82" i="2" s="1"/>
  <c r="Q247" i="2"/>
  <c r="T247" i="2" s="1"/>
  <c r="S247" i="2"/>
  <c r="R247" i="2"/>
  <c r="R227" i="2"/>
  <c r="V227" i="2" s="1"/>
  <c r="Q227" i="2"/>
  <c r="T227" i="2" s="1"/>
  <c r="S227" i="2"/>
  <c r="U227" i="2" s="1"/>
  <c r="Q233" i="2"/>
  <c r="T233" i="2" s="1"/>
  <c r="R233" i="2"/>
  <c r="S233" i="2"/>
  <c r="Q108" i="2"/>
  <c r="T108" i="2" s="1"/>
  <c r="S108" i="2"/>
  <c r="R108" i="2"/>
  <c r="R252" i="2"/>
  <c r="Q252" i="2"/>
  <c r="T252" i="2" s="1"/>
  <c r="S252" i="2"/>
  <c r="S287" i="2"/>
  <c r="Q287" i="2"/>
  <c r="T287" i="2" s="1"/>
  <c r="R287" i="2"/>
  <c r="S244" i="2"/>
  <c r="Q244" i="2"/>
  <c r="T244" i="2" s="1"/>
  <c r="R244" i="2"/>
  <c r="S35" i="2"/>
  <c r="Q35" i="2"/>
  <c r="T35" i="2" s="1"/>
  <c r="R35" i="2"/>
  <c r="R24" i="2"/>
  <c r="V24" i="2" s="1"/>
  <c r="S24" i="2"/>
  <c r="U24" i="2" s="1"/>
  <c r="Q24" i="2"/>
  <c r="T24" i="2" s="1"/>
  <c r="R105" i="2"/>
  <c r="S105" i="2"/>
  <c r="Q105" i="2"/>
  <c r="T105" i="2" s="1"/>
  <c r="S300" i="2"/>
  <c r="R300" i="2"/>
  <c r="V300" i="2" s="1"/>
  <c r="Q300" i="2"/>
  <c r="T300" i="2" s="1"/>
  <c r="R107" i="2"/>
  <c r="S107" i="2"/>
  <c r="Q107" i="2"/>
  <c r="T107" i="2" s="1"/>
  <c r="R288" i="2"/>
  <c r="S288" i="2"/>
  <c r="Q288" i="2"/>
  <c r="T288" i="2" s="1"/>
  <c r="R171" i="2"/>
  <c r="V171" i="2" s="1"/>
  <c r="Q171" i="2"/>
  <c r="T171" i="2" s="1"/>
  <c r="S171" i="2"/>
  <c r="W171" i="2"/>
  <c r="R155" i="2"/>
  <c r="S155" i="2"/>
  <c r="Q155" i="2"/>
  <c r="T155" i="2" s="1"/>
  <c r="O8" i="103"/>
  <c r="P8" i="103" s="1"/>
  <c r="Q8" i="103" s="1"/>
  <c r="O7" i="103"/>
  <c r="P7" i="103" s="1"/>
  <c r="Q7" i="103" s="1"/>
  <c r="O6" i="103"/>
  <c r="P6" i="103" s="1"/>
  <c r="R6" i="103" s="1"/>
  <c r="O10" i="103"/>
  <c r="P10" i="103" s="1"/>
  <c r="R10" i="103" s="1"/>
  <c r="O12" i="103"/>
  <c r="P12" i="103" s="1"/>
  <c r="Q12" i="103" s="1"/>
  <c r="O13" i="103"/>
  <c r="P13" i="103" s="1"/>
  <c r="Q13" i="103" s="1"/>
  <c r="O18" i="103"/>
  <c r="P18" i="103" s="1"/>
  <c r="R18" i="103" s="1"/>
  <c r="O31" i="103"/>
  <c r="P31" i="103" s="1"/>
  <c r="Q31" i="103" s="1"/>
  <c r="O42" i="103"/>
  <c r="P42" i="103" s="1"/>
  <c r="Q42" i="103" s="1"/>
  <c r="O44" i="103"/>
  <c r="P44" i="103" s="1"/>
  <c r="Q44" i="103" s="1"/>
  <c r="O45" i="103"/>
  <c r="P45" i="103" s="1"/>
  <c r="Q45" i="103" s="1"/>
  <c r="O80" i="103"/>
  <c r="P80" i="103" s="1"/>
  <c r="R80" i="103" s="1"/>
  <c r="O88" i="103"/>
  <c r="P88" i="103" s="1"/>
  <c r="R88" i="103" s="1"/>
  <c r="O5" i="103"/>
  <c r="P5" i="103" s="1"/>
  <c r="R5" i="103" s="1"/>
  <c r="O17" i="103"/>
  <c r="P17" i="103" s="1"/>
  <c r="R17" i="103" s="1"/>
  <c r="O30" i="103"/>
  <c r="P30" i="103" s="1"/>
  <c r="Q30" i="103" s="1"/>
  <c r="O41" i="103"/>
  <c r="P41" i="103" s="1"/>
  <c r="Q41" i="103" s="1"/>
  <c r="O79" i="103"/>
  <c r="P79" i="103" s="1"/>
  <c r="R79" i="103" s="1"/>
  <c r="O87" i="103"/>
  <c r="P87" i="103" s="1"/>
  <c r="R87" i="103" s="1"/>
  <c r="O99" i="103"/>
  <c r="P99" i="103" s="1"/>
  <c r="Q99" i="103" s="1"/>
  <c r="O102" i="103"/>
  <c r="P102" i="103" s="1"/>
  <c r="Q102" i="103" s="1"/>
  <c r="O28" i="103"/>
  <c r="P28" i="103" s="1"/>
  <c r="Q28" i="103" s="1"/>
  <c r="O29" i="103"/>
  <c r="P29" i="103" s="1"/>
  <c r="Q29" i="103" s="1"/>
  <c r="O40" i="103"/>
  <c r="P40" i="103" s="1"/>
  <c r="Q40" i="103" s="1"/>
  <c r="O51" i="103"/>
  <c r="P51" i="103" s="1"/>
  <c r="Q51" i="103" s="1"/>
  <c r="O54" i="103"/>
  <c r="P54" i="103" s="1"/>
  <c r="Q54" i="103" s="1"/>
  <c r="O78" i="103"/>
  <c r="P78" i="103" s="1"/>
  <c r="R78" i="103" s="1"/>
  <c r="O86" i="103"/>
  <c r="P86" i="103" s="1"/>
  <c r="R86" i="103" s="1"/>
  <c r="O98" i="103"/>
  <c r="P98" i="103" s="1"/>
  <c r="Q98" i="103" s="1"/>
  <c r="O100" i="103"/>
  <c r="P100" i="103" s="1"/>
  <c r="Q100" i="103" s="1"/>
  <c r="O101" i="103"/>
  <c r="P101" i="103" s="1"/>
  <c r="Q101" i="103" s="1"/>
  <c r="O22" i="103"/>
  <c r="P22" i="103" s="1"/>
  <c r="Q22" i="103" s="1"/>
  <c r="O47" i="103"/>
  <c r="P47" i="103" s="1"/>
  <c r="Q47" i="103" s="1"/>
  <c r="O60" i="103"/>
  <c r="P60" i="103" s="1"/>
  <c r="Q60" i="103" s="1"/>
  <c r="O82" i="103"/>
  <c r="P82" i="103" s="1"/>
  <c r="R82" i="103" s="1"/>
  <c r="O90" i="103"/>
  <c r="P90" i="103" s="1"/>
  <c r="Q90" i="103" s="1"/>
  <c r="O91" i="103"/>
  <c r="P91" i="103" s="1"/>
  <c r="R91" i="103" s="1"/>
  <c r="O92" i="103"/>
  <c r="P92" i="103" s="1"/>
  <c r="R92" i="103" s="1"/>
  <c r="O93" i="103"/>
  <c r="P93" i="103" s="1"/>
  <c r="R93" i="103" s="1"/>
  <c r="O21" i="103"/>
  <c r="P21" i="103" s="1"/>
  <c r="Q21" i="103" s="1"/>
  <c r="O23" i="103"/>
  <c r="P23" i="103" s="1"/>
  <c r="Q23" i="103" s="1"/>
  <c r="O52" i="103"/>
  <c r="P52" i="103" s="1"/>
  <c r="Q52" i="103" s="1"/>
  <c r="O59" i="103"/>
  <c r="P59" i="103" s="1"/>
  <c r="Q59" i="103" s="1"/>
  <c r="O106" i="103"/>
  <c r="P106" i="103" s="1"/>
  <c r="Q106" i="103" s="1"/>
  <c r="O115" i="103"/>
  <c r="P115" i="103" s="1"/>
  <c r="R115" i="103" s="1"/>
  <c r="O123" i="103"/>
  <c r="P123" i="103" s="1"/>
  <c r="R123" i="103" s="1"/>
  <c r="O124" i="103"/>
  <c r="P124" i="103" s="1"/>
  <c r="R124" i="103" s="1"/>
  <c r="O125" i="103"/>
  <c r="P125" i="103" s="1"/>
  <c r="R125" i="103" s="1"/>
  <c r="O136" i="103"/>
  <c r="P136" i="103" s="1"/>
  <c r="R136" i="103" s="1"/>
  <c r="O161" i="103"/>
  <c r="P161" i="103" s="1"/>
  <c r="R161" i="103" s="1"/>
  <c r="O170" i="103"/>
  <c r="P170" i="103" s="1"/>
  <c r="Q170" i="103" s="1"/>
  <c r="O179" i="103"/>
  <c r="P179" i="103" s="1"/>
  <c r="Q179" i="103" s="1"/>
  <c r="O180" i="103"/>
  <c r="P180" i="103" s="1"/>
  <c r="Q180" i="103" s="1"/>
  <c r="O188" i="103"/>
  <c r="P188" i="103" s="1"/>
  <c r="R188" i="103" s="1"/>
  <c r="O197" i="103"/>
  <c r="P197" i="103" s="1"/>
  <c r="Q197" i="103" s="1"/>
  <c r="O213" i="103"/>
  <c r="P213" i="103" s="1"/>
  <c r="R213" i="103" s="1"/>
  <c r="O226" i="103"/>
  <c r="P226" i="103" s="1"/>
  <c r="R226" i="103" s="1"/>
  <c r="O9" i="102"/>
  <c r="O22" i="102"/>
  <c r="O43" i="102"/>
  <c r="O46" i="102"/>
  <c r="O16" i="103"/>
  <c r="P16" i="103" s="1"/>
  <c r="R16" i="103" s="1"/>
  <c r="O36" i="103"/>
  <c r="P36" i="103" s="1"/>
  <c r="R36" i="103" s="1"/>
  <c r="O38" i="103"/>
  <c r="P38" i="103" s="1"/>
  <c r="Q38" i="103" s="1"/>
  <c r="O105" i="103"/>
  <c r="P105" i="103" s="1"/>
  <c r="R105" i="103" s="1"/>
  <c r="O114" i="103"/>
  <c r="P114" i="103" s="1"/>
  <c r="R114" i="103" s="1"/>
  <c r="O122" i="103"/>
  <c r="P122" i="103" s="1"/>
  <c r="Q122" i="103" s="1"/>
  <c r="O134" i="103"/>
  <c r="P134" i="103" s="1"/>
  <c r="R134" i="103" s="1"/>
  <c r="O135" i="103"/>
  <c r="P135" i="103" s="1"/>
  <c r="R135" i="103" s="1"/>
  <c r="O169" i="103"/>
  <c r="P169" i="103" s="1"/>
  <c r="Q169" i="103" s="1"/>
  <c r="O178" i="103"/>
  <c r="P178" i="103" s="1"/>
  <c r="Q178" i="103" s="1"/>
  <c r="O187" i="103"/>
  <c r="P187" i="103" s="1"/>
  <c r="R187" i="103" s="1"/>
  <c r="O195" i="103"/>
  <c r="P195" i="103" s="1"/>
  <c r="Q195" i="103" s="1"/>
  <c r="O196" i="103"/>
  <c r="P196" i="103" s="1"/>
  <c r="Q196" i="103" s="1"/>
  <c r="O211" i="103"/>
  <c r="P211" i="103" s="1"/>
  <c r="R211" i="103" s="1"/>
  <c r="O235" i="103"/>
  <c r="P235" i="103" s="1"/>
  <c r="Q235" i="103" s="1"/>
  <c r="O251" i="103"/>
  <c r="P251" i="103" s="1"/>
  <c r="Q251" i="103" s="1"/>
  <c r="O254" i="103"/>
  <c r="P254" i="103" s="1"/>
  <c r="R254" i="103" s="1"/>
  <c r="O8" i="102"/>
  <c r="O19" i="102"/>
  <c r="O20" i="102"/>
  <c r="O21" i="102"/>
  <c r="O42" i="102"/>
  <c r="O44" i="102"/>
  <c r="O45" i="102"/>
  <c r="O83" i="103"/>
  <c r="P83" i="103" s="1"/>
  <c r="R83" i="103" s="1"/>
  <c r="O96" i="103"/>
  <c r="P96" i="103" s="1"/>
  <c r="R96" i="103" s="1"/>
  <c r="O104" i="103"/>
  <c r="P104" i="103" s="1"/>
  <c r="R104" i="103" s="1"/>
  <c r="O113" i="103"/>
  <c r="P113" i="103" s="1"/>
  <c r="R113" i="103" s="1"/>
  <c r="O121" i="103"/>
  <c r="P121" i="103" s="1"/>
  <c r="Q121" i="103" s="1"/>
  <c r="O131" i="103"/>
  <c r="P131" i="103" s="1"/>
  <c r="R131" i="103" s="1"/>
  <c r="O132" i="103"/>
  <c r="P132" i="103" s="1"/>
  <c r="R132" i="103" s="1"/>
  <c r="O133" i="103"/>
  <c r="P133" i="103" s="1"/>
  <c r="R133" i="103" s="1"/>
  <c r="O151" i="103"/>
  <c r="P151" i="103" s="1"/>
  <c r="Q151" i="103" s="1"/>
  <c r="O159" i="103"/>
  <c r="P159" i="103" s="1"/>
  <c r="R159" i="103" s="1"/>
  <c r="O168" i="103"/>
  <c r="P168" i="103" s="1"/>
  <c r="Q168" i="103" s="1"/>
  <c r="O177" i="103"/>
  <c r="P177" i="103" s="1"/>
  <c r="Q177" i="103" s="1"/>
  <c r="O186" i="103"/>
  <c r="P186" i="103" s="1"/>
  <c r="R186" i="103" s="1"/>
  <c r="O194" i="103"/>
  <c r="P194" i="103" s="1"/>
  <c r="Q194" i="103" s="1"/>
  <c r="O210" i="103"/>
  <c r="P210" i="103" s="1"/>
  <c r="R210" i="103" s="1"/>
  <c r="O234" i="103"/>
  <c r="P234" i="103" s="1"/>
  <c r="R234" i="103" s="1"/>
  <c r="O237" i="103"/>
  <c r="P237" i="103" s="1"/>
  <c r="R237" i="103" s="1"/>
  <c r="O250" i="103"/>
  <c r="P250" i="103" s="1"/>
  <c r="Q250" i="103" s="1"/>
  <c r="O252" i="103"/>
  <c r="P252" i="103" s="1"/>
  <c r="Q252" i="103" s="1"/>
  <c r="O253" i="103"/>
  <c r="P253" i="103" s="1"/>
  <c r="R253" i="103" s="1"/>
  <c r="O265" i="103"/>
  <c r="P265" i="103" s="1"/>
  <c r="R265" i="103" s="1"/>
  <c r="O7" i="102"/>
  <c r="O18" i="102"/>
  <c r="O31" i="102"/>
  <c r="O41" i="102"/>
  <c r="O19" i="103"/>
  <c r="P19" i="103" s="1"/>
  <c r="R19" i="103" s="1"/>
  <c r="O76" i="103"/>
  <c r="P76" i="103" s="1"/>
  <c r="R76" i="103" s="1"/>
  <c r="O81" i="103"/>
  <c r="P81" i="103" s="1"/>
  <c r="R81" i="103" s="1"/>
  <c r="O89" i="103"/>
  <c r="P89" i="103" s="1"/>
  <c r="Q89" i="103" s="1"/>
  <c r="O97" i="103"/>
  <c r="P97" i="103" s="1"/>
  <c r="R97" i="103" s="1"/>
  <c r="O108" i="103"/>
  <c r="P108" i="103" s="1"/>
  <c r="R108" i="103" s="1"/>
  <c r="O117" i="103"/>
  <c r="P117" i="103" s="1"/>
  <c r="Q117" i="103" s="1"/>
  <c r="O127" i="103"/>
  <c r="P127" i="103" s="1"/>
  <c r="Q127" i="103" s="1"/>
  <c r="O147" i="103"/>
  <c r="P147" i="103" s="1"/>
  <c r="Q147" i="103" s="1"/>
  <c r="O155" i="103"/>
  <c r="P155" i="103" s="1"/>
  <c r="Q155" i="103" s="1"/>
  <c r="O163" i="103"/>
  <c r="P163" i="103" s="1"/>
  <c r="Q163" i="103" s="1"/>
  <c r="O164" i="103"/>
  <c r="P164" i="103" s="1"/>
  <c r="Q164" i="103" s="1"/>
  <c r="O173" i="103"/>
  <c r="P173" i="103" s="1"/>
  <c r="R173" i="103" s="1"/>
  <c r="O182" i="103"/>
  <c r="P182" i="103" s="1"/>
  <c r="Q182" i="103" s="1"/>
  <c r="O190" i="103"/>
  <c r="P190" i="103" s="1"/>
  <c r="Q190" i="103" s="1"/>
  <c r="O216" i="103"/>
  <c r="P216" i="103" s="1"/>
  <c r="R216" i="103" s="1"/>
  <c r="O229" i="103"/>
  <c r="P229" i="103" s="1"/>
  <c r="R229" i="103" s="1"/>
  <c r="O242" i="103"/>
  <c r="P242" i="103" s="1"/>
  <c r="Q242" i="103" s="1"/>
  <c r="O245" i="103"/>
  <c r="P245" i="103" s="1"/>
  <c r="Q245" i="103" s="1"/>
  <c r="O258" i="103"/>
  <c r="P258" i="103" s="1"/>
  <c r="O259" i="103"/>
  <c r="P259" i="103" s="1"/>
  <c r="R259" i="103" s="1"/>
  <c r="O260" i="103"/>
  <c r="P260" i="103" s="1"/>
  <c r="Q260" i="103" s="1"/>
  <c r="O270" i="103"/>
  <c r="P270" i="103" s="1"/>
  <c r="Q270" i="103" s="1"/>
  <c r="O11" i="102"/>
  <c r="O14" i="102"/>
  <c r="O24" i="102"/>
  <c r="O35" i="102"/>
  <c r="O36" i="102"/>
  <c r="O37" i="102"/>
  <c r="O48" i="102"/>
  <c r="O20" i="103"/>
  <c r="P20" i="103" s="1"/>
  <c r="R20" i="103" s="1"/>
  <c r="O49" i="103"/>
  <c r="P49" i="103" s="1"/>
  <c r="Q49" i="103" s="1"/>
  <c r="O84" i="103"/>
  <c r="P84" i="103" s="1"/>
  <c r="R84" i="103" s="1"/>
  <c r="O103" i="103"/>
  <c r="P103" i="103" s="1"/>
  <c r="Q103" i="103" s="1"/>
  <c r="O126" i="103"/>
  <c r="P126" i="103" s="1"/>
  <c r="Q126" i="103" s="1"/>
  <c r="O128" i="103"/>
  <c r="P128" i="103" s="1"/>
  <c r="Q128" i="103" s="1"/>
  <c r="O139" i="103"/>
  <c r="P139" i="103" s="1"/>
  <c r="Q139" i="103" s="1"/>
  <c r="O150" i="103"/>
  <c r="P150" i="103" s="1"/>
  <c r="Q150" i="103" s="1"/>
  <c r="O215" i="103"/>
  <c r="P215" i="103" s="1"/>
  <c r="R215" i="103" s="1"/>
  <c r="O221" i="103"/>
  <c r="P221" i="103" s="1"/>
  <c r="R221" i="103" s="1"/>
  <c r="O233" i="103"/>
  <c r="P233" i="103" s="1"/>
  <c r="R233" i="103" s="1"/>
  <c r="O246" i="103"/>
  <c r="P246" i="103" s="1"/>
  <c r="Q246" i="103" s="1"/>
  <c r="O262" i="103"/>
  <c r="P262" i="103" s="1"/>
  <c r="R262" i="103" s="1"/>
  <c r="O51" i="102"/>
  <c r="O57" i="102"/>
  <c r="O81" i="102"/>
  <c r="O89" i="102"/>
  <c r="O97" i="102"/>
  <c r="O105" i="102"/>
  <c r="O113" i="102"/>
  <c r="O122" i="102"/>
  <c r="O130" i="102"/>
  <c r="O146" i="102"/>
  <c r="O154" i="102"/>
  <c r="O163" i="102"/>
  <c r="O172" i="102"/>
  <c r="O181" i="102"/>
  <c r="O190" i="102"/>
  <c r="O191" i="102"/>
  <c r="O39" i="103"/>
  <c r="P39" i="103" s="1"/>
  <c r="Q39" i="103" s="1"/>
  <c r="O116" i="103"/>
  <c r="P116" i="103" s="1"/>
  <c r="R116" i="103" s="1"/>
  <c r="O146" i="103"/>
  <c r="P146" i="103" s="1"/>
  <c r="Q146" i="103" s="1"/>
  <c r="O148" i="103"/>
  <c r="P148" i="103" s="1"/>
  <c r="Q148" i="103" s="1"/>
  <c r="O162" i="103"/>
  <c r="P162" i="103" s="1"/>
  <c r="Q162" i="103" s="1"/>
  <c r="O176" i="103"/>
  <c r="P176" i="103" s="1"/>
  <c r="Q176" i="103" s="1"/>
  <c r="O219" i="103"/>
  <c r="P219" i="103" s="1"/>
  <c r="Q219" i="103" s="1"/>
  <c r="O231" i="103"/>
  <c r="P231" i="103" s="1"/>
  <c r="R231" i="103" s="1"/>
  <c r="O80" i="102"/>
  <c r="O88" i="102"/>
  <c r="O96" i="102"/>
  <c r="O104" i="102"/>
  <c r="O112" i="102"/>
  <c r="O121" i="102"/>
  <c r="O129" i="102"/>
  <c r="O137" i="102"/>
  <c r="O162" i="102"/>
  <c r="O171" i="102"/>
  <c r="O180" i="102"/>
  <c r="O189" i="102"/>
  <c r="O14" i="103"/>
  <c r="P14" i="103" s="1"/>
  <c r="R14" i="103" s="1"/>
  <c r="O57" i="103"/>
  <c r="P57" i="103" s="1"/>
  <c r="Q57" i="103" s="1"/>
  <c r="O111" i="103"/>
  <c r="P111" i="103" s="1"/>
  <c r="R111" i="103" s="1"/>
  <c r="O119" i="103"/>
  <c r="P119" i="103" s="1"/>
  <c r="Q119" i="103" s="1"/>
  <c r="O157" i="103"/>
  <c r="P157" i="103" s="1"/>
  <c r="R157" i="103" s="1"/>
  <c r="O166" i="103"/>
  <c r="P166" i="103" s="1"/>
  <c r="Q166" i="103" s="1"/>
  <c r="O214" i="103"/>
  <c r="P214" i="103" s="1"/>
  <c r="R214" i="103" s="1"/>
  <c r="O243" i="103"/>
  <c r="P243" i="103" s="1"/>
  <c r="Q243" i="103" s="1"/>
  <c r="O257" i="103"/>
  <c r="P257" i="103" s="1"/>
  <c r="R257" i="103" s="1"/>
  <c r="O261" i="103"/>
  <c r="P261" i="103" s="1"/>
  <c r="Q261" i="103" s="1"/>
  <c r="O6" i="102"/>
  <c r="O17" i="102"/>
  <c r="O29" i="102"/>
  <c r="O79" i="102"/>
  <c r="O87" i="102"/>
  <c r="O95" i="102"/>
  <c r="O103" i="102"/>
  <c r="O111" i="102"/>
  <c r="O120" i="102"/>
  <c r="O128" i="102"/>
  <c r="O136" i="102"/>
  <c r="O161" i="102"/>
  <c r="O170" i="102"/>
  <c r="O179" i="102"/>
  <c r="O188" i="102"/>
  <c r="O197" i="102"/>
  <c r="O35" i="103"/>
  <c r="P35" i="103" s="1"/>
  <c r="R35" i="103" s="1"/>
  <c r="O53" i="103"/>
  <c r="P53" i="103" s="1"/>
  <c r="Q53" i="103" s="1"/>
  <c r="O112" i="103"/>
  <c r="P112" i="103" s="1"/>
  <c r="R112" i="103" s="1"/>
  <c r="O154" i="103"/>
  <c r="P154" i="103" s="1"/>
  <c r="Q154" i="103" s="1"/>
  <c r="O156" i="103"/>
  <c r="P156" i="103" s="1"/>
  <c r="R156" i="103" s="1"/>
  <c r="O165" i="103"/>
  <c r="P165" i="103" s="1"/>
  <c r="Q165" i="103" s="1"/>
  <c r="O185" i="103"/>
  <c r="P185" i="103" s="1"/>
  <c r="R185" i="103" s="1"/>
  <c r="O193" i="103"/>
  <c r="P193" i="103" s="1"/>
  <c r="Q193" i="103" s="1"/>
  <c r="O241" i="103"/>
  <c r="P241" i="103" s="1"/>
  <c r="R241" i="103" s="1"/>
  <c r="O248" i="103"/>
  <c r="P248" i="103" s="1"/>
  <c r="Q248" i="103" s="1"/>
  <c r="O5" i="102"/>
  <c r="O12" i="102"/>
  <c r="O40" i="102"/>
  <c r="O59" i="102"/>
  <c r="O83" i="102"/>
  <c r="O91" i="102"/>
  <c r="O99" i="102"/>
  <c r="O107" i="102"/>
  <c r="O115" i="102"/>
  <c r="O124" i="102"/>
  <c r="O132" i="102"/>
  <c r="O140" i="102"/>
  <c r="O148" i="102"/>
  <c r="O156" i="102"/>
  <c r="O157" i="102"/>
  <c r="O165" i="102"/>
  <c r="O174" i="102"/>
  <c r="O184" i="102"/>
  <c r="O193" i="102"/>
  <c r="O95" i="103"/>
  <c r="P95" i="103" s="1"/>
  <c r="R95" i="103" s="1"/>
  <c r="O130" i="103"/>
  <c r="P130" i="103" s="1"/>
  <c r="R130" i="103" s="1"/>
  <c r="O189" i="103"/>
  <c r="P189" i="103" s="1"/>
  <c r="R189" i="103" s="1"/>
  <c r="O247" i="103"/>
  <c r="P247" i="103" s="1"/>
  <c r="Q247" i="103" s="1"/>
  <c r="O269" i="103"/>
  <c r="P269" i="103" s="1"/>
  <c r="R269" i="103" s="1"/>
  <c r="O10" i="102"/>
  <c r="O13" i="102"/>
  <c r="O16" i="102"/>
  <c r="O38" i="102"/>
  <c r="O47" i="102"/>
  <c r="O84" i="102"/>
  <c r="O92" i="102"/>
  <c r="O100" i="102"/>
  <c r="O108" i="102"/>
  <c r="O116" i="102"/>
  <c r="O119" i="102"/>
  <c r="O127" i="102"/>
  <c r="O150" i="102"/>
  <c r="O195" i="102"/>
  <c r="O214" i="102"/>
  <c r="O249" i="102"/>
  <c r="O258" i="102"/>
  <c r="O262" i="102"/>
  <c r="O263" i="102"/>
  <c r="O17" i="101"/>
  <c r="O47" i="101"/>
  <c r="O60" i="101"/>
  <c r="O82" i="101"/>
  <c r="O83" i="101"/>
  <c r="O84" i="101"/>
  <c r="O85" i="101"/>
  <c r="O96" i="101"/>
  <c r="O43" i="103"/>
  <c r="P43" i="103" s="1"/>
  <c r="Q43" i="103" s="1"/>
  <c r="O85" i="103"/>
  <c r="P85" i="103" s="1"/>
  <c r="R85" i="103" s="1"/>
  <c r="O110" i="103"/>
  <c r="P110" i="103" s="1"/>
  <c r="R110" i="103" s="1"/>
  <c r="O140" i="103"/>
  <c r="P140" i="103" s="1"/>
  <c r="Q140" i="103" s="1"/>
  <c r="O183" i="103"/>
  <c r="P183" i="103" s="1"/>
  <c r="R183" i="103" s="1"/>
  <c r="O222" i="103"/>
  <c r="P222" i="103" s="1"/>
  <c r="R222" i="103" s="1"/>
  <c r="O227" i="103"/>
  <c r="P227" i="103" s="1"/>
  <c r="R227" i="103" s="1"/>
  <c r="O50" i="102"/>
  <c r="O52" i="102"/>
  <c r="O54" i="102"/>
  <c r="O78" i="102"/>
  <c r="O86" i="102"/>
  <c r="O94" i="102"/>
  <c r="O102" i="102"/>
  <c r="O110" i="102"/>
  <c r="O123" i="102"/>
  <c r="O125" i="102"/>
  <c r="O131" i="102"/>
  <c r="O173" i="102"/>
  <c r="O178" i="102"/>
  <c r="O213" i="102"/>
  <c r="O248" i="102"/>
  <c r="O257" i="102"/>
  <c r="O259" i="102"/>
  <c r="O260" i="102"/>
  <c r="O261" i="102"/>
  <c r="O16" i="101"/>
  <c r="O43" i="101"/>
  <c r="O46" i="101"/>
  <c r="O57" i="101"/>
  <c r="O81" i="101"/>
  <c r="O95" i="101"/>
  <c r="O24" i="103"/>
  <c r="P24" i="103" s="1"/>
  <c r="Q24" i="103" s="1"/>
  <c r="O50" i="103"/>
  <c r="P50" i="103" s="1"/>
  <c r="Q50" i="103" s="1"/>
  <c r="O158" i="103"/>
  <c r="P158" i="103" s="1"/>
  <c r="R158" i="103" s="1"/>
  <c r="O171" i="103"/>
  <c r="P171" i="103" s="1"/>
  <c r="Q171" i="103" s="1"/>
  <c r="O23" i="102"/>
  <c r="O28" i="102"/>
  <c r="O39" i="102"/>
  <c r="O176" i="102"/>
  <c r="O182" i="102"/>
  <c r="O210" i="102"/>
  <c r="O211" i="102"/>
  <c r="O222" i="102"/>
  <c r="O237" i="102"/>
  <c r="O247" i="102"/>
  <c r="O10" i="101"/>
  <c r="O15" i="101"/>
  <c r="O42" i="101"/>
  <c r="O44" i="101"/>
  <c r="O45" i="101"/>
  <c r="O80" i="101"/>
  <c r="O94" i="101"/>
  <c r="O37" i="103"/>
  <c r="P37" i="103" s="1"/>
  <c r="Q37" i="103" s="1"/>
  <c r="O120" i="103"/>
  <c r="P120" i="103" s="1"/>
  <c r="Q120" i="103" s="1"/>
  <c r="O129" i="103"/>
  <c r="P129" i="103" s="1"/>
  <c r="Q129" i="103" s="1"/>
  <c r="O30" i="102"/>
  <c r="O49" i="102"/>
  <c r="O139" i="102"/>
  <c r="O141" i="102"/>
  <c r="O177" i="102"/>
  <c r="O187" i="102"/>
  <c r="O216" i="102"/>
  <c r="O230" i="102"/>
  <c r="O231" i="102"/>
  <c r="O241" i="102"/>
  <c r="O252" i="102"/>
  <c r="O265" i="102"/>
  <c r="O6" i="101"/>
  <c r="O19" i="101"/>
  <c r="O20" i="101"/>
  <c r="O21" i="101"/>
  <c r="O38" i="101"/>
  <c r="O49" i="101"/>
  <c r="O87" i="101"/>
  <c r="O98" i="101"/>
  <c r="O100" i="101"/>
  <c r="O15" i="103"/>
  <c r="P15" i="103" s="1"/>
  <c r="R15" i="103" s="1"/>
  <c r="O184" i="103"/>
  <c r="P184" i="103" s="1"/>
  <c r="R184" i="103" s="1"/>
  <c r="O77" i="102"/>
  <c r="O106" i="102"/>
  <c r="O147" i="102"/>
  <c r="O215" i="102"/>
  <c r="O246" i="102"/>
  <c r="O254" i="102"/>
  <c r="O8" i="101"/>
  <c r="O13" i="101"/>
  <c r="O54" i="101"/>
  <c r="O86" i="101"/>
  <c r="O9" i="103"/>
  <c r="P9" i="103" s="1"/>
  <c r="R9" i="103" s="1"/>
  <c r="O263" i="103"/>
  <c r="P263" i="103" s="1"/>
  <c r="R263" i="103" s="1"/>
  <c r="O98" i="102"/>
  <c r="O126" i="102"/>
  <c r="O151" i="102"/>
  <c r="O164" i="102"/>
  <c r="O167" i="102"/>
  <c r="O186" i="102"/>
  <c r="O192" i="102"/>
  <c r="O229" i="102"/>
  <c r="O235" i="102"/>
  <c r="O253" i="102"/>
  <c r="O36" i="101"/>
  <c r="O51" i="101"/>
  <c r="O89" i="101"/>
  <c r="O104" i="101"/>
  <c r="O11" i="103"/>
  <c r="P11" i="103" s="1"/>
  <c r="Q11" i="103" s="1"/>
  <c r="O94" i="103"/>
  <c r="P94" i="103" s="1"/>
  <c r="R94" i="103" s="1"/>
  <c r="O174" i="103"/>
  <c r="P174" i="103" s="1"/>
  <c r="Q174" i="103" s="1"/>
  <c r="O53" i="102"/>
  <c r="O90" i="102"/>
  <c r="O135" i="102"/>
  <c r="O183" i="102"/>
  <c r="O196" i="102"/>
  <c r="O233" i="102"/>
  <c r="O245" i="102"/>
  <c r="O5" i="101"/>
  <c r="O23" i="101"/>
  <c r="O31" i="101"/>
  <c r="O40" i="101"/>
  <c r="O48" i="103"/>
  <c r="P48" i="103" s="1"/>
  <c r="Q48" i="103" s="1"/>
  <c r="O137" i="103"/>
  <c r="P137" i="103" s="1"/>
  <c r="R137" i="103" s="1"/>
  <c r="O149" i="103"/>
  <c r="P149" i="103" s="1"/>
  <c r="Q149" i="103" s="1"/>
  <c r="O232" i="103"/>
  <c r="P232" i="103" s="1"/>
  <c r="R232" i="103" s="1"/>
  <c r="O76" i="102"/>
  <c r="O82" i="102"/>
  <c r="O117" i="102"/>
  <c r="O219" i="102"/>
  <c r="O228" i="102"/>
  <c r="O270" i="102"/>
  <c r="O9" i="101"/>
  <c r="O12" i="101"/>
  <c r="O14" i="101"/>
  <c r="O29" i="101"/>
  <c r="O48" i="101"/>
  <c r="O99" i="101"/>
  <c r="O107" i="103"/>
  <c r="P107" i="103" s="1"/>
  <c r="Q107" i="103" s="1"/>
  <c r="O109" i="103"/>
  <c r="P109" i="103" s="1"/>
  <c r="R109" i="103" s="1"/>
  <c r="O15" i="102"/>
  <c r="O85" i="102"/>
  <c r="O101" i="102"/>
  <c r="O158" i="102"/>
  <c r="O168" i="102"/>
  <c r="O243" i="102"/>
  <c r="O269" i="102"/>
  <c r="O28" i="101"/>
  <c r="O50" i="101"/>
  <c r="O78" i="101"/>
  <c r="O107" i="101"/>
  <c r="O110" i="101"/>
  <c r="O111" i="101"/>
  <c r="O117" i="101"/>
  <c r="O126" i="101"/>
  <c r="O137" i="101"/>
  <c r="O150" i="101"/>
  <c r="O159" i="101"/>
  <c r="O169" i="101"/>
  <c r="O77" i="103"/>
  <c r="P77" i="103" s="1"/>
  <c r="R77" i="103" s="1"/>
  <c r="O141" i="103"/>
  <c r="P141" i="103" s="1"/>
  <c r="Q141" i="103" s="1"/>
  <c r="O172" i="103"/>
  <c r="P172" i="103" s="1"/>
  <c r="R172" i="103" s="1"/>
  <c r="O191" i="103"/>
  <c r="P191" i="103" s="1"/>
  <c r="Q191" i="103" s="1"/>
  <c r="O91" i="101"/>
  <c r="O101" i="101"/>
  <c r="O106" i="101"/>
  <c r="O108" i="101"/>
  <c r="O109" i="101"/>
  <c r="O116" i="101"/>
  <c r="O125" i="101"/>
  <c r="O136" i="101"/>
  <c r="O149" i="101"/>
  <c r="O158" i="101"/>
  <c r="O168" i="101"/>
  <c r="O249" i="103"/>
  <c r="P249" i="103" s="1"/>
  <c r="Q249" i="103" s="1"/>
  <c r="O155" i="102"/>
  <c r="O159" i="102"/>
  <c r="O185" i="102"/>
  <c r="O194" i="102"/>
  <c r="O39" i="101"/>
  <c r="O53" i="101"/>
  <c r="O59" i="101"/>
  <c r="O93" i="101"/>
  <c r="O105" i="101"/>
  <c r="O115" i="101"/>
  <c r="O124" i="101"/>
  <c r="O134" i="101"/>
  <c r="O135" i="101"/>
  <c r="O148" i="101"/>
  <c r="O157" i="101"/>
  <c r="O167" i="101"/>
  <c r="O179" i="101"/>
  <c r="O46" i="103"/>
  <c r="P46" i="103" s="1"/>
  <c r="Q46" i="103" s="1"/>
  <c r="O167" i="103"/>
  <c r="P167" i="103" s="1"/>
  <c r="Q167" i="103" s="1"/>
  <c r="O181" i="103"/>
  <c r="P181" i="103" s="1"/>
  <c r="Q181" i="103" s="1"/>
  <c r="O114" i="102"/>
  <c r="O37" i="101"/>
  <c r="O88" i="101"/>
  <c r="O92" i="101"/>
  <c r="O103" i="101"/>
  <c r="O113" i="101"/>
  <c r="O121" i="101"/>
  <c r="O129" i="101"/>
  <c r="O162" i="101"/>
  <c r="O176" i="101"/>
  <c r="O230" i="103"/>
  <c r="P230" i="103" s="1"/>
  <c r="Q230" i="103" s="1"/>
  <c r="O251" i="102"/>
  <c r="O22" i="101"/>
  <c r="O41" i="101"/>
  <c r="O77" i="101"/>
  <c r="O97" i="101"/>
  <c r="O119" i="101"/>
  <c r="O127" i="101"/>
  <c r="O154" i="101"/>
  <c r="O161" i="101"/>
  <c r="O165" i="101"/>
  <c r="O174" i="101"/>
  <c r="O180" i="101"/>
  <c r="O190" i="101"/>
  <c r="O191" i="101"/>
  <c r="O219" i="101"/>
  <c r="O222" i="101"/>
  <c r="O232" i="101"/>
  <c r="O254" i="101"/>
  <c r="O7" i="100"/>
  <c r="O24" i="100"/>
  <c r="O43" i="100"/>
  <c r="O46" i="100"/>
  <c r="O47" i="100"/>
  <c r="O78" i="100"/>
  <c r="O79" i="100"/>
  <c r="O90" i="100"/>
  <c r="O105" i="100"/>
  <c r="O108" i="100"/>
  <c r="O109" i="100"/>
  <c r="O121" i="100"/>
  <c r="O228" i="103"/>
  <c r="P228" i="103" s="1"/>
  <c r="R228" i="103" s="1"/>
  <c r="O242" i="102"/>
  <c r="O18" i="101"/>
  <c r="O133" i="101"/>
  <c r="O141" i="101"/>
  <c r="O146" i="101"/>
  <c r="O156" i="101"/>
  <c r="O177" i="101"/>
  <c r="O189" i="101"/>
  <c r="O216" i="101"/>
  <c r="O221" i="101"/>
  <c r="O231" i="101"/>
  <c r="O241" i="101"/>
  <c r="O265" i="101"/>
  <c r="O6" i="100"/>
  <c r="O22" i="100"/>
  <c r="O23" i="100"/>
  <c r="O30" i="100"/>
  <c r="O31" i="100"/>
  <c r="O42" i="100"/>
  <c r="O44" i="100"/>
  <c r="O45" i="100"/>
  <c r="O59" i="100"/>
  <c r="O76" i="100"/>
  <c r="O77" i="100"/>
  <c r="O89" i="100"/>
  <c r="O104" i="100"/>
  <c r="O120" i="100"/>
  <c r="O131" i="100"/>
  <c r="O132" i="100"/>
  <c r="O192" i="103"/>
  <c r="P192" i="103" s="1"/>
  <c r="Q192" i="103" s="1"/>
  <c r="O133" i="102"/>
  <c r="O226" i="102"/>
  <c r="O250" i="102"/>
  <c r="O52" i="101"/>
  <c r="O187" i="101"/>
  <c r="O188" i="101"/>
  <c r="O197" i="101"/>
  <c r="O215" i="101"/>
  <c r="O230" i="101"/>
  <c r="O242" i="101"/>
  <c r="O245" i="101"/>
  <c r="O5" i="100"/>
  <c r="O19" i="100"/>
  <c r="O20" i="100"/>
  <c r="O21" i="100"/>
  <c r="O28" i="100"/>
  <c r="O29" i="100"/>
  <c r="O41" i="100"/>
  <c r="O57" i="100"/>
  <c r="O60" i="100"/>
  <c r="O88" i="100"/>
  <c r="O99" i="100"/>
  <c r="O102" i="100"/>
  <c r="O103" i="100"/>
  <c r="O119" i="100"/>
  <c r="O130" i="100"/>
  <c r="O134" i="102"/>
  <c r="O169" i="102"/>
  <c r="O112" i="101"/>
  <c r="O147" i="101"/>
  <c r="O166" i="101"/>
  <c r="O184" i="101"/>
  <c r="O194" i="101"/>
  <c r="O210" i="101"/>
  <c r="O211" i="101"/>
  <c r="O226" i="101"/>
  <c r="O227" i="101"/>
  <c r="O237" i="101"/>
  <c r="O249" i="101"/>
  <c r="O258" i="101"/>
  <c r="O259" i="101"/>
  <c r="O260" i="101"/>
  <c r="O261" i="101"/>
  <c r="O10" i="100"/>
  <c r="O16" i="100"/>
  <c r="O35" i="100"/>
  <c r="O36" i="100"/>
  <c r="O37" i="100"/>
  <c r="O50" i="100"/>
  <c r="O51" i="100"/>
  <c r="O52" i="100"/>
  <c r="O53" i="100"/>
  <c r="O82" i="100"/>
  <c r="O96" i="100"/>
  <c r="O113" i="100"/>
  <c r="O126" i="100"/>
  <c r="O127" i="100"/>
  <c r="O149" i="102"/>
  <c r="O76" i="101"/>
  <c r="O90" i="101"/>
  <c r="O122" i="101"/>
  <c r="O171" i="101"/>
  <c r="O173" i="101"/>
  <c r="O183" i="101"/>
  <c r="O195" i="101"/>
  <c r="O229" i="101"/>
  <c r="O247" i="101"/>
  <c r="O248" i="101"/>
  <c r="O250" i="101"/>
  <c r="O12" i="100"/>
  <c r="O38" i="100"/>
  <c r="O40" i="100"/>
  <c r="O54" i="100"/>
  <c r="O91" i="100"/>
  <c r="O125" i="100"/>
  <c r="O177" i="100"/>
  <c r="O190" i="100"/>
  <c r="O191" i="100"/>
  <c r="O211" i="100"/>
  <c r="O226" i="100"/>
  <c r="O243" i="100"/>
  <c r="O246" i="100"/>
  <c r="O247" i="100"/>
  <c r="O269" i="100"/>
  <c r="O18" i="99"/>
  <c r="O40" i="99"/>
  <c r="O76" i="99"/>
  <c r="O77" i="99"/>
  <c r="O89" i="99"/>
  <c r="O100" i="99"/>
  <c r="O101" i="99"/>
  <c r="O112" i="99"/>
  <c r="O126" i="99"/>
  <c r="O127" i="99"/>
  <c r="O139" i="99"/>
  <c r="O158" i="99"/>
  <c r="O159" i="99"/>
  <c r="O176" i="99"/>
  <c r="O193" i="99"/>
  <c r="O219" i="99"/>
  <c r="O221" i="99"/>
  <c r="O235" i="99"/>
  <c r="O237" i="99"/>
  <c r="O251" i="99"/>
  <c r="O257" i="99"/>
  <c r="O262" i="99"/>
  <c r="O263" i="99"/>
  <c r="O10" i="89"/>
  <c r="O16" i="89"/>
  <c r="O35" i="89"/>
  <c r="O36" i="89"/>
  <c r="O37" i="89"/>
  <c r="O114" i="101"/>
  <c r="O193" i="101"/>
  <c r="O233" i="101"/>
  <c r="O246" i="101"/>
  <c r="O269" i="101"/>
  <c r="O14" i="100"/>
  <c r="O18" i="100"/>
  <c r="O49" i="100"/>
  <c r="O80" i="100"/>
  <c r="O83" i="100"/>
  <c r="O95" i="100"/>
  <c r="O100" i="100"/>
  <c r="O112" i="100"/>
  <c r="O117" i="100"/>
  <c r="O158" i="100"/>
  <c r="O159" i="100"/>
  <c r="O176" i="100"/>
  <c r="O187" i="100"/>
  <c r="O188" i="100"/>
  <c r="O189" i="100"/>
  <c r="O222" i="100"/>
  <c r="O237" i="100"/>
  <c r="O248" i="100"/>
  <c r="O17" i="99"/>
  <c r="O38" i="99"/>
  <c r="O39" i="99"/>
  <c r="O51" i="99"/>
  <c r="O54" i="99"/>
  <c r="O78" i="99"/>
  <c r="O79" i="99"/>
  <c r="O90" i="99"/>
  <c r="O102" i="99"/>
  <c r="O103" i="99"/>
  <c r="O113" i="99"/>
  <c r="O122" i="99"/>
  <c r="O123" i="99"/>
  <c r="O124" i="99"/>
  <c r="O125" i="99"/>
  <c r="O137" i="99"/>
  <c r="O140" i="99"/>
  <c r="O141" i="99"/>
  <c r="O154" i="99"/>
  <c r="O155" i="99"/>
  <c r="O156" i="99"/>
  <c r="O157" i="99"/>
  <c r="O171" i="99"/>
  <c r="O174" i="99"/>
  <c r="O192" i="99"/>
  <c r="O222" i="99"/>
  <c r="O234" i="99"/>
  <c r="O241" i="99"/>
  <c r="O252" i="99"/>
  <c r="O253" i="99"/>
  <c r="O9" i="89"/>
  <c r="O11" i="89"/>
  <c r="O14" i="89"/>
  <c r="O15" i="89"/>
  <c r="O227" i="102"/>
  <c r="O234" i="102"/>
  <c r="O7" i="101"/>
  <c r="O24" i="101"/>
  <c r="O213" i="101"/>
  <c r="O235" i="101"/>
  <c r="O257" i="101"/>
  <c r="O263" i="101"/>
  <c r="O11" i="100"/>
  <c r="O94" i="100"/>
  <c r="O122" i="100"/>
  <c r="O139" i="100"/>
  <c r="O140" i="100"/>
  <c r="O141" i="100"/>
  <c r="O155" i="100"/>
  <c r="O156" i="100"/>
  <c r="O157" i="100"/>
  <c r="O170" i="100"/>
  <c r="O171" i="100"/>
  <c r="O174" i="100"/>
  <c r="O186" i="100"/>
  <c r="O219" i="100"/>
  <c r="O221" i="100"/>
  <c r="O235" i="100"/>
  <c r="O249" i="100"/>
  <c r="O258" i="100"/>
  <c r="O259" i="100"/>
  <c r="O260" i="100"/>
  <c r="O261" i="100"/>
  <c r="O262" i="100"/>
  <c r="O263" i="100"/>
  <c r="O265" i="100"/>
  <c r="O10" i="99"/>
  <c r="O16" i="99"/>
  <c r="O35" i="99"/>
  <c r="O36" i="99"/>
  <c r="O37" i="99"/>
  <c r="O50" i="99"/>
  <c r="O52" i="99"/>
  <c r="O53" i="99"/>
  <c r="O80" i="99"/>
  <c r="O91" i="99"/>
  <c r="O92" i="99"/>
  <c r="O93" i="99"/>
  <c r="O104" i="99"/>
  <c r="O114" i="99"/>
  <c r="O121" i="99"/>
  <c r="O136" i="99"/>
  <c r="O170" i="99"/>
  <c r="O172" i="99"/>
  <c r="O173" i="99"/>
  <c r="O190" i="99"/>
  <c r="O191" i="99"/>
  <c r="O226" i="99"/>
  <c r="O233" i="99"/>
  <c r="O242" i="99"/>
  <c r="O254" i="99"/>
  <c r="O265" i="99"/>
  <c r="O5" i="89"/>
  <c r="O8" i="89"/>
  <c r="O12" i="89"/>
  <c r="O13" i="89"/>
  <c r="O232" i="102"/>
  <c r="O214" i="101"/>
  <c r="O15" i="100"/>
  <c r="O84" i="100"/>
  <c r="O92" i="100"/>
  <c r="O101" i="100"/>
  <c r="O123" i="100"/>
  <c r="O146" i="100"/>
  <c r="O147" i="100"/>
  <c r="O150" i="100"/>
  <c r="O151" i="100"/>
  <c r="O162" i="100"/>
  <c r="O163" i="100"/>
  <c r="O164" i="100"/>
  <c r="O165" i="100"/>
  <c r="O179" i="100"/>
  <c r="O180" i="100"/>
  <c r="O181" i="100"/>
  <c r="O193" i="100"/>
  <c r="O214" i="100"/>
  <c r="O215" i="100"/>
  <c r="O228" i="100"/>
  <c r="O230" i="100"/>
  <c r="O231" i="100"/>
  <c r="O241" i="100"/>
  <c r="O22" i="99"/>
  <c r="O23" i="99"/>
  <c r="O30" i="99"/>
  <c r="O31" i="99"/>
  <c r="O42" i="99"/>
  <c r="O44" i="99"/>
  <c r="O45" i="99"/>
  <c r="O86" i="99"/>
  <c r="O87" i="99"/>
  <c r="O98" i="99"/>
  <c r="O108" i="99"/>
  <c r="O109" i="99"/>
  <c r="O129" i="99"/>
  <c r="O161" i="99"/>
  <c r="O162" i="99"/>
  <c r="O164" i="99"/>
  <c r="O165" i="99"/>
  <c r="O178" i="99"/>
  <c r="O179" i="99"/>
  <c r="O180" i="99"/>
  <c r="O181" i="99"/>
  <c r="O195" i="99"/>
  <c r="O248" i="99"/>
  <c r="O249" i="99"/>
  <c r="O18" i="89"/>
  <c r="O40" i="89"/>
  <c r="O50" i="89"/>
  <c r="O11" i="101"/>
  <c r="O130" i="101"/>
  <c r="O139" i="101"/>
  <c r="O178" i="101"/>
  <c r="O182" i="101"/>
  <c r="O185" i="101"/>
  <c r="O243" i="101"/>
  <c r="O17" i="100"/>
  <c r="O129" i="100"/>
  <c r="O136" i="100"/>
  <c r="O161" i="100"/>
  <c r="O172" i="100"/>
  <c r="O182" i="100"/>
  <c r="O184" i="100"/>
  <c r="O250" i="100"/>
  <c r="O84" i="99"/>
  <c r="O94" i="99"/>
  <c r="O111" i="99"/>
  <c r="O134" i="99"/>
  <c r="O166" i="99"/>
  <c r="O168" i="99"/>
  <c r="O177" i="99"/>
  <c r="O215" i="99"/>
  <c r="O227" i="99"/>
  <c r="O230" i="99"/>
  <c r="O232" i="99"/>
  <c r="O6" i="89"/>
  <c r="O46" i="89"/>
  <c r="O51" i="89"/>
  <c r="O52" i="89"/>
  <c r="O78" i="89"/>
  <c r="O79" i="89"/>
  <c r="O90" i="89"/>
  <c r="O102" i="89"/>
  <c r="O103" i="89"/>
  <c r="O113" i="89"/>
  <c r="O122" i="89"/>
  <c r="O168" i="89"/>
  <c r="O169" i="89"/>
  <c r="O185" i="89"/>
  <c r="O211" i="89"/>
  <c r="O213" i="89"/>
  <c r="O246" i="89"/>
  <c r="O247" i="89"/>
  <c r="O257" i="89"/>
  <c r="O259" i="89"/>
  <c r="O260" i="89"/>
  <c r="O261" i="89"/>
  <c r="O262" i="101"/>
  <c r="O154" i="100"/>
  <c r="O192" i="100"/>
  <c r="O194" i="100"/>
  <c r="O213" i="100"/>
  <c r="O216" i="100"/>
  <c r="O234" i="100"/>
  <c r="O242" i="100"/>
  <c r="O251" i="100"/>
  <c r="O252" i="100"/>
  <c r="O253" i="100"/>
  <c r="O21" i="99"/>
  <c r="O57" i="99"/>
  <c r="O82" i="99"/>
  <c r="O83" i="99"/>
  <c r="O110" i="99"/>
  <c r="O115" i="99"/>
  <c r="O119" i="99"/>
  <c r="O146" i="99"/>
  <c r="O196" i="99"/>
  <c r="O210" i="99"/>
  <c r="O270" i="99"/>
  <c r="O17" i="89"/>
  <c r="O19" i="89"/>
  <c r="O21" i="89"/>
  <c r="O43" i="89"/>
  <c r="O49" i="89"/>
  <c r="O57" i="89"/>
  <c r="O80" i="89"/>
  <c r="O91" i="89"/>
  <c r="O92" i="89"/>
  <c r="O93" i="89"/>
  <c r="O104" i="89"/>
  <c r="O114" i="89"/>
  <c r="O121" i="89"/>
  <c r="O147" i="89"/>
  <c r="O150" i="89"/>
  <c r="O151" i="89"/>
  <c r="O163" i="89"/>
  <c r="O166" i="89"/>
  <c r="O167" i="89"/>
  <c r="O170" i="89"/>
  <c r="O184" i="89"/>
  <c r="O195" i="89"/>
  <c r="O214" i="89"/>
  <c r="O215" i="89"/>
  <c r="O219" i="89"/>
  <c r="O248" i="89"/>
  <c r="O262" i="89"/>
  <c r="O263" i="89"/>
  <c r="O60" i="102"/>
  <c r="O30" i="101"/>
  <c r="O35" i="101"/>
  <c r="O102" i="101"/>
  <c r="O131" i="101"/>
  <c r="O186" i="101"/>
  <c r="O192" i="101"/>
  <c r="O86" i="100"/>
  <c r="O107" i="100"/>
  <c r="O133" i="100"/>
  <c r="O148" i="100"/>
  <c r="O196" i="100"/>
  <c r="O232" i="100"/>
  <c r="O254" i="100"/>
  <c r="O9" i="99"/>
  <c r="O12" i="99"/>
  <c r="O14" i="99"/>
  <c r="O47" i="99"/>
  <c r="O49" i="99"/>
  <c r="O60" i="99"/>
  <c r="O99" i="99"/>
  <c r="O131" i="99"/>
  <c r="O148" i="99"/>
  <c r="O150" i="99"/>
  <c r="O163" i="99"/>
  <c r="O185" i="99"/>
  <c r="O187" i="99"/>
  <c r="O189" i="99"/>
  <c r="O211" i="99"/>
  <c r="O250" i="99"/>
  <c r="O23" i="89"/>
  <c r="O39" i="89"/>
  <c r="O41" i="89"/>
  <c r="O81" i="89"/>
  <c r="O94" i="89"/>
  <c r="O95" i="89"/>
  <c r="O105" i="89"/>
  <c r="O115" i="89"/>
  <c r="O116" i="89"/>
  <c r="O117" i="89"/>
  <c r="O120" i="89"/>
  <c r="O131" i="89"/>
  <c r="O132" i="89"/>
  <c r="O133" i="89"/>
  <c r="O146" i="89"/>
  <c r="O148" i="89"/>
  <c r="O149" i="89"/>
  <c r="O162" i="89"/>
  <c r="O164" i="89"/>
  <c r="O165" i="89"/>
  <c r="O171" i="89"/>
  <c r="O179" i="89"/>
  <c r="O182" i="89"/>
  <c r="O183" i="89"/>
  <c r="O194" i="89"/>
  <c r="O196" i="89"/>
  <c r="O197" i="89"/>
  <c r="O216" i="89"/>
  <c r="O221" i="89"/>
  <c r="O235" i="89"/>
  <c r="O249" i="89"/>
  <c r="O155" i="101"/>
  <c r="O181" i="101"/>
  <c r="O251" i="101"/>
  <c r="O9" i="100"/>
  <c r="O13" i="100"/>
  <c r="O81" i="100"/>
  <c r="O85" i="100"/>
  <c r="O87" i="100"/>
  <c r="O178" i="100"/>
  <c r="O197" i="100"/>
  <c r="O233" i="100"/>
  <c r="O270" i="100"/>
  <c r="O5" i="99"/>
  <c r="O6" i="99"/>
  <c r="O15" i="99"/>
  <c r="O24" i="99"/>
  <c r="O41" i="99"/>
  <c r="O43" i="99"/>
  <c r="O48" i="99"/>
  <c r="O105" i="99"/>
  <c r="O116" i="99"/>
  <c r="O128" i="99"/>
  <c r="O130" i="99"/>
  <c r="O149" i="99"/>
  <c r="O186" i="99"/>
  <c r="O188" i="99"/>
  <c r="O197" i="99"/>
  <c r="O259" i="99"/>
  <c r="O28" i="89"/>
  <c r="O42" i="89"/>
  <c r="O88" i="89"/>
  <c r="O99" i="89"/>
  <c r="O110" i="89"/>
  <c r="O111" i="89"/>
  <c r="O126" i="89"/>
  <c r="O127" i="89"/>
  <c r="O140" i="89"/>
  <c r="O141" i="89"/>
  <c r="O154" i="89"/>
  <c r="O156" i="89"/>
  <c r="O157" i="89"/>
  <c r="O187" i="89"/>
  <c r="O188" i="89"/>
  <c r="O189" i="89"/>
  <c r="O230" i="89"/>
  <c r="O231" i="89"/>
  <c r="O243" i="89"/>
  <c r="O254" i="89"/>
  <c r="O270" i="89"/>
  <c r="O109" i="102"/>
  <c r="O123" i="101"/>
  <c r="O128" i="101"/>
  <c r="O196" i="101"/>
  <c r="O257" i="100"/>
  <c r="O96" i="99"/>
  <c r="O107" i="99"/>
  <c r="O132" i="99"/>
  <c r="O30" i="89"/>
  <c r="O59" i="89"/>
  <c r="O84" i="89"/>
  <c r="O100" i="89"/>
  <c r="O112" i="89"/>
  <c r="O124" i="89"/>
  <c r="O139" i="89"/>
  <c r="O176" i="89"/>
  <c r="O186" i="89"/>
  <c r="O228" i="89"/>
  <c r="O229" i="89"/>
  <c r="O258" i="89"/>
  <c r="O172" i="101"/>
  <c r="O228" i="101"/>
  <c r="O106" i="100"/>
  <c r="O166" i="100"/>
  <c r="O169" i="100"/>
  <c r="O11" i="99"/>
  <c r="O20" i="99"/>
  <c r="O258" i="99"/>
  <c r="O261" i="99"/>
  <c r="O20" i="89"/>
  <c r="O97" i="89"/>
  <c r="O98" i="89"/>
  <c r="O130" i="89"/>
  <c r="O158" i="89"/>
  <c r="O172" i="89"/>
  <c r="O226" i="89"/>
  <c r="O227" i="89"/>
  <c r="O79" i="101"/>
  <c r="O140" i="101"/>
  <c r="O151" i="101"/>
  <c r="O48" i="100"/>
  <c r="O98" i="100"/>
  <c r="O185" i="100"/>
  <c r="O229" i="100"/>
  <c r="O28" i="99"/>
  <c r="O120" i="99"/>
  <c r="O147" i="99"/>
  <c r="O169" i="99"/>
  <c r="O184" i="99"/>
  <c r="O194" i="99"/>
  <c r="O214" i="99"/>
  <c r="O216" i="99"/>
  <c r="O7" i="89"/>
  <c r="O83" i="89"/>
  <c r="O109" i="89"/>
  <c r="O119" i="89"/>
  <c r="O128" i="89"/>
  <c r="O134" i="89"/>
  <c r="O190" i="89"/>
  <c r="O192" i="89"/>
  <c r="O250" i="89"/>
  <c r="O132" i="101"/>
  <c r="O164" i="101"/>
  <c r="O253" i="101"/>
  <c r="O93" i="100"/>
  <c r="O97" i="100"/>
  <c r="O124" i="100"/>
  <c r="O137" i="100"/>
  <c r="O149" i="100"/>
  <c r="O168" i="100"/>
  <c r="O183" i="100"/>
  <c r="O227" i="100"/>
  <c r="O8" i="99"/>
  <c r="O19" i="99"/>
  <c r="O81" i="99"/>
  <c r="O269" i="99"/>
  <c r="O45" i="89"/>
  <c r="O47" i="89"/>
  <c r="O60" i="89"/>
  <c r="O76" i="89"/>
  <c r="O85" i="89"/>
  <c r="O86" i="89"/>
  <c r="O129" i="89"/>
  <c r="O173" i="89"/>
  <c r="O191" i="89"/>
  <c r="O234" i="89"/>
  <c r="O237" i="89"/>
  <c r="O241" i="89"/>
  <c r="O245" i="89"/>
  <c r="O269" i="89"/>
  <c r="O93" i="102"/>
  <c r="O221" i="102"/>
  <c r="O110" i="100"/>
  <c r="O114" i="100"/>
  <c r="O116" i="100"/>
  <c r="O245" i="100"/>
  <c r="O182" i="99"/>
  <c r="O101" i="89"/>
  <c r="O108" i="89"/>
  <c r="O234" i="101"/>
  <c r="O252" i="101"/>
  <c r="O135" i="100"/>
  <c r="O13" i="99"/>
  <c r="O135" i="99"/>
  <c r="O231" i="99"/>
  <c r="O260" i="99"/>
  <c r="O24" i="89"/>
  <c r="O82" i="89"/>
  <c r="O137" i="89"/>
  <c r="O233" i="89"/>
  <c r="O163" i="101"/>
  <c r="O270" i="101"/>
  <c r="O128" i="100"/>
  <c r="O7" i="99"/>
  <c r="O85" i="99"/>
  <c r="O88" i="99"/>
  <c r="O106" i="99"/>
  <c r="O183" i="99"/>
  <c r="O29" i="89"/>
  <c r="O48" i="89"/>
  <c r="O89" i="89"/>
  <c r="O193" i="89"/>
  <c r="O253" i="89"/>
  <c r="O195" i="100"/>
  <c r="O87" i="89"/>
  <c r="O125" i="89"/>
  <c r="O210" i="89"/>
  <c r="O115" i="100"/>
  <c r="O246" i="99"/>
  <c r="O155" i="89"/>
  <c r="O46" i="99"/>
  <c r="O117" i="99"/>
  <c r="O151" i="99"/>
  <c r="O243" i="99"/>
  <c r="O106" i="89"/>
  <c r="O135" i="89"/>
  <c r="O181" i="89"/>
  <c r="O232" i="89"/>
  <c r="O265" i="89"/>
  <c r="O8" i="100"/>
  <c r="O133" i="99"/>
  <c r="O245" i="99"/>
  <c r="O247" i="99"/>
  <c r="O31" i="89"/>
  <c r="O177" i="89"/>
  <c r="O170" i="101"/>
  <c r="O173" i="100"/>
  <c r="O95" i="99"/>
  <c r="O123" i="89"/>
  <c r="O159" i="89"/>
  <c r="O252" i="89"/>
  <c r="O120" i="101"/>
  <c r="O77" i="89"/>
  <c r="O136" i="89"/>
  <c r="O222" i="89"/>
  <c r="O242" i="89"/>
  <c r="O134" i="100"/>
  <c r="O167" i="100"/>
  <c r="O29" i="99"/>
  <c r="O59" i="99"/>
  <c r="O229" i="99"/>
  <c r="O44" i="89"/>
  <c r="O107" i="89"/>
  <c r="O251" i="89"/>
  <c r="O97" i="99"/>
  <c r="O178" i="89"/>
  <c r="O213" i="99"/>
  <c r="O38" i="89"/>
  <c r="O39" i="100"/>
  <c r="O167" i="99"/>
  <c r="O53" i="89"/>
  <c r="O210" i="100"/>
  <c r="O228" i="99"/>
  <c r="O174" i="89"/>
  <c r="O180" i="89"/>
  <c r="O111" i="100"/>
  <c r="O22" i="89"/>
  <c r="O54" i="89"/>
  <c r="O96" i="89"/>
  <c r="O166" i="102"/>
  <c r="O161" i="89"/>
  <c r="R48" i="2"/>
  <c r="Q48" i="2"/>
  <c r="T48" i="2" s="1"/>
  <c r="S48" i="2"/>
  <c r="Q280" i="2"/>
  <c r="T280" i="2" s="1"/>
  <c r="R280" i="2"/>
  <c r="S280" i="2"/>
  <c r="S53" i="2"/>
  <c r="U53" i="2" s="1"/>
  <c r="R53" i="2"/>
  <c r="V53" i="2" s="1"/>
  <c r="Q53" i="2"/>
  <c r="T53" i="2" s="1"/>
  <c r="R268" i="2"/>
  <c r="V268" i="2" s="1"/>
  <c r="S268" i="2"/>
  <c r="U268" i="2" s="1"/>
  <c r="Q268" i="2"/>
  <c r="T268" i="2" s="1"/>
  <c r="S128" i="2"/>
  <c r="R128" i="2"/>
  <c r="Q128" i="2"/>
  <c r="T128" i="2" s="1"/>
  <c r="R14" i="2"/>
  <c r="Q14" i="2"/>
  <c r="T14" i="2" s="1"/>
  <c r="S14" i="2"/>
  <c r="Q243" i="2"/>
  <c r="T243" i="2" s="1"/>
  <c r="S243" i="2"/>
  <c r="R243" i="2"/>
  <c r="S196" i="2"/>
  <c r="Q196" i="2"/>
  <c r="T196" i="2" s="1"/>
  <c r="R196" i="2"/>
  <c r="S167" i="2"/>
  <c r="Q167" i="2"/>
  <c r="T167" i="2" s="1"/>
  <c r="R167" i="2"/>
  <c r="Q204" i="2"/>
  <c r="S204" i="2"/>
  <c r="R204" i="2"/>
  <c r="V204" i="2" s="1"/>
  <c r="R46" i="2"/>
  <c r="S46" i="2"/>
  <c r="Q46" i="2"/>
  <c r="T46" i="2" s="1"/>
  <c r="Q104" i="2"/>
  <c r="T104" i="2" s="1"/>
  <c r="S104" i="2"/>
  <c r="U104" i="2" s="1"/>
  <c r="R104" i="2"/>
  <c r="V104" i="2" s="1"/>
  <c r="W87" i="2"/>
  <c r="Q87" i="2"/>
  <c r="T87" i="2" s="1"/>
  <c r="S87" i="2"/>
  <c r="R87" i="2"/>
  <c r="V87" i="2" s="1"/>
  <c r="Q149" i="2"/>
  <c r="T149" i="2" s="1"/>
  <c r="S149" i="2"/>
  <c r="R149" i="2"/>
  <c r="R264" i="2"/>
  <c r="S264" i="2"/>
  <c r="Q264" i="2"/>
  <c r="T264" i="2" s="1"/>
  <c r="S184" i="2"/>
  <c r="Q184" i="2"/>
  <c r="T184" i="2" s="1"/>
  <c r="R184" i="2"/>
  <c r="Q315" i="2"/>
  <c r="T315" i="2" s="1"/>
  <c r="R315" i="2"/>
  <c r="S315" i="2"/>
  <c r="R34" i="2"/>
  <c r="S34" i="2"/>
  <c r="Q34" i="2"/>
  <c r="T34" i="2" s="1"/>
  <c r="Q121" i="2"/>
  <c r="T121" i="2" s="1"/>
  <c r="R121" i="2"/>
  <c r="S121" i="2"/>
  <c r="S307" i="2"/>
  <c r="R307" i="2"/>
  <c r="Q307" i="2"/>
  <c r="T307" i="2" s="1"/>
  <c r="S335" i="2"/>
  <c r="R335" i="2"/>
  <c r="Q335" i="2"/>
  <c r="T335" i="2" s="1"/>
  <c r="R21" i="2"/>
  <c r="V21" i="2" s="1"/>
  <c r="S21" i="2"/>
  <c r="Q21" i="2"/>
  <c r="R11" i="2"/>
  <c r="S11" i="2"/>
  <c r="Q11" i="2"/>
  <c r="T11" i="2" s="1"/>
  <c r="Q92" i="2"/>
  <c r="T92" i="2" s="1"/>
  <c r="R92" i="2"/>
  <c r="S92" i="2"/>
  <c r="Q95" i="2"/>
  <c r="T95" i="2" s="1"/>
  <c r="R95" i="2"/>
  <c r="S95" i="2"/>
  <c r="S248" i="2"/>
  <c r="R248" i="2"/>
  <c r="Q248" i="2"/>
  <c r="T248" i="2" s="1"/>
  <c r="R269" i="2"/>
  <c r="S269" i="2"/>
  <c r="Q269" i="2"/>
  <c r="T269" i="2" s="1"/>
  <c r="R102" i="2"/>
  <c r="Q102" i="2"/>
  <c r="T102" i="2" s="1"/>
  <c r="S102" i="2"/>
  <c r="S298" i="2"/>
  <c r="U298" i="2" s="1"/>
  <c r="R298" i="2"/>
  <c r="V298" i="2" s="1"/>
  <c r="Q298" i="2"/>
  <c r="T298" i="2" s="1"/>
  <c r="R191" i="2"/>
  <c r="S191" i="2"/>
  <c r="Q191" i="2"/>
  <c r="T191" i="2" s="1"/>
  <c r="S225" i="2"/>
  <c r="R225" i="2"/>
  <c r="Q225" i="2"/>
  <c r="T225" i="2" s="1"/>
  <c r="S193" i="2"/>
  <c r="R193" i="2"/>
  <c r="Q193" i="2"/>
  <c r="T193" i="2" s="1"/>
  <c r="Q90" i="2"/>
  <c r="T90" i="2" s="1"/>
  <c r="R90" i="2"/>
  <c r="S90" i="2"/>
  <c r="R217" i="2"/>
  <c r="Q217" i="2"/>
  <c r="T217" i="2" s="1"/>
  <c r="S217" i="2"/>
  <c r="Q122" i="2"/>
  <c r="T122" i="2" s="1"/>
  <c r="S122" i="2"/>
  <c r="R122" i="2"/>
  <c r="R275" i="2"/>
  <c r="Q275" i="2"/>
  <c r="T275" i="2" s="1"/>
  <c r="S275" i="2"/>
  <c r="R185" i="2"/>
  <c r="V185" i="2" s="1"/>
  <c r="S185" i="2"/>
  <c r="Q185" i="2"/>
  <c r="R262" i="2"/>
  <c r="Q262" i="2"/>
  <c r="T262" i="2" s="1"/>
  <c r="S262" i="2"/>
  <c r="R263" i="2"/>
  <c r="Q263" i="2"/>
  <c r="T263" i="2" s="1"/>
  <c r="S263" i="2"/>
  <c r="R162" i="2"/>
  <c r="Q162" i="2"/>
  <c r="T162" i="2" s="1"/>
  <c r="S162" i="2"/>
  <c r="S118" i="2"/>
  <c r="Q118" i="2"/>
  <c r="T118" i="2" s="1"/>
  <c r="R118" i="2"/>
  <c r="Q165" i="2"/>
  <c r="T165" i="2" s="1"/>
  <c r="R165" i="2"/>
  <c r="S165" i="2"/>
  <c r="Q139" i="2"/>
  <c r="T139" i="2" s="1"/>
  <c r="R139" i="2"/>
  <c r="S139" i="2"/>
  <c r="R123" i="2"/>
  <c r="S123" i="2"/>
  <c r="Q123" i="2"/>
  <c r="T123" i="2" s="1"/>
  <c r="Q85" i="2"/>
  <c r="T85" i="2" s="1"/>
  <c r="R85" i="2"/>
  <c r="S85" i="2"/>
  <c r="Q153" i="2"/>
  <c r="T153" i="2" s="1"/>
  <c r="R153" i="2"/>
  <c r="S153" i="2"/>
  <c r="R23" i="2"/>
  <c r="Q23" i="2"/>
  <c r="T23" i="2" s="1"/>
  <c r="S23" i="2"/>
  <c r="S346" i="2"/>
  <c r="R346" i="2"/>
  <c r="Q346" i="2"/>
  <c r="T346" i="2" s="1"/>
  <c r="R10" i="2"/>
  <c r="S10" i="2"/>
  <c r="Q10" i="2"/>
  <c r="T10" i="2" s="1"/>
  <c r="S216" i="2"/>
  <c r="R216" i="2"/>
  <c r="Q216" i="2"/>
  <c r="T216" i="2" s="1"/>
  <c r="S132" i="2"/>
  <c r="Q132" i="2"/>
  <c r="T132" i="2" s="1"/>
  <c r="R132" i="2"/>
  <c r="R120" i="2"/>
  <c r="S120" i="2"/>
  <c r="Q120" i="2"/>
  <c r="T120" i="2" s="1"/>
  <c r="R345" i="2"/>
  <c r="V345" i="2" s="1"/>
  <c r="W345" i="2"/>
  <c r="Q345" i="2"/>
  <c r="T345" i="2" s="1"/>
  <c r="S345" i="2"/>
  <c r="Q72" i="2"/>
  <c r="T72" i="2" s="1"/>
  <c r="R72" i="2"/>
  <c r="S72" i="2"/>
  <c r="Q312" i="2"/>
  <c r="T312" i="2" s="1"/>
  <c r="R312" i="2"/>
  <c r="S312" i="2"/>
  <c r="R148" i="2"/>
  <c r="V148" i="2" s="1"/>
  <c r="Q148" i="2"/>
  <c r="T148" i="2" s="1"/>
  <c r="S148" i="2"/>
  <c r="U148" i="2" s="1"/>
  <c r="S59" i="2"/>
  <c r="Q59" i="2"/>
  <c r="T59" i="2" s="1"/>
  <c r="R59" i="2"/>
  <c r="S270" i="2"/>
  <c r="U270" i="2" s="1"/>
  <c r="Q270" i="2"/>
  <c r="T270" i="2" s="1"/>
  <c r="R270" i="2"/>
  <c r="V270" i="2" s="1"/>
  <c r="Q226" i="2"/>
  <c r="T226" i="2" s="1"/>
  <c r="S226" i="2"/>
  <c r="R226" i="2"/>
  <c r="Q317" i="2"/>
  <c r="T317" i="2" s="1"/>
  <c r="S317" i="2"/>
  <c r="R317" i="2"/>
  <c r="S305" i="2"/>
  <c r="R305" i="2"/>
  <c r="Q305" i="2"/>
  <c r="T305" i="2" s="1"/>
  <c r="R25" i="2"/>
  <c r="Q25" i="2"/>
  <c r="T25" i="2" s="1"/>
  <c r="S25" i="2"/>
  <c r="R50" i="2"/>
  <c r="Q50" i="2"/>
  <c r="T50" i="2" s="1"/>
  <c r="S50" i="2"/>
  <c r="S316" i="2"/>
  <c r="R316" i="2"/>
  <c r="Q316" i="2"/>
  <c r="T316" i="2" s="1"/>
  <c r="R340" i="2"/>
  <c r="V340" i="2" s="1"/>
  <c r="S340" i="2"/>
  <c r="U340" i="2" s="1"/>
  <c r="Q340" i="2"/>
  <c r="T340" i="2" s="1"/>
  <c r="S304" i="2"/>
  <c r="U304" i="2" s="1"/>
  <c r="Q304" i="2"/>
  <c r="T304" i="2" s="1"/>
  <c r="R304" i="2"/>
  <c r="V304" i="2" s="1"/>
  <c r="S88" i="2"/>
  <c r="Q88" i="2"/>
  <c r="R88" i="2"/>
  <c r="V88" i="2" s="1"/>
  <c r="Q236" i="2"/>
  <c r="T236" i="2" s="1"/>
  <c r="S236" i="2"/>
  <c r="R236" i="2"/>
  <c r="Q157" i="2"/>
  <c r="T157" i="2" s="1"/>
  <c r="R157" i="2"/>
  <c r="S157" i="2"/>
  <c r="R339" i="2"/>
  <c r="Q339" i="2"/>
  <c r="T339" i="2" s="1"/>
  <c r="S339" i="2"/>
  <c r="Q327" i="2"/>
  <c r="T327" i="2" s="1"/>
  <c r="S327" i="2"/>
  <c r="R327" i="2"/>
  <c r="R8" i="2"/>
  <c r="V8" i="2" s="1"/>
  <c r="S8" i="2"/>
  <c r="Q8" i="2"/>
  <c r="Q141" i="2"/>
  <c r="T141" i="2" s="1"/>
  <c r="S141" i="2"/>
  <c r="R141" i="2"/>
  <c r="R297" i="2"/>
  <c r="S297" i="2"/>
  <c r="Q297" i="2"/>
  <c r="T297" i="2" s="1"/>
  <c r="R266" i="2"/>
  <c r="S266" i="2"/>
  <c r="Q266" i="2"/>
  <c r="T266" i="2" s="1"/>
  <c r="S246" i="2"/>
  <c r="R246" i="2"/>
  <c r="Q246" i="2"/>
  <c r="T246" i="2" s="1"/>
  <c r="Q84" i="2"/>
  <c r="T84" i="2" s="1"/>
  <c r="R84" i="2"/>
  <c r="S84" i="2"/>
  <c r="R170" i="2"/>
  <c r="S170" i="2"/>
  <c r="Q170" i="2"/>
  <c r="T170" i="2" s="1"/>
  <c r="R30" i="2"/>
  <c r="S30" i="2"/>
  <c r="Q30" i="2"/>
  <c r="T30" i="2" s="1"/>
  <c r="R55" i="2"/>
  <c r="Q55" i="2"/>
  <c r="T55" i="2" s="1"/>
  <c r="S55" i="2"/>
  <c r="Q284" i="2"/>
  <c r="T284" i="2" s="1"/>
  <c r="S284" i="2"/>
  <c r="R284" i="2"/>
  <c r="Q62" i="2"/>
  <c r="R62" i="2"/>
  <c r="V62" i="2" s="1"/>
  <c r="S62" i="2"/>
  <c r="R301" i="2"/>
  <c r="S301" i="2"/>
  <c r="Q301" i="2"/>
  <c r="T301" i="2" s="1"/>
  <c r="Q219" i="2"/>
  <c r="T219" i="2" s="1"/>
  <c r="S219" i="2"/>
  <c r="R219" i="2"/>
  <c r="R56" i="2"/>
  <c r="V56" i="2" s="1"/>
  <c r="Q56" i="2"/>
  <c r="T56" i="2" s="1"/>
  <c r="S56" i="2"/>
  <c r="U56" i="2" s="1"/>
  <c r="Q318" i="2"/>
  <c r="T318" i="2" s="1"/>
  <c r="R318" i="2"/>
  <c r="V318" i="2" s="1"/>
  <c r="S318" i="2"/>
  <c r="U318" i="2" s="1"/>
  <c r="R249" i="2"/>
  <c r="Q249" i="2"/>
  <c r="T249" i="2" s="1"/>
  <c r="S249" i="2"/>
  <c r="R235" i="2"/>
  <c r="Q235" i="2"/>
  <c r="T235" i="2" s="1"/>
  <c r="S235" i="2"/>
  <c r="R294" i="2"/>
  <c r="Q294" i="2"/>
  <c r="T294" i="2" s="1"/>
  <c r="S294" i="2"/>
  <c r="R150" i="2"/>
  <c r="Q150" i="2"/>
  <c r="T150" i="2" s="1"/>
  <c r="S150" i="2"/>
  <c r="Q13" i="2"/>
  <c r="T13" i="2" s="1"/>
  <c r="R13" i="2"/>
  <c r="V13" i="2" s="1"/>
  <c r="S13" i="2"/>
  <c r="U13" i="2" s="1"/>
  <c r="Q342" i="2"/>
  <c r="T342" i="2" s="1"/>
  <c r="R342" i="2"/>
  <c r="S342" i="2"/>
  <c r="Q218" i="2"/>
  <c r="T218" i="2" s="1"/>
  <c r="R218" i="2"/>
  <c r="S218" i="2"/>
  <c r="S94" i="2"/>
  <c r="Q94" i="2"/>
  <c r="T94" i="2" s="1"/>
  <c r="R94" i="2"/>
  <c r="S44" i="2"/>
  <c r="Q44" i="2"/>
  <c r="T44" i="2" s="1"/>
  <c r="R44" i="2"/>
  <c r="R43" i="2"/>
  <c r="S43" i="2"/>
  <c r="Q43" i="2"/>
  <c r="T43" i="2" s="1"/>
  <c r="Q66" i="2"/>
  <c r="T66" i="2" s="1"/>
  <c r="R66" i="2"/>
  <c r="S66" i="2"/>
  <c r="Q290" i="2"/>
  <c r="S290" i="2"/>
  <c r="R290" i="2"/>
  <c r="V290" i="2" s="1"/>
  <c r="Q250" i="2"/>
  <c r="T250" i="2" s="1"/>
  <c r="S250" i="2"/>
  <c r="R250" i="2"/>
  <c r="S343" i="2"/>
  <c r="Q343" i="2"/>
  <c r="T343" i="2" s="1"/>
  <c r="R343" i="2"/>
  <c r="Q285" i="2"/>
  <c r="T285" i="2" s="1"/>
  <c r="S285" i="2"/>
  <c r="R285" i="2"/>
  <c r="R74" i="2"/>
  <c r="Q74" i="2"/>
  <c r="T74" i="2" s="1"/>
  <c r="S74" i="2"/>
  <c r="R32" i="2"/>
  <c r="S32" i="2"/>
  <c r="Q32" i="2"/>
  <c r="T32" i="2" s="1"/>
  <c r="Q260" i="2"/>
  <c r="T260" i="2" s="1"/>
  <c r="R260" i="2"/>
  <c r="S260" i="2"/>
  <c r="S174" i="2"/>
  <c r="R174" i="2"/>
  <c r="Q174" i="2"/>
  <c r="T174" i="2" s="1"/>
  <c r="S224" i="2"/>
  <c r="Q224" i="2"/>
  <c r="T224" i="2" s="1"/>
  <c r="R224" i="2"/>
  <c r="R26" i="2"/>
  <c r="Q26" i="2"/>
  <c r="T26" i="2" s="1"/>
  <c r="S26" i="2"/>
  <c r="R45" i="2"/>
  <c r="Q45" i="2"/>
  <c r="T45" i="2" s="1"/>
  <c r="S45" i="2"/>
  <c r="R18" i="2"/>
  <c r="S18" i="2"/>
  <c r="Q18" i="2"/>
  <c r="T18" i="2" s="1"/>
  <c r="S267" i="2"/>
  <c r="Q267" i="2"/>
  <c r="T267" i="2" s="1"/>
  <c r="R267" i="2"/>
  <c r="R12" i="2"/>
  <c r="S12" i="2"/>
  <c r="Q12" i="2"/>
  <c r="T12" i="2" s="1"/>
  <c r="S36" i="2"/>
  <c r="Q36" i="2"/>
  <c r="T36" i="2" s="1"/>
  <c r="R36" i="2"/>
  <c r="Q28" i="2"/>
  <c r="T28" i="2" s="1"/>
  <c r="S28" i="2"/>
  <c r="R28" i="2"/>
  <c r="S254" i="2"/>
  <c r="U254" i="2" s="1"/>
  <c r="R254" i="2"/>
  <c r="V254" i="2" s="1"/>
  <c r="Q254" i="2"/>
  <c r="T254" i="2" s="1"/>
  <c r="Q299" i="2"/>
  <c r="T299" i="2" s="1"/>
  <c r="S299" i="2"/>
  <c r="R299" i="2"/>
  <c r="S176" i="2"/>
  <c r="U176" i="2" s="1"/>
  <c r="Q176" i="2"/>
  <c r="T176" i="2" s="1"/>
  <c r="R176" i="2"/>
  <c r="V176" i="2" s="1"/>
  <c r="R265" i="2"/>
  <c r="Q265" i="2"/>
  <c r="T265" i="2" s="1"/>
  <c r="S265" i="2"/>
  <c r="R231" i="2"/>
  <c r="S231" i="2"/>
  <c r="Q231" i="2"/>
  <c r="T231" i="2" s="1"/>
  <c r="S282" i="2"/>
  <c r="R282" i="2"/>
  <c r="Q282" i="2"/>
  <c r="T282" i="2" s="1"/>
  <c r="R337" i="2"/>
  <c r="S337" i="2"/>
  <c r="Q337" i="2"/>
  <c r="T337" i="2" s="1"/>
  <c r="R221" i="2"/>
  <c r="Q221" i="2"/>
  <c r="T221" i="2" s="1"/>
  <c r="S221" i="2"/>
  <c r="R189" i="2"/>
  <c r="S189" i="2"/>
  <c r="Q189" i="2"/>
  <c r="T189" i="2" s="1"/>
  <c r="Q344" i="2"/>
  <c r="T344" i="2" s="1"/>
  <c r="R344" i="2"/>
  <c r="S344" i="2"/>
  <c r="S214" i="2"/>
  <c r="R214" i="2"/>
  <c r="Q214" i="2"/>
  <c r="T214" i="2" s="1"/>
  <c r="R114" i="2"/>
  <c r="S114" i="2"/>
  <c r="Q114" i="2"/>
  <c r="T114" i="2" s="1"/>
  <c r="S273" i="2"/>
  <c r="Q273" i="2"/>
  <c r="T273" i="2" s="1"/>
  <c r="R273" i="2"/>
  <c r="Q177" i="2"/>
  <c r="T177" i="2" s="1"/>
  <c r="R177" i="2"/>
  <c r="S177" i="2"/>
  <c r="S257" i="2"/>
  <c r="U257" i="2" s="1"/>
  <c r="R257" i="2"/>
  <c r="V257" i="2" s="1"/>
  <c r="Q257" i="2"/>
  <c r="T257" i="2" s="1"/>
  <c r="S241" i="2"/>
  <c r="Q241" i="2"/>
  <c r="T241" i="2" s="1"/>
  <c r="R241" i="2"/>
  <c r="Q161" i="2"/>
  <c r="T161" i="2" s="1"/>
  <c r="R161" i="2"/>
  <c r="S161" i="2"/>
  <c r="R89" i="2"/>
  <c r="S89" i="2"/>
  <c r="Q89" i="2"/>
  <c r="T89" i="2" s="1"/>
  <c r="R116" i="2"/>
  <c r="S116" i="2"/>
  <c r="Q116" i="2"/>
  <c r="T116" i="2" s="1"/>
  <c r="R127" i="2"/>
  <c r="S127" i="2"/>
  <c r="Q127" i="2"/>
  <c r="T127" i="2" s="1"/>
  <c r="S60" i="2"/>
  <c r="Q60" i="2"/>
  <c r="T60" i="2" s="1"/>
  <c r="R60" i="2"/>
  <c r="Q334" i="2"/>
  <c r="T334" i="2" s="1"/>
  <c r="S334" i="2"/>
  <c r="U334" i="2" s="1"/>
  <c r="R334" i="2"/>
  <c r="V334" i="2" s="1"/>
  <c r="Q70" i="2"/>
  <c r="R70" i="2"/>
  <c r="V70" i="2" s="1"/>
  <c r="S70" i="2"/>
  <c r="Q112" i="2"/>
  <c r="T112" i="2" s="1"/>
  <c r="R112" i="2"/>
  <c r="S112" i="2"/>
  <c r="R15" i="2"/>
  <c r="Q15" i="2"/>
  <c r="T15" i="2" s="1"/>
  <c r="S15" i="2"/>
  <c r="Q22" i="2"/>
  <c r="T22" i="2" s="1"/>
  <c r="R22" i="2"/>
  <c r="S22" i="2"/>
  <c r="Q258" i="2"/>
  <c r="T258" i="2" s="1"/>
  <c r="S258" i="2"/>
  <c r="R258" i="2"/>
  <c r="S272" i="2"/>
  <c r="R272" i="2"/>
  <c r="V272" i="2" s="1"/>
  <c r="Q272" i="2"/>
  <c r="T272" i="2" s="1"/>
  <c r="S332" i="2"/>
  <c r="Q332" i="2"/>
  <c r="T332" i="2" s="1"/>
  <c r="R332" i="2"/>
  <c r="S329" i="2"/>
  <c r="R329" i="2"/>
  <c r="Q329" i="2"/>
  <c r="T329" i="2" s="1"/>
  <c r="R324" i="2"/>
  <c r="Q324" i="2"/>
  <c r="T324" i="2" s="1"/>
  <c r="S324" i="2"/>
  <c r="S242" i="2"/>
  <c r="R242" i="2"/>
  <c r="Q242" i="2"/>
  <c r="T242" i="2" s="1"/>
  <c r="R142" i="2"/>
  <c r="V142" i="2" s="1"/>
  <c r="S142" i="2"/>
  <c r="Q142" i="2"/>
  <c r="T142" i="2" s="1"/>
  <c r="Q69" i="2"/>
  <c r="T69" i="2" s="1"/>
  <c r="S69" i="2"/>
  <c r="R69" i="2"/>
  <c r="V69" i="2" s="1"/>
  <c r="R172" i="2"/>
  <c r="S172" i="2"/>
  <c r="Q172" i="2"/>
  <c r="T172" i="2" s="1"/>
  <c r="S136" i="2"/>
  <c r="Q136" i="2"/>
  <c r="T136" i="2" s="1"/>
  <c r="R136" i="2"/>
  <c r="R38" i="2"/>
  <c r="Q38" i="2"/>
  <c r="T38" i="2" s="1"/>
  <c r="S38" i="2"/>
  <c r="R39" i="2"/>
  <c r="S39" i="2"/>
  <c r="Q39" i="2"/>
  <c r="T39" i="2" s="1"/>
  <c r="S310" i="2"/>
  <c r="Q310" i="2"/>
  <c r="T310" i="2" s="1"/>
  <c r="R310" i="2"/>
  <c r="Q129" i="2"/>
  <c r="T129" i="2" s="1"/>
  <c r="R129" i="2"/>
  <c r="S129" i="2"/>
  <c r="R320" i="2"/>
  <c r="S320" i="2"/>
  <c r="Q320" i="2"/>
  <c r="T320" i="2" s="1"/>
  <c r="S274" i="2"/>
  <c r="R274" i="2"/>
  <c r="V274" i="2" s="1"/>
  <c r="Q274" i="2"/>
  <c r="Q296" i="2"/>
  <c r="T296" i="2" s="1"/>
  <c r="R296" i="2"/>
  <c r="S296" i="2"/>
  <c r="S237" i="2"/>
  <c r="Q237" i="2"/>
  <c r="T237" i="2" s="1"/>
  <c r="R237" i="2"/>
  <c r="R138" i="2"/>
  <c r="S138" i="2"/>
  <c r="Q138" i="2"/>
  <c r="T138" i="2" s="1"/>
  <c r="Q58" i="2"/>
  <c r="S58" i="2"/>
  <c r="R58" i="2"/>
  <c r="V58" i="2" s="1"/>
  <c r="S238" i="2"/>
  <c r="Q238" i="2"/>
  <c r="T238" i="2" s="1"/>
  <c r="R238" i="2"/>
  <c r="R17" i="2"/>
  <c r="Q17" i="2"/>
  <c r="T17" i="2" s="1"/>
  <c r="S17" i="2"/>
  <c r="R255" i="2"/>
  <c r="V255" i="2" s="1"/>
  <c r="S255" i="2"/>
  <c r="U255" i="2" s="1"/>
  <c r="Q255" i="2"/>
  <c r="T255" i="2" s="1"/>
  <c r="R54" i="2"/>
  <c r="V54" i="2" s="1"/>
  <c r="Q54" i="2"/>
  <c r="T54" i="2" s="1"/>
  <c r="S54" i="2"/>
  <c r="U54" i="2" s="1"/>
  <c r="S303" i="2"/>
  <c r="R303" i="2"/>
  <c r="Q303" i="2"/>
  <c r="T303" i="2" s="1"/>
  <c r="S6" i="2"/>
  <c r="Q6" i="2"/>
  <c r="R6" i="2"/>
  <c r="V6" i="2" s="1"/>
  <c r="R19" i="2"/>
  <c r="S19" i="2"/>
  <c r="Q19" i="2"/>
  <c r="T19" i="2" s="1"/>
  <c r="Q109" i="2"/>
  <c r="T109" i="2" s="1"/>
  <c r="R109" i="2"/>
  <c r="S109" i="2"/>
  <c r="Q314" i="2"/>
  <c r="T314" i="2" s="1"/>
  <c r="S314" i="2"/>
  <c r="R314" i="2"/>
  <c r="Q130" i="2"/>
  <c r="T130" i="2" s="1"/>
  <c r="R130" i="2"/>
  <c r="S130" i="2"/>
  <c r="S293" i="2"/>
  <c r="R293" i="2"/>
  <c r="Q293" i="2"/>
  <c r="T293" i="2" s="1"/>
  <c r="S73" i="2"/>
  <c r="Q73" i="2"/>
  <c r="T73" i="2" s="1"/>
  <c r="R73" i="2"/>
  <c r="R31" i="2"/>
  <c r="S31" i="2"/>
  <c r="Q31" i="2"/>
  <c r="T31" i="2" s="1"/>
  <c r="R338" i="2"/>
  <c r="S338" i="2"/>
  <c r="Q338" i="2"/>
  <c r="T338" i="2" s="1"/>
  <c r="Q140" i="2"/>
  <c r="T140" i="2" s="1"/>
  <c r="S140" i="2"/>
  <c r="R140" i="2"/>
  <c r="S183" i="2"/>
  <c r="R183" i="2"/>
  <c r="Q183" i="2"/>
  <c r="T183" i="2" s="1"/>
  <c r="Q190" i="2"/>
  <c r="T190" i="2" s="1"/>
  <c r="S190" i="2"/>
  <c r="R190" i="2"/>
  <c r="S208" i="2"/>
  <c r="R208" i="2"/>
  <c r="Q208" i="2"/>
  <c r="T208" i="2" s="1"/>
  <c r="R223" i="2"/>
  <c r="S223" i="2"/>
  <c r="Q223" i="2"/>
  <c r="T223" i="2" s="1"/>
  <c r="Q178" i="2"/>
  <c r="T178" i="2" s="1"/>
  <c r="S178" i="2"/>
  <c r="R178" i="2"/>
  <c r="R308" i="2"/>
  <c r="Q308" i="2"/>
  <c r="T308" i="2" s="1"/>
  <c r="S308" i="2"/>
  <c r="Q228" i="2"/>
  <c r="T228" i="2" s="1"/>
  <c r="S228" i="2"/>
  <c r="R228" i="2"/>
  <c r="S311" i="2"/>
  <c r="Q311" i="2"/>
  <c r="T311" i="2" s="1"/>
  <c r="R311" i="2"/>
  <c r="Q145" i="2"/>
  <c r="T145" i="2" s="1"/>
  <c r="S145" i="2"/>
  <c r="R145" i="2"/>
  <c r="R41" i="2"/>
  <c r="V41" i="2" s="1"/>
  <c r="S41" i="2"/>
  <c r="W41" i="2"/>
  <c r="Q41" i="2"/>
  <c r="T41" i="2" s="1"/>
  <c r="S222" i="2"/>
  <c r="R222" i="2"/>
  <c r="Q222" i="2"/>
  <c r="T222" i="2" s="1"/>
  <c r="Q80" i="2"/>
  <c r="T80" i="2" s="1"/>
  <c r="S80" i="2"/>
  <c r="R80" i="2"/>
  <c r="R29" i="2"/>
  <c r="Q29" i="2"/>
  <c r="T29" i="2" s="1"/>
  <c r="S29" i="2"/>
  <c r="Q306" i="2"/>
  <c r="T306" i="2" s="1"/>
  <c r="S306" i="2"/>
  <c r="R306" i="2"/>
  <c r="Q289" i="2"/>
  <c r="T289" i="2" s="1"/>
  <c r="R289" i="2"/>
  <c r="S289" i="2"/>
  <c r="R276" i="2"/>
  <c r="S276" i="2"/>
  <c r="Q276" i="2"/>
  <c r="T276" i="2" s="1"/>
  <c r="S206" i="2"/>
  <c r="R206" i="2"/>
  <c r="Q206" i="2"/>
  <c r="T206" i="2" s="1"/>
  <c r="S220" i="2"/>
  <c r="R220" i="2"/>
  <c r="Q220" i="2"/>
  <c r="T220" i="2" s="1"/>
  <c r="Q207" i="2"/>
  <c r="T207" i="2" s="1"/>
  <c r="S207" i="2"/>
  <c r="R207" i="2"/>
  <c r="R278" i="2"/>
  <c r="Q278" i="2"/>
  <c r="T278" i="2" s="1"/>
  <c r="S278" i="2"/>
  <c r="Q175" i="2"/>
  <c r="T175" i="2" s="1"/>
  <c r="S175" i="2"/>
  <c r="U175" i="2" s="1"/>
  <c r="R175" i="2"/>
  <c r="V175" i="2" s="1"/>
  <c r="R37" i="2"/>
  <c r="Q37" i="2"/>
  <c r="T37" i="2" s="1"/>
  <c r="S37" i="2"/>
  <c r="R9" i="2"/>
  <c r="V9" i="2" s="1"/>
  <c r="Q9" i="2"/>
  <c r="T9" i="2" s="1"/>
  <c r="S9" i="2"/>
  <c r="U9" i="2" s="1"/>
  <c r="R20" i="2"/>
  <c r="Q20" i="2"/>
  <c r="T20" i="2" s="1"/>
  <c r="S20" i="2"/>
  <c r="Q98" i="2"/>
  <c r="T98" i="2" s="1"/>
  <c r="R98" i="2"/>
  <c r="V98" i="2" s="1"/>
  <c r="S98" i="2"/>
  <c r="U98" i="2" s="1"/>
  <c r="S166" i="2"/>
  <c r="Q166" i="2"/>
  <c r="T166" i="2" s="1"/>
  <c r="R166" i="2"/>
  <c r="S67" i="2"/>
  <c r="Q67" i="2"/>
  <c r="T67" i="2" s="1"/>
  <c r="R67" i="2"/>
  <c r="Q125" i="2"/>
  <c r="T125" i="2" s="1"/>
  <c r="S125" i="2"/>
  <c r="R125" i="2"/>
  <c r="R47" i="2"/>
  <c r="S47" i="2"/>
  <c r="Q47" i="2"/>
  <c r="T47" i="2" s="1"/>
  <c r="R211" i="2"/>
  <c r="Q211" i="2"/>
  <c r="T211" i="2" s="1"/>
  <c r="S211" i="2"/>
  <c r="Q286" i="2"/>
  <c r="T286" i="2" s="1"/>
  <c r="R286" i="2"/>
  <c r="S286" i="2"/>
  <c r="R292" i="2"/>
  <c r="V292" i="2" s="1"/>
  <c r="Q292" i="2"/>
  <c r="T292" i="2" s="1"/>
  <c r="S292" i="2"/>
  <c r="U292" i="2" s="1"/>
  <c r="S230" i="2"/>
  <c r="Q230" i="2"/>
  <c r="T230" i="2" s="1"/>
  <c r="R230" i="2"/>
  <c r="S131" i="2"/>
  <c r="Q131" i="2"/>
  <c r="T131" i="2" s="1"/>
  <c r="R131" i="2"/>
  <c r="R259" i="2"/>
  <c r="S259" i="2"/>
  <c r="Q259" i="2"/>
  <c r="T259" i="2" s="1"/>
  <c r="Q213" i="2"/>
  <c r="T213" i="2" s="1"/>
  <c r="R213" i="2"/>
  <c r="S213" i="2"/>
  <c r="Q215" i="2"/>
  <c r="T215" i="2" s="1"/>
  <c r="R215" i="2"/>
  <c r="S215" i="2"/>
  <c r="Q154" i="2"/>
  <c r="T154" i="2" s="1"/>
  <c r="R154" i="2"/>
  <c r="S154" i="2"/>
  <c r="Q336" i="2"/>
  <c r="T336" i="2" s="1"/>
  <c r="R336" i="2"/>
  <c r="S336" i="2"/>
  <c r="S210" i="2"/>
  <c r="R210" i="2"/>
  <c r="Q210" i="2"/>
  <c r="T210" i="2" s="1"/>
  <c r="Q65" i="2"/>
  <c r="T65" i="2" s="1"/>
  <c r="S65" i="2"/>
  <c r="R65" i="2"/>
  <c r="S261" i="2"/>
  <c r="Q261" i="2"/>
  <c r="T261" i="2" s="1"/>
  <c r="R261" i="2"/>
  <c r="S159" i="2"/>
  <c r="Q159" i="2"/>
  <c r="T159" i="2" s="1"/>
  <c r="R159" i="2"/>
  <c r="R195" i="2"/>
  <c r="S195" i="2"/>
  <c r="Q195" i="2"/>
  <c r="T195" i="2" s="1"/>
  <c r="R198" i="2"/>
  <c r="Q198" i="2"/>
  <c r="T198" i="2" s="1"/>
  <c r="S198" i="2"/>
  <c r="Q152" i="2"/>
  <c r="T152" i="2" s="1"/>
  <c r="R152" i="2"/>
  <c r="S152" i="2"/>
  <c r="Q79" i="2"/>
  <c r="T79" i="2" s="1"/>
  <c r="R79" i="2"/>
  <c r="S79" i="2"/>
  <c r="R110" i="2"/>
  <c r="V110" i="2" s="1"/>
  <c r="Q110" i="2"/>
  <c r="T110" i="2" s="1"/>
  <c r="S110" i="2"/>
  <c r="U110" i="2" s="1"/>
  <c r="Q124" i="2"/>
  <c r="T124" i="2" s="1"/>
  <c r="R124" i="2"/>
  <c r="V124" i="2" s="1"/>
  <c r="S124" i="2"/>
  <c r="U124" i="2" s="1"/>
  <c r="R160" i="2"/>
  <c r="Q160" i="2"/>
  <c r="T160" i="2" s="1"/>
  <c r="S160" i="2"/>
  <c r="Q52" i="2"/>
  <c r="T52" i="2" s="1"/>
  <c r="R52" i="2"/>
  <c r="S52" i="2"/>
  <c r="S143" i="2"/>
  <c r="R143" i="2"/>
  <c r="Q143" i="2"/>
  <c r="T143" i="2" s="1"/>
  <c r="Q194" i="2"/>
  <c r="T194" i="2" s="1"/>
  <c r="R194" i="2"/>
  <c r="S194" i="2"/>
  <c r="S271" i="2"/>
  <c r="Q271" i="2"/>
  <c r="T271" i="2" s="1"/>
  <c r="R271" i="2"/>
  <c r="Q100" i="2"/>
  <c r="T100" i="2" s="1"/>
  <c r="R100" i="2"/>
  <c r="S100" i="2"/>
  <c r="S232" i="2"/>
  <c r="U232" i="2" s="1"/>
  <c r="R232" i="2"/>
  <c r="V232" i="2" s="1"/>
  <c r="Q232" i="2"/>
  <c r="T232" i="2" s="1"/>
  <c r="R27" i="2"/>
  <c r="V27" i="2" s="1"/>
  <c r="S27" i="2"/>
  <c r="U27" i="2" s="1"/>
  <c r="Q27" i="2"/>
  <c r="T27" i="2" s="1"/>
  <c r="R313" i="2"/>
  <c r="Q313" i="2"/>
  <c r="T313" i="2" s="1"/>
  <c r="S313" i="2"/>
  <c r="Q197" i="2"/>
  <c r="T197" i="2" s="1"/>
  <c r="S197" i="2"/>
  <c r="U197" i="2" s="1"/>
  <c r="R197" i="2"/>
  <c r="V197" i="2" s="1"/>
  <c r="S144" i="2"/>
  <c r="U144" i="2" s="1"/>
  <c r="Q144" i="2"/>
  <c r="T144" i="2" s="1"/>
  <c r="R144" i="2"/>
  <c r="V144" i="2" s="1"/>
  <c r="Q199" i="2"/>
  <c r="T199" i="2" s="1"/>
  <c r="S199" i="2"/>
  <c r="R199" i="2"/>
  <c r="R106" i="2"/>
  <c r="Q106" i="2"/>
  <c r="T106" i="2" s="1"/>
  <c r="S106" i="2"/>
  <c r="R96" i="2"/>
  <c r="Q96" i="2"/>
  <c r="T96" i="2" s="1"/>
  <c r="S96" i="2"/>
  <c r="R61" i="2"/>
  <c r="S61" i="2"/>
  <c r="Q61" i="2"/>
  <c r="T61" i="2" s="1"/>
  <c r="S203" i="2"/>
  <c r="Q203" i="2"/>
  <c r="T203" i="2" s="1"/>
  <c r="R203" i="2"/>
  <c r="R234" i="2"/>
  <c r="S234" i="2"/>
  <c r="Q234" i="2"/>
  <c r="T234" i="2" s="1"/>
  <c r="S182" i="2"/>
  <c r="U182" i="2" s="1"/>
  <c r="R182" i="2"/>
  <c r="V182" i="2" s="1"/>
  <c r="Q182" i="2"/>
  <c r="T182" i="2" s="1"/>
  <c r="S200" i="2"/>
  <c r="R200" i="2"/>
  <c r="Q200" i="2"/>
  <c r="T200" i="2" s="1"/>
  <c r="R42" i="2"/>
  <c r="Q42" i="2"/>
  <c r="T42" i="2" s="1"/>
  <c r="S42" i="2"/>
  <c r="S212" i="2"/>
  <c r="R212" i="2"/>
  <c r="Q212" i="2"/>
  <c r="T212" i="2" s="1"/>
  <c r="S295" i="2"/>
  <c r="R295" i="2"/>
  <c r="Q295" i="2"/>
  <c r="T295" i="2" s="1"/>
  <c r="S341" i="2"/>
  <c r="R341" i="2"/>
  <c r="Q341" i="2"/>
  <c r="T341" i="2" s="1"/>
  <c r="R205" i="2"/>
  <c r="S205" i="2"/>
  <c r="Q205" i="2"/>
  <c r="T205" i="2" s="1"/>
  <c r="Q103" i="2"/>
  <c r="T103" i="2" s="1"/>
  <c r="R103" i="2"/>
  <c r="S103" i="2"/>
  <c r="R179" i="2"/>
  <c r="Q179" i="2"/>
  <c r="T179" i="2" s="1"/>
  <c r="S179" i="2"/>
  <c r="Q16" i="2"/>
  <c r="T16" i="2" s="1"/>
  <c r="R16" i="2"/>
  <c r="S16" i="2"/>
  <c r="S239" i="2"/>
  <c r="Q239" i="2"/>
  <c r="T239" i="2" s="1"/>
  <c r="R239" i="2"/>
  <c r="S49" i="2"/>
  <c r="R49" i="2"/>
  <c r="Q49" i="2"/>
  <c r="T49" i="2" s="1"/>
  <c r="S240" i="2"/>
  <c r="U240" i="2" s="1"/>
  <c r="Q240" i="2"/>
  <c r="T240" i="2" s="1"/>
  <c r="R240" i="2"/>
  <c r="V240" i="2" s="1"/>
  <c r="R347" i="2"/>
  <c r="Q347" i="2"/>
  <c r="T347" i="2" s="1"/>
  <c r="S347" i="2"/>
  <c r="Q64" i="2"/>
  <c r="T64" i="2" s="1"/>
  <c r="R64" i="2"/>
  <c r="S64" i="2"/>
  <c r="R309" i="2"/>
  <c r="S309" i="2"/>
  <c r="Q309" i="2"/>
  <c r="T309" i="2" s="1"/>
  <c r="R281" i="2"/>
  <c r="S281" i="2"/>
  <c r="Q281" i="2"/>
  <c r="T281" i="2" s="1"/>
  <c r="Q181" i="2"/>
  <c r="T181" i="2" s="1"/>
  <c r="S181" i="2"/>
  <c r="R181" i="2"/>
  <c r="Q326" i="2"/>
  <c r="T326" i="2" s="1"/>
  <c r="R326" i="2"/>
  <c r="S326" i="2"/>
  <c r="Q135" i="2"/>
  <c r="T135" i="2" s="1"/>
  <c r="R135" i="2"/>
  <c r="S135" i="2"/>
  <c r="Q158" i="2"/>
  <c r="T158" i="2" s="1"/>
  <c r="R158" i="2"/>
  <c r="S158" i="2"/>
  <c r="R319" i="2"/>
  <c r="S319" i="2"/>
  <c r="Q319" i="2"/>
  <c r="T319" i="2" s="1"/>
  <c r="Q283" i="2"/>
  <c r="T283" i="2" s="1"/>
  <c r="S283" i="2"/>
  <c r="R283" i="2"/>
  <c r="R202" i="2"/>
  <c r="S202" i="2"/>
  <c r="Q202" i="2"/>
  <c r="T202" i="2" s="1"/>
  <c r="Q78" i="2"/>
  <c r="T78" i="2" s="1"/>
  <c r="R78" i="2"/>
  <c r="V78" i="2" s="1"/>
  <c r="S78" i="2"/>
  <c r="U78" i="2" s="1"/>
  <c r="S83" i="2"/>
  <c r="R83" i="2"/>
  <c r="Q83" i="2"/>
  <c r="T83" i="2" s="1"/>
  <c r="S117" i="2"/>
  <c r="Q117" i="2"/>
  <c r="T117" i="2" s="1"/>
  <c r="R117" i="2"/>
  <c r="R126" i="2"/>
  <c r="S126" i="2"/>
  <c r="Q126" i="2"/>
  <c r="T126" i="2" s="1"/>
  <c r="R277" i="2"/>
  <c r="Q277" i="2"/>
  <c r="T277" i="2" s="1"/>
  <c r="S277" i="2"/>
  <c r="Q201" i="2"/>
  <c r="T201" i="2" s="1"/>
  <c r="R201" i="2"/>
  <c r="S201" i="2"/>
  <c r="R169" i="2"/>
  <c r="Q169" i="2"/>
  <c r="T169" i="2" s="1"/>
  <c r="S169" i="2"/>
  <c r="V8" i="3"/>
  <c r="Q251" i="2"/>
  <c r="T251" i="2" s="1"/>
  <c r="R251" i="2"/>
  <c r="S251" i="2"/>
  <c r="S156" i="2"/>
  <c r="R156" i="2"/>
  <c r="Q156" i="2"/>
  <c r="T156" i="2" s="1"/>
  <c r="S192" i="2"/>
  <c r="Q192" i="2"/>
  <c r="T192" i="2" s="1"/>
  <c r="R192" i="2"/>
  <c r="R119" i="2"/>
  <c r="S119" i="2"/>
  <c r="Q119" i="2"/>
  <c r="T119" i="2" s="1"/>
  <c r="S75" i="2"/>
  <c r="Q75" i="2"/>
  <c r="T75" i="2" s="1"/>
  <c r="R75" i="2"/>
  <c r="Q93" i="2"/>
  <c r="T93" i="2" s="1"/>
  <c r="R93" i="2"/>
  <c r="S93" i="2"/>
  <c r="Q71" i="2"/>
  <c r="T71" i="2" s="1"/>
  <c r="S71" i="2"/>
  <c r="R71" i="2"/>
  <c r="R333" i="2"/>
  <c r="Q333" i="2"/>
  <c r="T333" i="2" s="1"/>
  <c r="S333" i="2"/>
  <c r="S291" i="2"/>
  <c r="U291" i="2" s="1"/>
  <c r="Q291" i="2"/>
  <c r="T291" i="2" s="1"/>
  <c r="R291" i="2"/>
  <c r="V291" i="2" s="1"/>
  <c r="Q147" i="2"/>
  <c r="T147" i="2" s="1"/>
  <c r="R147" i="2"/>
  <c r="S147" i="2"/>
  <c r="S133" i="2"/>
  <c r="Q133" i="2"/>
  <c r="T133" i="2" s="1"/>
  <c r="R133" i="2"/>
  <c r="Q256" i="2"/>
  <c r="T256" i="2" s="1"/>
  <c r="S256" i="2"/>
  <c r="U256" i="2" s="1"/>
  <c r="R256" i="2"/>
  <c r="V256" i="2" s="1"/>
  <c r="S321" i="2"/>
  <c r="R321" i="2"/>
  <c r="Q321" i="2"/>
  <c r="T321" i="2" s="1"/>
  <c r="S330" i="2"/>
  <c r="U330" i="2" s="1"/>
  <c r="Q330" i="2"/>
  <c r="T330" i="2" s="1"/>
  <c r="R330" i="2"/>
  <c r="V330" i="2" s="1"/>
  <c r="S101" i="2"/>
  <c r="R101" i="2"/>
  <c r="Q101" i="2"/>
  <c r="T101" i="2" s="1"/>
  <c r="R57" i="2"/>
  <c r="V57" i="2" s="1"/>
  <c r="S57" i="2"/>
  <c r="U57" i="2" s="1"/>
  <c r="Q57" i="2"/>
  <c r="T57" i="2" s="1"/>
  <c r="R33" i="2"/>
  <c r="S33" i="2"/>
  <c r="V33" i="2" s="1"/>
  <c r="Q33" i="2"/>
  <c r="T33" i="2" s="1"/>
  <c r="R7" i="2"/>
  <c r="Q7" i="2"/>
  <c r="T7" i="2" s="1"/>
  <c r="S7" i="2"/>
  <c r="S180" i="2"/>
  <c r="Q180" i="2"/>
  <c r="T180" i="2" s="1"/>
  <c r="R180" i="2"/>
  <c r="S137" i="2"/>
  <c r="U137" i="2" s="1"/>
  <c r="R137" i="2"/>
  <c r="V137" i="2" s="1"/>
  <c r="Q137" i="2"/>
  <c r="T137" i="2" s="1"/>
  <c r="Q187" i="2"/>
  <c r="T187" i="2" s="1"/>
  <c r="S187" i="2"/>
  <c r="R187" i="2"/>
  <c r="R325" i="2"/>
  <c r="S325" i="2"/>
  <c r="Q325" i="2"/>
  <c r="T325" i="2" s="1"/>
  <c r="Q51" i="2"/>
  <c r="T51" i="2" s="1"/>
  <c r="R51" i="2"/>
  <c r="V51" i="2" s="1"/>
  <c r="S51" i="2"/>
  <c r="U51" i="2" s="1"/>
  <c r="Q164" i="2"/>
  <c r="T164" i="2" s="1"/>
  <c r="R164" i="2"/>
  <c r="S164" i="2"/>
  <c r="Q331" i="2"/>
  <c r="T331" i="2" s="1"/>
  <c r="S331" i="2"/>
  <c r="R331" i="2"/>
  <c r="S81" i="2"/>
  <c r="U81" i="2" s="1"/>
  <c r="Q81" i="2"/>
  <c r="T81" i="2" s="1"/>
  <c r="R81" i="2"/>
  <c r="V81" i="2" s="1"/>
  <c r="S91" i="2"/>
  <c r="R91" i="2"/>
  <c r="Q91" i="2"/>
  <c r="T91" i="2" s="1"/>
  <c r="R279" i="2"/>
  <c r="Q279" i="2"/>
  <c r="T279" i="2" s="1"/>
  <c r="S279" i="2"/>
  <c r="Q245" i="2"/>
  <c r="T245" i="2" s="1"/>
  <c r="R245" i="2"/>
  <c r="S245" i="2"/>
  <c r="R151" i="2"/>
  <c r="S151" i="2"/>
  <c r="Q151" i="2"/>
  <c r="T151" i="2" s="1"/>
  <c r="Q146" i="2"/>
  <c r="T146" i="2" s="1"/>
  <c r="S146" i="2"/>
  <c r="R146" i="2"/>
  <c r="Q97" i="2"/>
  <c r="T97" i="2" s="1"/>
  <c r="R97" i="2"/>
  <c r="S97" i="2"/>
  <c r="Q328" i="2"/>
  <c r="T328" i="2" s="1"/>
  <c r="R328" i="2"/>
  <c r="S328" i="2"/>
  <c r="Q209" i="2"/>
  <c r="T209" i="2" s="1"/>
  <c r="R209" i="2"/>
  <c r="S209" i="2"/>
  <c r="Q322" i="2"/>
  <c r="T322" i="2" s="1"/>
  <c r="R322" i="2"/>
  <c r="S322" i="2"/>
  <c r="R253" i="2"/>
  <c r="S253" i="2"/>
  <c r="Q253" i="2"/>
  <c r="T253" i="2" s="1"/>
  <c r="Q134" i="2"/>
  <c r="T134" i="2" s="1"/>
  <c r="R134" i="2"/>
  <c r="S134" i="2"/>
  <c r="R163" i="2"/>
  <c r="S163" i="2"/>
  <c r="Q163" i="2"/>
  <c r="T163" i="2" s="1"/>
  <c r="Q173" i="2"/>
  <c r="T173" i="2" s="1"/>
  <c r="R173" i="2"/>
  <c r="S173" i="2"/>
  <c r="Q99" i="2"/>
  <c r="T99" i="2" s="1"/>
  <c r="R99" i="2"/>
  <c r="S99" i="2"/>
  <c r="S68" i="2"/>
  <c r="R68" i="2"/>
  <c r="Q68" i="2"/>
  <c r="T68" i="2" s="1"/>
  <c r="R86" i="2"/>
  <c r="Q86" i="2"/>
  <c r="T86" i="2" s="1"/>
  <c r="S86" i="2"/>
  <c r="R63" i="2"/>
  <c r="V63" i="2" s="1"/>
  <c r="S63" i="2"/>
  <c r="U63" i="2" s="1"/>
  <c r="Q63" i="2"/>
  <c r="T63" i="2" s="1"/>
  <c r="G16" i="51"/>
  <c r="G36" i="51" s="1"/>
  <c r="C28" i="114"/>
  <c r="F36" i="72"/>
  <c r="D32" i="111"/>
  <c r="H25" i="74"/>
  <c r="I30" i="74"/>
  <c r="H31" i="74"/>
  <c r="I25" i="74"/>
  <c r="F31" i="74"/>
  <c r="F18" i="74"/>
  <c r="B11" i="63"/>
  <c r="I16" i="51"/>
  <c r="I36" i="51" s="1"/>
  <c r="H34" i="74"/>
  <c r="F11" i="74"/>
  <c r="F29" i="74"/>
  <c r="F30" i="74"/>
  <c r="I18" i="74"/>
  <c r="I31" i="74"/>
  <c r="I11" i="74"/>
  <c r="I29" i="74"/>
  <c r="H30" i="74"/>
  <c r="H29" i="74"/>
  <c r="H11" i="74"/>
  <c r="F25" i="74"/>
  <c r="P14" i="72"/>
  <c r="I14" i="72" s="1"/>
  <c r="I21" i="72" s="1"/>
  <c r="I28" i="72" s="1"/>
  <c r="I30" i="72" s="1"/>
  <c r="I11" i="63"/>
  <c r="J436" i="83"/>
  <c r="C11" i="63"/>
  <c r="H11" i="63"/>
  <c r="G11" i="63"/>
  <c r="E11" i="63"/>
  <c r="D11" i="63"/>
  <c r="F11" i="63"/>
  <c r="E52" i="37"/>
  <c r="D52" i="37"/>
  <c r="O356" i="106"/>
  <c r="AB6" i="106" s="1"/>
  <c r="P5" i="84"/>
  <c r="K227" i="84"/>
  <c r="B7" i="88" s="1"/>
  <c r="O422" i="3"/>
  <c r="C28" i="15"/>
  <c r="S5" i="2"/>
  <c r="Q5" i="2"/>
  <c r="E41" i="69"/>
  <c r="H41" i="69"/>
  <c r="I41" i="69"/>
  <c r="F41" i="69"/>
  <c r="G41" i="69"/>
  <c r="C41" i="69"/>
  <c r="D41" i="69"/>
  <c r="J35" i="51"/>
  <c r="C16" i="52"/>
  <c r="D16" i="52"/>
  <c r="E16" i="52"/>
  <c r="D37" i="74"/>
  <c r="E17" i="52" s="1"/>
  <c r="D38" i="74"/>
  <c r="E18" i="52" s="1"/>
  <c r="B37" i="74"/>
  <c r="C17" i="52" s="1"/>
  <c r="B38" i="74"/>
  <c r="C18" i="52" s="1"/>
  <c r="C38" i="74"/>
  <c r="D18" i="52" s="1"/>
  <c r="C37" i="74"/>
  <c r="D17" i="52" s="1"/>
  <c r="J25" i="51"/>
  <c r="J29" i="51" s="1"/>
  <c r="F20" i="62"/>
  <c r="I20" i="62"/>
  <c r="J18" i="50"/>
  <c r="G49" i="78"/>
  <c r="H27" i="51"/>
  <c r="H29" i="51" s="1"/>
  <c r="H51" i="59"/>
  <c r="I14" i="51"/>
  <c r="J20" i="62"/>
  <c r="J11" i="63"/>
  <c r="D20" i="62"/>
  <c r="I16" i="80"/>
  <c r="I7" i="81" s="1"/>
  <c r="B13" i="7"/>
  <c r="C26" i="7"/>
  <c r="D22" i="113" s="1"/>
  <c r="B16" i="80"/>
  <c r="B7" i="81" s="1"/>
  <c r="V4" i="101"/>
  <c r="D48" i="111" s="1"/>
  <c r="Q279" i="101"/>
  <c r="W4" i="101"/>
  <c r="E48" i="111" s="1"/>
  <c r="R279" i="101"/>
  <c r="E26" i="62"/>
  <c r="Q4" i="102"/>
  <c r="S3" i="107"/>
  <c r="T3" i="107"/>
  <c r="U3" i="107"/>
  <c r="W3" i="106"/>
  <c r="Y3" i="106"/>
  <c r="N3" i="107"/>
  <c r="N3" i="108"/>
  <c r="O3" i="108" s="1"/>
  <c r="N3" i="98"/>
  <c r="N3" i="106"/>
  <c r="N3" i="105"/>
  <c r="N3" i="104"/>
  <c r="O4" i="101"/>
  <c r="O4" i="102"/>
  <c r="O4" i="99"/>
  <c r="O4" i="100"/>
  <c r="O4" i="89"/>
  <c r="O4" i="103"/>
  <c r="P4" i="103" s="1"/>
  <c r="F33" i="111"/>
  <c r="F38" i="80"/>
  <c r="R422" i="3"/>
  <c r="P422" i="3"/>
  <c r="S422" i="3"/>
  <c r="X13" i="3" s="1"/>
  <c r="E11" i="37" s="1"/>
  <c r="X8" i="3"/>
  <c r="E35" i="61" s="1"/>
  <c r="E37" i="61" s="1"/>
  <c r="E16" i="80"/>
  <c r="E7" i="81" s="1"/>
  <c r="N422" i="3"/>
  <c r="B4" i="88" s="1"/>
  <c r="D44" i="79"/>
  <c r="H15" i="80" s="1"/>
  <c r="H6" i="81" s="1"/>
  <c r="I18" i="50"/>
  <c r="G16" i="80"/>
  <c r="G7" i="81" s="1"/>
  <c r="C44" i="79"/>
  <c r="C14" i="80" s="1"/>
  <c r="H16" i="80"/>
  <c r="H7" i="81" s="1"/>
  <c r="C16" i="80"/>
  <c r="C7" i="81" s="1"/>
  <c r="G38" i="80"/>
  <c r="D16" i="80"/>
  <c r="D7" i="81" s="1"/>
  <c r="F32" i="111"/>
  <c r="W5" i="100"/>
  <c r="E52" i="110" s="1"/>
  <c r="V5" i="100"/>
  <c r="D52" i="110" s="1"/>
  <c r="C20" i="62"/>
  <c r="G21" i="111"/>
  <c r="B20" i="62"/>
  <c r="F7" i="81"/>
  <c r="E32" i="111"/>
  <c r="F26" i="62"/>
  <c r="E20" i="62"/>
  <c r="G20" i="62"/>
  <c r="H20" i="62"/>
  <c r="Q5" i="84"/>
  <c r="R5" i="84"/>
  <c r="O5" i="84"/>
  <c r="E33" i="111"/>
  <c r="G22" i="111"/>
  <c r="D33" i="111"/>
  <c r="H38" i="80"/>
  <c r="H26" i="62"/>
  <c r="L13" i="109"/>
  <c r="L13" i="112"/>
  <c r="L13" i="113"/>
  <c r="L13" i="111"/>
  <c r="L13" i="110"/>
  <c r="K5" i="83"/>
  <c r="L13" i="37"/>
  <c r="F9" i="51"/>
  <c r="E18" i="50"/>
  <c r="D34" i="51"/>
  <c r="D39" i="51"/>
  <c r="D18" i="50"/>
  <c r="D28" i="50" s="1"/>
  <c r="L15" i="20"/>
  <c r="G22" i="37"/>
  <c r="D38" i="80"/>
  <c r="E38" i="80"/>
  <c r="I38" i="80"/>
  <c r="C38" i="80"/>
  <c r="M348" i="2"/>
  <c r="B5" i="88" s="1"/>
  <c r="R5" i="2"/>
  <c r="B25" i="7"/>
  <c r="W8" i="3"/>
  <c r="D35" i="61" s="1"/>
  <c r="D37" i="61" s="1"/>
  <c r="Q422" i="3"/>
  <c r="F16" i="51"/>
  <c r="E34" i="74"/>
  <c r="E36" i="72"/>
  <c r="E11" i="74"/>
  <c r="E29" i="74"/>
  <c r="F26" i="50"/>
  <c r="F18" i="50"/>
  <c r="H7" i="80"/>
  <c r="H9" i="80" s="1"/>
  <c r="H40" i="78"/>
  <c r="I17" i="51" s="1"/>
  <c r="I37" i="51" s="1"/>
  <c r="E25" i="74"/>
  <c r="B38" i="80"/>
  <c r="I12" i="81"/>
  <c r="I49" i="78"/>
  <c r="E31" i="74"/>
  <c r="E18" i="74"/>
  <c r="F29" i="51"/>
  <c r="E49" i="78"/>
  <c r="E30" i="74"/>
  <c r="G36" i="59" l="1"/>
  <c r="G15" i="59"/>
  <c r="G41" i="56"/>
  <c r="H13" i="50"/>
  <c r="H4" i="51"/>
  <c r="H9" i="51" s="1"/>
  <c r="G4" i="51"/>
  <c r="G9" i="51" s="1"/>
  <c r="F41" i="56"/>
  <c r="G13" i="50"/>
  <c r="F36" i="59"/>
  <c r="F15" i="59"/>
  <c r="Y29" i="107"/>
  <c r="Y147" i="107"/>
  <c r="Y158" i="107"/>
  <c r="Y296" i="107"/>
  <c r="Y317" i="107"/>
  <c r="Y122" i="107"/>
  <c r="Y256" i="107"/>
  <c r="Y302" i="107"/>
  <c r="Y227" i="107"/>
  <c r="Y105" i="107"/>
  <c r="Y134" i="107"/>
  <c r="W175" i="107"/>
  <c r="W177" i="107"/>
  <c r="Y291" i="107"/>
  <c r="Y82" i="107"/>
  <c r="Y347" i="107"/>
  <c r="Y149" i="107"/>
  <c r="Y230" i="107"/>
  <c r="Y228" i="107"/>
  <c r="Y321" i="107"/>
  <c r="Y253" i="107"/>
  <c r="Y277" i="107"/>
  <c r="Y113" i="107"/>
  <c r="Y258" i="107"/>
  <c r="Y314" i="107"/>
  <c r="Y332" i="107"/>
  <c r="Y128" i="107"/>
  <c r="W24" i="107"/>
  <c r="W184" i="107"/>
  <c r="W23" i="107"/>
  <c r="Y303" i="107"/>
  <c r="W27" i="107"/>
  <c r="Y320" i="107"/>
  <c r="Y300" i="107"/>
  <c r="W178" i="106"/>
  <c r="Y315" i="107"/>
  <c r="W173" i="107"/>
  <c r="Y346" i="107"/>
  <c r="Y206" i="107"/>
  <c r="Y319" i="107"/>
  <c r="Y146" i="107"/>
  <c r="V238" i="2"/>
  <c r="W284" i="107"/>
  <c r="Y312" i="107"/>
  <c r="Y189" i="107"/>
  <c r="Y329" i="107"/>
  <c r="Y310" i="107"/>
  <c r="W32" i="107"/>
  <c r="Y286" i="107"/>
  <c r="Y196" i="107"/>
  <c r="W165" i="107"/>
  <c r="Y274" i="107"/>
  <c r="Y309" i="107"/>
  <c r="G38" i="74"/>
  <c r="H18" i="52" s="1"/>
  <c r="Y237" i="107"/>
  <c r="Y343" i="107"/>
  <c r="Y190" i="107"/>
  <c r="Y137" i="107"/>
  <c r="Y348" i="107"/>
  <c r="Y12" i="107"/>
  <c r="W179" i="107"/>
  <c r="Y36" i="106"/>
  <c r="Y112" i="107"/>
  <c r="Y341" i="107"/>
  <c r="W205" i="107"/>
  <c r="U66" i="84"/>
  <c r="Y297" i="107"/>
  <c r="Y157" i="107"/>
  <c r="Y272" i="107"/>
  <c r="Y340" i="107"/>
  <c r="Y28" i="107"/>
  <c r="Y40" i="107"/>
  <c r="Y330" i="107"/>
  <c r="G36" i="74"/>
  <c r="U12" i="84"/>
  <c r="W188" i="107"/>
  <c r="W18" i="107"/>
  <c r="Y252" i="107"/>
  <c r="Y197" i="107"/>
  <c r="Y61" i="107"/>
  <c r="Y143" i="107"/>
  <c r="Y311" i="107"/>
  <c r="Y124" i="107"/>
  <c r="Y144" i="106"/>
  <c r="Y172" i="107"/>
  <c r="U16" i="84"/>
  <c r="W167" i="107"/>
  <c r="W138" i="107"/>
  <c r="W316" i="107"/>
  <c r="Y118" i="107"/>
  <c r="W25" i="107"/>
  <c r="Y299" i="107"/>
  <c r="W6" i="107"/>
  <c r="Y349" i="107"/>
  <c r="Y203" i="107"/>
  <c r="Y257" i="107"/>
  <c r="U314" i="108"/>
  <c r="S314" i="108"/>
  <c r="W314" i="108" s="1"/>
  <c r="T314" i="108"/>
  <c r="S303" i="108"/>
  <c r="W303" i="108" s="1"/>
  <c r="T303" i="108"/>
  <c r="U303" i="108"/>
  <c r="S342" i="108"/>
  <c r="W342" i="108" s="1"/>
  <c r="T342" i="108"/>
  <c r="U342" i="108"/>
  <c r="S191" i="108"/>
  <c r="W191" i="108" s="1"/>
  <c r="T191" i="108"/>
  <c r="Y191" i="108" s="1"/>
  <c r="U191" i="108"/>
  <c r="X191" i="108" s="1"/>
  <c r="U6" i="108"/>
  <c r="T6" i="108"/>
  <c r="Y6" i="108" s="1"/>
  <c r="S6" i="108"/>
  <c r="S31" i="108"/>
  <c r="W31" i="108" s="1"/>
  <c r="T31" i="108"/>
  <c r="Y31" i="108" s="1"/>
  <c r="U31" i="108"/>
  <c r="X31" i="108" s="1"/>
  <c r="T40" i="108"/>
  <c r="S40" i="108"/>
  <c r="W40" i="108" s="1"/>
  <c r="U40" i="108"/>
  <c r="T277" i="108"/>
  <c r="S277" i="108"/>
  <c r="W277" i="108" s="1"/>
  <c r="U277" i="108"/>
  <c r="T347" i="108"/>
  <c r="S347" i="108"/>
  <c r="W347" i="108" s="1"/>
  <c r="U347" i="108"/>
  <c r="U118" i="108"/>
  <c r="S118" i="108"/>
  <c r="W118" i="108" s="1"/>
  <c r="T118" i="108"/>
  <c r="T273" i="108"/>
  <c r="S273" i="108"/>
  <c r="W273" i="108" s="1"/>
  <c r="U273" i="108"/>
  <c r="S266" i="108"/>
  <c r="U266" i="108"/>
  <c r="T266" i="108"/>
  <c r="T162" i="108"/>
  <c r="S162" i="108"/>
  <c r="W162" i="108" s="1"/>
  <c r="U162" i="108"/>
  <c r="S135" i="108"/>
  <c r="W135" i="108" s="1"/>
  <c r="T135" i="108"/>
  <c r="U135" i="108"/>
  <c r="U32" i="108"/>
  <c r="T32" i="108"/>
  <c r="Y32" i="108" s="1"/>
  <c r="S32" i="108"/>
  <c r="U20" i="108"/>
  <c r="X20" i="108" s="1"/>
  <c r="S20" i="108"/>
  <c r="W20" i="108" s="1"/>
  <c r="T20" i="108"/>
  <c r="Y20" i="108" s="1"/>
  <c r="S41" i="107"/>
  <c r="T41" i="107"/>
  <c r="U41" i="107"/>
  <c r="S178" i="107"/>
  <c r="T178" i="107"/>
  <c r="Y178" i="107" s="1"/>
  <c r="U178" i="107"/>
  <c r="T302" i="108"/>
  <c r="U302" i="108"/>
  <c r="S302" i="108"/>
  <c r="W302" i="108" s="1"/>
  <c r="S200" i="108"/>
  <c r="T200" i="108"/>
  <c r="U200" i="108"/>
  <c r="S196" i="108"/>
  <c r="W196" i="108" s="1"/>
  <c r="U196" i="108"/>
  <c r="T196" i="108"/>
  <c r="Y196" i="108" s="1"/>
  <c r="U349" i="108"/>
  <c r="S349" i="108"/>
  <c r="W349" i="108" s="1"/>
  <c r="T349" i="108"/>
  <c r="T242" i="108"/>
  <c r="S242" i="108"/>
  <c r="W242" i="108" s="1"/>
  <c r="U242" i="108"/>
  <c r="T69" i="108"/>
  <c r="S69" i="108"/>
  <c r="U69" i="108"/>
  <c r="T317" i="108"/>
  <c r="S317" i="108"/>
  <c r="W317" i="108" s="1"/>
  <c r="U317" i="108"/>
  <c r="U100" i="108"/>
  <c r="X100" i="108" s="1"/>
  <c r="S100" i="108"/>
  <c r="W100" i="108" s="1"/>
  <c r="T100" i="108"/>
  <c r="Y100" i="108" s="1"/>
  <c r="S265" i="108"/>
  <c r="T265" i="108"/>
  <c r="U265" i="108"/>
  <c r="T315" i="108"/>
  <c r="S315" i="108"/>
  <c r="W315" i="108" s="1"/>
  <c r="U315" i="108"/>
  <c r="T343" i="108"/>
  <c r="S343" i="108"/>
  <c r="W343" i="108" s="1"/>
  <c r="U343" i="108"/>
  <c r="U264" i="108"/>
  <c r="T264" i="108"/>
  <c r="S264" i="108"/>
  <c r="T120" i="108"/>
  <c r="S120" i="108"/>
  <c r="U120" i="108"/>
  <c r="S194" i="108"/>
  <c r="W194" i="108" s="1"/>
  <c r="T194" i="108"/>
  <c r="Y194" i="108" s="1"/>
  <c r="U194" i="108"/>
  <c r="X194" i="108" s="1"/>
  <c r="U205" i="108"/>
  <c r="T205" i="108"/>
  <c r="Y205" i="108" s="1"/>
  <c r="S205" i="108"/>
  <c r="S154" i="108"/>
  <c r="T154" i="108"/>
  <c r="Y154" i="108" s="1"/>
  <c r="U154" i="108"/>
  <c r="T241" i="108"/>
  <c r="U241" i="108"/>
  <c r="S241" i="108"/>
  <c r="W241" i="108" s="1"/>
  <c r="U152" i="108"/>
  <c r="X152" i="108" s="1"/>
  <c r="S152" i="108"/>
  <c r="W152" i="108" s="1"/>
  <c r="T152" i="108"/>
  <c r="Y152" i="108" s="1"/>
  <c r="S203" i="108"/>
  <c r="W203" i="108" s="1"/>
  <c r="T203" i="108"/>
  <c r="U203" i="108"/>
  <c r="S119" i="108"/>
  <c r="W119" i="108" s="1"/>
  <c r="U119" i="108"/>
  <c r="T119" i="108"/>
  <c r="S107" i="108"/>
  <c r="T107" i="108"/>
  <c r="U107" i="108"/>
  <c r="S128" i="108"/>
  <c r="W128" i="108" s="1"/>
  <c r="T128" i="108"/>
  <c r="U128" i="108"/>
  <c r="T66" i="108"/>
  <c r="U66" i="108"/>
  <c r="S66" i="108"/>
  <c r="S34" i="108"/>
  <c r="W34" i="108" s="1"/>
  <c r="U34" i="108"/>
  <c r="X34" i="108" s="1"/>
  <c r="T34" i="108"/>
  <c r="Y34" i="108" s="1"/>
  <c r="T17" i="108"/>
  <c r="Y17" i="108" s="1"/>
  <c r="S17" i="108"/>
  <c r="W17" i="108" s="1"/>
  <c r="U17" i="108"/>
  <c r="X17" i="108" s="1"/>
  <c r="T13" i="108"/>
  <c r="S13" i="108"/>
  <c r="U13" i="108"/>
  <c r="U75" i="108"/>
  <c r="T75" i="108"/>
  <c r="S75" i="108"/>
  <c r="W75" i="108" s="1"/>
  <c r="S25" i="108"/>
  <c r="T25" i="108"/>
  <c r="Y25" i="108" s="1"/>
  <c r="U25" i="108"/>
  <c r="U39" i="107"/>
  <c r="S39" i="107"/>
  <c r="T39" i="107"/>
  <c r="Y39" i="107" s="1"/>
  <c r="S275" i="108"/>
  <c r="T275" i="108"/>
  <c r="U275" i="108"/>
  <c r="U251" i="108"/>
  <c r="X251" i="108" s="1"/>
  <c r="S251" i="108"/>
  <c r="W251" i="108" s="1"/>
  <c r="T251" i="108"/>
  <c r="Y251" i="108" s="1"/>
  <c r="T258" i="108"/>
  <c r="S258" i="108"/>
  <c r="W258" i="108" s="1"/>
  <c r="U258" i="108"/>
  <c r="U291" i="108"/>
  <c r="T291" i="108"/>
  <c r="S291" i="108"/>
  <c r="W291" i="108" s="1"/>
  <c r="S175" i="108"/>
  <c r="T175" i="108"/>
  <c r="Y175" i="108" s="1"/>
  <c r="U175" i="108"/>
  <c r="T176" i="108"/>
  <c r="Y176" i="108" s="1"/>
  <c r="S176" i="108"/>
  <c r="W176" i="108" s="1"/>
  <c r="U176" i="108"/>
  <c r="V176" i="108"/>
  <c r="S140" i="108"/>
  <c r="W140" i="108" s="1"/>
  <c r="T140" i="108"/>
  <c r="U140" i="108"/>
  <c r="U91" i="108"/>
  <c r="X91" i="108" s="1"/>
  <c r="S91" i="108"/>
  <c r="W91" i="108" s="1"/>
  <c r="T91" i="108"/>
  <c r="Y91" i="108" s="1"/>
  <c r="T72" i="108"/>
  <c r="Y72" i="108" s="1"/>
  <c r="S72" i="108"/>
  <c r="W72" i="108" s="1"/>
  <c r="U72" i="108"/>
  <c r="V72" i="108"/>
  <c r="S24" i="108"/>
  <c r="T24" i="108"/>
  <c r="Y24" i="108" s="1"/>
  <c r="U24" i="108"/>
  <c r="U27" i="108"/>
  <c r="S27" i="108"/>
  <c r="T27" i="108"/>
  <c r="Y27" i="108" s="1"/>
  <c r="T89" i="108"/>
  <c r="S89" i="108"/>
  <c r="U89" i="108"/>
  <c r="S341" i="108"/>
  <c r="W341" i="108" s="1"/>
  <c r="T341" i="108"/>
  <c r="U341" i="108"/>
  <c r="T158" i="108"/>
  <c r="S158" i="108"/>
  <c r="W158" i="108" s="1"/>
  <c r="U158" i="108"/>
  <c r="S138" i="108"/>
  <c r="T138" i="108"/>
  <c r="Y138" i="108" s="1"/>
  <c r="U138" i="108"/>
  <c r="S225" i="108"/>
  <c r="W225" i="108" s="1"/>
  <c r="T225" i="108"/>
  <c r="U225" i="108"/>
  <c r="V93" i="108"/>
  <c r="T93" i="108"/>
  <c r="Y93" i="108" s="1"/>
  <c r="S93" i="108"/>
  <c r="W93" i="108" s="1"/>
  <c r="U93" i="108"/>
  <c r="U198" i="108"/>
  <c r="T198" i="108"/>
  <c r="S198" i="108"/>
  <c r="W198" i="108" s="1"/>
  <c r="S110" i="108"/>
  <c r="U110" i="108"/>
  <c r="T110" i="108"/>
  <c r="S131" i="108"/>
  <c r="W131" i="108" s="1"/>
  <c r="T131" i="108"/>
  <c r="U131" i="108"/>
  <c r="S5" i="108"/>
  <c r="W5" i="108" s="1"/>
  <c r="T5" i="108"/>
  <c r="Y5" i="108" s="1"/>
  <c r="U5" i="108"/>
  <c r="X5" i="108" s="1"/>
  <c r="V11" i="108"/>
  <c r="T11" i="108"/>
  <c r="Y11" i="108" s="1"/>
  <c r="S11" i="108"/>
  <c r="W11" i="108" s="1"/>
  <c r="U11" i="108"/>
  <c r="T71" i="108"/>
  <c r="S71" i="108"/>
  <c r="U71" i="108"/>
  <c r="U295" i="108"/>
  <c r="T295" i="108"/>
  <c r="S295" i="108"/>
  <c r="W295" i="108" s="1"/>
  <c r="S23" i="108"/>
  <c r="T23" i="108"/>
  <c r="Y23" i="108" s="1"/>
  <c r="U23" i="108"/>
  <c r="T83" i="108"/>
  <c r="S83" i="108"/>
  <c r="U83" i="108"/>
  <c r="T331" i="108"/>
  <c r="S331" i="108"/>
  <c r="W331" i="108" s="1"/>
  <c r="U331" i="108"/>
  <c r="S202" i="108"/>
  <c r="W202" i="108" s="1"/>
  <c r="T202" i="108"/>
  <c r="Y202" i="108" s="1"/>
  <c r="U202" i="108"/>
  <c r="X202" i="108" s="1"/>
  <c r="U237" i="108"/>
  <c r="S237" i="108"/>
  <c r="W237" i="108" s="1"/>
  <c r="T237" i="108"/>
  <c r="U112" i="108"/>
  <c r="T112" i="108"/>
  <c r="S112" i="108"/>
  <c r="W112" i="108" s="1"/>
  <c r="T80" i="108"/>
  <c r="S80" i="108"/>
  <c r="W80" i="108" s="1"/>
  <c r="U80" i="108"/>
  <c r="S197" i="108"/>
  <c r="W197" i="108" s="1"/>
  <c r="T197" i="108"/>
  <c r="U197" i="108"/>
  <c r="T64" i="108"/>
  <c r="S64" i="108"/>
  <c r="U64" i="108"/>
  <c r="T121" i="108"/>
  <c r="U121" i="108"/>
  <c r="S121" i="108"/>
  <c r="T88" i="108"/>
  <c r="Y88" i="108" s="1"/>
  <c r="S88" i="108"/>
  <c r="U88" i="108"/>
  <c r="T293" i="107"/>
  <c r="Y293" i="107" s="1"/>
  <c r="S293" i="107"/>
  <c r="W293" i="107" s="1"/>
  <c r="U293" i="107"/>
  <c r="V293" i="107"/>
  <c r="T181" i="108"/>
  <c r="U181" i="108"/>
  <c r="S181" i="108"/>
  <c r="T274" i="108"/>
  <c r="S274" i="108"/>
  <c r="W274" i="108" s="1"/>
  <c r="U274" i="108"/>
  <c r="T322" i="108"/>
  <c r="S322" i="108"/>
  <c r="W322" i="108" s="1"/>
  <c r="U322" i="108"/>
  <c r="S286" i="108"/>
  <c r="W286" i="108" s="1"/>
  <c r="T286" i="108"/>
  <c r="U286" i="108"/>
  <c r="T153" i="108"/>
  <c r="Y153" i="108" s="1"/>
  <c r="S153" i="108"/>
  <c r="W153" i="108" s="1"/>
  <c r="U153" i="108"/>
  <c r="X153" i="108" s="1"/>
  <c r="U229" i="108"/>
  <c r="X229" i="108" s="1"/>
  <c r="T229" i="108"/>
  <c r="Y229" i="108" s="1"/>
  <c r="S229" i="108"/>
  <c r="W229" i="108" s="1"/>
  <c r="S285" i="108"/>
  <c r="W285" i="108" s="1"/>
  <c r="T285" i="108"/>
  <c r="U285" i="108"/>
  <c r="S190" i="108"/>
  <c r="W190" i="108" s="1"/>
  <c r="U190" i="108"/>
  <c r="T190" i="108"/>
  <c r="U105" i="108"/>
  <c r="S105" i="108"/>
  <c r="W105" i="108" s="1"/>
  <c r="T105" i="108"/>
  <c r="S76" i="108"/>
  <c r="T76" i="108"/>
  <c r="U76" i="108"/>
  <c r="S30" i="108"/>
  <c r="W30" i="108" s="1"/>
  <c r="T30" i="108"/>
  <c r="U30" i="108"/>
  <c r="U261" i="108"/>
  <c r="X261" i="108" s="1"/>
  <c r="S261" i="108"/>
  <c r="W261" i="108" s="1"/>
  <c r="T261" i="108"/>
  <c r="Y261" i="108" s="1"/>
  <c r="U43" i="108"/>
  <c r="S43" i="108"/>
  <c r="T43" i="108"/>
  <c r="T311" i="108"/>
  <c r="S311" i="108"/>
  <c r="W311" i="108" s="1"/>
  <c r="U311" i="108"/>
  <c r="S282" i="108"/>
  <c r="W282" i="108" s="1"/>
  <c r="T282" i="108"/>
  <c r="Y282" i="108" s="1"/>
  <c r="U282" i="108"/>
  <c r="X282" i="108" s="1"/>
  <c r="S84" i="108"/>
  <c r="U84" i="108"/>
  <c r="T84" i="108"/>
  <c r="S102" i="108"/>
  <c r="W102" i="108" s="1"/>
  <c r="T102" i="108"/>
  <c r="Y102" i="108" s="1"/>
  <c r="U102" i="108"/>
  <c r="X102" i="108" s="1"/>
  <c r="S316" i="108"/>
  <c r="T316" i="108"/>
  <c r="Y316" i="108" s="1"/>
  <c r="U316" i="108"/>
  <c r="S193" i="108"/>
  <c r="W193" i="108" s="1"/>
  <c r="U193" i="108"/>
  <c r="T193" i="108"/>
  <c r="S312" i="108"/>
  <c r="W312" i="108" s="1"/>
  <c r="T312" i="108"/>
  <c r="U312" i="108"/>
  <c r="U160" i="108"/>
  <c r="X160" i="108" s="1"/>
  <c r="T160" i="108"/>
  <c r="Y160" i="108" s="1"/>
  <c r="S160" i="108"/>
  <c r="W160" i="108" s="1"/>
  <c r="S188" i="108"/>
  <c r="T188" i="108"/>
  <c r="Y188" i="108" s="1"/>
  <c r="U188" i="108"/>
  <c r="S130" i="108"/>
  <c r="W130" i="108" s="1"/>
  <c r="T130" i="108"/>
  <c r="Y130" i="108" s="1"/>
  <c r="U130" i="108"/>
  <c r="X130" i="108" s="1"/>
  <c r="S183" i="108"/>
  <c r="W183" i="108" s="1"/>
  <c r="T183" i="108"/>
  <c r="Y183" i="108" s="1"/>
  <c r="U183" i="108"/>
  <c r="V183" i="108"/>
  <c r="S70" i="108"/>
  <c r="T70" i="108"/>
  <c r="U70" i="108"/>
  <c r="U164" i="108"/>
  <c r="X164" i="108" s="1"/>
  <c r="T164" i="108"/>
  <c r="Y164" i="108" s="1"/>
  <c r="S164" i="108"/>
  <c r="W164" i="108" s="1"/>
  <c r="S68" i="108"/>
  <c r="W68" i="108" s="1"/>
  <c r="T68" i="108"/>
  <c r="U68" i="108"/>
  <c r="T116" i="108"/>
  <c r="S116" i="108"/>
  <c r="W116" i="108" s="1"/>
  <c r="U116" i="108"/>
  <c r="S101" i="108"/>
  <c r="W101" i="108" s="1"/>
  <c r="T101" i="108"/>
  <c r="Y101" i="108" s="1"/>
  <c r="U101" i="108"/>
  <c r="X101" i="108" s="1"/>
  <c r="S33" i="108"/>
  <c r="W33" i="108" s="1"/>
  <c r="T33" i="108"/>
  <c r="Y33" i="108" s="1"/>
  <c r="U33" i="108"/>
  <c r="X33" i="108" s="1"/>
  <c r="U67" i="108"/>
  <c r="T67" i="108"/>
  <c r="S67" i="108"/>
  <c r="S9" i="108"/>
  <c r="W9" i="108" s="1"/>
  <c r="T9" i="108"/>
  <c r="Y9" i="108" s="1"/>
  <c r="U9" i="108"/>
  <c r="X9" i="108" s="1"/>
  <c r="U113" i="108"/>
  <c r="T113" i="108"/>
  <c r="S113" i="108"/>
  <c r="W113" i="108" s="1"/>
  <c r="S29" i="108"/>
  <c r="W29" i="108" s="1"/>
  <c r="T29" i="108"/>
  <c r="U29" i="108"/>
  <c r="T320" i="108"/>
  <c r="S320" i="108"/>
  <c r="W320" i="108" s="1"/>
  <c r="U320" i="108"/>
  <c r="T97" i="108"/>
  <c r="Y97" i="108" s="1"/>
  <c r="S97" i="108"/>
  <c r="W97" i="108" s="1"/>
  <c r="U97" i="108"/>
  <c r="X97" i="108" s="1"/>
  <c r="T166" i="108"/>
  <c r="S166" i="108"/>
  <c r="W166" i="108" s="1"/>
  <c r="U166" i="108"/>
  <c r="S132" i="108"/>
  <c r="W132" i="108" s="1"/>
  <c r="T132" i="108"/>
  <c r="U132" i="108"/>
  <c r="S94" i="108"/>
  <c r="U94" i="108"/>
  <c r="T94" i="108"/>
  <c r="S123" i="108"/>
  <c r="W123" i="108" s="1"/>
  <c r="T123" i="108"/>
  <c r="Y123" i="108" s="1"/>
  <c r="U123" i="108"/>
  <c r="X123" i="108" s="1"/>
  <c r="S85" i="108"/>
  <c r="T85" i="108"/>
  <c r="U85" i="108"/>
  <c r="S28" i="108"/>
  <c r="W28" i="108" s="1"/>
  <c r="T28" i="108"/>
  <c r="U28" i="108"/>
  <c r="T299" i="108"/>
  <c r="S299" i="108"/>
  <c r="W299" i="108" s="1"/>
  <c r="U299" i="108"/>
  <c r="T300" i="108"/>
  <c r="S300" i="108"/>
  <c r="W300" i="108" s="1"/>
  <c r="U300" i="108"/>
  <c r="T313" i="108"/>
  <c r="Y313" i="108" s="1"/>
  <c r="S313" i="108"/>
  <c r="W313" i="108" s="1"/>
  <c r="U313" i="108"/>
  <c r="X313" i="108" s="1"/>
  <c r="S189" i="108"/>
  <c r="W189" i="108" s="1"/>
  <c r="T189" i="108"/>
  <c r="U189" i="108"/>
  <c r="T161" i="108"/>
  <c r="Y161" i="108" s="1"/>
  <c r="S161" i="108"/>
  <c r="W161" i="108" s="1"/>
  <c r="U161" i="108"/>
  <c r="X161" i="108" s="1"/>
  <c r="U148" i="108"/>
  <c r="S148" i="108"/>
  <c r="W148" i="108" s="1"/>
  <c r="T148" i="108"/>
  <c r="S108" i="108"/>
  <c r="T108" i="108"/>
  <c r="U108" i="108"/>
  <c r="T92" i="108"/>
  <c r="S92" i="108"/>
  <c r="W92" i="108" s="1"/>
  <c r="U92" i="108"/>
  <c r="S73" i="108"/>
  <c r="T73" i="108"/>
  <c r="U73" i="108"/>
  <c r="S63" i="108"/>
  <c r="T63" i="108"/>
  <c r="U63" i="108"/>
  <c r="U77" i="108"/>
  <c r="T77" i="108"/>
  <c r="S77" i="108"/>
  <c r="G30" i="7"/>
  <c r="D26" i="7" s="1"/>
  <c r="E22" i="113" s="1"/>
  <c r="N38" i="108"/>
  <c r="O38" i="108" s="1"/>
  <c r="N39" i="108"/>
  <c r="O39" i="108" s="1"/>
  <c r="N36" i="108"/>
  <c r="O36" i="108" s="1"/>
  <c r="N37" i="108"/>
  <c r="O37" i="108" s="1"/>
  <c r="N35" i="108"/>
  <c r="O35" i="108" s="1"/>
  <c r="N178" i="108"/>
  <c r="O178" i="108" s="1"/>
  <c r="N170" i="108"/>
  <c r="O170" i="108" s="1"/>
  <c r="N294" i="108"/>
  <c r="O294" i="108" s="1"/>
  <c r="N41" i="108"/>
  <c r="O41" i="108" s="1"/>
  <c r="N144" i="108"/>
  <c r="O144" i="108" s="1"/>
  <c r="N293" i="108"/>
  <c r="O293" i="108" s="1"/>
  <c r="N37" i="107"/>
  <c r="N38" i="107"/>
  <c r="N35" i="107"/>
  <c r="N36" i="107"/>
  <c r="N294" i="107"/>
  <c r="N39" i="107"/>
  <c r="N41" i="107"/>
  <c r="N170" i="107"/>
  <c r="N293" i="107"/>
  <c r="N41" i="106"/>
  <c r="N41" i="105"/>
  <c r="N170" i="106"/>
  <c r="N178" i="106"/>
  <c r="N294" i="106"/>
  <c r="N38" i="105"/>
  <c r="N36" i="106"/>
  <c r="N35" i="106"/>
  <c r="N178" i="105"/>
  <c r="N293" i="105"/>
  <c r="N144" i="106"/>
  <c r="N144" i="105"/>
  <c r="N294" i="105"/>
  <c r="N38" i="106"/>
  <c r="N293" i="106"/>
  <c r="N144" i="107"/>
  <c r="N37" i="106"/>
  <c r="N39" i="106"/>
  <c r="N35" i="105"/>
  <c r="N36" i="105"/>
  <c r="N170" i="105"/>
  <c r="N35" i="104"/>
  <c r="N39" i="104"/>
  <c r="N36" i="104"/>
  <c r="N178" i="107"/>
  <c r="N37" i="105"/>
  <c r="N39" i="105"/>
  <c r="N37" i="104"/>
  <c r="N38" i="104"/>
  <c r="N170" i="104"/>
  <c r="N293" i="104"/>
  <c r="N36" i="98"/>
  <c r="N41" i="98"/>
  <c r="N294" i="98"/>
  <c r="N294" i="104"/>
  <c r="N35" i="98"/>
  <c r="N41" i="104"/>
  <c r="N37" i="98"/>
  <c r="N144" i="98"/>
  <c r="N144" i="104"/>
  <c r="N170" i="98"/>
  <c r="N178" i="98"/>
  <c r="N293" i="98"/>
  <c r="N178" i="104"/>
  <c r="N38" i="98"/>
  <c r="N39" i="98"/>
  <c r="S187" i="108"/>
  <c r="T187" i="108"/>
  <c r="Y187" i="108" s="1"/>
  <c r="U187" i="108"/>
  <c r="U330" i="108"/>
  <c r="S330" i="108"/>
  <c r="W330" i="108" s="1"/>
  <c r="T330" i="108"/>
  <c r="T329" i="108"/>
  <c r="S329" i="108"/>
  <c r="W329" i="108" s="1"/>
  <c r="U329" i="108"/>
  <c r="T192" i="108"/>
  <c r="S192" i="108"/>
  <c r="W192" i="108" s="1"/>
  <c r="U192" i="108"/>
  <c r="T179" i="108"/>
  <c r="Y179" i="108" s="1"/>
  <c r="S179" i="108"/>
  <c r="U179" i="108"/>
  <c r="S115" i="108"/>
  <c r="W115" i="108" s="1"/>
  <c r="T115" i="108"/>
  <c r="U115" i="108"/>
  <c r="U12" i="108"/>
  <c r="S12" i="108"/>
  <c r="W12" i="108" s="1"/>
  <c r="T12" i="108"/>
  <c r="S122" i="108"/>
  <c r="W122" i="108" s="1"/>
  <c r="T122" i="108"/>
  <c r="U122" i="108"/>
  <c r="T309" i="108"/>
  <c r="S309" i="108"/>
  <c r="W309" i="108" s="1"/>
  <c r="U309" i="108"/>
  <c r="S281" i="108"/>
  <c r="W281" i="108" s="1"/>
  <c r="T281" i="108"/>
  <c r="Y281" i="108" s="1"/>
  <c r="U281" i="108"/>
  <c r="X281" i="108" s="1"/>
  <c r="U177" i="108"/>
  <c r="S177" i="108"/>
  <c r="T177" i="108"/>
  <c r="Y177" i="108" s="1"/>
  <c r="T171" i="108"/>
  <c r="U171" i="108"/>
  <c r="S171" i="108"/>
  <c r="U267" i="108"/>
  <c r="T267" i="108"/>
  <c r="S267" i="108"/>
  <c r="U184" i="108"/>
  <c r="T184" i="108"/>
  <c r="Y184" i="108" s="1"/>
  <c r="S184" i="108"/>
  <c r="S36" i="107"/>
  <c r="W36" i="107" s="1"/>
  <c r="T36" i="107"/>
  <c r="U36" i="107"/>
  <c r="T146" i="108"/>
  <c r="S146" i="108"/>
  <c r="W146" i="108" s="1"/>
  <c r="U146" i="108"/>
  <c r="U346" i="108"/>
  <c r="T346" i="108"/>
  <c r="S346" i="108"/>
  <c r="W346" i="108" s="1"/>
  <c r="S145" i="108"/>
  <c r="W145" i="108" s="1"/>
  <c r="T145" i="108"/>
  <c r="Y145" i="108" s="1"/>
  <c r="U145" i="108"/>
  <c r="X145" i="108" s="1"/>
  <c r="S114" i="108"/>
  <c r="W114" i="108" s="1"/>
  <c r="T114" i="108"/>
  <c r="U114" i="108"/>
  <c r="S79" i="108"/>
  <c r="W79" i="108" s="1"/>
  <c r="U79" i="108"/>
  <c r="T79" i="108"/>
  <c r="Y325" i="107"/>
  <c r="S81" i="108"/>
  <c r="W81" i="108" s="1"/>
  <c r="T81" i="108"/>
  <c r="U81" i="108"/>
  <c r="Y116" i="107"/>
  <c r="Y342" i="107"/>
  <c r="T124" i="108"/>
  <c r="S124" i="108"/>
  <c r="W124" i="108" s="1"/>
  <c r="U124" i="108"/>
  <c r="Y111" i="107"/>
  <c r="Y193" i="107"/>
  <c r="S127" i="108"/>
  <c r="W127" i="108" s="1"/>
  <c r="U127" i="108"/>
  <c r="X127" i="108" s="1"/>
  <c r="T127" i="108"/>
  <c r="Y127" i="108" s="1"/>
  <c r="W344" i="107"/>
  <c r="U141" i="108"/>
  <c r="S141" i="108"/>
  <c r="W141" i="108" s="1"/>
  <c r="T141" i="108"/>
  <c r="T126" i="108"/>
  <c r="Y126" i="108" s="1"/>
  <c r="S126" i="108"/>
  <c r="W126" i="108" s="1"/>
  <c r="U126" i="108"/>
  <c r="V126" i="108"/>
  <c r="T239" i="108"/>
  <c r="Y239" i="108" s="1"/>
  <c r="S239" i="108"/>
  <c r="W239" i="108" s="1"/>
  <c r="U239" i="108"/>
  <c r="X239" i="108" s="1"/>
  <c r="T278" i="108"/>
  <c r="S278" i="108"/>
  <c r="U278" i="108"/>
  <c r="U259" i="108"/>
  <c r="X259" i="108" s="1"/>
  <c r="S259" i="108"/>
  <c r="W259" i="108" s="1"/>
  <c r="T259" i="108"/>
  <c r="Y259" i="108" s="1"/>
  <c r="T332" i="108"/>
  <c r="S332" i="108"/>
  <c r="W332" i="108" s="1"/>
  <c r="U332" i="108"/>
  <c r="Y242" i="107"/>
  <c r="Y75" i="107"/>
  <c r="T133" i="108"/>
  <c r="S133" i="108"/>
  <c r="W133" i="108" s="1"/>
  <c r="U133" i="108"/>
  <c r="S90" i="108"/>
  <c r="T90" i="108"/>
  <c r="U90" i="108"/>
  <c r="V210" i="2"/>
  <c r="U122" i="84"/>
  <c r="T147" i="108"/>
  <c r="S147" i="108"/>
  <c r="W147" i="108" s="1"/>
  <c r="U147" i="108"/>
  <c r="S344" i="108"/>
  <c r="U344" i="108"/>
  <c r="T344" i="108"/>
  <c r="Y344" i="108" s="1"/>
  <c r="U298" i="108"/>
  <c r="T298" i="108"/>
  <c r="S298" i="108"/>
  <c r="W298" i="108" s="1"/>
  <c r="S14" i="108"/>
  <c r="W14" i="108" s="1"/>
  <c r="T14" i="108"/>
  <c r="Y14" i="108" s="1"/>
  <c r="U14" i="108"/>
  <c r="X14" i="108" s="1"/>
  <c r="S15" i="108"/>
  <c r="W15" i="108" s="1"/>
  <c r="T15" i="108"/>
  <c r="Y15" i="108" s="1"/>
  <c r="U15" i="108"/>
  <c r="X15" i="108" s="1"/>
  <c r="Y166" i="107"/>
  <c r="Y283" i="107"/>
  <c r="Y307" i="107"/>
  <c r="Y225" i="107"/>
  <c r="Y68" i="107"/>
  <c r="Y148" i="107"/>
  <c r="Y308" i="107"/>
  <c r="Y273" i="107"/>
  <c r="W26" i="107"/>
  <c r="Y140" i="107"/>
  <c r="Y198" i="107"/>
  <c r="Y104" i="107"/>
  <c r="Y115" i="107"/>
  <c r="Y133" i="107"/>
  <c r="Y162" i="107"/>
  <c r="U78" i="108"/>
  <c r="S78" i="108"/>
  <c r="T78" i="108"/>
  <c r="T82" i="108"/>
  <c r="S82" i="108"/>
  <c r="W82" i="108" s="1"/>
  <c r="U82" i="108"/>
  <c r="S319" i="108"/>
  <c r="W319" i="108" s="1"/>
  <c r="T319" i="108"/>
  <c r="U319" i="108"/>
  <c r="S65" i="108"/>
  <c r="T65" i="108"/>
  <c r="U65" i="108"/>
  <c r="U62" i="108"/>
  <c r="S62" i="108"/>
  <c r="T62" i="108"/>
  <c r="T99" i="108"/>
  <c r="Y99" i="108" s="1"/>
  <c r="S99" i="108"/>
  <c r="W99" i="108" s="1"/>
  <c r="U99" i="108"/>
  <c r="V99" i="108"/>
  <c r="U19" i="108"/>
  <c r="T19" i="108"/>
  <c r="S19" i="108"/>
  <c r="S139" i="108"/>
  <c r="W139" i="108" s="1"/>
  <c r="U139" i="108"/>
  <c r="X139" i="108" s="1"/>
  <c r="T139" i="108"/>
  <c r="Y139" i="108" s="1"/>
  <c r="U168" i="108"/>
  <c r="S168" i="108"/>
  <c r="T168" i="108"/>
  <c r="T180" i="108"/>
  <c r="S180" i="108"/>
  <c r="U180" i="108"/>
  <c r="T109" i="108"/>
  <c r="S109" i="108"/>
  <c r="U109" i="108"/>
  <c r="S16" i="108"/>
  <c r="T16" i="108"/>
  <c r="U16" i="108"/>
  <c r="T276" i="108"/>
  <c r="S276" i="108"/>
  <c r="U276" i="108"/>
  <c r="T95" i="108"/>
  <c r="S95" i="108"/>
  <c r="U95" i="108"/>
  <c r="U230" i="108"/>
  <c r="T230" i="108"/>
  <c r="S230" i="108"/>
  <c r="W230" i="108" s="1"/>
  <c r="U136" i="108"/>
  <c r="T136" i="108"/>
  <c r="S136" i="108"/>
  <c r="W136" i="108" s="1"/>
  <c r="S345" i="108"/>
  <c r="W345" i="108" s="1"/>
  <c r="U345" i="108"/>
  <c r="T345" i="108"/>
  <c r="T134" i="108"/>
  <c r="S134" i="108"/>
  <c r="W134" i="108" s="1"/>
  <c r="U134" i="108"/>
  <c r="U253" i="108"/>
  <c r="S253" i="108"/>
  <c r="W253" i="108" s="1"/>
  <c r="T253" i="108"/>
  <c r="U53" i="84"/>
  <c r="S167" i="108"/>
  <c r="T167" i="108"/>
  <c r="Y167" i="108" s="1"/>
  <c r="U167" i="108"/>
  <c r="S348" i="108"/>
  <c r="W348" i="108" s="1"/>
  <c r="T348" i="108"/>
  <c r="U348" i="108"/>
  <c r="U263" i="108"/>
  <c r="S263" i="108"/>
  <c r="T263" i="108"/>
  <c r="S149" i="108"/>
  <c r="W149" i="108" s="1"/>
  <c r="T149" i="108"/>
  <c r="U149" i="108"/>
  <c r="V87" i="108"/>
  <c r="T87" i="108"/>
  <c r="Y87" i="108" s="1"/>
  <c r="U87" i="108"/>
  <c r="S87" i="108"/>
  <c r="W87" i="108" s="1"/>
  <c r="T125" i="108"/>
  <c r="S125" i="108"/>
  <c r="U125" i="108"/>
  <c r="S129" i="108"/>
  <c r="W129" i="108" s="1"/>
  <c r="T129" i="108"/>
  <c r="Y129" i="108" s="1"/>
  <c r="U129" i="108"/>
  <c r="X129" i="108" s="1"/>
  <c r="T262" i="108"/>
  <c r="Y262" i="108" s="1"/>
  <c r="S262" i="108"/>
  <c r="W262" i="108" s="1"/>
  <c r="U262" i="108"/>
  <c r="V262" i="108"/>
  <c r="S37" i="107"/>
  <c r="W37" i="107" s="1"/>
  <c r="T37" i="107"/>
  <c r="Y37" i="107" s="1"/>
  <c r="U37" i="107"/>
  <c r="V37" i="107"/>
  <c r="S182" i="108"/>
  <c r="W182" i="108" s="1"/>
  <c r="T182" i="108"/>
  <c r="Y182" i="108" s="1"/>
  <c r="U182" i="108"/>
  <c r="V182" i="108"/>
  <c r="S143" i="108"/>
  <c r="W143" i="108" s="1"/>
  <c r="T143" i="108"/>
  <c r="U143" i="108"/>
  <c r="T98" i="108"/>
  <c r="S98" i="108"/>
  <c r="U98" i="108"/>
  <c r="U260" i="108"/>
  <c r="X260" i="108" s="1"/>
  <c r="T260" i="108"/>
  <c r="Y260" i="108" s="1"/>
  <c r="S260" i="108"/>
  <c r="W260" i="108" s="1"/>
  <c r="Y92" i="107"/>
  <c r="Y199" i="107"/>
  <c r="Y285" i="107"/>
  <c r="S173" i="108"/>
  <c r="T173" i="108"/>
  <c r="Y173" i="108" s="1"/>
  <c r="U173" i="108"/>
  <c r="S104" i="108"/>
  <c r="W104" i="108" s="1"/>
  <c r="T104" i="108"/>
  <c r="U104" i="108"/>
  <c r="S172" i="108"/>
  <c r="W172" i="108" s="1"/>
  <c r="U172" i="108"/>
  <c r="T172" i="108"/>
  <c r="T155" i="108"/>
  <c r="Y155" i="108" s="1"/>
  <c r="S155" i="108"/>
  <c r="W155" i="108" s="1"/>
  <c r="U155" i="108"/>
  <c r="X155" i="108" s="1"/>
  <c r="V295" i="2"/>
  <c r="V214" i="2"/>
  <c r="V28" i="2"/>
  <c r="Y132" i="107"/>
  <c r="T279" i="108"/>
  <c r="S279" i="108"/>
  <c r="U279" i="108"/>
  <c r="T206" i="108"/>
  <c r="S206" i="108"/>
  <c r="W206" i="108" s="1"/>
  <c r="U206" i="108"/>
  <c r="S328" i="108"/>
  <c r="W328" i="108" s="1"/>
  <c r="T328" i="108"/>
  <c r="U328" i="108"/>
  <c r="S96" i="108"/>
  <c r="T96" i="108"/>
  <c r="U96" i="108"/>
  <c r="T142" i="108"/>
  <c r="S142" i="108"/>
  <c r="W142" i="108" s="1"/>
  <c r="U142" i="108"/>
  <c r="U117" i="108"/>
  <c r="S117" i="108"/>
  <c r="W117" i="108" s="1"/>
  <c r="T117" i="108"/>
  <c r="Y136" i="107"/>
  <c r="S159" i="108"/>
  <c r="W159" i="108" s="1"/>
  <c r="T159" i="108"/>
  <c r="U159" i="108"/>
  <c r="S144" i="107"/>
  <c r="W144" i="107" s="1"/>
  <c r="T144" i="107"/>
  <c r="U144" i="107"/>
  <c r="S35" i="107"/>
  <c r="W35" i="107" s="1"/>
  <c r="T35" i="107"/>
  <c r="Y35" i="107" s="1"/>
  <c r="U35" i="107"/>
  <c r="V35" i="107"/>
  <c r="Y81" i="107"/>
  <c r="Y119" i="107"/>
  <c r="Y106" i="107"/>
  <c r="Y328" i="107"/>
  <c r="Y331" i="107"/>
  <c r="Y114" i="107"/>
  <c r="Y141" i="107"/>
  <c r="W88" i="107"/>
  <c r="T280" i="108"/>
  <c r="S280" i="108"/>
  <c r="U280" i="108"/>
  <c r="S137" i="108"/>
  <c r="W137" i="108" s="1"/>
  <c r="T137" i="108"/>
  <c r="U137" i="108"/>
  <c r="T150" i="108"/>
  <c r="Y150" i="108" s="1"/>
  <c r="S150" i="108"/>
  <c r="W150" i="108" s="1"/>
  <c r="U150" i="108"/>
  <c r="X150" i="108" s="1"/>
  <c r="T256" i="108"/>
  <c r="U256" i="108"/>
  <c r="S256" i="108"/>
  <c r="W256" i="108" s="1"/>
  <c r="S165" i="108"/>
  <c r="T165" i="108"/>
  <c r="Y165" i="108" s="1"/>
  <c r="U165" i="108"/>
  <c r="T204" i="108"/>
  <c r="Y204" i="108" s="1"/>
  <c r="S204" i="108"/>
  <c r="W204" i="108" s="1"/>
  <c r="U204" i="108"/>
  <c r="X204" i="108" s="1"/>
  <c r="T250" i="108"/>
  <c r="Y250" i="108" s="1"/>
  <c r="U250" i="108"/>
  <c r="X250" i="108" s="1"/>
  <c r="S250" i="108"/>
  <c r="W250" i="108" s="1"/>
  <c r="S170" i="107"/>
  <c r="T170" i="107"/>
  <c r="Y170" i="107" s="1"/>
  <c r="U170" i="107"/>
  <c r="U86" i="108"/>
  <c r="S86" i="108"/>
  <c r="W86" i="108" s="1"/>
  <c r="T86" i="108"/>
  <c r="Y86" i="108" s="1"/>
  <c r="V86" i="108"/>
  <c r="T283" i="108"/>
  <c r="S283" i="108"/>
  <c r="W283" i="108" s="1"/>
  <c r="U283" i="108"/>
  <c r="S60" i="108"/>
  <c r="W60" i="108" s="1"/>
  <c r="T60" i="108"/>
  <c r="Y60" i="108" s="1"/>
  <c r="U60" i="108"/>
  <c r="X60" i="108" s="1"/>
  <c r="T321" i="108"/>
  <c r="U321" i="108"/>
  <c r="S321" i="108"/>
  <c r="W321" i="108" s="1"/>
  <c r="S61" i="108"/>
  <c r="W61" i="108" s="1"/>
  <c r="T61" i="108"/>
  <c r="U61" i="108"/>
  <c r="T226" i="108"/>
  <c r="Y226" i="108" s="1"/>
  <c r="S226" i="108"/>
  <c r="W226" i="108" s="1"/>
  <c r="U226" i="108"/>
  <c r="X226" i="108" s="1"/>
  <c r="T228" i="108"/>
  <c r="S228" i="108"/>
  <c r="W228" i="108" s="1"/>
  <c r="U228" i="108"/>
  <c r="T7" i="108"/>
  <c r="Y7" i="108" s="1"/>
  <c r="S7" i="108"/>
  <c r="W7" i="108" s="1"/>
  <c r="U7" i="108"/>
  <c r="V7" i="108"/>
  <c r="S308" i="108"/>
  <c r="W308" i="108" s="1"/>
  <c r="T308" i="108"/>
  <c r="U308" i="108"/>
  <c r="T296" i="108"/>
  <c r="S296" i="108"/>
  <c r="W296" i="108" s="1"/>
  <c r="U296" i="108"/>
  <c r="T227" i="108"/>
  <c r="S227" i="108"/>
  <c r="W227" i="108" s="1"/>
  <c r="U227" i="108"/>
  <c r="T254" i="108"/>
  <c r="Y254" i="108" s="1"/>
  <c r="S254" i="108"/>
  <c r="W254" i="108" s="1"/>
  <c r="U254" i="108"/>
  <c r="X254" i="108" s="1"/>
  <c r="S111" i="108"/>
  <c r="W111" i="108" s="1"/>
  <c r="T111" i="108"/>
  <c r="U111" i="108"/>
  <c r="S310" i="108"/>
  <c r="W310" i="108" s="1"/>
  <c r="T310" i="108"/>
  <c r="U310" i="108"/>
  <c r="U74" i="108"/>
  <c r="S74" i="108"/>
  <c r="T74" i="108"/>
  <c r="S151" i="108"/>
  <c r="U151" i="108"/>
  <c r="T151" i="108"/>
  <c r="S325" i="108"/>
  <c r="W325" i="108" s="1"/>
  <c r="T325" i="108"/>
  <c r="U325" i="108"/>
  <c r="V35" i="2"/>
  <c r="U202" i="84"/>
  <c r="U184" i="84"/>
  <c r="U160" i="84"/>
  <c r="S7" i="84"/>
  <c r="U284" i="108"/>
  <c r="T284" i="108"/>
  <c r="Y284" i="108" s="1"/>
  <c r="S284" i="108"/>
  <c r="T352" i="108"/>
  <c r="S352" i="108"/>
  <c r="W352" i="108" s="1"/>
  <c r="U352" i="108"/>
  <c r="T272" i="108"/>
  <c r="S272" i="108"/>
  <c r="W272" i="108" s="1"/>
  <c r="U272" i="108"/>
  <c r="U340" i="108"/>
  <c r="T340" i="108"/>
  <c r="S340" i="108"/>
  <c r="W340" i="108" s="1"/>
  <c r="S252" i="108"/>
  <c r="W252" i="108" s="1"/>
  <c r="T252" i="108"/>
  <c r="U252" i="108"/>
  <c r="S201" i="108"/>
  <c r="W201" i="108" s="1"/>
  <c r="T201" i="108"/>
  <c r="Y201" i="108" s="1"/>
  <c r="U201" i="108"/>
  <c r="X201" i="108" s="1"/>
  <c r="S106" i="108"/>
  <c r="W106" i="108" s="1"/>
  <c r="T106" i="108"/>
  <c r="U106" i="108"/>
  <c r="S10" i="108"/>
  <c r="U10" i="108"/>
  <c r="T10" i="108"/>
  <c r="U18" i="108"/>
  <c r="S18" i="108"/>
  <c r="T18" i="108"/>
  <c r="Y18" i="108" s="1"/>
  <c r="W170" i="106"/>
  <c r="Y30" i="107"/>
  <c r="Y295" i="107"/>
  <c r="Y131" i="107"/>
  <c r="Y298" i="107"/>
  <c r="Y192" i="107"/>
  <c r="Y79" i="107"/>
  <c r="Y241" i="107"/>
  <c r="S157" i="108"/>
  <c r="W157" i="108" s="1"/>
  <c r="U157" i="108"/>
  <c r="T157" i="108"/>
  <c r="T174" i="108"/>
  <c r="Y174" i="108" s="1"/>
  <c r="S174" i="108"/>
  <c r="W174" i="108" s="1"/>
  <c r="U174" i="108"/>
  <c r="X174" i="108" s="1"/>
  <c r="T243" i="108"/>
  <c r="Y243" i="108" s="1"/>
  <c r="S243" i="108"/>
  <c r="W243" i="108" s="1"/>
  <c r="U243" i="108"/>
  <c r="V243" i="108"/>
  <c r="T307" i="108"/>
  <c r="S307" i="108"/>
  <c r="W307" i="108" s="1"/>
  <c r="U307" i="108"/>
  <c r="T255" i="108"/>
  <c r="Y255" i="108" s="1"/>
  <c r="S255" i="108"/>
  <c r="W255" i="108" s="1"/>
  <c r="U255" i="108"/>
  <c r="X255" i="108" s="1"/>
  <c r="S44" i="108"/>
  <c r="W44" i="108" s="1"/>
  <c r="T44" i="108"/>
  <c r="Y44" i="108" s="1"/>
  <c r="U44" i="108"/>
  <c r="X44" i="108" s="1"/>
  <c r="T297" i="108"/>
  <c r="S297" i="108"/>
  <c r="W297" i="108" s="1"/>
  <c r="U297" i="108"/>
  <c r="S38" i="107"/>
  <c r="W38" i="107" s="1"/>
  <c r="T38" i="107"/>
  <c r="Y38" i="107" s="1"/>
  <c r="U38" i="107"/>
  <c r="V38" i="107"/>
  <c r="T195" i="108"/>
  <c r="Y195" i="108" s="1"/>
  <c r="S195" i="108"/>
  <c r="W195" i="108" s="1"/>
  <c r="U195" i="108"/>
  <c r="X195" i="108" s="1"/>
  <c r="V206" i="2"/>
  <c r="V306" i="2"/>
  <c r="V145" i="2"/>
  <c r="V266" i="2"/>
  <c r="T8" i="2"/>
  <c r="V225" i="2"/>
  <c r="V11" i="2"/>
  <c r="T204" i="2"/>
  <c r="V243" i="2"/>
  <c r="U127" i="84"/>
  <c r="U224" i="84"/>
  <c r="U109" i="84"/>
  <c r="S207" i="84"/>
  <c r="U186" i="84"/>
  <c r="U142" i="84"/>
  <c r="U195" i="84"/>
  <c r="U120" i="84"/>
  <c r="U84" i="84"/>
  <c r="U115" i="84"/>
  <c r="U166" i="84"/>
  <c r="U199" i="84"/>
  <c r="U11" i="84"/>
  <c r="V8" i="108"/>
  <c r="T8" i="108"/>
  <c r="Y8" i="108" s="1"/>
  <c r="S8" i="108"/>
  <c r="W8" i="108" s="1"/>
  <c r="U8" i="108"/>
  <c r="U268" i="108"/>
  <c r="T268" i="108"/>
  <c r="S268" i="108"/>
  <c r="S199" i="108"/>
  <c r="W199" i="108" s="1"/>
  <c r="T199" i="108"/>
  <c r="U199" i="108"/>
  <c r="U257" i="108"/>
  <c r="S257" i="108"/>
  <c r="W257" i="108" s="1"/>
  <c r="T257" i="108"/>
  <c r="S156" i="108"/>
  <c r="W156" i="108" s="1"/>
  <c r="U156" i="108"/>
  <c r="X156" i="108" s="1"/>
  <c r="T156" i="108"/>
  <c r="Y156" i="108" s="1"/>
  <c r="S103" i="108"/>
  <c r="T103" i="108"/>
  <c r="U103" i="108"/>
  <c r="T26" i="108"/>
  <c r="Y26" i="108" s="1"/>
  <c r="S26" i="108"/>
  <c r="U26" i="108"/>
  <c r="Y80" i="107"/>
  <c r="W154" i="107"/>
  <c r="Y159" i="107"/>
  <c r="Y345" i="107"/>
  <c r="Y142" i="107"/>
  <c r="W39" i="106"/>
  <c r="W187" i="107"/>
  <c r="Y322" i="107"/>
  <c r="Y135" i="107"/>
  <c r="Y117" i="107"/>
  <c r="V107" i="2"/>
  <c r="T76" i="2"/>
  <c r="V113" i="2"/>
  <c r="U72" i="84"/>
  <c r="U121" i="84"/>
  <c r="U24" i="84"/>
  <c r="U98" i="84"/>
  <c r="U173" i="84"/>
  <c r="U211" i="84"/>
  <c r="U117" i="84"/>
  <c r="U137" i="84"/>
  <c r="U147" i="84"/>
  <c r="U179" i="84"/>
  <c r="V200" i="2"/>
  <c r="V220" i="2"/>
  <c r="V208" i="2"/>
  <c r="V140" i="2"/>
  <c r="V303" i="2"/>
  <c r="V224" i="2"/>
  <c r="V316" i="2"/>
  <c r="V132" i="2"/>
  <c r="U86" i="84"/>
  <c r="U219" i="84"/>
  <c r="U83" i="84"/>
  <c r="U91" i="84"/>
  <c r="U180" i="84"/>
  <c r="U220" i="84"/>
  <c r="V49" i="2"/>
  <c r="V205" i="2"/>
  <c r="V271" i="2"/>
  <c r="V195" i="2"/>
  <c r="V65" i="2"/>
  <c r="V230" i="2"/>
  <c r="V38" i="2"/>
  <c r="V219" i="2"/>
  <c r="V327" i="2"/>
  <c r="V346" i="2"/>
  <c r="V122" i="2"/>
  <c r="V105" i="2"/>
  <c r="V108" i="2"/>
  <c r="U201" i="84"/>
  <c r="U28" i="84"/>
  <c r="U79" i="84"/>
  <c r="U71" i="84"/>
  <c r="U23" i="84"/>
  <c r="U198" i="84"/>
  <c r="U76" i="84"/>
  <c r="U192" i="84"/>
  <c r="V55" i="2"/>
  <c r="U116" i="84"/>
  <c r="U39" i="84"/>
  <c r="U77" i="84"/>
  <c r="V7" i="2"/>
  <c r="V101" i="2"/>
  <c r="V125" i="2"/>
  <c r="V278" i="2"/>
  <c r="V80" i="2"/>
  <c r="V228" i="2"/>
  <c r="V265" i="2"/>
  <c r="T290" i="2"/>
  <c r="V167" i="2"/>
  <c r="V48" i="2"/>
  <c r="V288" i="2"/>
  <c r="V244" i="2"/>
  <c r="V252" i="2"/>
  <c r="U22" i="84"/>
  <c r="U216" i="84"/>
  <c r="U139" i="84"/>
  <c r="U191" i="84"/>
  <c r="U167" i="84"/>
  <c r="S162" i="84"/>
  <c r="U46" i="84"/>
  <c r="U136" i="84"/>
  <c r="U188" i="84"/>
  <c r="U151" i="84"/>
  <c r="U59" i="84"/>
  <c r="U130" i="84"/>
  <c r="U18" i="84"/>
  <c r="U149" i="84"/>
  <c r="V198" i="2"/>
  <c r="U93" i="84"/>
  <c r="U131" i="84"/>
  <c r="U8" i="84"/>
  <c r="V337" i="2"/>
  <c r="V218" i="2"/>
  <c r="V312" i="2"/>
  <c r="V269" i="2"/>
  <c r="V196" i="2"/>
  <c r="V14" i="2"/>
  <c r="V287" i="2"/>
  <c r="U158" i="84"/>
  <c r="U49" i="84"/>
  <c r="U85" i="84"/>
  <c r="U217" i="84"/>
  <c r="U114" i="84"/>
  <c r="V47" i="2"/>
  <c r="V235" i="2"/>
  <c r="V91" i="2"/>
  <c r="V199" i="2"/>
  <c r="V338" i="2"/>
  <c r="V237" i="2"/>
  <c r="V136" i="2"/>
  <c r="V294" i="2"/>
  <c r="V162" i="2"/>
  <c r="V335" i="2"/>
  <c r="V184" i="2"/>
  <c r="U185" i="84"/>
  <c r="S99" i="84"/>
  <c r="U174" i="84"/>
  <c r="U10" i="84"/>
  <c r="U73" i="84"/>
  <c r="U126" i="84"/>
  <c r="U70" i="84"/>
  <c r="U208" i="84"/>
  <c r="U68" i="84"/>
  <c r="U32" i="84"/>
  <c r="U112" i="84"/>
  <c r="U159" i="84"/>
  <c r="U89" i="84"/>
  <c r="U146" i="84"/>
  <c r="U74" i="84"/>
  <c r="U75" i="84"/>
  <c r="U165" i="84"/>
  <c r="U128" i="84"/>
  <c r="V314" i="2"/>
  <c r="V329" i="2"/>
  <c r="V258" i="2"/>
  <c r="V231" i="2"/>
  <c r="V299" i="2"/>
  <c r="V250" i="2"/>
  <c r="V246" i="2"/>
  <c r="V141" i="2"/>
  <c r="T21" i="2"/>
  <c r="V149" i="2"/>
  <c r="V77" i="2"/>
  <c r="U177" i="84"/>
  <c r="U42" i="84"/>
  <c r="V173" i="2"/>
  <c r="V279" i="2"/>
  <c r="V16" i="2"/>
  <c r="V59" i="2"/>
  <c r="U60" i="84"/>
  <c r="U57" i="84"/>
  <c r="U92" i="84"/>
  <c r="U52" i="84"/>
  <c r="U90" i="84"/>
  <c r="U111" i="84"/>
  <c r="U144" i="84"/>
  <c r="V331" i="2"/>
  <c r="V169" i="2"/>
  <c r="V183" i="2"/>
  <c r="T6" i="2"/>
  <c r="V332" i="2"/>
  <c r="V112" i="2"/>
  <c r="V60" i="2"/>
  <c r="V89" i="2"/>
  <c r="V301" i="2"/>
  <c r="V72" i="2"/>
  <c r="V120" i="2"/>
  <c r="V139" i="2"/>
  <c r="V247" i="2"/>
  <c r="U82" i="84"/>
  <c r="U203" i="84"/>
  <c r="U187" i="84"/>
  <c r="U63" i="84"/>
  <c r="U41" i="84"/>
  <c r="U36" i="84"/>
  <c r="U145" i="84"/>
  <c r="S222" i="84"/>
  <c r="U103" i="84"/>
  <c r="U50" i="84"/>
  <c r="U62" i="84"/>
  <c r="U87" i="84"/>
  <c r="U25" i="84"/>
  <c r="U194" i="84"/>
  <c r="U14" i="84"/>
  <c r="U154" i="84"/>
  <c r="U96" i="84"/>
  <c r="U138" i="84"/>
  <c r="U61" i="84"/>
  <c r="U204" i="84"/>
  <c r="U209" i="84"/>
  <c r="V161" i="2"/>
  <c r="V153" i="2"/>
  <c r="U56" i="84"/>
  <c r="U67" i="84"/>
  <c r="U182" i="84"/>
  <c r="V163" i="2"/>
  <c r="V322" i="2"/>
  <c r="V151" i="2"/>
  <c r="V325" i="2"/>
  <c r="V319" i="2"/>
  <c r="V281" i="2"/>
  <c r="V84" i="2"/>
  <c r="V157" i="2"/>
  <c r="V233" i="2"/>
  <c r="U143" i="84"/>
  <c r="U172" i="84"/>
  <c r="U134" i="84"/>
  <c r="U26" i="84"/>
  <c r="U161" i="84"/>
  <c r="U100" i="84"/>
  <c r="U51" i="84"/>
  <c r="U169" i="84"/>
  <c r="U197" i="84"/>
  <c r="U40" i="84"/>
  <c r="U215" i="84"/>
  <c r="U88" i="84"/>
  <c r="U94" i="84"/>
  <c r="U196" i="84"/>
  <c r="U153" i="84"/>
  <c r="U78" i="84"/>
  <c r="U107" i="84"/>
  <c r="U113" i="84"/>
  <c r="U9" i="84"/>
  <c r="S38" i="84"/>
  <c r="U105" i="84"/>
  <c r="V127" i="2"/>
  <c r="V46" i="2"/>
  <c r="U106" i="84"/>
  <c r="C17" i="7"/>
  <c r="V75" i="2"/>
  <c r="V277" i="2"/>
  <c r="V326" i="2"/>
  <c r="V347" i="2"/>
  <c r="V320" i="2"/>
  <c r="T70" i="2"/>
  <c r="V241" i="2"/>
  <c r="V221" i="2"/>
  <c r="V12" i="2"/>
  <c r="V32" i="2"/>
  <c r="V342" i="2"/>
  <c r="V217" i="2"/>
  <c r="V280" i="2"/>
  <c r="V323" i="2"/>
  <c r="U97" i="84"/>
  <c r="U81" i="84"/>
  <c r="U20" i="84"/>
  <c r="U30" i="84"/>
  <c r="U183" i="84"/>
  <c r="U119" i="84"/>
  <c r="U133" i="84"/>
  <c r="U129" i="84"/>
  <c r="S33" i="84"/>
  <c r="U155" i="84"/>
  <c r="U19" i="84"/>
  <c r="U193" i="84"/>
  <c r="U110" i="84"/>
  <c r="V109" i="2"/>
  <c r="V114" i="2"/>
  <c r="V18" i="2"/>
  <c r="V10" i="2"/>
  <c r="U164" i="84"/>
  <c r="V134" i="2"/>
  <c r="V245" i="2"/>
  <c r="V321" i="2"/>
  <c r="V333" i="2"/>
  <c r="V202" i="2"/>
  <c r="V42" i="2"/>
  <c r="V160" i="2"/>
  <c r="V152" i="2"/>
  <c r="V73" i="2"/>
  <c r="V273" i="2"/>
  <c r="V267" i="2"/>
  <c r="V45" i="2"/>
  <c r="V174" i="2"/>
  <c r="V74" i="2"/>
  <c r="V94" i="2"/>
  <c r="V317" i="2"/>
  <c r="V118" i="2"/>
  <c r="V307" i="2"/>
  <c r="V82" i="2"/>
  <c r="U206" i="84"/>
  <c r="U181" i="84"/>
  <c r="U58" i="84"/>
  <c r="U27" i="84"/>
  <c r="U69" i="84"/>
  <c r="U218" i="84"/>
  <c r="U108" i="84"/>
  <c r="U176" i="84"/>
  <c r="U214" i="84"/>
  <c r="U102" i="84"/>
  <c r="U140" i="84"/>
  <c r="U43" i="84"/>
  <c r="U168" i="84"/>
  <c r="U34" i="84"/>
  <c r="V86" i="2"/>
  <c r="V29" i="2"/>
  <c r="V311" i="2"/>
  <c r="V17" i="2"/>
  <c r="V44" i="2"/>
  <c r="V209" i="2"/>
  <c r="V146" i="2"/>
  <c r="V147" i="2"/>
  <c r="V71" i="2"/>
  <c r="V156" i="2"/>
  <c r="V83" i="2"/>
  <c r="V283" i="2"/>
  <c r="V158" i="2"/>
  <c r="V181" i="2"/>
  <c r="V309" i="2"/>
  <c r="V179" i="2"/>
  <c r="V341" i="2"/>
  <c r="V106" i="2"/>
  <c r="V52" i="2"/>
  <c r="V261" i="2"/>
  <c r="V215" i="2"/>
  <c r="V131" i="2"/>
  <c r="V166" i="2"/>
  <c r="V20" i="2"/>
  <c r="V276" i="2"/>
  <c r="V130" i="2"/>
  <c r="V324" i="2"/>
  <c r="V22" i="2"/>
  <c r="V177" i="2"/>
  <c r="V189" i="2"/>
  <c r="V282" i="2"/>
  <c r="V343" i="2"/>
  <c r="V297" i="2"/>
  <c r="V236" i="2"/>
  <c r="V305" i="2"/>
  <c r="V123" i="2"/>
  <c r="V165" i="2"/>
  <c r="V263" i="2"/>
  <c r="V248" i="2"/>
  <c r="V34" i="2"/>
  <c r="V128" i="2"/>
  <c r="V168" i="2"/>
  <c r="V186" i="2"/>
  <c r="V115" i="2"/>
  <c r="V188" i="2"/>
  <c r="V194" i="2"/>
  <c r="V336" i="2"/>
  <c r="V296" i="2"/>
  <c r="V116" i="2"/>
  <c r="V264" i="2"/>
  <c r="V253" i="2"/>
  <c r="V126" i="2"/>
  <c r="V213" i="2"/>
  <c r="V172" i="2"/>
  <c r="V275" i="2"/>
  <c r="V95" i="2"/>
  <c r="V68" i="2"/>
  <c r="V180" i="2"/>
  <c r="V133" i="2"/>
  <c r="V93" i="2"/>
  <c r="V192" i="2"/>
  <c r="V201" i="2"/>
  <c r="V117" i="2"/>
  <c r="V203" i="2"/>
  <c r="V313" i="2"/>
  <c r="V100" i="2"/>
  <c r="V211" i="2"/>
  <c r="V37" i="2"/>
  <c r="V308" i="2"/>
  <c r="V31" i="2"/>
  <c r="T274" i="2"/>
  <c r="V15" i="2"/>
  <c r="V344" i="2"/>
  <c r="V36" i="2"/>
  <c r="V150" i="2"/>
  <c r="T62" i="2"/>
  <c r="V170" i="2"/>
  <c r="V339" i="2"/>
  <c r="V25" i="2"/>
  <c r="V85" i="2"/>
  <c r="V191" i="2"/>
  <c r="V121" i="2"/>
  <c r="V302" i="2"/>
  <c r="V64" i="2"/>
  <c r="V103" i="2"/>
  <c r="V61" i="2"/>
  <c r="V286" i="2"/>
  <c r="V289" i="2"/>
  <c r="V19" i="2"/>
  <c r="T58" i="2"/>
  <c r="V66" i="2"/>
  <c r="V119" i="2"/>
  <c r="V135" i="2"/>
  <c r="V50" i="2"/>
  <c r="V229" i="2"/>
  <c r="V239" i="2"/>
  <c r="V96" i="2"/>
  <c r="V143" i="2"/>
  <c r="V159" i="2"/>
  <c r="V154" i="2"/>
  <c r="V67" i="2"/>
  <c r="V207" i="2"/>
  <c r="V178" i="2"/>
  <c r="V293" i="2"/>
  <c r="V138" i="2"/>
  <c r="V310" i="2"/>
  <c r="V26" i="2"/>
  <c r="V260" i="2"/>
  <c r="V285" i="2"/>
  <c r="V43" i="2"/>
  <c r="V249" i="2"/>
  <c r="V284" i="2"/>
  <c r="V30" i="2"/>
  <c r="V226" i="2"/>
  <c r="V216" i="2"/>
  <c r="V23" i="2"/>
  <c r="V262" i="2"/>
  <c r="V92" i="2"/>
  <c r="V79" i="2"/>
  <c r="V223" i="2"/>
  <c r="V39" i="2"/>
  <c r="V328" i="2"/>
  <c r="V251" i="2"/>
  <c r="V234" i="2"/>
  <c r="V129" i="2"/>
  <c r="V90" i="2"/>
  <c r="V102" i="2"/>
  <c r="V315" i="2"/>
  <c r="V99" i="2"/>
  <c r="V97" i="2"/>
  <c r="V164" i="2"/>
  <c r="V187" i="2"/>
  <c r="V212" i="2"/>
  <c r="V259" i="2"/>
  <c r="V222" i="2"/>
  <c r="V190" i="2"/>
  <c r="V242" i="2"/>
  <c r="T88" i="2"/>
  <c r="T185" i="2"/>
  <c r="V193" i="2"/>
  <c r="V155" i="2"/>
  <c r="D27" i="114"/>
  <c r="C27" i="114"/>
  <c r="H32" i="74"/>
  <c r="H36" i="74" s="1"/>
  <c r="I16" i="52" s="1"/>
  <c r="E11" i="111"/>
  <c r="E11" i="113"/>
  <c r="E11" i="110"/>
  <c r="E11" i="112"/>
  <c r="E11" i="109"/>
  <c r="F32" i="74"/>
  <c r="I34" i="74"/>
  <c r="J16" i="51"/>
  <c r="I32" i="74"/>
  <c r="U356" i="106"/>
  <c r="T356" i="106"/>
  <c r="O356" i="107"/>
  <c r="AB6" i="107" s="1"/>
  <c r="S5" i="84"/>
  <c r="O227" i="84"/>
  <c r="B8" i="88"/>
  <c r="T227" i="84"/>
  <c r="O436" i="83"/>
  <c r="D27" i="15"/>
  <c r="R227" i="84"/>
  <c r="K436" i="83"/>
  <c r="B6" i="88" s="1"/>
  <c r="Q227" i="84"/>
  <c r="P227" i="84"/>
  <c r="S356" i="106"/>
  <c r="N436" i="83"/>
  <c r="Q436" i="83"/>
  <c r="V14" i="83" s="1"/>
  <c r="P436" i="83"/>
  <c r="V13" i="3"/>
  <c r="V14" i="3" s="1"/>
  <c r="C35" i="61"/>
  <c r="C37" i="61" s="1"/>
  <c r="B37" i="61" s="1"/>
  <c r="E38" i="61" s="1"/>
  <c r="C27" i="15"/>
  <c r="T5" i="2"/>
  <c r="D39" i="74"/>
  <c r="E19" i="52"/>
  <c r="E46" i="52" s="1"/>
  <c r="D19" i="52"/>
  <c r="D48" i="52" s="1"/>
  <c r="C39" i="74"/>
  <c r="B39" i="74"/>
  <c r="C19" i="52"/>
  <c r="C46" i="52" s="1"/>
  <c r="I34" i="51"/>
  <c r="I19" i="51"/>
  <c r="I39" i="51" s="1"/>
  <c r="B26" i="7"/>
  <c r="C22" i="113" s="1"/>
  <c r="E14" i="80"/>
  <c r="E5" i="81" s="1"/>
  <c r="B12" i="7"/>
  <c r="B17" i="7" s="1"/>
  <c r="L18" i="20"/>
  <c r="G18" i="20"/>
  <c r="F24" i="37" s="1"/>
  <c r="H18" i="20"/>
  <c r="J18" i="20"/>
  <c r="I18" i="20"/>
  <c r="K18" i="20"/>
  <c r="W4" i="102"/>
  <c r="E48" i="112" s="1"/>
  <c r="R279" i="102"/>
  <c r="W5" i="101"/>
  <c r="E52" i="111" s="1"/>
  <c r="V5" i="101"/>
  <c r="I14" i="80"/>
  <c r="I5" i="81" s="1"/>
  <c r="G14" i="80"/>
  <c r="G5" i="81" s="1"/>
  <c r="D14" i="80"/>
  <c r="D5" i="81" s="1"/>
  <c r="Q4" i="103"/>
  <c r="T3" i="108"/>
  <c r="S3" i="108"/>
  <c r="U3" i="108"/>
  <c r="Y3" i="107"/>
  <c r="W3" i="107"/>
  <c r="H14" i="80"/>
  <c r="H17" i="80" s="1"/>
  <c r="F14" i="80"/>
  <c r="F5" i="81" s="1"/>
  <c r="B14" i="80"/>
  <c r="B5" i="81" s="1"/>
  <c r="B15" i="80"/>
  <c r="B6" i="81" s="1"/>
  <c r="D15" i="80"/>
  <c r="D6" i="81" s="1"/>
  <c r="F15" i="80"/>
  <c r="F6" i="81" s="1"/>
  <c r="I15" i="80"/>
  <c r="I6" i="81" s="1"/>
  <c r="C15" i="80"/>
  <c r="C6" i="81" s="1"/>
  <c r="G15" i="80"/>
  <c r="G6" i="81" s="1"/>
  <c r="E15" i="80"/>
  <c r="E6" i="81" s="1"/>
  <c r="T8" i="83"/>
  <c r="L5" i="83"/>
  <c r="L436" i="83" s="1"/>
  <c r="Y5" i="84"/>
  <c r="Y13" i="84" s="1"/>
  <c r="W348" i="2"/>
  <c r="U8" i="83"/>
  <c r="C22" i="112"/>
  <c r="U5" i="84"/>
  <c r="V8" i="83"/>
  <c r="S348" i="2"/>
  <c r="R348" i="2"/>
  <c r="V5" i="2"/>
  <c r="U348" i="2"/>
  <c r="AA5" i="2"/>
  <c r="AA12" i="2" s="1"/>
  <c r="AA16" i="2"/>
  <c r="Q348" i="2"/>
  <c r="X14" i="3"/>
  <c r="X5" i="3" s="1"/>
  <c r="W13" i="3"/>
  <c r="F36" i="51"/>
  <c r="H12" i="81"/>
  <c r="H49" i="78"/>
  <c r="E34" i="51"/>
  <c r="E19" i="51"/>
  <c r="E39" i="51" s="1"/>
  <c r="C5" i="81"/>
  <c r="E32" i="74"/>
  <c r="E36" i="74" s="1"/>
  <c r="F16" i="52" s="1"/>
  <c r="H23" i="50" l="1"/>
  <c r="H18" i="50"/>
  <c r="G18" i="50"/>
  <c r="G23" i="50"/>
  <c r="F43" i="59"/>
  <c r="F39" i="59"/>
  <c r="G43" i="59"/>
  <c r="G39" i="59"/>
  <c r="G39" i="74"/>
  <c r="Y331" i="108"/>
  <c r="Y349" i="108"/>
  <c r="Y142" i="108"/>
  <c r="Y299" i="108"/>
  <c r="Y61" i="108"/>
  <c r="Y332" i="108"/>
  <c r="Y162" i="108"/>
  <c r="W178" i="107"/>
  <c r="Y340" i="108"/>
  <c r="W205" i="108"/>
  <c r="W88" i="108"/>
  <c r="Y112" i="108"/>
  <c r="Y119" i="108"/>
  <c r="W344" i="108"/>
  <c r="Y166" i="108"/>
  <c r="Y277" i="108"/>
  <c r="Y283" i="108"/>
  <c r="W165" i="108"/>
  <c r="Y117" i="108"/>
  <c r="Y242" i="108"/>
  <c r="Y40" i="108"/>
  <c r="Y144" i="107"/>
  <c r="W173" i="108"/>
  <c r="Y133" i="108"/>
  <c r="W187" i="108"/>
  <c r="W316" i="108"/>
  <c r="Y274" i="108"/>
  <c r="W23" i="108"/>
  <c r="W138" i="108"/>
  <c r="W175" i="108"/>
  <c r="Y113" i="108"/>
  <c r="Y273" i="108"/>
  <c r="Y136" i="108"/>
  <c r="Y328" i="108"/>
  <c r="Y300" i="108"/>
  <c r="H16" i="52"/>
  <c r="H19" i="52" s="1"/>
  <c r="H46" i="52" s="1"/>
  <c r="Y106" i="108"/>
  <c r="W170" i="107"/>
  <c r="W167" i="108"/>
  <c r="Y345" i="108"/>
  <c r="Y80" i="108"/>
  <c r="Y258" i="108"/>
  <c r="W39" i="107"/>
  <c r="W154" i="108"/>
  <c r="Y317" i="108"/>
  <c r="Y348" i="108"/>
  <c r="Y319" i="108"/>
  <c r="Y81" i="108"/>
  <c r="Y122" i="108"/>
  <c r="Y329" i="108"/>
  <c r="Y189" i="108"/>
  <c r="Y197" i="108"/>
  <c r="Y135" i="108"/>
  <c r="Y347" i="108"/>
  <c r="Y285" i="108"/>
  <c r="Y116" i="108"/>
  <c r="Y227" i="108"/>
  <c r="Y146" i="108"/>
  <c r="Y68" i="108"/>
  <c r="Y193" i="108"/>
  <c r="Y322" i="108"/>
  <c r="Y225" i="108"/>
  <c r="Y158" i="108"/>
  <c r="W27" i="108"/>
  <c r="Y128" i="108"/>
  <c r="Y241" i="108"/>
  <c r="Y302" i="108"/>
  <c r="Y140" i="108"/>
  <c r="Y311" i="108"/>
  <c r="Y190" i="108"/>
  <c r="Y75" i="108"/>
  <c r="Y115" i="108"/>
  <c r="T38" i="108"/>
  <c r="Y38" i="108" s="1"/>
  <c r="S38" i="108"/>
  <c r="W38" i="108" s="1"/>
  <c r="U38" i="108"/>
  <c r="V38" i="108"/>
  <c r="U170" i="108"/>
  <c r="S170" i="108"/>
  <c r="T170" i="108"/>
  <c r="Y170" i="108" s="1"/>
  <c r="U144" i="108"/>
  <c r="T144" i="108"/>
  <c r="S144" i="108"/>
  <c r="W144" i="108" s="1"/>
  <c r="T178" i="108"/>
  <c r="Y178" i="108" s="1"/>
  <c r="S178" i="108"/>
  <c r="U178" i="108"/>
  <c r="W26" i="108"/>
  <c r="Y257" i="108"/>
  <c r="W284" i="108"/>
  <c r="Y111" i="108"/>
  <c r="Y296" i="108"/>
  <c r="Y137" i="108"/>
  <c r="Y206" i="108"/>
  <c r="Y149" i="108"/>
  <c r="W184" i="108"/>
  <c r="T35" i="108"/>
  <c r="Y35" i="108" s="1"/>
  <c r="S35" i="108"/>
  <c r="W35" i="108" s="1"/>
  <c r="U35" i="108"/>
  <c r="V35" i="108"/>
  <c r="Y28" i="108"/>
  <c r="Y30" i="108"/>
  <c r="Y203" i="108"/>
  <c r="S37" i="108"/>
  <c r="W37" i="108" s="1"/>
  <c r="T37" i="108"/>
  <c r="Y37" i="108" s="1"/>
  <c r="U37" i="108"/>
  <c r="V37" i="108"/>
  <c r="Y342" i="108"/>
  <c r="Y307" i="108"/>
  <c r="Y157" i="108"/>
  <c r="W18" i="108"/>
  <c r="Y325" i="108"/>
  <c r="Y321" i="108"/>
  <c r="Y159" i="108"/>
  <c r="Y172" i="108"/>
  <c r="Y134" i="108"/>
  <c r="Y79" i="108"/>
  <c r="W177" i="108"/>
  <c r="Y309" i="108"/>
  <c r="Y192" i="108"/>
  <c r="Y92" i="108"/>
  <c r="Y29" i="108"/>
  <c r="Y198" i="108"/>
  <c r="Y341" i="108"/>
  <c r="W24" i="108"/>
  <c r="Y343" i="108"/>
  <c r="W6" i="108"/>
  <c r="Y272" i="108"/>
  <c r="Y147" i="108"/>
  <c r="T293" i="108"/>
  <c r="Y293" i="108" s="1"/>
  <c r="S293" i="108"/>
  <c r="W293" i="108" s="1"/>
  <c r="U293" i="108"/>
  <c r="V293" i="108"/>
  <c r="S36" i="108"/>
  <c r="W36" i="108" s="1"/>
  <c r="T36" i="108"/>
  <c r="U36" i="108"/>
  <c r="Y315" i="108"/>
  <c r="Y118" i="108"/>
  <c r="Y199" i="108"/>
  <c r="Y308" i="108"/>
  <c r="Y228" i="108"/>
  <c r="Y256" i="108"/>
  <c r="Y230" i="108"/>
  <c r="Y298" i="108"/>
  <c r="Y141" i="108"/>
  <c r="Y346" i="108"/>
  <c r="S39" i="108"/>
  <c r="T39" i="108"/>
  <c r="Y39" i="108" s="1"/>
  <c r="U39" i="108"/>
  <c r="Y131" i="108"/>
  <c r="W32" i="108"/>
  <c r="Y303" i="108"/>
  <c r="S41" i="108"/>
  <c r="T41" i="108"/>
  <c r="U41" i="108"/>
  <c r="Y252" i="108"/>
  <c r="Y352" i="108"/>
  <c r="Y310" i="108"/>
  <c r="Y104" i="108"/>
  <c r="Y143" i="108"/>
  <c r="Y124" i="108"/>
  <c r="Y114" i="108"/>
  <c r="W179" i="108"/>
  <c r="Y330" i="108"/>
  <c r="T294" i="108"/>
  <c r="Y294" i="108" s="1"/>
  <c r="S294" i="108"/>
  <c r="W294" i="108" s="1"/>
  <c r="U294" i="108"/>
  <c r="Y148" i="108"/>
  <c r="Y132" i="108"/>
  <c r="Y320" i="108"/>
  <c r="Y312" i="108"/>
  <c r="Y105" i="108"/>
  <c r="Y286" i="108"/>
  <c r="Y314" i="108"/>
  <c r="Y297" i="108"/>
  <c r="Y253" i="108"/>
  <c r="Y82" i="108"/>
  <c r="Y36" i="107"/>
  <c r="Y12" i="108"/>
  <c r="W188" i="108"/>
  <c r="Y237" i="108"/>
  <c r="Y295" i="108"/>
  <c r="Y291" i="108"/>
  <c r="W25" i="108"/>
  <c r="B14" i="7"/>
  <c r="D17" i="7" s="1"/>
  <c r="D18" i="7" s="1"/>
  <c r="D15" i="8"/>
  <c r="C15" i="8"/>
  <c r="H37" i="74"/>
  <c r="I17" i="52" s="1"/>
  <c r="H38" i="74"/>
  <c r="I18" i="52" s="1"/>
  <c r="D11" i="111"/>
  <c r="D11" i="113"/>
  <c r="D11" i="110"/>
  <c r="D11" i="112"/>
  <c r="D11" i="109"/>
  <c r="D11" i="37"/>
  <c r="V5" i="3"/>
  <c r="C11" i="109"/>
  <c r="C11" i="111"/>
  <c r="C11" i="113"/>
  <c r="C11" i="110"/>
  <c r="C11" i="112"/>
  <c r="C11" i="37"/>
  <c r="I36" i="74"/>
  <c r="I37" i="74"/>
  <c r="J17" i="52" s="1"/>
  <c r="J36" i="51"/>
  <c r="J19" i="51"/>
  <c r="J39" i="51" s="1"/>
  <c r="F36" i="74"/>
  <c r="F38" i="74"/>
  <c r="G18" i="52" s="1"/>
  <c r="F37" i="74"/>
  <c r="G17" i="52" s="1"/>
  <c r="I38" i="74"/>
  <c r="J18" i="52" s="1"/>
  <c r="S227" i="84"/>
  <c r="O356" i="108"/>
  <c r="U356" i="107"/>
  <c r="U227" i="84"/>
  <c r="T356" i="107"/>
  <c r="B9" i="88"/>
  <c r="D52" i="111"/>
  <c r="S356" i="107"/>
  <c r="B35" i="61"/>
  <c r="Q229" i="84"/>
  <c r="X5" i="84"/>
  <c r="Z5" i="2"/>
  <c r="Z12" i="2" s="1"/>
  <c r="F33" i="113"/>
  <c r="B15" i="8"/>
  <c r="D46" i="52"/>
  <c r="C47" i="52"/>
  <c r="C48" i="52"/>
  <c r="D47" i="52"/>
  <c r="E47" i="52"/>
  <c r="E48" i="52"/>
  <c r="J7" i="62"/>
  <c r="J36" i="62" s="1"/>
  <c r="I7" i="62"/>
  <c r="I36" i="62" s="1"/>
  <c r="H5" i="81"/>
  <c r="H8" i="81" s="1"/>
  <c r="J10" i="20"/>
  <c r="J24" i="20" s="1"/>
  <c r="I10" i="20"/>
  <c r="I24" i="20" s="1"/>
  <c r="G10" i="20"/>
  <c r="G24" i="20" s="1"/>
  <c r="H10" i="20"/>
  <c r="H24" i="20" s="1"/>
  <c r="K10" i="20"/>
  <c r="L10" i="20"/>
  <c r="W4" i="103"/>
  <c r="E48" i="113" s="1"/>
  <c r="R279" i="103"/>
  <c r="G17" i="80"/>
  <c r="E17" i="80"/>
  <c r="Y3" i="108"/>
  <c r="W3" i="108"/>
  <c r="I17" i="80"/>
  <c r="E33" i="113"/>
  <c r="B17" i="80"/>
  <c r="D17" i="80"/>
  <c r="C17" i="80"/>
  <c r="F17" i="80"/>
  <c r="H7" i="62"/>
  <c r="H36" i="62" s="1"/>
  <c r="C7" i="62"/>
  <c r="B7" i="62"/>
  <c r="B36" i="62" s="1"/>
  <c r="G22" i="112"/>
  <c r="D33" i="112"/>
  <c r="G21" i="112"/>
  <c r="D32" i="112"/>
  <c r="E32" i="112"/>
  <c r="F32" i="112"/>
  <c r="G22" i="113"/>
  <c r="T10" i="83"/>
  <c r="F33" i="112"/>
  <c r="D33" i="113"/>
  <c r="Z5" i="84"/>
  <c r="E33" i="112"/>
  <c r="D10" i="37"/>
  <c r="D10" i="111"/>
  <c r="D10" i="110"/>
  <c r="D10" i="109"/>
  <c r="D10" i="113"/>
  <c r="D10" i="112"/>
  <c r="F32" i="113"/>
  <c r="E32" i="113"/>
  <c r="G21" i="113"/>
  <c r="D32" i="113"/>
  <c r="U14" i="83"/>
  <c r="AB5" i="2"/>
  <c r="AB16" i="2"/>
  <c r="V348" i="2"/>
  <c r="Z16" i="2"/>
  <c r="T348" i="2"/>
  <c r="G7" i="62"/>
  <c r="G36" i="62" s="1"/>
  <c r="D7" i="62"/>
  <c r="D36" i="62" s="1"/>
  <c r="F7" i="62"/>
  <c r="F36" i="62" s="1"/>
  <c r="W14" i="3"/>
  <c r="W5" i="3" s="1"/>
  <c r="D38" i="61"/>
  <c r="E7" i="62"/>
  <c r="E36" i="62" s="1"/>
  <c r="C38" i="61"/>
  <c r="E37" i="74"/>
  <c r="F17" i="52" s="1"/>
  <c r="I8" i="81"/>
  <c r="C8" i="81"/>
  <c r="E38" i="74"/>
  <c r="F18" i="52" s="1"/>
  <c r="F8" i="81"/>
  <c r="D8" i="81"/>
  <c r="G8" i="81"/>
  <c r="E8" i="81"/>
  <c r="B8" i="81"/>
  <c r="G31" i="63" l="1"/>
  <c r="G44" i="59"/>
  <c r="F31" i="63"/>
  <c r="F44" i="59"/>
  <c r="Y144" i="108"/>
  <c r="H48" i="52"/>
  <c r="H47" i="52"/>
  <c r="H49" i="52" s="1"/>
  <c r="W170" i="108"/>
  <c r="W178" i="108"/>
  <c r="Y36" i="108"/>
  <c r="W39" i="108"/>
  <c r="I19" i="52"/>
  <c r="I46" i="52" s="1"/>
  <c r="N277" i="103"/>
  <c r="N277" i="102"/>
  <c r="P277" i="102" s="1"/>
  <c r="Q277" i="102" s="1"/>
  <c r="N277" i="100"/>
  <c r="N277" i="99"/>
  <c r="N277" i="89"/>
  <c r="N277" i="101"/>
  <c r="O277" i="103"/>
  <c r="O277" i="102"/>
  <c r="O277" i="101"/>
  <c r="O277" i="100"/>
  <c r="O277" i="99"/>
  <c r="O277" i="89"/>
  <c r="D19" i="113"/>
  <c r="D19" i="110"/>
  <c r="D19" i="111"/>
  <c r="I47" i="52"/>
  <c r="H39" i="74"/>
  <c r="D19" i="109"/>
  <c r="C10" i="37"/>
  <c r="C10" i="109"/>
  <c r="D19" i="37"/>
  <c r="D19" i="112"/>
  <c r="G16" i="52"/>
  <c r="G19" i="52" s="1"/>
  <c r="F39" i="74"/>
  <c r="J16" i="52"/>
  <c r="I39" i="74"/>
  <c r="C49" i="52"/>
  <c r="U356" i="108"/>
  <c r="L24" i="20"/>
  <c r="S356" i="108"/>
  <c r="K24" i="20"/>
  <c r="T356" i="108"/>
  <c r="E23" i="37"/>
  <c r="C10" i="111"/>
  <c r="S229" i="84"/>
  <c r="R231" i="84" s="1"/>
  <c r="T14" i="83"/>
  <c r="T15" i="83" s="1"/>
  <c r="D49" i="52"/>
  <c r="E49" i="52"/>
  <c r="J6" i="62"/>
  <c r="J35" i="62" s="1"/>
  <c r="I6" i="62"/>
  <c r="I35" i="62" s="1"/>
  <c r="J5" i="62"/>
  <c r="I5" i="62"/>
  <c r="F19" i="52"/>
  <c r="F48" i="52" s="1"/>
  <c r="G24" i="37"/>
  <c r="F25" i="37"/>
  <c r="F24" i="109"/>
  <c r="B18" i="7"/>
  <c r="C18" i="7"/>
  <c r="AB6" i="108"/>
  <c r="V15" i="83"/>
  <c r="V5" i="83" s="1"/>
  <c r="U15" i="83"/>
  <c r="U16" i="83" s="1"/>
  <c r="B6" i="62"/>
  <c r="B35" i="62" s="1"/>
  <c r="C6" i="62"/>
  <c r="C35" i="62" s="1"/>
  <c r="C36" i="62"/>
  <c r="B5" i="62"/>
  <c r="C5" i="62"/>
  <c r="C34" i="62" s="1"/>
  <c r="X6" i="84"/>
  <c r="X13" i="84"/>
  <c r="Z6" i="84"/>
  <c r="Z13" i="84"/>
  <c r="Y6" i="84"/>
  <c r="Z6" i="2"/>
  <c r="F34" i="51"/>
  <c r="F19" i="51"/>
  <c r="F39" i="51" s="1"/>
  <c r="AA6" i="2"/>
  <c r="AB12" i="2"/>
  <c r="AB6" i="2"/>
  <c r="E39" i="74"/>
  <c r="F6" i="62"/>
  <c r="F35" i="62" s="1"/>
  <c r="H6" i="62"/>
  <c r="H35" i="62" s="1"/>
  <c r="G6" i="62"/>
  <c r="G35" i="62" s="1"/>
  <c r="E6" i="62"/>
  <c r="E35" i="62" s="1"/>
  <c r="D6" i="62"/>
  <c r="D35" i="62" s="1"/>
  <c r="F5" i="62"/>
  <c r="H5" i="62"/>
  <c r="G5" i="62"/>
  <c r="D5" i="62"/>
  <c r="E5" i="62"/>
  <c r="D10" i="81"/>
  <c r="D14" i="81" s="1"/>
  <c r="E22" i="52" s="1"/>
  <c r="B10" i="81"/>
  <c r="B14" i="81" s="1"/>
  <c r="C22" i="52" s="1"/>
  <c r="H10" i="81"/>
  <c r="H14" i="81" s="1"/>
  <c r="I22" i="52" s="1"/>
  <c r="C10" i="81"/>
  <c r="C14" i="81" s="1"/>
  <c r="D22" i="52" s="1"/>
  <c r="F10" i="81"/>
  <c r="F14" i="81" s="1"/>
  <c r="G22" i="52" s="1"/>
  <c r="I10" i="81"/>
  <c r="I14" i="81" s="1"/>
  <c r="J22" i="52" s="1"/>
  <c r="G10" i="81"/>
  <c r="G14" i="81" s="1"/>
  <c r="H22" i="52" s="1"/>
  <c r="E10" i="81"/>
  <c r="E14" i="81" s="1"/>
  <c r="F22" i="52" s="1"/>
  <c r="H14" i="51" l="1"/>
  <c r="G51" i="59"/>
  <c r="G14" i="51"/>
  <c r="F51" i="59"/>
  <c r="I48" i="52"/>
  <c r="I49" i="52" s="1"/>
  <c r="P277" i="103"/>
  <c r="Q277" i="103" s="1"/>
  <c r="C72" i="15"/>
  <c r="C72" i="114"/>
  <c r="J19" i="52"/>
  <c r="J46" i="52" s="1"/>
  <c r="G46" i="52"/>
  <c r="G48" i="52"/>
  <c r="G47" i="52"/>
  <c r="D28" i="114"/>
  <c r="G23" i="37"/>
  <c r="E23" i="109"/>
  <c r="G23" i="109" s="1"/>
  <c r="G16" i="69"/>
  <c r="G13" i="70" s="1"/>
  <c r="T16" i="83"/>
  <c r="T5" i="83"/>
  <c r="F47" i="52"/>
  <c r="F46" i="52"/>
  <c r="J8" i="62"/>
  <c r="J34" i="62"/>
  <c r="J37" i="62" s="1"/>
  <c r="I15" i="69"/>
  <c r="I12" i="70" s="1"/>
  <c r="H15" i="69"/>
  <c r="H12" i="70" s="1"/>
  <c r="G15" i="69"/>
  <c r="G12" i="70" s="1"/>
  <c r="I8" i="62"/>
  <c r="I34" i="62"/>
  <c r="I37" i="62" s="1"/>
  <c r="G24" i="109"/>
  <c r="F25" i="109"/>
  <c r="F24" i="110"/>
  <c r="C7" i="88"/>
  <c r="C9" i="88"/>
  <c r="C6" i="88"/>
  <c r="C5" i="88"/>
  <c r="C4" i="88"/>
  <c r="C8" i="88"/>
  <c r="V7" i="102"/>
  <c r="P279" i="102"/>
  <c r="U5" i="83"/>
  <c r="V16" i="83"/>
  <c r="E13" i="112" s="1"/>
  <c r="G16" i="81"/>
  <c r="H24" i="52" s="1"/>
  <c r="B16" i="81"/>
  <c r="C24" i="52" s="1"/>
  <c r="F15" i="69"/>
  <c r="F12" i="70" s="1"/>
  <c r="B15" i="81"/>
  <c r="C23" i="52" s="1"/>
  <c r="G15" i="81"/>
  <c r="H23" i="52" s="1"/>
  <c r="C15" i="81"/>
  <c r="D23" i="52" s="1"/>
  <c r="D16" i="81"/>
  <c r="E24" i="52" s="1"/>
  <c r="C16" i="81"/>
  <c r="D24" i="52" s="1"/>
  <c r="D15" i="81"/>
  <c r="E23" i="52" s="1"/>
  <c r="C8" i="62"/>
  <c r="C37" i="62"/>
  <c r="C40" i="62" s="1"/>
  <c r="C27" i="63" s="1"/>
  <c r="B8" i="62"/>
  <c r="B34" i="62"/>
  <c r="Z14" i="84"/>
  <c r="Z15" i="84" s="1"/>
  <c r="C15" i="69"/>
  <c r="C12" i="70" s="1"/>
  <c r="E15" i="69"/>
  <c r="E12" i="70" s="1"/>
  <c r="E10" i="109"/>
  <c r="E19" i="109" s="1"/>
  <c r="E10" i="110"/>
  <c r="E19" i="110" s="1"/>
  <c r="E10" i="112"/>
  <c r="E19" i="112" s="1"/>
  <c r="E10" i="111"/>
  <c r="E19" i="111" s="1"/>
  <c r="E10" i="113"/>
  <c r="E19" i="113" s="1"/>
  <c r="B15" i="69"/>
  <c r="C10" i="112"/>
  <c r="C19" i="112" s="1"/>
  <c r="C19" i="111"/>
  <c r="C19" i="109"/>
  <c r="C10" i="110"/>
  <c r="C19" i="110" s="1"/>
  <c r="C10" i="113"/>
  <c r="C19" i="113" s="1"/>
  <c r="I16" i="81"/>
  <c r="J24" i="52" s="1"/>
  <c r="D15" i="69"/>
  <c r="D12" i="70" s="1"/>
  <c r="E16" i="81"/>
  <c r="F24" i="52" s="1"/>
  <c r="I15" i="81"/>
  <c r="J23" i="52" s="1"/>
  <c r="D13" i="37"/>
  <c r="D13" i="109"/>
  <c r="D13" i="110"/>
  <c r="D13" i="113"/>
  <c r="D13" i="112"/>
  <c r="D13" i="111"/>
  <c r="Y14" i="84"/>
  <c r="Y15" i="84" s="1"/>
  <c r="X14" i="84"/>
  <c r="X15" i="84" s="1"/>
  <c r="F16" i="81"/>
  <c r="G24" i="52" s="1"/>
  <c r="F15" i="81"/>
  <c r="G23" i="52" s="1"/>
  <c r="E10" i="37"/>
  <c r="E19" i="37" s="1"/>
  <c r="AB13" i="2"/>
  <c r="H16" i="81"/>
  <c r="I24" i="52" s="1"/>
  <c r="C19" i="37"/>
  <c r="AA13" i="2"/>
  <c r="Z13" i="2"/>
  <c r="H8" i="62"/>
  <c r="H34" i="62"/>
  <c r="F8" i="62"/>
  <c r="F34" i="62"/>
  <c r="E34" i="62"/>
  <c r="E8" i="62"/>
  <c r="D34" i="62"/>
  <c r="D8" i="62"/>
  <c r="G34" i="62"/>
  <c r="G37" i="62" s="1"/>
  <c r="G40" i="62" s="1"/>
  <c r="G27" i="63" s="1"/>
  <c r="G8" i="62"/>
  <c r="H15" i="81"/>
  <c r="I23" i="52" s="1"/>
  <c r="E15" i="81"/>
  <c r="F23" i="52" s="1"/>
  <c r="G34" i="51" l="1"/>
  <c r="G19" i="51"/>
  <c r="G39" i="51" s="1"/>
  <c r="H19" i="51"/>
  <c r="H39" i="51" s="1"/>
  <c r="H34" i="51"/>
  <c r="D30" i="37"/>
  <c r="E28" i="114"/>
  <c r="E27" i="114"/>
  <c r="C13" i="112"/>
  <c r="G49" i="52"/>
  <c r="J48" i="52"/>
  <c r="J47" i="52"/>
  <c r="Q279" i="103"/>
  <c r="D28" i="15"/>
  <c r="C13" i="113"/>
  <c r="C13" i="109"/>
  <c r="C13" i="110"/>
  <c r="C13" i="111"/>
  <c r="C13" i="37"/>
  <c r="E23" i="110"/>
  <c r="E23" i="111" s="1"/>
  <c r="E16" i="69"/>
  <c r="E13" i="70" s="1"/>
  <c r="C16" i="69"/>
  <c r="C13" i="70" s="1"/>
  <c r="I16" i="69"/>
  <c r="I13" i="70" s="1"/>
  <c r="H16" i="69"/>
  <c r="H13" i="70" s="1"/>
  <c r="G14" i="69"/>
  <c r="G11" i="70" s="1"/>
  <c r="G14" i="70" s="1"/>
  <c r="I14" i="69"/>
  <c r="I11" i="70" s="1"/>
  <c r="B14" i="69"/>
  <c r="B11" i="70" s="1"/>
  <c r="C14" i="69"/>
  <c r="C11" i="70" s="1"/>
  <c r="E14" i="69"/>
  <c r="E11" i="70" s="1"/>
  <c r="F14" i="69"/>
  <c r="F11" i="70" s="1"/>
  <c r="H14" i="69"/>
  <c r="H11" i="70" s="1"/>
  <c r="D14" i="69"/>
  <c r="D11" i="70" s="1"/>
  <c r="D16" i="69"/>
  <c r="D13" i="70" s="1"/>
  <c r="F16" i="69"/>
  <c r="F13" i="70" s="1"/>
  <c r="B16" i="69"/>
  <c r="B13" i="70" s="1"/>
  <c r="C12" i="37"/>
  <c r="J25" i="52"/>
  <c r="J53" i="52" s="1"/>
  <c r="F30" i="113"/>
  <c r="E25" i="52"/>
  <c r="E52" i="52" s="1"/>
  <c r="F25" i="52"/>
  <c r="F53" i="52" s="1"/>
  <c r="D30" i="113"/>
  <c r="H25" i="52"/>
  <c r="H52" i="52" s="1"/>
  <c r="I39" i="62"/>
  <c r="I26" i="63" s="1"/>
  <c r="I41" i="62"/>
  <c r="I28" i="63" s="1"/>
  <c r="J39" i="62"/>
  <c r="J41" i="62"/>
  <c r="J28" i="63" s="1"/>
  <c r="G25" i="52"/>
  <c r="G52" i="52" s="1"/>
  <c r="F49" i="52"/>
  <c r="D25" i="52"/>
  <c r="D52" i="52" s="1"/>
  <c r="I40" i="62"/>
  <c r="I27" i="63" s="1"/>
  <c r="C25" i="52"/>
  <c r="C52" i="52" s="1"/>
  <c r="I25" i="52"/>
  <c r="I52" i="52" s="1"/>
  <c r="J40" i="62"/>
  <c r="J27" i="63" s="1"/>
  <c r="F25" i="110"/>
  <c r="G24" i="110"/>
  <c r="F24" i="111"/>
  <c r="P279" i="103"/>
  <c r="V7" i="103"/>
  <c r="V4" i="102"/>
  <c r="D48" i="112" s="1"/>
  <c r="Q279" i="102"/>
  <c r="E13" i="110"/>
  <c r="E13" i="113"/>
  <c r="E13" i="111"/>
  <c r="E13" i="37"/>
  <c r="E13" i="109"/>
  <c r="G17" i="81"/>
  <c r="B17" i="81"/>
  <c r="D17" i="81"/>
  <c r="H17" i="81"/>
  <c r="C17" i="81"/>
  <c r="I17" i="81"/>
  <c r="C39" i="62"/>
  <c r="C26" i="63" s="1"/>
  <c r="C41" i="62"/>
  <c r="C28" i="63" s="1"/>
  <c r="B37" i="62"/>
  <c r="B39" i="62" s="1"/>
  <c r="B26" i="63" s="1"/>
  <c r="F30" i="110"/>
  <c r="E12" i="37"/>
  <c r="E12" i="112"/>
  <c r="E20" i="112" s="1"/>
  <c r="E12" i="111"/>
  <c r="E12" i="109"/>
  <c r="E12" i="110"/>
  <c r="E12" i="113"/>
  <c r="B12" i="70"/>
  <c r="C12" i="113"/>
  <c r="C12" i="109"/>
  <c r="C12" i="112"/>
  <c r="C12" i="111"/>
  <c r="C12" i="110"/>
  <c r="D30" i="110"/>
  <c r="G19" i="110"/>
  <c r="E30" i="110"/>
  <c r="F30" i="111"/>
  <c r="D30" i="111"/>
  <c r="G19" i="111"/>
  <c r="E30" i="111"/>
  <c r="G19" i="113"/>
  <c r="E30" i="113"/>
  <c r="F17" i="81"/>
  <c r="D12" i="113"/>
  <c r="D20" i="113" s="1"/>
  <c r="D12" i="109"/>
  <c r="D20" i="109" s="1"/>
  <c r="D12" i="112"/>
  <c r="D20" i="112" s="1"/>
  <c r="D12" i="111"/>
  <c r="D20" i="111" s="1"/>
  <c r="D12" i="110"/>
  <c r="D20" i="110" s="1"/>
  <c r="D12" i="37"/>
  <c r="D20" i="37" s="1"/>
  <c r="D30" i="109"/>
  <c r="G19" i="109"/>
  <c r="E30" i="109"/>
  <c r="F30" i="112"/>
  <c r="D30" i="112"/>
  <c r="G19" i="112"/>
  <c r="E30" i="112"/>
  <c r="F30" i="109"/>
  <c r="F30" i="37"/>
  <c r="E30" i="37"/>
  <c r="G19" i="37"/>
  <c r="D37" i="62"/>
  <c r="H37" i="62"/>
  <c r="H39" i="62" s="1"/>
  <c r="H26" i="63" s="1"/>
  <c r="G39" i="62"/>
  <c r="G26" i="63" s="1"/>
  <c r="G41" i="62"/>
  <c r="G28" i="63" s="1"/>
  <c r="F37" i="62"/>
  <c r="E37" i="62"/>
  <c r="E39" i="62" s="1"/>
  <c r="E26" i="63" s="1"/>
  <c r="E17" i="81"/>
  <c r="G23" i="110" l="1"/>
  <c r="C20" i="37"/>
  <c r="C25" i="37" s="1"/>
  <c r="C20" i="112"/>
  <c r="G20" i="112" s="1"/>
  <c r="C31" i="114"/>
  <c r="C32" i="114"/>
  <c r="J49" i="52"/>
  <c r="C14" i="70"/>
  <c r="V4" i="103"/>
  <c r="D48" i="113" s="1"/>
  <c r="E14" i="70"/>
  <c r="H14" i="70"/>
  <c r="E27" i="15"/>
  <c r="E28" i="15"/>
  <c r="C20" i="110"/>
  <c r="C25" i="110" s="1"/>
  <c r="C20" i="109"/>
  <c r="C25" i="109" s="1"/>
  <c r="C20" i="111"/>
  <c r="C25" i="111" s="1"/>
  <c r="C20" i="113"/>
  <c r="C25" i="113" s="1"/>
  <c r="F14" i="70"/>
  <c r="E17" i="69"/>
  <c r="D14" i="70"/>
  <c r="G17" i="69"/>
  <c r="I14" i="70"/>
  <c r="B17" i="69"/>
  <c r="D17" i="69"/>
  <c r="F17" i="69"/>
  <c r="B14" i="70"/>
  <c r="C17" i="69"/>
  <c r="I17" i="69"/>
  <c r="H17" i="69"/>
  <c r="J54" i="52"/>
  <c r="J52" i="52"/>
  <c r="F54" i="52"/>
  <c r="E53" i="52"/>
  <c r="E54" i="52"/>
  <c r="F52" i="52"/>
  <c r="I54" i="52"/>
  <c r="D53" i="52"/>
  <c r="H54" i="52"/>
  <c r="H53" i="52"/>
  <c r="G29" i="63"/>
  <c r="G34" i="63" s="1"/>
  <c r="G40" i="63" s="1"/>
  <c r="C29" i="63"/>
  <c r="C34" i="63" s="1"/>
  <c r="C40" i="63" s="1"/>
  <c r="I53" i="52"/>
  <c r="I29" i="63"/>
  <c r="I34" i="63" s="1"/>
  <c r="I40" i="63" s="1"/>
  <c r="C53" i="52"/>
  <c r="C54" i="52"/>
  <c r="D54" i="52"/>
  <c r="I42" i="62"/>
  <c r="G54" i="52"/>
  <c r="J26" i="63"/>
  <c r="J42" i="62"/>
  <c r="G53" i="52"/>
  <c r="E23" i="112"/>
  <c r="E25" i="112" s="1"/>
  <c r="G23" i="111"/>
  <c r="F25" i="111"/>
  <c r="G24" i="111"/>
  <c r="F24" i="112"/>
  <c r="V5" i="102"/>
  <c r="W5" i="102"/>
  <c r="E20" i="113"/>
  <c r="E20" i="110"/>
  <c r="E25" i="110" s="1"/>
  <c r="E20" i="111"/>
  <c r="E25" i="111" s="1"/>
  <c r="E20" i="37"/>
  <c r="E20" i="109"/>
  <c r="E25" i="109" s="1"/>
  <c r="C42" i="62"/>
  <c r="B41" i="62"/>
  <c r="B28" i="63" s="1"/>
  <c r="B40" i="62"/>
  <c r="B27" i="63" s="1"/>
  <c r="D25" i="113"/>
  <c r="D25" i="37"/>
  <c r="D25" i="110"/>
  <c r="D25" i="111"/>
  <c r="D25" i="112"/>
  <c r="D25" i="109"/>
  <c r="F41" i="62"/>
  <c r="F28" i="63" s="1"/>
  <c r="F40" i="62"/>
  <c r="F27" i="63" s="1"/>
  <c r="G42" i="62"/>
  <c r="H40" i="62"/>
  <c r="H27" i="63" s="1"/>
  <c r="H41" i="62"/>
  <c r="H28" i="63" s="1"/>
  <c r="D41" i="62"/>
  <c r="D28" i="63" s="1"/>
  <c r="D40" i="62"/>
  <c r="D27" i="63" s="1"/>
  <c r="E41" i="62"/>
  <c r="E28" i="63" s="1"/>
  <c r="E40" i="62"/>
  <c r="E27" i="63" s="1"/>
  <c r="D39" i="62"/>
  <c r="D26" i="63" s="1"/>
  <c r="F39" i="62"/>
  <c r="F26" i="63" s="1"/>
  <c r="F31" i="112" l="1"/>
  <c r="D31" i="112"/>
  <c r="C25" i="112"/>
  <c r="D34" i="112" s="1"/>
  <c r="E31" i="112"/>
  <c r="E31" i="37"/>
  <c r="C43" i="15"/>
  <c r="C43" i="114"/>
  <c r="V5" i="103"/>
  <c r="W5" i="103"/>
  <c r="J55" i="52"/>
  <c r="E52" i="112"/>
  <c r="D52" i="112"/>
  <c r="C31" i="15"/>
  <c r="F55" i="52"/>
  <c r="E55" i="52"/>
  <c r="I55" i="52"/>
  <c r="E29" i="63"/>
  <c r="E33" i="63" s="1"/>
  <c r="E39" i="63" s="1"/>
  <c r="I33" i="63"/>
  <c r="I39" i="63" s="1"/>
  <c r="C35" i="63"/>
  <c r="C41" i="63" s="1"/>
  <c r="D6" i="52" s="1"/>
  <c r="H29" i="63"/>
  <c r="H33" i="63" s="1"/>
  <c r="H39" i="63" s="1"/>
  <c r="B29" i="63"/>
  <c r="B34" i="63" s="1"/>
  <c r="B40" i="63" s="1"/>
  <c r="C33" i="63"/>
  <c r="C39" i="63" s="1"/>
  <c r="G55" i="52"/>
  <c r="I35" i="63"/>
  <c r="I41" i="63" s="1"/>
  <c r="D55" i="52"/>
  <c r="H55" i="52"/>
  <c r="C55" i="52"/>
  <c r="G35" i="63"/>
  <c r="G41" i="63" s="1"/>
  <c r="D29" i="63"/>
  <c r="D33" i="63" s="1"/>
  <c r="D39" i="63" s="1"/>
  <c r="G33" i="63"/>
  <c r="F29" i="63"/>
  <c r="F34" i="63" s="1"/>
  <c r="F40" i="63" s="1"/>
  <c r="J29" i="63"/>
  <c r="F25" i="112"/>
  <c r="G24" i="112"/>
  <c r="F24" i="113"/>
  <c r="E23" i="113"/>
  <c r="G23" i="113" s="1"/>
  <c r="G23" i="112"/>
  <c r="F31" i="37"/>
  <c r="F31" i="110"/>
  <c r="E31" i="113"/>
  <c r="E34" i="110"/>
  <c r="E38" i="110" s="1"/>
  <c r="D31" i="113"/>
  <c r="E25" i="37"/>
  <c r="D34" i="37" s="1"/>
  <c r="D38" i="37" s="1"/>
  <c r="E31" i="110"/>
  <c r="D31" i="37"/>
  <c r="G20" i="37"/>
  <c r="G25" i="37" s="1"/>
  <c r="G20" i="113"/>
  <c r="G20" i="110"/>
  <c r="G25" i="110" s="1"/>
  <c r="F31" i="113"/>
  <c r="D31" i="110"/>
  <c r="D31" i="109"/>
  <c r="F31" i="109"/>
  <c r="G20" i="111"/>
  <c r="G25" i="111" s="1"/>
  <c r="E34" i="111"/>
  <c r="D31" i="111"/>
  <c r="E31" i="111"/>
  <c r="E34" i="109"/>
  <c r="E38" i="109" s="1"/>
  <c r="E31" i="109"/>
  <c r="F31" i="111"/>
  <c r="G20" i="109"/>
  <c r="G25" i="109" s="1"/>
  <c r="F34" i="109"/>
  <c r="F38" i="109" s="1"/>
  <c r="D34" i="109"/>
  <c r="D38" i="109" s="1"/>
  <c r="D5" i="52"/>
  <c r="B42" i="62"/>
  <c r="F34" i="110"/>
  <c r="F38" i="110" s="1"/>
  <c r="D34" i="110"/>
  <c r="D38" i="110" s="1"/>
  <c r="D34" i="111"/>
  <c r="F34" i="111"/>
  <c r="D42" i="62"/>
  <c r="H42" i="62"/>
  <c r="E42" i="62"/>
  <c r="F42" i="62"/>
  <c r="E34" i="112" l="1"/>
  <c r="E38" i="112" s="1"/>
  <c r="F34" i="112"/>
  <c r="F38" i="112" s="1"/>
  <c r="D38" i="111"/>
  <c r="D42" i="111" s="1"/>
  <c r="E38" i="111"/>
  <c r="E42" i="111" s="1"/>
  <c r="D38" i="112"/>
  <c r="F38" i="111"/>
  <c r="F42" i="111" s="1"/>
  <c r="D52" i="113"/>
  <c r="E52" i="113"/>
  <c r="B33" i="63"/>
  <c r="C42" i="63"/>
  <c r="H34" i="63"/>
  <c r="H40" i="63" s="1"/>
  <c r="I5" i="52" s="1"/>
  <c r="E34" i="63"/>
  <c r="E40" i="63" s="1"/>
  <c r="B35" i="63"/>
  <c r="B41" i="63" s="1"/>
  <c r="E35" i="63"/>
  <c r="E41" i="63" s="1"/>
  <c r="F6" i="52" s="1"/>
  <c r="H35" i="63"/>
  <c r="H41" i="63" s="1"/>
  <c r="I6" i="52" s="1"/>
  <c r="C36" i="63"/>
  <c r="I42" i="63"/>
  <c r="F33" i="63"/>
  <c r="F39" i="63" s="1"/>
  <c r="I36" i="63"/>
  <c r="D35" i="63"/>
  <c r="D41" i="63" s="1"/>
  <c r="F35" i="63"/>
  <c r="F41" i="63" s="1"/>
  <c r="D34" i="63"/>
  <c r="D40" i="63" s="1"/>
  <c r="G36" i="63"/>
  <c r="G39" i="63"/>
  <c r="G42" i="63" s="1"/>
  <c r="J6" i="52"/>
  <c r="J5" i="52"/>
  <c r="J33" i="63"/>
  <c r="J34" i="63"/>
  <c r="J40" i="63" s="1"/>
  <c r="J35" i="63"/>
  <c r="J41" i="63" s="1"/>
  <c r="G25" i="112"/>
  <c r="E25" i="113"/>
  <c r="D34" i="113" s="1"/>
  <c r="F25" i="113"/>
  <c r="G24" i="113"/>
  <c r="G25" i="113" s="1"/>
  <c r="F34" i="37"/>
  <c r="F38" i="37" s="1"/>
  <c r="F42" i="37" s="1"/>
  <c r="E34" i="37"/>
  <c r="E38" i="37" s="1"/>
  <c r="E42" i="37" s="1"/>
  <c r="E42" i="110"/>
  <c r="D42" i="37"/>
  <c r="D42" i="110"/>
  <c r="F42" i="110"/>
  <c r="E42" i="109"/>
  <c r="D42" i="109"/>
  <c r="F42" i="109"/>
  <c r="C32" i="15"/>
  <c r="I4" i="52"/>
  <c r="H5" i="52"/>
  <c r="H6" i="52"/>
  <c r="F42" i="112" l="1"/>
  <c r="B36" i="63"/>
  <c r="B39" i="63"/>
  <c r="B42" i="63" s="1"/>
  <c r="H36" i="63"/>
  <c r="H42" i="63"/>
  <c r="E42" i="63"/>
  <c r="E36" i="63"/>
  <c r="F42" i="63"/>
  <c r="D42" i="63"/>
  <c r="D36" i="63"/>
  <c r="F36" i="63"/>
  <c r="F5" i="52"/>
  <c r="J36" i="63"/>
  <c r="J39" i="63"/>
  <c r="J42" i="63" s="1"/>
  <c r="D4" i="52"/>
  <c r="I7" i="52"/>
  <c r="I36" i="52" s="1"/>
  <c r="D42" i="112"/>
  <c r="E42" i="112"/>
  <c r="E34" i="113"/>
  <c r="F34" i="113"/>
  <c r="D38" i="113"/>
  <c r="D42" i="113" s="1"/>
  <c r="C6" i="52"/>
  <c r="C5" i="52"/>
  <c r="F4" i="52"/>
  <c r="G5" i="52"/>
  <c r="G6" i="52"/>
  <c r="E4" i="52"/>
  <c r="H4" i="52"/>
  <c r="E6" i="52"/>
  <c r="E5" i="52"/>
  <c r="F38" i="113" l="1"/>
  <c r="F42" i="113" s="1"/>
  <c r="E38" i="113"/>
  <c r="E42" i="113" s="1"/>
  <c r="I34" i="52"/>
  <c r="I35" i="52"/>
  <c r="J4" i="52"/>
  <c r="H7" i="52"/>
  <c r="H34" i="52" s="1"/>
  <c r="D7" i="52"/>
  <c r="D34" i="52" s="1"/>
  <c r="E7" i="52"/>
  <c r="E34" i="52" s="1"/>
  <c r="F7" i="52"/>
  <c r="F34" i="52" s="1"/>
  <c r="G4" i="52"/>
  <c r="I37" i="52" l="1"/>
  <c r="E35" i="52"/>
  <c r="J7" i="52"/>
  <c r="D36" i="52"/>
  <c r="D35" i="52"/>
  <c r="C4" i="52"/>
  <c r="G7" i="52"/>
  <c r="G34" i="52" s="1"/>
  <c r="H36" i="52"/>
  <c r="H35" i="52"/>
  <c r="F36" i="52"/>
  <c r="F35" i="52"/>
  <c r="E36" i="52"/>
  <c r="H37" i="52" l="1"/>
  <c r="F37" i="52"/>
  <c r="D37" i="52"/>
  <c r="J35" i="52"/>
  <c r="J36" i="52"/>
  <c r="E37" i="52"/>
  <c r="J34" i="52"/>
  <c r="G35" i="52"/>
  <c r="G36" i="52"/>
  <c r="C7" i="52"/>
  <c r="C34" i="52" s="1"/>
  <c r="G37" i="52" l="1"/>
  <c r="J37" i="52"/>
  <c r="C35" i="52"/>
  <c r="C36" i="52"/>
  <c r="C17" i="56"/>
  <c r="C41" i="56"/>
  <c r="C18" i="56"/>
  <c r="C24" i="56" s="1"/>
  <c r="C26" i="56" s="1"/>
  <c r="B39" i="56"/>
  <c r="B32" i="56"/>
  <c r="B9" i="59" s="1"/>
  <c r="B15" i="59" s="1"/>
  <c r="B18" i="56"/>
  <c r="B24" i="56" s="1"/>
  <c r="B13" i="56"/>
  <c r="C4" i="50" s="1"/>
  <c r="S4" i="50" l="1"/>
  <c r="C9" i="50"/>
  <c r="R4" i="50"/>
  <c r="C38" i="50"/>
  <c r="C37" i="52"/>
  <c r="C13" i="50"/>
  <c r="C18" i="50" s="1"/>
  <c r="C4" i="51"/>
  <c r="B26" i="56"/>
  <c r="B41" i="56"/>
  <c r="C28" i="50" l="1"/>
  <c r="C39" i="50"/>
  <c r="C45" i="50" s="1"/>
  <c r="C41" i="50"/>
  <c r="C40" i="50"/>
  <c r="C46" i="50" s="1"/>
  <c r="C23" i="50"/>
  <c r="C9" i="51"/>
  <c r="C39" i="51" s="1"/>
  <c r="C34" i="51"/>
  <c r="C32" i="50"/>
  <c r="D32" i="50"/>
  <c r="C42" i="50" l="1"/>
  <c r="X169" i="98"/>
  <c r="V169" i="98"/>
  <c r="W169" i="98"/>
  <c r="Y169" i="98"/>
  <c r="D169" i="108"/>
  <c r="D169" i="107"/>
  <c r="D169" i="106"/>
  <c r="D169" i="104"/>
  <c r="D169" i="105"/>
  <c r="X53" i="98" l="1"/>
  <c r="V53" i="98"/>
  <c r="W53" i="98"/>
  <c r="Y53" i="98"/>
  <c r="X168" i="98"/>
  <c r="V168" i="98"/>
  <c r="Y168" i="98"/>
  <c r="W168" i="98"/>
  <c r="X169" i="105"/>
  <c r="V169" i="105"/>
  <c r="W169" i="105"/>
  <c r="Y169" i="105"/>
  <c r="X180" i="98"/>
  <c r="V180" i="98"/>
  <c r="Y180" i="98"/>
  <c r="W180" i="98"/>
  <c r="X169" i="104"/>
  <c r="V169" i="104"/>
  <c r="Y169" i="104"/>
  <c r="W169" i="104"/>
  <c r="W121" i="98"/>
  <c r="Y121" i="98"/>
  <c r="V121" i="98"/>
  <c r="X121" i="98"/>
  <c r="X169" i="106"/>
  <c r="V169" i="106"/>
  <c r="W169" i="106"/>
  <c r="Y169" i="106"/>
  <c r="W83" i="98"/>
  <c r="V83" i="98"/>
  <c r="X83" i="98"/>
  <c r="Y83" i="98"/>
  <c r="X169" i="107"/>
  <c r="V169" i="107"/>
  <c r="W169" i="107"/>
  <c r="Y169" i="107"/>
  <c r="W120" i="98"/>
  <c r="V120" i="98"/>
  <c r="Y120" i="98"/>
  <c r="X120" i="98"/>
  <c r="X169" i="108"/>
  <c r="V169" i="108"/>
  <c r="Y169" i="108"/>
  <c r="W169" i="108"/>
  <c r="W84" i="98"/>
  <c r="V84" i="98"/>
  <c r="Y84" i="98"/>
  <c r="X84" i="98"/>
  <c r="V200" i="98"/>
  <c r="Y200" i="98"/>
  <c r="W200" i="98"/>
  <c r="X200" i="98"/>
  <c r="V278" i="98"/>
  <c r="Y278" i="98"/>
  <c r="W278" i="98"/>
  <c r="X278" i="98"/>
  <c r="D53" i="108"/>
  <c r="D53" i="107"/>
  <c r="D83" i="108"/>
  <c r="D83" i="107"/>
  <c r="D180" i="108"/>
  <c r="D180" i="107"/>
  <c r="D121" i="108"/>
  <c r="D121" i="107"/>
  <c r="D120" i="108"/>
  <c r="D120" i="107"/>
  <c r="D84" i="108"/>
  <c r="D84" i="107"/>
  <c r="D200" i="108"/>
  <c r="D200" i="107"/>
  <c r="D278" i="108"/>
  <c r="D278" i="107"/>
  <c r="D168" i="108"/>
  <c r="D168" i="107"/>
  <c r="D53" i="106"/>
  <c r="D53" i="104"/>
  <c r="D53" i="105"/>
  <c r="D180" i="106"/>
  <c r="D180" i="104"/>
  <c r="D180" i="105"/>
  <c r="D121" i="106"/>
  <c r="D121" i="104"/>
  <c r="D121" i="105"/>
  <c r="D200" i="106"/>
  <c r="D200" i="104"/>
  <c r="D200" i="105"/>
  <c r="D278" i="106"/>
  <c r="D278" i="105"/>
  <c r="D278" i="104"/>
  <c r="D83" i="106"/>
  <c r="D83" i="104"/>
  <c r="D83" i="105"/>
  <c r="D120" i="106"/>
  <c r="D120" i="104"/>
  <c r="D120" i="105"/>
  <c r="D84" i="106"/>
  <c r="D84" i="104"/>
  <c r="D84" i="105"/>
  <c r="D168" i="106"/>
  <c r="D168" i="104"/>
  <c r="D168" i="105"/>
  <c r="X275" i="98" l="1"/>
  <c r="W275" i="98"/>
  <c r="V275" i="98"/>
  <c r="Y275" i="98"/>
  <c r="X276" i="98"/>
  <c r="V276" i="98"/>
  <c r="Y276" i="98"/>
  <c r="W276" i="98"/>
  <c r="X84" i="104"/>
  <c r="W84" i="104"/>
  <c r="Y84" i="104"/>
  <c r="V84" i="104"/>
  <c r="W278" i="104"/>
  <c r="Y278" i="104"/>
  <c r="V278" i="104"/>
  <c r="X278" i="104"/>
  <c r="V121" i="106"/>
  <c r="X121" i="106"/>
  <c r="Y121" i="106"/>
  <c r="W121" i="106"/>
  <c r="X168" i="108"/>
  <c r="V168" i="108"/>
  <c r="W168" i="108"/>
  <c r="Y168" i="108"/>
  <c r="V120" i="108"/>
  <c r="Y120" i="108"/>
  <c r="W120" i="108"/>
  <c r="X120" i="108"/>
  <c r="X53" i="108"/>
  <c r="V53" i="108"/>
  <c r="Y53" i="108"/>
  <c r="W53" i="108"/>
  <c r="X59" i="98"/>
  <c r="W59" i="98"/>
  <c r="V59" i="98"/>
  <c r="Y59" i="98"/>
  <c r="X52" i="98"/>
  <c r="Y52" i="98"/>
  <c r="V52" i="98"/>
  <c r="W52" i="98"/>
  <c r="V84" i="106"/>
  <c r="W84" i="106"/>
  <c r="X84" i="106"/>
  <c r="Y84" i="106"/>
  <c r="V278" i="105"/>
  <c r="W278" i="105"/>
  <c r="Y278" i="105"/>
  <c r="X278" i="105"/>
  <c r="X180" i="105"/>
  <c r="V180" i="105"/>
  <c r="W180" i="105"/>
  <c r="Y180" i="105"/>
  <c r="V278" i="107"/>
  <c r="X278" i="107"/>
  <c r="W278" i="107"/>
  <c r="Y278" i="107"/>
  <c r="V121" i="107"/>
  <c r="W121" i="107"/>
  <c r="Y121" i="107"/>
  <c r="X121" i="107"/>
  <c r="X43" i="98"/>
  <c r="W43" i="98"/>
  <c r="V43" i="98"/>
  <c r="Y43" i="98"/>
  <c r="Y109" i="98"/>
  <c r="W109" i="98"/>
  <c r="V109" i="98"/>
  <c r="X109" i="98"/>
  <c r="V120" i="105"/>
  <c r="X120" i="105"/>
  <c r="W120" i="105"/>
  <c r="Y120" i="105"/>
  <c r="V278" i="106"/>
  <c r="X278" i="106"/>
  <c r="W278" i="106"/>
  <c r="Y278" i="106"/>
  <c r="X180" i="104"/>
  <c r="V180" i="104"/>
  <c r="Y180" i="104"/>
  <c r="W180" i="104"/>
  <c r="V278" i="108"/>
  <c r="Y278" i="108"/>
  <c r="X278" i="108"/>
  <c r="W278" i="108"/>
  <c r="V121" i="108"/>
  <c r="X121" i="108"/>
  <c r="Y121" i="108"/>
  <c r="W121" i="108"/>
  <c r="X265" i="98"/>
  <c r="V265" i="98"/>
  <c r="W265" i="98"/>
  <c r="Y265" i="98"/>
  <c r="W120" i="104"/>
  <c r="Y120" i="104"/>
  <c r="V120" i="104"/>
  <c r="X120" i="104"/>
  <c r="X180" i="106"/>
  <c r="V180" i="106"/>
  <c r="W180" i="106"/>
  <c r="Y180" i="106"/>
  <c r="X41" i="98"/>
  <c r="Y41" i="98"/>
  <c r="V41" i="98"/>
  <c r="W41" i="98"/>
  <c r="X151" i="98"/>
  <c r="V151" i="98"/>
  <c r="W151" i="98"/>
  <c r="Y151" i="98"/>
  <c r="X168" i="104"/>
  <c r="V168" i="104"/>
  <c r="W168" i="104"/>
  <c r="Y168" i="104"/>
  <c r="V83" i="105"/>
  <c r="X83" i="105"/>
  <c r="Y83" i="105"/>
  <c r="W83" i="105"/>
  <c r="V200" i="106"/>
  <c r="X200" i="106"/>
  <c r="Y200" i="106"/>
  <c r="W200" i="106"/>
  <c r="X53" i="104"/>
  <c r="W53" i="104"/>
  <c r="Y53" i="104"/>
  <c r="V53" i="104"/>
  <c r="V84" i="107"/>
  <c r="X84" i="107"/>
  <c r="W84" i="107"/>
  <c r="Y84" i="107"/>
  <c r="V83" i="107"/>
  <c r="W83" i="107"/>
  <c r="Y83" i="107"/>
  <c r="X83" i="107"/>
  <c r="X279" i="98"/>
  <c r="V279" i="98"/>
  <c r="W279" i="98"/>
  <c r="Y279" i="98"/>
  <c r="V77" i="98"/>
  <c r="Y77" i="98"/>
  <c r="W77" i="98"/>
  <c r="X77" i="98"/>
  <c r="X200" i="105"/>
  <c r="V200" i="105"/>
  <c r="W200" i="105"/>
  <c r="Y200" i="105"/>
  <c r="V200" i="107"/>
  <c r="W200" i="107"/>
  <c r="X200" i="107"/>
  <c r="Y200" i="107"/>
  <c r="X180" i="107"/>
  <c r="V180" i="107"/>
  <c r="Y180" i="107"/>
  <c r="W180" i="107"/>
  <c r="X244" i="98"/>
  <c r="V244" i="98"/>
  <c r="W244" i="98"/>
  <c r="Y244" i="98"/>
  <c r="X10" i="98"/>
  <c r="W10" i="98"/>
  <c r="Y10" i="98"/>
  <c r="V10" i="98"/>
  <c r="X168" i="106"/>
  <c r="V168" i="106"/>
  <c r="Y168" i="106"/>
  <c r="W168" i="106"/>
  <c r="W83" i="104"/>
  <c r="Y83" i="104"/>
  <c r="V83" i="104"/>
  <c r="X83" i="104"/>
  <c r="V121" i="105"/>
  <c r="X121" i="105"/>
  <c r="W121" i="105"/>
  <c r="Y121" i="105"/>
  <c r="X53" i="106"/>
  <c r="V53" i="106"/>
  <c r="Y53" i="106"/>
  <c r="W53" i="106"/>
  <c r="V84" i="108"/>
  <c r="Y84" i="108"/>
  <c r="W84" i="108"/>
  <c r="X84" i="108"/>
  <c r="V83" i="108"/>
  <c r="Y83" i="108"/>
  <c r="W83" i="108"/>
  <c r="X83" i="108"/>
  <c r="X54" i="98"/>
  <c r="V54" i="98"/>
  <c r="W54" i="98"/>
  <c r="Y54" i="98"/>
  <c r="X280" i="98"/>
  <c r="V280" i="98"/>
  <c r="W280" i="98"/>
  <c r="Y280" i="98"/>
  <c r="X168" i="105"/>
  <c r="V168" i="105"/>
  <c r="Y168" i="105"/>
  <c r="W168" i="105"/>
  <c r="V120" i="106"/>
  <c r="Y120" i="106"/>
  <c r="X120" i="106"/>
  <c r="W120" i="106"/>
  <c r="V200" i="104"/>
  <c r="X200" i="104"/>
  <c r="Y200" i="104"/>
  <c r="W200" i="104"/>
  <c r="X53" i="105"/>
  <c r="V53" i="105"/>
  <c r="Y53" i="105"/>
  <c r="W53" i="105"/>
  <c r="V200" i="108"/>
  <c r="X200" i="108"/>
  <c r="Y200" i="108"/>
  <c r="W200" i="108"/>
  <c r="X180" i="108"/>
  <c r="V180" i="108"/>
  <c r="W180" i="108"/>
  <c r="Y180" i="108"/>
  <c r="X4" i="98"/>
  <c r="V4" i="98"/>
  <c r="W4" i="98"/>
  <c r="Y4" i="98"/>
  <c r="X209" i="98"/>
  <c r="V209" i="98"/>
  <c r="Y209" i="98"/>
  <c r="W209" i="98"/>
  <c r="V84" i="105"/>
  <c r="W84" i="105"/>
  <c r="X84" i="105"/>
  <c r="Y84" i="105"/>
  <c r="V83" i="106"/>
  <c r="W83" i="106"/>
  <c r="X83" i="106"/>
  <c r="Y83" i="106"/>
  <c r="X121" i="104"/>
  <c r="Y121" i="104"/>
  <c r="W121" i="104"/>
  <c r="V121" i="104"/>
  <c r="X168" i="107"/>
  <c r="V168" i="107"/>
  <c r="W168" i="107"/>
  <c r="Y168" i="107"/>
  <c r="V120" i="107"/>
  <c r="W120" i="107"/>
  <c r="Y120" i="107"/>
  <c r="X120" i="107"/>
  <c r="X53" i="107"/>
  <c r="V53" i="107"/>
  <c r="Y53" i="107"/>
  <c r="W53" i="107"/>
  <c r="D43" i="107"/>
  <c r="D43" i="108"/>
  <c r="D54" i="108"/>
  <c r="D54" i="107"/>
  <c r="D280" i="108"/>
  <c r="D280" i="107"/>
  <c r="D52" i="108"/>
  <c r="D52" i="107"/>
  <c r="D109" i="108"/>
  <c r="D109" i="107"/>
  <c r="D265" i="108"/>
  <c r="D265" i="107"/>
  <c r="D77" i="108"/>
  <c r="D77" i="107"/>
  <c r="D41" i="108"/>
  <c r="D41" i="107"/>
  <c r="D151" i="108"/>
  <c r="D151" i="107"/>
  <c r="D279" i="108"/>
  <c r="D279" i="107"/>
  <c r="D244" i="108"/>
  <c r="D244" i="107"/>
  <c r="D10" i="108"/>
  <c r="D10" i="107"/>
  <c r="D59" i="108"/>
  <c r="D59" i="107"/>
  <c r="D4" i="108"/>
  <c r="D4" i="107"/>
  <c r="D209" i="108"/>
  <c r="D209" i="107"/>
  <c r="D275" i="108"/>
  <c r="D275" i="107"/>
  <c r="D276" i="108"/>
  <c r="D276" i="107"/>
  <c r="D265" i="106"/>
  <c r="D265" i="105"/>
  <c r="D265" i="104"/>
  <c r="D77" i="106"/>
  <c r="D77" i="104"/>
  <c r="D77" i="105"/>
  <c r="D280" i="106"/>
  <c r="D280" i="105"/>
  <c r="D280" i="104"/>
  <c r="D4" i="106"/>
  <c r="D4" i="105"/>
  <c r="D4" i="104"/>
  <c r="D59" i="106"/>
  <c r="D59" i="104"/>
  <c r="D59" i="105"/>
  <c r="D52" i="106"/>
  <c r="D52" i="104"/>
  <c r="D52" i="105"/>
  <c r="D43" i="106"/>
  <c r="D43" i="104"/>
  <c r="D43" i="105"/>
  <c r="D109" i="106"/>
  <c r="D109" i="104"/>
  <c r="D109" i="105"/>
  <c r="D279" i="106"/>
  <c r="D279" i="105"/>
  <c r="D279" i="104"/>
  <c r="D41" i="106"/>
  <c r="D41" i="104"/>
  <c r="D41" i="105"/>
  <c r="D244" i="106"/>
  <c r="D244" i="105"/>
  <c r="D244" i="104"/>
  <c r="D10" i="106"/>
  <c r="D10" i="105"/>
  <c r="D10" i="104"/>
  <c r="D151" i="106"/>
  <c r="D151" i="104"/>
  <c r="D151" i="105"/>
  <c r="D209" i="106"/>
  <c r="D209" i="104"/>
  <c r="D209" i="105"/>
  <c r="D54" i="106"/>
  <c r="D54" i="104"/>
  <c r="D54" i="105"/>
  <c r="D275" i="106"/>
  <c r="D275" i="105"/>
  <c r="D275" i="104"/>
  <c r="D276" i="106"/>
  <c r="D276" i="105"/>
  <c r="D276" i="104"/>
  <c r="X85" i="98" l="1"/>
  <c r="W85" i="98"/>
  <c r="V85" i="98"/>
  <c r="Y85" i="98"/>
  <c r="X67" i="98"/>
  <c r="W67" i="98"/>
  <c r="V67" i="98"/>
  <c r="Y67" i="98"/>
  <c r="X62" i="98"/>
  <c r="V62" i="98"/>
  <c r="W62" i="98"/>
  <c r="Y62" i="98"/>
  <c r="X275" i="105"/>
  <c r="V275" i="105"/>
  <c r="W275" i="105"/>
  <c r="Y275" i="105"/>
  <c r="X151" i="105"/>
  <c r="V151" i="105"/>
  <c r="Y151" i="105"/>
  <c r="W151" i="105"/>
  <c r="X244" i="106"/>
  <c r="V244" i="106"/>
  <c r="W244" i="106"/>
  <c r="Y244" i="106"/>
  <c r="Y109" i="104"/>
  <c r="W109" i="104"/>
  <c r="V109" i="104"/>
  <c r="X109" i="104"/>
  <c r="X59" i="105"/>
  <c r="V59" i="105"/>
  <c r="Y59" i="105"/>
  <c r="W59" i="105"/>
  <c r="X280" i="106"/>
  <c r="V280" i="106"/>
  <c r="Y280" i="106"/>
  <c r="W280" i="106"/>
  <c r="X276" i="108"/>
  <c r="V276" i="108"/>
  <c r="Y276" i="108"/>
  <c r="W276" i="108"/>
  <c r="X59" i="108"/>
  <c r="V59" i="108"/>
  <c r="Y59" i="108"/>
  <c r="W59" i="108"/>
  <c r="X151" i="108"/>
  <c r="V151" i="108"/>
  <c r="Y151" i="108"/>
  <c r="W151" i="108"/>
  <c r="V109" i="108"/>
  <c r="X109" i="108"/>
  <c r="W109" i="108"/>
  <c r="Y109" i="108"/>
  <c r="X43" i="107"/>
  <c r="V43" i="107"/>
  <c r="Y43" i="107"/>
  <c r="W43" i="107"/>
  <c r="X16" i="98"/>
  <c r="V16" i="98"/>
  <c r="Y16" i="98"/>
  <c r="W16" i="98"/>
  <c r="X94" i="98"/>
  <c r="V94" i="98"/>
  <c r="W94" i="98"/>
  <c r="Y94" i="98"/>
  <c r="X73" i="98"/>
  <c r="W73" i="98"/>
  <c r="V73" i="98"/>
  <c r="Y73" i="98"/>
  <c r="X66" i="98"/>
  <c r="V66" i="98"/>
  <c r="W66" i="98"/>
  <c r="Y66" i="98"/>
  <c r="X64" i="98"/>
  <c r="W64" i="98"/>
  <c r="V64" i="98"/>
  <c r="Y64" i="98"/>
  <c r="X275" i="106"/>
  <c r="V275" i="106"/>
  <c r="W275" i="106"/>
  <c r="Y275" i="106"/>
  <c r="X151" i="104"/>
  <c r="V151" i="104"/>
  <c r="Y151" i="104"/>
  <c r="W151" i="104"/>
  <c r="X41" i="105"/>
  <c r="V41" i="105"/>
  <c r="W41" i="105"/>
  <c r="Y41" i="105"/>
  <c r="V109" i="106"/>
  <c r="X109" i="106"/>
  <c r="Y109" i="106"/>
  <c r="W109" i="106"/>
  <c r="X59" i="104"/>
  <c r="Y59" i="104"/>
  <c r="W59" i="104"/>
  <c r="V59" i="104"/>
  <c r="V77" i="105"/>
  <c r="X77" i="105"/>
  <c r="W77" i="105"/>
  <c r="Y77" i="105"/>
  <c r="X275" i="107"/>
  <c r="V275" i="107"/>
  <c r="Y275" i="107"/>
  <c r="W275" i="107"/>
  <c r="X10" i="107"/>
  <c r="V10" i="107"/>
  <c r="Y10" i="107"/>
  <c r="W10" i="107"/>
  <c r="X41" i="107"/>
  <c r="V41" i="107"/>
  <c r="W41" i="107"/>
  <c r="Y41" i="107"/>
  <c r="X52" i="107"/>
  <c r="V52" i="107"/>
  <c r="W52" i="107"/>
  <c r="Y52" i="107"/>
  <c r="X13" i="98"/>
  <c r="V13" i="98"/>
  <c r="W13" i="98"/>
  <c r="Y13" i="98"/>
  <c r="X76" i="98"/>
  <c r="W76" i="98"/>
  <c r="V76" i="98"/>
  <c r="Y76" i="98"/>
  <c r="X19" i="98"/>
  <c r="V19" i="98"/>
  <c r="Y19" i="98"/>
  <c r="W19" i="98"/>
  <c r="X96" i="98"/>
  <c r="W96" i="98"/>
  <c r="V96" i="98"/>
  <c r="Y96" i="98"/>
  <c r="X181" i="98"/>
  <c r="V181" i="98"/>
  <c r="Y181" i="98"/>
  <c r="W181" i="98"/>
  <c r="X54" i="105"/>
  <c r="V54" i="105"/>
  <c r="W54" i="105"/>
  <c r="Y54" i="105"/>
  <c r="X151" i="106"/>
  <c r="V151" i="106"/>
  <c r="Y151" i="106"/>
  <c r="W151" i="106"/>
  <c r="X41" i="104"/>
  <c r="V41" i="104"/>
  <c r="Y41" i="104"/>
  <c r="W41" i="104"/>
  <c r="X43" i="105"/>
  <c r="V43" i="105"/>
  <c r="W43" i="105"/>
  <c r="Y43" i="105"/>
  <c r="X59" i="106"/>
  <c r="V59" i="106"/>
  <c r="W59" i="106"/>
  <c r="Y59" i="106"/>
  <c r="W77" i="104"/>
  <c r="Y77" i="104"/>
  <c r="V77" i="104"/>
  <c r="X77" i="104"/>
  <c r="X275" i="108"/>
  <c r="V275" i="108"/>
  <c r="W275" i="108"/>
  <c r="Y275" i="108"/>
  <c r="X10" i="108"/>
  <c r="V10" i="108"/>
  <c r="W10" i="108"/>
  <c r="Y10" i="108"/>
  <c r="X41" i="108"/>
  <c r="V41" i="108"/>
  <c r="W41" i="108"/>
  <c r="Y41" i="108"/>
  <c r="X52" i="108"/>
  <c r="V52" i="108"/>
  <c r="W52" i="108"/>
  <c r="Y52" i="108"/>
  <c r="X74" i="98"/>
  <c r="V74" i="98"/>
  <c r="Y74" i="98"/>
  <c r="W74" i="98"/>
  <c r="X267" i="98"/>
  <c r="V267" i="98"/>
  <c r="W267" i="98"/>
  <c r="Y267" i="98"/>
  <c r="X95" i="98"/>
  <c r="W95" i="98"/>
  <c r="V95" i="98"/>
  <c r="Y95" i="98"/>
  <c r="X69" i="98"/>
  <c r="V69" i="98"/>
  <c r="W69" i="98"/>
  <c r="Y69" i="98"/>
  <c r="X54" i="104"/>
  <c r="W54" i="104"/>
  <c r="V54" i="104"/>
  <c r="Y54" i="104"/>
  <c r="X10" i="104"/>
  <c r="Y10" i="104"/>
  <c r="W10" i="104"/>
  <c r="V10" i="104"/>
  <c r="X41" i="106"/>
  <c r="V41" i="106"/>
  <c r="W41" i="106"/>
  <c r="Y41" i="106"/>
  <c r="X43" i="104"/>
  <c r="V43" i="104"/>
  <c r="Y43" i="104"/>
  <c r="W43" i="104"/>
  <c r="X4" i="104"/>
  <c r="V4" i="104"/>
  <c r="Y4" i="104"/>
  <c r="W4" i="104"/>
  <c r="V77" i="106"/>
  <c r="Y77" i="106"/>
  <c r="X77" i="106"/>
  <c r="W77" i="106"/>
  <c r="X209" i="107"/>
  <c r="V209" i="107"/>
  <c r="W209" i="107"/>
  <c r="Y209" i="107"/>
  <c r="X244" i="107"/>
  <c r="V244" i="107"/>
  <c r="Y244" i="107"/>
  <c r="W244" i="107"/>
  <c r="V77" i="107"/>
  <c r="X77" i="107"/>
  <c r="W77" i="107"/>
  <c r="Y77" i="107"/>
  <c r="X280" i="107"/>
  <c r="V280" i="107"/>
  <c r="W280" i="107"/>
  <c r="Y280" i="107"/>
  <c r="X268" i="98"/>
  <c r="V268" i="98"/>
  <c r="W268" i="98"/>
  <c r="Y268" i="98"/>
  <c r="X264" i="98"/>
  <c r="V264" i="98"/>
  <c r="Y264" i="98"/>
  <c r="W264" i="98"/>
  <c r="X107" i="98"/>
  <c r="W107" i="98"/>
  <c r="V107" i="98"/>
  <c r="Y107" i="98"/>
  <c r="X65" i="98"/>
  <c r="W65" i="98"/>
  <c r="Y65" i="98"/>
  <c r="V65" i="98"/>
  <c r="X276" i="104"/>
  <c r="W276" i="104"/>
  <c r="Y276" i="104"/>
  <c r="V276" i="104"/>
  <c r="X54" i="106"/>
  <c r="V54" i="106"/>
  <c r="Y54" i="106"/>
  <c r="W54" i="106"/>
  <c r="X10" i="105"/>
  <c r="V10" i="105"/>
  <c r="Y10" i="105"/>
  <c r="W10" i="105"/>
  <c r="X279" i="104"/>
  <c r="V279" i="104"/>
  <c r="Y279" i="104"/>
  <c r="W279" i="104"/>
  <c r="X43" i="106"/>
  <c r="V43" i="106"/>
  <c r="Y43" i="106"/>
  <c r="W43" i="106"/>
  <c r="X4" i="105"/>
  <c r="V4" i="105"/>
  <c r="Y4" i="105"/>
  <c r="W4" i="105"/>
  <c r="X265" i="104"/>
  <c r="V265" i="104"/>
  <c r="W265" i="104"/>
  <c r="Y265" i="104"/>
  <c r="X209" i="108"/>
  <c r="V209" i="108"/>
  <c r="Y209" i="108"/>
  <c r="W209" i="108"/>
  <c r="X244" i="108"/>
  <c r="V244" i="108"/>
  <c r="W244" i="108"/>
  <c r="Y244" i="108"/>
  <c r="V77" i="108"/>
  <c r="Y77" i="108"/>
  <c r="X77" i="108"/>
  <c r="W77" i="108"/>
  <c r="X280" i="108"/>
  <c r="V280" i="108"/>
  <c r="W280" i="108"/>
  <c r="Y280" i="108"/>
  <c r="X266" i="98"/>
  <c r="V266" i="98"/>
  <c r="Y266" i="98"/>
  <c r="W266" i="98"/>
  <c r="X171" i="98"/>
  <c r="V171" i="98"/>
  <c r="W171" i="98"/>
  <c r="Y171" i="98"/>
  <c r="X98" i="98"/>
  <c r="V98" i="98"/>
  <c r="W98" i="98"/>
  <c r="Y98" i="98"/>
  <c r="X263" i="98"/>
  <c r="V263" i="98"/>
  <c r="Y263" i="98"/>
  <c r="W263" i="98"/>
  <c r="X108" i="98"/>
  <c r="V108" i="98"/>
  <c r="Y108" i="98"/>
  <c r="W108" i="98"/>
  <c r="X71" i="98"/>
  <c r="W71" i="98"/>
  <c r="V71" i="98"/>
  <c r="Y71" i="98"/>
  <c r="X276" i="105"/>
  <c r="V276" i="105"/>
  <c r="Y276" i="105"/>
  <c r="W276" i="105"/>
  <c r="X209" i="105"/>
  <c r="V209" i="105"/>
  <c r="W209" i="105"/>
  <c r="Y209" i="105"/>
  <c r="X10" i="106"/>
  <c r="V10" i="106"/>
  <c r="W10" i="106"/>
  <c r="Y10" i="106"/>
  <c r="X279" i="105"/>
  <c r="V279" i="105"/>
  <c r="W279" i="105"/>
  <c r="Y279" i="105"/>
  <c r="X52" i="105"/>
  <c r="V52" i="105"/>
  <c r="W52" i="105"/>
  <c r="Y52" i="105"/>
  <c r="X4" i="106"/>
  <c r="V4" i="106"/>
  <c r="W4" i="106"/>
  <c r="Y4" i="106"/>
  <c r="X265" i="105"/>
  <c r="V265" i="105"/>
  <c r="Y265" i="105"/>
  <c r="W265" i="105"/>
  <c r="X4" i="107"/>
  <c r="V4" i="107"/>
  <c r="Y4" i="107"/>
  <c r="W4" i="107"/>
  <c r="X279" i="107"/>
  <c r="V279" i="107"/>
  <c r="Y279" i="107"/>
  <c r="W279" i="107"/>
  <c r="X265" i="107"/>
  <c r="V265" i="107"/>
  <c r="Y265" i="107"/>
  <c r="W265" i="107"/>
  <c r="X54" i="107"/>
  <c r="V54" i="107"/>
  <c r="W54" i="107"/>
  <c r="Y54" i="107"/>
  <c r="X103" i="98"/>
  <c r="V103" i="98"/>
  <c r="Y103" i="98"/>
  <c r="W103" i="98"/>
  <c r="X90" i="98"/>
  <c r="W90" i="98"/>
  <c r="Y90" i="98"/>
  <c r="V90" i="98"/>
  <c r="X110" i="98"/>
  <c r="W110" i="98"/>
  <c r="V110" i="98"/>
  <c r="Y110" i="98"/>
  <c r="X63" i="98"/>
  <c r="V63" i="98"/>
  <c r="Y63" i="98"/>
  <c r="W63" i="98"/>
  <c r="X276" i="106"/>
  <c r="V276" i="106"/>
  <c r="W276" i="106"/>
  <c r="Y276" i="106"/>
  <c r="X209" i="104"/>
  <c r="V209" i="104"/>
  <c r="W209" i="104"/>
  <c r="Y209" i="104"/>
  <c r="X244" i="104"/>
  <c r="V244" i="104"/>
  <c r="Y244" i="104"/>
  <c r="W244" i="104"/>
  <c r="X279" i="106"/>
  <c r="V279" i="106"/>
  <c r="W279" i="106"/>
  <c r="Y279" i="106"/>
  <c r="X52" i="104"/>
  <c r="Y52" i="104"/>
  <c r="W52" i="104"/>
  <c r="V52" i="104"/>
  <c r="X280" i="104"/>
  <c r="V280" i="104"/>
  <c r="Y280" i="104"/>
  <c r="W280" i="104"/>
  <c r="X265" i="106"/>
  <c r="V265" i="106"/>
  <c r="Y265" i="106"/>
  <c r="W265" i="106"/>
  <c r="X4" i="108"/>
  <c r="V4" i="108"/>
  <c r="W4" i="108"/>
  <c r="Y4" i="108"/>
  <c r="X279" i="108"/>
  <c r="V279" i="108"/>
  <c r="Y279" i="108"/>
  <c r="W279" i="108"/>
  <c r="X265" i="108"/>
  <c r="V265" i="108"/>
  <c r="Y265" i="108"/>
  <c r="W265" i="108"/>
  <c r="X54" i="108"/>
  <c r="V54" i="108"/>
  <c r="Y54" i="108"/>
  <c r="W54" i="108"/>
  <c r="X125" i="98"/>
  <c r="W125" i="98"/>
  <c r="V125" i="98"/>
  <c r="Y125" i="98"/>
  <c r="X89" i="98"/>
  <c r="Y89" i="98"/>
  <c r="W89" i="98"/>
  <c r="V89" i="98"/>
  <c r="X78" i="98"/>
  <c r="V78" i="98"/>
  <c r="W78" i="98"/>
  <c r="Y78" i="98"/>
  <c r="X70" i="98"/>
  <c r="W70" i="98"/>
  <c r="V70" i="98"/>
  <c r="Y70" i="98"/>
  <c r="X275" i="104"/>
  <c r="Y275" i="104"/>
  <c r="W275" i="104"/>
  <c r="V275" i="104"/>
  <c r="X209" i="106"/>
  <c r="V209" i="106"/>
  <c r="Y209" i="106"/>
  <c r="W209" i="106"/>
  <c r="X244" i="105"/>
  <c r="V244" i="105"/>
  <c r="W244" i="105"/>
  <c r="Y244" i="105"/>
  <c r="X109" i="105"/>
  <c r="V109" i="105"/>
  <c r="W109" i="105"/>
  <c r="Y109" i="105"/>
  <c r="X52" i="106"/>
  <c r="V52" i="106"/>
  <c r="Y52" i="106"/>
  <c r="W52" i="106"/>
  <c r="X280" i="105"/>
  <c r="V280" i="105"/>
  <c r="Y280" i="105"/>
  <c r="W280" i="105"/>
  <c r="X276" i="107"/>
  <c r="V276" i="107"/>
  <c r="Y276" i="107"/>
  <c r="W276" i="107"/>
  <c r="X59" i="107"/>
  <c r="V59" i="107"/>
  <c r="Y59" i="107"/>
  <c r="W59" i="107"/>
  <c r="X151" i="107"/>
  <c r="V151" i="107"/>
  <c r="W151" i="107"/>
  <c r="Y151" i="107"/>
  <c r="V109" i="107"/>
  <c r="W109" i="107"/>
  <c r="Y109" i="107"/>
  <c r="X109" i="107"/>
  <c r="X43" i="108"/>
  <c r="V43" i="108"/>
  <c r="Y43" i="108"/>
  <c r="W43" i="108"/>
  <c r="D263" i="108"/>
  <c r="D263" i="107"/>
  <c r="D78" i="108"/>
  <c r="D78" i="107"/>
  <c r="D74" i="108"/>
  <c r="D74" i="107"/>
  <c r="D67" i="108"/>
  <c r="D67" i="107"/>
  <c r="D62" i="108"/>
  <c r="D62" i="107"/>
  <c r="D71" i="108"/>
  <c r="D71" i="107"/>
  <c r="D110" i="108"/>
  <c r="D110" i="107"/>
  <c r="D63" i="108"/>
  <c r="D63" i="107"/>
  <c r="D85" i="108"/>
  <c r="D85" i="107"/>
  <c r="D16" i="108"/>
  <c r="D16" i="107"/>
  <c r="D94" i="108"/>
  <c r="D94" i="107"/>
  <c r="D73" i="108"/>
  <c r="D73" i="107"/>
  <c r="D66" i="107"/>
  <c r="D66" i="108"/>
  <c r="D64" i="108"/>
  <c r="D64" i="107"/>
  <c r="D98" i="107"/>
  <c r="D98" i="108"/>
  <c r="D125" i="108"/>
  <c r="D125" i="107"/>
  <c r="D70" i="108"/>
  <c r="D70" i="107"/>
  <c r="D13" i="108"/>
  <c r="D13" i="107"/>
  <c r="D76" i="108"/>
  <c r="D76" i="107"/>
  <c r="D19" i="107"/>
  <c r="D19" i="108"/>
  <c r="D96" i="108"/>
  <c r="D96" i="107"/>
  <c r="D181" i="108"/>
  <c r="D181" i="107"/>
  <c r="D108" i="108"/>
  <c r="D108" i="107"/>
  <c r="D103" i="108"/>
  <c r="D103" i="107"/>
  <c r="D89" i="108"/>
  <c r="D89" i="107"/>
  <c r="D267" i="108"/>
  <c r="D267" i="107"/>
  <c r="D266" i="108"/>
  <c r="D266" i="107"/>
  <c r="D171" i="107"/>
  <c r="D171" i="108"/>
  <c r="D95" i="108"/>
  <c r="D95" i="107"/>
  <c r="D69" i="108"/>
  <c r="D69" i="107"/>
  <c r="D90" i="108"/>
  <c r="D90" i="107"/>
  <c r="D268" i="108"/>
  <c r="D268" i="107"/>
  <c r="D264" i="108"/>
  <c r="D264" i="107"/>
  <c r="D107" i="107"/>
  <c r="D107" i="108"/>
  <c r="D65" i="108"/>
  <c r="D65" i="107"/>
  <c r="D125" i="106"/>
  <c r="D125" i="104"/>
  <c r="D125" i="105"/>
  <c r="D78" i="106"/>
  <c r="D78" i="104"/>
  <c r="D78" i="105"/>
  <c r="D70" i="106"/>
  <c r="D70" i="104"/>
  <c r="D70" i="105"/>
  <c r="D16" i="106"/>
  <c r="D16" i="105"/>
  <c r="D16" i="104"/>
  <c r="D94" i="106"/>
  <c r="D94" i="104"/>
  <c r="D94" i="105"/>
  <c r="D98" i="106"/>
  <c r="D98" i="104"/>
  <c r="D98" i="105"/>
  <c r="D263" i="106"/>
  <c r="D263" i="105"/>
  <c r="D263" i="104"/>
  <c r="D108" i="106"/>
  <c r="D108" i="104"/>
  <c r="D108" i="105"/>
  <c r="D71" i="106"/>
  <c r="D71" i="104"/>
  <c r="D71" i="105"/>
  <c r="D103" i="106"/>
  <c r="D103" i="104"/>
  <c r="D103" i="105"/>
  <c r="D90" i="106"/>
  <c r="D90" i="104"/>
  <c r="D90" i="105"/>
  <c r="D110" i="106"/>
  <c r="D110" i="104"/>
  <c r="D110" i="105"/>
  <c r="D63" i="106"/>
  <c r="D63" i="104"/>
  <c r="D63" i="105"/>
  <c r="D89" i="106"/>
  <c r="D89" i="104"/>
  <c r="D89" i="105"/>
  <c r="D74" i="106"/>
  <c r="D74" i="104"/>
  <c r="D74" i="105"/>
  <c r="D66" i="106"/>
  <c r="D66" i="104"/>
  <c r="D66" i="105"/>
  <c r="D13" i="106"/>
  <c r="D13" i="105"/>
  <c r="D13" i="104"/>
  <c r="D76" i="106"/>
  <c r="D76" i="104"/>
  <c r="D76" i="105"/>
  <c r="D19" i="106"/>
  <c r="D19" i="105"/>
  <c r="D19" i="104"/>
  <c r="D96" i="106"/>
  <c r="D96" i="104"/>
  <c r="D96" i="105"/>
  <c r="D181" i="106"/>
  <c r="D181" i="104"/>
  <c r="D181" i="105"/>
  <c r="D67" i="106"/>
  <c r="D67" i="104"/>
  <c r="D67" i="105"/>
  <c r="D266" i="106"/>
  <c r="D266" i="105"/>
  <c r="D266" i="104"/>
  <c r="D171" i="106"/>
  <c r="D171" i="104"/>
  <c r="D171" i="105"/>
  <c r="D95" i="106"/>
  <c r="D95" i="104"/>
  <c r="D95" i="105"/>
  <c r="D69" i="106"/>
  <c r="D69" i="104"/>
  <c r="D69" i="105"/>
  <c r="D85" i="106"/>
  <c r="D85" i="104"/>
  <c r="D85" i="105"/>
  <c r="D62" i="106"/>
  <c r="D62" i="104"/>
  <c r="D62" i="105"/>
  <c r="D73" i="106"/>
  <c r="D73" i="104"/>
  <c r="D73" i="105"/>
  <c r="D64" i="106"/>
  <c r="D64" i="104"/>
  <c r="D64" i="105"/>
  <c r="D267" i="106"/>
  <c r="D267" i="105"/>
  <c r="D267" i="104"/>
  <c r="D268" i="106"/>
  <c r="D268" i="105"/>
  <c r="D268" i="104"/>
  <c r="D264" i="106"/>
  <c r="D264" i="105"/>
  <c r="D264" i="104"/>
  <c r="D107" i="106"/>
  <c r="D107" i="104"/>
  <c r="D107" i="105"/>
  <c r="D65" i="106"/>
  <c r="D65" i="104"/>
  <c r="D65" i="105"/>
  <c r="X62" i="104" l="1"/>
  <c r="V62" i="104"/>
  <c r="Y62" i="104"/>
  <c r="W62" i="104"/>
  <c r="X96" i="104"/>
  <c r="W96" i="104"/>
  <c r="V96" i="104"/>
  <c r="Y96" i="104"/>
  <c r="X110" i="104"/>
  <c r="W110" i="104"/>
  <c r="V110" i="104"/>
  <c r="Y110" i="104"/>
  <c r="X16" i="105"/>
  <c r="V16" i="105"/>
  <c r="W16" i="105"/>
  <c r="Y16" i="105"/>
  <c r="X264" i="108"/>
  <c r="V264" i="108"/>
  <c r="Y264" i="108"/>
  <c r="W264" i="108"/>
  <c r="X96" i="108"/>
  <c r="V96" i="108"/>
  <c r="Y96" i="108"/>
  <c r="W96" i="108"/>
  <c r="X62" i="108"/>
  <c r="V62" i="108"/>
  <c r="Y62" i="108"/>
  <c r="W62" i="108"/>
  <c r="X62" i="106"/>
  <c r="V62" i="106"/>
  <c r="Y62" i="106"/>
  <c r="W62" i="106"/>
  <c r="X96" i="106"/>
  <c r="V96" i="106"/>
  <c r="Y96" i="106"/>
  <c r="W96" i="106"/>
  <c r="X110" i="106"/>
  <c r="V110" i="106"/>
  <c r="Y110" i="106"/>
  <c r="W110" i="106"/>
  <c r="X98" i="105"/>
  <c r="V98" i="105"/>
  <c r="W98" i="105"/>
  <c r="Y98" i="105"/>
  <c r="X16" i="106"/>
  <c r="V16" i="106"/>
  <c r="W16" i="106"/>
  <c r="Y16" i="106"/>
  <c r="X125" i="104"/>
  <c r="W125" i="104"/>
  <c r="Y125" i="104"/>
  <c r="V125" i="104"/>
  <c r="X268" i="107"/>
  <c r="V268" i="107"/>
  <c r="W268" i="107"/>
  <c r="Y268" i="107"/>
  <c r="X171" i="108"/>
  <c r="V171" i="108"/>
  <c r="W171" i="108"/>
  <c r="Y171" i="108"/>
  <c r="X103" i="107"/>
  <c r="V103" i="107"/>
  <c r="Y103" i="107"/>
  <c r="W103" i="107"/>
  <c r="X19" i="108"/>
  <c r="V19" i="108"/>
  <c r="W19" i="108"/>
  <c r="Y19" i="108"/>
  <c r="X125" i="107"/>
  <c r="V125" i="107"/>
  <c r="W125" i="107"/>
  <c r="Y125" i="107"/>
  <c r="X73" i="107"/>
  <c r="V73" i="107"/>
  <c r="Y73" i="107"/>
  <c r="W73" i="107"/>
  <c r="X63" i="107"/>
  <c r="V63" i="107"/>
  <c r="W63" i="107"/>
  <c r="Y63" i="107"/>
  <c r="X67" i="107"/>
  <c r="V67" i="107"/>
  <c r="Y67" i="107"/>
  <c r="W67" i="107"/>
  <c r="X65" i="105"/>
  <c r="V65" i="105"/>
  <c r="W65" i="105"/>
  <c r="Y65" i="105"/>
  <c r="X264" i="106"/>
  <c r="V264" i="106"/>
  <c r="Y264" i="106"/>
  <c r="W264" i="106"/>
  <c r="X64" i="104"/>
  <c r="W64" i="104"/>
  <c r="V64" i="104"/>
  <c r="Y64" i="104"/>
  <c r="X85" i="105"/>
  <c r="V85" i="105"/>
  <c r="Y85" i="105"/>
  <c r="W85" i="105"/>
  <c r="X95" i="106"/>
  <c r="V95" i="106"/>
  <c r="W95" i="106"/>
  <c r="Y95" i="106"/>
  <c r="X67" i="104"/>
  <c r="Y67" i="104"/>
  <c r="W67" i="104"/>
  <c r="V67" i="104"/>
  <c r="X19" i="104"/>
  <c r="V19" i="104"/>
  <c r="W19" i="104"/>
  <c r="Y19" i="104"/>
  <c r="X13" i="106"/>
  <c r="V13" i="106"/>
  <c r="Y13" i="106"/>
  <c r="W13" i="106"/>
  <c r="X89" i="104"/>
  <c r="Y89" i="104"/>
  <c r="W89" i="104"/>
  <c r="V89" i="104"/>
  <c r="X90" i="105"/>
  <c r="V90" i="105"/>
  <c r="W90" i="105"/>
  <c r="Y90" i="105"/>
  <c r="X71" i="106"/>
  <c r="V71" i="106"/>
  <c r="Y71" i="106"/>
  <c r="W71" i="106"/>
  <c r="X98" i="104"/>
  <c r="Y98" i="104"/>
  <c r="W98" i="104"/>
  <c r="V98" i="104"/>
  <c r="X70" i="105"/>
  <c r="V70" i="105"/>
  <c r="Y70" i="105"/>
  <c r="W70" i="105"/>
  <c r="X125" i="106"/>
  <c r="V125" i="106"/>
  <c r="W125" i="106"/>
  <c r="Y125" i="106"/>
  <c r="X268" i="108"/>
  <c r="V268" i="108"/>
  <c r="Y268" i="108"/>
  <c r="W268" i="108"/>
  <c r="X171" i="107"/>
  <c r="V171" i="107"/>
  <c r="W171" i="107"/>
  <c r="Y171" i="107"/>
  <c r="X103" i="108"/>
  <c r="V103" i="108"/>
  <c r="Y103" i="108"/>
  <c r="W103" i="108"/>
  <c r="X19" i="107"/>
  <c r="V19" i="107"/>
  <c r="Y19" i="107"/>
  <c r="W19" i="107"/>
  <c r="X125" i="108"/>
  <c r="V125" i="108"/>
  <c r="Y125" i="108"/>
  <c r="W125" i="108"/>
  <c r="X73" i="108"/>
  <c r="V73" i="108"/>
  <c r="W73" i="108"/>
  <c r="Y73" i="108"/>
  <c r="X63" i="108"/>
  <c r="V63" i="108"/>
  <c r="Y63" i="108"/>
  <c r="W63" i="108"/>
  <c r="X67" i="108"/>
  <c r="V67" i="108"/>
  <c r="W67" i="108"/>
  <c r="Y67" i="108"/>
  <c r="X264" i="104"/>
  <c r="V264" i="104"/>
  <c r="W264" i="104"/>
  <c r="Y264" i="104"/>
  <c r="X95" i="105"/>
  <c r="V95" i="105"/>
  <c r="W95" i="105"/>
  <c r="Y95" i="105"/>
  <c r="X13" i="104"/>
  <c r="V13" i="104"/>
  <c r="W13" i="104"/>
  <c r="Y13" i="104"/>
  <c r="X71" i="105"/>
  <c r="V71" i="105"/>
  <c r="W71" i="105"/>
  <c r="Y71" i="105"/>
  <c r="X125" i="105"/>
  <c r="V125" i="105"/>
  <c r="W125" i="105"/>
  <c r="Y125" i="105"/>
  <c r="X89" i="108"/>
  <c r="V89" i="108"/>
  <c r="Y89" i="108"/>
  <c r="W89" i="108"/>
  <c r="X70" i="108"/>
  <c r="V70" i="108"/>
  <c r="W70" i="108"/>
  <c r="Y70" i="108"/>
  <c r="X85" i="108"/>
  <c r="V85" i="108"/>
  <c r="Y85" i="108"/>
  <c r="W85" i="108"/>
  <c r="X263" i="108"/>
  <c r="V263" i="108"/>
  <c r="W263" i="108"/>
  <c r="Y263" i="108"/>
  <c r="X64" i="105"/>
  <c r="V64" i="105"/>
  <c r="Y64" i="105"/>
  <c r="W64" i="105"/>
  <c r="X95" i="104"/>
  <c r="W95" i="104"/>
  <c r="Y95" i="104"/>
  <c r="V95" i="104"/>
  <c r="X13" i="105"/>
  <c r="V13" i="105"/>
  <c r="Y13" i="105"/>
  <c r="W13" i="105"/>
  <c r="X71" i="104"/>
  <c r="W71" i="104"/>
  <c r="V71" i="104"/>
  <c r="Y71" i="104"/>
  <c r="X65" i="104"/>
  <c r="Y65" i="104"/>
  <c r="W65" i="104"/>
  <c r="V65" i="104"/>
  <c r="X64" i="106"/>
  <c r="V64" i="106"/>
  <c r="Y64" i="106"/>
  <c r="W64" i="106"/>
  <c r="X171" i="105"/>
  <c r="V171" i="105"/>
  <c r="Y171" i="105"/>
  <c r="W171" i="105"/>
  <c r="X67" i="106"/>
  <c r="V67" i="106"/>
  <c r="W67" i="106"/>
  <c r="Y67" i="106"/>
  <c r="X66" i="105"/>
  <c r="V66" i="105"/>
  <c r="W66" i="105"/>
  <c r="Y66" i="105"/>
  <c r="X89" i="106"/>
  <c r="V89" i="106"/>
  <c r="Y89" i="106"/>
  <c r="W89" i="106"/>
  <c r="X108" i="105"/>
  <c r="V108" i="105"/>
  <c r="Y108" i="105"/>
  <c r="W108" i="105"/>
  <c r="X98" i="106"/>
  <c r="V98" i="106"/>
  <c r="W98" i="106"/>
  <c r="Y98" i="106"/>
  <c r="X65" i="107"/>
  <c r="V65" i="107"/>
  <c r="W65" i="107"/>
  <c r="Y65" i="107"/>
  <c r="X266" i="107"/>
  <c r="V266" i="107"/>
  <c r="Y266" i="107"/>
  <c r="W266" i="107"/>
  <c r="X108" i="107"/>
  <c r="V108" i="107"/>
  <c r="Y108" i="107"/>
  <c r="W108" i="107"/>
  <c r="X98" i="108"/>
  <c r="V98" i="108"/>
  <c r="Y98" i="108"/>
  <c r="W98" i="108"/>
  <c r="X94" i="107"/>
  <c r="V94" i="107"/>
  <c r="W94" i="107"/>
  <c r="Y94" i="107"/>
  <c r="X74" i="107"/>
  <c r="V74" i="107"/>
  <c r="W74" i="107"/>
  <c r="Y74" i="107"/>
  <c r="X73" i="105"/>
  <c r="V73" i="105"/>
  <c r="Y73" i="105"/>
  <c r="W73" i="105"/>
  <c r="X171" i="104"/>
  <c r="V171" i="104"/>
  <c r="Y171" i="104"/>
  <c r="W171" i="104"/>
  <c r="X19" i="106"/>
  <c r="V19" i="106"/>
  <c r="W19" i="106"/>
  <c r="Y19" i="106"/>
  <c r="X66" i="104"/>
  <c r="Y66" i="104"/>
  <c r="V66" i="104"/>
  <c r="W66" i="104"/>
  <c r="X63" i="105"/>
  <c r="V63" i="105"/>
  <c r="Y63" i="105"/>
  <c r="W63" i="105"/>
  <c r="X90" i="106"/>
  <c r="V90" i="106"/>
  <c r="W90" i="106"/>
  <c r="Y90" i="106"/>
  <c r="X108" i="104"/>
  <c r="W108" i="104"/>
  <c r="Y108" i="104"/>
  <c r="V108" i="104"/>
  <c r="X94" i="105"/>
  <c r="V94" i="105"/>
  <c r="W94" i="105"/>
  <c r="Y94" i="105"/>
  <c r="X70" i="106"/>
  <c r="V70" i="106"/>
  <c r="W70" i="106"/>
  <c r="Y70" i="106"/>
  <c r="X65" i="108"/>
  <c r="V65" i="108"/>
  <c r="Y65" i="108"/>
  <c r="W65" i="108"/>
  <c r="X90" i="108"/>
  <c r="V90" i="108"/>
  <c r="Y90" i="108"/>
  <c r="W90" i="108"/>
  <c r="X266" i="108"/>
  <c r="V266" i="108"/>
  <c r="W266" i="108"/>
  <c r="Y266" i="108"/>
  <c r="X108" i="108"/>
  <c r="V108" i="108"/>
  <c r="Y108" i="108"/>
  <c r="W108" i="108"/>
  <c r="X76" i="108"/>
  <c r="V76" i="108"/>
  <c r="Y76" i="108"/>
  <c r="W76" i="108"/>
  <c r="X98" i="107"/>
  <c r="V98" i="107"/>
  <c r="Y98" i="107"/>
  <c r="W98" i="107"/>
  <c r="X94" i="108"/>
  <c r="V94" i="108"/>
  <c r="W94" i="108"/>
  <c r="Y94" i="108"/>
  <c r="X110" i="108"/>
  <c r="V110" i="108"/>
  <c r="W110" i="108"/>
  <c r="Y110" i="108"/>
  <c r="X74" i="108"/>
  <c r="V74" i="108"/>
  <c r="Y74" i="108"/>
  <c r="W74" i="108"/>
  <c r="X267" i="106"/>
  <c r="V267" i="106"/>
  <c r="Y267" i="106"/>
  <c r="W267" i="106"/>
  <c r="X266" i="106"/>
  <c r="V266" i="106"/>
  <c r="Y266" i="106"/>
  <c r="W266" i="106"/>
  <c r="X74" i="106"/>
  <c r="V74" i="106"/>
  <c r="Y74" i="106"/>
  <c r="W74" i="106"/>
  <c r="X263" i="106"/>
  <c r="V263" i="106"/>
  <c r="W263" i="106"/>
  <c r="Y263" i="106"/>
  <c r="X95" i="108"/>
  <c r="V95" i="108"/>
  <c r="Y95" i="108"/>
  <c r="W95" i="108"/>
  <c r="X66" i="107"/>
  <c r="V66" i="107"/>
  <c r="Y66" i="107"/>
  <c r="W66" i="107"/>
  <c r="X264" i="105"/>
  <c r="V264" i="105"/>
  <c r="W264" i="105"/>
  <c r="Y264" i="105"/>
  <c r="X67" i="105"/>
  <c r="V67" i="105"/>
  <c r="Y67" i="105"/>
  <c r="W67" i="105"/>
  <c r="X89" i="105"/>
  <c r="V89" i="105"/>
  <c r="W89" i="105"/>
  <c r="Y89" i="105"/>
  <c r="X268" i="104"/>
  <c r="V268" i="104"/>
  <c r="Y268" i="104"/>
  <c r="W268" i="104"/>
  <c r="X85" i="104"/>
  <c r="Y85" i="104"/>
  <c r="W85" i="104"/>
  <c r="V85" i="104"/>
  <c r="X19" i="105"/>
  <c r="V19" i="105"/>
  <c r="W19" i="105"/>
  <c r="Y19" i="105"/>
  <c r="X90" i="104"/>
  <c r="W90" i="104"/>
  <c r="V90" i="104"/>
  <c r="Y90" i="104"/>
  <c r="X70" i="104"/>
  <c r="Y70" i="104"/>
  <c r="W70" i="104"/>
  <c r="V70" i="104"/>
  <c r="X90" i="107"/>
  <c r="V90" i="107"/>
  <c r="W90" i="107"/>
  <c r="Y90" i="107"/>
  <c r="X76" i="107"/>
  <c r="V76" i="107"/>
  <c r="Y76" i="107"/>
  <c r="W76" i="107"/>
  <c r="X110" i="107"/>
  <c r="V110" i="107"/>
  <c r="Y110" i="107"/>
  <c r="W110" i="107"/>
  <c r="X65" i="106"/>
  <c r="V65" i="106"/>
  <c r="W65" i="106"/>
  <c r="Y65" i="106"/>
  <c r="X268" i="105"/>
  <c r="V268" i="105"/>
  <c r="Y268" i="105"/>
  <c r="W268" i="105"/>
  <c r="X85" i="106"/>
  <c r="V85" i="106"/>
  <c r="W85" i="106"/>
  <c r="Y85" i="106"/>
  <c r="X181" i="105"/>
  <c r="V181" i="105"/>
  <c r="Y181" i="105"/>
  <c r="W181" i="105"/>
  <c r="X107" i="105"/>
  <c r="V107" i="105"/>
  <c r="Y107" i="105"/>
  <c r="W107" i="105"/>
  <c r="X268" i="106"/>
  <c r="V268" i="106"/>
  <c r="Y268" i="106"/>
  <c r="W268" i="106"/>
  <c r="X73" i="104"/>
  <c r="W73" i="104"/>
  <c r="Y73" i="104"/>
  <c r="V73" i="104"/>
  <c r="X69" i="105"/>
  <c r="V69" i="105"/>
  <c r="W69" i="105"/>
  <c r="Y69" i="105"/>
  <c r="X171" i="106"/>
  <c r="V171" i="106"/>
  <c r="W171" i="106"/>
  <c r="Y171" i="106"/>
  <c r="X181" i="104"/>
  <c r="V181" i="104"/>
  <c r="Y181" i="104"/>
  <c r="W181" i="104"/>
  <c r="X76" i="105"/>
  <c r="V76" i="105"/>
  <c r="W76" i="105"/>
  <c r="Y76" i="105"/>
  <c r="X66" i="106"/>
  <c r="V66" i="106"/>
  <c r="W66" i="106"/>
  <c r="Y66" i="106"/>
  <c r="X63" i="104"/>
  <c r="W63" i="104"/>
  <c r="V63" i="104"/>
  <c r="Y63" i="104"/>
  <c r="X103" i="105"/>
  <c r="V103" i="105"/>
  <c r="W103" i="105"/>
  <c r="Y103" i="105"/>
  <c r="X108" i="106"/>
  <c r="V108" i="106"/>
  <c r="W108" i="106"/>
  <c r="Y108" i="106"/>
  <c r="X94" i="104"/>
  <c r="Y94" i="104"/>
  <c r="W94" i="104"/>
  <c r="V94" i="104"/>
  <c r="X78" i="105"/>
  <c r="V78" i="105"/>
  <c r="Y78" i="105"/>
  <c r="W78" i="105"/>
  <c r="X107" i="108"/>
  <c r="V107" i="108"/>
  <c r="W107" i="108"/>
  <c r="Y107" i="108"/>
  <c r="X69" i="107"/>
  <c r="V69" i="107"/>
  <c r="Y69" i="107"/>
  <c r="W69" i="107"/>
  <c r="X267" i="107"/>
  <c r="V267" i="107"/>
  <c r="W267" i="107"/>
  <c r="Y267" i="107"/>
  <c r="X181" i="107"/>
  <c r="V181" i="107"/>
  <c r="W181" i="107"/>
  <c r="Y181" i="107"/>
  <c r="X13" i="107"/>
  <c r="V13" i="107"/>
  <c r="W13" i="107"/>
  <c r="Y13" i="107"/>
  <c r="X64" i="107"/>
  <c r="V64" i="107"/>
  <c r="W64" i="107"/>
  <c r="Y64" i="107"/>
  <c r="X16" i="107"/>
  <c r="V16" i="107"/>
  <c r="Y16" i="107"/>
  <c r="W16" i="107"/>
  <c r="X71" i="107"/>
  <c r="V71" i="107"/>
  <c r="Y71" i="107"/>
  <c r="W71" i="107"/>
  <c r="X78" i="107"/>
  <c r="V78" i="107"/>
  <c r="W78" i="107"/>
  <c r="Y78" i="107"/>
  <c r="X107" i="104"/>
  <c r="W107" i="104"/>
  <c r="Y107" i="104"/>
  <c r="V107" i="104"/>
  <c r="X267" i="104"/>
  <c r="V267" i="104"/>
  <c r="W267" i="104"/>
  <c r="Y267" i="104"/>
  <c r="X73" i="106"/>
  <c r="V73" i="106"/>
  <c r="W73" i="106"/>
  <c r="Y73" i="106"/>
  <c r="X69" i="104"/>
  <c r="Y69" i="104"/>
  <c r="W69" i="104"/>
  <c r="V69" i="104"/>
  <c r="X266" i="104"/>
  <c r="V266" i="104"/>
  <c r="Y266" i="104"/>
  <c r="W266" i="104"/>
  <c r="X181" i="106"/>
  <c r="V181" i="106"/>
  <c r="W181" i="106"/>
  <c r="Y181" i="106"/>
  <c r="X76" i="104"/>
  <c r="W76" i="104"/>
  <c r="Y76" i="104"/>
  <c r="V76" i="104"/>
  <c r="X74" i="105"/>
  <c r="V74" i="105"/>
  <c r="W74" i="105"/>
  <c r="Y74" i="105"/>
  <c r="X63" i="106"/>
  <c r="V63" i="106"/>
  <c r="W63" i="106"/>
  <c r="Y63" i="106"/>
  <c r="X103" i="104"/>
  <c r="Y103" i="104"/>
  <c r="V103" i="104"/>
  <c r="W103" i="104"/>
  <c r="X263" i="104"/>
  <c r="V263" i="104"/>
  <c r="W263" i="104"/>
  <c r="Y263" i="104"/>
  <c r="X94" i="106"/>
  <c r="V94" i="106"/>
  <c r="W94" i="106"/>
  <c r="Y94" i="106"/>
  <c r="X78" i="104"/>
  <c r="Y78" i="104"/>
  <c r="W78" i="104"/>
  <c r="V78" i="104"/>
  <c r="X107" i="107"/>
  <c r="V107" i="107"/>
  <c r="Y107" i="107"/>
  <c r="W107" i="107"/>
  <c r="X69" i="108"/>
  <c r="V69" i="108"/>
  <c r="W69" i="108"/>
  <c r="Y69" i="108"/>
  <c r="X267" i="108"/>
  <c r="V267" i="108"/>
  <c r="Y267" i="108"/>
  <c r="W267" i="108"/>
  <c r="X181" i="108"/>
  <c r="V181" i="108"/>
  <c r="Y181" i="108"/>
  <c r="W181" i="108"/>
  <c r="X13" i="108"/>
  <c r="V13" i="108"/>
  <c r="Y13" i="108"/>
  <c r="W13" i="108"/>
  <c r="X64" i="108"/>
  <c r="V64" i="108"/>
  <c r="Y64" i="108"/>
  <c r="W64" i="108"/>
  <c r="X16" i="108"/>
  <c r="V16" i="108"/>
  <c r="W16" i="108"/>
  <c r="Y16" i="108"/>
  <c r="X71" i="108"/>
  <c r="V71" i="108"/>
  <c r="W71" i="108"/>
  <c r="Y71" i="108"/>
  <c r="X78" i="108"/>
  <c r="V78" i="108"/>
  <c r="W78" i="108"/>
  <c r="Y78" i="108"/>
  <c r="X107" i="106"/>
  <c r="V107" i="106"/>
  <c r="W107" i="106"/>
  <c r="Y107" i="106"/>
  <c r="X267" i="105"/>
  <c r="V267" i="105"/>
  <c r="W267" i="105"/>
  <c r="Y267" i="105"/>
  <c r="X62" i="105"/>
  <c r="V62" i="105"/>
  <c r="Y62" i="105"/>
  <c r="W62" i="105"/>
  <c r="X69" i="106"/>
  <c r="V69" i="106"/>
  <c r="Y69" i="106"/>
  <c r="W69" i="106"/>
  <c r="X266" i="105"/>
  <c r="V266" i="105"/>
  <c r="Y266" i="105"/>
  <c r="W266" i="105"/>
  <c r="X96" i="105"/>
  <c r="V96" i="105"/>
  <c r="W96" i="105"/>
  <c r="Y96" i="105"/>
  <c r="X76" i="106"/>
  <c r="V76" i="106"/>
  <c r="Y76" i="106"/>
  <c r="W76" i="106"/>
  <c r="X74" i="104"/>
  <c r="W74" i="104"/>
  <c r="V74" i="104"/>
  <c r="Y74" i="104"/>
  <c r="X110" i="105"/>
  <c r="V110" i="105"/>
  <c r="W110" i="105"/>
  <c r="Y110" i="105"/>
  <c r="X103" i="106"/>
  <c r="V103" i="106"/>
  <c r="Y103" i="106"/>
  <c r="W103" i="106"/>
  <c r="X263" i="105"/>
  <c r="V263" i="105"/>
  <c r="Y263" i="105"/>
  <c r="W263" i="105"/>
  <c r="X16" i="104"/>
  <c r="V16" i="104"/>
  <c r="W16" i="104"/>
  <c r="Y16" i="104"/>
  <c r="X78" i="106"/>
  <c r="V78" i="106"/>
  <c r="W78" i="106"/>
  <c r="Y78" i="106"/>
  <c r="X264" i="107"/>
  <c r="V264" i="107"/>
  <c r="Y264" i="107"/>
  <c r="W264" i="107"/>
  <c r="X95" i="107"/>
  <c r="V95" i="107"/>
  <c r="W95" i="107"/>
  <c r="Y95" i="107"/>
  <c r="X89" i="107"/>
  <c r="V89" i="107"/>
  <c r="W89" i="107"/>
  <c r="Y89" i="107"/>
  <c r="X96" i="107"/>
  <c r="V96" i="107"/>
  <c r="W96" i="107"/>
  <c r="Y96" i="107"/>
  <c r="X70" i="107"/>
  <c r="V70" i="107"/>
  <c r="Y70" i="107"/>
  <c r="W70" i="107"/>
  <c r="X66" i="108"/>
  <c r="V66" i="108"/>
  <c r="W66" i="108"/>
  <c r="Y66" i="108"/>
  <c r="X85" i="107"/>
  <c r="V85" i="107"/>
  <c r="W85" i="107"/>
  <c r="Y85" i="107"/>
  <c r="X62" i="107"/>
  <c r="V62" i="107"/>
  <c r="W62" i="107"/>
  <c r="Y62" i="107"/>
  <c r="X263" i="107"/>
  <c r="V263" i="107"/>
  <c r="Y263" i="107"/>
  <c r="W263" i="107"/>
  <c r="V356" i="98"/>
  <c r="V358" i="98" s="1"/>
  <c r="W356" i="98"/>
  <c r="X356" i="98"/>
  <c r="AC3" i="98" s="1"/>
  <c r="Y356" i="98"/>
  <c r="AD3" i="98" s="1"/>
  <c r="V356" i="106" l="1"/>
  <c r="V358" i="106" s="1"/>
  <c r="X356" i="106"/>
  <c r="AC3" i="106" s="1"/>
  <c r="W356" i="104"/>
  <c r="AB3" i="104" s="1"/>
  <c r="W356" i="108"/>
  <c r="AB3" i="108" s="1"/>
  <c r="V356" i="108"/>
  <c r="V358" i="108" s="1"/>
  <c r="V356" i="105"/>
  <c r="V358" i="105" s="1"/>
  <c r="V356" i="107"/>
  <c r="V358" i="107" s="1"/>
  <c r="Y356" i="104"/>
  <c r="AD3" i="104" s="1"/>
  <c r="W356" i="105"/>
  <c r="AB3" i="105" s="1"/>
  <c r="W356" i="107"/>
  <c r="AB3" i="107" s="1"/>
  <c r="V356" i="104"/>
  <c r="V358" i="104" s="1"/>
  <c r="X356" i="104"/>
  <c r="AC3" i="104" s="1"/>
  <c r="X356" i="108"/>
  <c r="AC3" i="108" s="1"/>
  <c r="X356" i="105"/>
  <c r="AC3" i="105" s="1"/>
  <c r="X356" i="107"/>
  <c r="Y356" i="108"/>
  <c r="AD3" i="108" s="1"/>
  <c r="Y356" i="105"/>
  <c r="AD3" i="105" s="1"/>
  <c r="Y356" i="107"/>
  <c r="AD3" i="107" s="1"/>
  <c r="Y356" i="106"/>
  <c r="AD3" i="106" s="1"/>
  <c r="W356" i="106"/>
  <c r="AB3" i="98"/>
  <c r="AC4" i="98" s="1"/>
  <c r="AC10" i="98" s="1"/>
  <c r="E56" i="37" s="1"/>
  <c r="E65" i="37" s="1"/>
  <c r="Y358" i="98"/>
  <c r="Y358" i="107" l="1"/>
  <c r="Y358" i="105"/>
  <c r="Y358" i="106"/>
  <c r="Y358" i="108"/>
  <c r="AC3" i="107"/>
  <c r="AC4" i="107" s="1"/>
  <c r="AC10" i="107" s="1"/>
  <c r="E56" i="112" s="1"/>
  <c r="AB3" i="106"/>
  <c r="Y358" i="104"/>
  <c r="AD4" i="98"/>
  <c r="AD10" i="98" s="1"/>
  <c r="F56" i="37" s="1"/>
  <c r="F65" i="37" s="1"/>
  <c r="AB4" i="98"/>
  <c r="AB10" i="98" s="1"/>
  <c r="D56" i="37" s="1"/>
  <c r="D65" i="37" s="1"/>
  <c r="AC4" i="104"/>
  <c r="AC10" i="104" s="1"/>
  <c r="E56" i="109" s="1"/>
  <c r="E60" i="37"/>
  <c r="AD4" i="105"/>
  <c r="F60" i="110" s="1"/>
  <c r="AC4" i="105"/>
  <c r="AB4" i="105"/>
  <c r="E9" i="44"/>
  <c r="F60" i="37" l="1"/>
  <c r="D60" i="37"/>
  <c r="AB4" i="104"/>
  <c r="D60" i="109" s="1"/>
  <c r="AB4" i="107"/>
  <c r="AB10" i="107" s="1"/>
  <c r="D56" i="112" s="1"/>
  <c r="AD4" i="104"/>
  <c r="AD10" i="104" s="1"/>
  <c r="F56" i="109" s="1"/>
  <c r="F10" i="44" s="1"/>
  <c r="AD4" i="107"/>
  <c r="F60" i="112" s="1"/>
  <c r="E60" i="109"/>
  <c r="AD10" i="105"/>
  <c r="F56" i="110" s="1"/>
  <c r="F65" i="110" s="1"/>
  <c r="E60" i="112"/>
  <c r="D60" i="110"/>
  <c r="AB10" i="105"/>
  <c r="D56" i="110" s="1"/>
  <c r="E60" i="110"/>
  <c r="AC10" i="105"/>
  <c r="E56" i="110" s="1"/>
  <c r="E65" i="109"/>
  <c r="F9" i="44"/>
  <c r="AB4" i="106"/>
  <c r="AD4" i="106"/>
  <c r="AC4" i="106"/>
  <c r="E8" i="44"/>
  <c r="E19" i="44"/>
  <c r="I9" i="44"/>
  <c r="E65" i="112"/>
  <c r="E10" i="44"/>
  <c r="D69" i="37"/>
  <c r="AB4" i="108"/>
  <c r="AD4" i="108"/>
  <c r="AC4" i="108"/>
  <c r="D65" i="112" l="1"/>
  <c r="I18" i="44" s="1"/>
  <c r="AB10" i="104"/>
  <c r="D56" i="109" s="1"/>
  <c r="D65" i="109" s="1"/>
  <c r="D60" i="112"/>
  <c r="I8" i="44"/>
  <c r="F65" i="109"/>
  <c r="F60" i="109"/>
  <c r="AD10" i="107"/>
  <c r="F56" i="112" s="1"/>
  <c r="G10" i="44"/>
  <c r="E15" i="44"/>
  <c r="E20" i="44"/>
  <c r="F69" i="37"/>
  <c r="G9" i="44"/>
  <c r="E65" i="110"/>
  <c r="E13" i="44"/>
  <c r="E14" i="44"/>
  <c r="E18" i="44"/>
  <c r="E60" i="111"/>
  <c r="AC10" i="106"/>
  <c r="E56" i="111" s="1"/>
  <c r="G20" i="44"/>
  <c r="G8" i="44"/>
  <c r="D65" i="110"/>
  <c r="E60" i="113"/>
  <c r="AC10" i="108"/>
  <c r="C73" i="114" s="1"/>
  <c r="D60" i="111"/>
  <c r="AB10" i="106"/>
  <c r="D56" i="111" s="1"/>
  <c r="F60" i="113"/>
  <c r="AD10" i="108"/>
  <c r="F56" i="113" s="1"/>
  <c r="E69" i="37"/>
  <c r="I19" i="44"/>
  <c r="F60" i="111"/>
  <c r="AD10" i="106"/>
  <c r="F56" i="111" s="1"/>
  <c r="D60" i="113"/>
  <c r="AB10" i="108"/>
  <c r="C44" i="114" s="1"/>
  <c r="F19" i="44"/>
  <c r="D69" i="109" l="1"/>
  <c r="C74" i="114"/>
  <c r="D72" i="114" s="1"/>
  <c r="C45" i="114"/>
  <c r="D43" i="114" s="1"/>
  <c r="I10" i="44"/>
  <c r="I13" i="44" s="1"/>
  <c r="D56" i="113"/>
  <c r="C44" i="15"/>
  <c r="C45" i="15" s="1"/>
  <c r="E56" i="113"/>
  <c r="C73" i="15"/>
  <c r="F8" i="44"/>
  <c r="F13" i="44" s="1"/>
  <c r="F20" i="44"/>
  <c r="F65" i="112"/>
  <c r="G13" i="44"/>
  <c r="H9" i="44"/>
  <c r="E65" i="111"/>
  <c r="H8" i="44"/>
  <c r="D65" i="111"/>
  <c r="F18" i="44"/>
  <c r="E69" i="109"/>
  <c r="E24" i="44"/>
  <c r="D69" i="110"/>
  <c r="G18" i="44"/>
  <c r="J10" i="44"/>
  <c r="F65" i="113"/>
  <c r="F69" i="110"/>
  <c r="H10" i="44"/>
  <c r="F65" i="111"/>
  <c r="F69" i="109"/>
  <c r="G19" i="44"/>
  <c r="E69" i="110"/>
  <c r="G14" i="44"/>
  <c r="E25" i="44"/>
  <c r="E26" i="44"/>
  <c r="G15" i="44"/>
  <c r="D73" i="114" l="1"/>
  <c r="C77" i="114" s="1"/>
  <c r="D94" i="114" s="1"/>
  <c r="I14" i="44"/>
  <c r="I15" i="44"/>
  <c r="D44" i="114"/>
  <c r="C49" i="114" s="1"/>
  <c r="C95" i="114" s="1"/>
  <c r="J8" i="44"/>
  <c r="J9" i="44"/>
  <c r="F69" i="112"/>
  <c r="I26" i="44" s="1"/>
  <c r="D65" i="113"/>
  <c r="E65" i="113"/>
  <c r="C74" i="15"/>
  <c r="D72" i="15" s="1"/>
  <c r="D43" i="15"/>
  <c r="F14" i="44"/>
  <c r="F15" i="44"/>
  <c r="I20" i="44"/>
  <c r="E69" i="112"/>
  <c r="D69" i="112"/>
  <c r="H14" i="44"/>
  <c r="H19" i="44"/>
  <c r="E69" i="111"/>
  <c r="F24" i="44"/>
  <c r="F25" i="44"/>
  <c r="H18" i="44"/>
  <c r="D69" i="111"/>
  <c r="H20" i="44"/>
  <c r="F69" i="111"/>
  <c r="H15" i="44"/>
  <c r="J20" i="44"/>
  <c r="K20" i="44" s="1"/>
  <c r="F26" i="44"/>
  <c r="H13" i="44"/>
  <c r="G25" i="44"/>
  <c r="G26" i="44"/>
  <c r="G24" i="44"/>
  <c r="C78" i="114" l="1"/>
  <c r="D95" i="114" s="1"/>
  <c r="J15" i="44"/>
  <c r="J14" i="44"/>
  <c r="J13" i="44"/>
  <c r="C48" i="114"/>
  <c r="C94" i="114" s="1"/>
  <c r="I25" i="44"/>
  <c r="J18" i="44"/>
  <c r="E69" i="113"/>
  <c r="D69" i="113"/>
  <c r="J19" i="44"/>
  <c r="F69" i="113"/>
  <c r="D44" i="15"/>
  <c r="C48" i="15" s="1"/>
  <c r="C94" i="15" s="1"/>
  <c r="D46" i="44" s="1"/>
  <c r="D73" i="15"/>
  <c r="I24" i="44"/>
  <c r="H26" i="44"/>
  <c r="H24" i="44"/>
  <c r="H25" i="44"/>
  <c r="K18" i="44" l="1"/>
  <c r="K19" i="44"/>
  <c r="D36" i="68"/>
  <c r="J25" i="44"/>
  <c r="E36" i="68"/>
  <c r="J26" i="44"/>
  <c r="J24" i="44"/>
  <c r="C34" i="25"/>
  <c r="C49" i="15"/>
  <c r="C95" i="15" s="1"/>
  <c r="D47" i="44" s="1"/>
  <c r="K21" i="44" l="1"/>
  <c r="D37" i="68"/>
  <c r="E37" i="68"/>
  <c r="C35" i="25"/>
  <c r="I10" i="69" l="1"/>
  <c r="H10" i="69"/>
  <c r="G10" i="69"/>
  <c r="F10" i="69"/>
  <c r="E46" i="69"/>
  <c r="D46" i="69"/>
  <c r="B45" i="69"/>
  <c r="F9" i="69"/>
  <c r="B9" i="69"/>
  <c r="F45" i="69"/>
  <c r="I9" i="69"/>
  <c r="H9" i="69"/>
  <c r="C9" i="69"/>
  <c r="G9" i="69"/>
  <c r="C10" i="69"/>
  <c r="C46" i="69"/>
  <c r="C37" i="68"/>
  <c r="H46" i="69"/>
  <c r="F46" i="69"/>
  <c r="D9" i="69"/>
  <c r="G45" i="69"/>
  <c r="I46" i="69"/>
  <c r="B10" i="69"/>
  <c r="E45" i="69"/>
  <c r="H45" i="69"/>
  <c r="G46" i="69"/>
  <c r="G14" i="53" s="1"/>
  <c r="D10" i="69"/>
  <c r="E10" i="69"/>
  <c r="E14" i="53" s="1"/>
  <c r="E9" i="69"/>
  <c r="I45" i="69"/>
  <c r="B46" i="69"/>
  <c r="D45" i="69"/>
  <c r="C45" i="69"/>
  <c r="I14" i="53" l="1"/>
  <c r="F14" i="53"/>
  <c r="H14" i="53"/>
  <c r="C14" i="53"/>
  <c r="D8" i="70"/>
  <c r="G13" i="53"/>
  <c r="B13" i="53"/>
  <c r="B8" i="69"/>
  <c r="B11" i="69" s="1"/>
  <c r="D14" i="53"/>
  <c r="F8" i="69"/>
  <c r="F11" i="69" s="1"/>
  <c r="H8" i="69"/>
  <c r="H11" i="69" s="1"/>
  <c r="C8" i="70"/>
  <c r="F7" i="70"/>
  <c r="G8" i="69"/>
  <c r="G11" i="69" s="1"/>
  <c r="C44" i="69"/>
  <c r="C47" i="69" s="1"/>
  <c r="I8" i="69"/>
  <c r="I11" i="69" s="1"/>
  <c r="D8" i="69"/>
  <c r="C7" i="70"/>
  <c r="B7" i="70"/>
  <c r="G7" i="70"/>
  <c r="H13" i="53"/>
  <c r="F13" i="53"/>
  <c r="I13" i="53"/>
  <c r="E13" i="53"/>
  <c r="D44" i="69"/>
  <c r="D47" i="69" s="1"/>
  <c r="I8" i="70"/>
  <c r="D7" i="70"/>
  <c r="D13" i="53"/>
  <c r="H7" i="70"/>
  <c r="B8" i="70"/>
  <c r="I7" i="70"/>
  <c r="B14" i="53"/>
  <c r="C13" i="53"/>
  <c r="F8" i="70"/>
  <c r="E7" i="70"/>
  <c r="G44" i="69"/>
  <c r="G47" i="69" s="1"/>
  <c r="B44" i="69"/>
  <c r="B47" i="69" s="1"/>
  <c r="C8" i="69"/>
  <c r="C11" i="69" s="1"/>
  <c r="E8" i="70"/>
  <c r="H44" i="69"/>
  <c r="H47" i="69" s="1"/>
  <c r="E44" i="69"/>
  <c r="E47" i="69" s="1"/>
  <c r="E8" i="69"/>
  <c r="E11" i="69" s="1"/>
  <c r="I44" i="69"/>
  <c r="I47" i="69" s="1"/>
  <c r="G8" i="70"/>
  <c r="H8" i="70"/>
  <c r="F44" i="69"/>
  <c r="F47" i="69" s="1"/>
  <c r="B12" i="53" l="1"/>
  <c r="B15" i="53" s="1"/>
  <c r="D12" i="53"/>
  <c r="D15" i="53" s="1"/>
  <c r="D11" i="69"/>
  <c r="D49" i="69" s="1"/>
  <c r="D50" i="69" s="1"/>
  <c r="C49" i="69"/>
  <c r="C50" i="69" s="1"/>
  <c r="B49" i="69"/>
  <c r="B50" i="69" s="1"/>
  <c r="D6" i="70"/>
  <c r="D9" i="70" s="1"/>
  <c r="D16" i="70" s="1"/>
  <c r="B6" i="70"/>
  <c r="B9" i="70" s="1"/>
  <c r="B16" i="70" s="1"/>
  <c r="B20" i="70" s="1"/>
  <c r="B27" i="70" s="1"/>
  <c r="C11" i="52" s="1"/>
  <c r="C29" i="52" s="1"/>
  <c r="I49" i="69"/>
  <c r="I50" i="69" s="1"/>
  <c r="G49" i="69"/>
  <c r="G50" i="69" s="1"/>
  <c r="C6" i="70"/>
  <c r="C9" i="70" s="1"/>
  <c r="C16" i="70" s="1"/>
  <c r="C20" i="70" s="1"/>
  <c r="C27" i="70" s="1"/>
  <c r="D11" i="52" s="1"/>
  <c r="C12" i="53"/>
  <c r="C15" i="53" s="1"/>
  <c r="F12" i="53"/>
  <c r="F15" i="53" s="1"/>
  <c r="F49" i="69"/>
  <c r="F50" i="69" s="1"/>
  <c r="F6" i="70"/>
  <c r="F9" i="70" s="1"/>
  <c r="F16" i="70" s="1"/>
  <c r="F19" i="70" s="1"/>
  <c r="E12" i="53"/>
  <c r="E15" i="53" s="1"/>
  <c r="H12" i="53"/>
  <c r="H15" i="53" s="1"/>
  <c r="H49" i="69"/>
  <c r="H50" i="69" s="1"/>
  <c r="E6" i="70"/>
  <c r="E9" i="70" s="1"/>
  <c r="E16" i="70" s="1"/>
  <c r="E20" i="70" s="1"/>
  <c r="E27" i="70" s="1"/>
  <c r="F11" i="52" s="1"/>
  <c r="F29" i="52" s="1"/>
  <c r="E49" i="69"/>
  <c r="E50" i="69" s="1"/>
  <c r="I6" i="70"/>
  <c r="I9" i="70" s="1"/>
  <c r="I16" i="70" s="1"/>
  <c r="G6" i="70"/>
  <c r="G9" i="70" s="1"/>
  <c r="G16" i="70" s="1"/>
  <c r="I12" i="53"/>
  <c r="I15" i="53" s="1"/>
  <c r="G12" i="53"/>
  <c r="G15" i="53" s="1"/>
  <c r="H6" i="70"/>
  <c r="H9" i="70" s="1"/>
  <c r="H16" i="70" s="1"/>
  <c r="D20" i="70" l="1"/>
  <c r="D27" i="70" s="1"/>
  <c r="E11" i="52" s="1"/>
  <c r="E29" i="52" s="1"/>
  <c r="D21" i="70"/>
  <c r="D28" i="70" s="1"/>
  <c r="E12" i="52" s="1"/>
  <c r="E30" i="52" s="1"/>
  <c r="D19" i="70"/>
  <c r="D26" i="70" s="1"/>
  <c r="E10" i="52" s="1"/>
  <c r="C21" i="70"/>
  <c r="C28" i="70" s="1"/>
  <c r="D12" i="52" s="1"/>
  <c r="D30" i="52" s="1"/>
  <c r="C19" i="70"/>
  <c r="B19" i="70"/>
  <c r="B26" i="70" s="1"/>
  <c r="C10" i="52" s="1"/>
  <c r="C28" i="52" s="1"/>
  <c r="B21" i="70"/>
  <c r="B28" i="70" s="1"/>
  <c r="C12" i="52" s="1"/>
  <c r="C30" i="52" s="1"/>
  <c r="F21" i="70"/>
  <c r="F28" i="70" s="1"/>
  <c r="G12" i="52" s="1"/>
  <c r="G30" i="52" s="1"/>
  <c r="F20" i="70"/>
  <c r="F27" i="70" s="1"/>
  <c r="G11" i="52" s="1"/>
  <c r="G29" i="52" s="1"/>
  <c r="E19" i="70"/>
  <c r="E26" i="70" s="1"/>
  <c r="F10" i="52" s="1"/>
  <c r="E21" i="70"/>
  <c r="E28" i="70" s="1"/>
  <c r="F12" i="52" s="1"/>
  <c r="F30" i="52" s="1"/>
  <c r="G19" i="70"/>
  <c r="G21" i="70"/>
  <c r="G28" i="70" s="1"/>
  <c r="H12" i="52" s="1"/>
  <c r="G20" i="70"/>
  <c r="G27" i="70" s="1"/>
  <c r="H11" i="52" s="1"/>
  <c r="H20" i="70"/>
  <c r="H27" i="70" s="1"/>
  <c r="I11" i="52" s="1"/>
  <c r="H21" i="70"/>
  <c r="H28" i="70" s="1"/>
  <c r="I12" i="52" s="1"/>
  <c r="H19" i="70"/>
  <c r="I20" i="70"/>
  <c r="I27" i="70" s="1"/>
  <c r="J11" i="52" s="1"/>
  <c r="I21" i="70"/>
  <c r="I28" i="70" s="1"/>
  <c r="J12" i="52" s="1"/>
  <c r="I19" i="70"/>
  <c r="D29" i="52"/>
  <c r="B5" i="53"/>
  <c r="B19" i="53" s="1"/>
  <c r="E5" i="53"/>
  <c r="E19" i="53" s="1"/>
  <c r="F26" i="70"/>
  <c r="G10" i="52" s="1"/>
  <c r="C22" i="70" l="1"/>
  <c r="C13" i="52"/>
  <c r="C41" i="52" s="1"/>
  <c r="E13" i="52"/>
  <c r="E40" i="52" s="1"/>
  <c r="D29" i="70"/>
  <c r="E28" i="52"/>
  <c r="D4" i="53" s="1"/>
  <c r="C26" i="70"/>
  <c r="D10" i="52" s="1"/>
  <c r="D13" i="52" s="1"/>
  <c r="D40" i="52" s="1"/>
  <c r="D22" i="70"/>
  <c r="B29" i="70"/>
  <c r="B22" i="70"/>
  <c r="F22" i="70"/>
  <c r="E22" i="70"/>
  <c r="C5" i="53"/>
  <c r="C19" i="53" s="1"/>
  <c r="C6" i="53"/>
  <c r="C20" i="53" s="1"/>
  <c r="F5" i="53"/>
  <c r="F19" i="53" s="1"/>
  <c r="I22" i="70"/>
  <c r="I26" i="70"/>
  <c r="H22" i="70"/>
  <c r="H26" i="70"/>
  <c r="G13" i="52"/>
  <c r="G40" i="52" s="1"/>
  <c r="G28" i="52"/>
  <c r="B6" i="53"/>
  <c r="B20" i="53" s="1"/>
  <c r="D6" i="53"/>
  <c r="D20" i="53" s="1"/>
  <c r="F6" i="53"/>
  <c r="F20" i="53" s="1"/>
  <c r="J29" i="52"/>
  <c r="I29" i="52"/>
  <c r="E79" i="109" s="1"/>
  <c r="H29" i="52"/>
  <c r="E79" i="37" s="1"/>
  <c r="E6" i="53"/>
  <c r="E20" i="53" s="1"/>
  <c r="D5" i="53"/>
  <c r="D19" i="53" s="1"/>
  <c r="J30" i="52"/>
  <c r="B4" i="53"/>
  <c r="C31" i="52"/>
  <c r="C59" i="52" s="1"/>
  <c r="H30" i="52"/>
  <c r="F79" i="37" s="1"/>
  <c r="F13" i="52"/>
  <c r="F28" i="52"/>
  <c r="I30" i="52"/>
  <c r="G22" i="70"/>
  <c r="G26" i="70"/>
  <c r="E29" i="70"/>
  <c r="F29" i="70"/>
  <c r="C29" i="70" l="1"/>
  <c r="C42" i="52"/>
  <c r="E31" i="52"/>
  <c r="E58" i="52" s="1"/>
  <c r="E41" i="52"/>
  <c r="C40" i="52"/>
  <c r="E42" i="52"/>
  <c r="D28" i="52"/>
  <c r="D31" i="52" s="1"/>
  <c r="D58" i="52" s="1"/>
  <c r="H6" i="53"/>
  <c r="H20" i="53" s="1"/>
  <c r="F79" i="109"/>
  <c r="I5" i="53"/>
  <c r="I19" i="53" s="1"/>
  <c r="E79" i="110"/>
  <c r="F79" i="110"/>
  <c r="C58" i="52"/>
  <c r="D42" i="52"/>
  <c r="D41" i="52"/>
  <c r="G5" i="53"/>
  <c r="G19" i="53" s="1"/>
  <c r="H29" i="70"/>
  <c r="I10" i="52"/>
  <c r="G42" i="52"/>
  <c r="G41" i="52"/>
  <c r="G6" i="53"/>
  <c r="G20" i="53" s="1"/>
  <c r="D18" i="53"/>
  <c r="D21" i="53" s="1"/>
  <c r="D7" i="53"/>
  <c r="F31" i="52"/>
  <c r="E4" i="53"/>
  <c r="H5" i="53"/>
  <c r="H19" i="53" s="1"/>
  <c r="C60" i="52"/>
  <c r="I29" i="70"/>
  <c r="J10" i="52"/>
  <c r="B18" i="53"/>
  <c r="B21" i="53" s="1"/>
  <c r="B7" i="53"/>
  <c r="I6" i="53"/>
  <c r="I20" i="53" s="1"/>
  <c r="F41" i="52"/>
  <c r="F42" i="52"/>
  <c r="G29" i="70"/>
  <c r="H10" i="52"/>
  <c r="F40" i="52"/>
  <c r="F4" i="53"/>
  <c r="G31" i="52"/>
  <c r="G58" i="52" s="1"/>
  <c r="C43" i="52" l="1"/>
  <c r="E59" i="52"/>
  <c r="C4" i="53"/>
  <c r="C7" i="53" s="1"/>
  <c r="E60" i="52"/>
  <c r="E43" i="52"/>
  <c r="C61" i="52"/>
  <c r="G43" i="52"/>
  <c r="D43" i="52"/>
  <c r="F59" i="52"/>
  <c r="F60" i="52"/>
  <c r="D59" i="52"/>
  <c r="D60" i="52"/>
  <c r="F58" i="52"/>
  <c r="G59" i="52"/>
  <c r="G60" i="52"/>
  <c r="F43" i="52"/>
  <c r="J28" i="52"/>
  <c r="J13" i="52"/>
  <c r="I13" i="52"/>
  <c r="I28" i="52"/>
  <c r="D79" i="109" s="1"/>
  <c r="F18" i="53"/>
  <c r="F21" i="53" s="1"/>
  <c r="F7" i="53"/>
  <c r="E7" i="53"/>
  <c r="E18" i="53"/>
  <c r="E21" i="53" s="1"/>
  <c r="H13" i="52"/>
  <c r="H40" i="52" s="1"/>
  <c r="H28" i="52"/>
  <c r="D79" i="37" s="1"/>
  <c r="E61" i="52" l="1"/>
  <c r="C18" i="53"/>
  <c r="C21" i="53" s="1"/>
  <c r="D79" i="110"/>
  <c r="D61" i="52"/>
  <c r="G61" i="52"/>
  <c r="F61" i="52"/>
  <c r="J41" i="52"/>
  <c r="J42" i="52"/>
  <c r="I31" i="52"/>
  <c r="H4" i="53"/>
  <c r="H41" i="52"/>
  <c r="H42" i="52"/>
  <c r="I4" i="53"/>
  <c r="J31" i="52"/>
  <c r="J58" i="52" s="1"/>
  <c r="G4" i="53"/>
  <c r="H31" i="52"/>
  <c r="H58" i="52" s="1"/>
  <c r="I40" i="52"/>
  <c r="I42" i="52"/>
  <c r="I41" i="52"/>
  <c r="J40" i="52"/>
  <c r="D80" i="37" l="1"/>
  <c r="E30" i="44" s="1"/>
  <c r="D80" i="110"/>
  <c r="G30" i="44" s="1"/>
  <c r="I43" i="52"/>
  <c r="H43" i="52"/>
  <c r="J43" i="52"/>
  <c r="H18" i="53"/>
  <c r="H21" i="53" s="1"/>
  <c r="H7" i="53"/>
  <c r="I60" i="52"/>
  <c r="F80" i="109" s="1"/>
  <c r="F32" i="44" s="1"/>
  <c r="I59" i="52"/>
  <c r="E80" i="109" s="1"/>
  <c r="F31" i="44" s="1"/>
  <c r="G7" i="53"/>
  <c r="G18" i="53"/>
  <c r="G21" i="53" s="1"/>
  <c r="I7" i="53"/>
  <c r="I18" i="53"/>
  <c r="I21" i="53" s="1"/>
  <c r="H59" i="52"/>
  <c r="H60" i="52"/>
  <c r="I58" i="52"/>
  <c r="D80" i="109" s="1"/>
  <c r="F30" i="44" s="1"/>
  <c r="J59" i="52"/>
  <c r="J60" i="52"/>
  <c r="K58" i="52" l="1" a="1"/>
  <c r="L58" i="52" s="1"/>
  <c r="F80" i="37"/>
  <c r="E32" i="44" s="1"/>
  <c r="K60" i="52" a="1"/>
  <c r="E80" i="37"/>
  <c r="E31" i="44" s="1"/>
  <c r="K59" i="52" a="1"/>
  <c r="F80" i="110"/>
  <c r="G32" i="44" s="1"/>
  <c r="E80" i="110"/>
  <c r="G31" i="44" s="1"/>
  <c r="J61" i="52"/>
  <c r="I61" i="52"/>
  <c r="H61" i="52"/>
  <c r="K58" i="52" l="1"/>
  <c r="D79" i="111" s="1"/>
  <c r="H30" i="44" s="1"/>
  <c r="M58" i="52"/>
  <c r="D79" i="113" s="1"/>
  <c r="J30" i="44" s="1"/>
  <c r="D79" i="112"/>
  <c r="I30" i="44" s="1"/>
  <c r="K60" i="52"/>
  <c r="F79" i="111" s="1"/>
  <c r="H32" i="44" s="1"/>
  <c r="M60" i="52"/>
  <c r="F79" i="113" s="1"/>
  <c r="J32" i="44" s="1"/>
  <c r="L60" i="52"/>
  <c r="F79" i="112" s="1"/>
  <c r="I32" i="44" s="1"/>
  <c r="K59" i="52"/>
  <c r="E79" i="111" s="1"/>
  <c r="H31" i="44" s="1"/>
  <c r="M59" i="52"/>
  <c r="E79" i="113" s="1"/>
  <c r="J31" i="44" s="1"/>
  <c r="L59" i="52"/>
  <c r="E79" i="112" s="1"/>
  <c r="I31" i="44" s="1"/>
  <c r="M61" i="52" l="1"/>
  <c r="K61" i="52"/>
  <c r="L61" i="52"/>
  <c r="C61" i="15" l="1"/>
  <c r="C77" i="15" s="1"/>
  <c r="C62" i="15" l="1"/>
  <c r="C78" i="15" s="1"/>
  <c r="D95" i="15" s="1"/>
  <c r="E47" i="44" s="1"/>
  <c r="D94" i="15"/>
  <c r="E46" i="44" s="1"/>
  <c r="D34" i="25" l="1"/>
  <c r="D35" i="25"/>
  <c r="D18" i="64" l="1"/>
  <c r="G18" i="64"/>
  <c r="H18" i="64"/>
  <c r="I13" i="64"/>
  <c r="I41" i="64" s="1"/>
  <c r="D19" i="64"/>
  <c r="E19" i="64"/>
  <c r="F19" i="64"/>
  <c r="G19" i="64"/>
  <c r="I19" i="64"/>
  <c r="G13" i="64"/>
  <c r="H5" i="50" s="1"/>
  <c r="H24" i="50" s="1"/>
  <c r="H13" i="64"/>
  <c r="H41" i="64" s="1"/>
  <c r="E18" i="64"/>
  <c r="F18" i="64"/>
  <c r="H19" i="64"/>
  <c r="E25" i="64" l="1"/>
  <c r="G25" i="64"/>
  <c r="G27" i="64" s="1"/>
  <c r="G41" i="64"/>
  <c r="F25" i="64"/>
  <c r="E13" i="64"/>
  <c r="E41" i="64" s="1"/>
  <c r="H25" i="64"/>
  <c r="H27" i="64" s="1"/>
  <c r="F13" i="64"/>
  <c r="F27" i="64" s="1"/>
  <c r="D25" i="64"/>
  <c r="J5" i="50"/>
  <c r="H9" i="50"/>
  <c r="H39" i="50" s="1"/>
  <c r="I5" i="50"/>
  <c r="I18" i="64"/>
  <c r="I25" i="64" s="1"/>
  <c r="I27" i="64" s="1"/>
  <c r="D13" i="64"/>
  <c r="F5" i="50" l="1"/>
  <c r="F41" i="64"/>
  <c r="G5" i="50"/>
  <c r="E27" i="64"/>
  <c r="D41" i="64"/>
  <c r="E5" i="50"/>
  <c r="U5" i="50" s="1"/>
  <c r="D27" i="64"/>
  <c r="J24" i="50"/>
  <c r="J9" i="50"/>
  <c r="J39" i="50" s="1"/>
  <c r="Y5" i="50"/>
  <c r="F24" i="50"/>
  <c r="F9" i="50"/>
  <c r="I24" i="50"/>
  <c r="I9" i="50"/>
  <c r="X5" i="50"/>
  <c r="H40" i="50"/>
  <c r="H28" i="50"/>
  <c r="H41" i="50"/>
  <c r="H38" i="50"/>
  <c r="W5" i="50" l="1"/>
  <c r="G9" i="50"/>
  <c r="G24" i="50"/>
  <c r="V5" i="50"/>
  <c r="I40" i="50"/>
  <c r="I38" i="50"/>
  <c r="I28" i="50"/>
  <c r="I41" i="50"/>
  <c r="H45" i="50"/>
  <c r="H42" i="50"/>
  <c r="F38" i="50"/>
  <c r="F28" i="50"/>
  <c r="F40" i="50"/>
  <c r="F41" i="50"/>
  <c r="E4" i="44"/>
  <c r="E5" i="44" s="1"/>
  <c r="D74" i="37"/>
  <c r="D75" i="37" s="1"/>
  <c r="H46" i="50"/>
  <c r="F39" i="50"/>
  <c r="I39" i="50"/>
  <c r="T5" i="50"/>
  <c r="E9" i="50"/>
  <c r="E39" i="50" s="1"/>
  <c r="E24" i="50"/>
  <c r="J41" i="50"/>
  <c r="J40" i="50"/>
  <c r="J38" i="50"/>
  <c r="J28" i="50"/>
  <c r="I46" i="50" l="1"/>
  <c r="J46" i="50"/>
  <c r="G40" i="50"/>
  <c r="G28" i="50"/>
  <c r="H32" i="50" s="1"/>
  <c r="G38" i="50"/>
  <c r="G41" i="50"/>
  <c r="G39" i="50"/>
  <c r="J32" i="50"/>
  <c r="G4" i="44"/>
  <c r="G5" i="44" s="1"/>
  <c r="D74" i="110"/>
  <c r="D75" i="110" s="1"/>
  <c r="D85" i="37"/>
  <c r="D92" i="37" s="1"/>
  <c r="D99" i="37" s="1"/>
  <c r="E85" i="37"/>
  <c r="E92" i="37" s="1"/>
  <c r="E99" i="37" s="1"/>
  <c r="F85" i="37"/>
  <c r="F92" i="37" s="1"/>
  <c r="F99" i="37" s="1"/>
  <c r="E38" i="50"/>
  <c r="E28" i="50"/>
  <c r="E32" i="50" s="1"/>
  <c r="E41" i="50"/>
  <c r="E40" i="50"/>
  <c r="E36" i="44"/>
  <c r="E35" i="44"/>
  <c r="E37" i="44"/>
  <c r="F45" i="50"/>
  <c r="F42" i="50"/>
  <c r="M28" i="50"/>
  <c r="J42" i="50"/>
  <c r="J45" i="50"/>
  <c r="L28" i="50"/>
  <c r="K28" i="50"/>
  <c r="F4" i="44"/>
  <c r="F5" i="44" s="1"/>
  <c r="D74" i="109"/>
  <c r="D75" i="109" s="1"/>
  <c r="I32" i="50"/>
  <c r="F46" i="50"/>
  <c r="I45" i="50"/>
  <c r="I42" i="50"/>
  <c r="G32" i="50" l="1"/>
  <c r="E46" i="50"/>
  <c r="G45" i="50"/>
  <c r="G42" i="50"/>
  <c r="G46" i="50"/>
  <c r="F32" i="50"/>
  <c r="I4" i="44"/>
  <c r="I5" i="44" s="1"/>
  <c r="D74" i="112"/>
  <c r="D75" i="112" s="1"/>
  <c r="D102" i="37"/>
  <c r="E40" i="44" s="1"/>
  <c r="E53" i="44"/>
  <c r="E85" i="109"/>
  <c r="E92" i="109" s="1"/>
  <c r="E99" i="109" s="1"/>
  <c r="F85" i="109"/>
  <c r="F92" i="109" s="1"/>
  <c r="F99" i="109" s="1"/>
  <c r="D85" i="109"/>
  <c r="D92" i="109" s="1"/>
  <c r="D99" i="109" s="1"/>
  <c r="D74" i="111"/>
  <c r="D75" i="111" s="1"/>
  <c r="H4" i="44"/>
  <c r="H5" i="44" s="1"/>
  <c r="E54" i="44"/>
  <c r="E102" i="37"/>
  <c r="E41" i="44" s="1"/>
  <c r="D85" i="110"/>
  <c r="D92" i="110" s="1"/>
  <c r="D99" i="110" s="1"/>
  <c r="E85" i="110"/>
  <c r="E92" i="110" s="1"/>
  <c r="E99" i="110" s="1"/>
  <c r="F85" i="110"/>
  <c r="F92" i="110" s="1"/>
  <c r="F99" i="110" s="1"/>
  <c r="E42" i="50"/>
  <c r="E45" i="50"/>
  <c r="G37" i="44"/>
  <c r="G36" i="44"/>
  <c r="G35" i="44"/>
  <c r="F37" i="44"/>
  <c r="F36" i="44"/>
  <c r="F35" i="44"/>
  <c r="F102" i="37"/>
  <c r="E42" i="44" s="1"/>
  <c r="E55" i="44"/>
  <c r="E65" i="44" s="1"/>
  <c r="D74" i="113"/>
  <c r="D75" i="113" s="1"/>
  <c r="J4" i="44"/>
  <c r="J5" i="44" s="1"/>
  <c r="D84" i="111" l="1"/>
  <c r="F84" i="111"/>
  <c r="E84" i="111"/>
  <c r="D103" i="109"/>
  <c r="F40" i="44" s="1"/>
  <c r="F53" i="44"/>
  <c r="F103" i="110"/>
  <c r="G42" i="44" s="1"/>
  <c r="H92" i="44" s="1"/>
  <c r="G55" i="44"/>
  <c r="G65" i="44" s="1"/>
  <c r="E103" i="109"/>
  <c r="F41" i="44" s="1"/>
  <c r="F54" i="44"/>
  <c r="F103" i="109"/>
  <c r="F42" i="44" s="1"/>
  <c r="F55" i="44"/>
  <c r="F65" i="44" s="1"/>
  <c r="G54" i="44"/>
  <c r="E103" i="110"/>
  <c r="G41" i="44" s="1"/>
  <c r="H91" i="44" s="1"/>
  <c r="D103" i="110"/>
  <c r="G40" i="44" s="1"/>
  <c r="H90" i="44" s="1"/>
  <c r="G53" i="44"/>
  <c r="E60" i="44"/>
  <c r="E59" i="44"/>
  <c r="E56" i="44"/>
  <c r="J35" i="44"/>
  <c r="J36" i="44"/>
  <c r="J37" i="44"/>
  <c r="E62" i="44"/>
  <c r="E63" i="44"/>
  <c r="D84" i="112"/>
  <c r="E84" i="112"/>
  <c r="F84" i="112"/>
  <c r="E84" i="113"/>
  <c r="F84" i="113"/>
  <c r="D84" i="113"/>
  <c r="H37" i="44"/>
  <c r="H35" i="44"/>
  <c r="H36" i="44"/>
  <c r="I37" i="44"/>
  <c r="I36" i="44"/>
  <c r="I35" i="44"/>
  <c r="F60" i="44" l="1"/>
  <c r="F59" i="44"/>
  <c r="F56" i="44"/>
  <c r="G62" i="44"/>
  <c r="G63" i="44"/>
  <c r="G60" i="44"/>
  <c r="G56" i="44"/>
  <c r="G59" i="44"/>
  <c r="E66" i="44"/>
  <c r="F63" i="44"/>
  <c r="F62" i="44"/>
  <c r="F66" i="44" l="1"/>
  <c r="G66" i="44"/>
  <c r="J71" i="44" l="1"/>
  <c r="J52" i="44"/>
  <c r="F91" i="113"/>
  <c r="F98" i="113" s="1"/>
  <c r="E91" i="113"/>
  <c r="E98" i="113" s="1"/>
  <c r="D91" i="113"/>
  <c r="D98" i="113" s="1"/>
  <c r="F102" i="113" l="1"/>
  <c r="J42" i="44" s="1"/>
  <c r="J55" i="44"/>
  <c r="J65" i="44" s="1"/>
  <c r="I71" i="44"/>
  <c r="I52" i="44"/>
  <c r="D91" i="112"/>
  <c r="D98" i="112" s="1"/>
  <c r="F91" i="112"/>
  <c r="F98" i="112" s="1"/>
  <c r="E91" i="112"/>
  <c r="E98" i="112" s="1"/>
  <c r="D102" i="113"/>
  <c r="J40" i="44" s="1"/>
  <c r="J53" i="44"/>
  <c r="E102" i="113"/>
  <c r="J41" i="44" s="1"/>
  <c r="J54" i="44"/>
  <c r="J73" i="44"/>
  <c r="J74" i="44"/>
  <c r="J84" i="44" s="1"/>
  <c r="J72" i="44"/>
  <c r="K90" i="44" l="1"/>
  <c r="E29" i="25"/>
  <c r="E102" i="112"/>
  <c r="I41" i="44" s="1"/>
  <c r="I54" i="44"/>
  <c r="J62" i="44"/>
  <c r="J63" i="44"/>
  <c r="I73" i="44"/>
  <c r="I72" i="44"/>
  <c r="I74" i="44"/>
  <c r="I84" i="44" s="1"/>
  <c r="I55" i="44"/>
  <c r="I65" i="44" s="1"/>
  <c r="F102" i="112"/>
  <c r="I42" i="44" s="1"/>
  <c r="I53" i="44"/>
  <c r="D102" i="112"/>
  <c r="I40" i="44" s="1"/>
  <c r="J78" i="44"/>
  <c r="J75" i="44"/>
  <c r="J79" i="44"/>
  <c r="J81" i="44"/>
  <c r="J82" i="44"/>
  <c r="E30" i="25"/>
  <c r="K91" i="44"/>
  <c r="J56" i="44"/>
  <c r="J60" i="44"/>
  <c r="J59" i="44"/>
  <c r="K92" i="44"/>
  <c r="E31" i="25"/>
  <c r="J85" i="44" l="1"/>
  <c r="I82" i="44"/>
  <c r="I81" i="44"/>
  <c r="D29" i="25"/>
  <c r="J90" i="44"/>
  <c r="I63" i="44"/>
  <c r="I62" i="44"/>
  <c r="J91" i="44"/>
  <c r="D30" i="25"/>
  <c r="I59" i="44"/>
  <c r="I60" i="44"/>
  <c r="I56" i="44"/>
  <c r="D31" i="25"/>
  <c r="J92" i="44"/>
  <c r="J66" i="44"/>
  <c r="I75" i="44"/>
  <c r="I78" i="44"/>
  <c r="I79" i="44"/>
  <c r="I66" i="44" l="1"/>
  <c r="I85" i="44"/>
  <c r="G22" i="116" l="1"/>
  <c r="G23" i="116" s="1"/>
  <c r="G26" i="116" s="1"/>
  <c r="J22" i="116"/>
  <c r="J23" i="116" s="1"/>
  <c r="J26" i="116" s="1"/>
  <c r="H28" i="116" l="1"/>
  <c r="E91" i="111"/>
  <c r="E98" i="111" s="1"/>
  <c r="D91" i="111"/>
  <c r="D98" i="111" s="1"/>
  <c r="H52" i="44"/>
  <c r="F91" i="111"/>
  <c r="F98" i="111" s="1"/>
  <c r="H71" i="44"/>
  <c r="H74" i="44" l="1"/>
  <c r="H84" i="44" s="1"/>
  <c r="H73" i="44"/>
  <c r="H72" i="44"/>
  <c r="H55" i="44"/>
  <c r="H65" i="44" s="1"/>
  <c r="F102" i="111"/>
  <c r="H42" i="44" s="1"/>
  <c r="D102" i="111"/>
  <c r="H40" i="44" s="1"/>
  <c r="H53" i="44"/>
  <c r="E102" i="111"/>
  <c r="H41" i="44" s="1"/>
  <c r="H54" i="44"/>
  <c r="H60" i="44" l="1"/>
  <c r="H56" i="44"/>
  <c r="H59" i="44"/>
  <c r="I90" i="44"/>
  <c r="C29" i="25"/>
  <c r="K40" i="44"/>
  <c r="H79" i="44"/>
  <c r="H75" i="44"/>
  <c r="H78" i="44"/>
  <c r="I91" i="44"/>
  <c r="C30" i="25"/>
  <c r="K41" i="44"/>
  <c r="C31" i="25"/>
  <c r="I92" i="44"/>
  <c r="K42" i="44"/>
  <c r="H82" i="44"/>
  <c r="H81" i="44"/>
  <c r="H62" i="44"/>
  <c r="H63" i="44"/>
  <c r="H66" i="44" l="1"/>
  <c r="H85" i="44"/>
</calcChain>
</file>

<file path=xl/sharedStrings.xml><?xml version="1.0" encoding="utf-8"?>
<sst xmlns="http://schemas.openxmlformats.org/spreadsheetml/2006/main" count="11699" uniqueCount="3803">
  <si>
    <t>138 kV</t>
  </si>
  <si>
    <t>69 kV</t>
  </si>
  <si>
    <t>"POD"</t>
  </si>
  <si>
    <t>NBV</t>
  </si>
  <si>
    <t>AltaLink</t>
  </si>
  <si>
    <t>240 kV Line - 2 X 795</t>
  </si>
  <si>
    <t>Minimum System</t>
  </si>
  <si>
    <t>Demand Related Costs</t>
  </si>
  <si>
    <t>Energy Related Costs</t>
  </si>
  <si>
    <t>138 kV Line - 266</t>
  </si>
  <si>
    <t>138 kV Line - 477</t>
  </si>
  <si>
    <t>Lines</t>
  </si>
  <si>
    <t>Average</t>
  </si>
  <si>
    <t>69/72 kV</t>
  </si>
  <si>
    <t>138/144 kV</t>
  </si>
  <si>
    <t>500 kV</t>
  </si>
  <si>
    <t>Rules:</t>
  </si>
  <si>
    <t>EPCOR Transmission Inc</t>
  </si>
  <si>
    <t>Cost of Service Study Data Request</t>
  </si>
  <si>
    <t>Installed assets ($thousands)</t>
  </si>
  <si>
    <t>Total Genesee</t>
  </si>
  <si>
    <t xml:space="preserve">Total </t>
  </si>
  <si>
    <t>Year</t>
  </si>
  <si>
    <t>Substations</t>
  </si>
  <si>
    <t>Switchyard</t>
  </si>
  <si>
    <t>Transmission</t>
  </si>
  <si>
    <t>Enmax Book Value</t>
  </si>
  <si>
    <t>System</t>
  </si>
  <si>
    <t>ATCO Electric</t>
  </si>
  <si>
    <t>EPCOR Transmission</t>
  </si>
  <si>
    <t>TFO</t>
  </si>
  <si>
    <t>Bulk System</t>
  </si>
  <si>
    <t>Atco Electric</t>
  </si>
  <si>
    <t>Voltage Level</t>
  </si>
  <si>
    <t>AltaLink Subs</t>
  </si>
  <si>
    <t>AltaLink Lines</t>
  </si>
  <si>
    <t>Atco Electric Subs</t>
  </si>
  <si>
    <t>Based on POD Costs - Bulk Substation Costs Not Available</t>
  </si>
  <si>
    <t>EPCOR</t>
  </si>
  <si>
    <t>Atco Electric Lines</t>
  </si>
  <si>
    <t>ENMAX TFO</t>
  </si>
  <si>
    <t>"Bulk"</t>
  </si>
  <si>
    <t>% of Total TFO Property</t>
  </si>
  <si>
    <t>% of Total Property</t>
  </si>
  <si>
    <t>Cost</t>
  </si>
  <si>
    <t>Functionalization - Book Value</t>
  </si>
  <si>
    <t>Substation</t>
  </si>
  <si>
    <t>Voltage</t>
  </si>
  <si>
    <t>Total</t>
  </si>
  <si>
    <t>Bulk</t>
  </si>
  <si>
    <t>POD</t>
  </si>
  <si>
    <t>Depreciation</t>
  </si>
  <si>
    <t>Value</t>
  </si>
  <si>
    <t>POS</t>
  </si>
  <si>
    <t>Total Substations</t>
  </si>
  <si>
    <t>Source: EPCOR - EPCOR Asset Data CONFIDENTIAL.xlsx</t>
  </si>
  <si>
    <t>Acquisition Value ($)</t>
  </si>
  <si>
    <t>Accumulated Depreciation ($)</t>
  </si>
  <si>
    <t>Voltage (kV)</t>
  </si>
  <si>
    <t xml:space="preserve"> POD Tap</t>
  </si>
  <si>
    <t>By Voltage</t>
  </si>
  <si>
    <t>Dep</t>
  </si>
  <si>
    <t>Subtotal Substation</t>
  </si>
  <si>
    <t>Subtotal Transmission</t>
  </si>
  <si>
    <t>ENMAX</t>
  </si>
  <si>
    <t>Method</t>
  </si>
  <si>
    <t>ATCO</t>
  </si>
  <si>
    <t>Functionalized</t>
  </si>
  <si>
    <t>ENM</t>
  </si>
  <si>
    <t>ATC</t>
  </si>
  <si>
    <t>Percentage</t>
  </si>
  <si>
    <t>240 kV Line - 2 x 1033</t>
  </si>
  <si>
    <t>Substation Related Bulk System Property (AltaLink Bulk (Volt Level) Lines)</t>
  </si>
  <si>
    <t>Optimal Lines</t>
  </si>
  <si>
    <t>Regional</t>
  </si>
  <si>
    <t>Regional System</t>
  </si>
  <si>
    <t>All TFOs</t>
  </si>
  <si>
    <t>Conductor Size</t>
  </si>
  <si>
    <t>Optimal System</t>
  </si>
  <si>
    <t>Cost of Conductor ($/km)</t>
  </si>
  <si>
    <t>240 kV line classification</t>
  </si>
  <si>
    <t>Minimum System Approach - Bulk System</t>
  </si>
  <si>
    <t xml:space="preserve">240 kV Line Base and Optimal Costs </t>
  </si>
  <si>
    <t>Bulk substation classification</t>
  </si>
  <si>
    <t>Weighted bulk classification</t>
  </si>
  <si>
    <t>Dollars</t>
  </si>
  <si>
    <t>%</t>
  </si>
  <si>
    <t xml:space="preserve">138 kV LineBase and Optimal Costs </t>
  </si>
  <si>
    <t>138 kV line classification</t>
  </si>
  <si>
    <t>Total Bulk Property</t>
  </si>
  <si>
    <t>Minimum System Approach - Substation Cost (POD) Base and Optimal Costs</t>
  </si>
  <si>
    <t>Cost of Transformer</t>
  </si>
  <si>
    <t>Minimum System - Basic Transformers</t>
  </si>
  <si>
    <t>Optimized System - High Eff Transformers</t>
  </si>
  <si>
    <t xml:space="preserve"> POD Substation classification</t>
  </si>
  <si>
    <t>Overall Classification Results</t>
  </si>
  <si>
    <t>Source: Minimum and optimal conductor sizes confirmed with AESO; costs are based on the line file data using a weighted average approach</t>
  </si>
  <si>
    <t>Note, 138 KV 1x795 line had limited data and was extrapolated</t>
  </si>
  <si>
    <t>Primary voltage (kV)</t>
  </si>
  <si>
    <t>POS ratio - STS</t>
  </si>
  <si>
    <t>POD ratio - DTS</t>
  </si>
  <si>
    <t>Substation POS/POD Breakdown (%)</t>
  </si>
  <si>
    <t>Other</t>
  </si>
  <si>
    <t>Substation POS/POD Breakdown ($)</t>
  </si>
  <si>
    <t>Bulk (POS &amp; BSYS)</t>
  </si>
  <si>
    <t>Functionalization by Voltage - Book Values</t>
  </si>
  <si>
    <t>240/260 kV</t>
  </si>
  <si>
    <t>POD &amp; Radial</t>
  </si>
  <si>
    <t>By Value</t>
  </si>
  <si>
    <t>By Percentage</t>
  </si>
  <si>
    <t>1.  Are listed as Bulk System when primary kV is 240 kV and up.</t>
  </si>
  <si>
    <t>Substations not included in AESO database of POD's :</t>
  </si>
  <si>
    <t>Substations in the AESO database of PODs:</t>
  </si>
  <si>
    <t xml:space="preserve">Substation fraction (SF) means the share of a substation's capacity attributable to a market participant under Rate DTS or Rate STS, </t>
  </si>
  <si>
    <t xml:space="preserve">calculated by dividing the contract capacity of the individual system access service by the sum of all contract capacities of all system access services provided at the same substation under Rate DTS and Rate STS. </t>
  </si>
  <si>
    <t>For POD function cost allocation you would use the ratio: (sum of all DTS contracts) / (sum of all DTS contracts + Sum of all STS contracts), at any substation.</t>
  </si>
  <si>
    <t>3.Substations that have both DTS and STS contracts have costs allocated to the POD function proportional to DTS capacity (that is, by using the substation fraction)</t>
  </si>
  <si>
    <t>1. Substations with only DTS contracts are considered POD</t>
  </si>
  <si>
    <t>1. Substations with only STS contracts are considered POS or bulk</t>
  </si>
  <si>
    <t>By voltage</t>
  </si>
  <si>
    <t>SRC_TYPE</t>
  </si>
  <si>
    <t>SCOPE</t>
  </si>
  <si>
    <t>KV</t>
  </si>
  <si>
    <t>LENGTH</t>
  </si>
  <si>
    <t>Bulk (500,240 kV)</t>
  </si>
  <si>
    <t>Regional (138,144,69,72 kV)</t>
  </si>
  <si>
    <t>985/1003L</t>
  </si>
  <si>
    <t>1077L UG</t>
  </si>
  <si>
    <t>603L to Windy Flats 138S</t>
  </si>
  <si>
    <t>967L/968L</t>
  </si>
  <si>
    <t>676L/879L</t>
  </si>
  <si>
    <t xml:space="preserve">675L/892L </t>
  </si>
  <si>
    <t>674L</t>
  </si>
  <si>
    <t>1037L/1038L</t>
  </si>
  <si>
    <t>1048L/1049L</t>
  </si>
  <si>
    <t>Project name (Individual PDF Files)</t>
  </si>
  <si>
    <t>AESO Reference No</t>
  </si>
  <si>
    <t xml:space="preserve">In service </t>
  </si>
  <si>
    <t>Grande Prairie</t>
  </si>
  <si>
    <t>EPC</t>
  </si>
  <si>
    <t>AML</t>
  </si>
  <si>
    <t>Substation Costs</t>
  </si>
  <si>
    <t>Substation Secondary Voltage</t>
  </si>
  <si>
    <t>ALL</t>
  </si>
  <si>
    <t>Altalink</t>
  </si>
  <si>
    <t>Epcor</t>
  </si>
  <si>
    <t xml:space="preserve">POD </t>
  </si>
  <si>
    <t>Future substation functionalization results</t>
  </si>
  <si>
    <t>TFO for depreciation</t>
  </si>
  <si>
    <t>Best estimate cost (including progress report updates, etc)</t>
  </si>
  <si>
    <t>Estimated In Service Year</t>
  </si>
  <si>
    <t>850L</t>
  </si>
  <si>
    <t>911L UG</t>
  </si>
  <si>
    <t>Reconfigure 917L</t>
  </si>
  <si>
    <t>138-162.81L</t>
  </si>
  <si>
    <t>1077L</t>
  </si>
  <si>
    <t>138-23.80</t>
  </si>
  <si>
    <t>23.80L</t>
  </si>
  <si>
    <t>138-2.80</t>
  </si>
  <si>
    <t>874L</t>
  </si>
  <si>
    <t>911L</t>
  </si>
  <si>
    <t>911L Crossing</t>
  </si>
  <si>
    <t>911L By-Pass</t>
  </si>
  <si>
    <t>Connection of 603L to 138S - 603L</t>
  </si>
  <si>
    <t>916L</t>
  </si>
  <si>
    <t>936L</t>
  </si>
  <si>
    <t>937L</t>
  </si>
  <si>
    <t>Notes</t>
  </si>
  <si>
    <t>Existing Asset Functionalization</t>
  </si>
  <si>
    <t>1.  By Voltage</t>
  </si>
  <si>
    <t xml:space="preserve">Bulk </t>
  </si>
  <si>
    <t>TFO Summary of Existing Asset Values (Depreciated to 2016)</t>
  </si>
  <si>
    <t>Unfunctionalized</t>
  </si>
  <si>
    <t>Existing Asset Functionalization Results</t>
  </si>
  <si>
    <t>Total by TFO</t>
  </si>
  <si>
    <t>Planned Project Functionalization</t>
  </si>
  <si>
    <t>Altalink and ATCO Asset Values (Depreciated to 2016)</t>
  </si>
  <si>
    <t>Functionalization Results</t>
  </si>
  <si>
    <t>Line and Substation Separate Functionalization Results</t>
  </si>
  <si>
    <t>Total Value of Future Lines</t>
  </si>
  <si>
    <t>Total Value of Future Substations</t>
  </si>
  <si>
    <t>Existing Asset Functionalization by values (including ATCO)</t>
  </si>
  <si>
    <t>Combined Functionalization Existing and Planned Functionalization</t>
  </si>
  <si>
    <t>By value</t>
  </si>
  <si>
    <t>Description of Model</t>
  </si>
  <si>
    <t>Func AL Subs</t>
  </si>
  <si>
    <t>Func AL Lines</t>
  </si>
  <si>
    <t>Func EPCOR</t>
  </si>
  <si>
    <t>Func Enmax</t>
  </si>
  <si>
    <t>Tab names</t>
  </si>
  <si>
    <t>Section</t>
  </si>
  <si>
    <t>Functionalize EPCOR data directly</t>
  </si>
  <si>
    <t>Functionalize ENMAX data directly</t>
  </si>
  <si>
    <t>Existing asset functionalization calculations</t>
  </si>
  <si>
    <t>Planned asset functionalization calculations</t>
  </si>
  <si>
    <t>Func Future Lines</t>
  </si>
  <si>
    <t>Func Future Subs</t>
  </si>
  <si>
    <t>Functionalize Altalink substations by voltage</t>
  </si>
  <si>
    <t>Functionalize future substations by voltage</t>
  </si>
  <si>
    <t>Func results</t>
  </si>
  <si>
    <t>Functionalization results</t>
  </si>
  <si>
    <t>Minimum System Approach - Regional System</t>
  </si>
  <si>
    <t>2.  Are listed as regional when primary kV is 138 kV or 144 kV</t>
  </si>
  <si>
    <t>3.  Are listed as regional when primary kV is 69 kV or lower</t>
  </si>
  <si>
    <t>Line Related Regional System Property (AltaLink Bulk (Volt Level) Lines))</t>
  </si>
  <si>
    <t>Substation Related Regional System Property (AltaLink Bulk (Volt Level) Lines)</t>
  </si>
  <si>
    <t>Total Regional Property</t>
  </si>
  <si>
    <t>Weighted Regional classification</t>
  </si>
  <si>
    <t>ENMAX functionalization</t>
  </si>
  <si>
    <t>Secondary Voltage (kV) - F</t>
  </si>
  <si>
    <t>Future line functionalization results (%)</t>
  </si>
  <si>
    <t>Future line functionalization results ($)</t>
  </si>
  <si>
    <t>Future substations functionalization results ($)</t>
  </si>
  <si>
    <t>Future substations functionalization results (%)</t>
  </si>
  <si>
    <t>Depreciate to end of 2015</t>
  </si>
  <si>
    <t>Depreciate to end of 2016</t>
  </si>
  <si>
    <t>Dec 2015 Book Value</t>
  </si>
  <si>
    <t>Substation Costs Depreciated to Dec 2015</t>
  </si>
  <si>
    <t>Altalink and ATCO Asset Values (Depreciated to 2015)</t>
  </si>
  <si>
    <t>Net Book Value 2016</t>
  </si>
  <si>
    <t>Net Book Value 2015</t>
  </si>
  <si>
    <t>Net Book Value 2016 ($)</t>
  </si>
  <si>
    <t>Net Book Value 2015 ($)</t>
  </si>
  <si>
    <t xml:space="preserve">Point-of-Delivery (POD) Capital Additions </t>
  </si>
  <si>
    <t xml:space="preserve">Forecast Capital Maintenance </t>
  </si>
  <si>
    <t>TFOs</t>
  </si>
  <si>
    <t>Source:</t>
  </si>
  <si>
    <t>Ongoing costs for existing assets (non-LTP)</t>
  </si>
  <si>
    <t>TFO Summary of Existing Asset Values (Depreciated to 2015)</t>
  </si>
  <si>
    <t>Special</t>
  </si>
  <si>
    <t>Revenue Requirement (nominal $ million)</t>
  </si>
  <si>
    <t>Ratio</t>
  </si>
  <si>
    <t>Non-capital</t>
  </si>
  <si>
    <t>Capital</t>
  </si>
  <si>
    <t>Remove RGUCC to get final</t>
  </si>
  <si>
    <t>Combine O&amp;M</t>
  </si>
  <si>
    <t>Ratio of capital to non-capital</t>
  </si>
  <si>
    <t>Non capital functionalization</t>
  </si>
  <si>
    <t>Combined results</t>
  </si>
  <si>
    <t>500 kV Line - 2 X 2156</t>
  </si>
  <si>
    <t>500 kV Line - 3 X 1590</t>
  </si>
  <si>
    <t>Functionalized O&amp;M costs</t>
  </si>
  <si>
    <t xml:space="preserve">500 kV Line Base and Optimal Costs </t>
  </si>
  <si>
    <t>240 kV Lines</t>
  </si>
  <si>
    <t>Existing</t>
  </si>
  <si>
    <t>500 kV Lines</t>
  </si>
  <si>
    <t>Percent weight</t>
  </si>
  <si>
    <t>500 kV line classification</t>
  </si>
  <si>
    <t>Bulk line classification</t>
  </si>
  <si>
    <t>Bulk - Demand</t>
  </si>
  <si>
    <t>Bulk - Energy</t>
  </si>
  <si>
    <t>Check</t>
  </si>
  <si>
    <t>Demand</t>
  </si>
  <si>
    <t>Energy</t>
  </si>
  <si>
    <t>Regional - Demand</t>
  </si>
  <si>
    <t>Regional - Energy</t>
  </si>
  <si>
    <t>Non-Capital to Capital Costs</t>
  </si>
  <si>
    <t>Non-Capital</t>
  </si>
  <si>
    <t>Revenue Requirement</t>
  </si>
  <si>
    <t>Revenue Requirement Split ($ million)</t>
  </si>
  <si>
    <t>Classification results</t>
  </si>
  <si>
    <t>EPCOR Application of Allocators for Functionalization and Summary</t>
  </si>
  <si>
    <t>EP 5.2</t>
  </si>
  <si>
    <t>EPCOR Application of Allocators for Functionalization</t>
  </si>
  <si>
    <t>EP 5.1</t>
  </si>
  <si>
    <t>EPCOR Development of Allocators for Functionalization</t>
  </si>
  <si>
    <t>EP 5.0</t>
  </si>
  <si>
    <t>EPCOR Non Capital Costs split into O&amp;M and G&amp;A</t>
  </si>
  <si>
    <t>EP 4.0</t>
  </si>
  <si>
    <t>EPCOR Hearing, Ins., Other Taxes, Capital and Non Capital Costs</t>
  </si>
  <si>
    <t>EP 3.0</t>
  </si>
  <si>
    <t>EPCOR Revenue Offset, Capital and Non Capital Costs</t>
  </si>
  <si>
    <t>EP 2.0</t>
  </si>
  <si>
    <t>EPCOR Revenue Requirement, Summary Capital and Non Capital Costs</t>
  </si>
  <si>
    <t>EP 1.0</t>
  </si>
  <si>
    <t>ENMAX Application of Allocators for Functionalization and Summary</t>
  </si>
  <si>
    <t>EN 5.1</t>
  </si>
  <si>
    <t>ENMAX Development of Allocators for Functionalization</t>
  </si>
  <si>
    <t>EN 5.0</t>
  </si>
  <si>
    <t>ENMAX Non Capital Costs split into O&amp;M and G&amp;A</t>
  </si>
  <si>
    <t>EN 4.0</t>
  </si>
  <si>
    <t>ENMAX Revenue Requirement, Summary Capital and Non Capital Costs</t>
  </si>
  <si>
    <t>EN 1.0</t>
  </si>
  <si>
    <t>ATCO Application of Allocators for Functionalization and Summary</t>
  </si>
  <si>
    <t>AT 5.2</t>
  </si>
  <si>
    <t>ATCO Application of Allocators for Functionalization</t>
  </si>
  <si>
    <t>AT 5.1</t>
  </si>
  <si>
    <t>ATCO Development of Allocators for Functionalization</t>
  </si>
  <si>
    <t>AT 5.0</t>
  </si>
  <si>
    <t>ATCO Non Capital Costs split into O&amp;M and G&amp;A</t>
  </si>
  <si>
    <t>AT 4.0</t>
  </si>
  <si>
    <t>ATCO Hearing, Ins., Other Taxes, Capital and Non Capital Costs</t>
  </si>
  <si>
    <t>AT 3.0</t>
  </si>
  <si>
    <t>ATCO Revenue Offset, Capital and Non Capital Costs</t>
  </si>
  <si>
    <t>AT 2.0</t>
  </si>
  <si>
    <t>ATCO Revenue Requirement, Summary Capital and Non Capital Costs</t>
  </si>
  <si>
    <t>AT 1.0</t>
  </si>
  <si>
    <t>AltaLink Application of Allocators for Functionalization and Summary</t>
  </si>
  <si>
    <t>AL 5.3</t>
  </si>
  <si>
    <t>AltaLink Application of Allocators for Functionalization</t>
  </si>
  <si>
    <t>AL 5.2</t>
  </si>
  <si>
    <t>AltaLink Development of Allocators for Functionalization</t>
  </si>
  <si>
    <t>AL 5.1</t>
  </si>
  <si>
    <t>AltaLink Net Salary and Wage</t>
  </si>
  <si>
    <t>AL 5.0</t>
  </si>
  <si>
    <t>AltaLink Non Capital Costs split into O&amp;M and G&amp;A</t>
  </si>
  <si>
    <t>AL 4.0</t>
  </si>
  <si>
    <t>AltaLink Hearing, Ins., Other Taxes, Capital and Non Capital Costs</t>
  </si>
  <si>
    <t>AL 3.0</t>
  </si>
  <si>
    <t>AltaLink Revenue Offset, Capital and Non Capital Costs</t>
  </si>
  <si>
    <t>AL 2.0</t>
  </si>
  <si>
    <t>AltaLink Revenue Requirement, Summary Capital and Non Capital Costs</t>
  </si>
  <si>
    <t>AL 1.0</t>
  </si>
  <si>
    <t>Summary: Breakdown of Functionalized O&amp;M Costs</t>
  </si>
  <si>
    <t>Sum 3.1</t>
  </si>
  <si>
    <t>Summary: Functionalization of O&amp;M Costs</t>
  </si>
  <si>
    <t>Sum 3.0</t>
  </si>
  <si>
    <t>Summary: Non Capital Costs and Breakdown into O&amp;M and G&amp;A</t>
  </si>
  <si>
    <t>Sum 2.0</t>
  </si>
  <si>
    <t>Summary: Revenue Requirement and Non Capital Costs</t>
  </si>
  <si>
    <t>Sum 1.0</t>
  </si>
  <si>
    <t>Desciption</t>
  </si>
  <si>
    <t>Schedule</t>
  </si>
  <si>
    <t>ENMAX and EPCOR</t>
  </si>
  <si>
    <t>Altalink and ATCO</t>
  </si>
  <si>
    <t>EP Sch 1.0</t>
  </si>
  <si>
    <t>EN Sch 1.0</t>
  </si>
  <si>
    <t>AT Sch 1.0</t>
  </si>
  <si>
    <t>AL Sch 1.0</t>
  </si>
  <si>
    <t>Reference</t>
  </si>
  <si>
    <t>Revenue Requirement ($)</t>
  </si>
  <si>
    <t>Change in Non-capital costs/Rev. Requirement</t>
  </si>
  <si>
    <t>Costs are Forecast based on GTA, and updated with Actuals where available.</t>
  </si>
  <si>
    <t>Combined for TFOs</t>
  </si>
  <si>
    <t>Non Capital Costs/Rev Req</t>
  </si>
  <si>
    <t>Sum of Four TFO</t>
  </si>
  <si>
    <t>Non Capital Costs</t>
  </si>
  <si>
    <t>2013-14</t>
  </si>
  <si>
    <t>2012-13</t>
  </si>
  <si>
    <t>2011-12</t>
  </si>
  <si>
    <t>2010-11</t>
  </si>
  <si>
    <t>2009-10</t>
  </si>
  <si>
    <t>2008-09</t>
  </si>
  <si>
    <t>2007-08</t>
  </si>
  <si>
    <t>2006-07</t>
  </si>
  <si>
    <t>O&amp;M Costs / Non Cap Costs</t>
  </si>
  <si>
    <t>EP Sch 4.0</t>
  </si>
  <si>
    <t>EN Sch 4.0</t>
  </si>
  <si>
    <t>AT Sch 4.0</t>
  </si>
  <si>
    <t>AL Sch 4.0</t>
  </si>
  <si>
    <t>G&amp;A Costs</t>
  </si>
  <si>
    <t>O&amp;M Costs</t>
  </si>
  <si>
    <t>EP Sch 5.2</t>
  </si>
  <si>
    <t>EN Sch 5.1</t>
  </si>
  <si>
    <t>AT Sch 5.2</t>
  </si>
  <si>
    <t>AL Sch 5.3</t>
  </si>
  <si>
    <t>Functionalized O&amp;M Costs</t>
  </si>
  <si>
    <t>Local</t>
  </si>
  <si>
    <t>Other O&amp;M Costs</t>
  </si>
  <si>
    <t>Fuel and Variable O&amp;M</t>
  </si>
  <si>
    <t xml:space="preserve">Separation of O&amp;M Costs into Fuel/Variable and Other </t>
  </si>
  <si>
    <t>Sum of Four TFO's</t>
  </si>
  <si>
    <t>Breakdown of O&amp;M Costs to Classify</t>
  </si>
  <si>
    <t>Non Capital Related/Revenue Requirement</t>
  </si>
  <si>
    <t>Total Non Capital Related</t>
  </si>
  <si>
    <t>Annual Structure Payments (Sch 4.0)</t>
  </si>
  <si>
    <t>Hearings, Self Ins, Other Tax (Sch 3.0)</t>
  </si>
  <si>
    <t>Revenue Offsets (Sch 2.0)</t>
  </si>
  <si>
    <t xml:space="preserve">  Adjustments</t>
  </si>
  <si>
    <t>Revenue Offsets</t>
  </si>
  <si>
    <t>Operating Costs</t>
  </si>
  <si>
    <t>Capital Related/Revenue Requirement</t>
  </si>
  <si>
    <t>Total Capital Related</t>
  </si>
  <si>
    <t>Capital Related Costs</t>
  </si>
  <si>
    <t>Hearings, Self Ins, Other Taxes</t>
  </si>
  <si>
    <t>Income Tax Expense</t>
  </si>
  <si>
    <t>Return on Rate Base</t>
  </si>
  <si>
    <t>Fuel</t>
  </si>
  <si>
    <t>All Values in $</t>
  </si>
  <si>
    <t>TFO Cost Data</t>
  </si>
  <si>
    <t>Non Capital Related/Total Misc Rev</t>
  </si>
  <si>
    <t>Sub Total - Non Capital Related</t>
  </si>
  <si>
    <t>Non Capital Related Revenue Offsets</t>
  </si>
  <si>
    <t>Capital Related/Total Misc Rev</t>
  </si>
  <si>
    <t>Capital Related</t>
  </si>
  <si>
    <t>Capital Related (All except TransAlta Maint &amp; Tech Services, First Nations, AltaLink)</t>
  </si>
  <si>
    <t>Sub Total Other Parties</t>
  </si>
  <si>
    <t>Tower Lease</t>
  </si>
  <si>
    <t>Land Lease</t>
  </si>
  <si>
    <t>Other Parties</t>
  </si>
  <si>
    <t>Sub Total AltaLink</t>
  </si>
  <si>
    <t>Sub Total TransAlta Service Agreements</t>
  </si>
  <si>
    <t>First Nations</t>
  </si>
  <si>
    <t>Maintenance &amp; Technical Services</t>
  </si>
  <si>
    <t>Telecommunications</t>
  </si>
  <si>
    <t>Meter Data</t>
  </si>
  <si>
    <t>System Control Centre</t>
  </si>
  <si>
    <t>TransAlta</t>
  </si>
  <si>
    <t>Fortis Sub Total</t>
  </si>
  <si>
    <t>Miscellaneous</t>
  </si>
  <si>
    <t>Joint Use</t>
  </si>
  <si>
    <t>Fortis</t>
  </si>
  <si>
    <t>Total Miscellaneous Revenue</t>
  </si>
  <si>
    <t>Lease Revenue (Land and Com Towers)</t>
  </si>
  <si>
    <t xml:space="preserve">Other Revenue </t>
  </si>
  <si>
    <t xml:space="preserve">Services to Affiliate </t>
  </si>
  <si>
    <t>TransAlta Agreement General Business</t>
  </si>
  <si>
    <t>TransAlta Agreement Transmission</t>
  </si>
  <si>
    <t>Fortis Agreement</t>
  </si>
  <si>
    <t>Non Capital Related/Hearings etc.</t>
  </si>
  <si>
    <t>Non Capital Related Hearings &amp; Taxes</t>
  </si>
  <si>
    <t>Non Capital Related (Hearings, Self Inc and Other Taxes)</t>
  </si>
  <si>
    <t>Capital Related/Hearings, etc</t>
  </si>
  <si>
    <t>Capital Related - Taxes Other than Income</t>
  </si>
  <si>
    <t>Capital Related (All Other Taxes except Business Tax)</t>
  </si>
  <si>
    <t>Sub Total</t>
  </si>
  <si>
    <t>Business Tax</t>
  </si>
  <si>
    <t>Land</t>
  </si>
  <si>
    <t>Buildings/Structures</t>
  </si>
  <si>
    <t>Telecontrol</t>
  </si>
  <si>
    <t>Transmission Lines</t>
  </si>
  <si>
    <t>Taxes Other Than Income Tax</t>
  </si>
  <si>
    <t>Hearings, Self Ins and Other Taxes</t>
  </si>
  <si>
    <t>Total Non Capital Related Costs</t>
  </si>
  <si>
    <t>G&amp;A</t>
  </si>
  <si>
    <t>Net Revenue Offsets</t>
  </si>
  <si>
    <t>Total Labour</t>
  </si>
  <si>
    <t xml:space="preserve">O&amp;M </t>
  </si>
  <si>
    <t>* Considered Capital for this Study</t>
  </si>
  <si>
    <t>Total Non Capital Costs</t>
  </si>
  <si>
    <t>Annual Structure Payments *</t>
  </si>
  <si>
    <t>Net Hearings, Self Ins, Other Taxes</t>
  </si>
  <si>
    <t>Operating Expense</t>
  </si>
  <si>
    <t>General Operating Expense</t>
  </si>
  <si>
    <t>Telecom</t>
  </si>
  <si>
    <t>Buildings</t>
  </si>
  <si>
    <t>Non-Labour - Direct</t>
  </si>
  <si>
    <t>Non-Labour - Indirect</t>
  </si>
  <si>
    <t>Community Relations, Training &amp; Other Expenses</t>
  </si>
  <si>
    <t>Vehicles</t>
  </si>
  <si>
    <t>Staff Expenses</t>
  </si>
  <si>
    <t>Office Expenses</t>
  </si>
  <si>
    <t>Materials &amp; Supplies</t>
  </si>
  <si>
    <t>Other Contracted Manpower</t>
  </si>
  <si>
    <t>Brushing</t>
  </si>
  <si>
    <t>Net Salaries &amp; Wages</t>
  </si>
  <si>
    <t>Operaing Costs</t>
  </si>
  <si>
    <t>Separation of Non Capital Costs into O&amp;M and G&amp;A</t>
  </si>
  <si>
    <t>935 - Maintenance of General Plant</t>
  </si>
  <si>
    <t>934 - IT G&amp;A expense</t>
  </si>
  <si>
    <t>920 - Administrative and General Salaries</t>
  </si>
  <si>
    <t>575 - Operations &amp; Maintenance IT support</t>
  </si>
  <si>
    <t>571.1 - Vegetation management</t>
  </si>
  <si>
    <t>566 - O &amp; M Misc Transmission</t>
  </si>
  <si>
    <t>563 - Overhead Line Expenses</t>
  </si>
  <si>
    <t>562 - Station Equipment Maint</t>
  </si>
  <si>
    <t>561 - Control Centre Operations</t>
  </si>
  <si>
    <t>560 - Supervision &amp; Engineering</t>
  </si>
  <si>
    <t>Net Salary and Wages by Group</t>
  </si>
  <si>
    <t>Proportion of Net Salary and Wages on basis of FTE</t>
  </si>
  <si>
    <t>Net Salary and Wages breakdown by Group Based on FTE</t>
  </si>
  <si>
    <t>Salaries and Wages</t>
  </si>
  <si>
    <t>Break Down of Net Salary and Wages</t>
  </si>
  <si>
    <t>Control Center Allocator</t>
  </si>
  <si>
    <t>AltaLink Substation Allocator</t>
  </si>
  <si>
    <t>AltaLink Line Brushing Allocator</t>
  </si>
  <si>
    <t>Area</t>
  </si>
  <si>
    <t>500 (55 m)</t>
  </si>
  <si>
    <t>240 (40 m)</t>
  </si>
  <si>
    <t>138 (20 m)</t>
  </si>
  <si>
    <t>69 (15 m)</t>
  </si>
  <si>
    <t>AltaLink Land Owner Allocator</t>
  </si>
  <si>
    <t>Land Owners</t>
  </si>
  <si>
    <t>AltaLink Line Length Allocator</t>
  </si>
  <si>
    <t>Line Length</t>
  </si>
  <si>
    <t>kM</t>
  </si>
  <si>
    <t>Development of Allocators</t>
  </si>
  <si>
    <t>Gross Up to Total Net Salary and Wages</t>
  </si>
  <si>
    <t>Total Allocated Net Salary</t>
  </si>
  <si>
    <t>566 - O&amp;M Misc Transmission</t>
  </si>
  <si>
    <t>560 - Supervision &amp; Engineering &amp; 563 - Overhead Line Expenses</t>
  </si>
  <si>
    <t>Allocate Net Salaries and Wages</t>
  </si>
  <si>
    <t>O&amp;M Costs Applied to Allocators</t>
  </si>
  <si>
    <t>Total AltaLink O&amp;M Costs Functionalized</t>
  </si>
  <si>
    <t>Revenue Offsets (Allocated Proportional to Total Labour)</t>
  </si>
  <si>
    <t>Total Labour (Salary and Wages, Brushing and Contracted Manpower)</t>
  </si>
  <si>
    <t>Contracted Manpower</t>
  </si>
  <si>
    <t>Total Vegetation Management</t>
  </si>
  <si>
    <t>Substation - Vegetation Management</t>
  </si>
  <si>
    <t>Lines - Vegetation Management</t>
  </si>
  <si>
    <t>Brushing (Sch 4.0)</t>
  </si>
  <si>
    <t>Operating Costs - R of W Payment (Sch 4.0)</t>
  </si>
  <si>
    <t>Operating Costs (Sch 3.0)</t>
  </si>
  <si>
    <t>Non Capital Related Costs</t>
  </si>
  <si>
    <t>Deferral &amp; Reserve Accounts</t>
  </si>
  <si>
    <t>Capital Related Offsets</t>
  </si>
  <si>
    <t>Total Revenue Offsets</t>
  </si>
  <si>
    <t>Other Revenue</t>
  </si>
  <si>
    <t>Service to Other Party Revenue</t>
  </si>
  <si>
    <t>Northland Utilities (NWT)</t>
  </si>
  <si>
    <t>Northland Utilities (Yellowknife)</t>
  </si>
  <si>
    <t>ATCO Electric Distribution</t>
  </si>
  <si>
    <t>Alberta Power (2000)</t>
  </si>
  <si>
    <t>ATCO Power</t>
  </si>
  <si>
    <t>ATCO Gas</t>
  </si>
  <si>
    <t>Affiliate Revenue</t>
  </si>
  <si>
    <t>Facility Charges</t>
  </si>
  <si>
    <t>Sub Total Capital Costs</t>
  </si>
  <si>
    <t>Isolated Generating Plants</t>
  </si>
  <si>
    <t>Communications</t>
  </si>
  <si>
    <t>Main Trans Substations</t>
  </si>
  <si>
    <t>Main Transmission Lines</t>
  </si>
  <si>
    <t>Capital Costs included in Operating</t>
  </si>
  <si>
    <t>Capital Related (All Other Taxes except General Tax)</t>
  </si>
  <si>
    <t>Sub Total Taxes Other than Income</t>
  </si>
  <si>
    <t>General</t>
  </si>
  <si>
    <t>Other Taxes</t>
  </si>
  <si>
    <t>Operating Costs (Without Other Taxes)</t>
  </si>
  <si>
    <t>Costs applied to allocators</t>
  </si>
  <si>
    <t>Net Taxes Other than Income</t>
  </si>
  <si>
    <t>Operating (Allocated Costs)</t>
  </si>
  <si>
    <t>Less Taxes other than Income (Capital)</t>
  </si>
  <si>
    <t>Less Operating Allocated Costs (G&amp;A)</t>
  </si>
  <si>
    <t>Operating Costs (net of R of W Payments)</t>
  </si>
  <si>
    <t>Total Transmission Operating Costs</t>
  </si>
  <si>
    <t>Farms, Irrigation Transmission Operating Costs</t>
  </si>
  <si>
    <t>Taxes Other Than Income</t>
  </si>
  <si>
    <t>Allocated Administrative &amp; General</t>
  </si>
  <si>
    <t>Allocated Share of Common Operations</t>
  </si>
  <si>
    <t>Allocated Share of General Operation and Maintenance</t>
  </si>
  <si>
    <t>Isolated Generation Operation and Maintenance</t>
  </si>
  <si>
    <t>IT Support</t>
  </si>
  <si>
    <t>Vegetation Management</t>
  </si>
  <si>
    <t>Right of Way Payments *</t>
  </si>
  <si>
    <t>Miscellaneous Transmission Expense</t>
  </si>
  <si>
    <t>Overhead Lines Expenses &amp; Operation Maintenance</t>
  </si>
  <si>
    <t>Station Equipment Expenses</t>
  </si>
  <si>
    <t>Control Centre Operations</t>
  </si>
  <si>
    <t>Supervision and Engineering</t>
  </si>
  <si>
    <t>Fuel Allocator</t>
  </si>
  <si>
    <t>All:AT:4  Fuel (Displacement of Local and POD)</t>
  </si>
  <si>
    <t>Substation Allocator</t>
  </si>
  <si>
    <t>Transformer Count</t>
  </si>
  <si>
    <t>Transformers</t>
  </si>
  <si>
    <t>Line Brushing Allocator</t>
  </si>
  <si>
    <t>Total Area</t>
  </si>
  <si>
    <t>144 (20 m)</t>
  </si>
  <si>
    <t>72 (15 m)</t>
  </si>
  <si>
    <t>Area (Sq kM)</t>
  </si>
  <si>
    <t>All:AT:2  Line Brushing Allocator (Line Length X Width)</t>
  </si>
  <si>
    <t>Land Owner Allocator</t>
  </si>
  <si>
    <t>2.  Land Owner Allocator (1 for each 1/2 mile of line, 1 for each substation)</t>
  </si>
  <si>
    <t>Line Length Allocator</t>
  </si>
  <si>
    <t>Allocator (All:AT:4)</t>
  </si>
  <si>
    <t>Isolated Generation O&amp;M</t>
  </si>
  <si>
    <t>Allocator (All:AT:2)</t>
  </si>
  <si>
    <t>Allocator (All:AT:1)</t>
  </si>
  <si>
    <t>Overhead Lines Expenses &amp; Operation Maint</t>
  </si>
  <si>
    <t>Allocator (All:AT:3)</t>
  </si>
  <si>
    <t>Allocator (All:AT:5)</t>
  </si>
  <si>
    <t>Allocation of Each Item</t>
  </si>
  <si>
    <t>Total ATCO O&amp;M Costs Functionalized</t>
  </si>
  <si>
    <t>Residual - Unallocated Amounts</t>
  </si>
  <si>
    <t>Application of Allocators</t>
  </si>
  <si>
    <t>Administration</t>
  </si>
  <si>
    <t>Total Operating and Maintenance</t>
  </si>
  <si>
    <t>Information Technology</t>
  </si>
  <si>
    <t>Finance</t>
  </si>
  <si>
    <t>Legal, Regulatory, Public Affairs</t>
  </si>
  <si>
    <t xml:space="preserve">Control Centre </t>
  </si>
  <si>
    <t xml:space="preserve">Transmission </t>
  </si>
  <si>
    <t xml:space="preserve">Human Resources &amp; Safety </t>
  </si>
  <si>
    <t>* Actual based on Rule 005 Report to 2011</t>
  </si>
  <si>
    <t>Maintenance Activity Allocator</t>
  </si>
  <si>
    <t>Elements</t>
  </si>
  <si>
    <t>Prorated to Total from Allocated Costs</t>
  </si>
  <si>
    <t>Total O&amp;M Costs</t>
  </si>
  <si>
    <t>Sum of Allocated Costs</t>
  </si>
  <si>
    <t>Allocator (All:EN:2)</t>
  </si>
  <si>
    <t>Allocator (All:EN:3)</t>
  </si>
  <si>
    <t>Allocator (All:EN:1)</t>
  </si>
  <si>
    <t>Non Capital/Revenue Requirement</t>
  </si>
  <si>
    <t>Capital/Revenue Requirement</t>
  </si>
  <si>
    <t>Operating Costs (Capital Related, Sch 3.0)</t>
  </si>
  <si>
    <t>Revenue Offsets (Capital Related, Sch 2.0)</t>
  </si>
  <si>
    <t>Capital Costs</t>
  </si>
  <si>
    <t>Miscellaneous Revenue</t>
  </si>
  <si>
    <t>Revenue - Affiliates &amp; Inter-Affiliates</t>
  </si>
  <si>
    <t>Non Capital Costs in Operating</t>
  </si>
  <si>
    <t>Non Capital (Operating Costs)</t>
  </si>
  <si>
    <t>Capital Related (Taxes other than Income in Operating)</t>
  </si>
  <si>
    <t>Operating Costs With Taxes other than Inc.</t>
  </si>
  <si>
    <t>Property Tax</t>
  </si>
  <si>
    <t>Linear Tax</t>
  </si>
  <si>
    <t>Less Capital Related Property Taxes</t>
  </si>
  <si>
    <t>Property and Business Taxes</t>
  </si>
  <si>
    <t>Property Taxes</t>
  </si>
  <si>
    <t>Allocated Corporate G&amp;A Net of Disallowances</t>
  </si>
  <si>
    <t>Total Administative &amp; General Expenses</t>
  </si>
  <si>
    <t>G&amp;A and Common Operations Net of Disallowances</t>
  </si>
  <si>
    <t>General Operation and Maintenance By Account 935</t>
  </si>
  <si>
    <t>Isolated Generation Operation and Maintenance - N/A to EDTI</t>
  </si>
  <si>
    <t>Total Direct Operations &amp; Maintenance</t>
  </si>
  <si>
    <t>Operation &amp; Maintenance Customer Installation Expenses</t>
  </si>
  <si>
    <t>Miscellaneous Transmission Expenses</t>
  </si>
  <si>
    <t>Underground Line Expenses</t>
  </si>
  <si>
    <t>Overhead Lines Expenses</t>
  </si>
  <si>
    <t>Supervision and Engineering Allocator</t>
  </si>
  <si>
    <t>Costs</t>
  </si>
  <si>
    <t>All:EP:4</t>
  </si>
  <si>
    <t>Trans Sub Eng Planning and Asset Management (MOP)</t>
  </si>
  <si>
    <t>All:EP:3</t>
  </si>
  <si>
    <t>Trans Line and Cable Ops Supervision and Eng</t>
  </si>
  <si>
    <t>ALL:EP:5</t>
  </si>
  <si>
    <t>Trans Sub Ops Supervision and Non Wrench Time</t>
  </si>
  <si>
    <t>Trans Sub Eng, Planning and Asset Management</t>
  </si>
  <si>
    <t>Blending of Allocators Weighted by Forecast Cost</t>
  </si>
  <si>
    <t>Forecast Total Supervision and Engineering</t>
  </si>
  <si>
    <t>Transmission Substation Engineering, System Planning and Asset Management (MOP)</t>
  </si>
  <si>
    <t>Transmission Line and Cable Operations Supervision and Engineering</t>
  </si>
  <si>
    <t>Transmission Substation Operations Supervision and Non-Wrench Time</t>
  </si>
  <si>
    <t>Transmission Substation Engineering, System Planning and Asset Management</t>
  </si>
  <si>
    <t>All:EP:6  Supervision and Engineering Allocator</t>
  </si>
  <si>
    <t>Substation Cost Allocator</t>
  </si>
  <si>
    <t>Number of Transformers</t>
  </si>
  <si>
    <t>All:EP:5  Substation Costs</t>
  </si>
  <si>
    <t>Number of Lines</t>
  </si>
  <si>
    <t>Total Line Length Allocator</t>
  </si>
  <si>
    <t>Total Line Length</t>
  </si>
  <si>
    <t>All:EP:3  Transmission Lines Allocator</t>
  </si>
  <si>
    <t>UG Line Allocator</t>
  </si>
  <si>
    <t>UG Line Length</t>
  </si>
  <si>
    <t>All:EP:2  Underground Lines Allocator</t>
  </si>
  <si>
    <t>OH Line Allocator</t>
  </si>
  <si>
    <t>OH Line Length</t>
  </si>
  <si>
    <t>All:EP:1  Overhead Lines Allocator</t>
  </si>
  <si>
    <t>240 U/G</t>
  </si>
  <si>
    <t>72 U/G</t>
  </si>
  <si>
    <t>500 OH</t>
  </si>
  <si>
    <t>240 OH</t>
  </si>
  <si>
    <t>138 OH</t>
  </si>
  <si>
    <t>72 OH</t>
  </si>
  <si>
    <t>1.  Line Length Allocator</t>
  </si>
  <si>
    <t>Allocator (All:EP:2)</t>
  </si>
  <si>
    <t>Allocator (All:EP:1)</t>
  </si>
  <si>
    <t>Allocator (All:EP:5)</t>
  </si>
  <si>
    <t>Allocator (All:EP:4)</t>
  </si>
  <si>
    <t>Control Center Operations</t>
  </si>
  <si>
    <t>Allocator (All:EP:6)</t>
  </si>
  <si>
    <t>Allocation of Each Line</t>
  </si>
  <si>
    <t>Prorate Residual to Total</t>
  </si>
  <si>
    <t>Total EPCOR O&amp;M Costs Functionalized</t>
  </si>
  <si>
    <t>Residual - Unallocated O&amp;M, Rev Offsets</t>
  </si>
  <si>
    <t>Sum of Allocated Amounts</t>
  </si>
  <si>
    <t>Index - O&amp;M Model</t>
  </si>
  <si>
    <t>Revenue Requirement change</t>
  </si>
  <si>
    <t>AltaLink ($)</t>
  </si>
  <si>
    <t>ATCO Electric ($)</t>
  </si>
  <si>
    <t>ENMAX ($)</t>
  </si>
  <si>
    <t>EPCOR ($)</t>
  </si>
  <si>
    <t>Combined TFOs ($)</t>
  </si>
  <si>
    <t>AltaLink (%)</t>
  </si>
  <si>
    <t>ATCO Electric  (%)</t>
  </si>
  <si>
    <t>ENMAX  (%)</t>
  </si>
  <si>
    <t>EPCOR  (%)</t>
  </si>
  <si>
    <t>TFO Cost Data - AltaLink</t>
  </si>
  <si>
    <t>Development of Allocators - AltaLink</t>
  </si>
  <si>
    <t>O&amp;M Costs Applied to Allocators - AltaLink</t>
  </si>
  <si>
    <t>By Value (just functionalized)</t>
  </si>
  <si>
    <t>Bulk line(240 and 500 kV) combined cost</t>
  </si>
  <si>
    <t>Bulk System - Weighted for Lines and Substations (Altalink and ATCO assets)</t>
  </si>
  <si>
    <t>Regional System - Weighted for Lines and Substations (Altalink and ATCO assets)</t>
  </si>
  <si>
    <t>Count by Voltage</t>
  </si>
  <si>
    <t>Combined TFOs (%)</t>
  </si>
  <si>
    <t>O&amp;M</t>
  </si>
  <si>
    <t>O&amp;M tabs</t>
  </si>
  <si>
    <t>Func ATCO Lines</t>
  </si>
  <si>
    <t>Func ATCO Subs</t>
  </si>
  <si>
    <t>Functionalize ATCO substations by voltage</t>
  </si>
  <si>
    <t>Total of Allocated Amounts - Fuel and Isolated Generation</t>
  </si>
  <si>
    <t>Total of Allocated Amounts - Other than Fuel and Isolated Generation</t>
  </si>
  <si>
    <t>Allocation of Residual Amounts</t>
  </si>
  <si>
    <t>Capital cost functionalization</t>
  </si>
  <si>
    <t>Future capital cost functionalization</t>
  </si>
  <si>
    <t>O&amp;M cost functionalization</t>
  </si>
  <si>
    <t>Capital cost functionalization (by value)</t>
  </si>
  <si>
    <t>Regional/POD split (from capital cost functiontionalization)</t>
  </si>
  <si>
    <t xml:space="preserve">--&gt; Note this comes from capital cost functionalization results </t>
  </si>
  <si>
    <t>Line Cost Allocator</t>
  </si>
  <si>
    <t>Line Costs (as of Dec 2014)</t>
  </si>
  <si>
    <t>Number of Substations</t>
  </si>
  <si>
    <t>Total number of lines and substations</t>
  </si>
  <si>
    <t>Combined Line and Substation Count Allocator</t>
  </si>
  <si>
    <t>Lines and Transformers</t>
  </si>
  <si>
    <t>All:EP:4  Combined Lines and Substation Allocator</t>
  </si>
  <si>
    <t>Functionalization Results (net of RGUCC)</t>
  </si>
  <si>
    <t>Final Functionalization (%)</t>
  </si>
  <si>
    <t>Functionalization Results (before RGUCC, in $ millions)</t>
  </si>
  <si>
    <t>RGUCC (to deduct from bulk, in $ millions)</t>
  </si>
  <si>
    <t>Future capital cost functionalization (by value)</t>
  </si>
  <si>
    <t>Results for report</t>
  </si>
  <si>
    <t>Results for report, combining capital and O&amp;M results</t>
  </si>
  <si>
    <t>O&amp;M underlying calculations</t>
  </si>
  <si>
    <t>Summary of results</t>
  </si>
  <si>
    <t>All:AL:1a.  Line Length Allocator</t>
  </si>
  <si>
    <t>All:AL:1b.  Land Owner Allocator (1 for each 1/2 mile of line, 1 for each substation)</t>
  </si>
  <si>
    <t>All:AL:2.  Line Brushing Allocator (Line Length X Width - Sq kM)</t>
  </si>
  <si>
    <t>All:AL:3.  Substation Allocator (Substation Costs)</t>
  </si>
  <si>
    <t>All:AL:4.  Combined Line and Substation allocator</t>
  </si>
  <si>
    <t>Allocator (All:AL:4)</t>
  </si>
  <si>
    <t>Allocator (All:AL:3)</t>
  </si>
  <si>
    <t>Allocator (All:AL:2)</t>
  </si>
  <si>
    <t>Allocator (All:AL:1)</t>
  </si>
  <si>
    <t>Line Brushing Allocator (All:AL:2)</t>
  </si>
  <si>
    <t>Substation Brushing Allocator (All:AL:3)</t>
  </si>
  <si>
    <t>All:AT:1a.  Line Length Allocator</t>
  </si>
  <si>
    <t>ATCO Lines</t>
  </si>
  <si>
    <t>ATCO Substations</t>
  </si>
  <si>
    <t>AltaLink Substations</t>
  </si>
  <si>
    <t>All.EN.1a  Line Length Allocator</t>
  </si>
  <si>
    <t>Costs of lines and substations</t>
  </si>
  <si>
    <t>All.EN.3 Control Center Costs</t>
  </si>
  <si>
    <t>Combined cost functionalization</t>
  </si>
  <si>
    <t>Source: Updated transformers using Quote from TFO</t>
  </si>
  <si>
    <t>By Value (include Unavailable)</t>
  </si>
  <si>
    <t>Unavailable Data</t>
  </si>
  <si>
    <t>Unavailable</t>
  </si>
  <si>
    <t>By Value (include unavailable)</t>
  </si>
  <si>
    <t>AL-L1</t>
  </si>
  <si>
    <t>AL-L2</t>
  </si>
  <si>
    <t>AL-L3</t>
  </si>
  <si>
    <t>AL-L4</t>
  </si>
  <si>
    <t>AL-L5</t>
  </si>
  <si>
    <t>AL-L6</t>
  </si>
  <si>
    <t>AL-L7</t>
  </si>
  <si>
    <t>AL-L8</t>
  </si>
  <si>
    <t>AL-L9</t>
  </si>
  <si>
    <t>AL-L10</t>
  </si>
  <si>
    <t>AL-L11</t>
  </si>
  <si>
    <t>AL-L12</t>
  </si>
  <si>
    <t>AL-L13</t>
  </si>
  <si>
    <t>AL-L14</t>
  </si>
  <si>
    <t>AL-L15</t>
  </si>
  <si>
    <t>AL-L16</t>
  </si>
  <si>
    <t>AL-L17</t>
  </si>
  <si>
    <t>AL-L18</t>
  </si>
  <si>
    <t>AL-L19</t>
  </si>
  <si>
    <t>AL-L20</t>
  </si>
  <si>
    <t>AL-L21</t>
  </si>
  <si>
    <t>AL-L22</t>
  </si>
  <si>
    <t>AL-L23</t>
  </si>
  <si>
    <t>AL-L24</t>
  </si>
  <si>
    <t>AL-L25</t>
  </si>
  <si>
    <t>AL-L26</t>
  </si>
  <si>
    <t>AL-L27</t>
  </si>
  <si>
    <t>AL-L28</t>
  </si>
  <si>
    <t>AL-L29</t>
  </si>
  <si>
    <t>AL-L30</t>
  </si>
  <si>
    <t>AL-L31</t>
  </si>
  <si>
    <t>AL-L32</t>
  </si>
  <si>
    <t>AL-L33</t>
  </si>
  <si>
    <t>AL-L34</t>
  </si>
  <si>
    <t>AL-L35</t>
  </si>
  <si>
    <t>AL-L36</t>
  </si>
  <si>
    <t>AL-L37</t>
  </si>
  <si>
    <t>AL-L38</t>
  </si>
  <si>
    <t>AL-L39</t>
  </si>
  <si>
    <t>AL-L40</t>
  </si>
  <si>
    <t>AL-L41</t>
  </si>
  <si>
    <t>AL-L42</t>
  </si>
  <si>
    <t>AL-L43</t>
  </si>
  <si>
    <t>AL-L44</t>
  </si>
  <si>
    <t>AL-L45</t>
  </si>
  <si>
    <t>AL-L46</t>
  </si>
  <si>
    <t>AL-L47</t>
  </si>
  <si>
    <t>AL-L48</t>
  </si>
  <si>
    <t>AL-L49</t>
  </si>
  <si>
    <t>AL-L50</t>
  </si>
  <si>
    <t>AL-L51</t>
  </si>
  <si>
    <t>AL-L52</t>
  </si>
  <si>
    <t>AL-L53</t>
  </si>
  <si>
    <t>AL-L54</t>
  </si>
  <si>
    <t>AL-L55</t>
  </si>
  <si>
    <t>AL-L56</t>
  </si>
  <si>
    <t>AL-L57</t>
  </si>
  <si>
    <t>AL-L58</t>
  </si>
  <si>
    <t>AL-L59</t>
  </si>
  <si>
    <t>AL-L60</t>
  </si>
  <si>
    <t>AL-L61</t>
  </si>
  <si>
    <t>AL-L62</t>
  </si>
  <si>
    <t>AL-L63</t>
  </si>
  <si>
    <t>AL-L64</t>
  </si>
  <si>
    <t>AL-L65</t>
  </si>
  <si>
    <t>AL-L66</t>
  </si>
  <si>
    <t>AL-L67</t>
  </si>
  <si>
    <t>AL-L68</t>
  </si>
  <si>
    <t>AL-L69</t>
  </si>
  <si>
    <t>AL-L70</t>
  </si>
  <si>
    <t>AL-L71</t>
  </si>
  <si>
    <t>AL-L72</t>
  </si>
  <si>
    <t>AL-L73</t>
  </si>
  <si>
    <t>AL-L74</t>
  </si>
  <si>
    <t>AL-L75</t>
  </si>
  <si>
    <t>AL-L76</t>
  </si>
  <si>
    <t>AL-L77</t>
  </si>
  <si>
    <t>AL-L78</t>
  </si>
  <si>
    <t>AL-L79</t>
  </si>
  <si>
    <t>AL-L80</t>
  </si>
  <si>
    <t>AL-L81</t>
  </si>
  <si>
    <t>AL-L82</t>
  </si>
  <si>
    <t>AL-L83</t>
  </si>
  <si>
    <t>AL-L84</t>
  </si>
  <si>
    <t>AL-L85</t>
  </si>
  <si>
    <t>AL-L86</t>
  </si>
  <si>
    <t>AL-L87</t>
  </si>
  <si>
    <t>AL-L88</t>
  </si>
  <si>
    <t>AL-L89</t>
  </si>
  <si>
    <t>AL-L90</t>
  </si>
  <si>
    <t>AL-L92</t>
  </si>
  <si>
    <t>AL-L94</t>
  </si>
  <si>
    <t>AL-L95</t>
  </si>
  <si>
    <t>AL-L96</t>
  </si>
  <si>
    <t>AL-L97</t>
  </si>
  <si>
    <t>AL-L98</t>
  </si>
  <si>
    <t>AL-L99</t>
  </si>
  <si>
    <t>AL-L100</t>
  </si>
  <si>
    <t>AL-L101</t>
  </si>
  <si>
    <t>AL-L102</t>
  </si>
  <si>
    <t>AL-L103</t>
  </si>
  <si>
    <t>AL-L104</t>
  </si>
  <si>
    <t>AL-L105</t>
  </si>
  <si>
    <t>AL-L106</t>
  </si>
  <si>
    <t>AL-L107</t>
  </si>
  <si>
    <t>AL-L108</t>
  </si>
  <si>
    <t>AL-L109</t>
  </si>
  <si>
    <t>AL-L110</t>
  </si>
  <si>
    <t>AL-L111</t>
  </si>
  <si>
    <t>AL-L112</t>
  </si>
  <si>
    <t>AL-L113</t>
  </si>
  <si>
    <t>AL-L114</t>
  </si>
  <si>
    <t>AL-L115</t>
  </si>
  <si>
    <t>AL-L116</t>
  </si>
  <si>
    <t>AL-L117</t>
  </si>
  <si>
    <t>AL-L118</t>
  </si>
  <si>
    <t>AL-L119</t>
  </si>
  <si>
    <t>AL-L120</t>
  </si>
  <si>
    <t>AL-L121</t>
  </si>
  <si>
    <t>AL-L122</t>
  </si>
  <si>
    <t>AL-L123</t>
  </si>
  <si>
    <t>AL-L124</t>
  </si>
  <si>
    <t>AL-L125</t>
  </si>
  <si>
    <t>AL-L128</t>
  </si>
  <si>
    <t>AL-L129</t>
  </si>
  <si>
    <t>AL-L130</t>
  </si>
  <si>
    <t>AL-L131</t>
  </si>
  <si>
    <t>AL-L132</t>
  </si>
  <si>
    <t>AL-L135</t>
  </si>
  <si>
    <t>AL-L136</t>
  </si>
  <si>
    <t>AL-L137</t>
  </si>
  <si>
    <t>AL-L138</t>
  </si>
  <si>
    <t>AL-L139</t>
  </si>
  <si>
    <t>AL-L140</t>
  </si>
  <si>
    <t>AL-L141</t>
  </si>
  <si>
    <t>AL-L142</t>
  </si>
  <si>
    <t>AL-L143</t>
  </si>
  <si>
    <t>AL-L144</t>
  </si>
  <si>
    <t>AL-L145</t>
  </si>
  <si>
    <t>AL-L146</t>
  </si>
  <si>
    <t>AL-L147</t>
  </si>
  <si>
    <t>AL-L148</t>
  </si>
  <si>
    <t>AL-L149</t>
  </si>
  <si>
    <t>AL-L150</t>
  </si>
  <si>
    <t>AL-L151</t>
  </si>
  <si>
    <t>AL-L152</t>
  </si>
  <si>
    <t>AL-L153</t>
  </si>
  <si>
    <t>AL-L154</t>
  </si>
  <si>
    <t>AL-L155</t>
  </si>
  <si>
    <t>AL-L157</t>
  </si>
  <si>
    <t>AL-L158</t>
  </si>
  <si>
    <t>AL-L159</t>
  </si>
  <si>
    <t>AL-L160</t>
  </si>
  <si>
    <t>AL-L161</t>
  </si>
  <si>
    <t>AL-L162</t>
  </si>
  <si>
    <t>AL-L163</t>
  </si>
  <si>
    <t>AL-L164</t>
  </si>
  <si>
    <t>AL-L165</t>
  </si>
  <si>
    <t>AL-L166</t>
  </si>
  <si>
    <t>AL-L167</t>
  </si>
  <si>
    <t>AL-L168</t>
  </si>
  <si>
    <t>AL-L169</t>
  </si>
  <si>
    <t>AL-L170</t>
  </si>
  <si>
    <t>AL-L171</t>
  </si>
  <si>
    <t>AL-L172</t>
  </si>
  <si>
    <t>AL-L173</t>
  </si>
  <si>
    <t>AL-L174</t>
  </si>
  <si>
    <t>AL-L175</t>
  </si>
  <si>
    <t>AL-L176</t>
  </si>
  <si>
    <t>AL-L177</t>
  </si>
  <si>
    <t>AL-L178</t>
  </si>
  <si>
    <t>AL-L179</t>
  </si>
  <si>
    <t>AL-L180</t>
  </si>
  <si>
    <t>AL-L181</t>
  </si>
  <si>
    <t>AL-L182</t>
  </si>
  <si>
    <t>AL-L183</t>
  </si>
  <si>
    <t>AL-L184</t>
  </si>
  <si>
    <t>AL-L185</t>
  </si>
  <si>
    <t>AL-L186</t>
  </si>
  <si>
    <t>AL-L187</t>
  </si>
  <si>
    <t>AL-L188</t>
  </si>
  <si>
    <t>AL-L189</t>
  </si>
  <si>
    <t>AL-L190</t>
  </si>
  <si>
    <t>AL-L192</t>
  </si>
  <si>
    <t>AL-L193</t>
  </si>
  <si>
    <t>AL-L194</t>
  </si>
  <si>
    <t>AL-L195</t>
  </si>
  <si>
    <t>AL-L196</t>
  </si>
  <si>
    <t>AL-L197</t>
  </si>
  <si>
    <t>AL-L198</t>
  </si>
  <si>
    <t>AL-L199</t>
  </si>
  <si>
    <t>AL-L200</t>
  </si>
  <si>
    <t>AL-L201</t>
  </si>
  <si>
    <t>AL-L202</t>
  </si>
  <si>
    <t>AL-L203</t>
  </si>
  <si>
    <t>AL-L204</t>
  </si>
  <si>
    <t>AL-L205</t>
  </si>
  <si>
    <t>AL-L206</t>
  </si>
  <si>
    <t>AL-L207</t>
  </si>
  <si>
    <t>AL-L208</t>
  </si>
  <si>
    <t>AL-L209</t>
  </si>
  <si>
    <t>AL-L210</t>
  </si>
  <si>
    <t>AL-L211</t>
  </si>
  <si>
    <t>AL-L212</t>
  </si>
  <si>
    <t>AL-L213</t>
  </si>
  <si>
    <t>AL-L214</t>
  </si>
  <si>
    <t>AL-L215</t>
  </si>
  <si>
    <t>AL-L216</t>
  </si>
  <si>
    <t>AL-L217</t>
  </si>
  <si>
    <t>AL-L218</t>
  </si>
  <si>
    <t>AL-L219</t>
  </si>
  <si>
    <t>AL-L221</t>
  </si>
  <si>
    <t>AL-L222</t>
  </si>
  <si>
    <t>AL-L223</t>
  </si>
  <si>
    <t>AL-L224</t>
  </si>
  <si>
    <t>AL-L225</t>
  </si>
  <si>
    <t>AL-L226</t>
  </si>
  <si>
    <t>AL-L227</t>
  </si>
  <si>
    <t>AL-L228</t>
  </si>
  <si>
    <t>AL-L229</t>
  </si>
  <si>
    <t>AL-L230</t>
  </si>
  <si>
    <t>AL-L231</t>
  </si>
  <si>
    <t>AL-L232</t>
  </si>
  <si>
    <t>AL-L233</t>
  </si>
  <si>
    <t>AL-L234</t>
  </si>
  <si>
    <t>AL-L235</t>
  </si>
  <si>
    <t>AL-L236</t>
  </si>
  <si>
    <t>AL-L237</t>
  </si>
  <si>
    <t>AL-L238</t>
  </si>
  <si>
    <t>AL-L239</t>
  </si>
  <si>
    <t>AL-L240</t>
  </si>
  <si>
    <t>AL-L241</t>
  </si>
  <si>
    <t>AL-L242</t>
  </si>
  <si>
    <t>AL-L243</t>
  </si>
  <si>
    <t>AL-L244</t>
  </si>
  <si>
    <t>AL-L245</t>
  </si>
  <si>
    <t>AL-L246</t>
  </si>
  <si>
    <t>AL-L247</t>
  </si>
  <si>
    <t>AL-L248</t>
  </si>
  <si>
    <t>AL-L249</t>
  </si>
  <si>
    <t>AL-L250</t>
  </si>
  <si>
    <t>AL-L251</t>
  </si>
  <si>
    <t>AL-L252</t>
  </si>
  <si>
    <t>AL-L253</t>
  </si>
  <si>
    <t>AL-L254</t>
  </si>
  <si>
    <t>AL-L255</t>
  </si>
  <si>
    <t>AL-L256</t>
  </si>
  <si>
    <t>AL-L257</t>
  </si>
  <si>
    <t>AL-L258</t>
  </si>
  <si>
    <t>AL-L259</t>
  </si>
  <si>
    <t>AL-L260</t>
  </si>
  <si>
    <t>AL-L261</t>
  </si>
  <si>
    <t>AL-L262</t>
  </si>
  <si>
    <t>AL-L263</t>
  </si>
  <si>
    <t>AL-L264</t>
  </si>
  <si>
    <t>AL-L265</t>
  </si>
  <si>
    <t>AL-L266</t>
  </si>
  <si>
    <t>AL-L267</t>
  </si>
  <si>
    <t>AL-L268</t>
  </si>
  <si>
    <t>AL-L269</t>
  </si>
  <si>
    <t>AL-L270</t>
  </si>
  <si>
    <t>AL-L271</t>
  </si>
  <si>
    <t>AL-L272</t>
  </si>
  <si>
    <t>AL-L273</t>
  </si>
  <si>
    <t>AL-L274</t>
  </si>
  <si>
    <t>AL-L275</t>
  </si>
  <si>
    <t>AL-L276</t>
  </si>
  <si>
    <t>AL-L277</t>
  </si>
  <si>
    <t>AL-L278</t>
  </si>
  <si>
    <t>AL-L279</t>
  </si>
  <si>
    <t>AL-L280</t>
  </si>
  <si>
    <t>AL-L281</t>
  </si>
  <si>
    <t>AL-L282</t>
  </si>
  <si>
    <t>AL-L283</t>
  </si>
  <si>
    <t>AL-L284</t>
  </si>
  <si>
    <t>AL-L285</t>
  </si>
  <si>
    <t>AL-L286</t>
  </si>
  <si>
    <t>AL-L287</t>
  </si>
  <si>
    <t>AL-L288</t>
  </si>
  <si>
    <t>AL-L289</t>
  </si>
  <si>
    <t>AL-L290</t>
  </si>
  <si>
    <t>AL-L291</t>
  </si>
  <si>
    <t>AL-L292</t>
  </si>
  <si>
    <t>AL-L293</t>
  </si>
  <si>
    <t>AL-L294</t>
  </si>
  <si>
    <t>AL-L295</t>
  </si>
  <si>
    <t>AL-L296</t>
  </si>
  <si>
    <t>AL-L297</t>
  </si>
  <si>
    <t>AL-L298</t>
  </si>
  <si>
    <t>AL-L299</t>
  </si>
  <si>
    <t>AL-L300</t>
  </si>
  <si>
    <t>AL-L301</t>
  </si>
  <si>
    <t>AL-L302</t>
  </si>
  <si>
    <t>AL-L303</t>
  </si>
  <si>
    <t>AL-L304</t>
  </si>
  <si>
    <t>AL-L305</t>
  </si>
  <si>
    <t>AL-L306</t>
  </si>
  <si>
    <t>AL-L307</t>
  </si>
  <si>
    <t>AL-L308</t>
  </si>
  <si>
    <t>AL-L309</t>
  </si>
  <si>
    <t>AL-L310</t>
  </si>
  <si>
    <t>AL-L311</t>
  </si>
  <si>
    <t>AL-L312</t>
  </si>
  <si>
    <t>AL-L313</t>
  </si>
  <si>
    <t>AL-L314</t>
  </si>
  <si>
    <t>AL-L315</t>
  </si>
  <si>
    <t>AL-L316</t>
  </si>
  <si>
    <t>AL-L317</t>
  </si>
  <si>
    <t>AL-L318</t>
  </si>
  <si>
    <t>AL-L319</t>
  </si>
  <si>
    <t>AL-L320</t>
  </si>
  <si>
    <t>AL-L321</t>
  </si>
  <si>
    <t>AL-L322</t>
  </si>
  <si>
    <t>AL-L323</t>
  </si>
  <si>
    <t>AL-L324</t>
  </si>
  <si>
    <t>AL-L325</t>
  </si>
  <si>
    <t>AL-L326</t>
  </si>
  <si>
    <t>AL-L327</t>
  </si>
  <si>
    <t>AL-L328</t>
  </si>
  <si>
    <t>AL-L329</t>
  </si>
  <si>
    <t>AL-L330</t>
  </si>
  <si>
    <t>AL-L331</t>
  </si>
  <si>
    <t>AL-L332</t>
  </si>
  <si>
    <t>AL-L333</t>
  </si>
  <si>
    <t>AL-L334</t>
  </si>
  <si>
    <t>AL-L335</t>
  </si>
  <si>
    <t>AL-L340</t>
  </si>
  <si>
    <t>AL-L341</t>
  </si>
  <si>
    <t>AL-L342</t>
  </si>
  <si>
    <t>AL-L343</t>
  </si>
  <si>
    <t>AL-L344</t>
  </si>
  <si>
    <t>AL-L345</t>
  </si>
  <si>
    <t>AL-L346</t>
  </si>
  <si>
    <t>AL-L347</t>
  </si>
  <si>
    <t>AL-L348</t>
  </si>
  <si>
    <t>AL-L349</t>
  </si>
  <si>
    <t>AL-L350</t>
  </si>
  <si>
    <t>AL-L351</t>
  </si>
  <si>
    <t>AL-L352</t>
  </si>
  <si>
    <t>AL-L353</t>
  </si>
  <si>
    <t>AL-L354</t>
  </si>
  <si>
    <t>AL-L355</t>
  </si>
  <si>
    <t>AL-L356</t>
  </si>
  <si>
    <t>AL-L357</t>
  </si>
  <si>
    <t>AL-L358</t>
  </si>
  <si>
    <t>AL-L359</t>
  </si>
  <si>
    <t>AL-L360</t>
  </si>
  <si>
    <t>AL-L361</t>
  </si>
  <si>
    <t>AL-L362</t>
  </si>
  <si>
    <t>AL-L363</t>
  </si>
  <si>
    <t>AL-L364</t>
  </si>
  <si>
    <t>AL-L365</t>
  </si>
  <si>
    <t>AL-L366</t>
  </si>
  <si>
    <t>AL-L367</t>
  </si>
  <si>
    <t>AL-L368</t>
  </si>
  <si>
    <t>AL-L369</t>
  </si>
  <si>
    <t>AL-L370</t>
  </si>
  <si>
    <t>AL-L371</t>
  </si>
  <si>
    <t>AL-L372</t>
  </si>
  <si>
    <t>AL-L373</t>
  </si>
  <si>
    <t>AL-L374</t>
  </si>
  <si>
    <t>AL-L375</t>
  </si>
  <si>
    <t>AL-L376</t>
  </si>
  <si>
    <t>AL-L377</t>
  </si>
  <si>
    <t>AL-L378</t>
  </si>
  <si>
    <t>AL-L379</t>
  </si>
  <si>
    <t>AL-L380</t>
  </si>
  <si>
    <t>AL-L381</t>
  </si>
  <si>
    <t>AL-L382</t>
  </si>
  <si>
    <t>AL-L383</t>
  </si>
  <si>
    <t>AL-L384</t>
  </si>
  <si>
    <t>AL-L390</t>
  </si>
  <si>
    <t>AL-L391</t>
  </si>
  <si>
    <t>AL-L392</t>
  </si>
  <si>
    <t>AL-L393</t>
  </si>
  <si>
    <t>AL-L394</t>
  </si>
  <si>
    <t>AL-L397</t>
  </si>
  <si>
    <t>AL-L398</t>
  </si>
  <si>
    <t>AL-L399</t>
  </si>
  <si>
    <t xml:space="preserve"> ID</t>
  </si>
  <si>
    <t>ATCO Substation functionalization results (net of customer contribution)</t>
  </si>
  <si>
    <t>Transmission Contributions in Aid of Construction ($ millions)</t>
  </si>
  <si>
    <t>AltaLink Substation functionalization results (net of customer contribution)</t>
  </si>
  <si>
    <t>All:EN:1  Line Count</t>
  </si>
  <si>
    <t>All.EN.2  ENMAX Transformer Count</t>
  </si>
  <si>
    <t>2.80/2.81/2.82/2.83/833L U/G</t>
  </si>
  <si>
    <t>985 UG</t>
  </si>
  <si>
    <t>9L95</t>
  </si>
  <si>
    <t>All:AT:3  Substation allocator</t>
  </si>
  <si>
    <t>AL-L336</t>
  </si>
  <si>
    <t>AL-L337</t>
  </si>
  <si>
    <t>AL-L338</t>
  </si>
  <si>
    <t>AL-L339</t>
  </si>
  <si>
    <t>2014 Book Value ($)</t>
  </si>
  <si>
    <t>TOTAL</t>
  </si>
  <si>
    <t>Depreciate to end of 2017</t>
  </si>
  <si>
    <t>Depreciate to end of 2018</t>
  </si>
  <si>
    <t>Depreciate to end of 2019</t>
  </si>
  <si>
    <t>Depreciate to end of 2020</t>
  </si>
  <si>
    <t>AL-L400</t>
  </si>
  <si>
    <t>AL-L401</t>
  </si>
  <si>
    <t>AL-L402</t>
  </si>
  <si>
    <t>AL-L403</t>
  </si>
  <si>
    <t>AL-L404</t>
  </si>
  <si>
    <t>AL-L405</t>
  </si>
  <si>
    <t>AL-L406</t>
  </si>
  <si>
    <t>AL-L407</t>
  </si>
  <si>
    <t>AL-L408</t>
  </si>
  <si>
    <t>AL-L409</t>
  </si>
  <si>
    <t>AL-L410</t>
  </si>
  <si>
    <t>AL-L411</t>
  </si>
  <si>
    <t>AL-L412</t>
  </si>
  <si>
    <t>AL-L413</t>
  </si>
  <si>
    <t>AL-L414</t>
  </si>
  <si>
    <t>AL-L415</t>
  </si>
  <si>
    <t>AL-L416</t>
  </si>
  <si>
    <t>AL-L417</t>
  </si>
  <si>
    <t>Dec 2016 Book Value</t>
  </si>
  <si>
    <t>Dec 2017 Book Value</t>
  </si>
  <si>
    <t>Dec 2018 Book Value</t>
  </si>
  <si>
    <t>Dec 2019 Book Value</t>
  </si>
  <si>
    <t>Dec 2020 Book Value</t>
  </si>
  <si>
    <t>Dec 2018 Book Value ($)</t>
  </si>
  <si>
    <t>Dec 2019 Book Value ($)</t>
  </si>
  <si>
    <t>Dec 2020 Book Value ($)</t>
  </si>
  <si>
    <t>Net Book Value 2017 ($)</t>
  </si>
  <si>
    <t>Net Book Value 2018 ($)</t>
  </si>
  <si>
    <t>Net Book Value 2019 ($)</t>
  </si>
  <si>
    <t>AL-L91</t>
  </si>
  <si>
    <t>AL-L93</t>
  </si>
  <si>
    <t>AL-L126</t>
  </si>
  <si>
    <t>AL-L127</t>
  </si>
  <si>
    <t>AL-L133</t>
  </si>
  <si>
    <t>AL-L134</t>
  </si>
  <si>
    <t>AL-L156</t>
  </si>
  <si>
    <t>AL-L191</t>
  </si>
  <si>
    <t>AL-L220</t>
  </si>
  <si>
    <t>AL-L385</t>
  </si>
  <si>
    <t>AL-L386</t>
  </si>
  <si>
    <t>AL-L387</t>
  </si>
  <si>
    <t>AL-L388</t>
  </si>
  <si>
    <t>AL-L389</t>
  </si>
  <si>
    <t>AL-L395</t>
  </si>
  <si>
    <t>AL-L396</t>
  </si>
  <si>
    <t>line 8 schd 3-1</t>
  </si>
  <si>
    <t>line 9 schd 3-2</t>
  </si>
  <si>
    <t>line 10 schd 3-3</t>
  </si>
  <si>
    <t>line 12 schd 3-4</t>
  </si>
  <si>
    <t>line 11 schd 3-5</t>
  </si>
  <si>
    <t>line 13 schd 3-1</t>
  </si>
  <si>
    <t>circuit Length (kM)</t>
  </si>
  <si>
    <t>ATCO Energy Solutions</t>
  </si>
  <si>
    <t>ATCO Structures &amp; Logistics</t>
  </si>
  <si>
    <t>ATCO Electric Yukon</t>
  </si>
  <si>
    <t>Alberta Power Line</t>
  </si>
  <si>
    <t>Source: ATCO Electric 2015-2017 MFR Schedule.xlsx, Schedule 10-7</t>
  </si>
  <si>
    <t xml:space="preserve">Count 95% POS </t>
  </si>
  <si>
    <t>Source: AltaLink 2015-2016 MFR Schedule.xlsx, Schedule 10-6</t>
  </si>
  <si>
    <t xml:space="preserve">Transmission 2014 NBV (net of contributions) </t>
  </si>
  <si>
    <t>Net Book Value 2017</t>
  </si>
  <si>
    <t>Net Book Value 2018</t>
  </si>
  <si>
    <t>Net Book Value 2019</t>
  </si>
  <si>
    <t>Net Book Value 2020</t>
  </si>
  <si>
    <t>PPS</t>
  </si>
  <si>
    <t>Construction of 1.3km of 240kV in/out on H-frame, 9L57 &amp; 9L74 180day</t>
  </si>
  <si>
    <t>line 9L930_v181</t>
  </si>
  <si>
    <t>in and out of line 9L07 and 9L89 from lune 9L07 at Dawes Sub_180</t>
  </si>
  <si>
    <t>new line 7L170_180</t>
  </si>
  <si>
    <t>608L - d/c 725BL</t>
  </si>
  <si>
    <t xml:space="preserve">608L - 138kV both s/c and d/c </t>
  </si>
  <si>
    <t>Connection of 608L to 138S - 608AL</t>
  </si>
  <si>
    <t>727L temporary_180</t>
  </si>
  <si>
    <t>727L salvage_180</t>
  </si>
  <si>
    <t>646L/850L_180</t>
  </si>
  <si>
    <t>727L/646L rebuild to d/c_180</t>
  </si>
  <si>
    <t>1080L/1109L_180</t>
  </si>
  <si>
    <t>434L/646L_180</t>
  </si>
  <si>
    <t>project</t>
  </si>
  <si>
    <t>Hanna</t>
  </si>
  <si>
    <t>High_Level</t>
  </si>
  <si>
    <t>Wetaskiwin</t>
  </si>
  <si>
    <t>Fort McMurray</t>
  </si>
  <si>
    <t>Lethbridge</t>
  </si>
  <si>
    <t>Calgary</t>
  </si>
  <si>
    <t>Fort_MacLeod</t>
  </si>
  <si>
    <t>Peace_River</t>
  </si>
  <si>
    <t>Red_Deer</t>
  </si>
  <si>
    <t>Caroline</t>
  </si>
  <si>
    <t>area</t>
  </si>
  <si>
    <t>Depreciated cost to 2015</t>
  </si>
  <si>
    <t>1135L/1136L preferred</t>
  </si>
  <si>
    <t>428L/457L 180</t>
  </si>
  <si>
    <t>1117L 180</t>
  </si>
  <si>
    <t>1116L 180</t>
  </si>
  <si>
    <t>transmission line 166AL_(v2)</t>
  </si>
  <si>
    <t>transmission line 166L_(v2)</t>
  </si>
  <si>
    <t>476L &amp; 477L A</t>
  </si>
  <si>
    <t>476L &amp; 477L B</t>
  </si>
  <si>
    <t>26.81L</t>
  </si>
  <si>
    <t>54.81L</t>
  </si>
  <si>
    <t>41.84L</t>
  </si>
  <si>
    <t>600L</t>
  </si>
  <si>
    <t>9L08 and 9L76 240kV s/c line</t>
  </si>
  <si>
    <t>780L/174L</t>
  </si>
  <si>
    <t xml:space="preserve">780L/858L </t>
  </si>
  <si>
    <t>454L/455L</t>
  </si>
  <si>
    <t>1140L/1112L</t>
  </si>
  <si>
    <t>910L/914L</t>
  </si>
  <si>
    <t>790L/790AL</t>
  </si>
  <si>
    <t>739L</t>
  </si>
  <si>
    <t>452L 10km OPGW replacement</t>
  </si>
  <si>
    <t>446L/453L</t>
  </si>
  <si>
    <t>446L/452L/453L</t>
  </si>
  <si>
    <t>1043L/1139L</t>
  </si>
  <si>
    <t>bypass 9L07/9L112</t>
  </si>
  <si>
    <t>9L112</t>
  </si>
  <si>
    <t>9L30</t>
  </si>
  <si>
    <t>9L07</t>
  </si>
  <si>
    <t xml:space="preserve"> 9L01</t>
  </si>
  <si>
    <t>1214L</t>
  </si>
  <si>
    <t>central</t>
  </si>
  <si>
    <t>Edmonton</t>
  </si>
  <si>
    <t>Hinton_Edson</t>
  </si>
  <si>
    <t>edmonton</t>
  </si>
  <si>
    <t>Fort_Saskatchewan</t>
  </si>
  <si>
    <t>Strathmore_Blackie</t>
  </si>
  <si>
    <t>Medicine Hat</t>
  </si>
  <si>
    <t>856S Kinosis Substation</t>
  </si>
  <si>
    <t>Blumenort substation 832S</t>
  </si>
  <si>
    <t>Tucuman 478S</t>
  </si>
  <si>
    <t>High Level substation</t>
  </si>
  <si>
    <t>Keg River 789S</t>
  </si>
  <si>
    <t>Arcenciel 930S</t>
  </si>
  <si>
    <t>Sulphur Point 828S</t>
  </si>
  <si>
    <t>Ring Creek 853S</t>
  </si>
  <si>
    <t>Ells River 2079S</t>
  </si>
  <si>
    <t>Gaetz 87S</t>
  </si>
  <si>
    <t>Enmax No. 2</t>
  </si>
  <si>
    <t>Enmax No. 23</t>
  </si>
  <si>
    <t>898S Heart Lake_v181</t>
  </si>
  <si>
    <t>East Calgary 5S</t>
  </si>
  <si>
    <t>Langdon 102S substation</t>
  </si>
  <si>
    <t>Janet 74S</t>
  </si>
  <si>
    <t>S.42S</t>
  </si>
  <si>
    <t>Peigan 59S substation</t>
  </si>
  <si>
    <t>825S Whitefish Lake_v181</t>
  </si>
  <si>
    <t>Foothills 237S</t>
  </si>
  <si>
    <t>Algar Substation 875S_180</t>
  </si>
  <si>
    <t>Dawes Substation 2011S_180</t>
  </si>
  <si>
    <t>Dover Substation 888S_180</t>
  </si>
  <si>
    <t>Hangingston Substation 820S_180</t>
  </si>
  <si>
    <t>Keephills 320P</t>
  </si>
  <si>
    <t>MacMillan Substation 885S_180</t>
  </si>
  <si>
    <t>Gregoire Substation 883S_180</t>
  </si>
  <si>
    <t>Wolf Creek 288S</t>
  </si>
  <si>
    <t>Windy Flats 138S</t>
  </si>
  <si>
    <t>Station - Stavely Series Capacitor SC1 266S</t>
  </si>
  <si>
    <t>Hardisty 377S</t>
  </si>
  <si>
    <t>Bowmanton 244S</t>
  </si>
  <si>
    <t>Peigan 59S</t>
  </si>
  <si>
    <t>Foothills 237S 138kV_180</t>
  </si>
  <si>
    <t>High River 65S_180</t>
  </si>
  <si>
    <t>Carseland 525S_180</t>
  </si>
  <si>
    <t>Okotok 678S_180</t>
  </si>
  <si>
    <t>Ipiatik 167S 180</t>
  </si>
  <si>
    <t>Edwards Lake 189S preferred</t>
  </si>
  <si>
    <t>Christina Lake 723S upg 180</t>
  </si>
  <si>
    <t>Black Spruce 154S mod 180</t>
  </si>
  <si>
    <t>Jackfish 698S mod 180</t>
  </si>
  <si>
    <t>Pike 170S mod 180</t>
  </si>
  <si>
    <t>Winefred 818S mod 180</t>
  </si>
  <si>
    <t>Sundre 575S RAS_(v2)</t>
  </si>
  <si>
    <t>RAS in 256S_(v2)</t>
  </si>
  <si>
    <t>Shell Caroline 378S RAS_(v2)</t>
  </si>
  <si>
    <t>Petrolia 816S</t>
  </si>
  <si>
    <t>Substation Johnson 281S_(v2)</t>
  </si>
  <si>
    <t>Substation Harmattan 256S_(v2)</t>
  </si>
  <si>
    <t>Little Smoky 813S</t>
  </si>
  <si>
    <t>Upgrade Irish Creek 706S substation</t>
  </si>
  <si>
    <t>Grist Lake 190S Substation A</t>
  </si>
  <si>
    <t>Pike 170S Substation A</t>
  </si>
  <si>
    <t>Red Deer 63S</t>
  </si>
  <si>
    <t>Substation No.41</t>
  </si>
  <si>
    <t>Substation No.65</t>
  </si>
  <si>
    <t>Substation No.26</t>
  </si>
  <si>
    <t>Substation No.54</t>
  </si>
  <si>
    <t>Substation No.32</t>
  </si>
  <si>
    <t>Bowmanton 244S 138kV</t>
  </si>
  <si>
    <t>Suffield 895S line protection</t>
  </si>
  <si>
    <t>Cypress 562S line protection</t>
  </si>
  <si>
    <t>Chappice Lake 649S</t>
  </si>
  <si>
    <t>Burdett 368S line protection</t>
  </si>
  <si>
    <t>Medicine Hat 41S</t>
  </si>
  <si>
    <t>Bullshead 523S</t>
  </si>
  <si>
    <t>New Ells River 2079S switching station</t>
  </si>
  <si>
    <t>Modify Dover 888S substation</t>
  </si>
  <si>
    <t>Modify Joslyn 849S substation</t>
  </si>
  <si>
    <t>East Edmonton 38S</t>
  </si>
  <si>
    <t>Ellerslie 89S</t>
  </si>
  <si>
    <t>Vermillion 710S</t>
  </si>
  <si>
    <t>Nisku 149S</t>
  </si>
  <si>
    <t>Harry smith 376S</t>
  </si>
  <si>
    <t xml:space="preserve">Bardo 197S </t>
  </si>
  <si>
    <t>Stony Plain 434S</t>
  </si>
  <si>
    <t>Wetaskiwin 40S</t>
  </si>
  <si>
    <t>Cooking Lake 522S</t>
  </si>
  <si>
    <t>Acheson 305S</t>
  </si>
  <si>
    <t>Saunders Lake 289S</t>
  </si>
  <si>
    <t>Leduc 325S</t>
  </si>
  <si>
    <t>Spruce Grove 595S</t>
  </si>
  <si>
    <t>East Camrose 285S</t>
  </si>
  <si>
    <t>East Edmonton 38S dev3</t>
  </si>
  <si>
    <t>Bilby 105S</t>
  </si>
  <si>
    <t>Carvel 432S</t>
  </si>
  <si>
    <t>Cold Creek 602S</t>
  </si>
  <si>
    <t>North Red Deer 217S</t>
  </si>
  <si>
    <t>Viscount 92S</t>
  </si>
  <si>
    <t>Bretona 45S</t>
  </si>
  <si>
    <t>Bigstone 86S</t>
  </si>
  <si>
    <t>Thickwood Hills 951S substation</t>
  </si>
  <si>
    <t>Thickwood Hills 951S substation_SVS</t>
  </si>
  <si>
    <t>Sunnybrook 510S</t>
  </si>
  <si>
    <t>Ruth Lake sub</t>
  </si>
  <si>
    <t>Dawes</t>
  </si>
  <si>
    <t>Dover</t>
  </si>
  <si>
    <t>Castle Rock Ridge 205S</t>
  </si>
  <si>
    <t>Wainwright</t>
  </si>
  <si>
    <t>Athabasca/Lac</t>
  </si>
  <si>
    <t>9L12</t>
  </si>
  <si>
    <t>9L38 &amp; 9L94</t>
  </si>
  <si>
    <t>7L183 transmission line</t>
  </si>
  <si>
    <t>7L180</t>
  </si>
  <si>
    <t>732AL</t>
  </si>
  <si>
    <t>172L/463L[v180]</t>
  </si>
  <si>
    <t>line 172L</t>
  </si>
  <si>
    <t>1003 UG</t>
  </si>
  <si>
    <t>Two 240kV lines 9L124 | 9L139</t>
  </si>
  <si>
    <t>Line 9L32</t>
  </si>
  <si>
    <t>line 778L</t>
  </si>
  <si>
    <t>line 464L</t>
  </si>
  <si>
    <t>line 768L</t>
  </si>
  <si>
    <t xml:space="preserve">v180 - Retermination of 0.025km138kV 719L </t>
  </si>
  <si>
    <t>New 100m 138kV line 130L</t>
  </si>
  <si>
    <t>Line 9L57</t>
  </si>
  <si>
    <t>Line 9L144</t>
  </si>
  <si>
    <t>685L/854L 60m in/out line</t>
  </si>
  <si>
    <t xml:space="preserve">Rerouting 815L </t>
  </si>
  <si>
    <t>138kv s/c line 621L</t>
  </si>
  <si>
    <t>Line 9L930</t>
  </si>
  <si>
    <t>7LA106 new line</t>
  </si>
  <si>
    <t>line upgrade</t>
  </si>
  <si>
    <t>New 50m 144kV s/c  line 7LB65</t>
  </si>
  <si>
    <t>7L20/7L228_(v1)</t>
  </si>
  <si>
    <t>New 100m 475L_(v1)</t>
  </si>
  <si>
    <t>983L/1074L_(v1)</t>
  </si>
  <si>
    <t>633L</t>
  </si>
  <si>
    <t>7L05</t>
  </si>
  <si>
    <t>971AL</t>
  </si>
  <si>
    <t>7LA10</t>
  </si>
  <si>
    <t>882L</t>
  </si>
  <si>
    <t>880L</t>
  </si>
  <si>
    <t>675L</t>
  </si>
  <si>
    <t>769BL</t>
  </si>
  <si>
    <t>769L</t>
  </si>
  <si>
    <t>949L</t>
  </si>
  <si>
    <t>7L134</t>
  </si>
  <si>
    <t>7LA65</t>
  </si>
  <si>
    <t>704L</t>
  </si>
  <si>
    <t>Phase1 856L/776L/857L</t>
  </si>
  <si>
    <t>Phase2 997L</t>
  </si>
  <si>
    <t>Phase2 942L/1131L</t>
  </si>
  <si>
    <t>Phase2 1120L</t>
  </si>
  <si>
    <t>Phase1 807L</t>
  </si>
  <si>
    <t>Phase1 1120L</t>
  </si>
  <si>
    <t>Phase2 1182L</t>
  </si>
  <si>
    <t>Phase1 1181L</t>
  </si>
  <si>
    <t>745L</t>
  </si>
  <si>
    <t>215AL</t>
  </si>
  <si>
    <t>Fox_Creek</t>
  </si>
  <si>
    <t>Lloydminster</t>
  </si>
  <si>
    <t>Mother Moutain 2055S Switching Substation</t>
  </si>
  <si>
    <t>mercer Hill 728S</t>
  </si>
  <si>
    <t>2060S Engstrom Substation</t>
  </si>
  <si>
    <t>Queensland 301S</t>
  </si>
  <si>
    <t>Louise Creek 809S</t>
  </si>
  <si>
    <t>162SS</t>
  </si>
  <si>
    <t>Amelia 108S substation</t>
  </si>
  <si>
    <t>Chinook 181S substation[v180]</t>
  </si>
  <si>
    <t>North Lethbridge 370s substation</t>
  </si>
  <si>
    <t>Enmax No. 25</t>
  </si>
  <si>
    <t>Modify Vilna 777S</t>
  </si>
  <si>
    <t>Wesley 834S Substation</t>
  </si>
  <si>
    <t>West Pease A793S</t>
  </si>
  <si>
    <t>Brintnell</t>
  </si>
  <si>
    <t>659S substation</t>
  </si>
  <si>
    <t>[Final]659S substation</t>
  </si>
  <si>
    <t>Secord 2005S</t>
  </si>
  <si>
    <t>Substation Joslyn 849S</t>
  </si>
  <si>
    <t>Substation McClelland 957S</t>
  </si>
  <si>
    <t>Lambton substation</t>
  </si>
  <si>
    <t>Cochrane 291S upgrade</t>
  </si>
  <si>
    <t>Norcen 812S substation upgrade</t>
  </si>
  <si>
    <t xml:space="preserve">v180 - Fortis 263S substation upgrade </t>
  </si>
  <si>
    <t>Yeo substation</t>
  </si>
  <si>
    <t>Birchwood creek substation</t>
  </si>
  <si>
    <t>North ST Albert 99S substation[180D]</t>
  </si>
  <si>
    <t>Modify P&amp;C at Benbow 397S</t>
  </si>
  <si>
    <t>Modify P&amp;C at Bickerdike 39S</t>
  </si>
  <si>
    <t>New Deerhill 1012S substation</t>
  </si>
  <si>
    <t>Modify P&amp;C at Marlboro 348S</t>
  </si>
  <si>
    <t>Enmax Sub11 modify</t>
  </si>
  <si>
    <t>Deerland 13S substation</t>
  </si>
  <si>
    <t>Heart Lake 898S</t>
  </si>
  <si>
    <t>Upgrade Scotford 409S substation</t>
  </si>
  <si>
    <t>New Whitetail Peaking Station 976S(part of scope)</t>
  </si>
  <si>
    <t>Blackfalds 198S</t>
  </si>
  <si>
    <t>Wabasca 720S</t>
  </si>
  <si>
    <t>New Vincent 2019S POD substation</t>
  </si>
  <si>
    <t>Fox Creek 741S</t>
  </si>
  <si>
    <t>Modify Vermillion 710S substation</t>
  </si>
  <si>
    <t>Upgrade Vegreville 709S substation</t>
  </si>
  <si>
    <t>Leduc 325S 180D</t>
  </si>
  <si>
    <t>Thorton POD 2091S_(v1)</t>
  </si>
  <si>
    <t>Dome 810S_(v1)</t>
  </si>
  <si>
    <t>HR Milner 740S_(v1)</t>
  </si>
  <si>
    <t>Colinton 159S</t>
  </si>
  <si>
    <t>Queenstown 504S_(v1)</t>
  </si>
  <si>
    <t>Vulcan 255S_(v1)</t>
  </si>
  <si>
    <t>Fort Macleod 15S_(v1)</t>
  </si>
  <si>
    <t>McGregor Lake 200S_(v1)</t>
  </si>
  <si>
    <t>West Brooks 28S_(v1)</t>
  </si>
  <si>
    <t>Elkwater 264S_(v1)</t>
  </si>
  <si>
    <t>Upgrade Benbow 397S</t>
  </si>
  <si>
    <t>Cassils 324S_(v1)</t>
  </si>
  <si>
    <t>Whitla 251S_(v1)</t>
  </si>
  <si>
    <t>Eagle Buttle 274S_(v1)</t>
  </si>
  <si>
    <t>Upgrade Simonette 733S</t>
  </si>
  <si>
    <t>Boyle 56S substation</t>
  </si>
  <si>
    <t>Plamondon 353S</t>
  </si>
  <si>
    <t>Upgrade Broadmoor 420S</t>
  </si>
  <si>
    <t>Hughenden 213S</t>
  </si>
  <si>
    <t>Mahihkan 837S</t>
  </si>
  <si>
    <t>Bohn 931S</t>
  </si>
  <si>
    <t>Upgrade Bauer 918S substation</t>
  </si>
  <si>
    <t>Genesee 330S</t>
  </si>
  <si>
    <t>High river 65S</t>
  </si>
  <si>
    <t>Okotoks 678S</t>
  </si>
  <si>
    <t>Mowat 233S</t>
  </si>
  <si>
    <t xml:space="preserve">Rycroft 730S </t>
  </si>
  <si>
    <t>Black Spruce 154S</t>
  </si>
  <si>
    <t>Conklin 762S</t>
  </si>
  <si>
    <t>Clairmont Lake 811S</t>
  </si>
  <si>
    <t>Boreal 193S</t>
  </si>
  <si>
    <t>Bullhead 523S</t>
  </si>
  <si>
    <t>Al Rothbauer 321S</t>
  </si>
  <si>
    <t>Rosyth 296S</t>
  </si>
  <si>
    <t>Jenner 275S</t>
  </si>
  <si>
    <t>Empress 394S</t>
  </si>
  <si>
    <t>Halsbury 306S</t>
  </si>
  <si>
    <t>Steele 2016S</t>
  </si>
  <si>
    <t>Vincent 2019S</t>
  </si>
  <si>
    <t>Vegreville 709S</t>
  </si>
  <si>
    <t>Wainwright 51S</t>
  </si>
  <si>
    <t>Jarrow 252S</t>
  </si>
  <si>
    <t>Gainford 165S</t>
  </si>
  <si>
    <t>Hornbeck 345S</t>
  </si>
  <si>
    <t>Anthony Henday 309S</t>
  </si>
  <si>
    <t>Yassa 286S</t>
  </si>
  <si>
    <t>substation voltage</t>
  </si>
  <si>
    <t>Depreciated cost to 2016</t>
  </si>
  <si>
    <t>Depreciated cost to 2017</t>
  </si>
  <si>
    <t>Depreciated cost to 2018</t>
  </si>
  <si>
    <t>Depreciated cost to 2019</t>
  </si>
  <si>
    <t>Depreciated cost to 2020</t>
  </si>
  <si>
    <t>Substation Costs Depreciated to Dec 2016</t>
  </si>
  <si>
    <t>Substation Costs Depreciated to Dec 2017</t>
  </si>
  <si>
    <t>Substation Costs Depreciated to Dec 2018</t>
  </si>
  <si>
    <t>Substation Costs Depreciated to Dec 2019</t>
  </si>
  <si>
    <t>Substation Costs Depreciated to Dec 2020</t>
  </si>
  <si>
    <t>2018f</t>
  </si>
  <si>
    <t>2019f</t>
  </si>
  <si>
    <t>2020f</t>
  </si>
  <si>
    <t>2014-15</t>
  </si>
  <si>
    <t>FINAL</t>
  </si>
  <si>
    <t>NID</t>
  </si>
  <si>
    <t>OOM</t>
  </si>
  <si>
    <t>807L 138kV 1km_(Alt3)</t>
  </si>
  <si>
    <t>942L 240kV in/out 0.5km_(Alt3)</t>
  </si>
  <si>
    <t>New 7km s/c tap to 7L90</t>
  </si>
  <si>
    <t>Josephburg 410S upgrade_(Alt3)</t>
  </si>
  <si>
    <t>[Final]Hayter 277s substation</t>
  </si>
  <si>
    <t>Hayter 277s substation</t>
  </si>
  <si>
    <t>Fortis Broadmoor 420S</t>
  </si>
  <si>
    <t>Fortis Bullhead 523S</t>
  </si>
  <si>
    <t>Fox creek substation</t>
  </si>
  <si>
    <t>New Muir POD</t>
  </si>
  <si>
    <t>370S</t>
  </si>
  <si>
    <t>59S</t>
  </si>
  <si>
    <t>2055S</t>
  </si>
  <si>
    <t>324S</t>
  </si>
  <si>
    <t>274S</t>
  </si>
  <si>
    <t>264S</t>
  </si>
  <si>
    <t>251S</t>
  </si>
  <si>
    <t>5S</t>
  </si>
  <si>
    <t>SS-2</t>
  </si>
  <si>
    <t>SS-23</t>
  </si>
  <si>
    <t>SS-25</t>
  </si>
  <si>
    <t>74S</t>
  </si>
  <si>
    <t>102S</t>
  </si>
  <si>
    <t>42S</t>
  </si>
  <si>
    <t>930S</t>
  </si>
  <si>
    <t>832S</t>
  </si>
  <si>
    <t>789S</t>
  </si>
  <si>
    <t>853S</t>
  </si>
  <si>
    <t>828S</t>
  </si>
  <si>
    <t>256S</t>
  </si>
  <si>
    <t>378S</t>
  </si>
  <si>
    <t>281S</t>
  </si>
  <si>
    <t>575S</t>
  </si>
  <si>
    <t>305S</t>
  </si>
  <si>
    <t>197S</t>
  </si>
  <si>
    <t>86S</t>
  </si>
  <si>
    <t>105S</t>
  </si>
  <si>
    <t>45S</t>
  </si>
  <si>
    <t>432S</t>
  </si>
  <si>
    <t>522S</t>
  </si>
  <si>
    <t>285S</t>
  </si>
  <si>
    <t>38S</t>
  </si>
  <si>
    <t>89S</t>
  </si>
  <si>
    <t>376S</t>
  </si>
  <si>
    <t>325S</t>
  </si>
  <si>
    <t>149S</t>
  </si>
  <si>
    <t>816S</t>
  </si>
  <si>
    <t>289S</t>
  </si>
  <si>
    <t>595S</t>
  </si>
  <si>
    <t>434S</t>
  </si>
  <si>
    <t>92S</t>
  </si>
  <si>
    <t>40S</t>
  </si>
  <si>
    <t>288S</t>
  </si>
  <si>
    <t>237S</t>
  </si>
  <si>
    <t>266S</t>
  </si>
  <si>
    <t>138S</t>
  </si>
  <si>
    <t>244S</t>
  </si>
  <si>
    <t>523S</t>
  </si>
  <si>
    <t>368S</t>
  </si>
  <si>
    <t>649S</t>
  </si>
  <si>
    <t>562S</t>
  </si>
  <si>
    <t>41S</t>
  </si>
  <si>
    <t>895S</t>
  </si>
  <si>
    <t>205S</t>
  </si>
  <si>
    <t>312S</t>
  </si>
  <si>
    <t>103S</t>
  </si>
  <si>
    <t>504S</t>
  </si>
  <si>
    <t>255S</t>
  </si>
  <si>
    <t>970S</t>
  </si>
  <si>
    <t>825S</t>
  </si>
  <si>
    <t>898S</t>
  </si>
  <si>
    <t>154S</t>
  </si>
  <si>
    <t>723S</t>
  </si>
  <si>
    <t>167S</t>
  </si>
  <si>
    <t>698S</t>
  </si>
  <si>
    <t>170S</t>
  </si>
  <si>
    <t>818S</t>
  </si>
  <si>
    <t>809S</t>
  </si>
  <si>
    <t>525S</t>
  </si>
  <si>
    <t>65S</t>
  </si>
  <si>
    <t>678S</t>
  </si>
  <si>
    <t>2060S</t>
  </si>
  <si>
    <t>856S</t>
  </si>
  <si>
    <t>2079S</t>
  </si>
  <si>
    <t>888S</t>
  </si>
  <si>
    <t>849S</t>
  </si>
  <si>
    <t>951S</t>
  </si>
  <si>
    <t>2016S</t>
  </si>
  <si>
    <t>709S</t>
  </si>
  <si>
    <t>710S</t>
  </si>
  <si>
    <t>2019S</t>
  </si>
  <si>
    <t>190S</t>
  </si>
  <si>
    <t>181S</t>
  </si>
  <si>
    <t>87S</t>
  </si>
  <si>
    <t>217S</t>
  </si>
  <si>
    <t>875S</t>
  </si>
  <si>
    <t>2011S</t>
  </si>
  <si>
    <t>883S</t>
  </si>
  <si>
    <t>820S</t>
  </si>
  <si>
    <t>885S</t>
  </si>
  <si>
    <t>189S</t>
  </si>
  <si>
    <t>13S</t>
  </si>
  <si>
    <t>976S</t>
  </si>
  <si>
    <t>659S</t>
  </si>
  <si>
    <t>706S</t>
  </si>
  <si>
    <t>162S</t>
  </si>
  <si>
    <t>813S</t>
  </si>
  <si>
    <t>834S</t>
  </si>
  <si>
    <t>A793S</t>
  </si>
  <si>
    <t>321S</t>
  </si>
  <si>
    <t>15S</t>
  </si>
  <si>
    <t>200S</t>
  </si>
  <si>
    <t>28S</t>
  </si>
  <si>
    <t>2005S</t>
  </si>
  <si>
    <t>957S</t>
  </si>
  <si>
    <t>301S</t>
  </si>
  <si>
    <t>410S</t>
  </si>
  <si>
    <t>63S</t>
  </si>
  <si>
    <t>193S</t>
  </si>
  <si>
    <t>762S</t>
  </si>
  <si>
    <t>165S</t>
  </si>
  <si>
    <t>728S</t>
  </si>
  <si>
    <t>309S</t>
  </si>
  <si>
    <t>286S</t>
  </si>
  <si>
    <t>291S</t>
  </si>
  <si>
    <t>602S</t>
  </si>
  <si>
    <t>345S</t>
  </si>
  <si>
    <t>876S</t>
  </si>
  <si>
    <t>108S</t>
  </si>
  <si>
    <t>720S</t>
  </si>
  <si>
    <t>263S</t>
  </si>
  <si>
    <t>277S</t>
  </si>
  <si>
    <t>409S</t>
  </si>
  <si>
    <t>99S</t>
  </si>
  <si>
    <t>397S</t>
  </si>
  <si>
    <t>39S</t>
  </si>
  <si>
    <t>348S</t>
  </si>
  <si>
    <t>1012S</t>
  </si>
  <si>
    <t>306S</t>
  </si>
  <si>
    <t>275S</t>
  </si>
  <si>
    <t>918S</t>
  </si>
  <si>
    <t>377S</t>
  </si>
  <si>
    <t>296S</t>
  </si>
  <si>
    <t>198S</t>
  </si>
  <si>
    <t>159S</t>
  </si>
  <si>
    <t>931S</t>
  </si>
  <si>
    <t>837S</t>
  </si>
  <si>
    <t>777S</t>
  </si>
  <si>
    <t>733S</t>
  </si>
  <si>
    <t>252S</t>
  </si>
  <si>
    <t>478S</t>
  </si>
  <si>
    <t>51S</t>
  </si>
  <si>
    <t>420S</t>
  </si>
  <si>
    <t>741S</t>
  </si>
  <si>
    <t>811S</t>
  </si>
  <si>
    <t>233S</t>
  </si>
  <si>
    <t>730S</t>
  </si>
  <si>
    <t>810S</t>
  </si>
  <si>
    <t>740S</t>
  </si>
  <si>
    <t>2091S</t>
  </si>
  <si>
    <t>56S</t>
  </si>
  <si>
    <t>353S</t>
  </si>
  <si>
    <t>213S</t>
  </si>
  <si>
    <t>510S</t>
  </si>
  <si>
    <t>394S</t>
  </si>
  <si>
    <t>Substation number</t>
  </si>
  <si>
    <t>320P</t>
  </si>
  <si>
    <t>By Value (incl Unavailable)</t>
  </si>
  <si>
    <t>Strome 223S</t>
  </si>
  <si>
    <t>Beddington 162S</t>
  </si>
  <si>
    <t>223S</t>
  </si>
  <si>
    <t>71S</t>
  </si>
  <si>
    <t>2020 Future line functionalization results (%)</t>
  </si>
  <si>
    <t>960S</t>
  </si>
  <si>
    <t>330P</t>
  </si>
  <si>
    <t>Project location</t>
  </si>
  <si>
    <t>SS-11</t>
  </si>
  <si>
    <t>978L_(v1)</t>
  </si>
  <si>
    <t>600AL</t>
  </si>
  <si>
    <t>807L_942L_1061L (942L/1001L )</t>
  </si>
  <si>
    <t>942L temp</t>
  </si>
  <si>
    <t>942L_943L mod</t>
  </si>
  <si>
    <t>1054L/1061L</t>
  </si>
  <si>
    <t>1058L</t>
  </si>
  <si>
    <t>1206L/1212L</t>
  </si>
  <si>
    <t>726L</t>
  </si>
  <si>
    <t>731L</t>
  </si>
  <si>
    <t>735L</t>
  </si>
  <si>
    <t>746L</t>
  </si>
  <si>
    <t>780L</t>
  </si>
  <si>
    <t>783L</t>
  </si>
  <si>
    <t>908L</t>
  </si>
  <si>
    <t>920/921L</t>
  </si>
  <si>
    <t>946L</t>
  </si>
  <si>
    <t>947L</t>
  </si>
  <si>
    <t>9L94 line version 2</t>
  </si>
  <si>
    <t>1043L</t>
  </si>
  <si>
    <t>1043LB</t>
  </si>
  <si>
    <t>1045L/909L</t>
  </si>
  <si>
    <t>190L / 903L</t>
  </si>
  <si>
    <t>902L</t>
  </si>
  <si>
    <t>902L / 913L</t>
  </si>
  <si>
    <t>902L T</t>
  </si>
  <si>
    <t>904L AML</t>
  </si>
  <si>
    <t>904L EDTI</t>
  </si>
  <si>
    <t>908L/909L</t>
  </si>
  <si>
    <t>910L</t>
  </si>
  <si>
    <t>Jasper Tap</t>
  </si>
  <si>
    <t>6L05 Dead End180</t>
  </si>
  <si>
    <t>7L1170</t>
  </si>
  <si>
    <t>7L14/7L130180</t>
  </si>
  <si>
    <t>7L140</t>
  </si>
  <si>
    <t>7L157(180)</t>
  </si>
  <si>
    <t>7L160(180)</t>
  </si>
  <si>
    <t>7L530</t>
  </si>
  <si>
    <t>7L7010</t>
  </si>
  <si>
    <t>7L74(180)</t>
  </si>
  <si>
    <t>7L7491</t>
  </si>
  <si>
    <t>7L83(180)</t>
  </si>
  <si>
    <t>7L87(180)</t>
  </si>
  <si>
    <t>7LA701180</t>
  </si>
  <si>
    <t>unknown line St.Paul</t>
  </si>
  <si>
    <t>166L</t>
  </si>
  <si>
    <t>417L/418L</t>
  </si>
  <si>
    <t>419L/420L</t>
  </si>
  <si>
    <t>421L/422L</t>
  </si>
  <si>
    <t>423L</t>
  </si>
  <si>
    <t>423L/784L shared route</t>
  </si>
  <si>
    <t>423L/80AL shared route</t>
  </si>
  <si>
    <t>444L</t>
  </si>
  <si>
    <t>637L</t>
  </si>
  <si>
    <t>648L</t>
  </si>
  <si>
    <t>755L (427L) d/c section</t>
  </si>
  <si>
    <t>755L d/c monopole section</t>
  </si>
  <si>
    <t>768L/778L</t>
  </si>
  <si>
    <t>80L</t>
  </si>
  <si>
    <t>80L (GD)</t>
  </si>
  <si>
    <t>80L North (425L)</t>
  </si>
  <si>
    <t>80L South (426L)</t>
  </si>
  <si>
    <t>80L underground</t>
  </si>
  <si>
    <t>883L</t>
  </si>
  <si>
    <t>910L/1083L</t>
  </si>
  <si>
    <t>918L/1081L</t>
  </si>
  <si>
    <t>929L/1082L</t>
  </si>
  <si>
    <t>2.83L</t>
  </si>
  <si>
    <t>9L19 and 9L28</t>
  </si>
  <si>
    <t>1035L/1034L Tie-in180</t>
  </si>
  <si>
    <t>1053L crossing180</t>
  </si>
  <si>
    <t>1206_1212L180</t>
  </si>
  <si>
    <t>138 kV AC Lines180</t>
  </si>
  <si>
    <t>240 kV AC Lines 923L and XXXL180</t>
  </si>
  <si>
    <t>500 kV DC Transmission Line 13L50180</t>
  </si>
  <si>
    <t>500kV AC 12L70 &amp; 12L85180</t>
  </si>
  <si>
    <t>923L/935L Tie-in180</t>
  </si>
  <si>
    <t>931L/933L crossing180</t>
  </si>
  <si>
    <t>950L crossing180</t>
  </si>
  <si>
    <t>1113L 180</t>
  </si>
  <si>
    <t>1114L 180</t>
  </si>
  <si>
    <t>1201L</t>
  </si>
  <si>
    <t>1203L / 1238L / 1239L to 510S</t>
  </si>
  <si>
    <t>1209L 330P to 89S</t>
  </si>
  <si>
    <t>1323L / 1323AL</t>
  </si>
  <si>
    <t>166L crossing180</t>
  </si>
  <si>
    <t>189L crossing180</t>
  </si>
  <si>
    <t>717L crossing180</t>
  </si>
  <si>
    <t>757L crossing180</t>
  </si>
  <si>
    <t>809L re-route &amp; in-out</t>
  </si>
  <si>
    <t>80L crossing180</t>
  </si>
  <si>
    <t>906L / 928L 180</t>
  </si>
  <si>
    <t>918L 180</t>
  </si>
  <si>
    <t>924L / 927L</t>
  </si>
  <si>
    <t>925L / 929L 180</t>
  </si>
  <si>
    <t>936L / 937L</t>
  </si>
  <si>
    <t>HVDC Line 1325L</t>
  </si>
  <si>
    <t>1099L180</t>
  </si>
  <si>
    <t>1115L180</t>
  </si>
  <si>
    <t>971L180</t>
  </si>
  <si>
    <t>1064L/1065L_(v180)</t>
  </si>
  <si>
    <t>850L temporary line_180</t>
  </si>
  <si>
    <t>850L/911L salvage_180</t>
  </si>
  <si>
    <t>850L/911L_(v180)</t>
  </si>
  <si>
    <t>911L temporary line_180</t>
  </si>
  <si>
    <t>936L/937L_(v180)</t>
  </si>
  <si>
    <t>937L UG_(v180)</t>
  </si>
  <si>
    <t>7L167 Transmission Line</t>
  </si>
  <si>
    <t>line 1071L</t>
  </si>
  <si>
    <t>line 624L</t>
  </si>
  <si>
    <t>line 893AL</t>
  </si>
  <si>
    <t>line 893L stage 1</t>
  </si>
  <si>
    <t>line 893L stage 2</t>
  </si>
  <si>
    <t>line 994L</t>
  </si>
  <si>
    <t>northwest</t>
  </si>
  <si>
    <t>Brintnell 876S</t>
  </si>
  <si>
    <t>Paintearth 863S</t>
  </si>
  <si>
    <t>Bowmanton 244S_(v1)</t>
  </si>
  <si>
    <t>WildRose1 547S_(v1)</t>
  </si>
  <si>
    <t>Bullshead 532S</t>
  </si>
  <si>
    <t>Taber 83S</t>
  </si>
  <si>
    <t>Tothill 219S</t>
  </si>
  <si>
    <t>Castle Rock Ridge 205S Substation</t>
  </si>
  <si>
    <t>Bannerman 681S</t>
  </si>
  <si>
    <t>Deerland 013S</t>
  </si>
  <si>
    <t>Lamoureux 071S</t>
  </si>
  <si>
    <t>Ellerslie 089S</t>
  </si>
  <si>
    <t>Heartland 012S_(v199)</t>
  </si>
  <si>
    <t>Lamoureux 071S_(v199)</t>
  </si>
  <si>
    <t>Coyote Lake 963S version 2</t>
  </si>
  <si>
    <t>805S Jasper Sub</t>
  </si>
  <si>
    <t>816S Petrolia Sub</t>
  </si>
  <si>
    <t>Bellamy 814S</t>
  </si>
  <si>
    <t>Dome 665S</t>
  </si>
  <si>
    <t>Genesee 330P</t>
  </si>
  <si>
    <t>lambton E803S</t>
  </si>
  <si>
    <t>Livock PST</t>
  </si>
  <si>
    <t>Sundance 310P</t>
  </si>
  <si>
    <t>Wabamun 19S</t>
  </si>
  <si>
    <t>Bourque 970S(180)</t>
  </si>
  <si>
    <t>Heisler 764S180</t>
  </si>
  <si>
    <t>Kitscoty 705S180</t>
  </si>
  <si>
    <t>Leming Lake 715S(180)</t>
  </si>
  <si>
    <t>Mahihkan 837S(180)</t>
  </si>
  <si>
    <t>Marguerite Lake 826S(180)</t>
  </si>
  <si>
    <t>unknown sub St.Paul</t>
  </si>
  <si>
    <t>unknown sub Vermilion 710S</t>
  </si>
  <si>
    <t>Wolf Lake 822S(180)</t>
  </si>
  <si>
    <t>Benalto 17S</t>
  </si>
  <si>
    <t>Benalto 17S (GD - Johnson)</t>
  </si>
  <si>
    <t>Benalto 17S (GD Hazel)</t>
  </si>
  <si>
    <t>Benalto 17S (LR)</t>
  </si>
  <si>
    <t>Capacitor Bank at Joffre 535S</t>
  </si>
  <si>
    <t>Capacitor Bank at Joffre 535S (dev12)</t>
  </si>
  <si>
    <t>Development at Beddington 162S</t>
  </si>
  <si>
    <t>Development at Benalto 17S</t>
  </si>
  <si>
    <t>Development at Benalto 17S (dev2)</t>
  </si>
  <si>
    <t>Development at Benalto 17S (dev21)</t>
  </si>
  <si>
    <t>Development at Didsbury 152S</t>
  </si>
  <si>
    <t>Development at Ellis 332S</t>
  </si>
  <si>
    <t>Development at Ellis 332S (dev3)</t>
  </si>
  <si>
    <t>Development at Harmattan 256S</t>
  </si>
  <si>
    <t>Development at Innisfail 214S</t>
  </si>
  <si>
    <t>Development at Piper Creek 247S</t>
  </si>
  <si>
    <t>Development at Ponoka 331S</t>
  </si>
  <si>
    <t>Development at Prentiss 276S</t>
  </si>
  <si>
    <t>Development at Red Deer 63S</t>
  </si>
  <si>
    <t>Development at Red Deer 63S (dev12)</t>
  </si>
  <si>
    <t>Development at Red Deer 63S (dev21)</t>
  </si>
  <si>
    <t>Development at South Red Deer 194S</t>
  </si>
  <si>
    <t>Development at South Red Deer 194S (dev11)</t>
  </si>
  <si>
    <t>Development at Sylvan Lake 580S</t>
  </si>
  <si>
    <t>Didsbury 152S</t>
  </si>
  <si>
    <t>Eagle Hill 9433R (GD Hazel)</t>
  </si>
  <si>
    <t>Ellis 332S</t>
  </si>
  <si>
    <t>Ellis 332S (GD)</t>
  </si>
  <si>
    <t>Harmattan 256S</t>
  </si>
  <si>
    <t>Hazelwood 287S</t>
  </si>
  <si>
    <t>Innisfail 214S</t>
  </si>
  <si>
    <t>Joffre 535S</t>
  </si>
  <si>
    <t xml:space="preserve">Joffre 535S  </t>
  </si>
  <si>
    <t>Johnson 281S</t>
  </si>
  <si>
    <t>N.E. Lacombe 212S</t>
  </si>
  <si>
    <t>New 240/138kV Substation Hazelwood 287S</t>
  </si>
  <si>
    <t>New 240/138kV Substation Johnson 281S</t>
  </si>
  <si>
    <t>New 240/138kV Substation Wolf Creek 288S</t>
  </si>
  <si>
    <t>New additions at Gaetz 87S</t>
  </si>
  <si>
    <t>New additions at N.E Lacombe 212S</t>
  </si>
  <si>
    <t>New Additions at North Red Deer 217S</t>
  </si>
  <si>
    <t>New Additions at North Red Deer 217S (dev10)</t>
  </si>
  <si>
    <t>Olds 55S (GD Hazel)</t>
  </si>
  <si>
    <t>Olds 55S (GD Johnson)</t>
  </si>
  <si>
    <t>Piper Creek 247S</t>
  </si>
  <si>
    <t>Ponoka 331S</t>
  </si>
  <si>
    <t>Prentiss 276S</t>
  </si>
  <si>
    <t>Red Deer 217S</t>
  </si>
  <si>
    <t>Red Deer 63S (648L)</t>
  </si>
  <si>
    <t>Red Deer 63S (755/427L)</t>
  </si>
  <si>
    <t>Red Deer 63S (80/426L)</t>
  </si>
  <si>
    <t>Red Deer 63S (GD Hazel)</t>
  </si>
  <si>
    <t>Red Deer 63S (GD Wolf)</t>
  </si>
  <si>
    <t>South Red Deer 194S (80/425L)</t>
  </si>
  <si>
    <t>South Red Deer 194S (80/426L)</t>
  </si>
  <si>
    <t>Sylvan Lake 580S</t>
  </si>
  <si>
    <t>Waiparous 639S</t>
  </si>
  <si>
    <t>Enmax No. 5</t>
  </si>
  <si>
    <t>Birchwood Creek 960S</t>
  </si>
  <si>
    <t>0244S Bowmanton180</t>
  </si>
  <si>
    <t>089S Ellerslie180</t>
  </si>
  <si>
    <t>320P Keephills180</t>
  </si>
  <si>
    <t>324S Cassils180</t>
  </si>
  <si>
    <t>356S Milo180</t>
  </si>
  <si>
    <t>Converter Station (Heathfield 2029S)180</t>
  </si>
  <si>
    <t>Genesee 330P 961</t>
  </si>
  <si>
    <t>Heartland 12S180</t>
  </si>
  <si>
    <t>320P[2]_180</t>
  </si>
  <si>
    <t>330P_180</t>
  </si>
  <si>
    <t>74S_180</t>
  </si>
  <si>
    <t>89S_180</t>
  </si>
  <si>
    <t>Bennett 503S Substation</t>
  </si>
  <si>
    <t>Crossings 511S Substation</t>
  </si>
  <si>
    <t>Genesee 330P 962</t>
  </si>
  <si>
    <t>Langdon 102S Substation</t>
  </si>
  <si>
    <t>Milo 356S_180</t>
  </si>
  <si>
    <t>RPT1 17S_180</t>
  </si>
  <si>
    <t>RPT2- Jackville_180</t>
  </si>
  <si>
    <t>RPT3- Knob Hill_180</t>
  </si>
  <si>
    <t>Sunnybrook 510S Substation</t>
  </si>
  <si>
    <t>Black spruce substation 154S180</t>
  </si>
  <si>
    <t>Conklin 762S180</t>
  </si>
  <si>
    <t>Jackfish 698S180</t>
  </si>
  <si>
    <t>Pike 170S180</t>
  </si>
  <si>
    <t>ENMAX No. 47</t>
  </si>
  <si>
    <t>Enmax No. 25_v180</t>
  </si>
  <si>
    <t>Enmax No. 65_v180</t>
  </si>
  <si>
    <t>Foothills 237S_180</t>
  </si>
  <si>
    <t>Janet 74S expansion_(v180)</t>
  </si>
  <si>
    <t>Langdon 102S_(v180)</t>
  </si>
  <si>
    <t>989S Quigley substation</t>
  </si>
  <si>
    <t>Engstorm 2060S substation</t>
  </si>
  <si>
    <t>Construction of a new switching station, Birchwood Creek 2060S 180day</t>
  </si>
  <si>
    <t>Monitor 774S</t>
  </si>
  <si>
    <t>Fidler 312S Stage 1</t>
  </si>
  <si>
    <t>Fidler 312S stage 2</t>
  </si>
  <si>
    <t>Goose Lake 103S stage 1</t>
  </si>
  <si>
    <t>Goose Lake stage 2</t>
  </si>
  <si>
    <t>Oldman River 806S stage 2</t>
  </si>
  <si>
    <t>Oldman River Dam 806S stage 1</t>
  </si>
  <si>
    <t>Summerview 354S stage 2</t>
  </si>
  <si>
    <t>Summerview 806S stage 1</t>
  </si>
  <si>
    <t>Windy Point 112S stage 1</t>
  </si>
  <si>
    <t>Windy Point 112S stage 2</t>
  </si>
  <si>
    <t>Bonnyville 700S</t>
  </si>
  <si>
    <t>La Corey 721S</t>
  </si>
  <si>
    <t>Marguerite Lake 826S</t>
  </si>
  <si>
    <t>863S</t>
  </si>
  <si>
    <t>547S</t>
  </si>
  <si>
    <t>532S</t>
  </si>
  <si>
    <t>83S</t>
  </si>
  <si>
    <t>219S</t>
  </si>
  <si>
    <t>681S</t>
  </si>
  <si>
    <t>12S</t>
  </si>
  <si>
    <t>963S</t>
  </si>
  <si>
    <t>805S</t>
  </si>
  <si>
    <t>814S</t>
  </si>
  <si>
    <t>665S</t>
  </si>
  <si>
    <t>803S</t>
  </si>
  <si>
    <t>310P</t>
  </si>
  <si>
    <t>19S</t>
  </si>
  <si>
    <t>764S</t>
  </si>
  <si>
    <t>705S</t>
  </si>
  <si>
    <t>715S</t>
  </si>
  <si>
    <t>826S</t>
  </si>
  <si>
    <t>822S</t>
  </si>
  <si>
    <t>17S</t>
  </si>
  <si>
    <t>535S</t>
  </si>
  <si>
    <t>152S</t>
  </si>
  <si>
    <t>332S</t>
  </si>
  <si>
    <t>214S</t>
  </si>
  <si>
    <t>247S</t>
  </si>
  <si>
    <t>331S</t>
  </si>
  <si>
    <t>276S</t>
  </si>
  <si>
    <t>194S</t>
  </si>
  <si>
    <t>580S</t>
  </si>
  <si>
    <t>287S</t>
  </si>
  <si>
    <t>212S</t>
  </si>
  <si>
    <t>55S</t>
  </si>
  <si>
    <t>639S</t>
  </si>
  <si>
    <t>SS-5</t>
  </si>
  <si>
    <t>356S</t>
  </si>
  <si>
    <t>2029S</t>
  </si>
  <si>
    <t>503S</t>
  </si>
  <si>
    <t>511S</t>
  </si>
  <si>
    <t>SS-47</t>
  </si>
  <si>
    <t>SS-65</t>
  </si>
  <si>
    <t>989S</t>
  </si>
  <si>
    <t>774S</t>
  </si>
  <si>
    <t>806S</t>
  </si>
  <si>
    <t>354S</t>
  </si>
  <si>
    <t>112S</t>
  </si>
  <si>
    <t>SS-26</t>
  </si>
  <si>
    <t>SS-32</t>
  </si>
  <si>
    <t>SS-41</t>
  </si>
  <si>
    <t>SS-54</t>
  </si>
  <si>
    <t>700S</t>
  </si>
  <si>
    <t>721S</t>
  </si>
  <si>
    <t>330S</t>
  </si>
  <si>
    <t>812s</t>
  </si>
  <si>
    <t>Existing Asset Functionalization by values (including unfunctionalized)</t>
  </si>
  <si>
    <t>138kV line</t>
  </si>
  <si>
    <t>Calgary Downtown</t>
  </si>
  <si>
    <t>144KV line</t>
  </si>
  <si>
    <t>144 kV line</t>
  </si>
  <si>
    <t>Planning</t>
  </si>
  <si>
    <t>Net Book Value 2020 ($)</t>
  </si>
  <si>
    <t>Depreciate lines to 2020</t>
  </si>
  <si>
    <t>Depreciate substations to 2020</t>
  </si>
  <si>
    <t>Lines Depreciate to 2020</t>
  </si>
  <si>
    <t>Substations Depreciate to 2020</t>
  </si>
  <si>
    <t>Central East</t>
  </si>
  <si>
    <t>144kV line</t>
  </si>
  <si>
    <t>Competitive Process</t>
  </si>
  <si>
    <t>Ft McMurray</t>
  </si>
  <si>
    <t>PENV</t>
  </si>
  <si>
    <t>POD Weighing</t>
  </si>
  <si>
    <t>Line</t>
  </si>
  <si>
    <t>Weighted Depreciation for POD</t>
  </si>
  <si>
    <t>Competitive Process (to add to bulk, in $ million)</t>
  </si>
  <si>
    <t>From AESO TRP</t>
  </si>
  <si>
    <t>From AESO 2015 DAR</t>
  </si>
  <si>
    <t>From RGUCC Schedule</t>
  </si>
  <si>
    <t>From ISO Tariff</t>
  </si>
  <si>
    <t>schd 8-1 line 5</t>
  </si>
  <si>
    <t>schd 8-1 line 3</t>
  </si>
  <si>
    <t>application</t>
  </si>
  <si>
    <t>Schd 5-6 line 1</t>
  </si>
  <si>
    <t>Schd 5-6 line 4</t>
  </si>
  <si>
    <t>Schd 5-6 line 3</t>
  </si>
  <si>
    <t>Schedule 29.2 Line 10-14 + Schedule 29.1 Line 06 + Schedule 5.6 Line 04</t>
  </si>
  <si>
    <t>Schedule 5.4 (lines 1,2) and 25.4 (lines 2,3)</t>
  </si>
  <si>
    <t>Sum of Schedule 5.4 (line 3) and 25.4 (line 4) minus Brushing (row 19)</t>
  </si>
  <si>
    <t xml:space="preserve">Sch 5-1 line 9 </t>
  </si>
  <si>
    <t>Sum of Schedule 5.4 (lines 4) and 25.4 (lines 5) minus 5.2 (line 41)</t>
  </si>
  <si>
    <t>Schedule 5.2 (line 41)</t>
  </si>
  <si>
    <t>table 5.3.5-6</t>
  </si>
  <si>
    <t>table 5.3.4-5</t>
  </si>
  <si>
    <t>table 5.3.3-4</t>
  </si>
  <si>
    <t>table 5.3.2-4</t>
  </si>
  <si>
    <t>table 5.3.7-4</t>
  </si>
  <si>
    <t>table 5.3.10-8</t>
  </si>
  <si>
    <t>table 5.3.11-4</t>
  </si>
  <si>
    <t>table 25.2.1-3</t>
  </si>
  <si>
    <t>table 25.2.21-4</t>
  </si>
  <si>
    <t>table 25.2.20-4</t>
  </si>
  <si>
    <t>table 5.3.10-3 USA 571.1</t>
  </si>
  <si>
    <t>2015-16</t>
  </si>
  <si>
    <t>2016-17</t>
  </si>
  <si>
    <t>bulk</t>
  </si>
  <si>
    <t>regional + bulk</t>
  </si>
  <si>
    <t>regional =</t>
  </si>
  <si>
    <t>Final</t>
  </si>
  <si>
    <t>`+/-5%</t>
  </si>
  <si>
    <t>1106L_180</t>
  </si>
  <si>
    <t>1107L_180</t>
  </si>
  <si>
    <t>Functionalization Results (net of RGUCC and CP)</t>
  </si>
  <si>
    <t>Revenue Requirement Split using Final Combined Functionalization and Classification Results (including RGUCC and Fort McMurray West 500 kV)</t>
  </si>
  <si>
    <t>Increase (2020 vs. 2016)</t>
  </si>
  <si>
    <t>Revenue Requirement Split with Capital Cost Functionalization Only (including RGUCC and Fort McMurray West 500 kV)</t>
  </si>
  <si>
    <t>Source: AltaLink and ATCO TFO tariff applications, ENMAX and EPCOR confidential data request</t>
  </si>
  <si>
    <t>Existing Asset Functionalization by values (including capital maintenance)</t>
  </si>
  <si>
    <t>From 2016 ISO Tariff Update Application</t>
  </si>
  <si>
    <t>Functionalization Comparison</t>
  </si>
  <si>
    <t>Comparison with 2007 GTA and 2014 GTA results</t>
  </si>
  <si>
    <t>2020 Functionalization by Voltage - Book Values</t>
  </si>
  <si>
    <t>Source: ENMAX Capital Data CONFIDENTIAL</t>
  </si>
  <si>
    <t>Inputs with sufficient data (Source: detailed cost estimates)</t>
  </si>
  <si>
    <t>2015 Future line functionalization results (%)</t>
  </si>
  <si>
    <t>2019 Future line functionalization results (%)</t>
  </si>
  <si>
    <t>2018 Future line functionalization results (%)</t>
  </si>
  <si>
    <t>2017 Future line functionalization results (%)</t>
  </si>
  <si>
    <t>2016 Future line functionalization results (%)</t>
  </si>
  <si>
    <t>Depreciate to end of</t>
  </si>
  <si>
    <t>AESO Point of Delivery Cost Database</t>
  </si>
  <si>
    <t>Altalink and ATCO Asset Values (Depreciated to 2017)</t>
  </si>
  <si>
    <t>TFO Summary of Existing Asset Values (Depreciated to 2017)</t>
  </si>
  <si>
    <t>Altalink and ATCO Asset Values (Depreciated to 2018)</t>
  </si>
  <si>
    <t>TFO Summary of Existing Asset Values (Depreciated to 2018)</t>
  </si>
  <si>
    <t>Altalink and ATCO Asset Values (Depreciated to 2019)</t>
  </si>
  <si>
    <t>TFO Summary of Existing Asset Values (Depreciated to 2019)</t>
  </si>
  <si>
    <t>Altalink and ATCO Asset Values (Depreciated to 2020)</t>
  </si>
  <si>
    <t>TFO Summary of Existing Asset Values (Depreciated to 2020)</t>
  </si>
  <si>
    <t>NA</t>
  </si>
  <si>
    <t>Planned</t>
  </si>
  <si>
    <t>Line Related Bulk System Property</t>
  </si>
  <si>
    <t>Total number of lines, tansformers, reactive devices</t>
  </si>
  <si>
    <t>Combined Elements Allocator</t>
  </si>
  <si>
    <t>All:AT:5.  Combined elements allocator</t>
  </si>
  <si>
    <t>$</t>
  </si>
  <si>
    <t>check</t>
  </si>
  <si>
    <t>Revenue Requirement (excluding RGUCC and CP)</t>
  </si>
  <si>
    <t>Bulk (add in RGUCC and Fort McMurray West 500 kV)</t>
  </si>
  <si>
    <t>Inputs (Source: AltaLink Capital Data CONFIDENTIAL)</t>
  </si>
  <si>
    <t>Function</t>
  </si>
  <si>
    <t>TFO GTAs</t>
  </si>
  <si>
    <t>$ million</t>
  </si>
  <si>
    <t>Functionalize Altalink lines by voltage</t>
  </si>
  <si>
    <t>Functionalize ATCO lines by voltage</t>
  </si>
  <si>
    <t>Functionalize future lines by voltage</t>
  </si>
  <si>
    <t>Summary tables of results, and combines existing results with planned project functionalization results and O&amp;M results</t>
  </si>
  <si>
    <t>Classification calculations</t>
  </si>
  <si>
    <t>Depreciation data</t>
  </si>
  <si>
    <t>Inputs (Source: ATCO Capital Data CONFIDENTIAL )</t>
  </si>
  <si>
    <t>Totals $ 000 (2014)</t>
  </si>
  <si>
    <t xml:space="preserve"> Accumulated Depn $ 000 (2014)</t>
  </si>
  <si>
    <t>2020 dollars</t>
  </si>
  <si>
    <t>% share</t>
  </si>
  <si>
    <t>From Appendix X - 2018 Rates Calculations</t>
  </si>
  <si>
    <t>Assumptions</t>
  </si>
  <si>
    <t>Line length (km)</t>
  </si>
  <si>
    <t>Annual Discount Rate %</t>
  </si>
  <si>
    <t>Average lifetime Energy Price $/MWh</t>
  </si>
  <si>
    <t>PV(5,50,-1000,0,0)</t>
  </si>
  <si>
    <t>Life of overhead conductors in years</t>
  </si>
  <si>
    <t>2x1033 MCM AC resistance @ 75 C in ohms / km</t>
  </si>
  <si>
    <t>2x795 MCM AC resistance @ 75 C in ohms / km</t>
  </si>
  <si>
    <t>Cost of 2x1033 MCM overhead transmission $/km</t>
  </si>
  <si>
    <t>Cost of 2x795 MCM overhead transmission $/km</t>
  </si>
  <si>
    <t>Lines capacity factor %</t>
  </si>
  <si>
    <t>2x1033 ampacity @ 75 C, amps</t>
  </si>
  <si>
    <t>2x795 ampacity @75 C, amps</t>
  </si>
  <si>
    <t>Annual power losses (MWh)</t>
  </si>
  <si>
    <t>Annual cost of losses</t>
  </si>
  <si>
    <t>Present Value</t>
  </si>
  <si>
    <t xml:space="preserve">Line cost </t>
  </si>
  <si>
    <t>Total PV</t>
  </si>
  <si>
    <t>Trended</t>
  </si>
  <si>
    <t>Depreciation rates of four largest Transmission Facility Owners</t>
  </si>
  <si>
    <t>2014 Study test case comparing minimum and optimal conductor sizes economics</t>
  </si>
  <si>
    <t>2018 Update test case comparing minimum and optimal conductor sizes economics</t>
  </si>
  <si>
    <t>2014 Study Test case - calculation for comparable minimum and optimal 240 kV lines</t>
  </si>
  <si>
    <t>2018 Update Classification</t>
  </si>
  <si>
    <t>2018 Update Test case - calculation for comparable minimum and optimal 240 kV lines</t>
  </si>
  <si>
    <t>2014 Study conductor classification applied to updated costs</t>
  </si>
  <si>
    <t>Existing assets (at end of 2014)</t>
  </si>
  <si>
    <t>2020 Altalink existing line functionalization results</t>
  </si>
  <si>
    <t>Asset Balances (end of 2014) by Line</t>
  </si>
  <si>
    <t>Altalink existing substation functionalization results</t>
  </si>
  <si>
    <t>Asset Balances (end of 2014) by Substation</t>
  </si>
  <si>
    <t>Asset Balances (end of 2014) by substation</t>
  </si>
  <si>
    <t>2020 ATCO existing line functionalization results</t>
  </si>
  <si>
    <t>2020 ATCO existing substation functionalization results</t>
  </si>
  <si>
    <t>Depreciate POD to 2020</t>
  </si>
  <si>
    <t>"Regional"</t>
  </si>
  <si>
    <t>Weighted depreciation rate for POD</t>
  </si>
  <si>
    <t>From 2017 ISO Tariff Update Application</t>
  </si>
  <si>
    <t>Final Combined cost functionalization (net of RGUCC and FMW)</t>
  </si>
  <si>
    <t>Results tables for inclusion in 2018 Update report</t>
  </si>
  <si>
    <t>Source</t>
  </si>
  <si>
    <t>MFR Source</t>
  </si>
  <si>
    <t>GTA Source</t>
  </si>
  <si>
    <t>Contracted Manpower (same as 2014 Study)</t>
  </si>
  <si>
    <t>TFO Cost Data (from GTA MFR Schedules)</t>
  </si>
  <si>
    <t>Separation of Non Capital Costs into O&amp;M and G&amp;A (from GTA MFR Schedules)</t>
  </si>
  <si>
    <t>2018-2020 Average</t>
  </si>
  <si>
    <t>AltaLink Sub 1</t>
  </si>
  <si>
    <t>AltaLink Sub 2</t>
  </si>
  <si>
    <t>AltaLink Sub 3</t>
  </si>
  <si>
    <t>AltaLink Sub 4</t>
  </si>
  <si>
    <t>AltaLink Sub 5</t>
  </si>
  <si>
    <t>AltaLink Sub 6</t>
  </si>
  <si>
    <t>AltaLink Sub 7</t>
  </si>
  <si>
    <t>AltaLink Sub 8</t>
  </si>
  <si>
    <t>AltaLink Sub 9</t>
  </si>
  <si>
    <t>AltaLink Sub 10</t>
  </si>
  <si>
    <t>AltaLink Sub 11</t>
  </si>
  <si>
    <t>AltaLink Sub 12</t>
  </si>
  <si>
    <t>AltaLink Sub 13</t>
  </si>
  <si>
    <t>AltaLink Sub 14</t>
  </si>
  <si>
    <t>AltaLink Sub 15</t>
  </si>
  <si>
    <t>AltaLink Sub 16</t>
  </si>
  <si>
    <t>AltaLink Sub 17</t>
  </si>
  <si>
    <t>AltaLink Sub 18</t>
  </si>
  <si>
    <t>AltaLink Sub 19</t>
  </si>
  <si>
    <t>AltaLink Sub 20</t>
  </si>
  <si>
    <t>AltaLink Sub 21</t>
  </si>
  <si>
    <t>AltaLink Sub 22</t>
  </si>
  <si>
    <t>AltaLink Sub 23</t>
  </si>
  <si>
    <t>AltaLink Sub 24</t>
  </si>
  <si>
    <t>AltaLink Sub 25</t>
  </si>
  <si>
    <t>AltaLink Sub 26</t>
  </si>
  <si>
    <t>AltaLink Sub 27</t>
  </si>
  <si>
    <t>AltaLink Sub 28</t>
  </si>
  <si>
    <t>AltaLink Sub 29</t>
  </si>
  <si>
    <t>AltaLink Sub 30</t>
  </si>
  <si>
    <t>AltaLink Sub 31</t>
  </si>
  <si>
    <t>AltaLink Sub 32</t>
  </si>
  <si>
    <t>AltaLink Sub 33</t>
  </si>
  <si>
    <t>AltaLink Sub 34</t>
  </si>
  <si>
    <t>AltaLink Sub 35</t>
  </si>
  <si>
    <t>AltaLink Sub 36</t>
  </si>
  <si>
    <t>AltaLink Sub 37</t>
  </si>
  <si>
    <t>AltaLink Sub 38</t>
  </si>
  <si>
    <t>AltaLink Sub 39</t>
  </si>
  <si>
    <t>AltaLink Sub 40</t>
  </si>
  <si>
    <t>AltaLink Sub 41</t>
  </si>
  <si>
    <t>AltaLink Sub 42</t>
  </si>
  <si>
    <t>AltaLink Sub 43</t>
  </si>
  <si>
    <t>AltaLink Sub 44</t>
  </si>
  <si>
    <t>AltaLink Sub 45</t>
  </si>
  <si>
    <t>AltaLink Sub 46</t>
  </si>
  <si>
    <t>AltaLink Sub 47</t>
  </si>
  <si>
    <t>AltaLink Sub 48</t>
  </si>
  <si>
    <t>AltaLink Sub 49</t>
  </si>
  <si>
    <t>AltaLink Sub 50</t>
  </si>
  <si>
    <t>AltaLink Sub 51</t>
  </si>
  <si>
    <t>AltaLink Sub 52</t>
  </si>
  <si>
    <t>AltaLink Sub 53</t>
  </si>
  <si>
    <t>AltaLink Sub 54</t>
  </si>
  <si>
    <t>AltaLink Sub 55</t>
  </si>
  <si>
    <t>AltaLink Sub 56</t>
  </si>
  <si>
    <t>AltaLink Sub 57</t>
  </si>
  <si>
    <t>AltaLink Sub 58</t>
  </si>
  <si>
    <t>AltaLink Sub 59</t>
  </si>
  <si>
    <t>AltaLink Sub 60</t>
  </si>
  <si>
    <t>AltaLink Sub 61</t>
  </si>
  <si>
    <t>AltaLink Sub 62</t>
  </si>
  <si>
    <t>AltaLink Sub 63</t>
  </si>
  <si>
    <t>AltaLink Sub 64</t>
  </si>
  <si>
    <t>AltaLink Sub 65</t>
  </si>
  <si>
    <t>AltaLink Sub 66</t>
  </si>
  <si>
    <t>AltaLink Sub 67</t>
  </si>
  <si>
    <t>AltaLink Sub 68</t>
  </si>
  <si>
    <t>AltaLink Sub 69</t>
  </si>
  <si>
    <t>AltaLink Sub 70</t>
  </si>
  <si>
    <t>AltaLink Sub 71</t>
  </si>
  <si>
    <t>AltaLink Sub 72</t>
  </si>
  <si>
    <t>AltaLink Sub 73</t>
  </si>
  <si>
    <t>AltaLink Sub 74</t>
  </si>
  <si>
    <t>AltaLink Sub 75</t>
  </si>
  <si>
    <t>AltaLink Sub 76</t>
  </si>
  <si>
    <t>AltaLink Sub 77</t>
  </si>
  <si>
    <t>AltaLink Sub 78</t>
  </si>
  <si>
    <t>AltaLink Sub 79</t>
  </si>
  <si>
    <t>AltaLink Sub 80</t>
  </si>
  <si>
    <t>AltaLink Sub 81</t>
  </si>
  <si>
    <t>AltaLink Sub 82</t>
  </si>
  <si>
    <t>AltaLink Sub 83</t>
  </si>
  <si>
    <t>AltaLink Sub 84</t>
  </si>
  <si>
    <t>AltaLink Sub 85</t>
  </si>
  <si>
    <t>AltaLink Sub 86</t>
  </si>
  <si>
    <t>AltaLink Sub 87</t>
  </si>
  <si>
    <t>AltaLink Sub 88</t>
  </si>
  <si>
    <t>AltaLink Sub 89</t>
  </si>
  <si>
    <t>AltaLink Sub 90</t>
  </si>
  <si>
    <t>AltaLink Sub 91</t>
  </si>
  <si>
    <t>AltaLink Sub 92</t>
  </si>
  <si>
    <t>AltaLink Sub 93</t>
  </si>
  <si>
    <t>AltaLink Sub 94</t>
  </si>
  <si>
    <t>AltaLink Sub 95</t>
  </si>
  <si>
    <t>AltaLink Sub 96</t>
  </si>
  <si>
    <t>AltaLink Sub 97</t>
  </si>
  <si>
    <t>AltaLink Sub 98</t>
  </si>
  <si>
    <t>AltaLink Sub 99</t>
  </si>
  <si>
    <t>AltaLink Sub 100</t>
  </si>
  <si>
    <t>AltaLink Sub 101</t>
  </si>
  <si>
    <t>AltaLink Sub 102</t>
  </si>
  <si>
    <t>AltaLink Sub 103</t>
  </si>
  <si>
    <t>AltaLink Sub 104</t>
  </si>
  <si>
    <t>AltaLink Sub 105</t>
  </si>
  <si>
    <t>AltaLink Sub 106</t>
  </si>
  <si>
    <t>AltaLink Sub 107</t>
  </si>
  <si>
    <t>AltaLink Sub 108</t>
  </si>
  <si>
    <t>AltaLink Sub 109</t>
  </si>
  <si>
    <t>AltaLink Sub 110</t>
  </si>
  <si>
    <t>AltaLink Sub 111</t>
  </si>
  <si>
    <t>AltaLink Sub 112</t>
  </si>
  <si>
    <t>AltaLink Sub 113</t>
  </si>
  <si>
    <t>AltaLink Sub 114</t>
  </si>
  <si>
    <t>AltaLink Sub 115</t>
  </si>
  <si>
    <t>AltaLink Sub 116</t>
  </si>
  <si>
    <t>AltaLink Sub 117</t>
  </si>
  <si>
    <t>AltaLink Sub 118</t>
  </si>
  <si>
    <t>AltaLink Sub 119</t>
  </si>
  <si>
    <t>AltaLink Sub 120</t>
  </si>
  <si>
    <t>AltaLink Sub 121</t>
  </si>
  <si>
    <t>AltaLink Sub 122</t>
  </si>
  <si>
    <t>AltaLink Sub 123</t>
  </si>
  <si>
    <t>AltaLink Sub 124</t>
  </si>
  <si>
    <t>AltaLink Sub 125</t>
  </si>
  <si>
    <t>AltaLink Sub 126</t>
  </si>
  <si>
    <t>AltaLink Sub 127</t>
  </si>
  <si>
    <t>AltaLink Sub 128</t>
  </si>
  <si>
    <t>AltaLink Sub 129</t>
  </si>
  <si>
    <t>AltaLink Sub 130</t>
  </si>
  <si>
    <t>AltaLink Sub 131</t>
  </si>
  <si>
    <t>AltaLink Sub 132</t>
  </si>
  <si>
    <t>AltaLink Sub 133</t>
  </si>
  <si>
    <t>AltaLink Sub 134</t>
  </si>
  <si>
    <t>AltaLink Sub 135</t>
  </si>
  <si>
    <t>AltaLink Sub 136</t>
  </si>
  <si>
    <t>AltaLink Sub 137</t>
  </si>
  <si>
    <t>AltaLink Sub 138</t>
  </si>
  <si>
    <t>AltaLink Sub 139</t>
  </si>
  <si>
    <t>AltaLink Sub 140</t>
  </si>
  <si>
    <t>AltaLink Sub 141</t>
  </si>
  <si>
    <t>AltaLink Sub 142</t>
  </si>
  <si>
    <t>AltaLink Sub 143</t>
  </si>
  <si>
    <t>AltaLink Sub 144</t>
  </si>
  <si>
    <t>AltaLink Sub 145</t>
  </si>
  <si>
    <t>AltaLink Sub 146</t>
  </si>
  <si>
    <t>AltaLink Sub 147</t>
  </si>
  <si>
    <t>AltaLink Sub 148</t>
  </si>
  <si>
    <t>AltaLink Sub 149</t>
  </si>
  <si>
    <t>AltaLink Sub 150</t>
  </si>
  <si>
    <t>AltaLink Sub 151</t>
  </si>
  <si>
    <t>AltaLink Sub 152</t>
  </si>
  <si>
    <t>AltaLink Sub 153</t>
  </si>
  <si>
    <t>AltaLink Sub 154</t>
  </si>
  <si>
    <t>AltaLink Sub 155</t>
  </si>
  <si>
    <t>AltaLink Sub 156</t>
  </si>
  <si>
    <t>AltaLink Sub 157</t>
  </si>
  <si>
    <t>AltaLink Sub 158</t>
  </si>
  <si>
    <t>AltaLink Sub 159</t>
  </si>
  <si>
    <t>AltaLink Sub 160</t>
  </si>
  <si>
    <t>AltaLink Sub 161</t>
  </si>
  <si>
    <t>AltaLink Sub 162</t>
  </si>
  <si>
    <t>AltaLink Sub 163</t>
  </si>
  <si>
    <t>AltaLink Sub 164</t>
  </si>
  <si>
    <t>AltaLink Sub 165</t>
  </si>
  <si>
    <t>AltaLink Sub 166</t>
  </si>
  <si>
    <t>AltaLink Sub 167</t>
  </si>
  <si>
    <t>AltaLink Sub 168</t>
  </si>
  <si>
    <t>AltaLink Sub 169</t>
  </si>
  <si>
    <t>AltaLink Sub 170</t>
  </si>
  <si>
    <t>AltaLink Sub 171</t>
  </si>
  <si>
    <t>AltaLink Sub 172</t>
  </si>
  <si>
    <t>AltaLink Sub 173</t>
  </si>
  <si>
    <t>AltaLink Sub 174</t>
  </si>
  <si>
    <t>AltaLink Sub 175</t>
  </si>
  <si>
    <t>AltaLink Sub 176</t>
  </si>
  <si>
    <t>AltaLink Sub 177</t>
  </si>
  <si>
    <t>AltaLink Sub 178</t>
  </si>
  <si>
    <t>AltaLink Sub 179</t>
  </si>
  <si>
    <t>AltaLink Sub 180</t>
  </si>
  <si>
    <t>AltaLink Sub 181</t>
  </si>
  <si>
    <t>AltaLink Sub 182</t>
  </si>
  <si>
    <t>AltaLink Sub 183</t>
  </si>
  <si>
    <t>AltaLink Sub 184</t>
  </si>
  <si>
    <t>AltaLink Sub 185</t>
  </si>
  <si>
    <t>AltaLink Sub 186</t>
  </si>
  <si>
    <t>AltaLink Sub 187</t>
  </si>
  <si>
    <t>AltaLink Sub 188</t>
  </si>
  <si>
    <t>AltaLink Sub 189</t>
  </si>
  <si>
    <t>AltaLink Sub 190</t>
  </si>
  <si>
    <t>AltaLink Sub 191</t>
  </si>
  <si>
    <t>AltaLink Sub 192</t>
  </si>
  <si>
    <t>AltaLink Sub 193</t>
  </si>
  <si>
    <t>AltaLink Sub 194</t>
  </si>
  <si>
    <t>AltaLink Sub 195</t>
  </si>
  <si>
    <t>AltaLink Sub 196</t>
  </si>
  <si>
    <t>AltaLink Sub 197</t>
  </si>
  <si>
    <t>AltaLink Sub 198</t>
  </si>
  <si>
    <t>AltaLink Sub 199</t>
  </si>
  <si>
    <t>AltaLink Sub 200</t>
  </si>
  <si>
    <t>AltaLink Sub 201</t>
  </si>
  <si>
    <t>AltaLink Sub 202</t>
  </si>
  <si>
    <t>AltaLink Sub 203</t>
  </si>
  <si>
    <t>AltaLink Sub 204</t>
  </si>
  <si>
    <t>AltaLink Sub 205</t>
  </si>
  <si>
    <t>AltaLink Sub 206</t>
  </si>
  <si>
    <t>AltaLink Sub 207</t>
  </si>
  <si>
    <t>AltaLink Sub 208</t>
  </si>
  <si>
    <t>AltaLink Sub 209</t>
  </si>
  <si>
    <t>AltaLink Sub 210</t>
  </si>
  <si>
    <t>AltaLink Sub 211</t>
  </si>
  <si>
    <t>AltaLink Sub 212</t>
  </si>
  <si>
    <t>AltaLink Sub 213</t>
  </si>
  <si>
    <t>AltaLink Sub 214</t>
  </si>
  <si>
    <t>AltaLink Sub 215</t>
  </si>
  <si>
    <t>AltaLink Sub 216</t>
  </si>
  <si>
    <t>AltaLink Sub 217</t>
  </si>
  <si>
    <t>AltaLink Sub 218</t>
  </si>
  <si>
    <t>AltaLink Sub 219</t>
  </si>
  <si>
    <t>AltaLink Sub 220</t>
  </si>
  <si>
    <t>AltaLink Sub 221</t>
  </si>
  <si>
    <t>AltaLink Sub 222</t>
  </si>
  <si>
    <t>AltaLink Sub 223</t>
  </si>
  <si>
    <t>AltaLink Sub 224</t>
  </si>
  <si>
    <t>AltaLink Sub 225</t>
  </si>
  <si>
    <t>AltaLink Sub 226</t>
  </si>
  <si>
    <t>AltaLink Sub 227</t>
  </si>
  <si>
    <t>AltaLink Sub 228</t>
  </si>
  <si>
    <t>AltaLink Sub 229</t>
  </si>
  <si>
    <t>AltaLink Sub 230</t>
  </si>
  <si>
    <t>AltaLink Sub 231</t>
  </si>
  <si>
    <t>AltaLink Sub 232</t>
  </si>
  <si>
    <t>AltaLink Sub 233</t>
  </si>
  <si>
    <t>AltaLink Sub 234</t>
  </si>
  <si>
    <t>AltaLink Sub 235</t>
  </si>
  <si>
    <t>AltaLink Sub 236</t>
  </si>
  <si>
    <t>AltaLink Sub 237</t>
  </si>
  <si>
    <t>AltaLink Sub 238</t>
  </si>
  <si>
    <t>AltaLink Sub 239</t>
  </si>
  <si>
    <t>AltaLink Sub 240</t>
  </si>
  <si>
    <t>AltaLink Sub 241</t>
  </si>
  <si>
    <t>AltaLink Sub 242</t>
  </si>
  <si>
    <t>AltaLink Sub 243</t>
  </si>
  <si>
    <t>AltaLink Sub 244</t>
  </si>
  <si>
    <t>AltaLink Sub 245</t>
  </si>
  <si>
    <t>AltaLink Sub 246</t>
  </si>
  <si>
    <t>AltaLink Sub 247</t>
  </si>
  <si>
    <t>AltaLink Sub 248</t>
  </si>
  <si>
    <t>AltaLink Sub 249</t>
  </si>
  <si>
    <t>AltaLink Sub 250</t>
  </si>
  <si>
    <t>AltaLink Sub 251</t>
  </si>
  <si>
    <t>AltaLink Sub 252</t>
  </si>
  <si>
    <t>AltaLink Sub 253</t>
  </si>
  <si>
    <t>AltaLink Sub 254</t>
  </si>
  <si>
    <t>AltaLink Sub 255</t>
  </si>
  <si>
    <t>AltaLink Sub 256</t>
  </si>
  <si>
    <t>AltaLink Sub 257</t>
  </si>
  <si>
    <t>AltaLink Sub 258</t>
  </si>
  <si>
    <t>AltaLink Sub 259</t>
  </si>
  <si>
    <t>AltaLink Sub 260</t>
  </si>
  <si>
    <t>AltaLink Sub 261</t>
  </si>
  <si>
    <t>AltaLink Sub 262</t>
  </si>
  <si>
    <t>AltaLink Sub 263</t>
  </si>
  <si>
    <t>AltaLink Sub 264</t>
  </si>
  <si>
    <t>AltaLink Sub 265</t>
  </si>
  <si>
    <t>AltaLink Sub 266</t>
  </si>
  <si>
    <t>AltaLink Sub 267</t>
  </si>
  <si>
    <t>AltaLink Sub 268</t>
  </si>
  <si>
    <t>AltaLink Sub 269</t>
  </si>
  <si>
    <t>AltaLink Sub 270</t>
  </si>
  <si>
    <t>AltaLink Sub 271</t>
  </si>
  <si>
    <t>AltaLink Sub 272</t>
  </si>
  <si>
    <t>AltaLink Sub 273</t>
  </si>
  <si>
    <t>AltaLink Sub 274</t>
  </si>
  <si>
    <t>AltaLink Sub 275</t>
  </si>
  <si>
    <t>AltaLink Sub 276</t>
  </si>
  <si>
    <t>AltaLink Sub 277</t>
  </si>
  <si>
    <t>AltaLink Sub 278</t>
  </si>
  <si>
    <t>AltaLink Sub 279</t>
  </si>
  <si>
    <t>AltaLink Sub 280</t>
  </si>
  <si>
    <t>AltaLink Sub 281</t>
  </si>
  <si>
    <t>AltaLink Sub 282</t>
  </si>
  <si>
    <t>AltaLink Sub 283</t>
  </si>
  <si>
    <t>AltaLink Sub 284</t>
  </si>
  <si>
    <t>AltaLink Sub 285</t>
  </si>
  <si>
    <t>AltaLink Sub 286</t>
  </si>
  <si>
    <t>AltaLink Sub 287</t>
  </si>
  <si>
    <t>AltaLink Sub 288</t>
  </si>
  <si>
    <t>AltaLink Sub 289</t>
  </si>
  <si>
    <t>AltaLink Sub 290</t>
  </si>
  <si>
    <t>AltaLink Sub 291</t>
  </si>
  <si>
    <t>AltaLink Sub 292</t>
  </si>
  <si>
    <t>AltaLink Sub 293</t>
  </si>
  <si>
    <t>AltaLink Sub 294</t>
  </si>
  <si>
    <t>AltaLink Sub 295</t>
  </si>
  <si>
    <t>AltaLink Sub 296</t>
  </si>
  <si>
    <t>AltaLink Sub 297</t>
  </si>
  <si>
    <t>AltaLink Sub 298</t>
  </si>
  <si>
    <t>AltaLink Sub 299</t>
  </si>
  <si>
    <t>AltaLink Sub 300</t>
  </si>
  <si>
    <t>AltaLink Sub 301</t>
  </si>
  <si>
    <t>AltaLink Sub 302</t>
  </si>
  <si>
    <t>AltaLink Sub 303</t>
  </si>
  <si>
    <t>AltaLink Sub 304</t>
  </si>
  <si>
    <t>AltaLink Sub 305</t>
  </si>
  <si>
    <t>AltaLink Sub 306</t>
  </si>
  <si>
    <t>AltaLink Sub 307</t>
  </si>
  <si>
    <t>AltaLink Sub 308</t>
  </si>
  <si>
    <t>AltaLink Sub 309</t>
  </si>
  <si>
    <t>AltaLink Sub 310</t>
  </si>
  <si>
    <t>AltaLink Sub 311</t>
  </si>
  <si>
    <t>AltaLink Sub 312</t>
  </si>
  <si>
    <t>AltaLink Sub 313</t>
  </si>
  <si>
    <t>AltaLink Sub 314</t>
  </si>
  <si>
    <t>AltaLink Sub 315</t>
  </si>
  <si>
    <t>AltaLink Sub 316</t>
  </si>
  <si>
    <t>AltaLink Sub 317</t>
  </si>
  <si>
    <t>AltaLink Sub 318</t>
  </si>
  <si>
    <t>AltaLink Sub 319</t>
  </si>
  <si>
    <t>AltaLink Sub 320</t>
  </si>
  <si>
    <t>AltaLink Sub 321</t>
  </si>
  <si>
    <t>AltaLink Sub 322</t>
  </si>
  <si>
    <t>AltaLink Sub 323</t>
  </si>
  <si>
    <t>AltaLink Sub 324</t>
  </si>
  <si>
    <t>AltaLink Sub 325</t>
  </si>
  <si>
    <t>AltaLink Sub 326</t>
  </si>
  <si>
    <t>AltaLink Sub 327</t>
  </si>
  <si>
    <t>AltaLink Sub 328</t>
  </si>
  <si>
    <t>AltaLink Sub 329</t>
  </si>
  <si>
    <t>AltaLink Sub 330</t>
  </si>
  <si>
    <t>AltaLink Sub 331</t>
  </si>
  <si>
    <t>AltaLink Sub 332</t>
  </si>
  <si>
    <t>AltaLink Sub 333</t>
  </si>
  <si>
    <t>AltaLink Sub 334</t>
  </si>
  <si>
    <t>AltaLink Sub 335</t>
  </si>
  <si>
    <t>AltaLink Sub 336</t>
  </si>
  <si>
    <t>AltaLink Sub 337</t>
  </si>
  <si>
    <t>AltaLink Sub 338</t>
  </si>
  <si>
    <t>AltaLink Sub 339</t>
  </si>
  <si>
    <t>AltaLink Sub 340</t>
  </si>
  <si>
    <t>AltaLink Sub 341</t>
  </si>
  <si>
    <t>AltaLink Sub 342</t>
  </si>
  <si>
    <t>AltaLink Sub 343</t>
  </si>
  <si>
    <t>n</t>
  </si>
  <si>
    <t>y</t>
  </si>
  <si>
    <t>788AL</t>
  </si>
  <si>
    <t>807AL</t>
  </si>
  <si>
    <t>808AL</t>
  </si>
  <si>
    <t>893AL</t>
  </si>
  <si>
    <t>767CL</t>
  </si>
  <si>
    <t>Choose</t>
  </si>
  <si>
    <t>Sep-xx-2017</t>
  </si>
  <si>
    <t>Public</t>
  </si>
  <si>
    <t>Adjustment Factors</t>
  </si>
  <si>
    <t>classification</t>
  </si>
  <si>
    <t>240 kV DC adjustment factor</t>
  </si>
  <si>
    <t>as approved</t>
  </si>
  <si>
    <t>240 kV DC1 adjustment factor is</t>
  </si>
  <si>
    <t>240 kV SC adjustment factor is</t>
  </si>
  <si>
    <t>138/144 kV DC adjustment factor is</t>
  </si>
  <si>
    <t>138/144 kV DC1 adjustment factor is</t>
  </si>
  <si>
    <t xml:space="preserve">138/144 kV SC adjustment factor is </t>
  </si>
  <si>
    <t>Note, all data limited to "new" projects</t>
  </si>
  <si>
    <t>240 kV, 2x1033</t>
  </si>
  <si>
    <t>SRC_DATE</t>
  </si>
  <si>
    <t>ACTION</t>
  </si>
  <si>
    <t>LINE</t>
  </si>
  <si>
    <t>TYPE</t>
  </si>
  <si>
    <t>CIRCUIT</t>
  </si>
  <si>
    <t>CONDUCTOR_PER_PHASE</t>
  </si>
  <si>
    <t>CONDUCTOR</t>
  </si>
  <si>
    <t>LINE_1</t>
  </si>
  <si>
    <t>Adjust 240 kV lines to DC</t>
  </si>
  <si>
    <t>Normalized cost/kM</t>
  </si>
  <si>
    <t>PPS - NFTP</t>
  </si>
  <si>
    <t>Build temporary 240kV lines</t>
  </si>
  <si>
    <t>new</t>
  </si>
  <si>
    <t>911L temporary line</t>
  </si>
  <si>
    <t>ovh</t>
  </si>
  <si>
    <t>single circuit</t>
  </si>
  <si>
    <t>*1033</t>
  </si>
  <si>
    <t>AML ECTP</t>
  </si>
  <si>
    <t>Construct 4km of 240kV to connect Janet 74S to Enmax No. 25</t>
  </si>
  <si>
    <t>double circuit</t>
  </si>
  <si>
    <t>PPS - SATR886 Cassils to Bowmanton Transmission Line and Bowmanton Substations</t>
  </si>
  <si>
    <t>New line 240KV - 1034L / 1035L</t>
  </si>
  <si>
    <t>1034L/1035L</t>
  </si>
  <si>
    <t>acsr1034</t>
  </si>
  <si>
    <t>PPS-787-1035 Picture Butte to Etzikom Coulee(PBEC)</t>
  </si>
  <si>
    <t>transmission line 991L</t>
  </si>
  <si>
    <t>d/c 1st side</t>
  </si>
  <si>
    <t>acsr1033</t>
  </si>
  <si>
    <t>Fidler 312S Substation Interconnection</t>
  </si>
  <si>
    <t>Build new 240 kV double circuit 994L/1071L line</t>
  </si>
  <si>
    <t>994L/1071L</t>
  </si>
  <si>
    <t>PPS - HATD - Ware Junction</t>
  </si>
  <si>
    <t>Build a new 240kV d/c line from Ware 132S to Cassils 324S</t>
  </si>
  <si>
    <t>240kV 1053L</t>
  </si>
  <si>
    <t>NID - South and West of Edmonton Area Development</t>
  </si>
  <si>
    <t>in/out 240 kV D/C line connecting Legacy Park to 905L</t>
  </si>
  <si>
    <t>905L 240 kV D/C in/out to Legacy Park sub</t>
  </si>
  <si>
    <t>1101-PPS-Pike 170S Substation</t>
  </si>
  <si>
    <t>new 1115L double circuit one side strung</t>
  </si>
  <si>
    <t>1115L</t>
  </si>
  <si>
    <t>Saddlebrook Power Station Interconnection Project PPS</t>
  </si>
  <si>
    <t>Build new 240kV double-circuit line 911L and 1032L to connect to existing 911L</t>
  </si>
  <si>
    <t>911L/1032L</t>
  </si>
  <si>
    <t>PPS - 787-1037 Southern alberta Transmission Reinforcement(SATR) Etzikom Coulee to Whitla(ECW)</t>
  </si>
  <si>
    <t>new line 984L/987L</t>
  </si>
  <si>
    <t>line 984L/987L</t>
  </si>
  <si>
    <t>Construct new 240kV d/c line between Foothills 237S and Enmax No. 65</t>
  </si>
  <si>
    <t>1106L/1107L</t>
  </si>
  <si>
    <t>PPS - SATR882 South Foothills Transmission Project</t>
  </si>
  <si>
    <t>in/out 240 kV D/C line connecting Harry Smith to 1043L</t>
  </si>
  <si>
    <t>240 kV D/C in/out of 1043</t>
  </si>
  <si>
    <t>PPS - Edmonton Region ¿ 240 kV Line Upgrades</t>
  </si>
  <si>
    <t>Build new 12 km 1043L</t>
  </si>
  <si>
    <t xml:space="preserve">PPS - Heartland Bulk Transmission Development - East TUC </t>
  </si>
  <si>
    <t>Construct 240kV transmission line to complete Heartland loop</t>
  </si>
  <si>
    <t>PPS - SATR887 - Bowmanton Substation to Whitla Transmission Line and New Whitla Substation</t>
  </si>
  <si>
    <t>New line 240KV - 964L / 983L</t>
  </si>
  <si>
    <t>964L/983L</t>
  </si>
  <si>
    <t>CRR PPS</t>
  </si>
  <si>
    <t>Construct new 240kV line and renumber 1071L</t>
  </si>
  <si>
    <t>1071L/1072L</t>
  </si>
  <si>
    <t>1101-PPS-Ipiatik 167S Substation</t>
  </si>
  <si>
    <t>new 240 kV 1116L d/c one side strung</t>
  </si>
  <si>
    <t>1116L</t>
  </si>
  <si>
    <t>PPS - Langdon to Janet</t>
  </si>
  <si>
    <t>Construct approx. 18km 240kV d/c from Langdon 102S to Janet 74S</t>
  </si>
  <si>
    <t>1064L/1065L</t>
  </si>
  <si>
    <t>new 240 kV 1117L d/c one side strung</t>
  </si>
  <si>
    <t>1117L</t>
  </si>
  <si>
    <t>Sum of length</t>
  </si>
  <si>
    <t>Sum of cost</t>
  </si>
  <si>
    <t>Weighted average ($/km)</t>
  </si>
  <si>
    <t>240 kV, 2x795</t>
  </si>
  <si>
    <t>PPS - Lanfine to Penukan 240kV Single Circuit</t>
  </si>
  <si>
    <t>Install Transmission line 9L46 from Lanfine to Pemukan</t>
  </si>
  <si>
    <t>9L46</t>
  </si>
  <si>
    <t>*795</t>
  </si>
  <si>
    <t>PPS - Oakland to Coyote Lake Line &amp; Substation</t>
  </si>
  <si>
    <t>Construct new 240kV s/c line 9L29 from Coyote 963S to Oakland 946S</t>
  </si>
  <si>
    <t>9L29</t>
  </si>
  <si>
    <t>PPS - Anderson to Oakland Double Circuit &amp; Substation</t>
  </si>
  <si>
    <t>Transmission line 9L70 and 9L97</t>
  </si>
  <si>
    <t>9L70 and 9L97</t>
  </si>
  <si>
    <t>Christina Lake 240KV Transmission Development NID</t>
  </si>
  <si>
    <t>New 240kV d/c line from CHL2 to CHL4</t>
  </si>
  <si>
    <t>CHL2 to CHL4 240kV line</t>
  </si>
  <si>
    <t>PPS - Oakland to Lanfine Line</t>
  </si>
  <si>
    <t>Install transmission line 9L24</t>
  </si>
  <si>
    <t>9L24</t>
  </si>
  <si>
    <t>PPS - Pemukan to AltaLink Hansman Lake Line</t>
  </si>
  <si>
    <t>Install Transmission Line from Pemukan to Hansman Lake 9L966</t>
  </si>
  <si>
    <t>9L966</t>
  </si>
  <si>
    <t>9L66 PPS</t>
  </si>
  <si>
    <t>Build 8.9km of new s/c 240kV between Muskeg River 847S and 9L66/Aurora line corridor crossing</t>
  </si>
  <si>
    <t>966L s/c</t>
  </si>
  <si>
    <t>North Ft Mac</t>
  </si>
  <si>
    <t>Construction of 9L69 between McClelland and Black Fly</t>
  </si>
  <si>
    <t>9L69</t>
  </si>
  <si>
    <t>cbl</t>
  </si>
  <si>
    <t>Construction of 9L84 between Black Fly and Salt Creek</t>
  </si>
  <si>
    <t>9L84</t>
  </si>
  <si>
    <t>New 240kVe d/c single side strung line between CHL4 and CHL1</t>
  </si>
  <si>
    <t>1115L CHL1 to CHL4 240kV Line</t>
  </si>
  <si>
    <t>acsr795</t>
  </si>
  <si>
    <t>PPS - HATD - Hansman Lake 650S</t>
  </si>
  <si>
    <t>Build new d/c 240kV transmission line one side strung 966L from Hansman Lake 650S to Pemukan 932S</t>
  </si>
  <si>
    <t>240kV 966L</t>
  </si>
  <si>
    <t>PPS-811-Cold lake</t>
  </si>
  <si>
    <t>Construct 7L/9L146 line from Bourque 970S to Bonnyville 700S1</t>
  </si>
  <si>
    <t>7L/9L1461</t>
  </si>
  <si>
    <t>PPS - Northwest Fort McMurray Transmission Development</t>
  </si>
  <si>
    <t>Construction of 68km of 240kV s/c line on H-frame, 9L95</t>
  </si>
  <si>
    <t>Build new 240kV d/c single side from Hear Lake A898S and CHL2</t>
  </si>
  <si>
    <t>A898S to CHL2 240kV</t>
  </si>
  <si>
    <t>9L76 / 9L08</t>
  </si>
  <si>
    <t>144 &amp; 138 kV, 1x477</t>
  </si>
  <si>
    <t>Adjust 144/138  kV lines to SC</t>
  </si>
  <si>
    <t>Construct 7L157 line from Mahihkan 837S to Bourque 970S1</t>
  </si>
  <si>
    <t>7L1571</t>
  </si>
  <si>
    <t>acsr477</t>
  </si>
  <si>
    <t>PPS - Mustus Biomass Generator Blumenort 832S to Windy Hill</t>
  </si>
  <si>
    <t>Transmission Line 7L140</t>
  </si>
  <si>
    <t>Conoco PPS</t>
  </si>
  <si>
    <t>Construct new line between Quigley and Kinosis</t>
  </si>
  <si>
    <t>7L104</t>
  </si>
  <si>
    <t>PPS - Saleski 901S 144 kV Interconnection</t>
  </si>
  <si>
    <t>7L167 line</t>
  </si>
  <si>
    <t>Replace 7L83 from Leming Lake 715S to Bourque 970S1</t>
  </si>
  <si>
    <t>7L83 1</t>
  </si>
  <si>
    <t>PPS-811-7L749 Replacement</t>
  </si>
  <si>
    <t>Replace 7L749 transmission line1</t>
  </si>
  <si>
    <t xml:space="preserve">P673 Salt Creek </t>
  </si>
  <si>
    <t>Construct new 144kV line from Salt Creek 977S to Hangingstone 820S</t>
  </si>
  <si>
    <t>7L135</t>
  </si>
  <si>
    <t>*477</t>
  </si>
  <si>
    <t>PPS - Lanfine to Oyen Line</t>
  </si>
  <si>
    <t>Transmission line 7L132</t>
  </si>
  <si>
    <t>7L132</t>
  </si>
  <si>
    <t>138 kV S/C line connecting Legacy Park to Spruce Grove 595S</t>
  </si>
  <si>
    <t>138 kV line - Legacy Park to Spruce Grove 595S</t>
  </si>
  <si>
    <t>open 780L between the two new lines</t>
  </si>
  <si>
    <t>138 kV line (174L) modification</t>
  </si>
  <si>
    <t>138 kV S/C line connecting Legacy Park to 739L</t>
  </si>
  <si>
    <t>138 kV from Legacy Park sub to Bilby 432S</t>
  </si>
  <si>
    <t>PPS - Vista Coal 270S</t>
  </si>
  <si>
    <t>Tie in to 745L from 270S</t>
  </si>
  <si>
    <t>745L/625L</t>
  </si>
  <si>
    <t>138 kV S/C line from Nisku 149S to Blackmud 155S</t>
  </si>
  <si>
    <t>138 kV line from Nisku 149S to Blackmud 155S</t>
  </si>
  <si>
    <t>138 kV D/C line connecting 780L/858L lines to Saunders Lake (38S/40S)</t>
  </si>
  <si>
    <t>780L/858L termination at Saunders Lake (38S/40S)</t>
  </si>
  <si>
    <t>PPS - SATR882 South Foothills Transmission Project Windy Flats 138S Substation 138 kV</t>
  </si>
  <si>
    <t>Connection of 608L to 138S - New 138kV DC</t>
  </si>
  <si>
    <t>608L - d/c</t>
  </si>
  <si>
    <t>PPS - 66L AML</t>
  </si>
  <si>
    <t>Construct 138kV s/c line from West Brooks 28S to 100L near Brooks 121S</t>
  </si>
  <si>
    <t>666L - West Brooks 28S to 100L near Brooks 121S</t>
  </si>
  <si>
    <t>Build new 138 kV  624L line</t>
  </si>
  <si>
    <t>624L</t>
  </si>
  <si>
    <t>PPS - Harmattan Energy Center Connection</t>
  </si>
  <si>
    <t>456L line</t>
  </si>
  <si>
    <t>456L</t>
  </si>
  <si>
    <t>missing</t>
  </si>
  <si>
    <t>Build new 138 kV  893L line</t>
  </si>
  <si>
    <t>893L</t>
  </si>
  <si>
    <t>PPS - HATD, Nilrem 574S Substation Interconnection</t>
  </si>
  <si>
    <t>Build new 138 kV d/c transmission line from Nilrem 574S to Tucuman 478S</t>
  </si>
  <si>
    <t>679L/680L 3km</t>
  </si>
  <si>
    <t>Connection of 608L to 138S - New 138kV SC</t>
  </si>
  <si>
    <t>608L - Windy Flats to 725BL tap-off</t>
  </si>
  <si>
    <t>138 kV D/C line from 780L between E. Edmonton and Nisku to Cooking Lake</t>
  </si>
  <si>
    <t>New 138 kV line from Cooking Lake to 780L</t>
  </si>
  <si>
    <t>PPS Sylvan Lake 580S Project</t>
  </si>
  <si>
    <t>Build 200m of d/c 138kV line diverting off existing 717L to Sylvan Lake 580S</t>
  </si>
  <si>
    <t>717L Sylvan Lake</t>
  </si>
  <si>
    <t>144 &amp; 138 kV, 1x266</t>
  </si>
  <si>
    <t>PPS Broadmoor 420S</t>
  </si>
  <si>
    <t>Construct 100m d/c 138kV line diverting off 731L to Broadmoor 420S</t>
  </si>
  <si>
    <t>731L/636L</t>
  </si>
  <si>
    <t>acsr266</t>
  </si>
  <si>
    <t>PPS Highvale D.0164</t>
  </si>
  <si>
    <t>Construct 1.2km of new 138kV line tapped off of 767L to Rose Valley 635S</t>
  </si>
  <si>
    <t>Peace Butte Wind Farm - PPS</t>
  </si>
  <si>
    <t>Build new 138kV single circuit line 600AL, tap close to structure 600L157</t>
  </si>
  <si>
    <t>PPS - Underwood 183S Substation</t>
  </si>
  <si>
    <t>3 km of 138 kV single circuit 266 ACSR transmission line from Pike 170S to Underwood 183S</t>
  </si>
  <si>
    <t>445L 138kV line</t>
  </si>
  <si>
    <t>PPS - Keephills 3 Station Service</t>
  </si>
  <si>
    <t>New line 401L</t>
  </si>
  <si>
    <t>401L</t>
  </si>
  <si>
    <t>428L/457L</t>
  </si>
  <si>
    <t>Ardenville WPF Interconnection Project PPS</t>
  </si>
  <si>
    <t>Construct new 138kV line from Blue Trail WPF tap point to Ardenville WPF</t>
  </si>
  <si>
    <t>608L</t>
  </si>
  <si>
    <t>PPS - Hull 257S New Substation</t>
  </si>
  <si>
    <t>138 kV two single circuit line from 763L/411L to Hull 257S</t>
  </si>
  <si>
    <t>In tap off 763L to Hull 257S</t>
  </si>
  <si>
    <t>Out tap from Hull 257S to 411L</t>
  </si>
  <si>
    <t>PPS - Whitecourt Industrial 364S</t>
  </si>
  <si>
    <t>Transmission Line 798L to Whitecourt Industrial 364S substation</t>
  </si>
  <si>
    <t>798L</t>
  </si>
  <si>
    <t xml:space="preserve">P519 Oldman River WF PPS </t>
  </si>
  <si>
    <t>Construct 100m of s/c 138kV line from 893AL to Windy Point 112S</t>
  </si>
  <si>
    <t>PPS Cope Creek Interconnection Project</t>
  </si>
  <si>
    <t>construction of a new S/C 138kV line from 180S to 150AL</t>
  </si>
  <si>
    <t xml:space="preserve">138kV S/C line 150A1L </t>
  </si>
  <si>
    <t>PPS Leduc 325 S New Substation Project</t>
  </si>
  <si>
    <t>Construct approx 16km of d/c 138kV line from 838L to Leduc 325S</t>
  </si>
  <si>
    <t>689L/632L/838L</t>
  </si>
  <si>
    <t>New line 400L</t>
  </si>
  <si>
    <t>400L</t>
  </si>
  <si>
    <t xml:space="preserve">Abee PPS - AML </t>
  </si>
  <si>
    <t>Construct 200m of s/c 138kV line into Abee 993S</t>
  </si>
  <si>
    <t>437L</t>
  </si>
  <si>
    <t>*266</t>
  </si>
  <si>
    <t>PPS - Foothills 138kV</t>
  </si>
  <si>
    <t>Build temporary line</t>
  </si>
  <si>
    <t>727L temporary</t>
  </si>
  <si>
    <t>Kirby In-Situ Oil Sands Plant - PPS</t>
  </si>
  <si>
    <t>Build new 138kV line from Winefred 818S to Kirby 651S</t>
  </si>
  <si>
    <t>428L</t>
  </si>
  <si>
    <t>Construct new 11km s/c 138kV line from tap point 808L to 808AL</t>
  </si>
  <si>
    <t>PPS - Cypress</t>
  </si>
  <si>
    <t>Construct new line to run 760L/668L in/out of Cypress substation</t>
  </si>
  <si>
    <t>760L/668L</t>
  </si>
  <si>
    <t>KXL - Eyre 558S - PPS</t>
  </si>
  <si>
    <t>Add approx 17km of 138kV line from 7L224 tap point to Eyre 558S</t>
  </si>
  <si>
    <t>402L Eyre 558S to 7L224 tapping point</t>
  </si>
  <si>
    <t>PPS - Shell AOSP PPS</t>
  </si>
  <si>
    <t>Construct new 138kV line 807AL to interconnect 807L to Shell AOSP 402S</t>
  </si>
  <si>
    <t>PPS - Sulphur Point 828S to High Level 786S</t>
  </si>
  <si>
    <t>Construct s/c line from Sulphur Point 828S to High Level 786S</t>
  </si>
  <si>
    <t>7L133</t>
  </si>
  <si>
    <t>Armitage - PPS</t>
  </si>
  <si>
    <t>Construct new line between Armitage and Oyen</t>
  </si>
  <si>
    <t>7L150 1km d/c, 6km s/c</t>
  </si>
  <si>
    <t>StatoilHydro Leismer PPS AML</t>
  </si>
  <si>
    <t>Construct 144kV line from Leismer 72S to Waddel 907S</t>
  </si>
  <si>
    <t>7L114</t>
  </si>
  <si>
    <t>Currant Lake - PPS</t>
  </si>
  <si>
    <t>Construct line from Currant Lake 896S to 7L110 tap connection</t>
  </si>
  <si>
    <t>7LA110</t>
  </si>
  <si>
    <t>Horse River PPS</t>
  </si>
  <si>
    <t>Construct 765m of d/c 144kV line interconnecting Horse River 917S to 7L38</t>
  </si>
  <si>
    <t>7L38/7L121</t>
  </si>
  <si>
    <t>Cavendish - PPS</t>
  </si>
  <si>
    <t>Construct 5km of s/c 144kV and modify 7LA760 for tap connection</t>
  </si>
  <si>
    <t>7LB760 and 7LA760 tap connection</t>
  </si>
  <si>
    <t>E3 High Prairie to Triangle 144kV Line PPS</t>
  </si>
  <si>
    <t>Construct s/c 144kV line from Triangle to High Prairie</t>
  </si>
  <si>
    <t>7L48</t>
  </si>
  <si>
    <t>PPS - Ring Creek 853S to new Arcenciel 930S Line</t>
  </si>
  <si>
    <t>Construct 7L113 s/c line from Arcenciel 930S to Ring Creek 853S</t>
  </si>
  <si>
    <t>7L133 2</t>
  </si>
  <si>
    <t>Construct two 144kV lines to interconnect Rainbow Lake with Arcenciel</t>
  </si>
  <si>
    <t>7L122</t>
  </si>
  <si>
    <t>Construct s/c 144kV line from 7L48 connection to High Prairie</t>
  </si>
  <si>
    <t>7L06</t>
  </si>
  <si>
    <t>KPS 1 PPS ATCO</t>
  </si>
  <si>
    <t>Construct new 144kV s/c line from Ribstone 892S to Lakesend 508S</t>
  </si>
  <si>
    <t>7L696</t>
  </si>
  <si>
    <t>PPS Ghost Pine</t>
  </si>
  <si>
    <t>Construct new 144kV s/c line from Ghost Pine 114S to t-tap structure off 7L16</t>
  </si>
  <si>
    <t>7LA16</t>
  </si>
  <si>
    <t>E5 Edith Lake to Sarah Lake 144 kV Line PPS</t>
  </si>
  <si>
    <t>Construct 32km s/c 144kV from Edith Lake 739S to Sarah Lake 743S</t>
  </si>
  <si>
    <t>7L172</t>
  </si>
  <si>
    <t>ATCO - Weasel Creek Abee PPS</t>
  </si>
  <si>
    <t>Build 144kV line from Altalink North border to Weasel Creek 947S</t>
  </si>
  <si>
    <t>7LA808</t>
  </si>
  <si>
    <t>Algar area system reinforcement</t>
  </si>
  <si>
    <t>144kV feed tp Hangingstone and Algar</t>
  </si>
  <si>
    <t>7L36 / 7L170</t>
  </si>
  <si>
    <t>Lindbergh 969S New POD PPS</t>
  </si>
  <si>
    <t>Construct 25km of s/c 144kV line tapping off 7L53 to Lindbergh 969S</t>
  </si>
  <si>
    <t>7LA53</t>
  </si>
  <si>
    <t>PPS - Norberg 936S Substation and 144kV Transmission Line</t>
  </si>
  <si>
    <t>7LA139 line</t>
  </si>
  <si>
    <t>7LA139</t>
  </si>
  <si>
    <t>7L109</t>
  </si>
  <si>
    <t>PPS-811-Heisler and Kitscoty Area Upgrade</t>
  </si>
  <si>
    <t>Construct 7L14/7L130 d/c line from 7L14 to Kitscoty 705S180</t>
  </si>
  <si>
    <t>Build 144kV line from Weasel Creek to Altalink/ATCO boundary</t>
  </si>
  <si>
    <t>7LA437</t>
  </si>
  <si>
    <t>PPS - Bohn Interconnection Project</t>
  </si>
  <si>
    <t>new line 7L05</t>
  </si>
  <si>
    <t>E4 Otauwu to Mitsue 144kV Line PPS</t>
  </si>
  <si>
    <t>Construct 4km s/c 144kV from Mitsue to Otauwau substations</t>
  </si>
  <si>
    <t>7L162</t>
  </si>
  <si>
    <t>acsr226</t>
  </si>
  <si>
    <t>Line type</t>
  </si>
  <si>
    <t>Factor</t>
  </si>
  <si>
    <t>240 kV</t>
  </si>
  <si>
    <t>Database Given to LEI</t>
  </si>
  <si>
    <t>Current Database</t>
  </si>
  <si>
    <t>Change</t>
  </si>
  <si>
    <t>comments</t>
  </si>
  <si>
    <t>FED_ID</t>
  </si>
  <si>
    <t>voltage</t>
  </si>
  <si>
    <t>length</t>
  </si>
  <si>
    <t>circuit type</t>
  </si>
  <si>
    <t>change</t>
  </si>
  <si>
    <t>change %</t>
  </si>
  <si>
    <t>average/km</t>
  </si>
  <si>
    <t>7L/9L146</t>
  </si>
  <si>
    <t>bulk classification</t>
  </si>
  <si>
    <t>1x477 and 1x266</t>
  </si>
  <si>
    <t>new dataset has 1.6dc and 11.2sc</t>
  </si>
  <si>
    <t>temp+perm</t>
  </si>
  <si>
    <t>temp</t>
  </si>
  <si>
    <t>7AL437 is 11km. 7AL808 in 17km</t>
  </si>
  <si>
    <t>mixed circuit types</t>
  </si>
  <si>
    <t>regional classification</t>
  </si>
  <si>
    <t>LEI</t>
  </si>
  <si>
    <t>current database classification</t>
  </si>
  <si>
    <t>LEI ratios</t>
  </si>
  <si>
    <t>2x1033 Data</t>
  </si>
  <si>
    <t>adjusted $ per km</t>
  </si>
  <si>
    <t># in DB</t>
  </si>
  <si>
    <t>RP_ID</t>
  </si>
  <si>
    <t>ISD</t>
  </si>
  <si>
    <t>SYSTEM</t>
  </si>
  <si>
    <t>CUSTOMER</t>
  </si>
  <si>
    <t>RATIO_OF_FACILITY</t>
  </si>
  <si>
    <t>AREA</t>
  </si>
  <si>
    <t>SOURCE</t>
  </si>
  <si>
    <t>ID_FED</t>
  </si>
  <si>
    <t>PRNT_ID</t>
  </si>
  <si>
    <t>adjusted</t>
  </si>
  <si>
    <t>Construct 240kV transmission line to complete Heartland loop_(v181)</t>
  </si>
  <si>
    <t>1054L/1061L_(v181)</t>
  </si>
  <si>
    <t>PPS-Saddlebrook Power Station Interconnection Project</t>
  </si>
  <si>
    <t>PPS - Edmonton Region 240 kV Line Upgrades</t>
  </si>
  <si>
    <t>PPS- South and West of Edmonton Transmission Development</t>
  </si>
  <si>
    <t xml:space="preserve">2 2.3km 240kV s/c line </t>
  </si>
  <si>
    <t>PPS- South Foothills Transmission Project-SFTP</t>
  </si>
  <si>
    <t>Brooks</t>
  </si>
  <si>
    <t>PPS - 1028 HATD - Ware Junction</t>
  </si>
  <si>
    <t>SATR(1034) Chapel Rock to Castle Rock Ridge document</t>
  </si>
  <si>
    <t>New Build of 992L/1004L</t>
  </si>
  <si>
    <t>992L/1004L</t>
  </si>
  <si>
    <t>SATR - Chapel Rock to Castle Rock Ridge NID Amendment</t>
  </si>
  <si>
    <t>Alt2b(2.1) 37km 240kV line 992L/1004L</t>
  </si>
  <si>
    <t>992L / 1004L</t>
  </si>
  <si>
    <t>new 240 kV 1116L d/c one side strung 180</t>
  </si>
  <si>
    <t>new 240 kV 1117L d/c one side strung 180</t>
  </si>
  <si>
    <t>new 1115L double circuit one side strung180</t>
  </si>
  <si>
    <t>Construct approx. 18km 240kV d/c from Langdon 102S to Janet 74S_(v180)</t>
  </si>
  <si>
    <t>Build temporary 240kV lines_180</t>
  </si>
  <si>
    <t>Construct new 240kV d/c line between Foothills 237S and Enmax No. 65_180</t>
  </si>
  <si>
    <t>1106L/1107L_180</t>
  </si>
  <si>
    <t>PPS-1343 New Fidler 312S Substation Connection Stage1 and Stage2</t>
  </si>
  <si>
    <t>construct new transmission line 994L/1071L</t>
  </si>
  <si>
    <t>Provost</t>
  </si>
  <si>
    <t>NID- Vermillion to Red Deer and Edgerton to Provost 240kV Transmission development AML</t>
  </si>
  <si>
    <t>New 240kV S/C 0.5km 912L line at new SubF 1.5(B)_v1</t>
  </si>
  <si>
    <t>New 240kV S/C 0.5km  line at new SubF (3.5A)_v1</t>
  </si>
  <si>
    <t>New 240kV S/C 0.5km  line at new SubF 1.5(A)_v1</t>
  </si>
  <si>
    <t>New 240kV S/C 0.5km 912L line at new SubF (3.5B)_v1</t>
  </si>
  <si>
    <t>EPCOR Riverview Substation Connection document</t>
  </si>
  <si>
    <t xml:space="preserve">Line 1139L </t>
  </si>
  <si>
    <t>1139L</t>
  </si>
  <si>
    <t xml:space="preserve">Line 1164L </t>
  </si>
  <si>
    <t>1164L</t>
  </si>
  <si>
    <t>average $/km :</t>
  </si>
  <si>
    <t>2x795 Data</t>
  </si>
  <si>
    <t>Sheerness</t>
  </si>
  <si>
    <t>PPS - 996 Anderson to Oakland Double Circuit &amp; Substation</t>
  </si>
  <si>
    <t>PPS - 998 Oakland to Lanfine Line</t>
  </si>
  <si>
    <t>PPS - 999 Oakland to Coyote Lake Line &amp; Substation</t>
  </si>
  <si>
    <t>PPS - 1003 Lanfine to Penukan 240kV Single Circuit</t>
  </si>
  <si>
    <t>PPS - 1026 HATD - Hansman Lake 650S</t>
  </si>
  <si>
    <t>Christina Lake Area Development AML</t>
  </si>
  <si>
    <t>240K D/C CHL1 to CHL4</t>
  </si>
  <si>
    <t>240K D/C CHL2 to CHL4</t>
  </si>
  <si>
    <t>240kV D/C CHL2 to Heartlake</t>
  </si>
  <si>
    <t>PPS - Northwest Fort McMurray Transmission Development Phase III</t>
  </si>
  <si>
    <t>NID - Northwest of Fort McMurray Transmission Development</t>
  </si>
  <si>
    <t>9L76/9L08 52km 240kV d/c  line</t>
  </si>
  <si>
    <t>80km 240kV d/c line 1-side</t>
  </si>
  <si>
    <t>PPS - Northwest Fort McMurray Transmission Development Phase I</t>
  </si>
  <si>
    <t>Carmon Creek Cogeneration Facility Connection Project</t>
  </si>
  <si>
    <t>New Lines 9L124 &amp; 9L139</t>
  </si>
  <si>
    <t>NID- Vermillion to Red Deer and Edgerton to Provost 240kV Transmission development ATCO</t>
  </si>
  <si>
    <t>9LX02 OptA-(Drury-Cordel) 3ba</t>
  </si>
  <si>
    <t>9LX01 OptA-(subF-Tinchebray) 3ba</t>
  </si>
  <si>
    <t>9LX01 -(subF-Tinchebray) (1ab,3A)</t>
  </si>
  <si>
    <t xml:space="preserve">NID- Vermillion to Red Deer and Edgerton to Provost 240kV Transmission development ATCO_x000D_
</t>
  </si>
  <si>
    <t>9LX01 OptB-(subF-Tinchebray) 3bb</t>
  </si>
  <si>
    <t>9L20 Relocation 3ba</t>
  </si>
  <si>
    <t>9LX01 OptB-(subF-Tinchebray) 3ab</t>
  </si>
  <si>
    <t>9LX01 OptA-include 9L20 reloc (subF-Tinchebray) 3aa</t>
  </si>
  <si>
    <t>9LX01 -(subF-Tinchebray) (1ca,3B)</t>
  </si>
  <si>
    <t>9LX02 OptB-(Drury-Tinchebray) 3bb</t>
  </si>
  <si>
    <t>9LX01 -(subF-Tinchebray) (1ba,3A)</t>
  </si>
  <si>
    <t>9LX01 -(subF-Tinchebray) (1ab,3B)</t>
  </si>
  <si>
    <t>9LX01 OptB-(subF-Tinchebray) (1ab,3B)</t>
  </si>
  <si>
    <t>9LX02 OptB-(Drury-Tinchebray) 3ab</t>
  </si>
  <si>
    <t>9LX01 -(subF-Tinchebray) (1aa,3A)</t>
  </si>
  <si>
    <t>9LX01 -(subF-Tinchebray) (1cb,3A)</t>
  </si>
  <si>
    <t>9LX02 OptA-(Drury-cordel) 3aa</t>
  </si>
  <si>
    <t>9LX01 -(subF-Tinchebray) (1aa,3B)</t>
  </si>
  <si>
    <t>9LX01-(subF-Tinchebray) (1aa,3B)</t>
  </si>
  <si>
    <t>9LX01 -(subF-Tinchebray) (1cb,3B)</t>
  </si>
  <si>
    <t>9LX01 -(subF-Tinchebray) (1bb,3A)</t>
  </si>
  <si>
    <t>9LX01 -(subF-Tinchebray) (1ba,3B)</t>
  </si>
  <si>
    <t>9LX01 -(subF-Tinchebray) (1ca,3A)</t>
  </si>
  <si>
    <t>9LX01 -(subF-Tinchebray) (1bb,3B)</t>
  </si>
  <si>
    <t>1x477 Data</t>
  </si>
  <si>
    <t>NID-Yellowhead Area Transmission Development</t>
  </si>
  <si>
    <t>129L1 19km from Entwistle 235S to Moonlake 131S</t>
  </si>
  <si>
    <t>745L 8km 138kV d/c reconfig into Bickerdike</t>
  </si>
  <si>
    <t>129L2 28km from Moonlake 131S to Violet Grove 283S</t>
  </si>
  <si>
    <t>745L 80.5km 138kV s/c rebuild</t>
  </si>
  <si>
    <t>Construct 7L160 line from Mahihkan 837S to Bourque 970S(180)</t>
  </si>
  <si>
    <t>Construct 7L157 line from Mahihkan 837S to Bourque 970S(180)</t>
  </si>
  <si>
    <t>Replace 7L83 from Leming Lake 715S to Bourque 970S(180)</t>
  </si>
  <si>
    <t>PPS- Red Deer Area Transmission Development - stage 1 166L rebuild</t>
  </si>
  <si>
    <t>166L_(v2)</t>
  </si>
  <si>
    <t>Red Deer Region Transmission Development</t>
  </si>
  <si>
    <t>418L from Ghost 20S to Johnson 281S</t>
  </si>
  <si>
    <t>417L from Johnson 281S to Olds 55S</t>
  </si>
  <si>
    <t>138kV 25km d/c line</t>
  </si>
  <si>
    <t>138kV 100m s/c line</t>
  </si>
  <si>
    <t>PPS - 982 Lanfine to Oyen Line</t>
  </si>
  <si>
    <t>PPS - 995 Lanfine to Excel Single Circuit</t>
  </si>
  <si>
    <t>7L116 Transmission Line</t>
  </si>
  <si>
    <t>7L116</t>
  </si>
  <si>
    <t>PPS - 1000 Coyote Lake to Michichi Creek Line &amp; Substation</t>
  </si>
  <si>
    <t>Install new 144kV line from Michichi Creek 802S to Coyote Lake 963S</t>
  </si>
  <si>
    <t>7L128</t>
  </si>
  <si>
    <t>PPS - 1013 Pemukan to Monitor Line &amp; Substation</t>
  </si>
  <si>
    <t>Install transmission line from Pemukan to Monitor Substations</t>
  </si>
  <si>
    <t>7L127</t>
  </si>
  <si>
    <t>PPS - 1023 Nevis to Stettler Single Circuit</t>
  </si>
  <si>
    <t>Add 144kV lines from Nevis to Stettler 7L143</t>
  </si>
  <si>
    <t>7L143</t>
  </si>
  <si>
    <t>PPS - 1024 HATD, Nilrem 574S Substation Interconnection</t>
  </si>
  <si>
    <t>Surmont II stage 2 PPS</t>
  </si>
  <si>
    <t>New 144kV S/C line 7L167</t>
  </si>
  <si>
    <t>construct new transmission line 893L</t>
  </si>
  <si>
    <t>construct new transmission line 624L</t>
  </si>
  <si>
    <t>NID- Josephburg Area Transmission Upgrade</t>
  </si>
  <si>
    <t>807L 138kV 1km_(Alt2)</t>
  </si>
  <si>
    <t>PPS- Heartland Pumpstation Connection</t>
  </si>
  <si>
    <t>PPS- Hornbeck 345S New Substation Project</t>
  </si>
  <si>
    <t>New 130m 138kV d/c line</t>
  </si>
  <si>
    <t>NID- Hornbeck 345S New Substation Project</t>
  </si>
  <si>
    <t>NID- North Calgary 69kV Conversion Project</t>
  </si>
  <si>
    <t>Replace 16.63L to 138kV (PC)</t>
  </si>
  <si>
    <t>16.63L (PC)</t>
  </si>
  <si>
    <t>16.81L (FC)</t>
  </si>
  <si>
    <t>Replace 13.60L to 138kV (FC)</t>
  </si>
  <si>
    <t>13.85L (FC)</t>
  </si>
  <si>
    <t>Replace 15.60L/21.61L to 138kV (SS-15 to SS-21) (CM)</t>
  </si>
  <si>
    <t>15.60L/21.61L (CM)</t>
  </si>
  <si>
    <t>Replace 21.61L/16.60L to 138kV (SS-34 to 32ave) (PC)</t>
  </si>
  <si>
    <t>21.61L (PC)</t>
  </si>
  <si>
    <t>Replace 16.63L to 138kV (FC)</t>
  </si>
  <si>
    <t>16.85L (FC)</t>
  </si>
  <si>
    <t>New 138kV line SS-34 to SS-15 (FC)</t>
  </si>
  <si>
    <t>15.83L (FC)</t>
  </si>
  <si>
    <t>Replace 16.63L to 138kV (CM)</t>
  </si>
  <si>
    <t>16.63L (CM)</t>
  </si>
  <si>
    <t>Replace 21.61L/16.60L to 138kV (SS-34 to 32ave) (CM)</t>
  </si>
  <si>
    <t>21.61L (CM)</t>
  </si>
  <si>
    <t>Replace 15.60L/21.61L to 138kV (SS-15 to SS-21) (PC)</t>
  </si>
  <si>
    <t>15.60L/21.61L (PC)</t>
  </si>
  <si>
    <t>Replace 16.60L to 138kV  (SS-16 to SS-34) (PC)</t>
  </si>
  <si>
    <t>16.60L (PC)</t>
  </si>
  <si>
    <t>Replace 16.61L to 138kV (PC)</t>
  </si>
  <si>
    <t>16.61L (PC)</t>
  </si>
  <si>
    <t>Replace 15.60L to 138kV (FC)</t>
  </si>
  <si>
    <t>15.81L (FC)</t>
  </si>
  <si>
    <t>Replace 13.60L to 138kV (PC)</t>
  </si>
  <si>
    <t>13.60L (PC)</t>
  </si>
  <si>
    <t>Replace 16.60L to 138kV (FC)</t>
  </si>
  <si>
    <t>16.80L (FC)</t>
  </si>
  <si>
    <t>Replace 16.60L to 138kV  (SS-16 to SS-34) (CM)</t>
  </si>
  <si>
    <t>16.60L (CM)</t>
  </si>
  <si>
    <t>Replace 15.62L/16.60L to 138kV (SS-16 to 32ave) (PC)</t>
  </si>
  <si>
    <t>15.62L (PC)</t>
  </si>
  <si>
    <t>Replace 15.62L/21.61L to 138kV (SS-15 to 32ave) (PC)</t>
  </si>
  <si>
    <t>15.62L/21.61L (PC)</t>
  </si>
  <si>
    <t>Replace 15.62L/16.60L to 138kV (SS-16 to 32ave) (CM)</t>
  </si>
  <si>
    <t>15.62L (CM)</t>
  </si>
  <si>
    <t>Replace 16.61L to 138kV (CM)</t>
  </si>
  <si>
    <t>16.61L (CM)</t>
  </si>
  <si>
    <t>Replace 15.62L/21.61L to 138kV (SS-15 to 32ave) (CM)</t>
  </si>
  <si>
    <t>15.62L/21.61L (CM)</t>
  </si>
  <si>
    <t>Replace 13.60L to 138kV (CM)</t>
  </si>
  <si>
    <t>13.60L (CM)</t>
  </si>
  <si>
    <t>CEC Peaking Plant Connection document</t>
  </si>
  <si>
    <t>Line 70Sub to 162S</t>
  </si>
  <si>
    <t xml:space="preserve">Central Region Transmission Reinforcement (AML) </t>
  </si>
  <si>
    <t>138kV Hansman-Edgerton</t>
  </si>
  <si>
    <t xml:space="preserve">Central Region Transmission Reinforcement (ATCO) </t>
  </si>
  <si>
    <t>Nilrem 1-B-1 29.7km</t>
  </si>
  <si>
    <t>Nilrem 1-A-1 29.7km</t>
  </si>
  <si>
    <t>138kV Nilrem-Drury</t>
  </si>
  <si>
    <t>Nilrem 1-B-2 29.7km</t>
  </si>
  <si>
    <t>Nilrem 1-A-2 29.7km</t>
  </si>
  <si>
    <t>1x266 Data</t>
  </si>
  <si>
    <t>PPS - 513 Peace Butte Wind Farm - PPS</t>
  </si>
  <si>
    <t>Windy Point Wind Farm Project</t>
  </si>
  <si>
    <t>PPS-584 Leduc 325 S New Substation Project</t>
  </si>
  <si>
    <t>PPS - Wesley Creek 834S to New Meikle 905S</t>
  </si>
  <si>
    <t>New 7L120 and 7L138 from Meikle 905S to Hotchkiss 788S</t>
  </si>
  <si>
    <t>7L120/7L138</t>
  </si>
  <si>
    <t>Wabamun</t>
  </si>
  <si>
    <t>PPS-Horse River</t>
  </si>
  <si>
    <t>Cold_Lake</t>
  </si>
  <si>
    <t>PPS-Westwood Final Signed</t>
  </si>
  <si>
    <t>Construct new Westwood 422S substation</t>
  </si>
  <si>
    <t>700L/694L</t>
  </si>
  <si>
    <t>PPS - 851 KXL - Eyre 558S - PPS</t>
  </si>
  <si>
    <t>Empress</t>
  </si>
  <si>
    <t>PPS - Cavendish</t>
  </si>
  <si>
    <t>PPS - 1022 Rowley to Michichi Creek - Three Hills Line &amp; Substation</t>
  </si>
  <si>
    <t>Transmission line tap 7L25 between Rowley and Michichi Creek substation</t>
  </si>
  <si>
    <t>7L25/7L137</t>
  </si>
  <si>
    <t>PPS - 787 - SATR 1038 Blackie Area 138kV Line Reconfiguration</t>
  </si>
  <si>
    <t>construct a new 138kV double circuit line</t>
  </si>
  <si>
    <t>new 138kV double circuit line</t>
  </si>
  <si>
    <t>PPS - Lac La Biche - Thompson 140S</t>
  </si>
  <si>
    <t>construct 1.5km s/c 138kV line from 788L tap point to Thompson 140S</t>
  </si>
  <si>
    <t>new 138 kV 428L/457L d/c in/out arrangement to existing 428L 180</t>
  </si>
  <si>
    <t>PPS- Grizzly Bear Wind Facility document</t>
  </si>
  <si>
    <t>new 50m in/out line 7L134</t>
  </si>
  <si>
    <t xml:space="preserve">acsr266 </t>
  </si>
  <si>
    <t>new 18.5km s/c line 7LA65</t>
  </si>
  <si>
    <t>PPS- Anthony Henday 309S new substation project revised</t>
  </si>
  <si>
    <t>New 190m s/c 138kV line</t>
  </si>
  <si>
    <t>PPS- Anthony Henday 309S new substation project</t>
  </si>
  <si>
    <t>7L65 in/out- (1ba,3A)</t>
  </si>
  <si>
    <t>7L117 relocation 3ab</t>
  </si>
  <si>
    <t>7L129 in/out- (1ca,3A)</t>
  </si>
  <si>
    <t>7L65 in/out- (1ca,3A)</t>
  </si>
  <si>
    <t>Modify, rebuilt and re-terminate 749L and 715L (1.3)_v1</t>
  </si>
  <si>
    <t>7L129 in/out 3ab</t>
  </si>
  <si>
    <t>7L130 relocation 3aa</t>
  </si>
  <si>
    <t>7L129 in/out- 1cb</t>
  </si>
  <si>
    <t>7L65 in/out- 1cb</t>
  </si>
  <si>
    <t>7L130 relocation 3bb</t>
  </si>
  <si>
    <t>7L130 relocation 3ba</t>
  </si>
  <si>
    <t>7L129 in/out 3ba</t>
  </si>
  <si>
    <t>7L129 in/out- (1ba,3A)</t>
  </si>
  <si>
    <t>7L65 in/out- (1ab,3A)</t>
  </si>
  <si>
    <t>7L129 in/out 3aa</t>
  </si>
  <si>
    <t>7L65 in/out- (1aa,3B)</t>
  </si>
  <si>
    <t>7L129 in/out- (1bb,3B)</t>
  </si>
  <si>
    <t>7L65 in/out- 1aa</t>
  </si>
  <si>
    <t>7L65 in/out 3aa</t>
  </si>
  <si>
    <t>7L65 in/out- 1ba</t>
  </si>
  <si>
    <t>7L117 relocation 3ba</t>
  </si>
  <si>
    <t>7L65 in/out- 1ab</t>
  </si>
  <si>
    <t>7L65 in/out 3bb</t>
  </si>
  <si>
    <t>7L130 relocation 3ab</t>
  </si>
  <si>
    <t>7L65 in/out 3ab</t>
  </si>
  <si>
    <t>7L129 in/out- (1cb,3A)</t>
  </si>
  <si>
    <t>7L65 in/out- 1ca</t>
  </si>
  <si>
    <t>7L117 relocation 3bb</t>
  </si>
  <si>
    <t>7L65 in/out 3ba</t>
  </si>
  <si>
    <t>7L129 in/out- (1ba,3B)</t>
  </si>
  <si>
    <t>7L129 in/out- (1aa,3B)</t>
  </si>
  <si>
    <t>7L65 in/out- (1cb,3A)</t>
  </si>
  <si>
    <t>7L129 in/out- 1ba</t>
  </si>
  <si>
    <t>7L129 in/out 3bb</t>
  </si>
  <si>
    <t>7L129 in/out- (1bb,3A)</t>
  </si>
  <si>
    <t>7L129 in/out- 1bb</t>
  </si>
  <si>
    <t>7L65 in/out- 1bb</t>
  </si>
  <si>
    <t>7L129 in/out- (1ab,3B)</t>
  </si>
  <si>
    <t>7L65 in/out- (1cb,3B)</t>
  </si>
  <si>
    <t>7L129 in/out- (1aa,3A)</t>
  </si>
  <si>
    <t>7L65 in/out- (1aa,3A)</t>
  </si>
  <si>
    <t>7L65 in/out- (1bb,3B)</t>
  </si>
  <si>
    <t>749L 138kV S/C 0.5 km of temporary and 0.5km new line (3.3B)_v1</t>
  </si>
  <si>
    <t>7L129 in/out- 1aa</t>
  </si>
  <si>
    <t>Relocate reterminate 701L at Strome 223S (1.2)_v1</t>
  </si>
  <si>
    <t>Remove and Re-Terminate 138kV-704L at Jarrow 252S and junction 7L50 (1.1)_v1</t>
  </si>
  <si>
    <t>749L 138kV S/C 0.5 km of temporary and 0.5km new line (3.3A)_v1</t>
  </si>
  <si>
    <t>7L129 in/out- 1ca</t>
  </si>
  <si>
    <t>7L129 in/out- 1ab</t>
  </si>
  <si>
    <t>7L65 in/out- (1ba,3B)</t>
  </si>
  <si>
    <t>7L65 in/out- (1ab,3B)</t>
  </si>
  <si>
    <t>7L129 in/out- (1ab,3A)</t>
  </si>
  <si>
    <t>7L117 relocation 3aa</t>
  </si>
  <si>
    <t>7L129 in/out- (1cb,3B)</t>
  </si>
  <si>
    <t>7L129 in/out- (1ca,3B)</t>
  </si>
  <si>
    <t>7L65 in/out- (1ca,3B)</t>
  </si>
  <si>
    <t>7L65 in/out- (1bb,3A)</t>
  </si>
  <si>
    <t>PPS - Battle Sands 594S Substation Project</t>
  </si>
  <si>
    <t>New 138kV 1km 769BL</t>
  </si>
  <si>
    <t>PPS- Fortis Wainright Enhanced Reliability Project</t>
  </si>
  <si>
    <t>New 138kv 26km line</t>
  </si>
  <si>
    <t>PPS- Spirit River New POD</t>
  </si>
  <si>
    <t>T-tap at 7LA10</t>
  </si>
  <si>
    <t>acsr267</t>
  </si>
  <si>
    <t>Welsch Wind Farm- Tap on 624L project</t>
  </si>
  <si>
    <t>ATCO Muir New POD</t>
  </si>
  <si>
    <t>Wood Line  (T-tap) 7LA90  144kV SC 1x266.8 kcmil ACSR Partridge 7 km</t>
  </si>
  <si>
    <t>7L65 In-Out D/C 1.7km</t>
  </si>
  <si>
    <t>7L65 In-Out</t>
  </si>
  <si>
    <t>adjusted $/km</t>
  </si>
  <si>
    <t>240kV line</t>
  </si>
  <si>
    <t>2014 Study</t>
  </si>
  <si>
    <t>2018 Update</t>
  </si>
  <si>
    <t>Updated classification for lines included in 2014 Study</t>
  </si>
  <si>
    <t>2018 Update minimum system method calculations to determine percentage classified as energy for bulk and regional functions</t>
  </si>
  <si>
    <t>2014StudyClassification</t>
  </si>
  <si>
    <t>2014StudyData</t>
  </si>
  <si>
    <t>2014StudyExample</t>
  </si>
  <si>
    <t>2018UpdateData</t>
  </si>
  <si>
    <t>StudytoUpdateComparison</t>
  </si>
  <si>
    <t>2018UpdateClassification</t>
  </si>
  <si>
    <t>2018UpdateExample</t>
  </si>
  <si>
    <t>2014 Study minimum system method calculations to determine percentage classified as energy for bulk and regional functions</t>
  </si>
  <si>
    <t>2014 Study classification input data</t>
  </si>
  <si>
    <t>2018 Update classification input data</t>
  </si>
  <si>
    <t xml:space="preserve">Presenting the effect of updating 2014 Study classification input data </t>
  </si>
  <si>
    <t>Depreciation Rates</t>
  </si>
  <si>
    <t>2018 Update Classification Input Data</t>
  </si>
  <si>
    <t>2014 Study Classification Input Data</t>
  </si>
  <si>
    <t>Effect of updating 2014 Study classification input data</t>
  </si>
  <si>
    <t>ATCO Substation 1</t>
  </si>
  <si>
    <t>ATCO Substation 2</t>
  </si>
  <si>
    <t>ATCO Substation 3</t>
  </si>
  <si>
    <t>ATCO Substation 4</t>
  </si>
  <si>
    <t>ATCO Substation 5</t>
  </si>
  <si>
    <t>ATCO Substation 6</t>
  </si>
  <si>
    <t>ATCO Substation 7</t>
  </si>
  <si>
    <t>ATCO Substation 8</t>
  </si>
  <si>
    <t>ATCO Substation 9</t>
  </si>
  <si>
    <t>ATCO Substation 10</t>
  </si>
  <si>
    <t>ATCO Substation 11</t>
  </si>
  <si>
    <t>ATCO Substation 12</t>
  </si>
  <si>
    <t>ATCO Substation 13</t>
  </si>
  <si>
    <t>ATCO Substation 14</t>
  </si>
  <si>
    <t>ATCO Substation 15</t>
  </si>
  <si>
    <t>ATCO Substation 16</t>
  </si>
  <si>
    <t>ATCO Substation 17</t>
  </si>
  <si>
    <t>ATCO Substation 18</t>
  </si>
  <si>
    <t>ATCO Substation 19</t>
  </si>
  <si>
    <t>ATCO Substation 20</t>
  </si>
  <si>
    <t>ATCO Substation 21</t>
  </si>
  <si>
    <t>ATCO Substation 22</t>
  </si>
  <si>
    <t>ATCO Substation 23</t>
  </si>
  <si>
    <t>ATCO Substation 24</t>
  </si>
  <si>
    <t>ATCO Substation 25</t>
  </si>
  <si>
    <t>ATCO Substation 26</t>
  </si>
  <si>
    <t>ATCO Substation 27</t>
  </si>
  <si>
    <t>ATCO Substation 28</t>
  </si>
  <si>
    <t>ATCO Substation 29</t>
  </si>
  <si>
    <t>ATCO Substation 30</t>
  </si>
  <si>
    <t>ATCO Substation 31</t>
  </si>
  <si>
    <t>ATCO Substation 32</t>
  </si>
  <si>
    <t>ATCO Substation 33</t>
  </si>
  <si>
    <t>ATCO Substation 34</t>
  </si>
  <si>
    <t>ATCO Substation 35</t>
  </si>
  <si>
    <t>ATCO Substation 36</t>
  </si>
  <si>
    <t>ATCO Substation 37</t>
  </si>
  <si>
    <t>ATCO Substation 38</t>
  </si>
  <si>
    <t>ATCO Substation 39</t>
  </si>
  <si>
    <t>ATCO Substation 40</t>
  </si>
  <si>
    <t>ATCO Substation 41</t>
  </si>
  <si>
    <t>ATCO Substation 42</t>
  </si>
  <si>
    <t>ATCO Substation 43</t>
  </si>
  <si>
    <t>ATCO Substation 44</t>
  </si>
  <si>
    <t>ATCO Substation 45</t>
  </si>
  <si>
    <t>ATCO Substation 46</t>
  </si>
  <si>
    <t>ATCO Substation 47</t>
  </si>
  <si>
    <t>ATCO Substation 48</t>
  </si>
  <si>
    <t>ATCO Substation 49</t>
  </si>
  <si>
    <t>ATCO Substation 50</t>
  </si>
  <si>
    <t>ATCO Substation 51</t>
  </si>
  <si>
    <t>ATCO Substation 52</t>
  </si>
  <si>
    <t>ATCO Substation 53</t>
  </si>
  <si>
    <t>ATCO Substation 54</t>
  </si>
  <si>
    <t>ATCO Substation 55</t>
  </si>
  <si>
    <t>ATCO Substation 56</t>
  </si>
  <si>
    <t>ATCO Substation 57</t>
  </si>
  <si>
    <t>ATCO Substation 58</t>
  </si>
  <si>
    <t>ATCO Substation 59</t>
  </si>
  <si>
    <t>ATCO Substation 60</t>
  </si>
  <si>
    <t>ATCO Substation 61</t>
  </si>
  <si>
    <t>ATCO Substation 62</t>
  </si>
  <si>
    <t>ATCO Substation 63</t>
  </si>
  <si>
    <t>ATCO Substation 64</t>
  </si>
  <si>
    <t>ATCO Substation 65</t>
  </si>
  <si>
    <t>ATCO Substation 66</t>
  </si>
  <si>
    <t>ATCO Substation 67</t>
  </si>
  <si>
    <t>ATCO Substation 68</t>
  </si>
  <si>
    <t>ATCO Substation 69</t>
  </si>
  <si>
    <t>ATCO Substation 70</t>
  </si>
  <si>
    <t>ATCO Substation 71</t>
  </si>
  <si>
    <t>ATCO Substation 72</t>
  </si>
  <si>
    <t>ATCO Substation 73</t>
  </si>
  <si>
    <t>ATCO Substation 74</t>
  </si>
  <si>
    <t>ATCO Substation 75</t>
  </si>
  <si>
    <t>ATCO Substation 76</t>
  </si>
  <si>
    <t>ATCO Substation 77</t>
  </si>
  <si>
    <t>ATCO Substation 78</t>
  </si>
  <si>
    <t>ATCO Substation 79</t>
  </si>
  <si>
    <t>ATCO Substation 80</t>
  </si>
  <si>
    <t>ATCO Substation 81</t>
  </si>
  <si>
    <t>ATCO Substation 82</t>
  </si>
  <si>
    <t>ATCO Substation 83</t>
  </si>
  <si>
    <t>ATCO Substation 84</t>
  </si>
  <si>
    <t>ATCO Substation 85</t>
  </si>
  <si>
    <t>ATCO Substation 86</t>
  </si>
  <si>
    <t>ATCO Substation 87</t>
  </si>
  <si>
    <t>ATCO Substation 88</t>
  </si>
  <si>
    <t>ATCO Substation 89</t>
  </si>
  <si>
    <t>ATCO Substation 90</t>
  </si>
  <si>
    <t>ATCO Substation 91</t>
  </si>
  <si>
    <t>ATCO Substation 92</t>
  </si>
  <si>
    <t>ATCO Substation 93</t>
  </si>
  <si>
    <t>ATCO Substation 94</t>
  </si>
  <si>
    <t>ATCO Substation 95</t>
  </si>
  <si>
    <t>ATCO Substation 96</t>
  </si>
  <si>
    <t>ATCO Substation 97</t>
  </si>
  <si>
    <t>ATCO Substation 98</t>
  </si>
  <si>
    <t>ATCO Substation 99</t>
  </si>
  <si>
    <t>ATCO Substation 100</t>
  </si>
  <si>
    <t>ATCO Substation 101</t>
  </si>
  <si>
    <t>ATCO Substation 102</t>
  </si>
  <si>
    <t>ATCO Substation 103</t>
  </si>
  <si>
    <t>ATCO Substation 104</t>
  </si>
  <si>
    <t>ATCO Substation 105</t>
  </si>
  <si>
    <t>ATCO Substation 106</t>
  </si>
  <si>
    <t>ATCO Substation 107</t>
  </si>
  <si>
    <t>ATCO Substation 108</t>
  </si>
  <si>
    <t>ATCO Substation 109</t>
  </si>
  <si>
    <t>ATCO Substation 110</t>
  </si>
  <si>
    <t>ATCO Substation 111</t>
  </si>
  <si>
    <t>ATCO Substation 112</t>
  </si>
  <si>
    <t>ATCO Substation 113</t>
  </si>
  <si>
    <t>ATCO Substation 114</t>
  </si>
  <si>
    <t>ATCO Substation 115</t>
  </si>
  <si>
    <t>ATCO Substation 116</t>
  </si>
  <si>
    <t>ATCO Substation 117</t>
  </si>
  <si>
    <t>ATCO Substation 118</t>
  </si>
  <si>
    <t>ATCO Substation 119</t>
  </si>
  <si>
    <t>ATCO Substation 120</t>
  </si>
  <si>
    <t>ATCO Substation 121</t>
  </si>
  <si>
    <t>ATCO Substation 122</t>
  </si>
  <si>
    <t>ATCO Substation 123</t>
  </si>
  <si>
    <t>ATCO Substation 124</t>
  </si>
  <si>
    <t>ATCO Substation 125</t>
  </si>
  <si>
    <t>ATCO Substation 126</t>
  </si>
  <si>
    <t>ATCO Substation 127</t>
  </si>
  <si>
    <t>ATCO Substation 128</t>
  </si>
  <si>
    <t>ATCO Substation 129</t>
  </si>
  <si>
    <t>ATCO Substation 130</t>
  </si>
  <si>
    <t>ATCO Substation 131</t>
  </si>
  <si>
    <t>ATCO Substation 132</t>
  </si>
  <si>
    <t>ATCO Substation 133</t>
  </si>
  <si>
    <t>ATCO Substation 134</t>
  </si>
  <si>
    <t>ATCO Substation 135</t>
  </si>
  <si>
    <t>ATCO Substation 136</t>
  </si>
  <si>
    <t>ATCO Substation 137</t>
  </si>
  <si>
    <t>ATCO Substation 138</t>
  </si>
  <si>
    <t>ATCO Substation 139</t>
  </si>
  <si>
    <t>ATCO Substation 140</t>
  </si>
  <si>
    <t>ATCO Substation 141</t>
  </si>
  <si>
    <t>ATCO Substation 142</t>
  </si>
  <si>
    <t>ATCO Substation 143</t>
  </si>
  <si>
    <t>ATCO Substation 144</t>
  </si>
  <si>
    <t>ATCO Substation 145</t>
  </si>
  <si>
    <t>ATCO Substation 146</t>
  </si>
  <si>
    <t>ATCO Substation 147</t>
  </si>
  <si>
    <t>ATCO Substation 148</t>
  </si>
  <si>
    <t>ATCO Substation 149</t>
  </si>
  <si>
    <t>ATCO Substation 150</t>
  </si>
  <si>
    <t>ATCO Substation 151</t>
  </si>
  <si>
    <t>ATCO Substation 152</t>
  </si>
  <si>
    <t>ATCO Substation 153</t>
  </si>
  <si>
    <t>ATCO Substation 154</t>
  </si>
  <si>
    <t>ATCO Substation 155</t>
  </si>
  <si>
    <t>ATCO Substation 156</t>
  </si>
  <si>
    <t>ATCO Substation 157</t>
  </si>
  <si>
    <t>ATCO Substation 158</t>
  </si>
  <si>
    <t>ATCO Substation 159</t>
  </si>
  <si>
    <t>ATCO Substation 160</t>
  </si>
  <si>
    <t>ATCO Substation 161</t>
  </si>
  <si>
    <t>ATCO Substation 162</t>
  </si>
  <si>
    <t>ATCO Substation 163</t>
  </si>
  <si>
    <t>ATCO Substation 164</t>
  </si>
  <si>
    <t>ATCO Substation 165</t>
  </si>
  <si>
    <t>ATCO Substation 166</t>
  </si>
  <si>
    <t>ATCO Substation 167</t>
  </si>
  <si>
    <t>ATCO Substation 168</t>
  </si>
  <si>
    <t>ATCO Substation 169</t>
  </si>
  <si>
    <t>ATCO Substation 170</t>
  </si>
  <si>
    <t>ATCO Substation 171</t>
  </si>
  <si>
    <t>ATCO Substation 172</t>
  </si>
  <si>
    <t>ATCO Substation 173</t>
  </si>
  <si>
    <t>ATCO Substation 174</t>
  </si>
  <si>
    <t>ATCO Substation 175</t>
  </si>
  <si>
    <t>ATCO Substation 176</t>
  </si>
  <si>
    <t>ATCO Substation 177</t>
  </si>
  <si>
    <t>ATCO Substation 178</t>
  </si>
  <si>
    <t>ATCO Substation 179</t>
  </si>
  <si>
    <t>ATCO Substation 180</t>
  </si>
  <si>
    <t>ATCO Substation 181</t>
  </si>
  <si>
    <t>ATCO Substation 182</t>
  </si>
  <si>
    <t>ATCO Substation 183</t>
  </si>
  <si>
    <t>ATCO Substation 184</t>
  </si>
  <si>
    <t>ATCO Substation 185</t>
  </si>
  <si>
    <t>ATCO Substation 186</t>
  </si>
  <si>
    <t>ATCO Substation 187</t>
  </si>
  <si>
    <t>ATCO Substation 188</t>
  </si>
  <si>
    <t>ATCO Substation 189</t>
  </si>
  <si>
    <t>ATCO Substation 190</t>
  </si>
  <si>
    <t>ATCO Substation 191</t>
  </si>
  <si>
    <t>ATCO Substation 192</t>
  </si>
  <si>
    <t>ATCO Substation 193</t>
  </si>
  <si>
    <t>ATCO Substation 194</t>
  </si>
  <si>
    <t>ATCO Substation 195</t>
  </si>
  <si>
    <t>ATCO Substation 196</t>
  </si>
  <si>
    <t>ATCO Substation 197</t>
  </si>
  <si>
    <t>ATCO Substation 198</t>
  </si>
  <si>
    <t>ATCO Substation 199</t>
  </si>
  <si>
    <t>ATCO Substation 200</t>
  </si>
  <si>
    <t>ATCO Substation 201</t>
  </si>
  <si>
    <t>ATCO Substation 202</t>
  </si>
  <si>
    <t>ATCO Substation 203</t>
  </si>
  <si>
    <t>ATCO Substation 204</t>
  </si>
  <si>
    <t>ATCO Substation 205</t>
  </si>
  <si>
    <t>ATCO Substation 206</t>
  </si>
  <si>
    <t>ATCO Substation 207</t>
  </si>
  <si>
    <t>ATCO Substation 208</t>
  </si>
  <si>
    <t>ATCO Substation 209</t>
  </si>
  <si>
    <t>ATCO Substation 210</t>
  </si>
  <si>
    <t>ATCO Substation 211</t>
  </si>
  <si>
    <t>ATCO Substation 212</t>
  </si>
  <si>
    <t>ATCO Substation 213</t>
  </si>
  <si>
    <t>ATCO Substation 214</t>
  </si>
  <si>
    <t>ATCO Substation 215</t>
  </si>
  <si>
    <t>ATCO Substation 216</t>
  </si>
  <si>
    <t>ATCO Substation 217</t>
  </si>
  <si>
    <t>ATCO Substation 218</t>
  </si>
  <si>
    <t>ATCO Substation 219</t>
  </si>
  <si>
    <t>ATCO Substation 220</t>
  </si>
  <si>
    <t>ATCO Substation 221</t>
  </si>
  <si>
    <t>ATCO Substation 222</t>
  </si>
  <si>
    <t>ATCO Line 1</t>
  </si>
  <si>
    <t>ATCO Line 2</t>
  </si>
  <si>
    <t>ATCO Line 3</t>
  </si>
  <si>
    <t>ATCO Line 4</t>
  </si>
  <si>
    <t>ATCO Line 5</t>
  </si>
  <si>
    <t>ATCO Line 6</t>
  </si>
  <si>
    <t>ATCO Line 7</t>
  </si>
  <si>
    <t>ATCO Line 8</t>
  </si>
  <si>
    <t>ATCO Line 9</t>
  </si>
  <si>
    <t>ATCO Line 10</t>
  </si>
  <si>
    <t>ATCO Line 11</t>
  </si>
  <si>
    <t>ATCO Line 12</t>
  </si>
  <si>
    <t>ATCO Line 13</t>
  </si>
  <si>
    <t>ATCO Line 14</t>
  </si>
  <si>
    <t>ATCO Line 15</t>
  </si>
  <si>
    <t>ATCO Line 16</t>
  </si>
  <si>
    <t>ATCO Line 17</t>
  </si>
  <si>
    <t>ATCO Line 18</t>
  </si>
  <si>
    <t>ATCO Line 19</t>
  </si>
  <si>
    <t>ATCO Line 20</t>
  </si>
  <si>
    <t>ATCO Line 21</t>
  </si>
  <si>
    <t>ATCO Line 22</t>
  </si>
  <si>
    <t>ATCO Line 23</t>
  </si>
  <si>
    <t>ATCO Line 24</t>
  </si>
  <si>
    <t>ATCO Line 25</t>
  </si>
  <si>
    <t>ATCO Line 26</t>
  </si>
  <si>
    <t>ATCO Line 27</t>
  </si>
  <si>
    <t>ATCO Line 28</t>
  </si>
  <si>
    <t>ATCO Line 29</t>
  </si>
  <si>
    <t>ATCO Line 30</t>
  </si>
  <si>
    <t>ATCO Line 31</t>
  </si>
  <si>
    <t>ATCO Line 32</t>
  </si>
  <si>
    <t>ATCO Line 33</t>
  </si>
  <si>
    <t>ATCO Line 34</t>
  </si>
  <si>
    <t>ATCO Line 35</t>
  </si>
  <si>
    <t>ATCO Line 36</t>
  </si>
  <si>
    <t>ATCO Line 37</t>
  </si>
  <si>
    <t>ATCO Line 38</t>
  </si>
  <si>
    <t>ATCO Line 39</t>
  </si>
  <si>
    <t>ATCO Line 40</t>
  </si>
  <si>
    <t>ATCO Line 41</t>
  </si>
  <si>
    <t>ATCO Line 42</t>
  </si>
  <si>
    <t>ATCO Line 43</t>
  </si>
  <si>
    <t>ATCO Line 44</t>
  </si>
  <si>
    <t>ATCO Line 45</t>
  </si>
  <si>
    <t>ATCO Line 46</t>
  </si>
  <si>
    <t>ATCO Line 47</t>
  </si>
  <si>
    <t>ATCO Line 48</t>
  </si>
  <si>
    <t>ATCO Line 49</t>
  </si>
  <si>
    <t>ATCO Line 50</t>
  </si>
  <si>
    <t>ATCO Line 51</t>
  </si>
  <si>
    <t>ATCO Line 52</t>
  </si>
  <si>
    <t>ATCO Line 53</t>
  </si>
  <si>
    <t>ATCO Line 54</t>
  </si>
  <si>
    <t>ATCO Line 55</t>
  </si>
  <si>
    <t>ATCO Line 56</t>
  </si>
  <si>
    <t>ATCO Line 57</t>
  </si>
  <si>
    <t>ATCO Line 58</t>
  </si>
  <si>
    <t>ATCO Line 59</t>
  </si>
  <si>
    <t>ATCO Line 60</t>
  </si>
  <si>
    <t>ATCO Line 61</t>
  </si>
  <si>
    <t>ATCO Line 62</t>
  </si>
  <si>
    <t>ATCO Line 63</t>
  </si>
  <si>
    <t>ATCO Line 64</t>
  </si>
  <si>
    <t>ATCO Line 65</t>
  </si>
  <si>
    <t>ATCO Line 66</t>
  </si>
  <si>
    <t>ATCO Line 67</t>
  </si>
  <si>
    <t>ATCO Line 68</t>
  </si>
  <si>
    <t>ATCO Line 69</t>
  </si>
  <si>
    <t>ATCO Line 70</t>
  </si>
  <si>
    <t>ATCO Line 71</t>
  </si>
  <si>
    <t>ATCO Line 72</t>
  </si>
  <si>
    <t>ATCO Line 73</t>
  </si>
  <si>
    <t>ATCO Line 74</t>
  </si>
  <si>
    <t>ATCO Line 75</t>
  </si>
  <si>
    <t>ATCO Line 76</t>
  </si>
  <si>
    <t>ATCO Line 77</t>
  </si>
  <si>
    <t>ATCO Line 78</t>
  </si>
  <si>
    <t>ATCO Line 79</t>
  </si>
  <si>
    <t>ATCO Line 80</t>
  </si>
  <si>
    <t>ATCO Line 81</t>
  </si>
  <si>
    <t>ATCO Line 82</t>
  </si>
  <si>
    <t>ATCO Line 83</t>
  </si>
  <si>
    <t>ATCO Line 84</t>
  </si>
  <si>
    <t>ATCO Line 85</t>
  </si>
  <si>
    <t>ATCO Line 86</t>
  </si>
  <si>
    <t>ATCO Line 87</t>
  </si>
  <si>
    <t>ATCO Line 88</t>
  </si>
  <si>
    <t>ATCO Line 89</t>
  </si>
  <si>
    <t>ATCO Line 90</t>
  </si>
  <si>
    <t>ATCO Line 91</t>
  </si>
  <si>
    <t>ATCO Line 92</t>
  </si>
  <si>
    <t>ATCO Line 93</t>
  </si>
  <si>
    <t>ATCO Line 94</t>
  </si>
  <si>
    <t>ATCO Line 95</t>
  </si>
  <si>
    <t>ATCO Line 96</t>
  </si>
  <si>
    <t>ATCO Line 97</t>
  </si>
  <si>
    <t>ATCO Line 98</t>
  </si>
  <si>
    <t>ATCO Line 99</t>
  </si>
  <si>
    <t>ATCO Line 100</t>
  </si>
  <si>
    <t>ATCO Line 101</t>
  </si>
  <si>
    <t>ATCO Line 102</t>
  </si>
  <si>
    <t>ATCO Line 103</t>
  </si>
  <si>
    <t>ATCO Line 104</t>
  </si>
  <si>
    <t>ATCO Line 105</t>
  </si>
  <si>
    <t>ATCO Line 106</t>
  </si>
  <si>
    <t>ATCO Line 107</t>
  </si>
  <si>
    <t>ATCO Line 108</t>
  </si>
  <si>
    <t>ATCO Line 109</t>
  </si>
  <si>
    <t>ATCO Line 110</t>
  </si>
  <si>
    <t>ATCO Line 111</t>
  </si>
  <si>
    <t>ATCO Line 112</t>
  </si>
  <si>
    <t>ATCO Line 113</t>
  </si>
  <si>
    <t>ATCO Line 114</t>
  </si>
  <si>
    <t>ATCO Line 115</t>
  </si>
  <si>
    <t>ATCO Line 116</t>
  </si>
  <si>
    <t>ATCO Line 117</t>
  </si>
  <si>
    <t>ATCO Line 118</t>
  </si>
  <si>
    <t>ATCO Line 119</t>
  </si>
  <si>
    <t>ATCO Line 120</t>
  </si>
  <si>
    <t>ATCO Line 121</t>
  </si>
  <si>
    <t>ATCO Line 122</t>
  </si>
  <si>
    <t>ATCO Line 123</t>
  </si>
  <si>
    <t>ATCO Line 124</t>
  </si>
  <si>
    <t>ATCO Line 125</t>
  </si>
  <si>
    <t>ATCO Line 126</t>
  </si>
  <si>
    <t>ATCO Line 127</t>
  </si>
  <si>
    <t>ATCO Line 128</t>
  </si>
  <si>
    <t>ATCO Line 129</t>
  </si>
  <si>
    <t>ATCO Line 130</t>
  </si>
  <si>
    <t>ATCO Line 131</t>
  </si>
  <si>
    <t>ATCO Line 132</t>
  </si>
  <si>
    <t>ATCO Line 133</t>
  </si>
  <si>
    <t>ATCO Line 134</t>
  </si>
  <si>
    <t>ATCO Line 135</t>
  </si>
  <si>
    <t>ATCO Line 136</t>
  </si>
  <si>
    <t>ATCO Line 137</t>
  </si>
  <si>
    <t>ATCO Line 138</t>
  </si>
  <si>
    <t>ATCO Line 139</t>
  </si>
  <si>
    <t>ATCO Line 140</t>
  </si>
  <si>
    <t>ATCO Line 141</t>
  </si>
  <si>
    <t>ATCO Line 142</t>
  </si>
  <si>
    <t>ATCO Line 143</t>
  </si>
  <si>
    <t>ATCO Line 144</t>
  </si>
  <si>
    <t>ATCO Line 145</t>
  </si>
  <si>
    <t>ATCO Line 146</t>
  </si>
  <si>
    <t>ATCO Line 147</t>
  </si>
  <si>
    <t>ATCO Line 148</t>
  </si>
  <si>
    <t>ATCO Line 149</t>
  </si>
  <si>
    <t>ATCO Line 150</t>
  </si>
  <si>
    <t>ATCO Line 151</t>
  </si>
  <si>
    <t>ATCO Line 152</t>
  </si>
  <si>
    <t>ATCO Line 153</t>
  </si>
  <si>
    <t>ATCO Line 154</t>
  </si>
  <si>
    <t>ATCO Line 155</t>
  </si>
  <si>
    <t>ATCO Line 156</t>
  </si>
  <si>
    <t>ATCO Line 157</t>
  </si>
  <si>
    <t>ATCO Line 158</t>
  </si>
  <si>
    <t>ATCO Line 159</t>
  </si>
  <si>
    <t>ATCO Line 160</t>
  </si>
  <si>
    <t>ATCO Line 161</t>
  </si>
  <si>
    <t>ATCO Line 162</t>
  </si>
  <si>
    <t>ATCO Line 163</t>
  </si>
  <si>
    <t>ATCO Line 164</t>
  </si>
  <si>
    <t>ATCO Line 165</t>
  </si>
  <si>
    <t>ATCO Line 166</t>
  </si>
  <si>
    <t>ATCO Line 167</t>
  </si>
  <si>
    <t>ATCO Line 168</t>
  </si>
  <si>
    <t>ATCO Line 169</t>
  </si>
  <si>
    <t>ATCO Line 170</t>
  </si>
  <si>
    <t>ATCO Line 171</t>
  </si>
  <si>
    <t>ATCO Line 172</t>
  </si>
  <si>
    <t>ATCO Line 173</t>
  </si>
  <si>
    <t>ATCO Line 174</t>
  </si>
  <si>
    <t>ATCO Line 175</t>
  </si>
  <si>
    <t>ATCO Line 176</t>
  </si>
  <si>
    <t>ATCO Line 177</t>
  </si>
  <si>
    <t>ATCO Line 178</t>
  </si>
  <si>
    <t>ATCO Line 179</t>
  </si>
  <si>
    <t>ATCO Line 180</t>
  </si>
  <si>
    <t>ATCO Line 181</t>
  </si>
  <si>
    <t>ATCO Line 182</t>
  </si>
  <si>
    <t>ATCO Line 183</t>
  </si>
  <si>
    <t>ATCO Line 184</t>
  </si>
  <si>
    <t>ATCO Line 185</t>
  </si>
  <si>
    <t>ATCO Line 186</t>
  </si>
  <si>
    <t>ATCO Line 187</t>
  </si>
  <si>
    <t>ATCO Line 188</t>
  </si>
  <si>
    <t>ATCO Line 189</t>
  </si>
  <si>
    <t>ATCO Line 190</t>
  </si>
  <si>
    <t>ATCO Line 191</t>
  </si>
  <si>
    <t>ATCO Line 192</t>
  </si>
  <si>
    <t>ATCO Line 193</t>
  </si>
  <si>
    <t>ATCO Line 194</t>
  </si>
  <si>
    <t>ATCO Line 195</t>
  </si>
  <si>
    <t>ATCO Line 196</t>
  </si>
  <si>
    <t>ATCO Line 197</t>
  </si>
  <si>
    <t>ATCO Line 198</t>
  </si>
  <si>
    <t>ATCO Line 199</t>
  </si>
  <si>
    <t>ATCO Line 200</t>
  </si>
  <si>
    <t>ATCO Line 201</t>
  </si>
  <si>
    <t>ATCO Line 202</t>
  </si>
  <si>
    <t>ATCO Line 203</t>
  </si>
  <si>
    <t>ATCO Line 204</t>
  </si>
  <si>
    <t>ATCO Line 205</t>
  </si>
  <si>
    <t>ATCO Line 206</t>
  </si>
  <si>
    <t>ATCO Line 207</t>
  </si>
  <si>
    <t>ATCO Line 208</t>
  </si>
  <si>
    <t>ATCO Line 209</t>
  </si>
  <si>
    <t>ATCO Line 210</t>
  </si>
  <si>
    <t>ATCO Line 211</t>
  </si>
  <si>
    <t>ATCO Line 212</t>
  </si>
  <si>
    <t>ATCO Line 213</t>
  </si>
  <si>
    <t>ATCO Line 214</t>
  </si>
  <si>
    <t>ATCO Line 215</t>
  </si>
  <si>
    <t>ATCO Line 216</t>
  </si>
  <si>
    <t>ATCO Line 217</t>
  </si>
  <si>
    <t>ATCO Line 218</t>
  </si>
  <si>
    <t>ATCO Line 219</t>
  </si>
  <si>
    <t>ATCO Line 220</t>
  </si>
  <si>
    <t>ATCO Line 221</t>
  </si>
  <si>
    <t>ATCO Line 222</t>
  </si>
  <si>
    <t>ATCO Line 223</t>
  </si>
  <si>
    <t>ATCO Line 224</t>
  </si>
  <si>
    <t>ATCO Line 225</t>
  </si>
  <si>
    <t>ATCO Line 226</t>
  </si>
  <si>
    <t>ATCO Line 227</t>
  </si>
  <si>
    <t>ATCO Line 228</t>
  </si>
  <si>
    <t>ATCO Line 229</t>
  </si>
  <si>
    <t>ATCO Line 230</t>
  </si>
  <si>
    <t>ATCO Line 231</t>
  </si>
  <si>
    <t>ATCO Line 232</t>
  </si>
  <si>
    <t>ATCO Line 233</t>
  </si>
  <si>
    <t>ATCO Line 234</t>
  </si>
  <si>
    <t>ATCO Line 235</t>
  </si>
  <si>
    <t>ATCO Line 236</t>
  </si>
  <si>
    <t>ATCO Line 237</t>
  </si>
  <si>
    <t>ATCO Line 238</t>
  </si>
  <si>
    <t>ATCO Line 239</t>
  </si>
  <si>
    <t>ATCO Line 240</t>
  </si>
  <si>
    <t>ATCO Line 241</t>
  </si>
  <si>
    <t>ATCO Line 242</t>
  </si>
  <si>
    <t>ATCO Line 243</t>
  </si>
  <si>
    <t>ATCO Line 244</t>
  </si>
  <si>
    <t>ATCO Line 245</t>
  </si>
  <si>
    <t>ATCO Line 246</t>
  </si>
  <si>
    <t>ATCO Line 247</t>
  </si>
  <si>
    <t>ATCO Line 248</t>
  </si>
  <si>
    <t>ATCO Line 249</t>
  </si>
  <si>
    <t>ATCO Line 250</t>
  </si>
  <si>
    <t>ATCO Line 251</t>
  </si>
  <si>
    <t>ATCO Line 252</t>
  </si>
  <si>
    <t>ATCO Line 253</t>
  </si>
  <si>
    <t>ATCO Line 254</t>
  </si>
  <si>
    <t>ATCO Line 255</t>
  </si>
  <si>
    <t>ATCO Line 256</t>
  </si>
  <si>
    <t>ATCO Line 257</t>
  </si>
  <si>
    <t>ATCO Line 258</t>
  </si>
  <si>
    <t>ATCO Line 259</t>
  </si>
  <si>
    <t>ATCO Line 260</t>
  </si>
  <si>
    <t>ATCO Line 261</t>
  </si>
  <si>
    <t>ATCO Line 262</t>
  </si>
  <si>
    <t>ATCO Line 263</t>
  </si>
  <si>
    <t>ATCO Line 264</t>
  </si>
  <si>
    <t>ATCO Line 265</t>
  </si>
  <si>
    <t>ATCO Line 266</t>
  </si>
  <si>
    <t>ATCO Line 267</t>
  </si>
  <si>
    <t>ATCO Line 268</t>
  </si>
  <si>
    <t>ATCO Line 269</t>
  </si>
  <si>
    <t>ATCO Line 270</t>
  </si>
  <si>
    <t>ATCO Line 271</t>
  </si>
  <si>
    <t>ATCO Line 272</t>
  </si>
  <si>
    <t>ATCO Line 273</t>
  </si>
  <si>
    <t>ATCO Line 274</t>
  </si>
  <si>
    <t>ATCO Line 275</t>
  </si>
  <si>
    <t>ATCO Line 276</t>
  </si>
  <si>
    <t>ATCO Line 277</t>
  </si>
  <si>
    <t>ATCO Line 278</t>
  </si>
  <si>
    <t>ATCO Line 279</t>
  </si>
  <si>
    <t>ATCO Line 280</t>
  </si>
  <si>
    <t>ATCO Line 281</t>
  </si>
  <si>
    <t>ATCO Line 282</t>
  </si>
  <si>
    <t>ATCO Line 283</t>
  </si>
  <si>
    <t>ATCO Line 284</t>
  </si>
  <si>
    <t>ATCO Line 285</t>
  </si>
  <si>
    <t>ATCO Line 286</t>
  </si>
  <si>
    <t>ATCO Line 287</t>
  </si>
  <si>
    <t>ATCO Line 288</t>
  </si>
  <si>
    <t>ATCO Line 289</t>
  </si>
  <si>
    <t>ATCO Line 290</t>
  </si>
  <si>
    <t>ATCO Line 291</t>
  </si>
  <si>
    <t>ATCO Line 292</t>
  </si>
  <si>
    <t>ATCO Line 293</t>
  </si>
  <si>
    <t>ATCO Line 294</t>
  </si>
  <si>
    <t>ATCO Line 295</t>
  </si>
  <si>
    <t>ATCO Line 296</t>
  </si>
  <si>
    <t>ATCO Line 297</t>
  </si>
  <si>
    <t>ATCO Line 298</t>
  </si>
  <si>
    <t>ATCO Line 299</t>
  </si>
  <si>
    <t>ATCO Line 300</t>
  </si>
  <si>
    <t>ATCO Line 301</t>
  </si>
  <si>
    <t>ATCO Line 302</t>
  </si>
  <si>
    <t>ATCO Line 303</t>
  </si>
  <si>
    <t>ATCO Line 304</t>
  </si>
  <si>
    <t>ATCO Line 305</t>
  </si>
  <si>
    <t>ATCO Line 306</t>
  </si>
  <si>
    <t>ATCO Line 307</t>
  </si>
  <si>
    <t>ATCO Line 308</t>
  </si>
  <si>
    <t>ATCO Line 309</t>
  </si>
  <si>
    <t>ATCO Line 310</t>
  </si>
  <si>
    <t>ATCO Line 311</t>
  </si>
  <si>
    <t>ATCO Line 312</t>
  </si>
  <si>
    <t>ATCO Line 313</t>
  </si>
  <si>
    <t>ATCO Line 314</t>
  </si>
  <si>
    <t>ATCO Line 315</t>
  </si>
  <si>
    <t>ATCO Line 316</t>
  </si>
  <si>
    <t>ATCO Line 317</t>
  </si>
  <si>
    <t>ATCO Line 318</t>
  </si>
  <si>
    <t>ATCO Line 319</t>
  </si>
  <si>
    <t>ATCO Line 320</t>
  </si>
  <si>
    <t>ATCO Line 321</t>
  </si>
  <si>
    <t>ATCO Line 322</t>
  </si>
  <si>
    <t>ATCO Line 323</t>
  </si>
  <si>
    <t>ATCO Line 324</t>
  </si>
  <si>
    <t>ATCO Line 325</t>
  </si>
  <si>
    <t>ATCO Line 326</t>
  </si>
  <si>
    <t>ATCO Line 327</t>
  </si>
  <si>
    <t>ATCO Line 328</t>
  </si>
  <si>
    <t>ATCO Line 329</t>
  </si>
  <si>
    <t>ATCO Line 330</t>
  </si>
  <si>
    <t>ATCO Line 331</t>
  </si>
  <si>
    <t>ATCO Line 332</t>
  </si>
  <si>
    <t>ATCO Line 333</t>
  </si>
  <si>
    <t>ATCO Line 334</t>
  </si>
  <si>
    <t>ATCO Line 335</t>
  </si>
  <si>
    <t>ATCO Line 336</t>
  </si>
  <si>
    <t>ATCO Line 337</t>
  </si>
  <si>
    <t>ATCO Line 338</t>
  </si>
  <si>
    <t>ATCO Line 339</t>
  </si>
  <si>
    <t>ATCO Line 340</t>
  </si>
  <si>
    <t>ATCO Line 341</t>
  </si>
  <si>
    <t>ATCO Line 342</t>
  </si>
  <si>
    <t>ATCO Line 343</t>
  </si>
  <si>
    <t>ATCO Line 344</t>
  </si>
  <si>
    <t>ATCO Line 345</t>
  </si>
  <si>
    <t>ATCO Line 346</t>
  </si>
  <si>
    <t>ATCO Line 347</t>
  </si>
  <si>
    <t>ATCO Line 348</t>
  </si>
  <si>
    <t>ATCO Line 349</t>
  </si>
  <si>
    <t>ATCO Line 350</t>
  </si>
  <si>
    <t>ATCO Line 351</t>
  </si>
  <si>
    <t>ATCO Line 352</t>
  </si>
  <si>
    <t>ATCO Line 353</t>
  </si>
  <si>
    <t>ATCO Line 354</t>
  </si>
  <si>
    <t>ATCO Line 355</t>
  </si>
  <si>
    <t>ATCO Line 356</t>
  </si>
  <si>
    <t>ATCO Line 357</t>
  </si>
  <si>
    <t>ATCO Line 358</t>
  </si>
  <si>
    <t>ATCO Line 359</t>
  </si>
  <si>
    <t>ATCO Line 360</t>
  </si>
  <si>
    <t>ATCO Line 361</t>
  </si>
  <si>
    <t>ATCO Line 362</t>
  </si>
  <si>
    <t>ATCO Line 363</t>
  </si>
  <si>
    <t>ATCO Line 364</t>
  </si>
  <si>
    <t>ATCO Line 365</t>
  </si>
  <si>
    <t>ATCO Line 366</t>
  </si>
  <si>
    <t>ATCO Line 367</t>
  </si>
  <si>
    <t>ATCO Line 368</t>
  </si>
  <si>
    <t>ATCO Line 369</t>
  </si>
  <si>
    <t>ATCO Line 370</t>
  </si>
  <si>
    <t>ATCO Line 371</t>
  </si>
  <si>
    <t>ATCO Line 372</t>
  </si>
  <si>
    <t>ATCO Line 373</t>
  </si>
  <si>
    <t>ATCO Line 374</t>
  </si>
  <si>
    <t>ATCO Line 375</t>
  </si>
  <si>
    <t>ATCO Line 376</t>
  </si>
  <si>
    <t>ATCO Line 377</t>
  </si>
  <si>
    <t>ATCO Line 378</t>
  </si>
  <si>
    <t>ATCO Line 379</t>
  </si>
  <si>
    <t>ATCO Line 380</t>
  </si>
  <si>
    <t>ATCO Line 381</t>
  </si>
  <si>
    <t>ATCO Line 382</t>
  </si>
  <si>
    <t>ATCO Line 383</t>
  </si>
  <si>
    <t>ATCO Line 384</t>
  </si>
  <si>
    <t>ATCO Line 385</t>
  </si>
  <si>
    <t>ATCO Line 386</t>
  </si>
  <si>
    <t>ATCO Line 387</t>
  </si>
  <si>
    <t>ATCO Line 388</t>
  </si>
  <si>
    <t>ATCO Line 389</t>
  </si>
  <si>
    <t>ATCO Line 390</t>
  </si>
  <si>
    <t>ATCO Line 391</t>
  </si>
  <si>
    <t>ATCO Line 392</t>
  </si>
  <si>
    <t>ATCO Line 393</t>
  </si>
  <si>
    <t>ATCO Line 394</t>
  </si>
  <si>
    <t>ATCO Line 395</t>
  </si>
  <si>
    <t>ATCO Line 396</t>
  </si>
  <si>
    <t>ATCO Line 397</t>
  </si>
  <si>
    <t>ATCO Line 398</t>
  </si>
  <si>
    <t>ATCO Line 399</t>
  </si>
  <si>
    <t>ATCO Line 400</t>
  </si>
  <si>
    <t>ATCO Line 401</t>
  </si>
  <si>
    <t>ATCO Line 402</t>
  </si>
  <si>
    <t>ATCO Line 403</t>
  </si>
  <si>
    <t>ATCO Line 404</t>
  </si>
  <si>
    <t>ATCO Line 405</t>
  </si>
  <si>
    <t>ATCO Line 406</t>
  </si>
  <si>
    <t>ATCO Line 407</t>
  </si>
  <si>
    <t>ATCO Line 408</t>
  </si>
  <si>
    <t>ATCO Line 409</t>
  </si>
  <si>
    <t>ATCO Line 410</t>
  </si>
  <si>
    <t>ATCO Line 411</t>
  </si>
  <si>
    <t>ATCO Line 412</t>
  </si>
  <si>
    <t>ATCO Line 413</t>
  </si>
  <si>
    <t>ATCO Line 414</t>
  </si>
  <si>
    <t>ATCO Line 415</t>
  </si>
  <si>
    <t>ATCO Line 416</t>
  </si>
  <si>
    <t>ATCO Line 417</t>
  </si>
  <si>
    <t>ATCO Line 418</t>
  </si>
  <si>
    <t>ATCO Line 419</t>
  </si>
  <si>
    <t>ATCO Line 420</t>
  </si>
  <si>
    <t>ATCO Line 421</t>
  </si>
  <si>
    <t>ATCO Line 422</t>
  </si>
  <si>
    <t>ATCO Line 423</t>
  </si>
  <si>
    <t>ATCO Line 424</t>
  </si>
  <si>
    <t>ATCO Line 425</t>
  </si>
  <si>
    <t>ATCO Line 426</t>
  </si>
  <si>
    <t>ATCO Line 427</t>
  </si>
  <si>
    <t>ATCO Line 428</t>
  </si>
  <si>
    <t>ATCO Line 429</t>
  </si>
  <si>
    <t>ATCO Line 430</t>
  </si>
  <si>
    <t>ATCO Line 431</t>
  </si>
  <si>
    <t>2015 Future Assets Line Functionalization</t>
  </si>
  <si>
    <t>2016 Future Assets Line Functionalization</t>
  </si>
  <si>
    <t>2017 Future Assets Line Functionalization</t>
  </si>
  <si>
    <t>2018 Future Assets Line Functionalization</t>
  </si>
  <si>
    <t>2019 Future Assets Line Functionalization</t>
  </si>
  <si>
    <t>2020 Future Assets Line Functionalization</t>
  </si>
  <si>
    <t>Alberta Transmission System Cost Causation Study - 2018 Update</t>
  </si>
</sst>
</file>

<file path=xl/styles.xml><?xml version="1.0" encoding="utf-8"?>
<styleSheet xmlns="http://schemas.openxmlformats.org/spreadsheetml/2006/main" xmlns:mc="http://schemas.openxmlformats.org/markup-compatibility/2006" xmlns:x14ac="http://schemas.microsoft.com/office/spreadsheetml/2009/9/ac" mc:Ignorable="x14ac">
  <numFmts count="8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_(* #,##0.0_);_(* \(#,##0.0\);_(* &quot;-&quot;??_);_(@_)"/>
    <numFmt numFmtId="166" formatCode="0.0%"/>
    <numFmt numFmtId="167" formatCode="_-* #,##0.0_-;\-* #,##0.0_-;_-* &quot;-&quot;??_-;_-@_-"/>
    <numFmt numFmtId="168" formatCode="#,##0.0"/>
    <numFmt numFmtId="169" formatCode="_(* #,##0_);_(* \(#,##0\);_(* &quot;-&quot;??_);_(@_)"/>
    <numFmt numFmtId="170" formatCode="&quot;$&quot;#,##0"/>
    <numFmt numFmtId="171" formatCode="_(* #,##0.000_);_(* \(#,##0.000\);_(* &quot;-&quot;??_);_(@_)"/>
    <numFmt numFmtId="172" formatCode="_-&quot;$&quot;* #,##0.00_-;\-&quot;$&quot;* #,##0.00_-;_-&quot;$&quot;* &quot;-&quot;??_-;_-@_-"/>
    <numFmt numFmtId="173" formatCode="_-* #,##0.00_-;\-* #,##0.00_-;_-* &quot;-&quot;??_-;_-@_-"/>
    <numFmt numFmtId="174" formatCode="#,##0.0_);[Red]\(#,##0.0\)"/>
    <numFmt numFmtId="175" formatCode="m\-d\-yy"/>
    <numFmt numFmtId="176" formatCode="_-* #,##0.00\ _D_M_-;\-* #,##0.00\ _D_M_-;_-* &quot;-&quot;??\ _D_M_-;_-@_-"/>
    <numFmt numFmtId="177" formatCode="_ * #,##0.00_ ;_ * \-#,##0.00_ ;_ * &quot;-&quot;??_ ;_ @_ "/>
    <numFmt numFmtId="178" formatCode="0.00_)%;\(0.00\)%;\-"/>
    <numFmt numFmtId="179" formatCode="_-* #,##0.00_$_-;\-* #,##0.00_$_-;_-* &quot;-&quot;??_$_-;_-@_-"/>
    <numFmt numFmtId="180" formatCode="_-* #,##0.00&quot;$&quot;_-;\-* #,##0.00&quot;$&quot;_-;_-* &quot;-&quot;??&quot;$&quot;_-;_-@_-"/>
    <numFmt numFmtId="181" formatCode="_-* #,##0.00\ &quot;DM&quot;_-;\-* #,##0.00\ &quot;DM&quot;_-;_-* &quot;-&quot;??\ &quot;DM&quot;_-;_-@_-"/>
    <numFmt numFmtId="182" formatCode="&quot;$&quot;#,##0\ ;\(&quot;$&quot;#,##0\)"/>
    <numFmt numFmtId="183" formatCode="_([$€-2]* #,##0.00_);_([$€-2]* \(#,##0.00\);_([$€-2]* &quot;-&quot;??_)"/>
    <numFmt numFmtId="184" formatCode="#.00"/>
    <numFmt numFmtId="185" formatCode="0.00_)"/>
    <numFmt numFmtId="186" formatCode="#,##0.0\ ;\(#,##0.0\)"/>
    <numFmt numFmtId="187" formatCode="#,##0.000\ ;\(#,##0.000\)"/>
    <numFmt numFmtId="188" formatCode="#,##0.00\ ;\ \(#,##0.00\)"/>
    <numFmt numFmtId="189" formatCode="#,##0\ ;\(#,##0\)"/>
    <numFmt numFmtId="190" formatCode="_(* #,##0.0_);_(* \(#,##0.0\);_(* &quot;-&quot;_0_);_(@_)"/>
    <numFmt numFmtId="191" formatCode="0.0_)\%;\(0.0\)\%;0.0_)\%;@_)_%"/>
    <numFmt numFmtId="192" formatCode="#,##0.0_)_%;\(#,##0.0\)_%;0.0_)_%;@_)_%"/>
    <numFmt numFmtId="193" formatCode="#,##0.0_);\(#,##0.0\);#,##0.0_);@_)"/>
    <numFmt numFmtId="194" formatCode="&quot;$&quot;_(#,##0.00_);&quot;$&quot;\(#,##0.00\);&quot;$&quot;_(0.00_);@_)"/>
    <numFmt numFmtId="195" formatCode="#,##0.00_);\(#,##0.00\);0.00_);@_)"/>
    <numFmt numFmtId="196" formatCode="\€_(#,##0.00_);\€\(#,##0.00\);\€_(0.00_);@_)"/>
    <numFmt numFmtId="197" formatCode="#,##0_)\x;\(#,##0\)\x;0_)\x;@_)_x"/>
    <numFmt numFmtId="198" formatCode="#,##0_)_x;\(#,##0\)_x;0_)_x;@_)_x"/>
    <numFmt numFmtId="199" formatCode="&quot;$&quot;#,##0.0;[Red]\-&quot;$&quot;#,##0.0"/>
    <numFmt numFmtId="200" formatCode="#,##0."/>
    <numFmt numFmtId="201" formatCode="\$#."/>
    <numFmt numFmtId="202" formatCode="m/d/yy\ h:mm"/>
    <numFmt numFmtId="203" formatCode="0_);\(0\)"/>
    <numFmt numFmtId="204" formatCode="#,##0__;[Red]\(#,##0\)_]"/>
    <numFmt numFmtId="205" formatCode="#,##0.00&quot; $&quot;;\-#,##0.00&quot; $&quot;"/>
    <numFmt numFmtId="206" formatCode="_-* #,##0\ _$_-;\-* #,##0\ _$_-;_-* &quot;-&quot;\ _$_-;_-@_-"/>
    <numFmt numFmtId="207" formatCode="_(&quot;N$&quot;* #,##0_);_(&quot;N$&quot;* \(#,##0\);_(&quot;N$&quot;* &quot;-&quot;_);_(@_)"/>
    <numFmt numFmtId="208" formatCode="_(&quot;N$&quot;* #,##0.00_);_(&quot;N$&quot;* \(#,##0.00\);_(&quot;N$&quot;* &quot;-&quot;??_);_(@_)"/>
    <numFmt numFmtId="209" formatCode="_-* #,##0\ &quot;$&quot;_-;\-* #,##0\ &quot;$&quot;_-;_-* &quot;-&quot;\ &quot;$&quot;_-;_-@_-"/>
    <numFmt numFmtId="210" formatCode="_-* #,##0.00\ &quot;$&quot;_-;\-* #,##0.00\ &quot;$&quot;_-;_-* &quot;-&quot;??\ &quot;$&quot;_-;_-@_-"/>
    <numFmt numFmtId="211" formatCode="mmm\-yyyy"/>
    <numFmt numFmtId="212" formatCode="#,##0.0000\ ;[Red]\(#,##0.0000\)"/>
    <numFmt numFmtId="213" formatCode="&quot;$&quot;\ #,###,###,##0_);\(&quot;$&quot;\ #,###,###,##0\)_);&quot;&quot;_)"/>
    <numFmt numFmtId="214" formatCode="%#."/>
    <numFmt numFmtId="215" formatCode="&quot;$&quot;\ #,###,##0_);\(&quot;$&quot;\ #,###,##0\)_)"/>
    <numFmt numFmtId="216" formatCode="#,###,###,##0_);\(#,###,###,##0\)_)"/>
    <numFmt numFmtId="217" formatCode="0.00\ ;\-0.00\ ;&quot;- &quot;"/>
    <numFmt numFmtId="218" formatCode="mmm\ dd\,\ yyyy"/>
    <numFmt numFmtId="219" formatCode="yyyy"/>
    <numFmt numFmtId="220" formatCode="#,###,##0.0_)"/>
    <numFmt numFmtId="221" formatCode="#,##0.00;[Red]#,##0.00"/>
    <numFmt numFmtId="222" formatCode="_(&quot;$&quot;* #,##0_);_(&quot;$&quot;* \(#,##0\);_(&quot;$&quot;* &quot;-&quot;??_);_(@_)"/>
    <numFmt numFmtId="223" formatCode="0.000000"/>
    <numFmt numFmtId="224" formatCode="General_)"/>
    <numFmt numFmtId="225" formatCode="&quot;$&quot;0.00\ \ &quot;MWh&quot;"/>
    <numFmt numFmtId="226" formatCode="_-* #,##0\ _P_t_s_-;\-* #,##0\ _P_t_s_-;_-* &quot;-&quot;\ _P_t_s_-;_-@_-"/>
    <numFmt numFmtId="227" formatCode="_-* #,##0.00\ _P_t_s_-;\-* #,##0.00\ _P_t_s_-;_-* &quot;-&quot;??\ _P_t_s_-;_-@_-"/>
    <numFmt numFmtId="228" formatCode="0.0\ \ &quot;MW&quot;"/>
    <numFmt numFmtId="229" formatCode="0.0\ \ &quot;MWh&quot;"/>
    <numFmt numFmtId="230" formatCode="#,##0,_);\(#,##0,\)"/>
    <numFmt numFmtId="231" formatCode="#,###,;\(#,###,\)"/>
    <numFmt numFmtId="232" formatCode="_-* #,##0.0_-;\-* #,##0.0_-;_-* &quot;-&quot;?_-;_-@_-"/>
    <numFmt numFmtId="233" formatCode="_(&quot;$&quot;* #,##0.0_);_(&quot;$&quot;* \(#,##0.0\);_(&quot;$&quot;* &quot;-&quot;?_);_(@_)"/>
    <numFmt numFmtId="234" formatCode="0%_);\(0%\);&quot;-&quot;_%_)"/>
    <numFmt numFmtId="235" formatCode="[$-409]dd/mmm/yy;@"/>
    <numFmt numFmtId="236" formatCode="&quot;$&quot;#,##0.00"/>
    <numFmt numFmtId="237" formatCode="#,##0.0,\ ;\ \(#,##0.0,\)\ ;&quot;  -   &quot;"/>
    <numFmt numFmtId="238" formatCode="_(&quot;$&quot;* #,##0.0000_);_(&quot;$&quot;* \(#,##0.0000\);_(&quot;$&quot;* &quot;-&quot;??_);_(@_)"/>
  </numFmts>
  <fonts count="2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b/>
      <sz val="10"/>
      <name val="MS Sans Serif"/>
      <family val="2"/>
    </font>
    <font>
      <b/>
      <sz val="10"/>
      <name val="Arial"/>
      <family val="2"/>
    </font>
    <font>
      <sz val="10"/>
      <name val="Arial"/>
      <family val="2"/>
    </font>
    <font>
      <sz val="10"/>
      <name val="Times New Roman"/>
      <family val="1"/>
    </font>
    <font>
      <sz val="10"/>
      <name val="Arial"/>
      <family val="2"/>
    </font>
    <font>
      <sz val="10"/>
      <name val="MS Sans Serif"/>
      <family val="2"/>
    </font>
    <font>
      <b/>
      <sz val="10"/>
      <name val="MS Sans Serif"/>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indexed="8"/>
      <name val="Calibri"/>
      <family val="2"/>
    </font>
    <font>
      <sz val="10"/>
      <color indexed="8"/>
      <name val="Times New Roman"/>
      <family val="2"/>
    </font>
    <font>
      <sz val="10"/>
      <name val="Helv"/>
    </font>
    <font>
      <sz val="10"/>
      <color indexed="8"/>
      <name val="Arial"/>
      <family val="2"/>
    </font>
    <font>
      <sz val="10"/>
      <color indexed="9"/>
      <name val="Arial"/>
      <family val="2"/>
    </font>
    <font>
      <sz val="11"/>
      <color indexed="16"/>
      <name val="Calibri"/>
      <family val="2"/>
    </font>
    <font>
      <b/>
      <sz val="18"/>
      <name val="Arial"/>
      <family val="2"/>
    </font>
    <font>
      <b/>
      <sz val="10"/>
      <name val="Helv"/>
    </font>
    <font>
      <b/>
      <sz val="11"/>
      <color indexed="53"/>
      <name val="Calibri"/>
      <family val="2"/>
    </font>
    <font>
      <sz val="10"/>
      <name val="Verdana"/>
      <family val="2"/>
    </font>
    <font>
      <sz val="12"/>
      <name val="Tahoma"/>
      <family val="2"/>
    </font>
    <font>
      <sz val="10"/>
      <name val="Arial Narrow"/>
      <family val="2"/>
    </font>
    <font>
      <sz val="1"/>
      <color indexed="8"/>
      <name val="Courier"/>
      <family val="3"/>
    </font>
    <font>
      <i/>
      <sz val="10"/>
      <color indexed="23"/>
      <name val="Arial"/>
      <family val="2"/>
    </font>
    <font>
      <sz val="12"/>
      <name val="Arial"/>
      <family val="2"/>
    </font>
    <font>
      <i/>
      <sz val="1"/>
      <color indexed="8"/>
      <name val="Courier"/>
      <family val="3"/>
    </font>
    <font>
      <sz val="8"/>
      <name val="Arial"/>
      <family val="2"/>
    </font>
    <font>
      <b/>
      <u/>
      <sz val="11"/>
      <color indexed="37"/>
      <name val="Arial"/>
      <family val="2"/>
    </font>
    <font>
      <b/>
      <sz val="15"/>
      <color indexed="62"/>
      <name val="Calibri"/>
      <family val="2"/>
    </font>
    <font>
      <b/>
      <sz val="13"/>
      <color indexed="62"/>
      <name val="Calibri"/>
      <family val="2"/>
    </font>
    <font>
      <b/>
      <sz val="11"/>
      <color indexed="62"/>
      <name val="Calibri"/>
      <family val="2"/>
    </font>
    <font>
      <b/>
      <sz val="1"/>
      <color indexed="8"/>
      <name val="Courier"/>
      <family val="3"/>
    </font>
    <font>
      <sz val="10"/>
      <color indexed="12"/>
      <name val="Arial"/>
      <family val="2"/>
    </font>
    <font>
      <sz val="11"/>
      <color indexed="48"/>
      <name val="Calibri"/>
      <family val="2"/>
    </font>
    <font>
      <sz val="11"/>
      <color indexed="53"/>
      <name val="Calibri"/>
      <family val="2"/>
    </font>
    <font>
      <sz val="7"/>
      <name val="Small Fonts"/>
      <family val="2"/>
    </font>
    <font>
      <b/>
      <i/>
      <sz val="16"/>
      <name val="Helv"/>
    </font>
    <font>
      <sz val="11"/>
      <color indexed="8"/>
      <name val="Calibri"/>
      <family val="2"/>
    </font>
    <font>
      <sz val="10"/>
      <color indexed="10"/>
      <name val="Arial"/>
      <family val="2"/>
    </font>
    <font>
      <b/>
      <sz val="10"/>
      <color indexed="8"/>
      <name val="Arial"/>
      <family val="2"/>
    </font>
    <font>
      <b/>
      <sz val="10"/>
      <color indexed="39"/>
      <name val="Arial"/>
      <family val="2"/>
    </font>
    <font>
      <b/>
      <sz val="12"/>
      <color indexed="8"/>
      <name val="Arial"/>
      <family val="2"/>
    </font>
    <font>
      <sz val="11"/>
      <name val="Calibri"/>
      <family val="2"/>
    </font>
    <font>
      <sz val="10"/>
      <color indexed="39"/>
      <name val="Arial"/>
      <family val="2"/>
    </font>
    <font>
      <sz val="19"/>
      <color indexed="48"/>
      <name val="Arial"/>
      <family val="2"/>
    </font>
    <font>
      <b/>
      <sz val="18"/>
      <color indexed="62"/>
      <name val="Cambria"/>
      <family val="2"/>
    </font>
    <font>
      <sz val="10"/>
      <name val="Helv"/>
      <family val="2"/>
    </font>
    <font>
      <b/>
      <sz val="10"/>
      <name val="Arial Narrow"/>
      <family val="2"/>
    </font>
    <font>
      <b/>
      <sz val="11"/>
      <name val="Times New Roman"/>
      <family val="1"/>
    </font>
    <font>
      <sz val="8"/>
      <color indexed="12"/>
      <name val="Arial"/>
      <family val="2"/>
    </font>
    <font>
      <sz val="7.5"/>
      <name val="Arial"/>
      <family val="2"/>
    </font>
    <font>
      <sz val="8"/>
      <name val="Helv"/>
    </font>
    <font>
      <b/>
      <sz val="12"/>
      <name val="Arial"/>
      <family val="2"/>
    </font>
    <font>
      <b/>
      <sz val="8"/>
      <name val="Arial"/>
      <family val="2"/>
    </font>
    <font>
      <sz val="9"/>
      <name val="Arial"/>
      <family val="2"/>
    </font>
    <font>
      <b/>
      <sz val="9"/>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color indexed="13"/>
      <name val="Arial"/>
      <family val="2"/>
    </font>
    <font>
      <b/>
      <sz val="8"/>
      <color indexed="12"/>
      <name val="Arial"/>
      <family val="2"/>
    </font>
    <font>
      <b/>
      <i/>
      <sz val="12"/>
      <color indexed="12"/>
      <name val="Arial"/>
      <family val="2"/>
    </font>
    <font>
      <sz val="8"/>
      <name val="Palatino"/>
      <family val="1"/>
    </font>
    <font>
      <sz val="12"/>
      <name val="Helv"/>
    </font>
    <font>
      <sz val="8"/>
      <name val="BERNHARD"/>
    </font>
    <font>
      <sz val="10"/>
      <name val="Helvetica"/>
      <family val="2"/>
    </font>
    <font>
      <i/>
      <sz val="9"/>
      <name val="MS Sans Serif"/>
      <family val="2"/>
    </font>
    <font>
      <sz val="12"/>
      <name val="Courier"/>
      <family val="3"/>
    </font>
    <font>
      <sz val="11"/>
      <name val="??"/>
      <family val="3"/>
      <charset val="129"/>
    </font>
    <font>
      <sz val="8"/>
      <name val="Times New Roman"/>
      <family val="1"/>
    </font>
    <font>
      <b/>
      <sz val="11"/>
      <color indexed="32"/>
      <name val="Arial"/>
      <family val="2"/>
    </font>
    <font>
      <sz val="7"/>
      <name val="Palatino"/>
      <family val="1"/>
    </font>
    <font>
      <sz val="9"/>
      <color indexed="13"/>
      <name val="Arial"/>
      <family val="2"/>
    </font>
    <font>
      <sz val="9"/>
      <name val="Helv"/>
    </font>
    <font>
      <i/>
      <sz val="10"/>
      <name val="Arial"/>
      <family val="2"/>
    </font>
    <font>
      <sz val="8"/>
      <name val="HelveticaWN"/>
    </font>
    <font>
      <sz val="8"/>
      <color indexed="12"/>
      <name val="Times New Roman"/>
      <family val="1"/>
    </font>
    <font>
      <sz val="10"/>
      <color indexed="16"/>
      <name val="Helvetica-Black"/>
    </font>
    <font>
      <i/>
      <sz val="10"/>
      <color indexed="10"/>
      <name val="Arial"/>
      <family val="2"/>
    </font>
    <font>
      <sz val="8"/>
      <color indexed="32"/>
      <name val="Arial"/>
      <family val="2"/>
    </font>
    <font>
      <sz val="8"/>
      <color indexed="8"/>
      <name val="Arial"/>
      <family val="2"/>
    </font>
    <font>
      <sz val="10"/>
      <color indexed="8"/>
      <name val="Helvetica"/>
      <family val="2"/>
    </font>
    <font>
      <b/>
      <sz val="10"/>
      <color indexed="62"/>
      <name val="Arial"/>
      <family val="2"/>
    </font>
    <font>
      <sz val="9"/>
      <color indexed="20"/>
      <name val="Arial"/>
      <family val="2"/>
    </font>
    <font>
      <b/>
      <i/>
      <sz val="10"/>
      <name val="Times New Roman"/>
      <family val="1"/>
    </font>
    <font>
      <b/>
      <sz val="9"/>
      <name val="Palatino"/>
      <family val="1"/>
    </font>
    <font>
      <sz val="9"/>
      <color indexed="21"/>
      <name val="Helvetica-Black"/>
    </font>
    <font>
      <sz val="9"/>
      <name val="Helvetica-Black"/>
    </font>
    <font>
      <b/>
      <sz val="10"/>
      <color indexed="56"/>
      <name val="Arial"/>
      <family val="2"/>
    </font>
    <font>
      <sz val="10"/>
      <name val="Geneva"/>
      <family val="2"/>
    </font>
    <font>
      <b/>
      <sz val="12"/>
      <name val="Tms Rmn"/>
    </font>
    <font>
      <sz val="10"/>
      <name val="Courier"/>
      <family val="3"/>
    </font>
    <font>
      <sz val="10"/>
      <color indexed="14"/>
      <name val="Arial"/>
      <family val="2"/>
    </font>
    <font>
      <sz val="10"/>
      <name val="Arial Cyr"/>
    </font>
    <font>
      <sz val="12"/>
      <name val="Times New Roman Cyr"/>
      <family val="1"/>
      <charset val="204"/>
    </font>
    <font>
      <sz val="11"/>
      <color indexed="8"/>
      <name val="Calibri"/>
      <family val="2"/>
    </font>
    <font>
      <sz val="11"/>
      <color indexed="8"/>
      <name val="Calibri"/>
      <family val="2"/>
    </font>
    <font>
      <sz val="11"/>
      <color indexed="8"/>
      <name val="Calibri"/>
      <family val="2"/>
    </font>
    <font>
      <sz val="11"/>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8"/>
      <color theme="1"/>
      <name val="Calibri"/>
      <family val="2"/>
    </font>
    <font>
      <sz val="10"/>
      <color theme="1"/>
      <name val="Arial"/>
      <family val="2"/>
    </font>
    <font>
      <sz val="11"/>
      <color theme="1"/>
      <name val="Arial Unicode MS"/>
      <family val="2"/>
    </font>
    <font>
      <sz val="10"/>
      <color theme="1"/>
      <name val="Times New Roman"/>
      <family val="2"/>
    </font>
    <font>
      <b/>
      <sz val="11"/>
      <color rgb="FF3F3F3F"/>
      <name val="Calibri"/>
      <family val="2"/>
      <scheme val="minor"/>
    </font>
    <font>
      <b/>
      <sz val="11"/>
      <color theme="1"/>
      <name val="Calibri"/>
      <family val="2"/>
      <scheme val="minor"/>
    </font>
    <font>
      <sz val="11"/>
      <color rgb="FFFF0000"/>
      <name val="Calibri"/>
      <family val="2"/>
      <scheme val="minor"/>
    </font>
    <font>
      <sz val="11"/>
      <color theme="1"/>
      <name val="Calibri"/>
      <family val="2"/>
    </font>
    <font>
      <sz val="11"/>
      <name val="Calibri"/>
      <family val="2"/>
      <scheme val="minor"/>
    </font>
    <font>
      <b/>
      <sz val="14"/>
      <name val="Arial"/>
      <family val="2"/>
    </font>
    <font>
      <sz val="10"/>
      <color indexed="8"/>
      <name val="Impact"/>
      <family val="2"/>
    </font>
    <font>
      <b/>
      <sz val="6"/>
      <name val="Helv"/>
    </font>
    <font>
      <sz val="12"/>
      <color indexed="12"/>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Tahoma"/>
      <family val="2"/>
    </font>
    <font>
      <sz val="10"/>
      <name val="Verdana"/>
      <family val="2"/>
    </font>
    <font>
      <b/>
      <sz val="10"/>
      <color indexed="10"/>
      <name val="Arial"/>
      <family val="2"/>
    </font>
    <font>
      <sz val="11"/>
      <color theme="1"/>
      <name val="Arial"/>
      <family val="2"/>
    </font>
    <font>
      <sz val="11"/>
      <color indexed="8"/>
      <name val="Arial"/>
      <family val="2"/>
    </font>
    <font>
      <sz val="11"/>
      <name val="Arial"/>
      <family val="2"/>
    </font>
    <font>
      <sz val="10"/>
      <name val="Arial"/>
      <family val="2"/>
    </font>
    <font>
      <sz val="10"/>
      <name val="Arial"/>
      <family val="2"/>
    </font>
    <font>
      <sz val="10"/>
      <name val="MS Sans Serif"/>
      <family val="2"/>
    </font>
    <font>
      <b/>
      <sz val="10"/>
      <name val="MS Sans Serif"/>
      <family val="2"/>
    </font>
    <font>
      <sz val="12"/>
      <color theme="1"/>
      <name val="Calibri"/>
      <family val="2"/>
      <scheme val="minor"/>
    </font>
    <font>
      <sz val="10"/>
      <name val="Arial"/>
      <family val="2"/>
    </font>
    <font>
      <sz val="10"/>
      <name val="MS Sans Serif"/>
      <family val="2"/>
    </font>
    <font>
      <b/>
      <sz val="10"/>
      <name val="MS Sans Serif"/>
      <family val="2"/>
    </font>
    <font>
      <b/>
      <sz val="10"/>
      <color theme="0"/>
      <name val="Arial Narrow"/>
      <family val="2"/>
    </font>
    <font>
      <sz val="10"/>
      <color theme="3"/>
      <name val="Arial Narrow"/>
      <family val="2"/>
    </font>
    <font>
      <b/>
      <sz val="10"/>
      <color indexed="10"/>
      <name val="Arial Narrow"/>
      <family val="2"/>
    </font>
    <font>
      <b/>
      <sz val="10"/>
      <color theme="3"/>
      <name val="Arial Narrow"/>
      <family val="2"/>
    </font>
    <font>
      <b/>
      <i/>
      <sz val="10"/>
      <color indexed="10"/>
      <name val="Arial Narrow"/>
      <family val="2"/>
    </font>
    <font>
      <sz val="10"/>
      <color theme="0"/>
      <name val="Arial Narrow"/>
      <family val="2"/>
    </font>
    <font>
      <sz val="10"/>
      <color rgb="FFFF0000"/>
      <name val="Arial Narrow"/>
      <family val="2"/>
    </font>
    <font>
      <sz val="10"/>
      <color indexed="10"/>
      <name val="Arial Narrow"/>
      <family val="2"/>
    </font>
    <font>
      <sz val="10"/>
      <color theme="1"/>
      <name val="Arial Narrow"/>
      <family val="2"/>
    </font>
    <font>
      <b/>
      <u/>
      <sz val="10"/>
      <name val="Arial Narrow"/>
      <family val="2"/>
    </font>
    <font>
      <i/>
      <sz val="10"/>
      <name val="Arial Narrow"/>
      <family val="2"/>
    </font>
    <font>
      <sz val="10"/>
      <color theme="4"/>
      <name val="Arial Narrow"/>
      <family val="2"/>
    </font>
    <font>
      <b/>
      <sz val="10"/>
      <color theme="0" tint="-4.9989318521683403E-2"/>
      <name val="Arial Narrow"/>
      <family val="2"/>
    </font>
    <font>
      <i/>
      <sz val="10"/>
      <color rgb="FFFF0000"/>
      <name val="Arial Narrow"/>
      <family val="2"/>
    </font>
    <font>
      <b/>
      <sz val="10"/>
      <color theme="1"/>
      <name val="Arial Narrow"/>
      <family val="2"/>
    </font>
    <font>
      <b/>
      <sz val="10"/>
      <color rgb="FFFF0000"/>
      <name val="Arial Narrow"/>
      <family val="2"/>
    </font>
    <font>
      <sz val="25"/>
      <name val="Arial Narrow"/>
      <family val="2"/>
    </font>
    <font>
      <b/>
      <i/>
      <sz val="10"/>
      <name val="Arial Narrow"/>
      <family val="2"/>
    </font>
    <font>
      <b/>
      <u/>
      <sz val="10"/>
      <color theme="1"/>
      <name val="Arial Narrow"/>
      <family val="2"/>
    </font>
    <font>
      <b/>
      <sz val="14"/>
      <name val="Arial Narrow"/>
      <family val="2"/>
    </font>
    <font>
      <sz val="12"/>
      <color theme="1"/>
      <name val="Calibri"/>
      <family val="2"/>
      <charset val="129"/>
      <scheme val="minor"/>
    </font>
    <font>
      <u/>
      <sz val="11"/>
      <color theme="11"/>
      <name val="Calibri"/>
      <family val="2"/>
      <scheme val="minor"/>
    </font>
    <font>
      <b/>
      <sz val="16"/>
      <color theme="1"/>
      <name val="Arial Narrow"/>
      <family val="2"/>
    </font>
    <font>
      <sz val="12"/>
      <color theme="1"/>
      <name val="Arial Narrow"/>
      <family val="2"/>
    </font>
    <font>
      <b/>
      <sz val="11"/>
      <color theme="1"/>
      <name val="Arial Narrow"/>
      <family val="2"/>
    </font>
    <font>
      <sz val="11"/>
      <color theme="1"/>
      <name val="Arial Narrow"/>
      <family val="2"/>
    </font>
    <font>
      <b/>
      <sz val="12"/>
      <color theme="1"/>
      <name val="Arial Narrow"/>
      <family val="2"/>
    </font>
    <font>
      <sz val="12"/>
      <color theme="0"/>
      <name val="Arial Narrow"/>
      <family val="2"/>
    </font>
    <font>
      <sz val="11"/>
      <color theme="0"/>
      <name val="Arial Narrow"/>
      <family val="2"/>
    </font>
    <font>
      <b/>
      <sz val="16"/>
      <name val="Arial Narrow"/>
      <family val="2"/>
    </font>
  </fonts>
  <fills count="126">
    <fill>
      <patternFill patternType="none"/>
    </fill>
    <fill>
      <patternFill patternType="gray125"/>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5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44"/>
        <bgColor indexed="64"/>
      </patternFill>
    </fill>
    <fill>
      <patternFill patternType="solid">
        <fgColor indexed="43"/>
        <bgColor indexed="64"/>
      </patternFill>
    </fill>
    <fill>
      <patternFill patternType="solid">
        <fgColor indexed="32"/>
        <bgColor indexed="64"/>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2"/>
        <bgColor indexed="64"/>
      </patternFill>
    </fill>
    <fill>
      <patternFill patternType="solid">
        <fgColor indexed="26"/>
        <bgColor indexed="64"/>
      </patternFill>
    </fill>
    <fill>
      <patternFill patternType="solid">
        <fgColor indexed="13"/>
        <bgColor indexed="64"/>
      </patternFill>
    </fill>
    <fill>
      <patternFill patternType="mediumGray">
        <fgColor indexed="22"/>
      </patternFill>
    </fill>
    <fill>
      <patternFill patternType="solid">
        <fgColor indexed="22"/>
        <bgColor indexed="9"/>
      </patternFill>
    </fill>
    <fill>
      <patternFill patternType="solid">
        <fgColor indexed="39"/>
        <bgColor indexed="55"/>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39"/>
        <bgColor indexed="22"/>
      </patternFill>
    </fill>
    <fill>
      <patternFill patternType="solid">
        <fgColor indexed="15"/>
      </patternFill>
    </fill>
    <fill>
      <patternFill patternType="solid">
        <fgColor indexed="14"/>
        <bgColor indexed="64"/>
      </patternFill>
    </fill>
    <fill>
      <patternFill patternType="solid">
        <fgColor indexed="31"/>
        <bgColor indexed="8"/>
      </patternFill>
    </fill>
    <fill>
      <patternFill patternType="solid">
        <fgColor indexed="43"/>
        <bgColor indexed="8"/>
      </patternFill>
    </fill>
    <fill>
      <patternFill patternType="solid">
        <fgColor indexed="16"/>
        <bgColor indexed="64"/>
      </patternFill>
    </fill>
    <fill>
      <patternFill patternType="solid">
        <fgColor indexed="8"/>
        <bgColor indexed="64"/>
      </patternFill>
    </fill>
    <fill>
      <patternFill patternType="solid">
        <fgColor indexed="10"/>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3"/>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4"/>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92D050"/>
        <bgColor indexed="64"/>
      </patternFill>
    </fill>
    <fill>
      <patternFill patternType="solid">
        <fgColor theme="2"/>
        <bgColor indexed="64"/>
      </patternFill>
    </fill>
    <fill>
      <patternFill patternType="solid">
        <fgColor indexed="31"/>
        <bgColor indexed="64"/>
      </patternFill>
    </fill>
    <fill>
      <patternFill patternType="solid">
        <fgColor rgb="FFFFFF00"/>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
      <patternFill patternType="solid">
        <fgColor theme="2" tint="-0.499984740745262"/>
        <bgColor indexed="64"/>
      </patternFill>
    </fill>
    <fill>
      <patternFill patternType="solid">
        <fgColor rgb="FF00B0F0"/>
        <bgColor indexed="64"/>
      </patternFill>
    </fill>
    <fill>
      <patternFill patternType="solid">
        <fgColor theme="0" tint="-0.249977111117893"/>
        <bgColor indexed="64"/>
      </patternFill>
    </fill>
    <fill>
      <patternFill patternType="solid">
        <fgColor theme="4" tint="-0.499984740745262"/>
        <bgColor indexed="64"/>
      </patternFill>
    </fill>
    <fill>
      <patternFill patternType="solid">
        <fgColor theme="0" tint="-0.34998626667073579"/>
        <bgColor indexed="64"/>
      </patternFill>
    </fill>
  </fills>
  <borders count="93">
    <border>
      <left/>
      <right/>
      <top/>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64"/>
      </left>
      <right/>
      <top/>
      <bottom/>
      <diagonal/>
    </border>
    <border>
      <left/>
      <right/>
      <top/>
      <bottom style="thin">
        <color indexed="8"/>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medium">
        <color indexed="64"/>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top/>
      <bottom style="dotted">
        <color indexed="64"/>
      </bottom>
      <diagonal/>
    </border>
    <border>
      <left style="thin">
        <color indexed="64"/>
      </left>
      <right/>
      <top style="thin">
        <color indexed="64"/>
      </top>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medium">
        <color indexed="30"/>
      </bottom>
      <diagonal/>
    </border>
    <border>
      <left/>
      <right/>
      <top/>
      <bottom style="medium">
        <color indexed="2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bottom style="thin">
        <color indexed="22"/>
      </bottom>
      <diagonal/>
    </border>
    <border>
      <left style="thin">
        <color indexed="22"/>
      </left>
      <right style="thin">
        <color indexed="22"/>
      </right>
      <top style="thin">
        <color indexed="64"/>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right/>
      <top style="medium">
        <color indexed="39"/>
      </top>
      <bottom/>
      <diagonal/>
    </border>
    <border>
      <left style="medium">
        <color indexed="39"/>
      </left>
      <right/>
      <top style="medium">
        <color indexed="39"/>
      </top>
      <bottom/>
      <diagonal/>
    </border>
    <border>
      <left/>
      <right style="thin">
        <color indexed="8"/>
      </right>
      <top/>
      <bottom/>
      <diagonal/>
    </border>
    <border>
      <left/>
      <right/>
      <top/>
      <bottom style="thin">
        <color indexed="64"/>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64"/>
      </top>
      <bottom style="medium">
        <color indexed="64"/>
      </bottom>
      <diagonal/>
    </border>
    <border>
      <left style="thin">
        <color indexed="8"/>
      </left>
      <right style="thin">
        <color indexed="8"/>
      </right>
      <top style="thin">
        <color indexed="8"/>
      </top>
      <bottom style="thin">
        <color indexed="8"/>
      </bottom>
      <diagonal/>
    </border>
    <border>
      <left/>
      <right/>
      <top/>
      <bottom style="thin">
        <color indexed="10"/>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bottom/>
      <diagonal/>
    </border>
    <border>
      <left/>
      <right style="thin">
        <color auto="1"/>
      </right>
      <top style="hair">
        <color indexed="64"/>
      </top>
      <bottom style="hair">
        <color indexed="64"/>
      </bottom>
      <diagonal/>
    </border>
    <border>
      <left style="thin">
        <color auto="1"/>
      </left>
      <right style="thin">
        <color auto="1"/>
      </right>
      <top style="hair">
        <color indexed="64"/>
      </top>
      <bottom style="hair">
        <color indexed="64"/>
      </bottom>
      <diagonal/>
    </border>
    <border>
      <left/>
      <right style="thin">
        <color auto="1"/>
      </right>
      <top style="hair">
        <color indexed="64"/>
      </top>
      <bottom style="thin">
        <color indexed="64"/>
      </bottom>
      <diagonal/>
    </border>
    <border>
      <left/>
      <right style="thin">
        <color auto="1"/>
      </right>
      <top style="hair">
        <color indexed="64"/>
      </top>
      <bottom/>
      <diagonal/>
    </border>
    <border>
      <left/>
      <right style="hair">
        <color indexed="64"/>
      </right>
      <top/>
      <bottom style="thin">
        <color indexed="64"/>
      </bottom>
      <diagonal/>
    </border>
    <border>
      <left style="thin">
        <color auto="1"/>
      </left>
      <right style="thin">
        <color auto="1"/>
      </right>
      <top style="hair">
        <color indexed="64"/>
      </top>
      <bottom style="thin">
        <color auto="1"/>
      </bottom>
      <diagonal/>
    </border>
    <border>
      <left/>
      <right/>
      <top/>
      <bottom style="hair">
        <color indexed="64"/>
      </bottom>
      <diagonal/>
    </border>
    <border>
      <left/>
      <right style="medium">
        <color indexed="64"/>
      </right>
      <top/>
      <bottom style="hair">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s>
  <cellStyleXfs count="26326">
    <xf numFmtId="0" fontId="0" fillId="0" borderId="0"/>
    <xf numFmtId="191" fontId="21" fillId="0" borderId="0" applyFont="0" applyFill="0" applyBorder="0" applyAlignment="0" applyProtection="0"/>
    <xf numFmtId="192" fontId="21" fillId="0" borderId="0" applyFont="0" applyFill="0" applyBorder="0" applyAlignment="0" applyProtection="0"/>
    <xf numFmtId="193" fontId="21" fillId="0" borderId="0" applyFont="0" applyFill="0" applyBorder="0" applyAlignment="0" applyProtection="0"/>
    <xf numFmtId="194" fontId="21" fillId="0" borderId="0" applyFont="0" applyFill="0" applyBorder="0" applyAlignment="0" applyProtection="0"/>
    <xf numFmtId="195" fontId="21" fillId="0" borderId="0" applyFont="0" applyFill="0" applyBorder="0" applyAlignment="0" applyProtection="0"/>
    <xf numFmtId="196" fontId="21" fillId="0" borderId="0" applyFont="0" applyFill="0" applyBorder="0" applyAlignment="0" applyProtection="0"/>
    <xf numFmtId="0" fontId="89" fillId="0" borderId="0" applyNumberFormat="0" applyFill="0" applyBorder="0" applyAlignment="0" applyProtection="0"/>
    <xf numFmtId="0" fontId="21" fillId="2" borderId="0" applyNumberFormat="0" applyFont="0" applyAlignment="0" applyProtection="0"/>
    <xf numFmtId="197" fontId="21" fillId="0" borderId="0" applyFont="0" applyFill="0" applyBorder="0" applyAlignment="0" applyProtection="0"/>
    <xf numFmtId="198" fontId="21" fillId="0" borderId="0" applyFont="0" applyFill="0" applyBorder="0" applyProtection="0">
      <alignment horizontal="right"/>
    </xf>
    <xf numFmtId="0" fontId="90" fillId="0" borderId="0" applyNumberFormat="0" applyFill="0" applyBorder="0" applyProtection="0">
      <alignment vertical="top"/>
    </xf>
    <xf numFmtId="0" fontId="91" fillId="0" borderId="1" applyNumberFormat="0" applyFill="0" applyAlignment="0" applyProtection="0"/>
    <xf numFmtId="0" fontId="92" fillId="0" borderId="2" applyNumberFormat="0" applyFill="0" applyProtection="0">
      <alignment horizontal="center"/>
    </xf>
    <xf numFmtId="0" fontId="92" fillId="0" borderId="0" applyNumberFormat="0" applyFill="0" applyBorder="0" applyProtection="0">
      <alignment horizontal="left"/>
    </xf>
    <xf numFmtId="0" fontId="93" fillId="0" borderId="0" applyNumberFormat="0" applyFill="0" applyBorder="0" applyProtection="0">
      <alignment horizontal="centerContinuous"/>
    </xf>
    <xf numFmtId="0" fontId="45" fillId="0" borderId="0" applyFont="0" applyBorder="0">
      <alignment horizontal="right"/>
    </xf>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26" fillId="3"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26" fillId="3"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134" fillId="70"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26" fillId="4"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26" fillId="4"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34" fillId="71"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26" fillId="5"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26" fillId="5"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134" fillId="72"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26" fillId="6"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26" fillId="6"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134" fillId="73"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26" fillId="7"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26" fillId="7"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134" fillId="74"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26" fillId="8"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26" fillId="8"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134" fillId="75"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171" fontId="22" fillId="0" borderId="0" applyFont="0" applyFill="0" applyBorder="0" applyAlignment="0">
      <alignment horizontal="right"/>
    </xf>
    <xf numFmtId="0" fontId="26" fillId="13" borderId="0" applyNumberFormat="0" applyBorder="0" applyAlignment="0" applyProtection="0"/>
    <xf numFmtId="0" fontId="26" fillId="10" borderId="0" applyNumberFormat="0" applyBorder="0" applyAlignment="0" applyProtection="0"/>
    <xf numFmtId="0" fontId="26" fillId="14" borderId="0" applyNumberFormat="0" applyBorder="0" applyAlignment="0" applyProtection="0"/>
    <xf numFmtId="0" fontId="26" fillId="6" borderId="0" applyNumberFormat="0" applyBorder="0" applyAlignment="0" applyProtection="0"/>
    <xf numFmtId="0" fontId="26" fillId="13" borderId="0" applyNumberFormat="0" applyBorder="0" applyAlignment="0" applyProtection="0"/>
    <xf numFmtId="0" fontId="26" fillId="15"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26" fillId="13"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26" fillId="13"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134" fillId="7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2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2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134" fillId="77"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34" fillId="78" borderId="0" applyNumberFormat="0" applyBorder="0" applyAlignment="0" applyProtection="0"/>
    <xf numFmtId="0" fontId="134" fillId="78" borderId="0" applyNumberFormat="0" applyBorder="0" applyAlignment="0" applyProtection="0"/>
    <xf numFmtId="0" fontId="26" fillId="14" borderId="0" applyNumberFormat="0" applyBorder="0" applyAlignment="0" applyProtection="0"/>
    <xf numFmtId="0" fontId="134" fillId="78"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26" fillId="14"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34" fillId="78"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26" fillId="6"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26" fillId="6"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134" fillId="79"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134" fillId="80" borderId="0" applyNumberFormat="0" applyBorder="0" applyAlignment="0" applyProtection="0"/>
    <xf numFmtId="0" fontId="134" fillId="80" borderId="0" applyNumberFormat="0" applyBorder="0" applyAlignment="0" applyProtection="0"/>
    <xf numFmtId="0" fontId="26" fillId="13" borderId="0" applyNumberFormat="0" applyBorder="0" applyAlignment="0" applyProtection="0"/>
    <xf numFmtId="0" fontId="134" fillId="80"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26" fillId="13"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134" fillId="80"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26" fillId="15"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26" fillId="15"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134" fillId="81"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27" fillId="19" borderId="0" applyNumberFormat="0" applyBorder="0" applyAlignment="0" applyProtection="0"/>
    <xf numFmtId="0" fontId="27" fillId="10" borderId="0" applyNumberFormat="0" applyBorder="0" applyAlignment="0" applyProtection="0"/>
    <xf numFmtId="0" fontId="27" fillId="1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27" fillId="19"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27" fillId="19"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135" fillId="82"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2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2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135" fillId="83"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27" fillId="14"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27" fillId="14"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135" fillId="84"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27" fillId="20"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27" fillId="20"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135" fillId="85"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27" fillId="21"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27" fillId="21"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135" fillId="8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27" fillId="22"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27" fillId="22"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135" fillId="87"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3"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3"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7" fillId="31"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7" fillId="35"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17"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135" fillId="90" borderId="0" applyNumberFormat="0" applyBorder="0" applyAlignment="0" applyProtection="0"/>
    <xf numFmtId="0" fontId="135" fillId="90" borderId="0" applyNumberFormat="0" applyBorder="0" applyAlignment="0" applyProtection="0"/>
    <xf numFmtId="0" fontId="135" fillId="90" borderId="0" applyNumberFormat="0" applyBorder="0" applyAlignment="0" applyProtection="0"/>
    <xf numFmtId="0" fontId="135" fillId="90"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17"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7" fillId="35"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20"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35" fillId="91" borderId="0" applyNumberFormat="0" applyBorder="0" applyAlignment="0" applyProtection="0"/>
    <xf numFmtId="0" fontId="135" fillId="91" borderId="0" applyNumberFormat="0" applyBorder="0" applyAlignment="0" applyProtection="0"/>
    <xf numFmtId="0" fontId="135" fillId="91" borderId="0" applyNumberFormat="0" applyBorder="0" applyAlignment="0" applyProtection="0"/>
    <xf numFmtId="0" fontId="135" fillId="91"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20"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7" fillId="2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21"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35" fillId="92" borderId="0" applyNumberFormat="0" applyBorder="0" applyAlignment="0" applyProtection="0"/>
    <xf numFmtId="0" fontId="135" fillId="92" borderId="0" applyNumberFormat="0" applyBorder="0" applyAlignment="0" applyProtection="0"/>
    <xf numFmtId="0" fontId="135" fillId="92" borderId="0" applyNumberFormat="0" applyBorder="0" applyAlignment="0" applyProtection="0"/>
    <xf numFmtId="0" fontId="135" fillId="92"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21"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6" fillId="39" borderId="0" applyNumberFormat="0" applyBorder="0" applyAlignment="0" applyProtection="0"/>
    <xf numFmtId="0" fontId="26" fillId="30"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35" fillId="93" borderId="0" applyNumberFormat="0" applyBorder="0" applyAlignment="0" applyProtection="0"/>
    <xf numFmtId="0" fontId="135" fillId="93" borderId="0" applyNumberFormat="0" applyBorder="0" applyAlignment="0" applyProtection="0"/>
    <xf numFmtId="0" fontId="135" fillId="93" borderId="0" applyNumberFormat="0" applyBorder="0" applyAlignment="0" applyProtection="0"/>
    <xf numFmtId="0" fontId="135" fillId="9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75" fontId="20" fillId="42" borderId="3">
      <alignment horizontal="center" vertical="center"/>
    </xf>
    <xf numFmtId="199" fontId="22" fillId="42" borderId="3">
      <alignment horizontal="center" vertical="center"/>
    </xf>
    <xf numFmtId="0" fontId="20" fillId="43" borderId="0" applyNumberFormat="0" applyFont="0" applyAlignment="0">
      <alignment vertical="top"/>
    </xf>
    <xf numFmtId="0" fontId="21" fillId="43" borderId="0" applyNumberFormat="0" applyFont="0" applyAlignment="0">
      <alignment vertical="top" wrapText="1"/>
    </xf>
    <xf numFmtId="0" fontId="42" fillId="0" borderId="0" applyNumberFormat="0" applyFill="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28" fillId="4"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28" fillId="4"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136" fillId="94"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1" fontId="94" fillId="44" borderId="4" applyNumberFormat="0" applyBorder="0" applyAlignment="0">
      <alignment horizontal="center" vertical="top" wrapText="1"/>
      <protection hidden="1"/>
    </xf>
    <xf numFmtId="174" fontId="95" fillId="0" borderId="0" applyNumberFormat="0" applyFill="0" applyBorder="0" applyAlignment="0" applyProtection="0">
      <alignment horizontal="center"/>
      <protection locked="0"/>
    </xf>
    <xf numFmtId="0" fontId="49" fillId="0" borderId="0" applyNumberFormat="0" applyFill="0" applyBorder="0" applyAlignment="0" applyProtection="0"/>
    <xf numFmtId="0" fontId="50" fillId="0" borderId="5">
      <alignment horizontal="center"/>
    </xf>
    <xf numFmtId="0" fontId="21" fillId="0" borderId="0" applyNumberFormat="0" applyFill="0" applyBorder="0" applyAlignment="0"/>
    <xf numFmtId="0" fontId="29" fillId="18" borderId="6" applyNumberFormat="0" applyAlignment="0" applyProtection="0"/>
    <xf numFmtId="0" fontId="51" fillId="45" borderId="6" applyNumberFormat="0" applyAlignment="0" applyProtection="0"/>
    <xf numFmtId="0" fontId="51" fillId="45" borderId="6" applyNumberFormat="0" applyAlignment="0" applyProtection="0"/>
    <xf numFmtId="0" fontId="51" fillId="45" borderId="6" applyNumberFormat="0" applyAlignment="0" applyProtection="0"/>
    <xf numFmtId="0" fontId="51" fillId="45" borderId="6" applyNumberFormat="0" applyAlignment="0" applyProtection="0"/>
    <xf numFmtId="0" fontId="51" fillId="45" borderId="6" applyNumberFormat="0" applyAlignment="0" applyProtection="0"/>
    <xf numFmtId="0" fontId="51" fillId="45" borderId="6" applyNumberFormat="0" applyAlignment="0" applyProtection="0"/>
    <xf numFmtId="0" fontId="51" fillId="45" borderId="6" applyNumberFormat="0" applyAlignment="0" applyProtection="0"/>
    <xf numFmtId="0" fontId="51" fillId="45" borderId="6" applyNumberFormat="0" applyAlignment="0" applyProtection="0"/>
    <xf numFmtId="0" fontId="51" fillId="45" borderId="6" applyNumberFormat="0" applyAlignment="0" applyProtection="0"/>
    <xf numFmtId="0" fontId="51" fillId="45" borderId="6" applyNumberFormat="0" applyAlignment="0" applyProtection="0"/>
    <xf numFmtId="0" fontId="51" fillId="45" borderId="6" applyNumberFormat="0" applyAlignment="0" applyProtection="0"/>
    <xf numFmtId="0" fontId="29" fillId="18" borderId="6" applyNumberFormat="0" applyAlignment="0" applyProtection="0"/>
    <xf numFmtId="0" fontId="51" fillId="45" borderId="6" applyNumberFormat="0" applyAlignment="0" applyProtection="0"/>
    <xf numFmtId="0" fontId="51" fillId="45" borderId="6" applyNumberFormat="0" applyAlignment="0" applyProtection="0"/>
    <xf numFmtId="0" fontId="29" fillId="18" borderId="6" applyNumberFormat="0" applyAlignment="0" applyProtection="0"/>
    <xf numFmtId="0" fontId="51" fillId="45" borderId="6" applyNumberFormat="0" applyAlignment="0" applyProtection="0"/>
    <xf numFmtId="0" fontId="51" fillId="45" borderId="6" applyNumberFormat="0" applyAlignment="0" applyProtection="0"/>
    <xf numFmtId="0" fontId="137" fillId="95" borderId="49" applyNumberFormat="0" applyAlignment="0" applyProtection="0"/>
    <xf numFmtId="0" fontId="51" fillId="45" borderId="6" applyNumberFormat="0" applyAlignment="0" applyProtection="0"/>
    <xf numFmtId="0" fontId="51" fillId="45" borderId="6" applyNumberFormat="0" applyAlignment="0" applyProtection="0"/>
    <xf numFmtId="0" fontId="51" fillId="45" borderId="6" applyNumberFormat="0" applyAlignment="0" applyProtection="0"/>
    <xf numFmtId="0" fontId="51" fillId="45" borderId="6" applyNumberFormat="0" applyAlignment="0" applyProtection="0"/>
    <xf numFmtId="0" fontId="51" fillId="45" borderId="6" applyNumberFormat="0" applyAlignment="0" applyProtection="0"/>
    <xf numFmtId="0" fontId="37" fillId="0" borderId="7" applyNumberFormat="0" applyFill="0" applyAlignment="0" applyProtection="0"/>
    <xf numFmtId="0" fontId="30" fillId="31" borderId="8" applyNumberFormat="0" applyAlignment="0" applyProtection="0"/>
    <xf numFmtId="0" fontId="30" fillId="31" borderId="8" applyNumberFormat="0" applyAlignment="0" applyProtection="0"/>
    <xf numFmtId="0" fontId="30" fillId="31" borderId="8" applyNumberFormat="0" applyAlignment="0" applyProtection="0"/>
    <xf numFmtId="0" fontId="30" fillId="31" borderId="8" applyNumberFormat="0" applyAlignment="0" applyProtection="0"/>
    <xf numFmtId="0" fontId="30" fillId="31" borderId="8" applyNumberFormat="0" applyAlignment="0" applyProtection="0"/>
    <xf numFmtId="0" fontId="30" fillId="31" borderId="8" applyNumberFormat="0" applyAlignment="0" applyProtection="0"/>
    <xf numFmtId="0" fontId="30" fillId="31" borderId="8" applyNumberFormat="0" applyAlignment="0" applyProtection="0"/>
    <xf numFmtId="0" fontId="30" fillId="31" borderId="8" applyNumberFormat="0" applyAlignment="0" applyProtection="0"/>
    <xf numFmtId="0" fontId="30" fillId="31" borderId="8" applyNumberFormat="0" applyAlignment="0" applyProtection="0"/>
    <xf numFmtId="0" fontId="30" fillId="31" borderId="8" applyNumberFormat="0" applyAlignment="0" applyProtection="0"/>
    <xf numFmtId="0" fontId="30" fillId="31" borderId="8" applyNumberFormat="0" applyAlignment="0" applyProtection="0"/>
    <xf numFmtId="0" fontId="30" fillId="46" borderId="8" applyNumberFormat="0" applyAlignment="0" applyProtection="0"/>
    <xf numFmtId="0" fontId="30" fillId="31" borderId="8" applyNumberFormat="0" applyAlignment="0" applyProtection="0"/>
    <xf numFmtId="0" fontId="30" fillId="31" borderId="8" applyNumberFormat="0" applyAlignment="0" applyProtection="0"/>
    <xf numFmtId="0" fontId="30" fillId="46" borderId="8" applyNumberFormat="0" applyAlignment="0" applyProtection="0"/>
    <xf numFmtId="0" fontId="30" fillId="31" borderId="8" applyNumberFormat="0" applyAlignment="0" applyProtection="0"/>
    <xf numFmtId="0" fontId="30" fillId="31" borderId="8" applyNumberFormat="0" applyAlignment="0" applyProtection="0"/>
    <xf numFmtId="0" fontId="138" fillId="96" borderId="50" applyNumberFormat="0" applyAlignment="0" applyProtection="0"/>
    <xf numFmtId="0" fontId="30" fillId="31" borderId="8" applyNumberFormat="0" applyAlignment="0" applyProtection="0"/>
    <xf numFmtId="0" fontId="30" fillId="31" borderId="8" applyNumberFormat="0" applyAlignment="0" applyProtection="0"/>
    <xf numFmtId="0" fontId="30" fillId="31" borderId="8" applyNumberFormat="0" applyAlignment="0" applyProtection="0"/>
    <xf numFmtId="0" fontId="30" fillId="31" borderId="8" applyNumberFormat="0" applyAlignment="0" applyProtection="0"/>
    <xf numFmtId="0" fontId="30" fillId="31" borderId="8" applyNumberFormat="0" applyAlignment="0" applyProtection="0"/>
    <xf numFmtId="164" fontId="86" fillId="0" borderId="0" applyBorder="0">
      <alignment horizontal="right"/>
    </xf>
    <xf numFmtId="164" fontId="86" fillId="0" borderId="9" applyAlignment="0">
      <alignment horizontal="right"/>
    </xf>
    <xf numFmtId="43" fontId="17" fillId="0" borderId="0" applyFont="0" applyFill="0" applyBorder="0" applyAlignment="0" applyProtection="0"/>
    <xf numFmtId="190" fontId="54" fillId="0" borderId="0" applyFont="0" applyFill="0" applyBorder="0" applyAlignment="0" applyProtection="0">
      <alignment vertical="center"/>
    </xf>
    <xf numFmtId="4" fontId="96" fillId="0" borderId="10" applyFont="0" applyFill="0" applyBorder="0" applyAlignment="0">
      <alignment horizontal="center" vertical="center"/>
    </xf>
    <xf numFmtId="0" fontId="97" fillId="0" borderId="0" applyFont="0" applyFill="0" applyBorder="0" applyAlignment="0" applyProtection="0">
      <alignment horizontal="right"/>
    </xf>
    <xf numFmtId="176" fontId="21" fillId="0" borderId="0" applyFont="0" applyFill="0" applyBorder="0" applyAlignment="0" applyProtection="0"/>
    <xf numFmtId="176" fontId="21" fillId="0" borderId="0" applyFont="0" applyFill="0" applyBorder="0" applyAlignment="0" applyProtection="0"/>
    <xf numFmtId="173" fontId="52" fillId="0" borderId="0" applyFont="0" applyFill="0" applyBorder="0" applyAlignment="0" applyProtection="0"/>
    <xf numFmtId="43" fontId="53" fillId="0" borderId="0" applyFont="0" applyFill="0" applyBorder="0" applyAlignment="0" applyProtection="0"/>
    <xf numFmtId="173" fontId="52" fillId="0" borderId="0" applyFont="0" applyFill="0" applyBorder="0" applyAlignment="0" applyProtection="0"/>
    <xf numFmtId="43" fontId="53" fillId="0" borderId="0" applyFont="0" applyFill="0" applyBorder="0" applyAlignment="0" applyProtection="0"/>
    <xf numFmtId="43" fontId="43" fillId="0" borderId="0" applyFont="0" applyFill="0" applyBorder="0" applyAlignment="0" applyProtection="0"/>
    <xf numFmtId="43" fontId="131" fillId="0" borderId="0" applyFont="0" applyFill="0" applyBorder="0" applyAlignment="0" applyProtection="0"/>
    <xf numFmtId="43" fontId="53" fillId="0" borderId="0" applyFont="0" applyFill="0" applyBorder="0" applyAlignment="0" applyProtection="0"/>
    <xf numFmtId="43" fontId="43" fillId="0" borderId="0" applyFont="0" applyFill="0" applyBorder="0" applyAlignment="0" applyProtection="0"/>
    <xf numFmtId="43" fontId="2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31" fillId="0" borderId="0" applyFont="0" applyFill="0" applyBorder="0" applyAlignment="0" applyProtection="0"/>
    <xf numFmtId="43" fontId="21" fillId="0" borderId="0" applyFont="0" applyFill="0" applyBorder="0" applyAlignment="0" applyProtection="0"/>
    <xf numFmtId="43" fontId="131" fillId="0" borderId="0" applyFon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52" fillId="0" borderId="0" applyFont="0" applyFill="0" applyBorder="0" applyAlignment="0" applyProtection="0"/>
    <xf numFmtId="177" fontId="21" fillId="0" borderId="0" applyFont="0" applyFill="0" applyBorder="0" applyAlignment="0" applyProtection="0"/>
    <xf numFmtId="43" fontId="21" fillId="0" borderId="0" applyFont="0" applyFill="0" applyBorder="0" applyAlignment="0" applyProtection="0"/>
    <xf numFmtId="166" fontId="21" fillId="0" borderId="0" applyFont="0" applyFill="0" applyBorder="0" applyAlignment="0" applyProtection="0"/>
    <xf numFmtId="0" fontId="97" fillId="0" borderId="0" applyFont="0" applyFill="0" applyBorder="0" applyAlignment="0" applyProtection="0">
      <alignment horizontal="right"/>
    </xf>
    <xf numFmtId="178" fontId="5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3"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178" fontId="52"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178" fontId="52" fillId="0" borderId="0" applyFont="0" applyFill="0" applyBorder="0" applyAlignment="0" applyProtection="0"/>
    <xf numFmtId="43" fontId="43" fillId="0" borderId="0" applyFont="0" applyFill="0" applyBorder="0" applyAlignment="0" applyProtection="0"/>
    <xf numFmtId="43" fontId="21" fillId="0" borderId="0" applyFont="0" applyFill="0" applyBorder="0" applyAlignment="0" applyProtection="0"/>
    <xf numFmtId="43" fontId="130" fillId="0" borderId="0" applyFont="0" applyFill="0" applyBorder="0" applyAlignment="0" applyProtection="0"/>
    <xf numFmtId="43" fontId="23" fillId="0" borderId="0" applyFont="0" applyFill="0" applyBorder="0" applyAlignment="0" applyProtection="0"/>
    <xf numFmtId="43" fontId="131" fillId="0" borderId="0" applyFont="0" applyFill="0" applyBorder="0" applyAlignment="0" applyProtection="0"/>
    <xf numFmtId="43" fontId="2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179" fontId="54" fillId="0" borderId="0" applyFont="0" applyFill="0" applyBorder="0" applyAlignment="0" applyProtection="0"/>
    <xf numFmtId="43" fontId="43" fillId="0" borderId="0" applyFont="0" applyFill="0" applyBorder="0" applyAlignment="0" applyProtection="0"/>
    <xf numFmtId="43" fontId="131" fillId="0" borderId="0" applyFont="0" applyFill="0" applyBorder="0" applyAlignment="0" applyProtection="0"/>
    <xf numFmtId="177" fontId="21" fillId="0" borderId="0" applyFont="0" applyFill="0" applyBorder="0" applyAlignment="0" applyProtection="0"/>
    <xf numFmtId="43" fontId="43" fillId="0" borderId="0" applyFont="0" applyFill="0" applyBorder="0" applyAlignment="0" applyProtection="0"/>
    <xf numFmtId="43" fontId="21" fillId="0" borderId="0" applyFont="0" applyFill="0" applyBorder="0" applyAlignment="0" applyProtection="0"/>
    <xf numFmtId="43" fontId="131" fillId="0" borderId="0" applyFont="0" applyFill="0" applyBorder="0" applyAlignment="0" applyProtection="0"/>
    <xf numFmtId="43" fontId="43" fillId="0" borderId="0" applyFont="0" applyFill="0" applyBorder="0" applyAlignment="0" applyProtection="0"/>
    <xf numFmtId="177" fontId="21" fillId="0" borderId="0" applyFont="0" applyFill="0" applyBorder="0" applyAlignment="0" applyProtection="0"/>
    <xf numFmtId="43" fontId="2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43"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43"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43" fillId="0" borderId="0" applyFont="0" applyFill="0" applyBorder="0" applyAlignment="0" applyProtection="0"/>
    <xf numFmtId="43" fontId="131" fillId="0" borderId="0" applyFont="0" applyFill="0" applyBorder="0" applyAlignment="0" applyProtection="0"/>
    <xf numFmtId="43" fontId="53" fillId="0" borderId="0" applyFont="0" applyFill="0" applyBorder="0" applyAlignment="0" applyProtection="0"/>
    <xf numFmtId="43" fontId="21" fillId="0" borderId="0" applyFont="0" applyFill="0" applyBorder="0" applyAlignment="0" applyProtection="0"/>
    <xf numFmtId="43" fontId="131" fillId="0" borderId="0" applyFont="0" applyFill="0" applyBorder="0" applyAlignment="0" applyProtection="0"/>
    <xf numFmtId="172" fontId="2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43" fillId="0" borderId="0" applyFont="0" applyFill="0" applyBorder="0" applyAlignment="0" applyProtection="0"/>
    <xf numFmtId="43" fontId="131" fillId="0" borderId="0" applyFont="0" applyFill="0" applyBorder="0" applyAlignment="0" applyProtection="0"/>
    <xf numFmtId="43" fontId="21" fillId="0" borderId="0" applyFont="0" applyFill="0" applyBorder="0" applyAlignment="0" applyProtection="0"/>
    <xf numFmtId="43" fontId="131" fillId="0" borderId="0" applyFont="0" applyFill="0" applyBorder="0" applyAlignment="0" applyProtection="0"/>
    <xf numFmtId="176" fontId="2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177" fontId="2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177" fontId="21" fillId="0" borderId="0" applyFont="0" applyFill="0" applyBorder="0" applyAlignment="0" applyProtection="0"/>
    <xf numFmtId="173" fontId="52" fillId="0" borderId="0" applyFont="0" applyFill="0" applyBorder="0" applyAlignment="0" applyProtection="0"/>
    <xf numFmtId="43" fontId="43" fillId="0" borderId="0" applyFont="0" applyFill="0" applyBorder="0" applyAlignment="0" applyProtection="0"/>
    <xf numFmtId="40" fontId="18" fillId="0" borderId="0" applyFont="0" applyFill="0" applyBorder="0" applyAlignment="0" applyProtection="0"/>
    <xf numFmtId="3" fontId="21" fillId="0" borderId="0" applyFont="0" applyFill="0" applyBorder="0" applyAlignment="0" applyProtection="0"/>
    <xf numFmtId="0" fontId="98" fillId="0" borderId="0"/>
    <xf numFmtId="0" fontId="99" fillId="0" borderId="0"/>
    <xf numFmtId="200" fontId="55" fillId="0" borderId="0">
      <protection locked="0"/>
    </xf>
    <xf numFmtId="200" fontId="55" fillId="0" borderId="0">
      <protection locked="0"/>
    </xf>
    <xf numFmtId="168" fontId="22" fillId="0" borderId="0" applyFont="0" applyFill="0" applyBorder="0" applyAlignment="0" applyProtection="0"/>
    <xf numFmtId="0" fontId="45" fillId="0" borderId="0"/>
    <xf numFmtId="4" fontId="22" fillId="0" borderId="0" applyFont="0" applyFill="0" applyBorder="0" applyAlignment="0" applyProtection="0"/>
    <xf numFmtId="37" fontId="100" fillId="0" borderId="0" applyFill="0" applyBorder="0" applyAlignment="0" applyProtection="0"/>
    <xf numFmtId="0" fontId="101" fillId="0" borderId="0"/>
    <xf numFmtId="0" fontId="21" fillId="11" borderId="11" applyNumberFormat="0" applyFont="0" applyAlignment="0" applyProtection="0"/>
    <xf numFmtId="0" fontId="102" fillId="0" borderId="0" applyFill="0" applyBorder="0" applyProtection="0"/>
    <xf numFmtId="0" fontId="97" fillId="0" borderId="0" applyFont="0" applyFill="0" applyBorder="0" applyAlignment="0" applyProtection="0">
      <alignment horizontal="right"/>
    </xf>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80" fontId="21" fillId="0" borderId="0" applyFont="0" applyFill="0" applyBorder="0" applyAlignment="0" applyProtection="0"/>
    <xf numFmtId="180" fontId="54" fillId="0" borderId="0" applyFont="0" applyFill="0" applyBorder="0" applyAlignment="0" applyProtection="0"/>
    <xf numFmtId="44" fontId="54"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54" fillId="0" borderId="0" applyFont="0" applyFill="0" applyBorder="0" applyAlignment="0" applyProtection="0"/>
    <xf numFmtId="180" fontId="54" fillId="0" borderId="0" applyFont="0" applyFill="0" applyBorder="0" applyAlignment="0" applyProtection="0"/>
    <xf numFmtId="181" fontId="21" fillId="0" borderId="0" applyFont="0" applyFill="0" applyBorder="0" applyAlignment="0" applyProtection="0"/>
    <xf numFmtId="44" fontId="13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131" fillId="0" borderId="0" applyFont="0" applyFill="0" applyBorder="0" applyAlignment="0" applyProtection="0"/>
    <xf numFmtId="44" fontId="131" fillId="0" borderId="0" applyFont="0" applyFill="0" applyBorder="0" applyAlignment="0" applyProtection="0"/>
    <xf numFmtId="44" fontId="43" fillId="0" borderId="0" applyFont="0" applyFill="0" applyBorder="0" applyAlignment="0" applyProtection="0"/>
    <xf numFmtId="44" fontId="131" fillId="0" borderId="0" applyFont="0" applyFill="0" applyBorder="0" applyAlignment="0" applyProtection="0"/>
    <xf numFmtId="44" fontId="21" fillId="0" borderId="0" applyFont="0" applyFill="0" applyBorder="0" applyAlignment="0" applyProtection="0"/>
    <xf numFmtId="0" fontId="97" fillId="0" borderId="0" applyFont="0" applyFill="0" applyBorder="0" applyAlignment="0" applyProtection="0">
      <alignment horizontal="right"/>
    </xf>
    <xf numFmtId="44" fontId="13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82" fontId="21" fillId="0" borderId="0" applyFont="0" applyFill="0" applyBorder="0" applyAlignment="0" applyProtection="0"/>
    <xf numFmtId="201" fontId="55" fillId="0" borderId="0">
      <protection locked="0"/>
    </xf>
    <xf numFmtId="0" fontId="21" fillId="0" borderId="0" applyFont="0" applyFill="0" applyBorder="0" applyAlignment="0" applyProtection="0"/>
    <xf numFmtId="15" fontId="86" fillId="0" borderId="0" applyFill="0" applyBorder="0" applyAlignment="0" applyProtection="0"/>
    <xf numFmtId="0" fontId="55" fillId="0" borderId="0">
      <protection locked="0"/>
    </xf>
    <xf numFmtId="6" fontId="103" fillId="0" borderId="0">
      <protection locked="0"/>
    </xf>
    <xf numFmtId="0" fontId="97" fillId="0" borderId="0" applyFont="0" applyFill="0" applyBorder="0" applyAlignment="0" applyProtection="0"/>
    <xf numFmtId="6" fontId="103" fillId="0" borderId="0">
      <protection locked="0"/>
    </xf>
    <xf numFmtId="15" fontId="104" fillId="0" borderId="0" applyFont="0" applyFill="0" applyBorder="0" applyAlignment="0" applyProtection="0">
      <alignment horizontal="center"/>
    </xf>
    <xf numFmtId="202" fontId="21" fillId="0" borderId="0" applyFont="0" applyFill="0" applyBorder="0" applyAlignment="0" applyProtection="0">
      <alignment wrapText="1"/>
    </xf>
    <xf numFmtId="0" fontId="97" fillId="0" borderId="12" applyNumberFormat="0" applyFont="0" applyFill="0" applyAlignment="0" applyProtection="0"/>
    <xf numFmtId="0" fontId="41" fillId="47" borderId="0" applyNumberFormat="0" applyBorder="0" applyAlignment="0" applyProtection="0"/>
    <xf numFmtId="0" fontId="41" fillId="48" borderId="0" applyNumberFormat="0" applyBorder="0" applyAlignment="0" applyProtection="0"/>
    <xf numFmtId="0" fontId="41" fillId="49" borderId="0" applyNumberFormat="0" applyBorder="0" applyAlignment="0" applyProtection="0"/>
    <xf numFmtId="0" fontId="36" fillId="8" borderId="6" applyNumberFormat="0" applyAlignment="0" applyProtection="0"/>
    <xf numFmtId="203" fontId="59" fillId="0" borderId="0" applyFont="0" applyFill="0" applyBorder="0" applyAlignment="0" applyProtection="0"/>
    <xf numFmtId="183" fontId="21"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31"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31"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139"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15" fontId="57" fillId="0" borderId="0" applyFont="0" applyFill="0" applyBorder="0" applyAlignment="0" applyProtection="0"/>
    <xf numFmtId="0" fontId="55" fillId="0" borderId="0">
      <protection locked="0"/>
    </xf>
    <xf numFmtId="15" fontId="57" fillId="0" borderId="0" applyFont="0" applyFill="0" applyBorder="0" applyAlignment="0" applyProtection="0"/>
    <xf numFmtId="0" fontId="55" fillId="0" borderId="0">
      <protection locked="0"/>
    </xf>
    <xf numFmtId="15" fontId="57" fillId="0" borderId="0" applyFont="0" applyFill="0" applyBorder="0" applyAlignment="0" applyProtection="0"/>
    <xf numFmtId="0" fontId="58" fillId="0" borderId="0">
      <protection locked="0"/>
    </xf>
    <xf numFmtId="0" fontId="55" fillId="0" borderId="0">
      <protection locked="0"/>
    </xf>
    <xf numFmtId="15" fontId="57" fillId="0" borderId="0" applyFont="0" applyFill="0" applyBorder="0" applyAlignment="0" applyProtection="0"/>
    <xf numFmtId="0" fontId="55" fillId="0" borderId="0">
      <protection locked="0"/>
    </xf>
    <xf numFmtId="15" fontId="57" fillId="0" borderId="0" applyFont="0" applyFill="0" applyBorder="0" applyAlignment="0" applyProtection="0"/>
    <xf numFmtId="0" fontId="55" fillId="0" borderId="0">
      <protection locked="0"/>
    </xf>
    <xf numFmtId="0" fontId="55" fillId="0" borderId="0">
      <protection locked="0"/>
    </xf>
    <xf numFmtId="0" fontId="58" fillId="0" borderId="0">
      <protection locked="0"/>
    </xf>
    <xf numFmtId="1" fontId="105" fillId="50" borderId="13" applyNumberFormat="0" applyBorder="0" applyAlignment="0">
      <alignment horizontal="centerContinuous" vertical="center"/>
      <protection locked="0"/>
    </xf>
    <xf numFmtId="2" fontId="21" fillId="0" borderId="0" applyFont="0" applyFill="0" applyBorder="0" applyAlignment="0" applyProtection="0"/>
    <xf numFmtId="184" fontId="55" fillId="0" borderId="0">
      <protection locked="0"/>
    </xf>
    <xf numFmtId="167" fontId="21" fillId="0" borderId="0">
      <protection locked="0"/>
    </xf>
    <xf numFmtId="0" fontId="45" fillId="0" borderId="0"/>
    <xf numFmtId="0" fontId="106" fillId="0" borderId="0" applyFill="0" applyBorder="0" applyProtection="0">
      <alignment horizontal="left"/>
    </xf>
    <xf numFmtId="0" fontId="45" fillId="0" borderId="0"/>
    <xf numFmtId="204" fontId="87" fillId="0" borderId="0">
      <alignment vertical="center"/>
    </xf>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140" fillId="9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38" fontId="59" fillId="52" borderId="0" applyNumberFormat="0" applyBorder="0" applyAlignment="0" applyProtection="0"/>
    <xf numFmtId="0" fontId="97" fillId="0" borderId="0" applyFont="0" applyFill="0" applyBorder="0" applyAlignment="0" applyProtection="0">
      <alignment horizontal="right"/>
    </xf>
    <xf numFmtId="0" fontId="60" fillId="0" borderId="0" applyNumberFormat="0" applyFill="0" applyBorder="0" applyAlignment="0" applyProtection="0"/>
    <xf numFmtId="0" fontId="107" fillId="44" borderId="0" applyNumberFormat="0" applyBorder="0" applyAlignment="0">
      <protection hidden="1"/>
    </xf>
    <xf numFmtId="0" fontId="61" fillId="0" borderId="15" applyNumberFormat="0" applyFill="0" applyAlignment="0" applyProtection="0"/>
    <xf numFmtId="0" fontId="61" fillId="0" borderId="15" applyNumberFormat="0" applyFill="0" applyAlignment="0" applyProtection="0"/>
    <xf numFmtId="0" fontId="61" fillId="0" borderId="15" applyNumberFormat="0" applyFill="0" applyAlignment="0" applyProtection="0"/>
    <xf numFmtId="0" fontId="61" fillId="0" borderId="15" applyNumberFormat="0" applyFill="0" applyAlignment="0" applyProtection="0"/>
    <xf numFmtId="0" fontId="61" fillId="0" borderId="15" applyNumberFormat="0" applyFill="0" applyAlignment="0" applyProtection="0"/>
    <xf numFmtId="0" fontId="61" fillId="0" borderId="15" applyNumberFormat="0" applyFill="0" applyAlignment="0" applyProtection="0"/>
    <xf numFmtId="0" fontId="61" fillId="0" borderId="15" applyNumberFormat="0" applyFill="0" applyAlignment="0" applyProtection="0"/>
    <xf numFmtId="0" fontId="61" fillId="0" borderId="15" applyNumberFormat="0" applyFill="0" applyAlignment="0" applyProtection="0"/>
    <xf numFmtId="0" fontId="61" fillId="0" borderId="15" applyNumberFormat="0" applyFill="0" applyAlignment="0" applyProtection="0"/>
    <xf numFmtId="0" fontId="61" fillId="0" borderId="15" applyNumberFormat="0" applyFill="0" applyAlignment="0" applyProtection="0"/>
    <xf numFmtId="0" fontId="61" fillId="0" borderId="15" applyNumberFormat="0" applyFill="0" applyAlignment="0" applyProtection="0"/>
    <xf numFmtId="0" fontId="33" fillId="0" borderId="14" applyNumberFormat="0" applyFill="0" applyAlignment="0" applyProtection="0"/>
    <xf numFmtId="0" fontId="61" fillId="0" borderId="15" applyNumberFormat="0" applyFill="0" applyAlignment="0" applyProtection="0"/>
    <xf numFmtId="0" fontId="61" fillId="0" borderId="15" applyNumberFormat="0" applyFill="0" applyAlignment="0" applyProtection="0"/>
    <xf numFmtId="0" fontId="33" fillId="0" borderId="14" applyNumberFormat="0" applyFill="0" applyAlignment="0" applyProtection="0"/>
    <xf numFmtId="0" fontId="61" fillId="0" borderId="15" applyNumberFormat="0" applyFill="0" applyAlignment="0" applyProtection="0"/>
    <xf numFmtId="0" fontId="61" fillId="0" borderId="15" applyNumberFormat="0" applyFill="0" applyAlignment="0" applyProtection="0"/>
    <xf numFmtId="0" fontId="141" fillId="0" borderId="51" applyNumberFormat="0" applyFill="0" applyAlignment="0" applyProtection="0"/>
    <xf numFmtId="0" fontId="61" fillId="0" borderId="15" applyNumberFormat="0" applyFill="0" applyAlignment="0" applyProtection="0"/>
    <xf numFmtId="0" fontId="61" fillId="0" borderId="15" applyNumberFormat="0" applyFill="0" applyAlignment="0" applyProtection="0"/>
    <xf numFmtId="0" fontId="61" fillId="0" borderId="15" applyNumberFormat="0" applyFill="0" applyAlignment="0" applyProtection="0"/>
    <xf numFmtId="0" fontId="61" fillId="0" borderId="15" applyNumberFormat="0" applyFill="0" applyAlignment="0" applyProtection="0"/>
    <xf numFmtId="0" fontId="61" fillId="0" borderId="15" applyNumberFormat="0" applyFill="0" applyAlignment="0" applyProtection="0"/>
    <xf numFmtId="0" fontId="62" fillId="0" borderId="16" applyNumberFormat="0" applyFill="0" applyAlignment="0" applyProtection="0"/>
    <xf numFmtId="0" fontId="62" fillId="0" borderId="16" applyNumberFormat="0" applyFill="0" applyAlignment="0" applyProtection="0"/>
    <xf numFmtId="0" fontId="62" fillId="0" borderId="16" applyNumberFormat="0" applyFill="0" applyAlignment="0" applyProtection="0"/>
    <xf numFmtId="0" fontId="62" fillId="0" borderId="16" applyNumberFormat="0" applyFill="0" applyAlignment="0" applyProtection="0"/>
    <xf numFmtId="0" fontId="62" fillId="0" borderId="16" applyNumberFormat="0" applyFill="0" applyAlignment="0" applyProtection="0"/>
    <xf numFmtId="0" fontId="62" fillId="0" borderId="16" applyNumberFormat="0" applyFill="0" applyAlignment="0" applyProtection="0"/>
    <xf numFmtId="0" fontId="62" fillId="0" borderId="16" applyNumberFormat="0" applyFill="0" applyAlignment="0" applyProtection="0"/>
    <xf numFmtId="0" fontId="62" fillId="0" borderId="16" applyNumberFormat="0" applyFill="0" applyAlignment="0" applyProtection="0"/>
    <xf numFmtId="0" fontId="62" fillId="0" borderId="16" applyNumberFormat="0" applyFill="0" applyAlignment="0" applyProtection="0"/>
    <xf numFmtId="0" fontId="62" fillId="0" borderId="16" applyNumberFormat="0" applyFill="0" applyAlignment="0" applyProtection="0"/>
    <xf numFmtId="0" fontId="62" fillId="0" borderId="16" applyNumberFormat="0" applyFill="0" applyAlignment="0" applyProtection="0"/>
    <xf numFmtId="0" fontId="34" fillId="0" borderId="16" applyNumberFormat="0" applyFill="0" applyAlignment="0" applyProtection="0"/>
    <xf numFmtId="0" fontId="62" fillId="0" borderId="16" applyNumberFormat="0" applyFill="0" applyAlignment="0" applyProtection="0"/>
    <xf numFmtId="0" fontId="62" fillId="0" borderId="16" applyNumberFormat="0" applyFill="0" applyAlignment="0" applyProtection="0"/>
    <xf numFmtId="0" fontId="34" fillId="0" borderId="16" applyNumberFormat="0" applyFill="0" applyAlignment="0" applyProtection="0"/>
    <xf numFmtId="0" fontId="62" fillId="0" borderId="16" applyNumberFormat="0" applyFill="0" applyAlignment="0" applyProtection="0"/>
    <xf numFmtId="0" fontId="62" fillId="0" borderId="16" applyNumberFormat="0" applyFill="0" applyAlignment="0" applyProtection="0"/>
    <xf numFmtId="0" fontId="142" fillId="0" borderId="52" applyNumberFormat="0" applyFill="0" applyAlignment="0" applyProtection="0"/>
    <xf numFmtId="0" fontId="62" fillId="0" borderId="16" applyNumberFormat="0" applyFill="0" applyAlignment="0" applyProtection="0"/>
    <xf numFmtId="0" fontId="62" fillId="0" borderId="16" applyNumberFormat="0" applyFill="0" applyAlignment="0" applyProtection="0"/>
    <xf numFmtId="0" fontId="62" fillId="0" borderId="16" applyNumberFormat="0" applyFill="0" applyAlignment="0" applyProtection="0"/>
    <xf numFmtId="0" fontId="62" fillId="0" borderId="16" applyNumberFormat="0" applyFill="0" applyAlignment="0" applyProtection="0"/>
    <xf numFmtId="0" fontId="62" fillId="0" borderId="16"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35" fillId="0" borderId="17"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35" fillId="0" borderId="17"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143" fillId="0" borderId="53"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5"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5"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4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21" fillId="0" borderId="0">
      <protection locked="0"/>
    </xf>
    <xf numFmtId="0" fontId="64" fillId="0" borderId="0">
      <protection locked="0"/>
    </xf>
    <xf numFmtId="205" fontId="21" fillId="0" borderId="0">
      <protection locked="0"/>
    </xf>
    <xf numFmtId="0" fontId="21" fillId="0" borderId="0">
      <protection locked="0"/>
    </xf>
    <xf numFmtId="0" fontId="64" fillId="0" borderId="0">
      <protection locked="0"/>
    </xf>
    <xf numFmtId="205" fontId="21" fillId="0" borderId="0">
      <protection locked="0"/>
    </xf>
    <xf numFmtId="1" fontId="108" fillId="0" borderId="0" applyFill="0" applyBorder="0" applyProtection="0">
      <alignment horizontal="center"/>
    </xf>
    <xf numFmtId="1" fontId="108" fillId="0" borderId="0" applyFill="0" applyBorder="0">
      <alignment horizontal="center"/>
    </xf>
    <xf numFmtId="0" fontId="65" fillId="0" borderId="19" applyNumberFormat="0" applyFill="0" applyAlignment="0" applyProtection="0"/>
    <xf numFmtId="0" fontId="144" fillId="0" borderId="0" applyNumberFormat="0" applyFill="0" applyBorder="0" applyAlignment="0" applyProtection="0"/>
    <xf numFmtId="10" fontId="59" fillId="53" borderId="20" applyNumberFormat="0" applyBorder="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36" fillId="8"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145" fillId="98" borderId="49" applyNumberFormat="0" applyAlignment="0" applyProtection="0"/>
    <xf numFmtId="0" fontId="36" fillId="8" borderId="6" applyNumberFormat="0" applyAlignment="0" applyProtection="0"/>
    <xf numFmtId="0" fontId="66" fillId="40" borderId="6" applyNumberFormat="0" applyAlignment="0" applyProtection="0"/>
    <xf numFmtId="0" fontId="145" fillId="98" borderId="49" applyNumberFormat="0" applyAlignment="0" applyProtection="0"/>
    <xf numFmtId="0" fontId="66" fillId="40" borderId="6" applyNumberFormat="0" applyAlignment="0" applyProtection="0"/>
    <xf numFmtId="0" fontId="145" fillId="98" borderId="49" applyNumberFormat="0" applyAlignment="0" applyProtection="0"/>
    <xf numFmtId="0" fontId="66" fillId="40" borderId="6" applyNumberFormat="0" applyAlignment="0" applyProtection="0"/>
    <xf numFmtId="0" fontId="145" fillId="98" borderId="49" applyNumberFormat="0" applyAlignment="0" applyProtection="0"/>
    <xf numFmtId="10" fontId="59" fillId="53" borderId="0">
      <protection locked="0"/>
    </xf>
    <xf numFmtId="0" fontId="28" fillId="4" borderId="0" applyNumberFormat="0" applyBorder="0" applyAlignment="0" applyProtection="0"/>
    <xf numFmtId="0" fontId="109" fillId="54" borderId="0" applyNumberFormat="0" applyBorder="0" applyAlignment="0"/>
    <xf numFmtId="0" fontId="67" fillId="0" borderId="21"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37" fillId="0" borderId="7"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37" fillId="0" borderId="7"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146" fillId="0" borderId="54"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174" fontId="59" fillId="0" borderId="0" applyNumberFormat="0" applyFont="0" applyFill="0" applyBorder="0" applyAlignment="0">
      <protection hidden="1"/>
    </xf>
    <xf numFmtId="206" fontId="21" fillId="0" borderId="0" applyFont="0" applyFill="0" applyBorder="0" applyAlignment="0" applyProtection="0"/>
    <xf numFmtId="0" fontId="21" fillId="0" borderId="0" applyFont="0" applyFill="0" applyBorder="0" applyAlignment="0" applyProtection="0"/>
    <xf numFmtId="207" fontId="21" fillId="0" borderId="0" applyFont="0" applyFill="0" applyBorder="0" applyAlignment="0" applyProtection="0"/>
    <xf numFmtId="208" fontId="21" fillId="0" borderId="0" applyFont="0" applyFill="0" applyBorder="0" applyAlignment="0" applyProtection="0"/>
    <xf numFmtId="209" fontId="21" fillId="0" borderId="0" applyFont="0" applyFill="0" applyBorder="0" applyAlignment="0" applyProtection="0"/>
    <xf numFmtId="210" fontId="21" fillId="0" borderId="0" applyFont="0" applyFill="0" applyBorder="0" applyAlignment="0" applyProtection="0"/>
    <xf numFmtId="211" fontId="59" fillId="53" borderId="0">
      <alignment horizontal="center"/>
    </xf>
    <xf numFmtId="0" fontId="97" fillId="0" borderId="0" applyFont="0" applyFill="0" applyBorder="0" applyAlignment="0" applyProtection="0">
      <alignment horizontal="right"/>
    </xf>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2"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2"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47" fillId="9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2" borderId="0" applyNumberFormat="0" applyBorder="0" applyAlignment="0" applyProtection="0"/>
    <xf numFmtId="204" fontId="87" fillId="0" borderId="0" applyAlignment="0">
      <alignment vertical="center"/>
    </xf>
    <xf numFmtId="37" fontId="68" fillId="0" borderId="0"/>
    <xf numFmtId="185" fontId="69" fillId="0" borderId="0"/>
    <xf numFmtId="212" fontId="22" fillId="0" borderId="0"/>
    <xf numFmtId="0" fontId="148"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49" fillId="0" borderId="0"/>
    <xf numFmtId="0" fontId="134" fillId="0" borderId="0"/>
    <xf numFmtId="0" fontId="134" fillId="0" borderId="0"/>
    <xf numFmtId="0" fontId="21" fillId="0" borderId="0"/>
    <xf numFmtId="0" fontId="1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2" fillId="0" borderId="0"/>
    <xf numFmtId="0" fontId="52" fillId="0" borderId="0"/>
    <xf numFmtId="0" fontId="1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9" fillId="0" borderId="0"/>
    <xf numFmtId="0" fontId="21" fillId="0" borderId="0"/>
    <xf numFmtId="0" fontId="149" fillId="0" borderId="0"/>
    <xf numFmtId="0" fontId="149" fillId="0" borderId="0"/>
    <xf numFmtId="0" fontId="149" fillId="0" borderId="0"/>
    <xf numFmtId="0" fontId="134" fillId="0" borderId="0"/>
    <xf numFmtId="0" fontId="134" fillId="0" borderId="0"/>
    <xf numFmtId="0" fontId="134" fillId="0" borderId="0"/>
    <xf numFmtId="0" fontId="53" fillId="0" borderId="0"/>
    <xf numFmtId="0" fontId="53" fillId="0" borderId="0"/>
    <xf numFmtId="0" fontId="134" fillId="0" borderId="0"/>
    <xf numFmtId="0" fontId="23" fillId="0" borderId="0"/>
    <xf numFmtId="0" fontId="134" fillId="0" borderId="0"/>
    <xf numFmtId="0" fontId="134" fillId="0" borderId="0"/>
    <xf numFmtId="0" fontId="134" fillId="0" borderId="0"/>
    <xf numFmtId="0" fontId="134" fillId="0" borderId="0"/>
    <xf numFmtId="0" fontId="134" fillId="0" borderId="0"/>
    <xf numFmtId="0" fontId="149" fillId="0" borderId="0"/>
    <xf numFmtId="0" fontId="21"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49" fillId="0" borderId="0"/>
    <xf numFmtId="0" fontId="21"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21" fillId="0" borderId="0"/>
    <xf numFmtId="0" fontId="134" fillId="0" borderId="0"/>
    <xf numFmtId="0" fontId="134" fillId="0" borderId="0"/>
    <xf numFmtId="0" fontId="149" fillId="0" borderId="0"/>
    <xf numFmtId="0" fontId="21" fillId="0" borderId="0"/>
    <xf numFmtId="0" fontId="134" fillId="0" borderId="0"/>
    <xf numFmtId="0" fontId="149" fillId="0" borderId="0"/>
    <xf numFmtId="0" fontId="149" fillId="0" borderId="0"/>
    <xf numFmtId="0" fontId="149" fillId="0" borderId="0"/>
    <xf numFmtId="0" fontId="149" fillId="0" borderId="0"/>
    <xf numFmtId="0" fontId="149" fillId="0" borderId="0"/>
    <xf numFmtId="0" fontId="21" fillId="0" borderId="0"/>
    <xf numFmtId="0" fontId="134" fillId="0" borderId="0"/>
    <xf numFmtId="0" fontId="149" fillId="0" borderId="0"/>
    <xf numFmtId="0" fontId="149" fillId="0" borderId="0"/>
    <xf numFmtId="0" fontId="149" fillId="0" borderId="0"/>
    <xf numFmtId="0" fontId="149" fillId="0" borderId="0"/>
    <xf numFmtId="0" fontId="149" fillId="0" borderId="0"/>
    <xf numFmtId="0" fontId="21" fillId="0" borderId="0"/>
    <xf numFmtId="0" fontId="134" fillId="0" borderId="0"/>
    <xf numFmtId="0" fontId="149" fillId="0" borderId="0"/>
    <xf numFmtId="0" fontId="149" fillId="0" borderId="0"/>
    <xf numFmtId="0" fontId="149" fillId="0" borderId="0"/>
    <xf numFmtId="0" fontId="149" fillId="0" borderId="0"/>
    <xf numFmtId="0" fontId="149" fillId="0" borderId="0"/>
    <xf numFmtId="0" fontId="53" fillId="0" borderId="0"/>
    <xf numFmtId="0" fontId="134" fillId="0" borderId="0"/>
    <xf numFmtId="0" fontId="149" fillId="0" borderId="0"/>
    <xf numFmtId="0" fontId="134" fillId="0" borderId="0"/>
    <xf numFmtId="0" fontId="21" fillId="0" borderId="0"/>
    <xf numFmtId="0" fontId="53" fillId="0" borderId="0"/>
    <xf numFmtId="0" fontId="21" fillId="0" borderId="0"/>
    <xf numFmtId="0" fontId="53" fillId="0" borderId="0"/>
    <xf numFmtId="0" fontId="134" fillId="0" borderId="0"/>
    <xf numFmtId="0" fontId="134" fillId="0" borderId="0"/>
    <xf numFmtId="0" fontId="21"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21" fillId="0" borderId="0"/>
    <xf numFmtId="0" fontId="134" fillId="0" borderId="0"/>
    <xf numFmtId="0" fontId="134" fillId="0" borderId="0"/>
    <xf numFmtId="0" fontId="134" fillId="0" borderId="0"/>
    <xf numFmtId="0" fontId="134" fillId="0" borderId="0"/>
    <xf numFmtId="0" fontId="53" fillId="0" borderId="0"/>
    <xf numFmtId="0" fontId="134" fillId="0" borderId="0"/>
    <xf numFmtId="0" fontId="134" fillId="0" borderId="0"/>
    <xf numFmtId="0" fontId="134" fillId="0" borderId="0"/>
    <xf numFmtId="0" fontId="134" fillId="0" borderId="0"/>
    <xf numFmtId="0" fontId="134" fillId="0" borderId="0"/>
    <xf numFmtId="0" fontId="21"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21" fillId="0" borderId="0"/>
    <xf numFmtId="0" fontId="134" fillId="0" borderId="0"/>
    <xf numFmtId="0" fontId="134" fillId="0" borderId="0"/>
    <xf numFmtId="0" fontId="21" fillId="0" borderId="0">
      <alignment vertical="top"/>
    </xf>
    <xf numFmtId="0" fontId="53" fillId="0" borderId="0"/>
    <xf numFmtId="0" fontId="52" fillId="0" borderId="0"/>
    <xf numFmtId="0" fontId="53" fillId="0" borderId="0"/>
    <xf numFmtId="0" fontId="149" fillId="0" borderId="0"/>
    <xf numFmtId="0" fontId="149" fillId="0" borderId="0"/>
    <xf numFmtId="0" fontId="149" fillId="0" borderId="0"/>
    <xf numFmtId="0" fontId="149" fillId="0" borderId="0"/>
    <xf numFmtId="0" fontId="149" fillId="0" borderId="0"/>
    <xf numFmtId="0" fontId="134" fillId="0" borderId="0"/>
    <xf numFmtId="0" fontId="149" fillId="0" borderId="0"/>
    <xf numFmtId="0" fontId="149" fillId="0" borderId="0"/>
    <xf numFmtId="0" fontId="149" fillId="0" borderId="0"/>
    <xf numFmtId="0" fontId="149" fillId="0" borderId="0"/>
    <xf numFmtId="0" fontId="149" fillId="0" borderId="0"/>
    <xf numFmtId="0" fontId="134" fillId="0" borderId="0"/>
    <xf numFmtId="0" fontId="149" fillId="0" borderId="0"/>
    <xf numFmtId="0" fontId="26" fillId="0" borderId="0"/>
    <xf numFmtId="0" fontId="134" fillId="0" borderId="0"/>
    <xf numFmtId="0" fontId="149" fillId="0" borderId="0"/>
    <xf numFmtId="0" fontId="149" fillId="0" borderId="0"/>
    <xf numFmtId="0" fontId="149" fillId="0" borderId="0"/>
    <xf numFmtId="0" fontId="149" fillId="0" borderId="0"/>
    <xf numFmtId="0" fontId="149" fillId="0" borderId="0"/>
    <xf numFmtId="0" fontId="134" fillId="0" borderId="0"/>
    <xf numFmtId="0" fontId="149" fillId="0" borderId="0"/>
    <xf numFmtId="0" fontId="149" fillId="0" borderId="0"/>
    <xf numFmtId="0" fontId="149" fillId="0" borderId="0"/>
    <xf numFmtId="0" fontId="149" fillId="0" borderId="0"/>
    <xf numFmtId="0" fontId="149" fillId="0" borderId="0"/>
    <xf numFmtId="0" fontId="134" fillId="0" borderId="0"/>
    <xf numFmtId="0" fontId="149" fillId="0" borderId="0"/>
    <xf numFmtId="0" fontId="149" fillId="0" borderId="0"/>
    <xf numFmtId="0" fontId="149" fillId="0" borderId="0"/>
    <xf numFmtId="0" fontId="149" fillId="0" borderId="0"/>
    <xf numFmtId="0" fontId="149" fillId="0" borderId="0"/>
    <xf numFmtId="0" fontId="134" fillId="0" borderId="0"/>
    <xf numFmtId="0" fontId="149" fillId="0" borderId="0"/>
    <xf numFmtId="0" fontId="149" fillId="0" borderId="0"/>
    <xf numFmtId="0" fontId="149" fillId="0" borderId="0"/>
    <xf numFmtId="0" fontId="149" fillId="0" borderId="0"/>
    <xf numFmtId="0" fontId="149" fillId="0" borderId="0"/>
    <xf numFmtId="0" fontId="134" fillId="0" borderId="0"/>
    <xf numFmtId="0" fontId="149" fillId="0" borderId="0"/>
    <xf numFmtId="0" fontId="134" fillId="0" borderId="0"/>
    <xf numFmtId="0" fontId="149" fillId="0" borderId="0"/>
    <xf numFmtId="0" fontId="134" fillId="0" borderId="0"/>
    <xf numFmtId="0" fontId="134" fillId="0" borderId="0"/>
    <xf numFmtId="0" fontId="134" fillId="0" borderId="0"/>
    <xf numFmtId="0" fontId="134" fillId="0" borderId="0"/>
    <xf numFmtId="0" fontId="150" fillId="0" borderId="0"/>
    <xf numFmtId="0" fontId="21" fillId="0" borderId="0">
      <alignment wrapText="1"/>
    </xf>
    <xf numFmtId="0" fontId="26" fillId="0" borderId="0"/>
    <xf numFmtId="0" fontId="134" fillId="0" borderId="0"/>
    <xf numFmtId="0" fontId="134" fillId="0" borderId="0"/>
    <xf numFmtId="0" fontId="134" fillId="0" borderId="0"/>
    <xf numFmtId="0" fontId="134" fillId="0" borderId="0"/>
    <xf numFmtId="0" fontId="21" fillId="0" borderId="0"/>
    <xf numFmtId="0" fontId="5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21" fillId="0" borderId="0"/>
    <xf numFmtId="0" fontId="21" fillId="0" borderId="0"/>
    <xf numFmtId="0" fontId="21" fillId="0" borderId="0">
      <alignment wrapText="1"/>
    </xf>
    <xf numFmtId="0" fontId="21" fillId="0" borderId="0">
      <alignment wrapText="1"/>
    </xf>
    <xf numFmtId="0" fontId="150" fillId="0" borderId="0"/>
    <xf numFmtId="0" fontId="54" fillId="0" borderId="0"/>
    <xf numFmtId="0" fontId="149"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21" fillId="0" borderId="0"/>
    <xf numFmtId="0" fontId="134" fillId="0" borderId="0"/>
    <xf numFmtId="0" fontId="134" fillId="0" borderId="0"/>
    <xf numFmtId="0" fontId="134" fillId="0" borderId="0"/>
    <xf numFmtId="0" fontId="21" fillId="0" borderId="0"/>
    <xf numFmtId="0" fontId="21" fillId="0" borderId="0"/>
    <xf numFmtId="0" fontId="21" fillId="0" borderId="0"/>
    <xf numFmtId="0" fontId="134" fillId="0" borderId="0"/>
    <xf numFmtId="0" fontId="21" fillId="0" borderId="0"/>
    <xf numFmtId="0" fontId="21" fillId="0" borderId="0"/>
    <xf numFmtId="0" fontId="134" fillId="0" borderId="0"/>
    <xf numFmtId="0" fontId="21" fillId="0" borderId="0"/>
    <xf numFmtId="0" fontId="21" fillId="0" borderId="0"/>
    <xf numFmtId="0" fontId="134" fillId="0" borderId="0"/>
    <xf numFmtId="0" fontId="21" fillId="0" borderId="0"/>
    <xf numFmtId="0" fontId="21" fillId="0" borderId="0"/>
    <xf numFmtId="0" fontId="134" fillId="0" borderId="0"/>
    <xf numFmtId="0" fontId="21" fillId="0" borderId="0"/>
    <xf numFmtId="0" fontId="21" fillId="0" borderId="0"/>
    <xf numFmtId="0" fontId="134" fillId="0" borderId="0"/>
    <xf numFmtId="0" fontId="21" fillId="0" borderId="0"/>
    <xf numFmtId="0" fontId="21" fillId="0" borderId="0"/>
    <xf numFmtId="0" fontId="134" fillId="0" borderId="0"/>
    <xf numFmtId="0" fontId="151" fillId="0" borderId="0"/>
    <xf numFmtId="0" fontId="134" fillId="0" borderId="0"/>
    <xf numFmtId="0" fontId="134" fillId="0" borderId="0"/>
    <xf numFmtId="0" fontId="21" fillId="0" borderId="0"/>
    <xf numFmtId="0" fontId="151" fillId="0" borderId="0"/>
    <xf numFmtId="0" fontId="21" fillId="0" borderId="0"/>
    <xf numFmtId="0" fontId="134" fillId="0" borderId="0"/>
    <xf numFmtId="0" fontId="134" fillId="0" borderId="0"/>
    <xf numFmtId="0" fontId="134" fillId="0" borderId="0"/>
    <xf numFmtId="0" fontId="150" fillId="0" borderId="0"/>
    <xf numFmtId="0" fontId="26" fillId="0" borderId="0"/>
    <xf numFmtId="0" fontId="21" fillId="0" borderId="0"/>
    <xf numFmtId="0" fontId="21" fillId="0" borderId="0"/>
    <xf numFmtId="0" fontId="1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34" fillId="0" borderId="0"/>
    <xf numFmtId="0" fontId="134" fillId="0" borderId="0"/>
    <xf numFmtId="0" fontId="52" fillId="0" borderId="0"/>
    <xf numFmtId="0" fontId="23" fillId="0" borderId="0"/>
    <xf numFmtId="0" fontId="149" fillId="0" borderId="0"/>
    <xf numFmtId="0" fontId="21" fillId="0" borderId="0"/>
    <xf numFmtId="0" fontId="54" fillId="0" borderId="0"/>
    <xf numFmtId="0" fontId="21" fillId="0" borderId="0"/>
    <xf numFmtId="0" fontId="21" fillId="0" borderId="0">
      <alignment wrapText="1"/>
    </xf>
    <xf numFmtId="0" fontId="21" fillId="0" borderId="0"/>
    <xf numFmtId="0" fontId="26" fillId="0" borderId="0"/>
    <xf numFmtId="0" fontId="54" fillId="0" borderId="0"/>
    <xf numFmtId="0" fontId="134" fillId="0" borderId="0"/>
    <xf numFmtId="0" fontId="150" fillId="0" borderId="0"/>
    <xf numFmtId="0" fontId="134" fillId="0" borderId="0"/>
    <xf numFmtId="0" fontId="53" fillId="0" borderId="0"/>
    <xf numFmtId="0" fontId="134" fillId="0" borderId="0"/>
    <xf numFmtId="0" fontId="53" fillId="0" borderId="0"/>
    <xf numFmtId="0" fontId="134" fillId="0" borderId="0"/>
    <xf numFmtId="0" fontId="53" fillId="0" borderId="0"/>
    <xf numFmtId="0" fontId="134" fillId="0" borderId="0"/>
    <xf numFmtId="0" fontId="53" fillId="0" borderId="0"/>
    <xf numFmtId="0" fontId="53" fillId="0" borderId="0"/>
    <xf numFmtId="0" fontId="53" fillId="0" borderId="0"/>
    <xf numFmtId="0" fontId="53" fillId="0" borderId="0"/>
    <xf numFmtId="0" fontId="53" fillId="0" borderId="0"/>
    <xf numFmtId="0" fontId="53" fillId="0" borderId="0"/>
    <xf numFmtId="0" fontId="21" fillId="0" borderId="0"/>
    <xf numFmtId="0" fontId="134" fillId="0" borderId="0"/>
    <xf numFmtId="0" fontId="134" fillId="0" borderId="0"/>
    <xf numFmtId="0" fontId="134" fillId="0" borderId="0"/>
    <xf numFmtId="0" fontId="134" fillId="0" borderId="0"/>
    <xf numFmtId="0" fontId="26" fillId="0" borderId="0"/>
    <xf numFmtId="0" fontId="13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34" fillId="0" borderId="0"/>
    <xf numFmtId="0" fontId="134" fillId="0" borderId="0"/>
    <xf numFmtId="0" fontId="134" fillId="0" borderId="0"/>
    <xf numFmtId="0" fontId="134" fillId="0" borderId="0"/>
    <xf numFmtId="0" fontId="21" fillId="0" borderId="0"/>
    <xf numFmtId="0" fontId="26" fillId="0" borderId="0"/>
    <xf numFmtId="0" fontId="52" fillId="0" borderId="0"/>
    <xf numFmtId="0" fontId="53" fillId="0" borderId="0"/>
    <xf numFmtId="0" fontId="2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1" fillId="0" borderId="0"/>
    <xf numFmtId="0" fontId="134" fillId="0" borderId="0"/>
    <xf numFmtId="0" fontId="134" fillId="0" borderId="0"/>
    <xf numFmtId="0" fontId="134" fillId="0" borderId="0"/>
    <xf numFmtId="0" fontId="134" fillId="0" borderId="0"/>
    <xf numFmtId="0" fontId="26"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34" fillId="0" borderId="0"/>
    <xf numFmtId="0" fontId="21" fillId="0" borderId="0"/>
    <xf numFmtId="0" fontId="134" fillId="0" borderId="0"/>
    <xf numFmtId="0" fontId="26" fillId="0" borderId="0"/>
    <xf numFmtId="0" fontId="52" fillId="0" borderId="0"/>
    <xf numFmtId="0" fontId="53" fillId="0" borderId="0"/>
    <xf numFmtId="0" fontId="53" fillId="0" borderId="0"/>
    <xf numFmtId="0" fontId="53" fillId="0" borderId="0"/>
    <xf numFmtId="0" fontId="53" fillId="0" borderId="0"/>
    <xf numFmtId="0" fontId="134" fillId="0" borderId="0"/>
    <xf numFmtId="0" fontId="134" fillId="0" borderId="0"/>
    <xf numFmtId="0" fontId="21" fillId="0" borderId="0"/>
    <xf numFmtId="0" fontId="21" fillId="0" borderId="0"/>
    <xf numFmtId="0" fontId="21" fillId="0" borderId="0"/>
    <xf numFmtId="0" fontId="21" fillId="0" borderId="0"/>
    <xf numFmtId="174" fontId="86" fillId="0" borderId="0" applyNumberFormat="0" applyFill="0" applyBorder="0" applyAlignment="0" applyProtection="0"/>
    <xf numFmtId="0" fontId="18" fillId="0" borderId="0"/>
    <xf numFmtId="0" fontId="18" fillId="0" borderId="0"/>
    <xf numFmtId="0" fontId="110" fillId="0" borderId="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43" fillId="100" borderId="55" applyNumberFormat="0" applyFont="0" applyAlignment="0" applyProtection="0"/>
    <xf numFmtId="0" fontId="43" fillId="100" borderId="55" applyNumberFormat="0" applyFont="0" applyAlignment="0" applyProtection="0"/>
    <xf numFmtId="0" fontId="131" fillId="100" borderId="55" applyNumberFormat="0" applyFont="0" applyAlignment="0" applyProtection="0"/>
    <xf numFmtId="0" fontId="131" fillId="100" borderId="55" applyNumberFormat="0" applyFont="0" applyAlignment="0" applyProtection="0"/>
    <xf numFmtId="0" fontId="21" fillId="11" borderId="11" applyNumberFormat="0" applyFont="0" applyAlignment="0" applyProtection="0"/>
    <xf numFmtId="0" fontId="43" fillId="100" borderId="55"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43" fillId="100" borderId="55" applyNumberFormat="0" applyFont="0" applyAlignment="0" applyProtection="0"/>
    <xf numFmtId="0" fontId="43" fillId="100" borderId="55" applyNumberFormat="0" applyFont="0" applyAlignment="0" applyProtection="0"/>
    <xf numFmtId="0" fontId="131" fillId="100" borderId="55" applyNumberFormat="0" applyFont="0" applyAlignment="0" applyProtection="0"/>
    <xf numFmtId="0" fontId="131" fillId="100" borderId="55" applyNumberFormat="0" applyFont="0" applyAlignment="0" applyProtection="0"/>
    <xf numFmtId="0" fontId="43" fillId="100" borderId="55"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43" fillId="100" borderId="55" applyNumberFormat="0" applyFont="0" applyAlignment="0" applyProtection="0"/>
    <xf numFmtId="0" fontId="131" fillId="100" borderId="55" applyNumberFormat="0" applyFont="0" applyAlignment="0" applyProtection="0"/>
    <xf numFmtId="0" fontId="43" fillId="100" borderId="55" applyNumberFormat="0" applyFont="0" applyAlignment="0" applyProtection="0"/>
    <xf numFmtId="0" fontId="131" fillId="100" borderId="55" applyNumberFormat="0" applyFont="0" applyAlignment="0" applyProtection="0"/>
    <xf numFmtId="0" fontId="43" fillId="100" borderId="55" applyNumberFormat="0" applyFont="0" applyAlignment="0" applyProtection="0"/>
    <xf numFmtId="0" fontId="131" fillId="100" borderId="55" applyNumberFormat="0" applyFont="0" applyAlignment="0" applyProtection="0"/>
    <xf numFmtId="0" fontId="21" fillId="39" borderId="11" applyNumberFormat="0" applyFont="0" applyAlignment="0" applyProtection="0"/>
    <xf numFmtId="0" fontId="43" fillId="100" borderId="55" applyNumberFormat="0" applyFont="0" applyAlignment="0" applyProtection="0"/>
    <xf numFmtId="0" fontId="43" fillId="100" borderId="55" applyNumberFormat="0" applyFont="0" applyAlignment="0" applyProtection="0"/>
    <xf numFmtId="0" fontId="131" fillId="100" borderId="55" applyNumberFormat="0" applyFont="0" applyAlignment="0" applyProtection="0"/>
    <xf numFmtId="0" fontId="131" fillId="100" borderId="55" applyNumberFormat="0" applyFont="0" applyAlignment="0" applyProtection="0"/>
    <xf numFmtId="0" fontId="43" fillId="100" borderId="55" applyNumberFormat="0" applyFont="0" applyAlignment="0" applyProtection="0"/>
    <xf numFmtId="0" fontId="43" fillId="100" borderId="55" applyNumberFormat="0" applyFont="0" applyAlignment="0" applyProtection="0"/>
    <xf numFmtId="0" fontId="131" fillId="100" borderId="55" applyNumberFormat="0" applyFont="0" applyAlignment="0" applyProtection="0"/>
    <xf numFmtId="0" fontId="43" fillId="100" borderId="55" applyNumberFormat="0" applyFont="0" applyAlignment="0" applyProtection="0"/>
    <xf numFmtId="0" fontId="131" fillId="100" borderId="55"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53" fillId="11"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70" fillId="100" borderId="55" applyNumberFormat="0" applyFont="0" applyAlignment="0" applyProtection="0"/>
    <xf numFmtId="0" fontId="132" fillId="100" borderId="55" applyNumberFormat="0" applyFont="0" applyAlignment="0" applyProtection="0"/>
    <xf numFmtId="0" fontId="21" fillId="39" borderId="11" applyNumberFormat="0" applyFont="0" applyAlignment="0" applyProtection="0"/>
    <xf numFmtId="0" fontId="54" fillId="0" borderId="0" applyFill="0" applyBorder="0" applyProtection="0">
      <alignment horizontal="centerContinuous"/>
    </xf>
    <xf numFmtId="41" fontId="111" fillId="0" borderId="0" applyFont="0" applyFill="0" applyBorder="0" applyAlignment="0" applyProtection="0"/>
    <xf numFmtId="186" fontId="45" fillId="0" borderId="0"/>
    <xf numFmtId="0" fontId="39" fillId="45" borderId="22" applyNumberFormat="0" applyAlignment="0" applyProtection="0"/>
    <xf numFmtId="0" fontId="39" fillId="45" borderId="22" applyNumberFormat="0" applyAlignment="0" applyProtection="0"/>
    <xf numFmtId="0" fontId="39" fillId="45" borderId="22" applyNumberFormat="0" applyAlignment="0" applyProtection="0"/>
    <xf numFmtId="0" fontId="39" fillId="45" borderId="22" applyNumberFormat="0" applyAlignment="0" applyProtection="0"/>
    <xf numFmtId="0" fontId="39" fillId="45" borderId="22" applyNumberFormat="0" applyAlignment="0" applyProtection="0"/>
    <xf numFmtId="0" fontId="39" fillId="45" borderId="22" applyNumberFormat="0" applyAlignment="0" applyProtection="0"/>
    <xf numFmtId="0" fontId="39" fillId="45" borderId="22" applyNumberFormat="0" applyAlignment="0" applyProtection="0"/>
    <xf numFmtId="0" fontId="39" fillId="45" borderId="22" applyNumberFormat="0" applyAlignment="0" applyProtection="0"/>
    <xf numFmtId="0" fontId="39" fillId="45" borderId="22" applyNumberFormat="0" applyAlignment="0" applyProtection="0"/>
    <xf numFmtId="0" fontId="39" fillId="45" borderId="22" applyNumberFormat="0" applyAlignment="0" applyProtection="0"/>
    <xf numFmtId="0" fontId="39" fillId="45" borderId="22" applyNumberFormat="0" applyAlignment="0" applyProtection="0"/>
    <xf numFmtId="0" fontId="39" fillId="18" borderId="22" applyNumberFormat="0" applyAlignment="0" applyProtection="0"/>
    <xf numFmtId="0" fontId="39" fillId="45" borderId="22" applyNumberFormat="0" applyAlignment="0" applyProtection="0"/>
    <xf numFmtId="0" fontId="39" fillId="45" borderId="22" applyNumberFormat="0" applyAlignment="0" applyProtection="0"/>
    <xf numFmtId="0" fontId="39" fillId="18" borderId="22" applyNumberFormat="0" applyAlignment="0" applyProtection="0"/>
    <xf numFmtId="0" fontId="39" fillId="45" borderId="22" applyNumberFormat="0" applyAlignment="0" applyProtection="0"/>
    <xf numFmtId="0" fontId="39" fillId="45" borderId="22" applyNumberFormat="0" applyAlignment="0" applyProtection="0"/>
    <xf numFmtId="0" fontId="152" fillId="95" borderId="56" applyNumberFormat="0" applyAlignment="0" applyProtection="0"/>
    <xf numFmtId="0" fontId="39" fillId="45" borderId="22" applyNumberFormat="0" applyAlignment="0" applyProtection="0"/>
    <xf numFmtId="0" fontId="39" fillId="45" borderId="22" applyNumberFormat="0" applyAlignment="0" applyProtection="0"/>
    <xf numFmtId="0" fontId="39" fillId="45" borderId="22" applyNumberFormat="0" applyAlignment="0" applyProtection="0"/>
    <xf numFmtId="0" fontId="39" fillId="45" borderId="22" applyNumberFormat="0" applyAlignment="0" applyProtection="0"/>
    <xf numFmtId="0" fontId="39" fillId="45" borderId="22" applyNumberFormat="0" applyAlignment="0" applyProtection="0"/>
    <xf numFmtId="213" fontId="21" fillId="0" borderId="0">
      <protection hidden="1"/>
    </xf>
    <xf numFmtId="1" fontId="112" fillId="0" borderId="0" applyProtection="0">
      <alignment horizontal="right" vertical="center"/>
    </xf>
    <xf numFmtId="0" fontId="45" fillId="0" borderId="0"/>
    <xf numFmtId="9" fontId="17" fillId="0" borderId="0" applyFont="0" applyFill="0" applyBorder="0" applyAlignment="0" applyProtection="0"/>
    <xf numFmtId="10" fontId="21" fillId="0" borderId="0" applyFont="0" applyFill="0" applyBorder="0" applyAlignment="0" applyProtection="0"/>
    <xf numFmtId="9" fontId="54"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21"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21" fillId="0" borderId="0" applyFont="0" applyFill="0" applyBorder="0" applyAlignment="0" applyProtection="0"/>
    <xf numFmtId="10" fontId="54" fillId="0" borderId="0" applyFill="0" applyBorder="0" applyProtection="0">
      <alignment horizontal="center"/>
    </xf>
    <xf numFmtId="10" fontId="54" fillId="0" borderId="0" applyFill="0" applyBorder="0" applyProtection="0">
      <alignment horizontal="center"/>
    </xf>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4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43" fillId="0" borderId="0" applyFont="0" applyFill="0" applyBorder="0" applyAlignment="0" applyProtection="0"/>
    <xf numFmtId="9" fontId="131" fillId="0" borderId="0" applyFont="0" applyFill="0" applyBorder="0" applyAlignment="0" applyProtection="0"/>
    <xf numFmtId="9" fontId="59" fillId="0" borderId="0" applyFont="0" applyFill="0" applyBorder="0" applyAlignment="0" applyProtection="0"/>
    <xf numFmtId="9" fontId="43" fillId="0" borderId="0" applyFont="0" applyFill="0" applyBorder="0" applyAlignment="0" applyProtection="0"/>
    <xf numFmtId="9" fontId="21" fillId="0" borderId="0" applyFont="0" applyFill="0" applyBorder="0" applyAlignment="0" applyProtection="0"/>
    <xf numFmtId="9" fontId="131"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31" fillId="0" borderId="0" applyFont="0" applyFill="0" applyBorder="0" applyAlignment="0" applyProtection="0"/>
    <xf numFmtId="9" fontId="21" fillId="0" borderId="0" applyFont="0" applyFill="0" applyBorder="0" applyAlignment="0" applyProtection="0"/>
    <xf numFmtId="9" fontId="131" fillId="0" borderId="0" applyFont="0" applyFill="0" applyBorder="0" applyAlignment="0" applyProtection="0"/>
    <xf numFmtId="9" fontId="43" fillId="0" borderId="0" applyFont="0" applyFill="0" applyBorder="0" applyAlignment="0" applyProtection="0"/>
    <xf numFmtId="9" fontId="131" fillId="0" borderId="0" applyFont="0" applyFill="0" applyBorder="0" applyAlignment="0" applyProtection="0"/>
    <xf numFmtId="9" fontId="21" fillId="0" borderId="0" applyFont="0" applyFill="0" applyBorder="0" applyAlignment="0" applyProtection="0"/>
    <xf numFmtId="9" fontId="131"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21" fillId="0" borderId="0" applyFont="0" applyFill="0" applyBorder="0" applyAlignment="0" applyProtection="0"/>
    <xf numFmtId="9" fontId="43"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43" fillId="0" borderId="0" applyFont="0" applyFill="0" applyBorder="0" applyAlignment="0" applyProtection="0"/>
    <xf numFmtId="9" fontId="21" fillId="0" borderId="0" applyFont="0" applyFill="0" applyBorder="0" applyAlignment="0" applyProtection="0"/>
    <xf numFmtId="9" fontId="131"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31" fillId="0" borderId="0" applyFont="0" applyFill="0" applyBorder="0" applyAlignment="0" applyProtection="0"/>
    <xf numFmtId="9" fontId="26" fillId="0" borderId="0" applyFont="0" applyFill="0" applyBorder="0" applyAlignment="0" applyProtection="0"/>
    <xf numFmtId="9" fontId="131" fillId="0" borderId="0" applyFont="0" applyFill="0" applyBorder="0" applyAlignment="0" applyProtection="0"/>
    <xf numFmtId="9" fontId="43" fillId="0" borderId="0" applyFont="0" applyFill="0" applyBorder="0" applyAlignment="0" applyProtection="0"/>
    <xf numFmtId="9" fontId="131" fillId="0" borderId="0" applyFont="0" applyFill="0" applyBorder="0" applyAlignment="0" applyProtection="0"/>
    <xf numFmtId="9" fontId="21" fillId="0" borderId="0" applyFont="0" applyFill="0" applyBorder="0" applyAlignment="0" applyProtection="0"/>
    <xf numFmtId="9" fontId="131" fillId="0" borderId="0" applyFont="0" applyFill="0" applyBorder="0" applyAlignment="0" applyProtection="0"/>
    <xf numFmtId="9" fontId="43" fillId="0" borderId="0" applyFont="0" applyFill="0" applyBorder="0" applyAlignment="0" applyProtection="0"/>
    <xf numFmtId="9" fontId="54" fillId="0" borderId="0" applyFont="0" applyFill="0" applyBorder="0" applyAlignment="0" applyProtection="0"/>
    <xf numFmtId="9" fontId="43"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0" fontId="21" fillId="0" borderId="0" applyFont="0" applyFill="0" applyBorder="0" applyAlignment="0" applyProtection="0"/>
    <xf numFmtId="214" fontId="55" fillId="0" borderId="0">
      <protection locked="0"/>
    </xf>
    <xf numFmtId="0" fontId="113" fillId="0" borderId="0" applyNumberFormat="0" applyFill="0" applyBorder="0" applyAlignment="0" applyProtection="0"/>
    <xf numFmtId="215" fontId="21" fillId="0" borderId="0"/>
    <xf numFmtId="216" fontId="20" fillId="0" borderId="0"/>
    <xf numFmtId="217" fontId="114" fillId="52" borderId="0" applyBorder="0" applyAlignment="0">
      <protection hidden="1"/>
    </xf>
    <xf numFmtId="1" fontId="114" fillId="52" borderId="0">
      <alignment horizontal="center"/>
    </xf>
    <xf numFmtId="0" fontId="18" fillId="0" borderId="0" applyNumberFormat="0" applyFont="0" applyFill="0" applyBorder="0" applyAlignment="0" applyProtection="0">
      <alignment horizontal="left"/>
    </xf>
    <xf numFmtId="0" fontId="24" fillId="0" borderId="0" applyNumberFormat="0" applyFont="0" applyFill="0" applyBorder="0" applyAlignment="0" applyProtection="0">
      <alignment horizontal="left"/>
    </xf>
    <xf numFmtId="15" fontId="18" fillId="0" borderId="0" applyFont="0" applyFill="0" applyBorder="0" applyAlignment="0" applyProtection="0"/>
    <xf numFmtId="15" fontId="24" fillId="0" borderId="0" applyFont="0" applyFill="0" applyBorder="0" applyAlignment="0" applyProtection="0"/>
    <xf numFmtId="4" fontId="18" fillId="0" borderId="0" applyFont="0" applyFill="0" applyBorder="0" applyAlignment="0" applyProtection="0"/>
    <xf numFmtId="4" fontId="24" fillId="0" borderId="0" applyFont="0" applyFill="0" applyBorder="0" applyAlignment="0" applyProtection="0"/>
    <xf numFmtId="0" fontId="19" fillId="0" borderId="9">
      <alignment horizontal="center"/>
    </xf>
    <xf numFmtId="0" fontId="25" fillId="0" borderId="9">
      <alignment horizontal="center"/>
    </xf>
    <xf numFmtId="3" fontId="18" fillId="0" borderId="0" applyFont="0" applyFill="0" applyBorder="0" applyAlignment="0" applyProtection="0"/>
    <xf numFmtId="3" fontId="24" fillId="0" borderId="0" applyFont="0" applyFill="0" applyBorder="0" applyAlignment="0" applyProtection="0"/>
    <xf numFmtId="0" fontId="18" fillId="55" borderId="0" applyNumberFormat="0" applyFont="0" applyBorder="0" applyAlignment="0" applyProtection="0"/>
    <xf numFmtId="0" fontId="24" fillId="55" borderId="0" applyNumberFormat="0" applyFont="0" applyBorder="0" applyAlignment="0" applyProtection="0"/>
    <xf numFmtId="0" fontId="71" fillId="0" borderId="0" applyNumberFormat="0" applyFill="0" applyBorder="0" applyAlignment="0" applyProtection="0"/>
    <xf numFmtId="3" fontId="115" fillId="0" borderId="23" applyBorder="0">
      <alignment horizontal="right" wrapText="1"/>
    </xf>
    <xf numFmtId="4" fontId="115" fillId="0" borderId="24" applyBorder="0">
      <alignment horizontal="right" wrapText="1"/>
    </xf>
    <xf numFmtId="0" fontId="116" fillId="0" borderId="0">
      <alignment horizontal="left" vertical="center"/>
    </xf>
    <xf numFmtId="4" fontId="72" fillId="2" borderId="25" applyNumberFormat="0" applyProtection="0">
      <alignment vertical="center"/>
    </xf>
    <xf numFmtId="4" fontId="72" fillId="0" borderId="25" applyNumberFormat="0" applyProtection="0">
      <alignment vertical="center"/>
    </xf>
    <xf numFmtId="4" fontId="72" fillId="0" borderId="25" applyNumberFormat="0" applyProtection="0">
      <alignment vertical="center"/>
    </xf>
    <xf numFmtId="4" fontId="72" fillId="0" borderId="25" applyNumberFormat="0" applyProtection="0">
      <alignment vertical="center"/>
    </xf>
    <xf numFmtId="4" fontId="72" fillId="0" borderId="25" applyNumberFormat="0" applyProtection="0">
      <alignment vertical="center"/>
    </xf>
    <xf numFmtId="4" fontId="72" fillId="0" borderId="25" applyNumberFormat="0" applyProtection="0">
      <alignment vertical="center"/>
    </xf>
    <xf numFmtId="4" fontId="72" fillId="0" borderId="25" applyNumberFormat="0" applyProtection="0">
      <alignment vertical="center"/>
    </xf>
    <xf numFmtId="4" fontId="21" fillId="33" borderId="20" applyNumberFormat="0" applyProtection="0">
      <alignment vertical="center"/>
    </xf>
    <xf numFmtId="4" fontId="72" fillId="0" borderId="25" applyNumberFormat="0" applyProtection="0">
      <alignment vertical="center"/>
    </xf>
    <xf numFmtId="4" fontId="73" fillId="2" borderId="25" applyNumberFormat="0" applyProtection="0">
      <alignment vertical="center"/>
    </xf>
    <xf numFmtId="4" fontId="72" fillId="2" borderId="25" applyNumberFormat="0" applyProtection="0">
      <alignment horizontal="left" vertical="center" indent="1"/>
    </xf>
    <xf numFmtId="4" fontId="72" fillId="0" borderId="25" applyNumberFormat="0" applyProtection="0">
      <alignment horizontal="left" vertical="center" indent="1"/>
    </xf>
    <xf numFmtId="4" fontId="72" fillId="0" borderId="25" applyNumberFormat="0" applyProtection="0">
      <alignment horizontal="left" vertical="center" indent="1"/>
    </xf>
    <xf numFmtId="4" fontId="72" fillId="0" borderId="25" applyNumberFormat="0" applyProtection="0">
      <alignment horizontal="left" vertical="center" indent="1"/>
    </xf>
    <xf numFmtId="4" fontId="72" fillId="0" borderId="25" applyNumberFormat="0" applyProtection="0">
      <alignment horizontal="left" vertical="center" indent="1"/>
    </xf>
    <xf numFmtId="4" fontId="72" fillId="0" borderId="25" applyNumberFormat="0" applyProtection="0">
      <alignment horizontal="left" vertical="center" indent="1"/>
    </xf>
    <xf numFmtId="4" fontId="72" fillId="0" borderId="25" applyNumberFormat="0" applyProtection="0">
      <alignment horizontal="left" vertical="center" indent="1"/>
    </xf>
    <xf numFmtId="4" fontId="72" fillId="56" borderId="0" applyNumberFormat="0" applyProtection="0">
      <alignment horizontal="left" vertical="center" indent="1"/>
    </xf>
    <xf numFmtId="4" fontId="72" fillId="0" borderId="25" applyNumberFormat="0" applyProtection="0">
      <alignment horizontal="left" vertical="center" indent="1"/>
    </xf>
    <xf numFmtId="0" fontId="72" fillId="2" borderId="25" applyNumberFormat="0" applyProtection="0">
      <alignment horizontal="left" vertical="top" indent="1"/>
    </xf>
    <xf numFmtId="4" fontId="72" fillId="9" borderId="0" applyNumberFormat="0" applyProtection="0">
      <alignment horizontal="left" vertical="center" indent="1"/>
    </xf>
    <xf numFmtId="4" fontId="72" fillId="0" borderId="0" applyNumberFormat="0" applyProtection="0">
      <alignment horizontal="left" vertical="center" indent="1"/>
    </xf>
    <xf numFmtId="4" fontId="72" fillId="0" borderId="0" applyNumberFormat="0" applyProtection="0">
      <alignment horizontal="left" vertical="center" indent="1"/>
    </xf>
    <xf numFmtId="4" fontId="72" fillId="0" borderId="0" applyNumberFormat="0" applyProtection="0">
      <alignment horizontal="left" vertical="center" indent="1"/>
    </xf>
    <xf numFmtId="4" fontId="72" fillId="0" borderId="0" applyNumberFormat="0" applyProtection="0">
      <alignment horizontal="left" vertical="center" indent="1"/>
    </xf>
    <xf numFmtId="4" fontId="72" fillId="0" borderId="0" applyNumberFormat="0" applyProtection="0">
      <alignment horizontal="left" vertical="center" indent="1"/>
    </xf>
    <xf numFmtId="4" fontId="72" fillId="0" borderId="0" applyNumberFormat="0" applyProtection="0">
      <alignment horizontal="left" vertical="center" indent="1"/>
    </xf>
    <xf numFmtId="4" fontId="117" fillId="57" borderId="0" applyNumberFormat="0" applyProtection="0">
      <alignment vertical="center"/>
    </xf>
    <xf numFmtId="4" fontId="72" fillId="0" borderId="0" applyNumberFormat="0" applyProtection="0">
      <alignment horizontal="left" vertical="center" indent="1"/>
    </xf>
    <xf numFmtId="4" fontId="46" fillId="4" borderId="25" applyNumberFormat="0" applyProtection="0">
      <alignment horizontal="right" vertical="center"/>
    </xf>
    <xf numFmtId="4" fontId="46" fillId="10" borderId="25" applyNumberFormat="0" applyProtection="0">
      <alignment horizontal="right" vertical="center"/>
    </xf>
    <xf numFmtId="4" fontId="46" fillId="28" borderId="25" applyNumberFormat="0" applyProtection="0">
      <alignment horizontal="right" vertical="center"/>
    </xf>
    <xf numFmtId="4" fontId="46" fillId="15" borderId="25" applyNumberFormat="0" applyProtection="0">
      <alignment horizontal="right" vertical="center"/>
    </xf>
    <xf numFmtId="4" fontId="46" fillId="22" borderId="25" applyNumberFormat="0" applyProtection="0">
      <alignment horizontal="right" vertical="center"/>
    </xf>
    <xf numFmtId="4" fontId="46" fillId="38" borderId="25" applyNumberFormat="0" applyProtection="0">
      <alignment horizontal="right" vertical="center"/>
    </xf>
    <xf numFmtId="4" fontId="46" fillId="17" borderId="25" applyNumberFormat="0" applyProtection="0">
      <alignment horizontal="right" vertical="center"/>
    </xf>
    <xf numFmtId="4" fontId="46" fillId="58" borderId="25" applyNumberFormat="0" applyProtection="0">
      <alignment horizontal="right" vertical="center"/>
    </xf>
    <xf numFmtId="4" fontId="46" fillId="14" borderId="25" applyNumberFormat="0" applyProtection="0">
      <alignment horizontal="right" vertical="center"/>
    </xf>
    <xf numFmtId="4" fontId="72" fillId="59" borderId="26" applyNumberFormat="0" applyProtection="0">
      <alignment horizontal="left" vertical="center" indent="1"/>
    </xf>
    <xf numFmtId="4" fontId="46" fillId="60" borderId="0" applyNumberFormat="0" applyProtection="0">
      <alignment horizontal="left" vertical="center" indent="1"/>
    </xf>
    <xf numFmtId="4" fontId="74" fillId="16" borderId="0" applyNumberFormat="0" applyProtection="0">
      <alignment horizontal="left" vertical="center" indent="1"/>
    </xf>
    <xf numFmtId="4" fontId="74" fillId="16" borderId="0" applyNumberFormat="0" applyProtection="0">
      <alignment horizontal="left" vertical="center" indent="1"/>
    </xf>
    <xf numFmtId="4" fontId="74" fillId="16" borderId="0" applyNumberFormat="0" applyProtection="0">
      <alignment horizontal="left" vertical="center" indent="1"/>
    </xf>
    <xf numFmtId="4" fontId="74" fillId="16" borderId="0" applyNumberFormat="0" applyProtection="0">
      <alignment horizontal="left" vertical="center" indent="1"/>
    </xf>
    <xf numFmtId="4" fontId="74" fillId="16" borderId="0" applyNumberFormat="0" applyProtection="0">
      <alignment horizontal="left" vertical="center" indent="1"/>
    </xf>
    <xf numFmtId="4" fontId="74" fillId="16" borderId="0" applyNumberFormat="0" applyProtection="0">
      <alignment horizontal="left" vertical="center" indent="1"/>
    </xf>
    <xf numFmtId="4" fontId="74" fillId="16" borderId="0" applyNumberFormat="0" applyProtection="0">
      <alignment horizontal="left" vertical="center" indent="1"/>
    </xf>
    <xf numFmtId="4" fontId="74" fillId="16" borderId="0" applyNumberFormat="0" applyProtection="0">
      <alignment horizontal="left" vertical="center" indent="1"/>
    </xf>
    <xf numFmtId="4" fontId="74" fillId="16" borderId="0" applyNumberFormat="0" applyProtection="0">
      <alignment horizontal="left" vertical="center" indent="1"/>
    </xf>
    <xf numFmtId="4" fontId="74" fillId="16" borderId="0" applyNumberFormat="0" applyProtection="0">
      <alignment horizontal="left" vertical="center" indent="1"/>
    </xf>
    <xf numFmtId="4" fontId="74" fillId="16" borderId="0" applyNumberFormat="0" applyProtection="0">
      <alignment horizontal="left" vertical="center" indent="1"/>
    </xf>
    <xf numFmtId="4" fontId="74" fillId="16" borderId="0" applyNumberFormat="0" applyProtection="0">
      <alignment horizontal="left" vertical="center" indent="1"/>
    </xf>
    <xf numFmtId="4" fontId="74" fillId="16" borderId="0" applyNumberFormat="0" applyProtection="0">
      <alignment horizontal="left" vertical="center" indent="1"/>
    </xf>
    <xf numFmtId="4" fontId="74" fillId="16" borderId="0" applyNumberFormat="0" applyProtection="0">
      <alignment horizontal="left" vertical="center" indent="1"/>
    </xf>
    <xf numFmtId="4" fontId="46" fillId="9" borderId="25" applyNumberFormat="0" applyProtection="0">
      <alignment horizontal="right" vertical="center"/>
    </xf>
    <xf numFmtId="4" fontId="46" fillId="60" borderId="0" applyNumberFormat="0" applyProtection="0">
      <alignment horizontal="left" vertical="center" indent="1"/>
    </xf>
    <xf numFmtId="4" fontId="46" fillId="60" borderId="0" applyNumberFormat="0" applyProtection="0">
      <alignment horizontal="left" vertical="center" indent="1"/>
    </xf>
    <xf numFmtId="4" fontId="46" fillId="60" borderId="0" applyNumberFormat="0" applyProtection="0">
      <alignment horizontal="left" vertical="center" indent="1"/>
    </xf>
    <xf numFmtId="4" fontId="46" fillId="60" borderId="0" applyNumberFormat="0" applyProtection="0">
      <alignment horizontal="left" vertical="center" indent="1"/>
    </xf>
    <xf numFmtId="4" fontId="46" fillId="60" borderId="0" applyNumberFormat="0" applyProtection="0">
      <alignment horizontal="left" vertical="center" indent="1"/>
    </xf>
    <xf numFmtId="4" fontId="46" fillId="60" borderId="0" applyNumberFormat="0" applyProtection="0">
      <alignment horizontal="left" vertical="center" indent="1"/>
    </xf>
    <xf numFmtId="4" fontId="46" fillId="60" borderId="0" applyNumberFormat="0" applyProtection="0">
      <alignment horizontal="left" vertical="center" indent="1"/>
    </xf>
    <xf numFmtId="4" fontId="46" fillId="60" borderId="0" applyNumberFormat="0" applyProtection="0">
      <alignment horizontal="left" vertical="center" indent="1"/>
    </xf>
    <xf numFmtId="4" fontId="46" fillId="60" borderId="0" applyNumberFormat="0" applyProtection="0">
      <alignment horizontal="left" vertical="center" indent="1"/>
    </xf>
    <xf numFmtId="4" fontId="46" fillId="60" borderId="0" applyNumberFormat="0" applyProtection="0">
      <alignment horizontal="left" vertical="center" indent="1"/>
    </xf>
    <xf numFmtId="4" fontId="46" fillId="60" borderId="0" applyNumberFormat="0" applyProtection="0">
      <alignment horizontal="left" vertical="center" indent="1"/>
    </xf>
    <xf numFmtId="4" fontId="46" fillId="60" borderId="0" applyNumberFormat="0" applyProtection="0">
      <alignment horizontal="left" vertical="center" indent="1"/>
    </xf>
    <xf numFmtId="4" fontId="46" fillId="60" borderId="0" applyNumberFormat="0" applyProtection="0">
      <alignment horizontal="left" vertical="center" indent="1"/>
    </xf>
    <xf numFmtId="4" fontId="46" fillId="60" borderId="0" applyNumberFormat="0" applyProtection="0">
      <alignment horizontal="left" vertical="center" indent="1"/>
    </xf>
    <xf numFmtId="4" fontId="46" fillId="9" borderId="0" applyNumberFormat="0" applyProtection="0">
      <alignment horizontal="left" vertical="center" indent="1"/>
    </xf>
    <xf numFmtId="4" fontId="46" fillId="9" borderId="0" applyNumberFormat="0" applyProtection="0">
      <alignment horizontal="left" vertical="center" indent="1"/>
    </xf>
    <xf numFmtId="4" fontId="46" fillId="9" borderId="0" applyNumberFormat="0" applyProtection="0">
      <alignment horizontal="left" vertical="center" indent="1"/>
    </xf>
    <xf numFmtId="4" fontId="46" fillId="9" borderId="0" applyNumberFormat="0" applyProtection="0">
      <alignment horizontal="left" vertical="center" indent="1"/>
    </xf>
    <xf numFmtId="4" fontId="46" fillId="9" borderId="0" applyNumberFormat="0" applyProtection="0">
      <alignment horizontal="left" vertical="center" indent="1"/>
    </xf>
    <xf numFmtId="4" fontId="46" fillId="9" borderId="0" applyNumberFormat="0" applyProtection="0">
      <alignment horizontal="left" vertical="center" indent="1"/>
    </xf>
    <xf numFmtId="4" fontId="46" fillId="9" borderId="0" applyNumberFormat="0" applyProtection="0">
      <alignment horizontal="left" vertical="center" indent="1"/>
    </xf>
    <xf numFmtId="4" fontId="46" fillId="9" borderId="0" applyNumberFormat="0" applyProtection="0">
      <alignment horizontal="left" vertical="center" indent="1"/>
    </xf>
    <xf numFmtId="4" fontId="46" fillId="9" borderId="0" applyNumberFormat="0" applyProtection="0">
      <alignment horizontal="left" vertical="center" indent="1"/>
    </xf>
    <xf numFmtId="4" fontId="46" fillId="9" borderId="0" applyNumberFormat="0" applyProtection="0">
      <alignment horizontal="left" vertical="center" indent="1"/>
    </xf>
    <xf numFmtId="4" fontId="46" fillId="9" borderId="0" applyNumberFormat="0" applyProtection="0">
      <alignment horizontal="left" vertical="center" indent="1"/>
    </xf>
    <xf numFmtId="4" fontId="46" fillId="9" borderId="0" applyNumberFormat="0" applyProtection="0">
      <alignment horizontal="left" vertical="center" indent="1"/>
    </xf>
    <xf numFmtId="4" fontId="46" fillId="9" borderId="0" applyNumberFormat="0" applyProtection="0">
      <alignment horizontal="left" vertical="center" indent="1"/>
    </xf>
    <xf numFmtId="4" fontId="46" fillId="9" borderId="0" applyNumberFormat="0" applyProtection="0">
      <alignment horizontal="left" vertical="center" indent="1"/>
    </xf>
    <xf numFmtId="0" fontId="21" fillId="16" borderId="25" applyNumberFormat="0" applyProtection="0">
      <alignment horizontal="left" vertical="center" indent="1"/>
    </xf>
    <xf numFmtId="0" fontId="21" fillId="16" borderId="25" applyNumberFormat="0" applyProtection="0">
      <alignment horizontal="left" vertical="center" indent="1"/>
    </xf>
    <xf numFmtId="0" fontId="21" fillId="16" borderId="25" applyNumberFormat="0" applyProtection="0">
      <alignment horizontal="left" vertical="center" indent="1"/>
    </xf>
    <xf numFmtId="0" fontId="21" fillId="16" borderId="25" applyNumberFormat="0" applyProtection="0">
      <alignment horizontal="left" vertical="center" indent="1"/>
    </xf>
    <xf numFmtId="0" fontId="21" fillId="16" borderId="25" applyNumberFormat="0" applyProtection="0">
      <alignment horizontal="left" vertical="center" indent="1"/>
    </xf>
    <xf numFmtId="0" fontId="21" fillId="16" borderId="25" applyNumberFormat="0" applyProtection="0">
      <alignment horizontal="left" vertical="center" indent="1"/>
    </xf>
    <xf numFmtId="0" fontId="21" fillId="0" borderId="25" applyNumberFormat="0" applyProtection="0">
      <alignment horizontal="left" vertical="center" indent="1"/>
    </xf>
    <xf numFmtId="0" fontId="21" fillId="0" borderId="25" applyNumberFormat="0" applyProtection="0">
      <alignment horizontal="left" vertical="center" indent="1"/>
    </xf>
    <xf numFmtId="0" fontId="21" fillId="0" borderId="25" applyNumberFormat="0" applyProtection="0">
      <alignment horizontal="left" vertical="center" indent="1"/>
    </xf>
    <xf numFmtId="0" fontId="21" fillId="0" borderId="25" applyNumberFormat="0" applyProtection="0">
      <alignment horizontal="left" vertical="center" indent="1"/>
    </xf>
    <xf numFmtId="0" fontId="21" fillId="0" borderId="25" applyNumberFormat="0" applyProtection="0">
      <alignment horizontal="left" vertical="center" indent="1"/>
    </xf>
    <xf numFmtId="0" fontId="21" fillId="16" borderId="25" applyNumberFormat="0" applyProtection="0">
      <alignment horizontal="left" vertical="center" indent="1"/>
    </xf>
    <xf numFmtId="0" fontId="21" fillId="0" borderId="25" applyNumberFormat="0" applyProtection="0">
      <alignment horizontal="left" vertical="center" indent="1"/>
    </xf>
    <xf numFmtId="0" fontId="21" fillId="0" borderId="25" applyNumberFormat="0" applyProtection="0">
      <alignment horizontal="left" vertical="center" indent="1"/>
    </xf>
    <xf numFmtId="0" fontId="21" fillId="16" borderId="25" applyNumberFormat="0" applyProtection="0">
      <alignment horizontal="left" vertical="center" indent="1"/>
    </xf>
    <xf numFmtId="0" fontId="21" fillId="16" borderId="25" applyNumberFormat="0" applyProtection="0">
      <alignment horizontal="left" vertical="center" indent="1"/>
    </xf>
    <xf numFmtId="0" fontId="21" fillId="0" borderId="25" applyNumberFormat="0" applyProtection="0">
      <alignment horizontal="left" vertical="center" indent="1"/>
    </xf>
    <xf numFmtId="0" fontId="21" fillId="16" borderId="25" applyNumberFormat="0" applyProtection="0">
      <alignment horizontal="left" vertical="center" indent="1"/>
    </xf>
    <xf numFmtId="0" fontId="21" fillId="16" borderId="25" applyNumberFormat="0" applyProtection="0">
      <alignment horizontal="left" vertical="center" indent="1"/>
    </xf>
    <xf numFmtId="0" fontId="21" fillId="16" borderId="25" applyNumberFormat="0" applyProtection="0">
      <alignment horizontal="left" vertical="center" indent="1"/>
    </xf>
    <xf numFmtId="0" fontId="21" fillId="16" borderId="25" applyNumberFormat="0" applyProtection="0">
      <alignment horizontal="left" vertical="center" indent="1"/>
    </xf>
    <xf numFmtId="0" fontId="21" fillId="16" borderId="25" applyNumberFormat="0" applyProtection="0">
      <alignment horizontal="left" vertical="center" indent="1"/>
    </xf>
    <xf numFmtId="0" fontId="21" fillId="16" borderId="25" applyNumberFormat="0" applyProtection="0">
      <alignment horizontal="left" vertical="center" indent="1"/>
    </xf>
    <xf numFmtId="0" fontId="21" fillId="16" borderId="25" applyNumberFormat="0" applyProtection="0">
      <alignment horizontal="left" vertical="center" indent="1"/>
    </xf>
    <xf numFmtId="0" fontId="21" fillId="16" borderId="25" applyNumberFormat="0" applyProtection="0">
      <alignment horizontal="left" vertical="top" indent="1"/>
    </xf>
    <xf numFmtId="0" fontId="21" fillId="16" borderId="25" applyNumberFormat="0" applyProtection="0">
      <alignment horizontal="left" vertical="top" indent="1"/>
    </xf>
    <xf numFmtId="0" fontId="21" fillId="16" borderId="25" applyNumberFormat="0" applyProtection="0">
      <alignment horizontal="left" vertical="top" indent="1"/>
    </xf>
    <xf numFmtId="0" fontId="21" fillId="16" borderId="25" applyNumberFormat="0" applyProtection="0">
      <alignment horizontal="left" vertical="top" indent="1"/>
    </xf>
    <xf numFmtId="0" fontId="21" fillId="16" borderId="25" applyNumberFormat="0" applyProtection="0">
      <alignment horizontal="left" vertical="top" indent="1"/>
    </xf>
    <xf numFmtId="0" fontId="21" fillId="16" borderId="25" applyNumberFormat="0" applyProtection="0">
      <alignment horizontal="left" vertical="top" indent="1"/>
    </xf>
    <xf numFmtId="0" fontId="21" fillId="16" borderId="25" applyNumberFormat="0" applyProtection="0">
      <alignment horizontal="left" vertical="top" indent="1"/>
    </xf>
    <xf numFmtId="0" fontId="21" fillId="16" borderId="25" applyNumberFormat="0" applyProtection="0">
      <alignment horizontal="left" vertical="top" indent="1"/>
    </xf>
    <xf numFmtId="0" fontId="21" fillId="16" borderId="25" applyNumberFormat="0" applyProtection="0">
      <alignment horizontal="left" vertical="top" indent="1"/>
    </xf>
    <xf numFmtId="0" fontId="21" fillId="16" borderId="25" applyNumberFormat="0" applyProtection="0">
      <alignment horizontal="left" vertical="top" indent="1"/>
    </xf>
    <xf numFmtId="0" fontId="21" fillId="16" borderId="25" applyNumberFormat="0" applyProtection="0">
      <alignment horizontal="left" vertical="top" indent="1"/>
    </xf>
    <xf numFmtId="0" fontId="21" fillId="16" borderId="25" applyNumberFormat="0" applyProtection="0">
      <alignment horizontal="left" vertical="top" indent="1"/>
    </xf>
    <xf numFmtId="0" fontId="21" fillId="16" borderId="25" applyNumberFormat="0" applyProtection="0">
      <alignment horizontal="left" vertical="top" indent="1"/>
    </xf>
    <xf numFmtId="0" fontId="21" fillId="16" borderId="25" applyNumberFormat="0" applyProtection="0">
      <alignment horizontal="left" vertical="top" indent="1"/>
    </xf>
    <xf numFmtId="0" fontId="21" fillId="16" borderId="25" applyNumberFormat="0" applyProtection="0">
      <alignment horizontal="left" vertical="top" indent="1"/>
    </xf>
    <xf numFmtId="0" fontId="21" fillId="16" borderId="25" applyNumberFormat="0" applyProtection="0">
      <alignment horizontal="left" vertical="top" indent="1"/>
    </xf>
    <xf numFmtId="0" fontId="21" fillId="16" borderId="25" applyNumberFormat="0" applyProtection="0">
      <alignment horizontal="left" vertical="top" indent="1"/>
    </xf>
    <xf numFmtId="0" fontId="21" fillId="9" borderId="25" applyNumberFormat="0" applyProtection="0">
      <alignment horizontal="left" vertical="center" indent="1"/>
    </xf>
    <xf numFmtId="0" fontId="21" fillId="9" borderId="25" applyNumberFormat="0" applyProtection="0">
      <alignment horizontal="left" vertical="center" indent="1"/>
    </xf>
    <xf numFmtId="0" fontId="21" fillId="9" borderId="25" applyNumberFormat="0" applyProtection="0">
      <alignment horizontal="left" vertical="center" indent="1"/>
    </xf>
    <xf numFmtId="0" fontId="21" fillId="9" borderId="25" applyNumberFormat="0" applyProtection="0">
      <alignment horizontal="left" vertical="center" indent="1"/>
    </xf>
    <xf numFmtId="0" fontId="21" fillId="9" borderId="25" applyNumberFormat="0" applyProtection="0">
      <alignment horizontal="left" vertical="center" indent="1"/>
    </xf>
    <xf numFmtId="0" fontId="21" fillId="9" borderId="25" applyNumberFormat="0" applyProtection="0">
      <alignment horizontal="left" vertical="center" indent="1"/>
    </xf>
    <xf numFmtId="0" fontId="21" fillId="0" borderId="25" applyNumberFormat="0" applyProtection="0">
      <alignment horizontal="left" vertical="center" indent="1"/>
    </xf>
    <xf numFmtId="0" fontId="21" fillId="0" borderId="25" applyNumberFormat="0" applyProtection="0">
      <alignment horizontal="left" vertical="center" indent="1"/>
    </xf>
    <xf numFmtId="0" fontId="21" fillId="0" borderId="25" applyNumberFormat="0" applyProtection="0">
      <alignment horizontal="left" vertical="center" indent="1"/>
    </xf>
    <xf numFmtId="0" fontId="21" fillId="0" borderId="25" applyNumberFormat="0" applyProtection="0">
      <alignment horizontal="left" vertical="center" indent="1"/>
    </xf>
    <xf numFmtId="0" fontId="21" fillId="0" borderId="25" applyNumberFormat="0" applyProtection="0">
      <alignment horizontal="left" vertical="center" indent="1"/>
    </xf>
    <xf numFmtId="0" fontId="21" fillId="9" borderId="25" applyNumberFormat="0" applyProtection="0">
      <alignment horizontal="left" vertical="center" indent="1"/>
    </xf>
    <xf numFmtId="0" fontId="21" fillId="0" borderId="25" applyNumberFormat="0" applyProtection="0">
      <alignment horizontal="left" vertical="center" indent="1"/>
    </xf>
    <xf numFmtId="0" fontId="21" fillId="0" borderId="25" applyNumberFormat="0" applyProtection="0">
      <alignment horizontal="left" vertical="center" indent="1"/>
    </xf>
    <xf numFmtId="0" fontId="21" fillId="9" borderId="25" applyNumberFormat="0" applyProtection="0">
      <alignment horizontal="left" vertical="center" indent="1"/>
    </xf>
    <xf numFmtId="0" fontId="21" fillId="9" borderId="25" applyNumberFormat="0" applyProtection="0">
      <alignment horizontal="left" vertical="center" indent="1"/>
    </xf>
    <xf numFmtId="0" fontId="21" fillId="0" borderId="25" applyNumberFormat="0" applyProtection="0">
      <alignment horizontal="left" vertical="center" indent="1"/>
    </xf>
    <xf numFmtId="0" fontId="21" fillId="9" borderId="25" applyNumberFormat="0" applyProtection="0">
      <alignment horizontal="left" vertical="center" indent="1"/>
    </xf>
    <xf numFmtId="0" fontId="21" fillId="9" borderId="25" applyNumberFormat="0" applyProtection="0">
      <alignment horizontal="left" vertical="center" indent="1"/>
    </xf>
    <xf numFmtId="0" fontId="21" fillId="9" borderId="25" applyNumberFormat="0" applyProtection="0">
      <alignment horizontal="left" vertical="center" indent="1"/>
    </xf>
    <xf numFmtId="0" fontId="21" fillId="9" borderId="25" applyNumberFormat="0" applyProtection="0">
      <alignment horizontal="left" vertical="center" indent="1"/>
    </xf>
    <xf numFmtId="0" fontId="21" fillId="9" borderId="25" applyNumberFormat="0" applyProtection="0">
      <alignment horizontal="left" vertical="center" indent="1"/>
    </xf>
    <xf numFmtId="0" fontId="21" fillId="9" borderId="25" applyNumberFormat="0" applyProtection="0">
      <alignment horizontal="left" vertical="center" indent="1"/>
    </xf>
    <xf numFmtId="0" fontId="21" fillId="9" borderId="25" applyNumberFormat="0" applyProtection="0">
      <alignment horizontal="left" vertical="center" indent="1"/>
    </xf>
    <xf numFmtId="0" fontId="21" fillId="9" borderId="25" applyNumberFormat="0" applyProtection="0">
      <alignment horizontal="left" vertical="top" indent="1"/>
    </xf>
    <xf numFmtId="0" fontId="21" fillId="9" borderId="25" applyNumberFormat="0" applyProtection="0">
      <alignment horizontal="left" vertical="top" indent="1"/>
    </xf>
    <xf numFmtId="0" fontId="21" fillId="9" borderId="25" applyNumberFormat="0" applyProtection="0">
      <alignment horizontal="left" vertical="top" indent="1"/>
    </xf>
    <xf numFmtId="0" fontId="21" fillId="9" borderId="25" applyNumberFormat="0" applyProtection="0">
      <alignment horizontal="left" vertical="top" indent="1"/>
    </xf>
    <xf numFmtId="0" fontId="21" fillId="9" borderId="25" applyNumberFormat="0" applyProtection="0">
      <alignment horizontal="left" vertical="top" indent="1"/>
    </xf>
    <xf numFmtId="0" fontId="21" fillId="9" borderId="25" applyNumberFormat="0" applyProtection="0">
      <alignment horizontal="left" vertical="top" indent="1"/>
    </xf>
    <xf numFmtId="0" fontId="21" fillId="9" borderId="25" applyNumberFormat="0" applyProtection="0">
      <alignment horizontal="left" vertical="top" indent="1"/>
    </xf>
    <xf numFmtId="0" fontId="21" fillId="9" borderId="25" applyNumberFormat="0" applyProtection="0">
      <alignment horizontal="left" vertical="top" indent="1"/>
    </xf>
    <xf numFmtId="0" fontId="21" fillId="9" borderId="25" applyNumberFormat="0" applyProtection="0">
      <alignment horizontal="left" vertical="top" indent="1"/>
    </xf>
    <xf numFmtId="0" fontId="21" fillId="9" borderId="25" applyNumberFormat="0" applyProtection="0">
      <alignment horizontal="left" vertical="top" indent="1"/>
    </xf>
    <xf numFmtId="0" fontId="21" fillId="9" borderId="25" applyNumberFormat="0" applyProtection="0">
      <alignment horizontal="left" vertical="top" indent="1"/>
    </xf>
    <xf numFmtId="0" fontId="21" fillId="9" borderId="25" applyNumberFormat="0" applyProtection="0">
      <alignment horizontal="left" vertical="top" indent="1"/>
    </xf>
    <xf numFmtId="0" fontId="21" fillId="9" borderId="25" applyNumberFormat="0" applyProtection="0">
      <alignment horizontal="left" vertical="top" indent="1"/>
    </xf>
    <xf numFmtId="0" fontId="21" fillId="9" borderId="25" applyNumberFormat="0" applyProtection="0">
      <alignment horizontal="left" vertical="top" indent="1"/>
    </xf>
    <xf numFmtId="0" fontId="21" fillId="9" borderId="25" applyNumberFormat="0" applyProtection="0">
      <alignment horizontal="left" vertical="top" indent="1"/>
    </xf>
    <xf numFmtId="0" fontId="21" fillId="9" borderId="25" applyNumberFormat="0" applyProtection="0">
      <alignment horizontal="left" vertical="top" indent="1"/>
    </xf>
    <xf numFmtId="0" fontId="21" fillId="9" borderId="25" applyNumberFormat="0" applyProtection="0">
      <alignment horizontal="left" vertical="top" indent="1"/>
    </xf>
    <xf numFmtId="0" fontId="21" fillId="13" borderId="25" applyNumberFormat="0" applyProtection="0">
      <alignment horizontal="left" vertical="center" indent="1"/>
    </xf>
    <xf numFmtId="0" fontId="21" fillId="13" borderId="25" applyNumberFormat="0" applyProtection="0">
      <alignment horizontal="left" vertical="center" indent="1"/>
    </xf>
    <xf numFmtId="0" fontId="21" fillId="13" borderId="25" applyNumberFormat="0" applyProtection="0">
      <alignment horizontal="left" vertical="center" indent="1"/>
    </xf>
    <xf numFmtId="0" fontId="21" fillId="13" borderId="25" applyNumberFormat="0" applyProtection="0">
      <alignment horizontal="left" vertical="center" indent="1"/>
    </xf>
    <xf numFmtId="0" fontId="21" fillId="13" borderId="25" applyNumberFormat="0" applyProtection="0">
      <alignment horizontal="left" vertical="center" indent="1"/>
    </xf>
    <xf numFmtId="0" fontId="21" fillId="13" borderId="25" applyNumberFormat="0" applyProtection="0">
      <alignment horizontal="left" vertical="center" indent="1"/>
    </xf>
    <xf numFmtId="0" fontId="21" fillId="0" borderId="25" applyNumberFormat="0" applyProtection="0">
      <alignment horizontal="left" vertical="center" indent="1"/>
    </xf>
    <xf numFmtId="0" fontId="21" fillId="0" borderId="25" applyNumberFormat="0" applyProtection="0">
      <alignment horizontal="left" vertical="center" indent="1"/>
    </xf>
    <xf numFmtId="0" fontId="21" fillId="0" borderId="25" applyNumberFormat="0" applyProtection="0">
      <alignment horizontal="left" vertical="center" indent="1"/>
    </xf>
    <xf numFmtId="0" fontId="21" fillId="0" borderId="25" applyNumberFormat="0" applyProtection="0">
      <alignment horizontal="left" vertical="center" indent="1"/>
    </xf>
    <xf numFmtId="0" fontId="21" fillId="0" borderId="25" applyNumberFormat="0" applyProtection="0">
      <alignment horizontal="left" vertical="center" indent="1"/>
    </xf>
    <xf numFmtId="0" fontId="21" fillId="13" borderId="25" applyNumberFormat="0" applyProtection="0">
      <alignment horizontal="left" vertical="center" indent="1"/>
    </xf>
    <xf numFmtId="0" fontId="21" fillId="0" borderId="25" applyNumberFormat="0" applyProtection="0">
      <alignment horizontal="left" vertical="center" indent="1"/>
    </xf>
    <xf numFmtId="0" fontId="21" fillId="13" borderId="25" applyNumberFormat="0" applyProtection="0">
      <alignment horizontal="left" vertical="center" indent="1"/>
    </xf>
    <xf numFmtId="0" fontId="21" fillId="13" borderId="25" applyNumberFormat="0" applyProtection="0">
      <alignment horizontal="left" vertical="center" indent="1"/>
    </xf>
    <xf numFmtId="0" fontId="21" fillId="0" borderId="25" applyNumberFormat="0" applyProtection="0">
      <alignment horizontal="left" vertical="center" indent="1"/>
    </xf>
    <xf numFmtId="0" fontId="21" fillId="13" borderId="25" applyNumberFormat="0" applyProtection="0">
      <alignment horizontal="left" vertical="center" indent="1"/>
    </xf>
    <xf numFmtId="0" fontId="21" fillId="13" borderId="25" applyNumberFormat="0" applyProtection="0">
      <alignment horizontal="left" vertical="center" indent="1"/>
    </xf>
    <xf numFmtId="0" fontId="21" fillId="13" borderId="25" applyNumberFormat="0" applyProtection="0">
      <alignment horizontal="left" vertical="center" indent="1"/>
    </xf>
    <xf numFmtId="0" fontId="21" fillId="13" borderId="25" applyNumberFormat="0" applyProtection="0">
      <alignment horizontal="left" vertical="center" indent="1"/>
    </xf>
    <xf numFmtId="0" fontId="21" fillId="13" borderId="25" applyNumberFormat="0" applyProtection="0">
      <alignment horizontal="left" vertical="center" indent="1"/>
    </xf>
    <xf numFmtId="0" fontId="21" fillId="13" borderId="25" applyNumberFormat="0" applyProtection="0">
      <alignment horizontal="left" vertical="center" indent="1"/>
    </xf>
    <xf numFmtId="0" fontId="21" fillId="13" borderId="25" applyNumberFormat="0" applyProtection="0">
      <alignment horizontal="left" vertical="center" indent="1"/>
    </xf>
    <xf numFmtId="0" fontId="21" fillId="13" borderId="25" applyNumberFormat="0" applyProtection="0">
      <alignment horizontal="left" vertical="top" indent="1"/>
    </xf>
    <xf numFmtId="0" fontId="21" fillId="13" borderId="25" applyNumberFormat="0" applyProtection="0">
      <alignment horizontal="left" vertical="top" indent="1"/>
    </xf>
    <xf numFmtId="0" fontId="21" fillId="13" borderId="25" applyNumberFormat="0" applyProtection="0">
      <alignment horizontal="left" vertical="top" indent="1"/>
    </xf>
    <xf numFmtId="0" fontId="21" fillId="13" borderId="25" applyNumberFormat="0" applyProtection="0">
      <alignment horizontal="left" vertical="top" indent="1"/>
    </xf>
    <xf numFmtId="0" fontId="21" fillId="13" borderId="25" applyNumberFormat="0" applyProtection="0">
      <alignment horizontal="left" vertical="top" indent="1"/>
    </xf>
    <xf numFmtId="0" fontId="21" fillId="13" borderId="25" applyNumberFormat="0" applyProtection="0">
      <alignment horizontal="left" vertical="top" indent="1"/>
    </xf>
    <xf numFmtId="0" fontId="21" fillId="13" borderId="25" applyNumberFormat="0" applyProtection="0">
      <alignment horizontal="left" vertical="top" indent="1"/>
    </xf>
    <xf numFmtId="0" fontId="21" fillId="13" borderId="25" applyNumberFormat="0" applyProtection="0">
      <alignment horizontal="left" vertical="top" indent="1"/>
    </xf>
    <xf numFmtId="0" fontId="21" fillId="13" borderId="25" applyNumberFormat="0" applyProtection="0">
      <alignment horizontal="left" vertical="top" indent="1"/>
    </xf>
    <xf numFmtId="0" fontId="21" fillId="13" borderId="25" applyNumberFormat="0" applyProtection="0">
      <alignment horizontal="left" vertical="top" indent="1"/>
    </xf>
    <xf numFmtId="0" fontId="21" fillId="13" borderId="25" applyNumberFormat="0" applyProtection="0">
      <alignment horizontal="left" vertical="top" indent="1"/>
    </xf>
    <xf numFmtId="0" fontId="21" fillId="13" borderId="25" applyNumberFormat="0" applyProtection="0">
      <alignment horizontal="left" vertical="top" indent="1"/>
    </xf>
    <xf numFmtId="0" fontId="21" fillId="13" borderId="25" applyNumberFormat="0" applyProtection="0">
      <alignment horizontal="left" vertical="top" indent="1"/>
    </xf>
    <xf numFmtId="0" fontId="21" fillId="13" borderId="25" applyNumberFormat="0" applyProtection="0">
      <alignment horizontal="left" vertical="top" indent="1"/>
    </xf>
    <xf numFmtId="0" fontId="21" fillId="13" borderId="25" applyNumberFormat="0" applyProtection="0">
      <alignment horizontal="left" vertical="top" indent="1"/>
    </xf>
    <xf numFmtId="0" fontId="21" fillId="13" borderId="25" applyNumberFormat="0" applyProtection="0">
      <alignment horizontal="left" vertical="top" indent="1"/>
    </xf>
    <xf numFmtId="0" fontId="21" fillId="13" borderId="25" applyNumberFormat="0" applyProtection="0">
      <alignment horizontal="left" vertical="top" indent="1"/>
    </xf>
    <xf numFmtId="0" fontId="21" fillId="60" borderId="25" applyNumberFormat="0" applyProtection="0">
      <alignment horizontal="left" vertical="center" indent="1"/>
    </xf>
    <xf numFmtId="0" fontId="21" fillId="60" borderId="25" applyNumberFormat="0" applyProtection="0">
      <alignment horizontal="left" vertical="center" indent="1"/>
    </xf>
    <xf numFmtId="0" fontId="21" fillId="60" borderId="25" applyNumberFormat="0" applyProtection="0">
      <alignment horizontal="left" vertical="center" indent="1"/>
    </xf>
    <xf numFmtId="0" fontId="21" fillId="60" borderId="25" applyNumberFormat="0" applyProtection="0">
      <alignment horizontal="left" vertical="center" indent="1"/>
    </xf>
    <xf numFmtId="0" fontId="21" fillId="60" borderId="25" applyNumberFormat="0" applyProtection="0">
      <alignment horizontal="left" vertical="center" indent="1"/>
    </xf>
    <xf numFmtId="0" fontId="21" fillId="60" borderId="25" applyNumberFormat="0" applyProtection="0">
      <alignment horizontal="left" vertical="center" indent="1"/>
    </xf>
    <xf numFmtId="0" fontId="21" fillId="60" borderId="25" applyNumberFormat="0" applyProtection="0">
      <alignment horizontal="left" vertical="center" indent="1"/>
    </xf>
    <xf numFmtId="0" fontId="21" fillId="60" borderId="25" applyNumberFormat="0" applyProtection="0">
      <alignment horizontal="left" vertical="center" indent="1"/>
    </xf>
    <xf numFmtId="0" fontId="21" fillId="60" borderId="25" applyNumberFormat="0" applyProtection="0">
      <alignment horizontal="left" vertical="center" indent="1"/>
    </xf>
    <xf numFmtId="0" fontId="21" fillId="60" borderId="25" applyNumberFormat="0" applyProtection="0">
      <alignment horizontal="left" vertical="center" indent="1"/>
    </xf>
    <xf numFmtId="0" fontId="21" fillId="60" borderId="25" applyNumberFormat="0" applyProtection="0">
      <alignment horizontal="left" vertical="center" indent="1"/>
    </xf>
    <xf numFmtId="0" fontId="21" fillId="60" borderId="25" applyNumberFormat="0" applyProtection="0">
      <alignment horizontal="left" vertical="center" indent="1"/>
    </xf>
    <xf numFmtId="0" fontId="21" fillId="60" borderId="25" applyNumberFormat="0" applyProtection="0">
      <alignment horizontal="left" vertical="center" indent="1"/>
    </xf>
    <xf numFmtId="0" fontId="21" fillId="60" borderId="25" applyNumberFormat="0" applyProtection="0">
      <alignment horizontal="left" vertical="center" indent="1"/>
    </xf>
    <xf numFmtId="0" fontId="21" fillId="60" borderId="25" applyNumberFormat="0" applyProtection="0">
      <alignment horizontal="left" vertical="center" indent="1"/>
    </xf>
    <xf numFmtId="0" fontId="21" fillId="60" borderId="25" applyNumberFormat="0" applyProtection="0">
      <alignment horizontal="left" vertical="center" indent="1"/>
    </xf>
    <xf numFmtId="0" fontId="75" fillId="60" borderId="25" applyNumberFormat="0" applyProtection="0">
      <alignment horizontal="left" vertical="center" indent="1"/>
    </xf>
    <xf numFmtId="0" fontId="133" fillId="60" borderId="25" applyNumberFormat="0" applyProtection="0">
      <alignment horizontal="left" vertical="center" indent="1"/>
    </xf>
    <xf numFmtId="0" fontId="21" fillId="60" borderId="25" applyNumberFormat="0" applyProtection="0">
      <alignment horizontal="left" vertical="center" indent="1"/>
    </xf>
    <xf numFmtId="0" fontId="21" fillId="60" borderId="25" applyNumberFormat="0" applyProtection="0">
      <alignment horizontal="left" vertical="center" indent="1"/>
    </xf>
    <xf numFmtId="0" fontId="21" fillId="60" borderId="25" applyNumberFormat="0" applyProtection="0">
      <alignment horizontal="left" vertical="center" indent="1"/>
    </xf>
    <xf numFmtId="0" fontId="21" fillId="60" borderId="25" applyNumberFormat="0" applyProtection="0">
      <alignment horizontal="left" vertical="center" indent="1"/>
    </xf>
    <xf numFmtId="0" fontId="21" fillId="60" borderId="25" applyNumberFormat="0" applyProtection="0">
      <alignment horizontal="left" vertical="center" indent="1"/>
    </xf>
    <xf numFmtId="0" fontId="21" fillId="60" borderId="25" applyNumberFormat="0" applyProtection="0">
      <alignment horizontal="left" vertical="top" indent="1"/>
    </xf>
    <xf numFmtId="0" fontId="21" fillId="60" borderId="25" applyNumberFormat="0" applyProtection="0">
      <alignment horizontal="left" vertical="top" indent="1"/>
    </xf>
    <xf numFmtId="0" fontId="21" fillId="60" borderId="25" applyNumberFormat="0" applyProtection="0">
      <alignment horizontal="left" vertical="top" indent="1"/>
    </xf>
    <xf numFmtId="0" fontId="21" fillId="60" borderId="25" applyNumberFormat="0" applyProtection="0">
      <alignment horizontal="left" vertical="top" indent="1"/>
    </xf>
    <xf numFmtId="0" fontId="21" fillId="60" borderId="25" applyNumberFormat="0" applyProtection="0">
      <alignment horizontal="left" vertical="top" indent="1"/>
    </xf>
    <xf numFmtId="0" fontId="21" fillId="60" borderId="25" applyNumberFormat="0" applyProtection="0">
      <alignment horizontal="left" vertical="top" indent="1"/>
    </xf>
    <xf numFmtId="0" fontId="21" fillId="60" borderId="25" applyNumberFormat="0" applyProtection="0">
      <alignment horizontal="left" vertical="top" indent="1"/>
    </xf>
    <xf numFmtId="0" fontId="21" fillId="60" borderId="25" applyNumberFormat="0" applyProtection="0">
      <alignment horizontal="left" vertical="top" indent="1"/>
    </xf>
    <xf numFmtId="0" fontId="21" fillId="60" borderId="25" applyNumberFormat="0" applyProtection="0">
      <alignment horizontal="left" vertical="top" indent="1"/>
    </xf>
    <xf numFmtId="0" fontId="21" fillId="60" borderId="25" applyNumberFormat="0" applyProtection="0">
      <alignment horizontal="left" vertical="top" indent="1"/>
    </xf>
    <xf numFmtId="0" fontId="21" fillId="60" borderId="25" applyNumberFormat="0" applyProtection="0">
      <alignment horizontal="left" vertical="top" indent="1"/>
    </xf>
    <xf numFmtId="0" fontId="21" fillId="60" borderId="25" applyNumberFormat="0" applyProtection="0">
      <alignment horizontal="left" vertical="top" indent="1"/>
    </xf>
    <xf numFmtId="0" fontId="21" fillId="60" borderId="25" applyNumberFormat="0" applyProtection="0">
      <alignment horizontal="left" vertical="top" indent="1"/>
    </xf>
    <xf numFmtId="0" fontId="21" fillId="60" borderId="25" applyNumberFormat="0" applyProtection="0">
      <alignment horizontal="left" vertical="top" indent="1"/>
    </xf>
    <xf numFmtId="0" fontId="21" fillId="60" borderId="25" applyNumberFormat="0" applyProtection="0">
      <alignment horizontal="left" vertical="top" indent="1"/>
    </xf>
    <xf numFmtId="0" fontId="21" fillId="60" borderId="25" applyNumberFormat="0" applyProtection="0">
      <alignment horizontal="left" vertical="top" indent="1"/>
    </xf>
    <xf numFmtId="0" fontId="21" fillId="60" borderId="25" applyNumberFormat="0" applyProtection="0">
      <alignment horizontal="left" vertical="top" indent="1"/>
    </xf>
    <xf numFmtId="0" fontId="21" fillId="12" borderId="20" applyNumberFormat="0">
      <protection locked="0"/>
    </xf>
    <xf numFmtId="0" fontId="21" fillId="12" borderId="20" applyNumberFormat="0">
      <protection locked="0"/>
    </xf>
    <xf numFmtId="0" fontId="21" fillId="12" borderId="20" applyNumberFormat="0">
      <protection locked="0"/>
    </xf>
    <xf numFmtId="0" fontId="21" fillId="12" borderId="20" applyNumberFormat="0">
      <protection locked="0"/>
    </xf>
    <xf numFmtId="0" fontId="21" fillId="12" borderId="20" applyNumberFormat="0">
      <protection locked="0"/>
    </xf>
    <xf numFmtId="0" fontId="21" fillId="12" borderId="20" applyNumberFormat="0">
      <protection locked="0"/>
    </xf>
    <xf numFmtId="0" fontId="21" fillId="12" borderId="20" applyNumberFormat="0">
      <protection locked="0"/>
    </xf>
    <xf numFmtId="0" fontId="21" fillId="12" borderId="20" applyNumberFormat="0">
      <protection locked="0"/>
    </xf>
    <xf numFmtId="0" fontId="21" fillId="12" borderId="20" applyNumberFormat="0">
      <protection locked="0"/>
    </xf>
    <xf numFmtId="0" fontId="21" fillId="12" borderId="20" applyNumberFormat="0">
      <protection locked="0"/>
    </xf>
    <xf numFmtId="0" fontId="21" fillId="12" borderId="20" applyNumberFormat="0">
      <protection locked="0"/>
    </xf>
    <xf numFmtId="0" fontId="21" fillId="12" borderId="20" applyNumberFormat="0">
      <protection locked="0"/>
    </xf>
    <xf numFmtId="0" fontId="21" fillId="12" borderId="20" applyNumberFormat="0">
      <protection locked="0"/>
    </xf>
    <xf numFmtId="0" fontId="21" fillId="12" borderId="20" applyNumberFormat="0">
      <protection locked="0"/>
    </xf>
    <xf numFmtId="0" fontId="21" fillId="12" borderId="20" applyNumberFormat="0">
      <protection locked="0"/>
    </xf>
    <xf numFmtId="0" fontId="21" fillId="12" borderId="20" applyNumberFormat="0">
      <protection locked="0"/>
    </xf>
    <xf numFmtId="0" fontId="21" fillId="12" borderId="20" applyNumberFormat="0">
      <protection locked="0"/>
    </xf>
    <xf numFmtId="4" fontId="46" fillId="11" borderId="25" applyNumberFormat="0" applyProtection="0">
      <alignment vertical="center"/>
    </xf>
    <xf numFmtId="4" fontId="76" fillId="11" borderId="25" applyNumberFormat="0" applyProtection="0">
      <alignment vertical="center"/>
    </xf>
    <xf numFmtId="4" fontId="46" fillId="11" borderId="25" applyNumberFormat="0" applyProtection="0">
      <alignment horizontal="left" vertical="center" indent="1"/>
    </xf>
    <xf numFmtId="0" fontId="46" fillId="11" borderId="25" applyNumberFormat="0" applyProtection="0">
      <alignment horizontal="left" vertical="top" indent="1"/>
    </xf>
    <xf numFmtId="4" fontId="46" fillId="60" borderId="25" applyNumberFormat="0" applyProtection="0">
      <alignment horizontal="right" vertical="center"/>
    </xf>
    <xf numFmtId="4" fontId="46" fillId="0" borderId="25" applyNumberFormat="0" applyProtection="0">
      <alignment horizontal="right" vertical="center"/>
    </xf>
    <xf numFmtId="4" fontId="46" fillId="0" borderId="25" applyNumberFormat="0" applyProtection="0">
      <alignment horizontal="right" vertical="center"/>
    </xf>
    <xf numFmtId="4" fontId="46" fillId="0" borderId="25" applyNumberFormat="0" applyProtection="0">
      <alignment horizontal="right" vertical="center"/>
    </xf>
    <xf numFmtId="4" fontId="46" fillId="0" borderId="25" applyNumberFormat="0" applyProtection="0">
      <alignment horizontal="right" vertical="center"/>
    </xf>
    <xf numFmtId="4" fontId="46" fillId="0" borderId="25" applyNumberFormat="0" applyProtection="0">
      <alignment horizontal="right" vertical="center"/>
    </xf>
    <xf numFmtId="4" fontId="46" fillId="0" borderId="25" applyNumberFormat="0" applyProtection="0">
      <alignment horizontal="right" vertical="center"/>
    </xf>
    <xf numFmtId="4" fontId="59" fillId="0" borderId="27" applyNumberFormat="0" applyProtection="0">
      <alignment horizontal="right" vertical="center"/>
    </xf>
    <xf numFmtId="4" fontId="21" fillId="0" borderId="20" applyNumberFormat="0" applyProtection="0">
      <alignment horizontal="right" vertical="center"/>
    </xf>
    <xf numFmtId="4" fontId="46" fillId="0" borderId="25" applyNumberFormat="0" applyProtection="0">
      <alignment horizontal="right" vertical="center"/>
    </xf>
    <xf numFmtId="4" fontId="76" fillId="60" borderId="25" applyNumberFormat="0" applyProtection="0">
      <alignment horizontal="right" vertical="center"/>
    </xf>
    <xf numFmtId="4" fontId="46" fillId="51" borderId="20" applyNumberFormat="0" applyProtection="0">
      <alignment horizontal="right" vertical="center"/>
    </xf>
    <xf numFmtId="4" fontId="46" fillId="9" borderId="25" applyNumberFormat="0" applyProtection="0">
      <alignment horizontal="left" vertical="center" indent="1"/>
    </xf>
    <xf numFmtId="4" fontId="46" fillId="0" borderId="25" applyNumberFormat="0" applyProtection="0">
      <alignment horizontal="left" vertical="center" indent="1"/>
    </xf>
    <xf numFmtId="4" fontId="46" fillId="0" borderId="25" applyNumberFormat="0" applyProtection="0">
      <alignment horizontal="left" vertical="center" indent="1"/>
    </xf>
    <xf numFmtId="4" fontId="46" fillId="0" borderId="25" applyNumberFormat="0" applyProtection="0">
      <alignment horizontal="left" vertical="center" indent="1"/>
    </xf>
    <xf numFmtId="4" fontId="46" fillId="0" borderId="25" applyNumberFormat="0" applyProtection="0">
      <alignment horizontal="left" vertical="center" indent="1"/>
    </xf>
    <xf numFmtId="4" fontId="46" fillId="0" borderId="25" applyNumberFormat="0" applyProtection="0">
      <alignment horizontal="left" vertical="center" indent="1"/>
    </xf>
    <xf numFmtId="4" fontId="46" fillId="0" borderId="25" applyNumberFormat="0" applyProtection="0">
      <alignment horizontal="left" vertical="center" indent="1"/>
    </xf>
    <xf numFmtId="4" fontId="21" fillId="61" borderId="0" applyNumberFormat="0" applyProtection="0">
      <alignment horizontal="left" vertical="center"/>
    </xf>
    <xf numFmtId="4" fontId="46" fillId="0" borderId="25" applyNumberFormat="0" applyProtection="0">
      <alignment horizontal="left" vertical="center" indent="1"/>
    </xf>
    <xf numFmtId="0" fontId="46" fillId="9" borderId="25" applyNumberFormat="0" applyProtection="0">
      <alignment horizontal="left" vertical="top" indent="1"/>
    </xf>
    <xf numFmtId="4" fontId="77" fillId="62" borderId="0" applyNumberFormat="0" applyProtection="0">
      <alignment horizontal="left" vertical="center" indent="1"/>
    </xf>
    <xf numFmtId="4" fontId="77" fillId="62" borderId="0" applyNumberFormat="0" applyProtection="0">
      <alignment horizontal="left" vertical="center" indent="1"/>
    </xf>
    <xf numFmtId="4" fontId="77" fillId="62" borderId="0" applyNumberFormat="0" applyProtection="0">
      <alignment horizontal="left" vertical="center" indent="1"/>
    </xf>
    <xf numFmtId="4" fontId="77" fillId="62" borderId="0" applyNumberFormat="0" applyProtection="0">
      <alignment horizontal="left" vertical="center" indent="1"/>
    </xf>
    <xf numFmtId="4" fontId="77" fillId="62" borderId="0" applyNumberFormat="0" applyProtection="0">
      <alignment horizontal="left" vertical="center" indent="1"/>
    </xf>
    <xf numFmtId="4" fontId="77" fillId="62" borderId="0" applyNumberFormat="0" applyProtection="0">
      <alignment horizontal="left" vertical="center" indent="1"/>
    </xf>
    <xf numFmtId="4" fontId="77" fillId="62" borderId="0" applyNumberFormat="0" applyProtection="0">
      <alignment horizontal="left" vertical="center" indent="1"/>
    </xf>
    <xf numFmtId="4" fontId="77" fillId="62" borderId="0" applyNumberFormat="0" applyProtection="0">
      <alignment horizontal="left" vertical="center" indent="1"/>
    </xf>
    <xf numFmtId="4" fontId="77" fillId="62" borderId="0" applyNumberFormat="0" applyProtection="0">
      <alignment horizontal="left" vertical="center" indent="1"/>
    </xf>
    <xf numFmtId="4" fontId="77" fillId="62" borderId="0" applyNumberFormat="0" applyProtection="0">
      <alignment horizontal="left" vertical="center" indent="1"/>
    </xf>
    <xf numFmtId="4" fontId="77" fillId="62" borderId="0" applyNumberFormat="0" applyProtection="0">
      <alignment horizontal="left" vertical="center" indent="1"/>
    </xf>
    <xf numFmtId="4" fontId="77" fillId="62" borderId="0" applyNumberFormat="0" applyProtection="0">
      <alignment horizontal="left" vertical="center" indent="1"/>
    </xf>
    <xf numFmtId="4" fontId="77" fillId="62" borderId="0" applyNumberFormat="0" applyProtection="0">
      <alignment horizontal="left" vertical="center" indent="1"/>
    </xf>
    <xf numFmtId="4" fontId="77" fillId="62" borderId="0" applyNumberFormat="0" applyProtection="0">
      <alignment horizontal="left" vertical="center" indent="1"/>
    </xf>
    <xf numFmtId="4" fontId="71" fillId="60" borderId="25" applyNumberFormat="0" applyProtection="0">
      <alignment horizontal="right" vertical="center"/>
    </xf>
    <xf numFmtId="0" fontId="32" fillId="5" borderId="0" applyNumberFormat="0" applyBorder="0" applyAlignment="0" applyProtection="0"/>
    <xf numFmtId="0" fontId="118" fillId="63" borderId="0"/>
    <xf numFmtId="0" fontId="78" fillId="0" borderId="0" applyNumberFormat="0" applyFill="0" applyBorder="0" applyAlignment="0" applyProtection="0"/>
    <xf numFmtId="0" fontId="39" fillId="18" borderId="22" applyNumberFormat="0" applyAlignment="0" applyProtection="0"/>
    <xf numFmtId="1" fontId="22" fillId="0" borderId="0" applyBorder="0">
      <alignment horizontal="left" vertical="top" wrapText="1"/>
    </xf>
    <xf numFmtId="0" fontId="79" fillId="0" borderId="0"/>
    <xf numFmtId="0" fontId="46" fillId="0" borderId="0">
      <alignment vertical="top"/>
    </xf>
    <xf numFmtId="0" fontId="20" fillId="64" borderId="28" applyNumberFormat="0" applyProtection="0">
      <alignment horizontal="center" wrapText="1"/>
    </xf>
    <xf numFmtId="0" fontId="20" fillId="64" borderId="29" applyNumberFormat="0" applyAlignment="0" applyProtection="0">
      <alignment wrapText="1"/>
    </xf>
    <xf numFmtId="0" fontId="21" fillId="65" borderId="0" applyNumberFormat="0" applyBorder="0">
      <alignment horizontal="center" wrapText="1"/>
    </xf>
    <xf numFmtId="0" fontId="21" fillId="65" borderId="0" applyNumberFormat="0" applyBorder="0">
      <alignment wrapText="1"/>
    </xf>
    <xf numFmtId="0" fontId="21" fillId="0" borderId="0" applyNumberFormat="0" applyFill="0" applyBorder="0" applyProtection="0">
      <alignment horizontal="right" wrapText="1"/>
    </xf>
    <xf numFmtId="218" fontId="21" fillId="0" borderId="0" applyFill="0" applyBorder="0" applyAlignment="0" applyProtection="0">
      <alignment wrapText="1"/>
    </xf>
    <xf numFmtId="211" fontId="21" fillId="0" borderId="0" applyFill="0" applyBorder="0" applyAlignment="0" applyProtection="0">
      <alignment wrapText="1"/>
    </xf>
    <xf numFmtId="219" fontId="21" fillId="0" borderId="0" applyFill="0" applyBorder="0" applyAlignment="0" applyProtection="0">
      <alignment wrapText="1"/>
    </xf>
    <xf numFmtId="0" fontId="21" fillId="0" borderId="0" applyNumberFormat="0" applyFill="0" applyBorder="0" applyProtection="0">
      <alignment horizontal="right" wrapText="1"/>
    </xf>
    <xf numFmtId="0" fontId="21" fillId="0" borderId="0" applyNumberFormat="0" applyFill="0" applyBorder="0">
      <alignment horizontal="right" wrapText="1"/>
    </xf>
    <xf numFmtId="17" fontId="21" fillId="0" borderId="0" applyFill="0" applyBorder="0">
      <alignment horizontal="right" wrapText="1"/>
    </xf>
    <xf numFmtId="8" fontId="21" fillId="0" borderId="0" applyFill="0" applyBorder="0" applyAlignment="0" applyProtection="0">
      <alignment wrapText="1"/>
    </xf>
    <xf numFmtId="0" fontId="85" fillId="0" borderId="0" applyNumberFormat="0" applyFill="0" applyBorder="0">
      <alignment horizontal="left" wrapText="1"/>
    </xf>
    <xf numFmtId="0" fontId="20" fillId="0" borderId="0" applyNumberFormat="0" applyFill="0" applyBorder="0">
      <alignment horizontal="center" wrapText="1"/>
    </xf>
    <xf numFmtId="0" fontId="20" fillId="0" borderId="0" applyNumberFormat="0" applyFill="0" applyBorder="0">
      <alignment horizontal="center" wrapText="1"/>
    </xf>
    <xf numFmtId="0" fontId="21" fillId="0" borderId="30"/>
    <xf numFmtId="0" fontId="119" fillId="0" borderId="0" applyNumberFormat="0" applyFill="0" applyBorder="0" applyProtection="0">
      <alignment horizontal="centerContinuous"/>
    </xf>
    <xf numFmtId="0" fontId="120" fillId="0" borderId="0" applyBorder="0" applyProtection="0">
      <alignment vertical="center"/>
    </xf>
    <xf numFmtId="0" fontId="120" fillId="0" borderId="31" applyBorder="0" applyProtection="0">
      <alignment horizontal="right" vertical="center"/>
    </xf>
    <xf numFmtId="0" fontId="121" fillId="66" borderId="0" applyBorder="0" applyProtection="0">
      <alignment horizontal="centerContinuous" vertical="center"/>
    </xf>
    <xf numFmtId="0" fontId="121" fillId="67" borderId="31" applyBorder="0" applyProtection="0">
      <alignment horizontal="centerContinuous" vertical="center"/>
    </xf>
    <xf numFmtId="0" fontId="122" fillId="0" borderId="0" applyFill="0" applyBorder="0" applyProtection="0">
      <alignment horizontal="left"/>
    </xf>
    <xf numFmtId="0" fontId="106" fillId="0" borderId="4" applyFill="0" applyBorder="0" applyProtection="0">
      <alignment horizontal="left" vertical="top"/>
    </xf>
    <xf numFmtId="0" fontId="123" fillId="68" borderId="0" applyNumberFormat="0" applyBorder="0" applyAlignment="0"/>
    <xf numFmtId="49" fontId="21" fillId="0" borderId="0" applyFont="0" applyFill="0" applyBorder="0" applyAlignment="0" applyProtection="0"/>
    <xf numFmtId="0" fontId="80" fillId="0" borderId="0">
      <alignment horizontal="centerContinuous"/>
    </xf>
    <xf numFmtId="0" fontId="80" fillId="0" borderId="0" applyFill="0" applyBorder="0" applyProtection="0">
      <alignment horizontal="centerContinuous" wrapText="1"/>
    </xf>
    <xf numFmtId="0" fontId="124" fillId="0" borderId="0" applyNumberFormat="0" applyFont="0" applyFill="0" applyBorder="0" applyProtection="0">
      <alignment horizontal="center" wrapText="1"/>
    </xf>
    <xf numFmtId="0" fontId="31" fillId="0" borderId="0" applyNumberFormat="0" applyFill="0" applyBorder="0" applyAlignment="0" applyProtection="0"/>
    <xf numFmtId="187" fontId="45" fillId="0" borderId="0"/>
    <xf numFmtId="1" fontId="125" fillId="0" borderId="0" applyFill="0" applyBorder="0">
      <alignment horizontal="left"/>
    </xf>
    <xf numFmtId="40" fontId="81"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40"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40"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64" fontId="88" fillId="0" borderId="0"/>
    <xf numFmtId="0" fontId="40" fillId="0" borderId="0" applyNumberFormat="0" applyFill="0" applyBorder="0" applyAlignment="0" applyProtection="0"/>
    <xf numFmtId="0" fontId="33" fillId="0" borderId="14" applyNumberFormat="0" applyFill="0" applyAlignment="0" applyProtection="0"/>
    <xf numFmtId="0" fontId="34" fillId="0" borderId="16" applyNumberFormat="0" applyFill="0" applyAlignment="0" applyProtection="0"/>
    <xf numFmtId="0" fontId="35" fillId="0" borderId="17" applyNumberFormat="0" applyFill="0" applyAlignment="0" applyProtection="0"/>
    <xf numFmtId="0" fontId="35" fillId="0" borderId="0" applyNumberFormat="0" applyFill="0" applyBorder="0" applyAlignment="0" applyProtection="0"/>
    <xf numFmtId="0" fontId="41" fillId="0" borderId="33"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41" fillId="0" borderId="32"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41" fillId="0" borderId="32"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153" fillId="0" borderId="57"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0" fontId="41" fillId="0" borderId="33" applyNumberFormat="0" applyFill="0" applyAlignment="0" applyProtection="0"/>
    <xf numFmtId="164" fontId="86" fillId="0" borderId="34"/>
    <xf numFmtId="188" fontId="45" fillId="0" borderId="0"/>
    <xf numFmtId="216" fontId="65" fillId="0" borderId="35">
      <protection locked="0"/>
    </xf>
    <xf numFmtId="49" fontId="65" fillId="0" borderId="20">
      <alignment vertical="top"/>
      <protection locked="0"/>
    </xf>
    <xf numFmtId="220" fontId="65" fillId="0" borderId="35">
      <protection locked="0"/>
    </xf>
    <xf numFmtId="49" fontId="65" fillId="0" borderId="35">
      <protection locked="0"/>
    </xf>
    <xf numFmtId="37" fontId="59" fillId="43" borderId="0" applyNumberFormat="0" applyBorder="0" applyAlignment="0" applyProtection="0"/>
    <xf numFmtId="37" fontId="59" fillId="0" borderId="0"/>
    <xf numFmtId="37" fontId="59" fillId="52" borderId="0" applyNumberFormat="0" applyBorder="0" applyAlignment="0" applyProtection="0"/>
    <xf numFmtId="3" fontId="82" fillId="0" borderId="19" applyProtection="0"/>
    <xf numFmtId="217" fontId="114" fillId="52" borderId="4" applyBorder="0">
      <alignment horizontal="right" vertical="center"/>
      <protection locked="0"/>
    </xf>
    <xf numFmtId="0" fontId="100" fillId="0" borderId="31">
      <alignment horizontal="centerContinuous" vertical="center"/>
    </xf>
    <xf numFmtId="0" fontId="126" fillId="0" borderId="0"/>
    <xf numFmtId="0" fontId="127" fillId="0" borderId="36" applyNumberFormat="0" applyAlignment="0"/>
    <xf numFmtId="0" fontId="30" fillId="46" borderId="8" applyNumberFormat="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54"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83" fillId="0" borderId="0" applyNumberFormat="0" applyFill="0" applyBorder="0" applyAlignment="0" applyProtection="0"/>
    <xf numFmtId="0" fontId="84" fillId="0" borderId="0" applyNumberFormat="0" applyFont="0" applyFill="0" applyBorder="0" applyAlignment="0"/>
    <xf numFmtId="1" fontId="114" fillId="52" borderId="0">
      <alignment horizontal="center"/>
    </xf>
    <xf numFmtId="221" fontId="59" fillId="0" borderId="20" applyFont="0" applyFill="0" applyBorder="0" applyAlignment="0" applyProtection="0"/>
    <xf numFmtId="189" fontId="45" fillId="0" borderId="0"/>
    <xf numFmtId="0" fontId="128" fillId="0" borderId="0" applyFont="0" applyFill="0" applyBorder="0" applyAlignment="0" applyProtection="0"/>
    <xf numFmtId="0" fontId="128" fillId="0" borderId="0" applyFont="0" applyFill="0" applyBorder="0" applyAlignment="0" applyProtection="0"/>
    <xf numFmtId="0" fontId="129" fillId="69" borderId="0"/>
    <xf numFmtId="0" fontId="128" fillId="0" borderId="0" applyFont="0" applyFill="0" applyBorder="0" applyAlignment="0" applyProtection="0"/>
    <xf numFmtId="0" fontId="128" fillId="0" borderId="0" applyFont="0" applyFill="0" applyBorder="0" applyAlignment="0" applyProtection="0"/>
    <xf numFmtId="0" fontId="128" fillId="0" borderId="0" applyFont="0" applyFill="0" applyBorder="0" applyAlignment="0" applyProtection="0"/>
    <xf numFmtId="0" fontId="128" fillId="0" borderId="0" applyFont="0" applyFill="0" applyBorder="0" applyAlignment="0" applyProtection="0"/>
    <xf numFmtId="44" fontId="17" fillId="0" borderId="0" applyFont="0" applyFill="0" applyBorder="0" applyAlignment="0" applyProtection="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70" borderId="0" applyNumberFormat="0" applyBorder="0" applyAlignment="0" applyProtection="0"/>
    <xf numFmtId="0" fontId="16" fillId="71" borderId="0" applyNumberFormat="0" applyBorder="0" applyAlignment="0" applyProtection="0"/>
    <xf numFmtId="0" fontId="16" fillId="72" borderId="0" applyNumberFormat="0" applyBorder="0" applyAlignment="0" applyProtection="0"/>
    <xf numFmtId="0" fontId="16" fillId="73" borderId="0" applyNumberFormat="0" applyBorder="0" applyAlignment="0" applyProtection="0"/>
    <xf numFmtId="0" fontId="16" fillId="74" borderId="0" applyNumberFormat="0" applyBorder="0" applyAlignment="0" applyProtection="0"/>
    <xf numFmtId="0" fontId="16" fillId="75" borderId="0" applyNumberFormat="0" applyBorder="0" applyAlignment="0" applyProtection="0"/>
    <xf numFmtId="0" fontId="16" fillId="76" borderId="0" applyNumberFormat="0" applyBorder="0" applyAlignment="0" applyProtection="0"/>
    <xf numFmtId="0" fontId="16" fillId="77" borderId="0" applyNumberFormat="0" applyBorder="0" applyAlignment="0" applyProtection="0"/>
    <xf numFmtId="0" fontId="16" fillId="78" borderId="0" applyNumberFormat="0" applyBorder="0" applyAlignment="0" applyProtection="0"/>
    <xf numFmtId="0" fontId="16" fillId="78" borderId="0" applyNumberFormat="0" applyBorder="0" applyAlignment="0" applyProtection="0"/>
    <xf numFmtId="0" fontId="16" fillId="78" borderId="0" applyNumberFormat="0" applyBorder="0" applyAlignment="0" applyProtection="0"/>
    <xf numFmtId="0" fontId="16" fillId="79" borderId="0" applyNumberFormat="0" applyBorder="0" applyAlignment="0" applyProtection="0"/>
    <xf numFmtId="0" fontId="16" fillId="80" borderId="0" applyNumberFormat="0" applyBorder="0" applyAlignment="0" applyProtection="0"/>
    <xf numFmtId="0" fontId="16" fillId="80" borderId="0" applyNumberFormat="0" applyBorder="0" applyAlignment="0" applyProtection="0"/>
    <xf numFmtId="0" fontId="16" fillId="80" borderId="0" applyNumberFormat="0" applyBorder="0" applyAlignment="0" applyProtection="0"/>
    <xf numFmtId="0" fontId="16" fillId="81" borderId="0" applyNumberFormat="0" applyBorder="0" applyAlignment="0" applyProtection="0"/>
    <xf numFmtId="0" fontId="22" fillId="0" borderId="0"/>
    <xf numFmtId="0" fontId="22" fillId="0" borderId="0"/>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223" fontId="21"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23" fontId="21" fillId="0" borderId="0">
      <alignment horizontal="left" wrapText="1"/>
    </xf>
    <xf numFmtId="223" fontId="21" fillId="0" borderId="0">
      <alignment horizontal="left" wrapText="1"/>
    </xf>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27" fillId="27" borderId="0" applyNumberFormat="0" applyBorder="0" applyAlignment="0" applyProtection="0"/>
    <xf numFmtId="0" fontId="27" fillId="23"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32"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1" borderId="0" applyNumberFormat="0" applyBorder="0" applyAlignment="0" applyProtection="0"/>
    <xf numFmtId="0" fontId="27" fillId="17"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6" borderId="0" applyNumberFormat="0" applyBorder="0" applyAlignment="0" applyProtection="0"/>
    <xf numFmtId="0" fontId="27" fillId="20"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21"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75" fontId="20" fillId="42" borderId="3">
      <alignment horizontal="center" vertical="center"/>
    </xf>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157" fillId="112" borderId="0"/>
    <xf numFmtId="189" fontId="21" fillId="0" borderId="0"/>
    <xf numFmtId="189" fontId="21" fillId="0" borderId="0"/>
    <xf numFmtId="189" fontId="21" fillId="0" borderId="0"/>
    <xf numFmtId="189" fontId="21" fillId="0" borderId="0"/>
    <xf numFmtId="0" fontId="51" fillId="45" borderId="6" applyNumberFormat="0" applyAlignment="0" applyProtection="0"/>
    <xf numFmtId="0" fontId="51" fillId="45" borderId="6" applyNumberFormat="0" applyAlignment="0" applyProtection="0"/>
    <xf numFmtId="0" fontId="51" fillId="45" borderId="6" applyNumberFormat="0" applyAlignment="0" applyProtection="0"/>
    <xf numFmtId="0" fontId="30" fillId="31" borderId="8" applyNumberFormat="0" applyAlignment="0" applyProtection="0"/>
    <xf numFmtId="0" fontId="30" fillId="31" borderId="8" applyNumberFormat="0" applyAlignment="0" applyProtection="0"/>
    <xf numFmtId="0" fontId="30" fillId="31" borderId="8" applyNumberFormat="0" applyAlignment="0" applyProtection="0"/>
    <xf numFmtId="0" fontId="158" fillId="53" borderId="41">
      <alignment horizontal="center" wrapText="1"/>
    </xf>
    <xf numFmtId="224" fontId="159" fillId="0" borderId="0">
      <alignment horizontal="left"/>
    </xf>
    <xf numFmtId="43" fontId="21"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176" fontId="21" fillId="0" borderId="0" applyFont="0" applyFill="0" applyBorder="0" applyAlignment="0" applyProtection="0"/>
    <xf numFmtId="173" fontId="52" fillId="0" borderId="0" applyFont="0" applyFill="0" applyBorder="0" applyAlignment="0" applyProtection="0"/>
    <xf numFmtId="173" fontId="52" fillId="0" borderId="0" applyFont="0" applyFill="0" applyBorder="0" applyAlignment="0" applyProtection="0"/>
    <xf numFmtId="173" fontId="26" fillId="0" borderId="0" applyFont="0" applyFill="0" applyBorder="0" applyAlignment="0" applyProtection="0"/>
    <xf numFmtId="43" fontId="53"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3" fontId="52"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173" fontId="5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7" fontId="21" fillId="0" borderId="0" applyFont="0" applyFill="0" applyBorder="0" applyAlignment="0" applyProtection="0"/>
    <xf numFmtId="178" fontId="52" fillId="0" borderId="0" applyFont="0" applyFill="0" applyBorder="0" applyAlignment="0" applyProtection="0"/>
    <xf numFmtId="178" fontId="52" fillId="0" borderId="0" applyFont="0" applyFill="0" applyBorder="0" applyAlignment="0" applyProtection="0"/>
    <xf numFmtId="177" fontId="21" fillId="0" borderId="0" applyFont="0" applyFill="0" applyBorder="0" applyAlignment="0" applyProtection="0"/>
    <xf numFmtId="43" fontId="21" fillId="0" borderId="0" applyFont="0" applyFill="0" applyBorder="0" applyAlignment="0" applyProtection="0"/>
    <xf numFmtId="177"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6" fontId="21" fillId="0" borderId="0" applyFont="0" applyFill="0" applyBorder="0" applyAlignment="0" applyProtection="0"/>
    <xf numFmtId="0" fontId="97" fillId="0" borderId="0" applyFont="0" applyFill="0" applyBorder="0" applyAlignment="0" applyProtection="0">
      <alignment horizontal="right"/>
    </xf>
    <xf numFmtId="173" fontId="52" fillId="0" borderId="0" applyFont="0" applyFill="0" applyBorder="0" applyAlignment="0" applyProtection="0"/>
    <xf numFmtId="43" fontId="26" fillId="0" borderId="0" applyFont="0" applyFill="0" applyBorder="0" applyAlignment="0" applyProtection="0"/>
    <xf numFmtId="178" fontId="52"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178" fontId="52" fillId="0" borderId="0" applyFont="0" applyFill="0" applyBorder="0" applyAlignment="0" applyProtection="0"/>
    <xf numFmtId="178" fontId="52" fillId="0" borderId="0" applyFont="0" applyFill="0" applyBorder="0" applyAlignment="0" applyProtection="0"/>
    <xf numFmtId="173" fontId="44"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179" fontId="54" fillId="0" borderId="0" applyFont="0" applyFill="0" applyBorder="0" applyAlignment="0" applyProtection="0"/>
    <xf numFmtId="177"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2" fontId="21"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38" fontId="59" fillId="0" borderId="0">
      <alignment horizontal="right"/>
    </xf>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200" fontId="55" fillId="0" borderId="0">
      <protection locked="0"/>
    </xf>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225" fontId="21" fillId="0" borderId="0">
      <alignment horizontal="right"/>
    </xf>
    <xf numFmtId="225" fontId="21" fillId="0" borderId="0">
      <alignment horizontal="right"/>
    </xf>
    <xf numFmtId="225" fontId="21" fillId="0" borderId="0">
      <alignment horizontal="right"/>
    </xf>
    <xf numFmtId="225" fontId="21" fillId="0" borderId="0">
      <alignment horizontal="right"/>
    </xf>
    <xf numFmtId="225" fontId="21" fillId="0" borderId="0">
      <alignment horizontal="right"/>
    </xf>
    <xf numFmtId="225" fontId="21" fillId="0" borderId="0">
      <alignment horizontal="right"/>
    </xf>
    <xf numFmtId="225" fontId="21" fillId="0" borderId="0">
      <alignment horizontal="right"/>
    </xf>
    <xf numFmtId="225" fontId="21" fillId="0" borderId="0">
      <alignment horizontal="right"/>
    </xf>
    <xf numFmtId="225" fontId="21" fillId="0" borderId="0">
      <alignment horizontal="right"/>
    </xf>
    <xf numFmtId="225" fontId="21" fillId="0" borderId="0">
      <alignment horizontal="right"/>
    </xf>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82" fontId="21" fillId="0" borderId="0" applyFont="0" applyFill="0" applyBorder="0" applyAlignment="0" applyProtection="0"/>
    <xf numFmtId="201" fontId="55" fillId="0" borderId="0">
      <protection locked="0"/>
    </xf>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55" fillId="0" borderId="0">
      <protection locked="0"/>
    </xf>
    <xf numFmtId="0" fontId="21" fillId="0" borderId="0" applyFont="0" applyFill="0" applyBorder="0" applyAlignment="0" applyProtection="0"/>
    <xf numFmtId="0" fontId="21" fillId="0" borderId="0" applyFont="0" applyFill="0" applyBorder="0" applyAlignment="0" applyProtection="0"/>
    <xf numFmtId="6" fontId="103" fillId="0" borderId="0">
      <protection locked="0"/>
    </xf>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2" fontId="21" fillId="0" borderId="0" applyFont="0" applyFill="0" applyBorder="0" applyAlignment="0" applyProtection="0"/>
    <xf numFmtId="184" fontId="55" fillId="0" borderId="0">
      <protection locked="0"/>
    </xf>
    <xf numFmtId="2" fontId="21" fillId="0" borderId="0" applyFont="0" applyFill="0" applyBorder="0" applyAlignment="0" applyProtection="0"/>
    <xf numFmtId="167" fontId="21" fillId="0" borderId="0">
      <protection locked="0"/>
    </xf>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204" fontId="87" fillId="0" borderId="0">
      <alignment vertical="center"/>
    </xf>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61" fillId="0" borderId="15" applyNumberFormat="0" applyFill="0" applyAlignment="0" applyProtection="0"/>
    <xf numFmtId="0" fontId="61" fillId="0" borderId="15" applyNumberFormat="0" applyFill="0" applyAlignment="0" applyProtection="0"/>
    <xf numFmtId="0" fontId="61" fillId="0" borderId="15" applyNumberFormat="0" applyFill="0" applyAlignment="0" applyProtection="0"/>
    <xf numFmtId="0" fontId="62" fillId="0" borderId="16" applyNumberFormat="0" applyFill="0" applyAlignment="0" applyProtection="0"/>
    <xf numFmtId="0" fontId="62" fillId="0" borderId="16" applyNumberFormat="0" applyFill="0" applyAlignment="0" applyProtection="0"/>
    <xf numFmtId="0" fontId="62" fillId="0" borderId="16"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21" fillId="0" borderId="0">
      <protection locked="0"/>
    </xf>
    <xf numFmtId="0" fontId="21" fillId="0" borderId="0">
      <protection locked="0"/>
    </xf>
    <xf numFmtId="0" fontId="160" fillId="0" borderId="0" applyNumberFormat="0" applyFill="0" applyBorder="0" applyAlignment="0" applyProtection="0">
      <alignment vertical="top"/>
      <protection locked="0"/>
    </xf>
    <xf numFmtId="0" fontId="65" fillId="0" borderId="0" applyNumberFormat="0" applyFill="0" applyAlignment="0" applyProtection="0">
      <alignment vertical="top"/>
      <protection locked="0"/>
    </xf>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36" fillId="8" borderId="6" applyNumberFormat="0" applyAlignment="0" applyProtection="0"/>
    <xf numFmtId="0" fontId="67" fillId="0" borderId="21"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226" fontId="21" fillId="0" borderId="0" applyFont="0" applyFill="0" applyBorder="0" applyAlignment="0" applyProtection="0"/>
    <xf numFmtId="227" fontId="21" fillId="0" borderId="0" applyFont="0" applyFill="0" applyBorder="0" applyAlignment="0" applyProtection="0"/>
    <xf numFmtId="228" fontId="21" fillId="0" borderId="0">
      <alignment horizontal="right"/>
    </xf>
    <xf numFmtId="228" fontId="21" fillId="0" borderId="0">
      <alignment horizontal="right"/>
    </xf>
    <xf numFmtId="228" fontId="21" fillId="0" borderId="0">
      <alignment horizontal="right"/>
    </xf>
    <xf numFmtId="228" fontId="21" fillId="0" borderId="0">
      <alignment horizontal="right"/>
    </xf>
    <xf numFmtId="228" fontId="21" fillId="0" borderId="0">
      <alignment horizontal="right"/>
    </xf>
    <xf numFmtId="228" fontId="21" fillId="0" borderId="0">
      <alignment horizontal="right"/>
    </xf>
    <xf numFmtId="228" fontId="21" fillId="0" borderId="0">
      <alignment horizontal="right"/>
    </xf>
    <xf numFmtId="228" fontId="21" fillId="0" borderId="0">
      <alignment horizontal="right"/>
    </xf>
    <xf numFmtId="228" fontId="21" fillId="0" borderId="0">
      <alignment horizontal="right"/>
    </xf>
    <xf numFmtId="228" fontId="21" fillId="0" borderId="0">
      <alignment horizontal="right"/>
    </xf>
    <xf numFmtId="229" fontId="21" fillId="0" borderId="0">
      <alignment horizontal="right"/>
    </xf>
    <xf numFmtId="229" fontId="21" fillId="0" borderId="0">
      <alignment horizontal="right"/>
    </xf>
    <xf numFmtId="229" fontId="21" fillId="0" borderId="0">
      <alignment horizontal="right"/>
    </xf>
    <xf numFmtId="229" fontId="21" fillId="0" borderId="0">
      <alignment horizontal="right"/>
    </xf>
    <xf numFmtId="229" fontId="21" fillId="0" borderId="0">
      <alignment horizontal="right"/>
    </xf>
    <xf numFmtId="229" fontId="21" fillId="0" borderId="0">
      <alignment horizontal="right"/>
    </xf>
    <xf numFmtId="229" fontId="21" fillId="0" borderId="0">
      <alignment horizontal="right"/>
    </xf>
    <xf numFmtId="229" fontId="21" fillId="0" borderId="0">
      <alignment horizontal="right"/>
    </xf>
    <xf numFmtId="229" fontId="21" fillId="0" borderId="0">
      <alignment horizontal="right"/>
    </xf>
    <xf numFmtId="229" fontId="21" fillId="0" borderId="0">
      <alignment horizontal="right"/>
    </xf>
    <xf numFmtId="0" fontId="38" fillId="40" borderId="0" applyNumberFormat="0" applyBorder="0" applyAlignment="0" applyProtection="0"/>
    <xf numFmtId="0" fontId="147" fillId="9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185" fontId="69" fillId="0" borderId="0"/>
    <xf numFmtId="230" fontId="91" fillId="0" borderId="31" applyFont="0" applyFill="0" applyBorder="0" applyAlignment="0" applyProtection="0"/>
    <xf numFmtId="0" fontId="149" fillId="0" borderId="0"/>
    <xf numFmtId="0" fontId="148"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3" fillId="0" borderId="0"/>
    <xf numFmtId="0" fontId="52" fillId="0" borderId="0"/>
    <xf numFmtId="0" fontId="52"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9" fillId="0" borderId="0"/>
    <xf numFmtId="0" fontId="149" fillId="0" borderId="0"/>
    <xf numFmtId="0" fontId="149" fillId="0" borderId="0"/>
    <xf numFmtId="0" fontId="149" fillId="0" borderId="0"/>
    <xf numFmtId="0" fontId="21" fillId="0" borderId="0"/>
    <xf numFmtId="0" fontId="21" fillId="0" borderId="0"/>
    <xf numFmtId="0" fontId="21" fillId="0" borderId="0"/>
    <xf numFmtId="0" fontId="53" fillId="0" borderId="0"/>
    <xf numFmtId="0" fontId="53"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9"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53" fillId="0" borderId="0"/>
    <xf numFmtId="0" fontId="14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9"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53" fillId="0" borderId="0"/>
    <xf numFmtId="0" fontId="53" fillId="0" borderId="0"/>
    <xf numFmtId="0" fontId="53" fillId="0" borderId="0"/>
    <xf numFmtId="0" fontId="53" fillId="0" borderId="0"/>
    <xf numFmtId="0" fontId="21" fillId="0" borderId="0"/>
    <xf numFmtId="0" fontId="21" fillId="0" borderId="0"/>
    <xf numFmtId="0" fontId="21" fillId="0" borderId="0"/>
    <xf numFmtId="0" fontId="21" fillId="0" borderId="0"/>
    <xf numFmtId="0" fontId="21" fillId="0" borderId="0"/>
    <xf numFmtId="0" fontId="149" fillId="0" borderId="0"/>
    <xf numFmtId="0" fontId="149" fillId="0" borderId="0"/>
    <xf numFmtId="0" fontId="149" fillId="0" borderId="0"/>
    <xf numFmtId="0" fontId="149" fillId="0" borderId="0"/>
    <xf numFmtId="0" fontId="149" fillId="0" borderId="0"/>
    <xf numFmtId="0" fontId="16" fillId="0" borderId="0"/>
    <xf numFmtId="0" fontId="21" fillId="0" borderId="0"/>
    <xf numFmtId="0" fontId="21" fillId="0" borderId="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21" fillId="0" borderId="0"/>
    <xf numFmtId="0" fontId="21" fillId="0" borderId="0"/>
    <xf numFmtId="0" fontId="149" fillId="0" borderId="0"/>
    <xf numFmtId="0" fontId="149" fillId="0" borderId="0"/>
    <xf numFmtId="0" fontId="149" fillId="0" borderId="0"/>
    <xf numFmtId="0" fontId="149" fillId="0" borderId="0"/>
    <xf numFmtId="0" fontId="14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3" fillId="0" borderId="0"/>
    <xf numFmtId="0" fontId="5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2" fillId="0" borderId="0"/>
    <xf numFmtId="0" fontId="52" fillId="0" borderId="0"/>
    <xf numFmtId="0" fontId="52" fillId="0" borderId="0"/>
    <xf numFmtId="0" fontId="21" fillId="0" borderId="0">
      <alignment vertical="top"/>
    </xf>
    <xf numFmtId="0" fontId="52" fillId="0" borderId="0"/>
    <xf numFmtId="0" fontId="53"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9" fillId="0" borderId="0"/>
    <xf numFmtId="0" fontId="149" fillId="0" borderId="0"/>
    <xf numFmtId="0" fontId="149" fillId="0" borderId="0"/>
    <xf numFmtId="0" fontId="149" fillId="0" borderId="0"/>
    <xf numFmtId="0" fontId="14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9" fillId="0" borderId="0"/>
    <xf numFmtId="0" fontId="149" fillId="0" borderId="0"/>
    <xf numFmtId="0" fontId="149" fillId="0" borderId="0"/>
    <xf numFmtId="0" fontId="149" fillId="0" borderId="0"/>
    <xf numFmtId="0" fontId="149"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9"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9" fillId="0" borderId="0"/>
    <xf numFmtId="0" fontId="149" fillId="0" borderId="0"/>
    <xf numFmtId="0" fontId="149" fillId="0" borderId="0"/>
    <xf numFmtId="0" fontId="149" fillId="0" borderId="0"/>
    <xf numFmtId="0" fontId="149"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9" fillId="0" borderId="0"/>
    <xf numFmtId="0" fontId="149" fillId="0" borderId="0"/>
    <xf numFmtId="0" fontId="149" fillId="0" borderId="0"/>
    <xf numFmtId="0" fontId="149" fillId="0" borderId="0"/>
    <xf numFmtId="0" fontId="149"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9" fillId="0" borderId="0"/>
    <xf numFmtId="0" fontId="149" fillId="0" borderId="0"/>
    <xf numFmtId="0" fontId="149" fillId="0" borderId="0"/>
    <xf numFmtId="0" fontId="149" fillId="0" borderId="0"/>
    <xf numFmtId="0" fontId="16" fillId="0" borderId="0"/>
    <xf numFmtId="0" fontId="21" fillId="0" borderId="0"/>
    <xf numFmtId="0" fontId="21" fillId="0" borderId="0"/>
    <xf numFmtId="0" fontId="21" fillId="0" borderId="0"/>
    <xf numFmtId="0" fontId="149" fillId="0" borderId="0"/>
    <xf numFmtId="0" fontId="149"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9"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9"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0" fillId="0" borderId="0"/>
    <xf numFmtId="0" fontId="21" fillId="0" borderId="0">
      <alignment wrapText="1"/>
    </xf>
    <xf numFmtId="0" fontId="26" fillId="0" borderId="0"/>
    <xf numFmtId="0" fontId="21" fillId="0" borderId="0"/>
    <xf numFmtId="0" fontId="21" fillId="0" borderId="0"/>
    <xf numFmtId="0" fontId="21" fillId="0" borderId="0"/>
    <xf numFmtId="0" fontId="21" fillId="0" borderId="0"/>
    <xf numFmtId="0" fontId="54" fillId="0" borderId="0"/>
    <xf numFmtId="0" fontId="21" fillId="0" borderId="0">
      <alignment wrapText="1"/>
    </xf>
    <xf numFmtId="0" fontId="21" fillId="0" borderId="0">
      <alignment wrapText="1"/>
    </xf>
    <xf numFmtId="0" fontId="1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9"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6" fillId="0" borderId="0"/>
    <xf numFmtId="0" fontId="21" fillId="0" borderId="0"/>
    <xf numFmtId="0" fontId="16" fillId="0" borderId="0"/>
    <xf numFmtId="0" fontId="150"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5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4" fillId="0" borderId="0"/>
    <xf numFmtId="0" fontId="21" fillId="0" borderId="0"/>
    <xf numFmtId="0" fontId="149" fillId="0" borderId="0"/>
    <xf numFmtId="0" fontId="54" fillId="0" borderId="0"/>
    <xf numFmtId="0" fontId="21" fillId="0" borderId="0">
      <alignment wrapText="1"/>
    </xf>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1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5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5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5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0"/>
    <xf numFmtId="0" fontId="5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16" fillId="0" borderId="0"/>
    <xf numFmtId="0" fontId="26" fillId="0" borderId="0"/>
    <xf numFmtId="0" fontId="21" fillId="0" borderId="0"/>
    <xf numFmtId="0" fontId="21" fillId="0" borderId="0"/>
    <xf numFmtId="0" fontId="21" fillId="0" borderId="0"/>
    <xf numFmtId="0" fontId="21" fillId="0" borderId="0"/>
    <xf numFmtId="0" fontId="21" fillId="0" borderId="0"/>
    <xf numFmtId="0" fontId="22" fillId="0" borderId="0"/>
    <xf numFmtId="0" fontId="53" fillId="0" borderId="0"/>
    <xf numFmtId="0" fontId="2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52" fillId="0" borderId="0"/>
    <xf numFmtId="0" fontId="52" fillId="0" borderId="0"/>
    <xf numFmtId="0" fontId="16" fillId="0" borderId="0"/>
    <xf numFmtId="0" fontId="26" fillId="0" borderId="0"/>
    <xf numFmtId="0" fontId="21" fillId="0" borderId="0"/>
    <xf numFmtId="0" fontId="2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6" fillId="0" borderId="0"/>
    <xf numFmtId="0" fontId="21" fillId="0" borderId="0"/>
    <xf numFmtId="0" fontId="21" fillId="0" borderId="0"/>
    <xf numFmtId="0" fontId="21" fillId="0" borderId="0"/>
    <xf numFmtId="0" fontId="21" fillId="0" borderId="0"/>
    <xf numFmtId="0" fontId="2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1" fillId="0" borderId="0"/>
    <xf numFmtId="0" fontId="21" fillId="0" borderId="0"/>
    <xf numFmtId="0" fontId="21" fillId="0" borderId="0"/>
    <xf numFmtId="0" fontId="21" fillId="0" borderId="0"/>
    <xf numFmtId="0" fontId="21" fillId="0" borderId="0"/>
    <xf numFmtId="0" fontId="21" fillId="0" borderId="0"/>
    <xf numFmtId="0" fontId="52" fillId="0" borderId="0"/>
    <xf numFmtId="0" fontId="52" fillId="0" borderId="0"/>
    <xf numFmtId="0" fontId="16" fillId="0" borderId="0"/>
    <xf numFmtId="0" fontId="26" fillId="0" borderId="0"/>
    <xf numFmtId="0" fontId="21" fillId="0" borderId="0"/>
    <xf numFmtId="0" fontId="21" fillId="0" borderId="0"/>
    <xf numFmtId="0" fontId="21" fillId="0" borderId="0"/>
    <xf numFmtId="0" fontId="21" fillId="0" borderId="0"/>
    <xf numFmtId="0" fontId="53" fillId="0" borderId="0"/>
    <xf numFmtId="0" fontId="53" fillId="0" borderId="0"/>
    <xf numFmtId="0" fontId="53" fillId="0" borderId="0"/>
    <xf numFmtId="0" fontId="5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100" borderId="55"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21" fillId="39" borderId="11" applyNumberFormat="0" applyFont="0" applyAlignment="0" applyProtection="0"/>
    <xf numFmtId="0" fontId="53" fillId="11" borderId="11" applyNumberFormat="0" applyFont="0" applyAlignment="0" applyProtection="0"/>
    <xf numFmtId="0" fontId="39" fillId="45" borderId="22" applyNumberFormat="0" applyAlignment="0" applyProtection="0"/>
    <xf numFmtId="0" fontId="39" fillId="45" borderId="22" applyNumberFormat="0" applyAlignment="0" applyProtection="0"/>
    <xf numFmtId="0" fontId="39" fillId="45" borderId="22" applyNumberFormat="0" applyAlignment="0" applyProtection="0"/>
    <xf numFmtId="40" fontId="161" fillId="69" borderId="0">
      <alignment horizontal="right"/>
    </xf>
    <xf numFmtId="0" fontId="162" fillId="69" borderId="0">
      <alignment horizontal="right"/>
    </xf>
    <xf numFmtId="0" fontId="163" fillId="69" borderId="44"/>
    <xf numFmtId="0" fontId="163" fillId="0" borderId="0" applyBorder="0">
      <alignment horizontal="centerContinuous"/>
    </xf>
    <xf numFmtId="0" fontId="164" fillId="0" borderId="0" applyBorder="0">
      <alignment horizontal="centerContinuous"/>
    </xf>
    <xf numFmtId="9" fontId="21" fillId="0" borderId="0" applyFont="0" applyFill="0" applyBorder="0" applyAlignment="0" applyProtection="0"/>
    <xf numFmtId="9" fontId="22" fillId="0" borderId="0" applyFont="0" applyFill="0" applyBorder="0" applyAlignment="0" applyProtection="0"/>
    <xf numFmtId="9" fontId="54"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10" fontId="54" fillId="0" borderId="0" applyFill="0" applyBorder="0" applyProtection="0">
      <alignment horizontal="center"/>
    </xf>
    <xf numFmtId="9" fontId="21" fillId="0" borderId="0" applyFont="0" applyFill="0" applyBorder="0" applyAlignment="0" applyProtection="0"/>
    <xf numFmtId="9" fontId="21" fillId="0" borderId="0" applyFont="0" applyFill="0" applyBorder="0" applyAlignment="0" applyProtection="0"/>
    <xf numFmtId="10" fontId="54" fillId="0" borderId="0" applyFill="0" applyBorder="0" applyProtection="0">
      <alignment horizontal="center"/>
    </xf>
    <xf numFmtId="9" fontId="21"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9" fillId="0" borderId="0" applyFont="0" applyFill="0" applyBorder="0" applyAlignment="0" applyProtection="0"/>
    <xf numFmtId="9" fontId="21"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0" fontId="21" fillId="0" borderId="0" applyFont="0" applyFill="0" applyBorder="0" applyAlignment="0" applyProtection="0"/>
    <xf numFmtId="0" fontId="24" fillId="0" borderId="0" applyNumberFormat="0" applyFont="0" applyFill="0" applyBorder="0" applyAlignment="0" applyProtection="0">
      <alignment horizontal="left"/>
    </xf>
    <xf numFmtId="15" fontId="24" fillId="0" borderId="0" applyFont="0" applyFill="0" applyBorder="0" applyAlignment="0" applyProtection="0"/>
    <xf numFmtId="4" fontId="24" fillId="0" borderId="0" applyFont="0" applyFill="0" applyBorder="0" applyAlignment="0" applyProtection="0"/>
    <xf numFmtId="0" fontId="25" fillId="0" borderId="9">
      <alignment horizontal="center"/>
    </xf>
    <xf numFmtId="3" fontId="24" fillId="0" borderId="0" applyFont="0" applyFill="0" applyBorder="0" applyAlignment="0" applyProtection="0"/>
    <xf numFmtId="0" fontId="24" fillId="55" borderId="0" applyNumberFormat="0" applyFont="0" applyBorder="0" applyAlignment="0" applyProtection="0"/>
    <xf numFmtId="4" fontId="72" fillId="0" borderId="25" applyNumberFormat="0" applyProtection="0">
      <alignment vertical="center"/>
    </xf>
    <xf numFmtId="4" fontId="72" fillId="0" borderId="25" applyNumberFormat="0" applyProtection="0">
      <alignment horizontal="left" vertical="center" indent="1"/>
    </xf>
    <xf numFmtId="4" fontId="72" fillId="0" borderId="0" applyNumberFormat="0" applyProtection="0">
      <alignment horizontal="left" vertical="center" indent="1"/>
    </xf>
    <xf numFmtId="4" fontId="46" fillId="0" borderId="25" applyNumberFormat="0" applyProtection="0">
      <alignment horizontal="right" vertical="center"/>
    </xf>
    <xf numFmtId="4" fontId="46" fillId="51" borderId="20" applyNumberFormat="0" applyProtection="0">
      <alignment horizontal="right" vertical="center"/>
    </xf>
    <xf numFmtId="4" fontId="46" fillId="0" borderId="25" applyNumberFormat="0" applyProtection="0">
      <alignment horizontal="left" vertical="center" indent="1"/>
    </xf>
    <xf numFmtId="0" fontId="46" fillId="0" borderId="0">
      <alignment vertical="top"/>
    </xf>
    <xf numFmtId="0" fontId="79" fillId="0" borderId="0"/>
    <xf numFmtId="0" fontId="124" fillId="0" borderId="0" applyNumberFormat="0" applyFont="0" applyFill="0" applyBorder="0" applyProtection="0">
      <alignment horizontal="center" wrapText="1"/>
    </xf>
    <xf numFmtId="231" fontId="22" fillId="0" borderId="0"/>
    <xf numFmtId="0" fontId="78" fillId="0" borderId="0" applyNumberFormat="0" applyFill="0" applyBorder="0" applyAlignment="0" applyProtection="0"/>
    <xf numFmtId="0" fontId="41" fillId="0" borderId="33" applyNumberFormat="0" applyFill="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200" fontId="55" fillId="0" borderId="0">
      <protection locked="0"/>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6" fontId="103" fillId="0" borderId="0">
      <protection locked="0"/>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8" fontId="52" fillId="0" borderId="0" applyFont="0" applyFill="0" applyBorder="0" applyAlignment="0" applyProtection="0"/>
    <xf numFmtId="0" fontId="16" fillId="0" borderId="0"/>
    <xf numFmtId="178" fontId="52" fillId="0" borderId="0" applyFont="0" applyFill="0" applyBorder="0" applyAlignment="0" applyProtection="0"/>
    <xf numFmtId="43" fontId="21" fillId="0" borderId="0" applyFont="0" applyFill="0" applyBorder="0" applyAlignment="0" applyProtection="0"/>
    <xf numFmtId="0" fontId="16" fillId="0" borderId="0"/>
    <xf numFmtId="0" fontId="16" fillId="0" borderId="0"/>
    <xf numFmtId="172"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0" fontId="16" fillId="0" borderId="0"/>
    <xf numFmtId="0" fontId="16" fillId="100" borderId="55" applyNumberFormat="0" applyFont="0" applyAlignment="0" applyProtection="0"/>
    <xf numFmtId="0" fontId="16" fillId="100" borderId="55" applyNumberFormat="0" applyFont="0" applyAlignment="0" applyProtection="0"/>
    <xf numFmtId="0" fontId="54" fillId="0" borderId="0"/>
    <xf numFmtId="4" fontId="72" fillId="2" borderId="25" applyNumberFormat="0" applyProtection="0">
      <alignment vertical="center"/>
    </xf>
    <xf numFmtId="4" fontId="72" fillId="2" borderId="25" applyNumberFormat="0" applyProtection="0">
      <alignment horizontal="left" vertical="center" indent="1"/>
    </xf>
    <xf numFmtId="0" fontId="16" fillId="100" borderId="55" applyNumberFormat="0" applyFont="0" applyAlignment="0" applyProtection="0"/>
    <xf numFmtId="0" fontId="16" fillId="100" borderId="55" applyNumberFormat="0" applyFont="0" applyAlignment="0" applyProtection="0"/>
    <xf numFmtId="4" fontId="72" fillId="9" borderId="0" applyNumberFormat="0" applyProtection="0">
      <alignment horizontal="left" vertical="center" indent="1"/>
    </xf>
    <xf numFmtId="0" fontId="16" fillId="100" borderId="55" applyNumberFormat="0" applyFont="0" applyAlignment="0" applyProtection="0"/>
    <xf numFmtId="0" fontId="16" fillId="100" borderId="55" applyNumberFormat="0" applyFont="0" applyAlignment="0" applyProtection="0"/>
    <xf numFmtId="0" fontId="16" fillId="100" borderId="55" applyNumberFormat="0" applyFont="0" applyAlignment="0" applyProtection="0"/>
    <xf numFmtId="0" fontId="16" fillId="100" borderId="55" applyNumberFormat="0" applyFont="0" applyAlignment="0" applyProtection="0"/>
    <xf numFmtId="0" fontId="16" fillId="100" borderId="55" applyNumberFormat="0" applyFont="0" applyAlignment="0" applyProtection="0"/>
    <xf numFmtId="0" fontId="16" fillId="100" borderId="55" applyNumberFormat="0" applyFont="0" applyAlignment="0" applyProtection="0"/>
    <xf numFmtId="0" fontId="16" fillId="100" borderId="55" applyNumberFormat="0" applyFont="0" applyAlignment="0" applyProtection="0"/>
    <xf numFmtId="4" fontId="46" fillId="60" borderId="25" applyNumberFormat="0" applyProtection="0">
      <alignment horizontal="right" vertical="center"/>
    </xf>
    <xf numFmtId="4" fontId="76" fillId="60" borderId="25" applyNumberFormat="0" applyProtection="0">
      <alignment horizontal="right" vertical="center"/>
    </xf>
    <xf numFmtId="4" fontId="46" fillId="9" borderId="25" applyNumberFormat="0" applyProtection="0">
      <alignment horizontal="left" vertical="center" indent="1"/>
    </xf>
    <xf numFmtId="0" fontId="155" fillId="100" borderId="55" applyNumberFormat="0" applyFont="0" applyAlignment="0" applyProtection="0"/>
    <xf numFmtId="0" fontId="80" fillId="0" borderId="0" applyFill="0" applyBorder="0" applyProtection="0">
      <alignment horizontal="centerContinuous" wrapText="1"/>
    </xf>
    <xf numFmtId="43" fontId="53" fillId="0" borderId="0" applyFont="0" applyFill="0" applyBorder="0" applyAlignment="0" applyProtection="0"/>
    <xf numFmtId="43" fontId="5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53" fillId="0" borderId="0" applyFont="0" applyFill="0" applyBorder="0" applyAlignment="0" applyProtection="0"/>
    <xf numFmtId="0" fontId="53" fillId="0" borderId="0"/>
    <xf numFmtId="9" fontId="16" fillId="0" borderId="0" applyFont="0" applyFill="0" applyBorder="0" applyAlignment="0" applyProtection="0"/>
    <xf numFmtId="9" fontId="16"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5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3" fillId="0" borderId="0" applyFont="0" applyFill="0" applyBorder="0" applyAlignment="0" applyProtection="0"/>
    <xf numFmtId="9" fontId="16" fillId="0" borderId="0" applyFont="0" applyFill="0" applyBorder="0" applyAlignment="0" applyProtection="0"/>
    <xf numFmtId="9" fontId="5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53"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53" fillId="0" borderId="0"/>
    <xf numFmtId="9" fontId="16"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0" fontId="52" fillId="0" borderId="0"/>
    <xf numFmtId="9" fontId="52" fillId="0" borderId="0" applyFont="0" applyFill="0" applyBorder="0" applyAlignment="0" applyProtection="0"/>
    <xf numFmtId="43" fontId="16" fillId="0" borderId="0" applyFont="0" applyFill="0" applyBorder="0" applyAlignment="0" applyProtection="0"/>
    <xf numFmtId="0" fontId="53" fillId="0" borderId="0"/>
    <xf numFmtId="0" fontId="21" fillId="0" borderId="0"/>
    <xf numFmtId="44" fontId="46" fillId="0" borderId="0" applyFont="0" applyFill="0" applyBorder="0" applyAlignment="0" applyProtection="0"/>
    <xf numFmtId="0" fontId="46" fillId="0" borderId="0"/>
    <xf numFmtId="0" fontId="21" fillId="0" borderId="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156" fillId="60" borderId="25" applyNumberFormat="0" applyProtection="0">
      <alignment horizontal="left" vertical="center" indent="1"/>
    </xf>
    <xf numFmtId="0" fontId="27" fillId="21"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8"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9" fillId="18" borderId="6" applyNumberFormat="0" applyAlignment="0" applyProtection="0"/>
    <xf numFmtId="0" fontId="29" fillId="18" borderId="6" applyNumberFormat="0" applyAlignment="0" applyProtection="0"/>
    <xf numFmtId="0" fontId="30" fillId="46" borderId="8" applyNumberFormat="0" applyAlignment="0" applyProtection="0"/>
    <xf numFmtId="0" fontId="30" fillId="46" borderId="8" applyNumberFormat="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3" fontId="26"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2" fillId="0" borderId="0"/>
    <xf numFmtId="0" fontId="16" fillId="0" borderId="0"/>
    <xf numFmtId="43" fontId="16" fillId="0" borderId="0" applyFont="0" applyFill="0" applyBorder="0" applyAlignment="0" applyProtection="0"/>
    <xf numFmtId="0" fontId="16" fillId="0" borderId="0"/>
    <xf numFmtId="9" fontId="21" fillId="0" borderId="0" applyFont="0" applyFill="0" applyBorder="0" applyAlignment="0" applyProtection="0"/>
    <xf numFmtId="9" fontId="16" fillId="0" borderId="0" applyFont="0" applyFill="0" applyBorder="0" applyAlignment="0" applyProtection="0"/>
    <xf numFmtId="0" fontId="21" fillId="0" borderId="0"/>
    <xf numFmtId="223" fontId="21" fillId="0" borderId="0">
      <alignment horizontal="left" wrapText="1"/>
    </xf>
    <xf numFmtId="43" fontId="21" fillId="0" borderId="0" applyFont="0" applyFill="0" applyBorder="0" applyAlignment="0" applyProtection="0"/>
    <xf numFmtId="0" fontId="16" fillId="0" borderId="0"/>
    <xf numFmtId="0" fontId="149" fillId="0" borderId="0"/>
    <xf numFmtId="0" fontId="21" fillId="0" borderId="0"/>
    <xf numFmtId="0" fontId="21" fillId="0" borderId="0"/>
    <xf numFmtId="9" fontId="21" fillId="0" borderId="0" applyFont="0" applyFill="0" applyBorder="0" applyAlignment="0" applyProtection="0"/>
    <xf numFmtId="231" fontId="22" fillId="0" borderId="0"/>
    <xf numFmtId="43" fontId="21" fillId="0" borderId="0" applyFont="0" applyFill="0" applyBorder="0" applyAlignment="0" applyProtection="0"/>
    <xf numFmtId="0" fontId="45" fillId="0" borderId="0"/>
    <xf numFmtId="9" fontId="21" fillId="0" borderId="0" applyFont="0" applyFill="0" applyBorder="0" applyAlignment="0" applyProtection="0"/>
    <xf numFmtId="0" fontId="21" fillId="0" borderId="0"/>
    <xf numFmtId="9" fontId="16" fillId="0" borderId="0" applyFont="0" applyFill="0" applyBorder="0" applyAlignment="0" applyProtection="0"/>
    <xf numFmtId="0" fontId="22" fillId="0" borderId="0"/>
    <xf numFmtId="43" fontId="21" fillId="0" borderId="0" applyFont="0" applyFill="0" applyBorder="0" applyAlignment="0" applyProtection="0"/>
    <xf numFmtId="43" fontId="21" fillId="0" borderId="0" applyFont="0" applyFill="0" applyBorder="0" applyAlignment="0" applyProtection="0"/>
    <xf numFmtId="0" fontId="27" fillId="28" borderId="0" applyNumberFormat="0" applyBorder="0" applyAlignment="0" applyProtection="0"/>
    <xf numFmtId="43" fontId="165" fillId="0" borderId="0" applyFont="0" applyFill="0" applyBorder="0" applyAlignment="0" applyProtection="0"/>
    <xf numFmtId="0" fontId="21" fillId="0" borderId="0"/>
    <xf numFmtId="0" fontId="21" fillId="0" borderId="0"/>
    <xf numFmtId="0" fontId="21" fillId="0" borderId="0"/>
    <xf numFmtId="0" fontId="21" fillId="0" borderId="0"/>
    <xf numFmtId="0" fontId="149" fillId="0" borderId="0"/>
    <xf numFmtId="0" fontId="21" fillId="0" borderId="0"/>
    <xf numFmtId="0" fontId="21" fillId="0" borderId="0"/>
    <xf numFmtId="44" fontId="21" fillId="0" borderId="0" applyFont="0" applyFill="0" applyBorder="0" applyAlignment="0" applyProtection="0"/>
    <xf numFmtId="177" fontId="21" fillId="0" borderId="0" applyFont="0" applyFill="0" applyBorder="0" applyAlignment="0" applyProtection="0"/>
    <xf numFmtId="43" fontId="53" fillId="0" borderId="0" applyFont="0" applyFill="0" applyBorder="0" applyAlignment="0" applyProtection="0"/>
    <xf numFmtId="43" fontId="21" fillId="0" borderId="0" applyFont="0" applyFill="0" applyBorder="0" applyAlignment="0" applyProtection="0"/>
    <xf numFmtId="0" fontId="136" fillId="94" borderId="0" applyNumberFormat="0" applyBorder="0" applyAlignment="0" applyProtection="0"/>
    <xf numFmtId="0" fontId="46" fillId="4" borderId="0" applyNumberFormat="0" applyBorder="0" applyAlignment="0" applyProtection="0"/>
    <xf numFmtId="0" fontId="46" fillId="9" borderId="0" applyNumberFormat="0" applyBorder="0" applyAlignment="0" applyProtection="0"/>
    <xf numFmtId="0" fontId="22" fillId="0" borderId="0"/>
    <xf numFmtId="44" fontId="21"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3" fillId="0" borderId="14" applyNumberFormat="0" applyFill="0" applyAlignment="0" applyProtection="0"/>
    <xf numFmtId="0" fontId="33" fillId="0" borderId="14" applyNumberFormat="0" applyFill="0" applyAlignment="0" applyProtection="0"/>
    <xf numFmtId="0" fontId="34" fillId="0" borderId="16" applyNumberFormat="0" applyFill="0" applyAlignment="0" applyProtection="0"/>
    <xf numFmtId="0" fontId="34" fillId="0" borderId="16"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8" borderId="6" applyNumberFormat="0" applyAlignment="0" applyProtection="0"/>
    <xf numFmtId="0" fontId="36" fillId="8" borderId="6" applyNumberFormat="0" applyAlignment="0" applyProtection="0"/>
    <xf numFmtId="0" fontId="37" fillId="0" borderId="7" applyNumberFormat="0" applyFill="0" applyAlignment="0" applyProtection="0"/>
    <xf numFmtId="0" fontId="37" fillId="0" borderId="7" applyNumberFormat="0" applyFill="0" applyAlignment="0" applyProtection="0"/>
    <xf numFmtId="0" fontId="38" fillId="2" borderId="0" applyNumberFormat="0" applyBorder="0" applyAlignment="0" applyProtection="0"/>
    <xf numFmtId="0" fontId="38" fillId="2" borderId="0" applyNumberFormat="0" applyBorder="0" applyAlignment="0" applyProtection="0"/>
    <xf numFmtId="0" fontId="21" fillId="0" borderId="0"/>
    <xf numFmtId="0" fontId="5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3" fillId="11" borderId="11" applyNumberFormat="0" applyFont="0" applyAlignment="0" applyProtection="0"/>
    <xf numFmtId="0" fontId="21" fillId="11" borderId="11" applyNumberFormat="0" applyFont="0" applyAlignment="0" applyProtection="0"/>
    <xf numFmtId="0" fontId="21" fillId="11" borderId="11" applyNumberFormat="0" applyFont="0" applyAlignment="0" applyProtection="0"/>
    <xf numFmtId="0" fontId="53" fillId="11" borderId="11" applyNumberFormat="0" applyFont="0" applyAlignment="0" applyProtection="0"/>
    <xf numFmtId="0" fontId="39" fillId="18" borderId="22" applyNumberFormat="0" applyAlignment="0" applyProtection="0"/>
    <xf numFmtId="0" fontId="39" fillId="18" borderId="22" applyNumberFormat="0" applyAlignment="0" applyProtection="0"/>
    <xf numFmtId="9" fontId="21" fillId="0" borderId="0" applyFont="0" applyFill="0" applyBorder="0" applyAlignment="0" applyProtection="0"/>
    <xf numFmtId="9" fontId="2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2" fillId="0" borderId="0"/>
    <xf numFmtId="173" fontId="52" fillId="0" borderId="0" applyFont="0" applyFill="0" applyBorder="0" applyAlignment="0" applyProtection="0"/>
    <xf numFmtId="178" fontId="52" fillId="0" borderId="0" applyFont="0" applyFill="0" applyBorder="0" applyAlignment="0" applyProtection="0"/>
    <xf numFmtId="178" fontId="52" fillId="0" borderId="0" applyFont="0" applyFill="0" applyBorder="0" applyAlignment="0" applyProtection="0"/>
    <xf numFmtId="0" fontId="52" fillId="0" borderId="0"/>
    <xf numFmtId="9" fontId="52" fillId="0" borderId="0" applyFont="0" applyFill="0" applyBorder="0" applyAlignment="0" applyProtection="0"/>
    <xf numFmtId="172" fontId="52" fillId="0" borderId="0" applyFont="0" applyFill="0" applyBorder="0" applyAlignment="0" applyProtection="0"/>
    <xf numFmtId="172" fontId="52" fillId="0" borderId="0" applyFont="0" applyFill="0" applyBorder="0" applyAlignment="0" applyProtection="0"/>
    <xf numFmtId="172" fontId="52" fillId="0" borderId="0" applyFont="0" applyFill="0" applyBorder="0" applyAlignment="0" applyProtection="0"/>
    <xf numFmtId="172" fontId="52" fillId="0" borderId="0" applyFont="0" applyFill="0" applyBorder="0" applyAlignment="0" applyProtection="0"/>
    <xf numFmtId="172" fontId="52" fillId="0" borderId="0" applyFont="0" applyFill="0" applyBorder="0" applyAlignment="0" applyProtection="0"/>
    <xf numFmtId="9" fontId="16" fillId="0" borderId="0" applyFont="0" applyFill="0" applyBorder="0" applyAlignment="0" applyProtection="0"/>
    <xf numFmtId="0" fontId="151" fillId="0" borderId="0"/>
    <xf numFmtId="43" fontId="16" fillId="0" borderId="0" applyFont="0" applyFill="0" applyBorder="0" applyAlignment="0" applyProtection="0"/>
    <xf numFmtId="173" fontId="151" fillId="0" borderId="0" applyFont="0" applyFill="0" applyBorder="0" applyAlignment="0" applyProtection="0"/>
    <xf numFmtId="200" fontId="55" fillId="0" borderId="0">
      <protection locked="0"/>
    </xf>
    <xf numFmtId="173" fontId="52" fillId="0" borderId="0" applyFont="0" applyFill="0" applyBorder="0" applyAlignment="0" applyProtection="0"/>
    <xf numFmtId="178" fontId="52" fillId="0" borderId="0" applyFont="0" applyFill="0" applyBorder="0" applyAlignment="0" applyProtection="0"/>
    <xf numFmtId="172" fontId="21" fillId="0" borderId="0" applyFont="0" applyFill="0" applyBorder="0" applyAlignment="0" applyProtection="0"/>
    <xf numFmtId="176" fontId="21" fillId="0" borderId="0" applyFont="0" applyFill="0" applyBorder="0" applyAlignment="0" applyProtection="0"/>
    <xf numFmtId="0" fontId="54" fillId="0" borderId="0"/>
    <xf numFmtId="0" fontId="52" fillId="0" borderId="0"/>
    <xf numFmtId="0" fontId="52" fillId="0" borderId="0"/>
    <xf numFmtId="9" fontId="16"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21" fillId="0" borderId="0"/>
    <xf numFmtId="44" fontId="21" fillId="0" borderId="0" applyFont="0" applyFill="0" applyBorder="0" applyAlignment="0" applyProtection="0"/>
    <xf numFmtId="0" fontId="52" fillId="0" borderId="0"/>
    <xf numFmtId="43" fontId="16" fillId="0" borderId="0" applyFont="0" applyFill="0" applyBorder="0" applyAlignment="0" applyProtection="0"/>
    <xf numFmtId="9" fontId="16" fillId="0" borderId="0" applyFont="0" applyFill="0" applyBorder="0" applyAlignment="0" applyProtection="0"/>
    <xf numFmtId="43" fontId="2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16" fillId="0" borderId="0"/>
    <xf numFmtId="0" fontId="16" fillId="0" borderId="0"/>
    <xf numFmtId="0" fontId="16" fillId="0" borderId="0"/>
    <xf numFmtId="0" fontId="16" fillId="0" borderId="0"/>
    <xf numFmtId="0" fontId="26" fillId="100" borderId="55" applyNumberFormat="0" applyFont="0" applyAlignment="0" applyProtection="0"/>
    <xf numFmtId="0" fontId="26" fillId="100" borderId="55" applyNumberFormat="0" applyFont="0" applyAlignment="0" applyProtection="0"/>
    <xf numFmtId="0" fontId="26" fillId="100" borderId="55" applyNumberFormat="0" applyFont="0" applyAlignment="0" applyProtection="0"/>
    <xf numFmtId="0" fontId="26" fillId="100" borderId="55" applyNumberFormat="0" applyFont="0" applyAlignment="0" applyProtection="0"/>
    <xf numFmtId="0" fontId="26" fillId="100" borderId="55" applyNumberFormat="0" applyFont="0" applyAlignment="0" applyProtection="0"/>
    <xf numFmtId="0" fontId="26" fillId="100" borderId="55" applyNumberFormat="0" applyFont="0" applyAlignment="0" applyProtection="0"/>
    <xf numFmtId="0" fontId="26" fillId="100" borderId="55" applyNumberFormat="0" applyFont="0" applyAlignment="0" applyProtection="0"/>
    <xf numFmtId="0" fontId="26" fillId="100" borderId="55" applyNumberFormat="0" applyFont="0" applyAlignment="0" applyProtection="0"/>
    <xf numFmtId="0" fontId="26" fillId="100" borderId="55" applyNumberFormat="0" applyFont="0" applyAlignment="0" applyProtection="0"/>
    <xf numFmtId="0" fontId="26" fillId="100" borderId="55" applyNumberFormat="0" applyFont="0" applyAlignment="0" applyProtection="0"/>
    <xf numFmtId="0" fontId="26" fillId="100" borderId="55" applyNumberFormat="0" applyFont="0" applyAlignment="0" applyProtection="0"/>
    <xf numFmtId="0" fontId="26" fillId="100" borderId="55" applyNumberFormat="0" applyFont="0" applyAlignment="0" applyProtection="0"/>
    <xf numFmtId="9" fontId="2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6" fontId="103" fillId="0" borderId="0">
      <protection locked="0"/>
    </xf>
    <xf numFmtId="0" fontId="16" fillId="0" borderId="0"/>
    <xf numFmtId="9"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16" fillId="0" borderId="0"/>
    <xf numFmtId="0" fontId="75" fillId="60" borderId="25" applyNumberFormat="0" applyProtection="0">
      <alignment horizontal="left" vertical="center" indent="1"/>
    </xf>
    <xf numFmtId="6" fontId="103" fillId="0" borderId="0">
      <protection locked="0"/>
    </xf>
    <xf numFmtId="200" fontId="55" fillId="0" borderId="0">
      <protection locked="0"/>
    </xf>
    <xf numFmtId="43" fontId="21" fillId="0" borderId="0" applyFont="0" applyFill="0" applyBorder="0" applyAlignment="0" applyProtection="0"/>
    <xf numFmtId="44" fontId="2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6" fontId="103" fillId="0" borderId="0">
      <protection locked="0"/>
    </xf>
    <xf numFmtId="200" fontId="55" fillId="0" borderId="0">
      <protection locked="0"/>
    </xf>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15" fillId="0" borderId="0"/>
    <xf numFmtId="200" fontId="55" fillId="0" borderId="0">
      <protection locked="0"/>
    </xf>
    <xf numFmtId="0" fontId="15" fillId="0" borderId="0"/>
    <xf numFmtId="6" fontId="103" fillId="0" borderId="0">
      <protection locked="0"/>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200" fontId="55" fillId="0" borderId="0">
      <protection locked="0"/>
    </xf>
    <xf numFmtId="9" fontId="15" fillId="0" borderId="0" applyFont="0" applyFill="0" applyBorder="0" applyAlignment="0" applyProtection="0"/>
    <xf numFmtId="43" fontId="15" fillId="0" borderId="0" applyFont="0" applyFill="0" applyBorder="0" applyAlignment="0" applyProtection="0"/>
    <xf numFmtId="6" fontId="103" fillId="0" borderId="0">
      <protection locked="0"/>
    </xf>
    <xf numFmtId="43" fontId="15" fillId="0" borderId="0" applyFont="0" applyFill="0" applyBorder="0" applyAlignment="0" applyProtection="0"/>
    <xf numFmtId="6" fontId="103" fillId="0" borderId="0">
      <protection locked="0"/>
    </xf>
    <xf numFmtId="44"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43" fontId="15" fillId="0" borderId="0" applyFont="0" applyFill="0" applyBorder="0" applyAlignment="0" applyProtection="0"/>
    <xf numFmtId="6" fontId="103" fillId="0" borderId="0">
      <protection locked="0"/>
    </xf>
    <xf numFmtId="6" fontId="103" fillId="0" borderId="0">
      <protection locked="0"/>
    </xf>
    <xf numFmtId="6" fontId="103" fillId="0" borderId="0">
      <protection locked="0"/>
    </xf>
    <xf numFmtId="9"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80" borderId="0" applyNumberFormat="0" applyBorder="0" applyAlignment="0" applyProtection="0"/>
    <xf numFmtId="43" fontId="15" fillId="0" borderId="0" applyFont="0" applyFill="0" applyBorder="0" applyAlignment="0" applyProtection="0"/>
    <xf numFmtId="9" fontId="15" fillId="0" borderId="0" applyFont="0" applyFill="0" applyBorder="0" applyAlignment="0" applyProtection="0"/>
    <xf numFmtId="200" fontId="55" fillId="0" borderId="0">
      <protection locked="0"/>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6" fontId="103" fillId="0" borderId="0">
      <protection locked="0"/>
    </xf>
    <xf numFmtId="9"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15" fillId="0" borderId="0"/>
    <xf numFmtId="6" fontId="103" fillId="0" borderId="0">
      <protection locked="0"/>
    </xf>
    <xf numFmtId="200" fontId="55" fillId="0" borderId="0">
      <protection locked="0"/>
    </xf>
    <xf numFmtId="200" fontId="55" fillId="0" borderId="0">
      <protection locked="0"/>
    </xf>
    <xf numFmtId="44" fontId="15" fillId="0" borderId="0" applyFont="0" applyFill="0" applyBorder="0" applyAlignment="0" applyProtection="0"/>
    <xf numFmtId="6" fontId="103" fillId="0" borderId="0">
      <protection locked="0"/>
    </xf>
    <xf numFmtId="43" fontId="15" fillId="0" borderId="0" applyFont="0" applyFill="0" applyBorder="0" applyAlignment="0" applyProtection="0"/>
    <xf numFmtId="200" fontId="55" fillId="0" borderId="0">
      <protection locked="0"/>
    </xf>
    <xf numFmtId="44" fontId="15" fillId="0" borderId="0" applyFont="0" applyFill="0" applyBorder="0" applyAlignment="0" applyProtection="0"/>
    <xf numFmtId="200" fontId="55" fillId="0" borderId="0">
      <protection locked="0"/>
    </xf>
    <xf numFmtId="9" fontId="15" fillId="0" borderId="0" applyFont="0" applyFill="0" applyBorder="0" applyAlignment="0" applyProtection="0"/>
    <xf numFmtId="0" fontId="15" fillId="0" borderId="0"/>
    <xf numFmtId="200" fontId="55" fillId="0" borderId="0">
      <protection locked="0"/>
    </xf>
    <xf numFmtId="0" fontId="15" fillId="0" borderId="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15" fillId="0" borderId="0"/>
    <xf numFmtId="200" fontId="55" fillId="0" borderId="0">
      <protection locked="0"/>
    </xf>
    <xf numFmtId="6" fontId="103" fillId="0" borderId="0">
      <protection locked="0"/>
    </xf>
    <xf numFmtId="9" fontId="15" fillId="0" borderId="0" applyFont="0" applyFill="0" applyBorder="0" applyAlignment="0" applyProtection="0"/>
    <xf numFmtId="44" fontId="15" fillId="0" borderId="0" applyFont="0" applyFill="0" applyBorder="0" applyAlignment="0" applyProtection="0"/>
    <xf numFmtId="0" fontId="15" fillId="0" borderId="0"/>
    <xf numFmtId="9" fontId="15" fillId="0" borderId="0" applyFont="0" applyFill="0" applyBorder="0" applyAlignment="0" applyProtection="0"/>
    <xf numFmtId="200" fontId="55" fillId="0" borderId="0">
      <protection locked="0"/>
    </xf>
    <xf numFmtId="44"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200" fontId="55" fillId="0" borderId="0">
      <protection locked="0"/>
    </xf>
    <xf numFmtId="200" fontId="55" fillId="0" borderId="0">
      <protection locked="0"/>
    </xf>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200" fontId="55" fillId="0" borderId="0">
      <protection locked="0"/>
    </xf>
    <xf numFmtId="9" fontId="15" fillId="0" borderId="0" applyFont="0" applyFill="0" applyBorder="0" applyAlignment="0" applyProtection="0"/>
    <xf numFmtId="0" fontId="15" fillId="73" borderId="0" applyNumberFormat="0" applyBorder="0" applyAlignment="0" applyProtection="0"/>
    <xf numFmtId="6" fontId="103" fillId="0" borderId="0">
      <protection locked="0"/>
    </xf>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78" borderId="0" applyNumberFormat="0" applyBorder="0" applyAlignment="0" applyProtection="0"/>
    <xf numFmtId="0" fontId="15" fillId="80" borderId="0" applyNumberFormat="0" applyBorder="0" applyAlignment="0" applyProtection="0"/>
    <xf numFmtId="0" fontId="15" fillId="80" borderId="0" applyNumberFormat="0" applyBorder="0" applyAlignment="0" applyProtection="0"/>
    <xf numFmtId="43" fontId="15" fillId="0" borderId="0" applyFont="0" applyFill="0" applyBorder="0" applyAlignment="0" applyProtection="0"/>
    <xf numFmtId="0" fontId="15" fillId="79" borderId="0" applyNumberFormat="0" applyBorder="0" applyAlignment="0" applyProtection="0"/>
    <xf numFmtId="6" fontId="103" fillId="0" borderId="0">
      <protection locked="0"/>
    </xf>
    <xf numFmtId="44" fontId="15" fillId="0" borderId="0" applyFont="0" applyFill="0" applyBorder="0" applyAlignment="0" applyProtection="0"/>
    <xf numFmtId="0" fontId="15" fillId="75" borderId="0" applyNumberFormat="0" applyBorder="0" applyAlignment="0" applyProtection="0"/>
    <xf numFmtId="0" fontId="15" fillId="71" borderId="0" applyNumberFormat="0" applyBorder="0" applyAlignment="0" applyProtection="0"/>
    <xf numFmtId="43" fontId="15" fillId="0" borderId="0" applyFont="0" applyFill="0" applyBorder="0" applyAlignment="0" applyProtection="0"/>
    <xf numFmtId="0" fontId="15" fillId="81" borderId="0" applyNumberFormat="0" applyBorder="0" applyAlignment="0" applyProtection="0"/>
    <xf numFmtId="9" fontId="15" fillId="0" borderId="0" applyFont="0" applyFill="0" applyBorder="0" applyAlignment="0" applyProtection="0"/>
    <xf numFmtId="200" fontId="55" fillId="0" borderId="0">
      <protection locked="0"/>
    </xf>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6" fontId="103" fillId="0" borderId="0">
      <protection locked="0"/>
    </xf>
    <xf numFmtId="6" fontId="103" fillId="0" borderId="0">
      <protection locked="0"/>
    </xf>
    <xf numFmtId="0" fontId="15" fillId="0" borderId="0"/>
    <xf numFmtId="6" fontId="103" fillId="0" borderId="0">
      <protection locked="0"/>
    </xf>
    <xf numFmtId="9" fontId="15" fillId="0" borderId="0" applyFont="0" applyFill="0" applyBorder="0" applyAlignment="0" applyProtection="0"/>
    <xf numFmtId="200" fontId="55" fillId="0" borderId="0">
      <protection locked="0"/>
    </xf>
    <xf numFmtId="200" fontId="55" fillId="0" borderId="0">
      <protection locked="0"/>
    </xf>
    <xf numFmtId="200" fontId="55" fillId="0" borderId="0">
      <protection locked="0"/>
    </xf>
    <xf numFmtId="200" fontId="55" fillId="0" borderId="0">
      <protection locked="0"/>
    </xf>
    <xf numFmtId="0" fontId="15" fillId="72" borderId="0" applyNumberFormat="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70" borderId="0" applyNumberFormat="0" applyBorder="0" applyAlignment="0" applyProtection="0"/>
    <xf numFmtId="6" fontId="103" fillId="0" borderId="0">
      <protection locked="0"/>
    </xf>
    <xf numFmtId="6" fontId="103" fillId="0" borderId="0">
      <protection locked="0"/>
    </xf>
    <xf numFmtId="44" fontId="15" fillId="0" borderId="0" applyFont="0" applyFill="0" applyBorder="0" applyAlignment="0" applyProtection="0"/>
    <xf numFmtId="200" fontId="55" fillId="0" borderId="0">
      <protection locked="0"/>
    </xf>
    <xf numFmtId="44" fontId="15" fillId="0" borderId="0" applyFont="0" applyFill="0" applyBorder="0" applyAlignment="0" applyProtection="0"/>
    <xf numFmtId="0" fontId="15" fillId="78" borderId="0" applyNumberFormat="0" applyBorder="0" applyAlignment="0" applyProtection="0"/>
    <xf numFmtId="44" fontId="15" fillId="0" borderId="0" applyFont="0" applyFill="0" applyBorder="0" applyAlignment="0" applyProtection="0"/>
    <xf numFmtId="43" fontId="15" fillId="0" borderId="0" applyFont="0" applyFill="0" applyBorder="0" applyAlignment="0" applyProtection="0"/>
    <xf numFmtId="6" fontId="103" fillId="0" borderId="0">
      <protection locked="0"/>
    </xf>
    <xf numFmtId="0" fontId="15" fillId="0" borderId="0"/>
    <xf numFmtId="6" fontId="103" fillId="0" borderId="0">
      <protection locked="0"/>
    </xf>
    <xf numFmtId="0" fontId="15" fillId="74" borderId="0" applyNumberFormat="0" applyBorder="0" applyAlignment="0" applyProtection="0"/>
    <xf numFmtId="0" fontId="15" fillId="77" borderId="0" applyNumberFormat="0" applyBorder="0" applyAlignment="0" applyProtection="0"/>
    <xf numFmtId="200" fontId="55" fillId="0" borderId="0">
      <protection locked="0"/>
    </xf>
    <xf numFmtId="44" fontId="15" fillId="0" borderId="0" applyFont="0" applyFill="0" applyBorder="0" applyAlignment="0" applyProtection="0"/>
    <xf numFmtId="0" fontId="15" fillId="78" borderId="0" applyNumberFormat="0" applyBorder="0" applyAlignment="0" applyProtection="0"/>
    <xf numFmtId="0" fontId="15" fillId="76" borderId="0" applyNumberFormat="0" applyBorder="0" applyAlignment="0" applyProtection="0"/>
    <xf numFmtId="9"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200" fontId="55" fillId="0" borderId="0">
      <protection locked="0"/>
    </xf>
    <xf numFmtId="44" fontId="15" fillId="0" borderId="0" applyFont="0" applyFill="0" applyBorder="0" applyAlignment="0" applyProtection="0"/>
    <xf numFmtId="0" fontId="15" fillId="0" borderId="0"/>
    <xf numFmtId="6" fontId="103" fillId="0" borderId="0">
      <protection locked="0"/>
    </xf>
    <xf numFmtId="0" fontId="15" fillId="0" borderId="0"/>
    <xf numFmtId="200" fontId="55" fillId="0" borderId="0">
      <protection locked="0"/>
    </xf>
    <xf numFmtId="6" fontId="103" fillId="0" borderId="0">
      <protection locked="0"/>
    </xf>
    <xf numFmtId="44"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200" fontId="55" fillId="0" borderId="0">
      <protection locked="0"/>
    </xf>
    <xf numFmtId="200" fontId="55" fillId="0" borderId="0">
      <protection locked="0"/>
    </xf>
    <xf numFmtId="9" fontId="15" fillId="0" borderId="0" applyFont="0" applyFill="0" applyBorder="0" applyAlignment="0" applyProtection="0"/>
    <xf numFmtId="43" fontId="15" fillId="0" borderId="0" applyFont="0" applyFill="0" applyBorder="0" applyAlignment="0" applyProtection="0"/>
    <xf numFmtId="200" fontId="55" fillId="0" borderId="0">
      <protection locked="0"/>
    </xf>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200" fontId="55" fillId="0" borderId="0">
      <protection locked="0"/>
    </xf>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6" fontId="103" fillId="0" borderId="0">
      <protection locked="0"/>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6" fontId="103" fillId="0" borderId="0">
      <protection locked="0"/>
    </xf>
    <xf numFmtId="43" fontId="15" fillId="0" borderId="0" applyFont="0" applyFill="0" applyBorder="0" applyAlignment="0" applyProtection="0"/>
    <xf numFmtId="9" fontId="15" fillId="0" borderId="0" applyFont="0" applyFill="0" applyBorder="0" applyAlignment="0" applyProtection="0"/>
    <xf numFmtId="6" fontId="103" fillId="0" borderId="0">
      <protection locked="0"/>
    </xf>
    <xf numFmtId="9" fontId="15" fillId="0" borderId="0" applyFont="0" applyFill="0" applyBorder="0" applyAlignment="0" applyProtection="0"/>
    <xf numFmtId="6" fontId="103" fillId="0" borderId="0">
      <protection locked="0"/>
    </xf>
    <xf numFmtId="6" fontId="103" fillId="0" borderId="0">
      <protection locked="0"/>
    </xf>
    <xf numFmtId="6" fontId="103" fillId="0" borderId="0">
      <protection locked="0"/>
    </xf>
    <xf numFmtId="6" fontId="103" fillId="0" borderId="0">
      <protection locked="0"/>
    </xf>
    <xf numFmtId="0" fontId="15" fillId="0" borderId="0"/>
    <xf numFmtId="200" fontId="55" fillId="0" borderId="0">
      <protection locked="0"/>
    </xf>
    <xf numFmtId="0" fontId="15" fillId="0" borderId="0"/>
    <xf numFmtId="0" fontId="15" fillId="0" borderId="0"/>
    <xf numFmtId="43" fontId="21" fillId="0" borderId="0" applyFont="0" applyFill="0" applyBorder="0" applyAlignment="0" applyProtection="0"/>
    <xf numFmtId="0" fontId="15" fillId="0" borderId="0"/>
    <xf numFmtId="6" fontId="103" fillId="0" borderId="0">
      <protection locked="0"/>
    </xf>
    <xf numFmtId="200" fontId="55" fillId="0" borderId="0">
      <protection locked="0"/>
    </xf>
    <xf numFmtId="6" fontId="103" fillId="0" borderId="0">
      <protection locked="0"/>
    </xf>
    <xf numFmtId="0" fontId="15" fillId="0" borderId="0"/>
    <xf numFmtId="43" fontId="15" fillId="0" borderId="0" applyFont="0" applyFill="0" applyBorder="0" applyAlignment="0" applyProtection="0"/>
    <xf numFmtId="0" fontId="15" fillId="0" borderId="0"/>
    <xf numFmtId="200" fontId="55" fillId="0" borderId="0">
      <protection locked="0"/>
    </xf>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21" fillId="0" borderId="0"/>
    <xf numFmtId="9" fontId="15" fillId="0" borderId="0" applyFont="0" applyFill="0" applyBorder="0" applyAlignment="0" applyProtection="0"/>
    <xf numFmtId="6" fontId="103" fillId="0" borderId="0">
      <protection locked="0"/>
    </xf>
    <xf numFmtId="9" fontId="15" fillId="0" borderId="0" applyFont="0" applyFill="0" applyBorder="0" applyAlignment="0" applyProtection="0"/>
    <xf numFmtId="200" fontId="55" fillId="0" borderId="0">
      <protection locked="0"/>
    </xf>
    <xf numFmtId="43" fontId="15" fillId="0" borderId="0" applyFon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200" fontId="55" fillId="0" borderId="0">
      <protection locked="0"/>
    </xf>
    <xf numFmtId="43" fontId="15" fillId="0" borderId="0" applyFont="0" applyFill="0" applyBorder="0" applyAlignment="0" applyProtection="0"/>
    <xf numFmtId="9" fontId="15" fillId="0" borderId="0" applyFont="0" applyFill="0" applyBorder="0" applyAlignment="0" applyProtection="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70" borderId="0" applyNumberFormat="0" applyBorder="0" applyAlignment="0" applyProtection="0"/>
    <xf numFmtId="0" fontId="14" fillId="71" borderId="0" applyNumberFormat="0" applyBorder="0" applyAlignment="0" applyProtection="0"/>
    <xf numFmtId="0" fontId="27" fillId="36" borderId="0" applyNumberFormat="0" applyBorder="0" applyAlignment="0" applyProtection="0"/>
    <xf numFmtId="0" fontId="14" fillId="72" borderId="0" applyNumberFormat="0" applyBorder="0" applyAlignment="0" applyProtection="0"/>
    <xf numFmtId="0" fontId="27" fillId="36" borderId="0" applyNumberFormat="0" applyBorder="0" applyAlignment="0" applyProtection="0"/>
    <xf numFmtId="0" fontId="14" fillId="73" borderId="0" applyNumberFormat="0" applyBorder="0" applyAlignment="0" applyProtection="0"/>
    <xf numFmtId="0" fontId="14" fillId="74" borderId="0" applyNumberFormat="0" applyBorder="0" applyAlignment="0" applyProtection="0"/>
    <xf numFmtId="0" fontId="14" fillId="75" borderId="0" applyNumberFormat="0" applyBorder="0" applyAlignment="0" applyProtection="0"/>
    <xf numFmtId="0" fontId="27" fillId="36" borderId="0" applyNumberFormat="0" applyBorder="0" applyAlignment="0" applyProtection="0"/>
    <xf numFmtId="0" fontId="14" fillId="76" borderId="0" applyNumberFormat="0" applyBorder="0" applyAlignment="0" applyProtection="0"/>
    <xf numFmtId="0" fontId="14" fillId="77" borderId="0" applyNumberFormat="0" applyBorder="0" applyAlignment="0" applyProtection="0"/>
    <xf numFmtId="0" fontId="14" fillId="78" borderId="0" applyNumberFormat="0" applyBorder="0" applyAlignment="0" applyProtection="0"/>
    <xf numFmtId="0" fontId="14" fillId="78" borderId="0" applyNumberFormat="0" applyBorder="0" applyAlignment="0" applyProtection="0"/>
    <xf numFmtId="0" fontId="14" fillId="78" borderId="0" applyNumberFormat="0" applyBorder="0" applyAlignment="0" applyProtection="0"/>
    <xf numFmtId="0" fontId="14" fillId="79" borderId="0" applyNumberFormat="0" applyBorder="0" applyAlignment="0" applyProtection="0"/>
    <xf numFmtId="0" fontId="14" fillId="80" borderId="0" applyNumberFormat="0" applyBorder="0" applyAlignment="0" applyProtection="0"/>
    <xf numFmtId="0" fontId="14" fillId="80" borderId="0" applyNumberFormat="0" applyBorder="0" applyAlignment="0" applyProtection="0"/>
    <xf numFmtId="0" fontId="14" fillId="80" borderId="0" applyNumberFormat="0" applyBorder="0" applyAlignment="0" applyProtection="0"/>
    <xf numFmtId="0" fontId="14" fillId="8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4"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00" borderId="55" applyNumberFormat="0" applyFont="0" applyAlignment="0" applyProtection="0"/>
    <xf numFmtId="0" fontId="14" fillId="100" borderId="55" applyNumberFormat="0" applyFont="0" applyAlignment="0" applyProtection="0"/>
    <xf numFmtId="0" fontId="14" fillId="100" borderId="55" applyNumberFormat="0" applyFont="0" applyAlignment="0" applyProtection="0"/>
    <xf numFmtId="0" fontId="14" fillId="100" borderId="55" applyNumberFormat="0" applyFont="0" applyAlignment="0" applyProtection="0"/>
    <xf numFmtId="0" fontId="14" fillId="100" borderId="55" applyNumberFormat="0" applyFont="0" applyAlignment="0" applyProtection="0"/>
    <xf numFmtId="0" fontId="14" fillId="100" borderId="55" applyNumberFormat="0" applyFont="0" applyAlignment="0" applyProtection="0"/>
    <xf numFmtId="0" fontId="14" fillId="100" borderId="55" applyNumberFormat="0" applyFont="0" applyAlignment="0" applyProtection="0"/>
    <xf numFmtId="0" fontId="14" fillId="100" borderId="55" applyNumberFormat="0" applyFont="0" applyAlignment="0" applyProtection="0"/>
    <xf numFmtId="0" fontId="14" fillId="100" borderId="55" applyNumberFormat="0" applyFont="0" applyAlignment="0" applyProtection="0"/>
    <xf numFmtId="0" fontId="14" fillId="100" borderId="55" applyNumberFormat="0" applyFont="0" applyAlignment="0" applyProtection="0"/>
    <xf numFmtId="0" fontId="14" fillId="100" borderId="55"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0" fontId="27" fillId="37" borderId="0" applyNumberFormat="0" applyBorder="0" applyAlignment="0" applyProtection="0"/>
    <xf numFmtId="0" fontId="27" fillId="37" borderId="0" applyNumberFormat="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0" fontId="166"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27" fillId="37"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51" fillId="45" borderId="6" applyNumberFormat="0" applyAlignment="0" applyProtection="0"/>
    <xf numFmtId="0" fontId="51" fillId="45" borderId="6" applyNumberFormat="0" applyAlignment="0" applyProtection="0"/>
    <xf numFmtId="0" fontId="51" fillId="45" borderId="6" applyNumberFormat="0" applyAlignment="0" applyProtection="0"/>
    <xf numFmtId="0" fontId="30" fillId="31" borderId="8" applyNumberFormat="0" applyAlignment="0" applyProtection="0"/>
    <xf numFmtId="0" fontId="30" fillId="31" borderId="8" applyNumberFormat="0" applyAlignment="0" applyProtection="0"/>
    <xf numFmtId="0" fontId="30" fillId="31" borderId="8" applyNumberFormat="0" applyAlignment="0" applyProtection="0"/>
    <xf numFmtId="43" fontId="17"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3" fontId="52" fillId="0" borderId="0" applyFont="0" applyFill="0" applyBorder="0" applyAlignment="0" applyProtection="0"/>
    <xf numFmtId="43" fontId="53" fillId="0" borderId="0" applyFont="0" applyFill="0" applyBorder="0" applyAlignment="0" applyProtection="0"/>
    <xf numFmtId="173" fontId="52" fillId="0" borderId="0" applyFont="0" applyFill="0" applyBorder="0" applyAlignment="0" applyProtection="0"/>
    <xf numFmtId="43" fontId="53" fillId="0" borderId="0" applyFont="0" applyFill="0" applyBorder="0" applyAlignment="0" applyProtection="0"/>
    <xf numFmtId="43" fontId="26" fillId="0" borderId="0" applyFont="0" applyFill="0" applyBorder="0" applyAlignment="0" applyProtection="0"/>
    <xf numFmtId="43" fontId="53" fillId="0" borderId="0" applyFont="0" applyFill="0" applyBorder="0" applyAlignment="0" applyProtection="0"/>
    <xf numFmtId="43" fontId="26" fillId="0" borderId="0" applyFont="0" applyFill="0" applyBorder="0" applyAlignment="0" applyProtection="0"/>
    <xf numFmtId="43" fontId="1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52" fillId="0" borderId="0" applyFont="0" applyFill="0" applyBorder="0" applyAlignment="0" applyProtection="0"/>
    <xf numFmtId="177" fontId="21" fillId="0" borderId="0" applyFont="0" applyFill="0" applyBorder="0" applyAlignment="0" applyProtection="0"/>
    <xf numFmtId="166" fontId="21" fillId="0" borderId="0" applyFont="0" applyFill="0" applyBorder="0" applyAlignment="0" applyProtection="0"/>
    <xf numFmtId="0" fontId="97" fillId="0" borderId="0" applyFont="0" applyFill="0" applyBorder="0" applyAlignment="0" applyProtection="0">
      <alignment horizontal="right"/>
    </xf>
    <xf numFmtId="43" fontId="26" fillId="0" borderId="0" applyFont="0" applyFill="0" applyBorder="0" applyAlignment="0" applyProtection="0"/>
    <xf numFmtId="173" fontId="44"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43" fontId="17" fillId="0" borderId="0" applyFont="0" applyFill="0" applyBorder="0" applyAlignment="0" applyProtection="0"/>
    <xf numFmtId="43" fontId="26" fillId="0" borderId="0" applyFont="0" applyFill="0" applyBorder="0" applyAlignment="0" applyProtection="0"/>
    <xf numFmtId="43" fontId="1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9" fontId="54" fillId="0" borderId="0" applyFont="0" applyFill="0" applyBorder="0" applyAlignment="0" applyProtection="0"/>
    <xf numFmtId="43" fontId="26" fillId="0" borderId="0" applyFont="0" applyFill="0" applyBorder="0" applyAlignment="0" applyProtection="0"/>
    <xf numFmtId="177" fontId="21" fillId="0" borderId="0" applyFont="0" applyFill="0" applyBorder="0" applyAlignment="0" applyProtection="0"/>
    <xf numFmtId="43" fontId="21" fillId="0" borderId="0" applyFont="0" applyFill="0" applyBorder="0" applyAlignment="0" applyProtection="0"/>
    <xf numFmtId="43" fontId="26" fillId="0" borderId="0" applyFont="0" applyFill="0" applyBorder="0" applyAlignment="0" applyProtection="0"/>
    <xf numFmtId="177" fontId="2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7" fontId="2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7" fontId="21" fillId="0" borderId="0" applyFont="0" applyFill="0" applyBorder="0" applyAlignment="0" applyProtection="0"/>
    <xf numFmtId="200" fontId="55" fillId="0" borderId="0">
      <protection locked="0"/>
    </xf>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201" fontId="55" fillId="0" borderId="0">
      <protection locked="0"/>
    </xf>
    <xf numFmtId="0" fontId="55" fillId="0" borderId="0">
      <protection locked="0"/>
    </xf>
    <xf numFmtId="6" fontId="103" fillId="0" borderId="0">
      <protection locked="0"/>
    </xf>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184" fontId="55" fillId="0" borderId="0">
      <protection locked="0"/>
    </xf>
    <xf numFmtId="167" fontId="21" fillId="0" borderId="0">
      <protection locked="0"/>
    </xf>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61" fillId="0" borderId="15" applyNumberFormat="0" applyFill="0" applyAlignment="0" applyProtection="0"/>
    <xf numFmtId="0" fontId="61" fillId="0" borderId="15" applyNumberFormat="0" applyFill="0" applyAlignment="0" applyProtection="0"/>
    <xf numFmtId="0" fontId="61" fillId="0" borderId="15" applyNumberFormat="0" applyFill="0" applyAlignment="0" applyProtection="0"/>
    <xf numFmtId="0" fontId="62" fillId="0" borderId="16" applyNumberFormat="0" applyFill="0" applyAlignment="0" applyProtection="0"/>
    <xf numFmtId="0" fontId="62" fillId="0" borderId="16" applyNumberFormat="0" applyFill="0" applyAlignment="0" applyProtection="0"/>
    <xf numFmtId="0" fontId="62" fillId="0" borderId="16"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44" fillId="0" borderId="0" applyNumberFormat="0" applyFill="0" applyBorder="0" applyAlignment="0" applyProtection="0"/>
    <xf numFmtId="0" fontId="66" fillId="40" borderId="6" applyNumberFormat="0" applyAlignment="0" applyProtection="0"/>
    <xf numFmtId="0" fontId="66" fillId="40" borderId="6" applyNumberFormat="0" applyAlignment="0" applyProtection="0"/>
    <xf numFmtId="0" fontId="66" fillId="40" borderId="6" applyNumberFormat="0" applyAlignment="0" applyProtection="0"/>
    <xf numFmtId="0" fontId="67" fillId="0" borderId="21"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48" fillId="0" borderId="0"/>
    <xf numFmtId="0" fontId="21" fillId="0" borderId="0"/>
    <xf numFmtId="0" fontId="52" fillId="0" borderId="0"/>
    <xf numFmtId="0" fontId="52" fillId="0" borderId="0"/>
    <xf numFmtId="0" fontId="14" fillId="0" borderId="0"/>
    <xf numFmtId="0" fontId="149" fillId="0" borderId="0"/>
    <xf numFmtId="0" fontId="149" fillId="0" borderId="0"/>
    <xf numFmtId="0" fontId="149" fillId="0" borderId="0"/>
    <xf numFmtId="0" fontId="149" fillId="0" borderId="0"/>
    <xf numFmtId="0" fontId="14" fillId="0" borderId="0"/>
    <xf numFmtId="0" fontId="53" fillId="0" borderId="0"/>
    <xf numFmtId="0" fontId="53"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9" fillId="0" borderId="0"/>
    <xf numFmtId="0" fontId="14" fillId="0" borderId="0"/>
    <xf numFmtId="0" fontId="149" fillId="0" borderId="0"/>
    <xf numFmtId="0" fontId="149" fillId="0" borderId="0"/>
    <xf numFmtId="0" fontId="149" fillId="0" borderId="0"/>
    <xf numFmtId="0" fontId="149" fillId="0" borderId="0"/>
    <xf numFmtId="0" fontId="149" fillId="0" borderId="0"/>
    <xf numFmtId="0" fontId="14" fillId="0" borderId="0"/>
    <xf numFmtId="0" fontId="149" fillId="0" borderId="0"/>
    <xf numFmtId="0" fontId="149" fillId="0" borderId="0"/>
    <xf numFmtId="0" fontId="14" fillId="0" borderId="0"/>
    <xf numFmtId="0" fontId="149" fillId="0" borderId="0"/>
    <xf numFmtId="0" fontId="149" fillId="0" borderId="0"/>
    <xf numFmtId="0" fontId="14" fillId="0" borderId="0"/>
    <xf numFmtId="0" fontId="149" fillId="0" borderId="0"/>
    <xf numFmtId="0" fontId="53" fillId="0" borderId="0"/>
    <xf numFmtId="0" fontId="53" fillId="0" borderId="0"/>
    <xf numFmtId="0" fontId="21" fillId="0" borderId="0">
      <alignment vertical="top"/>
    </xf>
    <xf numFmtId="0" fontId="52"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 fillId="0" borderId="0"/>
    <xf numFmtId="0" fontId="149" fillId="0" borderId="0"/>
    <xf numFmtId="0" fontId="26" fillId="0" borderId="0"/>
    <xf numFmtId="0" fontId="14" fillId="0" borderId="0"/>
    <xf numFmtId="0" fontId="149" fillId="0" borderId="0"/>
    <xf numFmtId="0" fontId="149" fillId="0" borderId="0"/>
    <xf numFmtId="0" fontId="149" fillId="0" borderId="0"/>
    <xf numFmtId="0" fontId="149" fillId="0" borderId="0"/>
    <xf numFmtId="0" fontId="149" fillId="0" borderId="0"/>
    <xf numFmtId="0" fontId="14" fillId="0" borderId="0"/>
    <xf numFmtId="0" fontId="149" fillId="0" borderId="0"/>
    <xf numFmtId="0" fontId="149" fillId="0" borderId="0"/>
    <xf numFmtId="0" fontId="149" fillId="0" borderId="0"/>
    <xf numFmtId="0" fontId="149" fillId="0" borderId="0"/>
    <xf numFmtId="0" fontId="149" fillId="0" borderId="0"/>
    <xf numFmtId="0" fontId="14" fillId="0" borderId="0"/>
    <xf numFmtId="0" fontId="149" fillId="0" borderId="0"/>
    <xf numFmtId="0" fontId="149" fillId="0" borderId="0"/>
    <xf numFmtId="0" fontId="149" fillId="0" borderId="0"/>
    <xf numFmtId="0" fontId="149" fillId="0" borderId="0"/>
    <xf numFmtId="0" fontId="149" fillId="0" borderId="0"/>
    <xf numFmtId="0" fontId="14" fillId="0" borderId="0"/>
    <xf numFmtId="0" fontId="149" fillId="0" borderId="0"/>
    <xf numFmtId="0" fontId="14" fillId="0" borderId="0"/>
    <xf numFmtId="0" fontId="149" fillId="0" borderId="0"/>
    <xf numFmtId="0" fontId="14" fillId="0" borderId="0"/>
    <xf numFmtId="0" fontId="149" fillId="0" borderId="0"/>
    <xf numFmtId="0" fontId="14" fillId="0" borderId="0"/>
    <xf numFmtId="0" fontId="14" fillId="0" borderId="0"/>
    <xf numFmtId="0" fontId="150" fillId="0" borderId="0"/>
    <xf numFmtId="0" fontId="21" fillId="0" borderId="0">
      <alignment wrapText="1"/>
    </xf>
    <xf numFmtId="0" fontId="26" fillId="0" borderId="0"/>
    <xf numFmtId="0" fontId="21" fillId="0" borderId="0">
      <alignment wrapText="1"/>
    </xf>
    <xf numFmtId="0" fontId="21" fillId="0" borderId="0">
      <alignment wrapText="1"/>
    </xf>
    <xf numFmtId="0" fontId="150" fillId="0" borderId="0"/>
    <xf numFmtId="0" fontId="149" fillId="0" borderId="0"/>
    <xf numFmtId="0" fontId="14" fillId="0" borderId="0"/>
    <xf numFmtId="0" fontId="14" fillId="0" borderId="0"/>
    <xf numFmtId="0" fontId="14" fillId="0" borderId="0"/>
    <xf numFmtId="0" fontId="14" fillId="0" borderId="0"/>
    <xf numFmtId="0" fontId="14" fillId="0" borderId="0"/>
    <xf numFmtId="0" fontId="21" fillId="0" borderId="0"/>
    <xf numFmtId="0" fontId="14" fillId="0" borderId="0"/>
    <xf numFmtId="0" fontId="14" fillId="0" borderId="0"/>
    <xf numFmtId="0" fontId="14" fillId="0" borderId="0"/>
    <xf numFmtId="0" fontId="151" fillId="0" borderId="0"/>
    <xf numFmtId="0" fontId="150" fillId="0" borderId="0"/>
    <xf numFmtId="0" fontId="26" fillId="0" borderId="0"/>
    <xf numFmtId="0" fontId="14" fillId="0" borderId="0"/>
    <xf numFmtId="0" fontId="21" fillId="0" borderId="0"/>
    <xf numFmtId="0" fontId="52" fillId="0" borderId="0"/>
    <xf numFmtId="0" fontId="17" fillId="0" borderId="0"/>
    <xf numFmtId="0" fontId="149" fillId="0" borderId="0"/>
    <xf numFmtId="0" fontId="54" fillId="0" borderId="0"/>
    <xf numFmtId="0" fontId="21" fillId="0" borderId="0">
      <alignment wrapText="1"/>
    </xf>
    <xf numFmtId="0" fontId="26" fillId="0" borderId="0"/>
    <xf numFmtId="0" fontId="15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6"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6"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6"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6" fillId="0" borderId="0"/>
    <xf numFmtId="0" fontId="53" fillId="0" borderId="0"/>
    <xf numFmtId="0" fontId="53" fillId="0" borderId="0"/>
    <xf numFmtId="0" fontId="53" fillId="0" borderId="0"/>
    <xf numFmtId="0" fontId="53" fillId="0" borderId="0"/>
    <xf numFmtId="0" fontId="110" fillId="0" borderId="0"/>
    <xf numFmtId="0" fontId="21" fillId="39" borderId="11" applyNumberFormat="0" applyFont="0" applyAlignment="0" applyProtection="0"/>
    <xf numFmtId="0" fontId="26" fillId="100" borderId="55" applyNumberFormat="0" applyFont="0" applyAlignment="0" applyProtection="0"/>
    <xf numFmtId="0" fontId="26" fillId="100" borderId="55" applyNumberFormat="0" applyFont="0" applyAlignment="0" applyProtection="0"/>
    <xf numFmtId="0" fontId="21" fillId="39" borderId="11" applyNumberFormat="0" applyFont="0" applyAlignment="0" applyProtection="0"/>
    <xf numFmtId="0" fontId="26" fillId="100" borderId="55" applyNumberFormat="0" applyFont="0" applyAlignment="0" applyProtection="0"/>
    <xf numFmtId="0" fontId="26" fillId="100" borderId="55" applyNumberFormat="0" applyFont="0" applyAlignment="0" applyProtection="0"/>
    <xf numFmtId="0" fontId="26" fillId="100" borderId="55" applyNumberFormat="0" applyFont="0" applyAlignment="0" applyProtection="0"/>
    <xf numFmtId="0" fontId="26" fillId="100" borderId="55" applyNumberFormat="0" applyFont="0" applyAlignment="0" applyProtection="0"/>
    <xf numFmtId="0" fontId="26" fillId="100" borderId="55" applyNumberFormat="0" applyFont="0" applyAlignment="0" applyProtection="0"/>
    <xf numFmtId="0" fontId="21" fillId="39" borderId="11" applyNumberFormat="0" applyFont="0" applyAlignment="0" applyProtection="0"/>
    <xf numFmtId="0" fontId="26" fillId="100" borderId="55" applyNumberFormat="0" applyFont="0" applyAlignment="0" applyProtection="0"/>
    <xf numFmtId="0" fontId="26" fillId="100" borderId="55" applyNumberFormat="0" applyFont="0" applyAlignment="0" applyProtection="0"/>
    <xf numFmtId="0" fontId="26" fillId="100" borderId="55" applyNumberFormat="0" applyFont="0" applyAlignment="0" applyProtection="0"/>
    <xf numFmtId="0" fontId="26" fillId="100" borderId="55" applyNumberFormat="0" applyFont="0" applyAlignment="0" applyProtection="0"/>
    <xf numFmtId="0" fontId="21" fillId="39" borderId="11" applyNumberFormat="0" applyFont="0" applyAlignment="0" applyProtection="0"/>
    <xf numFmtId="0" fontId="26" fillId="100" borderId="55" applyNumberFormat="0" applyFont="0" applyAlignment="0" applyProtection="0"/>
    <xf numFmtId="0" fontId="39" fillId="45" borderId="22" applyNumberFormat="0" applyAlignment="0" applyProtection="0"/>
    <xf numFmtId="0" fontId="39" fillId="45" borderId="22" applyNumberFormat="0" applyAlignment="0" applyProtection="0"/>
    <xf numFmtId="0" fontId="39" fillId="45" borderId="22" applyNumberFormat="0" applyAlignment="0" applyProtection="0"/>
    <xf numFmtId="9" fontId="17" fillId="0" borderId="0" applyFont="0" applyFill="0" applyBorder="0" applyAlignment="0" applyProtection="0"/>
    <xf numFmtId="9" fontId="54"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0" fontId="54" fillId="0" borderId="0" applyFill="0" applyBorder="0" applyProtection="0">
      <alignment horizontal="center"/>
    </xf>
    <xf numFmtId="9" fontId="17" fillId="0" borderId="0" applyFont="0" applyFill="0" applyBorder="0" applyAlignment="0" applyProtection="0"/>
    <xf numFmtId="9" fontId="1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75" fillId="60" borderId="25" applyNumberFormat="0" applyProtection="0">
      <alignment horizontal="left" vertical="center" indent="1"/>
    </xf>
    <xf numFmtId="0" fontId="46" fillId="0" borderId="0">
      <alignment vertical="top"/>
    </xf>
    <xf numFmtId="0" fontId="78" fillId="0" borderId="0" applyNumberFormat="0" applyFill="0" applyBorder="0" applyAlignment="0" applyProtection="0"/>
    <xf numFmtId="0" fontId="41" fillId="0" borderId="33" applyNumberFormat="0" applyFill="0" applyAlignment="0" applyProtection="0"/>
    <xf numFmtId="44" fontId="17" fillId="0" borderId="0" applyFont="0" applyFill="0" applyBorder="0" applyAlignment="0" applyProtection="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70" borderId="0" applyNumberFormat="0" applyBorder="0" applyAlignment="0" applyProtection="0"/>
    <xf numFmtId="0" fontId="14" fillId="71" borderId="0" applyNumberFormat="0" applyBorder="0" applyAlignment="0" applyProtection="0"/>
    <xf numFmtId="0" fontId="14" fillId="72" borderId="0" applyNumberFormat="0" applyBorder="0" applyAlignment="0" applyProtection="0"/>
    <xf numFmtId="0" fontId="14" fillId="73" borderId="0" applyNumberFormat="0" applyBorder="0" applyAlignment="0" applyProtection="0"/>
    <xf numFmtId="0" fontId="14" fillId="74" borderId="0" applyNumberFormat="0" applyBorder="0" applyAlignment="0" applyProtection="0"/>
    <xf numFmtId="0" fontId="14" fillId="75" borderId="0" applyNumberFormat="0" applyBorder="0" applyAlignment="0" applyProtection="0"/>
    <xf numFmtId="0" fontId="14" fillId="76" borderId="0" applyNumberFormat="0" applyBorder="0" applyAlignment="0" applyProtection="0"/>
    <xf numFmtId="0" fontId="14" fillId="77" borderId="0" applyNumberFormat="0" applyBorder="0" applyAlignment="0" applyProtection="0"/>
    <xf numFmtId="0" fontId="14" fillId="78" borderId="0" applyNumberFormat="0" applyBorder="0" applyAlignment="0" applyProtection="0"/>
    <xf numFmtId="0" fontId="14" fillId="78" borderId="0" applyNumberFormat="0" applyBorder="0" applyAlignment="0" applyProtection="0"/>
    <xf numFmtId="0" fontId="14" fillId="78" borderId="0" applyNumberFormat="0" applyBorder="0" applyAlignment="0" applyProtection="0"/>
    <xf numFmtId="0" fontId="14" fillId="79" borderId="0" applyNumberFormat="0" applyBorder="0" applyAlignment="0" applyProtection="0"/>
    <xf numFmtId="0" fontId="14" fillId="80" borderId="0" applyNumberFormat="0" applyBorder="0" applyAlignment="0" applyProtection="0"/>
    <xf numFmtId="0" fontId="14" fillId="80" borderId="0" applyNumberFormat="0" applyBorder="0" applyAlignment="0" applyProtection="0"/>
    <xf numFmtId="0" fontId="14" fillId="80" borderId="0" applyNumberFormat="0" applyBorder="0" applyAlignment="0" applyProtection="0"/>
    <xf numFmtId="0" fontId="14" fillId="81" borderId="0" applyNumberFormat="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00" borderId="55" applyNumberFormat="0" applyFont="0" applyAlignment="0" applyProtection="0"/>
    <xf numFmtId="0" fontId="14" fillId="100" borderId="55" applyNumberFormat="0" applyFont="0" applyAlignment="0" applyProtection="0"/>
    <xf numFmtId="0" fontId="14" fillId="100" borderId="55" applyNumberFormat="0" applyFont="0" applyAlignment="0" applyProtection="0"/>
    <xf numFmtId="0" fontId="14" fillId="100" borderId="55" applyNumberFormat="0" applyFont="0" applyAlignment="0" applyProtection="0"/>
    <xf numFmtId="0" fontId="14" fillId="100" borderId="55" applyNumberFormat="0" applyFont="0" applyAlignment="0" applyProtection="0"/>
    <xf numFmtId="0" fontId="14" fillId="100" borderId="55" applyNumberFormat="0" applyFont="0" applyAlignment="0" applyProtection="0"/>
    <xf numFmtId="0" fontId="14" fillId="100" borderId="55" applyNumberFormat="0" applyFont="0" applyAlignment="0" applyProtection="0"/>
    <xf numFmtId="0" fontId="14" fillId="100" borderId="55" applyNumberFormat="0" applyFont="0" applyAlignment="0" applyProtection="0"/>
    <xf numFmtId="0" fontId="14" fillId="100" borderId="55" applyNumberFormat="0" applyFont="0" applyAlignment="0" applyProtection="0"/>
    <xf numFmtId="0" fontId="14" fillId="100" borderId="55" applyNumberFormat="0" applyFont="0" applyAlignment="0" applyProtection="0"/>
    <xf numFmtId="0" fontId="14" fillId="100" borderId="55"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80" borderId="0" applyNumberFormat="0" applyBorder="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44"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4"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44" fontId="14" fillId="0" borderId="0" applyFont="0" applyFill="0" applyBorder="0" applyAlignment="0" applyProtection="0"/>
    <xf numFmtId="0" fontId="14" fillId="0" borderId="0"/>
    <xf numFmtId="9"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73" borderId="0" applyNumberFormat="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78" borderId="0" applyNumberFormat="0" applyBorder="0" applyAlignment="0" applyProtection="0"/>
    <xf numFmtId="0" fontId="14" fillId="80" borderId="0" applyNumberFormat="0" applyBorder="0" applyAlignment="0" applyProtection="0"/>
    <xf numFmtId="0" fontId="14" fillId="80" borderId="0" applyNumberFormat="0" applyBorder="0" applyAlignment="0" applyProtection="0"/>
    <xf numFmtId="43" fontId="14" fillId="0" borderId="0" applyFont="0" applyFill="0" applyBorder="0" applyAlignment="0" applyProtection="0"/>
    <xf numFmtId="0" fontId="14" fillId="79" borderId="0" applyNumberFormat="0" applyBorder="0" applyAlignment="0" applyProtection="0"/>
    <xf numFmtId="44" fontId="14" fillId="0" borderId="0" applyFont="0" applyFill="0" applyBorder="0" applyAlignment="0" applyProtection="0"/>
    <xf numFmtId="0" fontId="14" fillId="75" borderId="0" applyNumberFormat="0" applyBorder="0" applyAlignment="0" applyProtection="0"/>
    <xf numFmtId="0" fontId="14" fillId="71" borderId="0" applyNumberFormat="0" applyBorder="0" applyAlignment="0" applyProtection="0"/>
    <xf numFmtId="43" fontId="14" fillId="0" borderId="0" applyFont="0" applyFill="0" applyBorder="0" applyAlignment="0" applyProtection="0"/>
    <xf numFmtId="0" fontId="14" fillId="81" borderId="0" applyNumberFormat="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72" borderId="0" applyNumberFormat="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70" borderId="0" applyNumberFormat="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78" borderId="0" applyNumberFormat="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0" fontId="14" fillId="74" borderId="0" applyNumberFormat="0" applyBorder="0" applyAlignment="0" applyProtection="0"/>
    <xf numFmtId="0" fontId="14" fillId="77" borderId="0" applyNumberFormat="0" applyBorder="0" applyAlignment="0" applyProtection="0"/>
    <xf numFmtId="44" fontId="14" fillId="0" borderId="0" applyFont="0" applyFill="0" applyBorder="0" applyAlignment="0" applyProtection="0"/>
    <xf numFmtId="0" fontId="14" fillId="78" borderId="0" applyNumberFormat="0" applyBorder="0" applyAlignment="0" applyProtection="0"/>
    <xf numFmtId="0" fontId="14" fillId="76" borderId="0" applyNumberFormat="0" applyBorder="0" applyAlignment="0" applyProtection="0"/>
    <xf numFmtId="9"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7"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3" fontId="44"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21" fillId="0" borderId="0"/>
    <xf numFmtId="0" fontId="21" fillId="0" borderId="0"/>
    <xf numFmtId="0" fontId="13" fillId="0" borderId="0"/>
    <xf numFmtId="0" fontId="13" fillId="0" borderId="0"/>
    <xf numFmtId="6" fontId="103" fillId="0" borderId="0">
      <protection locked="0"/>
    </xf>
    <xf numFmtId="200" fontId="55" fillId="0" borderId="0">
      <protection locked="0"/>
    </xf>
    <xf numFmtId="200" fontId="55" fillId="0" borderId="0">
      <protection locked="0"/>
    </xf>
    <xf numFmtId="6" fontId="103" fillId="0" borderId="0">
      <protection locked="0"/>
    </xf>
    <xf numFmtId="6" fontId="103" fillId="0" borderId="0">
      <protection locked="0"/>
    </xf>
    <xf numFmtId="0" fontId="21" fillId="11" borderId="11" applyNumberFormat="0" applyFont="0" applyAlignment="0" applyProtection="0"/>
    <xf numFmtId="6" fontId="103" fillId="0" borderId="0">
      <protection locked="0"/>
    </xf>
    <xf numFmtId="200" fontId="55" fillId="0" borderId="0">
      <protection locked="0"/>
    </xf>
    <xf numFmtId="0" fontId="13" fillId="0" borderId="0"/>
    <xf numFmtId="191" fontId="21" fillId="0" borderId="0" applyFont="0" applyFill="0" applyBorder="0" applyAlignment="0" applyProtection="0"/>
    <xf numFmtId="191"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4" fontId="21" fillId="0" borderId="0" applyFont="0" applyFill="0" applyBorder="0" applyAlignment="0" applyProtection="0"/>
    <xf numFmtId="194"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6" fontId="21" fillId="0" borderId="0" applyFont="0" applyFill="0" applyBorder="0" applyAlignment="0" applyProtection="0"/>
    <xf numFmtId="196" fontId="21" fillId="0" borderId="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21" fillId="2" borderId="0" applyNumberFormat="0" applyFont="0" applyAlignment="0" applyProtection="0"/>
    <xf numFmtId="0" fontId="21" fillId="2" borderId="0" applyNumberFormat="0" applyFont="0" applyAlignment="0" applyProtection="0"/>
    <xf numFmtId="197" fontId="21" fillId="0" borderId="0" applyFont="0" applyFill="0" applyBorder="0" applyAlignment="0" applyProtection="0"/>
    <xf numFmtId="197" fontId="21" fillId="0" borderId="0" applyFont="0" applyFill="0" applyBorder="0" applyAlignment="0" applyProtection="0"/>
    <xf numFmtId="198" fontId="21" fillId="0" borderId="0" applyFont="0" applyFill="0" applyBorder="0" applyProtection="0">
      <alignment horizontal="right"/>
    </xf>
    <xf numFmtId="198" fontId="21" fillId="0" borderId="0" applyFont="0" applyFill="0" applyBorder="0" applyProtection="0">
      <alignment horizontal="right"/>
    </xf>
    <xf numFmtId="0" fontId="90" fillId="0" borderId="0" applyNumberFormat="0" applyFill="0" applyBorder="0" applyProtection="0">
      <alignment vertical="top"/>
    </xf>
    <xf numFmtId="0" fontId="90" fillId="0" borderId="0" applyNumberFormat="0" applyFill="0" applyBorder="0" applyProtection="0">
      <alignment vertical="top"/>
    </xf>
    <xf numFmtId="0" fontId="91" fillId="0" borderId="1" applyNumberFormat="0" applyFill="0" applyAlignment="0" applyProtection="0"/>
    <xf numFmtId="0" fontId="91" fillId="0" borderId="1" applyNumberFormat="0" applyFill="0" applyAlignment="0" applyProtection="0"/>
    <xf numFmtId="0" fontId="92" fillId="0" borderId="2" applyNumberFormat="0" applyFill="0" applyProtection="0">
      <alignment horizontal="center"/>
    </xf>
    <xf numFmtId="0" fontId="92" fillId="0" borderId="2" applyNumberFormat="0" applyFill="0" applyProtection="0">
      <alignment horizontal="center"/>
    </xf>
    <xf numFmtId="0" fontId="92" fillId="0" borderId="0" applyNumberFormat="0" applyFill="0" applyBorder="0" applyProtection="0">
      <alignment horizontal="left"/>
    </xf>
    <xf numFmtId="0" fontId="92" fillId="0" borderId="0" applyNumberFormat="0" applyFill="0" applyBorder="0" applyProtection="0">
      <alignment horizontal="left"/>
    </xf>
    <xf numFmtId="0" fontId="93" fillId="0" borderId="0" applyNumberFormat="0" applyFill="0" applyBorder="0" applyProtection="0">
      <alignment horizontal="centerContinuous"/>
    </xf>
    <xf numFmtId="0" fontId="93" fillId="0" borderId="0" applyNumberFormat="0" applyFill="0" applyBorder="0" applyProtection="0">
      <alignment horizontal="centerContinuous"/>
    </xf>
    <xf numFmtId="0" fontId="21" fillId="43" borderId="0" applyNumberFormat="0" applyFont="0" applyAlignment="0">
      <alignment vertical="top" wrapText="1"/>
    </xf>
    <xf numFmtId="0" fontId="21" fillId="0" borderId="0" applyNumberFormat="0" applyFill="0" applyBorder="0" applyAlignment="0"/>
    <xf numFmtId="0" fontId="21" fillId="0" borderId="0" applyNumberFormat="0" applyFill="0" applyBorder="0" applyAlignment="0"/>
    <xf numFmtId="200" fontId="55" fillId="0" borderId="0">
      <protection locked="0"/>
    </xf>
    <xf numFmtId="200" fontId="55" fillId="0" borderId="0">
      <protection locked="0"/>
    </xf>
    <xf numFmtId="200" fontId="55" fillId="0" borderId="0">
      <protection locked="0"/>
    </xf>
    <xf numFmtId="200" fontId="55" fillId="0" borderId="0">
      <protection locked="0"/>
    </xf>
    <xf numFmtId="200" fontId="55" fillId="0" borderId="0">
      <protection locked="0"/>
    </xf>
    <xf numFmtId="200" fontId="55" fillId="0" borderId="0">
      <protection locked="0"/>
    </xf>
    <xf numFmtId="200" fontId="55" fillId="0" borderId="0">
      <protection locked="0"/>
    </xf>
    <xf numFmtId="200" fontId="55" fillId="0" borderId="0">
      <protection locked="0"/>
    </xf>
    <xf numFmtId="200" fontId="55" fillId="0" borderId="0">
      <protection locked="0"/>
    </xf>
    <xf numFmtId="200" fontId="55" fillId="0" borderId="0">
      <protection locked="0"/>
    </xf>
    <xf numFmtId="200" fontId="55" fillId="0" borderId="0">
      <protection locked="0"/>
    </xf>
    <xf numFmtId="200" fontId="55" fillId="0" borderId="0">
      <protection locked="0"/>
    </xf>
    <xf numFmtId="168" fontId="22" fillId="0" borderId="0" applyFont="0" applyFill="0" applyBorder="0" applyAlignment="0" applyProtection="0"/>
    <xf numFmtId="168" fontId="22" fillId="0" borderId="0" applyFont="0" applyFill="0" applyBorder="0" applyAlignment="0" applyProtection="0"/>
    <xf numFmtId="4" fontId="22" fillId="0" borderId="0" applyFont="0" applyFill="0" applyBorder="0" applyAlignment="0" applyProtection="0"/>
    <xf numFmtId="4" fontId="22" fillId="0" borderId="0" applyFont="0" applyFill="0" applyBorder="0" applyAlignment="0" applyProtection="0"/>
    <xf numFmtId="0" fontId="101" fillId="0" borderId="0"/>
    <xf numFmtId="0" fontId="101" fillId="0" borderId="0"/>
    <xf numFmtId="0" fontId="102" fillId="0" borderId="0" applyFill="0" applyBorder="0" applyProtection="0"/>
    <xf numFmtId="0" fontId="102" fillId="0" borderId="0" applyFill="0" applyBorder="0" applyProtection="0"/>
    <xf numFmtId="201" fontId="55" fillId="0" borderId="0">
      <protection locked="0"/>
    </xf>
    <xf numFmtId="202" fontId="21" fillId="0" borderId="0" applyFont="0" applyFill="0" applyBorder="0" applyAlignment="0" applyProtection="0">
      <alignment wrapText="1"/>
    </xf>
    <xf numFmtId="202" fontId="21" fillId="0" borderId="0" applyFont="0" applyFill="0" applyBorder="0" applyAlignment="0" applyProtection="0">
      <alignment wrapText="1"/>
    </xf>
    <xf numFmtId="203" fontId="59"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67" fontId="21" fillId="0" borderId="0">
      <protection locked="0"/>
    </xf>
    <xf numFmtId="38" fontId="59" fillId="52" borderId="0" applyNumberFormat="0" applyBorder="0" applyAlignment="0" applyProtection="0"/>
    <xf numFmtId="205" fontId="21" fillId="0" borderId="0">
      <protection locked="0"/>
    </xf>
    <xf numFmtId="205" fontId="21" fillId="0" borderId="0">
      <protection locked="0"/>
    </xf>
    <xf numFmtId="10" fontId="59" fillId="53" borderId="20" applyNumberFormat="0" applyBorder="0" applyAlignment="0" applyProtection="0"/>
    <xf numFmtId="10" fontId="59" fillId="53" borderId="0">
      <protection locked="0"/>
    </xf>
    <xf numFmtId="174" fontId="59" fillId="0" borderId="0" applyNumberFormat="0" applyFont="0" applyFill="0" applyBorder="0" applyAlignment="0">
      <protection hidden="1"/>
    </xf>
    <xf numFmtId="211" fontId="59" fillId="53" borderId="0">
      <alignment horizontal="center"/>
    </xf>
    <xf numFmtId="37" fontId="68" fillId="0" borderId="0"/>
    <xf numFmtId="37" fontId="68" fillId="0" borderId="0"/>
    <xf numFmtId="0" fontId="2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13" fontId="21" fillId="0" borderId="0">
      <protection hidden="1"/>
    </xf>
    <xf numFmtId="10" fontId="21" fillId="0" borderId="0" applyFont="0" applyFill="0" applyBorder="0" applyAlignment="0" applyProtection="0"/>
    <xf numFmtId="10" fontId="21" fillId="0" borderId="0" applyFont="0" applyFill="0" applyBorder="0" applyAlignment="0" applyProtection="0"/>
    <xf numFmtId="214" fontId="55" fillId="0" borderId="0">
      <protection locked="0"/>
    </xf>
    <xf numFmtId="214" fontId="55" fillId="0" borderId="0">
      <protection locked="0"/>
    </xf>
    <xf numFmtId="215" fontId="21" fillId="0" borderId="0"/>
    <xf numFmtId="4" fontId="21" fillId="33" borderId="20" applyNumberFormat="0" applyProtection="0">
      <alignment vertical="center"/>
    </xf>
    <xf numFmtId="4" fontId="21" fillId="0" borderId="20" applyNumberFormat="0" applyProtection="0">
      <alignment horizontal="right" vertical="center"/>
    </xf>
    <xf numFmtId="4" fontId="21" fillId="61" borderId="0" applyNumberFormat="0" applyProtection="0">
      <alignment horizontal="left" vertical="center"/>
    </xf>
    <xf numFmtId="1" fontId="22" fillId="0" borderId="0" applyBorder="0">
      <alignment horizontal="left" vertical="top" wrapText="1"/>
    </xf>
    <xf numFmtId="1" fontId="22" fillId="0" borderId="0" applyBorder="0">
      <alignment horizontal="left" vertical="top" wrapText="1"/>
    </xf>
    <xf numFmtId="0" fontId="46" fillId="0" borderId="0">
      <alignment vertical="top"/>
    </xf>
    <xf numFmtId="0" fontId="20" fillId="64" borderId="28" applyNumberFormat="0" applyProtection="0">
      <alignment horizontal="center" wrapText="1"/>
    </xf>
    <xf numFmtId="0" fontId="20" fillId="64" borderId="28" applyNumberFormat="0" applyProtection="0">
      <alignment horizontal="center" wrapText="1"/>
    </xf>
    <xf numFmtId="0" fontId="20" fillId="64" borderId="29" applyNumberFormat="0" applyAlignment="0" applyProtection="0">
      <alignment wrapText="1"/>
    </xf>
    <xf numFmtId="0" fontId="20" fillId="64" borderId="29" applyNumberFormat="0" applyAlignment="0" applyProtection="0">
      <alignment wrapText="1"/>
    </xf>
    <xf numFmtId="0" fontId="21" fillId="65" borderId="0" applyNumberFormat="0" applyBorder="0">
      <alignment horizontal="center" wrapText="1"/>
    </xf>
    <xf numFmtId="0" fontId="21" fillId="65" borderId="0" applyNumberFormat="0" applyBorder="0">
      <alignment horizontal="center" wrapText="1"/>
    </xf>
    <xf numFmtId="0" fontId="21" fillId="65" borderId="0" applyNumberFormat="0" applyBorder="0">
      <alignment wrapText="1"/>
    </xf>
    <xf numFmtId="0" fontId="21" fillId="65" borderId="0" applyNumberFormat="0" applyBorder="0">
      <alignmen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218" fontId="21" fillId="0" borderId="0" applyFill="0" applyBorder="0" applyAlignment="0" applyProtection="0">
      <alignment wrapText="1"/>
    </xf>
    <xf numFmtId="218" fontId="21" fillId="0" borderId="0" applyFill="0" applyBorder="0" applyAlignment="0" applyProtection="0">
      <alignment wrapText="1"/>
    </xf>
    <xf numFmtId="211" fontId="21" fillId="0" borderId="0" applyFill="0" applyBorder="0" applyAlignment="0" applyProtection="0">
      <alignment wrapText="1"/>
    </xf>
    <xf numFmtId="211" fontId="21" fillId="0" borderId="0" applyFill="0" applyBorder="0" applyAlignment="0" applyProtection="0">
      <alignment wrapText="1"/>
    </xf>
    <xf numFmtId="219" fontId="21" fillId="0" borderId="0" applyFill="0" applyBorder="0" applyAlignment="0" applyProtection="0">
      <alignment wrapText="1"/>
    </xf>
    <xf numFmtId="219" fontId="21" fillId="0" borderId="0" applyFill="0" applyBorder="0" applyAlignment="0" applyProtection="0">
      <alignment wrapText="1"/>
    </xf>
    <xf numFmtId="0" fontId="21" fillId="0" borderId="0" applyNumberFormat="0" applyFill="0" applyBorder="0" applyProtection="0">
      <alignment horizontal="right" wrapText="1"/>
    </xf>
    <xf numFmtId="0" fontId="21" fillId="0" borderId="0" applyNumberFormat="0" applyFill="0" applyBorder="0" applyProtection="0">
      <alignment horizontal="right" wrapText="1"/>
    </xf>
    <xf numFmtId="0" fontId="21" fillId="0" borderId="0" applyNumberFormat="0" applyFill="0" applyBorder="0">
      <alignment horizontal="right" wrapText="1"/>
    </xf>
    <xf numFmtId="0" fontId="21" fillId="0" borderId="0" applyNumberFormat="0" applyFill="0" applyBorder="0">
      <alignment horizontal="right" wrapText="1"/>
    </xf>
    <xf numFmtId="17" fontId="21" fillId="0" borderId="0" applyFill="0" applyBorder="0">
      <alignment horizontal="right" wrapText="1"/>
    </xf>
    <xf numFmtId="17" fontId="21" fillId="0" borderId="0" applyFill="0" applyBorder="0">
      <alignment horizontal="right" wrapText="1"/>
    </xf>
    <xf numFmtId="8" fontId="21" fillId="0" borderId="0" applyFill="0" applyBorder="0" applyAlignment="0" applyProtection="0">
      <alignment wrapText="1"/>
    </xf>
    <xf numFmtId="8" fontId="21" fillId="0" borderId="0" applyFill="0" applyBorder="0" applyAlignment="0" applyProtection="0">
      <alignment wrapText="1"/>
    </xf>
    <xf numFmtId="0" fontId="85" fillId="0" borderId="0" applyNumberFormat="0" applyFill="0" applyBorder="0">
      <alignment horizontal="left" wrapText="1"/>
    </xf>
    <xf numFmtId="0" fontId="85" fillId="0" borderId="0" applyNumberFormat="0" applyFill="0" applyBorder="0">
      <alignment horizontal="left" wrapText="1"/>
    </xf>
    <xf numFmtId="0" fontId="20" fillId="0" borderId="0" applyNumberFormat="0" applyFill="0" applyBorder="0">
      <alignment horizontal="center" wrapText="1"/>
    </xf>
    <xf numFmtId="0" fontId="20" fillId="0" borderId="0" applyNumberFormat="0" applyFill="0" applyBorder="0">
      <alignment horizontal="center" wrapText="1"/>
    </xf>
    <xf numFmtId="0" fontId="20" fillId="0" borderId="0" applyNumberFormat="0" applyFill="0" applyBorder="0">
      <alignment horizontal="center" wrapText="1"/>
    </xf>
    <xf numFmtId="0" fontId="20" fillId="0" borderId="0" applyNumberFormat="0" applyFill="0" applyBorder="0">
      <alignment horizontal="center" wrapText="1"/>
    </xf>
    <xf numFmtId="0" fontId="21" fillId="0" borderId="30"/>
    <xf numFmtId="0" fontId="21" fillId="0" borderId="30"/>
    <xf numFmtId="37" fontId="59" fillId="43" borderId="0" applyNumberFormat="0" applyBorder="0" applyAlignment="0" applyProtection="0"/>
    <xf numFmtId="37" fontId="59" fillId="0" borderId="0"/>
    <xf numFmtId="37" fontId="59" fillId="0" borderId="0"/>
    <xf numFmtId="221" fontId="59" fillId="0" borderId="20" applyFont="0" applyFill="0" applyBorder="0" applyAlignment="0" applyProtection="0"/>
    <xf numFmtId="6" fontId="103" fillId="0" borderId="0">
      <protection locked="0"/>
    </xf>
    <xf numFmtId="200" fontId="55" fillId="0" borderId="0">
      <protection locked="0"/>
    </xf>
    <xf numFmtId="9" fontId="21" fillId="0" borderId="0" applyFont="0" applyFill="0" applyBorder="0" applyAlignment="0" applyProtection="0"/>
    <xf numFmtId="200" fontId="55" fillId="0" borderId="0">
      <protection locked="0"/>
    </xf>
    <xf numFmtId="41" fontId="21" fillId="0" borderId="0" applyFont="0" applyFill="0" applyBorder="0" applyAlignment="0" applyProtection="0"/>
    <xf numFmtId="233" fontId="80" fillId="0" borderId="0" applyFont="0" applyBorder="0" applyAlignment="0">
      <alignment vertical="center"/>
    </xf>
    <xf numFmtId="232" fontId="54" fillId="0" borderId="0"/>
    <xf numFmtId="232" fontId="54" fillId="0" borderId="0"/>
    <xf numFmtId="232" fontId="54" fillId="0" borderId="0"/>
    <xf numFmtId="232" fontId="54" fillId="0" borderId="0"/>
    <xf numFmtId="232" fontId="54" fillId="0" borderId="0"/>
    <xf numFmtId="232" fontId="54" fillId="0" borderId="0"/>
    <xf numFmtId="232" fontId="54" fillId="0" borderId="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191" fontId="21" fillId="0" borderId="0" applyFont="0" applyFill="0" applyBorder="0" applyAlignment="0" applyProtection="0"/>
    <xf numFmtId="192" fontId="21" fillId="0" borderId="0" applyFont="0" applyFill="0" applyBorder="0" applyAlignment="0" applyProtection="0"/>
    <xf numFmtId="193" fontId="21" fillId="0" borderId="0" applyFont="0" applyFill="0" applyBorder="0" applyAlignment="0" applyProtection="0"/>
    <xf numFmtId="194" fontId="21" fillId="0" borderId="0" applyFont="0" applyFill="0" applyBorder="0" applyAlignment="0" applyProtection="0"/>
    <xf numFmtId="195" fontId="21" fillId="0" borderId="0" applyFont="0" applyFill="0" applyBorder="0" applyAlignment="0" applyProtection="0"/>
    <xf numFmtId="196" fontId="21" fillId="0" borderId="0" applyFont="0" applyFill="0" applyBorder="0" applyAlignment="0" applyProtection="0"/>
    <xf numFmtId="0" fontId="89" fillId="0" borderId="0" applyNumberFormat="0" applyFill="0" applyBorder="0" applyAlignment="0" applyProtection="0"/>
    <xf numFmtId="0" fontId="21" fillId="2" borderId="0" applyNumberFormat="0" applyFont="0" applyAlignment="0" applyProtection="0"/>
    <xf numFmtId="197" fontId="21" fillId="0" borderId="0" applyFont="0" applyFill="0" applyBorder="0" applyAlignment="0" applyProtection="0"/>
    <xf numFmtId="198" fontId="21" fillId="0" borderId="0" applyFont="0" applyFill="0" applyBorder="0" applyProtection="0">
      <alignment horizontal="right"/>
    </xf>
    <xf numFmtId="0" fontId="90" fillId="0" borderId="0" applyNumberFormat="0" applyFill="0" applyBorder="0" applyProtection="0">
      <alignment vertical="top"/>
    </xf>
    <xf numFmtId="0" fontId="91" fillId="0" borderId="1" applyNumberFormat="0" applyFill="0" applyAlignment="0" applyProtection="0"/>
    <xf numFmtId="0" fontId="92" fillId="0" borderId="2" applyNumberFormat="0" applyFill="0" applyProtection="0">
      <alignment horizontal="center"/>
    </xf>
    <xf numFmtId="0" fontId="92" fillId="0" borderId="0" applyNumberFormat="0" applyFill="0" applyBorder="0" applyProtection="0">
      <alignment horizontal="left"/>
    </xf>
    <xf numFmtId="0" fontId="93" fillId="0" borderId="0" applyNumberFormat="0" applyFill="0" applyBorder="0" applyProtection="0">
      <alignment horizontal="centerContinuous"/>
    </xf>
    <xf numFmtId="0" fontId="21" fillId="0" borderId="0" applyNumberFormat="0" applyFill="0" applyBorder="0" applyAlignment="0"/>
    <xf numFmtId="200" fontId="55" fillId="0" borderId="0">
      <protection locked="0"/>
    </xf>
    <xf numFmtId="168" fontId="22" fillId="0" borderId="0" applyFont="0" applyFill="0" applyBorder="0" applyAlignment="0" applyProtection="0"/>
    <xf numFmtId="4" fontId="22" fillId="0" borderId="0" applyFont="0" applyFill="0" applyBorder="0" applyAlignment="0" applyProtection="0"/>
    <xf numFmtId="0" fontId="101" fillId="0" borderId="0"/>
    <xf numFmtId="0" fontId="102" fillId="0" borderId="0" applyFill="0" applyBorder="0" applyProtection="0"/>
    <xf numFmtId="201" fontId="55" fillId="0" borderId="0">
      <protection locked="0"/>
    </xf>
    <xf numFmtId="202" fontId="21" fillId="0" borderId="0" applyFont="0" applyFill="0" applyBorder="0" applyAlignment="0" applyProtection="0">
      <alignment wrapText="1"/>
    </xf>
    <xf numFmtId="183" fontId="21" fillId="0" borderId="0" applyFont="0" applyFill="0" applyBorder="0" applyAlignment="0" applyProtection="0"/>
    <xf numFmtId="167" fontId="21" fillId="0" borderId="0">
      <protection locked="0"/>
    </xf>
    <xf numFmtId="205" fontId="21" fillId="0" borderId="0">
      <protection locked="0"/>
    </xf>
    <xf numFmtId="205" fontId="21" fillId="0" borderId="0">
      <protection locked="0"/>
    </xf>
    <xf numFmtId="37" fontId="68" fillId="0" borderId="0"/>
    <xf numFmtId="0" fontId="21" fillId="11" borderId="11" applyNumberFormat="0" applyFont="0" applyAlignment="0" applyProtection="0"/>
    <xf numFmtId="10" fontId="21" fillId="0" borderId="0" applyFont="0" applyFill="0" applyBorder="0" applyAlignment="0" applyProtection="0"/>
    <xf numFmtId="214" fontId="55" fillId="0" borderId="0">
      <protection locked="0"/>
    </xf>
    <xf numFmtId="1" fontId="22" fillId="0" borderId="0" applyBorder="0">
      <alignment horizontal="left" vertical="top" wrapText="1"/>
    </xf>
    <xf numFmtId="0" fontId="46" fillId="0" borderId="0">
      <alignment vertical="top"/>
    </xf>
    <xf numFmtId="0" fontId="20" fillId="64" borderId="28" applyNumberFormat="0" applyProtection="0">
      <alignment horizontal="center" wrapText="1"/>
    </xf>
    <xf numFmtId="0" fontId="20" fillId="64" borderId="29" applyNumberFormat="0" applyAlignment="0" applyProtection="0">
      <alignment wrapText="1"/>
    </xf>
    <xf numFmtId="0" fontId="21" fillId="65" borderId="0" applyNumberFormat="0" applyBorder="0">
      <alignment horizontal="center" wrapText="1"/>
    </xf>
    <xf numFmtId="0" fontId="21" fillId="65" borderId="0" applyNumberFormat="0" applyBorder="0">
      <alignment wrapText="1"/>
    </xf>
    <xf numFmtId="0" fontId="21" fillId="0" borderId="0" applyNumberFormat="0" applyFill="0" applyBorder="0" applyProtection="0">
      <alignment horizontal="right" wrapText="1"/>
    </xf>
    <xf numFmtId="218" fontId="21" fillId="0" borderId="0" applyFill="0" applyBorder="0" applyAlignment="0" applyProtection="0">
      <alignment wrapText="1"/>
    </xf>
    <xf numFmtId="211" fontId="21" fillId="0" borderId="0" applyFill="0" applyBorder="0" applyAlignment="0" applyProtection="0">
      <alignment wrapText="1"/>
    </xf>
    <xf numFmtId="219" fontId="21" fillId="0" borderId="0" applyFill="0" applyBorder="0" applyAlignment="0" applyProtection="0">
      <alignment wrapText="1"/>
    </xf>
    <xf numFmtId="0" fontId="21" fillId="0" borderId="0" applyNumberFormat="0" applyFill="0" applyBorder="0" applyProtection="0">
      <alignment horizontal="right" wrapText="1"/>
    </xf>
    <xf numFmtId="0" fontId="21" fillId="0" borderId="0" applyNumberFormat="0" applyFill="0" applyBorder="0">
      <alignment horizontal="right" wrapText="1"/>
    </xf>
    <xf numFmtId="17" fontId="21" fillId="0" borderId="0" applyFill="0" applyBorder="0">
      <alignment horizontal="right" wrapText="1"/>
    </xf>
    <xf numFmtId="8" fontId="21" fillId="0" borderId="0" applyFill="0" applyBorder="0" applyAlignment="0" applyProtection="0">
      <alignment wrapText="1"/>
    </xf>
    <xf numFmtId="0" fontId="85" fillId="0" borderId="0" applyNumberFormat="0" applyFill="0" applyBorder="0">
      <alignment horizontal="left" wrapText="1"/>
    </xf>
    <xf numFmtId="0" fontId="20" fillId="0" borderId="0" applyNumberFormat="0" applyFill="0" applyBorder="0">
      <alignment horizontal="center" wrapText="1"/>
    </xf>
    <xf numFmtId="0" fontId="20" fillId="0" borderId="0" applyNumberFormat="0" applyFill="0" applyBorder="0">
      <alignment horizontal="center" wrapText="1"/>
    </xf>
    <xf numFmtId="0" fontId="21" fillId="0" borderId="30"/>
    <xf numFmtId="37" fontId="59"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21" fillId="0" borderId="0" applyFont="0" applyFill="0" applyBorder="0" applyAlignment="0" applyProtection="0"/>
    <xf numFmtId="171" fontId="167" fillId="0" borderId="4" applyNumberFormat="0" applyFill="0" applyBorder="0" applyAlignment="0" applyProtection="0">
      <alignment horizontal="center"/>
    </xf>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6" fontId="59" fillId="0" borderId="0">
      <alignment horizontal="right"/>
    </xf>
    <xf numFmtId="16" fontId="59" fillId="0" borderId="0">
      <alignment horizontal="right"/>
    </xf>
    <xf numFmtId="16" fontId="59" fillId="0" borderId="0">
      <alignment horizontal="right"/>
    </xf>
    <xf numFmtId="16" fontId="59" fillId="0" borderId="0">
      <alignment horizontal="right"/>
    </xf>
    <xf numFmtId="15" fontId="59" fillId="0" borderId="0">
      <alignment horizontal="right"/>
    </xf>
    <xf numFmtId="15" fontId="59" fillId="0" borderId="0">
      <alignment horizontal="right"/>
    </xf>
    <xf numFmtId="15" fontId="59" fillId="0" borderId="0">
      <alignment horizontal="right"/>
    </xf>
    <xf numFmtId="15" fontId="59" fillId="0" borderId="0">
      <alignment horizontal="right"/>
    </xf>
    <xf numFmtId="0" fontId="54" fillId="0" borderId="0"/>
    <xf numFmtId="0" fontId="21" fillId="11" borderId="11" applyNumberFormat="0" applyFont="0" applyAlignment="0" applyProtection="0"/>
    <xf numFmtId="0" fontId="21" fillId="11" borderId="11" applyNumberFormat="0" applyFont="0" applyAlignment="0" applyProtection="0"/>
    <xf numFmtId="0" fontId="21" fillId="11" borderId="11" applyNumberFormat="0" applyFont="0" applyAlignment="0" applyProtection="0"/>
    <xf numFmtId="0" fontId="21" fillId="11" borderId="11" applyNumberFormat="0" applyFont="0" applyAlignment="0" applyProtection="0"/>
    <xf numFmtId="0" fontId="21" fillId="11" borderId="11" applyNumberFormat="0" applyFont="0" applyAlignment="0" applyProtection="0"/>
    <xf numFmtId="0" fontId="21" fillId="11" borderId="11" applyNumberFormat="0" applyFont="0" applyAlignment="0" applyProtection="0"/>
    <xf numFmtId="0" fontId="21" fillId="11" borderId="11" applyNumberFormat="0" applyFont="0" applyAlignment="0" applyProtection="0"/>
    <xf numFmtId="0" fontId="21" fillId="11" borderId="11" applyNumberFormat="0" applyFont="0" applyAlignment="0" applyProtection="0"/>
    <xf numFmtId="0" fontId="21" fillId="11" borderId="11" applyNumberFormat="0" applyFont="0" applyAlignment="0" applyProtection="0"/>
    <xf numFmtId="0" fontId="21" fillId="11" borderId="11" applyNumberFormat="0" applyFont="0" applyAlignment="0" applyProtection="0"/>
    <xf numFmtId="0" fontId="21" fillId="11" borderId="11"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3" fillId="0" borderId="0" applyFont="0" applyFill="0" applyBorder="0" applyAlignment="0" applyProtection="0"/>
    <xf numFmtId="0" fontId="168" fillId="0" borderId="0"/>
    <xf numFmtId="200" fontId="55" fillId="0" borderId="0">
      <protection locked="0"/>
    </xf>
    <xf numFmtId="43" fontId="53" fillId="0" borderId="0" applyFont="0" applyFill="0" applyBorder="0" applyAlignment="0" applyProtection="0"/>
    <xf numFmtId="200" fontId="55" fillId="0" borderId="0">
      <protection locked="0"/>
    </xf>
    <xf numFmtId="173" fontId="52" fillId="0" borderId="0" applyFont="0" applyFill="0" applyBorder="0" applyAlignment="0" applyProtection="0"/>
    <xf numFmtId="178" fontId="52" fillId="0" borderId="0" applyFont="0" applyFill="0" applyBorder="0" applyAlignment="0" applyProtection="0"/>
    <xf numFmtId="43" fontId="169" fillId="0" borderId="0" applyFont="0" applyFill="0" applyBorder="0" applyAlignment="0" applyProtection="0"/>
    <xf numFmtId="172" fontId="21" fillId="0" borderId="0" applyFont="0" applyFill="0" applyBorder="0" applyAlignment="0" applyProtection="0"/>
    <xf numFmtId="176" fontId="21"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44" fontId="53" fillId="0" borderId="0" applyFont="0" applyFill="0" applyBorder="0" applyAlignment="0" applyProtection="0"/>
    <xf numFmtId="44" fontId="169" fillId="0" borderId="0" applyFont="0" applyFill="0" applyBorder="0" applyAlignment="0" applyProtection="0"/>
    <xf numFmtId="44" fontId="46" fillId="0" borderId="0" applyFont="0" applyFill="0" applyBorder="0" applyAlignment="0" applyProtection="0"/>
    <xf numFmtId="0" fontId="13" fillId="0" borderId="0"/>
    <xf numFmtId="0" fontId="13" fillId="0" borderId="0"/>
    <xf numFmtId="0" fontId="168" fillId="0" borderId="0"/>
    <xf numFmtId="0" fontId="168" fillId="0" borderId="0"/>
    <xf numFmtId="0" fontId="168" fillId="0" borderId="0"/>
    <xf numFmtId="0" fontId="53" fillId="0" borderId="0"/>
    <xf numFmtId="235" fontId="21" fillId="0" borderId="0"/>
    <xf numFmtId="0" fontId="168" fillId="0" borderId="0"/>
    <xf numFmtId="0" fontId="54" fillId="0" borderId="0"/>
    <xf numFmtId="0" fontId="149" fillId="0" borderId="0"/>
    <xf numFmtId="0" fontId="168" fillId="0" borderId="0"/>
    <xf numFmtId="0" fontId="168" fillId="0" borderId="0"/>
    <xf numFmtId="0" fontId="168" fillId="0" borderId="0"/>
    <xf numFmtId="0" fontId="53" fillId="0" borderId="0"/>
    <xf numFmtId="0" fontId="53" fillId="0" borderId="0"/>
    <xf numFmtId="0" fontId="52" fillId="0" borderId="0"/>
    <xf numFmtId="0" fontId="13" fillId="0" borderId="0"/>
    <xf numFmtId="9" fontId="46" fillId="0" borderId="0" applyFont="0" applyFill="0" applyBorder="0" applyAlignment="0" applyProtection="0"/>
    <xf numFmtId="10" fontId="54" fillId="0" borderId="0" applyFill="0" applyBorder="0" applyProtection="0">
      <alignment horizontal="center"/>
    </xf>
    <xf numFmtId="9" fontId="169" fillId="0" borderId="0" applyFont="0" applyFill="0" applyBorder="0" applyAlignment="0" applyProtection="0"/>
    <xf numFmtId="9" fontId="169" fillId="0" borderId="0" applyFont="0" applyFill="0" applyBorder="0" applyAlignment="0" applyProtection="0"/>
    <xf numFmtId="9" fontId="169" fillId="0" borderId="0" applyFont="0" applyFill="0" applyBorder="0" applyAlignment="0" applyProtection="0"/>
    <xf numFmtId="9" fontId="53" fillId="0" borderId="0" applyFont="0" applyFill="0" applyBorder="0" applyAlignment="0" applyProtection="0"/>
    <xf numFmtId="9" fontId="52" fillId="0" borderId="0" applyFont="0" applyFill="0" applyBorder="0" applyAlignment="0" applyProtection="0"/>
    <xf numFmtId="4" fontId="72" fillId="2" borderId="25" applyNumberFormat="0" applyProtection="0">
      <alignment vertical="center"/>
    </xf>
    <xf numFmtId="200" fontId="55" fillId="0" borderId="0">
      <protection locked="0"/>
    </xf>
    <xf numFmtId="0" fontId="170" fillId="60" borderId="25" applyNumberFormat="0" applyProtection="0">
      <alignment horizontal="left" vertical="center" indent="1"/>
    </xf>
    <xf numFmtId="4" fontId="46" fillId="60" borderId="25" applyNumberFormat="0" applyProtection="0">
      <alignment horizontal="right" vertical="center"/>
    </xf>
    <xf numFmtId="4" fontId="76" fillId="60" borderId="25" applyNumberFormat="0" applyProtection="0">
      <alignment horizontal="right" vertical="center"/>
    </xf>
    <xf numFmtId="4" fontId="46" fillId="9" borderId="25" applyNumberFormat="0" applyProtection="0">
      <alignment horizontal="left" vertical="center" indent="1"/>
    </xf>
    <xf numFmtId="0" fontId="79" fillId="0" borderId="0"/>
    <xf numFmtId="43" fontId="53" fillId="0" borderId="0" applyFont="0" applyFill="0" applyBorder="0" applyAlignment="0" applyProtection="0"/>
    <xf numFmtId="9" fontId="46" fillId="0" borderId="0" applyFont="0" applyFill="0" applyBorder="0" applyAlignment="0" applyProtection="0"/>
    <xf numFmtId="43" fontId="21" fillId="0" borderId="0" applyFont="0" applyFill="0" applyBorder="0" applyAlignment="0" applyProtection="0"/>
    <xf numFmtId="6" fontId="103" fillId="0" borderId="0">
      <protection locked="0"/>
    </xf>
    <xf numFmtId="200" fontId="55" fillId="0" borderId="0">
      <protection locked="0"/>
    </xf>
    <xf numFmtId="6" fontId="103" fillId="0" borderId="0">
      <protection locked="0"/>
    </xf>
    <xf numFmtId="0" fontId="13" fillId="0" borderId="0"/>
    <xf numFmtId="0" fontId="21" fillId="0" borderId="0"/>
    <xf numFmtId="43" fontId="21" fillId="0" borderId="0" applyFont="0" applyFill="0" applyBorder="0" applyAlignment="0" applyProtection="0"/>
    <xf numFmtId="9" fontId="21" fillId="0" borderId="0" applyFont="0" applyFill="0" applyBorder="0" applyAlignment="0" applyProtection="0"/>
    <xf numFmtId="0" fontId="12" fillId="70" borderId="0" applyNumberFormat="0" applyBorder="0" applyAlignment="0" applyProtection="0"/>
    <xf numFmtId="0" fontId="12" fillId="70" borderId="0" applyNumberFormat="0" applyBorder="0" applyAlignment="0" applyProtection="0"/>
    <xf numFmtId="0" fontId="12" fillId="70" borderId="0" applyNumberFormat="0" applyBorder="0" applyAlignment="0" applyProtection="0"/>
    <xf numFmtId="0" fontId="12" fillId="70" borderId="0" applyNumberFormat="0" applyBorder="0" applyAlignment="0" applyProtection="0"/>
    <xf numFmtId="0" fontId="12" fillId="70" borderId="0" applyNumberFormat="0" applyBorder="0" applyAlignment="0" applyProtection="0"/>
    <xf numFmtId="0" fontId="12" fillId="70"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7" borderId="0" applyNumberFormat="0" applyBorder="0" applyAlignment="0" applyProtection="0"/>
    <xf numFmtId="0" fontId="12" fillId="77" borderId="0" applyNumberFormat="0" applyBorder="0" applyAlignment="0" applyProtection="0"/>
    <xf numFmtId="0" fontId="12" fillId="77" borderId="0" applyNumberFormat="0" applyBorder="0" applyAlignment="0" applyProtection="0"/>
    <xf numFmtId="0" fontId="12" fillId="77" borderId="0" applyNumberFormat="0" applyBorder="0" applyAlignment="0" applyProtection="0"/>
    <xf numFmtId="0" fontId="12" fillId="77" borderId="0" applyNumberFormat="0" applyBorder="0" applyAlignment="0" applyProtection="0"/>
    <xf numFmtId="0" fontId="12" fillId="77" borderId="0" applyNumberFormat="0" applyBorder="0" applyAlignment="0" applyProtection="0"/>
    <xf numFmtId="0" fontId="12" fillId="78" borderId="0" applyNumberFormat="0" applyBorder="0" applyAlignment="0" applyProtection="0"/>
    <xf numFmtId="0" fontId="12" fillId="78" borderId="0" applyNumberFormat="0" applyBorder="0" applyAlignment="0" applyProtection="0"/>
    <xf numFmtId="0" fontId="12" fillId="78" borderId="0" applyNumberFormat="0" applyBorder="0" applyAlignment="0" applyProtection="0"/>
    <xf numFmtId="0" fontId="12" fillId="78" borderId="0" applyNumberFormat="0" applyBorder="0" applyAlignment="0" applyProtection="0"/>
    <xf numFmtId="0" fontId="12" fillId="78" borderId="0" applyNumberFormat="0" applyBorder="0" applyAlignment="0" applyProtection="0"/>
    <xf numFmtId="0" fontId="12" fillId="78" borderId="0" applyNumberFormat="0" applyBorder="0" applyAlignment="0" applyProtection="0"/>
    <xf numFmtId="0" fontId="12" fillId="78" borderId="0" applyNumberFormat="0" applyBorder="0" applyAlignment="0" applyProtection="0"/>
    <xf numFmtId="0" fontId="12" fillId="78" borderId="0" applyNumberFormat="0" applyBorder="0" applyAlignment="0" applyProtection="0"/>
    <xf numFmtId="0" fontId="12" fillId="78" borderId="0" applyNumberFormat="0" applyBorder="0" applyAlignment="0" applyProtection="0"/>
    <xf numFmtId="0" fontId="12" fillId="78" borderId="0" applyNumberFormat="0" applyBorder="0" applyAlignment="0" applyProtection="0"/>
    <xf numFmtId="0" fontId="12" fillId="78" borderId="0" applyNumberFormat="0" applyBorder="0" applyAlignment="0" applyProtection="0"/>
    <xf numFmtId="0" fontId="12" fillId="78" borderId="0" applyNumberFormat="0" applyBorder="0" applyAlignment="0" applyProtection="0"/>
    <xf numFmtId="0" fontId="12" fillId="78" borderId="0" applyNumberFormat="0" applyBorder="0" applyAlignment="0" applyProtection="0"/>
    <xf numFmtId="0" fontId="12" fillId="78" borderId="0" applyNumberFormat="0" applyBorder="0" applyAlignment="0" applyProtection="0"/>
    <xf numFmtId="0" fontId="12" fillId="78" borderId="0" applyNumberFormat="0" applyBorder="0" applyAlignment="0" applyProtection="0"/>
    <xf numFmtId="0" fontId="12" fillId="78" borderId="0" applyNumberFormat="0" applyBorder="0" applyAlignment="0" applyProtection="0"/>
    <xf numFmtId="0" fontId="12" fillId="78" borderId="0" applyNumberFormat="0" applyBorder="0" applyAlignment="0" applyProtection="0"/>
    <xf numFmtId="0" fontId="12" fillId="78" borderId="0" applyNumberFormat="0" applyBorder="0" applyAlignment="0" applyProtection="0"/>
    <xf numFmtId="0" fontId="12" fillId="79" borderId="0" applyNumberFormat="0" applyBorder="0" applyAlignment="0" applyProtection="0"/>
    <xf numFmtId="0" fontId="12" fillId="79" borderId="0" applyNumberFormat="0" applyBorder="0" applyAlignment="0" applyProtection="0"/>
    <xf numFmtId="0" fontId="12" fillId="79" borderId="0" applyNumberFormat="0" applyBorder="0" applyAlignment="0" applyProtection="0"/>
    <xf numFmtId="0" fontId="12" fillId="79" borderId="0" applyNumberFormat="0" applyBorder="0" applyAlignment="0" applyProtection="0"/>
    <xf numFmtId="0" fontId="12" fillId="79" borderId="0" applyNumberFormat="0" applyBorder="0" applyAlignment="0" applyProtection="0"/>
    <xf numFmtId="0" fontId="12" fillId="79" borderId="0" applyNumberFormat="0" applyBorder="0" applyAlignment="0" applyProtection="0"/>
    <xf numFmtId="0" fontId="12" fillId="80" borderId="0" applyNumberFormat="0" applyBorder="0" applyAlignment="0" applyProtection="0"/>
    <xf numFmtId="0" fontId="12" fillId="80" borderId="0" applyNumberFormat="0" applyBorder="0" applyAlignment="0" applyProtection="0"/>
    <xf numFmtId="0" fontId="12" fillId="80" borderId="0" applyNumberFormat="0" applyBorder="0" applyAlignment="0" applyProtection="0"/>
    <xf numFmtId="0" fontId="12" fillId="80" borderId="0" applyNumberFormat="0" applyBorder="0" applyAlignment="0" applyProtection="0"/>
    <xf numFmtId="0" fontId="12" fillId="80" borderId="0" applyNumberFormat="0" applyBorder="0" applyAlignment="0" applyProtection="0"/>
    <xf numFmtId="0" fontId="12" fillId="80" borderId="0" applyNumberFormat="0" applyBorder="0" applyAlignment="0" applyProtection="0"/>
    <xf numFmtId="0" fontId="12" fillId="80" borderId="0" applyNumberFormat="0" applyBorder="0" applyAlignment="0" applyProtection="0"/>
    <xf numFmtId="0" fontId="12" fillId="80" borderId="0" applyNumberFormat="0" applyBorder="0" applyAlignment="0" applyProtection="0"/>
    <xf numFmtId="0" fontId="12" fillId="80" borderId="0" applyNumberFormat="0" applyBorder="0" applyAlignment="0" applyProtection="0"/>
    <xf numFmtId="0" fontId="12" fillId="80" borderId="0" applyNumberFormat="0" applyBorder="0" applyAlignment="0" applyProtection="0"/>
    <xf numFmtId="0" fontId="12" fillId="80" borderId="0" applyNumberFormat="0" applyBorder="0" applyAlignment="0" applyProtection="0"/>
    <xf numFmtId="0" fontId="12" fillId="80" borderId="0" applyNumberFormat="0" applyBorder="0" applyAlignment="0" applyProtection="0"/>
    <xf numFmtId="0" fontId="12" fillId="80" borderId="0" applyNumberFormat="0" applyBorder="0" applyAlignment="0" applyProtection="0"/>
    <xf numFmtId="0" fontId="12" fillId="80" borderId="0" applyNumberFormat="0" applyBorder="0" applyAlignment="0" applyProtection="0"/>
    <xf numFmtId="0" fontId="12" fillId="80" borderId="0" applyNumberFormat="0" applyBorder="0" applyAlignment="0" applyProtection="0"/>
    <xf numFmtId="0" fontId="12" fillId="80" borderId="0" applyNumberFormat="0" applyBorder="0" applyAlignment="0" applyProtection="0"/>
    <xf numFmtId="0" fontId="12" fillId="80" borderId="0" applyNumberFormat="0" applyBorder="0" applyAlignment="0" applyProtection="0"/>
    <xf numFmtId="0" fontId="12" fillId="80" borderId="0" applyNumberFormat="0" applyBorder="0" applyAlignment="0" applyProtection="0"/>
    <xf numFmtId="0" fontId="12" fillId="81" borderId="0" applyNumberFormat="0" applyBorder="0" applyAlignment="0" applyProtection="0"/>
    <xf numFmtId="0" fontId="12" fillId="81" borderId="0" applyNumberFormat="0" applyBorder="0" applyAlignment="0" applyProtection="0"/>
    <xf numFmtId="0" fontId="12" fillId="81" borderId="0" applyNumberFormat="0" applyBorder="0" applyAlignment="0" applyProtection="0"/>
    <xf numFmtId="0" fontId="12" fillId="81" borderId="0" applyNumberFormat="0" applyBorder="0" applyAlignment="0" applyProtection="0"/>
    <xf numFmtId="0" fontId="12" fillId="81" borderId="0" applyNumberFormat="0" applyBorder="0" applyAlignment="0" applyProtection="0"/>
    <xf numFmtId="0" fontId="12" fillId="81"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1" fillId="0" borderId="0" applyFont="0" applyFill="0" applyBorder="0" applyAlignment="0" applyProtection="0"/>
    <xf numFmtId="43" fontId="12" fillId="0" borderId="0" applyFont="0" applyFill="0" applyBorder="0" applyAlignment="0" applyProtection="0"/>
    <xf numFmtId="43" fontId="2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12" fillId="0" borderId="0"/>
    <xf numFmtId="0" fontId="12" fillId="0" borderId="0"/>
    <xf numFmtId="0" fontId="12" fillId="0" borderId="0"/>
    <xf numFmtId="0" fontId="12" fillId="0" borderId="0"/>
    <xf numFmtId="0" fontId="2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52" fillId="0" borderId="0"/>
    <xf numFmtId="0" fontId="12"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12"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12"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21"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12"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12"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12"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12"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12"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21" fillId="0" borderId="0"/>
    <xf numFmtId="0" fontId="12" fillId="0" borderId="0"/>
    <xf numFmtId="0" fontId="21" fillId="0" borderId="0"/>
    <xf numFmtId="0" fontId="12" fillId="0" borderId="0"/>
    <xf numFmtId="0" fontId="12" fillId="0" borderId="0"/>
    <xf numFmtId="0" fontId="21"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12" fillId="0" borderId="0"/>
    <xf numFmtId="0" fontId="12" fillId="0" borderId="0"/>
    <xf numFmtId="0" fontId="21" fillId="0" borderId="0"/>
    <xf numFmtId="0" fontId="12" fillId="0" borderId="0"/>
    <xf numFmtId="0" fontId="21" fillId="0" borderId="0"/>
    <xf numFmtId="0" fontId="12" fillId="0" borderId="0"/>
    <xf numFmtId="0" fontId="21" fillId="0" borderId="0"/>
    <xf numFmtId="0" fontId="1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100" borderId="55" applyNumberFormat="0" applyFont="0" applyAlignment="0" applyProtection="0"/>
    <xf numFmtId="0" fontId="21" fillId="0" borderId="0"/>
    <xf numFmtId="0" fontId="12" fillId="100" borderId="55" applyNumberFormat="0" applyFont="0" applyAlignment="0" applyProtection="0"/>
    <xf numFmtId="0" fontId="21" fillId="0" borderId="0"/>
    <xf numFmtId="0" fontId="12" fillId="100" borderId="55" applyNumberFormat="0" applyFont="0" applyAlignment="0" applyProtection="0"/>
    <xf numFmtId="0" fontId="21" fillId="0" borderId="0"/>
    <xf numFmtId="0" fontId="21" fillId="0" borderId="0"/>
    <xf numFmtId="0" fontId="21" fillId="0" borderId="0"/>
    <xf numFmtId="0" fontId="12" fillId="100" borderId="55" applyNumberFormat="0" applyFont="0" applyAlignment="0" applyProtection="0"/>
    <xf numFmtId="0" fontId="21" fillId="0" borderId="0"/>
    <xf numFmtId="0" fontId="12" fillId="100" borderId="55" applyNumberFormat="0" applyFont="0" applyAlignment="0" applyProtection="0"/>
    <xf numFmtId="0" fontId="21" fillId="0" borderId="0"/>
    <xf numFmtId="0" fontId="12" fillId="100" borderId="55"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100" borderId="55" applyNumberFormat="0" applyFont="0" applyAlignment="0" applyProtection="0"/>
    <xf numFmtId="0" fontId="21" fillId="0" borderId="0"/>
    <xf numFmtId="0" fontId="12" fillId="100" borderId="55" applyNumberFormat="0" applyFont="0" applyAlignment="0" applyProtection="0"/>
    <xf numFmtId="0" fontId="21" fillId="0" borderId="0"/>
    <xf numFmtId="0" fontId="12" fillId="100" borderId="55" applyNumberFormat="0" applyFont="0" applyAlignment="0" applyProtection="0"/>
    <xf numFmtId="0" fontId="21" fillId="0" borderId="0"/>
    <xf numFmtId="0" fontId="21" fillId="0" borderId="0"/>
    <xf numFmtId="0" fontId="12" fillId="100" borderId="55" applyNumberFormat="0" applyFont="0" applyAlignment="0" applyProtection="0"/>
    <xf numFmtId="0" fontId="21" fillId="0" borderId="0"/>
    <xf numFmtId="0" fontId="12" fillId="100" borderId="55" applyNumberFormat="0" applyFont="0" applyAlignment="0" applyProtection="0"/>
    <xf numFmtId="0" fontId="21" fillId="0" borderId="0"/>
    <xf numFmtId="0" fontId="12" fillId="100" borderId="55"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2" fillId="100" borderId="55" applyNumberFormat="0" applyFont="0" applyAlignment="0" applyProtection="0"/>
    <xf numFmtId="0" fontId="21" fillId="0" borderId="0"/>
    <xf numFmtId="0" fontId="12" fillId="100" borderId="55" applyNumberFormat="0" applyFont="0" applyAlignment="0" applyProtection="0"/>
    <xf numFmtId="0" fontId="21" fillId="0" borderId="0"/>
    <xf numFmtId="0" fontId="12" fillId="100" borderId="55" applyNumberFormat="0" applyFont="0" applyAlignment="0" applyProtection="0"/>
    <xf numFmtId="0" fontId="21" fillId="0" borderId="0"/>
    <xf numFmtId="0" fontId="21" fillId="0" borderId="0"/>
    <xf numFmtId="0" fontId="12" fillId="100" borderId="55" applyNumberFormat="0" applyFont="0" applyAlignment="0" applyProtection="0"/>
    <xf numFmtId="0" fontId="21" fillId="0" borderId="0"/>
    <xf numFmtId="0" fontId="12" fillId="100" borderId="55" applyNumberFormat="0" applyFont="0" applyAlignment="0" applyProtection="0"/>
    <xf numFmtId="0" fontId="21" fillId="0" borderId="0"/>
    <xf numFmtId="0" fontId="12" fillId="100" borderId="55" applyNumberFormat="0" applyFont="0" applyAlignment="0" applyProtection="0"/>
    <xf numFmtId="0" fontId="21" fillId="0" borderId="0"/>
    <xf numFmtId="0" fontId="21" fillId="0" borderId="0"/>
    <xf numFmtId="0" fontId="12" fillId="100" borderId="55" applyNumberFormat="0" applyFont="0" applyAlignment="0" applyProtection="0"/>
    <xf numFmtId="0" fontId="21" fillId="0" borderId="0"/>
    <xf numFmtId="0" fontId="12" fillId="100" borderId="55" applyNumberFormat="0" applyFont="0" applyAlignment="0" applyProtection="0"/>
    <xf numFmtId="0" fontId="21" fillId="0" borderId="0"/>
    <xf numFmtId="0" fontId="12" fillId="100" borderId="55" applyNumberFormat="0" applyFont="0" applyAlignment="0" applyProtection="0"/>
    <xf numFmtId="0" fontId="21" fillId="0" borderId="0"/>
    <xf numFmtId="0" fontId="21" fillId="0" borderId="0"/>
    <xf numFmtId="0" fontId="12" fillId="100" borderId="55" applyNumberFormat="0" applyFont="0" applyAlignment="0" applyProtection="0"/>
    <xf numFmtId="0" fontId="21" fillId="0" borderId="0"/>
    <xf numFmtId="0" fontId="12" fillId="100" borderId="55" applyNumberFormat="0" applyFont="0" applyAlignment="0" applyProtection="0"/>
    <xf numFmtId="0" fontId="21" fillId="0" borderId="0"/>
    <xf numFmtId="0" fontId="12" fillId="100" borderId="55" applyNumberFormat="0" applyFont="0" applyAlignment="0" applyProtection="0"/>
    <xf numFmtId="0" fontId="21" fillId="0" borderId="0"/>
    <xf numFmtId="0" fontId="21" fillId="0" borderId="0"/>
    <xf numFmtId="0" fontId="12" fillId="100" borderId="55" applyNumberFormat="0" applyFont="0" applyAlignment="0" applyProtection="0"/>
    <xf numFmtId="0" fontId="21" fillId="0" borderId="0"/>
    <xf numFmtId="0" fontId="12" fillId="100" borderId="55" applyNumberFormat="0" applyFont="0" applyAlignment="0" applyProtection="0"/>
    <xf numFmtId="0" fontId="21" fillId="0" borderId="0"/>
    <xf numFmtId="0" fontId="12" fillId="100" borderId="55"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12" fillId="100" borderId="55" applyNumberFormat="0" applyFont="0" applyAlignment="0" applyProtection="0"/>
    <xf numFmtId="0" fontId="21" fillId="0" borderId="0"/>
    <xf numFmtId="0" fontId="12" fillId="100" borderId="55" applyNumberFormat="0" applyFont="0" applyAlignment="0" applyProtection="0"/>
    <xf numFmtId="0" fontId="21" fillId="0" borderId="0"/>
    <xf numFmtId="0" fontId="12" fillId="100" borderId="55" applyNumberFormat="0" applyFont="0" applyAlignment="0" applyProtection="0"/>
    <xf numFmtId="0" fontId="21" fillId="0" borderId="0"/>
    <xf numFmtId="0" fontId="21" fillId="0" borderId="0"/>
    <xf numFmtId="0" fontId="12" fillId="100" borderId="55" applyNumberFormat="0" applyFont="0" applyAlignment="0" applyProtection="0"/>
    <xf numFmtId="0" fontId="21" fillId="0" borderId="0"/>
    <xf numFmtId="0" fontId="12" fillId="100" borderId="55" applyNumberFormat="0" applyFont="0" applyAlignment="0" applyProtection="0"/>
    <xf numFmtId="0" fontId="21" fillId="0" borderId="0"/>
    <xf numFmtId="0" fontId="12" fillId="100" borderId="55"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0" fontId="21" fillId="0" borderId="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9" fontId="12"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0" fontId="21" fillId="0" borderId="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0" fontId="21" fillId="0" borderId="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0" fontId="21" fillId="0" borderId="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0" fontId="21" fillId="0" borderId="0"/>
    <xf numFmtId="0" fontId="21" fillId="0" borderId="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0" fontId="21" fillId="0" borderId="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9" fontId="12" fillId="0" borderId="0" applyFont="0" applyFill="0" applyBorder="0" applyAlignment="0" applyProtection="0"/>
    <xf numFmtId="0" fontId="21" fillId="0" borderId="0"/>
    <xf numFmtId="0" fontId="21"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0" fontId="21" fillId="0" borderId="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0" fontId="21" fillId="0" borderId="0"/>
    <xf numFmtId="0" fontId="21" fillId="0" borderId="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0" fontId="21" fillId="0" borderId="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9" fontId="12" fillId="0" borderId="0" applyFont="0" applyFill="0" applyBorder="0" applyAlignment="0" applyProtection="0"/>
    <xf numFmtId="0" fontId="21" fillId="0" borderId="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0" fontId="21" fillId="0" borderId="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0" fontId="21" fillId="0" borderId="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0" fontId="21" fillId="0" borderId="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0" fontId="21" fillId="0" borderId="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0" fontId="21" fillId="0" borderId="0"/>
    <xf numFmtId="0" fontId="21" fillId="0" borderId="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9" fontId="12" fillId="0" borderId="0" applyFont="0" applyFill="0" applyBorder="0" applyAlignment="0" applyProtection="0"/>
    <xf numFmtId="0" fontId="21" fillId="0" borderId="0"/>
    <xf numFmtId="9" fontId="12" fillId="0" borderId="0" applyFont="0" applyFill="0" applyBorder="0" applyAlignment="0" applyProtection="0"/>
    <xf numFmtId="0" fontId="21" fillId="0" borderId="0"/>
    <xf numFmtId="0" fontId="21" fillId="0" borderId="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9" fontId="1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0" fontId="21" fillId="0" borderId="0"/>
    <xf numFmtId="0" fontId="171" fillId="0" borderId="0"/>
    <xf numFmtId="9" fontId="171" fillId="0" borderId="0" applyFont="0" applyFill="0" applyBorder="0" applyAlignment="0" applyProtection="0"/>
    <xf numFmtId="43" fontId="171" fillId="0" borderId="0" applyFont="0" applyFill="0" applyBorder="0" applyAlignment="0" applyProtection="0"/>
    <xf numFmtId="0" fontId="11" fillId="0" borderId="0"/>
    <xf numFmtId="0" fontId="17" fillId="0" borderId="0"/>
    <xf numFmtId="0" fontId="17" fillId="0" borderId="0"/>
    <xf numFmtId="0" fontId="26" fillId="3" borderId="0" applyNumberFormat="0" applyBorder="0" applyAlignment="0" applyProtection="0"/>
    <xf numFmtId="0" fontId="10" fillId="70" borderId="0" applyNumberFormat="0" applyBorder="0" applyAlignment="0" applyProtection="0"/>
    <xf numFmtId="0" fontId="26" fillId="4" borderId="0" applyNumberFormat="0" applyBorder="0" applyAlignment="0" applyProtection="0"/>
    <xf numFmtId="0" fontId="10" fillId="71" borderId="0" applyNumberFormat="0" applyBorder="0" applyAlignment="0" applyProtection="0"/>
    <xf numFmtId="0" fontId="26" fillId="5" borderId="0" applyNumberFormat="0" applyBorder="0" applyAlignment="0" applyProtection="0"/>
    <xf numFmtId="0" fontId="10" fillId="72" borderId="0" applyNumberFormat="0" applyBorder="0" applyAlignment="0" applyProtection="0"/>
    <xf numFmtId="0" fontId="26" fillId="6" borderId="0" applyNumberFormat="0" applyBorder="0" applyAlignment="0" applyProtection="0"/>
    <xf numFmtId="0" fontId="10" fillId="73" borderId="0" applyNumberFormat="0" applyBorder="0" applyAlignment="0" applyProtection="0"/>
    <xf numFmtId="0" fontId="26" fillId="7" borderId="0" applyNumberFormat="0" applyBorder="0" applyAlignment="0" applyProtection="0"/>
    <xf numFmtId="0" fontId="10" fillId="74" borderId="0" applyNumberFormat="0" applyBorder="0" applyAlignment="0" applyProtection="0"/>
    <xf numFmtId="0" fontId="26" fillId="8" borderId="0" applyNumberFormat="0" applyBorder="0" applyAlignment="0" applyProtection="0"/>
    <xf numFmtId="0" fontId="10" fillId="75" borderId="0" applyNumberFormat="0" applyBorder="0" applyAlignment="0" applyProtection="0"/>
    <xf numFmtId="0" fontId="26" fillId="13" borderId="0" applyNumberFormat="0" applyBorder="0" applyAlignment="0" applyProtection="0"/>
    <xf numFmtId="0" fontId="10" fillId="76" borderId="0" applyNumberFormat="0" applyBorder="0" applyAlignment="0" applyProtection="0"/>
    <xf numFmtId="0" fontId="26" fillId="10" borderId="0" applyNumberFormat="0" applyBorder="0" applyAlignment="0" applyProtection="0"/>
    <xf numFmtId="0" fontId="10" fillId="77" borderId="0" applyNumberFormat="0" applyBorder="0" applyAlignment="0" applyProtection="0"/>
    <xf numFmtId="0" fontId="26" fillId="14" borderId="0" applyNumberFormat="0" applyBorder="0" applyAlignment="0" applyProtection="0"/>
    <xf numFmtId="0" fontId="10" fillId="78" borderId="0" applyNumberFormat="0" applyBorder="0" applyAlignment="0" applyProtection="0"/>
    <xf numFmtId="0" fontId="10" fillId="78" borderId="0" applyNumberFormat="0" applyBorder="0" applyAlignment="0" applyProtection="0"/>
    <xf numFmtId="0" fontId="10" fillId="78" borderId="0" applyNumberFormat="0" applyBorder="0" applyAlignment="0" applyProtection="0"/>
    <xf numFmtId="0" fontId="26" fillId="6" borderId="0" applyNumberFormat="0" applyBorder="0" applyAlignment="0" applyProtection="0"/>
    <xf numFmtId="0" fontId="10" fillId="79" borderId="0" applyNumberFormat="0" applyBorder="0" applyAlignment="0" applyProtection="0"/>
    <xf numFmtId="0" fontId="26" fillId="13" borderId="0" applyNumberFormat="0" applyBorder="0" applyAlignment="0" applyProtection="0"/>
    <xf numFmtId="0" fontId="10" fillId="80" borderId="0" applyNumberFormat="0" applyBorder="0" applyAlignment="0" applyProtection="0"/>
    <xf numFmtId="0" fontId="10" fillId="80" borderId="0" applyNumberFormat="0" applyBorder="0" applyAlignment="0" applyProtection="0"/>
    <xf numFmtId="0" fontId="10" fillId="80" borderId="0" applyNumberFormat="0" applyBorder="0" applyAlignment="0" applyProtection="0"/>
    <xf numFmtId="0" fontId="26" fillId="15" borderId="0" applyNumberFormat="0" applyBorder="0" applyAlignment="0" applyProtection="0"/>
    <xf numFmtId="0" fontId="10" fillId="81" borderId="0" applyNumberFormat="0" applyBorder="0" applyAlignment="0" applyProtection="0"/>
    <xf numFmtId="0" fontId="27" fillId="19" borderId="0" applyNumberFormat="0" applyBorder="0" applyAlignment="0" applyProtection="0"/>
    <xf numFmtId="0" fontId="27" fillId="10" borderId="0" applyNumberFormat="0" applyBorder="0" applyAlignment="0" applyProtection="0"/>
    <xf numFmtId="0" fontId="27" fillId="14"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8" fillId="4" borderId="0" applyNumberFormat="0" applyBorder="0" applyAlignment="0" applyProtection="0"/>
    <xf numFmtId="0" fontId="29" fillId="18" borderId="6" applyNumberFormat="0" applyAlignment="0" applyProtection="0"/>
    <xf numFmtId="0" fontId="30" fillId="46" borderId="8" applyNumberFormat="0" applyAlignment="0" applyProtection="0"/>
    <xf numFmtId="176" fontId="17" fillId="0" borderId="0" applyFont="0" applyFill="0" applyBorder="0" applyAlignment="0" applyProtection="0"/>
    <xf numFmtId="176" fontId="17" fillId="0" borderId="0" applyFont="0" applyFill="0" applyBorder="0" applyAlignment="0" applyProtection="0"/>
    <xf numFmtId="166"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43" fontId="17" fillId="0" borderId="0" applyFont="0" applyFill="0" applyBorder="0" applyAlignment="0" applyProtection="0"/>
    <xf numFmtId="0" fontId="17" fillId="0" borderId="0" applyFont="0" applyFill="0" applyBorder="0" applyAlignment="0" applyProtection="0"/>
    <xf numFmtId="43" fontId="17" fillId="0" borderId="0" applyFont="0" applyFill="0" applyBorder="0" applyAlignment="0" applyProtection="0"/>
    <xf numFmtId="177" fontId="17" fillId="0" borderId="0" applyFont="0" applyFill="0" applyBorder="0" applyAlignment="0" applyProtection="0"/>
    <xf numFmtId="43"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3" fontId="17" fillId="0" borderId="0" applyFont="0" applyFill="0" applyBorder="0" applyAlignment="0" applyProtection="0"/>
    <xf numFmtId="0" fontId="17" fillId="11" borderId="11" applyNumberFormat="0" applyFont="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0" fontId="17" fillId="0" borderId="0" applyFont="0" applyFill="0" applyBorder="0" applyAlignment="0" applyProtection="0"/>
    <xf numFmtId="181"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183" fontId="17" fillId="0" borderId="0" applyFont="0" applyFill="0" applyBorder="0" applyAlignment="0" applyProtection="0"/>
    <xf numFmtId="0" fontId="31" fillId="0" borderId="0" applyNumberFormat="0" applyFill="0" applyBorder="0" applyAlignment="0" applyProtection="0"/>
    <xf numFmtId="2" fontId="17" fillId="0" borderId="0" applyFont="0" applyFill="0" applyBorder="0" applyAlignment="0" applyProtection="0"/>
    <xf numFmtId="0" fontId="32" fillId="5" borderId="0" applyNumberFormat="0" applyBorder="0" applyAlignment="0" applyProtection="0"/>
    <xf numFmtId="0" fontId="33" fillId="0" borderId="14" applyNumberFormat="0" applyFill="0" applyAlignment="0" applyProtection="0"/>
    <xf numFmtId="0" fontId="34" fillId="0" borderId="16" applyNumberFormat="0" applyFill="0" applyAlignment="0" applyProtection="0"/>
    <xf numFmtId="0" fontId="35" fillId="0" borderId="17" applyNumberFormat="0" applyFill="0" applyAlignment="0" applyProtection="0"/>
    <xf numFmtId="0" fontId="35" fillId="0" borderId="0" applyNumberFormat="0" applyFill="0" applyBorder="0" applyAlignment="0" applyProtection="0"/>
    <xf numFmtId="0" fontId="17" fillId="0" borderId="0">
      <protection locked="0"/>
    </xf>
    <xf numFmtId="0" fontId="17" fillId="0" borderId="0">
      <protection locked="0"/>
    </xf>
    <xf numFmtId="0" fontId="37" fillId="0" borderId="7" applyNumberFormat="0" applyFill="0" applyAlignment="0" applyProtection="0"/>
    <xf numFmtId="0" fontId="38" fillId="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0" fillId="0" borderId="0"/>
    <xf numFmtId="0" fontId="10"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7" fillId="0" borderId="0"/>
    <xf numFmtId="0" fontId="17" fillId="0" borderId="0"/>
    <xf numFmtId="0" fontId="10"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alignment vertical="top"/>
    </xf>
    <xf numFmtId="0" fontId="10" fillId="0" borderId="0"/>
    <xf numFmtId="0" fontId="10" fillId="0" borderId="0"/>
    <xf numFmtId="0" fontId="10" fillId="0" borderId="0"/>
    <xf numFmtId="0" fontId="17" fillId="0" borderId="0">
      <alignmen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alignment wrapText="1"/>
    </xf>
    <xf numFmtId="0" fontId="17" fillId="0" borderId="0">
      <alignmen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alignmen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39" fillId="18" borderId="22" applyNumberFormat="0" applyAlignment="0" applyProtection="0"/>
    <xf numFmtId="10"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0" fontId="17" fillId="0" borderId="0" applyFont="0" applyFill="0" applyBorder="0" applyAlignment="0" applyProtection="0"/>
    <xf numFmtId="0" fontId="17" fillId="16" borderId="25" applyNumberFormat="0" applyProtection="0">
      <alignment horizontal="left" vertical="center" indent="1"/>
    </xf>
    <xf numFmtId="0" fontId="17" fillId="16" borderId="25" applyNumberFormat="0" applyProtection="0">
      <alignment horizontal="left" vertical="center" indent="1"/>
    </xf>
    <xf numFmtId="0" fontId="17" fillId="16" borderId="25" applyNumberFormat="0" applyProtection="0">
      <alignment horizontal="left" vertical="center" indent="1"/>
    </xf>
    <xf numFmtId="0" fontId="17" fillId="16" borderId="25" applyNumberFormat="0" applyProtection="0">
      <alignment horizontal="left" vertical="center" indent="1"/>
    </xf>
    <xf numFmtId="0" fontId="17" fillId="16" borderId="25" applyNumberFormat="0" applyProtection="0">
      <alignment horizontal="left" vertical="center" indent="1"/>
    </xf>
    <xf numFmtId="0" fontId="17" fillId="16" borderId="25" applyNumberFormat="0" applyProtection="0">
      <alignment horizontal="left" vertical="center" indent="1"/>
    </xf>
    <xf numFmtId="0" fontId="17" fillId="0" borderId="25" applyNumberFormat="0" applyProtection="0">
      <alignment horizontal="left" vertical="center" indent="1"/>
    </xf>
    <xf numFmtId="0" fontId="17" fillId="0" borderId="25" applyNumberFormat="0" applyProtection="0">
      <alignment horizontal="left" vertical="center" indent="1"/>
    </xf>
    <xf numFmtId="0" fontId="17" fillId="0" borderId="25" applyNumberFormat="0" applyProtection="0">
      <alignment horizontal="left" vertical="center" indent="1"/>
    </xf>
    <xf numFmtId="0" fontId="17" fillId="0" borderId="25" applyNumberFormat="0" applyProtection="0">
      <alignment horizontal="left" vertical="center" indent="1"/>
    </xf>
    <xf numFmtId="0" fontId="17" fillId="0" borderId="25" applyNumberFormat="0" applyProtection="0">
      <alignment horizontal="left" vertical="center" indent="1"/>
    </xf>
    <xf numFmtId="0" fontId="17" fillId="16" borderId="25" applyNumberFormat="0" applyProtection="0">
      <alignment horizontal="left" vertical="center" indent="1"/>
    </xf>
    <xf numFmtId="0" fontId="17" fillId="0" borderId="25" applyNumberFormat="0" applyProtection="0">
      <alignment horizontal="left" vertical="center" indent="1"/>
    </xf>
    <xf numFmtId="0" fontId="17" fillId="0" borderId="25" applyNumberFormat="0" applyProtection="0">
      <alignment horizontal="left" vertical="center" indent="1"/>
    </xf>
    <xf numFmtId="0" fontId="17" fillId="16" borderId="25" applyNumberFormat="0" applyProtection="0">
      <alignment horizontal="left" vertical="center" indent="1"/>
    </xf>
    <xf numFmtId="0" fontId="17" fillId="16" borderId="25" applyNumberFormat="0" applyProtection="0">
      <alignment horizontal="left" vertical="center" indent="1"/>
    </xf>
    <xf numFmtId="0" fontId="17" fillId="0" borderId="25" applyNumberFormat="0" applyProtection="0">
      <alignment horizontal="left" vertical="center" indent="1"/>
    </xf>
    <xf numFmtId="0" fontId="17" fillId="16" borderId="25" applyNumberFormat="0" applyProtection="0">
      <alignment horizontal="left" vertical="center" indent="1"/>
    </xf>
    <xf numFmtId="0" fontId="17" fillId="16" borderId="25" applyNumberFormat="0" applyProtection="0">
      <alignment horizontal="left" vertical="center" indent="1"/>
    </xf>
    <xf numFmtId="0" fontId="17" fillId="16" borderId="25" applyNumberFormat="0" applyProtection="0">
      <alignment horizontal="left" vertical="center" indent="1"/>
    </xf>
    <xf numFmtId="0" fontId="17" fillId="16" borderId="25" applyNumberFormat="0" applyProtection="0">
      <alignment horizontal="left" vertical="center" indent="1"/>
    </xf>
    <xf numFmtId="0" fontId="17" fillId="16" borderId="25" applyNumberFormat="0" applyProtection="0">
      <alignment horizontal="left" vertical="center" indent="1"/>
    </xf>
    <xf numFmtId="0" fontId="17" fillId="16" borderId="25" applyNumberFormat="0" applyProtection="0">
      <alignment horizontal="left" vertical="center" indent="1"/>
    </xf>
    <xf numFmtId="0" fontId="17" fillId="16" borderId="25" applyNumberFormat="0" applyProtection="0">
      <alignment horizontal="left" vertical="top" indent="1"/>
    </xf>
    <xf numFmtId="0" fontId="17" fillId="16" borderId="25" applyNumberFormat="0" applyProtection="0">
      <alignment horizontal="left" vertical="top" indent="1"/>
    </xf>
    <xf numFmtId="0" fontId="17" fillId="16" borderId="25" applyNumberFormat="0" applyProtection="0">
      <alignment horizontal="left" vertical="top" indent="1"/>
    </xf>
    <xf numFmtId="0" fontId="17" fillId="16" borderId="25" applyNumberFormat="0" applyProtection="0">
      <alignment horizontal="left" vertical="top" indent="1"/>
    </xf>
    <xf numFmtId="0" fontId="17" fillId="16" borderId="25" applyNumberFormat="0" applyProtection="0">
      <alignment horizontal="left" vertical="top" indent="1"/>
    </xf>
    <xf numFmtId="0" fontId="17" fillId="16" borderId="25" applyNumberFormat="0" applyProtection="0">
      <alignment horizontal="left" vertical="top" indent="1"/>
    </xf>
    <xf numFmtId="0" fontId="17" fillId="16" borderId="25" applyNumberFormat="0" applyProtection="0">
      <alignment horizontal="left" vertical="top" indent="1"/>
    </xf>
    <xf numFmtId="0" fontId="17" fillId="16" borderId="25" applyNumberFormat="0" applyProtection="0">
      <alignment horizontal="left" vertical="top" indent="1"/>
    </xf>
    <xf numFmtId="0" fontId="17" fillId="16" borderId="25" applyNumberFormat="0" applyProtection="0">
      <alignment horizontal="left" vertical="top" indent="1"/>
    </xf>
    <xf numFmtId="0" fontId="17" fillId="16" borderId="25" applyNumberFormat="0" applyProtection="0">
      <alignment horizontal="left" vertical="top" indent="1"/>
    </xf>
    <xf numFmtId="0" fontId="17" fillId="16" borderId="25" applyNumberFormat="0" applyProtection="0">
      <alignment horizontal="left" vertical="top" indent="1"/>
    </xf>
    <xf numFmtId="0" fontId="17" fillId="16" borderId="25" applyNumberFormat="0" applyProtection="0">
      <alignment horizontal="left" vertical="top" indent="1"/>
    </xf>
    <xf numFmtId="0" fontId="17" fillId="16" borderId="25" applyNumberFormat="0" applyProtection="0">
      <alignment horizontal="left" vertical="top" indent="1"/>
    </xf>
    <xf numFmtId="0" fontId="17" fillId="16" borderId="25" applyNumberFormat="0" applyProtection="0">
      <alignment horizontal="left" vertical="top" indent="1"/>
    </xf>
    <xf numFmtId="0" fontId="17" fillId="16" borderId="25" applyNumberFormat="0" applyProtection="0">
      <alignment horizontal="left" vertical="top" indent="1"/>
    </xf>
    <xf numFmtId="0" fontId="17" fillId="16" borderId="25" applyNumberFormat="0" applyProtection="0">
      <alignment horizontal="left" vertical="top" indent="1"/>
    </xf>
    <xf numFmtId="0" fontId="17" fillId="9" borderId="25" applyNumberFormat="0" applyProtection="0">
      <alignment horizontal="left" vertical="center" indent="1"/>
    </xf>
    <xf numFmtId="0" fontId="17" fillId="9" borderId="25" applyNumberFormat="0" applyProtection="0">
      <alignment horizontal="left" vertical="center" indent="1"/>
    </xf>
    <xf numFmtId="0" fontId="17" fillId="9" borderId="25" applyNumberFormat="0" applyProtection="0">
      <alignment horizontal="left" vertical="center" indent="1"/>
    </xf>
    <xf numFmtId="0" fontId="17" fillId="9" borderId="25" applyNumberFormat="0" applyProtection="0">
      <alignment horizontal="left" vertical="center" indent="1"/>
    </xf>
    <xf numFmtId="0" fontId="17" fillId="9" borderId="25" applyNumberFormat="0" applyProtection="0">
      <alignment horizontal="left" vertical="center" indent="1"/>
    </xf>
    <xf numFmtId="0" fontId="17" fillId="9" borderId="25" applyNumberFormat="0" applyProtection="0">
      <alignment horizontal="left" vertical="center" indent="1"/>
    </xf>
    <xf numFmtId="0" fontId="17" fillId="0" borderId="25" applyNumberFormat="0" applyProtection="0">
      <alignment horizontal="left" vertical="center" indent="1"/>
    </xf>
    <xf numFmtId="0" fontId="17" fillId="0" borderId="25" applyNumberFormat="0" applyProtection="0">
      <alignment horizontal="left" vertical="center" indent="1"/>
    </xf>
    <xf numFmtId="0" fontId="17" fillId="0" borderId="25" applyNumberFormat="0" applyProtection="0">
      <alignment horizontal="left" vertical="center" indent="1"/>
    </xf>
    <xf numFmtId="0" fontId="17" fillId="0" borderId="25" applyNumberFormat="0" applyProtection="0">
      <alignment horizontal="left" vertical="center" indent="1"/>
    </xf>
    <xf numFmtId="0" fontId="17" fillId="0" borderId="25" applyNumberFormat="0" applyProtection="0">
      <alignment horizontal="left" vertical="center" indent="1"/>
    </xf>
    <xf numFmtId="0" fontId="17" fillId="9" borderId="25" applyNumberFormat="0" applyProtection="0">
      <alignment horizontal="left" vertical="center" indent="1"/>
    </xf>
    <xf numFmtId="0" fontId="17" fillId="0" borderId="25" applyNumberFormat="0" applyProtection="0">
      <alignment horizontal="left" vertical="center" indent="1"/>
    </xf>
    <xf numFmtId="0" fontId="17" fillId="0" borderId="25" applyNumberFormat="0" applyProtection="0">
      <alignment horizontal="left" vertical="center" indent="1"/>
    </xf>
    <xf numFmtId="0" fontId="17" fillId="9" borderId="25" applyNumberFormat="0" applyProtection="0">
      <alignment horizontal="left" vertical="center" indent="1"/>
    </xf>
    <xf numFmtId="0" fontId="17" fillId="9" borderId="25" applyNumberFormat="0" applyProtection="0">
      <alignment horizontal="left" vertical="center" indent="1"/>
    </xf>
    <xf numFmtId="0" fontId="17" fillId="0" borderId="25" applyNumberFormat="0" applyProtection="0">
      <alignment horizontal="left" vertical="center" indent="1"/>
    </xf>
    <xf numFmtId="0" fontId="17" fillId="9" borderId="25" applyNumberFormat="0" applyProtection="0">
      <alignment horizontal="left" vertical="center" indent="1"/>
    </xf>
    <xf numFmtId="0" fontId="17" fillId="9" borderId="25" applyNumberFormat="0" applyProtection="0">
      <alignment horizontal="left" vertical="center" indent="1"/>
    </xf>
    <xf numFmtId="0" fontId="17" fillId="9" borderId="25" applyNumberFormat="0" applyProtection="0">
      <alignment horizontal="left" vertical="center" indent="1"/>
    </xf>
    <xf numFmtId="0" fontId="17" fillId="9" borderId="25" applyNumberFormat="0" applyProtection="0">
      <alignment horizontal="left" vertical="center" indent="1"/>
    </xf>
    <xf numFmtId="0" fontId="17" fillId="9" borderId="25" applyNumberFormat="0" applyProtection="0">
      <alignment horizontal="left" vertical="center" indent="1"/>
    </xf>
    <xf numFmtId="0" fontId="17" fillId="9" borderId="25" applyNumberFormat="0" applyProtection="0">
      <alignment horizontal="left" vertical="center" indent="1"/>
    </xf>
    <xf numFmtId="0" fontId="17" fillId="9" borderId="25" applyNumberFormat="0" applyProtection="0">
      <alignment horizontal="left" vertical="top" indent="1"/>
    </xf>
    <xf numFmtId="0" fontId="17" fillId="9" borderId="25" applyNumberFormat="0" applyProtection="0">
      <alignment horizontal="left" vertical="top" indent="1"/>
    </xf>
    <xf numFmtId="0" fontId="17" fillId="9" borderId="25" applyNumberFormat="0" applyProtection="0">
      <alignment horizontal="left" vertical="top" indent="1"/>
    </xf>
    <xf numFmtId="0" fontId="17" fillId="9" borderId="25" applyNumberFormat="0" applyProtection="0">
      <alignment horizontal="left" vertical="top" indent="1"/>
    </xf>
    <xf numFmtId="0" fontId="17" fillId="9" borderId="25" applyNumberFormat="0" applyProtection="0">
      <alignment horizontal="left" vertical="top" indent="1"/>
    </xf>
    <xf numFmtId="0" fontId="17" fillId="9" borderId="25" applyNumberFormat="0" applyProtection="0">
      <alignment horizontal="left" vertical="top" indent="1"/>
    </xf>
    <xf numFmtId="0" fontId="17" fillId="9" borderId="25" applyNumberFormat="0" applyProtection="0">
      <alignment horizontal="left" vertical="top" indent="1"/>
    </xf>
    <xf numFmtId="0" fontId="17" fillId="9" borderId="25" applyNumberFormat="0" applyProtection="0">
      <alignment horizontal="left" vertical="top" indent="1"/>
    </xf>
    <xf numFmtId="0" fontId="17" fillId="9" borderId="25" applyNumberFormat="0" applyProtection="0">
      <alignment horizontal="left" vertical="top" indent="1"/>
    </xf>
    <xf numFmtId="0" fontId="17" fillId="9" borderId="25" applyNumberFormat="0" applyProtection="0">
      <alignment horizontal="left" vertical="top" indent="1"/>
    </xf>
    <xf numFmtId="0" fontId="17" fillId="9" borderId="25" applyNumberFormat="0" applyProtection="0">
      <alignment horizontal="left" vertical="top" indent="1"/>
    </xf>
    <xf numFmtId="0" fontId="17" fillId="9" borderId="25" applyNumberFormat="0" applyProtection="0">
      <alignment horizontal="left" vertical="top" indent="1"/>
    </xf>
    <xf numFmtId="0" fontId="17" fillId="9" borderId="25" applyNumberFormat="0" applyProtection="0">
      <alignment horizontal="left" vertical="top" indent="1"/>
    </xf>
    <xf numFmtId="0" fontId="17" fillId="9" borderId="25" applyNumberFormat="0" applyProtection="0">
      <alignment horizontal="left" vertical="top" indent="1"/>
    </xf>
    <xf numFmtId="0" fontId="17" fillId="9" borderId="25" applyNumberFormat="0" applyProtection="0">
      <alignment horizontal="left" vertical="top" indent="1"/>
    </xf>
    <xf numFmtId="0" fontId="17" fillId="9" borderId="25" applyNumberFormat="0" applyProtection="0">
      <alignment horizontal="left" vertical="top" indent="1"/>
    </xf>
    <xf numFmtId="0" fontId="17" fillId="13" borderId="25" applyNumberFormat="0" applyProtection="0">
      <alignment horizontal="left" vertical="center" indent="1"/>
    </xf>
    <xf numFmtId="0" fontId="17" fillId="13" borderId="25" applyNumberFormat="0" applyProtection="0">
      <alignment horizontal="left" vertical="center" indent="1"/>
    </xf>
    <xf numFmtId="0" fontId="17" fillId="13" borderId="25" applyNumberFormat="0" applyProtection="0">
      <alignment horizontal="left" vertical="center" indent="1"/>
    </xf>
    <xf numFmtId="0" fontId="17" fillId="13" borderId="25" applyNumberFormat="0" applyProtection="0">
      <alignment horizontal="left" vertical="center" indent="1"/>
    </xf>
    <xf numFmtId="0" fontId="17" fillId="13" borderId="25" applyNumberFormat="0" applyProtection="0">
      <alignment horizontal="left" vertical="center" indent="1"/>
    </xf>
    <xf numFmtId="0" fontId="17" fillId="13" borderId="25" applyNumberFormat="0" applyProtection="0">
      <alignment horizontal="left" vertical="center" indent="1"/>
    </xf>
    <xf numFmtId="0" fontId="17" fillId="0" borderId="25" applyNumberFormat="0" applyProtection="0">
      <alignment horizontal="left" vertical="center" indent="1"/>
    </xf>
    <xf numFmtId="0" fontId="17" fillId="0" borderId="25" applyNumberFormat="0" applyProtection="0">
      <alignment horizontal="left" vertical="center" indent="1"/>
    </xf>
    <xf numFmtId="0" fontId="17" fillId="0" borderId="25" applyNumberFormat="0" applyProtection="0">
      <alignment horizontal="left" vertical="center" indent="1"/>
    </xf>
    <xf numFmtId="0" fontId="17" fillId="0" borderId="25" applyNumberFormat="0" applyProtection="0">
      <alignment horizontal="left" vertical="center" indent="1"/>
    </xf>
    <xf numFmtId="0" fontId="17" fillId="0" borderId="25" applyNumberFormat="0" applyProtection="0">
      <alignment horizontal="left" vertical="center" indent="1"/>
    </xf>
    <xf numFmtId="0" fontId="17" fillId="13" borderId="25" applyNumberFormat="0" applyProtection="0">
      <alignment horizontal="left" vertical="center" indent="1"/>
    </xf>
    <xf numFmtId="0" fontId="17" fillId="0" borderId="25" applyNumberFormat="0" applyProtection="0">
      <alignment horizontal="left" vertical="center" indent="1"/>
    </xf>
    <xf numFmtId="0" fontId="17" fillId="13" borderId="25" applyNumberFormat="0" applyProtection="0">
      <alignment horizontal="left" vertical="center" indent="1"/>
    </xf>
    <xf numFmtId="0" fontId="17" fillId="13" borderId="25" applyNumberFormat="0" applyProtection="0">
      <alignment horizontal="left" vertical="center" indent="1"/>
    </xf>
    <xf numFmtId="0" fontId="17" fillId="0" borderId="25" applyNumberFormat="0" applyProtection="0">
      <alignment horizontal="left" vertical="center" indent="1"/>
    </xf>
    <xf numFmtId="0" fontId="17" fillId="13" borderId="25" applyNumberFormat="0" applyProtection="0">
      <alignment horizontal="left" vertical="center" indent="1"/>
    </xf>
    <xf numFmtId="0" fontId="17" fillId="13" borderId="25" applyNumberFormat="0" applyProtection="0">
      <alignment horizontal="left" vertical="center" indent="1"/>
    </xf>
    <xf numFmtId="0" fontId="17" fillId="13" borderId="25" applyNumberFormat="0" applyProtection="0">
      <alignment horizontal="left" vertical="center" indent="1"/>
    </xf>
    <xf numFmtId="0" fontId="17" fillId="13" borderId="25" applyNumberFormat="0" applyProtection="0">
      <alignment horizontal="left" vertical="center" indent="1"/>
    </xf>
    <xf numFmtId="0" fontId="17" fillId="13" borderId="25" applyNumberFormat="0" applyProtection="0">
      <alignment horizontal="left" vertical="center" indent="1"/>
    </xf>
    <xf numFmtId="0" fontId="17" fillId="13" borderId="25" applyNumberFormat="0" applyProtection="0">
      <alignment horizontal="left" vertical="center" indent="1"/>
    </xf>
    <xf numFmtId="0" fontId="17" fillId="13" borderId="25" applyNumberFormat="0" applyProtection="0">
      <alignment horizontal="left" vertical="top" indent="1"/>
    </xf>
    <xf numFmtId="0" fontId="17" fillId="13" borderId="25" applyNumberFormat="0" applyProtection="0">
      <alignment horizontal="left" vertical="top" indent="1"/>
    </xf>
    <xf numFmtId="0" fontId="17" fillId="13" borderId="25" applyNumberFormat="0" applyProtection="0">
      <alignment horizontal="left" vertical="top" indent="1"/>
    </xf>
    <xf numFmtId="0" fontId="17" fillId="13" borderId="25" applyNumberFormat="0" applyProtection="0">
      <alignment horizontal="left" vertical="top" indent="1"/>
    </xf>
    <xf numFmtId="0" fontId="17" fillId="13" borderId="25" applyNumberFormat="0" applyProtection="0">
      <alignment horizontal="left" vertical="top" indent="1"/>
    </xf>
    <xf numFmtId="0" fontId="17" fillId="13" borderId="25" applyNumberFormat="0" applyProtection="0">
      <alignment horizontal="left" vertical="top" indent="1"/>
    </xf>
    <xf numFmtId="0" fontId="17" fillId="13" borderId="25" applyNumberFormat="0" applyProtection="0">
      <alignment horizontal="left" vertical="top" indent="1"/>
    </xf>
    <xf numFmtId="0" fontId="17" fillId="13" borderId="25" applyNumberFormat="0" applyProtection="0">
      <alignment horizontal="left" vertical="top" indent="1"/>
    </xf>
    <xf numFmtId="0" fontId="17" fillId="13" borderId="25" applyNumberFormat="0" applyProtection="0">
      <alignment horizontal="left" vertical="top" indent="1"/>
    </xf>
    <xf numFmtId="0" fontId="17" fillId="13" borderId="25" applyNumberFormat="0" applyProtection="0">
      <alignment horizontal="left" vertical="top" indent="1"/>
    </xf>
    <xf numFmtId="0" fontId="17" fillId="13" borderId="25" applyNumberFormat="0" applyProtection="0">
      <alignment horizontal="left" vertical="top" indent="1"/>
    </xf>
    <xf numFmtId="0" fontId="17" fillId="13" borderId="25" applyNumberFormat="0" applyProtection="0">
      <alignment horizontal="left" vertical="top" indent="1"/>
    </xf>
    <xf numFmtId="0" fontId="17" fillId="13" borderId="25" applyNumberFormat="0" applyProtection="0">
      <alignment horizontal="left" vertical="top" indent="1"/>
    </xf>
    <xf numFmtId="0" fontId="17" fillId="13" borderId="25" applyNumberFormat="0" applyProtection="0">
      <alignment horizontal="left" vertical="top" indent="1"/>
    </xf>
    <xf numFmtId="0" fontId="17" fillId="13" borderId="25" applyNumberFormat="0" applyProtection="0">
      <alignment horizontal="left" vertical="top" indent="1"/>
    </xf>
    <xf numFmtId="0" fontId="17" fillId="13" borderId="25" applyNumberFormat="0" applyProtection="0">
      <alignment horizontal="left" vertical="top" indent="1"/>
    </xf>
    <xf numFmtId="0" fontId="17" fillId="60" borderId="25" applyNumberFormat="0" applyProtection="0">
      <alignment horizontal="left" vertical="center" indent="1"/>
    </xf>
    <xf numFmtId="0" fontId="17" fillId="60" borderId="25" applyNumberFormat="0" applyProtection="0">
      <alignment horizontal="left" vertical="center" indent="1"/>
    </xf>
    <xf numFmtId="0" fontId="17" fillId="60" borderId="25" applyNumberFormat="0" applyProtection="0">
      <alignment horizontal="left" vertical="center" indent="1"/>
    </xf>
    <xf numFmtId="0" fontId="17" fillId="60" borderId="25" applyNumberFormat="0" applyProtection="0">
      <alignment horizontal="left" vertical="center" indent="1"/>
    </xf>
    <xf numFmtId="0" fontId="17" fillId="60" borderId="25" applyNumberFormat="0" applyProtection="0">
      <alignment horizontal="left" vertical="center" indent="1"/>
    </xf>
    <xf numFmtId="0" fontId="17" fillId="60" borderId="25" applyNumberFormat="0" applyProtection="0">
      <alignment horizontal="left" vertical="center" indent="1"/>
    </xf>
    <xf numFmtId="0" fontId="17" fillId="60" borderId="25" applyNumberFormat="0" applyProtection="0">
      <alignment horizontal="left" vertical="center" indent="1"/>
    </xf>
    <xf numFmtId="0" fontId="17" fillId="60" borderId="25" applyNumberFormat="0" applyProtection="0">
      <alignment horizontal="left" vertical="center" indent="1"/>
    </xf>
    <xf numFmtId="0" fontId="17" fillId="60" borderId="25" applyNumberFormat="0" applyProtection="0">
      <alignment horizontal="left" vertical="center" indent="1"/>
    </xf>
    <xf numFmtId="0" fontId="17" fillId="60" borderId="25" applyNumberFormat="0" applyProtection="0">
      <alignment horizontal="left" vertical="center" indent="1"/>
    </xf>
    <xf numFmtId="0" fontId="17" fillId="60" borderId="25" applyNumberFormat="0" applyProtection="0">
      <alignment horizontal="left" vertical="center" indent="1"/>
    </xf>
    <xf numFmtId="0" fontId="17" fillId="60" borderId="25" applyNumberFormat="0" applyProtection="0">
      <alignment horizontal="left" vertical="center" indent="1"/>
    </xf>
    <xf numFmtId="0" fontId="17" fillId="60" borderId="25" applyNumberFormat="0" applyProtection="0">
      <alignment horizontal="left" vertical="center" indent="1"/>
    </xf>
    <xf numFmtId="0" fontId="17" fillId="60" borderId="25" applyNumberFormat="0" applyProtection="0">
      <alignment horizontal="left" vertical="center" indent="1"/>
    </xf>
    <xf numFmtId="0" fontId="17" fillId="60" borderId="25" applyNumberFormat="0" applyProtection="0">
      <alignment horizontal="left" vertical="center" indent="1"/>
    </xf>
    <xf numFmtId="0" fontId="17" fillId="60" borderId="25" applyNumberFormat="0" applyProtection="0">
      <alignment horizontal="left" vertical="center" indent="1"/>
    </xf>
    <xf numFmtId="0" fontId="17" fillId="60" borderId="25" applyNumberFormat="0" applyProtection="0">
      <alignment horizontal="left" vertical="center" indent="1"/>
    </xf>
    <xf numFmtId="0" fontId="17" fillId="60" borderId="25" applyNumberFormat="0" applyProtection="0">
      <alignment horizontal="left" vertical="center" indent="1"/>
    </xf>
    <xf numFmtId="0" fontId="17" fillId="60" borderId="25" applyNumberFormat="0" applyProtection="0">
      <alignment horizontal="left" vertical="center" indent="1"/>
    </xf>
    <xf numFmtId="0" fontId="17" fillId="60" borderId="25" applyNumberFormat="0" applyProtection="0">
      <alignment horizontal="left" vertical="top" indent="1"/>
    </xf>
    <xf numFmtId="0" fontId="17" fillId="60" borderId="25" applyNumberFormat="0" applyProtection="0">
      <alignment horizontal="left" vertical="top" indent="1"/>
    </xf>
    <xf numFmtId="0" fontId="17" fillId="60" borderId="25" applyNumberFormat="0" applyProtection="0">
      <alignment horizontal="left" vertical="top" indent="1"/>
    </xf>
    <xf numFmtId="0" fontId="17" fillId="60" borderId="25" applyNumberFormat="0" applyProtection="0">
      <alignment horizontal="left" vertical="top" indent="1"/>
    </xf>
    <xf numFmtId="0" fontId="17" fillId="60" borderId="25" applyNumberFormat="0" applyProtection="0">
      <alignment horizontal="left" vertical="top" indent="1"/>
    </xf>
    <xf numFmtId="0" fontId="17" fillId="60" borderId="25" applyNumberFormat="0" applyProtection="0">
      <alignment horizontal="left" vertical="top" indent="1"/>
    </xf>
    <xf numFmtId="0" fontId="17" fillId="60" borderId="25" applyNumberFormat="0" applyProtection="0">
      <alignment horizontal="left" vertical="top" indent="1"/>
    </xf>
    <xf numFmtId="0" fontId="17" fillId="60" borderId="25" applyNumberFormat="0" applyProtection="0">
      <alignment horizontal="left" vertical="top" indent="1"/>
    </xf>
    <xf numFmtId="0" fontId="17" fillId="60" borderId="25" applyNumberFormat="0" applyProtection="0">
      <alignment horizontal="left" vertical="top" indent="1"/>
    </xf>
    <xf numFmtId="0" fontId="17" fillId="60" borderId="25" applyNumberFormat="0" applyProtection="0">
      <alignment horizontal="left" vertical="top" indent="1"/>
    </xf>
    <xf numFmtId="0" fontId="17" fillId="60" borderId="25" applyNumberFormat="0" applyProtection="0">
      <alignment horizontal="left" vertical="top" indent="1"/>
    </xf>
    <xf numFmtId="0" fontId="17" fillId="60" borderId="25" applyNumberFormat="0" applyProtection="0">
      <alignment horizontal="left" vertical="top" indent="1"/>
    </xf>
    <xf numFmtId="0" fontId="17" fillId="60" borderId="25" applyNumberFormat="0" applyProtection="0">
      <alignment horizontal="left" vertical="top" indent="1"/>
    </xf>
    <xf numFmtId="0" fontId="17" fillId="60" borderId="25" applyNumberFormat="0" applyProtection="0">
      <alignment horizontal="left" vertical="top" indent="1"/>
    </xf>
    <xf numFmtId="0" fontId="17" fillId="60" borderId="25" applyNumberFormat="0" applyProtection="0">
      <alignment horizontal="left" vertical="top" indent="1"/>
    </xf>
    <xf numFmtId="0" fontId="17" fillId="60" borderId="25" applyNumberFormat="0" applyProtection="0">
      <alignment horizontal="left" vertical="top" indent="1"/>
    </xf>
    <xf numFmtId="0" fontId="17" fillId="12" borderId="20" applyNumberFormat="0">
      <protection locked="0"/>
    </xf>
    <xf numFmtId="0" fontId="17" fillId="12" borderId="20" applyNumberFormat="0">
      <protection locked="0"/>
    </xf>
    <xf numFmtId="0" fontId="17" fillId="12" borderId="20" applyNumberFormat="0">
      <protection locked="0"/>
    </xf>
    <xf numFmtId="0" fontId="17" fillId="12" borderId="20" applyNumberFormat="0">
      <protection locked="0"/>
    </xf>
    <xf numFmtId="0" fontId="17" fillId="12" borderId="20" applyNumberFormat="0">
      <protection locked="0"/>
    </xf>
    <xf numFmtId="0" fontId="17" fillId="12" borderId="20" applyNumberFormat="0">
      <protection locked="0"/>
    </xf>
    <xf numFmtId="0" fontId="17" fillId="12" borderId="20" applyNumberFormat="0">
      <protection locked="0"/>
    </xf>
    <xf numFmtId="0" fontId="17" fillId="12" borderId="20" applyNumberFormat="0">
      <protection locked="0"/>
    </xf>
    <xf numFmtId="0" fontId="17" fillId="12" borderId="20" applyNumberFormat="0">
      <protection locked="0"/>
    </xf>
    <xf numFmtId="0" fontId="17" fillId="12" borderId="20" applyNumberFormat="0">
      <protection locked="0"/>
    </xf>
    <xf numFmtId="0" fontId="17" fillId="12" borderId="20" applyNumberFormat="0">
      <protection locked="0"/>
    </xf>
    <xf numFmtId="0" fontId="17" fillId="12" borderId="20" applyNumberFormat="0">
      <protection locked="0"/>
    </xf>
    <xf numFmtId="0" fontId="17" fillId="12" borderId="20" applyNumberFormat="0">
      <protection locked="0"/>
    </xf>
    <xf numFmtId="0" fontId="17" fillId="12" borderId="20" applyNumberFormat="0">
      <protection locked="0"/>
    </xf>
    <xf numFmtId="0" fontId="17" fillId="12" borderId="20" applyNumberFormat="0">
      <protection locked="0"/>
    </xf>
    <xf numFmtId="0" fontId="17" fillId="12" borderId="20" applyNumberFormat="0">
      <protection locked="0"/>
    </xf>
    <xf numFmtId="49" fontId="17" fillId="0" borderId="0" applyFont="0" applyFill="0" applyBorder="0" applyAlignment="0" applyProtection="0"/>
    <xf numFmtId="0" fontId="40" fillId="0" borderId="0" applyNumberFormat="0" applyFill="0" applyBorder="0" applyAlignment="0" applyProtection="0"/>
    <xf numFmtId="0" fontId="41" fillId="0" borderId="32" applyNumberFormat="0" applyFill="0" applyAlignment="0" applyProtection="0"/>
    <xf numFmtId="0" fontId="42" fillId="0" borderId="0" applyNumberFormat="0" applyFill="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7" fillId="23" borderId="0" applyNumberFormat="0" applyBorder="0" applyAlignment="0" applyProtection="0"/>
    <xf numFmtId="0" fontId="27" fillId="28"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38" borderId="0" applyNumberFormat="0" applyBorder="0" applyAlignment="0" applyProtection="0"/>
    <xf numFmtId="0" fontId="36" fillId="8" borderId="6" applyNumberFormat="0" applyAlignment="0" applyProtection="0"/>
    <xf numFmtId="0" fontId="53" fillId="11" borderId="1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52" fillId="0" borderId="0"/>
    <xf numFmtId="4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44" fontId="9" fillId="0" borderId="0" applyFont="0" applyFill="0" applyBorder="0" applyAlignment="0" applyProtection="0"/>
    <xf numFmtId="43" fontId="9" fillId="0" borderId="0" applyFont="0" applyFill="0" applyBorder="0" applyAlignment="0" applyProtection="0"/>
    <xf numFmtId="0" fontId="9" fillId="0" borderId="0"/>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223" fontId="17" fillId="0" borderId="0">
      <alignment horizontal="left" wrapText="1"/>
    </xf>
    <xf numFmtId="0" fontId="17" fillId="0" borderId="0"/>
    <xf numFmtId="44" fontId="172" fillId="0" borderId="0" applyFont="0" applyFill="0" applyBorder="0" applyAlignment="0" applyProtection="0"/>
    <xf numFmtId="223" fontId="17" fillId="0" borderId="0">
      <alignment horizontal="left" wrapText="1"/>
    </xf>
    <xf numFmtId="223" fontId="17" fillId="0" borderId="0">
      <alignment horizontal="left" wrapText="1"/>
    </xf>
    <xf numFmtId="43" fontId="172" fillId="0" borderId="0" applyFont="0" applyFill="0" applyBorder="0" applyAlignment="0" applyProtection="0"/>
    <xf numFmtId="189" fontId="17" fillId="0" borderId="0"/>
    <xf numFmtId="189" fontId="17" fillId="0" borderId="0"/>
    <xf numFmtId="189" fontId="17" fillId="0" borderId="0"/>
    <xf numFmtId="189"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225" fontId="17" fillId="0" borderId="0">
      <alignment horizontal="right"/>
    </xf>
    <xf numFmtId="225" fontId="17" fillId="0" borderId="0">
      <alignment horizontal="right"/>
    </xf>
    <xf numFmtId="225" fontId="17" fillId="0" borderId="0">
      <alignment horizontal="right"/>
    </xf>
    <xf numFmtId="225" fontId="17" fillId="0" borderId="0">
      <alignment horizontal="right"/>
    </xf>
    <xf numFmtId="225" fontId="17" fillId="0" borderId="0">
      <alignment horizontal="right"/>
    </xf>
    <xf numFmtId="225" fontId="17" fillId="0" borderId="0">
      <alignment horizontal="right"/>
    </xf>
    <xf numFmtId="225" fontId="17" fillId="0" borderId="0">
      <alignment horizontal="right"/>
    </xf>
    <xf numFmtId="225" fontId="17" fillId="0" borderId="0">
      <alignment horizontal="right"/>
    </xf>
    <xf numFmtId="225" fontId="17" fillId="0" borderId="0">
      <alignment horizontal="right"/>
    </xf>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applyNumberFormat="0" applyFill="0" applyBorder="0" applyAlignment="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228" fontId="17" fillId="0" borderId="0">
      <alignment horizontal="right"/>
    </xf>
    <xf numFmtId="228" fontId="17" fillId="0" borderId="0">
      <alignment horizontal="right"/>
    </xf>
    <xf numFmtId="228" fontId="17" fillId="0" borderId="0">
      <alignment horizontal="right"/>
    </xf>
    <xf numFmtId="228" fontId="17" fillId="0" borderId="0">
      <alignment horizontal="right"/>
    </xf>
    <xf numFmtId="228" fontId="17" fillId="0" borderId="0">
      <alignment horizontal="right"/>
    </xf>
    <xf numFmtId="228" fontId="17" fillId="0" borderId="0">
      <alignment horizontal="right"/>
    </xf>
    <xf numFmtId="228" fontId="17" fillId="0" borderId="0">
      <alignment horizontal="right"/>
    </xf>
    <xf numFmtId="228" fontId="17" fillId="0" borderId="0">
      <alignment horizontal="right"/>
    </xf>
    <xf numFmtId="228" fontId="17" fillId="0" borderId="0">
      <alignment horizontal="right"/>
    </xf>
    <xf numFmtId="229" fontId="17" fillId="0" borderId="0">
      <alignment horizontal="right"/>
    </xf>
    <xf numFmtId="229" fontId="17" fillId="0" borderId="0">
      <alignment horizontal="right"/>
    </xf>
    <xf numFmtId="229" fontId="17" fillId="0" borderId="0">
      <alignment horizontal="right"/>
    </xf>
    <xf numFmtId="229" fontId="17" fillId="0" borderId="0">
      <alignment horizontal="right"/>
    </xf>
    <xf numFmtId="229" fontId="17" fillId="0" borderId="0">
      <alignment horizontal="right"/>
    </xf>
    <xf numFmtId="229" fontId="17" fillId="0" borderId="0">
      <alignment horizontal="right"/>
    </xf>
    <xf numFmtId="229" fontId="17" fillId="0" borderId="0">
      <alignment horizontal="right"/>
    </xf>
    <xf numFmtId="229" fontId="17" fillId="0" borderId="0">
      <alignment horizontal="right"/>
    </xf>
    <xf numFmtId="229" fontId="17" fillId="0" borderId="0">
      <alignment horizontal="right"/>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3" fontId="173" fillId="0" borderId="0" applyFont="0" applyFill="0" applyBorder="0" applyAlignment="0" applyProtection="0"/>
    <xf numFmtId="9" fontId="172" fillId="0" borderId="0" applyFont="0" applyFill="0" applyBorder="0" applyAlignment="0" applyProtection="0"/>
    <xf numFmtId="0" fontId="17" fillId="11" borderId="11" applyNumberFormat="0" applyFont="0" applyAlignment="0" applyProtection="0"/>
    <xf numFmtId="0" fontId="17" fillId="11" borderId="11" applyNumberFormat="0" applyFont="0" applyAlignment="0" applyProtection="0"/>
    <xf numFmtId="0" fontId="17" fillId="11" borderId="1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0" fontId="17" fillId="0" borderId="0" applyFont="0" applyFill="0" applyBorder="0" applyAlignment="0" applyProtection="0"/>
    <xf numFmtId="191" fontId="17" fillId="0" borderId="0" applyFont="0" applyFill="0" applyBorder="0" applyAlignment="0" applyProtection="0"/>
    <xf numFmtId="192" fontId="17" fillId="0" borderId="0" applyFont="0" applyFill="0" applyBorder="0" applyAlignment="0" applyProtection="0"/>
    <xf numFmtId="193" fontId="17" fillId="0" borderId="0" applyFont="0" applyFill="0" applyBorder="0" applyAlignment="0" applyProtection="0"/>
    <xf numFmtId="194" fontId="17" fillId="0" borderId="0" applyFont="0" applyFill="0" applyBorder="0" applyAlignment="0" applyProtection="0"/>
    <xf numFmtId="195" fontId="17" fillId="0" borderId="0" applyFont="0" applyFill="0" applyBorder="0" applyAlignment="0" applyProtection="0"/>
    <xf numFmtId="196" fontId="17" fillId="0" borderId="0" applyFont="0" applyFill="0" applyBorder="0" applyAlignment="0" applyProtection="0"/>
    <xf numFmtId="0" fontId="17" fillId="2" borderId="0" applyNumberFormat="0" applyFont="0" applyAlignment="0" applyProtection="0"/>
    <xf numFmtId="197" fontId="17" fillId="0" borderId="0" applyFont="0" applyFill="0" applyBorder="0" applyAlignment="0" applyProtection="0"/>
    <xf numFmtId="198" fontId="17" fillId="0" borderId="0" applyFont="0" applyFill="0" applyBorder="0" applyProtection="0">
      <alignment horizontal="right"/>
    </xf>
    <xf numFmtId="0" fontId="9" fillId="70" borderId="0" applyNumberFormat="0" applyBorder="0" applyAlignment="0" applyProtection="0"/>
    <xf numFmtId="0" fontId="9" fillId="71" borderId="0" applyNumberFormat="0" applyBorder="0" applyAlignment="0" applyProtection="0"/>
    <xf numFmtId="0" fontId="9" fillId="72" borderId="0" applyNumberFormat="0" applyBorder="0" applyAlignment="0" applyProtection="0"/>
    <xf numFmtId="0" fontId="9" fillId="73" borderId="0" applyNumberFormat="0" applyBorder="0" applyAlignment="0" applyProtection="0"/>
    <xf numFmtId="0" fontId="9" fillId="74" borderId="0" applyNumberFormat="0" applyBorder="0" applyAlignment="0" applyProtection="0"/>
    <xf numFmtId="0" fontId="9" fillId="75" borderId="0" applyNumberFormat="0" applyBorder="0" applyAlignment="0" applyProtection="0"/>
    <xf numFmtId="9" fontId="172" fillId="0" borderId="0" applyFont="0" applyFill="0" applyBorder="0" applyAlignment="0" applyProtection="0"/>
    <xf numFmtId="0" fontId="9" fillId="76" borderId="0" applyNumberFormat="0" applyBorder="0" applyAlignment="0" applyProtection="0"/>
    <xf numFmtId="0" fontId="9" fillId="77" borderId="0" applyNumberFormat="0" applyBorder="0" applyAlignment="0" applyProtection="0"/>
    <xf numFmtId="0" fontId="9" fillId="78" borderId="0" applyNumberFormat="0" applyBorder="0" applyAlignment="0" applyProtection="0"/>
    <xf numFmtId="0" fontId="9" fillId="78" borderId="0" applyNumberFormat="0" applyBorder="0" applyAlignment="0" applyProtection="0"/>
    <xf numFmtId="0" fontId="9" fillId="78" borderId="0" applyNumberFormat="0" applyBorder="0" applyAlignment="0" applyProtection="0"/>
    <xf numFmtId="0" fontId="9" fillId="79" borderId="0" applyNumberFormat="0" applyBorder="0" applyAlignment="0" applyProtection="0"/>
    <xf numFmtId="0" fontId="9" fillId="80" borderId="0" applyNumberFormat="0" applyBorder="0" applyAlignment="0" applyProtection="0"/>
    <xf numFmtId="0" fontId="9" fillId="80" borderId="0" applyNumberFormat="0" applyBorder="0" applyAlignment="0" applyProtection="0"/>
    <xf numFmtId="0" fontId="9" fillId="80" borderId="0" applyNumberFormat="0" applyBorder="0" applyAlignment="0" applyProtection="0"/>
    <xf numFmtId="0" fontId="9" fillId="81" borderId="0" applyNumberFormat="0" applyBorder="0" applyAlignment="0" applyProtection="0"/>
    <xf numFmtId="0" fontId="17" fillId="0" borderId="0" applyFont="0" applyFill="0" applyBorder="0" applyAlignment="0" applyProtection="0"/>
    <xf numFmtId="3" fontId="17" fillId="0" borderId="0" applyFont="0" applyFill="0" applyBorder="0" applyAlignment="0" applyProtection="0"/>
    <xf numFmtId="0" fontId="9" fillId="0" borderId="0"/>
    <xf numFmtId="43" fontId="172" fillId="0" borderId="0" applyFont="0" applyFill="0" applyBorder="0" applyAlignment="0" applyProtection="0"/>
    <xf numFmtId="0" fontId="17" fillId="0" borderId="0" applyFont="0" applyFill="0" applyBorder="0" applyAlignment="0" applyProtection="0"/>
    <xf numFmtId="0" fontId="17" fillId="0" borderId="0" applyNumberFormat="0" applyFill="0" applyBorder="0" applyAlignment="0"/>
    <xf numFmtId="0" fontId="17" fillId="43" borderId="0" applyNumberFormat="0" applyFont="0" applyAlignment="0">
      <alignment vertical="top" wrapText="1"/>
    </xf>
    <xf numFmtId="0" fontId="17" fillId="0" borderId="0" applyNumberFormat="0" applyFill="0" applyBorder="0" applyAlignment="0"/>
    <xf numFmtId="176" fontId="17" fillId="0" borderId="0" applyFont="0" applyFill="0" applyBorder="0" applyAlignment="0" applyProtection="0"/>
    <xf numFmtId="176" fontId="17" fillId="0" borderId="0" applyFont="0" applyFill="0" applyBorder="0" applyAlignment="0" applyProtection="0"/>
    <xf numFmtId="0" fontId="52" fillId="0" borderId="0"/>
    <xf numFmtId="0" fontId="9" fillId="0" borderId="0"/>
    <xf numFmtId="43" fontId="17" fillId="0" borderId="0" applyFont="0" applyFill="0" applyBorder="0" applyAlignment="0" applyProtection="0"/>
    <xf numFmtId="43"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0" fontId="17" fillId="0" borderId="0" applyFont="0" applyFill="0" applyBorder="0" applyAlignment="0" applyProtection="0"/>
    <xf numFmtId="43" fontId="17" fillId="0" borderId="0" applyFont="0" applyFill="0" applyBorder="0" applyAlignment="0" applyProtection="0"/>
    <xf numFmtId="177" fontId="17" fillId="0" borderId="0" applyFont="0" applyFill="0" applyBorder="0" applyAlignment="0" applyProtection="0"/>
    <xf numFmtId="43" fontId="17" fillId="0" borderId="0" applyFont="0" applyFill="0" applyBorder="0" applyAlignment="0" applyProtection="0"/>
    <xf numFmtId="17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202" fontId="17" fillId="0" borderId="0" applyFont="0" applyFill="0" applyBorder="0" applyAlignment="0" applyProtection="0">
      <alignment wrapText="1"/>
    </xf>
    <xf numFmtId="167" fontId="17" fillId="0" borderId="0">
      <protection locked="0"/>
    </xf>
    <xf numFmtId="0" fontId="173" fillId="55" borderId="0" applyNumberFormat="0" applyFont="0" applyBorder="0" applyAlignment="0" applyProtection="0"/>
    <xf numFmtId="205" fontId="17" fillId="0" borderId="0">
      <protection locked="0"/>
    </xf>
    <xf numFmtId="205" fontId="17" fillId="0" borderId="0">
      <protection locked="0"/>
    </xf>
    <xf numFmtId="9" fontId="17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alignmen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alignment wrapText="1"/>
    </xf>
    <xf numFmtId="0" fontId="17" fillId="0" borderId="0">
      <alignmen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9" fillId="0" borderId="0"/>
    <xf numFmtId="0" fontId="9" fillId="0" borderId="0"/>
    <xf numFmtId="0" fontId="17" fillId="0" borderId="0">
      <alignmen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172" fillId="0" borderId="0" applyFont="0" applyFill="0" applyBorder="0" applyAlignment="0" applyProtection="0"/>
    <xf numFmtId="0" fontId="9" fillId="0" borderId="0"/>
    <xf numFmtId="0" fontId="9" fillId="0" borderId="0"/>
    <xf numFmtId="0" fontId="9" fillId="0" borderId="0"/>
    <xf numFmtId="0" fontId="9" fillId="0" borderId="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213" fontId="17" fillId="0" borderId="0">
      <protection hidden="1"/>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215" fontId="17" fillId="0" borderId="0"/>
    <xf numFmtId="0" fontId="18" fillId="0" borderId="0" applyNumberFormat="0" applyFont="0" applyFill="0" applyBorder="0" applyAlignment="0" applyProtection="0">
      <alignment horizontal="left"/>
    </xf>
    <xf numFmtId="15" fontId="18" fillId="0" borderId="0" applyFont="0" applyFill="0" applyBorder="0" applyAlignment="0" applyProtection="0"/>
    <xf numFmtId="4" fontId="18" fillId="0" borderId="0" applyFont="0" applyFill="0" applyBorder="0" applyAlignment="0" applyProtection="0"/>
    <xf numFmtId="0" fontId="19" fillId="0" borderId="9">
      <alignment horizontal="center"/>
    </xf>
    <xf numFmtId="3" fontId="18" fillId="0" borderId="0" applyFont="0" applyFill="0" applyBorder="0" applyAlignment="0" applyProtection="0"/>
    <xf numFmtId="0" fontId="18" fillId="55" borderId="0" applyNumberFormat="0" applyFont="0" applyBorder="0" applyAlignment="0" applyProtection="0"/>
    <xf numFmtId="4" fontId="17" fillId="33" borderId="20" applyNumberFormat="0" applyProtection="0">
      <alignment vertical="center"/>
    </xf>
    <xf numFmtId="9" fontId="9" fillId="0" borderId="0" applyFont="0" applyFill="0" applyBorder="0" applyAlignment="0" applyProtection="0"/>
    <xf numFmtId="0" fontId="9" fillId="0" borderId="0"/>
    <xf numFmtId="0" fontId="17" fillId="0" borderId="0" applyFont="0" applyFill="0" applyBorder="0" applyAlignment="0" applyProtection="0"/>
    <xf numFmtId="3" fontId="17" fillId="0" borderId="0" applyFont="0" applyFill="0" applyBorder="0" applyAlignment="0" applyProtection="0"/>
    <xf numFmtId="4" fontId="17" fillId="0" borderId="20" applyNumberFormat="0" applyProtection="0">
      <alignment horizontal="right" vertical="center"/>
    </xf>
    <xf numFmtId="4" fontId="17" fillId="61" borderId="0" applyNumberFormat="0" applyProtection="0">
      <alignment horizontal="left" vertical="center"/>
    </xf>
    <xf numFmtId="0" fontId="17" fillId="65" borderId="0" applyNumberFormat="0" applyBorder="0">
      <alignment horizontal="center" wrapText="1"/>
    </xf>
    <xf numFmtId="0" fontId="17" fillId="65" borderId="0" applyNumberFormat="0" applyBorder="0">
      <alignment wrapText="1"/>
    </xf>
    <xf numFmtId="0" fontId="17" fillId="0" borderId="0" applyNumberFormat="0" applyFill="0" applyBorder="0" applyProtection="0">
      <alignment horizontal="right" wrapText="1"/>
    </xf>
    <xf numFmtId="218" fontId="17" fillId="0" borderId="0" applyFill="0" applyBorder="0" applyAlignment="0" applyProtection="0">
      <alignment wrapText="1"/>
    </xf>
    <xf numFmtId="211" fontId="17" fillId="0" borderId="0" applyFill="0" applyBorder="0" applyAlignment="0" applyProtection="0">
      <alignment wrapText="1"/>
    </xf>
    <xf numFmtId="219" fontId="17" fillId="0" borderId="0" applyFill="0" applyBorder="0" applyAlignment="0" applyProtection="0">
      <alignment wrapText="1"/>
    </xf>
    <xf numFmtId="0" fontId="17" fillId="0" borderId="0" applyNumberFormat="0" applyFill="0" applyBorder="0" applyProtection="0">
      <alignment horizontal="right" wrapText="1"/>
    </xf>
    <xf numFmtId="0" fontId="17" fillId="0" borderId="0" applyNumberFormat="0" applyFill="0" applyBorder="0">
      <alignment horizontal="right" wrapText="1"/>
    </xf>
    <xf numFmtId="17" fontId="17" fillId="0" borderId="0" applyFill="0" applyBorder="0">
      <alignment horizontal="right" wrapText="1"/>
    </xf>
    <xf numFmtId="8" fontId="17" fillId="0" borderId="0" applyFill="0" applyBorder="0" applyAlignment="0" applyProtection="0">
      <alignment wrapText="1"/>
    </xf>
    <xf numFmtId="0" fontId="17" fillId="0" borderId="30"/>
    <xf numFmtId="0" fontId="52"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70" borderId="0" applyNumberFormat="0" applyBorder="0" applyAlignment="0" applyProtection="0"/>
    <xf numFmtId="0" fontId="9" fillId="71" borderId="0" applyNumberFormat="0" applyBorder="0" applyAlignment="0" applyProtection="0"/>
    <xf numFmtId="0" fontId="9" fillId="72" borderId="0" applyNumberFormat="0" applyBorder="0" applyAlignment="0" applyProtection="0"/>
    <xf numFmtId="0" fontId="9" fillId="73" borderId="0" applyNumberFormat="0" applyBorder="0" applyAlignment="0" applyProtection="0"/>
    <xf numFmtId="0" fontId="9" fillId="74" borderId="0" applyNumberFormat="0" applyBorder="0" applyAlignment="0" applyProtection="0"/>
    <xf numFmtId="0" fontId="9" fillId="75" borderId="0" applyNumberFormat="0" applyBorder="0" applyAlignment="0" applyProtection="0"/>
    <xf numFmtId="0" fontId="9" fillId="76" borderId="0" applyNumberFormat="0" applyBorder="0" applyAlignment="0" applyProtection="0"/>
    <xf numFmtId="0" fontId="9" fillId="77" borderId="0" applyNumberFormat="0" applyBorder="0" applyAlignment="0" applyProtection="0"/>
    <xf numFmtId="0" fontId="9" fillId="78" borderId="0" applyNumberFormat="0" applyBorder="0" applyAlignment="0" applyProtection="0"/>
    <xf numFmtId="0" fontId="9" fillId="78" borderId="0" applyNumberFormat="0" applyBorder="0" applyAlignment="0" applyProtection="0"/>
    <xf numFmtId="0" fontId="9" fillId="78" borderId="0" applyNumberFormat="0" applyBorder="0" applyAlignment="0" applyProtection="0"/>
    <xf numFmtId="0" fontId="9" fillId="79" borderId="0" applyNumberFormat="0" applyBorder="0" applyAlignment="0" applyProtection="0"/>
    <xf numFmtId="0" fontId="9" fillId="80" borderId="0" applyNumberFormat="0" applyBorder="0" applyAlignment="0" applyProtection="0"/>
    <xf numFmtId="0" fontId="9" fillId="80" borderId="0" applyNumberFormat="0" applyBorder="0" applyAlignment="0" applyProtection="0"/>
    <xf numFmtId="0" fontId="9" fillId="80" borderId="0" applyNumberFormat="0" applyBorder="0" applyAlignment="0" applyProtection="0"/>
    <xf numFmtId="0" fontId="9" fillId="81" borderId="0" applyNumberFormat="0" applyBorder="0" applyAlignment="0" applyProtection="0"/>
    <xf numFmtId="176" fontId="17" fillId="0" borderId="0" applyFont="0" applyFill="0" applyBorder="0" applyAlignment="0" applyProtection="0"/>
    <xf numFmtId="176" fontId="17" fillId="0" borderId="0" applyFont="0" applyFill="0" applyBorder="0" applyAlignment="0" applyProtection="0"/>
    <xf numFmtId="9"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166" fontId="17" fillId="0" borderId="0" applyFont="0" applyFill="0" applyBorder="0" applyAlignment="0" applyProtection="0"/>
    <xf numFmtId="43" fontId="17" fillId="0" borderId="0" applyFont="0" applyFill="0" applyBorder="0" applyAlignment="0" applyProtection="0"/>
    <xf numFmtId="0" fontId="17" fillId="0" borderId="0" applyFont="0" applyFill="0" applyBorder="0" applyAlignment="0" applyProtection="0"/>
    <xf numFmtId="43" fontId="17" fillId="0" borderId="0" applyFont="0" applyFill="0" applyBorder="0" applyAlignment="0" applyProtection="0"/>
    <xf numFmtId="177" fontId="17" fillId="0" borderId="0" applyFont="0" applyFill="0" applyBorder="0" applyAlignment="0" applyProtection="0"/>
    <xf numFmtId="43" fontId="17" fillId="0" borderId="0" applyFont="0" applyFill="0" applyBorder="0" applyAlignment="0" applyProtection="0"/>
    <xf numFmtId="172" fontId="17" fillId="0" borderId="0" applyFont="0" applyFill="0" applyBorder="0" applyAlignment="0" applyProtection="0"/>
    <xf numFmtId="177" fontId="17" fillId="0" borderId="0" applyFont="0" applyFill="0" applyBorder="0" applyAlignment="0" applyProtection="0"/>
    <xf numFmtId="177"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44" fontId="9"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7" fontId="17" fillId="0" borderId="0">
      <protection locked="0"/>
    </xf>
    <xf numFmtId="2" fontId="17" fillId="0" borderId="0" applyFont="0" applyFill="0" applyBorder="0" applyAlignment="0" applyProtection="0"/>
    <xf numFmtId="0" fontId="17" fillId="0" borderId="0">
      <protection locked="0"/>
    </xf>
    <xf numFmtId="0" fontId="17" fillId="0" borderId="0">
      <protection locked="0"/>
    </xf>
    <xf numFmtId="0" fontId="17" fillId="0" borderId="0"/>
    <xf numFmtId="0" fontId="9" fillId="0" borderId="0"/>
    <xf numFmtId="0" fontId="17" fillId="0" borderId="0"/>
    <xf numFmtId="0" fontId="9" fillId="0" borderId="0"/>
    <xf numFmtId="0" fontId="9" fillId="0" borderId="0"/>
    <xf numFmtId="0" fontId="9" fillId="0" borderId="0"/>
    <xf numFmtId="0" fontId="9" fillId="0" borderId="0"/>
    <xf numFmtId="0" fontId="1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9" fillId="0" borderId="0"/>
    <xf numFmtId="0" fontId="9" fillId="0" borderId="0"/>
    <xf numFmtId="0" fontId="17" fillId="0" borderId="0"/>
    <xf numFmtId="0" fontId="17" fillId="0" borderId="0"/>
    <xf numFmtId="0" fontId="17" fillId="0" borderId="0"/>
    <xf numFmtId="0" fontId="17"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alignment wrapText="1"/>
    </xf>
    <xf numFmtId="0" fontId="17" fillId="0" borderId="0">
      <alignment wrapText="1"/>
    </xf>
    <xf numFmtId="0" fontId="17" fillId="0" borderId="0">
      <alignmen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alignmen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0" fontId="17" fillId="39" borderId="1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8" fillId="0" borderId="0" applyNumberFormat="0" applyFont="0" applyFill="0" applyBorder="0" applyAlignment="0" applyProtection="0">
      <alignment horizontal="left"/>
    </xf>
    <xf numFmtId="15" fontId="18" fillId="0" borderId="0" applyFont="0" applyFill="0" applyBorder="0" applyAlignment="0" applyProtection="0"/>
    <xf numFmtId="4" fontId="18" fillId="0" borderId="0" applyFont="0" applyFill="0" applyBorder="0" applyAlignment="0" applyProtection="0"/>
    <xf numFmtId="0" fontId="19" fillId="0" borderId="9">
      <alignment horizontal="center"/>
    </xf>
    <xf numFmtId="3" fontId="18" fillId="0" borderId="0" applyFont="0" applyFill="0" applyBorder="0" applyAlignment="0" applyProtection="0"/>
    <xf numFmtId="0" fontId="18" fillId="55" borderId="0" applyNumberFormat="0" applyFon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7" fillId="0" borderId="0" applyFont="0" applyFill="0" applyBorder="0" applyAlignment="0" applyProtection="0"/>
    <xf numFmtId="0" fontId="9" fillId="0" borderId="0"/>
    <xf numFmtId="0" fontId="9" fillId="0" borderId="0"/>
    <xf numFmtId="172" fontId="17" fillId="0" borderId="0" applyFont="0" applyFill="0" applyBorder="0" applyAlignment="0" applyProtection="0"/>
    <xf numFmtId="176" fontId="17" fillId="0" borderId="0" applyFont="0" applyFill="0" applyBorder="0" applyAlignment="0" applyProtection="0"/>
    <xf numFmtId="176" fontId="17" fillId="0" borderId="0" applyFont="0" applyFill="0" applyBorder="0" applyAlignment="0" applyProtection="0"/>
    <xf numFmtId="0" fontId="9" fillId="0" borderId="0"/>
    <xf numFmtId="0" fontId="9" fillId="100" borderId="55" applyNumberFormat="0" applyFont="0" applyAlignment="0" applyProtection="0"/>
    <xf numFmtId="0" fontId="9" fillId="100" borderId="55" applyNumberFormat="0" applyFont="0" applyAlignment="0" applyProtection="0"/>
    <xf numFmtId="0" fontId="9" fillId="100" borderId="55" applyNumberFormat="0" applyFont="0" applyAlignment="0" applyProtection="0"/>
    <xf numFmtId="0" fontId="9" fillId="100" borderId="55" applyNumberFormat="0" applyFont="0" applyAlignment="0" applyProtection="0"/>
    <xf numFmtId="0" fontId="9" fillId="100" borderId="55" applyNumberFormat="0" applyFont="0" applyAlignment="0" applyProtection="0"/>
    <xf numFmtId="0" fontId="9" fillId="100" borderId="55" applyNumberFormat="0" applyFont="0" applyAlignment="0" applyProtection="0"/>
    <xf numFmtId="0" fontId="9" fillId="100" borderId="55" applyNumberFormat="0" applyFont="0" applyAlignment="0" applyProtection="0"/>
    <xf numFmtId="0" fontId="9" fillId="100" borderId="55" applyNumberFormat="0" applyFont="0" applyAlignment="0" applyProtection="0"/>
    <xf numFmtId="0" fontId="9" fillId="100" borderId="55" applyNumberFormat="0" applyFont="0" applyAlignment="0" applyProtection="0"/>
    <xf numFmtId="0" fontId="9" fillId="100" borderId="55" applyNumberFormat="0" applyFont="0" applyAlignment="0" applyProtection="0"/>
    <xf numFmtId="0" fontId="9" fillId="100" borderId="55"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17" fillId="0" borderId="0"/>
    <xf numFmtId="0" fontId="9" fillId="0" borderId="0"/>
    <xf numFmtId="43" fontId="17" fillId="0" borderId="0" applyFont="0" applyFill="0" applyBorder="0" applyAlignment="0" applyProtection="0"/>
    <xf numFmtId="9" fontId="17" fillId="0" borderId="0" applyFont="0" applyFill="0" applyBorder="0" applyAlignment="0" applyProtection="0"/>
    <xf numFmtId="9"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177"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1" borderId="11" applyNumberFormat="0" applyFont="0" applyAlignment="0" applyProtection="0"/>
    <xf numFmtId="0" fontId="17" fillId="11" borderId="1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172" fontId="17" fillId="0" borderId="0" applyFont="0" applyFill="0" applyBorder="0" applyAlignment="0" applyProtection="0"/>
    <xf numFmtId="176" fontId="17" fillId="0" borderId="0" applyFont="0" applyFill="0" applyBorder="0" applyAlignment="0" applyProtection="0"/>
    <xf numFmtId="9" fontId="9"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17" fillId="0" borderId="0" applyFont="0" applyFill="0" applyBorder="0" applyAlignment="0" applyProtection="0"/>
    <xf numFmtId="44" fontId="9" fillId="0" borderId="0" applyFont="0" applyFill="0" applyBorder="0" applyAlignment="0" applyProtection="0"/>
    <xf numFmtId="43" fontId="17" fillId="0" borderId="0" applyFont="0" applyFill="0" applyBorder="0" applyAlignment="0" applyProtection="0"/>
    <xf numFmtId="0" fontId="9" fillId="0" borderId="0"/>
    <xf numFmtId="0" fontId="9" fillId="0" borderId="0"/>
    <xf numFmtId="0" fontId="9" fillId="0" borderId="0"/>
    <xf numFmtId="0" fontId="9" fillId="0" borderId="0"/>
    <xf numFmtId="9" fontId="17" fillId="0" borderId="0" applyFont="0" applyFill="0" applyBorder="0" applyAlignment="0" applyProtection="0"/>
    <xf numFmtId="9" fontId="17"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80" borderId="0" applyNumberFormat="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73" borderId="0" applyNumberFormat="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78" borderId="0" applyNumberFormat="0" applyBorder="0" applyAlignment="0" applyProtection="0"/>
    <xf numFmtId="0" fontId="9" fillId="80" borderId="0" applyNumberFormat="0" applyBorder="0" applyAlignment="0" applyProtection="0"/>
    <xf numFmtId="0" fontId="9" fillId="80" borderId="0" applyNumberFormat="0" applyBorder="0" applyAlignment="0" applyProtection="0"/>
    <xf numFmtId="43" fontId="9" fillId="0" borderId="0" applyFont="0" applyFill="0" applyBorder="0" applyAlignment="0" applyProtection="0"/>
    <xf numFmtId="0" fontId="9" fillId="79" borderId="0" applyNumberFormat="0" applyBorder="0" applyAlignment="0" applyProtection="0"/>
    <xf numFmtId="44" fontId="9" fillId="0" borderId="0" applyFont="0" applyFill="0" applyBorder="0" applyAlignment="0" applyProtection="0"/>
    <xf numFmtId="0" fontId="9" fillId="75" borderId="0" applyNumberFormat="0" applyBorder="0" applyAlignment="0" applyProtection="0"/>
    <xf numFmtId="0" fontId="9" fillId="71" borderId="0" applyNumberFormat="0" applyBorder="0" applyAlignment="0" applyProtection="0"/>
    <xf numFmtId="43" fontId="9" fillId="0" borderId="0" applyFont="0" applyFill="0" applyBorder="0" applyAlignment="0" applyProtection="0"/>
    <xf numFmtId="0" fontId="9" fillId="81" borderId="0" applyNumberFormat="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72" borderId="0" applyNumberFormat="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7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78" borderId="0" applyNumberFormat="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74" borderId="0" applyNumberFormat="0" applyBorder="0" applyAlignment="0" applyProtection="0"/>
    <xf numFmtId="0" fontId="9" fillId="77" borderId="0" applyNumberFormat="0" applyBorder="0" applyAlignment="0" applyProtection="0"/>
    <xf numFmtId="44" fontId="9" fillId="0" borderId="0" applyFont="0" applyFill="0" applyBorder="0" applyAlignment="0" applyProtection="0"/>
    <xf numFmtId="0" fontId="9" fillId="78" borderId="0" applyNumberFormat="0" applyBorder="0" applyAlignment="0" applyProtection="0"/>
    <xf numFmtId="0" fontId="9" fillId="76" borderId="0" applyNumberFormat="0" applyBorder="0" applyAlignment="0" applyProtection="0"/>
    <xf numFmtId="9"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43" fontId="17"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 fontId="173" fillId="0" borderId="0" applyFont="0" applyFill="0" applyBorder="0" applyAlignment="0" applyProtection="0"/>
    <xf numFmtId="0" fontId="17" fillId="0" borderId="0" applyFont="0" applyFill="0" applyBorder="0" applyAlignment="0" applyProtection="0"/>
    <xf numFmtId="0" fontId="17" fillId="0" borderId="0" applyNumberFormat="0" applyFill="0" applyBorder="0" applyAlignment="0"/>
    <xf numFmtId="0" fontId="172" fillId="0" borderId="0"/>
    <xf numFmtId="3" fontId="17" fillId="0" borderId="0" applyFont="0" applyFill="0" applyBorder="0" applyAlignment="0" applyProtection="0"/>
    <xf numFmtId="0" fontId="17" fillId="0" borderId="0" applyNumberFormat="0" applyFill="0" applyBorder="0" applyAlignment="0"/>
    <xf numFmtId="0" fontId="17" fillId="0" borderId="0" applyNumberFormat="0" applyFill="0" applyBorder="0" applyAlignment="0"/>
    <xf numFmtId="0" fontId="174" fillId="0" borderId="9">
      <alignment horizontal="center"/>
    </xf>
    <xf numFmtId="0" fontId="52" fillId="0" borderId="0"/>
    <xf numFmtId="43" fontId="9" fillId="0" borderId="0" applyFont="0" applyFill="0" applyBorder="0" applyAlignment="0" applyProtection="0"/>
    <xf numFmtId="9" fontId="172" fillId="0" borderId="0" applyFont="0" applyFill="0" applyBorder="0" applyAlignment="0" applyProtection="0"/>
    <xf numFmtId="43" fontId="172" fillId="0" borderId="0" applyFont="0" applyFill="0" applyBorder="0" applyAlignment="0" applyProtection="0"/>
    <xf numFmtId="0" fontId="17" fillId="0" borderId="0" applyFont="0" applyFill="0" applyBorder="0" applyAlignment="0" applyProtection="0"/>
    <xf numFmtId="0" fontId="173" fillId="0" borderId="0" applyNumberFormat="0" applyFont="0" applyFill="0" applyBorder="0" applyAlignment="0" applyProtection="0">
      <alignment horizontal="left"/>
    </xf>
    <xf numFmtId="0" fontId="9" fillId="0" borderId="0"/>
    <xf numFmtId="0" fontId="17" fillId="0" borderId="0"/>
    <xf numFmtId="0" fontId="17" fillId="0" borderId="0"/>
    <xf numFmtId="15" fontId="173" fillId="0" borderId="0" applyFont="0" applyFill="0" applyBorder="0" applyAlignment="0" applyProtection="0"/>
    <xf numFmtId="9" fontId="172" fillId="0" borderId="0" applyFont="0" applyFill="0" applyBorder="0" applyAlignment="0" applyProtection="0"/>
    <xf numFmtId="0" fontId="172" fillId="0" borderId="0"/>
    <xf numFmtId="3" fontId="17"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3" fontId="17" fillId="0" borderId="0" applyFont="0" applyFill="0" applyBorder="0" applyAlignment="0" applyProtection="0"/>
    <xf numFmtId="0" fontId="175" fillId="0" borderId="0"/>
    <xf numFmtId="43" fontId="175" fillId="0" borderId="0" applyFont="0" applyFill="0" applyBorder="0" applyAlignment="0" applyProtection="0"/>
    <xf numFmtId="44" fontId="175" fillId="0" borderId="0" applyFont="0" applyFill="0" applyBorder="0" applyAlignment="0" applyProtection="0"/>
    <xf numFmtId="0" fontId="8"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11" borderId="11" applyNumberFormat="0" applyFont="0" applyAlignment="0" applyProtection="0"/>
    <xf numFmtId="0" fontId="17" fillId="11" borderId="11" applyNumberFormat="0" applyFont="0" applyAlignment="0" applyProtection="0"/>
    <xf numFmtId="0" fontId="17" fillId="11" borderId="11" applyNumberFormat="0" applyFont="0" applyAlignment="0" applyProtection="0"/>
    <xf numFmtId="0" fontId="17" fillId="11" borderId="11" applyNumberFormat="0" applyFont="0" applyAlignment="0" applyProtection="0"/>
    <xf numFmtId="0" fontId="17" fillId="11" borderId="11" applyNumberFormat="0" applyFont="0" applyAlignment="0" applyProtection="0"/>
    <xf numFmtId="0" fontId="17" fillId="11" borderId="11" applyNumberFormat="0" applyFont="0" applyAlignment="0" applyProtection="0"/>
    <xf numFmtId="0" fontId="17" fillId="11" borderId="11" applyNumberFormat="0" applyFont="0" applyAlignment="0" applyProtection="0"/>
    <xf numFmtId="0" fontId="17" fillId="11" borderId="11" applyNumberFormat="0" applyFont="0" applyAlignment="0" applyProtection="0"/>
    <xf numFmtId="0" fontId="17" fillId="11" borderId="11" applyNumberFormat="0" applyFont="0" applyAlignment="0" applyProtection="0"/>
    <xf numFmtId="0" fontId="17" fillId="11" borderId="11" applyNumberFormat="0" applyFont="0" applyAlignment="0" applyProtection="0"/>
    <xf numFmtId="0" fontId="17" fillId="11" borderId="1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0" fontId="7" fillId="0" borderId="0"/>
    <xf numFmtId="9" fontId="7" fillId="0" borderId="0" applyFont="0" applyFill="0" applyBorder="0" applyAlignment="0" applyProtection="0"/>
    <xf numFmtId="0" fontId="17" fillId="0" borderId="0" applyNumberFormat="0" applyFill="0" applyBorder="0" applyAlignment="0"/>
    <xf numFmtId="200" fontId="55" fillId="0" borderId="0">
      <protection locked="0"/>
    </xf>
    <xf numFmtId="6" fontId="103" fillId="0" borderId="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80" borderId="0" applyNumberFormat="0" applyBorder="0" applyAlignment="0" applyProtection="0"/>
    <xf numFmtId="9" fontId="7" fillId="0" borderId="0" applyFont="0" applyFill="0" applyBorder="0" applyAlignment="0" applyProtection="0"/>
    <xf numFmtId="0" fontId="7" fillId="73" borderId="0" applyNumberFormat="0" applyBorder="0" applyAlignment="0" applyProtection="0"/>
    <xf numFmtId="0" fontId="7" fillId="78" borderId="0" applyNumberFormat="0" applyBorder="0" applyAlignment="0" applyProtection="0"/>
    <xf numFmtId="0" fontId="7" fillId="80" borderId="0" applyNumberFormat="0" applyBorder="0" applyAlignment="0" applyProtection="0"/>
    <xf numFmtId="0" fontId="7" fillId="80" borderId="0" applyNumberFormat="0" applyBorder="0" applyAlignment="0" applyProtection="0"/>
    <xf numFmtId="0" fontId="7" fillId="79" borderId="0" applyNumberFormat="0" applyBorder="0" applyAlignment="0" applyProtection="0"/>
    <xf numFmtId="0" fontId="7" fillId="75" borderId="0" applyNumberFormat="0" applyBorder="0" applyAlignment="0" applyProtection="0"/>
    <xf numFmtId="0" fontId="7" fillId="71" borderId="0" applyNumberFormat="0" applyBorder="0" applyAlignment="0" applyProtection="0"/>
    <xf numFmtId="0" fontId="7" fillId="81" borderId="0" applyNumberFormat="0" applyBorder="0" applyAlignment="0" applyProtection="0"/>
    <xf numFmtId="0" fontId="7" fillId="72" borderId="0" applyNumberFormat="0" applyBorder="0" applyAlignment="0" applyProtection="0"/>
    <xf numFmtId="0" fontId="7" fillId="70" borderId="0" applyNumberFormat="0" applyBorder="0" applyAlignment="0" applyProtection="0"/>
    <xf numFmtId="0" fontId="7" fillId="78" borderId="0" applyNumberFormat="0" applyBorder="0" applyAlignment="0" applyProtection="0"/>
    <xf numFmtId="0" fontId="7" fillId="74" borderId="0" applyNumberFormat="0" applyBorder="0" applyAlignment="0" applyProtection="0"/>
    <xf numFmtId="0" fontId="7" fillId="77" borderId="0" applyNumberFormat="0" applyBorder="0" applyAlignment="0" applyProtection="0"/>
    <xf numFmtId="0" fontId="7" fillId="78" borderId="0" applyNumberFormat="0" applyBorder="0" applyAlignment="0" applyProtection="0"/>
    <xf numFmtId="0" fontId="7" fillId="7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6" fontId="103" fillId="0" borderId="0">
      <protection locked="0"/>
    </xf>
    <xf numFmtId="6" fontId="103" fillId="0" borderId="0">
      <protection locked="0"/>
    </xf>
    <xf numFmtId="200" fontId="55" fillId="0" borderId="0">
      <protection locked="0"/>
    </xf>
    <xf numFmtId="0" fontId="17" fillId="0" borderId="0" applyNumberFormat="0" applyFill="0" applyBorder="0" applyAlignment="0"/>
    <xf numFmtId="200" fontId="55" fillId="0" borderId="0">
      <protection locked="0"/>
    </xf>
    <xf numFmtId="0" fontId="17" fillId="0" borderId="0" applyNumberFormat="0" applyFill="0" applyBorder="0" applyAlignment="0"/>
    <xf numFmtId="9" fontId="7" fillId="0" borderId="0" applyFont="0" applyFill="0" applyBorder="0" applyAlignment="0" applyProtection="0"/>
    <xf numFmtId="0" fontId="7" fillId="0" borderId="0"/>
    <xf numFmtId="0" fontId="6" fillId="0" borderId="0"/>
    <xf numFmtId="0" fontId="5" fillId="0" borderId="0"/>
    <xf numFmtId="0" fontId="17" fillId="0" borderId="0" applyNumberFormat="0" applyFill="0" applyBorder="0" applyAlignment="0"/>
    <xf numFmtId="200" fontId="55" fillId="0" borderId="0">
      <protection locked="0"/>
    </xf>
    <xf numFmtId="6" fontId="103" fillId="0" borderId="0">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80" borderId="0" applyNumberFormat="0" applyBorder="0" applyAlignment="0" applyProtection="0"/>
    <xf numFmtId="9" fontId="5" fillId="0" borderId="0" applyFont="0" applyFill="0" applyBorder="0" applyAlignment="0" applyProtection="0"/>
    <xf numFmtId="0" fontId="5" fillId="73" borderId="0" applyNumberFormat="0" applyBorder="0" applyAlignment="0" applyProtection="0"/>
    <xf numFmtId="0" fontId="5" fillId="78" borderId="0" applyNumberFormat="0" applyBorder="0" applyAlignment="0" applyProtection="0"/>
    <xf numFmtId="0" fontId="5" fillId="80" borderId="0" applyNumberFormat="0" applyBorder="0" applyAlignment="0" applyProtection="0"/>
    <xf numFmtId="0" fontId="5" fillId="80" borderId="0" applyNumberFormat="0" applyBorder="0" applyAlignment="0" applyProtection="0"/>
    <xf numFmtId="0" fontId="5" fillId="79" borderId="0" applyNumberFormat="0" applyBorder="0" applyAlignment="0" applyProtection="0"/>
    <xf numFmtId="0" fontId="5" fillId="75" borderId="0" applyNumberFormat="0" applyBorder="0" applyAlignment="0" applyProtection="0"/>
    <xf numFmtId="0" fontId="5" fillId="71" borderId="0" applyNumberFormat="0" applyBorder="0" applyAlignment="0" applyProtection="0"/>
    <xf numFmtId="0" fontId="5" fillId="81" borderId="0" applyNumberFormat="0" applyBorder="0" applyAlignment="0" applyProtection="0"/>
    <xf numFmtId="0" fontId="5" fillId="72" borderId="0" applyNumberFormat="0" applyBorder="0" applyAlignment="0" applyProtection="0"/>
    <xf numFmtId="0" fontId="5" fillId="70" borderId="0" applyNumberFormat="0" applyBorder="0" applyAlignment="0" applyProtection="0"/>
    <xf numFmtId="0" fontId="5" fillId="78" borderId="0" applyNumberFormat="0" applyBorder="0" applyAlignment="0" applyProtection="0"/>
    <xf numFmtId="0" fontId="5" fillId="74" borderId="0" applyNumberFormat="0" applyBorder="0" applyAlignment="0" applyProtection="0"/>
    <xf numFmtId="0" fontId="5" fillId="77" borderId="0" applyNumberFormat="0" applyBorder="0" applyAlignment="0" applyProtection="0"/>
    <xf numFmtId="0" fontId="5" fillId="78" borderId="0" applyNumberFormat="0" applyBorder="0" applyAlignment="0" applyProtection="0"/>
    <xf numFmtId="0" fontId="5" fillId="7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4" fontId="4" fillId="0" borderId="0" applyFont="0" applyFill="0" applyBorder="0" applyAlignment="0" applyProtection="0"/>
    <xf numFmtId="0" fontId="17" fillId="0" borderId="0" applyNumberFormat="0" applyFill="0" applyBorder="0" applyAlignment="0"/>
    <xf numFmtId="200" fontId="55" fillId="0" borderId="0">
      <protection locked="0"/>
    </xf>
    <xf numFmtId="6" fontId="103" fillId="0" borderId="0">
      <protection locked="0"/>
    </xf>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200" fontId="55" fillId="0" borderId="0">
      <protection locked="0"/>
    </xf>
    <xf numFmtId="0" fontId="4" fillId="0" borderId="0"/>
    <xf numFmtId="44" fontId="4" fillId="0" borderId="0" applyFont="0" applyFill="0" applyBorder="0" applyAlignment="0" applyProtection="0"/>
    <xf numFmtId="43" fontId="4" fillId="0" borderId="0" applyFont="0" applyFill="0" applyBorder="0" applyAlignment="0" applyProtection="0"/>
    <xf numFmtId="0" fontId="17" fillId="0" borderId="0" applyNumberFormat="0" applyFill="0" applyBorder="0" applyAlignment="0"/>
    <xf numFmtId="6" fontId="103" fillId="0" borderId="0">
      <protection locked="0"/>
    </xf>
    <xf numFmtId="6" fontId="103" fillId="0" borderId="0">
      <protection locked="0"/>
    </xf>
    <xf numFmtId="0" fontId="4" fillId="0" borderId="0"/>
    <xf numFmtId="200" fontId="55" fillId="0" borderId="0">
      <protection locked="0"/>
    </xf>
    <xf numFmtId="0" fontId="4" fillId="0" borderId="0"/>
    <xf numFmtId="6" fontId="103" fillId="0" borderId="0">
      <protection locked="0"/>
    </xf>
    <xf numFmtId="43" fontId="4" fillId="0" borderId="0" applyFont="0" applyFill="0" applyBorder="0" applyAlignment="0" applyProtection="0"/>
    <xf numFmtId="0" fontId="17" fillId="0" borderId="0" applyNumberFormat="0" applyFill="0" applyBorder="0" applyAlignment="0"/>
    <xf numFmtId="0" fontId="4" fillId="0" borderId="0"/>
    <xf numFmtId="6" fontId="103" fillId="0" borderId="0">
      <protection locked="0"/>
    </xf>
    <xf numFmtId="6" fontId="103" fillId="0" borderId="0">
      <protection locked="0"/>
    </xf>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80" borderId="0" applyNumberFormat="0" applyBorder="0" applyAlignment="0" applyProtection="0"/>
    <xf numFmtId="0" fontId="17" fillId="0" borderId="0" applyNumberFormat="0" applyFill="0" applyBorder="0" applyAlignment="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7" fillId="0" borderId="0" applyNumberFormat="0" applyFill="0" applyBorder="0" applyAlignment="0"/>
    <xf numFmtId="0" fontId="4" fillId="73" borderId="0" applyNumberFormat="0" applyBorder="0" applyAlignment="0" applyProtection="0"/>
    <xf numFmtId="0" fontId="4" fillId="78"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79" borderId="0" applyNumberFormat="0" applyBorder="0" applyAlignment="0" applyProtection="0"/>
    <xf numFmtId="0" fontId="4" fillId="75" borderId="0" applyNumberFormat="0" applyBorder="0" applyAlignment="0" applyProtection="0"/>
    <xf numFmtId="0" fontId="4" fillId="71" borderId="0" applyNumberFormat="0" applyBorder="0" applyAlignment="0" applyProtection="0"/>
    <xf numFmtId="44" fontId="4" fillId="0" borderId="0" applyFont="0" applyFill="0" applyBorder="0" applyAlignment="0" applyProtection="0"/>
    <xf numFmtId="0" fontId="4" fillId="81" borderId="0" applyNumberFormat="0" applyBorder="0" applyAlignment="0" applyProtection="0"/>
    <xf numFmtId="43" fontId="4" fillId="0" borderId="0" applyFont="0" applyFill="0" applyBorder="0" applyAlignment="0" applyProtection="0"/>
    <xf numFmtId="6" fontId="103" fillId="0" borderId="0">
      <protection locked="0"/>
    </xf>
    <xf numFmtId="44" fontId="4" fillId="0" borderId="0" applyFont="0" applyFill="0" applyBorder="0" applyAlignment="0" applyProtection="0"/>
    <xf numFmtId="0" fontId="4" fillId="72" borderId="0" applyNumberFormat="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70" borderId="0" applyNumberFormat="0" applyBorder="0" applyAlignment="0" applyProtection="0"/>
    <xf numFmtId="0" fontId="4" fillId="78" borderId="0" applyNumberFormat="0" applyBorder="0" applyAlignment="0" applyProtection="0"/>
    <xf numFmtId="43" fontId="4" fillId="0" borderId="0" applyFont="0" applyFill="0" applyBorder="0" applyAlignment="0" applyProtection="0"/>
    <xf numFmtId="0" fontId="17" fillId="0" borderId="0" applyNumberFormat="0" applyFill="0" applyBorder="0" applyAlignment="0"/>
    <xf numFmtId="0" fontId="4" fillId="74"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6"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200" fontId="55" fillId="0" borderId="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0" fontId="55" fillId="0" borderId="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6" fontId="103" fillId="0" borderId="0">
      <protection locked="0"/>
    </xf>
    <xf numFmtId="0" fontId="17" fillId="0" borderId="0" applyNumberFormat="0" applyFill="0" applyBorder="0" applyAlignment="0"/>
    <xf numFmtId="200" fontId="55" fillId="0" borderId="0">
      <protection locked="0"/>
    </xf>
    <xf numFmtId="0" fontId="4" fillId="0" borderId="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200" fontId="55" fillId="0" borderId="0">
      <protection locked="0"/>
    </xf>
    <xf numFmtId="0" fontId="4" fillId="0" borderId="0"/>
    <xf numFmtId="9" fontId="4" fillId="0" borderId="0" applyFont="0" applyFill="0" applyBorder="0" applyAlignment="0" applyProtection="0"/>
    <xf numFmtId="6" fontId="103" fillId="0" borderId="0">
      <protection locked="0"/>
    </xf>
    <xf numFmtId="200" fontId="55" fillId="0" borderId="0">
      <protection locked="0"/>
    </xf>
    <xf numFmtId="0" fontId="17" fillId="0" borderId="0" applyNumberFormat="0" applyFill="0" applyBorder="0" applyAlignment="0"/>
    <xf numFmtId="200" fontId="55" fillId="0" borderId="0">
      <protection locked="0"/>
    </xf>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6" fontId="103" fillId="0" borderId="0">
      <protection locked="0"/>
    </xf>
    <xf numFmtId="200" fontId="55" fillId="0" borderId="0">
      <protection locked="0"/>
    </xf>
    <xf numFmtId="0" fontId="17" fillId="0" borderId="0" applyNumberFormat="0" applyFill="0" applyBorder="0" applyAlignment="0"/>
    <xf numFmtId="0" fontId="17" fillId="0" borderId="0" applyNumberFormat="0" applyFill="0" applyBorder="0" applyAlignment="0"/>
    <xf numFmtId="0" fontId="3" fillId="0" borderId="0"/>
    <xf numFmtId="0" fontId="17" fillId="0" borderId="0" applyNumberFormat="0" applyFill="0" applyBorder="0" applyAlignment="0"/>
    <xf numFmtId="200" fontId="55" fillId="0" borderId="0">
      <protection locked="0"/>
    </xf>
    <xf numFmtId="6" fontId="10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6" fontId="103" fillId="0" borderId="0">
      <protection locked="0"/>
    </xf>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80" borderId="0" applyNumberFormat="0" applyBorder="0" applyAlignment="0" applyProtection="0"/>
    <xf numFmtId="9" fontId="3" fillId="0" borderId="0" applyFont="0" applyFill="0" applyBorder="0" applyAlignment="0" applyProtection="0"/>
    <xf numFmtId="0" fontId="3" fillId="73" borderId="0" applyNumberFormat="0" applyBorder="0" applyAlignment="0" applyProtection="0"/>
    <xf numFmtId="0" fontId="3" fillId="78"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79" borderId="0" applyNumberFormat="0" applyBorder="0" applyAlignment="0" applyProtection="0"/>
    <xf numFmtId="0" fontId="3" fillId="75" borderId="0" applyNumberFormat="0" applyBorder="0" applyAlignment="0" applyProtection="0"/>
    <xf numFmtId="0" fontId="3" fillId="71" borderId="0" applyNumberFormat="0" applyBorder="0" applyAlignment="0" applyProtection="0"/>
    <xf numFmtId="0" fontId="3" fillId="81" borderId="0" applyNumberFormat="0" applyBorder="0" applyAlignment="0" applyProtection="0"/>
    <xf numFmtId="0" fontId="3" fillId="72" borderId="0" applyNumberFormat="0" applyBorder="0" applyAlignment="0" applyProtection="0"/>
    <xf numFmtId="0" fontId="3" fillId="70" borderId="0" applyNumberFormat="0" applyBorder="0" applyAlignment="0" applyProtection="0"/>
    <xf numFmtId="0" fontId="3" fillId="78" borderId="0" applyNumberFormat="0" applyBorder="0" applyAlignment="0" applyProtection="0"/>
    <xf numFmtId="0" fontId="3" fillId="74"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00" fontId="55" fillId="0" borderId="0">
      <protection locked="0"/>
    </xf>
    <xf numFmtId="0" fontId="17" fillId="0" borderId="0"/>
    <xf numFmtId="44"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3"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3" fontId="17" fillId="0" borderId="0" applyFont="0" applyFill="0" applyBorder="0" applyAlignment="0" applyProtection="0"/>
    <xf numFmtId="0" fontId="17" fillId="0" borderId="0"/>
    <xf numFmtId="0" fontId="3" fillId="0" borderId="0"/>
    <xf numFmtId="9" fontId="1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17" fillId="0" borderId="0"/>
    <xf numFmtId="44" fontId="17"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1" borderId="0" applyNumberFormat="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80"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73" borderId="0" applyNumberFormat="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78"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43" fontId="3" fillId="0" borderId="0" applyFont="0" applyFill="0" applyBorder="0" applyAlignment="0" applyProtection="0"/>
    <xf numFmtId="0" fontId="3" fillId="79" borderId="0" applyNumberFormat="0" applyBorder="0" applyAlignment="0" applyProtection="0"/>
    <xf numFmtId="44" fontId="3" fillId="0" borderId="0" applyFont="0" applyFill="0" applyBorder="0" applyAlignment="0" applyProtection="0"/>
    <xf numFmtId="0" fontId="3" fillId="75" borderId="0" applyNumberFormat="0" applyBorder="0" applyAlignment="0" applyProtection="0"/>
    <xf numFmtId="0" fontId="3" fillId="71" borderId="0" applyNumberFormat="0" applyBorder="0" applyAlignment="0" applyProtection="0"/>
    <xf numFmtId="43" fontId="3" fillId="0" borderId="0" applyFont="0" applyFill="0" applyBorder="0" applyAlignment="0" applyProtection="0"/>
    <xf numFmtId="0" fontId="3" fillId="81" borderId="0" applyNumberFormat="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72" borderId="0" applyNumberFormat="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70" borderId="0" applyNumberFormat="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78" borderId="0" applyNumberFormat="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74" borderId="0" applyNumberFormat="0" applyBorder="0" applyAlignment="0" applyProtection="0"/>
    <xf numFmtId="0" fontId="3" fillId="77" borderId="0" applyNumberFormat="0" applyBorder="0" applyAlignment="0" applyProtection="0"/>
    <xf numFmtId="44" fontId="3" fillId="0" borderId="0" applyFont="0" applyFill="0" applyBorder="0" applyAlignment="0" applyProtection="0"/>
    <xf numFmtId="0" fontId="3" fillId="78" borderId="0" applyNumberFormat="0" applyBorder="0" applyAlignment="0" applyProtection="0"/>
    <xf numFmtId="0" fontId="3" fillId="76" borderId="0" applyNumberFormat="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1" borderId="0" applyNumberFormat="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80"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73" borderId="0" applyNumberFormat="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78"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43" fontId="3" fillId="0" borderId="0" applyFont="0" applyFill="0" applyBorder="0" applyAlignment="0" applyProtection="0"/>
    <xf numFmtId="0" fontId="3" fillId="79" borderId="0" applyNumberFormat="0" applyBorder="0" applyAlignment="0" applyProtection="0"/>
    <xf numFmtId="44" fontId="3" fillId="0" borderId="0" applyFont="0" applyFill="0" applyBorder="0" applyAlignment="0" applyProtection="0"/>
    <xf numFmtId="0" fontId="3" fillId="75" borderId="0" applyNumberFormat="0" applyBorder="0" applyAlignment="0" applyProtection="0"/>
    <xf numFmtId="0" fontId="3" fillId="71" borderId="0" applyNumberFormat="0" applyBorder="0" applyAlignment="0" applyProtection="0"/>
    <xf numFmtId="43" fontId="3" fillId="0" borderId="0" applyFont="0" applyFill="0" applyBorder="0" applyAlignment="0" applyProtection="0"/>
    <xf numFmtId="0" fontId="3" fillId="81" borderId="0" applyNumberFormat="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72" borderId="0" applyNumberFormat="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70" borderId="0" applyNumberFormat="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78" borderId="0" applyNumberFormat="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74" borderId="0" applyNumberFormat="0" applyBorder="0" applyAlignment="0" applyProtection="0"/>
    <xf numFmtId="0" fontId="3" fillId="77" borderId="0" applyNumberFormat="0" applyBorder="0" applyAlignment="0" applyProtection="0"/>
    <xf numFmtId="44" fontId="3" fillId="0" borderId="0" applyFont="0" applyFill="0" applyBorder="0" applyAlignment="0" applyProtection="0"/>
    <xf numFmtId="0" fontId="3" fillId="78" borderId="0" applyNumberFormat="0" applyBorder="0" applyAlignment="0" applyProtection="0"/>
    <xf numFmtId="0" fontId="3" fillId="76" borderId="0" applyNumberFormat="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17" fillId="0" borderId="0" applyNumberFormat="0" applyFill="0" applyBorder="0" applyAlignment="0"/>
    <xf numFmtId="0" fontId="3" fillId="0" borderId="0"/>
    <xf numFmtId="0" fontId="3" fillId="0" borderId="0"/>
    <xf numFmtId="0" fontId="3" fillId="0" borderId="0"/>
    <xf numFmtId="0" fontId="17" fillId="11" borderId="11" applyNumberFormat="0" applyFont="0" applyAlignment="0" applyProtection="0"/>
    <xf numFmtId="0" fontId="3" fillId="0" borderId="0"/>
    <xf numFmtId="191" fontId="17" fillId="0" borderId="0" applyFont="0" applyFill="0" applyBorder="0" applyAlignment="0" applyProtection="0"/>
    <xf numFmtId="191" fontId="17" fillId="0" borderId="0" applyFont="0" applyFill="0" applyBorder="0" applyAlignment="0" applyProtection="0"/>
    <xf numFmtId="192" fontId="17" fillId="0" borderId="0" applyFont="0" applyFill="0" applyBorder="0" applyAlignment="0" applyProtection="0"/>
    <xf numFmtId="192"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5" fontId="17" fillId="0" borderId="0" applyFont="0" applyFill="0" applyBorder="0" applyAlignment="0" applyProtection="0"/>
    <xf numFmtId="195" fontId="17" fillId="0" borderId="0" applyFont="0" applyFill="0" applyBorder="0" applyAlignment="0" applyProtection="0"/>
    <xf numFmtId="196" fontId="17" fillId="0" borderId="0" applyFont="0" applyFill="0" applyBorder="0" applyAlignment="0" applyProtection="0"/>
    <xf numFmtId="196" fontId="17" fillId="0" borderId="0" applyFont="0" applyFill="0" applyBorder="0" applyAlignment="0" applyProtection="0"/>
    <xf numFmtId="0" fontId="17" fillId="2" borderId="0" applyNumberFormat="0" applyFont="0" applyAlignment="0" applyProtection="0"/>
    <xf numFmtId="0" fontId="17" fillId="2" borderId="0" applyNumberFormat="0" applyFont="0" applyAlignment="0" applyProtection="0"/>
    <xf numFmtId="197" fontId="17" fillId="0" borderId="0" applyFont="0" applyFill="0" applyBorder="0" applyAlignment="0" applyProtection="0"/>
    <xf numFmtId="197" fontId="17" fillId="0" borderId="0" applyFont="0" applyFill="0" applyBorder="0" applyAlignment="0" applyProtection="0"/>
    <xf numFmtId="198" fontId="17" fillId="0" borderId="0" applyFont="0" applyFill="0" applyBorder="0" applyProtection="0">
      <alignment horizontal="right"/>
    </xf>
    <xf numFmtId="198" fontId="17" fillId="0" borderId="0" applyFont="0" applyFill="0" applyBorder="0" applyProtection="0">
      <alignment horizontal="right"/>
    </xf>
    <xf numFmtId="0" fontId="17" fillId="43" borderId="0" applyNumberFormat="0" applyFont="0" applyAlignment="0">
      <alignment vertical="top" wrapText="1"/>
    </xf>
    <xf numFmtId="0" fontId="17" fillId="0" borderId="0" applyNumberFormat="0" applyFill="0" applyBorder="0" applyAlignment="0"/>
    <xf numFmtId="0" fontId="17" fillId="0" borderId="0" applyNumberFormat="0" applyFill="0" applyBorder="0" applyAlignment="0"/>
    <xf numFmtId="202" fontId="17" fillId="0" borderId="0" applyFont="0" applyFill="0" applyBorder="0" applyAlignment="0" applyProtection="0">
      <alignment wrapText="1"/>
    </xf>
    <xf numFmtId="202" fontId="17" fillId="0" borderId="0" applyFont="0" applyFill="0" applyBorder="0" applyAlignment="0" applyProtection="0">
      <alignment wrapText="1"/>
    </xf>
    <xf numFmtId="183" fontId="17" fillId="0" borderId="0" applyFont="0" applyFill="0" applyBorder="0" applyAlignment="0" applyProtection="0"/>
    <xf numFmtId="183" fontId="17" fillId="0" borderId="0" applyFont="0" applyFill="0" applyBorder="0" applyAlignment="0" applyProtection="0"/>
    <xf numFmtId="167" fontId="17" fillId="0" borderId="0">
      <protection locked="0"/>
    </xf>
    <xf numFmtId="205" fontId="17" fillId="0" borderId="0">
      <protection locked="0"/>
    </xf>
    <xf numFmtId="205" fontId="17" fillId="0" borderId="0">
      <protection locked="0"/>
    </xf>
    <xf numFmtId="0" fontId="17" fillId="0" borderId="0"/>
    <xf numFmtId="213" fontId="17" fillId="0" borderId="0">
      <protection hidden="1"/>
    </xf>
    <xf numFmtId="10" fontId="17" fillId="0" borderId="0" applyFont="0" applyFill="0" applyBorder="0" applyAlignment="0" applyProtection="0"/>
    <xf numFmtId="10" fontId="17" fillId="0" borderId="0" applyFont="0" applyFill="0" applyBorder="0" applyAlignment="0" applyProtection="0"/>
    <xf numFmtId="215" fontId="17" fillId="0" borderId="0"/>
    <xf numFmtId="4" fontId="17" fillId="33" borderId="20" applyNumberFormat="0" applyProtection="0">
      <alignment vertical="center"/>
    </xf>
    <xf numFmtId="4" fontId="17" fillId="0" borderId="20" applyNumberFormat="0" applyProtection="0">
      <alignment horizontal="right" vertical="center"/>
    </xf>
    <xf numFmtId="4" fontId="17" fillId="61" borderId="0" applyNumberFormat="0" applyProtection="0">
      <alignment horizontal="left" vertical="center"/>
    </xf>
    <xf numFmtId="0" fontId="17" fillId="65" borderId="0" applyNumberFormat="0" applyBorder="0">
      <alignment horizontal="center" wrapText="1"/>
    </xf>
    <xf numFmtId="0" fontId="17" fillId="65" borderId="0" applyNumberFormat="0" applyBorder="0">
      <alignment horizontal="center" wrapText="1"/>
    </xf>
    <xf numFmtId="0" fontId="17" fillId="65" borderId="0" applyNumberFormat="0" applyBorder="0">
      <alignment wrapText="1"/>
    </xf>
    <xf numFmtId="0" fontId="17" fillId="65" borderId="0" applyNumberFormat="0" applyBorder="0">
      <alignment wrapText="1"/>
    </xf>
    <xf numFmtId="0" fontId="17" fillId="0" borderId="0" applyNumberFormat="0" applyFill="0" applyBorder="0" applyProtection="0">
      <alignment horizontal="right" wrapText="1"/>
    </xf>
    <xf numFmtId="0" fontId="17" fillId="0" borderId="0" applyNumberFormat="0" applyFill="0" applyBorder="0" applyProtection="0">
      <alignment horizontal="right" wrapText="1"/>
    </xf>
    <xf numFmtId="218" fontId="17" fillId="0" borderId="0" applyFill="0" applyBorder="0" applyAlignment="0" applyProtection="0">
      <alignment wrapText="1"/>
    </xf>
    <xf numFmtId="218" fontId="17" fillId="0" borderId="0" applyFill="0" applyBorder="0" applyAlignment="0" applyProtection="0">
      <alignment wrapText="1"/>
    </xf>
    <xf numFmtId="211" fontId="17" fillId="0" borderId="0" applyFill="0" applyBorder="0" applyAlignment="0" applyProtection="0">
      <alignment wrapText="1"/>
    </xf>
    <xf numFmtId="211" fontId="17" fillId="0" borderId="0" applyFill="0" applyBorder="0" applyAlignment="0" applyProtection="0">
      <alignment wrapText="1"/>
    </xf>
    <xf numFmtId="219" fontId="17" fillId="0" borderId="0" applyFill="0" applyBorder="0" applyAlignment="0" applyProtection="0">
      <alignment wrapText="1"/>
    </xf>
    <xf numFmtId="219" fontId="17" fillId="0" borderId="0" applyFill="0" applyBorder="0" applyAlignment="0" applyProtection="0">
      <alignment wrapText="1"/>
    </xf>
    <xf numFmtId="0" fontId="17" fillId="0" borderId="0" applyNumberFormat="0" applyFill="0" applyBorder="0" applyProtection="0">
      <alignment horizontal="right" wrapText="1"/>
    </xf>
    <xf numFmtId="0" fontId="17" fillId="0" borderId="0" applyNumberFormat="0" applyFill="0" applyBorder="0" applyProtection="0">
      <alignment horizontal="right" wrapText="1"/>
    </xf>
    <xf numFmtId="0" fontId="17" fillId="0" borderId="0" applyNumberFormat="0" applyFill="0" applyBorder="0">
      <alignment horizontal="right" wrapText="1"/>
    </xf>
    <xf numFmtId="0" fontId="17" fillId="0" borderId="0" applyNumberFormat="0" applyFill="0" applyBorder="0">
      <alignment horizontal="right" wrapText="1"/>
    </xf>
    <xf numFmtId="17" fontId="17" fillId="0" borderId="0" applyFill="0" applyBorder="0">
      <alignment horizontal="right" wrapText="1"/>
    </xf>
    <xf numFmtId="17" fontId="17" fillId="0" borderId="0" applyFill="0" applyBorder="0">
      <alignment horizontal="right" wrapText="1"/>
    </xf>
    <xf numFmtId="8" fontId="17" fillId="0" borderId="0" applyFill="0" applyBorder="0" applyAlignment="0" applyProtection="0">
      <alignment wrapText="1"/>
    </xf>
    <xf numFmtId="8" fontId="17" fillId="0" borderId="0" applyFill="0" applyBorder="0" applyAlignment="0" applyProtection="0">
      <alignment wrapText="1"/>
    </xf>
    <xf numFmtId="0" fontId="17" fillId="0" borderId="30"/>
    <xf numFmtId="0" fontId="17" fillId="0" borderId="30"/>
    <xf numFmtId="9" fontId="17" fillId="0" borderId="0" applyFont="0" applyFill="0" applyBorder="0" applyAlignment="0" applyProtection="0"/>
    <xf numFmtId="41" fontId="17" fillId="0" borderId="0" applyFont="0" applyFill="0" applyBorder="0" applyAlignment="0" applyProtection="0"/>
    <xf numFmtId="234" fontId="17" fillId="0" borderId="0" applyFont="0" applyFill="0" applyBorder="0" applyAlignment="0" applyProtection="0"/>
    <xf numFmtId="234" fontId="17" fillId="0" borderId="0" applyFont="0" applyFill="0" applyBorder="0" applyAlignment="0" applyProtection="0"/>
    <xf numFmtId="234" fontId="17" fillId="0" borderId="0" applyFont="0" applyFill="0" applyBorder="0" applyAlignment="0" applyProtection="0"/>
    <xf numFmtId="234" fontId="17" fillId="0" borderId="0" applyFont="0" applyFill="0" applyBorder="0" applyAlignment="0" applyProtection="0"/>
    <xf numFmtId="234" fontId="17" fillId="0" borderId="0" applyFont="0" applyFill="0" applyBorder="0" applyAlignment="0" applyProtection="0"/>
    <xf numFmtId="234" fontId="17" fillId="0" borderId="0" applyFont="0" applyFill="0" applyBorder="0" applyAlignment="0" applyProtection="0"/>
    <xf numFmtId="234" fontId="17" fillId="0" borderId="0" applyFont="0" applyFill="0" applyBorder="0" applyAlignment="0" applyProtection="0"/>
    <xf numFmtId="191" fontId="17" fillId="0" borderId="0" applyFont="0" applyFill="0" applyBorder="0" applyAlignment="0" applyProtection="0"/>
    <xf numFmtId="192" fontId="17" fillId="0" borderId="0" applyFont="0" applyFill="0" applyBorder="0" applyAlignment="0" applyProtection="0"/>
    <xf numFmtId="193" fontId="17" fillId="0" borderId="0" applyFont="0" applyFill="0" applyBorder="0" applyAlignment="0" applyProtection="0"/>
    <xf numFmtId="194" fontId="17" fillId="0" borderId="0" applyFont="0" applyFill="0" applyBorder="0" applyAlignment="0" applyProtection="0"/>
    <xf numFmtId="195" fontId="17" fillId="0" borderId="0" applyFont="0" applyFill="0" applyBorder="0" applyAlignment="0" applyProtection="0"/>
    <xf numFmtId="196" fontId="17" fillId="0" borderId="0" applyFont="0" applyFill="0" applyBorder="0" applyAlignment="0" applyProtection="0"/>
    <xf numFmtId="0" fontId="17" fillId="2" borderId="0" applyNumberFormat="0" applyFont="0" applyAlignment="0" applyProtection="0"/>
    <xf numFmtId="197" fontId="17" fillId="0" borderId="0" applyFont="0" applyFill="0" applyBorder="0" applyAlignment="0" applyProtection="0"/>
    <xf numFmtId="198" fontId="17" fillId="0" borderId="0" applyFont="0" applyFill="0" applyBorder="0" applyProtection="0">
      <alignment horizontal="right"/>
    </xf>
    <xf numFmtId="0" fontId="17" fillId="0" borderId="0" applyNumberFormat="0" applyFill="0" applyBorder="0" applyAlignment="0"/>
    <xf numFmtId="202" fontId="17" fillId="0" borderId="0" applyFont="0" applyFill="0" applyBorder="0" applyAlignment="0" applyProtection="0">
      <alignment wrapText="1"/>
    </xf>
    <xf numFmtId="183" fontId="17" fillId="0" borderId="0" applyFont="0" applyFill="0" applyBorder="0" applyAlignment="0" applyProtection="0"/>
    <xf numFmtId="167" fontId="17" fillId="0" borderId="0">
      <protection locked="0"/>
    </xf>
    <xf numFmtId="205" fontId="17" fillId="0" borderId="0">
      <protection locked="0"/>
    </xf>
    <xf numFmtId="205" fontId="17" fillId="0" borderId="0">
      <protection locked="0"/>
    </xf>
    <xf numFmtId="0" fontId="17" fillId="11" borderId="11" applyNumberFormat="0" applyFont="0" applyAlignment="0" applyProtection="0"/>
    <xf numFmtId="10" fontId="17" fillId="0" borderId="0" applyFont="0" applyFill="0" applyBorder="0" applyAlignment="0" applyProtection="0"/>
    <xf numFmtId="0" fontId="17" fillId="65" borderId="0" applyNumberFormat="0" applyBorder="0">
      <alignment horizontal="center" wrapText="1"/>
    </xf>
    <xf numFmtId="0" fontId="17" fillId="65" borderId="0" applyNumberFormat="0" applyBorder="0">
      <alignment wrapText="1"/>
    </xf>
    <xf numFmtId="0" fontId="17" fillId="0" borderId="0" applyNumberFormat="0" applyFill="0" applyBorder="0" applyProtection="0">
      <alignment horizontal="right" wrapText="1"/>
    </xf>
    <xf numFmtId="218" fontId="17" fillId="0" borderId="0" applyFill="0" applyBorder="0" applyAlignment="0" applyProtection="0">
      <alignment wrapText="1"/>
    </xf>
    <xf numFmtId="211" fontId="17" fillId="0" borderId="0" applyFill="0" applyBorder="0" applyAlignment="0" applyProtection="0">
      <alignment wrapText="1"/>
    </xf>
    <xf numFmtId="219" fontId="17" fillId="0" borderId="0" applyFill="0" applyBorder="0" applyAlignment="0" applyProtection="0">
      <alignment wrapText="1"/>
    </xf>
    <xf numFmtId="0" fontId="17" fillId="0" borderId="0" applyNumberFormat="0" applyFill="0" applyBorder="0" applyProtection="0">
      <alignment horizontal="right" wrapText="1"/>
    </xf>
    <xf numFmtId="0" fontId="17" fillId="0" borderId="0" applyNumberFormat="0" applyFill="0" applyBorder="0">
      <alignment horizontal="right" wrapText="1"/>
    </xf>
    <xf numFmtId="17" fontId="17" fillId="0" borderId="0" applyFill="0" applyBorder="0">
      <alignment horizontal="right" wrapText="1"/>
    </xf>
    <xf numFmtId="8" fontId="17" fillId="0" borderId="0" applyFill="0" applyBorder="0" applyAlignment="0" applyProtection="0">
      <alignment wrapText="1"/>
    </xf>
    <xf numFmtId="0" fontId="17" fillId="0" borderId="3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11" borderId="11" applyNumberFormat="0" applyFont="0" applyAlignment="0" applyProtection="0"/>
    <xf numFmtId="0" fontId="17" fillId="11" borderId="11" applyNumberFormat="0" applyFont="0" applyAlignment="0" applyProtection="0"/>
    <xf numFmtId="0" fontId="17" fillId="11" borderId="11" applyNumberFormat="0" applyFont="0" applyAlignment="0" applyProtection="0"/>
    <xf numFmtId="0" fontId="17" fillId="11" borderId="11" applyNumberFormat="0" applyFont="0" applyAlignment="0" applyProtection="0"/>
    <xf numFmtId="0" fontId="17" fillId="11" borderId="11" applyNumberFormat="0" applyFont="0" applyAlignment="0" applyProtection="0"/>
    <xf numFmtId="0" fontId="17" fillId="11" borderId="11" applyNumberFormat="0" applyFont="0" applyAlignment="0" applyProtection="0"/>
    <xf numFmtId="0" fontId="17" fillId="11" borderId="11" applyNumberFormat="0" applyFont="0" applyAlignment="0" applyProtection="0"/>
    <xf numFmtId="0" fontId="17" fillId="11" borderId="11" applyNumberFormat="0" applyFont="0" applyAlignment="0" applyProtection="0"/>
    <xf numFmtId="0" fontId="17" fillId="11" borderId="11" applyNumberFormat="0" applyFont="0" applyAlignment="0" applyProtection="0"/>
    <xf numFmtId="0" fontId="17" fillId="11" borderId="11" applyNumberFormat="0" applyFont="0" applyAlignment="0" applyProtection="0"/>
    <xf numFmtId="0" fontId="17" fillId="11" borderId="1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172" fontId="17" fillId="0" borderId="0" applyFont="0" applyFill="0" applyBorder="0" applyAlignment="0" applyProtection="0"/>
    <xf numFmtId="176" fontId="17" fillId="0" borderId="0" applyFont="0" applyFill="0" applyBorder="0" applyAlignment="0" applyProtection="0"/>
    <xf numFmtId="0" fontId="3" fillId="0" borderId="0"/>
    <xf numFmtId="0" fontId="3" fillId="0" borderId="0"/>
    <xf numFmtId="235" fontId="17" fillId="0" borderId="0"/>
    <xf numFmtId="0" fontId="3" fillId="0" borderId="0"/>
    <xf numFmtId="43" fontId="17" fillId="0" borderId="0" applyFont="0" applyFill="0" applyBorder="0" applyAlignment="0" applyProtection="0"/>
    <xf numFmtId="0" fontId="3"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1" borderId="0" applyNumberFormat="0" applyBorder="0" applyAlignment="0" applyProtection="0"/>
    <xf numFmtId="0" fontId="3" fillId="81" borderId="0" applyNumberFormat="0" applyBorder="0" applyAlignment="0" applyProtection="0"/>
    <xf numFmtId="0" fontId="3" fillId="81" borderId="0" applyNumberFormat="0" applyBorder="0" applyAlignment="0" applyProtection="0"/>
    <xf numFmtId="0" fontId="3" fillId="81" borderId="0" applyNumberFormat="0" applyBorder="0" applyAlignment="0" applyProtection="0"/>
    <xf numFmtId="0" fontId="3" fillId="81" borderId="0" applyNumberFormat="0" applyBorder="0" applyAlignment="0" applyProtection="0"/>
    <xf numFmtId="0" fontId="3" fillId="8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3"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17"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3"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3"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3"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3"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3"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17" fillId="0" borderId="0"/>
    <xf numFmtId="0" fontId="3" fillId="0" borderId="0"/>
    <xf numFmtId="0" fontId="17" fillId="0" borderId="0"/>
    <xf numFmtId="0" fontId="3" fillId="0" borderId="0"/>
    <xf numFmtId="0" fontId="3" fillId="0" borderId="0"/>
    <xf numFmtId="0" fontId="17"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3" fillId="0" borderId="0"/>
    <xf numFmtId="0" fontId="3" fillId="0" borderId="0"/>
    <xf numFmtId="0" fontId="17" fillId="0" borderId="0"/>
    <xf numFmtId="0" fontId="3" fillId="0" borderId="0"/>
    <xf numFmtId="0" fontId="17"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100" borderId="55" applyNumberFormat="0" applyFont="0" applyAlignment="0" applyProtection="0"/>
    <xf numFmtId="0" fontId="17" fillId="0" borderId="0"/>
    <xf numFmtId="0" fontId="3" fillId="100" borderId="55" applyNumberFormat="0" applyFont="0" applyAlignment="0" applyProtection="0"/>
    <xf numFmtId="0" fontId="17" fillId="0" borderId="0"/>
    <xf numFmtId="0" fontId="3" fillId="100" borderId="55" applyNumberFormat="0" applyFont="0" applyAlignment="0" applyProtection="0"/>
    <xf numFmtId="0" fontId="17" fillId="0" borderId="0"/>
    <xf numFmtId="0" fontId="17" fillId="0" borderId="0"/>
    <xf numFmtId="0" fontId="17" fillId="0" borderId="0"/>
    <xf numFmtId="0" fontId="3" fillId="100" borderId="55" applyNumberFormat="0" applyFont="0" applyAlignment="0" applyProtection="0"/>
    <xf numFmtId="0" fontId="17" fillId="0" borderId="0"/>
    <xf numFmtId="0" fontId="3" fillId="100" borderId="55" applyNumberFormat="0" applyFont="0" applyAlignment="0" applyProtection="0"/>
    <xf numFmtId="0" fontId="17" fillId="0" borderId="0"/>
    <xf numFmtId="0" fontId="3" fillId="100" borderId="55"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100" borderId="55" applyNumberFormat="0" applyFont="0" applyAlignment="0" applyProtection="0"/>
    <xf numFmtId="0" fontId="17" fillId="0" borderId="0"/>
    <xf numFmtId="0" fontId="3" fillId="100" borderId="55" applyNumberFormat="0" applyFont="0" applyAlignment="0" applyProtection="0"/>
    <xf numFmtId="0" fontId="17" fillId="0" borderId="0"/>
    <xf numFmtId="0" fontId="3" fillId="100" borderId="55" applyNumberFormat="0" applyFont="0" applyAlignment="0" applyProtection="0"/>
    <xf numFmtId="0" fontId="17" fillId="0" borderId="0"/>
    <xf numFmtId="0" fontId="17" fillId="0" borderId="0"/>
    <xf numFmtId="0" fontId="3" fillId="100" borderId="55" applyNumberFormat="0" applyFont="0" applyAlignment="0" applyProtection="0"/>
    <xf numFmtId="0" fontId="17" fillId="0" borderId="0"/>
    <xf numFmtId="0" fontId="3" fillId="100" borderId="55" applyNumberFormat="0" applyFont="0" applyAlignment="0" applyProtection="0"/>
    <xf numFmtId="0" fontId="17" fillId="0" borderId="0"/>
    <xf numFmtId="0" fontId="3" fillId="100" borderId="55"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100" borderId="55" applyNumberFormat="0" applyFont="0" applyAlignment="0" applyProtection="0"/>
    <xf numFmtId="0" fontId="17" fillId="0" borderId="0"/>
    <xf numFmtId="0" fontId="3" fillId="100" borderId="55" applyNumberFormat="0" applyFont="0" applyAlignment="0" applyProtection="0"/>
    <xf numFmtId="0" fontId="17" fillId="0" borderId="0"/>
    <xf numFmtId="0" fontId="3" fillId="100" borderId="55" applyNumberFormat="0" applyFont="0" applyAlignment="0" applyProtection="0"/>
    <xf numFmtId="0" fontId="17" fillId="0" borderId="0"/>
    <xf numFmtId="0" fontId="17" fillId="0" borderId="0"/>
    <xf numFmtId="0" fontId="3" fillId="100" borderId="55" applyNumberFormat="0" applyFont="0" applyAlignment="0" applyProtection="0"/>
    <xf numFmtId="0" fontId="17" fillId="0" borderId="0"/>
    <xf numFmtId="0" fontId="3" fillId="100" borderId="55" applyNumberFormat="0" applyFont="0" applyAlignment="0" applyProtection="0"/>
    <xf numFmtId="0" fontId="17" fillId="0" borderId="0"/>
    <xf numFmtId="0" fontId="3" fillId="100" borderId="55" applyNumberFormat="0" applyFont="0" applyAlignment="0" applyProtection="0"/>
    <xf numFmtId="0" fontId="17" fillId="0" borderId="0"/>
    <xf numFmtId="0" fontId="17" fillId="0" borderId="0"/>
    <xf numFmtId="0" fontId="3" fillId="100" borderId="55" applyNumberFormat="0" applyFont="0" applyAlignment="0" applyProtection="0"/>
    <xf numFmtId="0" fontId="17" fillId="0" borderId="0"/>
    <xf numFmtId="0" fontId="3" fillId="100" borderId="55" applyNumberFormat="0" applyFont="0" applyAlignment="0" applyProtection="0"/>
    <xf numFmtId="0" fontId="17" fillId="0" borderId="0"/>
    <xf numFmtId="0" fontId="3" fillId="100" borderId="55" applyNumberFormat="0" applyFont="0" applyAlignment="0" applyProtection="0"/>
    <xf numFmtId="0" fontId="17" fillId="0" borderId="0"/>
    <xf numFmtId="0" fontId="17" fillId="0" borderId="0"/>
    <xf numFmtId="0" fontId="3" fillId="100" borderId="55" applyNumberFormat="0" applyFont="0" applyAlignment="0" applyProtection="0"/>
    <xf numFmtId="0" fontId="17" fillId="0" borderId="0"/>
    <xf numFmtId="0" fontId="3" fillId="100" borderId="55" applyNumberFormat="0" applyFont="0" applyAlignment="0" applyProtection="0"/>
    <xf numFmtId="0" fontId="17" fillId="0" borderId="0"/>
    <xf numFmtId="0" fontId="3" fillId="100" borderId="55" applyNumberFormat="0" applyFont="0" applyAlignment="0" applyProtection="0"/>
    <xf numFmtId="0" fontId="17" fillId="0" borderId="0"/>
    <xf numFmtId="0" fontId="17" fillId="0" borderId="0"/>
    <xf numFmtId="0" fontId="3" fillId="100" borderId="55" applyNumberFormat="0" applyFont="0" applyAlignment="0" applyProtection="0"/>
    <xf numFmtId="0" fontId="17" fillId="0" borderId="0"/>
    <xf numFmtId="0" fontId="3" fillId="100" borderId="55" applyNumberFormat="0" applyFont="0" applyAlignment="0" applyProtection="0"/>
    <xf numFmtId="0" fontId="17" fillId="0" borderId="0"/>
    <xf numFmtId="0" fontId="3" fillId="100" borderId="55"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3" fillId="100" borderId="55" applyNumberFormat="0" applyFont="0" applyAlignment="0" applyProtection="0"/>
    <xf numFmtId="0" fontId="17" fillId="0" borderId="0"/>
    <xf numFmtId="0" fontId="3" fillId="100" borderId="55" applyNumberFormat="0" applyFont="0" applyAlignment="0" applyProtection="0"/>
    <xf numFmtId="0" fontId="17" fillId="0" borderId="0"/>
    <xf numFmtId="0" fontId="3" fillId="100" borderId="55" applyNumberFormat="0" applyFont="0" applyAlignment="0" applyProtection="0"/>
    <xf numFmtId="0" fontId="17" fillId="0" borderId="0"/>
    <xf numFmtId="0" fontId="17" fillId="0" borderId="0"/>
    <xf numFmtId="0" fontId="3" fillId="100" borderId="55" applyNumberFormat="0" applyFont="0" applyAlignment="0" applyProtection="0"/>
    <xf numFmtId="0" fontId="17" fillId="0" borderId="0"/>
    <xf numFmtId="0" fontId="3" fillId="100" borderId="55" applyNumberFormat="0" applyFont="0" applyAlignment="0" applyProtection="0"/>
    <xf numFmtId="0" fontId="17" fillId="0" borderId="0"/>
    <xf numFmtId="0" fontId="3" fillId="100" borderId="55"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0" fontId="17" fillId="0" borderId="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9" fontId="3"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0" fontId="17" fillId="0" borderId="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0" fontId="17" fillId="0" borderId="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0" fontId="17" fillId="0" borderId="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0" fontId="17" fillId="0" borderId="0"/>
    <xf numFmtId="0" fontId="17" fillId="0" borderId="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0" fontId="17" fillId="0" borderId="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9" fontId="3" fillId="0" borderId="0" applyFont="0" applyFill="0" applyBorder="0" applyAlignment="0" applyProtection="0"/>
    <xf numFmtId="0" fontId="17" fillId="0" borderId="0"/>
    <xf numFmtId="0" fontId="17"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0" fontId="17" fillId="0" borderId="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0" fontId="17" fillId="0" borderId="0"/>
    <xf numFmtId="0" fontId="17" fillId="0" borderId="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0" fontId="17" fillId="0" borderId="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9" fontId="3" fillId="0" borderId="0" applyFont="0" applyFill="0" applyBorder="0" applyAlignment="0" applyProtection="0"/>
    <xf numFmtId="0" fontId="17" fillId="0" borderId="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0" fontId="17" fillId="0" borderId="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0" fontId="17" fillId="0" borderId="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0" fontId="17" fillId="0" borderId="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0" fontId="17" fillId="0" borderId="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0" fontId="17" fillId="0" borderId="0"/>
    <xf numFmtId="0" fontId="17" fillId="0" borderId="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9" fontId="3" fillId="0" borderId="0" applyFont="0" applyFill="0" applyBorder="0" applyAlignment="0" applyProtection="0"/>
    <xf numFmtId="0" fontId="17" fillId="0" borderId="0"/>
    <xf numFmtId="9" fontId="3"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9" fontId="3"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3" fillId="0" borderId="0"/>
    <xf numFmtId="0" fontId="3" fillId="70"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4" fontId="17"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0" fontId="3" fillId="0" borderId="0"/>
    <xf numFmtId="3" fontId="18" fillId="0" borderId="0" applyFont="0" applyFill="0" applyBorder="0" applyAlignment="0" applyProtection="0"/>
    <xf numFmtId="9" fontId="17" fillId="0" borderId="0" applyFont="0" applyFill="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9" fontId="17" fillId="0" borderId="0" applyFont="0" applyFill="0" applyBorder="0" applyAlignment="0" applyProtection="0"/>
    <xf numFmtId="0" fontId="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1" borderId="0" applyNumberFormat="0" applyBorder="0" applyAlignment="0" applyProtection="0"/>
    <xf numFmtId="0" fontId="3" fillId="0" borderId="0"/>
    <xf numFmtId="43" fontId="17" fillId="0" borderId="0" applyFont="0" applyFill="0" applyBorder="0" applyAlignment="0" applyProtection="0"/>
    <xf numFmtId="0" fontId="3" fillId="0" borderId="0"/>
    <xf numFmtId="0" fontId="18" fillId="55" borderId="0" applyNumberFormat="0" applyFont="0" applyBorder="0" applyAlignment="0" applyProtection="0"/>
    <xf numFmtId="9" fontId="1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7"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1" borderId="0" applyNumberFormat="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0" fontId="3" fillId="100" borderId="5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80"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73" borderId="0" applyNumberFormat="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78"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43" fontId="3" fillId="0" borderId="0" applyFont="0" applyFill="0" applyBorder="0" applyAlignment="0" applyProtection="0"/>
    <xf numFmtId="0" fontId="3" fillId="79" borderId="0" applyNumberFormat="0" applyBorder="0" applyAlignment="0" applyProtection="0"/>
    <xf numFmtId="44" fontId="3" fillId="0" borderId="0" applyFont="0" applyFill="0" applyBorder="0" applyAlignment="0" applyProtection="0"/>
    <xf numFmtId="0" fontId="3" fillId="75" borderId="0" applyNumberFormat="0" applyBorder="0" applyAlignment="0" applyProtection="0"/>
    <xf numFmtId="0" fontId="3" fillId="71" borderId="0" applyNumberFormat="0" applyBorder="0" applyAlignment="0" applyProtection="0"/>
    <xf numFmtId="43" fontId="3" fillId="0" borderId="0" applyFont="0" applyFill="0" applyBorder="0" applyAlignment="0" applyProtection="0"/>
    <xf numFmtId="0" fontId="3" fillId="81" borderId="0" applyNumberFormat="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72" borderId="0" applyNumberFormat="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70" borderId="0" applyNumberFormat="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78" borderId="0" applyNumberFormat="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74" borderId="0" applyNumberFormat="0" applyBorder="0" applyAlignment="0" applyProtection="0"/>
    <xf numFmtId="0" fontId="3" fillId="77" borderId="0" applyNumberFormat="0" applyBorder="0" applyAlignment="0" applyProtection="0"/>
    <xf numFmtId="44" fontId="3" fillId="0" borderId="0" applyFont="0" applyFill="0" applyBorder="0" applyAlignment="0" applyProtection="0"/>
    <xf numFmtId="0" fontId="3" fillId="78" borderId="0" applyNumberFormat="0" applyBorder="0" applyAlignment="0" applyProtection="0"/>
    <xf numFmtId="0" fontId="3" fillId="76" borderId="0" applyNumberFormat="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 fontId="18" fillId="0" borderId="0" applyFont="0" applyFill="0" applyBorder="0" applyAlignment="0" applyProtection="0"/>
    <xf numFmtId="0" fontId="17" fillId="0" borderId="0"/>
    <xf numFmtId="0" fontId="19" fillId="0" borderId="9">
      <alignment horizontal="center"/>
    </xf>
    <xf numFmtId="43" fontId="3"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8" fillId="0" borderId="0" applyNumberFormat="0" applyFont="0" applyFill="0" applyBorder="0" applyAlignment="0" applyProtection="0">
      <alignment horizontal="left"/>
    </xf>
    <xf numFmtId="0" fontId="3" fillId="0" borderId="0"/>
    <xf numFmtId="15" fontId="18"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80" borderId="0" applyNumberFormat="0" applyBorder="0" applyAlignment="0" applyProtection="0"/>
    <xf numFmtId="9" fontId="3" fillId="0" borderId="0" applyFont="0" applyFill="0" applyBorder="0" applyAlignment="0" applyProtection="0"/>
    <xf numFmtId="0" fontId="3" fillId="73" borderId="0" applyNumberFormat="0" applyBorder="0" applyAlignment="0" applyProtection="0"/>
    <xf numFmtId="0" fontId="3" fillId="78"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79" borderId="0" applyNumberFormat="0" applyBorder="0" applyAlignment="0" applyProtection="0"/>
    <xf numFmtId="0" fontId="3" fillId="75" borderId="0" applyNumberFormat="0" applyBorder="0" applyAlignment="0" applyProtection="0"/>
    <xf numFmtId="0" fontId="3" fillId="71" borderId="0" applyNumberFormat="0" applyBorder="0" applyAlignment="0" applyProtection="0"/>
    <xf numFmtId="0" fontId="3" fillId="81" borderId="0" applyNumberFormat="0" applyBorder="0" applyAlignment="0" applyProtection="0"/>
    <xf numFmtId="0" fontId="3" fillId="72" borderId="0" applyNumberFormat="0" applyBorder="0" applyAlignment="0" applyProtection="0"/>
    <xf numFmtId="0" fontId="3" fillId="70" borderId="0" applyNumberFormat="0" applyBorder="0" applyAlignment="0" applyProtection="0"/>
    <xf numFmtId="0" fontId="3" fillId="78" borderId="0" applyNumberFormat="0" applyBorder="0" applyAlignment="0" applyProtection="0"/>
    <xf numFmtId="0" fontId="3" fillId="74"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80" borderId="0" applyNumberFormat="0" applyBorder="0" applyAlignment="0" applyProtection="0"/>
    <xf numFmtId="9" fontId="3" fillId="0" borderId="0" applyFont="0" applyFill="0" applyBorder="0" applyAlignment="0" applyProtection="0"/>
    <xf numFmtId="0" fontId="3" fillId="73" borderId="0" applyNumberFormat="0" applyBorder="0" applyAlignment="0" applyProtection="0"/>
    <xf numFmtId="0" fontId="3" fillId="78"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79" borderId="0" applyNumberFormat="0" applyBorder="0" applyAlignment="0" applyProtection="0"/>
    <xf numFmtId="0" fontId="3" fillId="75" borderId="0" applyNumberFormat="0" applyBorder="0" applyAlignment="0" applyProtection="0"/>
    <xf numFmtId="0" fontId="3" fillId="71" borderId="0" applyNumberFormat="0" applyBorder="0" applyAlignment="0" applyProtection="0"/>
    <xf numFmtId="0" fontId="3" fillId="81" borderId="0" applyNumberFormat="0" applyBorder="0" applyAlignment="0" applyProtection="0"/>
    <xf numFmtId="0" fontId="3" fillId="72" borderId="0" applyNumberFormat="0" applyBorder="0" applyAlignment="0" applyProtection="0"/>
    <xf numFmtId="0" fontId="3" fillId="70" borderId="0" applyNumberFormat="0" applyBorder="0" applyAlignment="0" applyProtection="0"/>
    <xf numFmtId="0" fontId="3" fillId="78" borderId="0" applyNumberFormat="0" applyBorder="0" applyAlignment="0" applyProtection="0"/>
    <xf numFmtId="0" fontId="3" fillId="74"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80" borderId="0" applyNumberFormat="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73" borderId="0" applyNumberFormat="0" applyBorder="0" applyAlignment="0" applyProtection="0"/>
    <xf numFmtId="0" fontId="3" fillId="78"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79" borderId="0" applyNumberFormat="0" applyBorder="0" applyAlignment="0" applyProtection="0"/>
    <xf numFmtId="0" fontId="3" fillId="75" borderId="0" applyNumberFormat="0" applyBorder="0" applyAlignment="0" applyProtection="0"/>
    <xf numFmtId="0" fontId="3" fillId="71" borderId="0" applyNumberFormat="0" applyBorder="0" applyAlignment="0" applyProtection="0"/>
    <xf numFmtId="44" fontId="3" fillId="0" borderId="0" applyFont="0" applyFill="0" applyBorder="0" applyAlignment="0" applyProtection="0"/>
    <xf numFmtId="0" fontId="3" fillId="81" borderId="0" applyNumberFormat="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72" borderId="0" applyNumberFormat="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70" borderId="0" applyNumberFormat="0" applyBorder="0" applyAlignment="0" applyProtection="0"/>
    <xf numFmtId="0" fontId="3" fillId="78" borderId="0" applyNumberFormat="0" applyBorder="0" applyAlignment="0" applyProtection="0"/>
    <xf numFmtId="43" fontId="3" fillId="0" borderId="0" applyFont="0" applyFill="0" applyBorder="0" applyAlignment="0" applyProtection="0"/>
    <xf numFmtId="0" fontId="3" fillId="74"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6" borderId="0" applyNumberFormat="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0" fontId="17" fillId="0" borderId="0"/>
    <xf numFmtId="3" fontId="17" fillId="0" borderId="0" applyFont="0" applyFill="0" applyBorder="0" applyAlignment="0" applyProtection="0"/>
    <xf numFmtId="9" fontId="17" fillId="0" borderId="0" applyFont="0" applyFill="0" applyBorder="0" applyAlignment="0" applyProtection="0"/>
    <xf numFmtId="0" fontId="17" fillId="0" borderId="0" applyFont="0" applyFill="0" applyBorder="0" applyAlignment="0" applyProtection="0"/>
    <xf numFmtId="0" fontId="151" fillId="0" borderId="0"/>
    <xf numFmtId="173" fontId="151" fillId="0" borderId="0" applyFont="0" applyFill="0" applyBorder="0" applyAlignment="0" applyProtection="0"/>
    <xf numFmtId="0" fontId="2" fillId="0" borderId="0"/>
    <xf numFmtId="43" fontId="176" fillId="0" borderId="0" applyFont="0" applyFill="0" applyBorder="0" applyAlignment="0" applyProtection="0"/>
    <xf numFmtId="9" fontId="176" fillId="0" borderId="0" applyFont="0" applyFill="0" applyBorder="0" applyAlignment="0" applyProtection="0"/>
    <xf numFmtId="0" fontId="177" fillId="0" borderId="0" applyNumberFormat="0" applyFont="0" applyFill="0" applyBorder="0" applyAlignment="0" applyProtection="0">
      <alignment horizontal="left"/>
    </xf>
    <xf numFmtId="15" fontId="177" fillId="0" borderId="0" applyFont="0" applyFill="0" applyBorder="0" applyAlignment="0" applyProtection="0"/>
    <xf numFmtId="4" fontId="177" fillId="0" borderId="0" applyFont="0" applyFill="0" applyBorder="0" applyAlignment="0" applyProtection="0"/>
    <xf numFmtId="0" fontId="178" fillId="0" borderId="9">
      <alignment horizontal="center"/>
    </xf>
    <xf numFmtId="3" fontId="177" fillId="0" borderId="0" applyFont="0" applyFill="0" applyBorder="0" applyAlignment="0" applyProtection="0"/>
    <xf numFmtId="0" fontId="177" fillId="55" borderId="0" applyNumberFormat="0" applyFont="0" applyBorder="0" applyAlignment="0" applyProtection="0"/>
    <xf numFmtId="0" fontId="151" fillId="0" borderId="0"/>
    <xf numFmtId="173" fontId="151" fillId="0" borderId="0" applyFont="0" applyFill="0" applyBorder="0" applyAlignment="0" applyProtection="0"/>
    <xf numFmtId="0" fontId="2" fillId="0" borderId="0"/>
    <xf numFmtId="0" fontId="199"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164" fontId="86" fillId="0" borderId="9" applyAlignment="0">
      <alignment horizontal="right"/>
    </xf>
    <xf numFmtId="43" fontId="26" fillId="0" borderId="0" applyFont="0" applyFill="0" applyBorder="0" applyAlignment="0" applyProtection="0"/>
    <xf numFmtId="173" fontId="44" fillId="0" borderId="0" applyFont="0" applyFill="0" applyBorder="0" applyAlignment="0" applyProtection="0"/>
    <xf numFmtId="43" fontId="26" fillId="0" borderId="0" applyFon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9" fillId="0" borderId="0"/>
    <xf numFmtId="9" fontId="26" fillId="0" borderId="0" applyFont="0" applyFill="0" applyBorder="0" applyAlignment="0" applyProtection="0"/>
    <xf numFmtId="0" fontId="19" fillId="0" borderId="9">
      <alignment horizontal="center"/>
    </xf>
    <xf numFmtId="0" fontId="19" fillId="0" borderId="9">
      <alignment horizontal="center"/>
    </xf>
    <xf numFmtId="0" fontId="19" fillId="0" borderId="9">
      <alignment horizontal="center"/>
    </xf>
    <xf numFmtId="0" fontId="19" fillId="0" borderId="9">
      <alignment horizontal="center"/>
    </xf>
  </cellStyleXfs>
  <cellXfs count="1034">
    <xf numFmtId="0" fontId="0" fillId="0" borderId="0" xfId="0"/>
    <xf numFmtId="0" fontId="80" fillId="0" borderId="13" xfId="0" applyFont="1" applyBorder="1" applyAlignment="1"/>
    <xf numFmtId="0" fontId="54" fillId="0" borderId="10" xfId="0" applyFont="1" applyBorder="1"/>
    <xf numFmtId="0" fontId="54" fillId="0" borderId="68" xfId="0" applyFont="1" applyBorder="1"/>
    <xf numFmtId="0" fontId="54" fillId="0" borderId="0" xfId="0" applyFont="1"/>
    <xf numFmtId="0" fontId="179" fillId="101" borderId="13" xfId="0" applyFont="1" applyFill="1" applyBorder="1" applyAlignment="1">
      <alignment horizontal="left"/>
    </xf>
    <xf numFmtId="0" fontId="179" fillId="101" borderId="10" xfId="0" applyNumberFormat="1" applyFont="1" applyFill="1" applyBorder="1" applyAlignment="1">
      <alignment horizontal="center"/>
    </xf>
    <xf numFmtId="0" fontId="179" fillId="101" borderId="13" xfId="0" applyNumberFormat="1" applyFont="1" applyFill="1" applyBorder="1" applyAlignment="1">
      <alignment horizontal="center"/>
    </xf>
    <xf numFmtId="0" fontId="54" fillId="0" borderId="4" xfId="0" applyFont="1" applyBorder="1"/>
    <xf numFmtId="0" fontId="54" fillId="0" borderId="0" xfId="0" applyFont="1" applyBorder="1"/>
    <xf numFmtId="0" fontId="54" fillId="0" borderId="44" xfId="0" applyFont="1" applyBorder="1"/>
    <xf numFmtId="0" fontId="54" fillId="0" borderId="0" xfId="0" applyFont="1" applyFill="1" applyBorder="1"/>
    <xf numFmtId="0" fontId="80" fillId="0" borderId="4" xfId="0" applyFont="1" applyBorder="1"/>
    <xf numFmtId="0" fontId="54" fillId="0" borderId="4" xfId="0" applyFont="1" applyFill="1" applyBorder="1"/>
    <xf numFmtId="3" fontId="54" fillId="0" borderId="0" xfId="0" applyNumberFormat="1" applyFont="1" applyBorder="1"/>
    <xf numFmtId="3" fontId="54" fillId="0" borderId="44" xfId="0" applyNumberFormat="1" applyFont="1" applyBorder="1"/>
    <xf numFmtId="3" fontId="54" fillId="0" borderId="4" xfId="0" applyNumberFormat="1" applyFont="1" applyBorder="1"/>
    <xf numFmtId="3" fontId="54" fillId="0" borderId="0" xfId="0" applyNumberFormat="1" applyFont="1" applyFill="1" applyBorder="1"/>
    <xf numFmtId="3" fontId="54" fillId="0" borderId="31" xfId="0" applyNumberFormat="1" applyFont="1" applyBorder="1"/>
    <xf numFmtId="0" fontId="54" fillId="0" borderId="13" xfId="0" applyFont="1" applyBorder="1"/>
    <xf numFmtId="0" fontId="54" fillId="0" borderId="10" xfId="0" applyFont="1" applyFill="1" applyBorder="1"/>
    <xf numFmtId="0" fontId="54" fillId="0" borderId="45" xfId="0" applyFont="1" applyBorder="1"/>
    <xf numFmtId="0" fontId="80" fillId="0" borderId="13" xfId="0" applyFont="1" applyBorder="1"/>
    <xf numFmtId="3" fontId="54" fillId="0" borderId="10" xfId="0" applyNumberFormat="1" applyFont="1" applyBorder="1"/>
    <xf numFmtId="3" fontId="54" fillId="0" borderId="13" xfId="0" applyNumberFormat="1" applyFont="1" applyBorder="1"/>
    <xf numFmtId="3" fontId="54" fillId="0" borderId="10" xfId="0" applyNumberFormat="1" applyFont="1" applyFill="1" applyBorder="1"/>
    <xf numFmtId="0" fontId="80" fillId="0" borderId="4" xfId="0" applyFont="1" applyBorder="1" applyAlignment="1">
      <alignment horizontal="center"/>
    </xf>
    <xf numFmtId="0" fontId="80" fillId="0" borderId="0" xfId="0" applyFont="1" applyBorder="1" applyAlignment="1">
      <alignment horizontal="center"/>
    </xf>
    <xf numFmtId="0" fontId="54" fillId="0" borderId="4" xfId="13457" applyFont="1" applyFill="1" applyBorder="1"/>
    <xf numFmtId="0" fontId="80" fillId="0" borderId="45" xfId="0" applyFont="1" applyBorder="1"/>
    <xf numFmtId="3" fontId="54" fillId="0" borderId="0" xfId="0" applyNumberFormat="1" applyFont="1"/>
    <xf numFmtId="0" fontId="80" fillId="0" borderId="0" xfId="0" applyFont="1" applyFill="1" applyBorder="1"/>
    <xf numFmtId="0" fontId="80" fillId="0" borderId="4" xfId="0" applyFont="1" applyBorder="1" applyAlignment="1"/>
    <xf numFmtId="0" fontId="80" fillId="0" borderId="44" xfId="0" applyFont="1" applyBorder="1" applyAlignment="1">
      <alignment horizontal="center"/>
    </xf>
    <xf numFmtId="0" fontId="54" fillId="0" borderId="31" xfId="0" applyFont="1" applyBorder="1"/>
    <xf numFmtId="0" fontId="54" fillId="0" borderId="46" xfId="0" applyFont="1" applyBorder="1"/>
    <xf numFmtId="166" fontId="54" fillId="0" borderId="10" xfId="13458" applyNumberFormat="1" applyFont="1" applyBorder="1" applyAlignment="1"/>
    <xf numFmtId="166" fontId="54" fillId="0" borderId="68" xfId="13458" applyNumberFormat="1" applyFont="1" applyBorder="1" applyAlignment="1"/>
    <xf numFmtId="0" fontId="54" fillId="0" borderId="4" xfId="0" applyFont="1" applyBorder="1" applyAlignment="1">
      <alignment horizontal="center"/>
    </xf>
    <xf numFmtId="3" fontId="54" fillId="0" borderId="4" xfId="0" applyNumberFormat="1" applyFont="1" applyBorder="1" applyAlignment="1">
      <alignment horizontal="center"/>
    </xf>
    <xf numFmtId="3" fontId="54" fillId="0" borderId="0" xfId="0" applyNumberFormat="1" applyFont="1" applyBorder="1" applyAlignment="1">
      <alignment horizontal="center"/>
    </xf>
    <xf numFmtId="3" fontId="54" fillId="0" borderId="44" xfId="0" applyNumberFormat="1" applyFont="1" applyBorder="1" applyAlignment="1">
      <alignment horizontal="center"/>
    </xf>
    <xf numFmtId="169" fontId="54" fillId="0" borderId="0" xfId="13459" applyNumberFormat="1" applyFont="1" applyFill="1" applyBorder="1"/>
    <xf numFmtId="0" fontId="54" fillId="0" borderId="0" xfId="0" applyFont="1" applyBorder="1" applyAlignment="1">
      <alignment horizontal="center"/>
    </xf>
    <xf numFmtId="0" fontId="54" fillId="0" borderId="44" xfId="0" applyFont="1" applyBorder="1" applyAlignment="1">
      <alignment horizontal="center"/>
    </xf>
    <xf numFmtId="3" fontId="54" fillId="0" borderId="45" xfId="0" applyNumberFormat="1" applyFont="1" applyBorder="1" applyAlignment="1">
      <alignment horizontal="center"/>
    </xf>
    <xf numFmtId="3" fontId="54" fillId="0" borderId="31" xfId="0" applyNumberFormat="1" applyFont="1" applyBorder="1" applyAlignment="1">
      <alignment horizontal="center"/>
    </xf>
    <xf numFmtId="0" fontId="54" fillId="0" borderId="31" xfId="0" applyFont="1" applyBorder="1" applyAlignment="1">
      <alignment horizontal="center"/>
    </xf>
    <xf numFmtId="0" fontId="54" fillId="0" borderId="46" xfId="0" applyFont="1" applyBorder="1" applyAlignment="1">
      <alignment horizontal="center"/>
    </xf>
    <xf numFmtId="3" fontId="54" fillId="0" borderId="4" xfId="0" applyNumberFormat="1" applyFont="1" applyBorder="1" applyAlignment="1"/>
    <xf numFmtId="3" fontId="80" fillId="0" borderId="0" xfId="0" applyNumberFormat="1" applyFont="1" applyBorder="1" applyAlignment="1">
      <alignment horizontal="center"/>
    </xf>
    <xf numFmtId="166" fontId="80" fillId="0" borderId="0" xfId="13458" applyNumberFormat="1" applyFont="1" applyBorder="1" applyAlignment="1">
      <alignment horizontal="center"/>
    </xf>
    <xf numFmtId="166" fontId="80" fillId="0" borderId="44" xfId="13458" applyNumberFormat="1" applyFont="1" applyBorder="1" applyAlignment="1">
      <alignment horizontal="center"/>
    </xf>
    <xf numFmtId="3" fontId="54" fillId="0" borderId="45" xfId="0" applyNumberFormat="1" applyFont="1" applyBorder="1" applyAlignment="1"/>
    <xf numFmtId="166" fontId="54" fillId="0" borderId="31" xfId="13458" applyNumberFormat="1" applyFont="1" applyBorder="1" applyAlignment="1">
      <alignment horizontal="center"/>
    </xf>
    <xf numFmtId="166" fontId="54" fillId="0" borderId="46" xfId="13458" applyNumberFormat="1" applyFont="1" applyBorder="1" applyAlignment="1">
      <alignment horizontal="center"/>
    </xf>
    <xf numFmtId="3" fontId="54" fillId="0" borderId="13" xfId="0" applyNumberFormat="1" applyFont="1" applyBorder="1" applyAlignment="1"/>
    <xf numFmtId="3" fontId="80" fillId="0" borderId="10" xfId="0" applyNumberFormat="1" applyFont="1" applyBorder="1" applyAlignment="1">
      <alignment horizontal="center"/>
    </xf>
    <xf numFmtId="0" fontId="80" fillId="0" borderId="10" xfId="0" applyFont="1" applyBorder="1" applyAlignment="1">
      <alignment horizontal="center"/>
    </xf>
    <xf numFmtId="166" fontId="80" fillId="0" borderId="10" xfId="13458" applyNumberFormat="1" applyFont="1" applyBorder="1" applyAlignment="1">
      <alignment horizontal="center"/>
    </xf>
    <xf numFmtId="166" fontId="80" fillId="0" borderId="68" xfId="13458" applyNumberFormat="1" applyFont="1" applyBorder="1" applyAlignment="1">
      <alignment horizontal="center"/>
    </xf>
    <xf numFmtId="3" fontId="54" fillId="0" borderId="0" xfId="0" applyNumberFormat="1" applyFont="1" applyFill="1" applyBorder="1" applyAlignment="1">
      <alignment horizontal="center"/>
    </xf>
    <xf numFmtId="3" fontId="54" fillId="0" borderId="44" xfId="0" applyNumberFormat="1" applyFont="1" applyFill="1" applyBorder="1" applyAlignment="1">
      <alignment horizontal="center"/>
    </xf>
    <xf numFmtId="0" fontId="80" fillId="0" borderId="68" xfId="0" applyFont="1" applyBorder="1" applyAlignment="1">
      <alignment horizontal="center"/>
    </xf>
    <xf numFmtId="3" fontId="180" fillId="0" borderId="0" xfId="0" applyNumberFormat="1" applyFont="1" applyFill="1" applyBorder="1"/>
    <xf numFmtId="3" fontId="54" fillId="0" borderId="44" xfId="0" applyNumberFormat="1" applyFont="1" applyFill="1" applyBorder="1"/>
    <xf numFmtId="166" fontId="54" fillId="0" borderId="31" xfId="13458" applyNumberFormat="1" applyFont="1" applyBorder="1" applyAlignment="1"/>
    <xf numFmtId="166" fontId="54" fillId="0" borderId="46" xfId="13458" applyNumberFormat="1" applyFont="1" applyBorder="1" applyAlignment="1"/>
    <xf numFmtId="0" fontId="179" fillId="101" borderId="0" xfId="0" applyNumberFormat="1" applyFont="1" applyFill="1" applyBorder="1" applyAlignment="1">
      <alignment horizontal="center"/>
    </xf>
    <xf numFmtId="0" fontId="80" fillId="0" borderId="4" xfId="13457" applyFont="1" applyFill="1" applyBorder="1"/>
    <xf numFmtId="3" fontId="180" fillId="0" borderId="0" xfId="0" applyNumberFormat="1" applyFont="1" applyBorder="1"/>
    <xf numFmtId="169" fontId="180" fillId="0" borderId="0" xfId="13459" applyNumberFormat="1" applyFont="1" applyBorder="1"/>
    <xf numFmtId="169" fontId="180" fillId="0" borderId="0" xfId="13459" applyNumberFormat="1" applyFont="1" applyFill="1" applyBorder="1"/>
    <xf numFmtId="0" fontId="80" fillId="0" borderId="45" xfId="0" applyFont="1" applyFill="1" applyBorder="1"/>
    <xf numFmtId="0" fontId="80" fillId="0" borderId="4" xfId="0" applyFont="1" applyFill="1" applyBorder="1"/>
    <xf numFmtId="0" fontId="54" fillId="0" borderId="4" xfId="13457" applyFont="1" applyBorder="1" applyAlignment="1">
      <alignment horizontal="left" indent="1"/>
    </xf>
    <xf numFmtId="169" fontId="54" fillId="0" borderId="31" xfId="13459" applyNumberFormat="1" applyFont="1" applyFill="1" applyBorder="1"/>
    <xf numFmtId="0" fontId="54" fillId="0" borderId="0" xfId="0" applyFont="1" applyFill="1"/>
    <xf numFmtId="0" fontId="54" fillId="0" borderId="31" xfId="0" applyFont="1" applyFill="1" applyBorder="1"/>
    <xf numFmtId="169" fontId="180" fillId="0" borderId="4" xfId="1997" applyNumberFormat="1" applyFont="1" applyBorder="1"/>
    <xf numFmtId="169" fontId="180" fillId="0" borderId="0" xfId="1997" applyNumberFormat="1" applyFont="1" applyBorder="1"/>
    <xf numFmtId="169" fontId="180" fillId="0" borderId="0" xfId="1997" applyNumberFormat="1" applyFont="1" applyFill="1" applyBorder="1"/>
    <xf numFmtId="166" fontId="54" fillId="0" borderId="0" xfId="13458" applyNumberFormat="1" applyFont="1" applyBorder="1"/>
    <xf numFmtId="166" fontId="54" fillId="0" borderId="31" xfId="13458" applyNumberFormat="1" applyFont="1" applyBorder="1"/>
    <xf numFmtId="166" fontId="54" fillId="0" borderId="45" xfId="13458" applyNumberFormat="1" applyFont="1" applyBorder="1"/>
    <xf numFmtId="166" fontId="54" fillId="0" borderId="31" xfId="13458" applyNumberFormat="1" applyFont="1" applyFill="1" applyBorder="1"/>
    <xf numFmtId="0" fontId="179" fillId="101" borderId="31" xfId="0" applyNumberFormat="1" applyFont="1" applyFill="1" applyBorder="1" applyAlignment="1">
      <alignment horizontal="center"/>
    </xf>
    <xf numFmtId="0" fontId="181" fillId="0" borderId="0" xfId="0" applyFont="1" applyFill="1"/>
    <xf numFmtId="0" fontId="80" fillId="102" borderId="0" xfId="0" applyFont="1" applyFill="1" applyBorder="1" applyAlignment="1">
      <alignment horizontal="center"/>
    </xf>
    <xf numFmtId="0" fontId="80" fillId="102" borderId="0" xfId="0" applyFont="1" applyFill="1" applyBorder="1" applyAlignment="1">
      <alignment horizontal="left"/>
    </xf>
    <xf numFmtId="0" fontId="80" fillId="102" borderId="44" xfId="0" applyFont="1" applyFill="1" applyBorder="1" applyAlignment="1">
      <alignment horizontal="center"/>
    </xf>
    <xf numFmtId="0" fontId="54" fillId="102" borderId="0" xfId="0" applyFont="1" applyFill="1"/>
    <xf numFmtId="166" fontId="54" fillId="0" borderId="0" xfId="13458" applyNumberFormat="1" applyFont="1" applyBorder="1" applyAlignment="1"/>
    <xf numFmtId="166" fontId="54" fillId="0" borderId="44" xfId="13458" applyNumberFormat="1" applyFont="1" applyBorder="1" applyAlignment="1"/>
    <xf numFmtId="0" fontId="180" fillId="0" borderId="0" xfId="0" applyFont="1" applyFill="1" applyBorder="1"/>
    <xf numFmtId="0" fontId="54" fillId="0" borderId="13" xfId="0" applyFont="1" applyFill="1" applyBorder="1"/>
    <xf numFmtId="169" fontId="54" fillId="0" borderId="0" xfId="1997" applyNumberFormat="1" applyFont="1" applyFill="1"/>
    <xf numFmtId="9" fontId="184" fillId="103" borderId="0" xfId="3075" applyFont="1" applyFill="1"/>
    <xf numFmtId="9" fontId="184" fillId="123" borderId="0" xfId="3075" applyFont="1" applyFill="1"/>
    <xf numFmtId="0" fontId="54" fillId="0" borderId="4" xfId="0" applyFont="1" applyFill="1" applyBorder="1" applyAlignment="1" applyProtection="1">
      <alignment horizontal="left"/>
    </xf>
    <xf numFmtId="0" fontId="80" fillId="0" borderId="13" xfId="0" applyFont="1" applyFill="1" applyBorder="1"/>
    <xf numFmtId="169" fontId="54" fillId="0" borderId="0" xfId="1997" applyNumberFormat="1" applyFont="1"/>
    <xf numFmtId="3" fontId="54" fillId="0" borderId="0" xfId="0" applyNumberFormat="1" applyFont="1" applyFill="1"/>
    <xf numFmtId="169" fontId="54" fillId="0" borderId="0" xfId="13459" applyNumberFormat="1" applyFont="1"/>
    <xf numFmtId="169" fontId="54" fillId="0" borderId="0" xfId="0" applyNumberFormat="1" applyFont="1"/>
    <xf numFmtId="0" fontId="80" fillId="0" borderId="0" xfId="0" applyFont="1" applyBorder="1"/>
    <xf numFmtId="43" fontId="54" fillId="0" borderId="0" xfId="13459" applyFont="1" applyFill="1"/>
    <xf numFmtId="0" fontId="54" fillId="117" borderId="45" xfId="0" applyFont="1" applyFill="1" applyBorder="1"/>
    <xf numFmtId="0" fontId="54" fillId="117" borderId="31" xfId="0" applyFont="1" applyFill="1" applyBorder="1" applyAlignment="1">
      <alignment horizontal="center"/>
    </xf>
    <xf numFmtId="166" fontId="54" fillId="117" borderId="31" xfId="13458" applyNumberFormat="1" applyFont="1" applyFill="1" applyBorder="1" applyAlignment="1">
      <alignment horizontal="center"/>
    </xf>
    <xf numFmtId="166" fontId="54" fillId="117" borderId="46" xfId="13458" applyNumberFormat="1" applyFont="1" applyFill="1" applyBorder="1" applyAlignment="1">
      <alignment horizontal="center"/>
    </xf>
    <xf numFmtId="0" fontId="54" fillId="0" borderId="10" xfId="0" applyFont="1" applyBorder="1" applyAlignment="1">
      <alignment horizontal="center"/>
    </xf>
    <xf numFmtId="166" fontId="54" fillId="0" borderId="10" xfId="13458" applyNumberFormat="1" applyFont="1" applyBorder="1" applyAlignment="1">
      <alignment horizontal="center"/>
    </xf>
    <xf numFmtId="166" fontId="54" fillId="0" borderId="68" xfId="13458" applyNumberFormat="1" applyFont="1" applyBorder="1" applyAlignment="1">
      <alignment horizontal="center"/>
    </xf>
    <xf numFmtId="168" fontId="54" fillId="0" borderId="44" xfId="0" applyNumberFormat="1" applyFont="1" applyBorder="1" applyAlignment="1">
      <alignment horizontal="center"/>
    </xf>
    <xf numFmtId="10" fontId="54" fillId="118" borderId="0" xfId="0" applyNumberFormat="1" applyFont="1" applyFill="1" applyAlignment="1">
      <alignment horizontal="center"/>
    </xf>
    <xf numFmtId="10" fontId="54" fillId="118" borderId="44" xfId="0" applyNumberFormat="1" applyFont="1" applyFill="1" applyBorder="1" applyAlignment="1">
      <alignment horizontal="center"/>
    </xf>
    <xf numFmtId="0" fontId="185" fillId="0" borderId="0" xfId="0" quotePrefix="1" applyFont="1"/>
    <xf numFmtId="0" fontId="54" fillId="0" borderId="0" xfId="0" applyFont="1" applyFill="1" applyAlignment="1">
      <alignment horizontal="right"/>
    </xf>
    <xf numFmtId="10" fontId="54" fillId="0" borderId="31" xfId="13458" applyNumberFormat="1" applyFont="1" applyFill="1" applyBorder="1" applyAlignment="1">
      <alignment horizontal="center"/>
    </xf>
    <xf numFmtId="10" fontId="54" fillId="0" borderId="46" xfId="13458" applyNumberFormat="1" applyFont="1" applyFill="1" applyBorder="1" applyAlignment="1">
      <alignment horizontal="center"/>
    </xf>
    <xf numFmtId="9" fontId="54" fillId="0" borderId="0" xfId="3075" applyFont="1"/>
    <xf numFmtId="3" fontId="54" fillId="117" borderId="31" xfId="0" applyNumberFormat="1" applyFont="1" applyFill="1" applyBorder="1" applyAlignment="1">
      <alignment horizontal="center"/>
    </xf>
    <xf numFmtId="9" fontId="54" fillId="0" borderId="0" xfId="13458" applyFont="1" applyFill="1" applyBorder="1"/>
    <xf numFmtId="9" fontId="54" fillId="0" borderId="0" xfId="0" applyNumberFormat="1" applyFont="1" applyFill="1" applyBorder="1"/>
    <xf numFmtId="0" fontId="181" fillId="0" borderId="0" xfId="0" applyFont="1" applyFill="1" applyBorder="1"/>
    <xf numFmtId="0" fontId="186" fillId="0" borderId="0" xfId="0" applyFont="1" applyFill="1" applyBorder="1"/>
    <xf numFmtId="169" fontId="54" fillId="0" borderId="0" xfId="0" applyNumberFormat="1" applyFont="1" applyFill="1"/>
    <xf numFmtId="9" fontId="54" fillId="0" borderId="0" xfId="13458" applyFont="1"/>
    <xf numFmtId="0" fontId="179" fillId="101" borderId="68" xfId="0" applyNumberFormat="1" applyFont="1" applyFill="1" applyBorder="1" applyAlignment="1">
      <alignment horizontal="center"/>
    </xf>
    <xf numFmtId="169" fontId="54" fillId="0" borderId="0" xfId="13459" applyNumberFormat="1" applyFont="1" applyBorder="1"/>
    <xf numFmtId="0" fontId="179" fillId="101" borderId="13" xfId="0" applyFont="1" applyFill="1" applyBorder="1" applyAlignment="1"/>
    <xf numFmtId="0" fontId="179" fillId="101" borderId="10" xfId="0" applyFont="1" applyFill="1" applyBorder="1" applyAlignment="1">
      <alignment horizontal="center"/>
    </xf>
    <xf numFmtId="0" fontId="54" fillId="0" borderId="4" xfId="13457" applyFont="1" applyBorder="1"/>
    <xf numFmtId="43" fontId="54" fillId="0" borderId="0" xfId="13459" applyFont="1"/>
    <xf numFmtId="0" fontId="80" fillId="0" borderId="0" xfId="0" applyFont="1" applyFill="1" applyBorder="1" applyAlignment="1">
      <alignment horizontal="center"/>
    </xf>
    <xf numFmtId="0" fontId="80" fillId="0" borderId="10" xfId="0" applyFont="1" applyFill="1" applyBorder="1" applyAlignment="1">
      <alignment horizontal="center"/>
    </xf>
    <xf numFmtId="3" fontId="187" fillId="0" borderId="0" xfId="0" applyNumberFormat="1" applyFont="1" applyBorder="1"/>
    <xf numFmtId="3" fontId="187" fillId="0" borderId="0" xfId="0" applyNumberFormat="1" applyFont="1" applyFill="1" applyBorder="1"/>
    <xf numFmtId="9" fontId="54" fillId="0" borderId="0" xfId="13458" applyFont="1" applyFill="1"/>
    <xf numFmtId="9" fontId="54" fillId="0" borderId="0" xfId="0" applyNumberFormat="1" applyFont="1" applyFill="1"/>
    <xf numFmtId="3" fontId="54" fillId="0" borderId="37" xfId="0" applyNumberFormat="1" applyFont="1" applyBorder="1"/>
    <xf numFmtId="0" fontId="80" fillId="0" borderId="58" xfId="0" applyFont="1" applyBorder="1"/>
    <xf numFmtId="0" fontId="80" fillId="0" borderId="58" xfId="0" applyFont="1" applyFill="1" applyBorder="1"/>
    <xf numFmtId="0" fontId="179" fillId="101" borderId="58" xfId="0" applyFont="1" applyFill="1" applyBorder="1" applyAlignment="1"/>
    <xf numFmtId="0" fontId="183" fillId="0" borderId="0" xfId="0" applyFont="1" applyFill="1" applyBorder="1"/>
    <xf numFmtId="0" fontId="54" fillId="0" borderId="0" xfId="0" applyFont="1" applyFill="1" applyBorder="1" applyAlignment="1"/>
    <xf numFmtId="1" fontId="54" fillId="0" borderId="0" xfId="6529" applyNumberFormat="1" applyFont="1" applyFill="1" applyAlignment="1"/>
    <xf numFmtId="1" fontId="54" fillId="0" borderId="0" xfId="6529" applyNumberFormat="1" applyFont="1" applyFill="1" applyAlignment="1">
      <alignment horizontal="center"/>
    </xf>
    <xf numFmtId="166" fontId="54" fillId="0" borderId="0" xfId="13458" applyNumberFormat="1" applyFont="1" applyFill="1" applyBorder="1" applyAlignment="1">
      <alignment horizontal="center"/>
    </xf>
    <xf numFmtId="0" fontId="54" fillId="0" borderId="31" xfId="0" applyFont="1" applyFill="1" applyBorder="1" applyAlignment="1">
      <alignment horizontal="center"/>
    </xf>
    <xf numFmtId="0" fontId="54" fillId="0" borderId="0" xfId="0" applyFont="1" applyFill="1" applyAlignment="1">
      <alignment horizontal="center"/>
    </xf>
    <xf numFmtId="9" fontId="54" fillId="0" borderId="0" xfId="0" applyNumberFormat="1" applyFont="1" applyAlignment="1">
      <alignment horizontal="center"/>
    </xf>
    <xf numFmtId="0" fontId="80" fillId="0" borderId="0" xfId="0" applyFont="1" applyFill="1"/>
    <xf numFmtId="166" fontId="80" fillId="0" borderId="0" xfId="13458" applyNumberFormat="1" applyFont="1" applyFill="1" applyBorder="1" applyAlignment="1">
      <alignment horizontal="center"/>
    </xf>
    <xf numFmtId="169" fontId="54" fillId="0" borderId="0" xfId="13459" applyNumberFormat="1" applyFont="1" applyFill="1"/>
    <xf numFmtId="0" fontId="80" fillId="0" borderId="0" xfId="0" applyFont="1" applyFill="1" applyAlignment="1">
      <alignment horizontal="center"/>
    </xf>
    <xf numFmtId="43" fontId="54" fillId="0" borderId="0" xfId="0" applyNumberFormat="1" applyFont="1" applyBorder="1"/>
    <xf numFmtId="0" fontId="179" fillId="101" borderId="4" xfId="0" applyFont="1" applyFill="1" applyBorder="1" applyAlignment="1">
      <alignment horizontal="left"/>
    </xf>
    <xf numFmtId="0" fontId="179" fillId="101" borderId="44" xfId="0" applyNumberFormat="1" applyFont="1" applyFill="1" applyBorder="1" applyAlignment="1">
      <alignment horizontal="center"/>
    </xf>
    <xf numFmtId="3" fontId="80" fillId="0" borderId="31" xfId="0" applyNumberFormat="1" applyFont="1" applyBorder="1"/>
    <xf numFmtId="0" fontId="54" fillId="0" borderId="37" xfId="0" applyFont="1" applyBorder="1"/>
    <xf numFmtId="3" fontId="80" fillId="0" borderId="31" xfId="0" applyNumberFormat="1" applyFont="1" applyFill="1" applyBorder="1"/>
    <xf numFmtId="3" fontId="80" fillId="0" borderId="0" xfId="0" applyNumberFormat="1" applyFont="1" applyBorder="1"/>
    <xf numFmtId="3" fontId="80" fillId="0" borderId="0" xfId="0" applyNumberFormat="1" applyFont="1"/>
    <xf numFmtId="9" fontId="54" fillId="0" borderId="31" xfId="13458" applyFont="1" applyBorder="1"/>
    <xf numFmtId="0" fontId="179" fillId="124" borderId="10" xfId="0" applyNumberFormat="1" applyFont="1" applyFill="1" applyBorder="1" applyAlignment="1">
      <alignment horizontal="center"/>
    </xf>
    <xf numFmtId="0" fontId="80" fillId="102" borderId="0" xfId="0" applyFont="1" applyFill="1" applyAlignment="1">
      <alignment horizontal="center"/>
    </xf>
    <xf numFmtId="0" fontId="80" fillId="0" borderId="0" xfId="0" applyNumberFormat="1" applyFont="1" applyFill="1" applyBorder="1" applyAlignment="1">
      <alignment horizontal="center"/>
    </xf>
    <xf numFmtId="0" fontId="54" fillId="102" borderId="0" xfId="0" applyFont="1" applyFill="1" applyBorder="1"/>
    <xf numFmtId="169" fontId="180" fillId="102" borderId="0" xfId="1997" applyNumberFormat="1" applyFont="1" applyFill="1" applyBorder="1"/>
    <xf numFmtId="169" fontId="187" fillId="0" borderId="0" xfId="1997" applyNumberFormat="1" applyFont="1" applyBorder="1"/>
    <xf numFmtId="169" fontId="187" fillId="0" borderId="44" xfId="1997" applyNumberFormat="1" applyFont="1" applyBorder="1"/>
    <xf numFmtId="169" fontId="187" fillId="0" borderId="4" xfId="1997" applyNumberFormat="1" applyFont="1" applyBorder="1"/>
    <xf numFmtId="169" fontId="187" fillId="102" borderId="0" xfId="1997" applyNumberFormat="1" applyFont="1" applyFill="1" applyBorder="1"/>
    <xf numFmtId="169" fontId="187" fillId="0" borderId="0" xfId="1997" applyNumberFormat="1" applyFont="1" applyFill="1" applyBorder="1"/>
    <xf numFmtId="3" fontId="187" fillId="0" borderId="44" xfId="0" applyNumberFormat="1" applyFont="1" applyBorder="1"/>
    <xf numFmtId="169" fontId="187" fillId="0" borderId="4" xfId="13459" applyNumberFormat="1" applyFont="1" applyBorder="1"/>
    <xf numFmtId="169" fontId="187" fillId="102" borderId="0" xfId="13459" applyNumberFormat="1" applyFont="1" applyFill="1" applyBorder="1"/>
    <xf numFmtId="3" fontId="187" fillId="0" borderId="31" xfId="0" applyNumberFormat="1" applyFont="1" applyBorder="1"/>
    <xf numFmtId="3" fontId="187" fillId="0" borderId="4" xfId="0" applyNumberFormat="1" applyFont="1" applyBorder="1"/>
    <xf numFmtId="3" fontId="187" fillId="102" borderId="0" xfId="0" applyNumberFormat="1" applyFont="1" applyFill="1" applyBorder="1"/>
    <xf numFmtId="0" fontId="187" fillId="0" borderId="4" xfId="0" applyFont="1" applyBorder="1"/>
    <xf numFmtId="0" fontId="187" fillId="102" borderId="0" xfId="0" applyFont="1" applyFill="1" applyBorder="1"/>
    <xf numFmtId="166" fontId="187" fillId="0" borderId="31" xfId="13458" applyNumberFormat="1" applyFont="1" applyBorder="1"/>
    <xf numFmtId="166" fontId="187" fillId="0" borderId="46" xfId="13458" applyNumberFormat="1" applyFont="1" applyBorder="1"/>
    <xf numFmtId="166" fontId="187" fillId="0" borderId="45" xfId="13458" applyNumberFormat="1" applyFont="1" applyBorder="1"/>
    <xf numFmtId="166" fontId="187" fillId="102" borderId="31" xfId="13458" applyNumberFormat="1" applyFont="1" applyFill="1" applyBorder="1"/>
    <xf numFmtId="0" fontId="179" fillId="101" borderId="13" xfId="0" applyFont="1" applyFill="1" applyBorder="1"/>
    <xf numFmtId="0" fontId="179" fillId="101" borderId="10" xfId="0" applyFont="1" applyFill="1" applyBorder="1"/>
    <xf numFmtId="3" fontId="54" fillId="0" borderId="10" xfId="0" applyNumberFormat="1" applyFont="1" applyBorder="1" applyAlignment="1">
      <alignment horizontal="center"/>
    </xf>
    <xf numFmtId="43" fontId="54" fillId="0" borderId="0" xfId="1997" applyFont="1" applyBorder="1"/>
    <xf numFmtId="0" fontId="179" fillId="101" borderId="0" xfId="0" applyFont="1" applyFill="1" applyBorder="1"/>
    <xf numFmtId="169" fontId="54" fillId="0" borderId="0" xfId="0" applyNumberFormat="1" applyFont="1" applyBorder="1"/>
    <xf numFmtId="10" fontId="54" fillId="0" borderId="0" xfId="0" applyNumberFormat="1" applyFont="1" applyFill="1" applyBorder="1"/>
    <xf numFmtId="9" fontId="54" fillId="0" borderId="0" xfId="13458" applyFont="1" applyBorder="1"/>
    <xf numFmtId="0" fontId="184" fillId="101" borderId="0" xfId="0" applyFont="1" applyFill="1" applyBorder="1" applyAlignment="1">
      <alignment horizontal="center"/>
    </xf>
    <xf numFmtId="3" fontId="184" fillId="101" borderId="0" xfId="0" applyNumberFormat="1" applyFont="1" applyFill="1" applyBorder="1" applyAlignment="1">
      <alignment horizontal="center"/>
    </xf>
    <xf numFmtId="10" fontId="54" fillId="0" borderId="0" xfId="13458" applyNumberFormat="1" applyFont="1" applyFill="1" applyBorder="1" applyAlignment="1">
      <alignment horizontal="center"/>
    </xf>
    <xf numFmtId="169" fontId="54" fillId="0" borderId="0" xfId="13459" applyNumberFormat="1" applyFont="1" applyFill="1" applyBorder="1" applyAlignment="1">
      <alignment horizontal="center"/>
    </xf>
    <xf numFmtId="166" fontId="54" fillId="0" borderId="0" xfId="13458" applyNumberFormat="1" applyFont="1" applyBorder="1" applyAlignment="1">
      <alignment horizontal="center"/>
    </xf>
    <xf numFmtId="10" fontId="80" fillId="0" borderId="0" xfId="13458" applyNumberFormat="1" applyFont="1" applyFill="1" applyBorder="1" applyAlignment="1">
      <alignment horizontal="center" vertical="center"/>
    </xf>
    <xf numFmtId="0" fontId="179" fillId="0" borderId="0" xfId="0" applyFont="1" applyFill="1" applyBorder="1"/>
    <xf numFmtId="0" fontId="179" fillId="0" borderId="0" xfId="0" applyNumberFormat="1" applyFont="1" applyFill="1" applyBorder="1" applyAlignment="1">
      <alignment horizontal="center"/>
    </xf>
    <xf numFmtId="166" fontId="54" fillId="0" borderId="4" xfId="13458" applyNumberFormat="1" applyFont="1" applyBorder="1" applyAlignment="1">
      <alignment horizontal="center"/>
    </xf>
    <xf numFmtId="0" fontId="179" fillId="101" borderId="4" xfId="0" applyNumberFormat="1" applyFont="1" applyFill="1" applyBorder="1" applyAlignment="1">
      <alignment horizontal="center"/>
    </xf>
    <xf numFmtId="43" fontId="54" fillId="0" borderId="0" xfId="13459" applyFont="1" applyBorder="1"/>
    <xf numFmtId="10" fontId="54" fillId="0" borderId="0" xfId="13458" applyNumberFormat="1" applyFont="1" applyBorder="1" applyAlignment="1">
      <alignment horizontal="center"/>
    </xf>
    <xf numFmtId="166" fontId="54" fillId="102" borderId="0" xfId="13458" applyNumberFormat="1" applyFont="1" applyFill="1" applyBorder="1" applyAlignment="1">
      <alignment horizontal="center"/>
    </xf>
    <xf numFmtId="166" fontId="54" fillId="0" borderId="31" xfId="3075" applyNumberFormat="1" applyFont="1" applyBorder="1"/>
    <xf numFmtId="166" fontId="54" fillId="0" borderId="0" xfId="13458" applyNumberFormat="1" applyFont="1" applyFill="1"/>
    <xf numFmtId="9" fontId="54" fillId="0" borderId="31" xfId="13458" applyFont="1" applyFill="1" applyBorder="1"/>
    <xf numFmtId="9" fontId="54" fillId="0" borderId="0" xfId="0" applyNumberFormat="1" applyFont="1"/>
    <xf numFmtId="0" fontId="54" fillId="0" borderId="59" xfId="0" applyFont="1" applyBorder="1"/>
    <xf numFmtId="0" fontId="179" fillId="101" borderId="0" xfId="0" applyFont="1" applyFill="1" applyAlignment="1">
      <alignment horizontal="left"/>
    </xf>
    <xf numFmtId="0" fontId="179" fillId="101" borderId="0" xfId="0" applyFont="1" applyFill="1" applyAlignment="1">
      <alignment horizontal="right"/>
    </xf>
    <xf numFmtId="166" fontId="54" fillId="0" borderId="0" xfId="3075" applyNumberFormat="1" applyFont="1"/>
    <xf numFmtId="222" fontId="54" fillId="0" borderId="0" xfId="3647" applyNumberFormat="1" applyFont="1"/>
    <xf numFmtId="166" fontId="54" fillId="0" borderId="0" xfId="0" applyNumberFormat="1" applyFont="1"/>
    <xf numFmtId="222" fontId="54" fillId="0" borderId="0" xfId="0" applyNumberFormat="1" applyFont="1"/>
    <xf numFmtId="166" fontId="54" fillId="0" borderId="0" xfId="3075" applyNumberFormat="1" applyFont="1" applyFill="1"/>
    <xf numFmtId="0" fontId="179" fillId="101" borderId="0" xfId="0" applyFont="1" applyFill="1" applyBorder="1" applyAlignment="1">
      <alignment horizontal="right"/>
    </xf>
    <xf numFmtId="0" fontId="184" fillId="0" borderId="0" xfId="0" applyFont="1" applyFill="1" applyBorder="1" applyAlignment="1">
      <alignment horizontal="right"/>
    </xf>
    <xf numFmtId="166" fontId="54" fillId="0" borderId="0" xfId="3075" applyNumberFormat="1" applyFont="1" applyBorder="1"/>
    <xf numFmtId="169" fontId="179" fillId="101" borderId="0" xfId="1997" applyNumberFormat="1" applyFont="1" applyFill="1" applyBorder="1" applyAlignment="1">
      <alignment horizontal="center"/>
    </xf>
    <xf numFmtId="166" fontId="54" fillId="0" borderId="0" xfId="3075" applyNumberFormat="1" applyFont="1" applyBorder="1" applyAlignment="1">
      <alignment horizontal="center"/>
    </xf>
    <xf numFmtId="10" fontId="54" fillId="0" borderId="0" xfId="3075" applyNumberFormat="1" applyFont="1" applyFill="1" applyBorder="1"/>
    <xf numFmtId="10" fontId="54" fillId="0" borderId="0" xfId="1997" applyNumberFormat="1" applyFont="1" applyFill="1" applyBorder="1"/>
    <xf numFmtId="43" fontId="54" fillId="0" borderId="0" xfId="1997" applyFont="1"/>
    <xf numFmtId="43" fontId="54" fillId="0" borderId="0" xfId="0" applyNumberFormat="1" applyFont="1"/>
    <xf numFmtId="0" fontId="179" fillId="101" borderId="0" xfId="0" applyFont="1" applyFill="1" applyBorder="1" applyAlignment="1">
      <alignment horizontal="left"/>
    </xf>
    <xf numFmtId="169" fontId="54" fillId="0" borderId="0" xfId="1997" applyNumberFormat="1" applyFont="1" applyBorder="1"/>
    <xf numFmtId="169" fontId="180" fillId="0" borderId="0" xfId="1997" applyNumberFormat="1" applyFont="1" applyBorder="1" applyAlignment="1">
      <alignment horizontal="center"/>
    </xf>
    <xf numFmtId="169" fontId="54" fillId="0" borderId="0" xfId="1997" applyNumberFormat="1" applyFont="1" applyFill="1" applyBorder="1"/>
    <xf numFmtId="0" fontId="189" fillId="0" borderId="0" xfId="0" applyFont="1" applyBorder="1"/>
    <xf numFmtId="169" fontId="189" fillId="0" borderId="0" xfId="1997" applyNumberFormat="1" applyFont="1" applyBorder="1"/>
    <xf numFmtId="169" fontId="54" fillId="0" borderId="31" xfId="0" applyNumberFormat="1" applyFont="1" applyBorder="1"/>
    <xf numFmtId="169" fontId="54" fillId="0" borderId="37" xfId="0" applyNumberFormat="1" applyFont="1" applyBorder="1"/>
    <xf numFmtId="0" fontId="179" fillId="101" borderId="0" xfId="0" applyFont="1" applyFill="1"/>
    <xf numFmtId="166" fontId="54" fillId="125" borderId="0" xfId="3075" applyNumberFormat="1" applyFont="1" applyFill="1" applyAlignment="1">
      <alignment horizontal="center"/>
    </xf>
    <xf numFmtId="166" fontId="54" fillId="123" borderId="0" xfId="3075" applyNumberFormat="1" applyFont="1" applyFill="1" applyAlignment="1">
      <alignment horizontal="center"/>
    </xf>
    <xf numFmtId="166" fontId="54" fillId="0" borderId="0" xfId="0" applyNumberFormat="1" applyFont="1" applyAlignment="1">
      <alignment horizontal="center"/>
    </xf>
    <xf numFmtId="9" fontId="54" fillId="0" borderId="0" xfId="3075" applyFont="1" applyAlignment="1">
      <alignment horizontal="center"/>
    </xf>
    <xf numFmtId="170" fontId="54" fillId="0" borderId="0" xfId="0" applyNumberFormat="1" applyFont="1"/>
    <xf numFmtId="170" fontId="80" fillId="0" borderId="0" xfId="0" applyNumberFormat="1" applyFont="1"/>
    <xf numFmtId="0" fontId="54" fillId="0" borderId="20" xfId="0" applyFont="1" applyBorder="1"/>
    <xf numFmtId="0" fontId="54" fillId="108" borderId="20" xfId="0" applyFont="1" applyFill="1" applyBorder="1" applyAlignment="1">
      <alignment horizontal="center"/>
    </xf>
    <xf numFmtId="1" fontId="80" fillId="103" borderId="0" xfId="3075" applyNumberFormat="1" applyFont="1" applyFill="1" applyBorder="1" applyAlignment="1">
      <alignment horizontal="center"/>
    </xf>
    <xf numFmtId="9" fontId="54" fillId="0" borderId="0" xfId="3075" applyFont="1" applyFill="1" applyBorder="1" applyAlignment="1">
      <alignment horizontal="center"/>
    </xf>
    <xf numFmtId="170" fontId="54" fillId="0" borderId="20" xfId="0" applyNumberFormat="1" applyFont="1" applyBorder="1"/>
    <xf numFmtId="222" fontId="54" fillId="0" borderId="20" xfId="3647" applyNumberFormat="1" applyFont="1" applyFill="1" applyBorder="1"/>
    <xf numFmtId="222" fontId="54" fillId="0" borderId="20" xfId="3647" applyNumberFormat="1" applyFont="1" applyBorder="1"/>
    <xf numFmtId="222" fontId="54" fillId="0" borderId="20" xfId="0" applyNumberFormat="1" applyFont="1" applyBorder="1"/>
    <xf numFmtId="0" fontId="80" fillId="116" borderId="60" xfId="0" applyFont="1" applyFill="1" applyBorder="1" applyAlignment="1">
      <alignment horizontal="center"/>
    </xf>
    <xf numFmtId="0" fontId="80" fillId="109" borderId="60" xfId="0" applyFont="1" applyFill="1" applyBorder="1" applyAlignment="1">
      <alignment horizontal="center"/>
    </xf>
    <xf numFmtId="170" fontId="54" fillId="0" borderId="0" xfId="0" applyNumberFormat="1" applyFont="1" applyAlignment="1">
      <alignment horizontal="center"/>
    </xf>
    <xf numFmtId="0" fontId="54" fillId="116" borderId="61" xfId="0" applyFont="1" applyFill="1" applyBorder="1" applyAlignment="1">
      <alignment horizontal="center"/>
    </xf>
    <xf numFmtId="0" fontId="54" fillId="109" borderId="61" xfId="0" applyFont="1" applyFill="1" applyBorder="1"/>
    <xf numFmtId="0" fontId="54" fillId="108" borderId="60" xfId="0" applyFont="1" applyFill="1" applyBorder="1" applyAlignment="1">
      <alignment horizontal="center"/>
    </xf>
    <xf numFmtId="0" fontId="54" fillId="109" borderId="42" xfId="0" applyFont="1" applyFill="1" applyBorder="1"/>
    <xf numFmtId="222" fontId="54" fillId="103" borderId="20" xfId="3647" applyNumberFormat="1" applyFont="1" applyFill="1" applyBorder="1"/>
    <xf numFmtId="3" fontId="54" fillId="0" borderId="0" xfId="0" applyNumberFormat="1" applyFont="1" applyAlignment="1">
      <alignment horizontal="center"/>
    </xf>
    <xf numFmtId="0" fontId="54" fillId="102" borderId="0" xfId="0" applyFont="1" applyFill="1" applyAlignment="1">
      <alignment horizontal="center"/>
    </xf>
    <xf numFmtId="166" fontId="54" fillId="102" borderId="0" xfId="3075" applyNumberFormat="1" applyFont="1" applyFill="1" applyAlignment="1">
      <alignment horizontal="center"/>
    </xf>
    <xf numFmtId="0" fontId="54" fillId="103" borderId="0" xfId="0" applyFont="1" applyFill="1" applyAlignment="1">
      <alignment horizontal="center"/>
    </xf>
    <xf numFmtId="166" fontId="54" fillId="103" borderId="0" xfId="3075" applyNumberFormat="1" applyFont="1" applyFill="1" applyAlignment="1">
      <alignment horizontal="center"/>
    </xf>
    <xf numFmtId="168" fontId="54" fillId="0" borderId="0" xfId="0" applyNumberFormat="1" applyFont="1" applyAlignment="1">
      <alignment horizontal="center"/>
    </xf>
    <xf numFmtId="222" fontId="54" fillId="102" borderId="0" xfId="3647" applyNumberFormat="1" applyFont="1" applyFill="1" applyAlignment="1">
      <alignment horizontal="center"/>
    </xf>
    <xf numFmtId="0" fontId="179" fillId="0" borderId="0" xfId="0" applyFont="1" applyFill="1" applyAlignment="1"/>
    <xf numFmtId="44" fontId="54" fillId="102" borderId="0" xfId="3075" applyNumberFormat="1" applyFont="1" applyFill="1"/>
    <xf numFmtId="9" fontId="54" fillId="102" borderId="0" xfId="3075" applyFont="1" applyFill="1"/>
    <xf numFmtId="170" fontId="190" fillId="0" borderId="0" xfId="0" applyNumberFormat="1" applyFont="1"/>
    <xf numFmtId="3" fontId="191" fillId="101" borderId="0" xfId="9835" applyNumberFormat="1" applyFont="1" applyFill="1" applyBorder="1" applyAlignment="1">
      <alignment horizontal="left"/>
    </xf>
    <xf numFmtId="1" fontId="191" fillId="101" borderId="0" xfId="9835" applyNumberFormat="1" applyFont="1" applyFill="1" applyBorder="1" applyAlignment="1">
      <alignment horizontal="center"/>
    </xf>
    <xf numFmtId="0" fontId="187" fillId="102" borderId="0" xfId="9835" applyFont="1" applyFill="1" applyAlignment="1">
      <alignment horizontal="left"/>
    </xf>
    <xf numFmtId="166" fontId="54" fillId="102" borderId="0" xfId="9837" applyNumberFormat="1" applyFont="1" applyFill="1" applyAlignment="1">
      <alignment horizontal="center"/>
    </xf>
    <xf numFmtId="0" fontId="54" fillId="0" borderId="0" xfId="0" applyFont="1" applyAlignment="1">
      <alignment horizontal="left"/>
    </xf>
    <xf numFmtId="3" fontId="191" fillId="101" borderId="0" xfId="13456" applyNumberFormat="1" applyFont="1" applyFill="1" applyBorder="1" applyAlignment="1">
      <alignment horizontal="left"/>
    </xf>
    <xf numFmtId="3" fontId="191" fillId="101" borderId="0" xfId="13456" applyNumberFormat="1" applyFont="1" applyFill="1" applyBorder="1" applyAlignment="1">
      <alignment horizontal="center"/>
    </xf>
    <xf numFmtId="37" fontId="54" fillId="0" borderId="0" xfId="13455" applyNumberFormat="1" applyFont="1" applyFill="1" applyAlignment="1">
      <alignment horizontal="center" vertical="center"/>
    </xf>
    <xf numFmtId="166" fontId="54" fillId="0" borderId="0" xfId="13456" applyNumberFormat="1" applyFont="1" applyFill="1" applyAlignment="1">
      <alignment horizontal="center" vertical="center"/>
    </xf>
    <xf numFmtId="170" fontId="180" fillId="117" borderId="0" xfId="0" applyNumberFormat="1" applyFont="1" applyFill="1" applyAlignment="1">
      <alignment horizontal="center"/>
    </xf>
    <xf numFmtId="0" fontId="192" fillId="0" borderId="0" xfId="0" quotePrefix="1" applyFont="1"/>
    <xf numFmtId="236" fontId="180" fillId="0" borderId="0" xfId="0" applyNumberFormat="1" applyFont="1" applyAlignment="1">
      <alignment horizontal="center"/>
    </xf>
    <xf numFmtId="222" fontId="54" fillId="102" borderId="0" xfId="3075" applyNumberFormat="1" applyFont="1" applyFill="1"/>
    <xf numFmtId="0" fontId="80" fillId="119" borderId="69" xfId="0" applyFont="1" applyFill="1" applyBorder="1" applyAlignment="1"/>
    <xf numFmtId="0" fontId="187" fillId="0" borderId="0" xfId="5081" applyFont="1"/>
    <xf numFmtId="0" fontId="184" fillId="106" borderId="62" xfId="5081" applyFont="1" applyFill="1" applyBorder="1" applyAlignment="1">
      <alignment horizontal="left" vertical="center" wrapText="1"/>
    </xf>
    <xf numFmtId="0" fontId="184" fillId="106" borderId="42" xfId="5081" applyFont="1" applyFill="1" applyBorder="1" applyAlignment="1">
      <alignment horizontal="center" vertical="center" wrapText="1"/>
    </xf>
    <xf numFmtId="0" fontId="184" fillId="106" borderId="42" xfId="5081" applyFont="1" applyFill="1" applyBorder="1" applyAlignment="1">
      <alignment horizontal="left" vertical="center" wrapText="1"/>
    </xf>
    <xf numFmtId="0" fontId="184" fillId="106" borderId="43" xfId="5081" applyFont="1" applyFill="1" applyBorder="1" applyAlignment="1">
      <alignment horizontal="left" vertical="center" wrapText="1"/>
    </xf>
    <xf numFmtId="0" fontId="193" fillId="111" borderId="62" xfId="5081" applyFont="1" applyFill="1" applyBorder="1" applyAlignment="1">
      <alignment horizontal="left" vertical="center" wrapText="1"/>
    </xf>
    <xf numFmtId="0" fontId="193" fillId="111" borderId="42" xfId="5081" applyFont="1" applyFill="1" applyBorder="1" applyAlignment="1">
      <alignment horizontal="left" vertical="center" wrapText="1"/>
    </xf>
    <xf numFmtId="0" fontId="193" fillId="111" borderId="45" xfId="5081" applyFont="1" applyFill="1" applyBorder="1" applyAlignment="1">
      <alignment horizontal="left" vertical="center" wrapText="1"/>
    </xf>
    <xf numFmtId="0" fontId="193" fillId="111" borderId="43" xfId="5081" applyFont="1" applyFill="1" applyBorder="1" applyAlignment="1">
      <alignment horizontal="left" vertical="center" wrapText="1"/>
    </xf>
    <xf numFmtId="0" fontId="54" fillId="105" borderId="47" xfId="0" applyFont="1" applyFill="1" applyBorder="1"/>
    <xf numFmtId="0" fontId="54" fillId="105" borderId="20" xfId="0" applyFont="1" applyFill="1" applyBorder="1"/>
    <xf numFmtId="0" fontId="54" fillId="105" borderId="40" xfId="0" applyFont="1" applyFill="1" applyBorder="1"/>
    <xf numFmtId="0" fontId="54" fillId="108" borderId="47" xfId="0" applyFont="1" applyFill="1" applyBorder="1"/>
    <xf numFmtId="0" fontId="54" fillId="108" borderId="20" xfId="0" applyFont="1" applyFill="1" applyBorder="1"/>
    <xf numFmtId="0" fontId="54" fillId="108" borderId="40" xfId="0" applyFont="1" applyFill="1" applyBorder="1"/>
    <xf numFmtId="0" fontId="80" fillId="119" borderId="70" xfId="0" applyFont="1" applyFill="1" applyBorder="1" applyAlignment="1">
      <alignment horizontal="center"/>
    </xf>
    <xf numFmtId="0" fontId="54" fillId="107" borderId="47" xfId="0" applyFont="1" applyFill="1" applyBorder="1"/>
    <xf numFmtId="0" fontId="54" fillId="107" borderId="20" xfId="0" applyFont="1" applyFill="1" applyBorder="1"/>
    <xf numFmtId="0" fontId="54" fillId="107" borderId="40" xfId="0" applyFont="1" applyFill="1" applyBorder="1"/>
    <xf numFmtId="0" fontId="184" fillId="101" borderId="0" xfId="5081" applyFont="1" applyFill="1" applyAlignment="1">
      <alignment horizontal="center"/>
    </xf>
    <xf numFmtId="10" fontId="187" fillId="0" borderId="20" xfId="5206" applyNumberFormat="1" applyFont="1" applyFill="1" applyBorder="1" applyAlignment="1">
      <alignment horizontal="right"/>
    </xf>
    <xf numFmtId="222" fontId="187" fillId="0" borderId="40" xfId="5073" applyNumberFormat="1" applyFont="1" applyFill="1" applyBorder="1" applyAlignment="1">
      <alignment horizontal="right"/>
    </xf>
    <xf numFmtId="10" fontId="190" fillId="0" borderId="47" xfId="3075" applyNumberFormat="1" applyFont="1" applyBorder="1"/>
    <xf numFmtId="44" fontId="54" fillId="0" borderId="47" xfId="3647" applyFont="1" applyBorder="1"/>
    <xf numFmtId="44" fontId="54" fillId="0" borderId="37" xfId="3647" applyFont="1" applyBorder="1"/>
    <xf numFmtId="44" fontId="54" fillId="0" borderId="20" xfId="3647" applyFont="1" applyBorder="1"/>
    <xf numFmtId="44" fontId="54" fillId="0" borderId="40" xfId="3647" applyFont="1" applyBorder="1"/>
    <xf numFmtId="0" fontId="187" fillId="0" borderId="20" xfId="5081" applyFont="1" applyBorder="1" applyAlignment="1">
      <alignment horizontal="center"/>
    </xf>
    <xf numFmtId="44" fontId="187" fillId="0" borderId="20" xfId="3647" applyFont="1" applyBorder="1" applyAlignment="1">
      <alignment horizontal="center"/>
    </xf>
    <xf numFmtId="9" fontId="54" fillId="0" borderId="20" xfId="5206" applyFont="1" applyBorder="1" applyAlignment="1">
      <alignment horizontal="center"/>
    </xf>
    <xf numFmtId="44" fontId="187" fillId="0" borderId="0" xfId="3647" applyFont="1"/>
    <xf numFmtId="44" fontId="54" fillId="0" borderId="0" xfId="5073" applyFont="1"/>
    <xf numFmtId="0" fontId="187" fillId="0" borderId="20" xfId="5081" applyFont="1" applyBorder="1"/>
    <xf numFmtId="10" fontId="187" fillId="0" borderId="0" xfId="5206" applyNumberFormat="1" applyFont="1" applyFill="1" applyBorder="1" applyAlignment="1">
      <alignment horizontal="right"/>
    </xf>
    <xf numFmtId="222" fontId="187" fillId="0" borderId="0" xfId="5073" applyNumberFormat="1" applyFont="1" applyFill="1" applyBorder="1" applyAlignment="1">
      <alignment horizontal="right"/>
    </xf>
    <xf numFmtId="44" fontId="54" fillId="0" borderId="0" xfId="3647" applyFont="1" applyBorder="1"/>
    <xf numFmtId="169" fontId="187" fillId="0" borderId="0" xfId="1997" applyNumberFormat="1" applyFont="1"/>
    <xf numFmtId="222" fontId="187" fillId="0" borderId="0" xfId="5081" applyNumberFormat="1" applyFont="1"/>
    <xf numFmtId="6" fontId="187" fillId="0" borderId="47" xfId="5081" applyNumberFormat="1" applyFont="1" applyFill="1" applyBorder="1" applyAlignment="1">
      <alignment horizontal="right"/>
    </xf>
    <xf numFmtId="0" fontId="187" fillId="0" borderId="20" xfId="5081" applyNumberFormat="1" applyFont="1" applyFill="1" applyBorder="1" applyAlignment="1">
      <alignment horizontal="right"/>
    </xf>
    <xf numFmtId="10" fontId="190" fillId="0" borderId="20" xfId="3075" applyNumberFormat="1" applyFont="1" applyBorder="1"/>
    <xf numFmtId="10" fontId="190" fillId="0" borderId="40" xfId="3075" applyNumberFormat="1" applyFont="1" applyBorder="1"/>
    <xf numFmtId="6" fontId="187" fillId="0" borderId="72" xfId="5081" applyNumberFormat="1" applyFont="1" applyFill="1" applyBorder="1" applyAlignment="1">
      <alignment horizontal="right"/>
    </xf>
    <xf numFmtId="0" fontId="187" fillId="0" borderId="60" xfId="5081" applyNumberFormat="1" applyFont="1" applyFill="1" applyBorder="1" applyAlignment="1">
      <alignment horizontal="right"/>
    </xf>
    <xf numFmtId="6" fontId="187" fillId="0" borderId="20" xfId="5081" applyNumberFormat="1" applyFont="1" applyFill="1" applyBorder="1" applyAlignment="1">
      <alignment horizontal="right"/>
    </xf>
    <xf numFmtId="0" fontId="187" fillId="0" borderId="20" xfId="5081" applyFont="1" applyFill="1" applyBorder="1" applyAlignment="1">
      <alignment horizontal="right" vertical="center"/>
    </xf>
    <xf numFmtId="0" fontId="187" fillId="0" borderId="20" xfId="5081" applyFont="1" applyFill="1" applyBorder="1" applyAlignment="1">
      <alignment horizontal="right"/>
    </xf>
    <xf numFmtId="222" fontId="187" fillId="0" borderId="20" xfId="3647" applyNumberFormat="1" applyFont="1" applyFill="1" applyBorder="1" applyAlignment="1">
      <alignment horizontal="right"/>
    </xf>
    <xf numFmtId="0" fontId="187" fillId="113" borderId="20" xfId="5081" applyFont="1" applyFill="1" applyBorder="1" applyAlignment="1">
      <alignment horizontal="right" vertical="center"/>
    </xf>
    <xf numFmtId="0" fontId="187" fillId="113" borderId="20" xfId="5081" applyFont="1" applyFill="1" applyBorder="1" applyAlignment="1">
      <alignment horizontal="right"/>
    </xf>
    <xf numFmtId="0" fontId="187" fillId="0" borderId="20" xfId="5081" applyFont="1" applyBorder="1" applyAlignment="1">
      <alignment horizontal="right" vertical="center"/>
    </xf>
    <xf numFmtId="222" fontId="187" fillId="0" borderId="20" xfId="3647" applyNumberFormat="1" applyFont="1" applyBorder="1"/>
    <xf numFmtId="222" fontId="187" fillId="0" borderId="20" xfId="3647" applyNumberFormat="1" applyFont="1" applyBorder="1" applyAlignment="1">
      <alignment horizontal="right" vertical="center"/>
    </xf>
    <xf numFmtId="6" fontId="187" fillId="0" borderId="0" xfId="5081" applyNumberFormat="1" applyFont="1"/>
    <xf numFmtId="0" fontId="179" fillId="111" borderId="48" xfId="5081" applyFont="1" applyFill="1" applyBorder="1" applyAlignment="1">
      <alignment horizontal="center"/>
    </xf>
    <xf numFmtId="0" fontId="184" fillId="106" borderId="38" xfId="5081" applyFont="1" applyFill="1" applyBorder="1"/>
    <xf numFmtId="0" fontId="184" fillId="106" borderId="0" xfId="5081" applyFont="1" applyFill="1" applyBorder="1"/>
    <xf numFmtId="0" fontId="187" fillId="106" borderId="0" xfId="5081" applyFont="1" applyFill="1" applyBorder="1"/>
    <xf numFmtId="0" fontId="187" fillId="111" borderId="0" xfId="5081" applyFont="1" applyFill="1" applyBorder="1"/>
    <xf numFmtId="0" fontId="187" fillId="111" borderId="38" xfId="5081" applyFont="1" applyFill="1" applyBorder="1"/>
    <xf numFmtId="0" fontId="187" fillId="111" borderId="39" xfId="5081" applyFont="1" applyFill="1" applyBorder="1"/>
    <xf numFmtId="0" fontId="187" fillId="107" borderId="38" xfId="5081" applyFont="1" applyFill="1" applyBorder="1"/>
    <xf numFmtId="0" fontId="187" fillId="107" borderId="0" xfId="5081" applyFont="1" applyFill="1" applyBorder="1"/>
    <xf numFmtId="0" fontId="184" fillId="101" borderId="0" xfId="0" applyFont="1" applyFill="1" applyAlignment="1">
      <alignment horizontal="center"/>
    </xf>
    <xf numFmtId="0" fontId="184" fillId="106" borderId="47" xfId="5081" applyFont="1" applyFill="1" applyBorder="1"/>
    <xf numFmtId="0" fontId="184" fillId="106" borderId="20" xfId="5081" applyFont="1" applyFill="1" applyBorder="1"/>
    <xf numFmtId="0" fontId="184" fillId="106" borderId="20" xfId="5081" applyFont="1" applyFill="1" applyBorder="1" applyAlignment="1">
      <alignment horizontal="center" wrapText="1"/>
    </xf>
    <xf numFmtId="0" fontId="184" fillId="106" borderId="58" xfId="5081" applyFont="1" applyFill="1" applyBorder="1" applyAlignment="1">
      <alignment horizontal="center" wrapText="1"/>
    </xf>
    <xf numFmtId="0" fontId="187" fillId="111" borderId="37" xfId="5081" applyFont="1" applyFill="1" applyBorder="1" applyAlignment="1">
      <alignment horizontal="center" wrapText="1"/>
    </xf>
    <xf numFmtId="0" fontId="187" fillId="111" borderId="47" xfId="5081" applyFont="1" applyFill="1" applyBorder="1" applyAlignment="1">
      <alignment horizontal="left" vertical="center" wrapText="1"/>
    </xf>
    <xf numFmtId="222" fontId="54" fillId="107" borderId="47" xfId="5073" applyNumberFormat="1" applyFont="1" applyFill="1" applyBorder="1"/>
    <xf numFmtId="222" fontId="54" fillId="107" borderId="58" xfId="5073" applyNumberFormat="1" applyFont="1" applyFill="1" applyBorder="1"/>
    <xf numFmtId="0" fontId="184" fillId="101" borderId="20" xfId="0" applyFont="1" applyFill="1" applyBorder="1" applyAlignment="1">
      <alignment horizontal="center"/>
    </xf>
    <xf numFmtId="0" fontId="54" fillId="0" borderId="20" xfId="16118" applyFont="1" applyFill="1" applyBorder="1" applyAlignment="1">
      <alignment horizontal="right" vertical="center"/>
    </xf>
    <xf numFmtId="222" fontId="54" fillId="0" borderId="20" xfId="3647" applyNumberFormat="1" applyFont="1" applyFill="1" applyBorder="1" applyAlignment="1">
      <alignment horizontal="right" vertical="center"/>
    </xf>
    <xf numFmtId="10" fontId="54" fillId="0" borderId="59" xfId="3075" applyNumberFormat="1" applyFont="1" applyFill="1" applyBorder="1" applyAlignment="1">
      <alignment horizontal="right" vertical="center"/>
    </xf>
    <xf numFmtId="222" fontId="54" fillId="0" borderId="47" xfId="3647" applyNumberFormat="1" applyFont="1" applyFill="1" applyBorder="1" applyAlignment="1">
      <alignment horizontal="right" vertical="center"/>
    </xf>
    <xf numFmtId="222" fontId="54" fillId="0" borderId="58" xfId="3647" applyNumberFormat="1" applyFont="1" applyFill="1" applyBorder="1" applyAlignment="1">
      <alignment horizontal="right" vertical="center"/>
    </xf>
    <xf numFmtId="3" fontId="54" fillId="0" borderId="20" xfId="0" applyNumberFormat="1" applyFont="1" applyFill="1" applyBorder="1" applyAlignment="1">
      <alignment horizontal="center"/>
    </xf>
    <xf numFmtId="3" fontId="187" fillId="0" borderId="0" xfId="5081" applyNumberFormat="1" applyFont="1"/>
    <xf numFmtId="0" fontId="187" fillId="0" borderId="0" xfId="5081" applyFont="1" applyFill="1"/>
    <xf numFmtId="169" fontId="193" fillId="0" borderId="0" xfId="1997" applyNumberFormat="1" applyFont="1"/>
    <xf numFmtId="0" fontId="187" fillId="0" borderId="0" xfId="5081" applyFont="1" applyBorder="1"/>
    <xf numFmtId="0" fontId="187" fillId="0" borderId="20" xfId="5081" applyFont="1" applyFill="1" applyBorder="1"/>
    <xf numFmtId="222" fontId="187" fillId="0" borderId="20" xfId="5081" applyNumberFormat="1" applyFont="1" applyFill="1" applyBorder="1"/>
    <xf numFmtId="9" fontId="54" fillId="0" borderId="20" xfId="3075" applyFont="1" applyBorder="1"/>
    <xf numFmtId="222" fontId="187" fillId="0" borderId="0" xfId="5081" applyNumberFormat="1" applyFont="1" applyBorder="1"/>
    <xf numFmtId="10" fontId="54" fillId="0" borderId="20" xfId="0" applyNumberFormat="1" applyFont="1" applyBorder="1"/>
    <xf numFmtId="222" fontId="187" fillId="0" borderId="0" xfId="3647" applyNumberFormat="1" applyFont="1"/>
    <xf numFmtId="9" fontId="54" fillId="0" borderId="20" xfId="5206" applyFont="1" applyBorder="1"/>
    <xf numFmtId="222" fontId="187" fillId="0" borderId="20" xfId="5081" applyNumberFormat="1" applyFont="1" applyBorder="1"/>
    <xf numFmtId="0" fontId="54" fillId="0" borderId="20" xfId="5081" applyFont="1" applyFill="1" applyBorder="1" applyAlignment="1">
      <alignment horizontal="right" vertical="center"/>
    </xf>
    <xf numFmtId="0" fontId="54" fillId="0" borderId="20" xfId="0" applyFont="1" applyBorder="1" applyAlignment="1">
      <alignment horizontal="right" vertical="center"/>
    </xf>
    <xf numFmtId="222" fontId="54" fillId="0" borderId="20" xfId="3647" applyNumberFormat="1" applyFont="1" applyBorder="1" applyAlignment="1">
      <alignment horizontal="right" vertical="center"/>
    </xf>
    <xf numFmtId="0" fontId="54" fillId="0" borderId="20" xfId="5081" applyFont="1" applyFill="1" applyBorder="1"/>
    <xf numFmtId="10" fontId="190" fillId="0" borderId="0" xfId="3075" applyNumberFormat="1" applyFont="1" applyFill="1" applyBorder="1" applyAlignment="1">
      <alignment horizontal="right" vertical="center"/>
    </xf>
    <xf numFmtId="222" fontId="187" fillId="0" borderId="0" xfId="3647" applyNumberFormat="1" applyFont="1" applyFill="1" applyBorder="1" applyAlignment="1">
      <alignment horizontal="right" vertical="center"/>
    </xf>
    <xf numFmtId="222" fontId="54" fillId="0" borderId="0" xfId="3647" applyNumberFormat="1" applyFont="1" applyFill="1" applyBorder="1" applyAlignment="1">
      <alignment horizontal="right" vertical="center"/>
    </xf>
    <xf numFmtId="169" fontId="193" fillId="0" borderId="0" xfId="5081" applyNumberFormat="1" applyFont="1" applyFill="1"/>
    <xf numFmtId="0" fontId="54" fillId="0" borderId="0" xfId="2941" applyFont="1" applyFill="1"/>
    <xf numFmtId="0" fontId="54" fillId="103" borderId="20" xfId="0" applyFont="1" applyFill="1" applyBorder="1"/>
    <xf numFmtId="0" fontId="54" fillId="0" borderId="20" xfId="0" applyFont="1" applyFill="1" applyBorder="1"/>
    <xf numFmtId="169" fontId="54" fillId="0" borderId="20" xfId="1997" applyNumberFormat="1" applyFont="1" applyBorder="1"/>
    <xf numFmtId="222" fontId="54" fillId="0" borderId="20" xfId="3647" applyNumberFormat="1" applyFont="1" applyBorder="1" applyAlignment="1">
      <alignment horizontal="center"/>
    </xf>
    <xf numFmtId="0" fontId="184" fillId="106" borderId="38" xfId="0" applyFont="1" applyFill="1" applyBorder="1"/>
    <xf numFmtId="15" fontId="179" fillId="106" borderId="0" xfId="0" applyNumberFormat="1" applyFont="1" applyFill="1" applyBorder="1" applyAlignment="1">
      <alignment horizontal="center"/>
    </xf>
    <xf numFmtId="169" fontId="179" fillId="106" borderId="0" xfId="1997" applyNumberFormat="1" applyFont="1" applyFill="1" applyBorder="1" applyAlignment="1">
      <alignment horizontal="center"/>
    </xf>
    <xf numFmtId="169" fontId="179" fillId="106" borderId="39" xfId="1997" applyNumberFormat="1" applyFont="1" applyFill="1" applyBorder="1" applyAlignment="1">
      <alignment horizontal="center"/>
    </xf>
    <xf numFmtId="9" fontId="54" fillId="103" borderId="38" xfId="3075" applyFont="1" applyFill="1" applyBorder="1" applyAlignment="1">
      <alignment horizontal="center"/>
    </xf>
    <xf numFmtId="9" fontId="54" fillId="103" borderId="0" xfId="3075" applyFont="1" applyFill="1" applyBorder="1" applyAlignment="1">
      <alignment horizontal="center"/>
    </xf>
    <xf numFmtId="9" fontId="54" fillId="103" borderId="39" xfId="3075" applyFont="1" applyFill="1" applyBorder="1" applyAlignment="1">
      <alignment horizontal="center"/>
    </xf>
    <xf numFmtId="0" fontId="54" fillId="105" borderId="38" xfId="0" applyFont="1" applyFill="1" applyBorder="1"/>
    <xf numFmtId="0" fontId="54" fillId="105" borderId="0" xfId="0" applyFont="1" applyFill="1" applyBorder="1"/>
    <xf numFmtId="0" fontId="54" fillId="105" borderId="39" xfId="0" applyFont="1" applyFill="1" applyBorder="1"/>
    <xf numFmtId="0" fontId="54" fillId="108" borderId="38" xfId="0" applyFont="1" applyFill="1" applyBorder="1"/>
    <xf numFmtId="0" fontId="54" fillId="108" borderId="0" xfId="0" applyFont="1" applyFill="1" applyBorder="1"/>
    <xf numFmtId="0" fontId="54" fillId="108" borderId="39" xfId="0" applyFont="1" applyFill="1" applyBorder="1"/>
    <xf numFmtId="164" fontId="54" fillId="119" borderId="71" xfId="0" applyNumberFormat="1" applyFont="1" applyFill="1" applyBorder="1"/>
    <xf numFmtId="0" fontId="80" fillId="107" borderId="38" xfId="0" applyFont="1" applyFill="1" applyBorder="1" applyAlignment="1">
      <alignment horizontal="center"/>
    </xf>
    <xf numFmtId="0" fontId="80" fillId="107" borderId="0" xfId="0" applyFont="1" applyFill="1" applyBorder="1" applyAlignment="1">
      <alignment horizontal="center"/>
    </xf>
    <xf numFmtId="0" fontId="80" fillId="107" borderId="39" xfId="0" applyFont="1" applyFill="1" applyBorder="1" applyAlignment="1">
      <alignment horizontal="center"/>
    </xf>
    <xf numFmtId="0" fontId="80" fillId="101" borderId="0" xfId="0" applyFont="1" applyFill="1" applyAlignment="1">
      <alignment horizontal="center"/>
    </xf>
    <xf numFmtId="15" fontId="184" fillId="106" borderId="38" xfId="0" applyNumberFormat="1" applyFont="1" applyFill="1" applyBorder="1" applyAlignment="1">
      <alignment horizontal="center"/>
    </xf>
    <xf numFmtId="0" fontId="179" fillId="106" borderId="0" xfId="0" applyFont="1" applyFill="1" applyBorder="1" applyAlignment="1">
      <alignment horizontal="center"/>
    </xf>
    <xf numFmtId="0" fontId="80" fillId="105" borderId="38" xfId="0" applyFont="1" applyFill="1" applyBorder="1" applyAlignment="1">
      <alignment horizontal="center"/>
    </xf>
    <xf numFmtId="0" fontId="80" fillId="105" borderId="0" xfId="0" applyFont="1" applyFill="1" applyBorder="1" applyAlignment="1">
      <alignment horizontal="center"/>
    </xf>
    <xf numFmtId="0" fontId="80" fillId="105" borderId="39" xfId="0" applyFont="1" applyFill="1" applyBorder="1" applyAlignment="1">
      <alignment horizontal="center"/>
    </xf>
    <xf numFmtId="0" fontId="80" fillId="108" borderId="38" xfId="0" applyFont="1" applyFill="1" applyBorder="1" applyAlignment="1">
      <alignment horizontal="center"/>
    </xf>
    <xf numFmtId="0" fontId="80" fillId="108" borderId="0" xfId="0" applyFont="1" applyFill="1" applyBorder="1" applyAlignment="1">
      <alignment horizontal="center"/>
    </xf>
    <xf numFmtId="0" fontId="80" fillId="108" borderId="39" xfId="0" applyFont="1" applyFill="1" applyBorder="1" applyAlignment="1">
      <alignment horizontal="center"/>
    </xf>
    <xf numFmtId="0" fontId="80" fillId="119" borderId="70" xfId="0" applyFont="1" applyFill="1" applyBorder="1" applyAlignment="1"/>
    <xf numFmtId="0" fontId="54" fillId="107" borderId="38" xfId="0" applyFont="1" applyFill="1" applyBorder="1"/>
    <xf numFmtId="0" fontId="54" fillId="107" borderId="0" xfId="0" applyFont="1" applyFill="1" applyBorder="1"/>
    <xf numFmtId="0" fontId="54" fillId="107" borderId="39" xfId="0" applyFont="1" applyFill="1" applyBorder="1"/>
    <xf numFmtId="164" fontId="193" fillId="113" borderId="0" xfId="0" applyNumberFormat="1" applyFont="1" applyFill="1" applyAlignment="1">
      <alignment horizontal="center"/>
    </xf>
    <xf numFmtId="0" fontId="184" fillId="106" borderId="47" xfId="0" applyFont="1" applyFill="1" applyBorder="1" applyAlignment="1">
      <alignment horizontal="center"/>
    </xf>
    <xf numFmtId="0" fontId="184" fillId="106" borderId="20" xfId="0" applyFont="1" applyFill="1" applyBorder="1"/>
    <xf numFmtId="0" fontId="184" fillId="106" borderId="40" xfId="0" applyFont="1" applyFill="1" applyBorder="1"/>
    <xf numFmtId="0" fontId="54" fillId="103" borderId="47" xfId="0" applyFont="1" applyFill="1" applyBorder="1"/>
    <xf numFmtId="0" fontId="54" fillId="103" borderId="40" xfId="0" applyFont="1" applyFill="1" applyBorder="1"/>
    <xf numFmtId="0" fontId="54" fillId="103" borderId="37" xfId="0" applyFont="1" applyFill="1" applyBorder="1"/>
    <xf numFmtId="0" fontId="54" fillId="101" borderId="0" xfId="0" applyFont="1" applyFill="1"/>
    <xf numFmtId="0" fontId="190" fillId="0" borderId="47" xfId="0" applyFont="1" applyBorder="1"/>
    <xf numFmtId="0" fontId="190" fillId="0" borderId="20" xfId="0" applyFont="1" applyBorder="1"/>
    <xf numFmtId="49" fontId="190" fillId="0" borderId="58" xfId="0" applyNumberFormat="1" applyFont="1" applyBorder="1"/>
    <xf numFmtId="0" fontId="190" fillId="0" borderId="58" xfId="0" applyFont="1" applyBorder="1"/>
    <xf numFmtId="222" fontId="190" fillId="0" borderId="40" xfId="3647" applyNumberFormat="1" applyFont="1" applyBorder="1"/>
    <xf numFmtId="164" fontId="54" fillId="0" borderId="20" xfId="0" applyNumberFormat="1" applyFont="1" applyBorder="1"/>
    <xf numFmtId="44" fontId="54" fillId="0" borderId="20" xfId="3647" applyFont="1" applyBorder="1" applyAlignment="1">
      <alignment horizontal="center"/>
    </xf>
    <xf numFmtId="166" fontId="54" fillId="0" borderId="20" xfId="3075" applyNumberFormat="1" applyFont="1" applyBorder="1" applyAlignment="1">
      <alignment horizontal="center"/>
    </xf>
    <xf numFmtId="44" fontId="54" fillId="0" borderId="0" xfId="0" applyNumberFormat="1" applyFont="1"/>
    <xf numFmtId="222" fontId="54" fillId="103" borderId="0" xfId="3647" applyNumberFormat="1" applyFont="1" applyFill="1" applyBorder="1"/>
    <xf numFmtId="169" fontId="80" fillId="0" borderId="0" xfId="1997" applyNumberFormat="1" applyFont="1"/>
    <xf numFmtId="0" fontId="184" fillId="106" borderId="0" xfId="0" applyFont="1" applyFill="1" applyBorder="1"/>
    <xf numFmtId="0" fontId="184" fillId="106" borderId="39" xfId="0" applyFont="1" applyFill="1" applyBorder="1"/>
    <xf numFmtId="164" fontId="54" fillId="108" borderId="0" xfId="0" applyNumberFormat="1" applyFont="1" applyFill="1" applyBorder="1"/>
    <xf numFmtId="0" fontId="184" fillId="106" borderId="0" xfId="0" applyFont="1" applyFill="1" applyBorder="1" applyAlignment="1"/>
    <xf numFmtId="0" fontId="184" fillId="106" borderId="47" xfId="0" applyFont="1" applyFill="1" applyBorder="1" applyAlignment="1">
      <alignment horizontal="left"/>
    </xf>
    <xf numFmtId="0" fontId="184" fillId="106" borderId="20" xfId="0" applyFont="1" applyFill="1" applyBorder="1" applyAlignment="1">
      <alignment horizontal="left"/>
    </xf>
    <xf numFmtId="0" fontId="80" fillId="108" borderId="40" xfId="0" applyFont="1" applyFill="1" applyBorder="1" applyAlignment="1">
      <alignment horizontal="center"/>
    </xf>
    <xf numFmtId="0" fontId="190" fillId="0" borderId="20" xfId="0" applyFont="1" applyBorder="1" applyAlignment="1">
      <alignment horizontal="right" vertical="center"/>
    </xf>
    <xf numFmtId="222" fontId="54" fillId="0" borderId="47" xfId="3647" applyNumberFormat="1" applyFont="1" applyBorder="1"/>
    <xf numFmtId="222" fontId="54" fillId="0" borderId="70" xfId="3647" applyNumberFormat="1" applyFont="1" applyBorder="1"/>
    <xf numFmtId="222" fontId="54" fillId="0" borderId="59" xfId="3647" applyNumberFormat="1" applyFont="1" applyBorder="1"/>
    <xf numFmtId="222" fontId="54" fillId="0" borderId="40" xfId="3647" applyNumberFormat="1" applyFont="1" applyBorder="1"/>
    <xf numFmtId="164" fontId="54" fillId="0" borderId="0" xfId="0" applyNumberFormat="1" applyFont="1"/>
    <xf numFmtId="222" fontId="54" fillId="0" borderId="20" xfId="0" applyNumberFormat="1" applyFont="1" applyBorder="1" applyAlignment="1">
      <alignment horizontal="center"/>
    </xf>
    <xf numFmtId="10" fontId="54" fillId="0" borderId="20" xfId="3075" applyNumberFormat="1" applyFont="1" applyBorder="1" applyAlignment="1">
      <alignment horizontal="center"/>
    </xf>
    <xf numFmtId="0" fontId="80" fillId="0" borderId="0" xfId="0" applyFont="1" applyAlignment="1"/>
    <xf numFmtId="222" fontId="80" fillId="0" borderId="0" xfId="0" applyNumberFormat="1" applyFont="1" applyAlignment="1">
      <alignment horizontal="center"/>
    </xf>
    <xf numFmtId="0" fontId="54" fillId="0" borderId="0" xfId="0" applyFont="1" applyAlignment="1"/>
    <xf numFmtId="0" fontId="194" fillId="0" borderId="0" xfId="0" applyFont="1" applyFill="1" applyAlignment="1">
      <alignment horizontal="center"/>
    </xf>
    <xf numFmtId="0" fontId="54" fillId="107" borderId="58" xfId="0" applyFont="1" applyFill="1" applyBorder="1"/>
    <xf numFmtId="0" fontId="187" fillId="0" borderId="47" xfId="0" applyFont="1" applyBorder="1"/>
    <xf numFmtId="0" fontId="187" fillId="0" borderId="20" xfId="0" applyFont="1" applyBorder="1"/>
    <xf numFmtId="3" fontId="187" fillId="0" borderId="20" xfId="0" applyNumberFormat="1" applyFont="1" applyBorder="1"/>
    <xf numFmtId="9" fontId="190" fillId="0" borderId="20" xfId="3075" applyFont="1" applyBorder="1"/>
    <xf numFmtId="9" fontId="190" fillId="0" borderId="40" xfId="3075" applyFont="1" applyBorder="1"/>
    <xf numFmtId="44" fontId="54" fillId="0" borderId="58" xfId="3647" applyFont="1" applyBorder="1"/>
    <xf numFmtId="0" fontId="185" fillId="0" borderId="0" xfId="0" applyFont="1" applyFill="1"/>
    <xf numFmtId="238" fontId="54" fillId="0" borderId="0" xfId="0" applyNumberFormat="1" applyFont="1"/>
    <xf numFmtId="44" fontId="54" fillId="0" borderId="0" xfId="3647" applyFont="1"/>
    <xf numFmtId="222" fontId="54" fillId="0" borderId="0" xfId="3647" applyNumberFormat="1" applyFont="1" applyFill="1" applyBorder="1"/>
    <xf numFmtId="0" fontId="80" fillId="103" borderId="37" xfId="0" applyFont="1" applyFill="1" applyBorder="1" applyAlignment="1">
      <alignment vertical="top" wrapText="1"/>
    </xf>
    <xf numFmtId="9" fontId="80" fillId="0" borderId="0" xfId="3075" applyFont="1"/>
    <xf numFmtId="0" fontId="188" fillId="0" borderId="0" xfId="0" applyFont="1" applyFill="1" applyBorder="1"/>
    <xf numFmtId="164" fontId="54" fillId="108" borderId="38" xfId="0" applyNumberFormat="1" applyFont="1" applyFill="1" applyBorder="1"/>
    <xf numFmtId="0" fontId="80" fillId="108" borderId="47" xfId="0" applyFont="1" applyFill="1" applyBorder="1" applyAlignment="1">
      <alignment horizontal="center"/>
    </xf>
    <xf numFmtId="0" fontId="187" fillId="0" borderId="47" xfId="0" applyFont="1" applyFill="1" applyBorder="1"/>
    <xf numFmtId="0" fontId="187" fillId="0" borderId="20" xfId="0" applyFont="1" applyFill="1" applyBorder="1"/>
    <xf numFmtId="222" fontId="187" fillId="0" borderId="20" xfId="3647" applyNumberFormat="1" applyFont="1" applyFill="1" applyBorder="1"/>
    <xf numFmtId="0" fontId="187" fillId="0" borderId="20" xfId="0" applyFont="1" applyFill="1" applyBorder="1" applyAlignment="1">
      <alignment horizontal="right" vertical="center"/>
    </xf>
    <xf numFmtId="222" fontId="187" fillId="0" borderId="40" xfId="3647" applyNumberFormat="1" applyFont="1" applyFill="1" applyBorder="1"/>
    <xf numFmtId="0" fontId="80" fillId="0" borderId="0" xfId="0" applyFont="1" applyFill="1" applyAlignment="1"/>
    <xf numFmtId="222" fontId="80" fillId="0" borderId="0" xfId="0" applyNumberFormat="1" applyFont="1" applyFill="1"/>
    <xf numFmtId="44" fontId="80" fillId="0" borderId="0" xfId="0" applyNumberFormat="1" applyFont="1" applyFill="1"/>
    <xf numFmtId="222" fontId="80" fillId="0" borderId="0" xfId="0" applyNumberFormat="1" applyFont="1"/>
    <xf numFmtId="0" fontId="188" fillId="0" borderId="0" xfId="0" applyFont="1" applyAlignment="1"/>
    <xf numFmtId="0" fontId="54" fillId="0" borderId="38" xfId="0" applyFont="1" applyFill="1" applyBorder="1"/>
    <xf numFmtId="170" fontId="184" fillId="101" borderId="20" xfId="0" applyNumberFormat="1" applyFont="1" applyFill="1" applyBorder="1" applyAlignment="1">
      <alignment horizontal="center"/>
    </xf>
    <xf numFmtId="222" fontId="190" fillId="0" borderId="20" xfId="3647" applyNumberFormat="1" applyFont="1" applyFill="1" applyBorder="1"/>
    <xf numFmtId="8" fontId="54" fillId="0" borderId="20" xfId="3647" applyNumberFormat="1" applyFont="1" applyBorder="1" applyAlignment="1">
      <alignment horizontal="center"/>
    </xf>
    <xf numFmtId="0" fontId="54" fillId="0" borderId="38" xfId="0" applyFont="1" applyBorder="1"/>
    <xf numFmtId="170" fontId="184" fillId="101" borderId="60" xfId="0" applyNumberFormat="1" applyFont="1" applyFill="1" applyBorder="1" applyAlignment="1">
      <alignment horizontal="center"/>
    </xf>
    <xf numFmtId="9" fontId="54" fillId="0" borderId="59" xfId="3075" applyFont="1" applyBorder="1" applyAlignment="1">
      <alignment horizontal="center"/>
    </xf>
    <xf numFmtId="0" fontId="80" fillId="0" borderId="38" xfId="0" applyFont="1" applyBorder="1" applyAlignment="1">
      <alignment horizontal="center"/>
    </xf>
    <xf numFmtId="0" fontId="80" fillId="0" borderId="0" xfId="0" applyFont="1" applyBorder="1" applyAlignment="1"/>
    <xf numFmtId="170" fontId="184" fillId="101" borderId="61" xfId="0" applyNumberFormat="1" applyFont="1" applyFill="1" applyBorder="1" applyAlignment="1">
      <alignment horizontal="center"/>
    </xf>
    <xf numFmtId="170" fontId="184" fillId="101" borderId="42" xfId="0" applyNumberFormat="1" applyFont="1" applyFill="1" applyBorder="1" applyAlignment="1">
      <alignment horizontal="center"/>
    </xf>
    <xf numFmtId="166" fontId="54" fillId="0" borderId="59" xfId="3075" applyNumberFormat="1" applyFont="1" applyBorder="1" applyAlignment="1">
      <alignment horizontal="center"/>
    </xf>
    <xf numFmtId="9" fontId="54" fillId="0" borderId="0" xfId="3075" applyFont="1" applyBorder="1" applyAlignment="1">
      <alignment horizontal="center"/>
    </xf>
    <xf numFmtId="222" fontId="190" fillId="0" borderId="59" xfId="3647" applyNumberFormat="1" applyFont="1" applyFill="1" applyBorder="1" applyAlignment="1">
      <alignment horizontal="center"/>
    </xf>
    <xf numFmtId="3" fontId="191" fillId="101" borderId="0" xfId="0" applyNumberFormat="1" applyFont="1" applyFill="1" applyBorder="1" applyAlignment="1">
      <alignment horizontal="center"/>
    </xf>
    <xf numFmtId="166" fontId="187" fillId="102" borderId="0" xfId="3075" applyNumberFormat="1" applyFont="1" applyFill="1"/>
    <xf numFmtId="166" fontId="187" fillId="102" borderId="0" xfId="3075" applyNumberFormat="1" applyFont="1" applyFill="1" applyAlignment="1">
      <alignment horizontal="center"/>
    </xf>
    <xf numFmtId="0" fontId="80" fillId="102" borderId="0" xfId="0" applyFont="1" applyFill="1"/>
    <xf numFmtId="0" fontId="54" fillId="101" borderId="0" xfId="0" applyFont="1" applyFill="1" applyBorder="1"/>
    <xf numFmtId="0" fontId="184" fillId="101" borderId="0" xfId="0" applyFont="1" applyFill="1" applyBorder="1"/>
    <xf numFmtId="10" fontId="190" fillId="102" borderId="0" xfId="3075" applyNumberFormat="1" applyFont="1" applyFill="1" applyBorder="1"/>
    <xf numFmtId="10" fontId="187" fillId="0" borderId="0" xfId="3075" applyNumberFormat="1" applyFont="1" applyFill="1" applyBorder="1"/>
    <xf numFmtId="10" fontId="54" fillId="102" borderId="0" xfId="3075" applyNumberFormat="1" applyFont="1" applyFill="1" applyBorder="1"/>
    <xf numFmtId="0" fontId="195" fillId="102" borderId="0" xfId="0" applyFont="1" applyFill="1" applyAlignment="1">
      <alignment vertical="center"/>
    </xf>
    <xf numFmtId="0" fontId="54" fillId="102" borderId="0" xfId="0" applyFont="1" applyFill="1" applyAlignment="1">
      <alignment vertical="center"/>
    </xf>
    <xf numFmtId="17" fontId="196" fillId="102" borderId="0" xfId="0" quotePrefix="1" applyNumberFormat="1" applyFont="1" applyFill="1" applyAlignment="1">
      <alignment vertical="center"/>
    </xf>
    <xf numFmtId="0" fontId="188" fillId="102" borderId="0" xfId="0" applyFont="1" applyFill="1" applyAlignment="1">
      <alignment vertical="center"/>
    </xf>
    <xf numFmtId="0" fontId="54" fillId="102" borderId="0" xfId="0" quotePrefix="1" applyFont="1" applyFill="1" applyAlignment="1">
      <alignment vertical="center"/>
    </xf>
    <xf numFmtId="0" fontId="80" fillId="103" borderId="20" xfId="0" applyFont="1" applyFill="1" applyBorder="1" applyAlignment="1">
      <alignment vertical="center"/>
    </xf>
    <xf numFmtId="0" fontId="80" fillId="103" borderId="13" xfId="0" applyFont="1" applyFill="1" applyBorder="1" applyAlignment="1">
      <alignment vertical="center"/>
    </xf>
    <xf numFmtId="0" fontId="80" fillId="103" borderId="10" xfId="0" applyFont="1" applyFill="1" applyBorder="1" applyAlignment="1">
      <alignment vertical="center"/>
    </xf>
    <xf numFmtId="0" fontId="54" fillId="114" borderId="20" xfId="0" applyFont="1" applyFill="1" applyBorder="1" applyAlignment="1">
      <alignment vertical="center"/>
    </xf>
    <xf numFmtId="0" fontId="54" fillId="102" borderId="58" xfId="0" applyFont="1" applyFill="1" applyBorder="1" applyAlignment="1">
      <alignment vertical="center"/>
    </xf>
    <xf numFmtId="0" fontId="54" fillId="102" borderId="37" xfId="0" applyFont="1" applyFill="1" applyBorder="1" applyAlignment="1">
      <alignment vertical="center"/>
    </xf>
    <xf numFmtId="0" fontId="54" fillId="102" borderId="44" xfId="0" quotePrefix="1" applyFont="1" applyFill="1" applyBorder="1" applyAlignment="1">
      <alignment vertical="center" wrapText="1"/>
    </xf>
    <xf numFmtId="0" fontId="54" fillId="113" borderId="60" xfId="0" applyFont="1" applyFill="1" applyBorder="1" applyAlignment="1">
      <alignment vertical="center"/>
    </xf>
    <xf numFmtId="0" fontId="54" fillId="102" borderId="13" xfId="0" applyFont="1" applyFill="1" applyBorder="1" applyAlignment="1">
      <alignment vertical="center"/>
    </xf>
    <xf numFmtId="0" fontId="54" fillId="102" borderId="10" xfId="0" applyFont="1" applyFill="1" applyBorder="1" applyAlignment="1">
      <alignment vertical="center"/>
    </xf>
    <xf numFmtId="0" fontId="54" fillId="110" borderId="20" xfId="0" applyFont="1" applyFill="1" applyBorder="1" applyAlignment="1">
      <alignment vertical="center"/>
    </xf>
    <xf numFmtId="0" fontId="54" fillId="102" borderId="4" xfId="0" applyFont="1" applyFill="1" applyBorder="1" applyAlignment="1">
      <alignment vertical="center"/>
    </xf>
    <xf numFmtId="0" fontId="54" fillId="102" borderId="0" xfId="0" applyFont="1" applyFill="1" applyBorder="1" applyAlignment="1">
      <alignment vertical="center"/>
    </xf>
    <xf numFmtId="0" fontId="54" fillId="110" borderId="60" xfId="0" applyFont="1" applyFill="1" applyBorder="1" applyAlignment="1">
      <alignment vertical="center"/>
    </xf>
    <xf numFmtId="0" fontId="54" fillId="102" borderId="13" xfId="0" applyFont="1" applyFill="1" applyBorder="1" applyAlignment="1">
      <alignment vertical="center" wrapText="1"/>
    </xf>
    <xf numFmtId="0" fontId="54" fillId="102" borderId="68" xfId="0" applyFont="1" applyFill="1" applyBorder="1" applyAlignment="1">
      <alignment vertical="center" wrapText="1"/>
    </xf>
    <xf numFmtId="0" fontId="54" fillId="115" borderId="20" xfId="0" applyFont="1" applyFill="1" applyBorder="1" applyAlignment="1">
      <alignment vertical="center"/>
    </xf>
    <xf numFmtId="0" fontId="54" fillId="102" borderId="4" xfId="0" applyFont="1" applyFill="1" applyBorder="1" applyAlignment="1">
      <alignment vertical="center" wrapText="1"/>
    </xf>
    <xf numFmtId="0" fontId="54" fillId="102" borderId="44" xfId="0" applyFont="1" applyFill="1" applyBorder="1" applyAlignment="1">
      <alignment vertical="center" wrapText="1"/>
    </xf>
    <xf numFmtId="0" fontId="54" fillId="122" borderId="20" xfId="0" applyFont="1" applyFill="1" applyBorder="1" applyAlignment="1">
      <alignment vertical="center"/>
    </xf>
    <xf numFmtId="0" fontId="54" fillId="104" borderId="20" xfId="0" applyFont="1" applyFill="1" applyBorder="1" applyAlignment="1">
      <alignment vertical="center"/>
    </xf>
    <xf numFmtId="0" fontId="54" fillId="120" borderId="20" xfId="0" applyFont="1" applyFill="1" applyBorder="1" applyAlignment="1">
      <alignment horizontal="left" vertical="center" wrapText="1"/>
    </xf>
    <xf numFmtId="0" fontId="54" fillId="121" borderId="20" xfId="0" applyFont="1" applyFill="1" applyBorder="1" applyAlignment="1">
      <alignment horizontal="left" vertical="center" wrapText="1"/>
    </xf>
    <xf numFmtId="0" fontId="179" fillId="0" borderId="0" xfId="0" applyFont="1" applyFill="1" applyAlignment="1">
      <alignment horizontal="center" vertical="center"/>
    </xf>
    <xf numFmtId="0" fontId="54" fillId="0" borderId="0" xfId="0" applyFont="1" applyFill="1" applyAlignment="1">
      <alignment vertical="center"/>
    </xf>
    <xf numFmtId="166" fontId="54" fillId="0" borderId="0" xfId="3075" applyNumberFormat="1" applyFont="1" applyFill="1" applyAlignment="1">
      <alignment horizontal="center" vertical="center"/>
    </xf>
    <xf numFmtId="9" fontId="54" fillId="102" borderId="0" xfId="3075" applyFont="1" applyFill="1" applyAlignment="1">
      <alignment vertical="center"/>
    </xf>
    <xf numFmtId="44" fontId="54" fillId="0" borderId="20" xfId="0" applyNumberFormat="1" applyFont="1" applyBorder="1" applyAlignment="1">
      <alignment horizontal="center"/>
    </xf>
    <xf numFmtId="166" fontId="54" fillId="117" borderId="31" xfId="3075" applyNumberFormat="1" applyFont="1" applyFill="1" applyBorder="1" applyAlignment="1">
      <alignment horizontal="center"/>
    </xf>
    <xf numFmtId="166" fontId="54" fillId="117" borderId="46" xfId="3075" applyNumberFormat="1" applyFont="1" applyFill="1" applyBorder="1" applyAlignment="1">
      <alignment horizontal="center"/>
    </xf>
    <xf numFmtId="3" fontId="54" fillId="0" borderId="10" xfId="0" applyNumberFormat="1" applyFont="1" applyFill="1" applyBorder="1" applyAlignment="1">
      <alignment horizontal="center"/>
    </xf>
    <xf numFmtId="0" fontId="54" fillId="0" borderId="0" xfId="0" applyFont="1" applyBorder="1" applyAlignment="1">
      <alignment horizontal="right"/>
    </xf>
    <xf numFmtId="164" fontId="187" fillId="0" borderId="20" xfId="0" applyNumberFormat="1" applyFont="1" applyFill="1" applyBorder="1"/>
    <xf numFmtId="165" fontId="80" fillId="0" borderId="0" xfId="1997" applyNumberFormat="1" applyFont="1" applyFill="1"/>
    <xf numFmtId="44" fontId="54" fillId="0" borderId="0" xfId="3647" applyFont="1" applyFill="1" applyBorder="1"/>
    <xf numFmtId="0" fontId="80" fillId="107" borderId="44" xfId="0" applyFont="1" applyFill="1" applyBorder="1" applyAlignment="1">
      <alignment horizontal="center" vertical="center"/>
    </xf>
    <xf numFmtId="0" fontId="80" fillId="107" borderId="44" xfId="0" applyFont="1" applyFill="1" applyBorder="1" applyAlignment="1">
      <alignment horizontal="center"/>
    </xf>
    <xf numFmtId="0" fontId="54" fillId="107" borderId="44" xfId="0" applyFont="1" applyFill="1" applyBorder="1"/>
    <xf numFmtId="0" fontId="80" fillId="0" borderId="61" xfId="0" applyFont="1" applyFill="1" applyBorder="1" applyAlignment="1">
      <alignment horizontal="center" vertical="center"/>
    </xf>
    <xf numFmtId="0" fontId="80" fillId="0" borderId="61" xfId="0" applyFont="1" applyFill="1" applyBorder="1" applyAlignment="1">
      <alignment horizontal="center"/>
    </xf>
    <xf numFmtId="0" fontId="54" fillId="0" borderId="61" xfId="0" applyFont="1" applyFill="1" applyBorder="1"/>
    <xf numFmtId="44" fontId="54" fillId="0" borderId="61" xfId="3647" applyFont="1" applyFill="1" applyBorder="1"/>
    <xf numFmtId="0" fontId="80" fillId="107" borderId="0" xfId="0" applyFont="1" applyFill="1" applyBorder="1" applyAlignment="1">
      <alignment horizontal="center" vertical="center"/>
    </xf>
    <xf numFmtId="0" fontId="197" fillId="0" borderId="0" xfId="2941" applyFont="1" applyFill="1"/>
    <xf numFmtId="165" fontId="187" fillId="0" borderId="0" xfId="1997" applyNumberFormat="1" applyFont="1" applyFill="1" applyBorder="1"/>
    <xf numFmtId="0" fontId="187" fillId="0" borderId="0" xfId="2941" applyFont="1" applyFill="1" applyBorder="1"/>
    <xf numFmtId="3" fontId="187" fillId="0" borderId="0" xfId="2941" applyNumberFormat="1" applyFont="1" applyFill="1"/>
    <xf numFmtId="0" fontId="187" fillId="0" borderId="0" xfId="2941" applyFont="1" applyFill="1"/>
    <xf numFmtId="3" fontId="187" fillId="0" borderId="0" xfId="2941" applyNumberFormat="1" applyFont="1" applyFill="1" applyAlignment="1">
      <alignment horizontal="center" wrapText="1"/>
    </xf>
    <xf numFmtId="169" fontId="187" fillId="0" borderId="20" xfId="1997" applyNumberFormat="1" applyFont="1" applyFill="1" applyBorder="1"/>
    <xf numFmtId="3" fontId="187" fillId="0" borderId="0" xfId="1997" applyNumberFormat="1" applyFont="1" applyFill="1"/>
    <xf numFmtId="38" fontId="187" fillId="0" borderId="0" xfId="2942" applyNumberFormat="1" applyFont="1" applyFill="1" applyBorder="1"/>
    <xf numFmtId="38" fontId="187" fillId="0" borderId="0" xfId="2123" applyNumberFormat="1" applyFont="1" applyFill="1" applyBorder="1"/>
    <xf numFmtId="0" fontId="187" fillId="0" borderId="20" xfId="2941" applyFont="1" applyFill="1" applyBorder="1"/>
    <xf numFmtId="38" fontId="187" fillId="0" borderId="20" xfId="2942" applyNumberFormat="1" applyFont="1" applyFill="1" applyBorder="1"/>
    <xf numFmtId="0" fontId="193" fillId="0" borderId="0" xfId="2941" applyFont="1" applyFill="1" applyBorder="1" applyAlignment="1"/>
    <xf numFmtId="166" fontId="187" fillId="0" borderId="20" xfId="3075" applyNumberFormat="1" applyFont="1" applyFill="1" applyBorder="1"/>
    <xf numFmtId="166" fontId="187" fillId="0" borderId="0" xfId="3075" applyNumberFormat="1" applyFont="1" applyFill="1" applyBorder="1"/>
    <xf numFmtId="0" fontId="193" fillId="0" borderId="20" xfId="0" applyFont="1" applyFill="1" applyBorder="1"/>
    <xf numFmtId="0" fontId="187" fillId="0" borderId="0" xfId="2941" applyFont="1" applyFill="1" applyAlignment="1">
      <alignment horizontal="center" wrapText="1"/>
    </xf>
    <xf numFmtId="169" fontId="187" fillId="0" borderId="0" xfId="1997" applyNumberFormat="1" applyFont="1" applyFill="1"/>
    <xf numFmtId="0" fontId="193" fillId="0" borderId="20" xfId="2941" applyFont="1" applyFill="1" applyBorder="1"/>
    <xf numFmtId="165" fontId="193" fillId="0" borderId="20" xfId="1997" applyNumberFormat="1" applyFont="1" applyFill="1" applyBorder="1" applyAlignment="1">
      <alignment horizontal="center"/>
    </xf>
    <xf numFmtId="0" fontId="193" fillId="0" borderId="20" xfId="2941" applyFont="1" applyFill="1" applyBorder="1" applyAlignment="1">
      <alignment horizontal="center"/>
    </xf>
    <xf numFmtId="165" fontId="187" fillId="0" borderId="20" xfId="1997" applyNumberFormat="1" applyFont="1" applyFill="1" applyBorder="1"/>
    <xf numFmtId="165" fontId="54" fillId="0" borderId="0" xfId="1997" applyNumberFormat="1" applyFont="1" applyFill="1"/>
    <xf numFmtId="165" fontId="54" fillId="0" borderId="60" xfId="1997" applyNumberFormat="1" applyFont="1" applyFill="1" applyBorder="1" applyAlignment="1">
      <alignment horizontal="center"/>
    </xf>
    <xf numFmtId="169" fontId="54" fillId="0" borderId="60" xfId="1997" applyNumberFormat="1" applyFont="1" applyFill="1" applyBorder="1" applyAlignment="1">
      <alignment horizontal="center"/>
    </xf>
    <xf numFmtId="169" fontId="54" fillId="0" borderId="0" xfId="1997" applyNumberFormat="1" applyFont="1" applyFill="1" applyAlignment="1">
      <alignment horizontal="center"/>
    </xf>
    <xf numFmtId="0" fontId="54" fillId="0" borderId="0" xfId="2941" applyFont="1" applyFill="1" applyAlignment="1">
      <alignment horizontal="center"/>
    </xf>
    <xf numFmtId="165" fontId="54" fillId="0" borderId="61" xfId="1997" applyNumberFormat="1" applyFont="1" applyFill="1" applyBorder="1" applyAlignment="1">
      <alignment horizontal="center"/>
    </xf>
    <xf numFmtId="169" fontId="54" fillId="0" borderId="61" xfId="1997" applyNumberFormat="1" applyFont="1" applyFill="1" applyBorder="1" applyAlignment="1">
      <alignment horizontal="center"/>
    </xf>
    <xf numFmtId="0" fontId="54" fillId="0" borderId="61" xfId="2941" applyFont="1" applyFill="1" applyBorder="1" applyAlignment="1">
      <alignment horizontal="center"/>
    </xf>
    <xf numFmtId="165" fontId="54" fillId="0" borderId="42" xfId="1997" applyNumberFormat="1" applyFont="1" applyFill="1" applyBorder="1" applyAlignment="1">
      <alignment horizontal="center"/>
    </xf>
    <xf numFmtId="169" fontId="54" fillId="0" borderId="42" xfId="1997" applyNumberFormat="1" applyFont="1" applyFill="1" applyBorder="1" applyAlignment="1">
      <alignment horizontal="center"/>
    </xf>
    <xf numFmtId="0" fontId="54" fillId="0" borderId="42" xfId="2941" applyFont="1" applyFill="1" applyBorder="1" applyAlignment="1">
      <alignment horizontal="center"/>
    </xf>
    <xf numFmtId="0" fontId="54" fillId="0" borderId="20" xfId="0" applyFont="1" applyFill="1" applyBorder="1" applyAlignment="1">
      <alignment horizontal="center"/>
    </xf>
    <xf numFmtId="44" fontId="190" fillId="0" borderId="0" xfId="3647" applyFont="1" applyFill="1"/>
    <xf numFmtId="9" fontId="54" fillId="0" borderId="20" xfId="3075" applyFont="1" applyFill="1" applyBorder="1"/>
    <xf numFmtId="0" fontId="80" fillId="0" borderId="0" xfId="2941" applyFont="1" applyFill="1" applyAlignment="1">
      <alignment horizontal="center"/>
    </xf>
    <xf numFmtId="222" fontId="54" fillId="0" borderId="20" xfId="3647" applyNumberFormat="1" applyFont="1" applyFill="1" applyBorder="1" applyAlignment="1">
      <alignment horizontal="center"/>
    </xf>
    <xf numFmtId="9" fontId="54" fillId="0" borderId="20" xfId="3075" applyFont="1" applyFill="1" applyBorder="1" applyAlignment="1">
      <alignment horizontal="center"/>
    </xf>
    <xf numFmtId="0" fontId="187" fillId="0" borderId="0" xfId="5081" applyFont="1" applyFill="1" applyBorder="1"/>
    <xf numFmtId="169" fontId="193" fillId="0" borderId="0" xfId="5081" applyNumberFormat="1" applyFont="1" applyFill="1" applyBorder="1"/>
    <xf numFmtId="169" fontId="193" fillId="0" borderId="0" xfId="1997" applyNumberFormat="1" applyFont="1" applyFill="1" applyBorder="1"/>
    <xf numFmtId="222" fontId="187" fillId="0" borderId="0" xfId="5081" applyNumberFormat="1" applyFont="1" applyFill="1" applyBorder="1"/>
    <xf numFmtId="0" fontId="184" fillId="101" borderId="0" xfId="0" applyFont="1" applyFill="1"/>
    <xf numFmtId="222" fontId="193" fillId="0" borderId="0" xfId="5081" applyNumberFormat="1" applyFont="1"/>
    <xf numFmtId="0" fontId="193" fillId="0" borderId="0" xfId="5081" applyFont="1"/>
    <xf numFmtId="222" fontId="193" fillId="0" borderId="0" xfId="3647" applyNumberFormat="1" applyFont="1"/>
    <xf numFmtId="0" fontId="193" fillId="0" borderId="0" xfId="13456" applyNumberFormat="1" applyFont="1" applyFill="1" applyBorder="1" applyAlignment="1">
      <alignment horizontal="left"/>
    </xf>
    <xf numFmtId="169" fontId="80" fillId="0" borderId="0" xfId="13459" applyNumberFormat="1" applyFont="1" applyBorder="1"/>
    <xf numFmtId="169" fontId="80" fillId="0" borderId="0" xfId="0" applyNumberFormat="1" applyFont="1" applyBorder="1"/>
    <xf numFmtId="9" fontId="80" fillId="0" borderId="0" xfId="13458" applyFont="1" applyBorder="1"/>
    <xf numFmtId="10" fontId="80" fillId="0" borderId="0" xfId="0" applyNumberFormat="1" applyFont="1" applyFill="1" applyBorder="1"/>
    <xf numFmtId="10" fontId="80" fillId="0" borderId="0" xfId="13458" applyNumberFormat="1" applyFont="1" applyFill="1" applyBorder="1" applyAlignment="1">
      <alignment horizontal="center"/>
    </xf>
    <xf numFmtId="169" fontId="80" fillId="0" borderId="0" xfId="13459" applyNumberFormat="1" applyFont="1" applyFill="1" applyBorder="1" applyAlignment="1">
      <alignment horizontal="center"/>
    </xf>
    <xf numFmtId="0" fontId="80" fillId="0" borderId="31" xfId="0" applyFont="1" applyBorder="1" applyAlignment="1">
      <alignment horizontal="center"/>
    </xf>
    <xf numFmtId="3" fontId="193" fillId="0" borderId="0" xfId="0" applyNumberFormat="1" applyFont="1" applyBorder="1"/>
    <xf numFmtId="3" fontId="193" fillId="0" borderId="4" xfId="0" applyNumberFormat="1" applyFont="1" applyBorder="1"/>
    <xf numFmtId="3" fontId="193" fillId="102" borderId="0" xfId="0" applyNumberFormat="1" applyFont="1" applyFill="1" applyBorder="1"/>
    <xf numFmtId="3" fontId="193" fillId="0" borderId="44" xfId="0" applyNumberFormat="1" applyFont="1" applyBorder="1"/>
    <xf numFmtId="169" fontId="193" fillId="0" borderId="4" xfId="13459" applyNumberFormat="1" applyFont="1" applyBorder="1"/>
    <xf numFmtId="169" fontId="193" fillId="102" borderId="0" xfId="13459" applyNumberFormat="1" applyFont="1" applyFill="1" applyBorder="1"/>
    <xf numFmtId="3" fontId="193" fillId="0" borderId="31" xfId="0" applyNumberFormat="1" applyFont="1" applyBorder="1"/>
    <xf numFmtId="3" fontId="193" fillId="0" borderId="46" xfId="0" applyNumberFormat="1" applyFont="1" applyBorder="1"/>
    <xf numFmtId="169" fontId="193" fillId="0" borderId="31" xfId="13459" applyNumberFormat="1" applyFont="1" applyBorder="1"/>
    <xf numFmtId="169" fontId="193" fillId="102" borderId="31" xfId="13459" applyNumberFormat="1" applyFont="1" applyFill="1" applyBorder="1"/>
    <xf numFmtId="3" fontId="80" fillId="0" borderId="0" xfId="0" applyNumberFormat="1" applyFont="1" applyFill="1" applyBorder="1"/>
    <xf numFmtId="169" fontId="80" fillId="0" borderId="0" xfId="13459" applyNumberFormat="1" applyFont="1" applyFill="1" applyBorder="1"/>
    <xf numFmtId="3" fontId="182" fillId="0" borderId="0" xfId="0" applyNumberFormat="1" applyFont="1" applyFill="1" applyBorder="1"/>
    <xf numFmtId="9" fontId="80" fillId="0" borderId="0" xfId="13458" applyFont="1" applyFill="1" applyBorder="1"/>
    <xf numFmtId="9" fontId="80" fillId="0" borderId="0" xfId="0" applyNumberFormat="1" applyFont="1" applyFill="1"/>
    <xf numFmtId="0" fontId="193" fillId="0" borderId="13" xfId="0" applyFont="1" applyBorder="1"/>
    <xf numFmtId="3" fontId="187" fillId="0" borderId="10" xfId="0" applyNumberFormat="1" applyFont="1" applyBorder="1"/>
    <xf numFmtId="0" fontId="187" fillId="0" borderId="0" xfId="0" applyFont="1"/>
    <xf numFmtId="0" fontId="187" fillId="0" borderId="0" xfId="0" applyFont="1" applyBorder="1"/>
    <xf numFmtId="0" fontId="187" fillId="0" borderId="0" xfId="0" applyFont="1" applyFill="1"/>
    <xf numFmtId="0" fontId="193" fillId="0" borderId="4" xfId="13457" applyFont="1" applyFill="1" applyBorder="1"/>
    <xf numFmtId="0" fontId="187" fillId="0" borderId="4" xfId="13457" applyFont="1" applyFill="1" applyBorder="1"/>
    <xf numFmtId="169" fontId="187" fillId="0" borderId="0" xfId="13459" applyNumberFormat="1" applyFont="1" applyFill="1" applyBorder="1"/>
    <xf numFmtId="9" fontId="187" fillId="0" borderId="0" xfId="13458" applyFont="1" applyFill="1"/>
    <xf numFmtId="9" fontId="187" fillId="0" borderId="0" xfId="0" applyNumberFormat="1" applyFont="1" applyFill="1"/>
    <xf numFmtId="237" fontId="187" fillId="0" borderId="0" xfId="0" applyNumberFormat="1" applyFont="1" applyBorder="1"/>
    <xf numFmtId="0" fontId="193" fillId="0" borderId="45" xfId="13457" applyFont="1" applyFill="1" applyBorder="1"/>
    <xf numFmtId="0" fontId="193" fillId="0" borderId="0" xfId="0" applyFont="1"/>
    <xf numFmtId="3" fontId="187" fillId="0" borderId="0" xfId="0" applyNumberFormat="1" applyFont="1"/>
    <xf numFmtId="0" fontId="187" fillId="0" borderId="37" xfId="0" applyFont="1" applyBorder="1"/>
    <xf numFmtId="0" fontId="187" fillId="0" borderId="10" xfId="0" applyFont="1" applyBorder="1"/>
    <xf numFmtId="0" fontId="193" fillId="0" borderId="4" xfId="0" applyFont="1" applyBorder="1"/>
    <xf numFmtId="3" fontId="193" fillId="0" borderId="0" xfId="0" applyNumberFormat="1" applyFont="1" applyFill="1" applyBorder="1"/>
    <xf numFmtId="9" fontId="187" fillId="0" borderId="0" xfId="13458" applyFont="1" applyFill="1" applyBorder="1"/>
    <xf numFmtId="0" fontId="187" fillId="0" borderId="0" xfId="0" applyFont="1" applyFill="1" applyBorder="1"/>
    <xf numFmtId="3" fontId="193" fillId="0" borderId="0" xfId="0" applyNumberFormat="1" applyFont="1"/>
    <xf numFmtId="169" fontId="193" fillId="0" borderId="0" xfId="13459" applyNumberFormat="1" applyFont="1" applyFill="1" applyBorder="1"/>
    <xf numFmtId="9" fontId="193" fillId="0" borderId="0" xfId="13458" applyFont="1" applyFill="1" applyBorder="1"/>
    <xf numFmtId="9" fontId="193" fillId="0" borderId="0" xfId="0" applyNumberFormat="1" applyFont="1" applyFill="1"/>
    <xf numFmtId="0" fontId="193" fillId="0" borderId="45" xfId="0" applyFont="1" applyBorder="1"/>
    <xf numFmtId="0" fontId="187" fillId="0" borderId="45" xfId="0" applyFont="1" applyBorder="1"/>
    <xf numFmtId="0" fontId="187" fillId="0" borderId="31" xfId="0" applyFont="1" applyBorder="1"/>
    <xf numFmtId="9" fontId="187" fillId="0" borderId="31" xfId="13458" applyFont="1" applyBorder="1"/>
    <xf numFmtId="0" fontId="179" fillId="0" borderId="0" xfId="0" applyFont="1" applyAlignment="1">
      <alignment horizontal="center"/>
    </xf>
    <xf numFmtId="0" fontId="179" fillId="0" borderId="0" xfId="0" applyFont="1" applyFill="1" applyAlignment="1">
      <alignment horizontal="center"/>
    </xf>
    <xf numFmtId="3" fontId="80" fillId="0" borderId="45" xfId="0" applyNumberFormat="1" applyFont="1" applyBorder="1"/>
    <xf numFmtId="43" fontId="80" fillId="0" borderId="0" xfId="0" applyNumberFormat="1" applyFont="1" applyBorder="1"/>
    <xf numFmtId="9" fontId="80" fillId="0" borderId="31" xfId="0" applyNumberFormat="1" applyFont="1" applyBorder="1"/>
    <xf numFmtId="0" fontId="193" fillId="0" borderId="0" xfId="0" applyFont="1" applyFill="1" applyBorder="1" applyAlignment="1">
      <alignment horizontal="left"/>
    </xf>
    <xf numFmtId="0" fontId="187" fillId="0" borderId="0" xfId="0" applyFont="1" applyFill="1" applyBorder="1" applyAlignment="1"/>
    <xf numFmtId="1" fontId="187" fillId="0" borderId="0" xfId="6529" applyNumberFormat="1" applyFont="1" applyFill="1" applyBorder="1" applyAlignment="1">
      <alignment horizontal="center"/>
    </xf>
    <xf numFmtId="3" fontId="187" fillId="0" borderId="0" xfId="6529" applyNumberFormat="1" applyFont="1" applyFill="1" applyBorder="1" applyAlignment="1">
      <alignment horizontal="center"/>
    </xf>
    <xf numFmtId="1" fontId="187" fillId="0" borderId="44" xfId="6529" applyNumberFormat="1" applyFont="1" applyFill="1" applyBorder="1" applyAlignment="1">
      <alignment horizontal="center"/>
    </xf>
    <xf numFmtId="1" fontId="187" fillId="0" borderId="0" xfId="6529" applyNumberFormat="1" applyFont="1" applyFill="1" applyAlignment="1"/>
    <xf numFmtId="1" fontId="187" fillId="0" borderId="0" xfId="6529" applyNumberFormat="1" applyFont="1" applyFill="1" applyAlignment="1">
      <alignment horizontal="center"/>
    </xf>
    <xf numFmtId="0" fontId="187" fillId="0" borderId="0" xfId="6529" applyFont="1" applyFill="1" applyBorder="1" applyAlignment="1">
      <alignment horizontal="center"/>
    </xf>
    <xf numFmtId="0" fontId="187" fillId="0" borderId="0" xfId="13460" applyFont="1" applyFill="1" applyBorder="1"/>
    <xf numFmtId="3" fontId="187" fillId="0" borderId="0" xfId="0" applyNumberFormat="1" applyFont="1" applyFill="1" applyBorder="1" applyAlignment="1">
      <alignment horizontal="center"/>
    </xf>
    <xf numFmtId="3" fontId="187" fillId="0" borderId="44" xfId="0" applyNumberFormat="1" applyFont="1" applyFill="1" applyBorder="1" applyAlignment="1">
      <alignment horizontal="center"/>
    </xf>
    <xf numFmtId="0" fontId="187" fillId="0" borderId="0" xfId="0" applyFont="1" applyFill="1" applyBorder="1" applyAlignment="1">
      <alignment horizontal="center"/>
    </xf>
    <xf numFmtId="166" fontId="187" fillId="0" borderId="0" xfId="13458" applyNumberFormat="1" applyFont="1" applyFill="1" applyBorder="1" applyAlignment="1">
      <alignment horizontal="center"/>
    </xf>
    <xf numFmtId="0" fontId="193" fillId="0" borderId="10" xfId="0" applyFont="1" applyFill="1" applyBorder="1" applyAlignment="1">
      <alignment horizontal="center"/>
    </xf>
    <xf numFmtId="166" fontId="193" fillId="0" borderId="68" xfId="13458" applyNumberFormat="1" applyFont="1" applyFill="1" applyBorder="1" applyAlignment="1">
      <alignment horizontal="center"/>
    </xf>
    <xf numFmtId="0" fontId="187" fillId="0" borderId="45" xfId="0" applyFont="1" applyFill="1" applyBorder="1"/>
    <xf numFmtId="0" fontId="187" fillId="0" borderId="31" xfId="0" applyFont="1" applyFill="1" applyBorder="1" applyAlignment="1">
      <alignment horizontal="center"/>
    </xf>
    <xf numFmtId="166" fontId="187" fillId="0" borderId="31" xfId="13458" applyNumberFormat="1" applyFont="1" applyFill="1" applyBorder="1" applyAlignment="1">
      <alignment horizontal="center"/>
    </xf>
    <xf numFmtId="166" fontId="187" fillId="0" borderId="46" xfId="13458" applyNumberFormat="1" applyFont="1" applyFill="1" applyBorder="1" applyAlignment="1">
      <alignment horizontal="center"/>
    </xf>
    <xf numFmtId="0" fontId="187" fillId="0" borderId="0" xfId="0" applyFont="1" applyFill="1" applyAlignment="1">
      <alignment horizontal="center"/>
    </xf>
    <xf numFmtId="0" fontId="187" fillId="0" borderId="10" xfId="0" applyFont="1" applyFill="1" applyBorder="1" applyAlignment="1">
      <alignment horizontal="center"/>
    </xf>
    <xf numFmtId="166" fontId="187" fillId="0" borderId="10" xfId="13458" applyNumberFormat="1" applyFont="1" applyFill="1" applyBorder="1" applyAlignment="1">
      <alignment horizontal="center"/>
    </xf>
    <xf numFmtId="166" fontId="187" fillId="0" borderId="68" xfId="13458" applyNumberFormat="1" applyFont="1" applyFill="1" applyBorder="1" applyAlignment="1">
      <alignment horizontal="center"/>
    </xf>
    <xf numFmtId="0" fontId="193" fillId="0" borderId="0" xfId="0" applyFont="1" applyFill="1" applyBorder="1" applyAlignment="1">
      <alignment horizontal="center"/>
    </xf>
    <xf numFmtId="0" fontId="193" fillId="0" borderId="44" xfId="0" applyFont="1" applyFill="1" applyBorder="1" applyAlignment="1">
      <alignment horizontal="center"/>
    </xf>
    <xf numFmtId="0" fontId="187" fillId="0" borderId="0" xfId="0" applyFont="1" applyFill="1" applyBorder="1" applyAlignment="1">
      <alignment vertical="center"/>
    </xf>
    <xf numFmtId="0" fontId="187" fillId="0" borderId="0" xfId="0" applyFont="1" applyFill="1" applyBorder="1" applyAlignment="1">
      <alignment horizontal="right" vertical="center"/>
    </xf>
    <xf numFmtId="0" fontId="187" fillId="0" borderId="44" xfId="0" applyFont="1" applyFill="1" applyBorder="1" applyAlignment="1">
      <alignment horizontal="center"/>
    </xf>
    <xf numFmtId="9" fontId="187" fillId="0" borderId="0" xfId="13458" applyFont="1" applyFill="1" applyAlignment="1"/>
    <xf numFmtId="9" fontId="187" fillId="0" borderId="0" xfId="0" applyNumberFormat="1" applyFont="1" applyFill="1" applyBorder="1"/>
    <xf numFmtId="9" fontId="187" fillId="0" borderId="0" xfId="3075" applyFont="1" applyFill="1"/>
    <xf numFmtId="9" fontId="187" fillId="0" borderId="0" xfId="3075" applyFont="1" applyFill="1" applyBorder="1"/>
    <xf numFmtId="0" fontId="187" fillId="0" borderId="0" xfId="1930" applyFont="1" applyFill="1" applyBorder="1" applyAlignment="1">
      <alignment vertical="center"/>
    </xf>
    <xf numFmtId="0" fontId="193" fillId="0" borderId="0" xfId="0" applyFont="1" applyFill="1"/>
    <xf numFmtId="166" fontId="193" fillId="0" borderId="0" xfId="13458" applyNumberFormat="1" applyFont="1" applyFill="1" applyBorder="1" applyAlignment="1">
      <alignment horizontal="center"/>
    </xf>
    <xf numFmtId="44" fontId="187" fillId="0" borderId="0" xfId="0" applyNumberFormat="1" applyFont="1" applyFill="1"/>
    <xf numFmtId="0" fontId="179" fillId="0" borderId="37" xfId="0" applyFont="1" applyFill="1" applyBorder="1" applyAlignment="1">
      <alignment horizontal="center"/>
    </xf>
    <xf numFmtId="0" fontId="179" fillId="0" borderId="59" xfId="0" applyFont="1" applyFill="1" applyBorder="1" applyAlignment="1">
      <alignment horizontal="center"/>
    </xf>
    <xf numFmtId="0" fontId="187" fillId="0" borderId="13" xfId="0" applyFont="1" applyFill="1" applyBorder="1"/>
    <xf numFmtId="0" fontId="187" fillId="0" borderId="4" xfId="0" applyFont="1" applyFill="1" applyBorder="1" applyAlignment="1">
      <alignment horizontal="center"/>
    </xf>
    <xf numFmtId="3" fontId="187" fillId="0" borderId="4" xfId="0" applyNumberFormat="1" applyFont="1" applyFill="1" applyBorder="1" applyAlignment="1">
      <alignment horizontal="center"/>
    </xf>
    <xf numFmtId="0" fontId="187" fillId="0" borderId="4" xfId="0" applyFont="1" applyFill="1" applyBorder="1"/>
    <xf numFmtId="0" fontId="187" fillId="0" borderId="37" xfId="0" applyFont="1" applyFill="1" applyBorder="1" applyAlignment="1">
      <alignment horizontal="center"/>
    </xf>
    <xf numFmtId="43" fontId="187" fillId="0" borderId="0" xfId="1997" applyNumberFormat="1" applyFont="1" applyFill="1"/>
    <xf numFmtId="9" fontId="187" fillId="0" borderId="0" xfId="3075" applyFont="1" applyFill="1" applyAlignment="1">
      <alignment horizontal="center"/>
    </xf>
    <xf numFmtId="9" fontId="187" fillId="0" borderId="0" xfId="0" applyNumberFormat="1" applyFont="1" applyFill="1" applyAlignment="1">
      <alignment horizontal="center"/>
    </xf>
    <xf numFmtId="3" fontId="187" fillId="0" borderId="31" xfId="0" applyNumberFormat="1" applyFont="1" applyFill="1" applyBorder="1" applyAlignment="1">
      <alignment horizontal="center"/>
    </xf>
    <xf numFmtId="9" fontId="187" fillId="0" borderId="31" xfId="3075" applyFont="1" applyFill="1" applyBorder="1" applyAlignment="1">
      <alignment horizontal="center"/>
    </xf>
    <xf numFmtId="9" fontId="187" fillId="0" borderId="46" xfId="3075" applyFont="1" applyFill="1" applyBorder="1" applyAlignment="1">
      <alignment horizontal="center"/>
    </xf>
    <xf numFmtId="169" fontId="80" fillId="0" borderId="31" xfId="13459" applyNumberFormat="1" applyFont="1" applyBorder="1"/>
    <xf numFmtId="3" fontId="80" fillId="0" borderId="4" xfId="0" applyNumberFormat="1" applyFont="1" applyBorder="1"/>
    <xf numFmtId="169" fontId="187" fillId="0" borderId="0" xfId="13459" applyNumberFormat="1" applyFont="1" applyBorder="1"/>
    <xf numFmtId="169" fontId="193" fillId="0" borderId="0" xfId="13459" applyNumberFormat="1" applyFont="1" applyBorder="1"/>
    <xf numFmtId="3" fontId="193" fillId="0" borderId="31" xfId="0" applyNumberFormat="1" applyFont="1" applyFill="1" applyBorder="1"/>
    <xf numFmtId="166" fontId="187" fillId="0" borderId="31" xfId="13458" applyNumberFormat="1" applyFont="1" applyFill="1" applyBorder="1"/>
    <xf numFmtId="0" fontId="187" fillId="0" borderId="37" xfId="0" applyFont="1" applyFill="1" applyBorder="1"/>
    <xf numFmtId="9" fontId="179" fillId="103" borderId="0" xfId="3075" applyFont="1" applyFill="1"/>
    <xf numFmtId="9" fontId="179" fillId="123" borderId="0" xfId="3075" applyFont="1" applyFill="1"/>
    <xf numFmtId="169" fontId="54" fillId="0" borderId="37" xfId="13459" applyNumberFormat="1" applyFont="1" applyFill="1" applyBorder="1"/>
    <xf numFmtId="0" fontId="54" fillId="0" borderId="37" xfId="0" applyFont="1" applyFill="1" applyBorder="1"/>
    <xf numFmtId="169" fontId="54" fillId="0" borderId="10" xfId="13459" applyNumberFormat="1" applyFont="1" applyFill="1" applyBorder="1"/>
    <xf numFmtId="0" fontId="80" fillId="0" borderId="45" xfId="0" applyFont="1" applyFill="1" applyBorder="1" applyAlignment="1" applyProtection="1">
      <alignment horizontal="left"/>
    </xf>
    <xf numFmtId="3" fontId="187" fillId="0" borderId="44" xfId="0" applyNumberFormat="1" applyFont="1" applyBorder="1" applyAlignment="1">
      <alignment horizontal="center"/>
    </xf>
    <xf numFmtId="0" fontId="187" fillId="0" borderId="44" xfId="0" applyFont="1" applyBorder="1" applyAlignment="1">
      <alignment horizontal="center"/>
    </xf>
    <xf numFmtId="169" fontId="80" fillId="0" borderId="31" xfId="13459" applyNumberFormat="1" applyFont="1" applyFill="1" applyBorder="1"/>
    <xf numFmtId="43" fontId="187" fillId="0" borderId="0" xfId="1997" applyFont="1" applyBorder="1"/>
    <xf numFmtId="0" fontId="54" fillId="0" borderId="4" xfId="0" applyFont="1" applyBorder="1" applyAlignment="1">
      <alignment wrapText="1"/>
    </xf>
    <xf numFmtId="0" fontId="54" fillId="0" borderId="0" xfId="0" applyFont="1" applyBorder="1" applyAlignment="1">
      <alignment wrapText="1"/>
    </xf>
    <xf numFmtId="0" fontId="80" fillId="102" borderId="0" xfId="0" applyFont="1" applyFill="1" applyBorder="1"/>
    <xf numFmtId="10" fontId="80" fillId="102" borderId="0" xfId="0" applyNumberFormat="1" applyFont="1" applyFill="1" applyBorder="1"/>
    <xf numFmtId="10" fontId="80" fillId="102" borderId="0" xfId="3075" applyNumberFormat="1" applyFont="1" applyFill="1" applyBorder="1"/>
    <xf numFmtId="10" fontId="80" fillId="0" borderId="0" xfId="3075" applyNumberFormat="1" applyFont="1"/>
    <xf numFmtId="0" fontId="187" fillId="0" borderId="47" xfId="5081" applyFont="1" applyFill="1" applyBorder="1" applyAlignment="1">
      <alignment horizontal="right" vertical="center"/>
    </xf>
    <xf numFmtId="222" fontId="187" fillId="0" borderId="40" xfId="3647" applyNumberFormat="1" applyFont="1" applyFill="1" applyBorder="1" applyAlignment="1">
      <alignment horizontal="right"/>
    </xf>
    <xf numFmtId="10" fontId="187" fillId="0" borderId="47" xfId="3075" applyNumberFormat="1" applyFont="1" applyBorder="1"/>
    <xf numFmtId="10" fontId="187" fillId="0" borderId="20" xfId="3075" applyNumberFormat="1" applyFont="1" applyBorder="1"/>
    <xf numFmtId="10" fontId="187" fillId="0" borderId="40" xfId="3075" applyNumberFormat="1" applyFont="1" applyBorder="1"/>
    <xf numFmtId="44" fontId="187" fillId="0" borderId="47" xfId="3647" applyFont="1" applyBorder="1"/>
    <xf numFmtId="44" fontId="187" fillId="0" borderId="37" xfId="3647" applyFont="1" applyBorder="1"/>
    <xf numFmtId="44" fontId="187" fillId="0" borderId="20" xfId="3647" applyFont="1" applyBorder="1"/>
    <xf numFmtId="44" fontId="187" fillId="0" borderId="40" xfId="3647" applyFont="1" applyBorder="1"/>
    <xf numFmtId="0" fontId="187" fillId="0" borderId="47" xfId="5081" applyFont="1" applyFill="1" applyBorder="1" applyAlignment="1">
      <alignment horizontal="right" vertical="center" wrapText="1"/>
    </xf>
    <xf numFmtId="0" fontId="187" fillId="0" borderId="20" xfId="5081" applyFont="1" applyFill="1" applyBorder="1" applyAlignment="1">
      <alignment horizontal="right" wrapText="1"/>
    </xf>
    <xf numFmtId="0" fontId="187" fillId="0" borderId="20" xfId="5081" applyFont="1" applyFill="1" applyBorder="1" applyAlignment="1">
      <alignment horizontal="right" vertical="center" wrapText="1"/>
    </xf>
    <xf numFmtId="0" fontId="187" fillId="0" borderId="72" xfId="5081" applyFont="1" applyFill="1" applyBorder="1" applyAlignment="1">
      <alignment horizontal="right" vertical="center"/>
    </xf>
    <xf numFmtId="0" fontId="187" fillId="0" borderId="60" xfId="5081" applyFont="1" applyFill="1" applyBorder="1" applyAlignment="1">
      <alignment horizontal="right"/>
    </xf>
    <xf numFmtId="0" fontId="187" fillId="0" borderId="60" xfId="5081" applyFont="1" applyFill="1" applyBorder="1" applyAlignment="1">
      <alignment horizontal="right" vertical="center"/>
    </xf>
    <xf numFmtId="222" fontId="187" fillId="0" borderId="73" xfId="3647" applyNumberFormat="1" applyFont="1" applyFill="1" applyBorder="1" applyAlignment="1">
      <alignment horizontal="right"/>
    </xf>
    <xf numFmtId="0" fontId="187" fillId="0" borderId="68" xfId="5081" applyFont="1" applyFill="1" applyBorder="1" applyAlignment="1">
      <alignment horizontal="right" vertical="center"/>
    </xf>
    <xf numFmtId="222" fontId="187" fillId="0" borderId="13" xfId="3647" applyNumberFormat="1" applyFont="1" applyFill="1" applyBorder="1" applyAlignment="1">
      <alignment horizontal="right"/>
    </xf>
    <xf numFmtId="0" fontId="187" fillId="0" borderId="74" xfId="5081" applyFont="1" applyFill="1" applyBorder="1" applyAlignment="1">
      <alignment horizontal="right" vertical="center"/>
    </xf>
    <xf numFmtId="0" fontId="187" fillId="0" borderId="61" xfId="5081" applyFont="1" applyFill="1" applyBorder="1" applyAlignment="1">
      <alignment horizontal="right"/>
    </xf>
    <xf numFmtId="0" fontId="187" fillId="0" borderId="61" xfId="5081" applyFont="1" applyFill="1" applyBorder="1" applyAlignment="1">
      <alignment horizontal="right" vertical="center"/>
    </xf>
    <xf numFmtId="222" fontId="187" fillId="0" borderId="75" xfId="3647" applyNumberFormat="1" applyFont="1" applyFill="1" applyBorder="1" applyAlignment="1">
      <alignment horizontal="right"/>
    </xf>
    <xf numFmtId="0" fontId="187" fillId="0" borderId="20" xfId="0" applyFont="1" applyFill="1" applyBorder="1" applyAlignment="1">
      <alignment horizontal="right"/>
    </xf>
    <xf numFmtId="222" fontId="193" fillId="0" borderId="0" xfId="0" applyNumberFormat="1" applyFont="1"/>
    <xf numFmtId="0" fontId="187" fillId="0" borderId="47" xfId="5081" applyFont="1" applyFill="1" applyBorder="1" applyAlignment="1">
      <alignment horizontal="right"/>
    </xf>
    <xf numFmtId="10" fontId="187" fillId="0" borderId="0" xfId="3075" applyNumberFormat="1" applyFont="1" applyBorder="1"/>
    <xf numFmtId="44" fontId="187" fillId="0" borderId="0" xfId="3647" applyFont="1" applyBorder="1"/>
    <xf numFmtId="0" fontId="187" fillId="0" borderId="0" xfId="5081" applyFont="1" applyFill="1" applyBorder="1" applyAlignment="1">
      <alignment horizontal="right"/>
    </xf>
    <xf numFmtId="0" fontId="80" fillId="0" borderId="20" xfId="0" applyFont="1" applyFill="1" applyBorder="1" applyAlignment="1">
      <alignment horizontal="center"/>
    </xf>
    <xf numFmtId="0" fontId="187" fillId="0" borderId="0" xfId="0" quotePrefix="1" applyFont="1"/>
    <xf numFmtId="0" fontId="80" fillId="0" borderId="37" xfId="0" applyFont="1" applyBorder="1"/>
    <xf numFmtId="169" fontId="80" fillId="0" borderId="37" xfId="0" applyNumberFormat="1" applyFont="1" applyBorder="1"/>
    <xf numFmtId="0" fontId="80" fillId="0" borderId="31" xfId="0" applyFont="1" applyBorder="1"/>
    <xf numFmtId="166" fontId="80" fillId="0" borderId="31" xfId="13458" applyNumberFormat="1" applyFont="1" applyBorder="1" applyAlignment="1">
      <alignment horizontal="center"/>
    </xf>
    <xf numFmtId="166" fontId="80" fillId="0" borderId="45" xfId="13458" applyNumberFormat="1" applyFont="1" applyBorder="1" applyAlignment="1">
      <alignment horizontal="center"/>
    </xf>
    <xf numFmtId="169" fontId="54" fillId="102" borderId="0" xfId="1997" applyNumberFormat="1" applyFont="1" applyFill="1" applyAlignment="1">
      <alignment horizontal="center" vertical="center"/>
    </xf>
    <xf numFmtId="169" fontId="54" fillId="102" borderId="0" xfId="1997" applyNumberFormat="1" applyFont="1" applyFill="1" applyAlignment="1">
      <alignment horizontal="center"/>
    </xf>
    <xf numFmtId="166" fontId="54" fillId="0" borderId="0" xfId="3075" applyNumberFormat="1" applyFont="1" applyAlignment="1">
      <alignment horizontal="center"/>
    </xf>
    <xf numFmtId="0" fontId="198" fillId="0" borderId="0" xfId="0" applyFont="1"/>
    <xf numFmtId="9" fontId="54" fillId="102" borderId="0" xfId="0" applyNumberFormat="1" applyFont="1" applyFill="1"/>
    <xf numFmtId="0" fontId="179" fillId="106" borderId="63" xfId="0" applyFont="1" applyFill="1" applyBorder="1" applyAlignment="1"/>
    <xf numFmtId="0" fontId="179" fillId="106" borderId="48" xfId="0" applyFont="1" applyFill="1" applyBorder="1" applyAlignment="1"/>
    <xf numFmtId="0" fontId="179" fillId="106" borderId="67" xfId="0" applyFont="1" applyFill="1" applyBorder="1" applyAlignment="1"/>
    <xf numFmtId="9" fontId="54" fillId="0" borderId="20" xfId="3075" applyNumberFormat="1" applyFont="1" applyFill="1" applyBorder="1"/>
    <xf numFmtId="0" fontId="80" fillId="0" borderId="0" xfId="2941" applyFont="1" applyFill="1"/>
    <xf numFmtId="0" fontId="193" fillId="0" borderId="0" xfId="0" applyFont="1" applyAlignment="1">
      <alignment horizontal="center"/>
    </xf>
    <xf numFmtId="0" fontId="188" fillId="0" borderId="0" xfId="0" applyFont="1"/>
    <xf numFmtId="0" fontId="80" fillId="0" borderId="0" xfId="0" applyFont="1"/>
    <xf numFmtId="0" fontId="80" fillId="103" borderId="48" xfId="0" applyFont="1" applyFill="1" applyBorder="1" applyAlignment="1">
      <alignment horizontal="center"/>
    </xf>
    <xf numFmtId="0" fontId="179" fillId="101" borderId="0" xfId="0" applyFont="1" applyFill="1" applyAlignment="1">
      <alignment horizontal="center"/>
    </xf>
    <xf numFmtId="166" fontId="54" fillId="108" borderId="20" xfId="3075" applyNumberFormat="1" applyFont="1" applyFill="1" applyBorder="1" applyAlignment="1">
      <alignment horizontal="center"/>
    </xf>
    <xf numFmtId="0" fontId="80" fillId="108" borderId="20" xfId="0" applyFont="1" applyFill="1" applyBorder="1" applyAlignment="1">
      <alignment horizontal="center"/>
    </xf>
    <xf numFmtId="0" fontId="80" fillId="108" borderId="59" xfId="0" applyFont="1" applyFill="1" applyBorder="1" applyAlignment="1">
      <alignment horizontal="center"/>
    </xf>
    <xf numFmtId="0" fontId="193" fillId="111" borderId="48" xfId="5081" applyFont="1" applyFill="1" applyBorder="1" applyAlignment="1">
      <alignment horizontal="center"/>
    </xf>
    <xf numFmtId="0" fontId="54" fillId="0" borderId="0" xfId="0" applyFont="1" applyFill="1" applyBorder="1" applyAlignment="1">
      <alignment horizontal="center"/>
    </xf>
    <xf numFmtId="0" fontId="80" fillId="0" borderId="0" xfId="0" applyFont="1" applyAlignment="1">
      <alignment horizontal="center"/>
    </xf>
    <xf numFmtId="0" fontId="54" fillId="0" borderId="0" xfId="0" applyFont="1" applyAlignment="1">
      <alignment horizontal="center"/>
    </xf>
    <xf numFmtId="0" fontId="184" fillId="0" borderId="0" xfId="0" applyFont="1" applyFill="1" applyBorder="1" applyAlignment="1">
      <alignment horizontal="center"/>
    </xf>
    <xf numFmtId="0" fontId="179" fillId="101" borderId="0" xfId="0" applyFont="1" applyFill="1" applyBorder="1" applyAlignment="1">
      <alignment horizontal="center"/>
    </xf>
    <xf numFmtId="0" fontId="54" fillId="0" borderId="37" xfId="0" applyFont="1" applyBorder="1" applyAlignment="1">
      <alignment horizontal="center"/>
    </xf>
    <xf numFmtId="0" fontId="179" fillId="101" borderId="0" xfId="0" applyFont="1" applyFill="1" applyBorder="1" applyAlignment="1">
      <alignment horizontal="center"/>
    </xf>
    <xf numFmtId="0" fontId="54" fillId="102" borderId="13" xfId="0" quotePrefix="1" applyFont="1" applyFill="1" applyBorder="1" applyAlignment="1">
      <alignment vertical="center" wrapText="1"/>
    </xf>
    <xf numFmtId="0" fontId="197" fillId="0" borderId="0" xfId="15406" applyFont="1"/>
    <xf numFmtId="0" fontId="187" fillId="0" borderId="0" xfId="15406" applyFont="1"/>
    <xf numFmtId="0" fontId="187" fillId="0" borderId="0" xfId="15406" applyFont="1" applyAlignment="1">
      <alignment horizontal="left" indent="1"/>
    </xf>
    <xf numFmtId="0" fontId="179" fillId="101" borderId="0" xfId="15406" applyFont="1" applyFill="1"/>
    <xf numFmtId="0" fontId="193" fillId="0" borderId="0" xfId="15406" applyFont="1"/>
    <xf numFmtId="0" fontId="187" fillId="102" borderId="0" xfId="15406" applyFont="1" applyFill="1"/>
    <xf numFmtId="39" fontId="187" fillId="102" borderId="0" xfId="15406" applyNumberFormat="1" applyFont="1" applyFill="1"/>
    <xf numFmtId="170" fontId="187" fillId="102" borderId="0" xfId="15406" applyNumberFormat="1" applyFont="1" applyFill="1"/>
    <xf numFmtId="1" fontId="187" fillId="113" borderId="0" xfId="15406" applyNumberFormat="1" applyFont="1" applyFill="1"/>
    <xf numFmtId="169" fontId="187" fillId="102" borderId="0" xfId="15407" applyNumberFormat="1" applyFont="1" applyFill="1" applyAlignment="1">
      <alignment horizontal="right"/>
    </xf>
    <xf numFmtId="169" fontId="187" fillId="102" borderId="0" xfId="15407" applyNumberFormat="1" applyFont="1" applyFill="1"/>
    <xf numFmtId="222" fontId="187" fillId="102" borderId="0" xfId="15408" applyNumberFormat="1" applyFont="1" applyFill="1" applyAlignment="1">
      <alignment horizontal="right"/>
    </xf>
    <xf numFmtId="222" fontId="187" fillId="102" borderId="0" xfId="15408" applyNumberFormat="1" applyFont="1" applyFill="1" applyAlignment="1"/>
    <xf numFmtId="0" fontId="187" fillId="102" borderId="0" xfId="15406" applyFont="1" applyFill="1" applyAlignment="1">
      <alignment horizontal="right"/>
    </xf>
    <xf numFmtId="236" fontId="187" fillId="102" borderId="0" xfId="15406" applyNumberFormat="1" applyFont="1" applyFill="1" applyAlignment="1">
      <alignment horizontal="right"/>
    </xf>
    <xf numFmtId="6" fontId="187" fillId="102" borderId="0" xfId="15406" applyNumberFormat="1" applyFont="1" applyFill="1" applyAlignment="1">
      <alignment horizontal="right"/>
    </xf>
    <xf numFmtId="6" fontId="187" fillId="102" borderId="0" xfId="15406" applyNumberFormat="1" applyFont="1" applyFill="1"/>
    <xf numFmtId="0" fontId="201" fillId="0" borderId="0" xfId="22822" applyFont="1"/>
    <xf numFmtId="0" fontId="202" fillId="0" borderId="0" xfId="22822" applyFont="1"/>
    <xf numFmtId="0" fontId="202" fillId="0" borderId="0" xfId="22822" applyFont="1" applyAlignment="1">
      <alignment horizontal="right"/>
    </xf>
    <xf numFmtId="0" fontId="203" fillId="0" borderId="0" xfId="22822" applyFont="1" applyFill="1"/>
    <xf numFmtId="0" fontId="202" fillId="0" borderId="0" xfId="22822" applyFont="1" applyFill="1"/>
    <xf numFmtId="0" fontId="202" fillId="0" borderId="31" xfId="22822" applyFont="1" applyFill="1" applyBorder="1"/>
    <xf numFmtId="165" fontId="202" fillId="0" borderId="0" xfId="22824" applyNumberFormat="1" applyFont="1" applyFill="1"/>
    <xf numFmtId="169" fontId="202" fillId="0" borderId="0" xfId="22824" applyNumberFormat="1" applyFont="1" applyFill="1"/>
    <xf numFmtId="0" fontId="203" fillId="0" borderId="78" xfId="22826" applyFont="1" applyBorder="1" applyAlignment="1">
      <alignment horizontal="center"/>
    </xf>
    <xf numFmtId="0" fontId="203" fillId="0" borderId="79" xfId="22826" applyFont="1" applyBorder="1" applyAlignment="1">
      <alignment horizontal="center"/>
    </xf>
    <xf numFmtId="0" fontId="203" fillId="0" borderId="0" xfId="22822" applyFont="1" applyFill="1" applyAlignment="1">
      <alignment horizontal="center"/>
    </xf>
    <xf numFmtId="0" fontId="204" fillId="0" borderId="80" xfId="22826" applyFont="1" applyBorder="1"/>
    <xf numFmtId="0" fontId="202" fillId="0" borderId="60" xfId="22822" applyFont="1" applyFill="1" applyBorder="1"/>
    <xf numFmtId="0" fontId="203" fillId="0" borderId="59" xfId="22826" applyFont="1" applyBorder="1" applyAlignment="1">
      <alignment horizontal="center" vertical="center"/>
    </xf>
    <xf numFmtId="169" fontId="203" fillId="0" borderId="37" xfId="22824" applyNumberFormat="1" applyFont="1" applyBorder="1" applyAlignment="1">
      <alignment horizontal="center" vertical="center"/>
    </xf>
    <xf numFmtId="0" fontId="205" fillId="0" borderId="0" xfId="22822" applyFont="1" applyFill="1" applyAlignment="1">
      <alignment horizontal="center" vertical="center"/>
    </xf>
    <xf numFmtId="0" fontId="204" fillId="0" borderId="81" xfId="22826" applyFont="1" applyBorder="1"/>
    <xf numFmtId="0" fontId="202" fillId="0" borderId="82" xfId="22822" applyFont="1" applyFill="1" applyBorder="1"/>
    <xf numFmtId="0" fontId="203" fillId="0" borderId="76" xfId="22826" applyFont="1" applyBorder="1" applyAlignment="1">
      <alignment horizontal="center" vertical="center"/>
    </xf>
    <xf numFmtId="166" fontId="54" fillId="0" borderId="77" xfId="22825" applyNumberFormat="1" applyFont="1" applyBorder="1" applyAlignment="1">
      <alignment horizontal="center" vertical="center"/>
    </xf>
    <xf numFmtId="166" fontId="202" fillId="0" borderId="10" xfId="22822" applyNumberFormat="1" applyFont="1" applyFill="1" applyBorder="1" applyAlignment="1">
      <alignment horizontal="center" vertical="center"/>
    </xf>
    <xf numFmtId="0" fontId="204" fillId="0" borderId="83" xfId="22826" applyFont="1" applyBorder="1"/>
    <xf numFmtId="0" fontId="202" fillId="0" borderId="42" xfId="22822" applyFont="1" applyFill="1" applyBorder="1"/>
    <xf numFmtId="0" fontId="203" fillId="0" borderId="46" xfId="22826" applyFont="1" applyBorder="1" applyAlignment="1">
      <alignment horizontal="center" vertical="center"/>
    </xf>
    <xf numFmtId="166" fontId="54" fillId="0" borderId="45" xfId="22825" applyNumberFormat="1" applyFont="1" applyBorder="1" applyAlignment="1">
      <alignment horizontal="center" vertical="center"/>
    </xf>
    <xf numFmtId="166" fontId="202" fillId="0" borderId="31" xfId="22822" applyNumberFormat="1" applyFont="1" applyFill="1" applyBorder="1" applyAlignment="1">
      <alignment horizontal="center" vertical="center"/>
    </xf>
    <xf numFmtId="0" fontId="204" fillId="0" borderId="84" xfId="22826" applyFont="1" applyBorder="1"/>
    <xf numFmtId="0" fontId="204" fillId="0" borderId="85" xfId="22826" applyFont="1" applyBorder="1"/>
    <xf numFmtId="0" fontId="202" fillId="0" borderId="86" xfId="22822" applyFont="1" applyFill="1" applyBorder="1"/>
    <xf numFmtId="0" fontId="204" fillId="0" borderId="0" xfId="22826" applyFont="1" applyFill="1"/>
    <xf numFmtId="0" fontId="202" fillId="0" borderId="0" xfId="22822" applyFont="1" applyFill="1" applyBorder="1"/>
    <xf numFmtId="0" fontId="202" fillId="0" borderId="39" xfId="22822" applyFont="1" applyBorder="1"/>
    <xf numFmtId="165" fontId="202" fillId="0" borderId="39" xfId="22824" applyNumberFormat="1" applyFont="1" applyBorder="1"/>
    <xf numFmtId="0" fontId="206" fillId="101" borderId="0" xfId="22822" applyFont="1" applyFill="1"/>
    <xf numFmtId="165" fontId="206" fillId="101" borderId="0" xfId="22824" applyNumberFormat="1" applyFont="1" applyFill="1"/>
    <xf numFmtId="0" fontId="205" fillId="0" borderId="0" xfId="22822" applyFont="1"/>
    <xf numFmtId="169" fontId="205" fillId="0" borderId="0" xfId="22824" applyNumberFormat="1" applyFont="1"/>
    <xf numFmtId="165" fontId="205" fillId="0" borderId="0" xfId="22824" applyNumberFormat="1" applyFont="1"/>
    <xf numFmtId="0" fontId="205" fillId="0" borderId="39" xfId="22822" applyFont="1" applyFill="1" applyBorder="1"/>
    <xf numFmtId="14" fontId="202" fillId="0" borderId="0" xfId="22822" applyNumberFormat="1" applyFont="1"/>
    <xf numFmtId="165" fontId="202" fillId="0" borderId="0" xfId="22824" applyNumberFormat="1" applyFont="1"/>
    <xf numFmtId="170" fontId="202" fillId="0" borderId="0" xfId="22822" applyNumberFormat="1" applyFont="1"/>
    <xf numFmtId="169" fontId="202" fillId="0" borderId="0" xfId="22824" applyNumberFormat="1" applyFont="1"/>
    <xf numFmtId="0" fontId="202" fillId="0" borderId="39" xfId="22822" applyFont="1" applyFill="1" applyBorder="1"/>
    <xf numFmtId="9" fontId="202" fillId="0" borderId="0" xfId="22825" applyFont="1"/>
    <xf numFmtId="0" fontId="202" fillId="0" borderId="87" xfId="22822" applyFont="1" applyBorder="1"/>
    <xf numFmtId="14" fontId="202" fillId="0" borderId="87" xfId="22822" applyNumberFormat="1" applyFont="1" applyBorder="1"/>
    <xf numFmtId="165" fontId="202" fillId="0" borderId="87" xfId="22824" applyNumberFormat="1" applyFont="1" applyBorder="1"/>
    <xf numFmtId="170" fontId="202" fillId="0" borderId="87" xfId="22822" applyNumberFormat="1" applyFont="1" applyBorder="1"/>
    <xf numFmtId="0" fontId="202" fillId="0" borderId="87" xfId="22822" applyFont="1" applyFill="1" applyBorder="1"/>
    <xf numFmtId="0" fontId="202" fillId="0" borderId="88" xfId="22822" applyFont="1" applyBorder="1"/>
    <xf numFmtId="169" fontId="202" fillId="0" borderId="87" xfId="22824" applyNumberFormat="1" applyFont="1" applyBorder="1"/>
    <xf numFmtId="0" fontId="202" fillId="0" borderId="88" xfId="22822" applyFont="1" applyFill="1" applyBorder="1"/>
    <xf numFmtId="14" fontId="205" fillId="0" borderId="0" xfId="22822" applyNumberFormat="1" applyFont="1"/>
    <xf numFmtId="169" fontId="205" fillId="0" borderId="0" xfId="22824" applyNumberFormat="1" applyFont="1" applyFill="1"/>
    <xf numFmtId="169" fontId="205" fillId="0" borderId="39" xfId="22824" applyNumberFormat="1" applyFont="1" applyBorder="1"/>
    <xf numFmtId="169" fontId="205" fillId="0" borderId="39" xfId="22824" applyNumberFormat="1" applyFont="1" applyFill="1" applyBorder="1"/>
    <xf numFmtId="9" fontId="205" fillId="0" borderId="0" xfId="22825" applyFont="1"/>
    <xf numFmtId="0" fontId="205" fillId="0" borderId="0" xfId="22822" applyFont="1" applyFill="1"/>
    <xf numFmtId="0" fontId="205" fillId="0" borderId="39" xfId="22822" applyFont="1" applyBorder="1"/>
    <xf numFmtId="165" fontId="202" fillId="0" borderId="38" xfId="22824" applyNumberFormat="1" applyFont="1" applyBorder="1"/>
    <xf numFmtId="170" fontId="205" fillId="0" borderId="0" xfId="22822" applyNumberFormat="1" applyFont="1"/>
    <xf numFmtId="0" fontId="205" fillId="0" borderId="9" xfId="22822" applyFont="1" applyBorder="1"/>
    <xf numFmtId="14" fontId="205" fillId="0" borderId="9" xfId="22822" applyNumberFormat="1" applyFont="1" applyBorder="1"/>
    <xf numFmtId="165" fontId="205" fillId="0" borderId="9" xfId="22824" applyNumberFormat="1" applyFont="1" applyBorder="1"/>
    <xf numFmtId="236" fontId="205" fillId="0" borderId="9" xfId="22822" applyNumberFormat="1" applyFont="1" applyBorder="1"/>
    <xf numFmtId="0" fontId="205" fillId="0" borderId="9" xfId="22822" applyFont="1" applyFill="1" applyBorder="1"/>
    <xf numFmtId="0" fontId="205" fillId="0" borderId="89" xfId="22822" applyFont="1" applyBorder="1"/>
    <xf numFmtId="169" fontId="205" fillId="0" borderId="9" xfId="22824" applyNumberFormat="1" applyFont="1" applyBorder="1"/>
    <xf numFmtId="9" fontId="205" fillId="0" borderId="9" xfId="22825" applyFont="1" applyBorder="1"/>
    <xf numFmtId="165" fontId="202" fillId="0" borderId="90" xfId="22824" applyNumberFormat="1" applyFont="1" applyBorder="1"/>
    <xf numFmtId="9" fontId="205" fillId="110" borderId="0" xfId="22825" applyFont="1" applyFill="1"/>
    <xf numFmtId="0" fontId="205" fillId="110" borderId="0" xfId="22822" applyFont="1" applyFill="1"/>
    <xf numFmtId="0" fontId="205" fillId="110" borderId="39" xfId="22822" applyFont="1" applyFill="1" applyBorder="1"/>
    <xf numFmtId="9" fontId="205" fillId="0" borderId="0" xfId="22822" applyNumberFormat="1" applyFont="1"/>
    <xf numFmtId="165" fontId="205" fillId="0" borderId="0" xfId="22824" applyNumberFormat="1" applyFont="1" applyFill="1"/>
    <xf numFmtId="9" fontId="205" fillId="0" borderId="0" xfId="22825" applyFont="1" applyFill="1"/>
    <xf numFmtId="0" fontId="202" fillId="113" borderId="0" xfId="22822" applyFont="1" applyFill="1"/>
    <xf numFmtId="0" fontId="202" fillId="0" borderId="9" xfId="22822" applyFont="1" applyBorder="1"/>
    <xf numFmtId="14" fontId="202" fillId="0" borderId="9" xfId="22822" applyNumberFormat="1" applyFont="1" applyBorder="1"/>
    <xf numFmtId="165" fontId="202" fillId="0" borderId="9" xfId="22824" applyNumberFormat="1" applyFont="1" applyBorder="1"/>
    <xf numFmtId="165" fontId="205" fillId="0" borderId="0" xfId="22822" applyNumberFormat="1" applyFont="1"/>
    <xf numFmtId="0" fontId="202" fillId="0" borderId="0" xfId="22822" applyFont="1" applyBorder="1"/>
    <xf numFmtId="0" fontId="202" fillId="0" borderId="91" xfId="22822" applyFont="1" applyBorder="1"/>
    <xf numFmtId="0" fontId="202" fillId="0" borderId="92" xfId="22822" applyFont="1" applyFill="1" applyBorder="1"/>
    <xf numFmtId="165" fontId="202" fillId="0" borderId="92" xfId="22824" applyNumberFormat="1" applyFont="1" applyBorder="1"/>
    <xf numFmtId="0" fontId="202" fillId="0" borderId="38" xfId="22822" applyFont="1" applyBorder="1"/>
    <xf numFmtId="9" fontId="205" fillId="110" borderId="0" xfId="22825" applyFont="1" applyFill="1" applyBorder="1"/>
    <xf numFmtId="0" fontId="205" fillId="110" borderId="0" xfId="22822" applyFont="1" applyFill="1" applyBorder="1"/>
    <xf numFmtId="0" fontId="203" fillId="0" borderId="0" xfId="22826" applyFont="1"/>
    <xf numFmtId="0" fontId="204" fillId="0" borderId="0" xfId="22826" applyFont="1"/>
    <xf numFmtId="0" fontId="204" fillId="0" borderId="0" xfId="22826" applyFont="1" applyBorder="1"/>
    <xf numFmtId="169" fontId="54" fillId="0" borderId="0" xfId="22824" applyNumberFormat="1" applyFont="1"/>
    <xf numFmtId="0" fontId="204" fillId="0" borderId="78" xfId="22826" applyFont="1" applyBorder="1"/>
    <xf numFmtId="0" fontId="203" fillId="0" borderId="79" xfId="22826" applyFont="1" applyBorder="1"/>
    <xf numFmtId="0" fontId="203" fillId="0" borderId="37" xfId="22826" applyFont="1" applyBorder="1"/>
    <xf numFmtId="0" fontId="203" fillId="0" borderId="0" xfId="22826" applyFont="1" applyBorder="1"/>
    <xf numFmtId="0" fontId="203" fillId="0" borderId="0" xfId="22826" applyFont="1" applyBorder="1" applyAlignment="1"/>
    <xf numFmtId="0" fontId="203" fillId="0" borderId="0" xfId="22826" applyFont="1" applyFill="1" applyBorder="1" applyAlignment="1"/>
    <xf numFmtId="0" fontId="203" fillId="0" borderId="80" xfId="22826" applyFont="1" applyBorder="1"/>
    <xf numFmtId="0" fontId="203" fillId="0" borderId="59" xfId="22826" applyFont="1" applyBorder="1" applyAlignment="1">
      <alignment horizontal="center"/>
    </xf>
    <xf numFmtId="169" fontId="203" fillId="0" borderId="0" xfId="22824" applyNumberFormat="1" applyFont="1" applyBorder="1" applyAlignment="1">
      <alignment horizontal="center" vertical="center"/>
    </xf>
    <xf numFmtId="169" fontId="203" fillId="0" borderId="0" xfId="22824" applyNumberFormat="1" applyFont="1" applyFill="1" applyBorder="1" applyAlignment="1">
      <alignment horizontal="center" vertical="center"/>
    </xf>
    <xf numFmtId="2" fontId="204" fillId="0" borderId="0" xfId="22826" applyNumberFormat="1" applyFont="1" applyBorder="1"/>
    <xf numFmtId="0" fontId="203" fillId="0" borderId="76" xfId="22826" applyFont="1" applyBorder="1"/>
    <xf numFmtId="166" fontId="54" fillId="0" borderId="77" xfId="22825" applyNumberFormat="1" applyFont="1" applyBorder="1"/>
    <xf numFmtId="166" fontId="54" fillId="0" borderId="0" xfId="22825" applyNumberFormat="1" applyFont="1" applyBorder="1"/>
    <xf numFmtId="166" fontId="54" fillId="0" borderId="0" xfId="22825" applyNumberFormat="1" applyFont="1" applyFill="1" applyBorder="1"/>
    <xf numFmtId="0" fontId="203" fillId="0" borderId="85" xfId="22826" applyFont="1" applyBorder="1"/>
    <xf numFmtId="0" fontId="204" fillId="0" borderId="31" xfId="22826" applyFont="1" applyBorder="1"/>
    <xf numFmtId="0" fontId="203" fillId="0" borderId="46" xfId="22826" applyFont="1" applyBorder="1"/>
    <xf numFmtId="166" fontId="54" fillId="0" borderId="45" xfId="22825" applyNumberFormat="1" applyFont="1" applyBorder="1"/>
    <xf numFmtId="169" fontId="54" fillId="0" borderId="0" xfId="22824" applyNumberFormat="1" applyFont="1" applyBorder="1"/>
    <xf numFmtId="169" fontId="54" fillId="0" borderId="0" xfId="22824" applyNumberFormat="1" applyFont="1" applyFill="1" applyBorder="1"/>
    <xf numFmtId="0" fontId="203" fillId="0" borderId="0" xfId="22826" applyFont="1" applyAlignment="1">
      <alignment horizontal="center"/>
    </xf>
    <xf numFmtId="169" fontId="203" fillId="0" borderId="0" xfId="22824" applyNumberFormat="1" applyFont="1"/>
    <xf numFmtId="14" fontId="204" fillId="0" borderId="0" xfId="22826" applyNumberFormat="1" applyFont="1"/>
    <xf numFmtId="222" fontId="54" fillId="0" borderId="0" xfId="22827" applyNumberFormat="1" applyFont="1"/>
    <xf numFmtId="169" fontId="204" fillId="0" borderId="0" xfId="22826" applyNumberFormat="1" applyFont="1"/>
    <xf numFmtId="165" fontId="203" fillId="0" borderId="0" xfId="22824" applyNumberFormat="1" applyFont="1"/>
    <xf numFmtId="222" fontId="203" fillId="0" borderId="0" xfId="22827" applyNumberFormat="1" applyFont="1"/>
    <xf numFmtId="43" fontId="54" fillId="0" borderId="0" xfId="22824" applyNumberFormat="1" applyFont="1"/>
    <xf numFmtId="14" fontId="203" fillId="0" borderId="0" xfId="22826" applyNumberFormat="1" applyFont="1"/>
    <xf numFmtId="170" fontId="187" fillId="102" borderId="0" xfId="15406" applyNumberFormat="1" applyFont="1" applyFill="1" applyAlignment="1">
      <alignment horizontal="right"/>
    </xf>
    <xf numFmtId="0" fontId="203" fillId="0" borderId="0" xfId="22822" applyFont="1"/>
    <xf numFmtId="0" fontId="207" fillId="101" borderId="0" xfId="22822" applyFont="1" applyFill="1"/>
    <xf numFmtId="0" fontId="203" fillId="0" borderId="0" xfId="22823" applyFont="1" applyBorder="1" applyAlignment="1"/>
    <xf numFmtId="0" fontId="202" fillId="0" borderId="20" xfId="22822" applyFont="1" applyFill="1" applyBorder="1"/>
    <xf numFmtId="0" fontId="203" fillId="0" borderId="59" xfId="22823" applyFont="1" applyBorder="1"/>
    <xf numFmtId="169" fontId="203" fillId="0" borderId="37" xfId="22824" applyNumberFormat="1" applyFont="1" applyBorder="1"/>
    <xf numFmtId="169" fontId="203" fillId="0" borderId="0" xfId="22824" applyNumberFormat="1" applyFont="1" applyBorder="1"/>
    <xf numFmtId="0" fontId="203" fillId="0" borderId="76" xfId="22823" applyFont="1" applyBorder="1"/>
    <xf numFmtId="166" fontId="54" fillId="0" borderId="77" xfId="22825" applyNumberFormat="1" applyFont="1" applyFill="1" applyBorder="1"/>
    <xf numFmtId="0" fontId="203" fillId="0" borderId="46" xfId="22823" applyFont="1" applyBorder="1"/>
    <xf numFmtId="166" fontId="54" fillId="0" borderId="45" xfId="22825" applyNumberFormat="1" applyFont="1" applyFill="1" applyBorder="1"/>
    <xf numFmtId="0" fontId="206" fillId="0" borderId="0" xfId="22822" applyFont="1"/>
    <xf numFmtId="236" fontId="202" fillId="0" borderId="0" xfId="22822" applyNumberFormat="1" applyFont="1"/>
    <xf numFmtId="9" fontId="54" fillId="0" borderId="0" xfId="3075" applyNumberFormat="1" applyFont="1" applyFill="1" applyBorder="1"/>
    <xf numFmtId="0" fontId="193" fillId="0" borderId="0" xfId="0" applyFont="1" applyFill="1" applyAlignment="1">
      <alignment horizontal="center"/>
    </xf>
    <xf numFmtId="0" fontId="179" fillId="0" borderId="0" xfId="0" applyFont="1" applyFill="1" applyBorder="1" applyAlignment="1">
      <alignment horizontal="center"/>
    </xf>
    <xf numFmtId="166" fontId="54" fillId="0" borderId="0" xfId="3075" applyNumberFormat="1" applyFont="1" applyFill="1" applyBorder="1" applyAlignment="1">
      <alignment horizontal="center"/>
    </xf>
    <xf numFmtId="0" fontId="208" fillId="0" borderId="0" xfId="0" applyFont="1"/>
    <xf numFmtId="0" fontId="80" fillId="0" borderId="0" xfId="13457" applyFont="1" applyFill="1" applyBorder="1"/>
    <xf numFmtId="0" fontId="54" fillId="0" borderId="0" xfId="13457" applyFont="1" applyFill="1" applyBorder="1"/>
    <xf numFmtId="0" fontId="179" fillId="101" borderId="37" xfId="0" applyNumberFormat="1" applyFont="1" applyFill="1" applyBorder="1" applyAlignment="1">
      <alignment horizontal="center"/>
    </xf>
    <xf numFmtId="169" fontId="54" fillId="0" borderId="0" xfId="0" applyNumberFormat="1" applyFont="1" applyFill="1" applyBorder="1"/>
    <xf numFmtId="0" fontId="54" fillId="0" borderId="0" xfId="13457" applyFont="1" applyFill="1" applyBorder="1" applyAlignment="1">
      <alignment horizontal="left" indent="1"/>
    </xf>
    <xf numFmtId="0" fontId="179" fillId="101" borderId="0" xfId="0" applyFont="1" applyFill="1" applyBorder="1" applyAlignment="1"/>
    <xf numFmtId="0" fontId="80" fillId="0" borderId="31" xfId="0" applyFont="1" applyFill="1" applyBorder="1"/>
    <xf numFmtId="0" fontId="54" fillId="102" borderId="58" xfId="0" applyFont="1" applyFill="1" applyBorder="1" applyAlignment="1">
      <alignment horizontal="left" vertical="center" wrapText="1"/>
    </xf>
    <xf numFmtId="0" fontId="54" fillId="102" borderId="59" xfId="0" applyFont="1" applyFill="1" applyBorder="1" applyAlignment="1">
      <alignment horizontal="left" vertical="center" wrapText="1"/>
    </xf>
    <xf numFmtId="0" fontId="80" fillId="103" borderId="20" xfId="0" applyFont="1" applyFill="1" applyBorder="1" applyAlignment="1">
      <alignment horizontal="center" vertical="center"/>
    </xf>
    <xf numFmtId="0" fontId="54" fillId="102" borderId="20" xfId="0" applyFont="1" applyFill="1" applyBorder="1" applyAlignment="1">
      <alignment horizontal="left" vertical="center" wrapText="1"/>
    </xf>
    <xf numFmtId="0" fontId="54" fillId="102" borderId="13" xfId="0" applyFont="1" applyFill="1" applyBorder="1" applyAlignment="1">
      <alignment horizontal="left" vertical="center" wrapText="1"/>
    </xf>
    <xf numFmtId="0" fontId="54" fillId="102" borderId="68" xfId="0" applyFont="1" applyFill="1" applyBorder="1" applyAlignment="1">
      <alignment horizontal="left" vertical="center" wrapText="1"/>
    </xf>
    <xf numFmtId="0" fontId="54" fillId="102" borderId="45" xfId="0" applyFont="1" applyFill="1" applyBorder="1" applyAlignment="1">
      <alignment horizontal="left" vertical="center" wrapText="1"/>
    </xf>
    <xf numFmtId="0" fontId="54" fillId="102" borderId="46" xfId="0" applyFont="1" applyFill="1" applyBorder="1" applyAlignment="1">
      <alignment horizontal="left" vertical="center" wrapText="1"/>
    </xf>
    <xf numFmtId="0" fontId="54" fillId="102" borderId="13" xfId="0" quotePrefix="1" applyFont="1" applyFill="1" applyBorder="1" applyAlignment="1">
      <alignment horizontal="left" vertical="center" wrapText="1"/>
    </xf>
    <xf numFmtId="0" fontId="54" fillId="102" borderId="68" xfId="0" quotePrefix="1" applyFont="1" applyFill="1" applyBorder="1" applyAlignment="1">
      <alignment horizontal="left" vertical="center" wrapText="1"/>
    </xf>
    <xf numFmtId="0" fontId="54" fillId="102" borderId="4" xfId="0" quotePrefix="1" applyFont="1" applyFill="1" applyBorder="1" applyAlignment="1">
      <alignment horizontal="left" vertical="center" wrapText="1"/>
    </xf>
    <xf numFmtId="0" fontId="54" fillId="102" borderId="44" xfId="0" quotePrefix="1" applyFont="1" applyFill="1" applyBorder="1" applyAlignment="1">
      <alignment horizontal="left" vertical="center" wrapText="1"/>
    </xf>
    <xf numFmtId="0" fontId="54" fillId="102" borderId="45" xfId="0" quotePrefix="1" applyFont="1" applyFill="1" applyBorder="1" applyAlignment="1">
      <alignment horizontal="left" vertical="center" wrapText="1"/>
    </xf>
    <xf numFmtId="0" fontId="54" fillId="102" borderId="46" xfId="0" quotePrefix="1" applyFont="1" applyFill="1" applyBorder="1" applyAlignment="1">
      <alignment horizontal="left" vertical="center" wrapText="1"/>
    </xf>
    <xf numFmtId="0" fontId="188" fillId="0" borderId="0" xfId="0" applyFont="1"/>
    <xf numFmtId="0" fontId="80" fillId="0" borderId="0" xfId="0" applyFont="1"/>
    <xf numFmtId="0" fontId="203" fillId="0" borderId="31" xfId="22823" applyFont="1" applyBorder="1" applyAlignment="1">
      <alignment horizontal="center"/>
    </xf>
    <xf numFmtId="0" fontId="203" fillId="0" borderId="4" xfId="22826" applyFont="1" applyBorder="1" applyAlignment="1">
      <alignment horizontal="center" vertical="center"/>
    </xf>
    <xf numFmtId="0" fontId="203" fillId="0" borderId="45" xfId="22826" applyFont="1" applyBorder="1" applyAlignment="1">
      <alignment horizontal="center" vertical="center"/>
    </xf>
    <xf numFmtId="165" fontId="205" fillId="0" borderId="0" xfId="22824" applyNumberFormat="1" applyFont="1" applyBorder="1" applyAlignment="1">
      <alignment horizontal="center"/>
    </xf>
    <xf numFmtId="0" fontId="203" fillId="0" borderId="31" xfId="22826" applyFont="1" applyBorder="1" applyAlignment="1">
      <alignment horizontal="center"/>
    </xf>
    <xf numFmtId="0" fontId="204" fillId="0" borderId="4" xfId="22826" applyFont="1" applyBorder="1" applyAlignment="1">
      <alignment horizontal="center" vertical="center"/>
    </xf>
    <xf numFmtId="0" fontId="204" fillId="0" borderId="45" xfId="22826" applyFont="1" applyBorder="1" applyAlignment="1">
      <alignment horizontal="center" vertical="center"/>
    </xf>
    <xf numFmtId="0" fontId="201" fillId="0" borderId="0" xfId="22822" applyFont="1" applyAlignment="1">
      <alignment horizontal="center"/>
    </xf>
    <xf numFmtId="0" fontId="201" fillId="0" borderId="38" xfId="22822" applyFont="1" applyBorder="1" applyAlignment="1">
      <alignment horizontal="center"/>
    </xf>
    <xf numFmtId="0" fontId="201" fillId="0" borderId="0" xfId="22822" applyFont="1" applyBorder="1" applyAlignment="1">
      <alignment horizontal="center"/>
    </xf>
    <xf numFmtId="0" fontId="80" fillId="103" borderId="63" xfId="0" applyFont="1" applyFill="1" applyBorder="1" applyAlignment="1">
      <alignment horizontal="center"/>
    </xf>
    <xf numFmtId="0" fontId="80" fillId="103" borderId="48" xfId="0" applyFont="1" applyFill="1" applyBorder="1" applyAlignment="1">
      <alignment horizontal="center"/>
    </xf>
    <xf numFmtId="0" fontId="179" fillId="101" borderId="0" xfId="0" applyFont="1" applyFill="1" applyAlignment="1">
      <alignment horizontal="center"/>
    </xf>
    <xf numFmtId="0" fontId="80" fillId="107" borderId="63" xfId="0" applyFont="1" applyFill="1" applyBorder="1" applyAlignment="1">
      <alignment horizontal="center" vertical="center"/>
    </xf>
    <xf numFmtId="0" fontId="80" fillId="107" borderId="48" xfId="0" applyFont="1" applyFill="1" applyBorder="1" applyAlignment="1">
      <alignment horizontal="center" vertical="center"/>
    </xf>
    <xf numFmtId="0" fontId="80" fillId="107" borderId="67" xfId="0" applyFont="1" applyFill="1" applyBorder="1" applyAlignment="1">
      <alignment horizontal="center" vertical="center"/>
    </xf>
    <xf numFmtId="0" fontId="80" fillId="108" borderId="63" xfId="0" applyFont="1" applyFill="1" applyBorder="1" applyAlignment="1">
      <alignment horizontal="center"/>
    </xf>
    <xf numFmtId="0" fontId="80" fillId="108" borderId="48" xfId="0" applyFont="1" applyFill="1" applyBorder="1" applyAlignment="1">
      <alignment horizontal="center"/>
    </xf>
    <xf numFmtId="0" fontId="80" fillId="108" borderId="67" xfId="0" applyFont="1" applyFill="1" applyBorder="1" applyAlignment="1">
      <alignment horizontal="center"/>
    </xf>
    <xf numFmtId="0" fontId="80" fillId="105" borderId="63" xfId="0" applyFont="1" applyFill="1" applyBorder="1" applyAlignment="1">
      <alignment horizontal="center"/>
    </xf>
    <xf numFmtId="0" fontId="80" fillId="105" borderId="48" xfId="0" applyFont="1" applyFill="1" applyBorder="1" applyAlignment="1">
      <alignment horizontal="center"/>
    </xf>
    <xf numFmtId="0" fontId="80" fillId="105" borderId="67" xfId="0" applyFont="1" applyFill="1" applyBorder="1" applyAlignment="1">
      <alignment horizontal="center"/>
    </xf>
    <xf numFmtId="166" fontId="54" fillId="108" borderId="20" xfId="3075" applyNumberFormat="1" applyFont="1" applyFill="1" applyBorder="1" applyAlignment="1">
      <alignment horizontal="center"/>
    </xf>
    <xf numFmtId="0" fontId="80" fillId="108" borderId="20" xfId="0" applyFont="1" applyFill="1" applyBorder="1" applyAlignment="1">
      <alignment horizontal="center"/>
    </xf>
    <xf numFmtId="0" fontId="179" fillId="106" borderId="63" xfId="0" applyFont="1" applyFill="1" applyBorder="1" applyAlignment="1">
      <alignment horizontal="center"/>
    </xf>
    <xf numFmtId="0" fontId="179" fillId="106" borderId="48" xfId="0" applyFont="1" applyFill="1" applyBorder="1" applyAlignment="1">
      <alignment horizontal="center"/>
    </xf>
    <xf numFmtId="0" fontId="179" fillId="106" borderId="67" xfId="0" applyFont="1" applyFill="1" applyBorder="1" applyAlignment="1">
      <alignment horizontal="center"/>
    </xf>
    <xf numFmtId="0" fontId="80" fillId="103" borderId="67" xfId="0" applyFont="1" applyFill="1" applyBorder="1" applyAlignment="1">
      <alignment horizontal="center"/>
    </xf>
    <xf numFmtId="0" fontId="80" fillId="108" borderId="37" xfId="0" applyFont="1" applyFill="1" applyBorder="1" applyAlignment="1">
      <alignment horizontal="center"/>
    </xf>
    <xf numFmtId="0" fontId="80" fillId="108" borderId="59" xfId="0" applyFont="1" applyFill="1" applyBorder="1" applyAlignment="1">
      <alignment horizontal="center"/>
    </xf>
    <xf numFmtId="0" fontId="193" fillId="0" borderId="58" xfId="2941" applyFont="1" applyFill="1" applyBorder="1" applyAlignment="1">
      <alignment horizontal="center"/>
    </xf>
    <xf numFmtId="0" fontId="193" fillId="0" borderId="37" xfId="2941" applyFont="1" applyFill="1" applyBorder="1" applyAlignment="1">
      <alignment horizontal="center"/>
    </xf>
    <xf numFmtId="0" fontId="187" fillId="0" borderId="0" xfId="5081" applyFont="1" applyFill="1" applyBorder="1" applyAlignment="1">
      <alignment horizontal="center"/>
    </xf>
    <xf numFmtId="0" fontId="179" fillId="106" borderId="63" xfId="5081" applyFont="1" applyFill="1" applyBorder="1" applyAlignment="1">
      <alignment horizontal="center"/>
    </xf>
    <xf numFmtId="0" fontId="179" fillId="106" borderId="48" xfId="5081" applyFont="1" applyFill="1" applyBorder="1" applyAlignment="1">
      <alignment horizontal="center"/>
    </xf>
    <xf numFmtId="0" fontId="193" fillId="111" borderId="63" xfId="5081" applyFont="1" applyFill="1" applyBorder="1" applyAlignment="1">
      <alignment horizontal="center"/>
    </xf>
    <xf numFmtId="0" fontId="193" fillId="111" borderId="48" xfId="5081" applyFont="1" applyFill="1" applyBorder="1" applyAlignment="1">
      <alignment horizontal="center"/>
    </xf>
    <xf numFmtId="0" fontId="193" fillId="111" borderId="67" xfId="5081" applyFont="1" applyFill="1" applyBorder="1" applyAlignment="1">
      <alignment horizontal="center"/>
    </xf>
    <xf numFmtId="0" fontId="193" fillId="107" borderId="63" xfId="5081" applyFont="1" applyFill="1" applyBorder="1" applyAlignment="1">
      <alignment horizontal="center"/>
    </xf>
    <xf numFmtId="0" fontId="193" fillId="107" borderId="48" xfId="5081" applyFont="1" applyFill="1" applyBorder="1" applyAlignment="1">
      <alignment horizontal="center"/>
    </xf>
    <xf numFmtId="0" fontId="179" fillId="101" borderId="0" xfId="5081" applyFont="1" applyFill="1" applyAlignment="1">
      <alignment horizontal="center"/>
    </xf>
    <xf numFmtId="0" fontId="179" fillId="106" borderId="64" xfId="5081" applyFont="1" applyFill="1" applyBorder="1" applyAlignment="1">
      <alignment horizontal="center" vertical="center"/>
    </xf>
    <xf numFmtId="0" fontId="179" fillId="106" borderId="65" xfId="5081" applyFont="1" applyFill="1" applyBorder="1" applyAlignment="1">
      <alignment horizontal="center" vertical="center"/>
    </xf>
    <xf numFmtId="0" fontId="179" fillId="106" borderId="66" xfId="5081" applyFont="1" applyFill="1" applyBorder="1" applyAlignment="1">
      <alignment horizontal="center" vertical="center"/>
    </xf>
    <xf numFmtId="0" fontId="193" fillId="111" borderId="64" xfId="5081" applyFont="1" applyFill="1" applyBorder="1" applyAlignment="1">
      <alignment horizontal="center" vertical="center"/>
    </xf>
    <xf numFmtId="0" fontId="193" fillId="111" borderId="65" xfId="5081" applyFont="1" applyFill="1" applyBorder="1" applyAlignment="1">
      <alignment horizontal="center" vertical="center"/>
    </xf>
    <xf numFmtId="0" fontId="54" fillId="0" borderId="0" xfId="0" applyFont="1" applyFill="1" applyBorder="1" applyAlignment="1">
      <alignment horizontal="center"/>
    </xf>
    <xf numFmtId="0" fontId="179" fillId="101" borderId="31" xfId="0" applyFont="1" applyFill="1" applyBorder="1" applyAlignment="1">
      <alignment horizontal="center"/>
    </xf>
    <xf numFmtId="0" fontId="80" fillId="0" borderId="0" xfId="0" applyFont="1" applyAlignment="1">
      <alignment horizontal="center"/>
    </xf>
    <xf numFmtId="0" fontId="54" fillId="0" borderId="0" xfId="0" applyFont="1" applyAlignment="1">
      <alignment horizontal="center"/>
    </xf>
    <xf numFmtId="0" fontId="80" fillId="123" borderId="0" xfId="0" applyFont="1" applyFill="1" applyAlignment="1">
      <alignment horizontal="center"/>
    </xf>
    <xf numFmtId="0" fontId="80" fillId="103" borderId="0" xfId="0" applyFont="1" applyFill="1" applyAlignment="1">
      <alignment horizontal="center"/>
    </xf>
    <xf numFmtId="0" fontId="184" fillId="0" borderId="0" xfId="0" applyFont="1" applyFill="1" applyBorder="1" applyAlignment="1">
      <alignment horizontal="center"/>
    </xf>
    <xf numFmtId="0" fontId="179" fillId="101" borderId="0" xfId="0" applyFont="1" applyFill="1" applyBorder="1" applyAlignment="1">
      <alignment horizontal="center"/>
    </xf>
    <xf numFmtId="0" fontId="54" fillId="0" borderId="58" xfId="0" applyFont="1" applyBorder="1" applyAlignment="1">
      <alignment horizontal="center"/>
    </xf>
    <xf numFmtId="0" fontId="54" fillId="0" borderId="37" xfId="0" applyFont="1" applyBorder="1" applyAlignment="1">
      <alignment horizontal="center"/>
    </xf>
    <xf numFmtId="0" fontId="54" fillId="0" borderId="59" xfId="0" applyFont="1" applyBorder="1" applyAlignment="1">
      <alignment horizontal="center"/>
    </xf>
    <xf numFmtId="0" fontId="187" fillId="0" borderId="0" xfId="0" applyFont="1" applyFill="1" applyAlignment="1">
      <alignment horizontal="left" wrapText="1"/>
    </xf>
    <xf numFmtId="0" fontId="182" fillId="0" borderId="0" xfId="0" applyFont="1" applyFill="1" applyBorder="1" applyAlignment="1">
      <alignment horizontal="center"/>
    </xf>
    <xf numFmtId="0" fontId="206" fillId="101" borderId="0" xfId="22822" applyFont="1" applyFill="1" applyAlignment="1">
      <alignment horizontal="center"/>
    </xf>
  </cellXfs>
  <cellStyles count="26326">
    <cellStyle name="_%(SignOnly)" xfId="1"/>
    <cellStyle name="_%(SignOnly) 2" xfId="9542"/>
    <cellStyle name="_%(SignOnly) 2 2" xfId="17573"/>
    <cellStyle name="_%(SignOnly) 3" xfId="9543"/>
    <cellStyle name="_%(SignOnly) 3 2" xfId="17574"/>
    <cellStyle name="_%(SignOnly) 4" xfId="9688"/>
    <cellStyle name="_%(SignOnly) 4 2" xfId="17640"/>
    <cellStyle name="_%(SignOnly) 5" xfId="14393"/>
    <cellStyle name="_%(SignSpaceOnly)" xfId="2"/>
    <cellStyle name="_%(SignSpaceOnly) 2" xfId="9544"/>
    <cellStyle name="_%(SignSpaceOnly) 2 2" xfId="17575"/>
    <cellStyle name="_%(SignSpaceOnly) 3" xfId="9545"/>
    <cellStyle name="_%(SignSpaceOnly) 3 2" xfId="17576"/>
    <cellStyle name="_%(SignSpaceOnly) 4" xfId="9689"/>
    <cellStyle name="_%(SignSpaceOnly) 4 2" xfId="17641"/>
    <cellStyle name="_%(SignSpaceOnly) 5" xfId="14394"/>
    <cellStyle name="_09-02-09 Transportation LTp 2010-2019 Specific Drivers" xfId="3667"/>
    <cellStyle name="_09-02-09 Transportation LTp 2010-2019 Specific Drivers 2" xfId="3668"/>
    <cellStyle name="_2006 Budget by Region March 24 2006" xfId="3669"/>
    <cellStyle name="_2006 Budget by Region March 24 2006 2" xfId="3670"/>
    <cellStyle name="_2006 Budget by Region March 24 2006 2 2" xfId="3671"/>
    <cellStyle name="_2006 Budget by Region March 24 2006 2 2 2" xfId="14076"/>
    <cellStyle name="_2006 Budget by Region March 24 2006 2 3" xfId="14077"/>
    <cellStyle name="_2006 Budget by Region March 24 2006 3" xfId="3672"/>
    <cellStyle name="_2006 Budget by Region March 24 2006 3 2" xfId="3673"/>
    <cellStyle name="_2006 Budget by Region March 24 2006 3 2 2" xfId="14074"/>
    <cellStyle name="_2006 Budget by Region March 24 2006 3 3" xfId="14075"/>
    <cellStyle name="_2006 Budget by Region March 24 2006 4" xfId="3674"/>
    <cellStyle name="_2006 Budget by Region March 24 2006 4 2" xfId="14073"/>
    <cellStyle name="_2006 Budget by Region March 24 2006 5" xfId="3675"/>
    <cellStyle name="_2006 Budget by Region March 24 2006 5 2" xfId="14072"/>
    <cellStyle name="_2006 Budget by Region March 24 2006 6" xfId="3676"/>
    <cellStyle name="_2006 Budget by Region March 24 2006 6 2" xfId="14071"/>
    <cellStyle name="_2006 Budget by Region March 24 2006 7" xfId="3677"/>
    <cellStyle name="_2006 Budget by Region March 24 2006 7 2" xfId="14070"/>
    <cellStyle name="_2006 Budget by Region March 24 2006 8" xfId="14078"/>
    <cellStyle name="_2006 Budget by Region March 24 2006_2011 Q2 CAM True Up - comparison btwn 12Sep11 and 21June11" xfId="3678"/>
    <cellStyle name="_2006 Budget by Region March 24 2006_2011 Q2 CAM True Up - comparison btwn 12Sep11 and 21June11 2" xfId="14069"/>
    <cellStyle name="_2006 Budget by Region March 24 2006_MFR Schedules Rec and LTD Calculation" xfId="3679"/>
    <cellStyle name="_2006 Budget by Region March 24 2006_MFR Schedules Rec and LTD Calculation 2" xfId="14068"/>
    <cellStyle name="_2006 Budget Cons Fin Stmts Oct 18" xfId="3680"/>
    <cellStyle name="_2006 Budget Cons Fin Stmts Oct 18 2" xfId="3681"/>
    <cellStyle name="_2006 Budget Cons Fin Stmts Oct 18 2 2" xfId="3682"/>
    <cellStyle name="_2006 Budget Cons Fin Stmts Oct 18 3" xfId="3683"/>
    <cellStyle name="_2006 Budget Cons Fin Stmts Oct 18 4" xfId="3684"/>
    <cellStyle name="_2006 Budget Cons Fin Stmts Oct 18 5" xfId="3685"/>
    <cellStyle name="_2006 Budget Cons Fin Stmts Oct 18_.2 Consol Data" xfId="3686"/>
    <cellStyle name="_2006 Budget Cons Fin Stmts Oct 18_.2 Consol Data 2" xfId="3687"/>
    <cellStyle name="_2006 Budget Cons Fin Stmts Oct 18_.2 Consol Data_1" xfId="3688"/>
    <cellStyle name="_2006 Budget Cons Fin Stmts Oct 18_.2 Consol Data_1 2" xfId="3689"/>
    <cellStyle name="_2006 Budget Cons Fin Stmts Oct 18_.2 Consolidated" xfId="3690"/>
    <cellStyle name="_2006 Budget Cons Fin Stmts Oct 18_.2 Consolidated 2" xfId="3691"/>
    <cellStyle name="_2006 Budget Cons Fin Stmts Oct 18_.2 Consolidated 2 2" xfId="3692"/>
    <cellStyle name="_2006 Budget Cons Fin Stmts Oct 18_.2 Consolidated_1" xfId="3693"/>
    <cellStyle name="_2006 Budget Cons Fin Stmts Oct 18_.2 Consolidated_1 2" xfId="3694"/>
    <cellStyle name="_2006 Budget Cons Fin Stmts Oct 18_.3 R4 Allocation" xfId="3695"/>
    <cellStyle name="_2006 Budget Cons Fin Stmts Oct 18_.3 R4 Allocation_1" xfId="3696"/>
    <cellStyle name="_2006 Budget Cons Fin Stmts Oct 18_2011 Q2 CAM True Up - comparison btwn 12Sep11 and 21June11" xfId="3697"/>
    <cellStyle name="_2006 Budget Cons Fin Stmts Oct 18_MFR Schedules Rec and LTD Calculation" xfId="3698"/>
    <cellStyle name="_2006 Budget Cons Fin Stmts Oct 18_Schedule 25-2" xfId="3699"/>
    <cellStyle name="_2006 Budget Cons Fin Stmts Oct 18_Schedule 25-2 2" xfId="3700"/>
    <cellStyle name="_2007 Budget by Region" xfId="3701"/>
    <cellStyle name="_2007 Budget by Region 2" xfId="3702"/>
    <cellStyle name="_2007 Budget by Region 2 2" xfId="3703"/>
    <cellStyle name="_2007 Budget by Region 2 2 2" xfId="14065"/>
    <cellStyle name="_2007 Budget by Region 2 3" xfId="14066"/>
    <cellStyle name="_2007 Budget by Region 3" xfId="3704"/>
    <cellStyle name="_2007 Budget by Region 3 2" xfId="3705"/>
    <cellStyle name="_2007 Budget by Region 3 2 2" xfId="14063"/>
    <cellStyle name="_2007 Budget by Region 3 3" xfId="14064"/>
    <cellStyle name="_2007 Budget by Region 4" xfId="3706"/>
    <cellStyle name="_2007 Budget by Region 4 2" xfId="14062"/>
    <cellStyle name="_2007 Budget by Region 5" xfId="3707"/>
    <cellStyle name="_2007 Budget by Region 5 2" xfId="14061"/>
    <cellStyle name="_2007 Budget by Region 6" xfId="3708"/>
    <cellStyle name="_2007 Budget by Region 6 2" xfId="14053"/>
    <cellStyle name="_2007 Budget by Region 7" xfId="3709"/>
    <cellStyle name="_2007 Budget by Region 7 2" xfId="14052"/>
    <cellStyle name="_2007 Budget by Region 8" xfId="14067"/>
    <cellStyle name="_2007 Budget by Region_2011 Q2 CAM True Up - comparison btwn 12Sep11 and 21June11" xfId="3710"/>
    <cellStyle name="_2007 Budget by Region_2011 Q2 CAM True Up - comparison btwn 12Sep11 and 21June11 2" xfId="14060"/>
    <cellStyle name="_2007 Budget by Region_MFR Schedules Rec and LTD Calculation" xfId="3711"/>
    <cellStyle name="_2007 Budget by Region_MFR Schedules Rec and LTD Calculation 2" xfId="14059"/>
    <cellStyle name="_2008 Budget by Region" xfId="3712"/>
    <cellStyle name="_2008 Budget by Region 2" xfId="5343"/>
    <cellStyle name="_2008 Budget by Region 2 2" xfId="3713"/>
    <cellStyle name="_2008 Budget by Region 2 2 2" xfId="14051"/>
    <cellStyle name="_2008 Budget by Region 2 3" xfId="14054"/>
    <cellStyle name="_2008 Budget by Region 3" xfId="3714"/>
    <cellStyle name="_2008 Budget by Region 3 2" xfId="3715"/>
    <cellStyle name="_2008 Budget by Region 3 2 2" xfId="14049"/>
    <cellStyle name="_2008 Budget by Region 3 3" xfId="14050"/>
    <cellStyle name="_2008 Budget by Region 4" xfId="3716"/>
    <cellStyle name="_2008 Budget by Region 4 2" xfId="14048"/>
    <cellStyle name="_2008 Budget by Region 5" xfId="3717"/>
    <cellStyle name="_2008 Budget by Region 5 2" xfId="14047"/>
    <cellStyle name="_2008 Budget by Region 6" xfId="3718"/>
    <cellStyle name="_2008 Budget by Region 6 2" xfId="14046"/>
    <cellStyle name="_2008 Budget by Region 7" xfId="3719"/>
    <cellStyle name="_2008 Budget by Region 7 2" xfId="14045"/>
    <cellStyle name="_2008 Budget by Region 8" xfId="14055"/>
    <cellStyle name="_2008 Budget by Region_2011 Q2 CAM True Up - comparison btwn 12Sep11 and 21June11" xfId="3720"/>
    <cellStyle name="_2008 Budget by Region_2011 Q2 CAM True Up - comparison btwn 12Sep11 and 21June11 2" xfId="14044"/>
    <cellStyle name="_2008 Budget by Region_MFR Schedules Rec and LTD Calculation" xfId="3721"/>
    <cellStyle name="_2008 Budget by Region_MFR Schedules Rec and LTD Calculation 2" xfId="14043"/>
    <cellStyle name="_BU Budget LP Manager by region" xfId="3722"/>
    <cellStyle name="_BU Budget LP Manager by region 2" xfId="3723"/>
    <cellStyle name="_BU Budget LP Manager by region 2 2" xfId="3724"/>
    <cellStyle name="_BU Budget LP Manager by region 3" xfId="3725"/>
    <cellStyle name="_BU Budget LP Manager by region 4" xfId="3726"/>
    <cellStyle name="_BU Budget LP Manager by region 5" xfId="3727"/>
    <cellStyle name="_BU Budget LP Manager by region_.2 Consol Data" xfId="3728"/>
    <cellStyle name="_BU Budget LP Manager by region_.2 Consol Data 2" xfId="3729"/>
    <cellStyle name="_BU Budget LP Manager by region_.2 Consol Data_1" xfId="3730"/>
    <cellStyle name="_BU Budget LP Manager by region_.2 Consol Data_1 2" xfId="3731"/>
    <cellStyle name="_BU Budget LP Manager by region_.2 Consolidated" xfId="3732"/>
    <cellStyle name="_BU Budget LP Manager by region_.2 Consolidated 2" xfId="3733"/>
    <cellStyle name="_BU Budget LP Manager by region_.2 Consolidated 2 2" xfId="3734"/>
    <cellStyle name="_BU Budget LP Manager by region_.2 Consolidated_1" xfId="3735"/>
    <cellStyle name="_BU Budget LP Manager by region_.2 Consolidated_1 2" xfId="3736"/>
    <cellStyle name="_BU Budget LP Manager by region_.3 R4 Allocation" xfId="3737"/>
    <cellStyle name="_BU Budget LP Manager by region_.3 R4 Allocation_1" xfId="3738"/>
    <cellStyle name="_BU Budget LP Manager by region_2011 Q2 CAM True Up - comparison btwn 12Sep11 and 21June11" xfId="3739"/>
    <cellStyle name="_BU Budget LP Manager by region_MFR Schedules Rec and LTD Calculation" xfId="3740"/>
    <cellStyle name="_BU Budget LP Manager by region_Schedule 25-2" xfId="3741"/>
    <cellStyle name="_BU Budget LP Manager by region_Schedule 25-2 2" xfId="3742"/>
    <cellStyle name="_Comma" xfId="3"/>
    <cellStyle name="_Comma 2" xfId="9546"/>
    <cellStyle name="_Comma 2 2" xfId="17577"/>
    <cellStyle name="_Comma 3" xfId="9547"/>
    <cellStyle name="_Comma 3 2" xfId="17578"/>
    <cellStyle name="_Comma 4" xfId="9690"/>
    <cellStyle name="_Comma 4 2" xfId="17642"/>
    <cellStyle name="_Comma 5" xfId="14395"/>
    <cellStyle name="_Currency" xfId="4"/>
    <cellStyle name="_Currency 2" xfId="9548"/>
    <cellStyle name="_Currency 2 2" xfId="17579"/>
    <cellStyle name="_Currency 3" xfId="9549"/>
    <cellStyle name="_Currency 3 2" xfId="17580"/>
    <cellStyle name="_Currency 4" xfId="9691"/>
    <cellStyle name="_Currency 4 2" xfId="17643"/>
    <cellStyle name="_Currency 5" xfId="14396"/>
    <cellStyle name="_CurrencySpace" xfId="5"/>
    <cellStyle name="_CurrencySpace 2" xfId="9550"/>
    <cellStyle name="_CurrencySpace 2 2" xfId="17581"/>
    <cellStyle name="_CurrencySpace 3" xfId="9551"/>
    <cellStyle name="_CurrencySpace 3 2" xfId="17582"/>
    <cellStyle name="_CurrencySpace 4" xfId="9692"/>
    <cellStyle name="_CurrencySpace 4 2" xfId="17644"/>
    <cellStyle name="_CurrencySpace 5" xfId="14397"/>
    <cellStyle name="_EMC - Components - Nov 14 Submission" xfId="3743"/>
    <cellStyle name="_EMC - Components - Nov 14 Submission 2" xfId="3744"/>
    <cellStyle name="_EMC - Components - Nov 14 Submission 2 2" xfId="3745"/>
    <cellStyle name="_EMC - Components - Nov 14 Submission 3" xfId="3746"/>
    <cellStyle name="_EMC - Components - Nov 14 Submission 4" xfId="3747"/>
    <cellStyle name="_EMC - Components - Nov 14 Submission 5" xfId="3748"/>
    <cellStyle name="_EMC - Components - Nov 14 Submission_.2 Consol Data" xfId="3749"/>
    <cellStyle name="_EMC - Components - Nov 14 Submission_.2 Consol Data 2" xfId="3750"/>
    <cellStyle name="_EMC - Components - Nov 14 Submission_.2 Consol Data_1" xfId="3751"/>
    <cellStyle name="_EMC - Components - Nov 14 Submission_.2 Consol Data_1 2" xfId="3752"/>
    <cellStyle name="_EMC - Components - Nov 14 Submission_.2 Consolidated" xfId="3753"/>
    <cellStyle name="_EMC - Components - Nov 14 Submission_.2 Consolidated 2" xfId="3754"/>
    <cellStyle name="_EMC - Components - Nov 14 Submission_.2 Consolidated 2 2" xfId="3755"/>
    <cellStyle name="_EMC - Components - Nov 14 Submission_.2 Consolidated_1" xfId="3756"/>
    <cellStyle name="_EMC - Components - Nov 14 Submission_.2 Consolidated_1 2" xfId="3757"/>
    <cellStyle name="_EMC - Components - Nov 14 Submission_.3 R4 Allocation" xfId="3758"/>
    <cellStyle name="_EMC - Components - Nov 14 Submission_.3 R4 Allocation_1" xfId="3759"/>
    <cellStyle name="_EMC - Components - Nov 14 Submission_2011 Q2 CAM True Up - comparison btwn 12Sep11 and 21June11" xfId="3760"/>
    <cellStyle name="_EMC - Components - Nov 14 Submission_MFR Schedules Rec and LTD Calculation" xfId="3761"/>
    <cellStyle name="_EMC - Components - Nov 14 Submission_Schedule 25-2" xfId="3762"/>
    <cellStyle name="_EMC - Components - Nov 14 Submission_Schedule 25-2 2" xfId="3763"/>
    <cellStyle name="_EMC and EPCOR Alberta - Plant Components - Nov 14 Submission" xfId="5356"/>
    <cellStyle name="_EMC and EPCOR Alberta - Plant Components - Nov 14 Submission 2" xfId="3764"/>
    <cellStyle name="_EMC and EPCOR Alberta - Plant Components - Nov 14 Submission 2 2" xfId="3765"/>
    <cellStyle name="_EMC and EPCOR Alberta - Plant Components - Nov 14 Submission 3" xfId="3766"/>
    <cellStyle name="_EMC and EPCOR Alberta - Plant Components - Nov 14 Submission 4" xfId="3767"/>
    <cellStyle name="_EMC and EPCOR Alberta - Plant Components - Nov 14 Submission 5" xfId="3768"/>
    <cellStyle name="_EMC and EPCOR Alberta - Plant Components - Nov 14 Submission_.2 Consol Data" xfId="3769"/>
    <cellStyle name="_EMC and EPCOR Alberta - Plant Components - Nov 14 Submission_.2 Consol Data 2" xfId="3770"/>
    <cellStyle name="_EMC and EPCOR Alberta - Plant Components - Nov 14 Submission_.2 Consol Data_1" xfId="3771"/>
    <cellStyle name="_EMC and EPCOR Alberta - Plant Components - Nov 14 Submission_.2 Consol Data_1 2" xfId="3772"/>
    <cellStyle name="_EMC and EPCOR Alberta - Plant Components - Nov 14 Submission_.2 Consolidated" xfId="3773"/>
    <cellStyle name="_EMC and EPCOR Alberta - Plant Components - Nov 14 Submission_.2 Consolidated 2" xfId="3774"/>
    <cellStyle name="_EMC and EPCOR Alberta - Plant Components - Nov 14 Submission_.2 Consolidated 2 2" xfId="3775"/>
    <cellStyle name="_EMC and EPCOR Alberta - Plant Components - Nov 14 Submission_.2 Consolidated_1" xfId="3776"/>
    <cellStyle name="_EMC and EPCOR Alberta - Plant Components - Nov 14 Submission_.2 Consolidated_1 2" xfId="3777"/>
    <cellStyle name="_EMC and EPCOR Alberta - Plant Components - Nov 14 Submission_.3 R4 Allocation" xfId="3778"/>
    <cellStyle name="_EMC and EPCOR Alberta - Plant Components - Nov 14 Submission_.3 R4 Allocation_1" xfId="3779"/>
    <cellStyle name="_EMC and EPCOR Alberta - Plant Components - Nov 14 Submission_2011 Q2 CAM True Up - comparison btwn 12Sep11 and 21June11" xfId="3780"/>
    <cellStyle name="_EMC and EPCOR Alberta - Plant Components - Nov 14 Submission_MFR Schedules Rec and LTD Calculation" xfId="3781"/>
    <cellStyle name="_EMC and EPCOR Alberta - Plant Components - Nov 14 Submission_Schedule 25-2" xfId="3782"/>
    <cellStyle name="_EMC and EPCOR Alberta - Plant Components - Nov 14 Submission_Schedule 25-2 2" xfId="3783"/>
    <cellStyle name="_EPCOR Alberta - Components" xfId="3784"/>
    <cellStyle name="_EPCOR Alberta - Components - Revised Net CFD Postings Mar 28" xfId="3785"/>
    <cellStyle name="_EPCOR Alberta - Components - Revised Net CFD Postings Mar 28 2" xfId="3786"/>
    <cellStyle name="_EPCOR Alberta - Components - Revised Net CFD Postings Mar 28 2 2" xfId="3787"/>
    <cellStyle name="_EPCOR Alberta - Components - Revised Net CFD Postings Mar 28 3" xfId="3788"/>
    <cellStyle name="_EPCOR Alberta - Components - Revised Net CFD Postings Mar 28 4" xfId="3789"/>
    <cellStyle name="_EPCOR Alberta - Components - Revised Net CFD Postings Mar 28 5" xfId="3790"/>
    <cellStyle name="_EPCOR Alberta - Components - Revised Net CFD Postings Mar 28_.2 Consol Data" xfId="3791"/>
    <cellStyle name="_EPCOR Alberta - Components - Revised Net CFD Postings Mar 28_.2 Consol Data 2" xfId="3792"/>
    <cellStyle name="_EPCOR Alberta - Components - Revised Net CFD Postings Mar 28_.2 Consol Data_1" xfId="3793"/>
    <cellStyle name="_EPCOR Alberta - Components - Revised Net CFD Postings Mar 28_.2 Consol Data_1 2" xfId="3794"/>
    <cellStyle name="_EPCOR Alberta - Components - Revised Net CFD Postings Mar 28_.2 Consolidated" xfId="3795"/>
    <cellStyle name="_EPCOR Alberta - Components - Revised Net CFD Postings Mar 28_.2 Consolidated 2" xfId="3796"/>
    <cellStyle name="_EPCOR Alberta - Components - Revised Net CFD Postings Mar 28_.2 Consolidated 2 2" xfId="3797"/>
    <cellStyle name="_EPCOR Alberta - Components - Revised Net CFD Postings Mar 28_.2 Consolidated_1" xfId="3798"/>
    <cellStyle name="_EPCOR Alberta - Components - Revised Net CFD Postings Mar 28_.2 Consolidated_1 2" xfId="3799"/>
    <cellStyle name="_EPCOR Alberta - Components - Revised Net CFD Postings Mar 28_.3 R4 Allocation" xfId="3800"/>
    <cellStyle name="_EPCOR Alberta - Components - Revised Net CFD Postings Mar 28_.3 R4 Allocation_1" xfId="3801"/>
    <cellStyle name="_EPCOR Alberta - Components - Revised Net CFD Postings Mar 28_2011 Q2 CAM True Up - comparison btwn 12Sep11 and 21June11" xfId="3802"/>
    <cellStyle name="_EPCOR Alberta - Components - Revised Net CFD Postings Mar 28_MFR Schedules Rec and LTD Calculation" xfId="3803"/>
    <cellStyle name="_EPCOR Alberta - Components - Revised Net CFD Postings Mar 28_Schedule 25-2" xfId="3804"/>
    <cellStyle name="_EPCOR Alberta - Components - Revised Net CFD Postings Mar 28_Schedule 25-2 2" xfId="3805"/>
    <cellStyle name="_EPCOR Alberta - Components 10" xfId="3806"/>
    <cellStyle name="_EPCOR Alberta - Components 11" xfId="3807"/>
    <cellStyle name="_EPCOR Alberta - Components 12" xfId="3808"/>
    <cellStyle name="_EPCOR Alberta - Components 13" xfId="3809"/>
    <cellStyle name="_EPCOR Alberta - Components 14" xfId="3810"/>
    <cellStyle name="_EPCOR Alberta - Components 15" xfId="3811"/>
    <cellStyle name="_EPCOR Alberta - Components 2" xfId="3812"/>
    <cellStyle name="_EPCOR Alberta - Components 2 2" xfId="3813"/>
    <cellStyle name="_EPCOR Alberta - Components 3" xfId="3814"/>
    <cellStyle name="_EPCOR Alberta - Components 3 2" xfId="3815"/>
    <cellStyle name="_EPCOR Alberta - Components 4" xfId="3816"/>
    <cellStyle name="_EPCOR Alberta - Components 4 2" xfId="3817"/>
    <cellStyle name="_EPCOR Alberta - Components 5" xfId="3818"/>
    <cellStyle name="_EPCOR Alberta - Components 5 2" xfId="3819"/>
    <cellStyle name="_EPCOR Alberta - Components 6" xfId="3820"/>
    <cellStyle name="_EPCOR Alberta - Components 6 2" xfId="5375"/>
    <cellStyle name="_EPCOR Alberta - Components 7" xfId="3821"/>
    <cellStyle name="_EPCOR Alberta - Components 7 2" xfId="3822"/>
    <cellStyle name="_EPCOR Alberta - Components 8" xfId="3823"/>
    <cellStyle name="_EPCOR Alberta - Components 8 2" xfId="3824"/>
    <cellStyle name="_EPCOR Alberta - Components 9" xfId="3825"/>
    <cellStyle name="_EPCOR Alberta - Components_.2 Consol Data" xfId="3826"/>
    <cellStyle name="_EPCOR Alberta - Components_.2 Consol Data 2" xfId="3827"/>
    <cellStyle name="_EPCOR Alberta - Components_.2 Consol Data_1" xfId="3828"/>
    <cellStyle name="_EPCOR Alberta - Components_.2 Consol Data_1 2" xfId="3829"/>
    <cellStyle name="_EPCOR Alberta - Components_.2 Consolidated" xfId="3830"/>
    <cellStyle name="_EPCOR Alberta - Components_.2 Consolidated 2" xfId="3831"/>
    <cellStyle name="_EPCOR Alberta - Components_.2 Consolidated 2 2" xfId="3832"/>
    <cellStyle name="_EPCOR Alberta - Components_.2 Consolidated_1" xfId="3833"/>
    <cellStyle name="_EPCOR Alberta - Components_.2 Consolidated_1 2" xfId="5336"/>
    <cellStyle name="_EPCOR Alberta - Components_.3 R4 Allocation" xfId="3834"/>
    <cellStyle name="_EPCOR Alberta - Components_.3 R4 Allocation_1" xfId="3835"/>
    <cellStyle name="_EPCOR Alberta - Components_2011 Q2 CAM True Up - comparison btwn 12Sep11 and 21June11" xfId="3836"/>
    <cellStyle name="_EPCOR Alberta - Components_MFR Schedules Rec and LTD Calculation" xfId="3837"/>
    <cellStyle name="_EPCOR Alberta - Components_Schedule 25-2" xfId="3838"/>
    <cellStyle name="_EPCOR Alberta - Components_Schedule 25-2 2" xfId="3839"/>
    <cellStyle name="_EUI LTP Model_2011-2015_06_18_10 (BASE CASE)" xfId="3840"/>
    <cellStyle name="_EUI LTP Model_2011-2015_06_18_10 (BASE CASE) 2" xfId="3841"/>
    <cellStyle name="_EUI LTP Model_2011-2015_06_18_10 (BASE CASE) 2 2" xfId="14082"/>
    <cellStyle name="_EUI LTP Model_2011-2015_06_18_10 (BASE CASE) 3" xfId="14081"/>
    <cellStyle name="_Euro" xfId="6"/>
    <cellStyle name="_Euro 2" xfId="9552"/>
    <cellStyle name="_Euro 2 2" xfId="17583"/>
    <cellStyle name="_Euro 3" xfId="9553"/>
    <cellStyle name="_Euro 3 2" xfId="17584"/>
    <cellStyle name="_Euro 4" xfId="9693"/>
    <cellStyle name="_Euro 4 2" xfId="17645"/>
    <cellStyle name="_Euro 5" xfId="14398"/>
    <cellStyle name="_Heading" xfId="7"/>
    <cellStyle name="_Heading 2" xfId="9554"/>
    <cellStyle name="_Heading 3" xfId="9555"/>
    <cellStyle name="_Heading 4" xfId="9694"/>
    <cellStyle name="_Highlight" xfId="8"/>
    <cellStyle name="_Highlight 2" xfId="9556"/>
    <cellStyle name="_Highlight 2 2" xfId="17585"/>
    <cellStyle name="_Highlight 3" xfId="9557"/>
    <cellStyle name="_Highlight 3 2" xfId="17586"/>
    <cellStyle name="_Highlight 4" xfId="9695"/>
    <cellStyle name="_Highlight 4 2" xfId="17646"/>
    <cellStyle name="_Highlight 5" xfId="14399"/>
    <cellStyle name="_Multiple" xfId="9"/>
    <cellStyle name="_Multiple 2" xfId="9558"/>
    <cellStyle name="_Multiple 2 2" xfId="17587"/>
    <cellStyle name="_Multiple 3" xfId="9559"/>
    <cellStyle name="_Multiple 3 2" xfId="17588"/>
    <cellStyle name="_Multiple 4" xfId="9696"/>
    <cellStyle name="_Multiple 4 2" xfId="17647"/>
    <cellStyle name="_Multiple 5" xfId="14400"/>
    <cellStyle name="_MultipleSpace" xfId="10"/>
    <cellStyle name="_MultipleSpace 2" xfId="9560"/>
    <cellStyle name="_MultipleSpace 2 2" xfId="17589"/>
    <cellStyle name="_MultipleSpace 3" xfId="9561"/>
    <cellStyle name="_MultipleSpace 3 2" xfId="17590"/>
    <cellStyle name="_MultipleSpace 4" xfId="9697"/>
    <cellStyle name="_MultipleSpace 4 2" xfId="17648"/>
    <cellStyle name="_MultipleSpace 5" xfId="14401"/>
    <cellStyle name="_SubHeading" xfId="11"/>
    <cellStyle name="_SubHeading 2" xfId="9562"/>
    <cellStyle name="_SubHeading 3" xfId="9563"/>
    <cellStyle name="_SubHeading 4" xfId="9698"/>
    <cellStyle name="_Table" xfId="12"/>
    <cellStyle name="_Table 2" xfId="9564"/>
    <cellStyle name="_Table 3" xfId="9565"/>
    <cellStyle name="_Table 4" xfId="9699"/>
    <cellStyle name="_TableHead" xfId="13"/>
    <cellStyle name="_TableHead 2" xfId="9566"/>
    <cellStyle name="_TableHead 3" xfId="9567"/>
    <cellStyle name="_TableHead 4" xfId="9700"/>
    <cellStyle name="_TableRowHead" xfId="14"/>
    <cellStyle name="_TableRowHead 2" xfId="9568"/>
    <cellStyle name="_TableRowHead 3" xfId="9569"/>
    <cellStyle name="_TableRowHead 4" xfId="9701"/>
    <cellStyle name="_TableSuperHead" xfId="15"/>
    <cellStyle name="_TableSuperHead 2" xfId="9570"/>
    <cellStyle name="_TableSuperHead 3" xfId="9571"/>
    <cellStyle name="_TableSuperHead 4" xfId="9702"/>
    <cellStyle name="1 Dec Pt" xfId="16"/>
    <cellStyle name="20 % - Accent1" xfId="17"/>
    <cellStyle name="20 % - Accent2" xfId="18"/>
    <cellStyle name="20 % - Accent3" xfId="19"/>
    <cellStyle name="20 % - Accent4" xfId="20"/>
    <cellStyle name="20 % - Accent5" xfId="21"/>
    <cellStyle name="20 % - Accent6" xfId="22"/>
    <cellStyle name="20% - Accent1 10" xfId="23"/>
    <cellStyle name="20% - Accent1 11" xfId="24"/>
    <cellStyle name="20% - Accent1 12" xfId="25"/>
    <cellStyle name="20% - Accent1 13" xfId="26"/>
    <cellStyle name="20% - Accent1 14" xfId="27"/>
    <cellStyle name="20% - Accent1 15" xfId="28"/>
    <cellStyle name="20% - Accent1 16" xfId="29"/>
    <cellStyle name="20% - Accent1 17" xfId="30"/>
    <cellStyle name="20% - Accent1 18" xfId="31"/>
    <cellStyle name="20% - Accent1 19" xfId="32"/>
    <cellStyle name="20% - Accent1 2" xfId="33"/>
    <cellStyle name="20% - Accent1 2 2" xfId="34"/>
    <cellStyle name="20% - Accent1 2 3" xfId="5374"/>
    <cellStyle name="20% - Accent1 2 4" xfId="6227"/>
    <cellStyle name="20% - Accent1 20" xfId="35"/>
    <cellStyle name="20% - Accent1 21" xfId="36"/>
    <cellStyle name="20% - Accent1 22" xfId="37"/>
    <cellStyle name="20% - Accent1 23" xfId="13463"/>
    <cellStyle name="20% - Accent1 3" xfId="38"/>
    <cellStyle name="20% - Accent1 3 2" xfId="3842"/>
    <cellStyle name="20% - Accent1 3 3" xfId="5247"/>
    <cellStyle name="20% - Accent1 3 4" xfId="6226"/>
    <cellStyle name="20% - Accent1 4" xfId="39"/>
    <cellStyle name="20% - Accent1 4 2" xfId="40"/>
    <cellStyle name="20% - Accent1 4 2 10" xfId="15927"/>
    <cellStyle name="20% - Accent1 4 2 10 2" xfId="22658"/>
    <cellStyle name="20% - Accent1 4 2 11" xfId="16152"/>
    <cellStyle name="20% - Accent1 4 2 2" xfId="3651"/>
    <cellStyle name="20% - Accent1 4 2 2 2" xfId="6755"/>
    <cellStyle name="20% - Accent1 4 2 2 2 2" xfId="9840"/>
    <cellStyle name="20% - Accent1 4 2 2 2 2 2" xfId="17712"/>
    <cellStyle name="20% - Accent1 4 2 2 2 3" xfId="17002"/>
    <cellStyle name="20% - Accent1 4 2 2 3" xfId="9839"/>
    <cellStyle name="20% - Accent1 4 2 2 3 2" xfId="17711"/>
    <cellStyle name="20% - Accent1 4 2 2 4" xfId="14633"/>
    <cellStyle name="20% - Accent1 4 2 2 4 2" xfId="21614"/>
    <cellStyle name="20% - Accent1 4 2 2 5" xfId="16304"/>
    <cellStyle name="20% - Accent1 4 2 3" xfId="5928"/>
    <cellStyle name="20% - Accent1 4 2 3 2" xfId="7147"/>
    <cellStyle name="20% - Accent1 4 2 3 2 2" xfId="9842"/>
    <cellStyle name="20% - Accent1 4 2 3 2 2 2" xfId="17714"/>
    <cellStyle name="20% - Accent1 4 2 3 2 3" xfId="17394"/>
    <cellStyle name="20% - Accent1 4 2 3 3" xfId="9841"/>
    <cellStyle name="20% - Accent1 4 2 3 3 2" xfId="17713"/>
    <cellStyle name="20% - Accent1 4 2 3 4" xfId="15208"/>
    <cellStyle name="20% - Accent1 4 2 3 4 2" xfId="22007"/>
    <cellStyle name="20% - Accent1 4 2 3 5" xfId="16598"/>
    <cellStyle name="20% - Accent1 4 2 4" xfId="6134"/>
    <cellStyle name="20% - Accent1 4 2 4 2" xfId="9843"/>
    <cellStyle name="20% - Accent1 4 2 4 2 2" xfId="17715"/>
    <cellStyle name="20% - Accent1 4 2 4 3" xfId="16773"/>
    <cellStyle name="20% - Accent1 4 2 5" xfId="9838"/>
    <cellStyle name="20% - Accent1 4 2 5 2" xfId="17710"/>
    <cellStyle name="20% - Accent1 4 2 6" xfId="13464"/>
    <cellStyle name="20% - Accent1 4 2 6 2" xfId="21331"/>
    <cellStyle name="20% - Accent1 4 2 7" xfId="14402"/>
    <cellStyle name="20% - Accent1 4 2 7 2" xfId="21459"/>
    <cellStyle name="20% - Accent1 4 2 8" xfId="15503"/>
    <cellStyle name="20% - Accent1 4 2 8 2" xfId="22258"/>
    <cellStyle name="20% - Accent1 4 2 9" xfId="15703"/>
    <cellStyle name="20% - Accent1 4 2 9 2" xfId="22449"/>
    <cellStyle name="20% - Accent1 4 3" xfId="3843"/>
    <cellStyle name="20% - Accent1 4 4" xfId="5248"/>
    <cellStyle name="20% - Accent1 4 5" xfId="6225"/>
    <cellStyle name="20% - Accent1 5" xfId="41"/>
    <cellStyle name="20% - Accent1 5 2" xfId="3844"/>
    <cellStyle name="20% - Accent1 5 3" xfId="5246"/>
    <cellStyle name="20% - Accent1 5 4" xfId="6224"/>
    <cellStyle name="20% - Accent1 6" xfId="42"/>
    <cellStyle name="20% - Accent1 7" xfId="43"/>
    <cellStyle name="20% - Accent1 8" xfId="44"/>
    <cellStyle name="20% - Accent1 9" xfId="45"/>
    <cellStyle name="20% - Accent2 10" xfId="46"/>
    <cellStyle name="20% - Accent2 11" xfId="47"/>
    <cellStyle name="20% - Accent2 12" xfId="48"/>
    <cellStyle name="20% - Accent2 13" xfId="49"/>
    <cellStyle name="20% - Accent2 14" xfId="50"/>
    <cellStyle name="20% - Accent2 15" xfId="51"/>
    <cellStyle name="20% - Accent2 16" xfId="52"/>
    <cellStyle name="20% - Accent2 17" xfId="53"/>
    <cellStyle name="20% - Accent2 18" xfId="54"/>
    <cellStyle name="20% - Accent2 19" xfId="55"/>
    <cellStyle name="20% - Accent2 2" xfId="56"/>
    <cellStyle name="20% - Accent2 2 2" xfId="57"/>
    <cellStyle name="20% - Accent2 2 3" xfId="3845"/>
    <cellStyle name="20% - Accent2 2 4" xfId="6223"/>
    <cellStyle name="20% - Accent2 20" xfId="58"/>
    <cellStyle name="20% - Accent2 21" xfId="59"/>
    <cellStyle name="20% - Accent2 22" xfId="60"/>
    <cellStyle name="20% - Accent2 23" xfId="13465"/>
    <cellStyle name="20% - Accent2 3" xfId="61"/>
    <cellStyle name="20% - Accent2 3 2" xfId="3846"/>
    <cellStyle name="20% - Accent2 3 3" xfId="5250"/>
    <cellStyle name="20% - Accent2 3 4" xfId="6222"/>
    <cellStyle name="20% - Accent2 4" xfId="62"/>
    <cellStyle name="20% - Accent2 4 2" xfId="63"/>
    <cellStyle name="20% - Accent2 4 2 10" xfId="15918"/>
    <cellStyle name="20% - Accent2 4 2 10 2" xfId="22650"/>
    <cellStyle name="20% - Accent2 4 2 11" xfId="16149"/>
    <cellStyle name="20% - Accent2 4 2 2" xfId="3652"/>
    <cellStyle name="20% - Accent2 4 2 2 2" xfId="6756"/>
    <cellStyle name="20% - Accent2 4 2 2 2 2" xfId="9846"/>
    <cellStyle name="20% - Accent2 4 2 2 2 2 2" xfId="17718"/>
    <cellStyle name="20% - Accent2 4 2 2 2 3" xfId="17003"/>
    <cellStyle name="20% - Accent2 4 2 2 3" xfId="9845"/>
    <cellStyle name="20% - Accent2 4 2 2 3 2" xfId="17717"/>
    <cellStyle name="20% - Accent2 4 2 2 4" xfId="14634"/>
    <cellStyle name="20% - Accent2 4 2 2 4 2" xfId="21615"/>
    <cellStyle name="20% - Accent2 4 2 2 5" xfId="16305"/>
    <cellStyle name="20% - Accent2 4 2 3" xfId="5908"/>
    <cellStyle name="20% - Accent2 4 2 3 2" xfId="7135"/>
    <cellStyle name="20% - Accent2 4 2 3 2 2" xfId="9848"/>
    <cellStyle name="20% - Accent2 4 2 3 2 2 2" xfId="17720"/>
    <cellStyle name="20% - Accent2 4 2 3 2 3" xfId="17382"/>
    <cellStyle name="20% - Accent2 4 2 3 3" xfId="9847"/>
    <cellStyle name="20% - Accent2 4 2 3 3 2" xfId="17719"/>
    <cellStyle name="20% - Accent2 4 2 3 4" xfId="15196"/>
    <cellStyle name="20% - Accent2 4 2 3 4 2" xfId="21995"/>
    <cellStyle name="20% - Accent2 4 2 3 5" xfId="16586"/>
    <cellStyle name="20% - Accent2 4 2 4" xfId="6135"/>
    <cellStyle name="20% - Accent2 4 2 4 2" xfId="9849"/>
    <cellStyle name="20% - Accent2 4 2 4 2 2" xfId="17721"/>
    <cellStyle name="20% - Accent2 4 2 4 3" xfId="16774"/>
    <cellStyle name="20% - Accent2 4 2 5" xfId="9844"/>
    <cellStyle name="20% - Accent2 4 2 5 2" xfId="17716"/>
    <cellStyle name="20% - Accent2 4 2 6" xfId="13466"/>
    <cellStyle name="20% - Accent2 4 2 6 2" xfId="21332"/>
    <cellStyle name="20% - Accent2 4 2 7" xfId="14403"/>
    <cellStyle name="20% - Accent2 4 2 7 2" xfId="21460"/>
    <cellStyle name="20% - Accent2 4 2 8" xfId="15500"/>
    <cellStyle name="20% - Accent2 4 2 8 2" xfId="22255"/>
    <cellStyle name="20% - Accent2 4 2 9" xfId="15700"/>
    <cellStyle name="20% - Accent2 4 2 9 2" xfId="22446"/>
    <cellStyle name="20% - Accent2 4 3" xfId="3847"/>
    <cellStyle name="20% - Accent2 4 4" xfId="5251"/>
    <cellStyle name="20% - Accent2 4 5" xfId="6221"/>
    <cellStyle name="20% - Accent2 5" xfId="64"/>
    <cellStyle name="20% - Accent2 5 2" xfId="3848"/>
    <cellStyle name="20% - Accent2 5 3" xfId="5249"/>
    <cellStyle name="20% - Accent2 5 4" xfId="6220"/>
    <cellStyle name="20% - Accent2 6" xfId="65"/>
    <cellStyle name="20% - Accent2 7" xfId="66"/>
    <cellStyle name="20% - Accent2 8" xfId="67"/>
    <cellStyle name="20% - Accent2 9" xfId="68"/>
    <cellStyle name="20% - Accent3 10" xfId="69"/>
    <cellStyle name="20% - Accent3 11" xfId="70"/>
    <cellStyle name="20% - Accent3 12" xfId="71"/>
    <cellStyle name="20% - Accent3 13" xfId="72"/>
    <cellStyle name="20% - Accent3 14" xfId="73"/>
    <cellStyle name="20% - Accent3 15" xfId="74"/>
    <cellStyle name="20% - Accent3 16" xfId="75"/>
    <cellStyle name="20% - Accent3 17" xfId="76"/>
    <cellStyle name="20% - Accent3 18" xfId="77"/>
    <cellStyle name="20% - Accent3 19" xfId="78"/>
    <cellStyle name="20% - Accent3 2" xfId="79"/>
    <cellStyle name="20% - Accent3 2 2" xfId="80"/>
    <cellStyle name="20% - Accent3 2 3" xfId="3849"/>
    <cellStyle name="20% - Accent3 2 4" xfId="6219"/>
    <cellStyle name="20% - Accent3 20" xfId="81"/>
    <cellStyle name="20% - Accent3 21" xfId="82"/>
    <cellStyle name="20% - Accent3 22" xfId="83"/>
    <cellStyle name="20% - Accent3 23" xfId="13467"/>
    <cellStyle name="20% - Accent3 3" xfId="84"/>
    <cellStyle name="20% - Accent3 3 2" xfId="3850"/>
    <cellStyle name="20% - Accent3 3 3" xfId="5253"/>
    <cellStyle name="20% - Accent3 3 4" xfId="6218"/>
    <cellStyle name="20% - Accent3 4" xfId="85"/>
    <cellStyle name="20% - Accent3 4 2" xfId="86"/>
    <cellStyle name="20% - Accent3 4 2 10" xfId="15924"/>
    <cellStyle name="20% - Accent3 4 2 10 2" xfId="22655"/>
    <cellStyle name="20% - Accent3 4 2 11" xfId="16151"/>
    <cellStyle name="20% - Accent3 4 2 2" xfId="3653"/>
    <cellStyle name="20% - Accent3 4 2 2 2" xfId="6757"/>
    <cellStyle name="20% - Accent3 4 2 2 2 2" xfId="9852"/>
    <cellStyle name="20% - Accent3 4 2 2 2 2 2" xfId="17724"/>
    <cellStyle name="20% - Accent3 4 2 2 2 3" xfId="17004"/>
    <cellStyle name="20% - Accent3 4 2 2 3" xfId="9851"/>
    <cellStyle name="20% - Accent3 4 2 2 3 2" xfId="17723"/>
    <cellStyle name="20% - Accent3 4 2 2 4" xfId="14635"/>
    <cellStyle name="20% - Accent3 4 2 2 4 2" xfId="21616"/>
    <cellStyle name="20% - Accent3 4 2 2 5" xfId="16306"/>
    <cellStyle name="20% - Accent3 4 2 3" xfId="5925"/>
    <cellStyle name="20% - Accent3 4 2 3 2" xfId="7144"/>
    <cellStyle name="20% - Accent3 4 2 3 2 2" xfId="9854"/>
    <cellStyle name="20% - Accent3 4 2 3 2 2 2" xfId="17726"/>
    <cellStyle name="20% - Accent3 4 2 3 2 3" xfId="17391"/>
    <cellStyle name="20% - Accent3 4 2 3 3" xfId="9853"/>
    <cellStyle name="20% - Accent3 4 2 3 3 2" xfId="17725"/>
    <cellStyle name="20% - Accent3 4 2 3 4" xfId="15205"/>
    <cellStyle name="20% - Accent3 4 2 3 4 2" xfId="22004"/>
    <cellStyle name="20% - Accent3 4 2 3 5" xfId="16595"/>
    <cellStyle name="20% - Accent3 4 2 4" xfId="6137"/>
    <cellStyle name="20% - Accent3 4 2 4 2" xfId="9855"/>
    <cellStyle name="20% - Accent3 4 2 4 2 2" xfId="17727"/>
    <cellStyle name="20% - Accent3 4 2 4 3" xfId="16775"/>
    <cellStyle name="20% - Accent3 4 2 5" xfId="9850"/>
    <cellStyle name="20% - Accent3 4 2 5 2" xfId="17722"/>
    <cellStyle name="20% - Accent3 4 2 6" xfId="13468"/>
    <cellStyle name="20% - Accent3 4 2 6 2" xfId="21333"/>
    <cellStyle name="20% - Accent3 4 2 7" xfId="14404"/>
    <cellStyle name="20% - Accent3 4 2 7 2" xfId="21461"/>
    <cellStyle name="20% - Accent3 4 2 8" xfId="15502"/>
    <cellStyle name="20% - Accent3 4 2 8 2" xfId="22257"/>
    <cellStyle name="20% - Accent3 4 2 9" xfId="15702"/>
    <cellStyle name="20% - Accent3 4 2 9 2" xfId="22448"/>
    <cellStyle name="20% - Accent3 4 3" xfId="3851"/>
    <cellStyle name="20% - Accent3 4 4" xfId="5254"/>
    <cellStyle name="20% - Accent3 4 5" xfId="6217"/>
    <cellStyle name="20% - Accent3 5" xfId="87"/>
    <cellStyle name="20% - Accent3 5 2" xfId="3852"/>
    <cellStyle name="20% - Accent3 5 3" xfId="5252"/>
    <cellStyle name="20% - Accent3 5 4" xfId="6216"/>
    <cellStyle name="20% - Accent3 6" xfId="88"/>
    <cellStyle name="20% - Accent3 7" xfId="89"/>
    <cellStyle name="20% - Accent3 8" xfId="90"/>
    <cellStyle name="20% - Accent3 9" xfId="91"/>
    <cellStyle name="20% - Accent4 10" xfId="92"/>
    <cellStyle name="20% - Accent4 11" xfId="93"/>
    <cellStyle name="20% - Accent4 12" xfId="94"/>
    <cellStyle name="20% - Accent4 13" xfId="95"/>
    <cellStyle name="20% - Accent4 14" xfId="96"/>
    <cellStyle name="20% - Accent4 15" xfId="97"/>
    <cellStyle name="20% - Accent4 16" xfId="98"/>
    <cellStyle name="20% - Accent4 17" xfId="99"/>
    <cellStyle name="20% - Accent4 18" xfId="100"/>
    <cellStyle name="20% - Accent4 19" xfId="101"/>
    <cellStyle name="20% - Accent4 2" xfId="102"/>
    <cellStyle name="20% - Accent4 2 2" xfId="103"/>
    <cellStyle name="20% - Accent4 2 3" xfId="3853"/>
    <cellStyle name="20% - Accent4 2 4" xfId="6215"/>
    <cellStyle name="20% - Accent4 20" xfId="104"/>
    <cellStyle name="20% - Accent4 21" xfId="105"/>
    <cellStyle name="20% - Accent4 22" xfId="106"/>
    <cellStyle name="20% - Accent4 23" xfId="13469"/>
    <cellStyle name="20% - Accent4 3" xfId="107"/>
    <cellStyle name="20% - Accent4 3 2" xfId="3854"/>
    <cellStyle name="20% - Accent4 3 3" xfId="5256"/>
    <cellStyle name="20% - Accent4 3 4" xfId="6214"/>
    <cellStyle name="20% - Accent4 4" xfId="108"/>
    <cellStyle name="20% - Accent4 4 2" xfId="109"/>
    <cellStyle name="20% - Accent4 4 2 10" xfId="15912"/>
    <cellStyle name="20% - Accent4 4 2 10 2" xfId="22644"/>
    <cellStyle name="20% - Accent4 4 2 11" xfId="16143"/>
    <cellStyle name="20% - Accent4 4 2 2" xfId="3654"/>
    <cellStyle name="20% - Accent4 4 2 2 2" xfId="6758"/>
    <cellStyle name="20% - Accent4 4 2 2 2 2" xfId="9858"/>
    <cellStyle name="20% - Accent4 4 2 2 2 2 2" xfId="17730"/>
    <cellStyle name="20% - Accent4 4 2 2 2 3" xfId="17005"/>
    <cellStyle name="20% - Accent4 4 2 2 3" xfId="9857"/>
    <cellStyle name="20% - Accent4 4 2 2 3 2" xfId="17729"/>
    <cellStyle name="20% - Accent4 4 2 2 4" xfId="14636"/>
    <cellStyle name="20% - Accent4 4 2 2 4 2" xfId="21617"/>
    <cellStyle name="20% - Accent4 4 2 2 5" xfId="16307"/>
    <cellStyle name="20% - Accent4 4 2 3" xfId="5894"/>
    <cellStyle name="20% - Accent4 4 2 3 2" xfId="7123"/>
    <cellStyle name="20% - Accent4 4 2 3 2 2" xfId="9860"/>
    <cellStyle name="20% - Accent4 4 2 3 2 2 2" xfId="17732"/>
    <cellStyle name="20% - Accent4 4 2 3 2 3" xfId="17370"/>
    <cellStyle name="20% - Accent4 4 2 3 3" xfId="9859"/>
    <cellStyle name="20% - Accent4 4 2 3 3 2" xfId="17731"/>
    <cellStyle name="20% - Accent4 4 2 3 4" xfId="15184"/>
    <cellStyle name="20% - Accent4 4 2 3 4 2" xfId="21983"/>
    <cellStyle name="20% - Accent4 4 2 3 5" xfId="16574"/>
    <cellStyle name="20% - Accent4 4 2 4" xfId="6139"/>
    <cellStyle name="20% - Accent4 4 2 4 2" xfId="9861"/>
    <cellStyle name="20% - Accent4 4 2 4 2 2" xfId="17733"/>
    <cellStyle name="20% - Accent4 4 2 4 3" xfId="16776"/>
    <cellStyle name="20% - Accent4 4 2 5" xfId="9856"/>
    <cellStyle name="20% - Accent4 4 2 5 2" xfId="17728"/>
    <cellStyle name="20% - Accent4 4 2 6" xfId="13470"/>
    <cellStyle name="20% - Accent4 4 2 6 2" xfId="21334"/>
    <cellStyle name="20% - Accent4 4 2 7" xfId="14405"/>
    <cellStyle name="20% - Accent4 4 2 7 2" xfId="21462"/>
    <cellStyle name="20% - Accent4 4 2 8" xfId="15494"/>
    <cellStyle name="20% - Accent4 4 2 8 2" xfId="22249"/>
    <cellStyle name="20% - Accent4 4 2 9" xfId="15694"/>
    <cellStyle name="20% - Accent4 4 2 9 2" xfId="22440"/>
    <cellStyle name="20% - Accent4 4 3" xfId="3855"/>
    <cellStyle name="20% - Accent4 4 4" xfId="5257"/>
    <cellStyle name="20% - Accent4 4 5" xfId="6213"/>
    <cellStyle name="20% - Accent4 5" xfId="110"/>
    <cellStyle name="20% - Accent4 5 2" xfId="3856"/>
    <cellStyle name="20% - Accent4 5 3" xfId="5255"/>
    <cellStyle name="20% - Accent4 5 4" xfId="6212"/>
    <cellStyle name="20% - Accent4 6" xfId="111"/>
    <cellStyle name="20% - Accent4 7" xfId="112"/>
    <cellStyle name="20% - Accent4 8" xfId="113"/>
    <cellStyle name="20% - Accent4 9" xfId="114"/>
    <cellStyle name="20% - Accent5 10" xfId="115"/>
    <cellStyle name="20% - Accent5 11" xfId="116"/>
    <cellStyle name="20% - Accent5 12" xfId="117"/>
    <cellStyle name="20% - Accent5 13" xfId="118"/>
    <cellStyle name="20% - Accent5 14" xfId="119"/>
    <cellStyle name="20% - Accent5 15" xfId="120"/>
    <cellStyle name="20% - Accent5 16" xfId="121"/>
    <cellStyle name="20% - Accent5 17" xfId="122"/>
    <cellStyle name="20% - Accent5 18" xfId="123"/>
    <cellStyle name="20% - Accent5 19" xfId="124"/>
    <cellStyle name="20% - Accent5 2" xfId="125"/>
    <cellStyle name="20% - Accent5 2 2" xfId="126"/>
    <cellStyle name="20% - Accent5 2 3" xfId="3857"/>
    <cellStyle name="20% - Accent5 2 4" xfId="6211"/>
    <cellStyle name="20% - Accent5 20" xfId="127"/>
    <cellStyle name="20% - Accent5 21" xfId="128"/>
    <cellStyle name="20% - Accent5 22" xfId="129"/>
    <cellStyle name="20% - Accent5 23" xfId="13471"/>
    <cellStyle name="20% - Accent5 3" xfId="130"/>
    <cellStyle name="20% - Accent5 3 2" xfId="3858"/>
    <cellStyle name="20% - Accent5 3 3" xfId="5259"/>
    <cellStyle name="20% - Accent5 3 4" xfId="6210"/>
    <cellStyle name="20% - Accent5 4" xfId="131"/>
    <cellStyle name="20% - Accent5 4 2" xfId="132"/>
    <cellStyle name="20% - Accent5 4 2 10" xfId="15931"/>
    <cellStyle name="20% - Accent5 4 2 10 2" xfId="22661"/>
    <cellStyle name="20% - Accent5 4 2 11" xfId="16154"/>
    <cellStyle name="20% - Accent5 4 2 2" xfId="3655"/>
    <cellStyle name="20% - Accent5 4 2 2 2" xfId="6759"/>
    <cellStyle name="20% - Accent5 4 2 2 2 2" xfId="9864"/>
    <cellStyle name="20% - Accent5 4 2 2 2 2 2" xfId="17736"/>
    <cellStyle name="20% - Accent5 4 2 2 2 3" xfId="17006"/>
    <cellStyle name="20% - Accent5 4 2 2 3" xfId="9863"/>
    <cellStyle name="20% - Accent5 4 2 2 3 2" xfId="17735"/>
    <cellStyle name="20% - Accent5 4 2 2 4" xfId="14637"/>
    <cellStyle name="20% - Accent5 4 2 2 4 2" xfId="21618"/>
    <cellStyle name="20% - Accent5 4 2 2 5" xfId="16308"/>
    <cellStyle name="20% - Accent5 4 2 3" xfId="5940"/>
    <cellStyle name="20% - Accent5 4 2 3 2" xfId="7154"/>
    <cellStyle name="20% - Accent5 4 2 3 2 2" xfId="9866"/>
    <cellStyle name="20% - Accent5 4 2 3 2 2 2" xfId="17738"/>
    <cellStyle name="20% - Accent5 4 2 3 2 3" xfId="17401"/>
    <cellStyle name="20% - Accent5 4 2 3 3" xfId="9865"/>
    <cellStyle name="20% - Accent5 4 2 3 3 2" xfId="17737"/>
    <cellStyle name="20% - Accent5 4 2 3 4" xfId="15215"/>
    <cellStyle name="20% - Accent5 4 2 3 4 2" xfId="22014"/>
    <cellStyle name="20% - Accent5 4 2 3 5" xfId="16605"/>
    <cellStyle name="20% - Accent5 4 2 4" xfId="6140"/>
    <cellStyle name="20% - Accent5 4 2 4 2" xfId="9867"/>
    <cellStyle name="20% - Accent5 4 2 4 2 2" xfId="17739"/>
    <cellStyle name="20% - Accent5 4 2 4 3" xfId="16777"/>
    <cellStyle name="20% - Accent5 4 2 5" xfId="9862"/>
    <cellStyle name="20% - Accent5 4 2 5 2" xfId="17734"/>
    <cellStyle name="20% - Accent5 4 2 6" xfId="13472"/>
    <cellStyle name="20% - Accent5 4 2 6 2" xfId="21335"/>
    <cellStyle name="20% - Accent5 4 2 7" xfId="14406"/>
    <cellStyle name="20% - Accent5 4 2 7 2" xfId="21463"/>
    <cellStyle name="20% - Accent5 4 2 8" xfId="15505"/>
    <cellStyle name="20% - Accent5 4 2 8 2" xfId="22260"/>
    <cellStyle name="20% - Accent5 4 2 9" xfId="15705"/>
    <cellStyle name="20% - Accent5 4 2 9 2" xfId="22451"/>
    <cellStyle name="20% - Accent5 4 3" xfId="3859"/>
    <cellStyle name="20% - Accent5 4 4" xfId="5260"/>
    <cellStyle name="20% - Accent5 4 5" xfId="6209"/>
    <cellStyle name="20% - Accent5 5" xfId="133"/>
    <cellStyle name="20% - Accent5 5 2" xfId="3860"/>
    <cellStyle name="20% - Accent5 5 3" xfId="5258"/>
    <cellStyle name="20% - Accent5 5 4" xfId="6208"/>
    <cellStyle name="20% - Accent5 6" xfId="134"/>
    <cellStyle name="20% - Accent5 7" xfId="135"/>
    <cellStyle name="20% - Accent5 8" xfId="136"/>
    <cellStyle name="20% - Accent5 9" xfId="137"/>
    <cellStyle name="20% - Accent6 10" xfId="138"/>
    <cellStyle name="20% - Accent6 11" xfId="139"/>
    <cellStyle name="20% - Accent6 12" xfId="140"/>
    <cellStyle name="20% - Accent6 13" xfId="141"/>
    <cellStyle name="20% - Accent6 14" xfId="142"/>
    <cellStyle name="20% - Accent6 15" xfId="143"/>
    <cellStyle name="20% - Accent6 16" xfId="144"/>
    <cellStyle name="20% - Accent6 17" xfId="145"/>
    <cellStyle name="20% - Accent6 18" xfId="146"/>
    <cellStyle name="20% - Accent6 19" xfId="147"/>
    <cellStyle name="20% - Accent6 2" xfId="148"/>
    <cellStyle name="20% - Accent6 2 2" xfId="149"/>
    <cellStyle name="20% - Accent6 2 3" xfId="3861"/>
    <cellStyle name="20% - Accent6 2 4" xfId="6207"/>
    <cellStyle name="20% - Accent6 20" xfId="150"/>
    <cellStyle name="20% - Accent6 21" xfId="151"/>
    <cellStyle name="20% - Accent6 22" xfId="152"/>
    <cellStyle name="20% - Accent6 23" xfId="13473"/>
    <cellStyle name="20% - Accent6 3" xfId="153"/>
    <cellStyle name="20% - Accent6 3 2" xfId="5373"/>
    <cellStyle name="20% - Accent6 3 3" xfId="5262"/>
    <cellStyle name="20% - Accent6 3 4" xfId="6206"/>
    <cellStyle name="20% - Accent6 4" xfId="154"/>
    <cellStyle name="20% - Accent6 4 2" xfId="155"/>
    <cellStyle name="20% - Accent6 4 2 10" xfId="15917"/>
    <cellStyle name="20% - Accent6 4 2 10 2" xfId="22649"/>
    <cellStyle name="20% - Accent6 4 2 11" xfId="16148"/>
    <cellStyle name="20% - Accent6 4 2 2" xfId="3656"/>
    <cellStyle name="20% - Accent6 4 2 2 2" xfId="6760"/>
    <cellStyle name="20% - Accent6 4 2 2 2 2" xfId="9870"/>
    <cellStyle name="20% - Accent6 4 2 2 2 2 2" xfId="17742"/>
    <cellStyle name="20% - Accent6 4 2 2 2 3" xfId="17007"/>
    <cellStyle name="20% - Accent6 4 2 2 3" xfId="9869"/>
    <cellStyle name="20% - Accent6 4 2 2 3 2" xfId="17741"/>
    <cellStyle name="20% - Accent6 4 2 2 4" xfId="14638"/>
    <cellStyle name="20% - Accent6 4 2 2 4 2" xfId="21619"/>
    <cellStyle name="20% - Accent6 4 2 2 5" xfId="16309"/>
    <cellStyle name="20% - Accent6 4 2 3" xfId="5907"/>
    <cellStyle name="20% - Accent6 4 2 3 2" xfId="7134"/>
    <cellStyle name="20% - Accent6 4 2 3 2 2" xfId="9872"/>
    <cellStyle name="20% - Accent6 4 2 3 2 2 2" xfId="17744"/>
    <cellStyle name="20% - Accent6 4 2 3 2 3" xfId="17381"/>
    <cellStyle name="20% - Accent6 4 2 3 3" xfId="9871"/>
    <cellStyle name="20% - Accent6 4 2 3 3 2" xfId="17743"/>
    <cellStyle name="20% - Accent6 4 2 3 4" xfId="15195"/>
    <cellStyle name="20% - Accent6 4 2 3 4 2" xfId="21994"/>
    <cellStyle name="20% - Accent6 4 2 3 5" xfId="16585"/>
    <cellStyle name="20% - Accent6 4 2 4" xfId="6141"/>
    <cellStyle name="20% - Accent6 4 2 4 2" xfId="9873"/>
    <cellStyle name="20% - Accent6 4 2 4 2 2" xfId="17745"/>
    <cellStyle name="20% - Accent6 4 2 4 3" xfId="16778"/>
    <cellStyle name="20% - Accent6 4 2 5" xfId="9868"/>
    <cellStyle name="20% - Accent6 4 2 5 2" xfId="17740"/>
    <cellStyle name="20% - Accent6 4 2 6" xfId="13474"/>
    <cellStyle name="20% - Accent6 4 2 6 2" xfId="21336"/>
    <cellStyle name="20% - Accent6 4 2 7" xfId="14407"/>
    <cellStyle name="20% - Accent6 4 2 7 2" xfId="21464"/>
    <cellStyle name="20% - Accent6 4 2 8" xfId="15499"/>
    <cellStyle name="20% - Accent6 4 2 8 2" xfId="22254"/>
    <cellStyle name="20% - Accent6 4 2 9" xfId="15699"/>
    <cellStyle name="20% - Accent6 4 2 9 2" xfId="22445"/>
    <cellStyle name="20% - Accent6 4 3" xfId="3862"/>
    <cellStyle name="20% - Accent6 4 4" xfId="5263"/>
    <cellStyle name="20% - Accent6 4 5" xfId="6205"/>
    <cellStyle name="20% - Accent6 5" xfId="156"/>
    <cellStyle name="20% - Accent6 5 2" xfId="3863"/>
    <cellStyle name="20% - Accent6 5 3" xfId="5261"/>
    <cellStyle name="20% - Accent6 5 4" xfId="6204"/>
    <cellStyle name="20% - Accent6 6" xfId="157"/>
    <cellStyle name="20% - Accent6 7" xfId="158"/>
    <cellStyle name="20% - Accent6 8" xfId="159"/>
    <cellStyle name="20% - Accent6 9" xfId="160"/>
    <cellStyle name="3 sig fig" xfId="161"/>
    <cellStyle name="40 % - Accent1" xfId="162"/>
    <cellStyle name="40 % - Accent2" xfId="163"/>
    <cellStyle name="40 % - Accent3" xfId="164"/>
    <cellStyle name="40 % - Accent4" xfId="165"/>
    <cellStyle name="40 % - Accent5" xfId="166"/>
    <cellStyle name="40 % - Accent6" xfId="167"/>
    <cellStyle name="40% - Accent1 10" xfId="168"/>
    <cellStyle name="40% - Accent1 11" xfId="169"/>
    <cellStyle name="40% - Accent1 12" xfId="170"/>
    <cellStyle name="40% - Accent1 13" xfId="171"/>
    <cellStyle name="40% - Accent1 14" xfId="172"/>
    <cellStyle name="40% - Accent1 15" xfId="173"/>
    <cellStyle name="40% - Accent1 16" xfId="174"/>
    <cellStyle name="40% - Accent1 17" xfId="175"/>
    <cellStyle name="40% - Accent1 18" xfId="176"/>
    <cellStyle name="40% - Accent1 19" xfId="177"/>
    <cellStyle name="40% - Accent1 2" xfId="178"/>
    <cellStyle name="40% - Accent1 2 2" xfId="179"/>
    <cellStyle name="40% - Accent1 2 3" xfId="3864"/>
    <cellStyle name="40% - Accent1 2 4" xfId="6203"/>
    <cellStyle name="40% - Accent1 20" xfId="180"/>
    <cellStyle name="40% - Accent1 21" xfId="181"/>
    <cellStyle name="40% - Accent1 22" xfId="182"/>
    <cellStyle name="40% - Accent1 23" xfId="13475"/>
    <cellStyle name="40% - Accent1 3" xfId="183"/>
    <cellStyle name="40% - Accent1 3 2" xfId="3865"/>
    <cellStyle name="40% - Accent1 3 3" xfId="5265"/>
    <cellStyle name="40% - Accent1 3 4" xfId="6202"/>
    <cellStyle name="40% - Accent1 4" xfId="184"/>
    <cellStyle name="40% - Accent1 4 2" xfId="185"/>
    <cellStyle name="40% - Accent1 4 2 10" xfId="15934"/>
    <cellStyle name="40% - Accent1 4 2 10 2" xfId="22664"/>
    <cellStyle name="40% - Accent1 4 2 11" xfId="16157"/>
    <cellStyle name="40% - Accent1 4 2 2" xfId="3657"/>
    <cellStyle name="40% - Accent1 4 2 2 2" xfId="6761"/>
    <cellStyle name="40% - Accent1 4 2 2 2 2" xfId="9876"/>
    <cellStyle name="40% - Accent1 4 2 2 2 2 2" xfId="17748"/>
    <cellStyle name="40% - Accent1 4 2 2 2 3" xfId="17008"/>
    <cellStyle name="40% - Accent1 4 2 2 3" xfId="9875"/>
    <cellStyle name="40% - Accent1 4 2 2 3 2" xfId="17747"/>
    <cellStyle name="40% - Accent1 4 2 2 4" xfId="14639"/>
    <cellStyle name="40% - Accent1 4 2 2 4 2" xfId="21620"/>
    <cellStyle name="40% - Accent1 4 2 2 5" xfId="16310"/>
    <cellStyle name="40% - Accent1 4 2 3" xfId="5945"/>
    <cellStyle name="40% - Accent1 4 2 3 2" xfId="7158"/>
    <cellStyle name="40% - Accent1 4 2 3 2 2" xfId="9878"/>
    <cellStyle name="40% - Accent1 4 2 3 2 2 2" xfId="17750"/>
    <cellStyle name="40% - Accent1 4 2 3 2 3" xfId="17405"/>
    <cellStyle name="40% - Accent1 4 2 3 3" xfId="9877"/>
    <cellStyle name="40% - Accent1 4 2 3 3 2" xfId="17749"/>
    <cellStyle name="40% - Accent1 4 2 3 4" xfId="15219"/>
    <cellStyle name="40% - Accent1 4 2 3 4 2" xfId="22018"/>
    <cellStyle name="40% - Accent1 4 2 3 5" xfId="16609"/>
    <cellStyle name="40% - Accent1 4 2 4" xfId="6143"/>
    <cellStyle name="40% - Accent1 4 2 4 2" xfId="9879"/>
    <cellStyle name="40% - Accent1 4 2 4 2 2" xfId="17751"/>
    <cellStyle name="40% - Accent1 4 2 4 3" xfId="16779"/>
    <cellStyle name="40% - Accent1 4 2 5" xfId="9874"/>
    <cellStyle name="40% - Accent1 4 2 5 2" xfId="17746"/>
    <cellStyle name="40% - Accent1 4 2 6" xfId="13476"/>
    <cellStyle name="40% - Accent1 4 2 6 2" xfId="21337"/>
    <cellStyle name="40% - Accent1 4 2 7" xfId="14409"/>
    <cellStyle name="40% - Accent1 4 2 7 2" xfId="21466"/>
    <cellStyle name="40% - Accent1 4 2 8" xfId="15508"/>
    <cellStyle name="40% - Accent1 4 2 8 2" xfId="22263"/>
    <cellStyle name="40% - Accent1 4 2 9" xfId="15708"/>
    <cellStyle name="40% - Accent1 4 2 9 2" xfId="22454"/>
    <cellStyle name="40% - Accent1 4 3" xfId="3866"/>
    <cellStyle name="40% - Accent1 4 4" xfId="5266"/>
    <cellStyle name="40% - Accent1 4 5" xfId="6201"/>
    <cellStyle name="40% - Accent1 5" xfId="186"/>
    <cellStyle name="40% - Accent1 5 2" xfId="3867"/>
    <cellStyle name="40% - Accent1 5 3" xfId="5264"/>
    <cellStyle name="40% - Accent1 5 4" xfId="6200"/>
    <cellStyle name="40% - Accent1 6" xfId="187"/>
    <cellStyle name="40% - Accent1 7" xfId="188"/>
    <cellStyle name="40% - Accent1 8" xfId="189"/>
    <cellStyle name="40% - Accent1 9" xfId="190"/>
    <cellStyle name="40% - Accent2 10" xfId="191"/>
    <cellStyle name="40% - Accent2 11" xfId="192"/>
    <cellStyle name="40% - Accent2 12" xfId="193"/>
    <cellStyle name="40% - Accent2 13" xfId="194"/>
    <cellStyle name="40% - Accent2 14" xfId="195"/>
    <cellStyle name="40% - Accent2 15" xfId="196"/>
    <cellStyle name="40% - Accent2 16" xfId="197"/>
    <cellStyle name="40% - Accent2 17" xfId="198"/>
    <cellStyle name="40% - Accent2 18" xfId="199"/>
    <cellStyle name="40% - Accent2 19" xfId="200"/>
    <cellStyle name="40% - Accent2 2" xfId="201"/>
    <cellStyle name="40% - Accent2 2 2" xfId="202"/>
    <cellStyle name="40% - Accent2 2 3" xfId="3868"/>
    <cellStyle name="40% - Accent2 2 4" xfId="6199"/>
    <cellStyle name="40% - Accent2 20" xfId="203"/>
    <cellStyle name="40% - Accent2 21" xfId="204"/>
    <cellStyle name="40% - Accent2 22" xfId="205"/>
    <cellStyle name="40% - Accent2 23" xfId="13477"/>
    <cellStyle name="40% - Accent2 3" xfId="206"/>
    <cellStyle name="40% - Accent2 3 2" xfId="3869"/>
    <cellStyle name="40% - Accent2 3 3" xfId="5268"/>
    <cellStyle name="40% - Accent2 3 4" xfId="6198"/>
    <cellStyle name="40% - Accent2 4" xfId="207"/>
    <cellStyle name="40% - Accent2 4 2" xfId="208"/>
    <cellStyle name="40% - Accent2 4 2 10" xfId="15932"/>
    <cellStyle name="40% - Accent2 4 2 10 2" xfId="22662"/>
    <cellStyle name="40% - Accent2 4 2 11" xfId="16155"/>
    <cellStyle name="40% - Accent2 4 2 2" xfId="3658"/>
    <cellStyle name="40% - Accent2 4 2 2 2" xfId="6762"/>
    <cellStyle name="40% - Accent2 4 2 2 2 2" xfId="9882"/>
    <cellStyle name="40% - Accent2 4 2 2 2 2 2" xfId="17754"/>
    <cellStyle name="40% - Accent2 4 2 2 2 3" xfId="17009"/>
    <cellStyle name="40% - Accent2 4 2 2 3" xfId="9881"/>
    <cellStyle name="40% - Accent2 4 2 2 3 2" xfId="17753"/>
    <cellStyle name="40% - Accent2 4 2 2 4" xfId="14640"/>
    <cellStyle name="40% - Accent2 4 2 2 4 2" xfId="21621"/>
    <cellStyle name="40% - Accent2 4 2 2 5" xfId="16311"/>
    <cellStyle name="40% - Accent2 4 2 3" xfId="5941"/>
    <cellStyle name="40% - Accent2 4 2 3 2" xfId="7155"/>
    <cellStyle name="40% - Accent2 4 2 3 2 2" xfId="9884"/>
    <cellStyle name="40% - Accent2 4 2 3 2 2 2" xfId="17756"/>
    <cellStyle name="40% - Accent2 4 2 3 2 3" xfId="17402"/>
    <cellStyle name="40% - Accent2 4 2 3 3" xfId="9883"/>
    <cellStyle name="40% - Accent2 4 2 3 3 2" xfId="17755"/>
    <cellStyle name="40% - Accent2 4 2 3 4" xfId="15216"/>
    <cellStyle name="40% - Accent2 4 2 3 4 2" xfId="22015"/>
    <cellStyle name="40% - Accent2 4 2 3 5" xfId="16606"/>
    <cellStyle name="40% - Accent2 4 2 4" xfId="6144"/>
    <cellStyle name="40% - Accent2 4 2 4 2" xfId="9885"/>
    <cellStyle name="40% - Accent2 4 2 4 2 2" xfId="17757"/>
    <cellStyle name="40% - Accent2 4 2 4 3" xfId="16780"/>
    <cellStyle name="40% - Accent2 4 2 5" xfId="9880"/>
    <cellStyle name="40% - Accent2 4 2 5 2" xfId="17752"/>
    <cellStyle name="40% - Accent2 4 2 6" xfId="13478"/>
    <cellStyle name="40% - Accent2 4 2 6 2" xfId="21338"/>
    <cellStyle name="40% - Accent2 4 2 7" xfId="14410"/>
    <cellStyle name="40% - Accent2 4 2 7 2" xfId="21467"/>
    <cellStyle name="40% - Accent2 4 2 8" xfId="15506"/>
    <cellStyle name="40% - Accent2 4 2 8 2" xfId="22261"/>
    <cellStyle name="40% - Accent2 4 2 9" xfId="15706"/>
    <cellStyle name="40% - Accent2 4 2 9 2" xfId="22452"/>
    <cellStyle name="40% - Accent2 4 3" xfId="3870"/>
    <cellStyle name="40% - Accent2 4 4" xfId="5269"/>
    <cellStyle name="40% - Accent2 4 5" xfId="6197"/>
    <cellStyle name="40% - Accent2 5" xfId="209"/>
    <cellStyle name="40% - Accent2 5 2" xfId="3871"/>
    <cellStyle name="40% - Accent2 5 3" xfId="5267"/>
    <cellStyle name="40% - Accent2 5 4" xfId="6196"/>
    <cellStyle name="40% - Accent2 6" xfId="210"/>
    <cellStyle name="40% - Accent2 7" xfId="211"/>
    <cellStyle name="40% - Accent2 8" xfId="212"/>
    <cellStyle name="40% - Accent2 9" xfId="213"/>
    <cellStyle name="40% - Accent3 10" xfId="214"/>
    <cellStyle name="40% - Accent3 11" xfId="215"/>
    <cellStyle name="40% - Accent3 12" xfId="216"/>
    <cellStyle name="40% - Accent3 13" xfId="217"/>
    <cellStyle name="40% - Accent3 14" xfId="218"/>
    <cellStyle name="40% - Accent3 15" xfId="219"/>
    <cellStyle name="40% - Accent3 16" xfId="220"/>
    <cellStyle name="40% - Accent3 17" xfId="221"/>
    <cellStyle name="40% - Accent3 18" xfId="222"/>
    <cellStyle name="40% - Accent3 19" xfId="223"/>
    <cellStyle name="40% - Accent3 2" xfId="224"/>
    <cellStyle name="40% - Accent3 2 2" xfId="225"/>
    <cellStyle name="40% - Accent3 2 2 2" xfId="226"/>
    <cellStyle name="40% - Accent3 2 2 2 10" xfId="15913"/>
    <cellStyle name="40% - Accent3 2 2 2 10 2" xfId="22645"/>
    <cellStyle name="40% - Accent3 2 2 2 11" xfId="16144"/>
    <cellStyle name="40% - Accent3 2 2 2 2" xfId="3660"/>
    <cellStyle name="40% - Accent3 2 2 2 2 2" xfId="6764"/>
    <cellStyle name="40% - Accent3 2 2 2 2 2 2" xfId="9889"/>
    <cellStyle name="40% - Accent3 2 2 2 2 2 2 2" xfId="17761"/>
    <cellStyle name="40% - Accent3 2 2 2 2 2 3" xfId="17011"/>
    <cellStyle name="40% - Accent3 2 2 2 2 3" xfId="9888"/>
    <cellStyle name="40% - Accent3 2 2 2 2 3 2" xfId="17760"/>
    <cellStyle name="40% - Accent3 2 2 2 2 4" xfId="14642"/>
    <cellStyle name="40% - Accent3 2 2 2 2 4 2" xfId="21623"/>
    <cellStyle name="40% - Accent3 2 2 2 2 5" xfId="16312"/>
    <cellStyle name="40% - Accent3 2 2 2 3" xfId="5900"/>
    <cellStyle name="40% - Accent3 2 2 2 3 2" xfId="7128"/>
    <cellStyle name="40% - Accent3 2 2 2 3 2 2" xfId="9891"/>
    <cellStyle name="40% - Accent3 2 2 2 3 2 2 2" xfId="17763"/>
    <cellStyle name="40% - Accent3 2 2 2 3 2 3" xfId="17375"/>
    <cellStyle name="40% - Accent3 2 2 2 3 3" xfId="9890"/>
    <cellStyle name="40% - Accent3 2 2 2 3 3 2" xfId="17762"/>
    <cellStyle name="40% - Accent3 2 2 2 3 4" xfId="15189"/>
    <cellStyle name="40% - Accent3 2 2 2 3 4 2" xfId="21988"/>
    <cellStyle name="40% - Accent3 2 2 2 3 5" xfId="16579"/>
    <cellStyle name="40% - Accent3 2 2 2 4" xfId="6146"/>
    <cellStyle name="40% - Accent3 2 2 2 4 2" xfId="9892"/>
    <cellStyle name="40% - Accent3 2 2 2 4 2 2" xfId="17764"/>
    <cellStyle name="40% - Accent3 2 2 2 4 3" xfId="16782"/>
    <cellStyle name="40% - Accent3 2 2 2 5" xfId="9887"/>
    <cellStyle name="40% - Accent3 2 2 2 5 2" xfId="17759"/>
    <cellStyle name="40% - Accent3 2 2 2 6" xfId="13481"/>
    <cellStyle name="40% - Accent3 2 2 2 6 2" xfId="21340"/>
    <cellStyle name="40% - Accent3 2 2 2 7" xfId="14412"/>
    <cellStyle name="40% - Accent3 2 2 2 7 2" xfId="21469"/>
    <cellStyle name="40% - Accent3 2 2 2 8" xfId="15495"/>
    <cellStyle name="40% - Accent3 2 2 2 8 2" xfId="22250"/>
    <cellStyle name="40% - Accent3 2 2 2 9" xfId="15695"/>
    <cellStyle name="40% - Accent3 2 2 2 9 2" xfId="22441"/>
    <cellStyle name="40% - Accent3 2 2 3" xfId="3659"/>
    <cellStyle name="40% - Accent3 2 2 3 2" xfId="5934"/>
    <cellStyle name="40% - Accent3 2 2 3 2 2" xfId="7150"/>
    <cellStyle name="40% - Accent3 2 2 3 2 2 2" xfId="9895"/>
    <cellStyle name="40% - Accent3 2 2 3 2 2 2 2" xfId="17767"/>
    <cellStyle name="40% - Accent3 2 2 3 2 2 3" xfId="17397"/>
    <cellStyle name="40% - Accent3 2 2 3 2 3" xfId="9894"/>
    <cellStyle name="40% - Accent3 2 2 3 2 3 2" xfId="17766"/>
    <cellStyle name="40% - Accent3 2 2 3 2 4" xfId="15211"/>
    <cellStyle name="40% - Accent3 2 2 3 2 4 2" xfId="22010"/>
    <cellStyle name="40% - Accent3 2 2 3 2 5" xfId="16601"/>
    <cellStyle name="40% - Accent3 2 2 3 3" xfId="6763"/>
    <cellStyle name="40% - Accent3 2 2 3 3 2" xfId="9896"/>
    <cellStyle name="40% - Accent3 2 2 3 3 2 2" xfId="17768"/>
    <cellStyle name="40% - Accent3 2 2 3 3 3" xfId="17010"/>
    <cellStyle name="40% - Accent3 2 2 3 4" xfId="9893"/>
    <cellStyle name="40% - Accent3 2 2 3 4 2" xfId="17765"/>
    <cellStyle name="40% - Accent3 2 2 3 5" xfId="14641"/>
    <cellStyle name="40% - Accent3 2 2 3 5 2" xfId="21622"/>
    <cellStyle name="40% - Accent3 2 2 3 6" xfId="15504"/>
    <cellStyle name="40% - Accent3 2 2 3 6 2" xfId="22259"/>
    <cellStyle name="40% - Accent3 2 2 3 7" xfId="15704"/>
    <cellStyle name="40% - Accent3 2 2 3 7 2" xfId="22450"/>
    <cellStyle name="40% - Accent3 2 2 3 8" xfId="15928"/>
    <cellStyle name="40% - Accent3 2 2 3 8 2" xfId="22659"/>
    <cellStyle name="40% - Accent3 2 2 3 9" xfId="16153"/>
    <cellStyle name="40% - Accent3 2 2 4" xfId="5271"/>
    <cellStyle name="40% - Accent3 2 2 5" xfId="6145"/>
    <cellStyle name="40% - Accent3 2 2 5 2" xfId="9897"/>
    <cellStyle name="40% - Accent3 2 2 5 2 2" xfId="17769"/>
    <cellStyle name="40% - Accent3 2 2 5 3" xfId="14411"/>
    <cellStyle name="40% - Accent3 2 2 5 3 2" xfId="21468"/>
    <cellStyle name="40% - Accent3 2 2 5 4" xfId="16781"/>
    <cellStyle name="40% - Accent3 2 2 6" xfId="9886"/>
    <cellStyle name="40% - Accent3 2 2 6 2" xfId="17758"/>
    <cellStyle name="40% - Accent3 2 2 7" xfId="13480"/>
    <cellStyle name="40% - Accent3 2 2 7 2" xfId="21339"/>
    <cellStyle name="40% - Accent3 2 3" xfId="227"/>
    <cellStyle name="40% - Accent3 2 4" xfId="3872"/>
    <cellStyle name="40% - Accent3 2 5" xfId="6195"/>
    <cellStyle name="40% - Accent3 2_Sheet2" xfId="228"/>
    <cellStyle name="40% - Accent3 20" xfId="229"/>
    <cellStyle name="40% - Accent3 21" xfId="230"/>
    <cellStyle name="40% - Accent3 22" xfId="231"/>
    <cellStyle name="40% - Accent3 23" xfId="13479"/>
    <cellStyle name="40% - Accent3 24" xfId="14005"/>
    <cellStyle name="40% - Accent3 3" xfId="232"/>
    <cellStyle name="40% - Accent3 3 2" xfId="3873"/>
    <cellStyle name="40% - Accent3 3 3" xfId="5272"/>
    <cellStyle name="40% - Accent3 3 4" xfId="6194"/>
    <cellStyle name="40% - Accent3 4" xfId="233"/>
    <cellStyle name="40% - Accent3 4 2" xfId="234"/>
    <cellStyle name="40% - Accent3 4 2 10" xfId="15933"/>
    <cellStyle name="40% - Accent3 4 2 10 2" xfId="22663"/>
    <cellStyle name="40% - Accent3 4 2 11" xfId="16156"/>
    <cellStyle name="40% - Accent3 4 2 2" xfId="3661"/>
    <cellStyle name="40% - Accent3 4 2 2 2" xfId="6765"/>
    <cellStyle name="40% - Accent3 4 2 2 2 2" xfId="9900"/>
    <cellStyle name="40% - Accent3 4 2 2 2 2 2" xfId="17772"/>
    <cellStyle name="40% - Accent3 4 2 2 2 3" xfId="17012"/>
    <cellStyle name="40% - Accent3 4 2 2 3" xfId="9899"/>
    <cellStyle name="40% - Accent3 4 2 2 3 2" xfId="17771"/>
    <cellStyle name="40% - Accent3 4 2 2 4" xfId="14643"/>
    <cellStyle name="40% - Accent3 4 2 2 4 2" xfId="21624"/>
    <cellStyle name="40% - Accent3 4 2 2 5" xfId="16313"/>
    <cellStyle name="40% - Accent3 4 2 3" xfId="5944"/>
    <cellStyle name="40% - Accent3 4 2 3 2" xfId="7157"/>
    <cellStyle name="40% - Accent3 4 2 3 2 2" xfId="9902"/>
    <cellStyle name="40% - Accent3 4 2 3 2 2 2" xfId="17774"/>
    <cellStyle name="40% - Accent3 4 2 3 2 3" xfId="17404"/>
    <cellStyle name="40% - Accent3 4 2 3 3" xfId="9901"/>
    <cellStyle name="40% - Accent3 4 2 3 3 2" xfId="17773"/>
    <cellStyle name="40% - Accent3 4 2 3 4" xfId="15218"/>
    <cellStyle name="40% - Accent3 4 2 3 4 2" xfId="22017"/>
    <cellStyle name="40% - Accent3 4 2 3 5" xfId="16608"/>
    <cellStyle name="40% - Accent3 4 2 4" xfId="6147"/>
    <cellStyle name="40% - Accent3 4 2 4 2" xfId="9903"/>
    <cellStyle name="40% - Accent3 4 2 4 2 2" xfId="17775"/>
    <cellStyle name="40% - Accent3 4 2 4 3" xfId="16783"/>
    <cellStyle name="40% - Accent3 4 2 5" xfId="9898"/>
    <cellStyle name="40% - Accent3 4 2 5 2" xfId="17770"/>
    <cellStyle name="40% - Accent3 4 2 6" xfId="13482"/>
    <cellStyle name="40% - Accent3 4 2 6 2" xfId="21341"/>
    <cellStyle name="40% - Accent3 4 2 7" xfId="14413"/>
    <cellStyle name="40% - Accent3 4 2 7 2" xfId="21470"/>
    <cellStyle name="40% - Accent3 4 2 8" xfId="15507"/>
    <cellStyle name="40% - Accent3 4 2 8 2" xfId="22262"/>
    <cellStyle name="40% - Accent3 4 2 9" xfId="15707"/>
    <cellStyle name="40% - Accent3 4 2 9 2" xfId="22453"/>
    <cellStyle name="40% - Accent3 4 3" xfId="3874"/>
    <cellStyle name="40% - Accent3 4 4" xfId="5273"/>
    <cellStyle name="40% - Accent3 4 5" xfId="6193"/>
    <cellStyle name="40% - Accent3 5" xfId="235"/>
    <cellStyle name="40% - Accent3 5 2" xfId="3875"/>
    <cellStyle name="40% - Accent3 5 3" xfId="5270"/>
    <cellStyle name="40% - Accent3 5 4" xfId="6192"/>
    <cellStyle name="40% - Accent3 6" xfId="236"/>
    <cellStyle name="40% - Accent3 7" xfId="237"/>
    <cellStyle name="40% - Accent3 8" xfId="238"/>
    <cellStyle name="40% - Accent3 9" xfId="239"/>
    <cellStyle name="40% - Accent4 10" xfId="240"/>
    <cellStyle name="40% - Accent4 11" xfId="241"/>
    <cellStyle name="40% - Accent4 12" xfId="242"/>
    <cellStyle name="40% - Accent4 13" xfId="243"/>
    <cellStyle name="40% - Accent4 14" xfId="244"/>
    <cellStyle name="40% - Accent4 15" xfId="245"/>
    <cellStyle name="40% - Accent4 16" xfId="246"/>
    <cellStyle name="40% - Accent4 17" xfId="247"/>
    <cellStyle name="40% - Accent4 18" xfId="248"/>
    <cellStyle name="40% - Accent4 19" xfId="249"/>
    <cellStyle name="40% - Accent4 2" xfId="250"/>
    <cellStyle name="40% - Accent4 2 2" xfId="251"/>
    <cellStyle name="40% - Accent4 2 3" xfId="3876"/>
    <cellStyle name="40% - Accent4 2 4" xfId="6191"/>
    <cellStyle name="40% - Accent4 20" xfId="252"/>
    <cellStyle name="40% - Accent4 21" xfId="253"/>
    <cellStyle name="40% - Accent4 22" xfId="254"/>
    <cellStyle name="40% - Accent4 23" xfId="13483"/>
    <cellStyle name="40% - Accent4 3" xfId="255"/>
    <cellStyle name="40% - Accent4 3 2" xfId="3877"/>
    <cellStyle name="40% - Accent4 3 3" xfId="5275"/>
    <cellStyle name="40% - Accent4 3 4" xfId="6190"/>
    <cellStyle name="40% - Accent4 4" xfId="256"/>
    <cellStyle name="40% - Accent4 4 2" xfId="257"/>
    <cellStyle name="40% - Accent4 4 2 10" xfId="15916"/>
    <cellStyle name="40% - Accent4 4 2 10 2" xfId="22648"/>
    <cellStyle name="40% - Accent4 4 2 11" xfId="16147"/>
    <cellStyle name="40% - Accent4 4 2 2" xfId="3662"/>
    <cellStyle name="40% - Accent4 4 2 2 2" xfId="6766"/>
    <cellStyle name="40% - Accent4 4 2 2 2 2" xfId="9906"/>
    <cellStyle name="40% - Accent4 4 2 2 2 2 2" xfId="17778"/>
    <cellStyle name="40% - Accent4 4 2 2 2 3" xfId="17013"/>
    <cellStyle name="40% - Accent4 4 2 2 3" xfId="9905"/>
    <cellStyle name="40% - Accent4 4 2 2 3 2" xfId="17777"/>
    <cellStyle name="40% - Accent4 4 2 2 4" xfId="14644"/>
    <cellStyle name="40% - Accent4 4 2 2 4 2" xfId="21625"/>
    <cellStyle name="40% - Accent4 4 2 2 5" xfId="16314"/>
    <cellStyle name="40% - Accent4 4 2 3" xfId="5904"/>
    <cellStyle name="40% - Accent4 4 2 3 2" xfId="7132"/>
    <cellStyle name="40% - Accent4 4 2 3 2 2" xfId="9908"/>
    <cellStyle name="40% - Accent4 4 2 3 2 2 2" xfId="17780"/>
    <cellStyle name="40% - Accent4 4 2 3 2 3" xfId="17379"/>
    <cellStyle name="40% - Accent4 4 2 3 3" xfId="9907"/>
    <cellStyle name="40% - Accent4 4 2 3 3 2" xfId="17779"/>
    <cellStyle name="40% - Accent4 4 2 3 4" xfId="15193"/>
    <cellStyle name="40% - Accent4 4 2 3 4 2" xfId="21992"/>
    <cellStyle name="40% - Accent4 4 2 3 5" xfId="16583"/>
    <cellStyle name="40% - Accent4 4 2 4" xfId="6148"/>
    <cellStyle name="40% - Accent4 4 2 4 2" xfId="9909"/>
    <cellStyle name="40% - Accent4 4 2 4 2 2" xfId="17781"/>
    <cellStyle name="40% - Accent4 4 2 4 3" xfId="16784"/>
    <cellStyle name="40% - Accent4 4 2 5" xfId="9904"/>
    <cellStyle name="40% - Accent4 4 2 5 2" xfId="17776"/>
    <cellStyle name="40% - Accent4 4 2 6" xfId="13484"/>
    <cellStyle name="40% - Accent4 4 2 6 2" xfId="21342"/>
    <cellStyle name="40% - Accent4 4 2 7" xfId="14414"/>
    <cellStyle name="40% - Accent4 4 2 7 2" xfId="21471"/>
    <cellStyle name="40% - Accent4 4 2 8" xfId="15498"/>
    <cellStyle name="40% - Accent4 4 2 8 2" xfId="22253"/>
    <cellStyle name="40% - Accent4 4 2 9" xfId="15698"/>
    <cellStyle name="40% - Accent4 4 2 9 2" xfId="22444"/>
    <cellStyle name="40% - Accent4 4 3" xfId="3878"/>
    <cellStyle name="40% - Accent4 4 4" xfId="5276"/>
    <cellStyle name="40% - Accent4 4 5" xfId="6189"/>
    <cellStyle name="40% - Accent4 5" xfId="258"/>
    <cellStyle name="40% - Accent4 5 2" xfId="3879"/>
    <cellStyle name="40% - Accent4 5 3" xfId="5274"/>
    <cellStyle name="40% - Accent4 5 4" xfId="6188"/>
    <cellStyle name="40% - Accent4 6" xfId="259"/>
    <cellStyle name="40% - Accent4 7" xfId="260"/>
    <cellStyle name="40% - Accent4 8" xfId="261"/>
    <cellStyle name="40% - Accent4 9" xfId="262"/>
    <cellStyle name="40% - Accent5 10" xfId="263"/>
    <cellStyle name="40% - Accent5 11" xfId="264"/>
    <cellStyle name="40% - Accent5 12" xfId="265"/>
    <cellStyle name="40% - Accent5 13" xfId="266"/>
    <cellStyle name="40% - Accent5 14" xfId="267"/>
    <cellStyle name="40% - Accent5 15" xfId="268"/>
    <cellStyle name="40% - Accent5 16" xfId="269"/>
    <cellStyle name="40% - Accent5 17" xfId="270"/>
    <cellStyle name="40% - Accent5 18" xfId="271"/>
    <cellStyle name="40% - Accent5 19" xfId="272"/>
    <cellStyle name="40% - Accent5 2" xfId="273"/>
    <cellStyle name="40% - Accent5 2 2" xfId="274"/>
    <cellStyle name="40% - Accent5 2 2 2" xfId="275"/>
    <cellStyle name="40% - Accent5 2 2 2 10" xfId="15914"/>
    <cellStyle name="40% - Accent5 2 2 2 10 2" xfId="22646"/>
    <cellStyle name="40% - Accent5 2 2 2 11" xfId="16145"/>
    <cellStyle name="40% - Accent5 2 2 2 2" xfId="3664"/>
    <cellStyle name="40% - Accent5 2 2 2 2 2" xfId="6768"/>
    <cellStyle name="40% - Accent5 2 2 2 2 2 2" xfId="9913"/>
    <cellStyle name="40% - Accent5 2 2 2 2 2 2 2" xfId="17785"/>
    <cellStyle name="40% - Accent5 2 2 2 2 2 3" xfId="17015"/>
    <cellStyle name="40% - Accent5 2 2 2 2 3" xfId="9912"/>
    <cellStyle name="40% - Accent5 2 2 2 2 3 2" xfId="17784"/>
    <cellStyle name="40% - Accent5 2 2 2 2 4" xfId="14646"/>
    <cellStyle name="40% - Accent5 2 2 2 2 4 2" xfId="21627"/>
    <cellStyle name="40% - Accent5 2 2 2 2 5" xfId="16315"/>
    <cellStyle name="40% - Accent5 2 2 2 3" xfId="5901"/>
    <cellStyle name="40% - Accent5 2 2 2 3 2" xfId="7129"/>
    <cellStyle name="40% - Accent5 2 2 2 3 2 2" xfId="9915"/>
    <cellStyle name="40% - Accent5 2 2 2 3 2 2 2" xfId="17787"/>
    <cellStyle name="40% - Accent5 2 2 2 3 2 3" xfId="17376"/>
    <cellStyle name="40% - Accent5 2 2 2 3 3" xfId="9914"/>
    <cellStyle name="40% - Accent5 2 2 2 3 3 2" xfId="17786"/>
    <cellStyle name="40% - Accent5 2 2 2 3 4" xfId="15190"/>
    <cellStyle name="40% - Accent5 2 2 2 3 4 2" xfId="21989"/>
    <cellStyle name="40% - Accent5 2 2 2 3 5" xfId="16580"/>
    <cellStyle name="40% - Accent5 2 2 2 4" xfId="6150"/>
    <cellStyle name="40% - Accent5 2 2 2 4 2" xfId="9916"/>
    <cellStyle name="40% - Accent5 2 2 2 4 2 2" xfId="17788"/>
    <cellStyle name="40% - Accent5 2 2 2 4 3" xfId="16786"/>
    <cellStyle name="40% - Accent5 2 2 2 5" xfId="9911"/>
    <cellStyle name="40% - Accent5 2 2 2 5 2" xfId="17783"/>
    <cellStyle name="40% - Accent5 2 2 2 6" xfId="13487"/>
    <cellStyle name="40% - Accent5 2 2 2 6 2" xfId="21344"/>
    <cellStyle name="40% - Accent5 2 2 2 7" xfId="14416"/>
    <cellStyle name="40% - Accent5 2 2 2 7 2" xfId="21473"/>
    <cellStyle name="40% - Accent5 2 2 2 8" xfId="15496"/>
    <cellStyle name="40% - Accent5 2 2 2 8 2" xfId="22251"/>
    <cellStyle name="40% - Accent5 2 2 2 9" xfId="15696"/>
    <cellStyle name="40% - Accent5 2 2 2 9 2" xfId="22442"/>
    <cellStyle name="40% - Accent5 2 2 3" xfId="3663"/>
    <cellStyle name="40% - Accent5 2 2 3 2" xfId="5815"/>
    <cellStyle name="40% - Accent5 2 2 3 2 2" xfId="7059"/>
    <cellStyle name="40% - Accent5 2 2 3 2 2 2" xfId="9919"/>
    <cellStyle name="40% - Accent5 2 2 3 2 2 2 2" xfId="17791"/>
    <cellStyle name="40% - Accent5 2 2 3 2 2 3" xfId="17306"/>
    <cellStyle name="40% - Accent5 2 2 3 2 3" xfId="9918"/>
    <cellStyle name="40% - Accent5 2 2 3 2 3 2" xfId="17790"/>
    <cellStyle name="40% - Accent5 2 2 3 2 4" xfId="15120"/>
    <cellStyle name="40% - Accent5 2 2 3 2 4 2" xfId="21919"/>
    <cellStyle name="40% - Accent5 2 2 3 2 5" xfId="16510"/>
    <cellStyle name="40% - Accent5 2 2 3 3" xfId="6767"/>
    <cellStyle name="40% - Accent5 2 2 3 3 2" xfId="9920"/>
    <cellStyle name="40% - Accent5 2 2 3 3 2 2" xfId="17792"/>
    <cellStyle name="40% - Accent5 2 2 3 3 3" xfId="17014"/>
    <cellStyle name="40% - Accent5 2 2 3 4" xfId="9917"/>
    <cellStyle name="40% - Accent5 2 2 3 4 2" xfId="17789"/>
    <cellStyle name="40% - Accent5 2 2 3 5" xfId="14645"/>
    <cellStyle name="40% - Accent5 2 2 3 5 2" xfId="21626"/>
    <cellStyle name="40% - Accent5 2 2 3 6" xfId="15492"/>
    <cellStyle name="40% - Accent5 2 2 3 6 2" xfId="22247"/>
    <cellStyle name="40% - Accent5 2 2 3 7" xfId="15692"/>
    <cellStyle name="40% - Accent5 2 2 3 7 2" xfId="22438"/>
    <cellStyle name="40% - Accent5 2 2 3 8" xfId="15906"/>
    <cellStyle name="40% - Accent5 2 2 3 8 2" xfId="22640"/>
    <cellStyle name="40% - Accent5 2 2 3 9" xfId="16141"/>
    <cellStyle name="40% - Accent5 2 2 4" xfId="5278"/>
    <cellStyle name="40% - Accent5 2 2 5" xfId="6149"/>
    <cellStyle name="40% - Accent5 2 2 5 2" xfId="9921"/>
    <cellStyle name="40% - Accent5 2 2 5 2 2" xfId="17793"/>
    <cellStyle name="40% - Accent5 2 2 5 3" xfId="14415"/>
    <cellStyle name="40% - Accent5 2 2 5 3 2" xfId="21472"/>
    <cellStyle name="40% - Accent5 2 2 5 4" xfId="16785"/>
    <cellStyle name="40% - Accent5 2 2 6" xfId="9910"/>
    <cellStyle name="40% - Accent5 2 2 6 2" xfId="17782"/>
    <cellStyle name="40% - Accent5 2 2 7" xfId="13486"/>
    <cellStyle name="40% - Accent5 2 2 7 2" xfId="21343"/>
    <cellStyle name="40% - Accent5 2 3" xfId="276"/>
    <cellStyle name="40% - Accent5 2 4" xfId="3880"/>
    <cellStyle name="40% - Accent5 2 5" xfId="6187"/>
    <cellStyle name="40% - Accent5 2_Sheet2" xfId="277"/>
    <cellStyle name="40% - Accent5 20" xfId="278"/>
    <cellStyle name="40% - Accent5 21" xfId="279"/>
    <cellStyle name="40% - Accent5 22" xfId="280"/>
    <cellStyle name="40% - Accent5 23" xfId="13485"/>
    <cellStyle name="40% - Accent5 24" xfId="14006"/>
    <cellStyle name="40% - Accent5 3" xfId="281"/>
    <cellStyle name="40% - Accent5 3 2" xfId="3881"/>
    <cellStyle name="40% - Accent5 3 3" xfId="5279"/>
    <cellStyle name="40% - Accent5 3 4" xfId="6186"/>
    <cellStyle name="40% - Accent5 4" xfId="282"/>
    <cellStyle name="40% - Accent5 4 2" xfId="283"/>
    <cellStyle name="40% - Accent5 4 2 10" xfId="15915"/>
    <cellStyle name="40% - Accent5 4 2 10 2" xfId="22647"/>
    <cellStyle name="40% - Accent5 4 2 11" xfId="16146"/>
    <cellStyle name="40% - Accent5 4 2 2" xfId="3665"/>
    <cellStyle name="40% - Accent5 4 2 2 2" xfId="6769"/>
    <cellStyle name="40% - Accent5 4 2 2 2 2" xfId="9924"/>
    <cellStyle name="40% - Accent5 4 2 2 2 2 2" xfId="17796"/>
    <cellStyle name="40% - Accent5 4 2 2 2 3" xfId="17016"/>
    <cellStyle name="40% - Accent5 4 2 2 3" xfId="9923"/>
    <cellStyle name="40% - Accent5 4 2 2 3 2" xfId="17795"/>
    <cellStyle name="40% - Accent5 4 2 2 4" xfId="14647"/>
    <cellStyle name="40% - Accent5 4 2 2 4 2" xfId="21628"/>
    <cellStyle name="40% - Accent5 4 2 2 5" xfId="16316"/>
    <cellStyle name="40% - Accent5 4 2 3" xfId="5902"/>
    <cellStyle name="40% - Accent5 4 2 3 2" xfId="7130"/>
    <cellStyle name="40% - Accent5 4 2 3 2 2" xfId="9926"/>
    <cellStyle name="40% - Accent5 4 2 3 2 2 2" xfId="17798"/>
    <cellStyle name="40% - Accent5 4 2 3 2 3" xfId="17377"/>
    <cellStyle name="40% - Accent5 4 2 3 3" xfId="9925"/>
    <cellStyle name="40% - Accent5 4 2 3 3 2" xfId="17797"/>
    <cellStyle name="40% - Accent5 4 2 3 4" xfId="15191"/>
    <cellStyle name="40% - Accent5 4 2 3 4 2" xfId="21990"/>
    <cellStyle name="40% - Accent5 4 2 3 5" xfId="16581"/>
    <cellStyle name="40% - Accent5 4 2 4" xfId="6151"/>
    <cellStyle name="40% - Accent5 4 2 4 2" xfId="9927"/>
    <cellStyle name="40% - Accent5 4 2 4 2 2" xfId="17799"/>
    <cellStyle name="40% - Accent5 4 2 4 3" xfId="16787"/>
    <cellStyle name="40% - Accent5 4 2 5" xfId="9922"/>
    <cellStyle name="40% - Accent5 4 2 5 2" xfId="17794"/>
    <cellStyle name="40% - Accent5 4 2 6" xfId="13488"/>
    <cellStyle name="40% - Accent5 4 2 6 2" xfId="21345"/>
    <cellStyle name="40% - Accent5 4 2 7" xfId="14417"/>
    <cellStyle name="40% - Accent5 4 2 7 2" xfId="21474"/>
    <cellStyle name="40% - Accent5 4 2 8" xfId="15497"/>
    <cellStyle name="40% - Accent5 4 2 8 2" xfId="22252"/>
    <cellStyle name="40% - Accent5 4 2 9" xfId="15697"/>
    <cellStyle name="40% - Accent5 4 2 9 2" xfId="22443"/>
    <cellStyle name="40% - Accent5 4 3" xfId="3882"/>
    <cellStyle name="40% - Accent5 4 4" xfId="5280"/>
    <cellStyle name="40% - Accent5 4 5" xfId="6185"/>
    <cellStyle name="40% - Accent5 5" xfId="284"/>
    <cellStyle name="40% - Accent5 5 2" xfId="3883"/>
    <cellStyle name="40% - Accent5 5 3" xfId="5277"/>
    <cellStyle name="40% - Accent5 5 4" xfId="6184"/>
    <cellStyle name="40% - Accent5 6" xfId="285"/>
    <cellStyle name="40% - Accent5 7" xfId="286"/>
    <cellStyle name="40% - Accent5 8" xfId="287"/>
    <cellStyle name="40% - Accent5 9" xfId="288"/>
    <cellStyle name="40% - Accent6 10" xfId="289"/>
    <cellStyle name="40% - Accent6 11" xfId="290"/>
    <cellStyle name="40% - Accent6 12" xfId="291"/>
    <cellStyle name="40% - Accent6 13" xfId="292"/>
    <cellStyle name="40% - Accent6 14" xfId="293"/>
    <cellStyle name="40% - Accent6 15" xfId="294"/>
    <cellStyle name="40% - Accent6 16" xfId="295"/>
    <cellStyle name="40% - Accent6 17" xfId="296"/>
    <cellStyle name="40% - Accent6 18" xfId="297"/>
    <cellStyle name="40% - Accent6 19" xfId="298"/>
    <cellStyle name="40% - Accent6 2" xfId="299"/>
    <cellStyle name="40% - Accent6 2 2" xfId="300"/>
    <cellStyle name="40% - Accent6 2 3" xfId="3884"/>
    <cellStyle name="40% - Accent6 2 4" xfId="6183"/>
    <cellStyle name="40% - Accent6 20" xfId="301"/>
    <cellStyle name="40% - Accent6 21" xfId="302"/>
    <cellStyle name="40% - Accent6 22" xfId="303"/>
    <cellStyle name="40% - Accent6 23" xfId="13489"/>
    <cellStyle name="40% - Accent6 3" xfId="304"/>
    <cellStyle name="40% - Accent6 3 2" xfId="3885"/>
    <cellStyle name="40% - Accent6 3 3" xfId="5282"/>
    <cellStyle name="40% - Accent6 3 4" xfId="6182"/>
    <cellStyle name="40% - Accent6 4" xfId="305"/>
    <cellStyle name="40% - Accent6 4 2" xfId="306"/>
    <cellStyle name="40% - Accent6 4 2 10" xfId="15920"/>
    <cellStyle name="40% - Accent6 4 2 10 2" xfId="22652"/>
    <cellStyle name="40% - Accent6 4 2 11" xfId="16150"/>
    <cellStyle name="40% - Accent6 4 2 2" xfId="3666"/>
    <cellStyle name="40% - Accent6 4 2 2 2" xfId="6770"/>
    <cellStyle name="40% - Accent6 4 2 2 2 2" xfId="9930"/>
    <cellStyle name="40% - Accent6 4 2 2 2 2 2" xfId="17802"/>
    <cellStyle name="40% - Accent6 4 2 2 2 3" xfId="17017"/>
    <cellStyle name="40% - Accent6 4 2 2 3" xfId="9929"/>
    <cellStyle name="40% - Accent6 4 2 2 3 2" xfId="17801"/>
    <cellStyle name="40% - Accent6 4 2 2 4" xfId="14648"/>
    <cellStyle name="40% - Accent6 4 2 2 4 2" xfId="21629"/>
    <cellStyle name="40% - Accent6 4 2 2 5" xfId="16317"/>
    <cellStyle name="40% - Accent6 4 2 3" xfId="5910"/>
    <cellStyle name="40% - Accent6 4 2 3 2" xfId="7137"/>
    <cellStyle name="40% - Accent6 4 2 3 2 2" xfId="9932"/>
    <cellStyle name="40% - Accent6 4 2 3 2 2 2" xfId="17804"/>
    <cellStyle name="40% - Accent6 4 2 3 2 3" xfId="17384"/>
    <cellStyle name="40% - Accent6 4 2 3 3" xfId="9931"/>
    <cellStyle name="40% - Accent6 4 2 3 3 2" xfId="17803"/>
    <cellStyle name="40% - Accent6 4 2 3 4" xfId="15198"/>
    <cellStyle name="40% - Accent6 4 2 3 4 2" xfId="21997"/>
    <cellStyle name="40% - Accent6 4 2 3 5" xfId="16588"/>
    <cellStyle name="40% - Accent6 4 2 4" xfId="6152"/>
    <cellStyle name="40% - Accent6 4 2 4 2" xfId="9933"/>
    <cellStyle name="40% - Accent6 4 2 4 2 2" xfId="17805"/>
    <cellStyle name="40% - Accent6 4 2 4 3" xfId="16788"/>
    <cellStyle name="40% - Accent6 4 2 5" xfId="9928"/>
    <cellStyle name="40% - Accent6 4 2 5 2" xfId="17800"/>
    <cellStyle name="40% - Accent6 4 2 6" xfId="13490"/>
    <cellStyle name="40% - Accent6 4 2 6 2" xfId="21346"/>
    <cellStyle name="40% - Accent6 4 2 7" xfId="14418"/>
    <cellStyle name="40% - Accent6 4 2 7 2" xfId="21475"/>
    <cellStyle name="40% - Accent6 4 2 8" xfId="15501"/>
    <cellStyle name="40% - Accent6 4 2 8 2" xfId="22256"/>
    <cellStyle name="40% - Accent6 4 2 9" xfId="15701"/>
    <cellStyle name="40% - Accent6 4 2 9 2" xfId="22447"/>
    <cellStyle name="40% - Accent6 4 3" xfId="3886"/>
    <cellStyle name="40% - Accent6 4 4" xfId="5283"/>
    <cellStyle name="40% - Accent6 4 5" xfId="6181"/>
    <cellStyle name="40% - Accent6 5" xfId="307"/>
    <cellStyle name="40% - Accent6 5 2" xfId="3887"/>
    <cellStyle name="40% - Accent6 5 3" xfId="5281"/>
    <cellStyle name="40% - Accent6 5 4" xfId="6180"/>
    <cellStyle name="40% - Accent6 6" xfId="308"/>
    <cellStyle name="40% - Accent6 7" xfId="309"/>
    <cellStyle name="40% - Accent6 8" xfId="310"/>
    <cellStyle name="40% - Accent6 9" xfId="311"/>
    <cellStyle name="60 % - Accent1" xfId="312"/>
    <cellStyle name="60 % - Accent2" xfId="313"/>
    <cellStyle name="60 % - Accent3" xfId="314"/>
    <cellStyle name="60 % - Accent4" xfId="315"/>
    <cellStyle name="60 % - Accent5" xfId="316"/>
    <cellStyle name="60 % - Accent6" xfId="317"/>
    <cellStyle name="60% - Accent1 10" xfId="318"/>
    <cellStyle name="60% - Accent1 11" xfId="319"/>
    <cellStyle name="60% - Accent1 12" xfId="320"/>
    <cellStyle name="60% - Accent1 13" xfId="321"/>
    <cellStyle name="60% - Accent1 14" xfId="322"/>
    <cellStyle name="60% - Accent1 15" xfId="323"/>
    <cellStyle name="60% - Accent1 16" xfId="324"/>
    <cellStyle name="60% - Accent1 17" xfId="325"/>
    <cellStyle name="60% - Accent1 18" xfId="326"/>
    <cellStyle name="60% - Accent1 19" xfId="327"/>
    <cellStyle name="60% - Accent1 2" xfId="328"/>
    <cellStyle name="60% - Accent1 2 2" xfId="329"/>
    <cellStyle name="60% - Accent1 2 3" xfId="3888"/>
    <cellStyle name="60% - Accent1 2 4" xfId="6179"/>
    <cellStyle name="60% - Accent1 20" xfId="330"/>
    <cellStyle name="60% - Accent1 21" xfId="331"/>
    <cellStyle name="60% - Accent1 22" xfId="332"/>
    <cellStyle name="60% - Accent1 23" xfId="13491"/>
    <cellStyle name="60% - Accent1 3" xfId="333"/>
    <cellStyle name="60% - Accent1 3 2" xfId="3889"/>
    <cellStyle name="60% - Accent1 3 3" xfId="5285"/>
    <cellStyle name="60% - Accent1 3 4" xfId="6178"/>
    <cellStyle name="60% - Accent1 4" xfId="334"/>
    <cellStyle name="60% - Accent1 4 2" xfId="335"/>
    <cellStyle name="60% - Accent1 4 3" xfId="3890"/>
    <cellStyle name="60% - Accent1 4 4" xfId="5284"/>
    <cellStyle name="60% - Accent1 4 5" xfId="6177"/>
    <cellStyle name="60% - Accent1 5" xfId="336"/>
    <cellStyle name="60% - Accent1 6" xfId="337"/>
    <cellStyle name="60% - Accent1 7" xfId="338"/>
    <cellStyle name="60% - Accent1 8" xfId="339"/>
    <cellStyle name="60% - Accent1 9" xfId="340"/>
    <cellStyle name="60% - Accent2 10" xfId="341"/>
    <cellStyle name="60% - Accent2 11" xfId="342"/>
    <cellStyle name="60% - Accent2 12" xfId="343"/>
    <cellStyle name="60% - Accent2 13" xfId="344"/>
    <cellStyle name="60% - Accent2 14" xfId="345"/>
    <cellStyle name="60% - Accent2 15" xfId="346"/>
    <cellStyle name="60% - Accent2 16" xfId="347"/>
    <cellStyle name="60% - Accent2 17" xfId="348"/>
    <cellStyle name="60% - Accent2 18" xfId="349"/>
    <cellStyle name="60% - Accent2 19" xfId="350"/>
    <cellStyle name="60% - Accent2 2" xfId="351"/>
    <cellStyle name="60% - Accent2 2 2" xfId="352"/>
    <cellStyle name="60% - Accent2 2 3" xfId="3891"/>
    <cellStyle name="60% - Accent2 2 4" xfId="6176"/>
    <cellStyle name="60% - Accent2 20" xfId="353"/>
    <cellStyle name="60% - Accent2 21" xfId="354"/>
    <cellStyle name="60% - Accent2 22" xfId="355"/>
    <cellStyle name="60% - Accent2 23" xfId="13492"/>
    <cellStyle name="60% - Accent2 3" xfId="356"/>
    <cellStyle name="60% - Accent2 3 2" xfId="3892"/>
    <cellStyle name="60% - Accent2 3 3" xfId="5287"/>
    <cellStyle name="60% - Accent2 3 4" xfId="6175"/>
    <cellStyle name="60% - Accent2 4" xfId="357"/>
    <cellStyle name="60% - Accent2 4 2" xfId="358"/>
    <cellStyle name="60% - Accent2 4 3" xfId="3893"/>
    <cellStyle name="60% - Accent2 4 4" xfId="5286"/>
    <cellStyle name="60% - Accent2 4 5" xfId="6174"/>
    <cellStyle name="60% - Accent2 5" xfId="359"/>
    <cellStyle name="60% - Accent2 6" xfId="360"/>
    <cellStyle name="60% - Accent2 7" xfId="361"/>
    <cellStyle name="60% - Accent2 8" xfId="362"/>
    <cellStyle name="60% - Accent2 9" xfId="363"/>
    <cellStyle name="60% - Accent3 10" xfId="364"/>
    <cellStyle name="60% - Accent3 11" xfId="365"/>
    <cellStyle name="60% - Accent3 12" xfId="366"/>
    <cellStyle name="60% - Accent3 13" xfId="367"/>
    <cellStyle name="60% - Accent3 14" xfId="368"/>
    <cellStyle name="60% - Accent3 15" xfId="369"/>
    <cellStyle name="60% - Accent3 16" xfId="370"/>
    <cellStyle name="60% - Accent3 17" xfId="371"/>
    <cellStyle name="60% - Accent3 18" xfId="372"/>
    <cellStyle name="60% - Accent3 19" xfId="373"/>
    <cellStyle name="60% - Accent3 2" xfId="374"/>
    <cellStyle name="60% - Accent3 2 2" xfId="375"/>
    <cellStyle name="60% - Accent3 2 3" xfId="3894"/>
    <cellStyle name="60% - Accent3 2 4" xfId="6173"/>
    <cellStyle name="60% - Accent3 20" xfId="376"/>
    <cellStyle name="60% - Accent3 21" xfId="377"/>
    <cellStyle name="60% - Accent3 22" xfId="378"/>
    <cellStyle name="60% - Accent3 23" xfId="13493"/>
    <cellStyle name="60% - Accent3 3" xfId="379"/>
    <cellStyle name="60% - Accent3 3 2" xfId="3895"/>
    <cellStyle name="60% - Accent3 3 3" xfId="5289"/>
    <cellStyle name="60% - Accent3 3 4" xfId="6172"/>
    <cellStyle name="60% - Accent3 4" xfId="380"/>
    <cellStyle name="60% - Accent3 4 2" xfId="381"/>
    <cellStyle name="60% - Accent3 4 3" xfId="3896"/>
    <cellStyle name="60% - Accent3 4 4" xfId="5288"/>
    <cellStyle name="60% - Accent3 4 5" xfId="6171"/>
    <cellStyle name="60% - Accent3 5" xfId="382"/>
    <cellStyle name="60% - Accent3 6" xfId="383"/>
    <cellStyle name="60% - Accent3 7" xfId="384"/>
    <cellStyle name="60% - Accent3 8" xfId="385"/>
    <cellStyle name="60% - Accent3 9" xfId="386"/>
    <cellStyle name="60% - Accent4 10" xfId="387"/>
    <cellStyle name="60% - Accent4 11" xfId="388"/>
    <cellStyle name="60% - Accent4 12" xfId="389"/>
    <cellStyle name="60% - Accent4 13" xfId="390"/>
    <cellStyle name="60% - Accent4 14" xfId="391"/>
    <cellStyle name="60% - Accent4 15" xfId="392"/>
    <cellStyle name="60% - Accent4 16" xfId="393"/>
    <cellStyle name="60% - Accent4 17" xfId="394"/>
    <cellStyle name="60% - Accent4 18" xfId="395"/>
    <cellStyle name="60% - Accent4 19" xfId="396"/>
    <cellStyle name="60% - Accent4 2" xfId="397"/>
    <cellStyle name="60% - Accent4 2 2" xfId="398"/>
    <cellStyle name="60% - Accent4 2 3" xfId="3897"/>
    <cellStyle name="60% - Accent4 2 4" xfId="6170"/>
    <cellStyle name="60% - Accent4 20" xfId="399"/>
    <cellStyle name="60% - Accent4 21" xfId="400"/>
    <cellStyle name="60% - Accent4 22" xfId="401"/>
    <cellStyle name="60% - Accent4 23" xfId="13494"/>
    <cellStyle name="60% - Accent4 3" xfId="402"/>
    <cellStyle name="60% - Accent4 3 2" xfId="3898"/>
    <cellStyle name="60% - Accent4 3 3" xfId="5291"/>
    <cellStyle name="60% - Accent4 3 4" xfId="6169"/>
    <cellStyle name="60% - Accent4 4" xfId="403"/>
    <cellStyle name="60% - Accent4 4 2" xfId="404"/>
    <cellStyle name="60% - Accent4 4 3" xfId="3899"/>
    <cellStyle name="60% - Accent4 4 4" xfId="5290"/>
    <cellStyle name="60% - Accent4 4 5" xfId="6168"/>
    <cellStyle name="60% - Accent4 5" xfId="405"/>
    <cellStyle name="60% - Accent4 6" xfId="406"/>
    <cellStyle name="60% - Accent4 7" xfId="407"/>
    <cellStyle name="60% - Accent4 8" xfId="408"/>
    <cellStyle name="60% - Accent4 9" xfId="409"/>
    <cellStyle name="60% - Accent5 10" xfId="410"/>
    <cellStyle name="60% - Accent5 11" xfId="411"/>
    <cellStyle name="60% - Accent5 12" xfId="412"/>
    <cellStyle name="60% - Accent5 13" xfId="413"/>
    <cellStyle name="60% - Accent5 14" xfId="414"/>
    <cellStyle name="60% - Accent5 15" xfId="415"/>
    <cellStyle name="60% - Accent5 16" xfId="416"/>
    <cellStyle name="60% - Accent5 17" xfId="417"/>
    <cellStyle name="60% - Accent5 18" xfId="418"/>
    <cellStyle name="60% - Accent5 19" xfId="419"/>
    <cellStyle name="60% - Accent5 2" xfId="420"/>
    <cellStyle name="60% - Accent5 2 2" xfId="421"/>
    <cellStyle name="60% - Accent5 2 3" xfId="3900"/>
    <cellStyle name="60% - Accent5 2 4" xfId="6167"/>
    <cellStyle name="60% - Accent5 20" xfId="422"/>
    <cellStyle name="60% - Accent5 21" xfId="423"/>
    <cellStyle name="60% - Accent5 22" xfId="424"/>
    <cellStyle name="60% - Accent5 23" xfId="13495"/>
    <cellStyle name="60% - Accent5 3" xfId="425"/>
    <cellStyle name="60% - Accent5 3 2" xfId="3901"/>
    <cellStyle name="60% - Accent5 3 3" xfId="5294"/>
    <cellStyle name="60% - Accent5 3 4" xfId="6166"/>
    <cellStyle name="60% - Accent5 4" xfId="426"/>
    <cellStyle name="60% - Accent5 4 2" xfId="427"/>
    <cellStyle name="60% - Accent5 4 3" xfId="3902"/>
    <cellStyle name="60% - Accent5 4 4" xfId="5293"/>
    <cellStyle name="60% - Accent5 4 5" xfId="6165"/>
    <cellStyle name="60% - Accent5 5" xfId="428"/>
    <cellStyle name="60% - Accent5 6" xfId="429"/>
    <cellStyle name="60% - Accent5 7" xfId="430"/>
    <cellStyle name="60% - Accent5 8" xfId="431"/>
    <cellStyle name="60% - Accent5 9" xfId="432"/>
    <cellStyle name="60% - Accent6 10" xfId="433"/>
    <cellStyle name="60% - Accent6 11" xfId="434"/>
    <cellStyle name="60% - Accent6 12" xfId="435"/>
    <cellStyle name="60% - Accent6 13" xfId="436"/>
    <cellStyle name="60% - Accent6 14" xfId="437"/>
    <cellStyle name="60% - Accent6 15" xfId="438"/>
    <cellStyle name="60% - Accent6 16" xfId="439"/>
    <cellStyle name="60% - Accent6 17" xfId="440"/>
    <cellStyle name="60% - Accent6 18" xfId="441"/>
    <cellStyle name="60% - Accent6 19" xfId="442"/>
    <cellStyle name="60% - Accent6 2" xfId="443"/>
    <cellStyle name="60% - Accent6 2 2" xfId="444"/>
    <cellStyle name="60% - Accent6 2 3" xfId="3903"/>
    <cellStyle name="60% - Accent6 2 4" xfId="6164"/>
    <cellStyle name="60% - Accent6 20" xfId="445"/>
    <cellStyle name="60% - Accent6 21" xfId="446"/>
    <cellStyle name="60% - Accent6 22" xfId="447"/>
    <cellStyle name="60% - Accent6 23" xfId="13496"/>
    <cellStyle name="60% - Accent6 3" xfId="448"/>
    <cellStyle name="60% - Accent6 3 2" xfId="3904"/>
    <cellStyle name="60% - Accent6 3 3" xfId="5296"/>
    <cellStyle name="60% - Accent6 3 4" xfId="6163"/>
    <cellStyle name="60% - Accent6 4" xfId="449"/>
    <cellStyle name="60% - Accent6 4 2" xfId="450"/>
    <cellStyle name="60% - Accent6 4 3" xfId="3905"/>
    <cellStyle name="60% - Accent6 4 4" xfId="5295"/>
    <cellStyle name="60% - Accent6 4 5" xfId="6162"/>
    <cellStyle name="60% - Accent6 5" xfId="451"/>
    <cellStyle name="60% - Accent6 6" xfId="452"/>
    <cellStyle name="60% - Accent6 7" xfId="453"/>
    <cellStyle name="60% - Accent6 8" xfId="454"/>
    <cellStyle name="60% - Accent6 9" xfId="455"/>
    <cellStyle name="Accent1 - 20%" xfId="456"/>
    <cellStyle name="Accent1 - 40%" xfId="457"/>
    <cellStyle name="Accent1 - 60%" xfId="458"/>
    <cellStyle name="Accent1 10" xfId="459"/>
    <cellStyle name="Accent1 100" xfId="460"/>
    <cellStyle name="Accent1 101" xfId="461"/>
    <cellStyle name="Accent1 102" xfId="462"/>
    <cellStyle name="Accent1 103" xfId="463"/>
    <cellStyle name="Accent1 104" xfId="464"/>
    <cellStyle name="Accent1 105" xfId="465"/>
    <cellStyle name="Accent1 106" xfId="466"/>
    <cellStyle name="Accent1 107" xfId="467"/>
    <cellStyle name="Accent1 108" xfId="468"/>
    <cellStyle name="Accent1 109" xfId="469"/>
    <cellStyle name="Accent1 11" xfId="470"/>
    <cellStyle name="Accent1 110" xfId="471"/>
    <cellStyle name="Accent1 111" xfId="472"/>
    <cellStyle name="Accent1 112" xfId="473"/>
    <cellStyle name="Accent1 113" xfId="474"/>
    <cellStyle name="Accent1 114" xfId="475"/>
    <cellStyle name="Accent1 115" xfId="476"/>
    <cellStyle name="Accent1 116" xfId="477"/>
    <cellStyle name="Accent1 117" xfId="478"/>
    <cellStyle name="Accent1 118" xfId="479"/>
    <cellStyle name="Accent1 119" xfId="480"/>
    <cellStyle name="Accent1 12" xfId="481"/>
    <cellStyle name="Accent1 120" xfId="482"/>
    <cellStyle name="Accent1 121" xfId="483"/>
    <cellStyle name="Accent1 122" xfId="484"/>
    <cellStyle name="Accent1 123" xfId="485"/>
    <cellStyle name="Accent1 124" xfId="486"/>
    <cellStyle name="Accent1 125" xfId="487"/>
    <cellStyle name="Accent1 126" xfId="488"/>
    <cellStyle name="Accent1 127" xfId="489"/>
    <cellStyle name="Accent1 128" xfId="490"/>
    <cellStyle name="Accent1 129" xfId="491"/>
    <cellStyle name="Accent1 13" xfId="492"/>
    <cellStyle name="Accent1 130" xfId="493"/>
    <cellStyle name="Accent1 131" xfId="494"/>
    <cellStyle name="Accent1 132" xfId="495"/>
    <cellStyle name="Accent1 133" xfId="496"/>
    <cellStyle name="Accent1 134" xfId="497"/>
    <cellStyle name="Accent1 135" xfId="498"/>
    <cellStyle name="Accent1 136" xfId="499"/>
    <cellStyle name="Accent1 137" xfId="500"/>
    <cellStyle name="Accent1 138" xfId="501"/>
    <cellStyle name="Accent1 139" xfId="502"/>
    <cellStyle name="Accent1 14" xfId="503"/>
    <cellStyle name="Accent1 140" xfId="504"/>
    <cellStyle name="Accent1 141" xfId="505"/>
    <cellStyle name="Accent1 142" xfId="506"/>
    <cellStyle name="Accent1 143" xfId="507"/>
    <cellStyle name="Accent1 144" xfId="508"/>
    <cellStyle name="Accent1 145" xfId="509"/>
    <cellStyle name="Accent1 146" xfId="510"/>
    <cellStyle name="Accent1 147" xfId="511"/>
    <cellStyle name="Accent1 148" xfId="512"/>
    <cellStyle name="Accent1 149" xfId="513"/>
    <cellStyle name="Accent1 15" xfId="514"/>
    <cellStyle name="Accent1 150" xfId="515"/>
    <cellStyle name="Accent1 151" xfId="516"/>
    <cellStyle name="Accent1 152" xfId="517"/>
    <cellStyle name="Accent1 153" xfId="518"/>
    <cellStyle name="Accent1 154" xfId="519"/>
    <cellStyle name="Accent1 155" xfId="520"/>
    <cellStyle name="Accent1 156" xfId="521"/>
    <cellStyle name="Accent1 157" xfId="522"/>
    <cellStyle name="Accent1 158" xfId="523"/>
    <cellStyle name="Accent1 159" xfId="524"/>
    <cellStyle name="Accent1 16" xfId="525"/>
    <cellStyle name="Accent1 160" xfId="526"/>
    <cellStyle name="Accent1 161" xfId="527"/>
    <cellStyle name="Accent1 162" xfId="528"/>
    <cellStyle name="Accent1 163" xfId="529"/>
    <cellStyle name="Accent1 164" xfId="530"/>
    <cellStyle name="Accent1 165" xfId="531"/>
    <cellStyle name="Accent1 166" xfId="532"/>
    <cellStyle name="Accent1 167" xfId="533"/>
    <cellStyle name="Accent1 168" xfId="534"/>
    <cellStyle name="Accent1 169" xfId="535"/>
    <cellStyle name="Accent1 17" xfId="536"/>
    <cellStyle name="Accent1 170" xfId="537"/>
    <cellStyle name="Accent1 171" xfId="538"/>
    <cellStyle name="Accent1 172" xfId="539"/>
    <cellStyle name="Accent1 173" xfId="540"/>
    <cellStyle name="Accent1 174" xfId="541"/>
    <cellStyle name="Accent1 175" xfId="542"/>
    <cellStyle name="Accent1 176" xfId="543"/>
    <cellStyle name="Accent1 177" xfId="544"/>
    <cellStyle name="Accent1 178" xfId="545"/>
    <cellStyle name="Accent1 179" xfId="546"/>
    <cellStyle name="Accent1 18" xfId="547"/>
    <cellStyle name="Accent1 180" xfId="548"/>
    <cellStyle name="Accent1 181" xfId="549"/>
    <cellStyle name="Accent1 182" xfId="550"/>
    <cellStyle name="Accent1 183" xfId="551"/>
    <cellStyle name="Accent1 184" xfId="552"/>
    <cellStyle name="Accent1 185" xfId="553"/>
    <cellStyle name="Accent1 186" xfId="554"/>
    <cellStyle name="Accent1 187" xfId="555"/>
    <cellStyle name="Accent1 188" xfId="556"/>
    <cellStyle name="Accent1 189" xfId="557"/>
    <cellStyle name="Accent1 19" xfId="558"/>
    <cellStyle name="Accent1 190" xfId="559"/>
    <cellStyle name="Accent1 191" xfId="560"/>
    <cellStyle name="Accent1 192" xfId="561"/>
    <cellStyle name="Accent1 193" xfId="562"/>
    <cellStyle name="Accent1 194" xfId="563"/>
    <cellStyle name="Accent1 195" xfId="564"/>
    <cellStyle name="Accent1 196" xfId="565"/>
    <cellStyle name="Accent1 197" xfId="566"/>
    <cellStyle name="Accent1 198" xfId="567"/>
    <cellStyle name="Accent1 199" xfId="568"/>
    <cellStyle name="Accent1 2" xfId="569"/>
    <cellStyle name="Accent1 2 2" xfId="570"/>
    <cellStyle name="Accent1 2 3" xfId="3906"/>
    <cellStyle name="Accent1 2 4" xfId="6161"/>
    <cellStyle name="Accent1 20" xfId="571"/>
    <cellStyle name="Accent1 200" xfId="572"/>
    <cellStyle name="Accent1 201" xfId="573"/>
    <cellStyle name="Accent1 202" xfId="574"/>
    <cellStyle name="Accent1 203" xfId="575"/>
    <cellStyle name="Accent1 204" xfId="576"/>
    <cellStyle name="Accent1 205" xfId="577"/>
    <cellStyle name="Accent1 206" xfId="578"/>
    <cellStyle name="Accent1 207" xfId="579"/>
    <cellStyle name="Accent1 208" xfId="580"/>
    <cellStyle name="Accent1 209" xfId="581"/>
    <cellStyle name="Accent1 21" xfId="582"/>
    <cellStyle name="Accent1 210" xfId="583"/>
    <cellStyle name="Accent1 211" xfId="584"/>
    <cellStyle name="Accent1 212" xfId="585"/>
    <cellStyle name="Accent1 213" xfId="586"/>
    <cellStyle name="Accent1 214" xfId="587"/>
    <cellStyle name="Accent1 215" xfId="588"/>
    <cellStyle name="Accent1 216" xfId="589"/>
    <cellStyle name="Accent1 217" xfId="590"/>
    <cellStyle name="Accent1 218" xfId="591"/>
    <cellStyle name="Accent1 219" xfId="592"/>
    <cellStyle name="Accent1 22" xfId="593"/>
    <cellStyle name="Accent1 220" xfId="594"/>
    <cellStyle name="Accent1 221" xfId="595"/>
    <cellStyle name="Accent1 222" xfId="596"/>
    <cellStyle name="Accent1 223" xfId="597"/>
    <cellStyle name="Accent1 224" xfId="598"/>
    <cellStyle name="Accent1 225" xfId="599"/>
    <cellStyle name="Accent1 226" xfId="600"/>
    <cellStyle name="Accent1 227" xfId="601"/>
    <cellStyle name="Accent1 228" xfId="602"/>
    <cellStyle name="Accent1 229" xfId="603"/>
    <cellStyle name="Accent1 23" xfId="604"/>
    <cellStyle name="Accent1 230" xfId="605"/>
    <cellStyle name="Accent1 231" xfId="606"/>
    <cellStyle name="Accent1 232" xfId="607"/>
    <cellStyle name="Accent1 233" xfId="608"/>
    <cellStyle name="Accent1 234" xfId="609"/>
    <cellStyle name="Accent1 235" xfId="610"/>
    <cellStyle name="Accent1 236" xfId="611"/>
    <cellStyle name="Accent1 237" xfId="612"/>
    <cellStyle name="Accent1 238" xfId="613"/>
    <cellStyle name="Accent1 239" xfId="614"/>
    <cellStyle name="Accent1 24" xfId="615"/>
    <cellStyle name="Accent1 240" xfId="616"/>
    <cellStyle name="Accent1 241" xfId="3907"/>
    <cellStyle name="Accent1 242" xfId="14007"/>
    <cellStyle name="Accent1 25" xfId="617"/>
    <cellStyle name="Accent1 26" xfId="618"/>
    <cellStyle name="Accent1 27" xfId="619"/>
    <cellStyle name="Accent1 28" xfId="620"/>
    <cellStyle name="Accent1 29" xfId="621"/>
    <cellStyle name="Accent1 3" xfId="622"/>
    <cellStyle name="Accent1 3 2" xfId="3908"/>
    <cellStyle name="Accent1 3 3" xfId="5298"/>
    <cellStyle name="Accent1 3 4" xfId="6160"/>
    <cellStyle name="Accent1 30" xfId="623"/>
    <cellStyle name="Accent1 31" xfId="624"/>
    <cellStyle name="Accent1 32" xfId="625"/>
    <cellStyle name="Accent1 33" xfId="626"/>
    <cellStyle name="Accent1 34" xfId="627"/>
    <cellStyle name="Accent1 35" xfId="628"/>
    <cellStyle name="Accent1 36" xfId="629"/>
    <cellStyle name="Accent1 37" xfId="630"/>
    <cellStyle name="Accent1 38" xfId="631"/>
    <cellStyle name="Accent1 39" xfId="632"/>
    <cellStyle name="Accent1 4" xfId="633"/>
    <cellStyle name="Accent1 4 2" xfId="3909"/>
    <cellStyle name="Accent1 4 3" xfId="5297"/>
    <cellStyle name="Accent1 4 4" xfId="6159"/>
    <cellStyle name="Accent1 40" xfId="634"/>
    <cellStyle name="Accent1 41" xfId="635"/>
    <cellStyle name="Accent1 42" xfId="636"/>
    <cellStyle name="Accent1 43" xfId="637"/>
    <cellStyle name="Accent1 44" xfId="638"/>
    <cellStyle name="Accent1 45" xfId="639"/>
    <cellStyle name="Accent1 46" xfId="640"/>
    <cellStyle name="Accent1 47" xfId="641"/>
    <cellStyle name="Accent1 48" xfId="642"/>
    <cellStyle name="Accent1 49" xfId="643"/>
    <cellStyle name="Accent1 5" xfId="644"/>
    <cellStyle name="Accent1 50" xfId="645"/>
    <cellStyle name="Accent1 51" xfId="646"/>
    <cellStyle name="Accent1 52" xfId="647"/>
    <cellStyle name="Accent1 53" xfId="648"/>
    <cellStyle name="Accent1 54" xfId="649"/>
    <cellStyle name="Accent1 55" xfId="650"/>
    <cellStyle name="Accent1 56" xfId="651"/>
    <cellStyle name="Accent1 57" xfId="652"/>
    <cellStyle name="Accent1 58" xfId="653"/>
    <cellStyle name="Accent1 59" xfId="654"/>
    <cellStyle name="Accent1 6" xfId="655"/>
    <cellStyle name="Accent1 60" xfId="656"/>
    <cellStyle name="Accent1 61" xfId="657"/>
    <cellStyle name="Accent1 62" xfId="658"/>
    <cellStyle name="Accent1 63" xfId="659"/>
    <cellStyle name="Accent1 64" xfId="660"/>
    <cellStyle name="Accent1 65" xfId="661"/>
    <cellStyle name="Accent1 66" xfId="662"/>
    <cellStyle name="Accent1 67" xfId="663"/>
    <cellStyle name="Accent1 68" xfId="664"/>
    <cellStyle name="Accent1 69" xfId="665"/>
    <cellStyle name="Accent1 7" xfId="666"/>
    <cellStyle name="Accent1 70" xfId="667"/>
    <cellStyle name="Accent1 71" xfId="668"/>
    <cellStyle name="Accent1 72" xfId="669"/>
    <cellStyle name="Accent1 73" xfId="670"/>
    <cellStyle name="Accent1 74" xfId="671"/>
    <cellStyle name="Accent1 75" xfId="672"/>
    <cellStyle name="Accent1 76" xfId="673"/>
    <cellStyle name="Accent1 77" xfId="674"/>
    <cellStyle name="Accent1 78" xfId="675"/>
    <cellStyle name="Accent1 79" xfId="676"/>
    <cellStyle name="Accent1 8" xfId="677"/>
    <cellStyle name="Accent1 80" xfId="678"/>
    <cellStyle name="Accent1 81" xfId="679"/>
    <cellStyle name="Accent1 82" xfId="680"/>
    <cellStyle name="Accent1 83" xfId="681"/>
    <cellStyle name="Accent1 84" xfId="682"/>
    <cellStyle name="Accent1 85" xfId="683"/>
    <cellStyle name="Accent1 86" xfId="684"/>
    <cellStyle name="Accent1 87" xfId="685"/>
    <cellStyle name="Accent1 88" xfId="686"/>
    <cellStyle name="Accent1 89" xfId="687"/>
    <cellStyle name="Accent1 9" xfId="688"/>
    <cellStyle name="Accent1 90" xfId="689"/>
    <cellStyle name="Accent1 91" xfId="690"/>
    <cellStyle name="Accent1 92" xfId="691"/>
    <cellStyle name="Accent1 93" xfId="692"/>
    <cellStyle name="Accent1 94" xfId="693"/>
    <cellStyle name="Accent1 95" xfId="694"/>
    <cellStyle name="Accent1 96" xfId="695"/>
    <cellStyle name="Accent1 97" xfId="696"/>
    <cellStyle name="Accent1 98" xfId="697"/>
    <cellStyle name="Accent1 99" xfId="698"/>
    <cellStyle name="Accent2 - 20%" xfId="699"/>
    <cellStyle name="Accent2 - 40%" xfId="700"/>
    <cellStyle name="Accent2 - 60%" xfId="701"/>
    <cellStyle name="Accent2 10" xfId="702"/>
    <cellStyle name="Accent2 100" xfId="703"/>
    <cellStyle name="Accent2 101" xfId="704"/>
    <cellStyle name="Accent2 102" xfId="705"/>
    <cellStyle name="Accent2 103" xfId="706"/>
    <cellStyle name="Accent2 104" xfId="707"/>
    <cellStyle name="Accent2 105" xfId="708"/>
    <cellStyle name="Accent2 106" xfId="709"/>
    <cellStyle name="Accent2 107" xfId="710"/>
    <cellStyle name="Accent2 108" xfId="711"/>
    <cellStyle name="Accent2 109" xfId="712"/>
    <cellStyle name="Accent2 11" xfId="713"/>
    <cellStyle name="Accent2 110" xfId="714"/>
    <cellStyle name="Accent2 111" xfId="715"/>
    <cellStyle name="Accent2 112" xfId="716"/>
    <cellStyle name="Accent2 113" xfId="717"/>
    <cellStyle name="Accent2 114" xfId="718"/>
    <cellStyle name="Accent2 115" xfId="719"/>
    <cellStyle name="Accent2 116" xfId="720"/>
    <cellStyle name="Accent2 117" xfId="721"/>
    <cellStyle name="Accent2 118" xfId="722"/>
    <cellStyle name="Accent2 119" xfId="723"/>
    <cellStyle name="Accent2 12" xfId="724"/>
    <cellStyle name="Accent2 120" xfId="725"/>
    <cellStyle name="Accent2 121" xfId="726"/>
    <cellStyle name="Accent2 122" xfId="727"/>
    <cellStyle name="Accent2 123" xfId="728"/>
    <cellStyle name="Accent2 124" xfId="729"/>
    <cellStyle name="Accent2 125" xfId="730"/>
    <cellStyle name="Accent2 126" xfId="731"/>
    <cellStyle name="Accent2 127" xfId="732"/>
    <cellStyle name="Accent2 128" xfId="733"/>
    <cellStyle name="Accent2 129" xfId="734"/>
    <cellStyle name="Accent2 13" xfId="735"/>
    <cellStyle name="Accent2 130" xfId="736"/>
    <cellStyle name="Accent2 131" xfId="737"/>
    <cellStyle name="Accent2 132" xfId="738"/>
    <cellStyle name="Accent2 133" xfId="739"/>
    <cellStyle name="Accent2 134" xfId="740"/>
    <cellStyle name="Accent2 135" xfId="741"/>
    <cellStyle name="Accent2 136" xfId="742"/>
    <cellStyle name="Accent2 137" xfId="743"/>
    <cellStyle name="Accent2 138" xfId="744"/>
    <cellStyle name="Accent2 139" xfId="745"/>
    <cellStyle name="Accent2 14" xfId="746"/>
    <cellStyle name="Accent2 140" xfId="747"/>
    <cellStyle name="Accent2 141" xfId="748"/>
    <cellStyle name="Accent2 142" xfId="749"/>
    <cellStyle name="Accent2 143" xfId="750"/>
    <cellStyle name="Accent2 144" xfId="751"/>
    <cellStyle name="Accent2 145" xfId="752"/>
    <cellStyle name="Accent2 146" xfId="753"/>
    <cellStyle name="Accent2 147" xfId="754"/>
    <cellStyle name="Accent2 148" xfId="755"/>
    <cellStyle name="Accent2 149" xfId="756"/>
    <cellStyle name="Accent2 15" xfId="757"/>
    <cellStyle name="Accent2 150" xfId="758"/>
    <cellStyle name="Accent2 151" xfId="759"/>
    <cellStyle name="Accent2 152" xfId="760"/>
    <cellStyle name="Accent2 153" xfId="761"/>
    <cellStyle name="Accent2 154" xfId="762"/>
    <cellStyle name="Accent2 155" xfId="763"/>
    <cellStyle name="Accent2 156" xfId="764"/>
    <cellStyle name="Accent2 157" xfId="765"/>
    <cellStyle name="Accent2 158" xfId="766"/>
    <cellStyle name="Accent2 159" xfId="767"/>
    <cellStyle name="Accent2 16" xfId="768"/>
    <cellStyle name="Accent2 160" xfId="769"/>
    <cellStyle name="Accent2 161" xfId="770"/>
    <cellStyle name="Accent2 162" xfId="771"/>
    <cellStyle name="Accent2 163" xfId="772"/>
    <cellStyle name="Accent2 164" xfId="773"/>
    <cellStyle name="Accent2 165" xfId="774"/>
    <cellStyle name="Accent2 166" xfId="775"/>
    <cellStyle name="Accent2 167" xfId="776"/>
    <cellStyle name="Accent2 168" xfId="777"/>
    <cellStyle name="Accent2 169" xfId="778"/>
    <cellStyle name="Accent2 17" xfId="779"/>
    <cellStyle name="Accent2 170" xfId="780"/>
    <cellStyle name="Accent2 171" xfId="781"/>
    <cellStyle name="Accent2 172" xfId="782"/>
    <cellStyle name="Accent2 173" xfId="783"/>
    <cellStyle name="Accent2 174" xfId="784"/>
    <cellStyle name="Accent2 175" xfId="785"/>
    <cellStyle name="Accent2 176" xfId="786"/>
    <cellStyle name="Accent2 177" xfId="787"/>
    <cellStyle name="Accent2 178" xfId="788"/>
    <cellStyle name="Accent2 179" xfId="789"/>
    <cellStyle name="Accent2 18" xfId="790"/>
    <cellStyle name="Accent2 180" xfId="791"/>
    <cellStyle name="Accent2 181" xfId="792"/>
    <cellStyle name="Accent2 182" xfId="793"/>
    <cellStyle name="Accent2 183" xfId="794"/>
    <cellStyle name="Accent2 184" xfId="795"/>
    <cellStyle name="Accent2 185" xfId="796"/>
    <cellStyle name="Accent2 186" xfId="797"/>
    <cellStyle name="Accent2 187" xfId="798"/>
    <cellStyle name="Accent2 188" xfId="799"/>
    <cellStyle name="Accent2 189" xfId="800"/>
    <cellStyle name="Accent2 19" xfId="801"/>
    <cellStyle name="Accent2 190" xfId="802"/>
    <cellStyle name="Accent2 191" xfId="803"/>
    <cellStyle name="Accent2 192" xfId="804"/>
    <cellStyle name="Accent2 193" xfId="805"/>
    <cellStyle name="Accent2 194" xfId="806"/>
    <cellStyle name="Accent2 195" xfId="807"/>
    <cellStyle name="Accent2 196" xfId="808"/>
    <cellStyle name="Accent2 197" xfId="809"/>
    <cellStyle name="Accent2 198" xfId="810"/>
    <cellStyle name="Accent2 199" xfId="811"/>
    <cellStyle name="Accent2 2" xfId="812"/>
    <cellStyle name="Accent2 2 2" xfId="813"/>
    <cellStyle name="Accent2 2 3" xfId="3910"/>
    <cellStyle name="Accent2 2 4" xfId="6158"/>
    <cellStyle name="Accent2 20" xfId="814"/>
    <cellStyle name="Accent2 200" xfId="815"/>
    <cellStyle name="Accent2 201" xfId="816"/>
    <cellStyle name="Accent2 202" xfId="817"/>
    <cellStyle name="Accent2 203" xfId="818"/>
    <cellStyle name="Accent2 204" xfId="819"/>
    <cellStyle name="Accent2 205" xfId="820"/>
    <cellStyle name="Accent2 206" xfId="821"/>
    <cellStyle name="Accent2 207" xfId="822"/>
    <cellStyle name="Accent2 208" xfId="823"/>
    <cellStyle name="Accent2 209" xfId="824"/>
    <cellStyle name="Accent2 21" xfId="825"/>
    <cellStyle name="Accent2 210" xfId="826"/>
    <cellStyle name="Accent2 211" xfId="827"/>
    <cellStyle name="Accent2 212" xfId="828"/>
    <cellStyle name="Accent2 213" xfId="829"/>
    <cellStyle name="Accent2 214" xfId="830"/>
    <cellStyle name="Accent2 215" xfId="831"/>
    <cellStyle name="Accent2 216" xfId="832"/>
    <cellStyle name="Accent2 217" xfId="833"/>
    <cellStyle name="Accent2 218" xfId="834"/>
    <cellStyle name="Accent2 219" xfId="835"/>
    <cellStyle name="Accent2 22" xfId="836"/>
    <cellStyle name="Accent2 220" xfId="837"/>
    <cellStyle name="Accent2 221" xfId="838"/>
    <cellStyle name="Accent2 222" xfId="839"/>
    <cellStyle name="Accent2 223" xfId="840"/>
    <cellStyle name="Accent2 224" xfId="841"/>
    <cellStyle name="Accent2 225" xfId="842"/>
    <cellStyle name="Accent2 226" xfId="843"/>
    <cellStyle name="Accent2 227" xfId="844"/>
    <cellStyle name="Accent2 228" xfId="845"/>
    <cellStyle name="Accent2 229" xfId="846"/>
    <cellStyle name="Accent2 23" xfId="847"/>
    <cellStyle name="Accent2 230" xfId="848"/>
    <cellStyle name="Accent2 231" xfId="849"/>
    <cellStyle name="Accent2 232" xfId="850"/>
    <cellStyle name="Accent2 233" xfId="851"/>
    <cellStyle name="Accent2 234" xfId="852"/>
    <cellStyle name="Accent2 235" xfId="853"/>
    <cellStyle name="Accent2 236" xfId="854"/>
    <cellStyle name="Accent2 237" xfId="855"/>
    <cellStyle name="Accent2 238" xfId="856"/>
    <cellStyle name="Accent2 239" xfId="857"/>
    <cellStyle name="Accent2 24" xfId="858"/>
    <cellStyle name="Accent2 240" xfId="859"/>
    <cellStyle name="Accent2 241" xfId="3911"/>
    <cellStyle name="Accent2 242" xfId="14008"/>
    <cellStyle name="Accent2 25" xfId="860"/>
    <cellStyle name="Accent2 26" xfId="861"/>
    <cellStyle name="Accent2 27" xfId="862"/>
    <cellStyle name="Accent2 28" xfId="863"/>
    <cellStyle name="Accent2 29" xfId="864"/>
    <cellStyle name="Accent2 3" xfId="865"/>
    <cellStyle name="Accent2 3 2" xfId="3912"/>
    <cellStyle name="Accent2 3 3" xfId="5359"/>
    <cellStyle name="Accent2 3 4" xfId="6157"/>
    <cellStyle name="Accent2 30" xfId="866"/>
    <cellStyle name="Accent2 31" xfId="867"/>
    <cellStyle name="Accent2 32" xfId="868"/>
    <cellStyle name="Accent2 33" xfId="869"/>
    <cellStyle name="Accent2 34" xfId="870"/>
    <cellStyle name="Accent2 35" xfId="871"/>
    <cellStyle name="Accent2 36" xfId="872"/>
    <cellStyle name="Accent2 37" xfId="873"/>
    <cellStyle name="Accent2 38" xfId="874"/>
    <cellStyle name="Accent2 39" xfId="875"/>
    <cellStyle name="Accent2 4" xfId="876"/>
    <cellStyle name="Accent2 4 2" xfId="3913"/>
    <cellStyle name="Accent2 4 3" xfId="5299"/>
    <cellStyle name="Accent2 4 4" xfId="6156"/>
    <cellStyle name="Accent2 40" xfId="877"/>
    <cellStyle name="Accent2 41" xfId="878"/>
    <cellStyle name="Accent2 42" xfId="879"/>
    <cellStyle name="Accent2 43" xfId="880"/>
    <cellStyle name="Accent2 44" xfId="881"/>
    <cellStyle name="Accent2 45" xfId="882"/>
    <cellStyle name="Accent2 46" xfId="883"/>
    <cellStyle name="Accent2 47" xfId="884"/>
    <cellStyle name="Accent2 48" xfId="885"/>
    <cellStyle name="Accent2 49" xfId="886"/>
    <cellStyle name="Accent2 5" xfId="887"/>
    <cellStyle name="Accent2 50" xfId="888"/>
    <cellStyle name="Accent2 51" xfId="889"/>
    <cellStyle name="Accent2 52" xfId="890"/>
    <cellStyle name="Accent2 53" xfId="891"/>
    <cellStyle name="Accent2 54" xfId="892"/>
    <cellStyle name="Accent2 55" xfId="893"/>
    <cellStyle name="Accent2 56" xfId="894"/>
    <cellStyle name="Accent2 57" xfId="895"/>
    <cellStyle name="Accent2 58" xfId="896"/>
    <cellStyle name="Accent2 59" xfId="897"/>
    <cellStyle name="Accent2 6" xfId="898"/>
    <cellStyle name="Accent2 60" xfId="899"/>
    <cellStyle name="Accent2 61" xfId="900"/>
    <cellStyle name="Accent2 62" xfId="901"/>
    <cellStyle name="Accent2 63" xfId="902"/>
    <cellStyle name="Accent2 64" xfId="903"/>
    <cellStyle name="Accent2 65" xfId="904"/>
    <cellStyle name="Accent2 66" xfId="905"/>
    <cellStyle name="Accent2 67" xfId="906"/>
    <cellStyle name="Accent2 68" xfId="907"/>
    <cellStyle name="Accent2 69" xfId="908"/>
    <cellStyle name="Accent2 7" xfId="909"/>
    <cellStyle name="Accent2 70" xfId="910"/>
    <cellStyle name="Accent2 71" xfId="911"/>
    <cellStyle name="Accent2 72" xfId="912"/>
    <cellStyle name="Accent2 73" xfId="913"/>
    <cellStyle name="Accent2 74" xfId="914"/>
    <cellStyle name="Accent2 75" xfId="915"/>
    <cellStyle name="Accent2 76" xfId="916"/>
    <cellStyle name="Accent2 77" xfId="917"/>
    <cellStyle name="Accent2 78" xfId="918"/>
    <cellStyle name="Accent2 79" xfId="919"/>
    <cellStyle name="Accent2 8" xfId="920"/>
    <cellStyle name="Accent2 80" xfId="921"/>
    <cellStyle name="Accent2 81" xfId="922"/>
    <cellStyle name="Accent2 82" xfId="923"/>
    <cellStyle name="Accent2 83" xfId="924"/>
    <cellStyle name="Accent2 84" xfId="925"/>
    <cellStyle name="Accent2 85" xfId="926"/>
    <cellStyle name="Accent2 86" xfId="927"/>
    <cellStyle name="Accent2 87" xfId="928"/>
    <cellStyle name="Accent2 88" xfId="929"/>
    <cellStyle name="Accent2 89" xfId="930"/>
    <cellStyle name="Accent2 9" xfId="931"/>
    <cellStyle name="Accent2 90" xfId="932"/>
    <cellStyle name="Accent2 91" xfId="933"/>
    <cellStyle name="Accent2 92" xfId="934"/>
    <cellStyle name="Accent2 93" xfId="935"/>
    <cellStyle name="Accent2 94" xfId="936"/>
    <cellStyle name="Accent2 95" xfId="937"/>
    <cellStyle name="Accent2 96" xfId="938"/>
    <cellStyle name="Accent2 97" xfId="939"/>
    <cellStyle name="Accent2 98" xfId="940"/>
    <cellStyle name="Accent2 99" xfId="941"/>
    <cellStyle name="Accent3 - 20%" xfId="942"/>
    <cellStyle name="Accent3 - 40%" xfId="943"/>
    <cellStyle name="Accent3 - 60%" xfId="944"/>
    <cellStyle name="Accent3 10" xfId="945"/>
    <cellStyle name="Accent3 100" xfId="946"/>
    <cellStyle name="Accent3 101" xfId="947"/>
    <cellStyle name="Accent3 102" xfId="948"/>
    <cellStyle name="Accent3 103" xfId="949"/>
    <cellStyle name="Accent3 104" xfId="950"/>
    <cellStyle name="Accent3 105" xfId="951"/>
    <cellStyle name="Accent3 106" xfId="952"/>
    <cellStyle name="Accent3 107" xfId="953"/>
    <cellStyle name="Accent3 108" xfId="954"/>
    <cellStyle name="Accent3 109" xfId="955"/>
    <cellStyle name="Accent3 11" xfId="956"/>
    <cellStyle name="Accent3 110" xfId="957"/>
    <cellStyle name="Accent3 111" xfId="958"/>
    <cellStyle name="Accent3 112" xfId="959"/>
    <cellStyle name="Accent3 113" xfId="960"/>
    <cellStyle name="Accent3 114" xfId="961"/>
    <cellStyle name="Accent3 115" xfId="962"/>
    <cellStyle name="Accent3 116" xfId="963"/>
    <cellStyle name="Accent3 117" xfId="964"/>
    <cellStyle name="Accent3 118" xfId="965"/>
    <cellStyle name="Accent3 119" xfId="966"/>
    <cellStyle name="Accent3 12" xfId="967"/>
    <cellStyle name="Accent3 120" xfId="968"/>
    <cellStyle name="Accent3 121" xfId="969"/>
    <cellStyle name="Accent3 122" xfId="970"/>
    <cellStyle name="Accent3 123" xfId="971"/>
    <cellStyle name="Accent3 124" xfId="972"/>
    <cellStyle name="Accent3 125" xfId="973"/>
    <cellStyle name="Accent3 126" xfId="974"/>
    <cellStyle name="Accent3 127" xfId="975"/>
    <cellStyle name="Accent3 128" xfId="976"/>
    <cellStyle name="Accent3 129" xfId="977"/>
    <cellStyle name="Accent3 13" xfId="978"/>
    <cellStyle name="Accent3 130" xfId="979"/>
    <cellStyle name="Accent3 131" xfId="980"/>
    <cellStyle name="Accent3 132" xfId="981"/>
    <cellStyle name="Accent3 133" xfId="982"/>
    <cellStyle name="Accent3 134" xfId="983"/>
    <cellStyle name="Accent3 135" xfId="984"/>
    <cellStyle name="Accent3 136" xfId="985"/>
    <cellStyle name="Accent3 137" xfId="986"/>
    <cellStyle name="Accent3 138" xfId="987"/>
    <cellStyle name="Accent3 139" xfId="988"/>
    <cellStyle name="Accent3 14" xfId="989"/>
    <cellStyle name="Accent3 140" xfId="990"/>
    <cellStyle name="Accent3 141" xfId="991"/>
    <cellStyle name="Accent3 142" xfId="992"/>
    <cellStyle name="Accent3 143" xfId="993"/>
    <cellStyle name="Accent3 144" xfId="994"/>
    <cellStyle name="Accent3 145" xfId="995"/>
    <cellStyle name="Accent3 146" xfId="996"/>
    <cellStyle name="Accent3 147" xfId="997"/>
    <cellStyle name="Accent3 148" xfId="998"/>
    <cellStyle name="Accent3 149" xfId="999"/>
    <cellStyle name="Accent3 15" xfId="1000"/>
    <cellStyle name="Accent3 150" xfId="1001"/>
    <cellStyle name="Accent3 151" xfId="1002"/>
    <cellStyle name="Accent3 152" xfId="1003"/>
    <cellStyle name="Accent3 153" xfId="1004"/>
    <cellStyle name="Accent3 154" xfId="1005"/>
    <cellStyle name="Accent3 155" xfId="1006"/>
    <cellStyle name="Accent3 156" xfId="1007"/>
    <cellStyle name="Accent3 157" xfId="1008"/>
    <cellStyle name="Accent3 158" xfId="1009"/>
    <cellStyle name="Accent3 159" xfId="1010"/>
    <cellStyle name="Accent3 16" xfId="1011"/>
    <cellStyle name="Accent3 160" xfId="1012"/>
    <cellStyle name="Accent3 161" xfId="1013"/>
    <cellStyle name="Accent3 162" xfId="1014"/>
    <cellStyle name="Accent3 163" xfId="1015"/>
    <cellStyle name="Accent3 164" xfId="1016"/>
    <cellStyle name="Accent3 165" xfId="1017"/>
    <cellStyle name="Accent3 166" xfId="1018"/>
    <cellStyle name="Accent3 167" xfId="1019"/>
    <cellStyle name="Accent3 168" xfId="1020"/>
    <cellStyle name="Accent3 169" xfId="1021"/>
    <cellStyle name="Accent3 17" xfId="1022"/>
    <cellStyle name="Accent3 170" xfId="1023"/>
    <cellStyle name="Accent3 171" xfId="1024"/>
    <cellStyle name="Accent3 172" xfId="1025"/>
    <cellStyle name="Accent3 173" xfId="1026"/>
    <cellStyle name="Accent3 174" xfId="1027"/>
    <cellStyle name="Accent3 175" xfId="1028"/>
    <cellStyle name="Accent3 176" xfId="1029"/>
    <cellStyle name="Accent3 177" xfId="1030"/>
    <cellStyle name="Accent3 178" xfId="1031"/>
    <cellStyle name="Accent3 179" xfId="1032"/>
    <cellStyle name="Accent3 18" xfId="1033"/>
    <cellStyle name="Accent3 180" xfId="1034"/>
    <cellStyle name="Accent3 181" xfId="1035"/>
    <cellStyle name="Accent3 182" xfId="1036"/>
    <cellStyle name="Accent3 183" xfId="1037"/>
    <cellStyle name="Accent3 184" xfId="1038"/>
    <cellStyle name="Accent3 185" xfId="1039"/>
    <cellStyle name="Accent3 186" xfId="1040"/>
    <cellStyle name="Accent3 187" xfId="1041"/>
    <cellStyle name="Accent3 188" xfId="1042"/>
    <cellStyle name="Accent3 189" xfId="1043"/>
    <cellStyle name="Accent3 19" xfId="1044"/>
    <cellStyle name="Accent3 190" xfId="1045"/>
    <cellStyle name="Accent3 191" xfId="1046"/>
    <cellStyle name="Accent3 192" xfId="1047"/>
    <cellStyle name="Accent3 193" xfId="1048"/>
    <cellStyle name="Accent3 194" xfId="1049"/>
    <cellStyle name="Accent3 195" xfId="1050"/>
    <cellStyle name="Accent3 196" xfId="1051"/>
    <cellStyle name="Accent3 197" xfId="1052"/>
    <cellStyle name="Accent3 198" xfId="1053"/>
    <cellStyle name="Accent3 199" xfId="1054"/>
    <cellStyle name="Accent3 2" xfId="1055"/>
    <cellStyle name="Accent3 2 2" xfId="1056"/>
    <cellStyle name="Accent3 2 3" xfId="3914"/>
    <cellStyle name="Accent3 2 4" xfId="6155"/>
    <cellStyle name="Accent3 20" xfId="1057"/>
    <cellStyle name="Accent3 200" xfId="1058"/>
    <cellStyle name="Accent3 201" xfId="1059"/>
    <cellStyle name="Accent3 202" xfId="1060"/>
    <cellStyle name="Accent3 203" xfId="1061"/>
    <cellStyle name="Accent3 204" xfId="1062"/>
    <cellStyle name="Accent3 205" xfId="1063"/>
    <cellStyle name="Accent3 206" xfId="1064"/>
    <cellStyle name="Accent3 207" xfId="1065"/>
    <cellStyle name="Accent3 208" xfId="1066"/>
    <cellStyle name="Accent3 209" xfId="1067"/>
    <cellStyle name="Accent3 21" xfId="1068"/>
    <cellStyle name="Accent3 210" xfId="1069"/>
    <cellStyle name="Accent3 211" xfId="1070"/>
    <cellStyle name="Accent3 212" xfId="1071"/>
    <cellStyle name="Accent3 213" xfId="1072"/>
    <cellStyle name="Accent3 214" xfId="1073"/>
    <cellStyle name="Accent3 215" xfId="1074"/>
    <cellStyle name="Accent3 216" xfId="1075"/>
    <cellStyle name="Accent3 217" xfId="1076"/>
    <cellStyle name="Accent3 218" xfId="1077"/>
    <cellStyle name="Accent3 219" xfId="1078"/>
    <cellStyle name="Accent3 22" xfId="1079"/>
    <cellStyle name="Accent3 220" xfId="1080"/>
    <cellStyle name="Accent3 221" xfId="1081"/>
    <cellStyle name="Accent3 222" xfId="1082"/>
    <cellStyle name="Accent3 223" xfId="1083"/>
    <cellStyle name="Accent3 224" xfId="1084"/>
    <cellStyle name="Accent3 225" xfId="1085"/>
    <cellStyle name="Accent3 226" xfId="1086"/>
    <cellStyle name="Accent3 227" xfId="1087"/>
    <cellStyle name="Accent3 228" xfId="1088"/>
    <cellStyle name="Accent3 229" xfId="1089"/>
    <cellStyle name="Accent3 23" xfId="1090"/>
    <cellStyle name="Accent3 230" xfId="1091"/>
    <cellStyle name="Accent3 231" xfId="1092"/>
    <cellStyle name="Accent3 232" xfId="1093"/>
    <cellStyle name="Accent3 233" xfId="1094"/>
    <cellStyle name="Accent3 234" xfId="1095"/>
    <cellStyle name="Accent3 235" xfId="1096"/>
    <cellStyle name="Accent3 236" xfId="1097"/>
    <cellStyle name="Accent3 237" xfId="1098"/>
    <cellStyle name="Accent3 238" xfId="1099"/>
    <cellStyle name="Accent3 239" xfId="1100"/>
    <cellStyle name="Accent3 24" xfId="1101"/>
    <cellStyle name="Accent3 240" xfId="1102"/>
    <cellStyle name="Accent3 241" xfId="3915"/>
    <cellStyle name="Accent3 242" xfId="14009"/>
    <cellStyle name="Accent3 25" xfId="1103"/>
    <cellStyle name="Accent3 26" xfId="1104"/>
    <cellStyle name="Accent3 27" xfId="1105"/>
    <cellStyle name="Accent3 28" xfId="1106"/>
    <cellStyle name="Accent3 29" xfId="1107"/>
    <cellStyle name="Accent3 3" xfId="1108"/>
    <cellStyle name="Accent3 3 2" xfId="3916"/>
    <cellStyle name="Accent3 3 3" xfId="5301"/>
    <cellStyle name="Accent3 3 4" xfId="6154"/>
    <cellStyle name="Accent3 30" xfId="1109"/>
    <cellStyle name="Accent3 31" xfId="1110"/>
    <cellStyle name="Accent3 32" xfId="1111"/>
    <cellStyle name="Accent3 33" xfId="1112"/>
    <cellStyle name="Accent3 34" xfId="1113"/>
    <cellStyle name="Accent3 35" xfId="1114"/>
    <cellStyle name="Accent3 36" xfId="1115"/>
    <cellStyle name="Accent3 37" xfId="1116"/>
    <cellStyle name="Accent3 38" xfId="1117"/>
    <cellStyle name="Accent3 39" xfId="1118"/>
    <cellStyle name="Accent3 4" xfId="1119"/>
    <cellStyle name="Accent3 4 2" xfId="3917"/>
    <cellStyle name="Accent3 4 3" xfId="5300"/>
    <cellStyle name="Accent3 4 4" xfId="6153"/>
    <cellStyle name="Accent3 40" xfId="1120"/>
    <cellStyle name="Accent3 41" xfId="1121"/>
    <cellStyle name="Accent3 42" xfId="1122"/>
    <cellStyle name="Accent3 43" xfId="1123"/>
    <cellStyle name="Accent3 44" xfId="1124"/>
    <cellStyle name="Accent3 45" xfId="1125"/>
    <cellStyle name="Accent3 46" xfId="1126"/>
    <cellStyle name="Accent3 47" xfId="1127"/>
    <cellStyle name="Accent3 48" xfId="1128"/>
    <cellStyle name="Accent3 49" xfId="1129"/>
    <cellStyle name="Accent3 5" xfId="1130"/>
    <cellStyle name="Accent3 50" xfId="1131"/>
    <cellStyle name="Accent3 51" xfId="1132"/>
    <cellStyle name="Accent3 52" xfId="1133"/>
    <cellStyle name="Accent3 53" xfId="1134"/>
    <cellStyle name="Accent3 54" xfId="1135"/>
    <cellStyle name="Accent3 55" xfId="1136"/>
    <cellStyle name="Accent3 56" xfId="1137"/>
    <cellStyle name="Accent3 57" xfId="1138"/>
    <cellStyle name="Accent3 58" xfId="1139"/>
    <cellStyle name="Accent3 59" xfId="1140"/>
    <cellStyle name="Accent3 6" xfId="1141"/>
    <cellStyle name="Accent3 60" xfId="1142"/>
    <cellStyle name="Accent3 61" xfId="1143"/>
    <cellStyle name="Accent3 62" xfId="1144"/>
    <cellStyle name="Accent3 63" xfId="1145"/>
    <cellStyle name="Accent3 64" xfId="1146"/>
    <cellStyle name="Accent3 65" xfId="1147"/>
    <cellStyle name="Accent3 66" xfId="1148"/>
    <cellStyle name="Accent3 67" xfId="1149"/>
    <cellStyle name="Accent3 68" xfId="1150"/>
    <cellStyle name="Accent3 69" xfId="1151"/>
    <cellStyle name="Accent3 7" xfId="1152"/>
    <cellStyle name="Accent3 70" xfId="1153"/>
    <cellStyle name="Accent3 71" xfId="1154"/>
    <cellStyle name="Accent3 72" xfId="1155"/>
    <cellStyle name="Accent3 73" xfId="1156"/>
    <cellStyle name="Accent3 74" xfId="1157"/>
    <cellStyle name="Accent3 75" xfId="1158"/>
    <cellStyle name="Accent3 76" xfId="1159"/>
    <cellStyle name="Accent3 77" xfId="1160"/>
    <cellStyle name="Accent3 78" xfId="1161"/>
    <cellStyle name="Accent3 79" xfId="1162"/>
    <cellStyle name="Accent3 8" xfId="1163"/>
    <cellStyle name="Accent3 80" xfId="1164"/>
    <cellStyle name="Accent3 81" xfId="1165"/>
    <cellStyle name="Accent3 82" xfId="1166"/>
    <cellStyle name="Accent3 83" xfId="1167"/>
    <cellStyle name="Accent3 84" xfId="1168"/>
    <cellStyle name="Accent3 85" xfId="1169"/>
    <cellStyle name="Accent3 86" xfId="1170"/>
    <cellStyle name="Accent3 87" xfId="1171"/>
    <cellStyle name="Accent3 88" xfId="1172"/>
    <cellStyle name="Accent3 89" xfId="1173"/>
    <cellStyle name="Accent3 9" xfId="1174"/>
    <cellStyle name="Accent3 90" xfId="1175"/>
    <cellStyle name="Accent3 91" xfId="1176"/>
    <cellStyle name="Accent3 92" xfId="1177"/>
    <cellStyle name="Accent3 93" xfId="1178"/>
    <cellStyle name="Accent3 94" xfId="1179"/>
    <cellStyle name="Accent3 95" xfId="1180"/>
    <cellStyle name="Accent3 96" xfId="1181"/>
    <cellStyle name="Accent3 97" xfId="1182"/>
    <cellStyle name="Accent3 98" xfId="1183"/>
    <cellStyle name="Accent3 99" xfId="1184"/>
    <cellStyle name="Accent4 - 20%" xfId="1185"/>
    <cellStyle name="Accent4 - 40%" xfId="1186"/>
    <cellStyle name="Accent4 - 60%" xfId="1187"/>
    <cellStyle name="Accent4 10" xfId="1188"/>
    <cellStyle name="Accent4 100" xfId="1189"/>
    <cellStyle name="Accent4 101" xfId="1190"/>
    <cellStyle name="Accent4 102" xfId="1191"/>
    <cellStyle name="Accent4 103" xfId="1192"/>
    <cellStyle name="Accent4 104" xfId="1193"/>
    <cellStyle name="Accent4 105" xfId="1194"/>
    <cellStyle name="Accent4 106" xfId="1195"/>
    <cellStyle name="Accent4 107" xfId="1196"/>
    <cellStyle name="Accent4 108" xfId="1197"/>
    <cellStyle name="Accent4 109" xfId="1198"/>
    <cellStyle name="Accent4 11" xfId="1199"/>
    <cellStyle name="Accent4 110" xfId="1200"/>
    <cellStyle name="Accent4 111" xfId="1201"/>
    <cellStyle name="Accent4 112" xfId="1202"/>
    <cellStyle name="Accent4 113" xfId="1203"/>
    <cellStyle name="Accent4 114" xfId="1204"/>
    <cellStyle name="Accent4 115" xfId="1205"/>
    <cellStyle name="Accent4 116" xfId="1206"/>
    <cellStyle name="Accent4 117" xfId="1207"/>
    <cellStyle name="Accent4 118" xfId="1208"/>
    <cellStyle name="Accent4 119" xfId="1209"/>
    <cellStyle name="Accent4 12" xfId="1210"/>
    <cellStyle name="Accent4 120" xfId="1211"/>
    <cellStyle name="Accent4 121" xfId="1212"/>
    <cellStyle name="Accent4 122" xfId="1213"/>
    <cellStyle name="Accent4 123" xfId="1214"/>
    <cellStyle name="Accent4 124" xfId="1215"/>
    <cellStyle name="Accent4 125" xfId="1216"/>
    <cellStyle name="Accent4 126" xfId="1217"/>
    <cellStyle name="Accent4 127" xfId="1218"/>
    <cellStyle name="Accent4 128" xfId="1219"/>
    <cellStyle name="Accent4 129" xfId="1220"/>
    <cellStyle name="Accent4 13" xfId="1221"/>
    <cellStyle name="Accent4 130" xfId="1222"/>
    <cellStyle name="Accent4 131" xfId="1223"/>
    <cellStyle name="Accent4 132" xfId="1224"/>
    <cellStyle name="Accent4 133" xfId="1225"/>
    <cellStyle name="Accent4 134" xfId="1226"/>
    <cellStyle name="Accent4 135" xfId="1227"/>
    <cellStyle name="Accent4 136" xfId="1228"/>
    <cellStyle name="Accent4 137" xfId="1229"/>
    <cellStyle name="Accent4 138" xfId="1230"/>
    <cellStyle name="Accent4 139" xfId="1231"/>
    <cellStyle name="Accent4 14" xfId="1232"/>
    <cellStyle name="Accent4 140" xfId="1233"/>
    <cellStyle name="Accent4 141" xfId="1234"/>
    <cellStyle name="Accent4 142" xfId="1235"/>
    <cellStyle name="Accent4 143" xfId="1236"/>
    <cellStyle name="Accent4 144" xfId="1237"/>
    <cellStyle name="Accent4 145" xfId="1238"/>
    <cellStyle name="Accent4 146" xfId="1239"/>
    <cellStyle name="Accent4 147" xfId="1240"/>
    <cellStyle name="Accent4 148" xfId="1241"/>
    <cellStyle name="Accent4 149" xfId="1242"/>
    <cellStyle name="Accent4 15" xfId="1243"/>
    <cellStyle name="Accent4 150" xfId="1244"/>
    <cellStyle name="Accent4 151" xfId="1245"/>
    <cellStyle name="Accent4 152" xfId="1246"/>
    <cellStyle name="Accent4 153" xfId="1247"/>
    <cellStyle name="Accent4 154" xfId="1248"/>
    <cellStyle name="Accent4 155" xfId="1249"/>
    <cellStyle name="Accent4 156" xfId="1250"/>
    <cellStyle name="Accent4 157" xfId="1251"/>
    <cellStyle name="Accent4 158" xfId="1252"/>
    <cellStyle name="Accent4 159" xfId="1253"/>
    <cellStyle name="Accent4 16" xfId="1254"/>
    <cellStyle name="Accent4 160" xfId="1255"/>
    <cellStyle name="Accent4 161" xfId="1256"/>
    <cellStyle name="Accent4 162" xfId="1257"/>
    <cellStyle name="Accent4 163" xfId="1258"/>
    <cellStyle name="Accent4 164" xfId="1259"/>
    <cellStyle name="Accent4 165" xfId="1260"/>
    <cellStyle name="Accent4 166" xfId="1261"/>
    <cellStyle name="Accent4 167" xfId="1262"/>
    <cellStyle name="Accent4 168" xfId="1263"/>
    <cellStyle name="Accent4 169" xfId="1264"/>
    <cellStyle name="Accent4 17" xfId="1265"/>
    <cellStyle name="Accent4 170" xfId="1266"/>
    <cellStyle name="Accent4 171" xfId="1267"/>
    <cellStyle name="Accent4 172" xfId="1268"/>
    <cellStyle name="Accent4 173" xfId="1269"/>
    <cellStyle name="Accent4 174" xfId="1270"/>
    <cellStyle name="Accent4 175" xfId="1271"/>
    <cellStyle name="Accent4 176" xfId="1272"/>
    <cellStyle name="Accent4 177" xfId="1273"/>
    <cellStyle name="Accent4 178" xfId="1274"/>
    <cellStyle name="Accent4 179" xfId="1275"/>
    <cellStyle name="Accent4 18" xfId="1276"/>
    <cellStyle name="Accent4 180" xfId="1277"/>
    <cellStyle name="Accent4 181" xfId="1278"/>
    <cellStyle name="Accent4 182" xfId="1279"/>
    <cellStyle name="Accent4 183" xfId="1280"/>
    <cellStyle name="Accent4 184" xfId="1281"/>
    <cellStyle name="Accent4 185" xfId="1282"/>
    <cellStyle name="Accent4 186" xfId="1283"/>
    <cellStyle name="Accent4 187" xfId="1284"/>
    <cellStyle name="Accent4 188" xfId="1285"/>
    <cellStyle name="Accent4 189" xfId="1286"/>
    <cellStyle name="Accent4 19" xfId="1287"/>
    <cellStyle name="Accent4 190" xfId="1288"/>
    <cellStyle name="Accent4 191" xfId="1289"/>
    <cellStyle name="Accent4 192" xfId="1290"/>
    <cellStyle name="Accent4 193" xfId="1291"/>
    <cellStyle name="Accent4 194" xfId="1292"/>
    <cellStyle name="Accent4 195" xfId="1293"/>
    <cellStyle name="Accent4 196" xfId="1294"/>
    <cellStyle name="Accent4 197" xfId="1295"/>
    <cellStyle name="Accent4 198" xfId="1296"/>
    <cellStyle name="Accent4 199" xfId="1297"/>
    <cellStyle name="Accent4 2" xfId="1298"/>
    <cellStyle name="Accent4 2 2" xfId="1299"/>
    <cellStyle name="Accent4 2 3" xfId="3918"/>
    <cellStyle name="Accent4 2 4" xfId="6142"/>
    <cellStyle name="Accent4 20" xfId="1300"/>
    <cellStyle name="Accent4 200" xfId="1301"/>
    <cellStyle name="Accent4 201" xfId="1302"/>
    <cellStyle name="Accent4 202" xfId="1303"/>
    <cellStyle name="Accent4 203" xfId="1304"/>
    <cellStyle name="Accent4 204" xfId="1305"/>
    <cellStyle name="Accent4 205" xfId="1306"/>
    <cellStyle name="Accent4 206" xfId="1307"/>
    <cellStyle name="Accent4 207" xfId="1308"/>
    <cellStyle name="Accent4 208" xfId="1309"/>
    <cellStyle name="Accent4 209" xfId="1310"/>
    <cellStyle name="Accent4 21" xfId="1311"/>
    <cellStyle name="Accent4 210" xfId="1312"/>
    <cellStyle name="Accent4 211" xfId="1313"/>
    <cellStyle name="Accent4 212" xfId="1314"/>
    <cellStyle name="Accent4 213" xfId="1315"/>
    <cellStyle name="Accent4 214" xfId="1316"/>
    <cellStyle name="Accent4 215" xfId="1317"/>
    <cellStyle name="Accent4 216" xfId="1318"/>
    <cellStyle name="Accent4 217" xfId="1319"/>
    <cellStyle name="Accent4 218" xfId="1320"/>
    <cellStyle name="Accent4 219" xfId="1321"/>
    <cellStyle name="Accent4 22" xfId="1322"/>
    <cellStyle name="Accent4 220" xfId="1323"/>
    <cellStyle name="Accent4 221" xfId="1324"/>
    <cellStyle name="Accent4 222" xfId="1325"/>
    <cellStyle name="Accent4 223" xfId="1326"/>
    <cellStyle name="Accent4 224" xfId="1327"/>
    <cellStyle name="Accent4 225" xfId="1328"/>
    <cellStyle name="Accent4 226" xfId="1329"/>
    <cellStyle name="Accent4 227" xfId="1330"/>
    <cellStyle name="Accent4 228" xfId="1331"/>
    <cellStyle name="Accent4 229" xfId="1332"/>
    <cellStyle name="Accent4 23" xfId="1333"/>
    <cellStyle name="Accent4 230" xfId="1334"/>
    <cellStyle name="Accent4 231" xfId="1335"/>
    <cellStyle name="Accent4 232" xfId="1336"/>
    <cellStyle name="Accent4 233" xfId="1337"/>
    <cellStyle name="Accent4 234" xfId="1338"/>
    <cellStyle name="Accent4 235" xfId="1339"/>
    <cellStyle name="Accent4 236" xfId="1340"/>
    <cellStyle name="Accent4 237" xfId="1341"/>
    <cellStyle name="Accent4 238" xfId="1342"/>
    <cellStyle name="Accent4 239" xfId="1343"/>
    <cellStyle name="Accent4 24" xfId="1344"/>
    <cellStyle name="Accent4 240" xfId="1345"/>
    <cellStyle name="Accent4 241" xfId="3919"/>
    <cellStyle name="Accent4 242" xfId="14010"/>
    <cellStyle name="Accent4 25" xfId="1346"/>
    <cellStyle name="Accent4 26" xfId="1347"/>
    <cellStyle name="Accent4 27" xfId="1348"/>
    <cellStyle name="Accent4 28" xfId="1349"/>
    <cellStyle name="Accent4 29" xfId="1350"/>
    <cellStyle name="Accent4 3" xfId="1351"/>
    <cellStyle name="Accent4 3 2" xfId="3920"/>
    <cellStyle name="Accent4 3 3" xfId="5303"/>
    <cellStyle name="Accent4 3 4" xfId="6138"/>
    <cellStyle name="Accent4 30" xfId="1352"/>
    <cellStyle name="Accent4 31" xfId="1353"/>
    <cellStyle name="Accent4 32" xfId="1354"/>
    <cellStyle name="Accent4 33" xfId="1355"/>
    <cellStyle name="Accent4 34" xfId="1356"/>
    <cellStyle name="Accent4 35" xfId="1357"/>
    <cellStyle name="Accent4 36" xfId="1358"/>
    <cellStyle name="Accent4 37" xfId="1359"/>
    <cellStyle name="Accent4 38" xfId="1360"/>
    <cellStyle name="Accent4 39" xfId="1361"/>
    <cellStyle name="Accent4 4" xfId="1362"/>
    <cellStyle name="Accent4 4 2" xfId="3921"/>
    <cellStyle name="Accent4 4 3" xfId="5302"/>
    <cellStyle name="Accent4 4 4" xfId="6136"/>
    <cellStyle name="Accent4 40" xfId="1363"/>
    <cellStyle name="Accent4 41" xfId="1364"/>
    <cellStyle name="Accent4 42" xfId="1365"/>
    <cellStyle name="Accent4 43" xfId="1366"/>
    <cellStyle name="Accent4 44" xfId="1367"/>
    <cellStyle name="Accent4 45" xfId="1368"/>
    <cellStyle name="Accent4 46" xfId="1369"/>
    <cellStyle name="Accent4 47" xfId="1370"/>
    <cellStyle name="Accent4 48" xfId="1371"/>
    <cellStyle name="Accent4 49" xfId="1372"/>
    <cellStyle name="Accent4 5" xfId="1373"/>
    <cellStyle name="Accent4 50" xfId="1374"/>
    <cellStyle name="Accent4 51" xfId="1375"/>
    <cellStyle name="Accent4 52" xfId="1376"/>
    <cellStyle name="Accent4 53" xfId="1377"/>
    <cellStyle name="Accent4 54" xfId="1378"/>
    <cellStyle name="Accent4 55" xfId="1379"/>
    <cellStyle name="Accent4 56" xfId="1380"/>
    <cellStyle name="Accent4 57" xfId="1381"/>
    <cellStyle name="Accent4 58" xfId="1382"/>
    <cellStyle name="Accent4 59" xfId="1383"/>
    <cellStyle name="Accent4 6" xfId="1384"/>
    <cellStyle name="Accent4 60" xfId="1385"/>
    <cellStyle name="Accent4 61" xfId="1386"/>
    <cellStyle name="Accent4 62" xfId="1387"/>
    <cellStyle name="Accent4 63" xfId="1388"/>
    <cellStyle name="Accent4 64" xfId="1389"/>
    <cellStyle name="Accent4 65" xfId="1390"/>
    <cellStyle name="Accent4 66" xfId="1391"/>
    <cellStyle name="Accent4 67" xfId="1392"/>
    <cellStyle name="Accent4 68" xfId="1393"/>
    <cellStyle name="Accent4 69" xfId="1394"/>
    <cellStyle name="Accent4 7" xfId="1395"/>
    <cellStyle name="Accent4 70" xfId="1396"/>
    <cellStyle name="Accent4 71" xfId="1397"/>
    <cellStyle name="Accent4 72" xfId="1398"/>
    <cellStyle name="Accent4 73" xfId="1399"/>
    <cellStyle name="Accent4 74" xfId="1400"/>
    <cellStyle name="Accent4 75" xfId="1401"/>
    <cellStyle name="Accent4 76" xfId="1402"/>
    <cellStyle name="Accent4 77" xfId="1403"/>
    <cellStyle name="Accent4 78" xfId="1404"/>
    <cellStyle name="Accent4 79" xfId="1405"/>
    <cellStyle name="Accent4 8" xfId="1406"/>
    <cellStyle name="Accent4 80" xfId="1407"/>
    <cellStyle name="Accent4 81" xfId="1408"/>
    <cellStyle name="Accent4 82" xfId="1409"/>
    <cellStyle name="Accent4 83" xfId="1410"/>
    <cellStyle name="Accent4 84" xfId="1411"/>
    <cellStyle name="Accent4 85" xfId="1412"/>
    <cellStyle name="Accent4 86" xfId="1413"/>
    <cellStyle name="Accent4 87" xfId="1414"/>
    <cellStyle name="Accent4 88" xfId="1415"/>
    <cellStyle name="Accent4 89" xfId="1416"/>
    <cellStyle name="Accent4 9" xfId="1417"/>
    <cellStyle name="Accent4 90" xfId="1418"/>
    <cellStyle name="Accent4 91" xfId="1419"/>
    <cellStyle name="Accent4 92" xfId="1420"/>
    <cellStyle name="Accent4 93" xfId="1421"/>
    <cellStyle name="Accent4 94" xfId="1422"/>
    <cellStyle name="Accent4 95" xfId="1423"/>
    <cellStyle name="Accent4 96" xfId="1424"/>
    <cellStyle name="Accent4 97" xfId="1425"/>
    <cellStyle name="Accent4 98" xfId="1426"/>
    <cellStyle name="Accent4 99" xfId="1427"/>
    <cellStyle name="Accent5 - 20%" xfId="1428"/>
    <cellStyle name="Accent5 - 40%" xfId="1429"/>
    <cellStyle name="Accent5 - 60%" xfId="1430"/>
    <cellStyle name="Accent5 10" xfId="1431"/>
    <cellStyle name="Accent5 100" xfId="1432"/>
    <cellStyle name="Accent5 101" xfId="1433"/>
    <cellStyle name="Accent5 102" xfId="1434"/>
    <cellStyle name="Accent5 103" xfId="1435"/>
    <cellStyle name="Accent5 104" xfId="1436"/>
    <cellStyle name="Accent5 105" xfId="1437"/>
    <cellStyle name="Accent5 106" xfId="1438"/>
    <cellStyle name="Accent5 107" xfId="1439"/>
    <cellStyle name="Accent5 108" xfId="1440"/>
    <cellStyle name="Accent5 109" xfId="1441"/>
    <cellStyle name="Accent5 11" xfId="1442"/>
    <cellStyle name="Accent5 110" xfId="1443"/>
    <cellStyle name="Accent5 111" xfId="1444"/>
    <cellStyle name="Accent5 112" xfId="1445"/>
    <cellStyle name="Accent5 113" xfId="1446"/>
    <cellStyle name="Accent5 114" xfId="1447"/>
    <cellStyle name="Accent5 115" xfId="1448"/>
    <cellStyle name="Accent5 116" xfId="1449"/>
    <cellStyle name="Accent5 117" xfId="1450"/>
    <cellStyle name="Accent5 118" xfId="1451"/>
    <cellStyle name="Accent5 119" xfId="1452"/>
    <cellStyle name="Accent5 12" xfId="1453"/>
    <cellStyle name="Accent5 120" xfId="1454"/>
    <cellStyle name="Accent5 121" xfId="1455"/>
    <cellStyle name="Accent5 122" xfId="1456"/>
    <cellStyle name="Accent5 123" xfId="1457"/>
    <cellStyle name="Accent5 124" xfId="1458"/>
    <cellStyle name="Accent5 125" xfId="1459"/>
    <cellStyle name="Accent5 126" xfId="1460"/>
    <cellStyle name="Accent5 127" xfId="1461"/>
    <cellStyle name="Accent5 128" xfId="1462"/>
    <cellStyle name="Accent5 129" xfId="1463"/>
    <cellStyle name="Accent5 13" xfId="1464"/>
    <cellStyle name="Accent5 130" xfId="1465"/>
    <cellStyle name="Accent5 131" xfId="1466"/>
    <cellStyle name="Accent5 132" xfId="1467"/>
    <cellStyle name="Accent5 133" xfId="1468"/>
    <cellStyle name="Accent5 134" xfId="1469"/>
    <cellStyle name="Accent5 135" xfId="1470"/>
    <cellStyle name="Accent5 136" xfId="1471"/>
    <cellStyle name="Accent5 137" xfId="1472"/>
    <cellStyle name="Accent5 138" xfId="1473"/>
    <cellStyle name="Accent5 139" xfId="1474"/>
    <cellStyle name="Accent5 14" xfId="1475"/>
    <cellStyle name="Accent5 140" xfId="1476"/>
    <cellStyle name="Accent5 141" xfId="1477"/>
    <cellStyle name="Accent5 142" xfId="1478"/>
    <cellStyle name="Accent5 143" xfId="1479"/>
    <cellStyle name="Accent5 144" xfId="1480"/>
    <cellStyle name="Accent5 145" xfId="1481"/>
    <cellStyle name="Accent5 146" xfId="1482"/>
    <cellStyle name="Accent5 147" xfId="1483"/>
    <cellStyle name="Accent5 148" xfId="1484"/>
    <cellStyle name="Accent5 149" xfId="1485"/>
    <cellStyle name="Accent5 15" xfId="1486"/>
    <cellStyle name="Accent5 150" xfId="1487"/>
    <cellStyle name="Accent5 151" xfId="1488"/>
    <cellStyle name="Accent5 152" xfId="1489"/>
    <cellStyle name="Accent5 153" xfId="1490"/>
    <cellStyle name="Accent5 154" xfId="1491"/>
    <cellStyle name="Accent5 155" xfId="1492"/>
    <cellStyle name="Accent5 156" xfId="1493"/>
    <cellStyle name="Accent5 157" xfId="1494"/>
    <cellStyle name="Accent5 158" xfId="1495"/>
    <cellStyle name="Accent5 159" xfId="1496"/>
    <cellStyle name="Accent5 16" xfId="1497"/>
    <cellStyle name="Accent5 160" xfId="1498"/>
    <cellStyle name="Accent5 161" xfId="1499"/>
    <cellStyle name="Accent5 162" xfId="1500"/>
    <cellStyle name="Accent5 163" xfId="1501"/>
    <cellStyle name="Accent5 164" xfId="1502"/>
    <cellStyle name="Accent5 165" xfId="1503"/>
    <cellStyle name="Accent5 166" xfId="1504"/>
    <cellStyle name="Accent5 167" xfId="1505"/>
    <cellStyle name="Accent5 168" xfId="1506"/>
    <cellStyle name="Accent5 169" xfId="1507"/>
    <cellStyle name="Accent5 17" xfId="1508"/>
    <cellStyle name="Accent5 170" xfId="1509"/>
    <cellStyle name="Accent5 171" xfId="1510"/>
    <cellStyle name="Accent5 172" xfId="1511"/>
    <cellStyle name="Accent5 173" xfId="1512"/>
    <cellStyle name="Accent5 174" xfId="1513"/>
    <cellStyle name="Accent5 175" xfId="1514"/>
    <cellStyle name="Accent5 176" xfId="1515"/>
    <cellStyle name="Accent5 177" xfId="1516"/>
    <cellStyle name="Accent5 178" xfId="1517"/>
    <cellStyle name="Accent5 179" xfId="1518"/>
    <cellStyle name="Accent5 18" xfId="1519"/>
    <cellStyle name="Accent5 180" xfId="1520"/>
    <cellStyle name="Accent5 181" xfId="1521"/>
    <cellStyle name="Accent5 182" xfId="1522"/>
    <cellStyle name="Accent5 183" xfId="1523"/>
    <cellStyle name="Accent5 184" xfId="1524"/>
    <cellStyle name="Accent5 185" xfId="1525"/>
    <cellStyle name="Accent5 186" xfId="1526"/>
    <cellStyle name="Accent5 187" xfId="1527"/>
    <cellStyle name="Accent5 188" xfId="1528"/>
    <cellStyle name="Accent5 189" xfId="1529"/>
    <cellStyle name="Accent5 19" xfId="1530"/>
    <cellStyle name="Accent5 190" xfId="1531"/>
    <cellStyle name="Accent5 191" xfId="1532"/>
    <cellStyle name="Accent5 192" xfId="1533"/>
    <cellStyle name="Accent5 193" xfId="1534"/>
    <cellStyle name="Accent5 194" xfId="1535"/>
    <cellStyle name="Accent5 195" xfId="1536"/>
    <cellStyle name="Accent5 196" xfId="1537"/>
    <cellStyle name="Accent5 197" xfId="1538"/>
    <cellStyle name="Accent5 198" xfId="1539"/>
    <cellStyle name="Accent5 199" xfId="1540"/>
    <cellStyle name="Accent5 2" xfId="1541"/>
    <cellStyle name="Accent5 2 2" xfId="1542"/>
    <cellStyle name="Accent5 2 3" xfId="3922"/>
    <cellStyle name="Accent5 2 4" xfId="6385"/>
    <cellStyle name="Accent5 20" xfId="1543"/>
    <cellStyle name="Accent5 200" xfId="1544"/>
    <cellStyle name="Accent5 201" xfId="1545"/>
    <cellStyle name="Accent5 202" xfId="1546"/>
    <cellStyle name="Accent5 203" xfId="1547"/>
    <cellStyle name="Accent5 204" xfId="1548"/>
    <cellStyle name="Accent5 205" xfId="1549"/>
    <cellStyle name="Accent5 206" xfId="1550"/>
    <cellStyle name="Accent5 207" xfId="1551"/>
    <cellStyle name="Accent5 208" xfId="1552"/>
    <cellStyle name="Accent5 209" xfId="1553"/>
    <cellStyle name="Accent5 21" xfId="1554"/>
    <cellStyle name="Accent5 210" xfId="1555"/>
    <cellStyle name="Accent5 211" xfId="1556"/>
    <cellStyle name="Accent5 212" xfId="1557"/>
    <cellStyle name="Accent5 213" xfId="1558"/>
    <cellStyle name="Accent5 214" xfId="1559"/>
    <cellStyle name="Accent5 215" xfId="1560"/>
    <cellStyle name="Accent5 216" xfId="1561"/>
    <cellStyle name="Accent5 217" xfId="1562"/>
    <cellStyle name="Accent5 218" xfId="1563"/>
    <cellStyle name="Accent5 219" xfId="1564"/>
    <cellStyle name="Accent5 22" xfId="1565"/>
    <cellStyle name="Accent5 220" xfId="1566"/>
    <cellStyle name="Accent5 221" xfId="1567"/>
    <cellStyle name="Accent5 222" xfId="1568"/>
    <cellStyle name="Accent5 223" xfId="1569"/>
    <cellStyle name="Accent5 224" xfId="1570"/>
    <cellStyle name="Accent5 225" xfId="1571"/>
    <cellStyle name="Accent5 226" xfId="1572"/>
    <cellStyle name="Accent5 227" xfId="1573"/>
    <cellStyle name="Accent5 228" xfId="1574"/>
    <cellStyle name="Accent5 229" xfId="1575"/>
    <cellStyle name="Accent5 23" xfId="1576"/>
    <cellStyle name="Accent5 230" xfId="1577"/>
    <cellStyle name="Accent5 231" xfId="1578"/>
    <cellStyle name="Accent5 232" xfId="1579"/>
    <cellStyle name="Accent5 233" xfId="1580"/>
    <cellStyle name="Accent5 234" xfId="1581"/>
    <cellStyle name="Accent5 235" xfId="1582"/>
    <cellStyle name="Accent5 236" xfId="1583"/>
    <cellStyle name="Accent5 237" xfId="1584"/>
    <cellStyle name="Accent5 238" xfId="1585"/>
    <cellStyle name="Accent5 239" xfId="1586"/>
    <cellStyle name="Accent5 24" xfId="1587"/>
    <cellStyle name="Accent5 240" xfId="1588"/>
    <cellStyle name="Accent5 241" xfId="3923"/>
    <cellStyle name="Accent5 242" xfId="14011"/>
    <cellStyle name="Accent5 25" xfId="1589"/>
    <cellStyle name="Accent5 26" xfId="1590"/>
    <cellStyle name="Accent5 27" xfId="1591"/>
    <cellStyle name="Accent5 28" xfId="1592"/>
    <cellStyle name="Accent5 29" xfId="1593"/>
    <cellStyle name="Accent5 3" xfId="1594"/>
    <cellStyle name="Accent5 3 2" xfId="3924"/>
    <cellStyle name="Accent5 3 3" xfId="5305"/>
    <cellStyle name="Accent5 3 4" xfId="6386"/>
    <cellStyle name="Accent5 30" xfId="1595"/>
    <cellStyle name="Accent5 31" xfId="1596"/>
    <cellStyle name="Accent5 32" xfId="1597"/>
    <cellStyle name="Accent5 33" xfId="1598"/>
    <cellStyle name="Accent5 34" xfId="1599"/>
    <cellStyle name="Accent5 35" xfId="1600"/>
    <cellStyle name="Accent5 36" xfId="1601"/>
    <cellStyle name="Accent5 37" xfId="1602"/>
    <cellStyle name="Accent5 38" xfId="1603"/>
    <cellStyle name="Accent5 39" xfId="1604"/>
    <cellStyle name="Accent5 4" xfId="1605"/>
    <cellStyle name="Accent5 4 2" xfId="3925"/>
    <cellStyle name="Accent5 4 3" xfId="5304"/>
    <cellStyle name="Accent5 4 4" xfId="6394"/>
    <cellStyle name="Accent5 40" xfId="1606"/>
    <cellStyle name="Accent5 41" xfId="1607"/>
    <cellStyle name="Accent5 42" xfId="1608"/>
    <cellStyle name="Accent5 43" xfId="1609"/>
    <cellStyle name="Accent5 44" xfId="1610"/>
    <cellStyle name="Accent5 45" xfId="1611"/>
    <cellStyle name="Accent5 46" xfId="1612"/>
    <cellStyle name="Accent5 47" xfId="1613"/>
    <cellStyle name="Accent5 48" xfId="1614"/>
    <cellStyle name="Accent5 49" xfId="1615"/>
    <cellStyle name="Accent5 5" xfId="1616"/>
    <cellStyle name="Accent5 50" xfId="1617"/>
    <cellStyle name="Accent5 51" xfId="1618"/>
    <cellStyle name="Accent5 52" xfId="1619"/>
    <cellStyle name="Accent5 53" xfId="1620"/>
    <cellStyle name="Accent5 54" xfId="1621"/>
    <cellStyle name="Accent5 55" xfId="1622"/>
    <cellStyle name="Accent5 56" xfId="1623"/>
    <cellStyle name="Accent5 57" xfId="1624"/>
    <cellStyle name="Accent5 58" xfId="1625"/>
    <cellStyle name="Accent5 59" xfId="1626"/>
    <cellStyle name="Accent5 6" xfId="1627"/>
    <cellStyle name="Accent5 60" xfId="1628"/>
    <cellStyle name="Accent5 61" xfId="1629"/>
    <cellStyle name="Accent5 62" xfId="1630"/>
    <cellStyle name="Accent5 63" xfId="1631"/>
    <cellStyle name="Accent5 64" xfId="1632"/>
    <cellStyle name="Accent5 65" xfId="1633"/>
    <cellStyle name="Accent5 66" xfId="1634"/>
    <cellStyle name="Accent5 67" xfId="1635"/>
    <cellStyle name="Accent5 68" xfId="1636"/>
    <cellStyle name="Accent5 69" xfId="1637"/>
    <cellStyle name="Accent5 7" xfId="1638"/>
    <cellStyle name="Accent5 70" xfId="1639"/>
    <cellStyle name="Accent5 71" xfId="1640"/>
    <cellStyle name="Accent5 72" xfId="1641"/>
    <cellStyle name="Accent5 73" xfId="1642"/>
    <cellStyle name="Accent5 74" xfId="1643"/>
    <cellStyle name="Accent5 75" xfId="1644"/>
    <cellStyle name="Accent5 76" xfId="1645"/>
    <cellStyle name="Accent5 77" xfId="1646"/>
    <cellStyle name="Accent5 78" xfId="1647"/>
    <cellStyle name="Accent5 79" xfId="1648"/>
    <cellStyle name="Accent5 8" xfId="1649"/>
    <cellStyle name="Accent5 80" xfId="1650"/>
    <cellStyle name="Accent5 81" xfId="1651"/>
    <cellStyle name="Accent5 82" xfId="1652"/>
    <cellStyle name="Accent5 83" xfId="1653"/>
    <cellStyle name="Accent5 84" xfId="1654"/>
    <cellStyle name="Accent5 85" xfId="1655"/>
    <cellStyle name="Accent5 86" xfId="1656"/>
    <cellStyle name="Accent5 87" xfId="1657"/>
    <cellStyle name="Accent5 88" xfId="1658"/>
    <cellStyle name="Accent5 89" xfId="1659"/>
    <cellStyle name="Accent5 9" xfId="1660"/>
    <cellStyle name="Accent5 90" xfId="1661"/>
    <cellStyle name="Accent5 91" xfId="1662"/>
    <cellStyle name="Accent5 92" xfId="1663"/>
    <cellStyle name="Accent5 93" xfId="1664"/>
    <cellStyle name="Accent5 94" xfId="1665"/>
    <cellStyle name="Accent5 95" xfId="1666"/>
    <cellStyle name="Accent5 96" xfId="1667"/>
    <cellStyle name="Accent5 97" xfId="1668"/>
    <cellStyle name="Accent5 98" xfId="1669"/>
    <cellStyle name="Accent5 99" xfId="1670"/>
    <cellStyle name="Accent6 - 20%" xfId="1671"/>
    <cellStyle name="Accent6 - 40%" xfId="1672"/>
    <cellStyle name="Accent6 - 60%" xfId="1673"/>
    <cellStyle name="Accent6 10" xfId="1674"/>
    <cellStyle name="Accent6 100" xfId="1675"/>
    <cellStyle name="Accent6 101" xfId="1676"/>
    <cellStyle name="Accent6 102" xfId="1677"/>
    <cellStyle name="Accent6 103" xfId="1678"/>
    <cellStyle name="Accent6 104" xfId="1679"/>
    <cellStyle name="Accent6 105" xfId="1680"/>
    <cellStyle name="Accent6 106" xfId="1681"/>
    <cellStyle name="Accent6 107" xfId="1682"/>
    <cellStyle name="Accent6 108" xfId="1683"/>
    <cellStyle name="Accent6 109" xfId="1684"/>
    <cellStyle name="Accent6 11" xfId="1685"/>
    <cellStyle name="Accent6 110" xfId="1686"/>
    <cellStyle name="Accent6 111" xfId="1687"/>
    <cellStyle name="Accent6 112" xfId="1688"/>
    <cellStyle name="Accent6 113" xfId="1689"/>
    <cellStyle name="Accent6 114" xfId="1690"/>
    <cellStyle name="Accent6 115" xfId="1691"/>
    <cellStyle name="Accent6 116" xfId="1692"/>
    <cellStyle name="Accent6 117" xfId="1693"/>
    <cellStyle name="Accent6 118" xfId="1694"/>
    <cellStyle name="Accent6 119" xfId="1695"/>
    <cellStyle name="Accent6 12" xfId="1696"/>
    <cellStyle name="Accent6 120" xfId="1697"/>
    <cellStyle name="Accent6 121" xfId="1698"/>
    <cellStyle name="Accent6 122" xfId="1699"/>
    <cellStyle name="Accent6 123" xfId="1700"/>
    <cellStyle name="Accent6 124" xfId="1701"/>
    <cellStyle name="Accent6 125" xfId="1702"/>
    <cellStyle name="Accent6 126" xfId="1703"/>
    <cellStyle name="Accent6 127" xfId="1704"/>
    <cellStyle name="Accent6 128" xfId="1705"/>
    <cellStyle name="Accent6 129" xfId="1706"/>
    <cellStyle name="Accent6 13" xfId="1707"/>
    <cellStyle name="Accent6 130" xfId="1708"/>
    <cellStyle name="Accent6 131" xfId="1709"/>
    <cellStyle name="Accent6 132" xfId="1710"/>
    <cellStyle name="Accent6 133" xfId="1711"/>
    <cellStyle name="Accent6 134" xfId="1712"/>
    <cellStyle name="Accent6 135" xfId="1713"/>
    <cellStyle name="Accent6 136" xfId="1714"/>
    <cellStyle name="Accent6 137" xfId="1715"/>
    <cellStyle name="Accent6 138" xfId="1716"/>
    <cellStyle name="Accent6 139" xfId="1717"/>
    <cellStyle name="Accent6 14" xfId="1718"/>
    <cellStyle name="Accent6 140" xfId="1719"/>
    <cellStyle name="Accent6 141" xfId="1720"/>
    <cellStyle name="Accent6 142" xfId="1721"/>
    <cellStyle name="Accent6 143" xfId="1722"/>
    <cellStyle name="Accent6 144" xfId="1723"/>
    <cellStyle name="Accent6 145" xfId="1724"/>
    <cellStyle name="Accent6 146" xfId="1725"/>
    <cellStyle name="Accent6 147" xfId="1726"/>
    <cellStyle name="Accent6 148" xfId="1727"/>
    <cellStyle name="Accent6 149" xfId="1728"/>
    <cellStyle name="Accent6 15" xfId="1729"/>
    <cellStyle name="Accent6 150" xfId="1730"/>
    <cellStyle name="Accent6 151" xfId="1731"/>
    <cellStyle name="Accent6 152" xfId="1732"/>
    <cellStyle name="Accent6 153" xfId="1733"/>
    <cellStyle name="Accent6 154" xfId="1734"/>
    <cellStyle name="Accent6 155" xfId="1735"/>
    <cellStyle name="Accent6 156" xfId="1736"/>
    <cellStyle name="Accent6 157" xfId="1737"/>
    <cellStyle name="Accent6 158" xfId="1738"/>
    <cellStyle name="Accent6 159" xfId="1739"/>
    <cellStyle name="Accent6 16" xfId="1740"/>
    <cellStyle name="Accent6 160" xfId="1741"/>
    <cellStyle name="Accent6 161" xfId="1742"/>
    <cellStyle name="Accent6 162" xfId="1743"/>
    <cellStyle name="Accent6 163" xfId="1744"/>
    <cellStyle name="Accent6 164" xfId="1745"/>
    <cellStyle name="Accent6 165" xfId="1746"/>
    <cellStyle name="Accent6 166" xfId="1747"/>
    <cellStyle name="Accent6 167" xfId="1748"/>
    <cellStyle name="Accent6 168" xfId="1749"/>
    <cellStyle name="Accent6 169" xfId="1750"/>
    <cellStyle name="Accent6 17" xfId="1751"/>
    <cellStyle name="Accent6 170" xfId="1752"/>
    <cellStyle name="Accent6 171" xfId="1753"/>
    <cellStyle name="Accent6 172" xfId="1754"/>
    <cellStyle name="Accent6 173" xfId="1755"/>
    <cellStyle name="Accent6 174" xfId="1756"/>
    <cellStyle name="Accent6 175" xfId="1757"/>
    <cellStyle name="Accent6 176" xfId="1758"/>
    <cellStyle name="Accent6 177" xfId="1759"/>
    <cellStyle name="Accent6 178" xfId="1760"/>
    <cellStyle name="Accent6 179" xfId="1761"/>
    <cellStyle name="Accent6 18" xfId="1762"/>
    <cellStyle name="Accent6 180" xfId="1763"/>
    <cellStyle name="Accent6 181" xfId="1764"/>
    <cellStyle name="Accent6 182" xfId="1765"/>
    <cellStyle name="Accent6 183" xfId="1766"/>
    <cellStyle name="Accent6 184" xfId="1767"/>
    <cellStyle name="Accent6 185" xfId="1768"/>
    <cellStyle name="Accent6 186" xfId="1769"/>
    <cellStyle name="Accent6 187" xfId="1770"/>
    <cellStyle name="Accent6 188" xfId="1771"/>
    <cellStyle name="Accent6 189" xfId="1772"/>
    <cellStyle name="Accent6 19" xfId="1773"/>
    <cellStyle name="Accent6 190" xfId="1774"/>
    <cellStyle name="Accent6 191" xfId="1775"/>
    <cellStyle name="Accent6 192" xfId="1776"/>
    <cellStyle name="Accent6 193" xfId="1777"/>
    <cellStyle name="Accent6 194" xfId="1778"/>
    <cellStyle name="Accent6 195" xfId="1779"/>
    <cellStyle name="Accent6 196" xfId="1780"/>
    <cellStyle name="Accent6 197" xfId="1781"/>
    <cellStyle name="Accent6 198" xfId="1782"/>
    <cellStyle name="Accent6 199" xfId="1783"/>
    <cellStyle name="Accent6 2" xfId="1784"/>
    <cellStyle name="Accent6 2 2" xfId="1785"/>
    <cellStyle name="Accent6 2 3" xfId="3926"/>
    <cellStyle name="Accent6 2 4" xfId="6395"/>
    <cellStyle name="Accent6 20" xfId="1786"/>
    <cellStyle name="Accent6 200" xfId="1787"/>
    <cellStyle name="Accent6 201" xfId="1788"/>
    <cellStyle name="Accent6 202" xfId="1789"/>
    <cellStyle name="Accent6 203" xfId="1790"/>
    <cellStyle name="Accent6 204" xfId="1791"/>
    <cellStyle name="Accent6 205" xfId="1792"/>
    <cellStyle name="Accent6 206" xfId="1793"/>
    <cellStyle name="Accent6 207" xfId="1794"/>
    <cellStyle name="Accent6 208" xfId="1795"/>
    <cellStyle name="Accent6 209" xfId="1796"/>
    <cellStyle name="Accent6 21" xfId="1797"/>
    <cellStyle name="Accent6 210" xfId="1798"/>
    <cellStyle name="Accent6 211" xfId="1799"/>
    <cellStyle name="Accent6 212" xfId="1800"/>
    <cellStyle name="Accent6 213" xfId="1801"/>
    <cellStyle name="Accent6 214" xfId="1802"/>
    <cellStyle name="Accent6 215" xfId="1803"/>
    <cellStyle name="Accent6 216" xfId="1804"/>
    <cellStyle name="Accent6 217" xfId="1805"/>
    <cellStyle name="Accent6 218" xfId="1806"/>
    <cellStyle name="Accent6 219" xfId="1807"/>
    <cellStyle name="Accent6 22" xfId="1808"/>
    <cellStyle name="Accent6 220" xfId="1809"/>
    <cellStyle name="Accent6 221" xfId="1810"/>
    <cellStyle name="Accent6 222" xfId="1811"/>
    <cellStyle name="Accent6 223" xfId="1812"/>
    <cellStyle name="Accent6 224" xfId="1813"/>
    <cellStyle name="Accent6 225" xfId="1814"/>
    <cellStyle name="Accent6 226" xfId="1815"/>
    <cellStyle name="Accent6 227" xfId="1816"/>
    <cellStyle name="Accent6 228" xfId="1817"/>
    <cellStyle name="Accent6 229" xfId="1818"/>
    <cellStyle name="Accent6 23" xfId="1819"/>
    <cellStyle name="Accent6 230" xfId="1820"/>
    <cellStyle name="Accent6 231" xfId="1821"/>
    <cellStyle name="Accent6 232" xfId="1822"/>
    <cellStyle name="Accent6 233" xfId="1823"/>
    <cellStyle name="Accent6 234" xfId="1824"/>
    <cellStyle name="Accent6 235" xfId="1825"/>
    <cellStyle name="Accent6 236" xfId="1826"/>
    <cellStyle name="Accent6 237" xfId="1827"/>
    <cellStyle name="Accent6 238" xfId="1828"/>
    <cellStyle name="Accent6 239" xfId="1829"/>
    <cellStyle name="Accent6 24" xfId="1830"/>
    <cellStyle name="Accent6 240" xfId="1831"/>
    <cellStyle name="Accent6 241" xfId="3927"/>
    <cellStyle name="Accent6 242" xfId="14012"/>
    <cellStyle name="Accent6 25" xfId="1832"/>
    <cellStyle name="Accent6 26" xfId="1833"/>
    <cellStyle name="Accent6 27" xfId="1834"/>
    <cellStyle name="Accent6 28" xfId="1835"/>
    <cellStyle name="Accent6 29" xfId="1836"/>
    <cellStyle name="Accent6 3" xfId="1837"/>
    <cellStyle name="Accent6 3 2" xfId="3928"/>
    <cellStyle name="Accent6 3 3" xfId="5307"/>
    <cellStyle name="Accent6 3 4" xfId="6396"/>
    <cellStyle name="Accent6 30" xfId="1838"/>
    <cellStyle name="Accent6 31" xfId="1839"/>
    <cellStyle name="Accent6 32" xfId="1840"/>
    <cellStyle name="Accent6 33" xfId="1841"/>
    <cellStyle name="Accent6 34" xfId="1842"/>
    <cellStyle name="Accent6 35" xfId="1843"/>
    <cellStyle name="Accent6 36" xfId="1844"/>
    <cellStyle name="Accent6 37" xfId="1845"/>
    <cellStyle name="Accent6 38" xfId="1846"/>
    <cellStyle name="Accent6 39" xfId="1847"/>
    <cellStyle name="Accent6 4" xfId="1848"/>
    <cellStyle name="Accent6 4 2" xfId="3929"/>
    <cellStyle name="Accent6 4 3" xfId="5306"/>
    <cellStyle name="Accent6 4 4" xfId="6397"/>
    <cellStyle name="Accent6 40" xfId="1849"/>
    <cellStyle name="Accent6 41" xfId="1850"/>
    <cellStyle name="Accent6 42" xfId="1851"/>
    <cellStyle name="Accent6 43" xfId="1852"/>
    <cellStyle name="Accent6 44" xfId="1853"/>
    <cellStyle name="Accent6 45" xfId="1854"/>
    <cellStyle name="Accent6 46" xfId="1855"/>
    <cellStyle name="Accent6 47" xfId="1856"/>
    <cellStyle name="Accent6 48" xfId="1857"/>
    <cellStyle name="Accent6 49" xfId="1858"/>
    <cellStyle name="Accent6 5" xfId="1859"/>
    <cellStyle name="Accent6 50" xfId="1860"/>
    <cellStyle name="Accent6 51" xfId="1861"/>
    <cellStyle name="Accent6 52" xfId="1862"/>
    <cellStyle name="Accent6 53" xfId="1863"/>
    <cellStyle name="Accent6 54" xfId="1864"/>
    <cellStyle name="Accent6 55" xfId="1865"/>
    <cellStyle name="Accent6 56" xfId="1866"/>
    <cellStyle name="Accent6 57" xfId="1867"/>
    <cellStyle name="Accent6 58" xfId="1868"/>
    <cellStyle name="Accent6 59" xfId="1869"/>
    <cellStyle name="Accent6 6" xfId="1870"/>
    <cellStyle name="Accent6 60" xfId="1871"/>
    <cellStyle name="Accent6 61" xfId="1872"/>
    <cellStyle name="Accent6 62" xfId="1873"/>
    <cellStyle name="Accent6 63" xfId="1874"/>
    <cellStyle name="Accent6 64" xfId="1875"/>
    <cellStyle name="Accent6 65" xfId="1876"/>
    <cellStyle name="Accent6 66" xfId="1877"/>
    <cellStyle name="Accent6 67" xfId="1878"/>
    <cellStyle name="Accent6 68" xfId="1879"/>
    <cellStyle name="Accent6 69" xfId="1880"/>
    <cellStyle name="Accent6 7" xfId="1881"/>
    <cellStyle name="Accent6 70" xfId="1882"/>
    <cellStyle name="Accent6 71" xfId="1883"/>
    <cellStyle name="Accent6 72" xfId="1884"/>
    <cellStyle name="Accent6 73" xfId="1885"/>
    <cellStyle name="Accent6 74" xfId="1886"/>
    <cellStyle name="Accent6 75" xfId="1887"/>
    <cellStyle name="Accent6 76" xfId="1888"/>
    <cellStyle name="Accent6 77" xfId="1889"/>
    <cellStyle name="Accent6 78" xfId="1890"/>
    <cellStyle name="Accent6 79" xfId="1891"/>
    <cellStyle name="Accent6 8" xfId="1892"/>
    <cellStyle name="Accent6 80" xfId="1893"/>
    <cellStyle name="Accent6 81" xfId="1894"/>
    <cellStyle name="Accent6 82" xfId="1895"/>
    <cellStyle name="Accent6 83" xfId="1896"/>
    <cellStyle name="Accent6 84" xfId="1897"/>
    <cellStyle name="Accent6 85" xfId="1898"/>
    <cellStyle name="Accent6 86" xfId="1899"/>
    <cellStyle name="Accent6 87" xfId="1900"/>
    <cellStyle name="Accent6 88" xfId="1901"/>
    <cellStyle name="Accent6 89" xfId="1902"/>
    <cellStyle name="Accent6 9" xfId="1903"/>
    <cellStyle name="Accent6 90" xfId="1904"/>
    <cellStyle name="Accent6 91" xfId="1905"/>
    <cellStyle name="Accent6 92" xfId="1906"/>
    <cellStyle name="Accent6 93" xfId="1907"/>
    <cellStyle name="Accent6 94" xfId="1908"/>
    <cellStyle name="Accent6 95" xfId="1909"/>
    <cellStyle name="Accent6 96" xfId="1910"/>
    <cellStyle name="Accent6 97" xfId="1911"/>
    <cellStyle name="Accent6 98" xfId="1912"/>
    <cellStyle name="Accent6 99" xfId="1913"/>
    <cellStyle name="Actual Date" xfId="1914"/>
    <cellStyle name="Actual Date 2" xfId="1915"/>
    <cellStyle name="Actual Date 3" xfId="3930"/>
    <cellStyle name="Alternate Rows" xfId="1916"/>
    <cellStyle name="Alternate Yellow" xfId="1917"/>
    <cellStyle name="Alternate Yellow 2" xfId="9572"/>
    <cellStyle name="Alternate Yellow 2 2" xfId="17591"/>
    <cellStyle name="Alternate Yellow 3" xfId="14425"/>
    <cellStyle name="Avertissement" xfId="1918"/>
    <cellStyle name="Bad 10" xfId="1919"/>
    <cellStyle name="Bad 11" xfId="1920"/>
    <cellStyle name="Bad 12" xfId="1921"/>
    <cellStyle name="Bad 13" xfId="1922"/>
    <cellStyle name="Bad 14" xfId="1923"/>
    <cellStyle name="Bad 15" xfId="1924"/>
    <cellStyle name="Bad 16" xfId="1925"/>
    <cellStyle name="Bad 17" xfId="1926"/>
    <cellStyle name="Bad 18" xfId="1927"/>
    <cellStyle name="Bad 19" xfId="1928"/>
    <cellStyle name="Bad 2" xfId="1929"/>
    <cellStyle name="Bad 2 2" xfId="1930"/>
    <cellStyle name="Bad 2 3" xfId="3931"/>
    <cellStyle name="Bad 2 4" xfId="6398"/>
    <cellStyle name="Bad 20" xfId="1931"/>
    <cellStyle name="Bad 21" xfId="1932"/>
    <cellStyle name="Bad 22" xfId="1933"/>
    <cellStyle name="Bad 23" xfId="5372"/>
    <cellStyle name="Bad 24" xfId="13497"/>
    <cellStyle name="Bad 3" xfId="1934"/>
    <cellStyle name="Bad 3 2" xfId="3932"/>
    <cellStyle name="Bad 3 3" xfId="5309"/>
    <cellStyle name="Bad 3 4" xfId="6399"/>
    <cellStyle name="Bad 4" xfId="1935"/>
    <cellStyle name="Bad 4 2" xfId="1936"/>
    <cellStyle name="Bad 4 3" xfId="3933"/>
    <cellStyle name="Bad 4 4" xfId="5308"/>
    <cellStyle name="Bad 4 5" xfId="6400"/>
    <cellStyle name="Bad 5" xfId="1937"/>
    <cellStyle name="Bad 6" xfId="1938"/>
    <cellStyle name="Bad 7" xfId="1939"/>
    <cellStyle name="Bad 8" xfId="1940"/>
    <cellStyle name="Bad 9" xfId="1941"/>
    <cellStyle name="Band 2" xfId="1942"/>
    <cellStyle name="Banner" xfId="3934"/>
    <cellStyle name="Blue Font" xfId="1943"/>
    <cellStyle name="BOLD" xfId="1944"/>
    <cellStyle name="Bold Red" xfId="9743"/>
    <cellStyle name="Border" xfId="1945"/>
    <cellStyle name="Calc" xfId="1946"/>
    <cellStyle name="calc 0dp" xfId="3935"/>
    <cellStyle name="calc 0dp 2" xfId="3936"/>
    <cellStyle name="calc 0dp 2 2" xfId="3937"/>
    <cellStyle name="calc 0dp 2 2 2" xfId="14086"/>
    <cellStyle name="calc 0dp 2 3" xfId="14085"/>
    <cellStyle name="calc 0dp 3" xfId="3938"/>
    <cellStyle name="calc 0dp 3 2" xfId="14087"/>
    <cellStyle name="calc 0dp 4" xfId="14084"/>
    <cellStyle name="Calc 10" xfId="14424"/>
    <cellStyle name="Calc 11" xfId="15439"/>
    <cellStyle name="Calc 12" xfId="15631"/>
    <cellStyle name="Calc 13" xfId="15633"/>
    <cellStyle name="Calc 14" xfId="15638"/>
    <cellStyle name="Calc 15" xfId="15830"/>
    <cellStyle name="Calc 16" xfId="16072"/>
    <cellStyle name="Calc 17" xfId="16080"/>
    <cellStyle name="Calc 18" xfId="16061"/>
    <cellStyle name="Calc 19" xfId="15888"/>
    <cellStyle name="Calc 2" xfId="9573"/>
    <cellStyle name="Calc 2 2" xfId="17592"/>
    <cellStyle name="Calc 20" xfId="15911"/>
    <cellStyle name="Calc 21" xfId="15907"/>
    <cellStyle name="Calc 22" xfId="16081"/>
    <cellStyle name="Calc 23" xfId="15930"/>
    <cellStyle name="Calc 24" xfId="15896"/>
    <cellStyle name="Calc 25" xfId="16083"/>
    <cellStyle name="Calc 26" xfId="17567"/>
    <cellStyle name="Calc 3" xfId="9574"/>
    <cellStyle name="Calc 3 2" xfId="17593"/>
    <cellStyle name="Calc 4" xfId="9703"/>
    <cellStyle name="Calc 4 2" xfId="17649"/>
    <cellStyle name="Calc 5" xfId="14426"/>
    <cellStyle name="Calc 6" xfId="15383"/>
    <cellStyle name="Calc 7" xfId="15387"/>
    <cellStyle name="Calc 8" xfId="14154"/>
    <cellStyle name="Calc 9" xfId="15386"/>
    <cellStyle name="Calcul" xfId="1947"/>
    <cellStyle name="Calculation 10" xfId="1948"/>
    <cellStyle name="Calculation 11" xfId="1949"/>
    <cellStyle name="Calculation 12" xfId="1950"/>
    <cellStyle name="Calculation 13" xfId="1951"/>
    <cellStyle name="Calculation 14" xfId="1952"/>
    <cellStyle name="Calculation 15" xfId="1953"/>
    <cellStyle name="Calculation 16" xfId="1954"/>
    <cellStyle name="Calculation 17" xfId="1955"/>
    <cellStyle name="Calculation 18" xfId="1956"/>
    <cellStyle name="Calculation 19" xfId="1957"/>
    <cellStyle name="Calculation 2" xfId="1958"/>
    <cellStyle name="Calculation 2 2" xfId="1959"/>
    <cellStyle name="Calculation 2 3" xfId="3939"/>
    <cellStyle name="Calculation 2 4" xfId="6401"/>
    <cellStyle name="Calculation 20" xfId="1960"/>
    <cellStyle name="Calculation 21" xfId="1961"/>
    <cellStyle name="Calculation 22" xfId="1962"/>
    <cellStyle name="Calculation 23" xfId="13498"/>
    <cellStyle name="Calculation 3" xfId="1963"/>
    <cellStyle name="Calculation 3 2" xfId="3940"/>
    <cellStyle name="Calculation 3 3" xfId="5311"/>
    <cellStyle name="Calculation 3 4" xfId="6402"/>
    <cellStyle name="Calculation 4" xfId="1964"/>
    <cellStyle name="Calculation 4 2" xfId="1965"/>
    <cellStyle name="Calculation 4 3" xfId="3941"/>
    <cellStyle name="Calculation 4 4" xfId="5310"/>
    <cellStyle name="Calculation 4 5" xfId="6403"/>
    <cellStyle name="Calculation 5" xfId="1966"/>
    <cellStyle name="Calculation 6" xfId="1967"/>
    <cellStyle name="Calculation 7" xfId="1968"/>
    <cellStyle name="Calculation 8" xfId="1969"/>
    <cellStyle name="Calculation 9" xfId="1970"/>
    <cellStyle name="Cellule liée" xfId="1971"/>
    <cellStyle name="Check Cell 10" xfId="1972"/>
    <cellStyle name="Check Cell 11" xfId="1973"/>
    <cellStyle name="Check Cell 12" xfId="1974"/>
    <cellStyle name="Check Cell 13" xfId="1975"/>
    <cellStyle name="Check Cell 14" xfId="1976"/>
    <cellStyle name="Check Cell 15" xfId="1977"/>
    <cellStyle name="Check Cell 16" xfId="1978"/>
    <cellStyle name="Check Cell 17" xfId="1979"/>
    <cellStyle name="Check Cell 18" xfId="1980"/>
    <cellStyle name="Check Cell 19" xfId="1981"/>
    <cellStyle name="Check Cell 2" xfId="1982"/>
    <cellStyle name="Check Cell 2 2" xfId="1983"/>
    <cellStyle name="Check Cell 2 3" xfId="3942"/>
    <cellStyle name="Check Cell 2 4" xfId="6404"/>
    <cellStyle name="Check Cell 20" xfId="1984"/>
    <cellStyle name="Check Cell 21" xfId="1985"/>
    <cellStyle name="Check Cell 22" xfId="1986"/>
    <cellStyle name="Check Cell 23" xfId="13499"/>
    <cellStyle name="Check Cell 3" xfId="1987"/>
    <cellStyle name="Check Cell 3 2" xfId="3943"/>
    <cellStyle name="Check Cell 3 3" xfId="5313"/>
    <cellStyle name="Check Cell 3 4" xfId="6405"/>
    <cellStyle name="Check Cell 4" xfId="1988"/>
    <cellStyle name="Check Cell 4 2" xfId="1989"/>
    <cellStyle name="Check Cell 4 3" xfId="3944"/>
    <cellStyle name="Check Cell 4 4" xfId="5312"/>
    <cellStyle name="Check Cell 4 5" xfId="6406"/>
    <cellStyle name="Check Cell 5" xfId="1990"/>
    <cellStyle name="Check Cell 6" xfId="1991"/>
    <cellStyle name="Check Cell 7" xfId="1992"/>
    <cellStyle name="Check Cell 8" xfId="1993"/>
    <cellStyle name="Check Cell 9" xfId="1994"/>
    <cellStyle name="Column Heading" xfId="3945"/>
    <cellStyle name="Column Title" xfId="3946"/>
    <cellStyle name="ColumnHeadings" xfId="1995"/>
    <cellStyle name="ColumnHeadings2" xfId="1996"/>
    <cellStyle name="ColumnHeadings2 2" xfId="22828"/>
    <cellStyle name="Comma" xfId="1997" builtinId="3"/>
    <cellStyle name="Comma [0] 2" xfId="9672"/>
    <cellStyle name="Comma [0] 2 2" xfId="17632"/>
    <cellStyle name="Comma [1]" xfId="1998"/>
    <cellStyle name="Comma [2]" xfId="1999"/>
    <cellStyle name="Comma 0" xfId="2000"/>
    <cellStyle name="Comma 10" xfId="2001"/>
    <cellStyle name="Comma 10 2" xfId="3947"/>
    <cellStyle name="Comma 10 2 2" xfId="14089"/>
    <cellStyle name="Comma 10 3" xfId="3948"/>
    <cellStyle name="Comma 10 4" xfId="3949"/>
    <cellStyle name="Comma 10 4 2" xfId="14088"/>
    <cellStyle name="Comma 10 5" xfId="3950"/>
    <cellStyle name="Comma 10 5 2" xfId="14649"/>
    <cellStyle name="Comma 10 6" xfId="5194"/>
    <cellStyle name="Comma 10 7" xfId="6408"/>
    <cellStyle name="Comma 10 7 2" xfId="14427"/>
    <cellStyle name="Comma 10 8" xfId="13500"/>
    <cellStyle name="Comma 100" xfId="16319"/>
    <cellStyle name="Comma 101" xfId="22799"/>
    <cellStyle name="Comma 102" xfId="22803"/>
    <cellStyle name="Comma 103" xfId="16119"/>
    <cellStyle name="Comma 104" xfId="16116"/>
    <cellStyle name="Comma 105" xfId="22809"/>
    <cellStyle name="Comma 106" xfId="22820"/>
    <cellStyle name="Comma 107" xfId="22824"/>
    <cellStyle name="Comma 11" xfId="2002"/>
    <cellStyle name="Comma 11 2" xfId="3951"/>
    <cellStyle name="Comma 11 2 2" xfId="14091"/>
    <cellStyle name="Comma 11 3" xfId="3952"/>
    <cellStyle name="Comma 11 4" xfId="5371"/>
    <cellStyle name="Comma 11 4 2" xfId="14092"/>
    <cellStyle name="Comma 11 5" xfId="3953"/>
    <cellStyle name="Comma 11 5 2" xfId="14650"/>
    <cellStyle name="Comma 11 6" xfId="6409"/>
    <cellStyle name="Comma 11 6 2" xfId="14428"/>
    <cellStyle name="Comma 11 7" xfId="13501"/>
    <cellStyle name="Comma 11 8" xfId="14090"/>
    <cellStyle name="Comma 12" xfId="2003"/>
    <cellStyle name="Comma 12 2" xfId="5344"/>
    <cellStyle name="Comma 12 2 2" xfId="14094"/>
    <cellStyle name="Comma 12 3" xfId="3954"/>
    <cellStyle name="Comma 12 4" xfId="6410"/>
    <cellStyle name="Comma 12 5" xfId="14093"/>
    <cellStyle name="Comma 13" xfId="2004"/>
    <cellStyle name="Comma 13 2" xfId="2005"/>
    <cellStyle name="Comma 13 2 2" xfId="3955"/>
    <cellStyle name="Comma 13 2 3" xfId="5315"/>
    <cellStyle name="Comma 13 2 3 2" xfId="14946"/>
    <cellStyle name="Comma 13 2 4" xfId="6412"/>
    <cellStyle name="Comma 13 2 5" xfId="14096"/>
    <cellStyle name="Comma 13 3" xfId="3956"/>
    <cellStyle name="Comma 13 4" xfId="3957"/>
    <cellStyle name="Comma 13 5" xfId="5314"/>
    <cellStyle name="Comma 13 5 2" xfId="14945"/>
    <cellStyle name="Comma 13 6" xfId="6411"/>
    <cellStyle name="Comma 13 7" xfId="14095"/>
    <cellStyle name="Comma 14" xfId="2006"/>
    <cellStyle name="Comma 14 2" xfId="3958"/>
    <cellStyle name="Comma 14 2 2" xfId="14099"/>
    <cellStyle name="Comma 14 3" xfId="3959"/>
    <cellStyle name="Comma 14 4" xfId="6413"/>
    <cellStyle name="Comma 14 5" xfId="14098"/>
    <cellStyle name="Comma 15" xfId="2007"/>
    <cellStyle name="Comma 15 2" xfId="2008"/>
    <cellStyle name="Comma 15 2 2" xfId="5631"/>
    <cellStyle name="Comma 15 3" xfId="5041"/>
    <cellStyle name="Comma 15 3 2" xfId="7320"/>
    <cellStyle name="Comma 15 3 3" xfId="6825"/>
    <cellStyle name="Comma 15 3 3 2" xfId="9935"/>
    <cellStyle name="Comma 15 3 3 2 2" xfId="17807"/>
    <cellStyle name="Comma 15 3 3 3" xfId="17072"/>
    <cellStyle name="Comma 15 3 4" xfId="9934"/>
    <cellStyle name="Comma 15 3 4 2" xfId="17806"/>
    <cellStyle name="Comma 15 3 5" xfId="14781"/>
    <cellStyle name="Comma 15 3 5 2" xfId="21685"/>
    <cellStyle name="Comma 15 3 6" xfId="16320"/>
    <cellStyle name="Comma 15 4" xfId="5316"/>
    <cellStyle name="Comma 15 4 2" xfId="14947"/>
    <cellStyle name="Comma 15 5" xfId="6231"/>
    <cellStyle name="Comma 15 5 2" xfId="6414"/>
    <cellStyle name="Comma 15 5 3" xfId="9936"/>
    <cellStyle name="Comma 15 5 3 2" xfId="17808"/>
    <cellStyle name="Comma 15 5 4" xfId="16789"/>
    <cellStyle name="Comma 15 6" xfId="14100"/>
    <cellStyle name="Comma 16" xfId="2009"/>
    <cellStyle name="Comma 16 2" xfId="3960"/>
    <cellStyle name="Comma 16 3" xfId="5358"/>
    <cellStyle name="Comma 16 3 2" xfId="14972"/>
    <cellStyle name="Comma 16 4" xfId="6415"/>
    <cellStyle name="Comma 16 5" xfId="14101"/>
    <cellStyle name="Comma 17" xfId="2010"/>
    <cellStyle name="Comma 17 2" xfId="2011"/>
    <cellStyle name="Comma 17 2 2" xfId="5632"/>
    <cellStyle name="Comma 17 2 3" xfId="6417"/>
    <cellStyle name="Comma 17 2 3 2" xfId="9938"/>
    <cellStyle name="Comma 17 2 3 2 2" xfId="17810"/>
    <cellStyle name="Comma 17 2 4" xfId="9937"/>
    <cellStyle name="Comma 17 2 4 2" xfId="17809"/>
    <cellStyle name="Comma 17 2 5" xfId="15403"/>
    <cellStyle name="Comma 17 2 5 2" xfId="22191"/>
    <cellStyle name="Comma 17 2 6" xfId="16283"/>
    <cellStyle name="Comma 17 3" xfId="5351"/>
    <cellStyle name="Comma 17 3 2" xfId="14968"/>
    <cellStyle name="Comma 17 4" xfId="5317"/>
    <cellStyle name="Comma 17 5" xfId="6416"/>
    <cellStyle name="Comma 18" xfId="2012"/>
    <cellStyle name="Comma 18 2" xfId="3961"/>
    <cellStyle name="Comma 18 3" xfId="5318"/>
    <cellStyle name="Comma 18 3 2" xfId="14948"/>
    <cellStyle name="Comma 18 4" xfId="6418"/>
    <cellStyle name="Comma 18 5" xfId="14102"/>
    <cellStyle name="Comma 19" xfId="2013"/>
    <cellStyle name="Comma 19 2" xfId="3962"/>
    <cellStyle name="Comma 19 3" xfId="5319"/>
    <cellStyle name="Comma 19 4" xfId="6419"/>
    <cellStyle name="Comma 19 5" xfId="9739"/>
    <cellStyle name="Comma 19 5 2" xfId="17669"/>
    <cellStyle name="Comma 2" xfId="2014"/>
    <cellStyle name="Comma 2 10" xfId="3963"/>
    <cellStyle name="Comma 2 11" xfId="13502"/>
    <cellStyle name="Comma 2 12" xfId="22811"/>
    <cellStyle name="Comma 2 2" xfId="2015"/>
    <cellStyle name="Comma 2 2 2" xfId="2016"/>
    <cellStyle name="Comma 2 2 2 2" xfId="3964"/>
    <cellStyle name="Comma 2 2 2 3" xfId="5321"/>
    <cellStyle name="Comma 2 2 2 3 2" xfId="14950"/>
    <cellStyle name="Comma 2 2 2 4" xfId="6421"/>
    <cellStyle name="Comma 2 2 2 5" xfId="9786"/>
    <cellStyle name="Comma 2 2 2 6" xfId="14104"/>
    <cellStyle name="Comma 2 2 2 7" xfId="22829"/>
    <cellStyle name="Comma 2 2 3" xfId="2017"/>
    <cellStyle name="Comma 2 2 3 2" xfId="3965"/>
    <cellStyle name="Comma 2 2 3 2 2" xfId="14652"/>
    <cellStyle name="Comma 2 2 3 3" xfId="5599"/>
    <cellStyle name="Comma 2 2 3 4" xfId="14431"/>
    <cellStyle name="Comma 2 2 4" xfId="3966"/>
    <cellStyle name="Comma 2 2 5" xfId="3967"/>
    <cellStyle name="Comma 2 2 5 2" xfId="14653"/>
    <cellStyle name="Comma 2 2 6" xfId="6420"/>
    <cellStyle name="Comma 2 2 6 2" xfId="9939"/>
    <cellStyle name="Comma 2 2 6 2 2" xfId="17811"/>
    <cellStyle name="Comma 2 2 7" xfId="15402"/>
    <cellStyle name="Comma 2 2 7 2" xfId="22190"/>
    <cellStyle name="Comma 2 3" xfId="2018"/>
    <cellStyle name="Comma 2 3 2" xfId="2019"/>
    <cellStyle name="Comma 2 3 2 2" xfId="2020"/>
    <cellStyle name="Comma 2 3 2 2 2" xfId="5634"/>
    <cellStyle name="Comma 2 3 2 3" xfId="5043"/>
    <cellStyle name="Comma 2 3 2 3 2" xfId="7321"/>
    <cellStyle name="Comma 2 3 2 3 3" xfId="6827"/>
    <cellStyle name="Comma 2 3 2 3 3 2" xfId="9941"/>
    <cellStyle name="Comma 2 3 2 3 3 2 2" xfId="17813"/>
    <cellStyle name="Comma 2 3 2 3 3 3" xfId="17074"/>
    <cellStyle name="Comma 2 3 2 3 4" xfId="9940"/>
    <cellStyle name="Comma 2 3 2 3 4 2" xfId="17812"/>
    <cellStyle name="Comma 2 3 2 3 5" xfId="14783"/>
    <cellStyle name="Comma 2 3 2 3 5 2" xfId="21687"/>
    <cellStyle name="Comma 2 3 2 3 6" xfId="16322"/>
    <cellStyle name="Comma 2 3 2 4" xfId="5322"/>
    <cellStyle name="Comma 2 3 2 4 2" xfId="14951"/>
    <cellStyle name="Comma 2 3 2 5" xfId="6233"/>
    <cellStyle name="Comma 2 3 2 5 2" xfId="6423"/>
    <cellStyle name="Comma 2 3 2 5 3" xfId="9942"/>
    <cellStyle name="Comma 2 3 2 5 3 2" xfId="17814"/>
    <cellStyle name="Comma 2 3 2 5 4" xfId="16791"/>
    <cellStyle name="Comma 2 3 2 6" xfId="9787"/>
    <cellStyle name="Comma 2 3 2 7" xfId="14105"/>
    <cellStyle name="Comma 2 3 3" xfId="2021"/>
    <cellStyle name="Comma 2 3 3 2" xfId="3968"/>
    <cellStyle name="Comma 2 3 3 2 2" xfId="14654"/>
    <cellStyle name="Comma 2 3 3 3" xfId="5600"/>
    <cellStyle name="Comma 2 3 3 4" xfId="14432"/>
    <cellStyle name="Comma 2 3 4" xfId="2022"/>
    <cellStyle name="Comma 2 3 4 2" xfId="5615"/>
    <cellStyle name="Comma 2 3 4 3" xfId="6424"/>
    <cellStyle name="Comma 2 3 4 4" xfId="16284"/>
    <cellStyle name="Comma 2 3 5" xfId="5042"/>
    <cellStyle name="Comma 2 3 5 2" xfId="5633"/>
    <cellStyle name="Comma 2 3 5 3" xfId="6826"/>
    <cellStyle name="Comma 2 3 5 3 2" xfId="9944"/>
    <cellStyle name="Comma 2 3 5 3 2 2" xfId="17816"/>
    <cellStyle name="Comma 2 3 5 3 3" xfId="17073"/>
    <cellStyle name="Comma 2 3 5 4" xfId="9943"/>
    <cellStyle name="Comma 2 3 5 4 2" xfId="17815"/>
    <cellStyle name="Comma 2 3 5 5" xfId="14782"/>
    <cellStyle name="Comma 2 3 5 5 2" xfId="21686"/>
    <cellStyle name="Comma 2 3 5 6" xfId="16321"/>
    <cellStyle name="Comma 2 3 6" xfId="5164"/>
    <cellStyle name="Comma 2 3 7" xfId="6232"/>
    <cellStyle name="Comma 2 3 7 2" xfId="6422"/>
    <cellStyle name="Comma 2 3 7 3" xfId="9945"/>
    <cellStyle name="Comma 2 3 7 3 2" xfId="17817"/>
    <cellStyle name="Comma 2 3 7 4" xfId="16790"/>
    <cellStyle name="Comma 2 4" xfId="2023"/>
    <cellStyle name="Comma 2 4 2" xfId="2024"/>
    <cellStyle name="Comma 2 4 2 2" xfId="3969"/>
    <cellStyle name="Comma 2 4 2 2 2" xfId="14655"/>
    <cellStyle name="Comma 2 4 2 3" xfId="5324"/>
    <cellStyle name="Comma 2 4 2 3 2" xfId="14953"/>
    <cellStyle name="Comma 2 4 2 4" xfId="6426"/>
    <cellStyle name="Comma 2 4 2 4 2" xfId="14434"/>
    <cellStyle name="Comma 2 4 2 5" xfId="13504"/>
    <cellStyle name="Comma 2 4 2 6" xfId="14107"/>
    <cellStyle name="Comma 2 4 3" xfId="2025"/>
    <cellStyle name="Comma 2 4 3 2" xfId="3970"/>
    <cellStyle name="Comma 2 4 3 3" xfId="5323"/>
    <cellStyle name="Comma 2 4 3 3 2" xfId="14952"/>
    <cellStyle name="Comma 2 4 3 4" xfId="6427"/>
    <cellStyle name="Comma 2 4 3 5" xfId="14106"/>
    <cellStyle name="Comma 2 4 4" xfId="3971"/>
    <cellStyle name="Comma 2 4 5" xfId="3972"/>
    <cellStyle name="Comma 2 4 5 2" xfId="14656"/>
    <cellStyle name="Comma 2 4 6" xfId="6425"/>
    <cellStyle name="Comma 2 4 6 2" xfId="14433"/>
    <cellStyle name="Comma 2 4 7" xfId="13503"/>
    <cellStyle name="Comma 2 5" xfId="2026"/>
    <cellStyle name="Comma 2 5 2" xfId="5370"/>
    <cellStyle name="Comma 2 5 3" xfId="3973"/>
    <cellStyle name="Comma 2 5 3 2" xfId="14108"/>
    <cellStyle name="Comma 2 5 4" xfId="3974"/>
    <cellStyle name="Comma 2 5 4 2" xfId="14657"/>
    <cellStyle name="Comma 2 5 5" xfId="5360"/>
    <cellStyle name="Comma 2 5 6" xfId="6428"/>
    <cellStyle name="Comma 2 5 6 2" xfId="14435"/>
    <cellStyle name="Comma 2 5 7" xfId="13505"/>
    <cellStyle name="Comma 2 6" xfId="2027"/>
    <cellStyle name="Comma 2 6 2" xfId="3975"/>
    <cellStyle name="Comma 2 6 2 2" xfId="14110"/>
    <cellStyle name="Comma 2 6 3" xfId="3976"/>
    <cellStyle name="Comma 2 6 3 2" xfId="14109"/>
    <cellStyle name="Comma 2 6 4" xfId="5242"/>
    <cellStyle name="Comma 2 6 4 2" xfId="14944"/>
    <cellStyle name="Comma 2 6 5" xfId="13506"/>
    <cellStyle name="Comma 2 6 6" xfId="14079"/>
    <cellStyle name="Comma 2 7" xfId="2028"/>
    <cellStyle name="Comma 2 7 2" xfId="3977"/>
    <cellStyle name="Comma 2 7 2 2" xfId="14111"/>
    <cellStyle name="Comma 2 7 3" xfId="3978"/>
    <cellStyle name="Comma 2 7 3 2" xfId="14658"/>
    <cellStyle name="Comma 2 7 4" xfId="5195"/>
    <cellStyle name="Comma 2 7 5" xfId="6429"/>
    <cellStyle name="Comma 2 7 5 2" xfId="14436"/>
    <cellStyle name="Comma 2 8" xfId="2029"/>
    <cellStyle name="Comma 2 8 2" xfId="3979"/>
    <cellStyle name="Comma 2 8 3" xfId="5320"/>
    <cellStyle name="Comma 2 8 3 2" xfId="14949"/>
    <cellStyle name="Comma 2 8 4" xfId="6430"/>
    <cellStyle name="Comma 2 8 5" xfId="14103"/>
    <cellStyle name="Comma 2 9" xfId="3980"/>
    <cellStyle name="Comma 2 9 2" xfId="5614"/>
    <cellStyle name="Comma 2_Schedule May 2011" xfId="2030"/>
    <cellStyle name="Comma 20" xfId="2031"/>
    <cellStyle name="Comma 20 2" xfId="3981"/>
    <cellStyle name="Comma 20 3" xfId="5325"/>
    <cellStyle name="Comma 20 4" xfId="6431"/>
    <cellStyle name="Comma 20 5" xfId="9741"/>
    <cellStyle name="Comma 20 5 2" xfId="17671"/>
    <cellStyle name="Comma 21" xfId="2032"/>
    <cellStyle name="Comma 21 2" xfId="5636"/>
    <cellStyle name="Comma 21 3" xfId="9784"/>
    <cellStyle name="Comma 22" xfId="2033"/>
    <cellStyle name="Comma 22 2" xfId="5637"/>
    <cellStyle name="Comma 22 3" xfId="9828"/>
    <cellStyle name="Comma 23" xfId="2034"/>
    <cellStyle name="Comma 23 2" xfId="5638"/>
    <cellStyle name="Comma 23 3" xfId="9830"/>
    <cellStyle name="Comma 23 3 2" xfId="17705"/>
    <cellStyle name="Comma 24" xfId="2035"/>
    <cellStyle name="Comma 24 2" xfId="5639"/>
    <cellStyle name="Comma 25" xfId="2036"/>
    <cellStyle name="Comma 25 2" xfId="5640"/>
    <cellStyle name="Comma 26" xfId="2037"/>
    <cellStyle name="Comma 26 2" xfId="5641"/>
    <cellStyle name="Comma 27" xfId="2038"/>
    <cellStyle name="Comma 27 2" xfId="5642"/>
    <cellStyle name="Comma 28" xfId="2039"/>
    <cellStyle name="Comma 28 2" xfId="5643"/>
    <cellStyle name="Comma 29" xfId="2040"/>
    <cellStyle name="Comma 29 2" xfId="5644"/>
    <cellStyle name="Comma 3" xfId="2041"/>
    <cellStyle name="Comma 3 10" xfId="6432"/>
    <cellStyle name="Comma 3 11" xfId="13507"/>
    <cellStyle name="Comma 3 12" xfId="22830"/>
    <cellStyle name="Comma 3 2" xfId="2042"/>
    <cellStyle name="Comma 3 2 2" xfId="2043"/>
    <cellStyle name="Comma 3 2 2 2" xfId="2044"/>
    <cellStyle name="Comma 3 2 2 2 2" xfId="5646"/>
    <cellStyle name="Comma 3 2 2 3" xfId="5045"/>
    <cellStyle name="Comma 3 2 2 3 2" xfId="7322"/>
    <cellStyle name="Comma 3 2 2 3 3" xfId="6829"/>
    <cellStyle name="Comma 3 2 2 3 3 2" xfId="9947"/>
    <cellStyle name="Comma 3 2 2 3 3 2 2" xfId="17819"/>
    <cellStyle name="Comma 3 2 2 3 3 3" xfId="17076"/>
    <cellStyle name="Comma 3 2 2 3 4" xfId="9946"/>
    <cellStyle name="Comma 3 2 2 3 4 2" xfId="17818"/>
    <cellStyle name="Comma 3 2 2 3 5" xfId="14785"/>
    <cellStyle name="Comma 3 2 2 3 5 2" xfId="21689"/>
    <cellStyle name="Comma 3 2 2 3 6" xfId="16324"/>
    <cellStyle name="Comma 3 2 2 4" xfId="5327"/>
    <cellStyle name="Comma 3 2 2 4 2" xfId="14955"/>
    <cellStyle name="Comma 3 2 2 5" xfId="6235"/>
    <cellStyle name="Comma 3 2 2 5 2" xfId="6434"/>
    <cellStyle name="Comma 3 2 2 5 3" xfId="9948"/>
    <cellStyle name="Comma 3 2 2 5 3 2" xfId="17820"/>
    <cellStyle name="Comma 3 2 2 5 4" xfId="16793"/>
    <cellStyle name="Comma 3 2 2 6" xfId="14113"/>
    <cellStyle name="Comma 3 2 3" xfId="2045"/>
    <cellStyle name="Comma 3 2 3 2" xfId="5601"/>
    <cellStyle name="Comma 3 2 3 3" xfId="6435"/>
    <cellStyle name="Comma 3 2 3 4" xfId="16285"/>
    <cellStyle name="Comma 3 2 4" xfId="5044"/>
    <cellStyle name="Comma 3 2 4 2" xfId="5645"/>
    <cellStyle name="Comma 3 2 4 3" xfId="6828"/>
    <cellStyle name="Comma 3 2 4 3 2" xfId="9950"/>
    <cellStyle name="Comma 3 2 4 3 2 2" xfId="17822"/>
    <cellStyle name="Comma 3 2 4 3 3" xfId="17075"/>
    <cellStyle name="Comma 3 2 4 4" xfId="9949"/>
    <cellStyle name="Comma 3 2 4 4 2" xfId="17821"/>
    <cellStyle name="Comma 3 2 4 5" xfId="14784"/>
    <cellStyle name="Comma 3 2 4 5 2" xfId="21688"/>
    <cellStyle name="Comma 3 2 4 6" xfId="16323"/>
    <cellStyle name="Comma 3 2 5" xfId="5166"/>
    <cellStyle name="Comma 3 2 6" xfId="6234"/>
    <cellStyle name="Comma 3 2 6 2" xfId="6433"/>
    <cellStyle name="Comma 3 2 6 3" xfId="9951"/>
    <cellStyle name="Comma 3 2 6 3 2" xfId="17823"/>
    <cellStyle name="Comma 3 2 6 4" xfId="16792"/>
    <cellStyle name="Comma 3 3" xfId="2046"/>
    <cellStyle name="Comma 3 3 2" xfId="3982"/>
    <cellStyle name="Comma 3 3 3" xfId="9744"/>
    <cellStyle name="Comma 3 3 3 2" xfId="17673"/>
    <cellStyle name="Comma 3 3 4" xfId="15410"/>
    <cellStyle name="Comma 3 4" xfId="2047"/>
    <cellStyle name="Comma 3 4 10" xfId="15487"/>
    <cellStyle name="Comma 3 4 10 2" xfId="22242"/>
    <cellStyle name="Comma 3 4 11" xfId="15687"/>
    <cellStyle name="Comma 3 4 11 2" xfId="22433"/>
    <cellStyle name="Comma 3 4 12" xfId="15887"/>
    <cellStyle name="Comma 3 4 12 2" xfId="22629"/>
    <cellStyle name="Comma 3 4 13" xfId="16136"/>
    <cellStyle name="Comma 3 4 2" xfId="3983"/>
    <cellStyle name="Comma 3 4 2 2" xfId="14659"/>
    <cellStyle name="Comma 3 4 3" xfId="5240"/>
    <cellStyle name="Comma 3 4 3 2" xfId="7323"/>
    <cellStyle name="Comma 3 4 3 3" xfId="6983"/>
    <cellStyle name="Comma 3 4 3 3 2" xfId="9953"/>
    <cellStyle name="Comma 3 4 3 3 2 2" xfId="17825"/>
    <cellStyle name="Comma 3 4 3 3 3" xfId="17230"/>
    <cellStyle name="Comma 3 4 3 4" xfId="9952"/>
    <cellStyle name="Comma 3 4 3 4 2" xfId="17824"/>
    <cellStyle name="Comma 3 4 3 5" xfId="14943"/>
    <cellStyle name="Comma 3 4 3 5 2" xfId="21843"/>
    <cellStyle name="Comma 3 4 3 6" xfId="16438"/>
    <cellStyle name="Comma 3 4 4" xfId="5836"/>
    <cellStyle name="Comma 3 4 4 2" xfId="7324"/>
    <cellStyle name="Comma 3 4 4 3" xfId="7078"/>
    <cellStyle name="Comma 3 4 4 3 2" xfId="9955"/>
    <cellStyle name="Comma 3 4 4 3 2 2" xfId="17827"/>
    <cellStyle name="Comma 3 4 4 3 3" xfId="17325"/>
    <cellStyle name="Comma 3 4 4 4" xfId="9954"/>
    <cellStyle name="Comma 3 4 4 4 2" xfId="17826"/>
    <cellStyle name="Comma 3 4 4 5" xfId="15139"/>
    <cellStyle name="Comma 3 4 4 5 2" xfId="21938"/>
    <cellStyle name="Comma 3 4 4 6" xfId="16529"/>
    <cellStyle name="Comma 3 4 5" xfId="6436"/>
    <cellStyle name="Comma 3 4 5 2" xfId="14437"/>
    <cellStyle name="Comma 3 4 6" xfId="6380"/>
    <cellStyle name="Comma 3 4 6 2" xfId="9956"/>
    <cellStyle name="Comma 3 4 6 2 2" xfId="17828"/>
    <cellStyle name="Comma 3 4 6 3" xfId="16938"/>
    <cellStyle name="Comma 3 4 7" xfId="9788"/>
    <cellStyle name="Comma 3 4 8" xfId="13508"/>
    <cellStyle name="Comma 3 4 9" xfId="14057"/>
    <cellStyle name="Comma 3 4 9 2" xfId="21451"/>
    <cellStyle name="Comma 3 5" xfId="2048"/>
    <cellStyle name="Comma 3 5 2" xfId="3984"/>
    <cellStyle name="Comma 3 5 2 2" xfId="14660"/>
    <cellStyle name="Comma 3 5 3" xfId="5326"/>
    <cellStyle name="Comma 3 5 3 2" xfId="14954"/>
    <cellStyle name="Comma 3 5 4" xfId="6437"/>
    <cellStyle name="Comma 3 5 4 2" xfId="14438"/>
    <cellStyle name="Comma 3 5 5" xfId="14112"/>
    <cellStyle name="Comma 3 6" xfId="3985"/>
    <cellStyle name="Comma 3 7" xfId="3986"/>
    <cellStyle name="Comma 3 8" xfId="3987"/>
    <cellStyle name="Comma 3 9" xfId="5612"/>
    <cellStyle name="Comma 3 9 2" xfId="7325"/>
    <cellStyle name="Comma 3_Schedule May 2011" xfId="2049"/>
    <cellStyle name="Comma 30" xfId="2050"/>
    <cellStyle name="Comma 30 2" xfId="5647"/>
    <cellStyle name="Comma 31" xfId="2051"/>
    <cellStyle name="Comma 31 2" xfId="14439"/>
    <cellStyle name="Comma 32" xfId="2052"/>
    <cellStyle name="Comma 32 2" xfId="5648"/>
    <cellStyle name="Comma 33" xfId="2053"/>
    <cellStyle name="Comma 33 2" xfId="5649"/>
    <cellStyle name="Comma 33 2 2" xfId="15051"/>
    <cellStyle name="Comma 33 3" xfId="6438"/>
    <cellStyle name="Comma 33 3 2" xfId="9957"/>
    <cellStyle name="Comma 33 3 2 2" xfId="17829"/>
    <cellStyle name="Comma 33 4" xfId="14083"/>
    <cellStyle name="Comma 33 4 2" xfId="21454"/>
    <cellStyle name="Comma 34" xfId="2054"/>
    <cellStyle name="Comma 34 2" xfId="5630"/>
    <cellStyle name="Comma 34 2 2" xfId="15049"/>
    <cellStyle name="Comma 34 3" xfId="6439"/>
    <cellStyle name="Comma 34 4" xfId="16286"/>
    <cellStyle name="Comma 35" xfId="3649"/>
    <cellStyle name="Comma 35 2" xfId="5747"/>
    <cellStyle name="Comma 35 2 2" xfId="15063"/>
    <cellStyle name="Comma 35 3" xfId="7326"/>
    <cellStyle name="Comma 35 4" xfId="6753"/>
    <cellStyle name="Comma 35 4 2" xfId="9959"/>
    <cellStyle name="Comma 35 4 2 2" xfId="17831"/>
    <cellStyle name="Comma 35 4 3" xfId="17000"/>
    <cellStyle name="Comma 35 5" xfId="9958"/>
    <cellStyle name="Comma 35 5 2" xfId="17830"/>
    <cellStyle name="Comma 35 6" xfId="14631"/>
    <cellStyle name="Comma 35 6 2" xfId="21612"/>
    <cellStyle name="Comma 35 7" xfId="16302"/>
    <cellStyle name="Comma 36" xfId="5338"/>
    <cellStyle name="Comma 36 2" xfId="7327"/>
    <cellStyle name="Comma 36 3" xfId="6985"/>
    <cellStyle name="Comma 36 3 2" xfId="9961"/>
    <cellStyle name="Comma 36 3 2 2" xfId="17833"/>
    <cellStyle name="Comma 36 3 3" xfId="17232"/>
    <cellStyle name="Comma 36 4" xfId="9960"/>
    <cellStyle name="Comma 36 4 2" xfId="17832"/>
    <cellStyle name="Comma 36 5" xfId="14963"/>
    <cellStyle name="Comma 36 5 2" xfId="21845"/>
    <cellStyle name="Comma 36 6" xfId="16439"/>
    <cellStyle name="Comma 37" xfId="5152"/>
    <cellStyle name="Comma 37 2" xfId="7328"/>
    <cellStyle name="Comma 37 3" xfId="6934"/>
    <cellStyle name="Comma 37 3 2" xfId="9963"/>
    <cellStyle name="Comma 37 3 2 2" xfId="17835"/>
    <cellStyle name="Comma 37 3 3" xfId="17181"/>
    <cellStyle name="Comma 37 4" xfId="9962"/>
    <cellStyle name="Comma 37 4 2" xfId="17834"/>
    <cellStyle name="Comma 37 5" xfId="14890"/>
    <cellStyle name="Comma 37 5 2" xfId="21794"/>
    <cellStyle name="Comma 37 6" xfId="16398"/>
    <cellStyle name="Comma 38" xfId="5742"/>
    <cellStyle name="Comma 38 2" xfId="7329"/>
    <cellStyle name="Comma 38 3" xfId="7003"/>
    <cellStyle name="Comma 38 3 2" xfId="9965"/>
    <cellStyle name="Comma 38 3 2 2" xfId="17837"/>
    <cellStyle name="Comma 38 3 3" xfId="17250"/>
    <cellStyle name="Comma 38 4" xfId="9964"/>
    <cellStyle name="Comma 38 4 2" xfId="17836"/>
    <cellStyle name="Comma 38 5" xfId="15061"/>
    <cellStyle name="Comma 38 5 2" xfId="21863"/>
    <cellStyle name="Comma 38 6" xfId="16454"/>
    <cellStyle name="Comma 39" xfId="5753"/>
    <cellStyle name="Comma 39 2" xfId="7330"/>
    <cellStyle name="Comma 39 3" xfId="7007"/>
    <cellStyle name="Comma 39 3 2" xfId="9967"/>
    <cellStyle name="Comma 39 3 2 2" xfId="17839"/>
    <cellStyle name="Comma 39 3 3" xfId="17254"/>
    <cellStyle name="Comma 39 4" xfId="9966"/>
    <cellStyle name="Comma 39 4 2" xfId="17838"/>
    <cellStyle name="Comma 39 5" xfId="15068"/>
    <cellStyle name="Comma 39 5 2" xfId="21867"/>
    <cellStyle name="Comma 39 6" xfId="16458"/>
    <cellStyle name="Comma 4" xfId="2055"/>
    <cellStyle name="Comma 4 10" xfId="3988"/>
    <cellStyle name="Comma 4 10 2" xfId="14661"/>
    <cellStyle name="Comma 4 11" xfId="6236"/>
    <cellStyle name="Comma 4 11 2" xfId="6440"/>
    <cellStyle name="Comma 4 11 2 2" xfId="9969"/>
    <cellStyle name="Comma 4 11 2 2 2" xfId="17841"/>
    <cellStyle name="Comma 4 11 3" xfId="9968"/>
    <cellStyle name="Comma 4 11 3 2" xfId="17840"/>
    <cellStyle name="Comma 4 11 4" xfId="16794"/>
    <cellStyle name="Comma 4 12" xfId="15392"/>
    <cellStyle name="Comma 4 12 2" xfId="22184"/>
    <cellStyle name="Comma 4 2" xfId="2056"/>
    <cellStyle name="Comma 4 2 2" xfId="2057"/>
    <cellStyle name="Comma 4 2 2 2" xfId="2058"/>
    <cellStyle name="Comma 4 2 2 2 2" xfId="6441"/>
    <cellStyle name="Comma 4 2 2 3" xfId="5048"/>
    <cellStyle name="Comma 4 2 2 3 2" xfId="7331"/>
    <cellStyle name="Comma 4 2 2 3 3" xfId="6832"/>
    <cellStyle name="Comma 4 2 2 3 3 2" xfId="9971"/>
    <cellStyle name="Comma 4 2 2 3 3 2 2" xfId="17843"/>
    <cellStyle name="Comma 4 2 2 3 3 3" xfId="17079"/>
    <cellStyle name="Comma 4 2 2 3 4" xfId="9970"/>
    <cellStyle name="Comma 4 2 2 3 4 2" xfId="17842"/>
    <cellStyle name="Comma 4 2 2 3 5" xfId="14788"/>
    <cellStyle name="Comma 4 2 2 3 5 2" xfId="21692"/>
    <cellStyle name="Comma 4 2 2 3 6" xfId="16327"/>
    <cellStyle name="Comma 4 2 2 4" xfId="5197"/>
    <cellStyle name="Comma 4 2 2 5" xfId="6238"/>
    <cellStyle name="Comma 4 2 2 5 2" xfId="9972"/>
    <cellStyle name="Comma 4 2 2 5 2 2" xfId="17844"/>
    <cellStyle name="Comma 4 2 2 5 3" xfId="16796"/>
    <cellStyle name="Comma 4 2 3" xfId="2059"/>
    <cellStyle name="Comma 4 2 3 2" xfId="6442"/>
    <cellStyle name="Comma 4 2 4" xfId="5047"/>
    <cellStyle name="Comma 4 2 4 2" xfId="7332"/>
    <cellStyle name="Comma 4 2 4 3" xfId="6831"/>
    <cellStyle name="Comma 4 2 4 3 2" xfId="9974"/>
    <cellStyle name="Comma 4 2 4 3 2 2" xfId="17846"/>
    <cellStyle name="Comma 4 2 4 3 3" xfId="17078"/>
    <cellStyle name="Comma 4 2 4 4" xfId="9973"/>
    <cellStyle name="Comma 4 2 4 4 2" xfId="17845"/>
    <cellStyle name="Comma 4 2 4 5" xfId="14787"/>
    <cellStyle name="Comma 4 2 4 5 2" xfId="21691"/>
    <cellStyle name="Comma 4 2 4 6" xfId="16326"/>
    <cellStyle name="Comma 4 2 5" xfId="5167"/>
    <cellStyle name="Comma 4 2 5 2" xfId="14903"/>
    <cellStyle name="Comma 4 2 6" xfId="6237"/>
    <cellStyle name="Comma 4 2 6 2" xfId="9975"/>
    <cellStyle name="Comma 4 2 6 2 2" xfId="17847"/>
    <cellStyle name="Comma 4 2 6 3" xfId="16795"/>
    <cellStyle name="Comma 4 2 7" xfId="14025"/>
    <cellStyle name="Comma 4 2 8" xfId="22831"/>
    <cellStyle name="Comma 4 3" xfId="2060"/>
    <cellStyle name="Comma 4 3 2" xfId="3989"/>
    <cellStyle name="Comma 4 3 3" xfId="3990"/>
    <cellStyle name="Comma 4 3 4" xfId="5198"/>
    <cellStyle name="Comma 4 3 5" xfId="6443"/>
    <cellStyle name="Comma 4 4" xfId="2061"/>
    <cellStyle name="Comma 4 4 2" xfId="2062"/>
    <cellStyle name="Comma 4 4 2 2" xfId="5329"/>
    <cellStyle name="Comma 4 4 2 3" xfId="6444"/>
    <cellStyle name="Comma 4 4 2 4" xfId="16287"/>
    <cellStyle name="Comma 4 4 3" xfId="5049"/>
    <cellStyle name="Comma 4 4 3 2" xfId="7333"/>
    <cellStyle name="Comma 4 4 3 3" xfId="6833"/>
    <cellStyle name="Comma 4 4 3 3 2" xfId="9977"/>
    <cellStyle name="Comma 4 4 3 3 2 2" xfId="17849"/>
    <cellStyle name="Comma 4 4 3 3 3" xfId="17080"/>
    <cellStyle name="Comma 4 4 3 4" xfId="9976"/>
    <cellStyle name="Comma 4 4 3 4 2" xfId="17848"/>
    <cellStyle name="Comma 4 4 3 5" xfId="14789"/>
    <cellStyle name="Comma 4 4 3 5 2" xfId="21693"/>
    <cellStyle name="Comma 4 4 3 6" xfId="16328"/>
    <cellStyle name="Comma 4 4 4" xfId="5199"/>
    <cellStyle name="Comma 4 4 5" xfId="6239"/>
    <cellStyle name="Comma 4 4 5 2" xfId="9978"/>
    <cellStyle name="Comma 4 4 5 2 2" xfId="17850"/>
    <cellStyle name="Comma 4 4 5 3" xfId="16797"/>
    <cellStyle name="Comma 4 5" xfId="2063"/>
    <cellStyle name="Comma 4 5 2" xfId="3991"/>
    <cellStyle name="Comma 4 5 2 2" xfId="14662"/>
    <cellStyle name="Comma 4 5 3" xfId="5200"/>
    <cellStyle name="Comma 4 5 4" xfId="6445"/>
    <cellStyle name="Comma 4 5 4 2" xfId="14440"/>
    <cellStyle name="Comma 4 5 5" xfId="13509"/>
    <cellStyle name="Comma 4 6" xfId="2064"/>
    <cellStyle name="Comma 4 6 2" xfId="5201"/>
    <cellStyle name="Comma 4 7" xfId="2065"/>
    <cellStyle name="Comma 4 7 2" xfId="3992"/>
    <cellStyle name="Comma 4 7 2 2" xfId="14663"/>
    <cellStyle name="Comma 4 7 3" xfId="5202"/>
    <cellStyle name="Comma 4 7 4" xfId="6446"/>
    <cellStyle name="Comma 4 7 4 2" xfId="14441"/>
    <cellStyle name="Comma 4 8" xfId="2066"/>
    <cellStyle name="Comma 4 8 2" xfId="5196"/>
    <cellStyle name="Comma 4 9" xfId="5046"/>
    <cellStyle name="Comma 4 9 2" xfId="5328"/>
    <cellStyle name="Comma 4 9 3" xfId="6830"/>
    <cellStyle name="Comma 4 9 3 2" xfId="9980"/>
    <cellStyle name="Comma 4 9 3 2 2" xfId="17852"/>
    <cellStyle name="Comma 4 9 3 3" xfId="14786"/>
    <cellStyle name="Comma 4 9 3 3 2" xfId="21690"/>
    <cellStyle name="Comma 4 9 3 4" xfId="17077"/>
    <cellStyle name="Comma 4 9 4" xfId="7334"/>
    <cellStyle name="Comma 4 9 5" xfId="9979"/>
    <cellStyle name="Comma 4 9 5 2" xfId="17851"/>
    <cellStyle name="Comma 4 9 6" xfId="16325"/>
    <cellStyle name="Comma 40" xfId="5628"/>
    <cellStyle name="Comma 40 2" xfId="7335"/>
    <cellStyle name="Comma 40 3" xfId="6993"/>
    <cellStyle name="Comma 40 3 2" xfId="9982"/>
    <cellStyle name="Comma 40 3 2 2" xfId="17854"/>
    <cellStyle name="Comma 40 3 3" xfId="17240"/>
    <cellStyle name="Comma 40 4" xfId="9981"/>
    <cellStyle name="Comma 40 4 2" xfId="17853"/>
    <cellStyle name="Comma 40 5" xfId="15047"/>
    <cellStyle name="Comma 40 5 2" xfId="21853"/>
    <cellStyle name="Comma 40 6" xfId="16444"/>
    <cellStyle name="Comma 41" xfId="5757"/>
    <cellStyle name="Comma 41 2" xfId="7336"/>
    <cellStyle name="Comma 41 3" xfId="7009"/>
    <cellStyle name="Comma 41 3 2" xfId="9984"/>
    <cellStyle name="Comma 41 3 2 2" xfId="17856"/>
    <cellStyle name="Comma 41 3 3" xfId="17256"/>
    <cellStyle name="Comma 41 4" xfId="9983"/>
    <cellStyle name="Comma 41 4 2" xfId="17855"/>
    <cellStyle name="Comma 41 5" xfId="15070"/>
    <cellStyle name="Comma 41 5 2" xfId="21869"/>
    <cellStyle name="Comma 41 6" xfId="16460"/>
    <cellStyle name="Comma 42" xfId="5802"/>
    <cellStyle name="Comma 42 2" xfId="7337"/>
    <cellStyle name="Comma 42 3" xfId="7049"/>
    <cellStyle name="Comma 42 3 2" xfId="9986"/>
    <cellStyle name="Comma 42 3 2 2" xfId="17858"/>
    <cellStyle name="Comma 42 3 3" xfId="17296"/>
    <cellStyle name="Comma 42 4" xfId="9985"/>
    <cellStyle name="Comma 42 4 2" xfId="17857"/>
    <cellStyle name="Comma 42 5" xfId="15110"/>
    <cellStyle name="Comma 42 5 2" xfId="21909"/>
    <cellStyle name="Comma 42 6" xfId="16500"/>
    <cellStyle name="Comma 43" xfId="5761"/>
    <cellStyle name="Comma 43 2" xfId="7338"/>
    <cellStyle name="Comma 43 3" xfId="7013"/>
    <cellStyle name="Comma 43 3 2" xfId="9988"/>
    <cellStyle name="Comma 43 3 2 2" xfId="17860"/>
    <cellStyle name="Comma 43 3 3" xfId="17260"/>
    <cellStyle name="Comma 43 4" xfId="9987"/>
    <cellStyle name="Comma 43 4 2" xfId="17859"/>
    <cellStyle name="Comma 43 5" xfId="15074"/>
    <cellStyle name="Comma 43 5 2" xfId="21873"/>
    <cellStyle name="Comma 43 6" xfId="16464"/>
    <cellStyle name="Comma 44" xfId="5883"/>
    <cellStyle name="Comma 44 2" xfId="7339"/>
    <cellStyle name="Comma 44 3" xfId="7115"/>
    <cellStyle name="Comma 44 3 2" xfId="9990"/>
    <cellStyle name="Comma 44 3 2 2" xfId="17862"/>
    <cellStyle name="Comma 44 3 3" xfId="17362"/>
    <cellStyle name="Comma 44 4" xfId="9989"/>
    <cellStyle name="Comma 44 4 2" xfId="17861"/>
    <cellStyle name="Comma 44 5" xfId="15176"/>
    <cellStyle name="Comma 44 5 2" xfId="21975"/>
    <cellStyle name="Comma 44 6" xfId="16566"/>
    <cellStyle name="Comma 45" xfId="6115"/>
    <cellStyle name="Comma 45 2" xfId="7340"/>
    <cellStyle name="Comma 45 3" xfId="7307"/>
    <cellStyle name="Comma 45 3 2" xfId="9992"/>
    <cellStyle name="Comma 45 3 2 2" xfId="17864"/>
    <cellStyle name="Comma 45 3 3" xfId="17554"/>
    <cellStyle name="Comma 45 4" xfId="9991"/>
    <cellStyle name="Comma 45 4 2" xfId="17863"/>
    <cellStyle name="Comma 45 5" xfId="15369"/>
    <cellStyle name="Comma 45 5 2" xfId="22167"/>
    <cellStyle name="Comma 45 6" xfId="16758"/>
    <cellStyle name="Comma 46" xfId="5877"/>
    <cellStyle name="Comma 46 2" xfId="7341"/>
    <cellStyle name="Comma 46 3" xfId="7109"/>
    <cellStyle name="Comma 46 3 2" xfId="9994"/>
    <cellStyle name="Comma 46 3 2 2" xfId="17866"/>
    <cellStyle name="Comma 46 3 3" xfId="17356"/>
    <cellStyle name="Comma 46 4" xfId="9993"/>
    <cellStyle name="Comma 46 4 2" xfId="17865"/>
    <cellStyle name="Comma 46 5" xfId="15170"/>
    <cellStyle name="Comma 46 5 2" xfId="21969"/>
    <cellStyle name="Comma 46 6" xfId="16560"/>
    <cellStyle name="Comma 47" xfId="5903"/>
    <cellStyle name="Comma 47 2" xfId="7342"/>
    <cellStyle name="Comma 47 3" xfId="7131"/>
    <cellStyle name="Comma 47 3 2" xfId="9996"/>
    <cellStyle name="Comma 47 3 2 2" xfId="17868"/>
    <cellStyle name="Comma 47 3 3" xfId="17378"/>
    <cellStyle name="Comma 47 4" xfId="9995"/>
    <cellStyle name="Comma 47 4 2" xfId="17867"/>
    <cellStyle name="Comma 47 5" xfId="15192"/>
    <cellStyle name="Comma 47 5 2" xfId="21991"/>
    <cellStyle name="Comma 47 6" xfId="16582"/>
    <cellStyle name="Comma 48" xfId="5963"/>
    <cellStyle name="Comma 48 2" xfId="7343"/>
    <cellStyle name="Comma 48 3" xfId="7170"/>
    <cellStyle name="Comma 48 3 2" xfId="9998"/>
    <cellStyle name="Comma 48 3 2 2" xfId="17870"/>
    <cellStyle name="Comma 48 3 3" xfId="17417"/>
    <cellStyle name="Comma 48 4" xfId="9997"/>
    <cellStyle name="Comma 48 4 2" xfId="17869"/>
    <cellStyle name="Comma 48 5" xfId="15231"/>
    <cellStyle name="Comma 48 5 2" xfId="22030"/>
    <cellStyle name="Comma 48 6" xfId="16621"/>
    <cellStyle name="Comma 49" xfId="5865"/>
    <cellStyle name="Comma 49 2" xfId="7344"/>
    <cellStyle name="Comma 49 3" xfId="7100"/>
    <cellStyle name="Comma 49 3 2" xfId="10000"/>
    <cellStyle name="Comma 49 3 2 2" xfId="17872"/>
    <cellStyle name="Comma 49 3 3" xfId="17347"/>
    <cellStyle name="Comma 49 4" xfId="9999"/>
    <cellStyle name="Comma 49 4 2" xfId="17871"/>
    <cellStyle name="Comma 49 5" xfId="15161"/>
    <cellStyle name="Comma 49 5 2" xfId="21960"/>
    <cellStyle name="Comma 49 6" xfId="16551"/>
    <cellStyle name="Comma 5" xfId="2067"/>
    <cellStyle name="Comma 5 10" xfId="14026"/>
    <cellStyle name="Comma 5 2" xfId="2068"/>
    <cellStyle name="Comma 5 2 2" xfId="3993"/>
    <cellStyle name="Comma 5 2 2 2" xfId="14115"/>
    <cellStyle name="Comma 5 2 3" xfId="5369"/>
    <cellStyle name="Comma 5 2 3 2" xfId="14974"/>
    <cellStyle name="Comma 5 2 4" xfId="5216"/>
    <cellStyle name="Comma 5 2 5" xfId="6448"/>
    <cellStyle name="Comma 5 2 5 2" xfId="14442"/>
    <cellStyle name="Comma 5 2 6" xfId="13511"/>
    <cellStyle name="Comma 5 3" xfId="2069"/>
    <cellStyle name="Comma 5 3 2" xfId="14114"/>
    <cellStyle name="Comma 5 4" xfId="3994"/>
    <cellStyle name="Comma 5 4 2" xfId="14664"/>
    <cellStyle name="Comma 5 5" xfId="3995"/>
    <cellStyle name="Comma 5 6" xfId="5611"/>
    <cellStyle name="Comma 5 6 10" xfId="16140"/>
    <cellStyle name="Comma 5 6 2" xfId="5854"/>
    <cellStyle name="Comma 5 6 2 2" xfId="7346"/>
    <cellStyle name="Comma 5 6 2 3" xfId="7092"/>
    <cellStyle name="Comma 5 6 2 3 2" xfId="10003"/>
    <cellStyle name="Comma 5 6 2 3 2 2" xfId="17875"/>
    <cellStyle name="Comma 5 6 2 3 3" xfId="17339"/>
    <cellStyle name="Comma 5 6 2 4" xfId="10002"/>
    <cellStyle name="Comma 5 6 2 4 2" xfId="17874"/>
    <cellStyle name="Comma 5 6 2 5" xfId="15153"/>
    <cellStyle name="Comma 5 6 2 5 2" xfId="21952"/>
    <cellStyle name="Comma 5 6 2 6" xfId="16543"/>
    <cellStyle name="Comma 5 6 3" xfId="7345"/>
    <cellStyle name="Comma 5 6 4" xfId="6991"/>
    <cellStyle name="Comma 5 6 4 2" xfId="10004"/>
    <cellStyle name="Comma 5 6 4 2 2" xfId="17876"/>
    <cellStyle name="Comma 5 6 4 3" xfId="17238"/>
    <cellStyle name="Comma 5 6 5" xfId="10001"/>
    <cellStyle name="Comma 5 6 5 2" xfId="17873"/>
    <cellStyle name="Comma 5 6 6" xfId="15041"/>
    <cellStyle name="Comma 5 6 6 2" xfId="21851"/>
    <cellStyle name="Comma 5 6 7" xfId="15491"/>
    <cellStyle name="Comma 5 6 7 2" xfId="22246"/>
    <cellStyle name="Comma 5 6 8" xfId="15691"/>
    <cellStyle name="Comma 5 6 8 2" xfId="22437"/>
    <cellStyle name="Comma 5 6 9" xfId="15903"/>
    <cellStyle name="Comma 5 6 9 2" xfId="22637"/>
    <cellStyle name="Comma 5 7" xfId="5808"/>
    <cellStyle name="Comma 5 7 2" xfId="7347"/>
    <cellStyle name="Comma 5 7 3" xfId="7055"/>
    <cellStyle name="Comma 5 7 3 2" xfId="10006"/>
    <cellStyle name="Comma 5 7 3 2 2" xfId="17878"/>
    <cellStyle name="Comma 5 7 3 3" xfId="17302"/>
    <cellStyle name="Comma 5 7 4" xfId="10005"/>
    <cellStyle name="Comma 5 7 4 2" xfId="17877"/>
    <cellStyle name="Comma 5 7 5" xfId="15116"/>
    <cellStyle name="Comma 5 7 5 2" xfId="21915"/>
    <cellStyle name="Comma 5 7 6" xfId="16506"/>
    <cellStyle name="Comma 5 8" xfId="6447"/>
    <cellStyle name="Comma 5 9" xfId="13510"/>
    <cellStyle name="Comma 50" xfId="5965"/>
    <cellStyle name="Comma 50 2" xfId="7348"/>
    <cellStyle name="Comma 50 3" xfId="7171"/>
    <cellStyle name="Comma 50 3 2" xfId="10008"/>
    <cellStyle name="Comma 50 3 2 2" xfId="17880"/>
    <cellStyle name="Comma 50 3 3" xfId="17418"/>
    <cellStyle name="Comma 50 4" xfId="10007"/>
    <cellStyle name="Comma 50 4 2" xfId="17879"/>
    <cellStyle name="Comma 50 5" xfId="15232"/>
    <cellStyle name="Comma 50 5 2" xfId="22031"/>
    <cellStyle name="Comma 50 6" xfId="16622"/>
    <cellStyle name="Comma 51" xfId="5834"/>
    <cellStyle name="Comma 51 2" xfId="7349"/>
    <cellStyle name="Comma 51 3" xfId="7076"/>
    <cellStyle name="Comma 51 3 2" xfId="10010"/>
    <cellStyle name="Comma 51 3 2 2" xfId="17882"/>
    <cellStyle name="Comma 51 3 3" xfId="17323"/>
    <cellStyle name="Comma 51 4" xfId="10009"/>
    <cellStyle name="Comma 51 4 2" xfId="17881"/>
    <cellStyle name="Comma 51 5" xfId="15137"/>
    <cellStyle name="Comma 51 5 2" xfId="21936"/>
    <cellStyle name="Comma 51 6" xfId="16527"/>
    <cellStyle name="Comma 52" xfId="5899"/>
    <cellStyle name="Comma 52 2" xfId="7350"/>
    <cellStyle name="Comma 52 3" xfId="7127"/>
    <cellStyle name="Comma 52 3 2" xfId="10012"/>
    <cellStyle name="Comma 52 3 2 2" xfId="17884"/>
    <cellStyle name="Comma 52 3 3" xfId="17374"/>
    <cellStyle name="Comma 52 4" xfId="10011"/>
    <cellStyle name="Comma 52 4 2" xfId="17883"/>
    <cellStyle name="Comma 52 5" xfId="15188"/>
    <cellStyle name="Comma 52 5 2" xfId="21987"/>
    <cellStyle name="Comma 52 6" xfId="16578"/>
    <cellStyle name="Comma 53" xfId="6124"/>
    <cellStyle name="Comma 53 2" xfId="7351"/>
    <cellStyle name="Comma 53 3" xfId="7313"/>
    <cellStyle name="Comma 53 3 2" xfId="10014"/>
    <cellStyle name="Comma 53 3 2 2" xfId="17886"/>
    <cellStyle name="Comma 53 3 3" xfId="17560"/>
    <cellStyle name="Comma 53 4" xfId="10013"/>
    <cellStyle name="Comma 53 4 2" xfId="17885"/>
    <cellStyle name="Comma 53 5" xfId="15375"/>
    <cellStyle name="Comma 53 5 2" xfId="22173"/>
    <cellStyle name="Comma 53 6" xfId="16764"/>
    <cellStyle name="Comma 54" xfId="5863"/>
    <cellStyle name="Comma 54 2" xfId="7352"/>
    <cellStyle name="Comma 54 3" xfId="7098"/>
    <cellStyle name="Comma 54 3 2" xfId="10016"/>
    <cellStyle name="Comma 54 3 2 2" xfId="17888"/>
    <cellStyle name="Comma 54 3 3" xfId="17345"/>
    <cellStyle name="Comma 54 4" xfId="10015"/>
    <cellStyle name="Comma 54 4 2" xfId="17887"/>
    <cellStyle name="Comma 54 5" xfId="15159"/>
    <cellStyle name="Comma 54 5 2" xfId="21958"/>
    <cellStyle name="Comma 54 6" xfId="16549"/>
    <cellStyle name="Comma 55" xfId="5898"/>
    <cellStyle name="Comma 55 2" xfId="7353"/>
    <cellStyle name="Comma 55 3" xfId="7126"/>
    <cellStyle name="Comma 55 3 2" xfId="10018"/>
    <cellStyle name="Comma 55 3 2 2" xfId="17890"/>
    <cellStyle name="Comma 55 3 3" xfId="17373"/>
    <cellStyle name="Comma 55 4" xfId="10017"/>
    <cellStyle name="Comma 55 4 2" xfId="17889"/>
    <cellStyle name="Comma 55 5" xfId="15187"/>
    <cellStyle name="Comma 55 5 2" xfId="21986"/>
    <cellStyle name="Comma 55 6" xfId="16577"/>
    <cellStyle name="Comma 56" xfId="6129"/>
    <cellStyle name="Comma 56 2" xfId="7354"/>
    <cellStyle name="Comma 56 3" xfId="7317"/>
    <cellStyle name="Comma 56 3 2" xfId="10020"/>
    <cellStyle name="Comma 56 3 2 2" xfId="17892"/>
    <cellStyle name="Comma 56 3 3" xfId="17564"/>
    <cellStyle name="Comma 56 4" xfId="10019"/>
    <cellStyle name="Comma 56 4 2" xfId="17891"/>
    <cellStyle name="Comma 56 5" xfId="15379"/>
    <cellStyle name="Comma 56 5 2" xfId="22177"/>
    <cellStyle name="Comma 56 6" xfId="16768"/>
    <cellStyle name="Comma 57" xfId="5913"/>
    <cellStyle name="Comma 57 2" xfId="7355"/>
    <cellStyle name="Comma 57 3" xfId="7139"/>
    <cellStyle name="Comma 57 3 2" xfId="10022"/>
    <cellStyle name="Comma 57 3 2 2" xfId="17894"/>
    <cellStyle name="Comma 57 3 3" xfId="17386"/>
    <cellStyle name="Comma 57 4" xfId="10021"/>
    <cellStyle name="Comma 57 4 2" xfId="17893"/>
    <cellStyle name="Comma 57 5" xfId="15200"/>
    <cellStyle name="Comma 57 5 2" xfId="21999"/>
    <cellStyle name="Comma 57 6" xfId="16590"/>
    <cellStyle name="Comma 58" xfId="6110"/>
    <cellStyle name="Comma 58 2" xfId="7356"/>
    <cellStyle name="Comma 58 3" xfId="7303"/>
    <cellStyle name="Comma 58 3 2" xfId="10024"/>
    <cellStyle name="Comma 58 3 2 2" xfId="17896"/>
    <cellStyle name="Comma 58 3 3" xfId="17550"/>
    <cellStyle name="Comma 58 4" xfId="10023"/>
    <cellStyle name="Comma 58 4 2" xfId="17895"/>
    <cellStyle name="Comma 58 5" xfId="15365"/>
    <cellStyle name="Comma 58 5 2" xfId="22163"/>
    <cellStyle name="Comma 58 6" xfId="16754"/>
    <cellStyle name="Comma 59" xfId="3996"/>
    <cellStyle name="Comma 59 2" xfId="14116"/>
    <cellStyle name="Comma 6" xfId="2070"/>
    <cellStyle name="Comma 6 10" xfId="14027"/>
    <cellStyle name="Comma 6 2" xfId="2071"/>
    <cellStyle name="Comma 6 2 10" xfId="14118"/>
    <cellStyle name="Comma 6 2 2" xfId="2072"/>
    <cellStyle name="Comma 6 2 2 2" xfId="2073"/>
    <cellStyle name="Comma 6 2 2 2 2" xfId="2074"/>
    <cellStyle name="Comma 6 2 2 2 2 2" xfId="2075"/>
    <cellStyle name="Comma 6 2 2 2 2 2 2" xfId="6451"/>
    <cellStyle name="Comma 6 2 2 2 2 3" xfId="5054"/>
    <cellStyle name="Comma 6 2 2 2 2 3 2" xfId="7357"/>
    <cellStyle name="Comma 6 2 2 2 2 3 3" xfId="6838"/>
    <cellStyle name="Comma 6 2 2 2 2 3 3 2" xfId="10026"/>
    <cellStyle name="Comma 6 2 2 2 2 3 3 2 2" xfId="17898"/>
    <cellStyle name="Comma 6 2 2 2 2 3 3 3" xfId="17085"/>
    <cellStyle name="Comma 6 2 2 2 2 3 4" xfId="10025"/>
    <cellStyle name="Comma 6 2 2 2 2 3 4 2" xfId="17897"/>
    <cellStyle name="Comma 6 2 2 2 2 3 5" xfId="14794"/>
    <cellStyle name="Comma 6 2 2 2 2 3 5 2" xfId="21698"/>
    <cellStyle name="Comma 6 2 2 2 2 3 6" xfId="16333"/>
    <cellStyle name="Comma 6 2 2 2 2 4" xfId="5654"/>
    <cellStyle name="Comma 6 2 2 2 2 5" xfId="6244"/>
    <cellStyle name="Comma 6 2 2 2 2 5 2" xfId="10027"/>
    <cellStyle name="Comma 6 2 2 2 2 5 2 2" xfId="17899"/>
    <cellStyle name="Comma 6 2 2 2 2 5 3" xfId="16802"/>
    <cellStyle name="Comma 6 2 2 2 3" xfId="2076"/>
    <cellStyle name="Comma 6 2 2 2 3 2" xfId="6452"/>
    <cellStyle name="Comma 6 2 2 2 4" xfId="5053"/>
    <cellStyle name="Comma 6 2 2 2 4 2" xfId="7358"/>
    <cellStyle name="Comma 6 2 2 2 4 3" xfId="6837"/>
    <cellStyle name="Comma 6 2 2 2 4 3 2" xfId="10029"/>
    <cellStyle name="Comma 6 2 2 2 4 3 2 2" xfId="17901"/>
    <cellStyle name="Comma 6 2 2 2 4 3 3" xfId="17084"/>
    <cellStyle name="Comma 6 2 2 2 4 4" xfId="10028"/>
    <cellStyle name="Comma 6 2 2 2 4 4 2" xfId="17900"/>
    <cellStyle name="Comma 6 2 2 2 4 5" xfId="14793"/>
    <cellStyle name="Comma 6 2 2 2 4 5 2" xfId="21697"/>
    <cellStyle name="Comma 6 2 2 2 4 6" xfId="16332"/>
    <cellStyle name="Comma 6 2 2 2 5" xfId="5653"/>
    <cellStyle name="Comma 6 2 2 2 6" xfId="6243"/>
    <cellStyle name="Comma 6 2 2 2 6 2" xfId="10030"/>
    <cellStyle name="Comma 6 2 2 2 6 2 2" xfId="17902"/>
    <cellStyle name="Comma 6 2 2 2 6 3" xfId="16801"/>
    <cellStyle name="Comma 6 2 2 3" xfId="2077"/>
    <cellStyle name="Comma 6 2 2 3 2" xfId="2078"/>
    <cellStyle name="Comma 6 2 2 3 2 2" xfId="6453"/>
    <cellStyle name="Comma 6 2 2 3 3" xfId="5055"/>
    <cellStyle name="Comma 6 2 2 3 3 2" xfId="7359"/>
    <cellStyle name="Comma 6 2 2 3 3 3" xfId="6839"/>
    <cellStyle name="Comma 6 2 2 3 3 3 2" xfId="10032"/>
    <cellStyle name="Comma 6 2 2 3 3 3 2 2" xfId="17904"/>
    <cellStyle name="Comma 6 2 2 3 3 3 3" xfId="17086"/>
    <cellStyle name="Comma 6 2 2 3 3 4" xfId="10031"/>
    <cellStyle name="Comma 6 2 2 3 3 4 2" xfId="17903"/>
    <cellStyle name="Comma 6 2 2 3 3 5" xfId="14795"/>
    <cellStyle name="Comma 6 2 2 3 3 5 2" xfId="21699"/>
    <cellStyle name="Comma 6 2 2 3 3 6" xfId="16334"/>
    <cellStyle name="Comma 6 2 2 3 4" xfId="5655"/>
    <cellStyle name="Comma 6 2 2 3 5" xfId="6245"/>
    <cellStyle name="Comma 6 2 2 3 5 2" xfId="10033"/>
    <cellStyle name="Comma 6 2 2 3 5 2 2" xfId="17905"/>
    <cellStyle name="Comma 6 2 2 3 5 3" xfId="16803"/>
    <cellStyle name="Comma 6 2 2 4" xfId="2079"/>
    <cellStyle name="Comma 6 2 2 4 2" xfId="6454"/>
    <cellStyle name="Comma 6 2 2 5" xfId="5052"/>
    <cellStyle name="Comma 6 2 2 5 2" xfId="7360"/>
    <cellStyle name="Comma 6 2 2 5 3" xfId="6836"/>
    <cellStyle name="Comma 6 2 2 5 3 2" xfId="10035"/>
    <cellStyle name="Comma 6 2 2 5 3 2 2" xfId="17907"/>
    <cellStyle name="Comma 6 2 2 5 3 3" xfId="17083"/>
    <cellStyle name="Comma 6 2 2 5 4" xfId="10034"/>
    <cellStyle name="Comma 6 2 2 5 4 2" xfId="17906"/>
    <cellStyle name="Comma 6 2 2 5 5" xfId="14792"/>
    <cellStyle name="Comma 6 2 2 5 5 2" xfId="21696"/>
    <cellStyle name="Comma 6 2 2 5 6" xfId="16331"/>
    <cellStyle name="Comma 6 2 2 6" xfId="5652"/>
    <cellStyle name="Comma 6 2 2 7" xfId="6242"/>
    <cellStyle name="Comma 6 2 2 7 2" xfId="10036"/>
    <cellStyle name="Comma 6 2 2 7 2 2" xfId="17908"/>
    <cellStyle name="Comma 6 2 2 7 3" xfId="16800"/>
    <cellStyle name="Comma 6 2 3" xfId="2080"/>
    <cellStyle name="Comma 6 2 3 2" xfId="2081"/>
    <cellStyle name="Comma 6 2 3 2 2" xfId="2082"/>
    <cellStyle name="Comma 6 2 3 2 2 2" xfId="6455"/>
    <cellStyle name="Comma 6 2 3 2 3" xfId="5057"/>
    <cellStyle name="Comma 6 2 3 2 3 2" xfId="7361"/>
    <cellStyle name="Comma 6 2 3 2 3 3" xfId="6841"/>
    <cellStyle name="Comma 6 2 3 2 3 3 2" xfId="10038"/>
    <cellStyle name="Comma 6 2 3 2 3 3 2 2" xfId="17910"/>
    <cellStyle name="Comma 6 2 3 2 3 3 3" xfId="17088"/>
    <cellStyle name="Comma 6 2 3 2 3 4" xfId="10037"/>
    <cellStyle name="Comma 6 2 3 2 3 4 2" xfId="17909"/>
    <cellStyle name="Comma 6 2 3 2 3 5" xfId="14797"/>
    <cellStyle name="Comma 6 2 3 2 3 5 2" xfId="21701"/>
    <cellStyle name="Comma 6 2 3 2 3 6" xfId="16336"/>
    <cellStyle name="Comma 6 2 3 2 4" xfId="5657"/>
    <cellStyle name="Comma 6 2 3 2 5" xfId="6247"/>
    <cellStyle name="Comma 6 2 3 2 5 2" xfId="10039"/>
    <cellStyle name="Comma 6 2 3 2 5 2 2" xfId="17911"/>
    <cellStyle name="Comma 6 2 3 2 5 3" xfId="16805"/>
    <cellStyle name="Comma 6 2 3 3" xfId="2083"/>
    <cellStyle name="Comma 6 2 3 3 2" xfId="6456"/>
    <cellStyle name="Comma 6 2 3 4" xfId="5056"/>
    <cellStyle name="Comma 6 2 3 4 2" xfId="7362"/>
    <cellStyle name="Comma 6 2 3 4 3" xfId="6840"/>
    <cellStyle name="Comma 6 2 3 4 3 2" xfId="10041"/>
    <cellStyle name="Comma 6 2 3 4 3 2 2" xfId="17913"/>
    <cellStyle name="Comma 6 2 3 4 3 3" xfId="17087"/>
    <cellStyle name="Comma 6 2 3 4 4" xfId="10040"/>
    <cellStyle name="Comma 6 2 3 4 4 2" xfId="17912"/>
    <cellStyle name="Comma 6 2 3 4 5" xfId="14796"/>
    <cellStyle name="Comma 6 2 3 4 5 2" xfId="21700"/>
    <cellStyle name="Comma 6 2 3 4 6" xfId="16335"/>
    <cellStyle name="Comma 6 2 3 5" xfId="5656"/>
    <cellStyle name="Comma 6 2 3 6" xfId="6246"/>
    <cellStyle name="Comma 6 2 3 6 2" xfId="10042"/>
    <cellStyle name="Comma 6 2 3 6 2 2" xfId="17914"/>
    <cellStyle name="Comma 6 2 3 6 3" xfId="16804"/>
    <cellStyle name="Comma 6 2 4" xfId="2084"/>
    <cellStyle name="Comma 6 2 4 2" xfId="2085"/>
    <cellStyle name="Comma 6 2 4 2 2" xfId="6457"/>
    <cellStyle name="Comma 6 2 4 3" xfId="5058"/>
    <cellStyle name="Comma 6 2 4 3 2" xfId="7363"/>
    <cellStyle name="Comma 6 2 4 3 3" xfId="6842"/>
    <cellStyle name="Comma 6 2 4 3 3 2" xfId="10044"/>
    <cellStyle name="Comma 6 2 4 3 3 2 2" xfId="17916"/>
    <cellStyle name="Comma 6 2 4 3 3 3" xfId="17089"/>
    <cellStyle name="Comma 6 2 4 3 4" xfId="10043"/>
    <cellStyle name="Comma 6 2 4 3 4 2" xfId="17915"/>
    <cellStyle name="Comma 6 2 4 3 5" xfId="14798"/>
    <cellStyle name="Comma 6 2 4 3 5 2" xfId="21702"/>
    <cellStyle name="Comma 6 2 4 3 6" xfId="16337"/>
    <cellStyle name="Comma 6 2 4 4" xfId="5658"/>
    <cellStyle name="Comma 6 2 4 5" xfId="6248"/>
    <cellStyle name="Comma 6 2 4 5 2" xfId="10045"/>
    <cellStyle name="Comma 6 2 4 5 2 2" xfId="17917"/>
    <cellStyle name="Comma 6 2 4 5 3" xfId="16806"/>
    <cellStyle name="Comma 6 2 5" xfId="2086"/>
    <cellStyle name="Comma 6 2 5 2" xfId="5651"/>
    <cellStyle name="Comma 6 2 6" xfId="5051"/>
    <cellStyle name="Comma 6 2 6 2" xfId="7364"/>
    <cellStyle name="Comma 6 2 6 3" xfId="6835"/>
    <cellStyle name="Comma 6 2 6 3 2" xfId="10047"/>
    <cellStyle name="Comma 6 2 6 3 2 2" xfId="17919"/>
    <cellStyle name="Comma 6 2 6 3 3" xfId="17082"/>
    <cellStyle name="Comma 6 2 6 4" xfId="10046"/>
    <cellStyle name="Comma 6 2 6 4 2" xfId="17918"/>
    <cellStyle name="Comma 6 2 6 5" xfId="14791"/>
    <cellStyle name="Comma 6 2 6 5 2" xfId="21695"/>
    <cellStyle name="Comma 6 2 6 6" xfId="16330"/>
    <cellStyle name="Comma 6 2 7" xfId="5330"/>
    <cellStyle name="Comma 6 2 7 2" xfId="14956"/>
    <cellStyle name="Comma 6 2 8" xfId="6241"/>
    <cellStyle name="Comma 6 2 8 2" xfId="6450"/>
    <cellStyle name="Comma 6 2 8 3" xfId="10048"/>
    <cellStyle name="Comma 6 2 8 3 2" xfId="17920"/>
    <cellStyle name="Comma 6 2 8 4" xfId="16799"/>
    <cellStyle name="Comma 6 2 9" xfId="9789"/>
    <cellStyle name="Comma 6 2 9 2" xfId="17699"/>
    <cellStyle name="Comma 6 3" xfId="2087"/>
    <cellStyle name="Comma 6 3 2" xfId="2088"/>
    <cellStyle name="Comma 6 3 2 2" xfId="5659"/>
    <cellStyle name="Comma 6 3 3" xfId="5059"/>
    <cellStyle name="Comma 6 3 3 2" xfId="7365"/>
    <cellStyle name="Comma 6 3 3 3" xfId="6843"/>
    <cellStyle name="Comma 6 3 3 3 2" xfId="10050"/>
    <cellStyle name="Comma 6 3 3 3 2 2" xfId="17922"/>
    <cellStyle name="Comma 6 3 3 3 3" xfId="17090"/>
    <cellStyle name="Comma 6 3 3 4" xfId="10049"/>
    <cellStyle name="Comma 6 3 3 4 2" xfId="17921"/>
    <cellStyle name="Comma 6 3 3 5" xfId="14799"/>
    <cellStyle name="Comma 6 3 3 5 2" xfId="21703"/>
    <cellStyle name="Comma 6 3 3 6" xfId="16338"/>
    <cellStyle name="Comma 6 3 4" xfId="5357"/>
    <cellStyle name="Comma 6 3 4 2" xfId="14971"/>
    <cellStyle name="Comma 6 3 5" xfId="6249"/>
    <cellStyle name="Comma 6 3 5 2" xfId="6458"/>
    <cellStyle name="Comma 6 3 5 3" xfId="10051"/>
    <cellStyle name="Comma 6 3 5 3 2" xfId="17923"/>
    <cellStyle name="Comma 6 3 5 4" xfId="16807"/>
    <cellStyle name="Comma 6 3 6" xfId="14117"/>
    <cellStyle name="Comma 6 4" xfId="2089"/>
    <cellStyle name="Comma 6 4 2" xfId="3997"/>
    <cellStyle name="Comma 6 4 3" xfId="5616"/>
    <cellStyle name="Comma 6 4 3 2" xfId="15042"/>
    <cellStyle name="Comma 6 5" xfId="2090"/>
    <cellStyle name="Comma 6 5 2" xfId="14443"/>
    <cellStyle name="Comma 6 6" xfId="2091"/>
    <cellStyle name="Comma 6 6 2" xfId="5650"/>
    <cellStyle name="Comma 6 7" xfId="5050"/>
    <cellStyle name="Comma 6 7 2" xfId="7366"/>
    <cellStyle name="Comma 6 7 3" xfId="6834"/>
    <cellStyle name="Comma 6 7 3 2" xfId="10053"/>
    <cellStyle name="Comma 6 7 3 2 2" xfId="17925"/>
    <cellStyle name="Comma 6 7 3 3" xfId="17081"/>
    <cellStyle name="Comma 6 7 4" xfId="10052"/>
    <cellStyle name="Comma 6 7 4 2" xfId="17924"/>
    <cellStyle name="Comma 6 7 5" xfId="14790"/>
    <cellStyle name="Comma 6 7 5 2" xfId="21694"/>
    <cellStyle name="Comma 6 7 6" xfId="16329"/>
    <cellStyle name="Comma 6 8" xfId="5170"/>
    <cellStyle name="Comma 6 8 2" xfId="14906"/>
    <cellStyle name="Comma 6 9" xfId="6240"/>
    <cellStyle name="Comma 6 9 2" xfId="6449"/>
    <cellStyle name="Comma 6 9 3" xfId="10054"/>
    <cellStyle name="Comma 6 9 3 2" xfId="17926"/>
    <cellStyle name="Comma 6 9 4" xfId="16798"/>
    <cellStyle name="Comma 6_Schedule May 2011" xfId="2092"/>
    <cellStyle name="Comma 60" xfId="5797"/>
    <cellStyle name="Comma 60 2" xfId="7367"/>
    <cellStyle name="Comma 60 3" xfId="7046"/>
    <cellStyle name="Comma 60 3 2" xfId="10056"/>
    <cellStyle name="Comma 60 3 2 2" xfId="17928"/>
    <cellStyle name="Comma 60 3 3" xfId="17293"/>
    <cellStyle name="Comma 60 4" xfId="10055"/>
    <cellStyle name="Comma 60 4 2" xfId="17927"/>
    <cellStyle name="Comma 60 5" xfId="15107"/>
    <cellStyle name="Comma 60 5 2" xfId="21906"/>
    <cellStyle name="Comma 60 6" xfId="16497"/>
    <cellStyle name="Comma 61" xfId="5845"/>
    <cellStyle name="Comma 61 2" xfId="7368"/>
    <cellStyle name="Comma 61 3" xfId="7087"/>
    <cellStyle name="Comma 61 3 2" xfId="10058"/>
    <cellStyle name="Comma 61 3 2 2" xfId="17930"/>
    <cellStyle name="Comma 61 3 3" xfId="17334"/>
    <cellStyle name="Comma 61 4" xfId="10057"/>
    <cellStyle name="Comma 61 4 2" xfId="17929"/>
    <cellStyle name="Comma 61 5" xfId="15148"/>
    <cellStyle name="Comma 61 5 2" xfId="21947"/>
    <cellStyle name="Comma 61 6" xfId="16538"/>
    <cellStyle name="Comma 62" xfId="5816"/>
    <cellStyle name="Comma 62 2" xfId="7369"/>
    <cellStyle name="Comma 62 3" xfId="7060"/>
    <cellStyle name="Comma 62 3 2" xfId="10060"/>
    <cellStyle name="Comma 62 3 2 2" xfId="17932"/>
    <cellStyle name="Comma 62 3 3" xfId="17307"/>
    <cellStyle name="Comma 62 4" xfId="10059"/>
    <cellStyle name="Comma 62 4 2" xfId="17931"/>
    <cellStyle name="Comma 62 5" xfId="15121"/>
    <cellStyle name="Comma 62 5 2" xfId="21920"/>
    <cellStyle name="Comma 62 6" xfId="16511"/>
    <cellStyle name="Comma 63" xfId="5841"/>
    <cellStyle name="Comma 63 2" xfId="7370"/>
    <cellStyle name="Comma 63 3" xfId="7083"/>
    <cellStyle name="Comma 63 3 2" xfId="10062"/>
    <cellStyle name="Comma 63 3 2 2" xfId="17934"/>
    <cellStyle name="Comma 63 3 3" xfId="17330"/>
    <cellStyle name="Comma 63 4" xfId="10061"/>
    <cellStyle name="Comma 63 4 2" xfId="17933"/>
    <cellStyle name="Comma 63 5" xfId="15144"/>
    <cellStyle name="Comma 63 5 2" xfId="21943"/>
    <cellStyle name="Comma 63 6" xfId="16534"/>
    <cellStyle name="Comma 64" xfId="5909"/>
    <cellStyle name="Comma 64 2" xfId="7371"/>
    <cellStyle name="Comma 64 3" xfId="7136"/>
    <cellStyle name="Comma 64 3 2" xfId="10064"/>
    <cellStyle name="Comma 64 3 2 2" xfId="17936"/>
    <cellStyle name="Comma 64 3 3" xfId="17383"/>
    <cellStyle name="Comma 64 4" xfId="10063"/>
    <cellStyle name="Comma 64 4 2" xfId="17935"/>
    <cellStyle name="Comma 64 5" xfId="15197"/>
    <cellStyle name="Comma 64 5 2" xfId="21996"/>
    <cellStyle name="Comma 64 6" xfId="16587"/>
    <cellStyle name="Comma 65" xfId="5936"/>
    <cellStyle name="Comma 65 2" xfId="7372"/>
    <cellStyle name="Comma 65 3" xfId="7152"/>
    <cellStyle name="Comma 65 3 2" xfId="10066"/>
    <cellStyle name="Comma 65 3 2 2" xfId="17938"/>
    <cellStyle name="Comma 65 3 3" xfId="17399"/>
    <cellStyle name="Comma 65 4" xfId="10065"/>
    <cellStyle name="Comma 65 4 2" xfId="17937"/>
    <cellStyle name="Comma 65 5" xfId="15213"/>
    <cellStyle name="Comma 65 5 2" xfId="22012"/>
    <cellStyle name="Comma 65 6" xfId="16603"/>
    <cellStyle name="Comma 66" xfId="5875"/>
    <cellStyle name="Comma 66 2" xfId="7373"/>
    <cellStyle name="Comma 66 3" xfId="7107"/>
    <cellStyle name="Comma 66 3 2" xfId="10068"/>
    <cellStyle name="Comma 66 3 2 2" xfId="17940"/>
    <cellStyle name="Comma 66 3 3" xfId="17354"/>
    <cellStyle name="Comma 66 4" xfId="10067"/>
    <cellStyle name="Comma 66 4 2" xfId="17939"/>
    <cellStyle name="Comma 66 5" xfId="15168"/>
    <cellStyle name="Comma 66 5 2" xfId="21967"/>
    <cellStyle name="Comma 66 6" xfId="16558"/>
    <cellStyle name="Comma 67" xfId="5948"/>
    <cellStyle name="Comma 67 2" xfId="7374"/>
    <cellStyle name="Comma 67 3" xfId="7161"/>
    <cellStyle name="Comma 67 3 2" xfId="10070"/>
    <cellStyle name="Comma 67 3 2 2" xfId="17942"/>
    <cellStyle name="Comma 67 3 3" xfId="17408"/>
    <cellStyle name="Comma 67 4" xfId="10069"/>
    <cellStyle name="Comma 67 4 2" xfId="17941"/>
    <cellStyle name="Comma 67 5" xfId="15222"/>
    <cellStyle name="Comma 67 5 2" xfId="22021"/>
    <cellStyle name="Comma 67 6" xfId="16612"/>
    <cellStyle name="Comma 68" xfId="6092"/>
    <cellStyle name="Comma 68 2" xfId="7375"/>
    <cellStyle name="Comma 68 3" xfId="7295"/>
    <cellStyle name="Comma 68 3 2" xfId="10072"/>
    <cellStyle name="Comma 68 3 2 2" xfId="17944"/>
    <cellStyle name="Comma 68 3 3" xfId="17542"/>
    <cellStyle name="Comma 68 4" xfId="10071"/>
    <cellStyle name="Comma 68 4 2" xfId="17943"/>
    <cellStyle name="Comma 68 5" xfId="15356"/>
    <cellStyle name="Comma 68 5 2" xfId="22155"/>
    <cellStyle name="Comma 68 6" xfId="16746"/>
    <cellStyle name="Comma 69" xfId="5799"/>
    <cellStyle name="Comma 69 2" xfId="7376"/>
    <cellStyle name="Comma 69 3" xfId="7047"/>
    <cellStyle name="Comma 69 3 2" xfId="10074"/>
    <cellStyle name="Comma 69 3 2 2" xfId="17946"/>
    <cellStyle name="Comma 69 3 3" xfId="17294"/>
    <cellStyle name="Comma 69 4" xfId="10073"/>
    <cellStyle name="Comma 69 4 2" xfId="17945"/>
    <cellStyle name="Comma 69 5" xfId="15108"/>
    <cellStyle name="Comma 69 5 2" xfId="21907"/>
    <cellStyle name="Comma 69 6" xfId="16498"/>
    <cellStyle name="Comma 7" xfId="2093"/>
    <cellStyle name="Comma 7 10" xfId="14028"/>
    <cellStyle name="Comma 7 2" xfId="2094"/>
    <cellStyle name="Comma 7 2 2" xfId="2095"/>
    <cellStyle name="Comma 7 2 2 2" xfId="2096"/>
    <cellStyle name="Comma 7 2 2 2 2" xfId="6461"/>
    <cellStyle name="Comma 7 2 2 3" xfId="5062"/>
    <cellStyle name="Comma 7 2 2 3 2" xfId="7377"/>
    <cellStyle name="Comma 7 2 2 3 3" xfId="6846"/>
    <cellStyle name="Comma 7 2 2 3 3 2" xfId="10076"/>
    <cellStyle name="Comma 7 2 2 3 3 2 2" xfId="17948"/>
    <cellStyle name="Comma 7 2 2 3 3 3" xfId="17093"/>
    <cellStyle name="Comma 7 2 2 3 4" xfId="10075"/>
    <cellStyle name="Comma 7 2 2 3 4 2" xfId="17947"/>
    <cellStyle name="Comma 7 2 2 3 5" xfId="14802"/>
    <cellStyle name="Comma 7 2 2 3 5 2" xfId="21706"/>
    <cellStyle name="Comma 7 2 2 3 6" xfId="16341"/>
    <cellStyle name="Comma 7 2 2 4" xfId="5662"/>
    <cellStyle name="Comma 7 2 2 5" xfId="6252"/>
    <cellStyle name="Comma 7 2 2 5 2" xfId="10077"/>
    <cellStyle name="Comma 7 2 2 5 2 2" xfId="17949"/>
    <cellStyle name="Comma 7 2 2 5 3" xfId="16810"/>
    <cellStyle name="Comma 7 2 3" xfId="2097"/>
    <cellStyle name="Comma 7 2 3 2" xfId="5661"/>
    <cellStyle name="Comma 7 2 4" xfId="5061"/>
    <cellStyle name="Comma 7 2 4 2" xfId="7378"/>
    <cellStyle name="Comma 7 2 4 3" xfId="6845"/>
    <cellStyle name="Comma 7 2 4 3 2" xfId="10079"/>
    <cellStyle name="Comma 7 2 4 3 2 2" xfId="17951"/>
    <cellStyle name="Comma 7 2 4 3 3" xfId="17092"/>
    <cellStyle name="Comma 7 2 4 4" xfId="10078"/>
    <cellStyle name="Comma 7 2 4 4 2" xfId="17950"/>
    <cellStyle name="Comma 7 2 4 5" xfId="14801"/>
    <cellStyle name="Comma 7 2 4 5 2" xfId="21705"/>
    <cellStyle name="Comma 7 2 4 6" xfId="16340"/>
    <cellStyle name="Comma 7 2 5" xfId="5332"/>
    <cellStyle name="Comma 7 2 5 2" xfId="14958"/>
    <cellStyle name="Comma 7 2 6" xfId="6251"/>
    <cellStyle name="Comma 7 2 6 2" xfId="6460"/>
    <cellStyle name="Comma 7 2 6 3" xfId="10080"/>
    <cellStyle name="Comma 7 2 6 3 2" xfId="17952"/>
    <cellStyle name="Comma 7 2 6 4" xfId="16809"/>
    <cellStyle name="Comma 7 2 7" xfId="9790"/>
    <cellStyle name="Comma 7 2 7 2" xfId="17700"/>
    <cellStyle name="Comma 7 2 8" xfId="14120"/>
    <cellStyle name="Comma 7 3" xfId="2098"/>
    <cellStyle name="Comma 7 3 2" xfId="2099"/>
    <cellStyle name="Comma 7 3 2 2" xfId="2100"/>
    <cellStyle name="Comma 7 3 2 2 2" xfId="6463"/>
    <cellStyle name="Comma 7 3 2 3" xfId="5064"/>
    <cellStyle name="Comma 7 3 2 3 2" xfId="7379"/>
    <cellStyle name="Comma 7 3 2 3 3" xfId="6848"/>
    <cellStyle name="Comma 7 3 2 3 3 2" xfId="10082"/>
    <cellStyle name="Comma 7 3 2 3 3 2 2" xfId="17954"/>
    <cellStyle name="Comma 7 3 2 3 3 3" xfId="17095"/>
    <cellStyle name="Comma 7 3 2 3 4" xfId="10081"/>
    <cellStyle name="Comma 7 3 2 3 4 2" xfId="17953"/>
    <cellStyle name="Comma 7 3 2 3 5" xfId="14804"/>
    <cellStyle name="Comma 7 3 2 3 5 2" xfId="21708"/>
    <cellStyle name="Comma 7 3 2 3 6" xfId="16343"/>
    <cellStyle name="Comma 7 3 2 4" xfId="5664"/>
    <cellStyle name="Comma 7 3 2 5" xfId="6254"/>
    <cellStyle name="Comma 7 3 2 5 2" xfId="10083"/>
    <cellStyle name="Comma 7 3 2 5 2 2" xfId="17955"/>
    <cellStyle name="Comma 7 3 2 5 3" xfId="16812"/>
    <cellStyle name="Comma 7 3 3" xfId="2101"/>
    <cellStyle name="Comma 7 3 3 2" xfId="5663"/>
    <cellStyle name="Comma 7 3 4" xfId="5063"/>
    <cellStyle name="Comma 7 3 4 2" xfId="7380"/>
    <cellStyle name="Comma 7 3 4 3" xfId="6847"/>
    <cellStyle name="Comma 7 3 4 3 2" xfId="10085"/>
    <cellStyle name="Comma 7 3 4 3 2 2" xfId="17957"/>
    <cellStyle name="Comma 7 3 4 3 3" xfId="17094"/>
    <cellStyle name="Comma 7 3 4 4" xfId="10084"/>
    <cellStyle name="Comma 7 3 4 4 2" xfId="17956"/>
    <cellStyle name="Comma 7 3 4 5" xfId="14803"/>
    <cellStyle name="Comma 7 3 4 5 2" xfId="21707"/>
    <cellStyle name="Comma 7 3 4 6" xfId="16342"/>
    <cellStyle name="Comma 7 3 5" xfId="5331"/>
    <cellStyle name="Comma 7 3 5 2" xfId="14957"/>
    <cellStyle name="Comma 7 3 6" xfId="6253"/>
    <cellStyle name="Comma 7 3 6 2" xfId="6462"/>
    <cellStyle name="Comma 7 3 6 3" xfId="10086"/>
    <cellStyle name="Comma 7 3 6 3 2" xfId="17958"/>
    <cellStyle name="Comma 7 3 6 4" xfId="16811"/>
    <cellStyle name="Comma 7 3 7" xfId="14119"/>
    <cellStyle name="Comma 7 4" xfId="2102"/>
    <cellStyle name="Comma 7 4 2" xfId="2103"/>
    <cellStyle name="Comma 7 4 2 2" xfId="5665"/>
    <cellStyle name="Comma 7 4 3" xfId="5065"/>
    <cellStyle name="Comma 7 4 3 2" xfId="7381"/>
    <cellStyle name="Comma 7 4 3 3" xfId="6849"/>
    <cellStyle name="Comma 7 4 3 3 2" xfId="10088"/>
    <cellStyle name="Comma 7 4 3 3 2 2" xfId="17960"/>
    <cellStyle name="Comma 7 4 3 3 3" xfId="17096"/>
    <cellStyle name="Comma 7 4 3 4" xfId="10087"/>
    <cellStyle name="Comma 7 4 3 4 2" xfId="17959"/>
    <cellStyle name="Comma 7 4 3 5" xfId="14805"/>
    <cellStyle name="Comma 7 4 3 5 2" xfId="21709"/>
    <cellStyle name="Comma 7 4 3 6" xfId="16344"/>
    <cellStyle name="Comma 7 4 4" xfId="5617"/>
    <cellStyle name="Comma 7 4 4 2" xfId="15043"/>
    <cellStyle name="Comma 7 4 5" xfId="6255"/>
    <cellStyle name="Comma 7 4 5 2" xfId="10089"/>
    <cellStyle name="Comma 7 4 5 2 2" xfId="17961"/>
    <cellStyle name="Comma 7 4 5 3" xfId="16813"/>
    <cellStyle name="Comma 7 5" xfId="2104"/>
    <cellStyle name="Comma 7 5 2" xfId="14444"/>
    <cellStyle name="Comma 7 6" xfId="2105"/>
    <cellStyle name="Comma 7 6 2" xfId="5660"/>
    <cellStyle name="Comma 7 7" xfId="5060"/>
    <cellStyle name="Comma 7 7 2" xfId="7382"/>
    <cellStyle name="Comma 7 7 3" xfId="6844"/>
    <cellStyle name="Comma 7 7 3 2" xfId="10091"/>
    <cellStyle name="Comma 7 7 3 2 2" xfId="17963"/>
    <cellStyle name="Comma 7 7 3 3" xfId="17091"/>
    <cellStyle name="Comma 7 7 4" xfId="10090"/>
    <cellStyle name="Comma 7 7 4 2" xfId="17962"/>
    <cellStyle name="Comma 7 7 5" xfId="14800"/>
    <cellStyle name="Comma 7 7 5 2" xfId="21704"/>
    <cellStyle name="Comma 7 7 6" xfId="16339"/>
    <cellStyle name="Comma 7 8" xfId="5171"/>
    <cellStyle name="Comma 7 8 2" xfId="14907"/>
    <cellStyle name="Comma 7 9" xfId="6250"/>
    <cellStyle name="Comma 7 9 2" xfId="6459"/>
    <cellStyle name="Comma 7 9 3" xfId="10092"/>
    <cellStyle name="Comma 7 9 3 2" xfId="17964"/>
    <cellStyle name="Comma 7 9 4" xfId="16808"/>
    <cellStyle name="Comma 7_Schedule May 2011" xfId="2106"/>
    <cellStyle name="Comma 70" xfId="5878"/>
    <cellStyle name="Comma 70 2" xfId="7383"/>
    <cellStyle name="Comma 70 3" xfId="7110"/>
    <cellStyle name="Comma 70 3 2" xfId="10094"/>
    <cellStyle name="Comma 70 3 2 2" xfId="17966"/>
    <cellStyle name="Comma 70 3 3" xfId="17357"/>
    <cellStyle name="Comma 70 4" xfId="10093"/>
    <cellStyle name="Comma 70 4 2" xfId="17965"/>
    <cellStyle name="Comma 70 5" xfId="15171"/>
    <cellStyle name="Comma 70 5 2" xfId="21970"/>
    <cellStyle name="Comma 70 6" xfId="16561"/>
    <cellStyle name="Comma 71" xfId="5915"/>
    <cellStyle name="Comma 71 2" xfId="7384"/>
    <cellStyle name="Comma 71 3" xfId="7141"/>
    <cellStyle name="Comma 71 3 2" xfId="10096"/>
    <cellStyle name="Comma 71 3 2 2" xfId="17968"/>
    <cellStyle name="Comma 71 3 3" xfId="17388"/>
    <cellStyle name="Comma 71 4" xfId="10095"/>
    <cellStyle name="Comma 71 4 2" xfId="17967"/>
    <cellStyle name="Comma 71 5" xfId="15202"/>
    <cellStyle name="Comma 71 5 2" xfId="22001"/>
    <cellStyle name="Comma 71 6" xfId="16592"/>
    <cellStyle name="Comma 72" xfId="5862"/>
    <cellStyle name="Comma 72 2" xfId="7385"/>
    <cellStyle name="Comma 72 3" xfId="7097"/>
    <cellStyle name="Comma 72 3 2" xfId="10098"/>
    <cellStyle name="Comma 72 3 2 2" xfId="17970"/>
    <cellStyle name="Comma 72 3 3" xfId="17344"/>
    <cellStyle name="Comma 72 4" xfId="10097"/>
    <cellStyle name="Comma 72 4 2" xfId="17969"/>
    <cellStyle name="Comma 72 5" xfId="15158"/>
    <cellStyle name="Comma 72 5 2" xfId="21957"/>
    <cellStyle name="Comma 72 6" xfId="16548"/>
    <cellStyle name="Comma 73" xfId="6104"/>
    <cellStyle name="Comma 73 2" xfId="15362"/>
    <cellStyle name="Comma 74" xfId="6132"/>
    <cellStyle name="Comma 74 2" xfId="6407"/>
    <cellStyle name="Comma 74 2 2" xfId="10100"/>
    <cellStyle name="Comma 74 2 2 2" xfId="17972"/>
    <cellStyle name="Comma 74 3" xfId="10099"/>
    <cellStyle name="Comma 74 3 2" xfId="17971"/>
    <cellStyle name="Comma 74 4" xfId="16771"/>
    <cellStyle name="Comma 75" xfId="6383"/>
    <cellStyle name="Comma 75 2" xfId="6229"/>
    <cellStyle name="Comma 75 2 2" xfId="10102"/>
    <cellStyle name="Comma 75 2 2 2" xfId="17974"/>
    <cellStyle name="Comma 75 3" xfId="10101"/>
    <cellStyle name="Comma 75 3 2" xfId="17973"/>
    <cellStyle name="Comma 75 4" xfId="16941"/>
    <cellStyle name="Comma 76" xfId="6388"/>
    <cellStyle name="Comma 76 2" xfId="10103"/>
    <cellStyle name="Comma 76 2 2" xfId="17975"/>
    <cellStyle name="Comma 76 3" xfId="16944"/>
    <cellStyle name="Comma 77" xfId="6392"/>
    <cellStyle name="Comma 77 2" xfId="10104"/>
    <cellStyle name="Comma 77 2 2" xfId="17976"/>
    <cellStyle name="Comma 77 3" xfId="16947"/>
    <cellStyle name="Comma 78" xfId="9836"/>
    <cellStyle name="Comma 78 2" xfId="17708"/>
    <cellStyle name="Comma 79" xfId="13455"/>
    <cellStyle name="Comma 79 2" xfId="21326"/>
    <cellStyle name="Comma 8" xfId="2107"/>
    <cellStyle name="Comma 8 2" xfId="2108"/>
    <cellStyle name="Comma 8 2 2" xfId="2109"/>
    <cellStyle name="Comma 8 2 2 2" xfId="5667"/>
    <cellStyle name="Comma 8 2 3" xfId="5067"/>
    <cellStyle name="Comma 8 2 3 2" xfId="7386"/>
    <cellStyle name="Comma 8 2 3 3" xfId="6851"/>
    <cellStyle name="Comma 8 2 3 3 2" xfId="10106"/>
    <cellStyle name="Comma 8 2 3 3 2 2" xfId="17978"/>
    <cellStyle name="Comma 8 2 3 3 3" xfId="17098"/>
    <cellStyle name="Comma 8 2 3 4" xfId="10105"/>
    <cellStyle name="Comma 8 2 3 4 2" xfId="17977"/>
    <cellStyle name="Comma 8 2 3 5" xfId="14807"/>
    <cellStyle name="Comma 8 2 3 5 2" xfId="21711"/>
    <cellStyle name="Comma 8 2 3 6" xfId="16346"/>
    <cellStyle name="Comma 8 2 4" xfId="5235"/>
    <cellStyle name="Comma 8 2 5" xfId="6257"/>
    <cellStyle name="Comma 8 2 5 2" xfId="6465"/>
    <cellStyle name="Comma 8 2 5 3" xfId="10107"/>
    <cellStyle name="Comma 8 2 5 3 2" xfId="17979"/>
    <cellStyle name="Comma 8 2 5 4" xfId="16815"/>
    <cellStyle name="Comma 8 3" xfId="2110"/>
    <cellStyle name="Comma 8 3 2" xfId="5333"/>
    <cellStyle name="Comma 8 3 2 2" xfId="14959"/>
    <cellStyle name="Comma 8 3 3" xfId="6466"/>
    <cellStyle name="Comma 8 3 4" xfId="14121"/>
    <cellStyle name="Comma 8 3 5" xfId="16288"/>
    <cellStyle name="Comma 8 4" xfId="5066"/>
    <cellStyle name="Comma 8 4 2" xfId="5666"/>
    <cellStyle name="Comma 8 4 3" xfId="6850"/>
    <cellStyle name="Comma 8 4 3 2" xfId="10109"/>
    <cellStyle name="Comma 8 4 3 2 2" xfId="17981"/>
    <cellStyle name="Comma 8 4 3 3" xfId="17097"/>
    <cellStyle name="Comma 8 4 4" xfId="10108"/>
    <cellStyle name="Comma 8 4 4 2" xfId="17980"/>
    <cellStyle name="Comma 8 4 5" xfId="14806"/>
    <cellStyle name="Comma 8 4 5 2" xfId="21710"/>
    <cellStyle name="Comma 8 4 6" xfId="16345"/>
    <cellStyle name="Comma 8 5" xfId="5172"/>
    <cellStyle name="Comma 8 5 2" xfId="14908"/>
    <cellStyle name="Comma 8 6" xfId="6256"/>
    <cellStyle name="Comma 8 6 2" xfId="6464"/>
    <cellStyle name="Comma 8 6 3" xfId="10110"/>
    <cellStyle name="Comma 8 6 3 2" xfId="17982"/>
    <cellStyle name="Comma 8 6 4" xfId="16814"/>
    <cellStyle name="Comma 8 7" xfId="14029"/>
    <cellStyle name="Comma 80" xfId="13459"/>
    <cellStyle name="Comma 80 2" xfId="21329"/>
    <cellStyle name="Comma 81" xfId="14022"/>
    <cellStyle name="Comma 81 2" xfId="21435"/>
    <cellStyle name="Comma 82" xfId="14628"/>
    <cellStyle name="Comma 82 2" xfId="21609"/>
    <cellStyle name="Comma 83" xfId="14097"/>
    <cellStyle name="Comma 83 2" xfId="21455"/>
    <cellStyle name="Comma 84" xfId="15390"/>
    <cellStyle name="Comma 84 2" xfId="22182"/>
    <cellStyle name="Comma 85" xfId="15404"/>
    <cellStyle name="Comma 85 2" xfId="22192"/>
    <cellStyle name="Comma 86" xfId="14422"/>
    <cellStyle name="Comma 86 2" xfId="21477"/>
    <cellStyle name="Comma 87" xfId="15407"/>
    <cellStyle name="Comma 88" xfId="15670"/>
    <cellStyle name="Comma 88 2" xfId="22416"/>
    <cellStyle name="Comma 89" xfId="15866"/>
    <cellStyle name="Comma 89 2" xfId="22609"/>
    <cellStyle name="Comma 9" xfId="2111"/>
    <cellStyle name="Comma 9 10" xfId="14030"/>
    <cellStyle name="Comma 9 10 2" xfId="21437"/>
    <cellStyle name="Comma 9 11" xfId="15473"/>
    <cellStyle name="Comma 9 11 2" xfId="22228"/>
    <cellStyle name="Comma 9 12" xfId="15673"/>
    <cellStyle name="Comma 9 12 2" xfId="22419"/>
    <cellStyle name="Comma 9 13" xfId="15869"/>
    <cellStyle name="Comma 9 13 2" xfId="22612"/>
    <cellStyle name="Comma 9 14" xfId="16122"/>
    <cellStyle name="Comma 9 2" xfId="2112"/>
    <cellStyle name="Comma 9 2 10" xfId="15674"/>
    <cellStyle name="Comma 9 2 10 2" xfId="22420"/>
    <cellStyle name="Comma 9 2 11" xfId="15870"/>
    <cellStyle name="Comma 9 2 11 2" xfId="22613"/>
    <cellStyle name="Comma 9 2 12" xfId="16123"/>
    <cellStyle name="Comma 9 2 2" xfId="2113"/>
    <cellStyle name="Comma 9 2 2 2" xfId="2114"/>
    <cellStyle name="Comma 9 2 2 2 2" xfId="5669"/>
    <cellStyle name="Comma 9 2 2 3" xfId="5069"/>
    <cellStyle name="Comma 9 2 2 3 2" xfId="7387"/>
    <cellStyle name="Comma 9 2 2 3 3" xfId="6853"/>
    <cellStyle name="Comma 9 2 2 3 3 2" xfId="10112"/>
    <cellStyle name="Comma 9 2 2 3 3 2 2" xfId="17984"/>
    <cellStyle name="Comma 9 2 2 3 3 3" xfId="17100"/>
    <cellStyle name="Comma 9 2 2 3 4" xfId="10111"/>
    <cellStyle name="Comma 9 2 2 3 4 2" xfId="17983"/>
    <cellStyle name="Comma 9 2 2 3 5" xfId="14809"/>
    <cellStyle name="Comma 9 2 2 3 5 2" xfId="21713"/>
    <cellStyle name="Comma 9 2 2 3 6" xfId="16348"/>
    <cellStyle name="Comma 9 2 2 4" xfId="5335"/>
    <cellStyle name="Comma 9 2 2 4 2" xfId="14961"/>
    <cellStyle name="Comma 9 2 2 5" xfId="6259"/>
    <cellStyle name="Comma 9 2 2 5 2" xfId="6469"/>
    <cellStyle name="Comma 9 2 2 5 3" xfId="10113"/>
    <cellStyle name="Comma 9 2 2 5 3 2" xfId="17985"/>
    <cellStyle name="Comma 9 2 2 5 4" xfId="16817"/>
    <cellStyle name="Comma 9 2 2 6" xfId="14123"/>
    <cellStyle name="Comma 9 2 3" xfId="2115"/>
    <cellStyle name="Comma 9 2 3 2" xfId="5668"/>
    <cellStyle name="Comma 9 2 4" xfId="5068"/>
    <cellStyle name="Comma 9 2 4 2" xfId="7388"/>
    <cellStyle name="Comma 9 2 4 3" xfId="6852"/>
    <cellStyle name="Comma 9 2 4 3 2" xfId="10115"/>
    <cellStyle name="Comma 9 2 4 3 2 2" xfId="17987"/>
    <cellStyle name="Comma 9 2 4 3 3" xfId="17099"/>
    <cellStyle name="Comma 9 2 4 4" xfId="10114"/>
    <cellStyle name="Comma 9 2 4 4 2" xfId="17986"/>
    <cellStyle name="Comma 9 2 4 5" xfId="14808"/>
    <cellStyle name="Comma 9 2 4 5 2" xfId="21712"/>
    <cellStyle name="Comma 9 2 4 6" xfId="16347"/>
    <cellStyle name="Comma 9 2 5" xfId="5820"/>
    <cellStyle name="Comma 9 2 5 2" xfId="7389"/>
    <cellStyle name="Comma 9 2 5 3" xfId="7063"/>
    <cellStyle name="Comma 9 2 5 3 2" xfId="10117"/>
    <cellStyle name="Comma 9 2 5 3 2 2" xfId="17989"/>
    <cellStyle name="Comma 9 2 5 3 3" xfId="17310"/>
    <cellStyle name="Comma 9 2 5 4" xfId="10116"/>
    <cellStyle name="Comma 9 2 5 4 2" xfId="17988"/>
    <cellStyle name="Comma 9 2 5 5" xfId="15124"/>
    <cellStyle name="Comma 9 2 5 5 2" xfId="21923"/>
    <cellStyle name="Comma 9 2 5 6" xfId="16514"/>
    <cellStyle name="Comma 9 2 6" xfId="6258"/>
    <cellStyle name="Comma 9 2 6 2" xfId="6468"/>
    <cellStyle name="Comma 9 2 6 3" xfId="10118"/>
    <cellStyle name="Comma 9 2 6 3 2" xfId="17990"/>
    <cellStyle name="Comma 9 2 6 4" xfId="16816"/>
    <cellStyle name="Comma 9 2 7" xfId="9792"/>
    <cellStyle name="Comma 9 2 8" xfId="14031"/>
    <cellStyle name="Comma 9 2 8 2" xfId="21438"/>
    <cellStyle name="Comma 9 2 9" xfId="15474"/>
    <cellStyle name="Comma 9 2 9 2" xfId="22229"/>
    <cellStyle name="Comma 9 3" xfId="2116"/>
    <cellStyle name="Comma 9 3 10" xfId="15675"/>
    <cellStyle name="Comma 9 3 10 2" xfId="22421"/>
    <cellStyle name="Comma 9 3 11" xfId="15871"/>
    <cellStyle name="Comma 9 3 11 2" xfId="22614"/>
    <cellStyle name="Comma 9 3 12" xfId="16124"/>
    <cellStyle name="Comma 9 3 2" xfId="2117"/>
    <cellStyle name="Comma 9 3 2 2" xfId="2118"/>
    <cellStyle name="Comma 9 3 2 2 2" xfId="6471"/>
    <cellStyle name="Comma 9 3 2 3" xfId="5071"/>
    <cellStyle name="Comma 9 3 2 3 2" xfId="7390"/>
    <cellStyle name="Comma 9 3 2 3 3" xfId="6855"/>
    <cellStyle name="Comma 9 3 2 3 3 2" xfId="10120"/>
    <cellStyle name="Comma 9 3 2 3 3 2 2" xfId="17992"/>
    <cellStyle name="Comma 9 3 2 3 3 3" xfId="17102"/>
    <cellStyle name="Comma 9 3 2 3 4" xfId="10119"/>
    <cellStyle name="Comma 9 3 2 3 4 2" xfId="17991"/>
    <cellStyle name="Comma 9 3 2 3 5" xfId="14811"/>
    <cellStyle name="Comma 9 3 2 3 5 2" xfId="21715"/>
    <cellStyle name="Comma 9 3 2 3 6" xfId="16350"/>
    <cellStyle name="Comma 9 3 2 4" xfId="5671"/>
    <cellStyle name="Comma 9 3 2 5" xfId="6261"/>
    <cellStyle name="Comma 9 3 2 5 2" xfId="10121"/>
    <cellStyle name="Comma 9 3 2 5 2 2" xfId="17993"/>
    <cellStyle name="Comma 9 3 2 5 3" xfId="16819"/>
    <cellStyle name="Comma 9 3 3" xfId="2119"/>
    <cellStyle name="Comma 9 3 3 2" xfId="5670"/>
    <cellStyle name="Comma 9 3 4" xfId="5070"/>
    <cellStyle name="Comma 9 3 4 2" xfId="7391"/>
    <cellStyle name="Comma 9 3 4 3" xfId="6854"/>
    <cellStyle name="Comma 9 3 4 3 2" xfId="10123"/>
    <cellStyle name="Comma 9 3 4 3 2 2" xfId="17995"/>
    <cellStyle name="Comma 9 3 4 3 3" xfId="17101"/>
    <cellStyle name="Comma 9 3 4 4" xfId="10122"/>
    <cellStyle name="Comma 9 3 4 4 2" xfId="17994"/>
    <cellStyle name="Comma 9 3 4 5" xfId="14810"/>
    <cellStyle name="Comma 9 3 4 5 2" xfId="21714"/>
    <cellStyle name="Comma 9 3 4 6" xfId="16349"/>
    <cellStyle name="Comma 9 3 5" xfId="5821"/>
    <cellStyle name="Comma 9 3 5 2" xfId="7392"/>
    <cellStyle name="Comma 9 3 5 3" xfId="7064"/>
    <cellStyle name="Comma 9 3 5 3 2" xfId="10125"/>
    <cellStyle name="Comma 9 3 5 3 2 2" xfId="17997"/>
    <cellStyle name="Comma 9 3 5 3 3" xfId="17311"/>
    <cellStyle name="Comma 9 3 5 4" xfId="10124"/>
    <cellStyle name="Comma 9 3 5 4 2" xfId="17996"/>
    <cellStyle name="Comma 9 3 5 5" xfId="15125"/>
    <cellStyle name="Comma 9 3 5 5 2" xfId="21924"/>
    <cellStyle name="Comma 9 3 5 6" xfId="16515"/>
    <cellStyle name="Comma 9 3 6" xfId="6260"/>
    <cellStyle name="Comma 9 3 6 2" xfId="6470"/>
    <cellStyle name="Comma 9 3 6 3" xfId="10126"/>
    <cellStyle name="Comma 9 3 6 3 2" xfId="17998"/>
    <cellStyle name="Comma 9 3 6 4" xfId="16818"/>
    <cellStyle name="Comma 9 3 7" xfId="9793"/>
    <cellStyle name="Comma 9 3 8" xfId="14032"/>
    <cellStyle name="Comma 9 3 8 2" xfId="21439"/>
    <cellStyle name="Comma 9 3 9" xfId="15475"/>
    <cellStyle name="Comma 9 3 9 2" xfId="22230"/>
    <cellStyle name="Comma 9 4" xfId="2120"/>
    <cellStyle name="Comma 9 4 2" xfId="3998"/>
    <cellStyle name="Comma 9 4 2 2" xfId="14665"/>
    <cellStyle name="Comma 9 4 3" xfId="5334"/>
    <cellStyle name="Comma 9 4 3 2" xfId="14960"/>
    <cellStyle name="Comma 9 4 4" xfId="6472"/>
    <cellStyle name="Comma 9 4 4 2" xfId="14446"/>
    <cellStyle name="Comma 9 4 5" xfId="9791"/>
    <cellStyle name="Comma 9 4 6" xfId="13513"/>
    <cellStyle name="Comma 9 4 7" xfId="14122"/>
    <cellStyle name="Comma 9 5" xfId="2121"/>
    <cellStyle name="Comma 9 6" xfId="3999"/>
    <cellStyle name="Comma 9 6 2" xfId="14666"/>
    <cellStyle name="Comma 9 7" xfId="5819"/>
    <cellStyle name="Comma 9 7 2" xfId="7393"/>
    <cellStyle name="Comma 9 7 3" xfId="7062"/>
    <cellStyle name="Comma 9 7 3 2" xfId="10128"/>
    <cellStyle name="Comma 9 7 3 2 2" xfId="18000"/>
    <cellStyle name="Comma 9 7 3 3" xfId="17309"/>
    <cellStyle name="Comma 9 7 4" xfId="10127"/>
    <cellStyle name="Comma 9 7 4 2" xfId="17999"/>
    <cellStyle name="Comma 9 7 5" xfId="15123"/>
    <cellStyle name="Comma 9 7 5 2" xfId="21922"/>
    <cellStyle name="Comma 9 7 6" xfId="16513"/>
    <cellStyle name="Comma 9 8" xfId="6467"/>
    <cellStyle name="Comma 9 8 2" xfId="14445"/>
    <cellStyle name="Comma 9 9" xfId="13512"/>
    <cellStyle name="Comma 9_Schedule May 2011" xfId="2122"/>
    <cellStyle name="Comma 90" xfId="16066"/>
    <cellStyle name="Comma 90 2" xfId="22791"/>
    <cellStyle name="Comma 91" xfId="16076"/>
    <cellStyle name="Comma 91 2" xfId="22796"/>
    <cellStyle name="Comma 92" xfId="15834"/>
    <cellStyle name="Comma 92 2" xfId="22577"/>
    <cellStyle name="Comma 93" xfId="15864"/>
    <cellStyle name="Comma 93 2" xfId="22607"/>
    <cellStyle name="Comma 94" xfId="15895"/>
    <cellStyle name="Comma 94 2" xfId="22632"/>
    <cellStyle name="Comma 95" xfId="15929"/>
    <cellStyle name="Comma 95 2" xfId="22660"/>
    <cellStyle name="Comma 96" xfId="15904"/>
    <cellStyle name="Comma 96 2" xfId="22638"/>
    <cellStyle name="Comma 97" xfId="15936"/>
    <cellStyle name="Comma 97 2" xfId="22666"/>
    <cellStyle name="Comma 98" xfId="15921"/>
    <cellStyle name="Comma 98 2" xfId="22653"/>
    <cellStyle name="Comma 99" xfId="16282"/>
    <cellStyle name="Comma(0)" xfId="4000"/>
    <cellStyle name="Comma_transposed 1ENMAX 2002 COSS Filing Information FINAL" xfId="2123"/>
    <cellStyle name="Comma0" xfId="2124"/>
    <cellStyle name="Comma0 - Style1" xfId="2125"/>
    <cellStyle name="Comma0 - Style2" xfId="2126"/>
    <cellStyle name="Comma0 10" xfId="4001"/>
    <cellStyle name="Comma0 10 2" xfId="9575"/>
    <cellStyle name="Comma0 10 3" xfId="14667"/>
    <cellStyle name="Comma0 11" xfId="4002"/>
    <cellStyle name="Comma0 11 2" xfId="9576"/>
    <cellStyle name="Comma0 11 3" xfId="14668"/>
    <cellStyle name="Comma0 12" xfId="4003"/>
    <cellStyle name="Comma0 12 2" xfId="9577"/>
    <cellStyle name="Comma0 12 3" xfId="14669"/>
    <cellStyle name="Comma0 13" xfId="4004"/>
    <cellStyle name="Comma0 13 2" xfId="9578"/>
    <cellStyle name="Comma0 13 3" xfId="14670"/>
    <cellStyle name="Comma0 14" xfId="4005"/>
    <cellStyle name="Comma0 14 2" xfId="9579"/>
    <cellStyle name="Comma0 14 3" xfId="14671"/>
    <cellStyle name="Comma0 15" xfId="4006"/>
    <cellStyle name="Comma0 15 2" xfId="9669"/>
    <cellStyle name="Comma0 15 3" xfId="14672"/>
    <cellStyle name="Comma0 16" xfId="4007"/>
    <cellStyle name="Comma0 16 2" xfId="9671"/>
    <cellStyle name="Comma0 16 3" xfId="14673"/>
    <cellStyle name="Comma0 17" xfId="4008"/>
    <cellStyle name="Comma0 17 2" xfId="9704"/>
    <cellStyle name="Comma0 17 3" xfId="14674"/>
    <cellStyle name="Comma0 18" xfId="4009"/>
    <cellStyle name="Comma0 18 2" xfId="14675"/>
    <cellStyle name="Comma0 19" xfId="4010"/>
    <cellStyle name="Comma0 19 2" xfId="14676"/>
    <cellStyle name="Comma0 2" xfId="2127"/>
    <cellStyle name="Comma0 2 2" xfId="4011"/>
    <cellStyle name="Comma0 2 2 2" xfId="14126"/>
    <cellStyle name="Comma0 2 3" xfId="4012"/>
    <cellStyle name="Comma0 2 4" xfId="6473"/>
    <cellStyle name="Comma0 2 5" xfId="14125"/>
    <cellStyle name="Comma0 20" xfId="4013"/>
    <cellStyle name="Comma0 20 2" xfId="14677"/>
    <cellStyle name="Comma0 21" xfId="5079"/>
    <cellStyle name="Comma0 22" xfId="5746"/>
    <cellStyle name="Comma0 23" xfId="5755"/>
    <cellStyle name="Comma0 24" xfId="5613"/>
    <cellStyle name="Comma0 25" xfId="5763"/>
    <cellStyle name="Comma0 26" xfId="6112"/>
    <cellStyle name="Comma0 27" xfId="6123"/>
    <cellStyle name="Comma0 28" xfId="5795"/>
    <cellStyle name="Comma0 29" xfId="5851"/>
    <cellStyle name="Comma0 3" xfId="4014"/>
    <cellStyle name="Comma0 3 2" xfId="4015"/>
    <cellStyle name="Comma0 3 2 2" xfId="14128"/>
    <cellStyle name="Comma0 3 3" xfId="9580"/>
    <cellStyle name="Comma0 3 4" xfId="14127"/>
    <cellStyle name="Comma0 30" xfId="5887"/>
    <cellStyle name="Comma0 31" xfId="5950"/>
    <cellStyle name="Comma0 32" xfId="5867"/>
    <cellStyle name="Comma0 33" xfId="6107"/>
    <cellStyle name="Comma0 34" xfId="5942"/>
    <cellStyle name="Comma0 35" xfId="5860"/>
    <cellStyle name="Comma0 36" xfId="5921"/>
    <cellStyle name="Comma0 37" xfId="5955"/>
    <cellStyle name="Comma0 38" xfId="5818"/>
    <cellStyle name="Comma0 39" xfId="5873"/>
    <cellStyle name="Comma0 4" xfId="4016"/>
    <cellStyle name="Comma0 4 2" xfId="9581"/>
    <cellStyle name="Comma0 4 3" xfId="14129"/>
    <cellStyle name="Comma0 40" xfId="5960"/>
    <cellStyle name="Comma0 41" xfId="5932"/>
    <cellStyle name="Comma0 42" xfId="5886"/>
    <cellStyle name="Comma0 43" xfId="5924"/>
    <cellStyle name="Comma0 44" xfId="5912"/>
    <cellStyle name="Comma0 45" xfId="5922"/>
    <cellStyle name="Comma0 46" xfId="5892"/>
    <cellStyle name="Comma0 47" xfId="5923"/>
    <cellStyle name="Comma0 48" xfId="6005"/>
    <cellStyle name="Comma0 49" xfId="5857"/>
    <cellStyle name="Comma0 5" xfId="4017"/>
    <cellStyle name="Comma0 5 2" xfId="9582"/>
    <cellStyle name="Comma0 5 3" xfId="14130"/>
    <cellStyle name="Comma0 50" xfId="6128"/>
    <cellStyle name="Comma0 51" xfId="6101"/>
    <cellStyle name="Comma0 52" xfId="5961"/>
    <cellStyle name="Comma0 53" xfId="5855"/>
    <cellStyle name="Comma0 54" xfId="5964"/>
    <cellStyle name="Comma0 55" xfId="5850"/>
    <cellStyle name="Comma0 56" xfId="9535"/>
    <cellStyle name="Comma0 57" xfId="9540"/>
    <cellStyle name="Comma0 58" xfId="9783"/>
    <cellStyle name="Comma0 59" xfId="9822"/>
    <cellStyle name="Comma0 6" xfId="4018"/>
    <cellStyle name="Comma0 6 2" xfId="9583"/>
    <cellStyle name="Comma0 6 3" xfId="14131"/>
    <cellStyle name="Comma0 60" xfId="9534"/>
    <cellStyle name="Comma0 61" xfId="9785"/>
    <cellStyle name="Comma0 62" xfId="9832"/>
    <cellStyle name="Comma0 63" xfId="13514"/>
    <cellStyle name="Comma0 64" xfId="14124"/>
    <cellStyle name="Comma0 65" xfId="14612"/>
    <cellStyle name="Comma0 66" xfId="15405"/>
    <cellStyle name="Comma0 67" xfId="15385"/>
    <cellStyle name="Comma0 68" xfId="15401"/>
    <cellStyle name="Comma0 69" xfId="14420"/>
    <cellStyle name="Comma0 7" xfId="4019"/>
    <cellStyle name="Comma0 7 2" xfId="9584"/>
    <cellStyle name="Comma0 7 3" xfId="14132"/>
    <cellStyle name="Comma0 70" xfId="15440"/>
    <cellStyle name="Comma0 71" xfId="15630"/>
    <cellStyle name="Comma0 72" xfId="15632"/>
    <cellStyle name="Comma0 73" xfId="15639"/>
    <cellStyle name="Comma0 74" xfId="15831"/>
    <cellStyle name="Comma0 75" xfId="16071"/>
    <cellStyle name="Comma0 76" xfId="16079"/>
    <cellStyle name="Comma0 77" xfId="16073"/>
    <cellStyle name="Comma0 78" xfId="16067"/>
    <cellStyle name="Comma0 79" xfId="16062"/>
    <cellStyle name="Comma0 8" xfId="4020"/>
    <cellStyle name="Comma0 8 2" xfId="9585"/>
    <cellStyle name="Comma0 8 3" xfId="14678"/>
    <cellStyle name="Comma0 80" xfId="15884"/>
    <cellStyle name="Comma0 81" xfId="15938"/>
    <cellStyle name="Comma0 82" xfId="15977"/>
    <cellStyle name="Comma0 83" xfId="15892"/>
    <cellStyle name="Comma0 84" xfId="16289"/>
    <cellStyle name="Comma0 85" xfId="16292"/>
    <cellStyle name="Comma0 86" xfId="22798"/>
    <cellStyle name="Comma0 87" xfId="22805"/>
    <cellStyle name="Comma0 88" xfId="16084"/>
    <cellStyle name="Comma0 89" xfId="16277"/>
    <cellStyle name="Comma0 9" xfId="4021"/>
    <cellStyle name="Comma0 9 2" xfId="9586"/>
    <cellStyle name="Comma0 9 3" xfId="14679"/>
    <cellStyle name="Comma0_Assumptions" xfId="2128"/>
    <cellStyle name="Comma1" xfId="2129"/>
    <cellStyle name="Comma1 - Style1" xfId="2130"/>
    <cellStyle name="Comma1 2" xfId="9587"/>
    <cellStyle name="Comma1 3" xfId="9588"/>
    <cellStyle name="Comma1 4" xfId="9705"/>
    <cellStyle name="Comma2" xfId="2131"/>
    <cellStyle name="Comma2 2" xfId="9589"/>
    <cellStyle name="Comma2 3" xfId="9590"/>
    <cellStyle name="Comma2 4" xfId="9706"/>
    <cellStyle name="Commazero" xfId="2132"/>
    <cellStyle name="Comment" xfId="2133"/>
    <cellStyle name="Comment 2" xfId="9591"/>
    <cellStyle name="Comment 3" xfId="9592"/>
    <cellStyle name="Comment 4" xfId="9707"/>
    <cellStyle name="Commentaire" xfId="2134"/>
    <cellStyle name="Commentaire 2" xfId="13515"/>
    <cellStyle name="Courier 12" xfId="2135"/>
    <cellStyle name="Courier 12 2" xfId="9593"/>
    <cellStyle name="Courier 12 3" xfId="9594"/>
    <cellStyle name="Courier 12 4" xfId="9708"/>
    <cellStyle name="Currency" xfId="3647" builtinId="4"/>
    <cellStyle name="Currency [0] 2" xfId="9673"/>
    <cellStyle name="Currency [MWh]" xfId="4022"/>
    <cellStyle name="Currency [MWh] 2" xfId="4023"/>
    <cellStyle name="Currency [MWh] 2 2" xfId="4024"/>
    <cellStyle name="Currency [MWh] 2 2 2" xfId="14135"/>
    <cellStyle name="Currency [MWh] 2 3" xfId="14134"/>
    <cellStyle name="Currency [MWh] 3" xfId="4025"/>
    <cellStyle name="Currency [MWh] 3 2" xfId="4026"/>
    <cellStyle name="Currency [MWh] 3 2 2" xfId="14137"/>
    <cellStyle name="Currency [MWh] 3 3" xfId="14136"/>
    <cellStyle name="Currency [MWh] 4" xfId="4027"/>
    <cellStyle name="Currency [MWh] 4 2" xfId="14138"/>
    <cellStyle name="Currency [MWh] 5" xfId="4028"/>
    <cellStyle name="Currency [MWh] 5 2" xfId="14139"/>
    <cellStyle name="Currency [MWh] 6" xfId="4029"/>
    <cellStyle name="Currency [MWh] 6 2" xfId="14140"/>
    <cellStyle name="Currency [MWh] 7" xfId="4030"/>
    <cellStyle name="Currency [MWh] 7 2" xfId="14141"/>
    <cellStyle name="Currency [MWh] 8" xfId="14133"/>
    <cellStyle name="Currency [MWh]_2011 Q2 CAM True Up - comparison btwn 12Sep11 and 21June11" xfId="4031"/>
    <cellStyle name="Currency 0" xfId="2136"/>
    <cellStyle name="Currency 10" xfId="2137"/>
    <cellStyle name="Currency 10 2" xfId="13516"/>
    <cellStyle name="Currency 100" xfId="2138"/>
    <cellStyle name="Currency 100 2" xfId="13517"/>
    <cellStyle name="Currency 101" xfId="2139"/>
    <cellStyle name="Currency 101 2" xfId="13518"/>
    <cellStyle name="Currency 102" xfId="2140"/>
    <cellStyle name="Currency 102 2" xfId="2141"/>
    <cellStyle name="Currency 102 3" xfId="13519"/>
    <cellStyle name="Currency 103" xfId="2142"/>
    <cellStyle name="Currency 104" xfId="2143"/>
    <cellStyle name="Currency 104 2" xfId="2144"/>
    <cellStyle name="Currency 104 2 2" xfId="2145"/>
    <cellStyle name="Currency 104 2 2 2" xfId="6474"/>
    <cellStyle name="Currency 104 2 3" xfId="5073"/>
    <cellStyle name="Currency 104 2 3 2" xfId="7394"/>
    <cellStyle name="Currency 104 2 3 3" xfId="6857"/>
    <cellStyle name="Currency 104 2 3 3 2" xfId="10130"/>
    <cellStyle name="Currency 104 2 3 3 2 2" xfId="18002"/>
    <cellStyle name="Currency 104 2 3 3 3" xfId="17104"/>
    <cellStyle name="Currency 104 2 3 4" xfId="10129"/>
    <cellStyle name="Currency 104 2 3 4 2" xfId="18001"/>
    <cellStyle name="Currency 104 2 3 5" xfId="14813"/>
    <cellStyle name="Currency 104 2 3 5 2" xfId="21717"/>
    <cellStyle name="Currency 104 2 3 6" xfId="16352"/>
    <cellStyle name="Currency 104 2 4" xfId="5673"/>
    <cellStyle name="Currency 104 2 5" xfId="6263"/>
    <cellStyle name="Currency 104 2 5 2" xfId="10131"/>
    <cellStyle name="Currency 104 2 5 2 2" xfId="18003"/>
    <cellStyle name="Currency 104 2 5 3" xfId="16821"/>
    <cellStyle name="Currency 104 3" xfId="2146"/>
    <cellStyle name="Currency 104 3 2" xfId="6475"/>
    <cellStyle name="Currency 104 4" xfId="5072"/>
    <cellStyle name="Currency 104 4 2" xfId="7395"/>
    <cellStyle name="Currency 104 4 3" xfId="6856"/>
    <cellStyle name="Currency 104 4 3 2" xfId="10133"/>
    <cellStyle name="Currency 104 4 3 2 2" xfId="18005"/>
    <cellStyle name="Currency 104 4 3 3" xfId="17103"/>
    <cellStyle name="Currency 104 4 4" xfId="10132"/>
    <cellStyle name="Currency 104 4 4 2" xfId="18004"/>
    <cellStyle name="Currency 104 4 5" xfId="14812"/>
    <cellStyle name="Currency 104 4 5 2" xfId="21716"/>
    <cellStyle name="Currency 104 4 6" xfId="16351"/>
    <cellStyle name="Currency 104 5" xfId="5672"/>
    <cellStyle name="Currency 104 6" xfId="6262"/>
    <cellStyle name="Currency 104 6 2" xfId="10134"/>
    <cellStyle name="Currency 104 6 2 2" xfId="18006"/>
    <cellStyle name="Currency 104 6 3" xfId="16820"/>
    <cellStyle name="Currency 105" xfId="2147"/>
    <cellStyle name="Currency 106" xfId="2148"/>
    <cellStyle name="Currency 107" xfId="2149"/>
    <cellStyle name="Currency 107 2" xfId="13520"/>
    <cellStyle name="Currency 108" xfId="2150"/>
    <cellStyle name="Currency 108 2" xfId="5748"/>
    <cellStyle name="Currency 109" xfId="3650"/>
    <cellStyle name="Currency 109 2" xfId="7396"/>
    <cellStyle name="Currency 109 3" xfId="6754"/>
    <cellStyle name="Currency 109 3 2" xfId="10136"/>
    <cellStyle name="Currency 109 3 2 2" xfId="18008"/>
    <cellStyle name="Currency 109 3 3" xfId="17001"/>
    <cellStyle name="Currency 109 4" xfId="10135"/>
    <cellStyle name="Currency 109 4 2" xfId="18007"/>
    <cellStyle name="Currency 109 5" xfId="14632"/>
    <cellStyle name="Currency 109 5 2" xfId="21613"/>
    <cellStyle name="Currency 109 6" xfId="16303"/>
    <cellStyle name="Currency 11" xfId="2151"/>
    <cellStyle name="Currency 11 2" xfId="4032"/>
    <cellStyle name="Currency 11 2 2" xfId="14142"/>
    <cellStyle name="Currency 11 3" xfId="13521"/>
    <cellStyle name="Currency 110" xfId="5153"/>
    <cellStyle name="Currency 110 2" xfId="7397"/>
    <cellStyle name="Currency 110 3" xfId="6935"/>
    <cellStyle name="Currency 110 3 2" xfId="10138"/>
    <cellStyle name="Currency 110 3 2 2" xfId="18010"/>
    <cellStyle name="Currency 110 3 3" xfId="17182"/>
    <cellStyle name="Currency 110 4" xfId="10137"/>
    <cellStyle name="Currency 110 4 2" xfId="18009"/>
    <cellStyle name="Currency 110 5" xfId="14891"/>
    <cellStyle name="Currency 110 5 2" xfId="21795"/>
    <cellStyle name="Currency 110 6" xfId="16399"/>
    <cellStyle name="Currency 111" xfId="5741"/>
    <cellStyle name="Currency 111 2" xfId="7398"/>
    <cellStyle name="Currency 111 3" xfId="7002"/>
    <cellStyle name="Currency 111 3 2" xfId="10140"/>
    <cellStyle name="Currency 111 3 2 2" xfId="18012"/>
    <cellStyle name="Currency 111 3 3" xfId="17249"/>
    <cellStyle name="Currency 111 4" xfId="10139"/>
    <cellStyle name="Currency 111 4 2" xfId="18011"/>
    <cellStyle name="Currency 111 5" xfId="15060"/>
    <cellStyle name="Currency 111 5 2" xfId="21862"/>
    <cellStyle name="Currency 111 6" xfId="16453"/>
    <cellStyle name="Currency 112" xfId="5752"/>
    <cellStyle name="Currency 112 2" xfId="7399"/>
    <cellStyle name="Currency 112 3" xfId="7006"/>
    <cellStyle name="Currency 112 3 2" xfId="10142"/>
    <cellStyle name="Currency 112 3 2 2" xfId="18014"/>
    <cellStyle name="Currency 112 3 3" xfId="17253"/>
    <cellStyle name="Currency 112 4" xfId="10141"/>
    <cellStyle name="Currency 112 4 2" xfId="18013"/>
    <cellStyle name="Currency 112 5" xfId="15067"/>
    <cellStyle name="Currency 112 5 2" xfId="21866"/>
    <cellStyle name="Currency 112 6" xfId="16457"/>
    <cellStyle name="Currency 113" xfId="5635"/>
    <cellStyle name="Currency 113 2" xfId="7400"/>
    <cellStyle name="Currency 113 3" xfId="6995"/>
    <cellStyle name="Currency 113 3 2" xfId="10144"/>
    <cellStyle name="Currency 113 3 2 2" xfId="18016"/>
    <cellStyle name="Currency 113 3 3" xfId="17242"/>
    <cellStyle name="Currency 113 4" xfId="10143"/>
    <cellStyle name="Currency 113 4 2" xfId="18015"/>
    <cellStyle name="Currency 113 5" xfId="15050"/>
    <cellStyle name="Currency 113 5 2" xfId="21855"/>
    <cellStyle name="Currency 113 6" xfId="16446"/>
    <cellStyle name="Currency 114" xfId="5758"/>
    <cellStyle name="Currency 114 2" xfId="7401"/>
    <cellStyle name="Currency 114 3" xfId="7010"/>
    <cellStyle name="Currency 114 3 2" xfId="10146"/>
    <cellStyle name="Currency 114 3 2 2" xfId="18018"/>
    <cellStyle name="Currency 114 3 3" xfId="17257"/>
    <cellStyle name="Currency 114 4" xfId="10145"/>
    <cellStyle name="Currency 114 4 2" xfId="18017"/>
    <cellStyle name="Currency 114 5" xfId="15071"/>
    <cellStyle name="Currency 114 5 2" xfId="21870"/>
    <cellStyle name="Currency 114 6" xfId="16461"/>
    <cellStyle name="Currency 115" xfId="5801"/>
    <cellStyle name="Currency 115 2" xfId="7402"/>
    <cellStyle name="Currency 115 3" xfId="7048"/>
    <cellStyle name="Currency 115 3 2" xfId="10148"/>
    <cellStyle name="Currency 115 3 2 2" xfId="18020"/>
    <cellStyle name="Currency 115 3 3" xfId="17295"/>
    <cellStyle name="Currency 115 4" xfId="10147"/>
    <cellStyle name="Currency 115 4 2" xfId="18019"/>
    <cellStyle name="Currency 115 5" xfId="15109"/>
    <cellStyle name="Currency 115 5 2" xfId="21908"/>
    <cellStyle name="Currency 115 6" xfId="16499"/>
    <cellStyle name="Currency 116" xfId="5844"/>
    <cellStyle name="Currency 116 2" xfId="7403"/>
    <cellStyle name="Currency 116 3" xfId="7086"/>
    <cellStyle name="Currency 116 3 2" xfId="10150"/>
    <cellStyle name="Currency 116 3 2 2" xfId="18022"/>
    <cellStyle name="Currency 116 3 3" xfId="17333"/>
    <cellStyle name="Currency 116 4" xfId="10149"/>
    <cellStyle name="Currency 116 4 2" xfId="18021"/>
    <cellStyle name="Currency 116 5" xfId="15147"/>
    <cellStyle name="Currency 116 5 2" xfId="21946"/>
    <cellStyle name="Currency 116 6" xfId="16537"/>
    <cellStyle name="Currency 117" xfId="5760"/>
    <cellStyle name="Currency 117 2" xfId="7404"/>
    <cellStyle name="Currency 117 3" xfId="7012"/>
    <cellStyle name="Currency 117 3 2" xfId="10152"/>
    <cellStyle name="Currency 117 3 2 2" xfId="18024"/>
    <cellStyle name="Currency 117 3 3" xfId="17259"/>
    <cellStyle name="Currency 117 4" xfId="10151"/>
    <cellStyle name="Currency 117 4 2" xfId="18023"/>
    <cellStyle name="Currency 117 5" xfId="15073"/>
    <cellStyle name="Currency 117 5 2" xfId="21872"/>
    <cellStyle name="Currency 117 6" xfId="16463"/>
    <cellStyle name="Currency 118" xfId="6116"/>
    <cellStyle name="Currency 118 2" xfId="7405"/>
    <cellStyle name="Currency 118 3" xfId="7308"/>
    <cellStyle name="Currency 118 3 2" xfId="10154"/>
    <cellStyle name="Currency 118 3 2 2" xfId="18026"/>
    <cellStyle name="Currency 118 3 3" xfId="17555"/>
    <cellStyle name="Currency 118 4" xfId="10153"/>
    <cellStyle name="Currency 118 4 2" xfId="18025"/>
    <cellStyle name="Currency 118 5" xfId="15370"/>
    <cellStyle name="Currency 118 5 2" xfId="22168"/>
    <cellStyle name="Currency 118 6" xfId="16759"/>
    <cellStyle name="Currency 119" xfId="5888"/>
    <cellStyle name="Currency 119 2" xfId="7406"/>
    <cellStyle name="Currency 119 3" xfId="7118"/>
    <cellStyle name="Currency 119 3 2" xfId="10156"/>
    <cellStyle name="Currency 119 3 2 2" xfId="18028"/>
    <cellStyle name="Currency 119 3 3" xfId="17365"/>
    <cellStyle name="Currency 119 4" xfId="10155"/>
    <cellStyle name="Currency 119 4 2" xfId="18027"/>
    <cellStyle name="Currency 119 5" xfId="15179"/>
    <cellStyle name="Currency 119 5 2" xfId="21978"/>
    <cellStyle name="Currency 119 6" xfId="16569"/>
    <cellStyle name="Currency 12" xfId="2152"/>
    <cellStyle name="Currency 12 2" xfId="4033"/>
    <cellStyle name="Currency 12 2 2" xfId="14143"/>
    <cellStyle name="Currency 12 3" xfId="13522"/>
    <cellStyle name="Currency 120" xfId="5933"/>
    <cellStyle name="Currency 120 2" xfId="7407"/>
    <cellStyle name="Currency 120 3" xfId="7149"/>
    <cellStyle name="Currency 120 3 2" xfId="10158"/>
    <cellStyle name="Currency 120 3 2 2" xfId="18030"/>
    <cellStyle name="Currency 120 3 3" xfId="17396"/>
    <cellStyle name="Currency 120 4" xfId="10157"/>
    <cellStyle name="Currency 120 4 2" xfId="18029"/>
    <cellStyle name="Currency 120 5" xfId="15210"/>
    <cellStyle name="Currency 120 5 2" xfId="22009"/>
    <cellStyle name="Currency 120 6" xfId="16600"/>
    <cellStyle name="Currency 121" xfId="5847"/>
    <cellStyle name="Currency 121 2" xfId="7408"/>
    <cellStyle name="Currency 121 3" xfId="7089"/>
    <cellStyle name="Currency 121 3 2" xfId="10160"/>
    <cellStyle name="Currency 121 3 2 2" xfId="18032"/>
    <cellStyle name="Currency 121 3 3" xfId="17336"/>
    <cellStyle name="Currency 121 4" xfId="10159"/>
    <cellStyle name="Currency 121 4 2" xfId="18031"/>
    <cellStyle name="Currency 121 5" xfId="15150"/>
    <cellStyle name="Currency 121 5 2" xfId="21949"/>
    <cellStyle name="Currency 121 6" xfId="16540"/>
    <cellStyle name="Currency 122" xfId="5958"/>
    <cellStyle name="Currency 122 2" xfId="7409"/>
    <cellStyle name="Currency 122 3" xfId="7167"/>
    <cellStyle name="Currency 122 3 2" xfId="10162"/>
    <cellStyle name="Currency 122 3 2 2" xfId="18034"/>
    <cellStyle name="Currency 122 3 3" xfId="17414"/>
    <cellStyle name="Currency 122 4" xfId="10161"/>
    <cellStyle name="Currency 122 4 2" xfId="18033"/>
    <cellStyle name="Currency 122 5" xfId="15228"/>
    <cellStyle name="Currency 122 5 2" xfId="22027"/>
    <cellStyle name="Currency 122 6" xfId="16618"/>
    <cellStyle name="Currency 123" xfId="5856"/>
    <cellStyle name="Currency 123 2" xfId="7410"/>
    <cellStyle name="Currency 123 3" xfId="7093"/>
    <cellStyle name="Currency 123 3 2" xfId="10164"/>
    <cellStyle name="Currency 123 3 2 2" xfId="18036"/>
    <cellStyle name="Currency 123 3 3" xfId="17340"/>
    <cellStyle name="Currency 123 4" xfId="10163"/>
    <cellStyle name="Currency 123 4 2" xfId="18035"/>
    <cellStyle name="Currency 123 5" xfId="15154"/>
    <cellStyle name="Currency 123 5 2" xfId="21953"/>
    <cellStyle name="Currency 123 6" xfId="16544"/>
    <cellStyle name="Currency 124" xfId="5931"/>
    <cellStyle name="Currency 124 2" xfId="7411"/>
    <cellStyle name="Currency 124 3" xfId="7148"/>
    <cellStyle name="Currency 124 3 2" xfId="10166"/>
    <cellStyle name="Currency 124 3 2 2" xfId="18038"/>
    <cellStyle name="Currency 124 3 3" xfId="17395"/>
    <cellStyle name="Currency 124 4" xfId="10165"/>
    <cellStyle name="Currency 124 4 2" xfId="18037"/>
    <cellStyle name="Currency 124 5" xfId="15209"/>
    <cellStyle name="Currency 124 5 2" xfId="22008"/>
    <cellStyle name="Currency 124 6" xfId="16599"/>
    <cellStyle name="Currency 125" xfId="6009"/>
    <cellStyle name="Currency 125 2" xfId="7412"/>
    <cellStyle name="Currency 125 3" xfId="7214"/>
    <cellStyle name="Currency 125 3 2" xfId="10168"/>
    <cellStyle name="Currency 125 3 2 2" xfId="18040"/>
    <cellStyle name="Currency 125 3 3" xfId="17461"/>
    <cellStyle name="Currency 125 4" xfId="10167"/>
    <cellStyle name="Currency 125 4 2" xfId="18039"/>
    <cellStyle name="Currency 125 5" xfId="15275"/>
    <cellStyle name="Currency 125 5 2" xfId="22074"/>
    <cellStyle name="Currency 125 6" xfId="16665"/>
    <cellStyle name="Currency 126" xfId="5838"/>
    <cellStyle name="Currency 126 2" xfId="7413"/>
    <cellStyle name="Currency 126 3" xfId="7080"/>
    <cellStyle name="Currency 126 3 2" xfId="10170"/>
    <cellStyle name="Currency 126 3 2 2" xfId="18042"/>
    <cellStyle name="Currency 126 3 3" xfId="17327"/>
    <cellStyle name="Currency 126 4" xfId="10169"/>
    <cellStyle name="Currency 126 4 2" xfId="18041"/>
    <cellStyle name="Currency 126 5" xfId="15141"/>
    <cellStyle name="Currency 126 5 2" xfId="21940"/>
    <cellStyle name="Currency 126 6" xfId="16531"/>
    <cellStyle name="Currency 127" xfId="6076"/>
    <cellStyle name="Currency 127 2" xfId="7414"/>
    <cellStyle name="Currency 127 3" xfId="7280"/>
    <cellStyle name="Currency 127 3 2" xfId="10172"/>
    <cellStyle name="Currency 127 3 2 2" xfId="18044"/>
    <cellStyle name="Currency 127 3 3" xfId="17527"/>
    <cellStyle name="Currency 127 4" xfId="10171"/>
    <cellStyle name="Currency 127 4 2" xfId="18043"/>
    <cellStyle name="Currency 127 5" xfId="15341"/>
    <cellStyle name="Currency 127 5 2" xfId="22140"/>
    <cellStyle name="Currency 127 6" xfId="16731"/>
    <cellStyle name="Currency 128" xfId="5842"/>
    <cellStyle name="Currency 128 2" xfId="7415"/>
    <cellStyle name="Currency 128 3" xfId="7084"/>
    <cellStyle name="Currency 128 3 2" xfId="10174"/>
    <cellStyle name="Currency 128 3 2 2" xfId="18046"/>
    <cellStyle name="Currency 128 3 3" xfId="17331"/>
    <cellStyle name="Currency 128 4" xfId="10173"/>
    <cellStyle name="Currency 128 4 2" xfId="18045"/>
    <cellStyle name="Currency 128 5" xfId="15145"/>
    <cellStyle name="Currency 128 5 2" xfId="21944"/>
    <cellStyle name="Currency 128 6" xfId="16535"/>
    <cellStyle name="Currency 129" xfId="5906"/>
    <cellStyle name="Currency 129 2" xfId="7416"/>
    <cellStyle name="Currency 129 3" xfId="7133"/>
    <cellStyle name="Currency 129 3 2" xfId="10176"/>
    <cellStyle name="Currency 129 3 2 2" xfId="18048"/>
    <cellStyle name="Currency 129 3 3" xfId="17380"/>
    <cellStyle name="Currency 129 4" xfId="10175"/>
    <cellStyle name="Currency 129 4 2" xfId="18047"/>
    <cellStyle name="Currency 129 5" xfId="15194"/>
    <cellStyle name="Currency 129 5 2" xfId="21993"/>
    <cellStyle name="Currency 129 6" xfId="16584"/>
    <cellStyle name="Currency 13" xfId="2153"/>
    <cellStyle name="Currency 13 2" xfId="4034"/>
    <cellStyle name="Currency 13 2 2" xfId="14144"/>
    <cellStyle name="Currency 13 3" xfId="13523"/>
    <cellStyle name="Currency 130" xfId="5947"/>
    <cellStyle name="Currency 130 2" xfId="7417"/>
    <cellStyle name="Currency 130 3" xfId="7160"/>
    <cellStyle name="Currency 130 3 2" xfId="10178"/>
    <cellStyle name="Currency 130 3 2 2" xfId="18050"/>
    <cellStyle name="Currency 130 3 3" xfId="17407"/>
    <cellStyle name="Currency 130 4" xfId="10177"/>
    <cellStyle name="Currency 130 4 2" xfId="18049"/>
    <cellStyle name="Currency 130 5" xfId="15221"/>
    <cellStyle name="Currency 130 5 2" xfId="22020"/>
    <cellStyle name="Currency 130 6" xfId="16611"/>
    <cellStyle name="Currency 131" xfId="5926"/>
    <cellStyle name="Currency 131 2" xfId="7418"/>
    <cellStyle name="Currency 131 3" xfId="7145"/>
    <cellStyle name="Currency 131 3 2" xfId="10180"/>
    <cellStyle name="Currency 131 3 2 2" xfId="18052"/>
    <cellStyle name="Currency 131 3 3" xfId="17392"/>
    <cellStyle name="Currency 131 4" xfId="10179"/>
    <cellStyle name="Currency 131 4 2" xfId="18051"/>
    <cellStyle name="Currency 131 5" xfId="15206"/>
    <cellStyle name="Currency 131 5 2" xfId="22005"/>
    <cellStyle name="Currency 131 6" xfId="16596"/>
    <cellStyle name="Currency 132" xfId="6117"/>
    <cellStyle name="Currency 132 2" xfId="7419"/>
    <cellStyle name="Currency 132 3" xfId="7309"/>
    <cellStyle name="Currency 132 3 2" xfId="10182"/>
    <cellStyle name="Currency 132 3 2 2" xfId="18054"/>
    <cellStyle name="Currency 132 3 3" xfId="17556"/>
    <cellStyle name="Currency 132 4" xfId="10181"/>
    <cellStyle name="Currency 132 4 2" xfId="18053"/>
    <cellStyle name="Currency 132 5" xfId="15371"/>
    <cellStyle name="Currency 132 5 2" xfId="22169"/>
    <cellStyle name="Currency 132 6" xfId="16760"/>
    <cellStyle name="Currency 133" xfId="5935"/>
    <cellStyle name="Currency 133 2" xfId="7420"/>
    <cellStyle name="Currency 133 3" xfId="7151"/>
    <cellStyle name="Currency 133 3 2" xfId="10184"/>
    <cellStyle name="Currency 133 3 2 2" xfId="18056"/>
    <cellStyle name="Currency 133 3 3" xfId="17398"/>
    <cellStyle name="Currency 133 4" xfId="10183"/>
    <cellStyle name="Currency 133 4 2" xfId="18055"/>
    <cellStyle name="Currency 133 5" xfId="15212"/>
    <cellStyle name="Currency 133 5 2" xfId="22011"/>
    <cellStyle name="Currency 133 6" xfId="16602"/>
    <cellStyle name="Currency 134" xfId="5852"/>
    <cellStyle name="Currency 134 2" xfId="7421"/>
    <cellStyle name="Currency 134 3" xfId="7091"/>
    <cellStyle name="Currency 134 3 2" xfId="10186"/>
    <cellStyle name="Currency 134 3 2 2" xfId="18058"/>
    <cellStyle name="Currency 134 3 3" xfId="17338"/>
    <cellStyle name="Currency 134 4" xfId="10185"/>
    <cellStyle name="Currency 134 4 2" xfId="18057"/>
    <cellStyle name="Currency 134 5" xfId="15152"/>
    <cellStyle name="Currency 134 5 2" xfId="21951"/>
    <cellStyle name="Currency 134 6" xfId="16542"/>
    <cellStyle name="Currency 135" xfId="5874"/>
    <cellStyle name="Currency 135 2" xfId="7422"/>
    <cellStyle name="Currency 135 3" xfId="7106"/>
    <cellStyle name="Currency 135 3 2" xfId="10188"/>
    <cellStyle name="Currency 135 3 2 2" xfId="18060"/>
    <cellStyle name="Currency 135 3 3" xfId="17353"/>
    <cellStyle name="Currency 135 4" xfId="10187"/>
    <cellStyle name="Currency 135 4 2" xfId="18059"/>
    <cellStyle name="Currency 135 5" xfId="15167"/>
    <cellStyle name="Currency 135 5 2" xfId="21966"/>
    <cellStyle name="Currency 135 6" xfId="16557"/>
    <cellStyle name="Currency 136" xfId="5814"/>
    <cellStyle name="Currency 136 2" xfId="7423"/>
    <cellStyle name="Currency 136 3" xfId="7058"/>
    <cellStyle name="Currency 136 3 2" xfId="10190"/>
    <cellStyle name="Currency 136 3 2 2" xfId="18062"/>
    <cellStyle name="Currency 136 3 3" xfId="17305"/>
    <cellStyle name="Currency 136 4" xfId="10189"/>
    <cellStyle name="Currency 136 4 2" xfId="18061"/>
    <cellStyle name="Currency 136 5" xfId="15119"/>
    <cellStyle name="Currency 136 5 2" xfId="21918"/>
    <cellStyle name="Currency 136 6" xfId="16509"/>
    <cellStyle name="Currency 137" xfId="5889"/>
    <cellStyle name="Currency 137 2" xfId="7424"/>
    <cellStyle name="Currency 137 3" xfId="7119"/>
    <cellStyle name="Currency 137 3 2" xfId="10192"/>
    <cellStyle name="Currency 137 3 2 2" xfId="18064"/>
    <cellStyle name="Currency 137 3 3" xfId="17366"/>
    <cellStyle name="Currency 137 4" xfId="10191"/>
    <cellStyle name="Currency 137 4 2" xfId="18063"/>
    <cellStyle name="Currency 137 5" xfId="15180"/>
    <cellStyle name="Currency 137 5 2" xfId="21979"/>
    <cellStyle name="Currency 137 6" xfId="16570"/>
    <cellStyle name="Currency 138" xfId="5951"/>
    <cellStyle name="Currency 138 2" xfId="7425"/>
    <cellStyle name="Currency 138 3" xfId="7163"/>
    <cellStyle name="Currency 138 3 2" xfId="10194"/>
    <cellStyle name="Currency 138 3 2 2" xfId="18066"/>
    <cellStyle name="Currency 138 3 3" xfId="17410"/>
    <cellStyle name="Currency 138 4" xfId="10193"/>
    <cellStyle name="Currency 138 4 2" xfId="18065"/>
    <cellStyle name="Currency 138 5" xfId="15224"/>
    <cellStyle name="Currency 138 5 2" xfId="22023"/>
    <cellStyle name="Currency 138 6" xfId="16614"/>
    <cellStyle name="Currency 139" xfId="5882"/>
    <cellStyle name="Currency 139 2" xfId="7426"/>
    <cellStyle name="Currency 139 3" xfId="7114"/>
    <cellStyle name="Currency 139 3 2" xfId="10196"/>
    <cellStyle name="Currency 139 3 2 2" xfId="18068"/>
    <cellStyle name="Currency 139 3 3" xfId="17361"/>
    <cellStyle name="Currency 139 4" xfId="10195"/>
    <cellStyle name="Currency 139 4 2" xfId="18067"/>
    <cellStyle name="Currency 139 5" xfId="15175"/>
    <cellStyle name="Currency 139 5 2" xfId="21974"/>
    <cellStyle name="Currency 139 6" xfId="16565"/>
    <cellStyle name="Currency 14" xfId="2154"/>
    <cellStyle name="Currency 14 2" xfId="4035"/>
    <cellStyle name="Currency 14 2 2" xfId="14145"/>
    <cellStyle name="Currency 14 3" xfId="13524"/>
    <cellStyle name="Currency 140" xfId="5943"/>
    <cellStyle name="Currency 140 2" xfId="7427"/>
    <cellStyle name="Currency 140 3" xfId="7156"/>
    <cellStyle name="Currency 140 3 2" xfId="10198"/>
    <cellStyle name="Currency 140 3 2 2" xfId="18070"/>
    <cellStyle name="Currency 140 3 3" xfId="17403"/>
    <cellStyle name="Currency 140 4" xfId="10197"/>
    <cellStyle name="Currency 140 4 2" xfId="18069"/>
    <cellStyle name="Currency 140 5" xfId="15217"/>
    <cellStyle name="Currency 140 5 2" xfId="22016"/>
    <cellStyle name="Currency 140 6" xfId="16607"/>
    <cellStyle name="Currency 141" xfId="5813"/>
    <cellStyle name="Currency 141 2" xfId="7428"/>
    <cellStyle name="Currency 141 3" xfId="7057"/>
    <cellStyle name="Currency 141 3 2" xfId="10200"/>
    <cellStyle name="Currency 141 3 2 2" xfId="18072"/>
    <cellStyle name="Currency 141 3 3" xfId="17304"/>
    <cellStyle name="Currency 141 4" xfId="10199"/>
    <cellStyle name="Currency 141 4 2" xfId="18071"/>
    <cellStyle name="Currency 141 5" xfId="15118"/>
    <cellStyle name="Currency 141 5 2" xfId="21917"/>
    <cellStyle name="Currency 141 6" xfId="16508"/>
    <cellStyle name="Currency 142" xfId="5957"/>
    <cellStyle name="Currency 142 2" xfId="7429"/>
    <cellStyle name="Currency 142 3" xfId="7166"/>
    <cellStyle name="Currency 142 3 2" xfId="10202"/>
    <cellStyle name="Currency 142 3 2 2" xfId="18074"/>
    <cellStyle name="Currency 142 3 3" xfId="17413"/>
    <cellStyle name="Currency 142 4" xfId="10201"/>
    <cellStyle name="Currency 142 4 2" xfId="18073"/>
    <cellStyle name="Currency 142 5" xfId="15227"/>
    <cellStyle name="Currency 142 5 2" xfId="22026"/>
    <cellStyle name="Currency 142 6" xfId="16617"/>
    <cellStyle name="Currency 143" xfId="5879"/>
    <cellStyle name="Currency 143 2" xfId="7430"/>
    <cellStyle name="Currency 143 3" xfId="7111"/>
    <cellStyle name="Currency 143 3 2" xfId="10204"/>
    <cellStyle name="Currency 143 3 2 2" xfId="18076"/>
    <cellStyle name="Currency 143 3 3" xfId="17358"/>
    <cellStyle name="Currency 143 4" xfId="10203"/>
    <cellStyle name="Currency 143 4 2" xfId="18075"/>
    <cellStyle name="Currency 143 5" xfId="15172"/>
    <cellStyle name="Currency 143 5 2" xfId="21971"/>
    <cellStyle name="Currency 143 6" xfId="16562"/>
    <cellStyle name="Currency 144" xfId="5864"/>
    <cellStyle name="Currency 144 2" xfId="7431"/>
    <cellStyle name="Currency 144 3" xfId="7099"/>
    <cellStyle name="Currency 144 3 2" xfId="10206"/>
    <cellStyle name="Currency 144 3 2 2" xfId="18078"/>
    <cellStyle name="Currency 144 3 3" xfId="17346"/>
    <cellStyle name="Currency 144 4" xfId="10205"/>
    <cellStyle name="Currency 144 4 2" xfId="18077"/>
    <cellStyle name="Currency 144 5" xfId="15160"/>
    <cellStyle name="Currency 144 5 2" xfId="21959"/>
    <cellStyle name="Currency 144 6" xfId="16550"/>
    <cellStyle name="Currency 145" xfId="6133"/>
    <cellStyle name="Currency 145 2" xfId="6751"/>
    <cellStyle name="Currency 145 2 2" xfId="10208"/>
    <cellStyle name="Currency 145 2 2 2" xfId="18080"/>
    <cellStyle name="Currency 145 3" xfId="10207"/>
    <cellStyle name="Currency 145 3 2" xfId="18079"/>
    <cellStyle name="Currency 145 4" xfId="16772"/>
    <cellStyle name="Currency 146" xfId="6382"/>
    <cellStyle name="Currency 146 2" xfId="10209"/>
    <cellStyle name="Currency 146 2 2" xfId="18081"/>
    <cellStyle name="Currency 146 3" xfId="16940"/>
    <cellStyle name="Currency 147" xfId="6387"/>
    <cellStyle name="Currency 147 2" xfId="10210"/>
    <cellStyle name="Currency 147 2 2" xfId="18082"/>
    <cellStyle name="Currency 147 3" xfId="16943"/>
    <cellStyle name="Currency 148" xfId="14587"/>
    <cellStyle name="Currency 148 2" xfId="21601"/>
    <cellStyle name="Currency 149" xfId="14080"/>
    <cellStyle name="Currency 149 2" xfId="21453"/>
    <cellStyle name="Currency 15" xfId="2155"/>
    <cellStyle name="Currency 15 2" xfId="4036"/>
    <cellStyle name="Currency 15 2 2" xfId="14146"/>
    <cellStyle name="Currency 15 3" xfId="13525"/>
    <cellStyle name="Currency 150" xfId="15408"/>
    <cellStyle name="Currency 151" xfId="15671"/>
    <cellStyle name="Currency 151 2" xfId="22417"/>
    <cellStyle name="Currency 152" xfId="15867"/>
    <cellStyle name="Currency 152 2" xfId="22610"/>
    <cellStyle name="Currency 153" xfId="16065"/>
    <cellStyle name="Currency 153 2" xfId="22790"/>
    <cellStyle name="Currency 154" xfId="16075"/>
    <cellStyle name="Currency 154 2" xfId="22795"/>
    <cellStyle name="Currency 155" xfId="15829"/>
    <cellStyle name="Currency 155 2" xfId="22575"/>
    <cellStyle name="Currency 156" xfId="15926"/>
    <cellStyle name="Currency 156 2" xfId="22657"/>
    <cellStyle name="Currency 157" xfId="15923"/>
    <cellStyle name="Currency 157 2" xfId="22654"/>
    <cellStyle name="Currency 158" xfId="15919"/>
    <cellStyle name="Currency 158 2" xfId="22651"/>
    <cellStyle name="Currency 159" xfId="15905"/>
    <cellStyle name="Currency 159 2" xfId="22639"/>
    <cellStyle name="Currency 16" xfId="2156"/>
    <cellStyle name="Currency 16 2" xfId="4037"/>
    <cellStyle name="Currency 16 2 2" xfId="14147"/>
    <cellStyle name="Currency 16 3" xfId="13526"/>
    <cellStyle name="Currency 160" xfId="16059"/>
    <cellStyle name="Currency 160 2" xfId="22787"/>
    <cellStyle name="Currency 161" xfId="15883"/>
    <cellStyle name="Currency 161 2" xfId="22626"/>
    <cellStyle name="Currency 162" xfId="16300"/>
    <cellStyle name="Currency 163" xfId="16279"/>
    <cellStyle name="Currency 164" xfId="22800"/>
    <cellStyle name="Currency 165" xfId="22802"/>
    <cellStyle name="Currency 166" xfId="16120"/>
    <cellStyle name="Currency 167" xfId="17566"/>
    <cellStyle name="Currency 168" xfId="22827"/>
    <cellStyle name="Currency 17" xfId="2157"/>
    <cellStyle name="Currency 17 2" xfId="4038"/>
    <cellStyle name="Currency 17 2 2" xfId="14148"/>
    <cellStyle name="Currency 17 3" xfId="13527"/>
    <cellStyle name="Currency 18" xfId="2158"/>
    <cellStyle name="Currency 18 2" xfId="4039"/>
    <cellStyle name="Currency 18 2 2" xfId="14149"/>
    <cellStyle name="Currency 18 3" xfId="13528"/>
    <cellStyle name="Currency 19" xfId="2159"/>
    <cellStyle name="Currency 19 2" xfId="4040"/>
    <cellStyle name="Currency 19 2 2" xfId="14150"/>
    <cellStyle name="Currency 19 3" xfId="13529"/>
    <cellStyle name="Currency 2" xfId="2160"/>
    <cellStyle name="Currency 2 2" xfId="2161"/>
    <cellStyle name="Currency 2 2 2" xfId="2162"/>
    <cellStyle name="Currency 2 2 2 2" xfId="2163"/>
    <cellStyle name="Currency 2 2 2 2 2" xfId="5676"/>
    <cellStyle name="Currency 2 2 2 2 3" xfId="9746"/>
    <cellStyle name="Currency 2 2 2 2 3 2" xfId="17675"/>
    <cellStyle name="Currency 2 2 2 2 4" xfId="15411"/>
    <cellStyle name="Currency 2 2 2 3" xfId="5076"/>
    <cellStyle name="Currency 2 2 2 3 2" xfId="7432"/>
    <cellStyle name="Currency 2 2 2 3 3" xfId="6860"/>
    <cellStyle name="Currency 2 2 2 3 3 2" xfId="10212"/>
    <cellStyle name="Currency 2 2 2 3 3 2 2" xfId="18084"/>
    <cellStyle name="Currency 2 2 2 3 3 3" xfId="17107"/>
    <cellStyle name="Currency 2 2 2 3 4" xfId="10211"/>
    <cellStyle name="Currency 2 2 2 3 4 2" xfId="18083"/>
    <cellStyle name="Currency 2 2 2 3 5" xfId="14816"/>
    <cellStyle name="Currency 2 2 2 3 5 2" xfId="21720"/>
    <cellStyle name="Currency 2 2 2 3 6" xfId="16354"/>
    <cellStyle name="Currency 2 2 2 4" xfId="5626"/>
    <cellStyle name="Currency 2 2 2 4 2" xfId="15046"/>
    <cellStyle name="Currency 2 2 2 5" xfId="6266"/>
    <cellStyle name="Currency 2 2 2 5 2" xfId="10213"/>
    <cellStyle name="Currency 2 2 2 5 2 2" xfId="18085"/>
    <cellStyle name="Currency 2 2 2 5 3" xfId="16824"/>
    <cellStyle name="Currency 2 2 3" xfId="2164"/>
    <cellStyle name="Currency 2 2 3 2" xfId="5675"/>
    <cellStyle name="Currency 2 2 3 3" xfId="9747"/>
    <cellStyle name="Currency 2 2 3 3 2" xfId="17676"/>
    <cellStyle name="Currency 2 2 3 4" xfId="15412"/>
    <cellStyle name="Currency 2 2 4" xfId="5075"/>
    <cellStyle name="Currency 2 2 4 10" xfId="16139"/>
    <cellStyle name="Currency 2 2 4 2" xfId="5870"/>
    <cellStyle name="Currency 2 2 4 2 2" xfId="7434"/>
    <cellStyle name="Currency 2 2 4 2 3" xfId="7103"/>
    <cellStyle name="Currency 2 2 4 2 3 2" xfId="10216"/>
    <cellStyle name="Currency 2 2 4 2 3 2 2" xfId="18088"/>
    <cellStyle name="Currency 2 2 4 2 3 3" xfId="17350"/>
    <cellStyle name="Currency 2 2 4 2 4" xfId="10215"/>
    <cellStyle name="Currency 2 2 4 2 4 2" xfId="18087"/>
    <cellStyle name="Currency 2 2 4 2 5" xfId="15164"/>
    <cellStyle name="Currency 2 2 4 2 5 2" xfId="21963"/>
    <cellStyle name="Currency 2 2 4 2 6" xfId="16554"/>
    <cellStyle name="Currency 2 2 4 3" xfId="7433"/>
    <cellStyle name="Currency 2 2 4 4" xfId="6859"/>
    <cellStyle name="Currency 2 2 4 4 2" xfId="10217"/>
    <cellStyle name="Currency 2 2 4 4 2 2" xfId="18089"/>
    <cellStyle name="Currency 2 2 4 4 3" xfId="17106"/>
    <cellStyle name="Currency 2 2 4 5" xfId="10214"/>
    <cellStyle name="Currency 2 2 4 5 2" xfId="18086"/>
    <cellStyle name="Currency 2 2 4 6" xfId="14815"/>
    <cellStyle name="Currency 2 2 4 6 2" xfId="21719"/>
    <cellStyle name="Currency 2 2 4 7" xfId="15490"/>
    <cellStyle name="Currency 2 2 4 7 2" xfId="22245"/>
    <cellStyle name="Currency 2 2 4 8" xfId="15690"/>
    <cellStyle name="Currency 2 2 4 8 2" xfId="22436"/>
    <cellStyle name="Currency 2 2 4 9" xfId="15902"/>
    <cellStyle name="Currency 2 2 4 9 2" xfId="22636"/>
    <cellStyle name="Currency 2 2 5" xfId="5376"/>
    <cellStyle name="Currency 2 2 5 2" xfId="14975"/>
    <cellStyle name="Currency 2 2 6" xfId="5807"/>
    <cellStyle name="Currency 2 2 6 2" xfId="7435"/>
    <cellStyle name="Currency 2 2 6 3" xfId="7054"/>
    <cellStyle name="Currency 2 2 6 3 2" xfId="10219"/>
    <cellStyle name="Currency 2 2 6 3 2 2" xfId="18091"/>
    <cellStyle name="Currency 2 2 6 3 3" xfId="17301"/>
    <cellStyle name="Currency 2 2 6 4" xfId="10218"/>
    <cellStyle name="Currency 2 2 6 4 2" xfId="18090"/>
    <cellStyle name="Currency 2 2 6 5" xfId="15115"/>
    <cellStyle name="Currency 2 2 6 5 2" xfId="21914"/>
    <cellStyle name="Currency 2 2 6 6" xfId="16505"/>
    <cellStyle name="Currency 2 2 7" xfId="6265"/>
    <cellStyle name="Currency 2 2 7 2" xfId="6477"/>
    <cellStyle name="Currency 2 2 7 3" xfId="10220"/>
    <cellStyle name="Currency 2 2 7 3 2" xfId="18092"/>
    <cellStyle name="Currency 2 2 7 4" xfId="16823"/>
    <cellStyle name="Currency 2 2 8" xfId="14151"/>
    <cellStyle name="Currency 2 3" xfId="2165"/>
    <cellStyle name="Currency 2 3 2" xfId="2166"/>
    <cellStyle name="Currency 2 3 2 2" xfId="5677"/>
    <cellStyle name="Currency 2 3 2 3" xfId="9749"/>
    <cellStyle name="Currency 2 3 2 3 2" xfId="17678"/>
    <cellStyle name="Currency 2 3 2 4" xfId="15414"/>
    <cellStyle name="Currency 2 3 3" xfId="5077"/>
    <cellStyle name="Currency 2 3 3 2" xfId="7436"/>
    <cellStyle name="Currency 2 3 3 3" xfId="6861"/>
    <cellStyle name="Currency 2 3 3 3 2" xfId="10222"/>
    <cellStyle name="Currency 2 3 3 3 2 2" xfId="18094"/>
    <cellStyle name="Currency 2 3 3 3 3" xfId="17108"/>
    <cellStyle name="Currency 2 3 3 4" xfId="10221"/>
    <cellStyle name="Currency 2 3 3 4 2" xfId="18093"/>
    <cellStyle name="Currency 2 3 3 5" xfId="14817"/>
    <cellStyle name="Currency 2 3 3 5 2" xfId="21721"/>
    <cellStyle name="Currency 2 3 3 6" xfId="16355"/>
    <cellStyle name="Currency 2 3 4" xfId="5203"/>
    <cellStyle name="Currency 2 3 5" xfId="6267"/>
    <cellStyle name="Currency 2 3 5 2" xfId="10223"/>
    <cellStyle name="Currency 2 3 5 2 2" xfId="18095"/>
    <cellStyle name="Currency 2 3 5 3" xfId="16825"/>
    <cellStyle name="Currency 2 3 6" xfId="9748"/>
    <cellStyle name="Currency 2 3 6 2" xfId="17677"/>
    <cellStyle name="Currency 2 3 7" xfId="15413"/>
    <cellStyle name="Currency 2 4" xfId="2167"/>
    <cellStyle name="Currency 2 4 2" xfId="9750"/>
    <cellStyle name="Currency 2 4 2 2" xfId="15415"/>
    <cellStyle name="Currency 2 4 3" xfId="13530"/>
    <cellStyle name="Currency 2 5" xfId="2168"/>
    <cellStyle name="Currency 2 5 2" xfId="9751"/>
    <cellStyle name="Currency 2 5 2 2" xfId="17679"/>
    <cellStyle name="Currency 2 5 3" xfId="15416"/>
    <cellStyle name="Currency 2 6" xfId="2169"/>
    <cellStyle name="Currency 2 6 2" xfId="5674"/>
    <cellStyle name="Currency 2 6 3" xfId="9745"/>
    <cellStyle name="Currency 2 6 3 2" xfId="17674"/>
    <cellStyle name="Currency 2 7" xfId="5074"/>
    <cellStyle name="Currency 2 7 2" xfId="7437"/>
    <cellStyle name="Currency 2 7 3" xfId="6858"/>
    <cellStyle name="Currency 2 7 3 2" xfId="10225"/>
    <cellStyle name="Currency 2 7 3 2 2" xfId="18097"/>
    <cellStyle name="Currency 2 7 3 3" xfId="17105"/>
    <cellStyle name="Currency 2 7 4" xfId="9794"/>
    <cellStyle name="Currency 2 7 5" xfId="10224"/>
    <cellStyle name="Currency 2 7 5 2" xfId="18096"/>
    <cellStyle name="Currency 2 7 6" xfId="14814"/>
    <cellStyle name="Currency 2 7 6 2" xfId="21718"/>
    <cellStyle name="Currency 2 7 7" xfId="16353"/>
    <cellStyle name="Currency 2 8" xfId="6264"/>
    <cellStyle name="Currency 2 8 2" xfId="6476"/>
    <cellStyle name="Currency 2 8 3" xfId="10226"/>
    <cellStyle name="Currency 2 8 3 2" xfId="18098"/>
    <cellStyle name="Currency 2 8 4" xfId="16822"/>
    <cellStyle name="Currency 20" xfId="2170"/>
    <cellStyle name="Currency 20 2" xfId="4041"/>
    <cellStyle name="Currency 20 2 2" xfId="14152"/>
    <cellStyle name="Currency 20 3" xfId="13531"/>
    <cellStyle name="Currency 21" xfId="2171"/>
    <cellStyle name="Currency 21 2" xfId="4042"/>
    <cellStyle name="Currency 21 2 2" xfId="14153"/>
    <cellStyle name="Currency 21 3" xfId="13532"/>
    <cellStyle name="Currency 22" xfId="2172"/>
    <cellStyle name="Currency 22 2" xfId="4043"/>
    <cellStyle name="Currency 22 2 2" xfId="14155"/>
    <cellStyle name="Currency 22 3" xfId="13533"/>
    <cellStyle name="Currency 23" xfId="2173"/>
    <cellStyle name="Currency 23 2" xfId="4044"/>
    <cellStyle name="Currency 23 2 2" xfId="14156"/>
    <cellStyle name="Currency 23 3" xfId="13534"/>
    <cellStyle name="Currency 24" xfId="2174"/>
    <cellStyle name="Currency 24 2" xfId="4045"/>
    <cellStyle name="Currency 24 2 2" xfId="14157"/>
    <cellStyle name="Currency 24 3" xfId="13535"/>
    <cellStyle name="Currency 25" xfId="2175"/>
    <cellStyle name="Currency 25 2" xfId="4046"/>
    <cellStyle name="Currency 25 2 2" xfId="14158"/>
    <cellStyle name="Currency 25 3" xfId="13536"/>
    <cellStyle name="Currency 26" xfId="2176"/>
    <cellStyle name="Currency 26 2" xfId="4047"/>
    <cellStyle name="Currency 26 2 2" xfId="14159"/>
    <cellStyle name="Currency 26 3" xfId="13537"/>
    <cellStyle name="Currency 27" xfId="2177"/>
    <cellStyle name="Currency 27 2" xfId="4048"/>
    <cellStyle name="Currency 27 2 2" xfId="14160"/>
    <cellStyle name="Currency 27 3" xfId="13538"/>
    <cellStyle name="Currency 28" xfId="2178"/>
    <cellStyle name="Currency 28 2" xfId="4049"/>
    <cellStyle name="Currency 28 2 2" xfId="14161"/>
    <cellStyle name="Currency 28 3" xfId="13539"/>
    <cellStyle name="Currency 29" xfId="2179"/>
    <cellStyle name="Currency 29 2" xfId="4050"/>
    <cellStyle name="Currency 29 2 2" xfId="14162"/>
    <cellStyle name="Currency 29 3" xfId="13540"/>
    <cellStyle name="Currency 3" xfId="2180"/>
    <cellStyle name="Currency 3 2" xfId="2181"/>
    <cellStyle name="Currency 3 2 2" xfId="13542"/>
    <cellStyle name="Currency 3 3" xfId="4051"/>
    <cellStyle name="Currency 3 3 10" xfId="15886"/>
    <cellStyle name="Currency 3 3 10 2" xfId="22628"/>
    <cellStyle name="Currency 3 3 11" xfId="16135"/>
    <cellStyle name="Currency 3 3 2" xfId="5835"/>
    <cellStyle name="Currency 3 3 2 2" xfId="7439"/>
    <cellStyle name="Currency 3 3 2 3" xfId="7077"/>
    <cellStyle name="Currency 3 3 2 3 2" xfId="10229"/>
    <cellStyle name="Currency 3 3 2 3 2 2" xfId="18101"/>
    <cellStyle name="Currency 3 3 2 3 3" xfId="17324"/>
    <cellStyle name="Currency 3 3 2 4" xfId="10228"/>
    <cellStyle name="Currency 3 3 2 4 2" xfId="18100"/>
    <cellStyle name="Currency 3 3 2 5" xfId="15138"/>
    <cellStyle name="Currency 3 3 2 5 2" xfId="21937"/>
    <cellStyle name="Currency 3 3 2 6" xfId="16528"/>
    <cellStyle name="Currency 3 3 3" xfId="7438"/>
    <cellStyle name="Currency 3 3 4" xfId="6771"/>
    <cellStyle name="Currency 3 3 4 2" xfId="10230"/>
    <cellStyle name="Currency 3 3 4 2 2" xfId="18102"/>
    <cellStyle name="Currency 3 3 4 3" xfId="17018"/>
    <cellStyle name="Currency 3 3 5" xfId="9795"/>
    <cellStyle name="Currency 3 3 6" xfId="10227"/>
    <cellStyle name="Currency 3 3 6 2" xfId="18099"/>
    <cellStyle name="Currency 3 3 7" xfId="14680"/>
    <cellStyle name="Currency 3 3 7 2" xfId="21631"/>
    <cellStyle name="Currency 3 3 8" xfId="15486"/>
    <cellStyle name="Currency 3 3 8 2" xfId="22241"/>
    <cellStyle name="Currency 3 3 9" xfId="15686"/>
    <cellStyle name="Currency 3 3 9 2" xfId="22432"/>
    <cellStyle name="Currency 3 4" xfId="6381"/>
    <cellStyle name="Currency 3 4 2" xfId="10231"/>
    <cellStyle name="Currency 3 4 2 2" xfId="18103"/>
    <cellStyle name="Currency 3 4 3" xfId="16939"/>
    <cellStyle name="Currency 3 5" xfId="13541"/>
    <cellStyle name="Currency 3 6" xfId="14056"/>
    <cellStyle name="Currency 3 6 2" xfId="21450"/>
    <cellStyle name="Currency 30" xfId="2182"/>
    <cellStyle name="Currency 30 2" xfId="4052"/>
    <cellStyle name="Currency 30 2 2" xfId="14163"/>
    <cellStyle name="Currency 30 3" xfId="13543"/>
    <cellStyle name="Currency 31" xfId="2183"/>
    <cellStyle name="Currency 31 2" xfId="4053"/>
    <cellStyle name="Currency 31 2 2" xfId="14164"/>
    <cellStyle name="Currency 31 3" xfId="13544"/>
    <cellStyle name="Currency 32" xfId="2184"/>
    <cellStyle name="Currency 32 2" xfId="4054"/>
    <cellStyle name="Currency 32 2 2" xfId="14165"/>
    <cellStyle name="Currency 32 3" xfId="13545"/>
    <cellStyle name="Currency 33" xfId="2185"/>
    <cellStyle name="Currency 33 2" xfId="4055"/>
    <cellStyle name="Currency 33 2 2" xfId="14166"/>
    <cellStyle name="Currency 33 3" xfId="13546"/>
    <cellStyle name="Currency 34" xfId="2186"/>
    <cellStyle name="Currency 34 2" xfId="5368"/>
    <cellStyle name="Currency 34 2 2" xfId="14167"/>
    <cellStyle name="Currency 34 3" xfId="13547"/>
    <cellStyle name="Currency 35" xfId="2187"/>
    <cellStyle name="Currency 35 2" xfId="4056"/>
    <cellStyle name="Currency 35 2 2" xfId="14168"/>
    <cellStyle name="Currency 35 3" xfId="13548"/>
    <cellStyle name="Currency 36" xfId="2188"/>
    <cellStyle name="Currency 36 2" xfId="4057"/>
    <cellStyle name="Currency 36 2 2" xfId="14169"/>
    <cellStyle name="Currency 36 3" xfId="13549"/>
    <cellStyle name="Currency 37" xfId="2189"/>
    <cellStyle name="Currency 37 2" xfId="4058"/>
    <cellStyle name="Currency 37 2 2" xfId="14681"/>
    <cellStyle name="Currency 37 3" xfId="5604"/>
    <cellStyle name="Currency 37 4" xfId="6478"/>
    <cellStyle name="Currency 37 4 2" xfId="14447"/>
    <cellStyle name="Currency 37 5" xfId="13550"/>
    <cellStyle name="Currency 38" xfId="2190"/>
    <cellStyle name="Currency 38 2" xfId="4059"/>
    <cellStyle name="Currency 38 2 2" xfId="14682"/>
    <cellStyle name="Currency 38 3" xfId="5607"/>
    <cellStyle name="Currency 38 4" xfId="6479"/>
    <cellStyle name="Currency 38 4 2" xfId="14448"/>
    <cellStyle name="Currency 38 5" xfId="13551"/>
    <cellStyle name="Currency 39" xfId="2191"/>
    <cellStyle name="Currency 39 2" xfId="4060"/>
    <cellStyle name="Currency 39 2 2" xfId="14683"/>
    <cellStyle name="Currency 39 3" xfId="5606"/>
    <cellStyle name="Currency 39 4" xfId="6480"/>
    <cellStyle name="Currency 39 4 2" xfId="14449"/>
    <cellStyle name="Currency 39 5" xfId="13552"/>
    <cellStyle name="Currency 4" xfId="2192"/>
    <cellStyle name="Currency 4 2" xfId="4061"/>
    <cellStyle name="Currency 4 2 2" xfId="9753"/>
    <cellStyle name="Currency 4 2 2 2" xfId="15417"/>
    <cellStyle name="Currency 4 2 3" xfId="14170"/>
    <cellStyle name="Currency 4 3" xfId="9754"/>
    <cellStyle name="Currency 4 3 2" xfId="15418"/>
    <cellStyle name="Currency 4 4" xfId="9752"/>
    <cellStyle name="Currency 4 4 2" xfId="17680"/>
    <cellStyle name="Currency 4 5" xfId="13553"/>
    <cellStyle name="Currency 40" xfId="2193"/>
    <cellStyle name="Currency 40 2" xfId="4062"/>
    <cellStyle name="Currency 40 2 2" xfId="14684"/>
    <cellStyle name="Currency 40 3" xfId="5608"/>
    <cellStyle name="Currency 40 4" xfId="6481"/>
    <cellStyle name="Currency 40 4 2" xfId="14450"/>
    <cellStyle name="Currency 40 5" xfId="13554"/>
    <cellStyle name="Currency 41" xfId="2194"/>
    <cellStyle name="Currency 41 2" xfId="4063"/>
    <cellStyle name="Currency 41 2 2" xfId="14685"/>
    <cellStyle name="Currency 41 3" xfId="5605"/>
    <cellStyle name="Currency 41 4" xfId="6482"/>
    <cellStyle name="Currency 41 4 2" xfId="14451"/>
    <cellStyle name="Currency 41 5" xfId="13555"/>
    <cellStyle name="Currency 42" xfId="2195"/>
    <cellStyle name="Currency 42 2" xfId="13556"/>
    <cellStyle name="Currency 43" xfId="2196"/>
    <cellStyle name="Currency 43 2" xfId="13557"/>
    <cellStyle name="Currency 44" xfId="2197"/>
    <cellStyle name="Currency 44 2" xfId="13558"/>
    <cellStyle name="Currency 45" xfId="2198"/>
    <cellStyle name="Currency 45 2" xfId="13559"/>
    <cellStyle name="Currency 46" xfId="2199"/>
    <cellStyle name="Currency 46 2" xfId="13560"/>
    <cellStyle name="Currency 47" xfId="2200"/>
    <cellStyle name="Currency 47 2" xfId="13561"/>
    <cellStyle name="Currency 48" xfId="2201"/>
    <cellStyle name="Currency 48 2" xfId="13562"/>
    <cellStyle name="Currency 49" xfId="2202"/>
    <cellStyle name="Currency 49 2" xfId="13563"/>
    <cellStyle name="Currency 5" xfId="2203"/>
    <cellStyle name="Currency 5 2" xfId="4064"/>
    <cellStyle name="Currency 5 2 2" xfId="9796"/>
    <cellStyle name="Currency 5 2 3" xfId="14171"/>
    <cellStyle name="Currency 5 3" xfId="5243"/>
    <cellStyle name="Currency 5 4" xfId="13564"/>
    <cellStyle name="Currency 50" xfId="2204"/>
    <cellStyle name="Currency 50 2" xfId="13565"/>
    <cellStyle name="Currency 51" xfId="2205"/>
    <cellStyle name="Currency 51 2" xfId="13566"/>
    <cellStyle name="Currency 52" xfId="2206"/>
    <cellStyle name="Currency 52 2" xfId="13567"/>
    <cellStyle name="Currency 53" xfId="2207"/>
    <cellStyle name="Currency 53 2" xfId="13568"/>
    <cellStyle name="Currency 54" xfId="2208"/>
    <cellStyle name="Currency 54 2" xfId="13569"/>
    <cellStyle name="Currency 55" xfId="2209"/>
    <cellStyle name="Currency 55 2" xfId="13570"/>
    <cellStyle name="Currency 56" xfId="2210"/>
    <cellStyle name="Currency 56 2" xfId="13571"/>
    <cellStyle name="Currency 57" xfId="2211"/>
    <cellStyle name="Currency 57 2" xfId="13572"/>
    <cellStyle name="Currency 58" xfId="2212"/>
    <cellStyle name="Currency 58 2" xfId="13573"/>
    <cellStyle name="Currency 59" xfId="2213"/>
    <cellStyle name="Currency 59 2" xfId="13574"/>
    <cellStyle name="Currency 6" xfId="2214"/>
    <cellStyle name="Currency 6 2" xfId="13575"/>
    <cellStyle name="Currency 60" xfId="2215"/>
    <cellStyle name="Currency 60 2" xfId="13576"/>
    <cellStyle name="Currency 61" xfId="2216"/>
    <cellStyle name="Currency 61 2" xfId="13577"/>
    <cellStyle name="Currency 62" xfId="2217"/>
    <cellStyle name="Currency 62 2" xfId="13578"/>
    <cellStyle name="Currency 63" xfId="2218"/>
    <cellStyle name="Currency 63 2" xfId="13579"/>
    <cellStyle name="Currency 64" xfId="2219"/>
    <cellStyle name="Currency 64 2" xfId="13580"/>
    <cellStyle name="Currency 65" xfId="2220"/>
    <cellStyle name="Currency 65 2" xfId="13581"/>
    <cellStyle name="Currency 66" xfId="2221"/>
    <cellStyle name="Currency 66 2" xfId="13582"/>
    <cellStyle name="Currency 67" xfId="2222"/>
    <cellStyle name="Currency 67 2" xfId="13583"/>
    <cellStyle name="Currency 68" xfId="2223"/>
    <cellStyle name="Currency 68 2" xfId="13584"/>
    <cellStyle name="Currency 69" xfId="2224"/>
    <cellStyle name="Currency 69 2" xfId="13585"/>
    <cellStyle name="Currency 7" xfId="2225"/>
    <cellStyle name="Currency 7 2" xfId="13586"/>
    <cellStyle name="Currency 70" xfId="2226"/>
    <cellStyle name="Currency 70 2" xfId="13587"/>
    <cellStyle name="Currency 71" xfId="2227"/>
    <cellStyle name="Currency 71 2" xfId="13588"/>
    <cellStyle name="Currency 72" xfId="2228"/>
    <cellStyle name="Currency 72 2" xfId="13589"/>
    <cellStyle name="Currency 73" xfId="2229"/>
    <cellStyle name="Currency 73 2" xfId="13590"/>
    <cellStyle name="Currency 74" xfId="2230"/>
    <cellStyle name="Currency 74 2" xfId="13591"/>
    <cellStyle name="Currency 75" xfId="2231"/>
    <cellStyle name="Currency 75 2" xfId="13592"/>
    <cellStyle name="Currency 76" xfId="2232"/>
    <cellStyle name="Currency 76 2" xfId="13593"/>
    <cellStyle name="Currency 77" xfId="2233"/>
    <cellStyle name="Currency 77 2" xfId="13594"/>
    <cellStyle name="Currency 78" xfId="2234"/>
    <cellStyle name="Currency 78 2" xfId="13595"/>
    <cellStyle name="Currency 79" xfId="2235"/>
    <cellStyle name="Currency 79 2" xfId="13596"/>
    <cellStyle name="Currency 8" xfId="2236"/>
    <cellStyle name="Currency 8 2" xfId="13597"/>
    <cellStyle name="Currency 80" xfId="2237"/>
    <cellStyle name="Currency 80 2" xfId="13598"/>
    <cellStyle name="Currency 81" xfId="2238"/>
    <cellStyle name="Currency 81 2" xfId="13599"/>
    <cellStyle name="Currency 82" xfId="2239"/>
    <cellStyle name="Currency 82 2" xfId="13600"/>
    <cellStyle name="Currency 83" xfId="2240"/>
    <cellStyle name="Currency 83 2" xfId="13601"/>
    <cellStyle name="Currency 84" xfId="2241"/>
    <cellStyle name="Currency 84 2" xfId="13602"/>
    <cellStyle name="Currency 85" xfId="2242"/>
    <cellStyle name="Currency 85 2" xfId="13603"/>
    <cellStyle name="Currency 86" xfId="2243"/>
    <cellStyle name="Currency 86 2" xfId="13604"/>
    <cellStyle name="Currency 87" xfId="2244"/>
    <cellStyle name="Currency 87 2" xfId="13605"/>
    <cellStyle name="Currency 88" xfId="2245"/>
    <cellStyle name="Currency 88 2" xfId="13606"/>
    <cellStyle name="Currency 89" xfId="2246"/>
    <cellStyle name="Currency 89 2" xfId="13607"/>
    <cellStyle name="Currency 9" xfId="2247"/>
    <cellStyle name="Currency 9 2" xfId="13608"/>
    <cellStyle name="Currency 90" xfId="2248"/>
    <cellStyle name="Currency 90 2" xfId="13609"/>
    <cellStyle name="Currency 91" xfId="2249"/>
    <cellStyle name="Currency 91 2" xfId="13610"/>
    <cellStyle name="Currency 92" xfId="2250"/>
    <cellStyle name="Currency 92 2" xfId="13611"/>
    <cellStyle name="Currency 93" xfId="2251"/>
    <cellStyle name="Currency 93 2" xfId="13612"/>
    <cellStyle name="Currency 94" xfId="2252"/>
    <cellStyle name="Currency 94 2" xfId="13613"/>
    <cellStyle name="Currency 95" xfId="2253"/>
    <cellStyle name="Currency 95 2" xfId="13614"/>
    <cellStyle name="Currency 96" xfId="2254"/>
    <cellStyle name="Currency 96 2" xfId="13615"/>
    <cellStyle name="Currency 97" xfId="2255"/>
    <cellStyle name="Currency 97 2" xfId="13616"/>
    <cellStyle name="Currency 98" xfId="2256"/>
    <cellStyle name="Currency 98 2" xfId="13617"/>
    <cellStyle name="Currency 99" xfId="2257"/>
    <cellStyle name="Currency 99 2" xfId="13618"/>
    <cellStyle name="Currency0" xfId="2258"/>
    <cellStyle name="Currency0 2" xfId="2259"/>
    <cellStyle name="Currency0 2 2" xfId="4065"/>
    <cellStyle name="Currency0 2 2 2" xfId="14173"/>
    <cellStyle name="Currency0 2 3" xfId="4066"/>
    <cellStyle name="Currency0 2 4" xfId="6483"/>
    <cellStyle name="Currency0 2 5" xfId="14172"/>
    <cellStyle name="Currency0 3" xfId="4067"/>
    <cellStyle name="Currency0 3 2" xfId="4068"/>
    <cellStyle name="Currency0 3 2 2" xfId="14175"/>
    <cellStyle name="Currency0 3 3" xfId="9595"/>
    <cellStyle name="Currency0 3 4" xfId="14174"/>
    <cellStyle name="Currency0 4" xfId="4069"/>
    <cellStyle name="Currency0 4 2" xfId="9709"/>
    <cellStyle name="Currency0 4 3" xfId="14176"/>
    <cellStyle name="Currency0 5" xfId="4070"/>
    <cellStyle name="Currency0 5 2" xfId="14177"/>
    <cellStyle name="Currency0 6" xfId="4071"/>
    <cellStyle name="Currency0 6 2" xfId="14178"/>
    <cellStyle name="Currency0 7" xfId="4072"/>
    <cellStyle name="Currency0 7 2" xfId="14179"/>
    <cellStyle name="Currency0 8" xfId="4073"/>
    <cellStyle name="Currency0 8 2" xfId="14686"/>
    <cellStyle name="Currency0 9" xfId="13619"/>
    <cellStyle name="Date" xfId="2260"/>
    <cellStyle name="Date [d-mmm-yy]" xfId="2261"/>
    <cellStyle name="Date 10" xfId="4074"/>
    <cellStyle name="Date 10 2" xfId="14687"/>
    <cellStyle name="Date 11" xfId="4075"/>
    <cellStyle name="Date 11 2" xfId="14688"/>
    <cellStyle name="Date 12" xfId="4076"/>
    <cellStyle name="Date 12 2" xfId="14689"/>
    <cellStyle name="Date 13" xfId="4077"/>
    <cellStyle name="Date 13 2" xfId="14690"/>
    <cellStyle name="Date 14" xfId="4078"/>
    <cellStyle name="Date 14 2" xfId="14691"/>
    <cellStyle name="Date 15" xfId="4079"/>
    <cellStyle name="Date 15 2" xfId="14692"/>
    <cellStyle name="Date 16" xfId="4080"/>
    <cellStyle name="Date 16 2" xfId="14693"/>
    <cellStyle name="Date 17" xfId="4081"/>
    <cellStyle name="Date 17 2" xfId="14694"/>
    <cellStyle name="Date 18" xfId="4082"/>
    <cellStyle name="Date 18 2" xfId="14695"/>
    <cellStyle name="Date 19" xfId="4083"/>
    <cellStyle name="Date 19 2" xfId="14696"/>
    <cellStyle name="Date 2" xfId="2262"/>
    <cellStyle name="Date 2 2" xfId="4084"/>
    <cellStyle name="Date 2 2 2" xfId="14182"/>
    <cellStyle name="Date 2 3" xfId="4085"/>
    <cellStyle name="Date 2 4" xfId="6484"/>
    <cellStyle name="Date 2 5" xfId="14181"/>
    <cellStyle name="Date 20" xfId="4086"/>
    <cellStyle name="Date 20 2" xfId="14697"/>
    <cellStyle name="Date 21" xfId="5088"/>
    <cellStyle name="Date 22" xfId="5745"/>
    <cellStyle name="Date 23" xfId="5754"/>
    <cellStyle name="Date 24" xfId="5738"/>
    <cellStyle name="Date 25" xfId="5765"/>
    <cellStyle name="Date 26" xfId="5798"/>
    <cellStyle name="Date 27" xfId="6121"/>
    <cellStyle name="Date 28" xfId="6094"/>
    <cellStyle name="Date 29" xfId="5849"/>
    <cellStyle name="Date 3" xfId="2263"/>
    <cellStyle name="Date 3 2" xfId="4087"/>
    <cellStyle name="Date 3 2 2" xfId="14184"/>
    <cellStyle name="Date 3 3" xfId="4088"/>
    <cellStyle name="Date 3 4" xfId="6485"/>
    <cellStyle name="Date 3 5" xfId="14183"/>
    <cellStyle name="Date 30" xfId="5800"/>
    <cellStyle name="Date 31" xfId="5809"/>
    <cellStyle name="Date 32" xfId="5917"/>
    <cellStyle name="Date 33" xfId="5956"/>
    <cellStyle name="Date 34" xfId="5853"/>
    <cellStyle name="Date 35" xfId="5832"/>
    <cellStyle name="Date 36" xfId="5919"/>
    <cellStyle name="Date 37" xfId="5930"/>
    <cellStyle name="Date 38" xfId="5929"/>
    <cellStyle name="Date 39" xfId="5916"/>
    <cellStyle name="Date 4" xfId="4089"/>
    <cellStyle name="Date 4 2" xfId="14185"/>
    <cellStyle name="Date 40" xfId="5905"/>
    <cellStyle name="Date 41" xfId="5895"/>
    <cellStyle name="Date 42" xfId="6097"/>
    <cellStyle name="Date 43" xfId="6096"/>
    <cellStyle name="Date 44" xfId="5953"/>
    <cellStyle name="Date 45" xfId="5868"/>
    <cellStyle name="Date 46" xfId="6091"/>
    <cellStyle name="Date 47" xfId="5810"/>
    <cellStyle name="Date 48" xfId="6108"/>
    <cellStyle name="Date 49" xfId="6106"/>
    <cellStyle name="Date 5" xfId="4090"/>
    <cellStyle name="Date 5 2" xfId="14186"/>
    <cellStyle name="Date 50" xfId="5939"/>
    <cellStyle name="Date 51" xfId="5937"/>
    <cellStyle name="Date 52" xfId="6098"/>
    <cellStyle name="Date 53" xfId="5811"/>
    <cellStyle name="Date 54" xfId="6031"/>
    <cellStyle name="Date 55" xfId="6099"/>
    <cellStyle name="Date 56" xfId="9536"/>
    <cellStyle name="Date 57" xfId="9539"/>
    <cellStyle name="Date 58" xfId="9533"/>
    <cellStyle name="Date 59" xfId="9668"/>
    <cellStyle name="Date 6" xfId="4091"/>
    <cellStyle name="Date 6 2" xfId="14187"/>
    <cellStyle name="Date 60" xfId="9833"/>
    <cellStyle name="Date 61" xfId="9537"/>
    <cellStyle name="Date 62" xfId="9831"/>
    <cellStyle name="Date 63" xfId="13620"/>
    <cellStyle name="Date 64" xfId="14180"/>
    <cellStyle name="Date 65" xfId="14611"/>
    <cellStyle name="Date 66" xfId="15382"/>
    <cellStyle name="Date 67" xfId="14423"/>
    <cellStyle name="Date 68" xfId="15393"/>
    <cellStyle name="Date 69" xfId="14419"/>
    <cellStyle name="Date 7" xfId="4092"/>
    <cellStyle name="Date 7 2" xfId="14188"/>
    <cellStyle name="Date 70" xfId="15441"/>
    <cellStyle name="Date 71" xfId="15629"/>
    <cellStyle name="Date 72" xfId="15628"/>
    <cellStyle name="Date 73" xfId="15640"/>
    <cellStyle name="Date 74" xfId="15832"/>
    <cellStyle name="Date 75" xfId="16070"/>
    <cellStyle name="Date 76" xfId="16078"/>
    <cellStyle name="Date 77" xfId="15899"/>
    <cellStyle name="Date 78" xfId="15889"/>
    <cellStyle name="Date 79" xfId="15898"/>
    <cellStyle name="Date 8" xfId="4093"/>
    <cellStyle name="Date 8 2" xfId="14698"/>
    <cellStyle name="Date 80" xfId="15894"/>
    <cellStyle name="Date 81" xfId="15890"/>
    <cellStyle name="Date 82" xfId="16060"/>
    <cellStyle name="Date 83" xfId="15922"/>
    <cellStyle name="Date 84" xfId="16290"/>
    <cellStyle name="Date 85" xfId="16291"/>
    <cellStyle name="Date 86" xfId="22801"/>
    <cellStyle name="Date 87" xfId="22807"/>
    <cellStyle name="Date 88" xfId="16085"/>
    <cellStyle name="Date 89" xfId="16117"/>
    <cellStyle name="Date 9" xfId="4094"/>
    <cellStyle name="Date 9 2" xfId="14699"/>
    <cellStyle name="Date Aligned" xfId="2264"/>
    <cellStyle name="Date_Assumptions" xfId="2265"/>
    <cellStyle name="DateLong" xfId="2266"/>
    <cellStyle name="DateTime" xfId="2267"/>
    <cellStyle name="DateTime 2" xfId="9596"/>
    <cellStyle name="DateTime 2 2" xfId="17594"/>
    <cellStyle name="DateTime 3" xfId="9597"/>
    <cellStyle name="DateTime 3 2" xfId="17595"/>
    <cellStyle name="DateTime 4" xfId="9710"/>
    <cellStyle name="DateTime 4 2" xfId="17650"/>
    <cellStyle name="DateTime 5" xfId="14452"/>
    <cellStyle name="d-mmm" xfId="9755"/>
    <cellStyle name="d-mmm 2" xfId="9756"/>
    <cellStyle name="d-mmm 2 2" xfId="9757"/>
    <cellStyle name="d-mmm 3" xfId="9758"/>
    <cellStyle name="d-mmm-yy" xfId="9759"/>
    <cellStyle name="d-mmm-yy 2" xfId="9760"/>
    <cellStyle name="d-mmm-yy 2 2" xfId="9761"/>
    <cellStyle name="d-mmm-yy 3" xfId="9762"/>
    <cellStyle name="Dotted Line" xfId="2268"/>
    <cellStyle name="Emphasis 1" xfId="2269"/>
    <cellStyle name="Emphasis 2" xfId="2270"/>
    <cellStyle name="Emphasis 3" xfId="2271"/>
    <cellStyle name="Entrée" xfId="2272"/>
    <cellStyle name="EPS" xfId="2273"/>
    <cellStyle name="EPS 2" xfId="9598"/>
    <cellStyle name="Euro" xfId="2274"/>
    <cellStyle name="Euro 2" xfId="9599"/>
    <cellStyle name="Euro 2 2" xfId="17596"/>
    <cellStyle name="Euro 3" xfId="9600"/>
    <cellStyle name="Euro 3 2" xfId="17597"/>
    <cellStyle name="Euro 4" xfId="9711"/>
    <cellStyle name="Euro 4 2" xfId="17651"/>
    <cellStyle name="Euro 5" xfId="13621"/>
    <cellStyle name="Explanatory Text 10" xfId="2275"/>
    <cellStyle name="Explanatory Text 11" xfId="2276"/>
    <cellStyle name="Explanatory Text 12" xfId="2277"/>
    <cellStyle name="Explanatory Text 13" xfId="2278"/>
    <cellStyle name="Explanatory Text 14" xfId="2279"/>
    <cellStyle name="Explanatory Text 15" xfId="2280"/>
    <cellStyle name="Explanatory Text 16" xfId="2281"/>
    <cellStyle name="Explanatory Text 17" xfId="2282"/>
    <cellStyle name="Explanatory Text 18" xfId="2283"/>
    <cellStyle name="Explanatory Text 19" xfId="2284"/>
    <cellStyle name="Explanatory Text 2" xfId="2285"/>
    <cellStyle name="Explanatory Text 2 2" xfId="2286"/>
    <cellStyle name="Explanatory Text 2 3" xfId="4095"/>
    <cellStyle name="Explanatory Text 2 4" xfId="6486"/>
    <cellStyle name="Explanatory Text 20" xfId="2287"/>
    <cellStyle name="Explanatory Text 21" xfId="2288"/>
    <cellStyle name="Explanatory Text 22" xfId="2289"/>
    <cellStyle name="Explanatory Text 23" xfId="13622"/>
    <cellStyle name="Explanatory Text 3" xfId="2290"/>
    <cellStyle name="Explanatory Text 3 2" xfId="4096"/>
    <cellStyle name="Explanatory Text 3 3" xfId="5378"/>
    <cellStyle name="Explanatory Text 3 4" xfId="6487"/>
    <cellStyle name="Explanatory Text 4" xfId="2291"/>
    <cellStyle name="Explanatory Text 4 2" xfId="2292"/>
    <cellStyle name="Explanatory Text 4 3" xfId="4097"/>
    <cellStyle name="Explanatory Text 4 4" xfId="5377"/>
    <cellStyle name="Explanatory Text 4 5" xfId="6488"/>
    <cellStyle name="Explanatory Text 5" xfId="2293"/>
    <cellStyle name="Explanatory Text 6" xfId="2294"/>
    <cellStyle name="Explanatory Text 7" xfId="2295"/>
    <cellStyle name="Explanatory Text 8" xfId="2296"/>
    <cellStyle name="Explanatory Text 9" xfId="2297"/>
    <cellStyle name="F2" xfId="2298"/>
    <cellStyle name="F2 2" xfId="2299"/>
    <cellStyle name="F3" xfId="2300"/>
    <cellStyle name="F3 2" xfId="2301"/>
    <cellStyle name="F4" xfId="2302"/>
    <cellStyle name="F4 2" xfId="2303"/>
    <cellStyle name="F5" xfId="2304"/>
    <cellStyle name="F6" xfId="2305"/>
    <cellStyle name="F6 2" xfId="2306"/>
    <cellStyle name="F7" xfId="2307"/>
    <cellStyle name="F7 2" xfId="2308"/>
    <cellStyle name="F8" xfId="2309"/>
    <cellStyle name="F8 2" xfId="2310"/>
    <cellStyle name="FieldName" xfId="2311"/>
    <cellStyle name="Fixed" xfId="2312"/>
    <cellStyle name="Fixed 2" xfId="2313"/>
    <cellStyle name="Fixed 2 2" xfId="4098"/>
    <cellStyle name="Fixed 2 2 2" xfId="14190"/>
    <cellStyle name="Fixed 2 3" xfId="4099"/>
    <cellStyle name="Fixed 2 4" xfId="6489"/>
    <cellStyle name="Fixed 2 5" xfId="9601"/>
    <cellStyle name="Fixed 2 5 2" xfId="17598"/>
    <cellStyle name="Fixed 2 6" xfId="14189"/>
    <cellStyle name="Fixed 3" xfId="2314"/>
    <cellStyle name="Fixed 3 2" xfId="4100"/>
    <cellStyle name="Fixed 3 2 2" xfId="14192"/>
    <cellStyle name="Fixed 3 3" xfId="4101"/>
    <cellStyle name="Fixed 3 3 2" xfId="14700"/>
    <cellStyle name="Fixed 3 4" xfId="6490"/>
    <cellStyle name="Fixed 3 4 2" xfId="14453"/>
    <cellStyle name="Fixed 3 5" xfId="14191"/>
    <cellStyle name="Fixed 4" xfId="4102"/>
    <cellStyle name="Fixed 4 2" xfId="9712"/>
    <cellStyle name="Fixed 4 2 2" xfId="17652"/>
    <cellStyle name="Fixed 4 3" xfId="14193"/>
    <cellStyle name="Fixed 5" xfId="4103"/>
    <cellStyle name="Fixed 5 2" xfId="14194"/>
    <cellStyle name="Fixed 6" xfId="4104"/>
    <cellStyle name="Fixed 6 2" xfId="14195"/>
    <cellStyle name="Fixed 7" xfId="4105"/>
    <cellStyle name="Fixed 7 2" xfId="14196"/>
    <cellStyle name="Fixed 8" xfId="4106"/>
    <cellStyle name="Fixed 8 2" xfId="14701"/>
    <cellStyle name="Fixed 9" xfId="13623"/>
    <cellStyle name="Fixed1 - Style1" xfId="2315"/>
    <cellStyle name="Followed Hyperlink 10" xfId="22832"/>
    <cellStyle name="Followed Hyperlink 100" xfId="22833"/>
    <cellStyle name="Followed Hyperlink 1000" xfId="22834"/>
    <cellStyle name="Followed Hyperlink 1001" xfId="22835"/>
    <cellStyle name="Followed Hyperlink 1002" xfId="22836"/>
    <cellStyle name="Followed Hyperlink 1003" xfId="22837"/>
    <cellStyle name="Followed Hyperlink 1004" xfId="22838"/>
    <cellStyle name="Followed Hyperlink 1005" xfId="22839"/>
    <cellStyle name="Followed Hyperlink 1006" xfId="22840"/>
    <cellStyle name="Followed Hyperlink 1007" xfId="22841"/>
    <cellStyle name="Followed Hyperlink 1008" xfId="22842"/>
    <cellStyle name="Followed Hyperlink 1009" xfId="22843"/>
    <cellStyle name="Followed Hyperlink 101" xfId="22844"/>
    <cellStyle name="Followed Hyperlink 1010" xfId="22845"/>
    <cellStyle name="Followed Hyperlink 1011" xfId="22846"/>
    <cellStyle name="Followed Hyperlink 1012" xfId="22847"/>
    <cellStyle name="Followed Hyperlink 1013" xfId="22848"/>
    <cellStyle name="Followed Hyperlink 1014" xfId="22849"/>
    <cellStyle name="Followed Hyperlink 1015" xfId="22850"/>
    <cellStyle name="Followed Hyperlink 1016" xfId="22851"/>
    <cellStyle name="Followed Hyperlink 1017" xfId="22852"/>
    <cellStyle name="Followed Hyperlink 1018" xfId="22853"/>
    <cellStyle name="Followed Hyperlink 1019" xfId="22854"/>
    <cellStyle name="Followed Hyperlink 102" xfId="22855"/>
    <cellStyle name="Followed Hyperlink 1020" xfId="22856"/>
    <cellStyle name="Followed Hyperlink 1021" xfId="22857"/>
    <cellStyle name="Followed Hyperlink 1022" xfId="22858"/>
    <cellStyle name="Followed Hyperlink 1023" xfId="22859"/>
    <cellStyle name="Followed Hyperlink 1024" xfId="22860"/>
    <cellStyle name="Followed Hyperlink 1025" xfId="22861"/>
    <cellStyle name="Followed Hyperlink 1026" xfId="22862"/>
    <cellStyle name="Followed Hyperlink 1027" xfId="22863"/>
    <cellStyle name="Followed Hyperlink 1028" xfId="22864"/>
    <cellStyle name="Followed Hyperlink 1029" xfId="22865"/>
    <cellStyle name="Followed Hyperlink 103" xfId="22866"/>
    <cellStyle name="Followed Hyperlink 1030" xfId="22867"/>
    <cellStyle name="Followed Hyperlink 1031" xfId="22868"/>
    <cellStyle name="Followed Hyperlink 1032" xfId="22869"/>
    <cellStyle name="Followed Hyperlink 1033" xfId="22870"/>
    <cellStyle name="Followed Hyperlink 1034" xfId="22871"/>
    <cellStyle name="Followed Hyperlink 1035" xfId="22872"/>
    <cellStyle name="Followed Hyperlink 1036" xfId="22873"/>
    <cellStyle name="Followed Hyperlink 1037" xfId="22874"/>
    <cellStyle name="Followed Hyperlink 1038" xfId="22875"/>
    <cellStyle name="Followed Hyperlink 1039" xfId="22876"/>
    <cellStyle name="Followed Hyperlink 104" xfId="22877"/>
    <cellStyle name="Followed Hyperlink 1040" xfId="22878"/>
    <cellStyle name="Followed Hyperlink 1041" xfId="22879"/>
    <cellStyle name="Followed Hyperlink 1042" xfId="22880"/>
    <cellStyle name="Followed Hyperlink 1043" xfId="22881"/>
    <cellStyle name="Followed Hyperlink 1044" xfId="22882"/>
    <cellStyle name="Followed Hyperlink 1045" xfId="22883"/>
    <cellStyle name="Followed Hyperlink 1046" xfId="22884"/>
    <cellStyle name="Followed Hyperlink 1047" xfId="22885"/>
    <cellStyle name="Followed Hyperlink 1048" xfId="22886"/>
    <cellStyle name="Followed Hyperlink 1049" xfId="22887"/>
    <cellStyle name="Followed Hyperlink 105" xfId="22888"/>
    <cellStyle name="Followed Hyperlink 1050" xfId="22889"/>
    <cellStyle name="Followed Hyperlink 1051" xfId="22890"/>
    <cellStyle name="Followed Hyperlink 1052" xfId="22891"/>
    <cellStyle name="Followed Hyperlink 1053" xfId="22892"/>
    <cellStyle name="Followed Hyperlink 1054" xfId="22893"/>
    <cellStyle name="Followed Hyperlink 1055" xfId="22894"/>
    <cellStyle name="Followed Hyperlink 1056" xfId="22895"/>
    <cellStyle name="Followed Hyperlink 1057" xfId="22896"/>
    <cellStyle name="Followed Hyperlink 1058" xfId="22897"/>
    <cellStyle name="Followed Hyperlink 1059" xfId="22898"/>
    <cellStyle name="Followed Hyperlink 106" xfId="22899"/>
    <cellStyle name="Followed Hyperlink 1060" xfId="22900"/>
    <cellStyle name="Followed Hyperlink 1061" xfId="22901"/>
    <cellStyle name="Followed Hyperlink 1062" xfId="22902"/>
    <cellStyle name="Followed Hyperlink 1063" xfId="22903"/>
    <cellStyle name="Followed Hyperlink 1064" xfId="22904"/>
    <cellStyle name="Followed Hyperlink 1065" xfId="22905"/>
    <cellStyle name="Followed Hyperlink 1066" xfId="22906"/>
    <cellStyle name="Followed Hyperlink 1067" xfId="22907"/>
    <cellStyle name="Followed Hyperlink 1068" xfId="22908"/>
    <cellStyle name="Followed Hyperlink 1069" xfId="22909"/>
    <cellStyle name="Followed Hyperlink 107" xfId="22910"/>
    <cellStyle name="Followed Hyperlink 1070" xfId="22911"/>
    <cellStyle name="Followed Hyperlink 1071" xfId="22912"/>
    <cellStyle name="Followed Hyperlink 1072" xfId="22913"/>
    <cellStyle name="Followed Hyperlink 1073" xfId="22914"/>
    <cellStyle name="Followed Hyperlink 1074" xfId="22915"/>
    <cellStyle name="Followed Hyperlink 1075" xfId="22916"/>
    <cellStyle name="Followed Hyperlink 1076" xfId="22917"/>
    <cellStyle name="Followed Hyperlink 1077" xfId="22918"/>
    <cellStyle name="Followed Hyperlink 1078" xfId="22919"/>
    <cellStyle name="Followed Hyperlink 1079" xfId="22920"/>
    <cellStyle name="Followed Hyperlink 108" xfId="22921"/>
    <cellStyle name="Followed Hyperlink 1080" xfId="22922"/>
    <cellStyle name="Followed Hyperlink 1081" xfId="22923"/>
    <cellStyle name="Followed Hyperlink 1082" xfId="22924"/>
    <cellStyle name="Followed Hyperlink 1083" xfId="22925"/>
    <cellStyle name="Followed Hyperlink 1084" xfId="22926"/>
    <cellStyle name="Followed Hyperlink 1085" xfId="22927"/>
    <cellStyle name="Followed Hyperlink 1086" xfId="22928"/>
    <cellStyle name="Followed Hyperlink 1087" xfId="22929"/>
    <cellStyle name="Followed Hyperlink 1088" xfId="22930"/>
    <cellStyle name="Followed Hyperlink 1089" xfId="22931"/>
    <cellStyle name="Followed Hyperlink 109" xfId="22932"/>
    <cellStyle name="Followed Hyperlink 1090" xfId="22933"/>
    <cellStyle name="Followed Hyperlink 1091" xfId="22934"/>
    <cellStyle name="Followed Hyperlink 1092" xfId="22935"/>
    <cellStyle name="Followed Hyperlink 1093" xfId="22936"/>
    <cellStyle name="Followed Hyperlink 1094" xfId="22937"/>
    <cellStyle name="Followed Hyperlink 1095" xfId="22938"/>
    <cellStyle name="Followed Hyperlink 1096" xfId="22939"/>
    <cellStyle name="Followed Hyperlink 1097" xfId="22940"/>
    <cellStyle name="Followed Hyperlink 1098" xfId="22941"/>
    <cellStyle name="Followed Hyperlink 1099" xfId="22942"/>
    <cellStyle name="Followed Hyperlink 11" xfId="22943"/>
    <cellStyle name="Followed Hyperlink 110" xfId="22944"/>
    <cellStyle name="Followed Hyperlink 1100" xfId="22945"/>
    <cellStyle name="Followed Hyperlink 1101" xfId="22946"/>
    <cellStyle name="Followed Hyperlink 1102" xfId="22947"/>
    <cellStyle name="Followed Hyperlink 1103" xfId="22948"/>
    <cellStyle name="Followed Hyperlink 1104" xfId="22949"/>
    <cellStyle name="Followed Hyperlink 1105" xfId="22950"/>
    <cellStyle name="Followed Hyperlink 1106" xfId="22951"/>
    <cellStyle name="Followed Hyperlink 1107" xfId="22952"/>
    <cellStyle name="Followed Hyperlink 1108" xfId="22953"/>
    <cellStyle name="Followed Hyperlink 1109" xfId="22954"/>
    <cellStyle name="Followed Hyperlink 111" xfId="22955"/>
    <cellStyle name="Followed Hyperlink 1110" xfId="22956"/>
    <cellStyle name="Followed Hyperlink 1111" xfId="22957"/>
    <cellStyle name="Followed Hyperlink 1112" xfId="22958"/>
    <cellStyle name="Followed Hyperlink 1113" xfId="22959"/>
    <cellStyle name="Followed Hyperlink 1114" xfId="22960"/>
    <cellStyle name="Followed Hyperlink 1115" xfId="22961"/>
    <cellStyle name="Followed Hyperlink 1116" xfId="22962"/>
    <cellStyle name="Followed Hyperlink 1117" xfId="22963"/>
    <cellStyle name="Followed Hyperlink 1118" xfId="22964"/>
    <cellStyle name="Followed Hyperlink 1119" xfId="22965"/>
    <cellStyle name="Followed Hyperlink 112" xfId="22966"/>
    <cellStyle name="Followed Hyperlink 1120" xfId="22967"/>
    <cellStyle name="Followed Hyperlink 1121" xfId="22968"/>
    <cellStyle name="Followed Hyperlink 1122" xfId="22969"/>
    <cellStyle name="Followed Hyperlink 1123" xfId="22970"/>
    <cellStyle name="Followed Hyperlink 1124" xfId="22971"/>
    <cellStyle name="Followed Hyperlink 1125" xfId="22972"/>
    <cellStyle name="Followed Hyperlink 1126" xfId="22973"/>
    <cellStyle name="Followed Hyperlink 1127" xfId="22974"/>
    <cellStyle name="Followed Hyperlink 1128" xfId="22975"/>
    <cellStyle name="Followed Hyperlink 1129" xfId="22976"/>
    <cellStyle name="Followed Hyperlink 113" xfId="22977"/>
    <cellStyle name="Followed Hyperlink 1130" xfId="22978"/>
    <cellStyle name="Followed Hyperlink 1131" xfId="22979"/>
    <cellStyle name="Followed Hyperlink 1132" xfId="22980"/>
    <cellStyle name="Followed Hyperlink 1133" xfId="22981"/>
    <cellStyle name="Followed Hyperlink 1134" xfId="22982"/>
    <cellStyle name="Followed Hyperlink 1135" xfId="22983"/>
    <cellStyle name="Followed Hyperlink 1136" xfId="22984"/>
    <cellStyle name="Followed Hyperlink 1137" xfId="22985"/>
    <cellStyle name="Followed Hyperlink 1138" xfId="22986"/>
    <cellStyle name="Followed Hyperlink 1139" xfId="22987"/>
    <cellStyle name="Followed Hyperlink 114" xfId="22988"/>
    <cellStyle name="Followed Hyperlink 1140" xfId="22989"/>
    <cellStyle name="Followed Hyperlink 1141" xfId="22990"/>
    <cellStyle name="Followed Hyperlink 1142" xfId="22991"/>
    <cellStyle name="Followed Hyperlink 1143" xfId="22992"/>
    <cellStyle name="Followed Hyperlink 1144" xfId="22993"/>
    <cellStyle name="Followed Hyperlink 1145" xfId="22994"/>
    <cellStyle name="Followed Hyperlink 1146" xfId="22995"/>
    <cellStyle name="Followed Hyperlink 1147" xfId="22996"/>
    <cellStyle name="Followed Hyperlink 1148" xfId="22997"/>
    <cellStyle name="Followed Hyperlink 1149" xfId="22998"/>
    <cellStyle name="Followed Hyperlink 115" xfId="22999"/>
    <cellStyle name="Followed Hyperlink 1150" xfId="23000"/>
    <cellStyle name="Followed Hyperlink 1151" xfId="23001"/>
    <cellStyle name="Followed Hyperlink 1152" xfId="23002"/>
    <cellStyle name="Followed Hyperlink 1153" xfId="23003"/>
    <cellStyle name="Followed Hyperlink 1154" xfId="23004"/>
    <cellStyle name="Followed Hyperlink 1155" xfId="23005"/>
    <cellStyle name="Followed Hyperlink 1156" xfId="23006"/>
    <cellStyle name="Followed Hyperlink 1157" xfId="23007"/>
    <cellStyle name="Followed Hyperlink 1158" xfId="23008"/>
    <cellStyle name="Followed Hyperlink 1159" xfId="23009"/>
    <cellStyle name="Followed Hyperlink 116" xfId="23010"/>
    <cellStyle name="Followed Hyperlink 1160" xfId="23011"/>
    <cellStyle name="Followed Hyperlink 1161" xfId="23012"/>
    <cellStyle name="Followed Hyperlink 1162" xfId="23013"/>
    <cellStyle name="Followed Hyperlink 1163" xfId="23014"/>
    <cellStyle name="Followed Hyperlink 1164" xfId="23015"/>
    <cellStyle name="Followed Hyperlink 1165" xfId="23016"/>
    <cellStyle name="Followed Hyperlink 1166" xfId="23017"/>
    <cellStyle name="Followed Hyperlink 1167" xfId="23018"/>
    <cellStyle name="Followed Hyperlink 1168" xfId="23019"/>
    <cellStyle name="Followed Hyperlink 1169" xfId="23020"/>
    <cellStyle name="Followed Hyperlink 117" xfId="23021"/>
    <cellStyle name="Followed Hyperlink 1170" xfId="23022"/>
    <cellStyle name="Followed Hyperlink 1171" xfId="23023"/>
    <cellStyle name="Followed Hyperlink 1172" xfId="23024"/>
    <cellStyle name="Followed Hyperlink 1173" xfId="23025"/>
    <cellStyle name="Followed Hyperlink 1174" xfId="23026"/>
    <cellStyle name="Followed Hyperlink 1175" xfId="23027"/>
    <cellStyle name="Followed Hyperlink 1176" xfId="23028"/>
    <cellStyle name="Followed Hyperlink 1177" xfId="23029"/>
    <cellStyle name="Followed Hyperlink 1178" xfId="23030"/>
    <cellStyle name="Followed Hyperlink 1179" xfId="23031"/>
    <cellStyle name="Followed Hyperlink 118" xfId="23032"/>
    <cellStyle name="Followed Hyperlink 1180" xfId="23033"/>
    <cellStyle name="Followed Hyperlink 1181" xfId="23034"/>
    <cellStyle name="Followed Hyperlink 1182" xfId="23035"/>
    <cellStyle name="Followed Hyperlink 1183" xfId="23036"/>
    <cellStyle name="Followed Hyperlink 1184" xfId="23037"/>
    <cellStyle name="Followed Hyperlink 1185" xfId="23038"/>
    <cellStyle name="Followed Hyperlink 1186" xfId="23039"/>
    <cellStyle name="Followed Hyperlink 1187" xfId="23040"/>
    <cellStyle name="Followed Hyperlink 1188" xfId="23041"/>
    <cellStyle name="Followed Hyperlink 1189" xfId="23042"/>
    <cellStyle name="Followed Hyperlink 119" xfId="23043"/>
    <cellStyle name="Followed Hyperlink 1190" xfId="23044"/>
    <cellStyle name="Followed Hyperlink 1191" xfId="23045"/>
    <cellStyle name="Followed Hyperlink 1192" xfId="23046"/>
    <cellStyle name="Followed Hyperlink 1193" xfId="23047"/>
    <cellStyle name="Followed Hyperlink 1194" xfId="23048"/>
    <cellStyle name="Followed Hyperlink 1195" xfId="23049"/>
    <cellStyle name="Followed Hyperlink 1196" xfId="23050"/>
    <cellStyle name="Followed Hyperlink 1197" xfId="23051"/>
    <cellStyle name="Followed Hyperlink 1198" xfId="23052"/>
    <cellStyle name="Followed Hyperlink 1199" xfId="23053"/>
    <cellStyle name="Followed Hyperlink 12" xfId="23054"/>
    <cellStyle name="Followed Hyperlink 120" xfId="23055"/>
    <cellStyle name="Followed Hyperlink 1200" xfId="23056"/>
    <cellStyle name="Followed Hyperlink 1201" xfId="23057"/>
    <cellStyle name="Followed Hyperlink 1202" xfId="23058"/>
    <cellStyle name="Followed Hyperlink 1203" xfId="23059"/>
    <cellStyle name="Followed Hyperlink 1204" xfId="23060"/>
    <cellStyle name="Followed Hyperlink 1205" xfId="23061"/>
    <cellStyle name="Followed Hyperlink 1206" xfId="23062"/>
    <cellStyle name="Followed Hyperlink 1207" xfId="23063"/>
    <cellStyle name="Followed Hyperlink 1208" xfId="23064"/>
    <cellStyle name="Followed Hyperlink 1209" xfId="23065"/>
    <cellStyle name="Followed Hyperlink 121" xfId="23066"/>
    <cellStyle name="Followed Hyperlink 1210" xfId="23067"/>
    <cellStyle name="Followed Hyperlink 1211" xfId="23068"/>
    <cellStyle name="Followed Hyperlink 1212" xfId="23069"/>
    <cellStyle name="Followed Hyperlink 1213" xfId="23070"/>
    <cellStyle name="Followed Hyperlink 1214" xfId="23071"/>
    <cellStyle name="Followed Hyperlink 1215" xfId="23072"/>
    <cellStyle name="Followed Hyperlink 1216" xfId="23073"/>
    <cellStyle name="Followed Hyperlink 1217" xfId="23074"/>
    <cellStyle name="Followed Hyperlink 1218" xfId="23075"/>
    <cellStyle name="Followed Hyperlink 1219" xfId="23076"/>
    <cellStyle name="Followed Hyperlink 122" xfId="23077"/>
    <cellStyle name="Followed Hyperlink 1220" xfId="23078"/>
    <cellStyle name="Followed Hyperlink 1221" xfId="23079"/>
    <cellStyle name="Followed Hyperlink 1222" xfId="23080"/>
    <cellStyle name="Followed Hyperlink 1223" xfId="23081"/>
    <cellStyle name="Followed Hyperlink 1224" xfId="23082"/>
    <cellStyle name="Followed Hyperlink 1225" xfId="23083"/>
    <cellStyle name="Followed Hyperlink 1226" xfId="23084"/>
    <cellStyle name="Followed Hyperlink 1227" xfId="23085"/>
    <cellStyle name="Followed Hyperlink 1228" xfId="23086"/>
    <cellStyle name="Followed Hyperlink 1229" xfId="23087"/>
    <cellStyle name="Followed Hyperlink 123" xfId="23088"/>
    <cellStyle name="Followed Hyperlink 1230" xfId="23089"/>
    <cellStyle name="Followed Hyperlink 1231" xfId="23090"/>
    <cellStyle name="Followed Hyperlink 1232" xfId="23091"/>
    <cellStyle name="Followed Hyperlink 1233" xfId="23092"/>
    <cellStyle name="Followed Hyperlink 1234" xfId="23093"/>
    <cellStyle name="Followed Hyperlink 1235" xfId="23094"/>
    <cellStyle name="Followed Hyperlink 1236" xfId="23095"/>
    <cellStyle name="Followed Hyperlink 1237" xfId="23096"/>
    <cellStyle name="Followed Hyperlink 1238" xfId="23097"/>
    <cellStyle name="Followed Hyperlink 1239" xfId="23098"/>
    <cellStyle name="Followed Hyperlink 124" xfId="23099"/>
    <cellStyle name="Followed Hyperlink 1240" xfId="23100"/>
    <cellStyle name="Followed Hyperlink 1241" xfId="23101"/>
    <cellStyle name="Followed Hyperlink 1242" xfId="23102"/>
    <cellStyle name="Followed Hyperlink 1243" xfId="23103"/>
    <cellStyle name="Followed Hyperlink 1244" xfId="23104"/>
    <cellStyle name="Followed Hyperlink 1245" xfId="23105"/>
    <cellStyle name="Followed Hyperlink 1246" xfId="23106"/>
    <cellStyle name="Followed Hyperlink 1247" xfId="23107"/>
    <cellStyle name="Followed Hyperlink 1248" xfId="23108"/>
    <cellStyle name="Followed Hyperlink 1249" xfId="23109"/>
    <cellStyle name="Followed Hyperlink 125" xfId="23110"/>
    <cellStyle name="Followed Hyperlink 1250" xfId="23111"/>
    <cellStyle name="Followed Hyperlink 1251" xfId="23112"/>
    <cellStyle name="Followed Hyperlink 1252" xfId="23113"/>
    <cellStyle name="Followed Hyperlink 1253" xfId="23114"/>
    <cellStyle name="Followed Hyperlink 1254" xfId="23115"/>
    <cellStyle name="Followed Hyperlink 1255" xfId="23116"/>
    <cellStyle name="Followed Hyperlink 1256" xfId="23117"/>
    <cellStyle name="Followed Hyperlink 1257" xfId="23118"/>
    <cellStyle name="Followed Hyperlink 1258" xfId="23119"/>
    <cellStyle name="Followed Hyperlink 1259" xfId="23120"/>
    <cellStyle name="Followed Hyperlink 126" xfId="23121"/>
    <cellStyle name="Followed Hyperlink 1260" xfId="23122"/>
    <cellStyle name="Followed Hyperlink 1261" xfId="23123"/>
    <cellStyle name="Followed Hyperlink 1262" xfId="23124"/>
    <cellStyle name="Followed Hyperlink 1263" xfId="23125"/>
    <cellStyle name="Followed Hyperlink 1264" xfId="23126"/>
    <cellStyle name="Followed Hyperlink 1265" xfId="23127"/>
    <cellStyle name="Followed Hyperlink 1266" xfId="23128"/>
    <cellStyle name="Followed Hyperlink 1267" xfId="23129"/>
    <cellStyle name="Followed Hyperlink 1268" xfId="23130"/>
    <cellStyle name="Followed Hyperlink 1269" xfId="23131"/>
    <cellStyle name="Followed Hyperlink 127" xfId="23132"/>
    <cellStyle name="Followed Hyperlink 1270" xfId="23133"/>
    <cellStyle name="Followed Hyperlink 1271" xfId="23134"/>
    <cellStyle name="Followed Hyperlink 1272" xfId="23135"/>
    <cellStyle name="Followed Hyperlink 1273" xfId="23136"/>
    <cellStyle name="Followed Hyperlink 1274" xfId="23137"/>
    <cellStyle name="Followed Hyperlink 1275" xfId="23138"/>
    <cellStyle name="Followed Hyperlink 1276" xfId="23139"/>
    <cellStyle name="Followed Hyperlink 1277" xfId="23140"/>
    <cellStyle name="Followed Hyperlink 1278" xfId="23141"/>
    <cellStyle name="Followed Hyperlink 1279" xfId="23142"/>
    <cellStyle name="Followed Hyperlink 128" xfId="23143"/>
    <cellStyle name="Followed Hyperlink 1280" xfId="23144"/>
    <cellStyle name="Followed Hyperlink 1281" xfId="23145"/>
    <cellStyle name="Followed Hyperlink 1282" xfId="23146"/>
    <cellStyle name="Followed Hyperlink 1283" xfId="23147"/>
    <cellStyle name="Followed Hyperlink 1284" xfId="23148"/>
    <cellStyle name="Followed Hyperlink 1285" xfId="23149"/>
    <cellStyle name="Followed Hyperlink 1286" xfId="23150"/>
    <cellStyle name="Followed Hyperlink 1287" xfId="23151"/>
    <cellStyle name="Followed Hyperlink 1288" xfId="23152"/>
    <cellStyle name="Followed Hyperlink 1289" xfId="23153"/>
    <cellStyle name="Followed Hyperlink 129" xfId="23154"/>
    <cellStyle name="Followed Hyperlink 1290" xfId="23155"/>
    <cellStyle name="Followed Hyperlink 1291" xfId="23156"/>
    <cellStyle name="Followed Hyperlink 1292" xfId="23157"/>
    <cellStyle name="Followed Hyperlink 1293" xfId="23158"/>
    <cellStyle name="Followed Hyperlink 1294" xfId="23159"/>
    <cellStyle name="Followed Hyperlink 1295" xfId="23160"/>
    <cellStyle name="Followed Hyperlink 1296" xfId="23161"/>
    <cellStyle name="Followed Hyperlink 1297" xfId="23162"/>
    <cellStyle name="Followed Hyperlink 1298" xfId="23163"/>
    <cellStyle name="Followed Hyperlink 1299" xfId="23164"/>
    <cellStyle name="Followed Hyperlink 13" xfId="23165"/>
    <cellStyle name="Followed Hyperlink 130" xfId="23166"/>
    <cellStyle name="Followed Hyperlink 1300" xfId="23167"/>
    <cellStyle name="Followed Hyperlink 1301" xfId="23168"/>
    <cellStyle name="Followed Hyperlink 1302" xfId="23169"/>
    <cellStyle name="Followed Hyperlink 1303" xfId="23170"/>
    <cellStyle name="Followed Hyperlink 1304" xfId="23171"/>
    <cellStyle name="Followed Hyperlink 1305" xfId="23172"/>
    <cellStyle name="Followed Hyperlink 1306" xfId="23173"/>
    <cellStyle name="Followed Hyperlink 1307" xfId="23174"/>
    <cellStyle name="Followed Hyperlink 1308" xfId="23175"/>
    <cellStyle name="Followed Hyperlink 1309" xfId="23176"/>
    <cellStyle name="Followed Hyperlink 131" xfId="23177"/>
    <cellStyle name="Followed Hyperlink 1310" xfId="23178"/>
    <cellStyle name="Followed Hyperlink 1311" xfId="23179"/>
    <cellStyle name="Followed Hyperlink 1312" xfId="23180"/>
    <cellStyle name="Followed Hyperlink 1313" xfId="23181"/>
    <cellStyle name="Followed Hyperlink 1314" xfId="23182"/>
    <cellStyle name="Followed Hyperlink 1315" xfId="23183"/>
    <cellStyle name="Followed Hyperlink 1316" xfId="23184"/>
    <cellStyle name="Followed Hyperlink 1317" xfId="23185"/>
    <cellStyle name="Followed Hyperlink 1318" xfId="23186"/>
    <cellStyle name="Followed Hyperlink 1319" xfId="23187"/>
    <cellStyle name="Followed Hyperlink 132" xfId="23188"/>
    <cellStyle name="Followed Hyperlink 1320" xfId="23189"/>
    <cellStyle name="Followed Hyperlink 1321" xfId="23190"/>
    <cellStyle name="Followed Hyperlink 1322" xfId="23191"/>
    <cellStyle name="Followed Hyperlink 1323" xfId="23192"/>
    <cellStyle name="Followed Hyperlink 1324" xfId="23193"/>
    <cellStyle name="Followed Hyperlink 1325" xfId="23194"/>
    <cellStyle name="Followed Hyperlink 1326" xfId="23195"/>
    <cellStyle name="Followed Hyperlink 1327" xfId="23196"/>
    <cellStyle name="Followed Hyperlink 1328" xfId="23197"/>
    <cellStyle name="Followed Hyperlink 1329" xfId="23198"/>
    <cellStyle name="Followed Hyperlink 133" xfId="23199"/>
    <cellStyle name="Followed Hyperlink 1330" xfId="23200"/>
    <cellStyle name="Followed Hyperlink 1331" xfId="23201"/>
    <cellStyle name="Followed Hyperlink 1332" xfId="23202"/>
    <cellStyle name="Followed Hyperlink 1333" xfId="23203"/>
    <cellStyle name="Followed Hyperlink 1334" xfId="23204"/>
    <cellStyle name="Followed Hyperlink 1335" xfId="23205"/>
    <cellStyle name="Followed Hyperlink 1336" xfId="23206"/>
    <cellStyle name="Followed Hyperlink 1337" xfId="23207"/>
    <cellStyle name="Followed Hyperlink 1338" xfId="23208"/>
    <cellStyle name="Followed Hyperlink 1339" xfId="23209"/>
    <cellStyle name="Followed Hyperlink 134" xfId="23210"/>
    <cellStyle name="Followed Hyperlink 1340" xfId="23211"/>
    <cellStyle name="Followed Hyperlink 1341" xfId="23212"/>
    <cellStyle name="Followed Hyperlink 1342" xfId="23213"/>
    <cellStyle name="Followed Hyperlink 1343" xfId="23214"/>
    <cellStyle name="Followed Hyperlink 1344" xfId="23215"/>
    <cellStyle name="Followed Hyperlink 1345" xfId="23216"/>
    <cellStyle name="Followed Hyperlink 1346" xfId="23217"/>
    <cellStyle name="Followed Hyperlink 1347" xfId="23218"/>
    <cellStyle name="Followed Hyperlink 1348" xfId="23219"/>
    <cellStyle name="Followed Hyperlink 1349" xfId="23220"/>
    <cellStyle name="Followed Hyperlink 135" xfId="23221"/>
    <cellStyle name="Followed Hyperlink 1350" xfId="23222"/>
    <cellStyle name="Followed Hyperlink 1351" xfId="23223"/>
    <cellStyle name="Followed Hyperlink 1352" xfId="23224"/>
    <cellStyle name="Followed Hyperlink 1353" xfId="23225"/>
    <cellStyle name="Followed Hyperlink 1354" xfId="23226"/>
    <cellStyle name="Followed Hyperlink 1355" xfId="23227"/>
    <cellStyle name="Followed Hyperlink 1356" xfId="23228"/>
    <cellStyle name="Followed Hyperlink 1357" xfId="23229"/>
    <cellStyle name="Followed Hyperlink 1358" xfId="23230"/>
    <cellStyle name="Followed Hyperlink 1359" xfId="23231"/>
    <cellStyle name="Followed Hyperlink 136" xfId="23232"/>
    <cellStyle name="Followed Hyperlink 1360" xfId="23233"/>
    <cellStyle name="Followed Hyperlink 1361" xfId="23234"/>
    <cellStyle name="Followed Hyperlink 1362" xfId="23235"/>
    <cellStyle name="Followed Hyperlink 1363" xfId="23236"/>
    <cellStyle name="Followed Hyperlink 1364" xfId="23237"/>
    <cellStyle name="Followed Hyperlink 1365" xfId="23238"/>
    <cellStyle name="Followed Hyperlink 1366" xfId="23239"/>
    <cellStyle name="Followed Hyperlink 1367" xfId="23240"/>
    <cellStyle name="Followed Hyperlink 1368" xfId="23241"/>
    <cellStyle name="Followed Hyperlink 1369" xfId="23242"/>
    <cellStyle name="Followed Hyperlink 137" xfId="23243"/>
    <cellStyle name="Followed Hyperlink 1370" xfId="23244"/>
    <cellStyle name="Followed Hyperlink 1371" xfId="23245"/>
    <cellStyle name="Followed Hyperlink 1372" xfId="23246"/>
    <cellStyle name="Followed Hyperlink 1373" xfId="23247"/>
    <cellStyle name="Followed Hyperlink 1374" xfId="23248"/>
    <cellStyle name="Followed Hyperlink 1375" xfId="23249"/>
    <cellStyle name="Followed Hyperlink 1376" xfId="23250"/>
    <cellStyle name="Followed Hyperlink 1377" xfId="23251"/>
    <cellStyle name="Followed Hyperlink 1378" xfId="23252"/>
    <cellStyle name="Followed Hyperlink 1379" xfId="23253"/>
    <cellStyle name="Followed Hyperlink 138" xfId="23254"/>
    <cellStyle name="Followed Hyperlink 1380" xfId="23255"/>
    <cellStyle name="Followed Hyperlink 1381" xfId="23256"/>
    <cellStyle name="Followed Hyperlink 1382" xfId="23257"/>
    <cellStyle name="Followed Hyperlink 1383" xfId="23258"/>
    <cellStyle name="Followed Hyperlink 1384" xfId="23259"/>
    <cellStyle name="Followed Hyperlink 1385" xfId="23260"/>
    <cellStyle name="Followed Hyperlink 1386" xfId="23261"/>
    <cellStyle name="Followed Hyperlink 1387" xfId="23262"/>
    <cellStyle name="Followed Hyperlink 1388" xfId="23263"/>
    <cellStyle name="Followed Hyperlink 1389" xfId="23264"/>
    <cellStyle name="Followed Hyperlink 139" xfId="23265"/>
    <cellStyle name="Followed Hyperlink 1390" xfId="23266"/>
    <cellStyle name="Followed Hyperlink 1391" xfId="23267"/>
    <cellStyle name="Followed Hyperlink 1392" xfId="23268"/>
    <cellStyle name="Followed Hyperlink 1393" xfId="23269"/>
    <cellStyle name="Followed Hyperlink 1394" xfId="23270"/>
    <cellStyle name="Followed Hyperlink 1395" xfId="23271"/>
    <cellStyle name="Followed Hyperlink 1396" xfId="23272"/>
    <cellStyle name="Followed Hyperlink 1397" xfId="23273"/>
    <cellStyle name="Followed Hyperlink 1398" xfId="23274"/>
    <cellStyle name="Followed Hyperlink 1399" xfId="23275"/>
    <cellStyle name="Followed Hyperlink 14" xfId="23276"/>
    <cellStyle name="Followed Hyperlink 140" xfId="23277"/>
    <cellStyle name="Followed Hyperlink 1400" xfId="23278"/>
    <cellStyle name="Followed Hyperlink 1401" xfId="23279"/>
    <cellStyle name="Followed Hyperlink 1402" xfId="23280"/>
    <cellStyle name="Followed Hyperlink 1403" xfId="23281"/>
    <cellStyle name="Followed Hyperlink 1404" xfId="23282"/>
    <cellStyle name="Followed Hyperlink 1405" xfId="23283"/>
    <cellStyle name="Followed Hyperlink 1406" xfId="23284"/>
    <cellStyle name="Followed Hyperlink 1407" xfId="23285"/>
    <cellStyle name="Followed Hyperlink 1408" xfId="23286"/>
    <cellStyle name="Followed Hyperlink 1409" xfId="23287"/>
    <cellStyle name="Followed Hyperlink 141" xfId="23288"/>
    <cellStyle name="Followed Hyperlink 1410" xfId="23289"/>
    <cellStyle name="Followed Hyperlink 1411" xfId="23290"/>
    <cellStyle name="Followed Hyperlink 1412" xfId="23291"/>
    <cellStyle name="Followed Hyperlink 1413" xfId="23292"/>
    <cellStyle name="Followed Hyperlink 1414" xfId="23293"/>
    <cellStyle name="Followed Hyperlink 1415" xfId="23294"/>
    <cellStyle name="Followed Hyperlink 1416" xfId="23295"/>
    <cellStyle name="Followed Hyperlink 1417" xfId="23296"/>
    <cellStyle name="Followed Hyperlink 1418" xfId="23297"/>
    <cellStyle name="Followed Hyperlink 1419" xfId="23298"/>
    <cellStyle name="Followed Hyperlink 142" xfId="23299"/>
    <cellStyle name="Followed Hyperlink 1420" xfId="23300"/>
    <cellStyle name="Followed Hyperlink 1421" xfId="23301"/>
    <cellStyle name="Followed Hyperlink 1422" xfId="23302"/>
    <cellStyle name="Followed Hyperlink 1423" xfId="23303"/>
    <cellStyle name="Followed Hyperlink 1424" xfId="23304"/>
    <cellStyle name="Followed Hyperlink 1425" xfId="23305"/>
    <cellStyle name="Followed Hyperlink 1426" xfId="23306"/>
    <cellStyle name="Followed Hyperlink 1427" xfId="23307"/>
    <cellStyle name="Followed Hyperlink 1428" xfId="23308"/>
    <cellStyle name="Followed Hyperlink 1429" xfId="23309"/>
    <cellStyle name="Followed Hyperlink 143" xfId="23310"/>
    <cellStyle name="Followed Hyperlink 1430" xfId="23311"/>
    <cellStyle name="Followed Hyperlink 1431" xfId="23312"/>
    <cellStyle name="Followed Hyperlink 1432" xfId="23313"/>
    <cellStyle name="Followed Hyperlink 1433" xfId="23314"/>
    <cellStyle name="Followed Hyperlink 1434" xfId="23315"/>
    <cellStyle name="Followed Hyperlink 1435" xfId="23316"/>
    <cellStyle name="Followed Hyperlink 1436" xfId="23317"/>
    <cellStyle name="Followed Hyperlink 1437" xfId="23318"/>
    <cellStyle name="Followed Hyperlink 1438" xfId="23319"/>
    <cellStyle name="Followed Hyperlink 1439" xfId="23320"/>
    <cellStyle name="Followed Hyperlink 144" xfId="23321"/>
    <cellStyle name="Followed Hyperlink 1440" xfId="23322"/>
    <cellStyle name="Followed Hyperlink 1441" xfId="23323"/>
    <cellStyle name="Followed Hyperlink 1442" xfId="23324"/>
    <cellStyle name="Followed Hyperlink 1443" xfId="23325"/>
    <cellStyle name="Followed Hyperlink 1444" xfId="23326"/>
    <cellStyle name="Followed Hyperlink 1445" xfId="23327"/>
    <cellStyle name="Followed Hyperlink 1446" xfId="23328"/>
    <cellStyle name="Followed Hyperlink 1447" xfId="23329"/>
    <cellStyle name="Followed Hyperlink 1448" xfId="23330"/>
    <cellStyle name="Followed Hyperlink 1449" xfId="23331"/>
    <cellStyle name="Followed Hyperlink 145" xfId="23332"/>
    <cellStyle name="Followed Hyperlink 1450" xfId="23333"/>
    <cellStyle name="Followed Hyperlink 1451" xfId="23334"/>
    <cellStyle name="Followed Hyperlink 1452" xfId="23335"/>
    <cellStyle name="Followed Hyperlink 1453" xfId="23336"/>
    <cellStyle name="Followed Hyperlink 1454" xfId="23337"/>
    <cellStyle name="Followed Hyperlink 1455" xfId="23338"/>
    <cellStyle name="Followed Hyperlink 1456" xfId="23339"/>
    <cellStyle name="Followed Hyperlink 1457" xfId="23340"/>
    <cellStyle name="Followed Hyperlink 1458" xfId="23341"/>
    <cellStyle name="Followed Hyperlink 1459" xfId="23342"/>
    <cellStyle name="Followed Hyperlink 146" xfId="23343"/>
    <cellStyle name="Followed Hyperlink 1460" xfId="23344"/>
    <cellStyle name="Followed Hyperlink 1461" xfId="23345"/>
    <cellStyle name="Followed Hyperlink 1462" xfId="23346"/>
    <cellStyle name="Followed Hyperlink 1463" xfId="23347"/>
    <cellStyle name="Followed Hyperlink 1464" xfId="23348"/>
    <cellStyle name="Followed Hyperlink 1465" xfId="23349"/>
    <cellStyle name="Followed Hyperlink 1466" xfId="23350"/>
    <cellStyle name="Followed Hyperlink 1467" xfId="23351"/>
    <cellStyle name="Followed Hyperlink 1468" xfId="23352"/>
    <cellStyle name="Followed Hyperlink 1469" xfId="23353"/>
    <cellStyle name="Followed Hyperlink 147" xfId="23354"/>
    <cellStyle name="Followed Hyperlink 1470" xfId="23355"/>
    <cellStyle name="Followed Hyperlink 1471" xfId="23356"/>
    <cellStyle name="Followed Hyperlink 1472" xfId="23357"/>
    <cellStyle name="Followed Hyperlink 1473" xfId="23358"/>
    <cellStyle name="Followed Hyperlink 1474" xfId="23359"/>
    <cellStyle name="Followed Hyperlink 1475" xfId="23360"/>
    <cellStyle name="Followed Hyperlink 1476" xfId="23361"/>
    <cellStyle name="Followed Hyperlink 1477" xfId="23362"/>
    <cellStyle name="Followed Hyperlink 1478" xfId="23363"/>
    <cellStyle name="Followed Hyperlink 1479" xfId="23364"/>
    <cellStyle name="Followed Hyperlink 148" xfId="23365"/>
    <cellStyle name="Followed Hyperlink 1480" xfId="23366"/>
    <cellStyle name="Followed Hyperlink 1481" xfId="23367"/>
    <cellStyle name="Followed Hyperlink 1482" xfId="23368"/>
    <cellStyle name="Followed Hyperlink 1483" xfId="23369"/>
    <cellStyle name="Followed Hyperlink 1484" xfId="23370"/>
    <cellStyle name="Followed Hyperlink 1485" xfId="23371"/>
    <cellStyle name="Followed Hyperlink 1486" xfId="23372"/>
    <cellStyle name="Followed Hyperlink 1487" xfId="23373"/>
    <cellStyle name="Followed Hyperlink 1488" xfId="23374"/>
    <cellStyle name="Followed Hyperlink 1489" xfId="23375"/>
    <cellStyle name="Followed Hyperlink 149" xfId="23376"/>
    <cellStyle name="Followed Hyperlink 1490" xfId="23377"/>
    <cellStyle name="Followed Hyperlink 1491" xfId="23378"/>
    <cellStyle name="Followed Hyperlink 1492" xfId="23379"/>
    <cellStyle name="Followed Hyperlink 1493" xfId="23380"/>
    <cellStyle name="Followed Hyperlink 1494" xfId="23381"/>
    <cellStyle name="Followed Hyperlink 1495" xfId="23382"/>
    <cellStyle name="Followed Hyperlink 1496" xfId="23383"/>
    <cellStyle name="Followed Hyperlink 1497" xfId="23384"/>
    <cellStyle name="Followed Hyperlink 1498" xfId="23385"/>
    <cellStyle name="Followed Hyperlink 1499" xfId="23386"/>
    <cellStyle name="Followed Hyperlink 15" xfId="23387"/>
    <cellStyle name="Followed Hyperlink 150" xfId="23388"/>
    <cellStyle name="Followed Hyperlink 1500" xfId="23389"/>
    <cellStyle name="Followed Hyperlink 1501" xfId="23390"/>
    <cellStyle name="Followed Hyperlink 1502" xfId="23391"/>
    <cellStyle name="Followed Hyperlink 1503" xfId="23392"/>
    <cellStyle name="Followed Hyperlink 1504" xfId="23393"/>
    <cellStyle name="Followed Hyperlink 1505" xfId="23394"/>
    <cellStyle name="Followed Hyperlink 1506" xfId="23395"/>
    <cellStyle name="Followed Hyperlink 1507" xfId="23396"/>
    <cellStyle name="Followed Hyperlink 1508" xfId="23397"/>
    <cellStyle name="Followed Hyperlink 1509" xfId="23398"/>
    <cellStyle name="Followed Hyperlink 151" xfId="23399"/>
    <cellStyle name="Followed Hyperlink 1510" xfId="23400"/>
    <cellStyle name="Followed Hyperlink 1511" xfId="23401"/>
    <cellStyle name="Followed Hyperlink 1512" xfId="23402"/>
    <cellStyle name="Followed Hyperlink 1513" xfId="23403"/>
    <cellStyle name="Followed Hyperlink 1514" xfId="23404"/>
    <cellStyle name="Followed Hyperlink 1515" xfId="23405"/>
    <cellStyle name="Followed Hyperlink 1516" xfId="23406"/>
    <cellStyle name="Followed Hyperlink 1517" xfId="23407"/>
    <cellStyle name="Followed Hyperlink 1518" xfId="23408"/>
    <cellStyle name="Followed Hyperlink 1519" xfId="23409"/>
    <cellStyle name="Followed Hyperlink 152" xfId="23410"/>
    <cellStyle name="Followed Hyperlink 1520" xfId="23411"/>
    <cellStyle name="Followed Hyperlink 1521" xfId="23412"/>
    <cellStyle name="Followed Hyperlink 1522" xfId="23413"/>
    <cellStyle name="Followed Hyperlink 1523" xfId="23414"/>
    <cellStyle name="Followed Hyperlink 1524" xfId="23415"/>
    <cellStyle name="Followed Hyperlink 1525" xfId="23416"/>
    <cellStyle name="Followed Hyperlink 1526" xfId="23417"/>
    <cellStyle name="Followed Hyperlink 1527" xfId="23418"/>
    <cellStyle name="Followed Hyperlink 1528" xfId="23419"/>
    <cellStyle name="Followed Hyperlink 1529" xfId="23420"/>
    <cellStyle name="Followed Hyperlink 153" xfId="23421"/>
    <cellStyle name="Followed Hyperlink 1530" xfId="23422"/>
    <cellStyle name="Followed Hyperlink 1531" xfId="23423"/>
    <cellStyle name="Followed Hyperlink 1532" xfId="23424"/>
    <cellStyle name="Followed Hyperlink 1533" xfId="23425"/>
    <cellStyle name="Followed Hyperlink 1534" xfId="23426"/>
    <cellStyle name="Followed Hyperlink 1535" xfId="23427"/>
    <cellStyle name="Followed Hyperlink 1536" xfId="23428"/>
    <cellStyle name="Followed Hyperlink 1537" xfId="23429"/>
    <cellStyle name="Followed Hyperlink 1538" xfId="23430"/>
    <cellStyle name="Followed Hyperlink 1539" xfId="23431"/>
    <cellStyle name="Followed Hyperlink 154" xfId="23432"/>
    <cellStyle name="Followed Hyperlink 1540" xfId="23433"/>
    <cellStyle name="Followed Hyperlink 1541" xfId="23434"/>
    <cellStyle name="Followed Hyperlink 1542" xfId="23435"/>
    <cellStyle name="Followed Hyperlink 1543" xfId="23436"/>
    <cellStyle name="Followed Hyperlink 1544" xfId="23437"/>
    <cellStyle name="Followed Hyperlink 1545" xfId="23438"/>
    <cellStyle name="Followed Hyperlink 1546" xfId="23439"/>
    <cellStyle name="Followed Hyperlink 1547" xfId="23440"/>
    <cellStyle name="Followed Hyperlink 1548" xfId="23441"/>
    <cellStyle name="Followed Hyperlink 1549" xfId="23442"/>
    <cellStyle name="Followed Hyperlink 155" xfId="23443"/>
    <cellStyle name="Followed Hyperlink 1550" xfId="23444"/>
    <cellStyle name="Followed Hyperlink 1551" xfId="23445"/>
    <cellStyle name="Followed Hyperlink 1552" xfId="23446"/>
    <cellStyle name="Followed Hyperlink 1553" xfId="23447"/>
    <cellStyle name="Followed Hyperlink 1554" xfId="23448"/>
    <cellStyle name="Followed Hyperlink 1555" xfId="23449"/>
    <cellStyle name="Followed Hyperlink 1556" xfId="23450"/>
    <cellStyle name="Followed Hyperlink 1557" xfId="23451"/>
    <cellStyle name="Followed Hyperlink 1558" xfId="23452"/>
    <cellStyle name="Followed Hyperlink 1559" xfId="23453"/>
    <cellStyle name="Followed Hyperlink 156" xfId="23454"/>
    <cellStyle name="Followed Hyperlink 1560" xfId="23455"/>
    <cellStyle name="Followed Hyperlink 1561" xfId="23456"/>
    <cellStyle name="Followed Hyperlink 1562" xfId="23457"/>
    <cellStyle name="Followed Hyperlink 1563" xfId="23458"/>
    <cellStyle name="Followed Hyperlink 1564" xfId="23459"/>
    <cellStyle name="Followed Hyperlink 1565" xfId="23460"/>
    <cellStyle name="Followed Hyperlink 1566" xfId="23461"/>
    <cellStyle name="Followed Hyperlink 1567" xfId="23462"/>
    <cellStyle name="Followed Hyperlink 1568" xfId="23463"/>
    <cellStyle name="Followed Hyperlink 1569" xfId="23464"/>
    <cellStyle name="Followed Hyperlink 157" xfId="23465"/>
    <cellStyle name="Followed Hyperlink 1570" xfId="23466"/>
    <cellStyle name="Followed Hyperlink 1571" xfId="23467"/>
    <cellStyle name="Followed Hyperlink 1572" xfId="23468"/>
    <cellStyle name="Followed Hyperlink 1573" xfId="23469"/>
    <cellStyle name="Followed Hyperlink 1574" xfId="23470"/>
    <cellStyle name="Followed Hyperlink 1575" xfId="23471"/>
    <cellStyle name="Followed Hyperlink 1576" xfId="23472"/>
    <cellStyle name="Followed Hyperlink 1577" xfId="23473"/>
    <cellStyle name="Followed Hyperlink 1578" xfId="23474"/>
    <cellStyle name="Followed Hyperlink 1579" xfId="23475"/>
    <cellStyle name="Followed Hyperlink 158" xfId="23476"/>
    <cellStyle name="Followed Hyperlink 1580" xfId="23477"/>
    <cellStyle name="Followed Hyperlink 1581" xfId="23478"/>
    <cellStyle name="Followed Hyperlink 1582" xfId="23479"/>
    <cellStyle name="Followed Hyperlink 1583" xfId="23480"/>
    <cellStyle name="Followed Hyperlink 1584" xfId="23481"/>
    <cellStyle name="Followed Hyperlink 1585" xfId="23482"/>
    <cellStyle name="Followed Hyperlink 1586" xfId="23483"/>
    <cellStyle name="Followed Hyperlink 1587" xfId="23484"/>
    <cellStyle name="Followed Hyperlink 1588" xfId="23485"/>
    <cellStyle name="Followed Hyperlink 1589" xfId="23486"/>
    <cellStyle name="Followed Hyperlink 159" xfId="23487"/>
    <cellStyle name="Followed Hyperlink 1590" xfId="23488"/>
    <cellStyle name="Followed Hyperlink 1591" xfId="23489"/>
    <cellStyle name="Followed Hyperlink 1592" xfId="23490"/>
    <cellStyle name="Followed Hyperlink 1593" xfId="23491"/>
    <cellStyle name="Followed Hyperlink 1594" xfId="23492"/>
    <cellStyle name="Followed Hyperlink 1595" xfId="23493"/>
    <cellStyle name="Followed Hyperlink 1596" xfId="23494"/>
    <cellStyle name="Followed Hyperlink 1597" xfId="23495"/>
    <cellStyle name="Followed Hyperlink 1598" xfId="23496"/>
    <cellStyle name="Followed Hyperlink 1599" xfId="23497"/>
    <cellStyle name="Followed Hyperlink 16" xfId="23498"/>
    <cellStyle name="Followed Hyperlink 160" xfId="23499"/>
    <cellStyle name="Followed Hyperlink 1600" xfId="23500"/>
    <cellStyle name="Followed Hyperlink 1601" xfId="23501"/>
    <cellStyle name="Followed Hyperlink 1602" xfId="23502"/>
    <cellStyle name="Followed Hyperlink 1603" xfId="23503"/>
    <cellStyle name="Followed Hyperlink 1604" xfId="23504"/>
    <cellStyle name="Followed Hyperlink 1605" xfId="23505"/>
    <cellStyle name="Followed Hyperlink 1606" xfId="23506"/>
    <cellStyle name="Followed Hyperlink 1607" xfId="23507"/>
    <cellStyle name="Followed Hyperlink 1608" xfId="23508"/>
    <cellStyle name="Followed Hyperlink 1609" xfId="23509"/>
    <cellStyle name="Followed Hyperlink 161" xfId="23510"/>
    <cellStyle name="Followed Hyperlink 1610" xfId="23511"/>
    <cellStyle name="Followed Hyperlink 1611" xfId="23512"/>
    <cellStyle name="Followed Hyperlink 1612" xfId="23513"/>
    <cellStyle name="Followed Hyperlink 1613" xfId="23514"/>
    <cellStyle name="Followed Hyperlink 1614" xfId="23515"/>
    <cellStyle name="Followed Hyperlink 1615" xfId="23516"/>
    <cellStyle name="Followed Hyperlink 1616" xfId="23517"/>
    <cellStyle name="Followed Hyperlink 1617" xfId="23518"/>
    <cellStyle name="Followed Hyperlink 1618" xfId="23519"/>
    <cellStyle name="Followed Hyperlink 1619" xfId="23520"/>
    <cellStyle name="Followed Hyperlink 162" xfId="23521"/>
    <cellStyle name="Followed Hyperlink 1620" xfId="23522"/>
    <cellStyle name="Followed Hyperlink 1621" xfId="23523"/>
    <cellStyle name="Followed Hyperlink 1622" xfId="23524"/>
    <cellStyle name="Followed Hyperlink 1623" xfId="23525"/>
    <cellStyle name="Followed Hyperlink 1624" xfId="23526"/>
    <cellStyle name="Followed Hyperlink 1625" xfId="23527"/>
    <cellStyle name="Followed Hyperlink 1626" xfId="23528"/>
    <cellStyle name="Followed Hyperlink 1627" xfId="23529"/>
    <cellStyle name="Followed Hyperlink 1628" xfId="23530"/>
    <cellStyle name="Followed Hyperlink 1629" xfId="23531"/>
    <cellStyle name="Followed Hyperlink 163" xfId="23532"/>
    <cellStyle name="Followed Hyperlink 1630" xfId="23533"/>
    <cellStyle name="Followed Hyperlink 1631" xfId="23534"/>
    <cellStyle name="Followed Hyperlink 1632" xfId="23535"/>
    <cellStyle name="Followed Hyperlink 1633" xfId="23536"/>
    <cellStyle name="Followed Hyperlink 1634" xfId="23537"/>
    <cellStyle name="Followed Hyperlink 1635" xfId="23538"/>
    <cellStyle name="Followed Hyperlink 1636" xfId="23539"/>
    <cellStyle name="Followed Hyperlink 1637" xfId="23540"/>
    <cellStyle name="Followed Hyperlink 1638" xfId="23541"/>
    <cellStyle name="Followed Hyperlink 1639" xfId="23542"/>
    <cellStyle name="Followed Hyperlink 164" xfId="23543"/>
    <cellStyle name="Followed Hyperlink 1640" xfId="23544"/>
    <cellStyle name="Followed Hyperlink 1641" xfId="23545"/>
    <cellStyle name="Followed Hyperlink 1642" xfId="23546"/>
    <cellStyle name="Followed Hyperlink 1643" xfId="23547"/>
    <cellStyle name="Followed Hyperlink 1644" xfId="23548"/>
    <cellStyle name="Followed Hyperlink 1645" xfId="23549"/>
    <cellStyle name="Followed Hyperlink 1646" xfId="23550"/>
    <cellStyle name="Followed Hyperlink 1647" xfId="23551"/>
    <cellStyle name="Followed Hyperlink 1648" xfId="23552"/>
    <cellStyle name="Followed Hyperlink 1649" xfId="23553"/>
    <cellStyle name="Followed Hyperlink 165" xfId="23554"/>
    <cellStyle name="Followed Hyperlink 1650" xfId="23555"/>
    <cellStyle name="Followed Hyperlink 1651" xfId="23556"/>
    <cellStyle name="Followed Hyperlink 1652" xfId="23557"/>
    <cellStyle name="Followed Hyperlink 1653" xfId="23558"/>
    <cellStyle name="Followed Hyperlink 1654" xfId="23559"/>
    <cellStyle name="Followed Hyperlink 1655" xfId="23560"/>
    <cellStyle name="Followed Hyperlink 1656" xfId="23561"/>
    <cellStyle name="Followed Hyperlink 1657" xfId="23562"/>
    <cellStyle name="Followed Hyperlink 1658" xfId="23563"/>
    <cellStyle name="Followed Hyperlink 1659" xfId="23564"/>
    <cellStyle name="Followed Hyperlink 166" xfId="23565"/>
    <cellStyle name="Followed Hyperlink 1660" xfId="23566"/>
    <cellStyle name="Followed Hyperlink 1661" xfId="23567"/>
    <cellStyle name="Followed Hyperlink 1662" xfId="23568"/>
    <cellStyle name="Followed Hyperlink 1663" xfId="23569"/>
    <cellStyle name="Followed Hyperlink 1664" xfId="23570"/>
    <cellStyle name="Followed Hyperlink 1665" xfId="23571"/>
    <cellStyle name="Followed Hyperlink 1666" xfId="23572"/>
    <cellStyle name="Followed Hyperlink 1667" xfId="23573"/>
    <cellStyle name="Followed Hyperlink 1668" xfId="23574"/>
    <cellStyle name="Followed Hyperlink 1669" xfId="23575"/>
    <cellStyle name="Followed Hyperlink 167" xfId="23576"/>
    <cellStyle name="Followed Hyperlink 1670" xfId="23577"/>
    <cellStyle name="Followed Hyperlink 1671" xfId="23578"/>
    <cellStyle name="Followed Hyperlink 1672" xfId="23579"/>
    <cellStyle name="Followed Hyperlink 1673" xfId="23580"/>
    <cellStyle name="Followed Hyperlink 1674" xfId="23581"/>
    <cellStyle name="Followed Hyperlink 1675" xfId="23582"/>
    <cellStyle name="Followed Hyperlink 1676" xfId="23583"/>
    <cellStyle name="Followed Hyperlink 1677" xfId="23584"/>
    <cellStyle name="Followed Hyperlink 1678" xfId="23585"/>
    <cellStyle name="Followed Hyperlink 1679" xfId="23586"/>
    <cellStyle name="Followed Hyperlink 168" xfId="23587"/>
    <cellStyle name="Followed Hyperlink 1680" xfId="23588"/>
    <cellStyle name="Followed Hyperlink 1681" xfId="23589"/>
    <cellStyle name="Followed Hyperlink 1682" xfId="23590"/>
    <cellStyle name="Followed Hyperlink 1683" xfId="23591"/>
    <cellStyle name="Followed Hyperlink 1684" xfId="23592"/>
    <cellStyle name="Followed Hyperlink 1685" xfId="23593"/>
    <cellStyle name="Followed Hyperlink 1686" xfId="23594"/>
    <cellStyle name="Followed Hyperlink 1687" xfId="23595"/>
    <cellStyle name="Followed Hyperlink 1688" xfId="23596"/>
    <cellStyle name="Followed Hyperlink 1689" xfId="23597"/>
    <cellStyle name="Followed Hyperlink 169" xfId="23598"/>
    <cellStyle name="Followed Hyperlink 1690" xfId="23599"/>
    <cellStyle name="Followed Hyperlink 1691" xfId="23600"/>
    <cellStyle name="Followed Hyperlink 1692" xfId="23601"/>
    <cellStyle name="Followed Hyperlink 1693" xfId="23602"/>
    <cellStyle name="Followed Hyperlink 1694" xfId="23603"/>
    <cellStyle name="Followed Hyperlink 1695" xfId="23604"/>
    <cellStyle name="Followed Hyperlink 1696" xfId="23605"/>
    <cellStyle name="Followed Hyperlink 1697" xfId="23606"/>
    <cellStyle name="Followed Hyperlink 1698" xfId="23607"/>
    <cellStyle name="Followed Hyperlink 1699" xfId="23608"/>
    <cellStyle name="Followed Hyperlink 17" xfId="23609"/>
    <cellStyle name="Followed Hyperlink 170" xfId="23610"/>
    <cellStyle name="Followed Hyperlink 1700" xfId="23611"/>
    <cellStyle name="Followed Hyperlink 1701" xfId="23612"/>
    <cellStyle name="Followed Hyperlink 1702" xfId="23613"/>
    <cellStyle name="Followed Hyperlink 1703" xfId="23614"/>
    <cellStyle name="Followed Hyperlink 1704" xfId="23615"/>
    <cellStyle name="Followed Hyperlink 1705" xfId="23616"/>
    <cellStyle name="Followed Hyperlink 1706" xfId="23617"/>
    <cellStyle name="Followed Hyperlink 1707" xfId="23618"/>
    <cellStyle name="Followed Hyperlink 1708" xfId="23619"/>
    <cellStyle name="Followed Hyperlink 1709" xfId="23620"/>
    <cellStyle name="Followed Hyperlink 171" xfId="23621"/>
    <cellStyle name="Followed Hyperlink 1710" xfId="23622"/>
    <cellStyle name="Followed Hyperlink 1711" xfId="23623"/>
    <cellStyle name="Followed Hyperlink 1712" xfId="23624"/>
    <cellStyle name="Followed Hyperlink 1713" xfId="23625"/>
    <cellStyle name="Followed Hyperlink 1714" xfId="23626"/>
    <cellStyle name="Followed Hyperlink 1715" xfId="23627"/>
    <cellStyle name="Followed Hyperlink 1716" xfId="23628"/>
    <cellStyle name="Followed Hyperlink 1717" xfId="23629"/>
    <cellStyle name="Followed Hyperlink 1718" xfId="23630"/>
    <cellStyle name="Followed Hyperlink 1719" xfId="23631"/>
    <cellStyle name="Followed Hyperlink 172" xfId="23632"/>
    <cellStyle name="Followed Hyperlink 1720" xfId="23633"/>
    <cellStyle name="Followed Hyperlink 1721" xfId="23634"/>
    <cellStyle name="Followed Hyperlink 1722" xfId="23635"/>
    <cellStyle name="Followed Hyperlink 1723" xfId="23636"/>
    <cellStyle name="Followed Hyperlink 1724" xfId="23637"/>
    <cellStyle name="Followed Hyperlink 1725" xfId="23638"/>
    <cellStyle name="Followed Hyperlink 1726" xfId="23639"/>
    <cellStyle name="Followed Hyperlink 1727" xfId="23640"/>
    <cellStyle name="Followed Hyperlink 1728" xfId="23641"/>
    <cellStyle name="Followed Hyperlink 1729" xfId="23642"/>
    <cellStyle name="Followed Hyperlink 173" xfId="23643"/>
    <cellStyle name="Followed Hyperlink 1730" xfId="23644"/>
    <cellStyle name="Followed Hyperlink 1731" xfId="23645"/>
    <cellStyle name="Followed Hyperlink 1732" xfId="23646"/>
    <cellStyle name="Followed Hyperlink 1733" xfId="23647"/>
    <cellStyle name="Followed Hyperlink 1734" xfId="23648"/>
    <cellStyle name="Followed Hyperlink 1735" xfId="23649"/>
    <cellStyle name="Followed Hyperlink 1736" xfId="23650"/>
    <cellStyle name="Followed Hyperlink 1737" xfId="23651"/>
    <cellStyle name="Followed Hyperlink 1738" xfId="23652"/>
    <cellStyle name="Followed Hyperlink 1739" xfId="23653"/>
    <cellStyle name="Followed Hyperlink 174" xfId="23654"/>
    <cellStyle name="Followed Hyperlink 1740" xfId="23655"/>
    <cellStyle name="Followed Hyperlink 1741" xfId="23656"/>
    <cellStyle name="Followed Hyperlink 1742" xfId="23657"/>
    <cellStyle name="Followed Hyperlink 1743" xfId="23658"/>
    <cellStyle name="Followed Hyperlink 1744" xfId="23659"/>
    <cellStyle name="Followed Hyperlink 1745" xfId="23660"/>
    <cellStyle name="Followed Hyperlink 175" xfId="23661"/>
    <cellStyle name="Followed Hyperlink 176" xfId="23662"/>
    <cellStyle name="Followed Hyperlink 177" xfId="23663"/>
    <cellStyle name="Followed Hyperlink 178" xfId="23664"/>
    <cellStyle name="Followed Hyperlink 179" xfId="23665"/>
    <cellStyle name="Followed Hyperlink 18" xfId="23666"/>
    <cellStyle name="Followed Hyperlink 180" xfId="23667"/>
    <cellStyle name="Followed Hyperlink 181" xfId="23668"/>
    <cellStyle name="Followed Hyperlink 182" xfId="23669"/>
    <cellStyle name="Followed Hyperlink 183" xfId="23670"/>
    <cellStyle name="Followed Hyperlink 184" xfId="23671"/>
    <cellStyle name="Followed Hyperlink 185" xfId="23672"/>
    <cellStyle name="Followed Hyperlink 186" xfId="23673"/>
    <cellStyle name="Followed Hyperlink 187" xfId="23674"/>
    <cellStyle name="Followed Hyperlink 188" xfId="23675"/>
    <cellStyle name="Followed Hyperlink 189" xfId="23676"/>
    <cellStyle name="Followed Hyperlink 19" xfId="23677"/>
    <cellStyle name="Followed Hyperlink 190" xfId="23678"/>
    <cellStyle name="Followed Hyperlink 191" xfId="23679"/>
    <cellStyle name="Followed Hyperlink 192" xfId="23680"/>
    <cellStyle name="Followed Hyperlink 193" xfId="23681"/>
    <cellStyle name="Followed Hyperlink 194" xfId="23682"/>
    <cellStyle name="Followed Hyperlink 195" xfId="23683"/>
    <cellStyle name="Followed Hyperlink 196" xfId="23684"/>
    <cellStyle name="Followed Hyperlink 197" xfId="23685"/>
    <cellStyle name="Followed Hyperlink 198" xfId="23686"/>
    <cellStyle name="Followed Hyperlink 199" xfId="23687"/>
    <cellStyle name="Followed Hyperlink 2" xfId="23688"/>
    <cellStyle name="Followed Hyperlink 20" xfId="23689"/>
    <cellStyle name="Followed Hyperlink 200" xfId="23690"/>
    <cellStyle name="Followed Hyperlink 201" xfId="23691"/>
    <cellStyle name="Followed Hyperlink 202" xfId="23692"/>
    <cellStyle name="Followed Hyperlink 203" xfId="23693"/>
    <cellStyle name="Followed Hyperlink 204" xfId="23694"/>
    <cellStyle name="Followed Hyperlink 205" xfId="23695"/>
    <cellStyle name="Followed Hyperlink 206" xfId="23696"/>
    <cellStyle name="Followed Hyperlink 207" xfId="23697"/>
    <cellStyle name="Followed Hyperlink 208" xfId="23698"/>
    <cellStyle name="Followed Hyperlink 209" xfId="23699"/>
    <cellStyle name="Followed Hyperlink 21" xfId="23700"/>
    <cellStyle name="Followed Hyperlink 210" xfId="23701"/>
    <cellStyle name="Followed Hyperlink 211" xfId="23702"/>
    <cellStyle name="Followed Hyperlink 212" xfId="23703"/>
    <cellStyle name="Followed Hyperlink 213" xfId="23704"/>
    <cellStyle name="Followed Hyperlink 214" xfId="23705"/>
    <cellStyle name="Followed Hyperlink 215" xfId="23706"/>
    <cellStyle name="Followed Hyperlink 216" xfId="23707"/>
    <cellStyle name="Followed Hyperlink 217" xfId="23708"/>
    <cellStyle name="Followed Hyperlink 218" xfId="23709"/>
    <cellStyle name="Followed Hyperlink 219" xfId="23710"/>
    <cellStyle name="Followed Hyperlink 22" xfId="23711"/>
    <cellStyle name="Followed Hyperlink 220" xfId="23712"/>
    <cellStyle name="Followed Hyperlink 221" xfId="23713"/>
    <cellStyle name="Followed Hyperlink 222" xfId="23714"/>
    <cellStyle name="Followed Hyperlink 223" xfId="23715"/>
    <cellStyle name="Followed Hyperlink 224" xfId="23716"/>
    <cellStyle name="Followed Hyperlink 225" xfId="23717"/>
    <cellStyle name="Followed Hyperlink 226" xfId="23718"/>
    <cellStyle name="Followed Hyperlink 227" xfId="23719"/>
    <cellStyle name="Followed Hyperlink 228" xfId="23720"/>
    <cellStyle name="Followed Hyperlink 229" xfId="23721"/>
    <cellStyle name="Followed Hyperlink 23" xfId="23722"/>
    <cellStyle name="Followed Hyperlink 230" xfId="23723"/>
    <cellStyle name="Followed Hyperlink 231" xfId="23724"/>
    <cellStyle name="Followed Hyperlink 232" xfId="23725"/>
    <cellStyle name="Followed Hyperlink 233" xfId="23726"/>
    <cellStyle name="Followed Hyperlink 234" xfId="23727"/>
    <cellStyle name="Followed Hyperlink 235" xfId="23728"/>
    <cellStyle name="Followed Hyperlink 236" xfId="23729"/>
    <cellStyle name="Followed Hyperlink 237" xfId="23730"/>
    <cellStyle name="Followed Hyperlink 238" xfId="23731"/>
    <cellStyle name="Followed Hyperlink 239" xfId="23732"/>
    <cellStyle name="Followed Hyperlink 24" xfId="23733"/>
    <cellStyle name="Followed Hyperlink 240" xfId="23734"/>
    <cellStyle name="Followed Hyperlink 241" xfId="23735"/>
    <cellStyle name="Followed Hyperlink 242" xfId="23736"/>
    <cellStyle name="Followed Hyperlink 243" xfId="23737"/>
    <cellStyle name="Followed Hyperlink 244" xfId="23738"/>
    <cellStyle name="Followed Hyperlink 245" xfId="23739"/>
    <cellStyle name="Followed Hyperlink 246" xfId="23740"/>
    <cellStyle name="Followed Hyperlink 247" xfId="23741"/>
    <cellStyle name="Followed Hyperlink 248" xfId="23742"/>
    <cellStyle name="Followed Hyperlink 249" xfId="23743"/>
    <cellStyle name="Followed Hyperlink 25" xfId="23744"/>
    <cellStyle name="Followed Hyperlink 250" xfId="23745"/>
    <cellStyle name="Followed Hyperlink 251" xfId="23746"/>
    <cellStyle name="Followed Hyperlink 252" xfId="23747"/>
    <cellStyle name="Followed Hyperlink 253" xfId="23748"/>
    <cellStyle name="Followed Hyperlink 254" xfId="23749"/>
    <cellStyle name="Followed Hyperlink 255" xfId="23750"/>
    <cellStyle name="Followed Hyperlink 256" xfId="23751"/>
    <cellStyle name="Followed Hyperlink 257" xfId="23752"/>
    <cellStyle name="Followed Hyperlink 258" xfId="23753"/>
    <cellStyle name="Followed Hyperlink 259" xfId="23754"/>
    <cellStyle name="Followed Hyperlink 26" xfId="23755"/>
    <cellStyle name="Followed Hyperlink 260" xfId="23756"/>
    <cellStyle name="Followed Hyperlink 261" xfId="23757"/>
    <cellStyle name="Followed Hyperlink 262" xfId="23758"/>
    <cellStyle name="Followed Hyperlink 263" xfId="23759"/>
    <cellStyle name="Followed Hyperlink 264" xfId="23760"/>
    <cellStyle name="Followed Hyperlink 265" xfId="23761"/>
    <cellStyle name="Followed Hyperlink 266" xfId="23762"/>
    <cellStyle name="Followed Hyperlink 267" xfId="23763"/>
    <cellStyle name="Followed Hyperlink 268" xfId="23764"/>
    <cellStyle name="Followed Hyperlink 269" xfId="23765"/>
    <cellStyle name="Followed Hyperlink 27" xfId="23766"/>
    <cellStyle name="Followed Hyperlink 270" xfId="23767"/>
    <cellStyle name="Followed Hyperlink 271" xfId="23768"/>
    <cellStyle name="Followed Hyperlink 272" xfId="23769"/>
    <cellStyle name="Followed Hyperlink 273" xfId="23770"/>
    <cellStyle name="Followed Hyperlink 274" xfId="23771"/>
    <cellStyle name="Followed Hyperlink 275" xfId="23772"/>
    <cellStyle name="Followed Hyperlink 276" xfId="23773"/>
    <cellStyle name="Followed Hyperlink 277" xfId="23774"/>
    <cellStyle name="Followed Hyperlink 278" xfId="23775"/>
    <cellStyle name="Followed Hyperlink 279" xfId="23776"/>
    <cellStyle name="Followed Hyperlink 28" xfId="23777"/>
    <cellStyle name="Followed Hyperlink 280" xfId="23778"/>
    <cellStyle name="Followed Hyperlink 281" xfId="23779"/>
    <cellStyle name="Followed Hyperlink 282" xfId="23780"/>
    <cellStyle name="Followed Hyperlink 283" xfId="23781"/>
    <cellStyle name="Followed Hyperlink 284" xfId="23782"/>
    <cellStyle name="Followed Hyperlink 285" xfId="23783"/>
    <cellStyle name="Followed Hyperlink 286" xfId="23784"/>
    <cellStyle name="Followed Hyperlink 287" xfId="23785"/>
    <cellStyle name="Followed Hyperlink 288" xfId="23786"/>
    <cellStyle name="Followed Hyperlink 289" xfId="23787"/>
    <cellStyle name="Followed Hyperlink 29" xfId="23788"/>
    <cellStyle name="Followed Hyperlink 290" xfId="23789"/>
    <cellStyle name="Followed Hyperlink 291" xfId="23790"/>
    <cellStyle name="Followed Hyperlink 292" xfId="23791"/>
    <cellStyle name="Followed Hyperlink 293" xfId="23792"/>
    <cellStyle name="Followed Hyperlink 294" xfId="23793"/>
    <cellStyle name="Followed Hyperlink 295" xfId="23794"/>
    <cellStyle name="Followed Hyperlink 296" xfId="23795"/>
    <cellStyle name="Followed Hyperlink 297" xfId="23796"/>
    <cellStyle name="Followed Hyperlink 298" xfId="23797"/>
    <cellStyle name="Followed Hyperlink 299" xfId="23798"/>
    <cellStyle name="Followed Hyperlink 3" xfId="23799"/>
    <cellStyle name="Followed Hyperlink 30" xfId="23800"/>
    <cellStyle name="Followed Hyperlink 300" xfId="23801"/>
    <cellStyle name="Followed Hyperlink 301" xfId="23802"/>
    <cellStyle name="Followed Hyperlink 302" xfId="23803"/>
    <cellStyle name="Followed Hyperlink 303" xfId="23804"/>
    <cellStyle name="Followed Hyperlink 304" xfId="23805"/>
    <cellStyle name="Followed Hyperlink 305" xfId="23806"/>
    <cellStyle name="Followed Hyperlink 306" xfId="23807"/>
    <cellStyle name="Followed Hyperlink 307" xfId="23808"/>
    <cellStyle name="Followed Hyperlink 308" xfId="23809"/>
    <cellStyle name="Followed Hyperlink 309" xfId="23810"/>
    <cellStyle name="Followed Hyperlink 31" xfId="23811"/>
    <cellStyle name="Followed Hyperlink 310" xfId="23812"/>
    <cellStyle name="Followed Hyperlink 311" xfId="23813"/>
    <cellStyle name="Followed Hyperlink 312" xfId="23814"/>
    <cellStyle name="Followed Hyperlink 313" xfId="23815"/>
    <cellStyle name="Followed Hyperlink 314" xfId="23816"/>
    <cellStyle name="Followed Hyperlink 315" xfId="23817"/>
    <cellStyle name="Followed Hyperlink 316" xfId="23818"/>
    <cellStyle name="Followed Hyperlink 317" xfId="23819"/>
    <cellStyle name="Followed Hyperlink 318" xfId="23820"/>
    <cellStyle name="Followed Hyperlink 319" xfId="23821"/>
    <cellStyle name="Followed Hyperlink 32" xfId="23822"/>
    <cellStyle name="Followed Hyperlink 320" xfId="23823"/>
    <cellStyle name="Followed Hyperlink 321" xfId="23824"/>
    <cellStyle name="Followed Hyperlink 322" xfId="23825"/>
    <cellStyle name="Followed Hyperlink 323" xfId="23826"/>
    <cellStyle name="Followed Hyperlink 324" xfId="23827"/>
    <cellStyle name="Followed Hyperlink 325" xfId="23828"/>
    <cellStyle name="Followed Hyperlink 326" xfId="23829"/>
    <cellStyle name="Followed Hyperlink 327" xfId="23830"/>
    <cellStyle name="Followed Hyperlink 328" xfId="23831"/>
    <cellStyle name="Followed Hyperlink 329" xfId="23832"/>
    <cellStyle name="Followed Hyperlink 33" xfId="23833"/>
    <cellStyle name="Followed Hyperlink 330" xfId="23834"/>
    <cellStyle name="Followed Hyperlink 331" xfId="23835"/>
    <cellStyle name="Followed Hyperlink 332" xfId="23836"/>
    <cellStyle name="Followed Hyperlink 333" xfId="23837"/>
    <cellStyle name="Followed Hyperlink 334" xfId="23838"/>
    <cellStyle name="Followed Hyperlink 335" xfId="23839"/>
    <cellStyle name="Followed Hyperlink 336" xfId="23840"/>
    <cellStyle name="Followed Hyperlink 337" xfId="23841"/>
    <cellStyle name="Followed Hyperlink 338" xfId="23842"/>
    <cellStyle name="Followed Hyperlink 339" xfId="23843"/>
    <cellStyle name="Followed Hyperlink 34" xfId="23844"/>
    <cellStyle name="Followed Hyperlink 340" xfId="23845"/>
    <cellStyle name="Followed Hyperlink 341" xfId="23846"/>
    <cellStyle name="Followed Hyperlink 342" xfId="23847"/>
    <cellStyle name="Followed Hyperlink 343" xfId="23848"/>
    <cellStyle name="Followed Hyperlink 344" xfId="23849"/>
    <cellStyle name="Followed Hyperlink 345" xfId="23850"/>
    <cellStyle name="Followed Hyperlink 346" xfId="23851"/>
    <cellStyle name="Followed Hyperlink 347" xfId="23852"/>
    <cellStyle name="Followed Hyperlink 348" xfId="23853"/>
    <cellStyle name="Followed Hyperlink 349" xfId="23854"/>
    <cellStyle name="Followed Hyperlink 35" xfId="23855"/>
    <cellStyle name="Followed Hyperlink 350" xfId="23856"/>
    <cellStyle name="Followed Hyperlink 351" xfId="23857"/>
    <cellStyle name="Followed Hyperlink 352" xfId="23858"/>
    <cellStyle name="Followed Hyperlink 353" xfId="23859"/>
    <cellStyle name="Followed Hyperlink 354" xfId="23860"/>
    <cellStyle name="Followed Hyperlink 355" xfId="23861"/>
    <cellStyle name="Followed Hyperlink 356" xfId="23862"/>
    <cellStyle name="Followed Hyperlink 357" xfId="23863"/>
    <cellStyle name="Followed Hyperlink 358" xfId="23864"/>
    <cellStyle name="Followed Hyperlink 359" xfId="23865"/>
    <cellStyle name="Followed Hyperlink 36" xfId="23866"/>
    <cellStyle name="Followed Hyperlink 360" xfId="23867"/>
    <cellStyle name="Followed Hyperlink 361" xfId="23868"/>
    <cellStyle name="Followed Hyperlink 362" xfId="23869"/>
    <cellStyle name="Followed Hyperlink 363" xfId="23870"/>
    <cellStyle name="Followed Hyperlink 364" xfId="23871"/>
    <cellStyle name="Followed Hyperlink 365" xfId="23872"/>
    <cellStyle name="Followed Hyperlink 366" xfId="23873"/>
    <cellStyle name="Followed Hyperlink 367" xfId="23874"/>
    <cellStyle name="Followed Hyperlink 368" xfId="23875"/>
    <cellStyle name="Followed Hyperlink 369" xfId="23876"/>
    <cellStyle name="Followed Hyperlink 37" xfId="23877"/>
    <cellStyle name="Followed Hyperlink 370" xfId="23878"/>
    <cellStyle name="Followed Hyperlink 371" xfId="23879"/>
    <cellStyle name="Followed Hyperlink 372" xfId="23880"/>
    <cellStyle name="Followed Hyperlink 373" xfId="23881"/>
    <cellStyle name="Followed Hyperlink 374" xfId="23882"/>
    <cellStyle name="Followed Hyperlink 375" xfId="23883"/>
    <cellStyle name="Followed Hyperlink 376" xfId="23884"/>
    <cellStyle name="Followed Hyperlink 377" xfId="23885"/>
    <cellStyle name="Followed Hyperlink 378" xfId="23886"/>
    <cellStyle name="Followed Hyperlink 379" xfId="23887"/>
    <cellStyle name="Followed Hyperlink 38" xfId="23888"/>
    <cellStyle name="Followed Hyperlink 380" xfId="23889"/>
    <cellStyle name="Followed Hyperlink 381" xfId="23890"/>
    <cellStyle name="Followed Hyperlink 382" xfId="23891"/>
    <cellStyle name="Followed Hyperlink 383" xfId="23892"/>
    <cellStyle name="Followed Hyperlink 384" xfId="23893"/>
    <cellStyle name="Followed Hyperlink 385" xfId="23894"/>
    <cellStyle name="Followed Hyperlink 386" xfId="23895"/>
    <cellStyle name="Followed Hyperlink 387" xfId="23896"/>
    <cellStyle name="Followed Hyperlink 388" xfId="23897"/>
    <cellStyle name="Followed Hyperlink 389" xfId="23898"/>
    <cellStyle name="Followed Hyperlink 39" xfId="23899"/>
    <cellStyle name="Followed Hyperlink 390" xfId="23900"/>
    <cellStyle name="Followed Hyperlink 391" xfId="23901"/>
    <cellStyle name="Followed Hyperlink 392" xfId="23902"/>
    <cellStyle name="Followed Hyperlink 393" xfId="23903"/>
    <cellStyle name="Followed Hyperlink 394" xfId="23904"/>
    <cellStyle name="Followed Hyperlink 395" xfId="23905"/>
    <cellStyle name="Followed Hyperlink 396" xfId="23906"/>
    <cellStyle name="Followed Hyperlink 397" xfId="23907"/>
    <cellStyle name="Followed Hyperlink 398" xfId="23908"/>
    <cellStyle name="Followed Hyperlink 399" xfId="23909"/>
    <cellStyle name="Followed Hyperlink 4" xfId="23910"/>
    <cellStyle name="Followed Hyperlink 40" xfId="23911"/>
    <cellStyle name="Followed Hyperlink 400" xfId="23912"/>
    <cellStyle name="Followed Hyperlink 401" xfId="23913"/>
    <cellStyle name="Followed Hyperlink 402" xfId="23914"/>
    <cellStyle name="Followed Hyperlink 403" xfId="23915"/>
    <cellStyle name="Followed Hyperlink 404" xfId="23916"/>
    <cellStyle name="Followed Hyperlink 405" xfId="23917"/>
    <cellStyle name="Followed Hyperlink 406" xfId="23918"/>
    <cellStyle name="Followed Hyperlink 407" xfId="23919"/>
    <cellStyle name="Followed Hyperlink 408" xfId="23920"/>
    <cellStyle name="Followed Hyperlink 409" xfId="23921"/>
    <cellStyle name="Followed Hyperlink 41" xfId="23922"/>
    <cellStyle name="Followed Hyperlink 410" xfId="23923"/>
    <cellStyle name="Followed Hyperlink 411" xfId="23924"/>
    <cellStyle name="Followed Hyperlink 412" xfId="23925"/>
    <cellStyle name="Followed Hyperlink 413" xfId="23926"/>
    <cellStyle name="Followed Hyperlink 414" xfId="23927"/>
    <cellStyle name="Followed Hyperlink 415" xfId="23928"/>
    <cellStyle name="Followed Hyperlink 416" xfId="23929"/>
    <cellStyle name="Followed Hyperlink 417" xfId="23930"/>
    <cellStyle name="Followed Hyperlink 418" xfId="23931"/>
    <cellStyle name="Followed Hyperlink 419" xfId="23932"/>
    <cellStyle name="Followed Hyperlink 42" xfId="23933"/>
    <cellStyle name="Followed Hyperlink 420" xfId="23934"/>
    <cellStyle name="Followed Hyperlink 421" xfId="23935"/>
    <cellStyle name="Followed Hyperlink 422" xfId="23936"/>
    <cellStyle name="Followed Hyperlink 423" xfId="23937"/>
    <cellStyle name="Followed Hyperlink 424" xfId="23938"/>
    <cellStyle name="Followed Hyperlink 425" xfId="23939"/>
    <cellStyle name="Followed Hyperlink 426" xfId="23940"/>
    <cellStyle name="Followed Hyperlink 427" xfId="23941"/>
    <cellStyle name="Followed Hyperlink 428" xfId="23942"/>
    <cellStyle name="Followed Hyperlink 429" xfId="23943"/>
    <cellStyle name="Followed Hyperlink 43" xfId="23944"/>
    <cellStyle name="Followed Hyperlink 430" xfId="23945"/>
    <cellStyle name="Followed Hyperlink 431" xfId="23946"/>
    <cellStyle name="Followed Hyperlink 432" xfId="23947"/>
    <cellStyle name="Followed Hyperlink 433" xfId="23948"/>
    <cellStyle name="Followed Hyperlink 434" xfId="23949"/>
    <cellStyle name="Followed Hyperlink 435" xfId="23950"/>
    <cellStyle name="Followed Hyperlink 436" xfId="23951"/>
    <cellStyle name="Followed Hyperlink 437" xfId="23952"/>
    <cellStyle name="Followed Hyperlink 438" xfId="23953"/>
    <cellStyle name="Followed Hyperlink 439" xfId="23954"/>
    <cellStyle name="Followed Hyperlink 44" xfId="23955"/>
    <cellStyle name="Followed Hyperlink 440" xfId="23956"/>
    <cellStyle name="Followed Hyperlink 441" xfId="23957"/>
    <cellStyle name="Followed Hyperlink 442" xfId="23958"/>
    <cellStyle name="Followed Hyperlink 443" xfId="23959"/>
    <cellStyle name="Followed Hyperlink 444" xfId="23960"/>
    <cellStyle name="Followed Hyperlink 445" xfId="23961"/>
    <cellStyle name="Followed Hyperlink 446" xfId="23962"/>
    <cellStyle name="Followed Hyperlink 447" xfId="23963"/>
    <cellStyle name="Followed Hyperlink 448" xfId="23964"/>
    <cellStyle name="Followed Hyperlink 449" xfId="23965"/>
    <cellStyle name="Followed Hyperlink 45" xfId="23966"/>
    <cellStyle name="Followed Hyperlink 450" xfId="23967"/>
    <cellStyle name="Followed Hyperlink 451" xfId="23968"/>
    <cellStyle name="Followed Hyperlink 452" xfId="23969"/>
    <cellStyle name="Followed Hyperlink 453" xfId="23970"/>
    <cellStyle name="Followed Hyperlink 454" xfId="23971"/>
    <cellStyle name="Followed Hyperlink 455" xfId="23972"/>
    <cellStyle name="Followed Hyperlink 456" xfId="23973"/>
    <cellStyle name="Followed Hyperlink 457" xfId="23974"/>
    <cellStyle name="Followed Hyperlink 458" xfId="23975"/>
    <cellStyle name="Followed Hyperlink 459" xfId="23976"/>
    <cellStyle name="Followed Hyperlink 46" xfId="23977"/>
    <cellStyle name="Followed Hyperlink 460" xfId="23978"/>
    <cellStyle name="Followed Hyperlink 461" xfId="23979"/>
    <cellStyle name="Followed Hyperlink 462" xfId="23980"/>
    <cellStyle name="Followed Hyperlink 463" xfId="23981"/>
    <cellStyle name="Followed Hyperlink 464" xfId="23982"/>
    <cellStyle name="Followed Hyperlink 465" xfId="23983"/>
    <cellStyle name="Followed Hyperlink 466" xfId="23984"/>
    <cellStyle name="Followed Hyperlink 467" xfId="23985"/>
    <cellStyle name="Followed Hyperlink 468" xfId="23986"/>
    <cellStyle name="Followed Hyperlink 469" xfId="23987"/>
    <cellStyle name="Followed Hyperlink 47" xfId="23988"/>
    <cellStyle name="Followed Hyperlink 470" xfId="23989"/>
    <cellStyle name="Followed Hyperlink 471" xfId="23990"/>
    <cellStyle name="Followed Hyperlink 472" xfId="23991"/>
    <cellStyle name="Followed Hyperlink 473" xfId="23992"/>
    <cellStyle name="Followed Hyperlink 474" xfId="23993"/>
    <cellStyle name="Followed Hyperlink 475" xfId="23994"/>
    <cellStyle name="Followed Hyperlink 476" xfId="23995"/>
    <cellStyle name="Followed Hyperlink 477" xfId="23996"/>
    <cellStyle name="Followed Hyperlink 478" xfId="23997"/>
    <cellStyle name="Followed Hyperlink 479" xfId="23998"/>
    <cellStyle name="Followed Hyperlink 48" xfId="23999"/>
    <cellStyle name="Followed Hyperlink 480" xfId="24000"/>
    <cellStyle name="Followed Hyperlink 481" xfId="24001"/>
    <cellStyle name="Followed Hyperlink 482" xfId="24002"/>
    <cellStyle name="Followed Hyperlink 483" xfId="24003"/>
    <cellStyle name="Followed Hyperlink 484" xfId="24004"/>
    <cellStyle name="Followed Hyperlink 485" xfId="24005"/>
    <cellStyle name="Followed Hyperlink 486" xfId="24006"/>
    <cellStyle name="Followed Hyperlink 487" xfId="24007"/>
    <cellStyle name="Followed Hyperlink 488" xfId="24008"/>
    <cellStyle name="Followed Hyperlink 489" xfId="24009"/>
    <cellStyle name="Followed Hyperlink 49" xfId="24010"/>
    <cellStyle name="Followed Hyperlink 490" xfId="24011"/>
    <cellStyle name="Followed Hyperlink 491" xfId="24012"/>
    <cellStyle name="Followed Hyperlink 492" xfId="24013"/>
    <cellStyle name="Followed Hyperlink 493" xfId="24014"/>
    <cellStyle name="Followed Hyperlink 494" xfId="24015"/>
    <cellStyle name="Followed Hyperlink 495" xfId="24016"/>
    <cellStyle name="Followed Hyperlink 496" xfId="24017"/>
    <cellStyle name="Followed Hyperlink 497" xfId="24018"/>
    <cellStyle name="Followed Hyperlink 498" xfId="24019"/>
    <cellStyle name="Followed Hyperlink 499" xfId="24020"/>
    <cellStyle name="Followed Hyperlink 5" xfId="24021"/>
    <cellStyle name="Followed Hyperlink 50" xfId="24022"/>
    <cellStyle name="Followed Hyperlink 500" xfId="24023"/>
    <cellStyle name="Followed Hyperlink 501" xfId="24024"/>
    <cellStyle name="Followed Hyperlink 502" xfId="24025"/>
    <cellStyle name="Followed Hyperlink 503" xfId="24026"/>
    <cellStyle name="Followed Hyperlink 504" xfId="24027"/>
    <cellStyle name="Followed Hyperlink 505" xfId="24028"/>
    <cellStyle name="Followed Hyperlink 506" xfId="24029"/>
    <cellStyle name="Followed Hyperlink 507" xfId="24030"/>
    <cellStyle name="Followed Hyperlink 508" xfId="24031"/>
    <cellStyle name="Followed Hyperlink 509" xfId="24032"/>
    <cellStyle name="Followed Hyperlink 51" xfId="24033"/>
    <cellStyle name="Followed Hyperlink 510" xfId="24034"/>
    <cellStyle name="Followed Hyperlink 511" xfId="24035"/>
    <cellStyle name="Followed Hyperlink 512" xfId="24036"/>
    <cellStyle name="Followed Hyperlink 513" xfId="24037"/>
    <cellStyle name="Followed Hyperlink 514" xfId="24038"/>
    <cellStyle name="Followed Hyperlink 515" xfId="24039"/>
    <cellStyle name="Followed Hyperlink 516" xfId="24040"/>
    <cellStyle name="Followed Hyperlink 517" xfId="24041"/>
    <cellStyle name="Followed Hyperlink 518" xfId="24042"/>
    <cellStyle name="Followed Hyperlink 519" xfId="24043"/>
    <cellStyle name="Followed Hyperlink 52" xfId="24044"/>
    <cellStyle name="Followed Hyperlink 520" xfId="24045"/>
    <cellStyle name="Followed Hyperlink 521" xfId="24046"/>
    <cellStyle name="Followed Hyperlink 522" xfId="24047"/>
    <cellStyle name="Followed Hyperlink 523" xfId="24048"/>
    <cellStyle name="Followed Hyperlink 524" xfId="24049"/>
    <cellStyle name="Followed Hyperlink 525" xfId="24050"/>
    <cellStyle name="Followed Hyperlink 526" xfId="24051"/>
    <cellStyle name="Followed Hyperlink 527" xfId="24052"/>
    <cellStyle name="Followed Hyperlink 528" xfId="24053"/>
    <cellStyle name="Followed Hyperlink 529" xfId="24054"/>
    <cellStyle name="Followed Hyperlink 53" xfId="24055"/>
    <cellStyle name="Followed Hyperlink 530" xfId="24056"/>
    <cellStyle name="Followed Hyperlink 531" xfId="24057"/>
    <cellStyle name="Followed Hyperlink 532" xfId="24058"/>
    <cellStyle name="Followed Hyperlink 533" xfId="24059"/>
    <cellStyle name="Followed Hyperlink 534" xfId="24060"/>
    <cellStyle name="Followed Hyperlink 535" xfId="24061"/>
    <cellStyle name="Followed Hyperlink 536" xfId="24062"/>
    <cellStyle name="Followed Hyperlink 537" xfId="24063"/>
    <cellStyle name="Followed Hyperlink 538" xfId="24064"/>
    <cellStyle name="Followed Hyperlink 539" xfId="24065"/>
    <cellStyle name="Followed Hyperlink 54" xfId="24066"/>
    <cellStyle name="Followed Hyperlink 540" xfId="24067"/>
    <cellStyle name="Followed Hyperlink 541" xfId="24068"/>
    <cellStyle name="Followed Hyperlink 542" xfId="24069"/>
    <cellStyle name="Followed Hyperlink 543" xfId="24070"/>
    <cellStyle name="Followed Hyperlink 544" xfId="24071"/>
    <cellStyle name="Followed Hyperlink 545" xfId="24072"/>
    <cellStyle name="Followed Hyperlink 546" xfId="24073"/>
    <cellStyle name="Followed Hyperlink 547" xfId="24074"/>
    <cellStyle name="Followed Hyperlink 548" xfId="24075"/>
    <cellStyle name="Followed Hyperlink 549" xfId="24076"/>
    <cellStyle name="Followed Hyperlink 55" xfId="24077"/>
    <cellStyle name="Followed Hyperlink 550" xfId="24078"/>
    <cellStyle name="Followed Hyperlink 551" xfId="24079"/>
    <cellStyle name="Followed Hyperlink 552" xfId="24080"/>
    <cellStyle name="Followed Hyperlink 553" xfId="24081"/>
    <cellStyle name="Followed Hyperlink 554" xfId="24082"/>
    <cellStyle name="Followed Hyperlink 555" xfId="24083"/>
    <cellStyle name="Followed Hyperlink 556" xfId="24084"/>
    <cellStyle name="Followed Hyperlink 557" xfId="24085"/>
    <cellStyle name="Followed Hyperlink 558" xfId="24086"/>
    <cellStyle name="Followed Hyperlink 559" xfId="24087"/>
    <cellStyle name="Followed Hyperlink 56" xfId="24088"/>
    <cellStyle name="Followed Hyperlink 560" xfId="24089"/>
    <cellStyle name="Followed Hyperlink 561" xfId="24090"/>
    <cellStyle name="Followed Hyperlink 562" xfId="24091"/>
    <cellStyle name="Followed Hyperlink 563" xfId="24092"/>
    <cellStyle name="Followed Hyperlink 564" xfId="24093"/>
    <cellStyle name="Followed Hyperlink 565" xfId="24094"/>
    <cellStyle name="Followed Hyperlink 566" xfId="24095"/>
    <cellStyle name="Followed Hyperlink 567" xfId="24096"/>
    <cellStyle name="Followed Hyperlink 568" xfId="24097"/>
    <cellStyle name="Followed Hyperlink 569" xfId="24098"/>
    <cellStyle name="Followed Hyperlink 57" xfId="24099"/>
    <cellStyle name="Followed Hyperlink 570" xfId="24100"/>
    <cellStyle name="Followed Hyperlink 571" xfId="24101"/>
    <cellStyle name="Followed Hyperlink 572" xfId="24102"/>
    <cellStyle name="Followed Hyperlink 573" xfId="24103"/>
    <cellStyle name="Followed Hyperlink 574" xfId="24104"/>
    <cellStyle name="Followed Hyperlink 575" xfId="24105"/>
    <cellStyle name="Followed Hyperlink 576" xfId="24106"/>
    <cellStyle name="Followed Hyperlink 577" xfId="24107"/>
    <cellStyle name="Followed Hyperlink 578" xfId="24108"/>
    <cellStyle name="Followed Hyperlink 579" xfId="24109"/>
    <cellStyle name="Followed Hyperlink 58" xfId="24110"/>
    <cellStyle name="Followed Hyperlink 580" xfId="24111"/>
    <cellStyle name="Followed Hyperlink 581" xfId="24112"/>
    <cellStyle name="Followed Hyperlink 582" xfId="24113"/>
    <cellStyle name="Followed Hyperlink 583" xfId="24114"/>
    <cellStyle name="Followed Hyperlink 584" xfId="24115"/>
    <cellStyle name="Followed Hyperlink 585" xfId="24116"/>
    <cellStyle name="Followed Hyperlink 586" xfId="24117"/>
    <cellStyle name="Followed Hyperlink 587" xfId="24118"/>
    <cellStyle name="Followed Hyperlink 588" xfId="24119"/>
    <cellStyle name="Followed Hyperlink 589" xfId="24120"/>
    <cellStyle name="Followed Hyperlink 59" xfId="24121"/>
    <cellStyle name="Followed Hyperlink 590" xfId="24122"/>
    <cellStyle name="Followed Hyperlink 591" xfId="24123"/>
    <cellStyle name="Followed Hyperlink 592" xfId="24124"/>
    <cellStyle name="Followed Hyperlink 593" xfId="24125"/>
    <cellStyle name="Followed Hyperlink 594" xfId="24126"/>
    <cellStyle name="Followed Hyperlink 595" xfId="24127"/>
    <cellStyle name="Followed Hyperlink 596" xfId="24128"/>
    <cellStyle name="Followed Hyperlink 597" xfId="24129"/>
    <cellStyle name="Followed Hyperlink 598" xfId="24130"/>
    <cellStyle name="Followed Hyperlink 599" xfId="24131"/>
    <cellStyle name="Followed Hyperlink 6" xfId="24132"/>
    <cellStyle name="Followed Hyperlink 60" xfId="24133"/>
    <cellStyle name="Followed Hyperlink 600" xfId="24134"/>
    <cellStyle name="Followed Hyperlink 601" xfId="24135"/>
    <cellStyle name="Followed Hyperlink 602" xfId="24136"/>
    <cellStyle name="Followed Hyperlink 603" xfId="24137"/>
    <cellStyle name="Followed Hyperlink 604" xfId="24138"/>
    <cellStyle name="Followed Hyperlink 605" xfId="24139"/>
    <cellStyle name="Followed Hyperlink 606" xfId="24140"/>
    <cellStyle name="Followed Hyperlink 607" xfId="24141"/>
    <cellStyle name="Followed Hyperlink 608" xfId="24142"/>
    <cellStyle name="Followed Hyperlink 609" xfId="24143"/>
    <cellStyle name="Followed Hyperlink 61" xfId="24144"/>
    <cellStyle name="Followed Hyperlink 610" xfId="24145"/>
    <cellStyle name="Followed Hyperlink 611" xfId="24146"/>
    <cellStyle name="Followed Hyperlink 612" xfId="24147"/>
    <cellStyle name="Followed Hyperlink 613" xfId="24148"/>
    <cellStyle name="Followed Hyperlink 614" xfId="24149"/>
    <cellStyle name="Followed Hyperlink 615" xfId="24150"/>
    <cellStyle name="Followed Hyperlink 616" xfId="24151"/>
    <cellStyle name="Followed Hyperlink 617" xfId="24152"/>
    <cellStyle name="Followed Hyperlink 618" xfId="24153"/>
    <cellStyle name="Followed Hyperlink 619" xfId="24154"/>
    <cellStyle name="Followed Hyperlink 62" xfId="24155"/>
    <cellStyle name="Followed Hyperlink 620" xfId="24156"/>
    <cellStyle name="Followed Hyperlink 621" xfId="24157"/>
    <cellStyle name="Followed Hyperlink 622" xfId="24158"/>
    <cellStyle name="Followed Hyperlink 623" xfId="24159"/>
    <cellStyle name="Followed Hyperlink 624" xfId="24160"/>
    <cellStyle name="Followed Hyperlink 625" xfId="24161"/>
    <cellStyle name="Followed Hyperlink 626" xfId="24162"/>
    <cellStyle name="Followed Hyperlink 627" xfId="24163"/>
    <cellStyle name="Followed Hyperlink 628" xfId="24164"/>
    <cellStyle name="Followed Hyperlink 629" xfId="24165"/>
    <cellStyle name="Followed Hyperlink 63" xfId="24166"/>
    <cellStyle name="Followed Hyperlink 630" xfId="24167"/>
    <cellStyle name="Followed Hyperlink 631" xfId="24168"/>
    <cellStyle name="Followed Hyperlink 632" xfId="24169"/>
    <cellStyle name="Followed Hyperlink 633" xfId="24170"/>
    <cellStyle name="Followed Hyperlink 634" xfId="24171"/>
    <cellStyle name="Followed Hyperlink 635" xfId="24172"/>
    <cellStyle name="Followed Hyperlink 636" xfId="24173"/>
    <cellStyle name="Followed Hyperlink 637" xfId="24174"/>
    <cellStyle name="Followed Hyperlink 638" xfId="24175"/>
    <cellStyle name="Followed Hyperlink 639" xfId="24176"/>
    <cellStyle name="Followed Hyperlink 64" xfId="24177"/>
    <cellStyle name="Followed Hyperlink 640" xfId="24178"/>
    <cellStyle name="Followed Hyperlink 641" xfId="24179"/>
    <cellStyle name="Followed Hyperlink 642" xfId="24180"/>
    <cellStyle name="Followed Hyperlink 643" xfId="24181"/>
    <cellStyle name="Followed Hyperlink 644" xfId="24182"/>
    <cellStyle name="Followed Hyperlink 645" xfId="24183"/>
    <cellStyle name="Followed Hyperlink 646" xfId="24184"/>
    <cellStyle name="Followed Hyperlink 647" xfId="24185"/>
    <cellStyle name="Followed Hyperlink 648" xfId="24186"/>
    <cellStyle name="Followed Hyperlink 649" xfId="24187"/>
    <cellStyle name="Followed Hyperlink 65" xfId="24188"/>
    <cellStyle name="Followed Hyperlink 650" xfId="24189"/>
    <cellStyle name="Followed Hyperlink 651" xfId="24190"/>
    <cellStyle name="Followed Hyperlink 652" xfId="24191"/>
    <cellStyle name="Followed Hyperlink 653" xfId="24192"/>
    <cellStyle name="Followed Hyperlink 654" xfId="24193"/>
    <cellStyle name="Followed Hyperlink 655" xfId="24194"/>
    <cellStyle name="Followed Hyperlink 656" xfId="24195"/>
    <cellStyle name="Followed Hyperlink 657" xfId="24196"/>
    <cellStyle name="Followed Hyperlink 658" xfId="24197"/>
    <cellStyle name="Followed Hyperlink 659" xfId="24198"/>
    <cellStyle name="Followed Hyperlink 66" xfId="24199"/>
    <cellStyle name="Followed Hyperlink 660" xfId="24200"/>
    <cellStyle name="Followed Hyperlink 661" xfId="24201"/>
    <cellStyle name="Followed Hyperlink 662" xfId="24202"/>
    <cellStyle name="Followed Hyperlink 663" xfId="24203"/>
    <cellStyle name="Followed Hyperlink 664" xfId="24204"/>
    <cellStyle name="Followed Hyperlink 665" xfId="24205"/>
    <cellStyle name="Followed Hyperlink 666" xfId="24206"/>
    <cellStyle name="Followed Hyperlink 667" xfId="24207"/>
    <cellStyle name="Followed Hyperlink 668" xfId="24208"/>
    <cellStyle name="Followed Hyperlink 669" xfId="24209"/>
    <cellStyle name="Followed Hyperlink 67" xfId="24210"/>
    <cellStyle name="Followed Hyperlink 670" xfId="24211"/>
    <cellStyle name="Followed Hyperlink 671" xfId="24212"/>
    <cellStyle name="Followed Hyperlink 672" xfId="24213"/>
    <cellStyle name="Followed Hyperlink 673" xfId="24214"/>
    <cellStyle name="Followed Hyperlink 674" xfId="24215"/>
    <cellStyle name="Followed Hyperlink 675" xfId="24216"/>
    <cellStyle name="Followed Hyperlink 676" xfId="24217"/>
    <cellStyle name="Followed Hyperlink 677" xfId="24218"/>
    <cellStyle name="Followed Hyperlink 678" xfId="24219"/>
    <cellStyle name="Followed Hyperlink 679" xfId="24220"/>
    <cellStyle name="Followed Hyperlink 68" xfId="24221"/>
    <cellStyle name="Followed Hyperlink 680" xfId="24222"/>
    <cellStyle name="Followed Hyperlink 681" xfId="24223"/>
    <cellStyle name="Followed Hyperlink 682" xfId="24224"/>
    <cellStyle name="Followed Hyperlink 683" xfId="24225"/>
    <cellStyle name="Followed Hyperlink 684" xfId="24226"/>
    <cellStyle name="Followed Hyperlink 685" xfId="24227"/>
    <cellStyle name="Followed Hyperlink 686" xfId="24228"/>
    <cellStyle name="Followed Hyperlink 687" xfId="24229"/>
    <cellStyle name="Followed Hyperlink 688" xfId="24230"/>
    <cellStyle name="Followed Hyperlink 689" xfId="24231"/>
    <cellStyle name="Followed Hyperlink 69" xfId="24232"/>
    <cellStyle name="Followed Hyperlink 690" xfId="24233"/>
    <cellStyle name="Followed Hyperlink 691" xfId="24234"/>
    <cellStyle name="Followed Hyperlink 692" xfId="24235"/>
    <cellStyle name="Followed Hyperlink 693" xfId="24236"/>
    <cellStyle name="Followed Hyperlink 694" xfId="24237"/>
    <cellStyle name="Followed Hyperlink 695" xfId="24238"/>
    <cellStyle name="Followed Hyperlink 696" xfId="24239"/>
    <cellStyle name="Followed Hyperlink 697" xfId="24240"/>
    <cellStyle name="Followed Hyperlink 698" xfId="24241"/>
    <cellStyle name="Followed Hyperlink 699" xfId="24242"/>
    <cellStyle name="Followed Hyperlink 7" xfId="24243"/>
    <cellStyle name="Followed Hyperlink 70" xfId="24244"/>
    <cellStyle name="Followed Hyperlink 700" xfId="24245"/>
    <cellStyle name="Followed Hyperlink 701" xfId="24246"/>
    <cellStyle name="Followed Hyperlink 702" xfId="24247"/>
    <cellStyle name="Followed Hyperlink 703" xfId="24248"/>
    <cellStyle name="Followed Hyperlink 704" xfId="24249"/>
    <cellStyle name="Followed Hyperlink 705" xfId="24250"/>
    <cellStyle name="Followed Hyperlink 706" xfId="24251"/>
    <cellStyle name="Followed Hyperlink 707" xfId="24252"/>
    <cellStyle name="Followed Hyperlink 708" xfId="24253"/>
    <cellStyle name="Followed Hyperlink 709" xfId="24254"/>
    <cellStyle name="Followed Hyperlink 71" xfId="24255"/>
    <cellStyle name="Followed Hyperlink 710" xfId="24256"/>
    <cellStyle name="Followed Hyperlink 711" xfId="24257"/>
    <cellStyle name="Followed Hyperlink 712" xfId="24258"/>
    <cellStyle name="Followed Hyperlink 713" xfId="24259"/>
    <cellStyle name="Followed Hyperlink 714" xfId="24260"/>
    <cellStyle name="Followed Hyperlink 715" xfId="24261"/>
    <cellStyle name="Followed Hyperlink 716" xfId="24262"/>
    <cellStyle name="Followed Hyperlink 717" xfId="24263"/>
    <cellStyle name="Followed Hyperlink 718" xfId="24264"/>
    <cellStyle name="Followed Hyperlink 719" xfId="24265"/>
    <cellStyle name="Followed Hyperlink 72" xfId="24266"/>
    <cellStyle name="Followed Hyperlink 720" xfId="24267"/>
    <cellStyle name="Followed Hyperlink 721" xfId="24268"/>
    <cellStyle name="Followed Hyperlink 722" xfId="24269"/>
    <cellStyle name="Followed Hyperlink 723" xfId="24270"/>
    <cellStyle name="Followed Hyperlink 724" xfId="24271"/>
    <cellStyle name="Followed Hyperlink 725" xfId="24272"/>
    <cellStyle name="Followed Hyperlink 726" xfId="24273"/>
    <cellStyle name="Followed Hyperlink 727" xfId="24274"/>
    <cellStyle name="Followed Hyperlink 728" xfId="24275"/>
    <cellStyle name="Followed Hyperlink 729" xfId="24276"/>
    <cellStyle name="Followed Hyperlink 73" xfId="24277"/>
    <cellStyle name="Followed Hyperlink 730" xfId="24278"/>
    <cellStyle name="Followed Hyperlink 731" xfId="24279"/>
    <cellStyle name="Followed Hyperlink 732" xfId="24280"/>
    <cellStyle name="Followed Hyperlink 733" xfId="24281"/>
    <cellStyle name="Followed Hyperlink 734" xfId="24282"/>
    <cellStyle name="Followed Hyperlink 735" xfId="24283"/>
    <cellStyle name="Followed Hyperlink 736" xfId="24284"/>
    <cellStyle name="Followed Hyperlink 737" xfId="24285"/>
    <cellStyle name="Followed Hyperlink 738" xfId="24286"/>
    <cellStyle name="Followed Hyperlink 739" xfId="24287"/>
    <cellStyle name="Followed Hyperlink 74" xfId="24288"/>
    <cellStyle name="Followed Hyperlink 740" xfId="24289"/>
    <cellStyle name="Followed Hyperlink 741" xfId="24290"/>
    <cellStyle name="Followed Hyperlink 742" xfId="24291"/>
    <cellStyle name="Followed Hyperlink 743" xfId="24292"/>
    <cellStyle name="Followed Hyperlink 744" xfId="24293"/>
    <cellStyle name="Followed Hyperlink 745" xfId="24294"/>
    <cellStyle name="Followed Hyperlink 746" xfId="24295"/>
    <cellStyle name="Followed Hyperlink 747" xfId="24296"/>
    <cellStyle name="Followed Hyperlink 748" xfId="24297"/>
    <cellStyle name="Followed Hyperlink 749" xfId="24298"/>
    <cellStyle name="Followed Hyperlink 75" xfId="24299"/>
    <cellStyle name="Followed Hyperlink 750" xfId="24300"/>
    <cellStyle name="Followed Hyperlink 751" xfId="24301"/>
    <cellStyle name="Followed Hyperlink 752" xfId="24302"/>
    <cellStyle name="Followed Hyperlink 753" xfId="24303"/>
    <cellStyle name="Followed Hyperlink 754" xfId="24304"/>
    <cellStyle name="Followed Hyperlink 755" xfId="24305"/>
    <cellStyle name="Followed Hyperlink 756" xfId="24306"/>
    <cellStyle name="Followed Hyperlink 757" xfId="24307"/>
    <cellStyle name="Followed Hyperlink 758" xfId="24308"/>
    <cellStyle name="Followed Hyperlink 759" xfId="24309"/>
    <cellStyle name="Followed Hyperlink 76" xfId="24310"/>
    <cellStyle name="Followed Hyperlink 760" xfId="24311"/>
    <cellStyle name="Followed Hyperlink 761" xfId="24312"/>
    <cellStyle name="Followed Hyperlink 762" xfId="24313"/>
    <cellStyle name="Followed Hyperlink 763" xfId="24314"/>
    <cellStyle name="Followed Hyperlink 764" xfId="24315"/>
    <cellStyle name="Followed Hyperlink 765" xfId="24316"/>
    <cellStyle name="Followed Hyperlink 766" xfId="24317"/>
    <cellStyle name="Followed Hyperlink 767" xfId="24318"/>
    <cellStyle name="Followed Hyperlink 768" xfId="24319"/>
    <cellStyle name="Followed Hyperlink 769" xfId="24320"/>
    <cellStyle name="Followed Hyperlink 77" xfId="24321"/>
    <cellStyle name="Followed Hyperlink 770" xfId="24322"/>
    <cellStyle name="Followed Hyperlink 771" xfId="24323"/>
    <cellStyle name="Followed Hyperlink 772" xfId="24324"/>
    <cellStyle name="Followed Hyperlink 773" xfId="24325"/>
    <cellStyle name="Followed Hyperlink 774" xfId="24326"/>
    <cellStyle name="Followed Hyperlink 775" xfId="24327"/>
    <cellStyle name="Followed Hyperlink 776" xfId="24328"/>
    <cellStyle name="Followed Hyperlink 777" xfId="24329"/>
    <cellStyle name="Followed Hyperlink 778" xfId="24330"/>
    <cellStyle name="Followed Hyperlink 779" xfId="24331"/>
    <cellStyle name="Followed Hyperlink 78" xfId="24332"/>
    <cellStyle name="Followed Hyperlink 780" xfId="24333"/>
    <cellStyle name="Followed Hyperlink 781" xfId="24334"/>
    <cellStyle name="Followed Hyperlink 782" xfId="24335"/>
    <cellStyle name="Followed Hyperlink 783" xfId="24336"/>
    <cellStyle name="Followed Hyperlink 784" xfId="24337"/>
    <cellStyle name="Followed Hyperlink 785" xfId="24338"/>
    <cellStyle name="Followed Hyperlink 786" xfId="24339"/>
    <cellStyle name="Followed Hyperlink 787" xfId="24340"/>
    <cellStyle name="Followed Hyperlink 788" xfId="24341"/>
    <cellStyle name="Followed Hyperlink 789" xfId="24342"/>
    <cellStyle name="Followed Hyperlink 79" xfId="24343"/>
    <cellStyle name="Followed Hyperlink 790" xfId="24344"/>
    <cellStyle name="Followed Hyperlink 791" xfId="24345"/>
    <cellStyle name="Followed Hyperlink 792" xfId="24346"/>
    <cellStyle name="Followed Hyperlink 793" xfId="24347"/>
    <cellStyle name="Followed Hyperlink 794" xfId="24348"/>
    <cellStyle name="Followed Hyperlink 795" xfId="24349"/>
    <cellStyle name="Followed Hyperlink 796" xfId="24350"/>
    <cellStyle name="Followed Hyperlink 797" xfId="24351"/>
    <cellStyle name="Followed Hyperlink 798" xfId="24352"/>
    <cellStyle name="Followed Hyperlink 799" xfId="24353"/>
    <cellStyle name="Followed Hyperlink 8" xfId="24354"/>
    <cellStyle name="Followed Hyperlink 80" xfId="24355"/>
    <cellStyle name="Followed Hyperlink 800" xfId="24356"/>
    <cellStyle name="Followed Hyperlink 801" xfId="24357"/>
    <cellStyle name="Followed Hyperlink 802" xfId="24358"/>
    <cellStyle name="Followed Hyperlink 803" xfId="24359"/>
    <cellStyle name="Followed Hyperlink 804" xfId="24360"/>
    <cellStyle name="Followed Hyperlink 805" xfId="24361"/>
    <cellStyle name="Followed Hyperlink 806" xfId="24362"/>
    <cellStyle name="Followed Hyperlink 807" xfId="24363"/>
    <cellStyle name="Followed Hyperlink 808" xfId="24364"/>
    <cellStyle name="Followed Hyperlink 809" xfId="24365"/>
    <cellStyle name="Followed Hyperlink 81" xfId="24366"/>
    <cellStyle name="Followed Hyperlink 810" xfId="24367"/>
    <cellStyle name="Followed Hyperlink 811" xfId="24368"/>
    <cellStyle name="Followed Hyperlink 812" xfId="24369"/>
    <cellStyle name="Followed Hyperlink 813" xfId="24370"/>
    <cellStyle name="Followed Hyperlink 814" xfId="24371"/>
    <cellStyle name="Followed Hyperlink 815" xfId="24372"/>
    <cellStyle name="Followed Hyperlink 816" xfId="24373"/>
    <cellStyle name="Followed Hyperlink 817" xfId="24374"/>
    <cellStyle name="Followed Hyperlink 818" xfId="24375"/>
    <cellStyle name="Followed Hyperlink 819" xfId="24376"/>
    <cellStyle name="Followed Hyperlink 82" xfId="24377"/>
    <cellStyle name="Followed Hyperlink 820" xfId="24378"/>
    <cellStyle name="Followed Hyperlink 821" xfId="24379"/>
    <cellStyle name="Followed Hyperlink 822" xfId="24380"/>
    <cellStyle name="Followed Hyperlink 823" xfId="24381"/>
    <cellStyle name="Followed Hyperlink 824" xfId="24382"/>
    <cellStyle name="Followed Hyperlink 825" xfId="24383"/>
    <cellStyle name="Followed Hyperlink 826" xfId="24384"/>
    <cellStyle name="Followed Hyperlink 827" xfId="24385"/>
    <cellStyle name="Followed Hyperlink 828" xfId="24386"/>
    <cellStyle name="Followed Hyperlink 829" xfId="24387"/>
    <cellStyle name="Followed Hyperlink 83" xfId="24388"/>
    <cellStyle name="Followed Hyperlink 830" xfId="24389"/>
    <cellStyle name="Followed Hyperlink 831" xfId="24390"/>
    <cellStyle name="Followed Hyperlink 832" xfId="24391"/>
    <cellStyle name="Followed Hyperlink 833" xfId="24392"/>
    <cellStyle name="Followed Hyperlink 834" xfId="24393"/>
    <cellStyle name="Followed Hyperlink 835" xfId="24394"/>
    <cellStyle name="Followed Hyperlink 836" xfId="24395"/>
    <cellStyle name="Followed Hyperlink 837" xfId="24396"/>
    <cellStyle name="Followed Hyperlink 838" xfId="24397"/>
    <cellStyle name="Followed Hyperlink 839" xfId="24398"/>
    <cellStyle name="Followed Hyperlink 84" xfId="24399"/>
    <cellStyle name="Followed Hyperlink 840" xfId="24400"/>
    <cellStyle name="Followed Hyperlink 841" xfId="24401"/>
    <cellStyle name="Followed Hyperlink 842" xfId="24402"/>
    <cellStyle name="Followed Hyperlink 843" xfId="24403"/>
    <cellStyle name="Followed Hyperlink 844" xfId="24404"/>
    <cellStyle name="Followed Hyperlink 845" xfId="24405"/>
    <cellStyle name="Followed Hyperlink 846" xfId="24406"/>
    <cellStyle name="Followed Hyperlink 847" xfId="24407"/>
    <cellStyle name="Followed Hyperlink 848" xfId="24408"/>
    <cellStyle name="Followed Hyperlink 849" xfId="24409"/>
    <cellStyle name="Followed Hyperlink 85" xfId="24410"/>
    <cellStyle name="Followed Hyperlink 850" xfId="24411"/>
    <cellStyle name="Followed Hyperlink 851" xfId="24412"/>
    <cellStyle name="Followed Hyperlink 852" xfId="24413"/>
    <cellStyle name="Followed Hyperlink 853" xfId="24414"/>
    <cellStyle name="Followed Hyperlink 854" xfId="24415"/>
    <cellStyle name="Followed Hyperlink 855" xfId="24416"/>
    <cellStyle name="Followed Hyperlink 856" xfId="24417"/>
    <cellStyle name="Followed Hyperlink 857" xfId="24418"/>
    <cellStyle name="Followed Hyperlink 858" xfId="24419"/>
    <cellStyle name="Followed Hyperlink 859" xfId="24420"/>
    <cellStyle name="Followed Hyperlink 86" xfId="24421"/>
    <cellStyle name="Followed Hyperlink 860" xfId="24422"/>
    <cellStyle name="Followed Hyperlink 861" xfId="24423"/>
    <cellStyle name="Followed Hyperlink 862" xfId="24424"/>
    <cellStyle name="Followed Hyperlink 863" xfId="24425"/>
    <cellStyle name="Followed Hyperlink 864" xfId="24426"/>
    <cellStyle name="Followed Hyperlink 865" xfId="24427"/>
    <cellStyle name="Followed Hyperlink 866" xfId="24428"/>
    <cellStyle name="Followed Hyperlink 867" xfId="24429"/>
    <cellStyle name="Followed Hyperlink 868" xfId="24430"/>
    <cellStyle name="Followed Hyperlink 869" xfId="24431"/>
    <cellStyle name="Followed Hyperlink 87" xfId="24432"/>
    <cellStyle name="Followed Hyperlink 870" xfId="24433"/>
    <cellStyle name="Followed Hyperlink 871" xfId="24434"/>
    <cellStyle name="Followed Hyperlink 872" xfId="24435"/>
    <cellStyle name="Followed Hyperlink 873" xfId="24436"/>
    <cellStyle name="Followed Hyperlink 874" xfId="24437"/>
    <cellStyle name="Followed Hyperlink 875" xfId="24438"/>
    <cellStyle name="Followed Hyperlink 876" xfId="24439"/>
    <cellStyle name="Followed Hyperlink 877" xfId="24440"/>
    <cellStyle name="Followed Hyperlink 878" xfId="24441"/>
    <cellStyle name="Followed Hyperlink 879" xfId="24442"/>
    <cellStyle name="Followed Hyperlink 88" xfId="24443"/>
    <cellStyle name="Followed Hyperlink 880" xfId="24444"/>
    <cellStyle name="Followed Hyperlink 881" xfId="24445"/>
    <cellStyle name="Followed Hyperlink 882" xfId="24446"/>
    <cellStyle name="Followed Hyperlink 883" xfId="24447"/>
    <cellStyle name="Followed Hyperlink 884" xfId="24448"/>
    <cellStyle name="Followed Hyperlink 885" xfId="24449"/>
    <cellStyle name="Followed Hyperlink 886" xfId="24450"/>
    <cellStyle name="Followed Hyperlink 887" xfId="24451"/>
    <cellStyle name="Followed Hyperlink 888" xfId="24452"/>
    <cellStyle name="Followed Hyperlink 889" xfId="24453"/>
    <cellStyle name="Followed Hyperlink 89" xfId="24454"/>
    <cellStyle name="Followed Hyperlink 890" xfId="24455"/>
    <cellStyle name="Followed Hyperlink 891" xfId="24456"/>
    <cellStyle name="Followed Hyperlink 892" xfId="24457"/>
    <cellStyle name="Followed Hyperlink 893" xfId="24458"/>
    <cellStyle name="Followed Hyperlink 894" xfId="24459"/>
    <cellStyle name="Followed Hyperlink 895" xfId="24460"/>
    <cellStyle name="Followed Hyperlink 896" xfId="24461"/>
    <cellStyle name="Followed Hyperlink 897" xfId="24462"/>
    <cellStyle name="Followed Hyperlink 898" xfId="24463"/>
    <cellStyle name="Followed Hyperlink 899" xfId="24464"/>
    <cellStyle name="Followed Hyperlink 9" xfId="24465"/>
    <cellStyle name="Followed Hyperlink 90" xfId="24466"/>
    <cellStyle name="Followed Hyperlink 900" xfId="24467"/>
    <cellStyle name="Followed Hyperlink 901" xfId="24468"/>
    <cellStyle name="Followed Hyperlink 902" xfId="24469"/>
    <cellStyle name="Followed Hyperlink 903" xfId="24470"/>
    <cellStyle name="Followed Hyperlink 904" xfId="24471"/>
    <cellStyle name="Followed Hyperlink 905" xfId="24472"/>
    <cellStyle name="Followed Hyperlink 906" xfId="24473"/>
    <cellStyle name="Followed Hyperlink 907" xfId="24474"/>
    <cellStyle name="Followed Hyperlink 908" xfId="24475"/>
    <cellStyle name="Followed Hyperlink 909" xfId="24476"/>
    <cellStyle name="Followed Hyperlink 91" xfId="24477"/>
    <cellStyle name="Followed Hyperlink 910" xfId="24478"/>
    <cellStyle name="Followed Hyperlink 911" xfId="24479"/>
    <cellStyle name="Followed Hyperlink 912" xfId="24480"/>
    <cellStyle name="Followed Hyperlink 913" xfId="24481"/>
    <cellStyle name="Followed Hyperlink 914" xfId="24482"/>
    <cellStyle name="Followed Hyperlink 915" xfId="24483"/>
    <cellStyle name="Followed Hyperlink 916" xfId="24484"/>
    <cellStyle name="Followed Hyperlink 917" xfId="24485"/>
    <cellStyle name="Followed Hyperlink 918" xfId="24486"/>
    <cellStyle name="Followed Hyperlink 919" xfId="24487"/>
    <cellStyle name="Followed Hyperlink 92" xfId="24488"/>
    <cellStyle name="Followed Hyperlink 920" xfId="24489"/>
    <cellStyle name="Followed Hyperlink 921" xfId="24490"/>
    <cellStyle name="Followed Hyperlink 922" xfId="24491"/>
    <cellStyle name="Followed Hyperlink 923" xfId="24492"/>
    <cellStyle name="Followed Hyperlink 924" xfId="24493"/>
    <cellStyle name="Followed Hyperlink 925" xfId="24494"/>
    <cellStyle name="Followed Hyperlink 926" xfId="24495"/>
    <cellStyle name="Followed Hyperlink 927" xfId="24496"/>
    <cellStyle name="Followed Hyperlink 928" xfId="24497"/>
    <cellStyle name="Followed Hyperlink 929" xfId="24498"/>
    <cellStyle name="Followed Hyperlink 93" xfId="24499"/>
    <cellStyle name="Followed Hyperlink 930" xfId="24500"/>
    <cellStyle name="Followed Hyperlink 931" xfId="24501"/>
    <cellStyle name="Followed Hyperlink 932" xfId="24502"/>
    <cellStyle name="Followed Hyperlink 933" xfId="24503"/>
    <cellStyle name="Followed Hyperlink 934" xfId="24504"/>
    <cellStyle name="Followed Hyperlink 935" xfId="24505"/>
    <cellStyle name="Followed Hyperlink 936" xfId="24506"/>
    <cellStyle name="Followed Hyperlink 937" xfId="24507"/>
    <cellStyle name="Followed Hyperlink 938" xfId="24508"/>
    <cellStyle name="Followed Hyperlink 939" xfId="24509"/>
    <cellStyle name="Followed Hyperlink 94" xfId="24510"/>
    <cellStyle name="Followed Hyperlink 940" xfId="24511"/>
    <cellStyle name="Followed Hyperlink 941" xfId="24512"/>
    <cellStyle name="Followed Hyperlink 942" xfId="24513"/>
    <cellStyle name="Followed Hyperlink 943" xfId="24514"/>
    <cellStyle name="Followed Hyperlink 944" xfId="24515"/>
    <cellStyle name="Followed Hyperlink 945" xfId="24516"/>
    <cellStyle name="Followed Hyperlink 946" xfId="24517"/>
    <cellStyle name="Followed Hyperlink 947" xfId="24518"/>
    <cellStyle name="Followed Hyperlink 948" xfId="24519"/>
    <cellStyle name="Followed Hyperlink 949" xfId="24520"/>
    <cellStyle name="Followed Hyperlink 95" xfId="24521"/>
    <cellStyle name="Followed Hyperlink 950" xfId="24522"/>
    <cellStyle name="Followed Hyperlink 951" xfId="24523"/>
    <cellStyle name="Followed Hyperlink 952" xfId="24524"/>
    <cellStyle name="Followed Hyperlink 953" xfId="24525"/>
    <cellStyle name="Followed Hyperlink 954" xfId="24526"/>
    <cellStyle name="Followed Hyperlink 955" xfId="24527"/>
    <cellStyle name="Followed Hyperlink 956" xfId="24528"/>
    <cellStyle name="Followed Hyperlink 957" xfId="24529"/>
    <cellStyle name="Followed Hyperlink 958" xfId="24530"/>
    <cellStyle name="Followed Hyperlink 959" xfId="24531"/>
    <cellStyle name="Followed Hyperlink 96" xfId="24532"/>
    <cellStyle name="Followed Hyperlink 960" xfId="24533"/>
    <cellStyle name="Followed Hyperlink 961" xfId="24534"/>
    <cellStyle name="Followed Hyperlink 962" xfId="24535"/>
    <cellStyle name="Followed Hyperlink 963" xfId="24536"/>
    <cellStyle name="Followed Hyperlink 964" xfId="24537"/>
    <cellStyle name="Followed Hyperlink 965" xfId="24538"/>
    <cellStyle name="Followed Hyperlink 966" xfId="24539"/>
    <cellStyle name="Followed Hyperlink 967" xfId="24540"/>
    <cellStyle name="Followed Hyperlink 968" xfId="24541"/>
    <cellStyle name="Followed Hyperlink 969" xfId="24542"/>
    <cellStyle name="Followed Hyperlink 97" xfId="24543"/>
    <cellStyle name="Followed Hyperlink 970" xfId="24544"/>
    <cellStyle name="Followed Hyperlink 971" xfId="24545"/>
    <cellStyle name="Followed Hyperlink 972" xfId="24546"/>
    <cellStyle name="Followed Hyperlink 973" xfId="24547"/>
    <cellStyle name="Followed Hyperlink 974" xfId="24548"/>
    <cellStyle name="Followed Hyperlink 975" xfId="24549"/>
    <cellStyle name="Followed Hyperlink 976" xfId="24550"/>
    <cellStyle name="Followed Hyperlink 977" xfId="24551"/>
    <cellStyle name="Followed Hyperlink 978" xfId="24552"/>
    <cellStyle name="Followed Hyperlink 979" xfId="24553"/>
    <cellStyle name="Followed Hyperlink 98" xfId="24554"/>
    <cellStyle name="Followed Hyperlink 980" xfId="24555"/>
    <cellStyle name="Followed Hyperlink 981" xfId="24556"/>
    <cellStyle name="Followed Hyperlink 982" xfId="24557"/>
    <cellStyle name="Followed Hyperlink 983" xfId="24558"/>
    <cellStyle name="Followed Hyperlink 984" xfId="24559"/>
    <cellStyle name="Followed Hyperlink 985" xfId="24560"/>
    <cellStyle name="Followed Hyperlink 986" xfId="24561"/>
    <cellStyle name="Followed Hyperlink 987" xfId="24562"/>
    <cellStyle name="Followed Hyperlink 988" xfId="24563"/>
    <cellStyle name="Followed Hyperlink 989" xfId="24564"/>
    <cellStyle name="Followed Hyperlink 99" xfId="24565"/>
    <cellStyle name="Followed Hyperlink 990" xfId="24566"/>
    <cellStyle name="Followed Hyperlink 991" xfId="24567"/>
    <cellStyle name="Followed Hyperlink 992" xfId="24568"/>
    <cellStyle name="Followed Hyperlink 993" xfId="24569"/>
    <cellStyle name="Followed Hyperlink 994" xfId="24570"/>
    <cellStyle name="Followed Hyperlink 995" xfId="24571"/>
    <cellStyle name="Followed Hyperlink 996" xfId="24572"/>
    <cellStyle name="Followed Hyperlink 997" xfId="24573"/>
    <cellStyle name="Followed Hyperlink 998" xfId="24574"/>
    <cellStyle name="Followed Hyperlink 999" xfId="24575"/>
    <cellStyle name="Footnote" xfId="2316"/>
    <cellStyle name="General" xfId="2317"/>
    <cellStyle name="General 2" xfId="2318"/>
    <cellStyle name="General 2 2" xfId="4107"/>
    <cellStyle name="General 2 3" xfId="5352"/>
    <cellStyle name="Good 10" xfId="2319"/>
    <cellStyle name="Good 11" xfId="2320"/>
    <cellStyle name="Good 12" xfId="2321"/>
    <cellStyle name="Good 13" xfId="2322"/>
    <cellStyle name="Good 14" xfId="2323"/>
    <cellStyle name="Good 15" xfId="2324"/>
    <cellStyle name="Good 16" xfId="2325"/>
    <cellStyle name="Good 17" xfId="2326"/>
    <cellStyle name="Good 18" xfId="2327"/>
    <cellStyle name="Good 19" xfId="2328"/>
    <cellStyle name="Good 2" xfId="2329"/>
    <cellStyle name="Good 2 2" xfId="2330"/>
    <cellStyle name="Good 2 2 2" xfId="4108"/>
    <cellStyle name="Good 2 2 3" xfId="5380"/>
    <cellStyle name="Good 2 2 4" xfId="6491"/>
    <cellStyle name="Good 20" xfId="2331"/>
    <cellStyle name="Good 21" xfId="2332"/>
    <cellStyle name="Good 22" xfId="2333"/>
    <cellStyle name="Good 23" xfId="13624"/>
    <cellStyle name="Good 3" xfId="2334"/>
    <cellStyle name="Good 3 2" xfId="4109"/>
    <cellStyle name="Good 3 3" xfId="5381"/>
    <cellStyle name="Good 3 4" xfId="6492"/>
    <cellStyle name="Good 4" xfId="2335"/>
    <cellStyle name="Good 4 2" xfId="2336"/>
    <cellStyle name="Good 4 3" xfId="4110"/>
    <cellStyle name="Good 4 4" xfId="5379"/>
    <cellStyle name="Good 4 5" xfId="6493"/>
    <cellStyle name="Good 5" xfId="2337"/>
    <cellStyle name="Good 6" xfId="2338"/>
    <cellStyle name="Good 7" xfId="2339"/>
    <cellStyle name="Good 8" xfId="2340"/>
    <cellStyle name="Good 9" xfId="2341"/>
    <cellStyle name="Grey" xfId="2342"/>
    <cellStyle name="Grey 2" xfId="9602"/>
    <cellStyle name="Hard Percent" xfId="2343"/>
    <cellStyle name="HEADER" xfId="2344"/>
    <cellStyle name="Heading" xfId="2345"/>
    <cellStyle name="Heading 1 10" xfId="2346"/>
    <cellStyle name="Heading 1 11" xfId="2347"/>
    <cellStyle name="Heading 1 12" xfId="2348"/>
    <cellStyle name="Heading 1 13" xfId="2349"/>
    <cellStyle name="Heading 1 14" xfId="2350"/>
    <cellStyle name="Heading 1 15" xfId="2351"/>
    <cellStyle name="Heading 1 16" xfId="2352"/>
    <cellStyle name="Heading 1 17" xfId="2353"/>
    <cellStyle name="Heading 1 18" xfId="2354"/>
    <cellStyle name="Heading 1 19" xfId="2355"/>
    <cellStyle name="Heading 1 2" xfId="2356"/>
    <cellStyle name="Heading 1 2 2" xfId="2357"/>
    <cellStyle name="Heading 1 2 3" xfId="4111"/>
    <cellStyle name="Heading 1 2 4" xfId="6494"/>
    <cellStyle name="Heading 1 20" xfId="2358"/>
    <cellStyle name="Heading 1 21" xfId="2359"/>
    <cellStyle name="Heading 1 22" xfId="2360"/>
    <cellStyle name="Heading 1 23" xfId="13625"/>
    <cellStyle name="Heading 1 3" xfId="2361"/>
    <cellStyle name="Heading 1 3 2" xfId="4112"/>
    <cellStyle name="Heading 1 3 3" xfId="5383"/>
    <cellStyle name="Heading 1 3 4" xfId="6495"/>
    <cellStyle name="Heading 1 4" xfId="2362"/>
    <cellStyle name="Heading 1 4 2" xfId="2363"/>
    <cellStyle name="Heading 1 4 3" xfId="4113"/>
    <cellStyle name="Heading 1 4 4" xfId="5382"/>
    <cellStyle name="Heading 1 4 5" xfId="6496"/>
    <cellStyle name="Heading 1 5" xfId="2364"/>
    <cellStyle name="Heading 1 6" xfId="2365"/>
    <cellStyle name="Heading 1 7" xfId="2366"/>
    <cellStyle name="Heading 1 8" xfId="2367"/>
    <cellStyle name="Heading 1 9" xfId="2368"/>
    <cellStyle name="Heading 2 10" xfId="2369"/>
    <cellStyle name="Heading 2 11" xfId="2370"/>
    <cellStyle name="Heading 2 12" xfId="2371"/>
    <cellStyle name="Heading 2 13" xfId="2372"/>
    <cellStyle name="Heading 2 14" xfId="2373"/>
    <cellStyle name="Heading 2 15" xfId="2374"/>
    <cellStyle name="Heading 2 16" xfId="2375"/>
    <cellStyle name="Heading 2 17" xfId="2376"/>
    <cellStyle name="Heading 2 18" xfId="2377"/>
    <cellStyle name="Heading 2 19" xfId="2378"/>
    <cellStyle name="Heading 2 2" xfId="2379"/>
    <cellStyle name="Heading 2 2 2" xfId="2380"/>
    <cellStyle name="Heading 2 2 3" xfId="4114"/>
    <cellStyle name="Heading 2 2 4" xfId="6497"/>
    <cellStyle name="Heading 2 20" xfId="2381"/>
    <cellStyle name="Heading 2 21" xfId="2382"/>
    <cellStyle name="Heading 2 22" xfId="2383"/>
    <cellStyle name="Heading 2 23" xfId="13626"/>
    <cellStyle name="Heading 2 3" xfId="2384"/>
    <cellStyle name="Heading 2 3 2" xfId="4115"/>
    <cellStyle name="Heading 2 3 3" xfId="5385"/>
    <cellStyle name="Heading 2 3 4" xfId="6498"/>
    <cellStyle name="Heading 2 4" xfId="2385"/>
    <cellStyle name="Heading 2 4 2" xfId="2386"/>
    <cellStyle name="Heading 2 4 3" xfId="4116"/>
    <cellStyle name="Heading 2 4 4" xfId="5384"/>
    <cellStyle name="Heading 2 4 5" xfId="6499"/>
    <cellStyle name="Heading 2 5" xfId="2387"/>
    <cellStyle name="Heading 2 6" xfId="2388"/>
    <cellStyle name="Heading 2 7" xfId="2389"/>
    <cellStyle name="Heading 2 8" xfId="2390"/>
    <cellStyle name="Heading 2 9" xfId="2391"/>
    <cellStyle name="Heading 3 10" xfId="2392"/>
    <cellStyle name="Heading 3 11" xfId="2393"/>
    <cellStyle name="Heading 3 12" xfId="2394"/>
    <cellStyle name="Heading 3 13" xfId="2395"/>
    <cellStyle name="Heading 3 14" xfId="2396"/>
    <cellStyle name="Heading 3 15" xfId="2397"/>
    <cellStyle name="Heading 3 16" xfId="2398"/>
    <cellStyle name="Heading 3 17" xfId="2399"/>
    <cellStyle name="Heading 3 18" xfId="2400"/>
    <cellStyle name="Heading 3 19" xfId="2401"/>
    <cellStyle name="Heading 3 2" xfId="2402"/>
    <cellStyle name="Heading 3 2 2" xfId="2403"/>
    <cellStyle name="Heading 3 2 3" xfId="4117"/>
    <cellStyle name="Heading 3 2 4" xfId="6500"/>
    <cellStyle name="Heading 3 20" xfId="2404"/>
    <cellStyle name="Heading 3 21" xfId="2405"/>
    <cellStyle name="Heading 3 22" xfId="2406"/>
    <cellStyle name="Heading 3 23" xfId="13627"/>
    <cellStyle name="Heading 3 3" xfId="2407"/>
    <cellStyle name="Heading 3 3 2" xfId="4118"/>
    <cellStyle name="Heading 3 3 3" xfId="5387"/>
    <cellStyle name="Heading 3 3 4" xfId="6501"/>
    <cellStyle name="Heading 3 4" xfId="2408"/>
    <cellStyle name="Heading 3 4 2" xfId="2409"/>
    <cellStyle name="Heading 3 4 3" xfId="4119"/>
    <cellStyle name="Heading 3 4 4" xfId="5386"/>
    <cellStyle name="Heading 3 4 5" xfId="6502"/>
    <cellStyle name="Heading 3 5" xfId="2410"/>
    <cellStyle name="Heading 3 6" xfId="2411"/>
    <cellStyle name="Heading 3 7" xfId="2412"/>
    <cellStyle name="Heading 3 8" xfId="2413"/>
    <cellStyle name="Heading 3 9" xfId="2414"/>
    <cellStyle name="Heading 4 10" xfId="2415"/>
    <cellStyle name="Heading 4 11" xfId="2416"/>
    <cellStyle name="Heading 4 12" xfId="2417"/>
    <cellStyle name="Heading 4 13" xfId="2418"/>
    <cellStyle name="Heading 4 14" xfId="2419"/>
    <cellStyle name="Heading 4 15" xfId="2420"/>
    <cellStyle name="Heading 4 16" xfId="2421"/>
    <cellStyle name="Heading 4 17" xfId="2422"/>
    <cellStyle name="Heading 4 18" xfId="2423"/>
    <cellStyle name="Heading 4 19" xfId="2424"/>
    <cellStyle name="Heading 4 2" xfId="2425"/>
    <cellStyle name="Heading 4 2 2" xfId="2426"/>
    <cellStyle name="Heading 4 2 3" xfId="4120"/>
    <cellStyle name="Heading 4 2 4" xfId="6503"/>
    <cellStyle name="Heading 4 20" xfId="2427"/>
    <cellStyle name="Heading 4 21" xfId="2428"/>
    <cellStyle name="Heading 4 22" xfId="2429"/>
    <cellStyle name="Heading 4 23" xfId="13628"/>
    <cellStyle name="Heading 4 3" xfId="2430"/>
    <cellStyle name="Heading 4 3 2" xfId="4121"/>
    <cellStyle name="Heading 4 3 3" xfId="5389"/>
    <cellStyle name="Heading 4 3 4" xfId="6504"/>
    <cellStyle name="Heading 4 4" xfId="2431"/>
    <cellStyle name="Heading 4 4 2" xfId="2432"/>
    <cellStyle name="Heading 4 4 3" xfId="4122"/>
    <cellStyle name="Heading 4 4 4" xfId="5388"/>
    <cellStyle name="Heading 4 4 5" xfId="6505"/>
    <cellStyle name="Heading 4 5" xfId="2433"/>
    <cellStyle name="Heading 4 6" xfId="2434"/>
    <cellStyle name="Heading 4 7" xfId="2435"/>
    <cellStyle name="Heading 4 8" xfId="2436"/>
    <cellStyle name="Heading 4 9" xfId="2437"/>
    <cellStyle name="Heading1" xfId="2438"/>
    <cellStyle name="Heading1 2" xfId="2439"/>
    <cellStyle name="Heading1 2 2" xfId="9603"/>
    <cellStyle name="Heading1 2 2 2" xfId="17599"/>
    <cellStyle name="Heading1 3" xfId="2440"/>
    <cellStyle name="Heading1 3 2" xfId="14455"/>
    <cellStyle name="Heading1 4" xfId="4123"/>
    <cellStyle name="Heading1 4 2" xfId="9713"/>
    <cellStyle name="Heading1 4 2 2" xfId="17653"/>
    <cellStyle name="Heading1 4 3" xfId="14702"/>
    <cellStyle name="Heading1 5" xfId="13629"/>
    <cellStyle name="Heading2" xfId="2441"/>
    <cellStyle name="Heading2 2" xfId="2442"/>
    <cellStyle name="Heading2 2 2" xfId="9604"/>
    <cellStyle name="Heading2 2 2 2" xfId="17600"/>
    <cellStyle name="Heading2 3" xfId="2443"/>
    <cellStyle name="Heading2 3 2" xfId="14456"/>
    <cellStyle name="Heading2 4" xfId="4124"/>
    <cellStyle name="Heading2 4 2" xfId="9714"/>
    <cellStyle name="Heading2 4 2 2" xfId="17654"/>
    <cellStyle name="Heading2 4 3" xfId="14703"/>
    <cellStyle name="Heading2 5" xfId="13630"/>
    <cellStyle name="Helvetica 9" xfId="2444"/>
    <cellStyle name="Helvetica 9 C" xfId="2445"/>
    <cellStyle name="HIGHLIGHT" xfId="2446"/>
    <cellStyle name="Hyperlink 10" xfId="24576"/>
    <cellStyle name="Hyperlink 100" xfId="24577"/>
    <cellStyle name="Hyperlink 1000" xfId="24578"/>
    <cellStyle name="Hyperlink 1001" xfId="24579"/>
    <cellStyle name="Hyperlink 1002" xfId="24580"/>
    <cellStyle name="Hyperlink 1003" xfId="24581"/>
    <cellStyle name="Hyperlink 1004" xfId="24582"/>
    <cellStyle name="Hyperlink 1005" xfId="24583"/>
    <cellStyle name="Hyperlink 1006" xfId="24584"/>
    <cellStyle name="Hyperlink 1007" xfId="24585"/>
    <cellStyle name="Hyperlink 1008" xfId="24586"/>
    <cellStyle name="Hyperlink 1009" xfId="24587"/>
    <cellStyle name="Hyperlink 101" xfId="24588"/>
    <cellStyle name="Hyperlink 1010" xfId="24589"/>
    <cellStyle name="Hyperlink 1011" xfId="24590"/>
    <cellStyle name="Hyperlink 1012" xfId="24591"/>
    <cellStyle name="Hyperlink 1013" xfId="24592"/>
    <cellStyle name="Hyperlink 1014" xfId="24593"/>
    <cellStyle name="Hyperlink 1015" xfId="24594"/>
    <cellStyle name="Hyperlink 1016" xfId="24595"/>
    <cellStyle name="Hyperlink 1017" xfId="24596"/>
    <cellStyle name="Hyperlink 1018" xfId="24597"/>
    <cellStyle name="Hyperlink 1019" xfId="24598"/>
    <cellStyle name="Hyperlink 102" xfId="24599"/>
    <cellStyle name="Hyperlink 1020" xfId="24600"/>
    <cellStyle name="Hyperlink 1021" xfId="24601"/>
    <cellStyle name="Hyperlink 1022" xfId="24602"/>
    <cellStyle name="Hyperlink 1023" xfId="24603"/>
    <cellStyle name="Hyperlink 1024" xfId="24604"/>
    <cellStyle name="Hyperlink 1025" xfId="24605"/>
    <cellStyle name="Hyperlink 1026" xfId="24606"/>
    <cellStyle name="Hyperlink 1027" xfId="24607"/>
    <cellStyle name="Hyperlink 1028" xfId="24608"/>
    <cellStyle name="Hyperlink 1029" xfId="24609"/>
    <cellStyle name="Hyperlink 103" xfId="24610"/>
    <cellStyle name="Hyperlink 1030" xfId="24611"/>
    <cellStyle name="Hyperlink 1031" xfId="24612"/>
    <cellStyle name="Hyperlink 1032" xfId="24613"/>
    <cellStyle name="Hyperlink 1033" xfId="24614"/>
    <cellStyle name="Hyperlink 1034" xfId="24615"/>
    <cellStyle name="Hyperlink 1035" xfId="24616"/>
    <cellStyle name="Hyperlink 1036" xfId="24617"/>
    <cellStyle name="Hyperlink 1037" xfId="24618"/>
    <cellStyle name="Hyperlink 1038" xfId="24619"/>
    <cellStyle name="Hyperlink 1039" xfId="24620"/>
    <cellStyle name="Hyperlink 104" xfId="24621"/>
    <cellStyle name="Hyperlink 1040" xfId="24622"/>
    <cellStyle name="Hyperlink 1041" xfId="24623"/>
    <cellStyle name="Hyperlink 1042" xfId="24624"/>
    <cellStyle name="Hyperlink 1043" xfId="24625"/>
    <cellStyle name="Hyperlink 1044" xfId="24626"/>
    <cellStyle name="Hyperlink 1045" xfId="24627"/>
    <cellStyle name="Hyperlink 1046" xfId="24628"/>
    <cellStyle name="Hyperlink 1047" xfId="24629"/>
    <cellStyle name="Hyperlink 1048" xfId="24630"/>
    <cellStyle name="Hyperlink 1049" xfId="24631"/>
    <cellStyle name="Hyperlink 105" xfId="24632"/>
    <cellStyle name="Hyperlink 1050" xfId="24633"/>
    <cellStyle name="Hyperlink 1051" xfId="24634"/>
    <cellStyle name="Hyperlink 1052" xfId="24635"/>
    <cellStyle name="Hyperlink 1053" xfId="24636"/>
    <cellStyle name="Hyperlink 1054" xfId="24637"/>
    <cellStyle name="Hyperlink 1055" xfId="24638"/>
    <cellStyle name="Hyperlink 1056" xfId="24639"/>
    <cellStyle name="Hyperlink 1057" xfId="24640"/>
    <cellStyle name="Hyperlink 1058" xfId="24641"/>
    <cellStyle name="Hyperlink 1059" xfId="24642"/>
    <cellStyle name="Hyperlink 106" xfId="24643"/>
    <cellStyle name="Hyperlink 1060" xfId="24644"/>
    <cellStyle name="Hyperlink 1061" xfId="24645"/>
    <cellStyle name="Hyperlink 1062" xfId="24646"/>
    <cellStyle name="Hyperlink 1063" xfId="24647"/>
    <cellStyle name="Hyperlink 1064" xfId="24648"/>
    <cellStyle name="Hyperlink 1065" xfId="24649"/>
    <cellStyle name="Hyperlink 1066" xfId="24650"/>
    <cellStyle name="Hyperlink 1067" xfId="24651"/>
    <cellStyle name="Hyperlink 1068" xfId="24652"/>
    <cellStyle name="Hyperlink 1069" xfId="24653"/>
    <cellStyle name="Hyperlink 107" xfId="24654"/>
    <cellStyle name="Hyperlink 1070" xfId="24655"/>
    <cellStyle name="Hyperlink 1071" xfId="24656"/>
    <cellStyle name="Hyperlink 1072" xfId="24657"/>
    <cellStyle name="Hyperlink 1073" xfId="24658"/>
    <cellStyle name="Hyperlink 1074" xfId="24659"/>
    <cellStyle name="Hyperlink 1075" xfId="24660"/>
    <cellStyle name="Hyperlink 1076" xfId="24661"/>
    <cellStyle name="Hyperlink 1077" xfId="24662"/>
    <cellStyle name="Hyperlink 1078" xfId="24663"/>
    <cellStyle name="Hyperlink 1079" xfId="24664"/>
    <cellStyle name="Hyperlink 108" xfId="24665"/>
    <cellStyle name="Hyperlink 1080" xfId="24666"/>
    <cellStyle name="Hyperlink 1081" xfId="24667"/>
    <cellStyle name="Hyperlink 1082" xfId="24668"/>
    <cellStyle name="Hyperlink 1083" xfId="24669"/>
    <cellStyle name="Hyperlink 1084" xfId="24670"/>
    <cellStyle name="Hyperlink 1085" xfId="24671"/>
    <cellStyle name="Hyperlink 1086" xfId="24672"/>
    <cellStyle name="Hyperlink 1087" xfId="24673"/>
    <cellStyle name="Hyperlink 1088" xfId="24674"/>
    <cellStyle name="Hyperlink 1089" xfId="24675"/>
    <cellStyle name="Hyperlink 109" xfId="24676"/>
    <cellStyle name="Hyperlink 1090" xfId="24677"/>
    <cellStyle name="Hyperlink 1091" xfId="24678"/>
    <cellStyle name="Hyperlink 1092" xfId="24679"/>
    <cellStyle name="Hyperlink 1093" xfId="24680"/>
    <cellStyle name="Hyperlink 1094" xfId="24681"/>
    <cellStyle name="Hyperlink 1095" xfId="24682"/>
    <cellStyle name="Hyperlink 1096" xfId="24683"/>
    <cellStyle name="Hyperlink 1097" xfId="24684"/>
    <cellStyle name="Hyperlink 1098" xfId="24685"/>
    <cellStyle name="Hyperlink 1099" xfId="24686"/>
    <cellStyle name="Hyperlink 11" xfId="24687"/>
    <cellStyle name="Hyperlink 110" xfId="24688"/>
    <cellStyle name="Hyperlink 1100" xfId="24689"/>
    <cellStyle name="Hyperlink 1101" xfId="24690"/>
    <cellStyle name="Hyperlink 1102" xfId="24691"/>
    <cellStyle name="Hyperlink 1103" xfId="24692"/>
    <cellStyle name="Hyperlink 1104" xfId="24693"/>
    <cellStyle name="Hyperlink 1105" xfId="24694"/>
    <cellStyle name="Hyperlink 1106" xfId="24695"/>
    <cellStyle name="Hyperlink 1107" xfId="24696"/>
    <cellStyle name="Hyperlink 1108" xfId="24697"/>
    <cellStyle name="Hyperlink 1109" xfId="24698"/>
    <cellStyle name="Hyperlink 111" xfId="24699"/>
    <cellStyle name="Hyperlink 1110" xfId="24700"/>
    <cellStyle name="Hyperlink 1111" xfId="24701"/>
    <cellStyle name="Hyperlink 1112" xfId="24702"/>
    <cellStyle name="Hyperlink 1113" xfId="24703"/>
    <cellStyle name="Hyperlink 1114" xfId="24704"/>
    <cellStyle name="Hyperlink 1115" xfId="24705"/>
    <cellStyle name="Hyperlink 1116" xfId="24706"/>
    <cellStyle name="Hyperlink 1117" xfId="24707"/>
    <cellStyle name="Hyperlink 1118" xfId="24708"/>
    <cellStyle name="Hyperlink 1119" xfId="24709"/>
    <cellStyle name="Hyperlink 112" xfId="24710"/>
    <cellStyle name="Hyperlink 1120" xfId="24711"/>
    <cellStyle name="Hyperlink 1121" xfId="24712"/>
    <cellStyle name="Hyperlink 1122" xfId="24713"/>
    <cellStyle name="Hyperlink 1123" xfId="24714"/>
    <cellStyle name="Hyperlink 1124" xfId="24715"/>
    <cellStyle name="Hyperlink 1125" xfId="24716"/>
    <cellStyle name="Hyperlink 1126" xfId="24717"/>
    <cellStyle name="Hyperlink 1127" xfId="24718"/>
    <cellStyle name="Hyperlink 1128" xfId="24719"/>
    <cellStyle name="Hyperlink 1129" xfId="24720"/>
    <cellStyle name="Hyperlink 113" xfId="24721"/>
    <cellStyle name="Hyperlink 1130" xfId="24722"/>
    <cellStyle name="Hyperlink 1131" xfId="24723"/>
    <cellStyle name="Hyperlink 1132" xfId="24724"/>
    <cellStyle name="Hyperlink 1133" xfId="24725"/>
    <cellStyle name="Hyperlink 1134" xfId="24726"/>
    <cellStyle name="Hyperlink 1135" xfId="24727"/>
    <cellStyle name="Hyperlink 1136" xfId="24728"/>
    <cellStyle name="Hyperlink 1137" xfId="24729"/>
    <cellStyle name="Hyperlink 1138" xfId="24730"/>
    <cellStyle name="Hyperlink 1139" xfId="24731"/>
    <cellStyle name="Hyperlink 114" xfId="24732"/>
    <cellStyle name="Hyperlink 1140" xfId="24733"/>
    <cellStyle name="Hyperlink 1141" xfId="24734"/>
    <cellStyle name="Hyperlink 1142" xfId="24735"/>
    <cellStyle name="Hyperlink 1143" xfId="24736"/>
    <cellStyle name="Hyperlink 1144" xfId="24737"/>
    <cellStyle name="Hyperlink 1145" xfId="24738"/>
    <cellStyle name="Hyperlink 1146" xfId="24739"/>
    <cellStyle name="Hyperlink 1147" xfId="24740"/>
    <cellStyle name="Hyperlink 1148" xfId="24741"/>
    <cellStyle name="Hyperlink 1149" xfId="24742"/>
    <cellStyle name="Hyperlink 115" xfId="24743"/>
    <cellStyle name="Hyperlink 1150" xfId="24744"/>
    <cellStyle name="Hyperlink 1151" xfId="24745"/>
    <cellStyle name="Hyperlink 1152" xfId="24746"/>
    <cellStyle name="Hyperlink 1153" xfId="24747"/>
    <cellStyle name="Hyperlink 1154" xfId="24748"/>
    <cellStyle name="Hyperlink 1155" xfId="24749"/>
    <cellStyle name="Hyperlink 1156" xfId="24750"/>
    <cellStyle name="Hyperlink 1157" xfId="24751"/>
    <cellStyle name="Hyperlink 1158" xfId="24752"/>
    <cellStyle name="Hyperlink 1159" xfId="24753"/>
    <cellStyle name="Hyperlink 116" xfId="24754"/>
    <cellStyle name="Hyperlink 1160" xfId="24755"/>
    <cellStyle name="Hyperlink 1161" xfId="24756"/>
    <cellStyle name="Hyperlink 1162" xfId="24757"/>
    <cellStyle name="Hyperlink 1163" xfId="24758"/>
    <cellStyle name="Hyperlink 1164" xfId="24759"/>
    <cellStyle name="Hyperlink 1165" xfId="24760"/>
    <cellStyle name="Hyperlink 1166" xfId="24761"/>
    <cellStyle name="Hyperlink 1167" xfId="24762"/>
    <cellStyle name="Hyperlink 1168" xfId="24763"/>
    <cellStyle name="Hyperlink 1169" xfId="24764"/>
    <cellStyle name="Hyperlink 117" xfId="24765"/>
    <cellStyle name="Hyperlink 1170" xfId="24766"/>
    <cellStyle name="Hyperlink 1171" xfId="24767"/>
    <cellStyle name="Hyperlink 1172" xfId="24768"/>
    <cellStyle name="Hyperlink 1173" xfId="24769"/>
    <cellStyle name="Hyperlink 1174" xfId="24770"/>
    <cellStyle name="Hyperlink 1175" xfId="24771"/>
    <cellStyle name="Hyperlink 1176" xfId="24772"/>
    <cellStyle name="Hyperlink 1177" xfId="24773"/>
    <cellStyle name="Hyperlink 1178" xfId="24774"/>
    <cellStyle name="Hyperlink 1179" xfId="24775"/>
    <cellStyle name="Hyperlink 118" xfId="24776"/>
    <cellStyle name="Hyperlink 1180" xfId="24777"/>
    <cellStyle name="Hyperlink 1181" xfId="24778"/>
    <cellStyle name="Hyperlink 1182" xfId="24779"/>
    <cellStyle name="Hyperlink 1183" xfId="24780"/>
    <cellStyle name="Hyperlink 1184" xfId="24781"/>
    <cellStyle name="Hyperlink 1185" xfId="24782"/>
    <cellStyle name="Hyperlink 1186" xfId="24783"/>
    <cellStyle name="Hyperlink 1187" xfId="24784"/>
    <cellStyle name="Hyperlink 1188" xfId="24785"/>
    <cellStyle name="Hyperlink 1189" xfId="24786"/>
    <cellStyle name="Hyperlink 119" xfId="24787"/>
    <cellStyle name="Hyperlink 1190" xfId="24788"/>
    <cellStyle name="Hyperlink 1191" xfId="24789"/>
    <cellStyle name="Hyperlink 1192" xfId="24790"/>
    <cellStyle name="Hyperlink 1193" xfId="24791"/>
    <cellStyle name="Hyperlink 1194" xfId="24792"/>
    <cellStyle name="Hyperlink 1195" xfId="24793"/>
    <cellStyle name="Hyperlink 1196" xfId="24794"/>
    <cellStyle name="Hyperlink 1197" xfId="24795"/>
    <cellStyle name="Hyperlink 1198" xfId="24796"/>
    <cellStyle name="Hyperlink 1199" xfId="24797"/>
    <cellStyle name="Hyperlink 12" xfId="24798"/>
    <cellStyle name="Hyperlink 120" xfId="24799"/>
    <cellStyle name="Hyperlink 1200" xfId="24800"/>
    <cellStyle name="Hyperlink 1201" xfId="24801"/>
    <cellStyle name="Hyperlink 1202" xfId="24802"/>
    <cellStyle name="Hyperlink 1203" xfId="24803"/>
    <cellStyle name="Hyperlink 1204" xfId="24804"/>
    <cellStyle name="Hyperlink 1205" xfId="24805"/>
    <cellStyle name="Hyperlink 1206" xfId="24806"/>
    <cellStyle name="Hyperlink 1207" xfId="24807"/>
    <cellStyle name="Hyperlink 1208" xfId="24808"/>
    <cellStyle name="Hyperlink 1209" xfId="24809"/>
    <cellStyle name="Hyperlink 121" xfId="24810"/>
    <cellStyle name="Hyperlink 1210" xfId="24811"/>
    <cellStyle name="Hyperlink 1211" xfId="24812"/>
    <cellStyle name="Hyperlink 1212" xfId="24813"/>
    <cellStyle name="Hyperlink 1213" xfId="24814"/>
    <cellStyle name="Hyperlink 1214" xfId="24815"/>
    <cellStyle name="Hyperlink 1215" xfId="24816"/>
    <cellStyle name="Hyperlink 1216" xfId="24817"/>
    <cellStyle name="Hyperlink 1217" xfId="24818"/>
    <cellStyle name="Hyperlink 1218" xfId="24819"/>
    <cellStyle name="Hyperlink 1219" xfId="24820"/>
    <cellStyle name="Hyperlink 122" xfId="24821"/>
    <cellStyle name="Hyperlink 1220" xfId="24822"/>
    <cellStyle name="Hyperlink 1221" xfId="24823"/>
    <cellStyle name="Hyperlink 1222" xfId="24824"/>
    <cellStyle name="Hyperlink 1223" xfId="24825"/>
    <cellStyle name="Hyperlink 1224" xfId="24826"/>
    <cellStyle name="Hyperlink 1225" xfId="24827"/>
    <cellStyle name="Hyperlink 1226" xfId="24828"/>
    <cellStyle name="Hyperlink 1227" xfId="24829"/>
    <cellStyle name="Hyperlink 1228" xfId="24830"/>
    <cellStyle name="Hyperlink 1229" xfId="24831"/>
    <cellStyle name="Hyperlink 123" xfId="24832"/>
    <cellStyle name="Hyperlink 1230" xfId="24833"/>
    <cellStyle name="Hyperlink 1231" xfId="24834"/>
    <cellStyle name="Hyperlink 1232" xfId="24835"/>
    <cellStyle name="Hyperlink 1233" xfId="24836"/>
    <cellStyle name="Hyperlink 1234" xfId="24837"/>
    <cellStyle name="Hyperlink 1235" xfId="24838"/>
    <cellStyle name="Hyperlink 1236" xfId="24839"/>
    <cellStyle name="Hyperlink 1237" xfId="24840"/>
    <cellStyle name="Hyperlink 1238" xfId="24841"/>
    <cellStyle name="Hyperlink 1239" xfId="24842"/>
    <cellStyle name="Hyperlink 124" xfId="24843"/>
    <cellStyle name="Hyperlink 1240" xfId="24844"/>
    <cellStyle name="Hyperlink 1241" xfId="24845"/>
    <cellStyle name="Hyperlink 1242" xfId="24846"/>
    <cellStyle name="Hyperlink 1243" xfId="24847"/>
    <cellStyle name="Hyperlink 1244" xfId="24848"/>
    <cellStyle name="Hyperlink 1245" xfId="24849"/>
    <cellStyle name="Hyperlink 1246" xfId="24850"/>
    <cellStyle name="Hyperlink 1247" xfId="24851"/>
    <cellStyle name="Hyperlink 1248" xfId="24852"/>
    <cellStyle name="Hyperlink 1249" xfId="24853"/>
    <cellStyle name="Hyperlink 125" xfId="24854"/>
    <cellStyle name="Hyperlink 1250" xfId="24855"/>
    <cellStyle name="Hyperlink 1251" xfId="24856"/>
    <cellStyle name="Hyperlink 1252" xfId="24857"/>
    <cellStyle name="Hyperlink 1253" xfId="24858"/>
    <cellStyle name="Hyperlink 1254" xfId="24859"/>
    <cellStyle name="Hyperlink 1255" xfId="24860"/>
    <cellStyle name="Hyperlink 1256" xfId="24861"/>
    <cellStyle name="Hyperlink 1257" xfId="24862"/>
    <cellStyle name="Hyperlink 1258" xfId="24863"/>
    <cellStyle name="Hyperlink 1259" xfId="24864"/>
    <cellStyle name="Hyperlink 126" xfId="24865"/>
    <cellStyle name="Hyperlink 1260" xfId="24866"/>
    <cellStyle name="Hyperlink 1261" xfId="24867"/>
    <cellStyle name="Hyperlink 1262" xfId="24868"/>
    <cellStyle name="Hyperlink 1263" xfId="24869"/>
    <cellStyle name="Hyperlink 1264" xfId="24870"/>
    <cellStyle name="Hyperlink 1265" xfId="24871"/>
    <cellStyle name="Hyperlink 1266" xfId="24872"/>
    <cellStyle name="Hyperlink 1267" xfId="24873"/>
    <cellStyle name="Hyperlink 1268" xfId="24874"/>
    <cellStyle name="Hyperlink 1269" xfId="24875"/>
    <cellStyle name="Hyperlink 127" xfId="24876"/>
    <cellStyle name="Hyperlink 1270" xfId="24877"/>
    <cellStyle name="Hyperlink 1271" xfId="24878"/>
    <cellStyle name="Hyperlink 1272" xfId="24879"/>
    <cellStyle name="Hyperlink 1273" xfId="24880"/>
    <cellStyle name="Hyperlink 1274" xfId="24881"/>
    <cellStyle name="Hyperlink 1275" xfId="24882"/>
    <cellStyle name="Hyperlink 1276" xfId="24883"/>
    <cellStyle name="Hyperlink 1277" xfId="24884"/>
    <cellStyle name="Hyperlink 1278" xfId="24885"/>
    <cellStyle name="Hyperlink 1279" xfId="24886"/>
    <cellStyle name="Hyperlink 128" xfId="24887"/>
    <cellStyle name="Hyperlink 1280" xfId="24888"/>
    <cellStyle name="Hyperlink 1281" xfId="24889"/>
    <cellStyle name="Hyperlink 1282" xfId="24890"/>
    <cellStyle name="Hyperlink 1283" xfId="24891"/>
    <cellStyle name="Hyperlink 1284" xfId="24892"/>
    <cellStyle name="Hyperlink 1285" xfId="24893"/>
    <cellStyle name="Hyperlink 1286" xfId="24894"/>
    <cellStyle name="Hyperlink 1287" xfId="24895"/>
    <cellStyle name="Hyperlink 1288" xfId="24896"/>
    <cellStyle name="Hyperlink 1289" xfId="24897"/>
    <cellStyle name="Hyperlink 129" xfId="24898"/>
    <cellStyle name="Hyperlink 1290" xfId="24899"/>
    <cellStyle name="Hyperlink 1291" xfId="24900"/>
    <cellStyle name="Hyperlink 1292" xfId="24901"/>
    <cellStyle name="Hyperlink 1293" xfId="24902"/>
    <cellStyle name="Hyperlink 1294" xfId="24903"/>
    <cellStyle name="Hyperlink 1295" xfId="24904"/>
    <cellStyle name="Hyperlink 1296" xfId="24905"/>
    <cellStyle name="Hyperlink 1297" xfId="24906"/>
    <cellStyle name="Hyperlink 1298" xfId="24907"/>
    <cellStyle name="Hyperlink 1299" xfId="24908"/>
    <cellStyle name="Hyperlink 13" xfId="24909"/>
    <cellStyle name="Hyperlink 130" xfId="24910"/>
    <cellStyle name="Hyperlink 1300" xfId="24911"/>
    <cellStyle name="Hyperlink 1301" xfId="24912"/>
    <cellStyle name="Hyperlink 1302" xfId="24913"/>
    <cellStyle name="Hyperlink 1303" xfId="24914"/>
    <cellStyle name="Hyperlink 1304" xfId="24915"/>
    <cellStyle name="Hyperlink 1305" xfId="24916"/>
    <cellStyle name="Hyperlink 1306" xfId="24917"/>
    <cellStyle name="Hyperlink 1307" xfId="24918"/>
    <cellStyle name="Hyperlink 1308" xfId="24919"/>
    <cellStyle name="Hyperlink 1309" xfId="24920"/>
    <cellStyle name="Hyperlink 131" xfId="24921"/>
    <cellStyle name="Hyperlink 1310" xfId="24922"/>
    <cellStyle name="Hyperlink 1311" xfId="24923"/>
    <cellStyle name="Hyperlink 1312" xfId="24924"/>
    <cellStyle name="Hyperlink 1313" xfId="24925"/>
    <cellStyle name="Hyperlink 1314" xfId="24926"/>
    <cellStyle name="Hyperlink 1315" xfId="24927"/>
    <cellStyle name="Hyperlink 1316" xfId="24928"/>
    <cellStyle name="Hyperlink 1317" xfId="24929"/>
    <cellStyle name="Hyperlink 1318" xfId="24930"/>
    <cellStyle name="Hyperlink 1319" xfId="24931"/>
    <cellStyle name="Hyperlink 132" xfId="24932"/>
    <cellStyle name="Hyperlink 1320" xfId="24933"/>
    <cellStyle name="Hyperlink 1321" xfId="24934"/>
    <cellStyle name="Hyperlink 1322" xfId="24935"/>
    <cellStyle name="Hyperlink 1323" xfId="24936"/>
    <cellStyle name="Hyperlink 1324" xfId="24937"/>
    <cellStyle name="Hyperlink 1325" xfId="24938"/>
    <cellStyle name="Hyperlink 1326" xfId="24939"/>
    <cellStyle name="Hyperlink 1327" xfId="24940"/>
    <cellStyle name="Hyperlink 1328" xfId="24941"/>
    <cellStyle name="Hyperlink 1329" xfId="24942"/>
    <cellStyle name="Hyperlink 133" xfId="24943"/>
    <cellStyle name="Hyperlink 1330" xfId="24944"/>
    <cellStyle name="Hyperlink 1331" xfId="24945"/>
    <cellStyle name="Hyperlink 1332" xfId="24946"/>
    <cellStyle name="Hyperlink 1333" xfId="24947"/>
    <cellStyle name="Hyperlink 1334" xfId="24948"/>
    <cellStyle name="Hyperlink 1335" xfId="24949"/>
    <cellStyle name="Hyperlink 1336" xfId="24950"/>
    <cellStyle name="Hyperlink 1337" xfId="24951"/>
    <cellStyle name="Hyperlink 1338" xfId="24952"/>
    <cellStyle name="Hyperlink 1339" xfId="24953"/>
    <cellStyle name="Hyperlink 134" xfId="24954"/>
    <cellStyle name="Hyperlink 1340" xfId="24955"/>
    <cellStyle name="Hyperlink 1341" xfId="24956"/>
    <cellStyle name="Hyperlink 1342" xfId="24957"/>
    <cellStyle name="Hyperlink 1343" xfId="24958"/>
    <cellStyle name="Hyperlink 1344" xfId="24959"/>
    <cellStyle name="Hyperlink 1345" xfId="24960"/>
    <cellStyle name="Hyperlink 1346" xfId="24961"/>
    <cellStyle name="Hyperlink 1347" xfId="24962"/>
    <cellStyle name="Hyperlink 1348" xfId="24963"/>
    <cellStyle name="Hyperlink 1349" xfId="24964"/>
    <cellStyle name="Hyperlink 135" xfId="24965"/>
    <cellStyle name="Hyperlink 1350" xfId="24966"/>
    <cellStyle name="Hyperlink 1351" xfId="24967"/>
    <cellStyle name="Hyperlink 1352" xfId="24968"/>
    <cellStyle name="Hyperlink 1353" xfId="24969"/>
    <cellStyle name="Hyperlink 1354" xfId="24970"/>
    <cellStyle name="Hyperlink 1355" xfId="24971"/>
    <cellStyle name="Hyperlink 1356" xfId="24972"/>
    <cellStyle name="Hyperlink 1357" xfId="24973"/>
    <cellStyle name="Hyperlink 1358" xfId="24974"/>
    <cellStyle name="Hyperlink 1359" xfId="24975"/>
    <cellStyle name="Hyperlink 136" xfId="24976"/>
    <cellStyle name="Hyperlink 1360" xfId="24977"/>
    <cellStyle name="Hyperlink 1361" xfId="24978"/>
    <cellStyle name="Hyperlink 1362" xfId="24979"/>
    <cellStyle name="Hyperlink 1363" xfId="24980"/>
    <cellStyle name="Hyperlink 1364" xfId="24981"/>
    <cellStyle name="Hyperlink 1365" xfId="24982"/>
    <cellStyle name="Hyperlink 1366" xfId="24983"/>
    <cellStyle name="Hyperlink 1367" xfId="24984"/>
    <cellStyle name="Hyperlink 1368" xfId="24985"/>
    <cellStyle name="Hyperlink 1369" xfId="24986"/>
    <cellStyle name="Hyperlink 137" xfId="24987"/>
    <cellStyle name="Hyperlink 1370" xfId="24988"/>
    <cellStyle name="Hyperlink 1371" xfId="24989"/>
    <cellStyle name="Hyperlink 1372" xfId="24990"/>
    <cellStyle name="Hyperlink 1373" xfId="24991"/>
    <cellStyle name="Hyperlink 1374" xfId="24992"/>
    <cellStyle name="Hyperlink 1375" xfId="24993"/>
    <cellStyle name="Hyperlink 1376" xfId="24994"/>
    <cellStyle name="Hyperlink 1377" xfId="24995"/>
    <cellStyle name="Hyperlink 1378" xfId="24996"/>
    <cellStyle name="Hyperlink 1379" xfId="24997"/>
    <cellStyle name="Hyperlink 138" xfId="24998"/>
    <cellStyle name="Hyperlink 1380" xfId="24999"/>
    <cellStyle name="Hyperlink 1381" xfId="25000"/>
    <cellStyle name="Hyperlink 1382" xfId="25001"/>
    <cellStyle name="Hyperlink 1383" xfId="25002"/>
    <cellStyle name="Hyperlink 1384" xfId="25003"/>
    <cellStyle name="Hyperlink 1385" xfId="25004"/>
    <cellStyle name="Hyperlink 1386" xfId="25005"/>
    <cellStyle name="Hyperlink 1387" xfId="25006"/>
    <cellStyle name="Hyperlink 1388" xfId="25007"/>
    <cellStyle name="Hyperlink 1389" xfId="25008"/>
    <cellStyle name="Hyperlink 139" xfId="25009"/>
    <cellStyle name="Hyperlink 1390" xfId="25010"/>
    <cellStyle name="Hyperlink 1391" xfId="25011"/>
    <cellStyle name="Hyperlink 1392" xfId="25012"/>
    <cellStyle name="Hyperlink 1393" xfId="25013"/>
    <cellStyle name="Hyperlink 1394" xfId="25014"/>
    <cellStyle name="Hyperlink 1395" xfId="25015"/>
    <cellStyle name="Hyperlink 1396" xfId="25016"/>
    <cellStyle name="Hyperlink 1397" xfId="25017"/>
    <cellStyle name="Hyperlink 1398" xfId="25018"/>
    <cellStyle name="Hyperlink 1399" xfId="25019"/>
    <cellStyle name="Hyperlink 14" xfId="25020"/>
    <cellStyle name="Hyperlink 140" xfId="25021"/>
    <cellStyle name="Hyperlink 1400" xfId="25022"/>
    <cellStyle name="Hyperlink 1401" xfId="25023"/>
    <cellStyle name="Hyperlink 1402" xfId="25024"/>
    <cellStyle name="Hyperlink 1403" xfId="25025"/>
    <cellStyle name="Hyperlink 1404" xfId="25026"/>
    <cellStyle name="Hyperlink 1405" xfId="25027"/>
    <cellStyle name="Hyperlink 1406" xfId="25028"/>
    <cellStyle name="Hyperlink 1407" xfId="25029"/>
    <cellStyle name="Hyperlink 1408" xfId="25030"/>
    <cellStyle name="Hyperlink 1409" xfId="25031"/>
    <cellStyle name="Hyperlink 141" xfId="25032"/>
    <cellStyle name="Hyperlink 1410" xfId="25033"/>
    <cellStyle name="Hyperlink 1411" xfId="25034"/>
    <cellStyle name="Hyperlink 1412" xfId="25035"/>
    <cellStyle name="Hyperlink 1413" xfId="25036"/>
    <cellStyle name="Hyperlink 1414" xfId="25037"/>
    <cellStyle name="Hyperlink 1415" xfId="25038"/>
    <cellStyle name="Hyperlink 1416" xfId="25039"/>
    <cellStyle name="Hyperlink 1417" xfId="25040"/>
    <cellStyle name="Hyperlink 1418" xfId="25041"/>
    <cellStyle name="Hyperlink 1419" xfId="25042"/>
    <cellStyle name="Hyperlink 142" xfId="25043"/>
    <cellStyle name="Hyperlink 1420" xfId="25044"/>
    <cellStyle name="Hyperlink 1421" xfId="25045"/>
    <cellStyle name="Hyperlink 1422" xfId="25046"/>
    <cellStyle name="Hyperlink 1423" xfId="25047"/>
    <cellStyle name="Hyperlink 1424" xfId="25048"/>
    <cellStyle name="Hyperlink 1425" xfId="25049"/>
    <cellStyle name="Hyperlink 1426" xfId="25050"/>
    <cellStyle name="Hyperlink 1427" xfId="25051"/>
    <cellStyle name="Hyperlink 1428" xfId="25052"/>
    <cellStyle name="Hyperlink 1429" xfId="25053"/>
    <cellStyle name="Hyperlink 143" xfId="25054"/>
    <cellStyle name="Hyperlink 1430" xfId="25055"/>
    <cellStyle name="Hyperlink 1431" xfId="25056"/>
    <cellStyle name="Hyperlink 1432" xfId="25057"/>
    <cellStyle name="Hyperlink 1433" xfId="25058"/>
    <cellStyle name="Hyperlink 1434" xfId="25059"/>
    <cellStyle name="Hyperlink 1435" xfId="25060"/>
    <cellStyle name="Hyperlink 1436" xfId="25061"/>
    <cellStyle name="Hyperlink 1437" xfId="25062"/>
    <cellStyle name="Hyperlink 1438" xfId="25063"/>
    <cellStyle name="Hyperlink 1439" xfId="25064"/>
    <cellStyle name="Hyperlink 144" xfId="25065"/>
    <cellStyle name="Hyperlink 1440" xfId="25066"/>
    <cellStyle name="Hyperlink 1441" xfId="25067"/>
    <cellStyle name="Hyperlink 1442" xfId="25068"/>
    <cellStyle name="Hyperlink 1443" xfId="25069"/>
    <cellStyle name="Hyperlink 1444" xfId="25070"/>
    <cellStyle name="Hyperlink 1445" xfId="25071"/>
    <cellStyle name="Hyperlink 1446" xfId="25072"/>
    <cellStyle name="Hyperlink 1447" xfId="25073"/>
    <cellStyle name="Hyperlink 1448" xfId="25074"/>
    <cellStyle name="Hyperlink 1449" xfId="25075"/>
    <cellStyle name="Hyperlink 145" xfId="25076"/>
    <cellStyle name="Hyperlink 1450" xfId="25077"/>
    <cellStyle name="Hyperlink 1451" xfId="25078"/>
    <cellStyle name="Hyperlink 1452" xfId="25079"/>
    <cellStyle name="Hyperlink 1453" xfId="25080"/>
    <cellStyle name="Hyperlink 1454" xfId="25081"/>
    <cellStyle name="Hyperlink 1455" xfId="25082"/>
    <cellStyle name="Hyperlink 1456" xfId="25083"/>
    <cellStyle name="Hyperlink 1457" xfId="25084"/>
    <cellStyle name="Hyperlink 1458" xfId="25085"/>
    <cellStyle name="Hyperlink 1459" xfId="25086"/>
    <cellStyle name="Hyperlink 146" xfId="25087"/>
    <cellStyle name="Hyperlink 1460" xfId="25088"/>
    <cellStyle name="Hyperlink 1461" xfId="25089"/>
    <cellStyle name="Hyperlink 1462" xfId="25090"/>
    <cellStyle name="Hyperlink 1463" xfId="25091"/>
    <cellStyle name="Hyperlink 1464" xfId="25092"/>
    <cellStyle name="Hyperlink 1465" xfId="25093"/>
    <cellStyle name="Hyperlink 1466" xfId="25094"/>
    <cellStyle name="Hyperlink 1467" xfId="25095"/>
    <cellStyle name="Hyperlink 1468" xfId="25096"/>
    <cellStyle name="Hyperlink 1469" xfId="25097"/>
    <cellStyle name="Hyperlink 147" xfId="25098"/>
    <cellStyle name="Hyperlink 1470" xfId="25099"/>
    <cellStyle name="Hyperlink 1471" xfId="25100"/>
    <cellStyle name="Hyperlink 1472" xfId="25101"/>
    <cellStyle name="Hyperlink 1473" xfId="25102"/>
    <cellStyle name="Hyperlink 1474" xfId="25103"/>
    <cellStyle name="Hyperlink 1475" xfId="25104"/>
    <cellStyle name="Hyperlink 1476" xfId="25105"/>
    <cellStyle name="Hyperlink 1477" xfId="25106"/>
    <cellStyle name="Hyperlink 1478" xfId="25107"/>
    <cellStyle name="Hyperlink 1479" xfId="25108"/>
    <cellStyle name="Hyperlink 148" xfId="25109"/>
    <cellStyle name="Hyperlink 1480" xfId="25110"/>
    <cellStyle name="Hyperlink 1481" xfId="25111"/>
    <cellStyle name="Hyperlink 1482" xfId="25112"/>
    <cellStyle name="Hyperlink 1483" xfId="25113"/>
    <cellStyle name="Hyperlink 1484" xfId="25114"/>
    <cellStyle name="Hyperlink 1485" xfId="25115"/>
    <cellStyle name="Hyperlink 1486" xfId="25116"/>
    <cellStyle name="Hyperlink 1487" xfId="25117"/>
    <cellStyle name="Hyperlink 1488" xfId="25118"/>
    <cellStyle name="Hyperlink 1489" xfId="25119"/>
    <cellStyle name="Hyperlink 149" xfId="25120"/>
    <cellStyle name="Hyperlink 1490" xfId="25121"/>
    <cellStyle name="Hyperlink 1491" xfId="25122"/>
    <cellStyle name="Hyperlink 1492" xfId="25123"/>
    <cellStyle name="Hyperlink 1493" xfId="25124"/>
    <cellStyle name="Hyperlink 1494" xfId="25125"/>
    <cellStyle name="Hyperlink 1495" xfId="25126"/>
    <cellStyle name="Hyperlink 1496" xfId="25127"/>
    <cellStyle name="Hyperlink 1497" xfId="25128"/>
    <cellStyle name="Hyperlink 1498" xfId="25129"/>
    <cellStyle name="Hyperlink 1499" xfId="25130"/>
    <cellStyle name="Hyperlink 15" xfId="25131"/>
    <cellStyle name="Hyperlink 150" xfId="25132"/>
    <cellStyle name="Hyperlink 1500" xfId="25133"/>
    <cellStyle name="Hyperlink 1501" xfId="25134"/>
    <cellStyle name="Hyperlink 1502" xfId="25135"/>
    <cellStyle name="Hyperlink 1503" xfId="25136"/>
    <cellStyle name="Hyperlink 1504" xfId="25137"/>
    <cellStyle name="Hyperlink 1505" xfId="25138"/>
    <cellStyle name="Hyperlink 1506" xfId="25139"/>
    <cellStyle name="Hyperlink 1507" xfId="25140"/>
    <cellStyle name="Hyperlink 1508" xfId="25141"/>
    <cellStyle name="Hyperlink 1509" xfId="25142"/>
    <cellStyle name="Hyperlink 151" xfId="25143"/>
    <cellStyle name="Hyperlink 1510" xfId="25144"/>
    <cellStyle name="Hyperlink 1511" xfId="25145"/>
    <cellStyle name="Hyperlink 1512" xfId="25146"/>
    <cellStyle name="Hyperlink 1513" xfId="25147"/>
    <cellStyle name="Hyperlink 1514" xfId="25148"/>
    <cellStyle name="Hyperlink 1515" xfId="25149"/>
    <cellStyle name="Hyperlink 1516" xfId="25150"/>
    <cellStyle name="Hyperlink 1517" xfId="25151"/>
    <cellStyle name="Hyperlink 1518" xfId="25152"/>
    <cellStyle name="Hyperlink 1519" xfId="25153"/>
    <cellStyle name="Hyperlink 152" xfId="25154"/>
    <cellStyle name="Hyperlink 1520" xfId="25155"/>
    <cellStyle name="Hyperlink 1521" xfId="25156"/>
    <cellStyle name="Hyperlink 1522" xfId="25157"/>
    <cellStyle name="Hyperlink 1523" xfId="25158"/>
    <cellStyle name="Hyperlink 1524" xfId="25159"/>
    <cellStyle name="Hyperlink 1525" xfId="25160"/>
    <cellStyle name="Hyperlink 1526" xfId="25161"/>
    <cellStyle name="Hyperlink 1527" xfId="25162"/>
    <cellStyle name="Hyperlink 1528" xfId="25163"/>
    <cellStyle name="Hyperlink 1529" xfId="25164"/>
    <cellStyle name="Hyperlink 153" xfId="25165"/>
    <cellStyle name="Hyperlink 1530" xfId="25166"/>
    <cellStyle name="Hyperlink 1531" xfId="25167"/>
    <cellStyle name="Hyperlink 1532" xfId="25168"/>
    <cellStyle name="Hyperlink 1533" xfId="25169"/>
    <cellStyle name="Hyperlink 1534" xfId="25170"/>
    <cellStyle name="Hyperlink 1535" xfId="25171"/>
    <cellStyle name="Hyperlink 1536" xfId="25172"/>
    <cellStyle name="Hyperlink 1537" xfId="25173"/>
    <cellStyle name="Hyperlink 1538" xfId="25174"/>
    <cellStyle name="Hyperlink 1539" xfId="25175"/>
    <cellStyle name="Hyperlink 154" xfId="25176"/>
    <cellStyle name="Hyperlink 1540" xfId="25177"/>
    <cellStyle name="Hyperlink 1541" xfId="25178"/>
    <cellStyle name="Hyperlink 1542" xfId="25179"/>
    <cellStyle name="Hyperlink 1543" xfId="25180"/>
    <cellStyle name="Hyperlink 1544" xfId="25181"/>
    <cellStyle name="Hyperlink 1545" xfId="25182"/>
    <cellStyle name="Hyperlink 1546" xfId="25183"/>
    <cellStyle name="Hyperlink 1547" xfId="25184"/>
    <cellStyle name="Hyperlink 1548" xfId="25185"/>
    <cellStyle name="Hyperlink 1549" xfId="25186"/>
    <cellStyle name="Hyperlink 155" xfId="25187"/>
    <cellStyle name="Hyperlink 1550" xfId="25188"/>
    <cellStyle name="Hyperlink 1551" xfId="25189"/>
    <cellStyle name="Hyperlink 1552" xfId="25190"/>
    <cellStyle name="Hyperlink 1553" xfId="25191"/>
    <cellStyle name="Hyperlink 1554" xfId="25192"/>
    <cellStyle name="Hyperlink 1555" xfId="25193"/>
    <cellStyle name="Hyperlink 1556" xfId="25194"/>
    <cellStyle name="Hyperlink 1557" xfId="25195"/>
    <cellStyle name="Hyperlink 1558" xfId="25196"/>
    <cellStyle name="Hyperlink 1559" xfId="25197"/>
    <cellStyle name="Hyperlink 156" xfId="25198"/>
    <cellStyle name="Hyperlink 1560" xfId="25199"/>
    <cellStyle name="Hyperlink 1561" xfId="25200"/>
    <cellStyle name="Hyperlink 1562" xfId="25201"/>
    <cellStyle name="Hyperlink 1563" xfId="25202"/>
    <cellStyle name="Hyperlink 1564" xfId="25203"/>
    <cellStyle name="Hyperlink 1565" xfId="25204"/>
    <cellStyle name="Hyperlink 1566" xfId="25205"/>
    <cellStyle name="Hyperlink 1567" xfId="25206"/>
    <cellStyle name="Hyperlink 1568" xfId="25207"/>
    <cellStyle name="Hyperlink 1569" xfId="25208"/>
    <cellStyle name="Hyperlink 157" xfId="25209"/>
    <cellStyle name="Hyperlink 1570" xfId="25210"/>
    <cellStyle name="Hyperlink 1571" xfId="25211"/>
    <cellStyle name="Hyperlink 1572" xfId="25212"/>
    <cellStyle name="Hyperlink 1573" xfId="25213"/>
    <cellStyle name="Hyperlink 1574" xfId="25214"/>
    <cellStyle name="Hyperlink 1575" xfId="25215"/>
    <cellStyle name="Hyperlink 1576" xfId="25216"/>
    <cellStyle name="Hyperlink 1577" xfId="25217"/>
    <cellStyle name="Hyperlink 1578" xfId="25218"/>
    <cellStyle name="Hyperlink 1579" xfId="25219"/>
    <cellStyle name="Hyperlink 158" xfId="25220"/>
    <cellStyle name="Hyperlink 1580" xfId="25221"/>
    <cellStyle name="Hyperlink 1581" xfId="25222"/>
    <cellStyle name="Hyperlink 1582" xfId="25223"/>
    <cellStyle name="Hyperlink 1583" xfId="25224"/>
    <cellStyle name="Hyperlink 1584" xfId="25225"/>
    <cellStyle name="Hyperlink 1585" xfId="25226"/>
    <cellStyle name="Hyperlink 1586" xfId="25227"/>
    <cellStyle name="Hyperlink 1587" xfId="25228"/>
    <cellStyle name="Hyperlink 1588" xfId="25229"/>
    <cellStyle name="Hyperlink 1589" xfId="25230"/>
    <cellStyle name="Hyperlink 159" xfId="25231"/>
    <cellStyle name="Hyperlink 1590" xfId="25232"/>
    <cellStyle name="Hyperlink 1591" xfId="25233"/>
    <cellStyle name="Hyperlink 1592" xfId="25234"/>
    <cellStyle name="Hyperlink 1593" xfId="25235"/>
    <cellStyle name="Hyperlink 1594" xfId="25236"/>
    <cellStyle name="Hyperlink 1595" xfId="25237"/>
    <cellStyle name="Hyperlink 1596" xfId="25238"/>
    <cellStyle name="Hyperlink 1597" xfId="25239"/>
    <cellStyle name="Hyperlink 1598" xfId="25240"/>
    <cellStyle name="Hyperlink 1599" xfId="25241"/>
    <cellStyle name="Hyperlink 16" xfId="25242"/>
    <cellStyle name="Hyperlink 160" xfId="25243"/>
    <cellStyle name="Hyperlink 1600" xfId="25244"/>
    <cellStyle name="Hyperlink 1601" xfId="25245"/>
    <cellStyle name="Hyperlink 1602" xfId="25246"/>
    <cellStyle name="Hyperlink 1603" xfId="25247"/>
    <cellStyle name="Hyperlink 1604" xfId="25248"/>
    <cellStyle name="Hyperlink 1605" xfId="25249"/>
    <cellStyle name="Hyperlink 1606" xfId="25250"/>
    <cellStyle name="Hyperlink 1607" xfId="25251"/>
    <cellStyle name="Hyperlink 1608" xfId="25252"/>
    <cellStyle name="Hyperlink 1609" xfId="25253"/>
    <cellStyle name="Hyperlink 161" xfId="25254"/>
    <cellStyle name="Hyperlink 1610" xfId="25255"/>
    <cellStyle name="Hyperlink 1611" xfId="25256"/>
    <cellStyle name="Hyperlink 1612" xfId="25257"/>
    <cellStyle name="Hyperlink 1613" xfId="25258"/>
    <cellStyle name="Hyperlink 1614" xfId="25259"/>
    <cellStyle name="Hyperlink 1615" xfId="25260"/>
    <cellStyle name="Hyperlink 1616" xfId="25261"/>
    <cellStyle name="Hyperlink 1617" xfId="25262"/>
    <cellStyle name="Hyperlink 1618" xfId="25263"/>
    <cellStyle name="Hyperlink 1619" xfId="25264"/>
    <cellStyle name="Hyperlink 162" xfId="25265"/>
    <cellStyle name="Hyperlink 1620" xfId="25266"/>
    <cellStyle name="Hyperlink 1621" xfId="25267"/>
    <cellStyle name="Hyperlink 1622" xfId="25268"/>
    <cellStyle name="Hyperlink 1623" xfId="25269"/>
    <cellStyle name="Hyperlink 1624" xfId="25270"/>
    <cellStyle name="Hyperlink 1625" xfId="25271"/>
    <cellStyle name="Hyperlink 1626" xfId="25272"/>
    <cellStyle name="Hyperlink 1627" xfId="25273"/>
    <cellStyle name="Hyperlink 1628" xfId="25274"/>
    <cellStyle name="Hyperlink 1629" xfId="25275"/>
    <cellStyle name="Hyperlink 163" xfId="25276"/>
    <cellStyle name="Hyperlink 1630" xfId="25277"/>
    <cellStyle name="Hyperlink 1631" xfId="25278"/>
    <cellStyle name="Hyperlink 1632" xfId="25279"/>
    <cellStyle name="Hyperlink 1633" xfId="25280"/>
    <cellStyle name="Hyperlink 1634" xfId="25281"/>
    <cellStyle name="Hyperlink 1635" xfId="25282"/>
    <cellStyle name="Hyperlink 1636" xfId="25283"/>
    <cellStyle name="Hyperlink 1637" xfId="25284"/>
    <cellStyle name="Hyperlink 1638" xfId="25285"/>
    <cellStyle name="Hyperlink 1639" xfId="25286"/>
    <cellStyle name="Hyperlink 164" xfId="25287"/>
    <cellStyle name="Hyperlink 1640" xfId="25288"/>
    <cellStyle name="Hyperlink 1641" xfId="25289"/>
    <cellStyle name="Hyperlink 1642" xfId="25290"/>
    <cellStyle name="Hyperlink 1643" xfId="25291"/>
    <cellStyle name="Hyperlink 1644" xfId="25292"/>
    <cellStyle name="Hyperlink 1645" xfId="25293"/>
    <cellStyle name="Hyperlink 1646" xfId="25294"/>
    <cellStyle name="Hyperlink 1647" xfId="25295"/>
    <cellStyle name="Hyperlink 1648" xfId="25296"/>
    <cellStyle name="Hyperlink 1649" xfId="25297"/>
    <cellStyle name="Hyperlink 165" xfId="25298"/>
    <cellStyle name="Hyperlink 1650" xfId="25299"/>
    <cellStyle name="Hyperlink 1651" xfId="25300"/>
    <cellStyle name="Hyperlink 1652" xfId="25301"/>
    <cellStyle name="Hyperlink 1653" xfId="25302"/>
    <cellStyle name="Hyperlink 1654" xfId="25303"/>
    <cellStyle name="Hyperlink 1655" xfId="25304"/>
    <cellStyle name="Hyperlink 1656" xfId="25305"/>
    <cellStyle name="Hyperlink 1657" xfId="25306"/>
    <cellStyle name="Hyperlink 1658" xfId="25307"/>
    <cellStyle name="Hyperlink 1659" xfId="25308"/>
    <cellStyle name="Hyperlink 166" xfId="25309"/>
    <cellStyle name="Hyperlink 1660" xfId="25310"/>
    <cellStyle name="Hyperlink 1661" xfId="25311"/>
    <cellStyle name="Hyperlink 1662" xfId="25312"/>
    <cellStyle name="Hyperlink 1663" xfId="25313"/>
    <cellStyle name="Hyperlink 1664" xfId="25314"/>
    <cellStyle name="Hyperlink 1665" xfId="25315"/>
    <cellStyle name="Hyperlink 1666" xfId="25316"/>
    <cellStyle name="Hyperlink 1667" xfId="25317"/>
    <cellStyle name="Hyperlink 1668" xfId="25318"/>
    <cellStyle name="Hyperlink 1669" xfId="25319"/>
    <cellStyle name="Hyperlink 167" xfId="25320"/>
    <cellStyle name="Hyperlink 1670" xfId="25321"/>
    <cellStyle name="Hyperlink 1671" xfId="25322"/>
    <cellStyle name="Hyperlink 1672" xfId="25323"/>
    <cellStyle name="Hyperlink 1673" xfId="25324"/>
    <cellStyle name="Hyperlink 1674" xfId="25325"/>
    <cellStyle name="Hyperlink 1675" xfId="25326"/>
    <cellStyle name="Hyperlink 1676" xfId="25327"/>
    <cellStyle name="Hyperlink 1677" xfId="25328"/>
    <cellStyle name="Hyperlink 1678" xfId="25329"/>
    <cellStyle name="Hyperlink 1679" xfId="25330"/>
    <cellStyle name="Hyperlink 168" xfId="25331"/>
    <cellStyle name="Hyperlink 1680" xfId="25332"/>
    <cellStyle name="Hyperlink 1681" xfId="25333"/>
    <cellStyle name="Hyperlink 1682" xfId="25334"/>
    <cellStyle name="Hyperlink 1683" xfId="25335"/>
    <cellStyle name="Hyperlink 1684" xfId="25336"/>
    <cellStyle name="Hyperlink 1685" xfId="25337"/>
    <cellStyle name="Hyperlink 1686" xfId="25338"/>
    <cellStyle name="Hyperlink 1687" xfId="25339"/>
    <cellStyle name="Hyperlink 1688" xfId="25340"/>
    <cellStyle name="Hyperlink 1689" xfId="25341"/>
    <cellStyle name="Hyperlink 169" xfId="25342"/>
    <cellStyle name="Hyperlink 1690" xfId="25343"/>
    <cellStyle name="Hyperlink 1691" xfId="25344"/>
    <cellStyle name="Hyperlink 1692" xfId="25345"/>
    <cellStyle name="Hyperlink 1693" xfId="25346"/>
    <cellStyle name="Hyperlink 1694" xfId="25347"/>
    <cellStyle name="Hyperlink 1695" xfId="25348"/>
    <cellStyle name="Hyperlink 1696" xfId="25349"/>
    <cellStyle name="Hyperlink 1697" xfId="25350"/>
    <cellStyle name="Hyperlink 1698" xfId="25351"/>
    <cellStyle name="Hyperlink 1699" xfId="25352"/>
    <cellStyle name="Hyperlink 17" xfId="25353"/>
    <cellStyle name="Hyperlink 170" xfId="25354"/>
    <cellStyle name="Hyperlink 1700" xfId="25355"/>
    <cellStyle name="Hyperlink 1701" xfId="25356"/>
    <cellStyle name="Hyperlink 1702" xfId="25357"/>
    <cellStyle name="Hyperlink 1703" xfId="25358"/>
    <cellStyle name="Hyperlink 1704" xfId="25359"/>
    <cellStyle name="Hyperlink 1705" xfId="25360"/>
    <cellStyle name="Hyperlink 1706" xfId="25361"/>
    <cellStyle name="Hyperlink 1707" xfId="25362"/>
    <cellStyle name="Hyperlink 1708" xfId="25363"/>
    <cellStyle name="Hyperlink 1709" xfId="25364"/>
    <cellStyle name="Hyperlink 171" xfId="25365"/>
    <cellStyle name="Hyperlink 1710" xfId="25366"/>
    <cellStyle name="Hyperlink 1711" xfId="25367"/>
    <cellStyle name="Hyperlink 1712" xfId="25368"/>
    <cellStyle name="Hyperlink 1713" xfId="25369"/>
    <cellStyle name="Hyperlink 1714" xfId="25370"/>
    <cellStyle name="Hyperlink 1715" xfId="25371"/>
    <cellStyle name="Hyperlink 1716" xfId="25372"/>
    <cellStyle name="Hyperlink 1717" xfId="25373"/>
    <cellStyle name="Hyperlink 1718" xfId="25374"/>
    <cellStyle name="Hyperlink 1719" xfId="25375"/>
    <cellStyle name="Hyperlink 172" xfId="25376"/>
    <cellStyle name="Hyperlink 1720" xfId="25377"/>
    <cellStyle name="Hyperlink 1721" xfId="25378"/>
    <cellStyle name="Hyperlink 1722" xfId="25379"/>
    <cellStyle name="Hyperlink 1723" xfId="25380"/>
    <cellStyle name="Hyperlink 1724" xfId="25381"/>
    <cellStyle name="Hyperlink 1725" xfId="25382"/>
    <cellStyle name="Hyperlink 1726" xfId="25383"/>
    <cellStyle name="Hyperlink 1727" xfId="25384"/>
    <cellStyle name="Hyperlink 1728" xfId="25385"/>
    <cellStyle name="Hyperlink 1729" xfId="25386"/>
    <cellStyle name="Hyperlink 173" xfId="25387"/>
    <cellStyle name="Hyperlink 1730" xfId="25388"/>
    <cellStyle name="Hyperlink 1731" xfId="25389"/>
    <cellStyle name="Hyperlink 1732" xfId="25390"/>
    <cellStyle name="Hyperlink 1733" xfId="25391"/>
    <cellStyle name="Hyperlink 1734" xfId="25392"/>
    <cellStyle name="Hyperlink 1735" xfId="25393"/>
    <cellStyle name="Hyperlink 1736" xfId="25394"/>
    <cellStyle name="Hyperlink 1737" xfId="25395"/>
    <cellStyle name="Hyperlink 1738" xfId="25396"/>
    <cellStyle name="Hyperlink 1739" xfId="25397"/>
    <cellStyle name="Hyperlink 174" xfId="25398"/>
    <cellStyle name="Hyperlink 1740" xfId="25399"/>
    <cellStyle name="Hyperlink 1741" xfId="25400"/>
    <cellStyle name="Hyperlink 1742" xfId="25401"/>
    <cellStyle name="Hyperlink 1743" xfId="25402"/>
    <cellStyle name="Hyperlink 1744" xfId="25403"/>
    <cellStyle name="Hyperlink 1745" xfId="25404"/>
    <cellStyle name="Hyperlink 1746" xfId="25405"/>
    <cellStyle name="Hyperlink 1747" xfId="25406"/>
    <cellStyle name="Hyperlink 175" xfId="25407"/>
    <cellStyle name="Hyperlink 176" xfId="25408"/>
    <cellStyle name="Hyperlink 177" xfId="25409"/>
    <cellStyle name="Hyperlink 178" xfId="25410"/>
    <cellStyle name="Hyperlink 179" xfId="25411"/>
    <cellStyle name="Hyperlink 18" xfId="25412"/>
    <cellStyle name="Hyperlink 180" xfId="25413"/>
    <cellStyle name="Hyperlink 181" xfId="25414"/>
    <cellStyle name="Hyperlink 182" xfId="25415"/>
    <cellStyle name="Hyperlink 183" xfId="25416"/>
    <cellStyle name="Hyperlink 184" xfId="25417"/>
    <cellStyle name="Hyperlink 185" xfId="25418"/>
    <cellStyle name="Hyperlink 186" xfId="25419"/>
    <cellStyle name="Hyperlink 187" xfId="25420"/>
    <cellStyle name="Hyperlink 188" xfId="25421"/>
    <cellStyle name="Hyperlink 189" xfId="25422"/>
    <cellStyle name="Hyperlink 19" xfId="25423"/>
    <cellStyle name="Hyperlink 190" xfId="25424"/>
    <cellStyle name="Hyperlink 191" xfId="25425"/>
    <cellStyle name="Hyperlink 192" xfId="25426"/>
    <cellStyle name="Hyperlink 193" xfId="25427"/>
    <cellStyle name="Hyperlink 194" xfId="25428"/>
    <cellStyle name="Hyperlink 195" xfId="25429"/>
    <cellStyle name="Hyperlink 196" xfId="25430"/>
    <cellStyle name="Hyperlink 197" xfId="25431"/>
    <cellStyle name="Hyperlink 198" xfId="25432"/>
    <cellStyle name="Hyperlink 199" xfId="25433"/>
    <cellStyle name="Hyperlink 2" xfId="2447"/>
    <cellStyle name="Hyperlink 2 2" xfId="4125"/>
    <cellStyle name="Hyperlink 2 3" xfId="6506"/>
    <cellStyle name="Hyperlink 20" xfId="25434"/>
    <cellStyle name="Hyperlink 200" xfId="25435"/>
    <cellStyle name="Hyperlink 201" xfId="25436"/>
    <cellStyle name="Hyperlink 202" xfId="25437"/>
    <cellStyle name="Hyperlink 203" xfId="25438"/>
    <cellStyle name="Hyperlink 204" xfId="25439"/>
    <cellStyle name="Hyperlink 205" xfId="25440"/>
    <cellStyle name="Hyperlink 206" xfId="25441"/>
    <cellStyle name="Hyperlink 207" xfId="25442"/>
    <cellStyle name="Hyperlink 208" xfId="25443"/>
    <cellStyle name="Hyperlink 209" xfId="25444"/>
    <cellStyle name="Hyperlink 21" xfId="25445"/>
    <cellStyle name="Hyperlink 210" xfId="25446"/>
    <cellStyle name="Hyperlink 211" xfId="25447"/>
    <cellStyle name="Hyperlink 212" xfId="25448"/>
    <cellStyle name="Hyperlink 213" xfId="25449"/>
    <cellStyle name="Hyperlink 214" xfId="25450"/>
    <cellStyle name="Hyperlink 215" xfId="25451"/>
    <cellStyle name="Hyperlink 216" xfId="25452"/>
    <cellStyle name="Hyperlink 217" xfId="25453"/>
    <cellStyle name="Hyperlink 218" xfId="25454"/>
    <cellStyle name="Hyperlink 219" xfId="25455"/>
    <cellStyle name="Hyperlink 22" xfId="25456"/>
    <cellStyle name="Hyperlink 220" xfId="25457"/>
    <cellStyle name="Hyperlink 221" xfId="25458"/>
    <cellStyle name="Hyperlink 222" xfId="25459"/>
    <cellStyle name="Hyperlink 223" xfId="25460"/>
    <cellStyle name="Hyperlink 224" xfId="25461"/>
    <cellStyle name="Hyperlink 225" xfId="25462"/>
    <cellStyle name="Hyperlink 226" xfId="25463"/>
    <cellStyle name="Hyperlink 227" xfId="25464"/>
    <cellStyle name="Hyperlink 228" xfId="25465"/>
    <cellStyle name="Hyperlink 229" xfId="25466"/>
    <cellStyle name="Hyperlink 23" xfId="25467"/>
    <cellStyle name="Hyperlink 230" xfId="25468"/>
    <cellStyle name="Hyperlink 231" xfId="25469"/>
    <cellStyle name="Hyperlink 232" xfId="25470"/>
    <cellStyle name="Hyperlink 233" xfId="25471"/>
    <cellStyle name="Hyperlink 234" xfId="25472"/>
    <cellStyle name="Hyperlink 235" xfId="25473"/>
    <cellStyle name="Hyperlink 236" xfId="25474"/>
    <cellStyle name="Hyperlink 237" xfId="25475"/>
    <cellStyle name="Hyperlink 238" xfId="25476"/>
    <cellStyle name="Hyperlink 239" xfId="25477"/>
    <cellStyle name="Hyperlink 24" xfId="25478"/>
    <cellStyle name="Hyperlink 240" xfId="25479"/>
    <cellStyle name="Hyperlink 241" xfId="25480"/>
    <cellStyle name="Hyperlink 242" xfId="25481"/>
    <cellStyle name="Hyperlink 243" xfId="25482"/>
    <cellStyle name="Hyperlink 244" xfId="25483"/>
    <cellStyle name="Hyperlink 245" xfId="25484"/>
    <cellStyle name="Hyperlink 246" xfId="25485"/>
    <cellStyle name="Hyperlink 247" xfId="25486"/>
    <cellStyle name="Hyperlink 248" xfId="25487"/>
    <cellStyle name="Hyperlink 249" xfId="25488"/>
    <cellStyle name="Hyperlink 25" xfId="25489"/>
    <cellStyle name="Hyperlink 250" xfId="25490"/>
    <cellStyle name="Hyperlink 251" xfId="25491"/>
    <cellStyle name="Hyperlink 252" xfId="25492"/>
    <cellStyle name="Hyperlink 253" xfId="25493"/>
    <cellStyle name="Hyperlink 254" xfId="25494"/>
    <cellStyle name="Hyperlink 255" xfId="25495"/>
    <cellStyle name="Hyperlink 256" xfId="25496"/>
    <cellStyle name="Hyperlink 257" xfId="25497"/>
    <cellStyle name="Hyperlink 258" xfId="25498"/>
    <cellStyle name="Hyperlink 259" xfId="25499"/>
    <cellStyle name="Hyperlink 26" xfId="25500"/>
    <cellStyle name="Hyperlink 260" xfId="25501"/>
    <cellStyle name="Hyperlink 261" xfId="25502"/>
    <cellStyle name="Hyperlink 262" xfId="25503"/>
    <cellStyle name="Hyperlink 263" xfId="25504"/>
    <cellStyle name="Hyperlink 264" xfId="25505"/>
    <cellStyle name="Hyperlink 265" xfId="25506"/>
    <cellStyle name="Hyperlink 266" xfId="25507"/>
    <cellStyle name="Hyperlink 267" xfId="25508"/>
    <cellStyle name="Hyperlink 268" xfId="25509"/>
    <cellStyle name="Hyperlink 269" xfId="25510"/>
    <cellStyle name="Hyperlink 27" xfId="25511"/>
    <cellStyle name="Hyperlink 270" xfId="25512"/>
    <cellStyle name="Hyperlink 271" xfId="25513"/>
    <cellStyle name="Hyperlink 272" xfId="25514"/>
    <cellStyle name="Hyperlink 273" xfId="25515"/>
    <cellStyle name="Hyperlink 274" xfId="25516"/>
    <cellStyle name="Hyperlink 275" xfId="25517"/>
    <cellStyle name="Hyperlink 276" xfId="25518"/>
    <cellStyle name="Hyperlink 277" xfId="25519"/>
    <cellStyle name="Hyperlink 278" xfId="25520"/>
    <cellStyle name="Hyperlink 279" xfId="25521"/>
    <cellStyle name="Hyperlink 28" xfId="25522"/>
    <cellStyle name="Hyperlink 280" xfId="25523"/>
    <cellStyle name="Hyperlink 281" xfId="25524"/>
    <cellStyle name="Hyperlink 282" xfId="25525"/>
    <cellStyle name="Hyperlink 283" xfId="25526"/>
    <cellStyle name="Hyperlink 284" xfId="25527"/>
    <cellStyle name="Hyperlink 285" xfId="25528"/>
    <cellStyle name="Hyperlink 286" xfId="25529"/>
    <cellStyle name="Hyperlink 287" xfId="25530"/>
    <cellStyle name="Hyperlink 288" xfId="25531"/>
    <cellStyle name="Hyperlink 289" xfId="25532"/>
    <cellStyle name="Hyperlink 29" xfId="25533"/>
    <cellStyle name="Hyperlink 290" xfId="25534"/>
    <cellStyle name="Hyperlink 291" xfId="25535"/>
    <cellStyle name="Hyperlink 292" xfId="25536"/>
    <cellStyle name="Hyperlink 293" xfId="25537"/>
    <cellStyle name="Hyperlink 294" xfId="25538"/>
    <cellStyle name="Hyperlink 295" xfId="25539"/>
    <cellStyle name="Hyperlink 296" xfId="25540"/>
    <cellStyle name="Hyperlink 297" xfId="25541"/>
    <cellStyle name="Hyperlink 298" xfId="25542"/>
    <cellStyle name="Hyperlink 299" xfId="25543"/>
    <cellStyle name="Hyperlink 3" xfId="4126"/>
    <cellStyle name="Hyperlink 30" xfId="25544"/>
    <cellStyle name="Hyperlink 300" xfId="25545"/>
    <cellStyle name="Hyperlink 301" xfId="25546"/>
    <cellStyle name="Hyperlink 302" xfId="25547"/>
    <cellStyle name="Hyperlink 303" xfId="25548"/>
    <cellStyle name="Hyperlink 304" xfId="25549"/>
    <cellStyle name="Hyperlink 305" xfId="25550"/>
    <cellStyle name="Hyperlink 306" xfId="25551"/>
    <cellStyle name="Hyperlink 307" xfId="25552"/>
    <cellStyle name="Hyperlink 308" xfId="25553"/>
    <cellStyle name="Hyperlink 309" xfId="25554"/>
    <cellStyle name="Hyperlink 31" xfId="25555"/>
    <cellStyle name="Hyperlink 310" xfId="25556"/>
    <cellStyle name="Hyperlink 311" xfId="25557"/>
    <cellStyle name="Hyperlink 312" xfId="25558"/>
    <cellStyle name="Hyperlink 313" xfId="25559"/>
    <cellStyle name="Hyperlink 314" xfId="25560"/>
    <cellStyle name="Hyperlink 315" xfId="25561"/>
    <cellStyle name="Hyperlink 316" xfId="25562"/>
    <cellStyle name="Hyperlink 317" xfId="25563"/>
    <cellStyle name="Hyperlink 318" xfId="25564"/>
    <cellStyle name="Hyperlink 319" xfId="25565"/>
    <cellStyle name="Hyperlink 32" xfId="25566"/>
    <cellStyle name="Hyperlink 320" xfId="25567"/>
    <cellStyle name="Hyperlink 321" xfId="25568"/>
    <cellStyle name="Hyperlink 322" xfId="25569"/>
    <cellStyle name="Hyperlink 323" xfId="25570"/>
    <cellStyle name="Hyperlink 324" xfId="25571"/>
    <cellStyle name="Hyperlink 325" xfId="25572"/>
    <cellStyle name="Hyperlink 326" xfId="25573"/>
    <cellStyle name="Hyperlink 327" xfId="25574"/>
    <cellStyle name="Hyperlink 328" xfId="25575"/>
    <cellStyle name="Hyperlink 329" xfId="25576"/>
    <cellStyle name="Hyperlink 33" xfId="25577"/>
    <cellStyle name="Hyperlink 330" xfId="25578"/>
    <cellStyle name="Hyperlink 331" xfId="25579"/>
    <cellStyle name="Hyperlink 332" xfId="25580"/>
    <cellStyle name="Hyperlink 333" xfId="25581"/>
    <cellStyle name="Hyperlink 334" xfId="25582"/>
    <cellStyle name="Hyperlink 335" xfId="25583"/>
    <cellStyle name="Hyperlink 336" xfId="25584"/>
    <cellStyle name="Hyperlink 337" xfId="25585"/>
    <cellStyle name="Hyperlink 338" xfId="25586"/>
    <cellStyle name="Hyperlink 339" xfId="25587"/>
    <cellStyle name="Hyperlink 34" xfId="25588"/>
    <cellStyle name="Hyperlink 340" xfId="25589"/>
    <cellStyle name="Hyperlink 341" xfId="25590"/>
    <cellStyle name="Hyperlink 342" xfId="25591"/>
    <cellStyle name="Hyperlink 343" xfId="25592"/>
    <cellStyle name="Hyperlink 344" xfId="25593"/>
    <cellStyle name="Hyperlink 345" xfId="25594"/>
    <cellStyle name="Hyperlink 346" xfId="25595"/>
    <cellStyle name="Hyperlink 347" xfId="25596"/>
    <cellStyle name="Hyperlink 348" xfId="25597"/>
    <cellStyle name="Hyperlink 349" xfId="25598"/>
    <cellStyle name="Hyperlink 35" xfId="25599"/>
    <cellStyle name="Hyperlink 350" xfId="25600"/>
    <cellStyle name="Hyperlink 351" xfId="25601"/>
    <cellStyle name="Hyperlink 352" xfId="25602"/>
    <cellStyle name="Hyperlink 353" xfId="25603"/>
    <cellStyle name="Hyperlink 354" xfId="25604"/>
    <cellStyle name="Hyperlink 355" xfId="25605"/>
    <cellStyle name="Hyperlink 356" xfId="25606"/>
    <cellStyle name="Hyperlink 357" xfId="25607"/>
    <cellStyle name="Hyperlink 358" xfId="25608"/>
    <cellStyle name="Hyperlink 359" xfId="25609"/>
    <cellStyle name="Hyperlink 36" xfId="25610"/>
    <cellStyle name="Hyperlink 360" xfId="25611"/>
    <cellStyle name="Hyperlink 361" xfId="25612"/>
    <cellStyle name="Hyperlink 362" xfId="25613"/>
    <cellStyle name="Hyperlink 363" xfId="25614"/>
    <cellStyle name="Hyperlink 364" xfId="25615"/>
    <cellStyle name="Hyperlink 365" xfId="25616"/>
    <cellStyle name="Hyperlink 366" xfId="25617"/>
    <cellStyle name="Hyperlink 367" xfId="25618"/>
    <cellStyle name="Hyperlink 368" xfId="25619"/>
    <cellStyle name="Hyperlink 369" xfId="25620"/>
    <cellStyle name="Hyperlink 37" xfId="25621"/>
    <cellStyle name="Hyperlink 370" xfId="25622"/>
    <cellStyle name="Hyperlink 371" xfId="25623"/>
    <cellStyle name="Hyperlink 372" xfId="25624"/>
    <cellStyle name="Hyperlink 373" xfId="25625"/>
    <cellStyle name="Hyperlink 374" xfId="25626"/>
    <cellStyle name="Hyperlink 375" xfId="25627"/>
    <cellStyle name="Hyperlink 376" xfId="25628"/>
    <cellStyle name="Hyperlink 377" xfId="25629"/>
    <cellStyle name="Hyperlink 378" xfId="25630"/>
    <cellStyle name="Hyperlink 379" xfId="25631"/>
    <cellStyle name="Hyperlink 38" xfId="25632"/>
    <cellStyle name="Hyperlink 380" xfId="25633"/>
    <cellStyle name="Hyperlink 381" xfId="25634"/>
    <cellStyle name="Hyperlink 382" xfId="25635"/>
    <cellStyle name="Hyperlink 383" xfId="25636"/>
    <cellStyle name="Hyperlink 384" xfId="25637"/>
    <cellStyle name="Hyperlink 385" xfId="25638"/>
    <cellStyle name="Hyperlink 386" xfId="25639"/>
    <cellStyle name="Hyperlink 387" xfId="25640"/>
    <cellStyle name="Hyperlink 388" xfId="25641"/>
    <cellStyle name="Hyperlink 389" xfId="25642"/>
    <cellStyle name="Hyperlink 39" xfId="25643"/>
    <cellStyle name="Hyperlink 390" xfId="25644"/>
    <cellStyle name="Hyperlink 391" xfId="25645"/>
    <cellStyle name="Hyperlink 392" xfId="25646"/>
    <cellStyle name="Hyperlink 393" xfId="25647"/>
    <cellStyle name="Hyperlink 394" xfId="25648"/>
    <cellStyle name="Hyperlink 395" xfId="25649"/>
    <cellStyle name="Hyperlink 396" xfId="25650"/>
    <cellStyle name="Hyperlink 397" xfId="25651"/>
    <cellStyle name="Hyperlink 398" xfId="25652"/>
    <cellStyle name="Hyperlink 399" xfId="25653"/>
    <cellStyle name="Hyperlink 4" xfId="25654"/>
    <cellStyle name="Hyperlink 40" xfId="25655"/>
    <cellStyle name="Hyperlink 400" xfId="25656"/>
    <cellStyle name="Hyperlink 401" xfId="25657"/>
    <cellStyle name="Hyperlink 402" xfId="25658"/>
    <cellStyle name="Hyperlink 403" xfId="25659"/>
    <cellStyle name="Hyperlink 404" xfId="25660"/>
    <cellStyle name="Hyperlink 405" xfId="25661"/>
    <cellStyle name="Hyperlink 406" xfId="25662"/>
    <cellStyle name="Hyperlink 407" xfId="25663"/>
    <cellStyle name="Hyperlink 408" xfId="25664"/>
    <cellStyle name="Hyperlink 409" xfId="25665"/>
    <cellStyle name="Hyperlink 41" xfId="25666"/>
    <cellStyle name="Hyperlink 410" xfId="25667"/>
    <cellStyle name="Hyperlink 411" xfId="25668"/>
    <cellStyle name="Hyperlink 412" xfId="25669"/>
    <cellStyle name="Hyperlink 413" xfId="25670"/>
    <cellStyle name="Hyperlink 414" xfId="25671"/>
    <cellStyle name="Hyperlink 415" xfId="25672"/>
    <cellStyle name="Hyperlink 416" xfId="25673"/>
    <cellStyle name="Hyperlink 417" xfId="25674"/>
    <cellStyle name="Hyperlink 418" xfId="25675"/>
    <cellStyle name="Hyperlink 419" xfId="25676"/>
    <cellStyle name="Hyperlink 42" xfId="25677"/>
    <cellStyle name="Hyperlink 420" xfId="25678"/>
    <cellStyle name="Hyperlink 421" xfId="25679"/>
    <cellStyle name="Hyperlink 422" xfId="25680"/>
    <cellStyle name="Hyperlink 423" xfId="25681"/>
    <cellStyle name="Hyperlink 424" xfId="25682"/>
    <cellStyle name="Hyperlink 425" xfId="25683"/>
    <cellStyle name="Hyperlink 426" xfId="25684"/>
    <cellStyle name="Hyperlink 427" xfId="25685"/>
    <cellStyle name="Hyperlink 428" xfId="25686"/>
    <cellStyle name="Hyperlink 429" xfId="25687"/>
    <cellStyle name="Hyperlink 43" xfId="25688"/>
    <cellStyle name="Hyperlink 430" xfId="25689"/>
    <cellStyle name="Hyperlink 431" xfId="25690"/>
    <cellStyle name="Hyperlink 432" xfId="25691"/>
    <cellStyle name="Hyperlink 433" xfId="25692"/>
    <cellStyle name="Hyperlink 434" xfId="25693"/>
    <cellStyle name="Hyperlink 435" xfId="25694"/>
    <cellStyle name="Hyperlink 436" xfId="25695"/>
    <cellStyle name="Hyperlink 437" xfId="25696"/>
    <cellStyle name="Hyperlink 438" xfId="25697"/>
    <cellStyle name="Hyperlink 439" xfId="25698"/>
    <cellStyle name="Hyperlink 44" xfId="25699"/>
    <cellStyle name="Hyperlink 440" xfId="25700"/>
    <cellStyle name="Hyperlink 441" xfId="25701"/>
    <cellStyle name="Hyperlink 442" xfId="25702"/>
    <cellStyle name="Hyperlink 443" xfId="25703"/>
    <cellStyle name="Hyperlink 444" xfId="25704"/>
    <cellStyle name="Hyperlink 445" xfId="25705"/>
    <cellStyle name="Hyperlink 446" xfId="25706"/>
    <cellStyle name="Hyperlink 447" xfId="25707"/>
    <cellStyle name="Hyperlink 448" xfId="25708"/>
    <cellStyle name="Hyperlink 449" xfId="25709"/>
    <cellStyle name="Hyperlink 45" xfId="25710"/>
    <cellStyle name="Hyperlink 450" xfId="25711"/>
    <cellStyle name="Hyperlink 451" xfId="25712"/>
    <cellStyle name="Hyperlink 452" xfId="25713"/>
    <cellStyle name="Hyperlink 453" xfId="25714"/>
    <cellStyle name="Hyperlink 454" xfId="25715"/>
    <cellStyle name="Hyperlink 455" xfId="25716"/>
    <cellStyle name="Hyperlink 456" xfId="25717"/>
    <cellStyle name="Hyperlink 457" xfId="25718"/>
    <cellStyle name="Hyperlink 458" xfId="25719"/>
    <cellStyle name="Hyperlink 459" xfId="25720"/>
    <cellStyle name="Hyperlink 46" xfId="25721"/>
    <cellStyle name="Hyperlink 460" xfId="25722"/>
    <cellStyle name="Hyperlink 461" xfId="25723"/>
    <cellStyle name="Hyperlink 462" xfId="25724"/>
    <cellStyle name="Hyperlink 463" xfId="25725"/>
    <cellStyle name="Hyperlink 464" xfId="25726"/>
    <cellStyle name="Hyperlink 465" xfId="25727"/>
    <cellStyle name="Hyperlink 466" xfId="25728"/>
    <cellStyle name="Hyperlink 467" xfId="25729"/>
    <cellStyle name="Hyperlink 468" xfId="25730"/>
    <cellStyle name="Hyperlink 469" xfId="25731"/>
    <cellStyle name="Hyperlink 47" xfId="25732"/>
    <cellStyle name="Hyperlink 470" xfId="25733"/>
    <cellStyle name="Hyperlink 471" xfId="25734"/>
    <cellStyle name="Hyperlink 472" xfId="25735"/>
    <cellStyle name="Hyperlink 473" xfId="25736"/>
    <cellStyle name="Hyperlink 474" xfId="25737"/>
    <cellStyle name="Hyperlink 475" xfId="25738"/>
    <cellStyle name="Hyperlink 476" xfId="25739"/>
    <cellStyle name="Hyperlink 477" xfId="25740"/>
    <cellStyle name="Hyperlink 478" xfId="25741"/>
    <cellStyle name="Hyperlink 479" xfId="25742"/>
    <cellStyle name="Hyperlink 48" xfId="25743"/>
    <cellStyle name="Hyperlink 480" xfId="25744"/>
    <cellStyle name="Hyperlink 481" xfId="25745"/>
    <cellStyle name="Hyperlink 482" xfId="25746"/>
    <cellStyle name="Hyperlink 483" xfId="25747"/>
    <cellStyle name="Hyperlink 484" xfId="25748"/>
    <cellStyle name="Hyperlink 485" xfId="25749"/>
    <cellStyle name="Hyperlink 486" xfId="25750"/>
    <cellStyle name="Hyperlink 487" xfId="25751"/>
    <cellStyle name="Hyperlink 488" xfId="25752"/>
    <cellStyle name="Hyperlink 489" xfId="25753"/>
    <cellStyle name="Hyperlink 49" xfId="25754"/>
    <cellStyle name="Hyperlink 490" xfId="25755"/>
    <cellStyle name="Hyperlink 491" xfId="25756"/>
    <cellStyle name="Hyperlink 492" xfId="25757"/>
    <cellStyle name="Hyperlink 493" xfId="25758"/>
    <cellStyle name="Hyperlink 494" xfId="25759"/>
    <cellStyle name="Hyperlink 495" xfId="25760"/>
    <cellStyle name="Hyperlink 496" xfId="25761"/>
    <cellStyle name="Hyperlink 497" xfId="25762"/>
    <cellStyle name="Hyperlink 498" xfId="25763"/>
    <cellStyle name="Hyperlink 499" xfId="25764"/>
    <cellStyle name="Hyperlink 5" xfId="25765"/>
    <cellStyle name="Hyperlink 50" xfId="25766"/>
    <cellStyle name="Hyperlink 500" xfId="25767"/>
    <cellStyle name="Hyperlink 501" xfId="25768"/>
    <cellStyle name="Hyperlink 502" xfId="25769"/>
    <cellStyle name="Hyperlink 503" xfId="25770"/>
    <cellStyle name="Hyperlink 504" xfId="25771"/>
    <cellStyle name="Hyperlink 505" xfId="25772"/>
    <cellStyle name="Hyperlink 506" xfId="25773"/>
    <cellStyle name="Hyperlink 507" xfId="25774"/>
    <cellStyle name="Hyperlink 508" xfId="25775"/>
    <cellStyle name="Hyperlink 509" xfId="25776"/>
    <cellStyle name="Hyperlink 51" xfId="25777"/>
    <cellStyle name="Hyperlink 510" xfId="25778"/>
    <cellStyle name="Hyperlink 511" xfId="25779"/>
    <cellStyle name="Hyperlink 512" xfId="25780"/>
    <cellStyle name="Hyperlink 513" xfId="25781"/>
    <cellStyle name="Hyperlink 514" xfId="25782"/>
    <cellStyle name="Hyperlink 515" xfId="25783"/>
    <cellStyle name="Hyperlink 516" xfId="25784"/>
    <cellStyle name="Hyperlink 517" xfId="25785"/>
    <cellStyle name="Hyperlink 518" xfId="25786"/>
    <cellStyle name="Hyperlink 519" xfId="25787"/>
    <cellStyle name="Hyperlink 52" xfId="25788"/>
    <cellStyle name="Hyperlink 520" xfId="25789"/>
    <cellStyle name="Hyperlink 521" xfId="25790"/>
    <cellStyle name="Hyperlink 522" xfId="25791"/>
    <cellStyle name="Hyperlink 523" xfId="25792"/>
    <cellStyle name="Hyperlink 524" xfId="25793"/>
    <cellStyle name="Hyperlink 525" xfId="25794"/>
    <cellStyle name="Hyperlink 526" xfId="25795"/>
    <cellStyle name="Hyperlink 527" xfId="25796"/>
    <cellStyle name="Hyperlink 528" xfId="25797"/>
    <cellStyle name="Hyperlink 529" xfId="25798"/>
    <cellStyle name="Hyperlink 53" xfId="25799"/>
    <cellStyle name="Hyperlink 530" xfId="25800"/>
    <cellStyle name="Hyperlink 531" xfId="25801"/>
    <cellStyle name="Hyperlink 532" xfId="25802"/>
    <cellStyle name="Hyperlink 533" xfId="25803"/>
    <cellStyle name="Hyperlink 534" xfId="25804"/>
    <cellStyle name="Hyperlink 535" xfId="25805"/>
    <cellStyle name="Hyperlink 536" xfId="25806"/>
    <cellStyle name="Hyperlink 537" xfId="25807"/>
    <cellStyle name="Hyperlink 538" xfId="25808"/>
    <cellStyle name="Hyperlink 539" xfId="25809"/>
    <cellStyle name="Hyperlink 54" xfId="25810"/>
    <cellStyle name="Hyperlink 540" xfId="25811"/>
    <cellStyle name="Hyperlink 541" xfId="25812"/>
    <cellStyle name="Hyperlink 542" xfId="25813"/>
    <cellStyle name="Hyperlink 543" xfId="25814"/>
    <cellStyle name="Hyperlink 544" xfId="25815"/>
    <cellStyle name="Hyperlink 545" xfId="25816"/>
    <cellStyle name="Hyperlink 546" xfId="25817"/>
    <cellStyle name="Hyperlink 547" xfId="25818"/>
    <cellStyle name="Hyperlink 548" xfId="25819"/>
    <cellStyle name="Hyperlink 549" xfId="25820"/>
    <cellStyle name="Hyperlink 55" xfId="25821"/>
    <cellStyle name="Hyperlink 550" xfId="25822"/>
    <cellStyle name="Hyperlink 551" xfId="25823"/>
    <cellStyle name="Hyperlink 552" xfId="25824"/>
    <cellStyle name="Hyperlink 553" xfId="25825"/>
    <cellStyle name="Hyperlink 554" xfId="25826"/>
    <cellStyle name="Hyperlink 555" xfId="25827"/>
    <cellStyle name="Hyperlink 556" xfId="25828"/>
    <cellStyle name="Hyperlink 557" xfId="25829"/>
    <cellStyle name="Hyperlink 558" xfId="25830"/>
    <cellStyle name="Hyperlink 559" xfId="25831"/>
    <cellStyle name="Hyperlink 56" xfId="25832"/>
    <cellStyle name="Hyperlink 560" xfId="25833"/>
    <cellStyle name="Hyperlink 561" xfId="25834"/>
    <cellStyle name="Hyperlink 562" xfId="25835"/>
    <cellStyle name="Hyperlink 563" xfId="25836"/>
    <cellStyle name="Hyperlink 564" xfId="25837"/>
    <cellStyle name="Hyperlink 565" xfId="25838"/>
    <cellStyle name="Hyperlink 566" xfId="25839"/>
    <cellStyle name="Hyperlink 567" xfId="25840"/>
    <cellStyle name="Hyperlink 568" xfId="25841"/>
    <cellStyle name="Hyperlink 569" xfId="25842"/>
    <cellStyle name="Hyperlink 57" xfId="25843"/>
    <cellStyle name="Hyperlink 570" xfId="25844"/>
    <cellStyle name="Hyperlink 571" xfId="25845"/>
    <cellStyle name="Hyperlink 572" xfId="25846"/>
    <cellStyle name="Hyperlink 573" xfId="25847"/>
    <cellStyle name="Hyperlink 574" xfId="25848"/>
    <cellStyle name="Hyperlink 575" xfId="25849"/>
    <cellStyle name="Hyperlink 576" xfId="25850"/>
    <cellStyle name="Hyperlink 577" xfId="25851"/>
    <cellStyle name="Hyperlink 578" xfId="25852"/>
    <cellStyle name="Hyperlink 579" xfId="25853"/>
    <cellStyle name="Hyperlink 58" xfId="25854"/>
    <cellStyle name="Hyperlink 580" xfId="25855"/>
    <cellStyle name="Hyperlink 581" xfId="25856"/>
    <cellStyle name="Hyperlink 582" xfId="25857"/>
    <cellStyle name="Hyperlink 583" xfId="25858"/>
    <cellStyle name="Hyperlink 584" xfId="25859"/>
    <cellStyle name="Hyperlink 585" xfId="25860"/>
    <cellStyle name="Hyperlink 586" xfId="25861"/>
    <cellStyle name="Hyperlink 587" xfId="25862"/>
    <cellStyle name="Hyperlink 588" xfId="25863"/>
    <cellStyle name="Hyperlink 589" xfId="25864"/>
    <cellStyle name="Hyperlink 59" xfId="25865"/>
    <cellStyle name="Hyperlink 590" xfId="25866"/>
    <cellStyle name="Hyperlink 591" xfId="25867"/>
    <cellStyle name="Hyperlink 592" xfId="25868"/>
    <cellStyle name="Hyperlink 593" xfId="25869"/>
    <cellStyle name="Hyperlink 594" xfId="25870"/>
    <cellStyle name="Hyperlink 595" xfId="25871"/>
    <cellStyle name="Hyperlink 596" xfId="25872"/>
    <cellStyle name="Hyperlink 597" xfId="25873"/>
    <cellStyle name="Hyperlink 598" xfId="25874"/>
    <cellStyle name="Hyperlink 599" xfId="25875"/>
    <cellStyle name="Hyperlink 6" xfId="25876"/>
    <cellStyle name="Hyperlink 60" xfId="25877"/>
    <cellStyle name="Hyperlink 600" xfId="25878"/>
    <cellStyle name="Hyperlink 601" xfId="25879"/>
    <cellStyle name="Hyperlink 602" xfId="25880"/>
    <cellStyle name="Hyperlink 603" xfId="25881"/>
    <cellStyle name="Hyperlink 604" xfId="25882"/>
    <cellStyle name="Hyperlink 605" xfId="25883"/>
    <cellStyle name="Hyperlink 606" xfId="25884"/>
    <cellStyle name="Hyperlink 607" xfId="25885"/>
    <cellStyle name="Hyperlink 608" xfId="25886"/>
    <cellStyle name="Hyperlink 609" xfId="25887"/>
    <cellStyle name="Hyperlink 61" xfId="25888"/>
    <cellStyle name="Hyperlink 610" xfId="25889"/>
    <cellStyle name="Hyperlink 611" xfId="25890"/>
    <cellStyle name="Hyperlink 612" xfId="25891"/>
    <cellStyle name="Hyperlink 613" xfId="25892"/>
    <cellStyle name="Hyperlink 614" xfId="25893"/>
    <cellStyle name="Hyperlink 615" xfId="25894"/>
    <cellStyle name="Hyperlink 616" xfId="25895"/>
    <cellStyle name="Hyperlink 617" xfId="25896"/>
    <cellStyle name="Hyperlink 618" xfId="25897"/>
    <cellStyle name="Hyperlink 619" xfId="25898"/>
    <cellStyle name="Hyperlink 62" xfId="25899"/>
    <cellStyle name="Hyperlink 620" xfId="25900"/>
    <cellStyle name="Hyperlink 621" xfId="25901"/>
    <cellStyle name="Hyperlink 622" xfId="25902"/>
    <cellStyle name="Hyperlink 623" xfId="25903"/>
    <cellStyle name="Hyperlink 624" xfId="25904"/>
    <cellStyle name="Hyperlink 625" xfId="25905"/>
    <cellStyle name="Hyperlink 626" xfId="25906"/>
    <cellStyle name="Hyperlink 627" xfId="25907"/>
    <cellStyle name="Hyperlink 628" xfId="25908"/>
    <cellStyle name="Hyperlink 629" xfId="25909"/>
    <cellStyle name="Hyperlink 63" xfId="25910"/>
    <cellStyle name="Hyperlink 630" xfId="25911"/>
    <cellStyle name="Hyperlink 631" xfId="25912"/>
    <cellStyle name="Hyperlink 632" xfId="25913"/>
    <cellStyle name="Hyperlink 633" xfId="25914"/>
    <cellStyle name="Hyperlink 634" xfId="25915"/>
    <cellStyle name="Hyperlink 635" xfId="25916"/>
    <cellStyle name="Hyperlink 636" xfId="25917"/>
    <cellStyle name="Hyperlink 637" xfId="25918"/>
    <cellStyle name="Hyperlink 638" xfId="25919"/>
    <cellStyle name="Hyperlink 639" xfId="25920"/>
    <cellStyle name="Hyperlink 64" xfId="25921"/>
    <cellStyle name="Hyperlink 640" xfId="25922"/>
    <cellStyle name="Hyperlink 641" xfId="25923"/>
    <cellStyle name="Hyperlink 642" xfId="25924"/>
    <cellStyle name="Hyperlink 643" xfId="25925"/>
    <cellStyle name="Hyperlink 644" xfId="25926"/>
    <cellStyle name="Hyperlink 645" xfId="25927"/>
    <cellStyle name="Hyperlink 646" xfId="25928"/>
    <cellStyle name="Hyperlink 647" xfId="25929"/>
    <cellStyle name="Hyperlink 648" xfId="25930"/>
    <cellStyle name="Hyperlink 649" xfId="25931"/>
    <cellStyle name="Hyperlink 65" xfId="25932"/>
    <cellStyle name="Hyperlink 650" xfId="25933"/>
    <cellStyle name="Hyperlink 651" xfId="25934"/>
    <cellStyle name="Hyperlink 652" xfId="25935"/>
    <cellStyle name="Hyperlink 653" xfId="25936"/>
    <cellStyle name="Hyperlink 654" xfId="25937"/>
    <cellStyle name="Hyperlink 655" xfId="25938"/>
    <cellStyle name="Hyperlink 656" xfId="25939"/>
    <cellStyle name="Hyperlink 657" xfId="25940"/>
    <cellStyle name="Hyperlink 658" xfId="25941"/>
    <cellStyle name="Hyperlink 659" xfId="25942"/>
    <cellStyle name="Hyperlink 66" xfId="25943"/>
    <cellStyle name="Hyperlink 660" xfId="25944"/>
    <cellStyle name="Hyperlink 661" xfId="25945"/>
    <cellStyle name="Hyperlink 662" xfId="25946"/>
    <cellStyle name="Hyperlink 663" xfId="25947"/>
    <cellStyle name="Hyperlink 664" xfId="25948"/>
    <cellStyle name="Hyperlink 665" xfId="25949"/>
    <cellStyle name="Hyperlink 666" xfId="25950"/>
    <cellStyle name="Hyperlink 667" xfId="25951"/>
    <cellStyle name="Hyperlink 668" xfId="25952"/>
    <cellStyle name="Hyperlink 669" xfId="25953"/>
    <cellStyle name="Hyperlink 67" xfId="25954"/>
    <cellStyle name="Hyperlink 670" xfId="25955"/>
    <cellStyle name="Hyperlink 671" xfId="25956"/>
    <cellStyle name="Hyperlink 672" xfId="25957"/>
    <cellStyle name="Hyperlink 673" xfId="25958"/>
    <cellStyle name="Hyperlink 674" xfId="25959"/>
    <cellStyle name="Hyperlink 675" xfId="25960"/>
    <cellStyle name="Hyperlink 676" xfId="25961"/>
    <cellStyle name="Hyperlink 677" xfId="25962"/>
    <cellStyle name="Hyperlink 678" xfId="25963"/>
    <cellStyle name="Hyperlink 679" xfId="25964"/>
    <cellStyle name="Hyperlink 68" xfId="25965"/>
    <cellStyle name="Hyperlink 680" xfId="25966"/>
    <cellStyle name="Hyperlink 681" xfId="25967"/>
    <cellStyle name="Hyperlink 682" xfId="25968"/>
    <cellStyle name="Hyperlink 683" xfId="25969"/>
    <cellStyle name="Hyperlink 684" xfId="25970"/>
    <cellStyle name="Hyperlink 685" xfId="25971"/>
    <cellStyle name="Hyperlink 686" xfId="25972"/>
    <cellStyle name="Hyperlink 687" xfId="25973"/>
    <cellStyle name="Hyperlink 688" xfId="25974"/>
    <cellStyle name="Hyperlink 689" xfId="25975"/>
    <cellStyle name="Hyperlink 69" xfId="25976"/>
    <cellStyle name="Hyperlink 690" xfId="25977"/>
    <cellStyle name="Hyperlink 691" xfId="25978"/>
    <cellStyle name="Hyperlink 692" xfId="25979"/>
    <cellStyle name="Hyperlink 693" xfId="25980"/>
    <cellStyle name="Hyperlink 694" xfId="25981"/>
    <cellStyle name="Hyperlink 695" xfId="25982"/>
    <cellStyle name="Hyperlink 696" xfId="25983"/>
    <cellStyle name="Hyperlink 697" xfId="25984"/>
    <cellStyle name="Hyperlink 698" xfId="25985"/>
    <cellStyle name="Hyperlink 699" xfId="25986"/>
    <cellStyle name="Hyperlink 7" xfId="25987"/>
    <cellStyle name="Hyperlink 70" xfId="25988"/>
    <cellStyle name="Hyperlink 700" xfId="25989"/>
    <cellStyle name="Hyperlink 701" xfId="25990"/>
    <cellStyle name="Hyperlink 702" xfId="25991"/>
    <cellStyle name="Hyperlink 703" xfId="25992"/>
    <cellStyle name="Hyperlink 704" xfId="25993"/>
    <cellStyle name="Hyperlink 705" xfId="25994"/>
    <cellStyle name="Hyperlink 706" xfId="25995"/>
    <cellStyle name="Hyperlink 707" xfId="25996"/>
    <cellStyle name="Hyperlink 708" xfId="25997"/>
    <cellStyle name="Hyperlink 709" xfId="25998"/>
    <cellStyle name="Hyperlink 71" xfId="25999"/>
    <cellStyle name="Hyperlink 710" xfId="26000"/>
    <cellStyle name="Hyperlink 711" xfId="26001"/>
    <cellStyle name="Hyperlink 712" xfId="26002"/>
    <cellStyle name="Hyperlink 713" xfId="26003"/>
    <cellStyle name="Hyperlink 714" xfId="26004"/>
    <cellStyle name="Hyperlink 715" xfId="26005"/>
    <cellStyle name="Hyperlink 716" xfId="26006"/>
    <cellStyle name="Hyperlink 717" xfId="26007"/>
    <cellStyle name="Hyperlink 718" xfId="26008"/>
    <cellStyle name="Hyperlink 719" xfId="26009"/>
    <cellStyle name="Hyperlink 72" xfId="26010"/>
    <cellStyle name="Hyperlink 720" xfId="26011"/>
    <cellStyle name="Hyperlink 721" xfId="26012"/>
    <cellStyle name="Hyperlink 722" xfId="26013"/>
    <cellStyle name="Hyperlink 723" xfId="26014"/>
    <cellStyle name="Hyperlink 724" xfId="26015"/>
    <cellStyle name="Hyperlink 725" xfId="26016"/>
    <cellStyle name="Hyperlink 726" xfId="26017"/>
    <cellStyle name="Hyperlink 727" xfId="26018"/>
    <cellStyle name="Hyperlink 728" xfId="26019"/>
    <cellStyle name="Hyperlink 729" xfId="26020"/>
    <cellStyle name="Hyperlink 73" xfId="26021"/>
    <cellStyle name="Hyperlink 730" xfId="26022"/>
    <cellStyle name="Hyperlink 731" xfId="26023"/>
    <cellStyle name="Hyperlink 732" xfId="26024"/>
    <cellStyle name="Hyperlink 733" xfId="26025"/>
    <cellStyle name="Hyperlink 734" xfId="26026"/>
    <cellStyle name="Hyperlink 735" xfId="26027"/>
    <cellStyle name="Hyperlink 736" xfId="26028"/>
    <cellStyle name="Hyperlink 737" xfId="26029"/>
    <cellStyle name="Hyperlink 738" xfId="26030"/>
    <cellStyle name="Hyperlink 739" xfId="26031"/>
    <cellStyle name="Hyperlink 74" xfId="26032"/>
    <cellStyle name="Hyperlink 740" xfId="26033"/>
    <cellStyle name="Hyperlink 741" xfId="26034"/>
    <cellStyle name="Hyperlink 742" xfId="26035"/>
    <cellStyle name="Hyperlink 743" xfId="26036"/>
    <cellStyle name="Hyperlink 744" xfId="26037"/>
    <cellStyle name="Hyperlink 745" xfId="26038"/>
    <cellStyle name="Hyperlink 746" xfId="26039"/>
    <cellStyle name="Hyperlink 747" xfId="26040"/>
    <cellStyle name="Hyperlink 748" xfId="26041"/>
    <cellStyle name="Hyperlink 749" xfId="26042"/>
    <cellStyle name="Hyperlink 75" xfId="26043"/>
    <cellStyle name="Hyperlink 750" xfId="26044"/>
    <cellStyle name="Hyperlink 751" xfId="26045"/>
    <cellStyle name="Hyperlink 752" xfId="26046"/>
    <cellStyle name="Hyperlink 753" xfId="26047"/>
    <cellStyle name="Hyperlink 754" xfId="26048"/>
    <cellStyle name="Hyperlink 755" xfId="26049"/>
    <cellStyle name="Hyperlink 756" xfId="26050"/>
    <cellStyle name="Hyperlink 757" xfId="26051"/>
    <cellStyle name="Hyperlink 758" xfId="26052"/>
    <cellStyle name="Hyperlink 759" xfId="26053"/>
    <cellStyle name="Hyperlink 76" xfId="26054"/>
    <cellStyle name="Hyperlink 760" xfId="26055"/>
    <cellStyle name="Hyperlink 761" xfId="26056"/>
    <cellStyle name="Hyperlink 762" xfId="26057"/>
    <cellStyle name="Hyperlink 763" xfId="26058"/>
    <cellStyle name="Hyperlink 764" xfId="26059"/>
    <cellStyle name="Hyperlink 765" xfId="26060"/>
    <cellStyle name="Hyperlink 766" xfId="26061"/>
    <cellStyle name="Hyperlink 767" xfId="26062"/>
    <cellStyle name="Hyperlink 768" xfId="26063"/>
    <cellStyle name="Hyperlink 769" xfId="26064"/>
    <cellStyle name="Hyperlink 77" xfId="26065"/>
    <cellStyle name="Hyperlink 770" xfId="26066"/>
    <cellStyle name="Hyperlink 771" xfId="26067"/>
    <cellStyle name="Hyperlink 772" xfId="26068"/>
    <cellStyle name="Hyperlink 773" xfId="26069"/>
    <cellStyle name="Hyperlink 774" xfId="26070"/>
    <cellStyle name="Hyperlink 775" xfId="26071"/>
    <cellStyle name="Hyperlink 776" xfId="26072"/>
    <cellStyle name="Hyperlink 777" xfId="26073"/>
    <cellStyle name="Hyperlink 778" xfId="26074"/>
    <cellStyle name="Hyperlink 779" xfId="26075"/>
    <cellStyle name="Hyperlink 78" xfId="26076"/>
    <cellStyle name="Hyperlink 780" xfId="26077"/>
    <cellStyle name="Hyperlink 781" xfId="26078"/>
    <cellStyle name="Hyperlink 782" xfId="26079"/>
    <cellStyle name="Hyperlink 783" xfId="26080"/>
    <cellStyle name="Hyperlink 784" xfId="26081"/>
    <cellStyle name="Hyperlink 785" xfId="26082"/>
    <cellStyle name="Hyperlink 786" xfId="26083"/>
    <cellStyle name="Hyperlink 787" xfId="26084"/>
    <cellStyle name="Hyperlink 788" xfId="26085"/>
    <cellStyle name="Hyperlink 789" xfId="26086"/>
    <cellStyle name="Hyperlink 79" xfId="26087"/>
    <cellStyle name="Hyperlink 790" xfId="26088"/>
    <cellStyle name="Hyperlink 791" xfId="26089"/>
    <cellStyle name="Hyperlink 792" xfId="26090"/>
    <cellStyle name="Hyperlink 793" xfId="26091"/>
    <cellStyle name="Hyperlink 794" xfId="26092"/>
    <cellStyle name="Hyperlink 795" xfId="26093"/>
    <cellStyle name="Hyperlink 796" xfId="26094"/>
    <cellStyle name="Hyperlink 797" xfId="26095"/>
    <cellStyle name="Hyperlink 798" xfId="26096"/>
    <cellStyle name="Hyperlink 799" xfId="26097"/>
    <cellStyle name="Hyperlink 8" xfId="26098"/>
    <cellStyle name="Hyperlink 80" xfId="26099"/>
    <cellStyle name="Hyperlink 800" xfId="26100"/>
    <cellStyle name="Hyperlink 801" xfId="26101"/>
    <cellStyle name="Hyperlink 802" xfId="26102"/>
    <cellStyle name="Hyperlink 803" xfId="26103"/>
    <cellStyle name="Hyperlink 804" xfId="26104"/>
    <cellStyle name="Hyperlink 805" xfId="26105"/>
    <cellStyle name="Hyperlink 806" xfId="26106"/>
    <cellStyle name="Hyperlink 807" xfId="26107"/>
    <cellStyle name="Hyperlink 808" xfId="26108"/>
    <cellStyle name="Hyperlink 809" xfId="26109"/>
    <cellStyle name="Hyperlink 81" xfId="26110"/>
    <cellStyle name="Hyperlink 810" xfId="26111"/>
    <cellStyle name="Hyperlink 811" xfId="26112"/>
    <cellStyle name="Hyperlink 812" xfId="26113"/>
    <cellStyle name="Hyperlink 813" xfId="26114"/>
    <cellStyle name="Hyperlink 814" xfId="26115"/>
    <cellStyle name="Hyperlink 815" xfId="26116"/>
    <cellStyle name="Hyperlink 816" xfId="26117"/>
    <cellStyle name="Hyperlink 817" xfId="26118"/>
    <cellStyle name="Hyperlink 818" xfId="26119"/>
    <cellStyle name="Hyperlink 819" xfId="26120"/>
    <cellStyle name="Hyperlink 82" xfId="26121"/>
    <cellStyle name="Hyperlink 820" xfId="26122"/>
    <cellStyle name="Hyperlink 821" xfId="26123"/>
    <cellStyle name="Hyperlink 822" xfId="26124"/>
    <cellStyle name="Hyperlink 823" xfId="26125"/>
    <cellStyle name="Hyperlink 824" xfId="26126"/>
    <cellStyle name="Hyperlink 825" xfId="26127"/>
    <cellStyle name="Hyperlink 826" xfId="26128"/>
    <cellStyle name="Hyperlink 827" xfId="26129"/>
    <cellStyle name="Hyperlink 828" xfId="26130"/>
    <cellStyle name="Hyperlink 829" xfId="26131"/>
    <cellStyle name="Hyperlink 83" xfId="26132"/>
    <cellStyle name="Hyperlink 830" xfId="26133"/>
    <cellStyle name="Hyperlink 831" xfId="26134"/>
    <cellStyle name="Hyperlink 832" xfId="26135"/>
    <cellStyle name="Hyperlink 833" xfId="26136"/>
    <cellStyle name="Hyperlink 834" xfId="26137"/>
    <cellStyle name="Hyperlink 835" xfId="26138"/>
    <cellStyle name="Hyperlink 836" xfId="26139"/>
    <cellStyle name="Hyperlink 837" xfId="26140"/>
    <cellStyle name="Hyperlink 838" xfId="26141"/>
    <cellStyle name="Hyperlink 839" xfId="26142"/>
    <cellStyle name="Hyperlink 84" xfId="26143"/>
    <cellStyle name="Hyperlink 840" xfId="26144"/>
    <cellStyle name="Hyperlink 841" xfId="26145"/>
    <cellStyle name="Hyperlink 842" xfId="26146"/>
    <cellStyle name="Hyperlink 843" xfId="26147"/>
    <cellStyle name="Hyperlink 844" xfId="26148"/>
    <cellStyle name="Hyperlink 845" xfId="26149"/>
    <cellStyle name="Hyperlink 846" xfId="26150"/>
    <cellStyle name="Hyperlink 847" xfId="26151"/>
    <cellStyle name="Hyperlink 848" xfId="26152"/>
    <cellStyle name="Hyperlink 849" xfId="26153"/>
    <cellStyle name="Hyperlink 85" xfId="26154"/>
    <cellStyle name="Hyperlink 850" xfId="26155"/>
    <cellStyle name="Hyperlink 851" xfId="26156"/>
    <cellStyle name="Hyperlink 852" xfId="26157"/>
    <cellStyle name="Hyperlink 853" xfId="26158"/>
    <cellStyle name="Hyperlink 854" xfId="26159"/>
    <cellStyle name="Hyperlink 855" xfId="26160"/>
    <cellStyle name="Hyperlink 856" xfId="26161"/>
    <cellStyle name="Hyperlink 857" xfId="26162"/>
    <cellStyle name="Hyperlink 858" xfId="26163"/>
    <cellStyle name="Hyperlink 859" xfId="26164"/>
    <cellStyle name="Hyperlink 86" xfId="26165"/>
    <cellStyle name="Hyperlink 860" xfId="26166"/>
    <cellStyle name="Hyperlink 861" xfId="26167"/>
    <cellStyle name="Hyperlink 862" xfId="26168"/>
    <cellStyle name="Hyperlink 863" xfId="26169"/>
    <cellStyle name="Hyperlink 864" xfId="26170"/>
    <cellStyle name="Hyperlink 865" xfId="26171"/>
    <cellStyle name="Hyperlink 866" xfId="26172"/>
    <cellStyle name="Hyperlink 867" xfId="26173"/>
    <cellStyle name="Hyperlink 868" xfId="26174"/>
    <cellStyle name="Hyperlink 869" xfId="26175"/>
    <cellStyle name="Hyperlink 87" xfId="26176"/>
    <cellStyle name="Hyperlink 870" xfId="26177"/>
    <cellStyle name="Hyperlink 871" xfId="26178"/>
    <cellStyle name="Hyperlink 872" xfId="26179"/>
    <cellStyle name="Hyperlink 873" xfId="26180"/>
    <cellStyle name="Hyperlink 874" xfId="26181"/>
    <cellStyle name="Hyperlink 875" xfId="26182"/>
    <cellStyle name="Hyperlink 876" xfId="26183"/>
    <cellStyle name="Hyperlink 877" xfId="26184"/>
    <cellStyle name="Hyperlink 878" xfId="26185"/>
    <cellStyle name="Hyperlink 879" xfId="26186"/>
    <cellStyle name="Hyperlink 88" xfId="26187"/>
    <cellStyle name="Hyperlink 880" xfId="26188"/>
    <cellStyle name="Hyperlink 881" xfId="26189"/>
    <cellStyle name="Hyperlink 882" xfId="26190"/>
    <cellStyle name="Hyperlink 883" xfId="26191"/>
    <cellStyle name="Hyperlink 884" xfId="26192"/>
    <cellStyle name="Hyperlink 885" xfId="26193"/>
    <cellStyle name="Hyperlink 886" xfId="26194"/>
    <cellStyle name="Hyperlink 887" xfId="26195"/>
    <cellStyle name="Hyperlink 888" xfId="26196"/>
    <cellStyle name="Hyperlink 889" xfId="26197"/>
    <cellStyle name="Hyperlink 89" xfId="26198"/>
    <cellStyle name="Hyperlink 890" xfId="26199"/>
    <cellStyle name="Hyperlink 891" xfId="26200"/>
    <cellStyle name="Hyperlink 892" xfId="26201"/>
    <cellStyle name="Hyperlink 893" xfId="26202"/>
    <cellStyle name="Hyperlink 894" xfId="26203"/>
    <cellStyle name="Hyperlink 895" xfId="26204"/>
    <cellStyle name="Hyperlink 896" xfId="26205"/>
    <cellStyle name="Hyperlink 897" xfId="26206"/>
    <cellStyle name="Hyperlink 898" xfId="26207"/>
    <cellStyle name="Hyperlink 899" xfId="26208"/>
    <cellStyle name="Hyperlink 9" xfId="26209"/>
    <cellStyle name="Hyperlink 90" xfId="26210"/>
    <cellStyle name="Hyperlink 900" xfId="26211"/>
    <cellStyle name="Hyperlink 901" xfId="26212"/>
    <cellStyle name="Hyperlink 902" xfId="26213"/>
    <cellStyle name="Hyperlink 903" xfId="26214"/>
    <cellStyle name="Hyperlink 904" xfId="26215"/>
    <cellStyle name="Hyperlink 905" xfId="26216"/>
    <cellStyle name="Hyperlink 906" xfId="26217"/>
    <cellStyle name="Hyperlink 907" xfId="26218"/>
    <cellStyle name="Hyperlink 908" xfId="26219"/>
    <cellStyle name="Hyperlink 909" xfId="26220"/>
    <cellStyle name="Hyperlink 91" xfId="26221"/>
    <cellStyle name="Hyperlink 910" xfId="26222"/>
    <cellStyle name="Hyperlink 911" xfId="26223"/>
    <cellStyle name="Hyperlink 912" xfId="26224"/>
    <cellStyle name="Hyperlink 913" xfId="26225"/>
    <cellStyle name="Hyperlink 914" xfId="26226"/>
    <cellStyle name="Hyperlink 915" xfId="26227"/>
    <cellStyle name="Hyperlink 916" xfId="26228"/>
    <cellStyle name="Hyperlink 917" xfId="26229"/>
    <cellStyle name="Hyperlink 918" xfId="26230"/>
    <cellStyle name="Hyperlink 919" xfId="26231"/>
    <cellStyle name="Hyperlink 92" xfId="26232"/>
    <cellStyle name="Hyperlink 920" xfId="26233"/>
    <cellStyle name="Hyperlink 921" xfId="26234"/>
    <cellStyle name="Hyperlink 922" xfId="26235"/>
    <cellStyle name="Hyperlink 923" xfId="26236"/>
    <cellStyle name="Hyperlink 924" xfId="26237"/>
    <cellStyle name="Hyperlink 925" xfId="26238"/>
    <cellStyle name="Hyperlink 926" xfId="26239"/>
    <cellStyle name="Hyperlink 927" xfId="26240"/>
    <cellStyle name="Hyperlink 928" xfId="26241"/>
    <cellStyle name="Hyperlink 929" xfId="26242"/>
    <cellStyle name="Hyperlink 93" xfId="26243"/>
    <cellStyle name="Hyperlink 930" xfId="26244"/>
    <cellStyle name="Hyperlink 931" xfId="26245"/>
    <cellStyle name="Hyperlink 932" xfId="26246"/>
    <cellStyle name="Hyperlink 933" xfId="26247"/>
    <cellStyle name="Hyperlink 934" xfId="26248"/>
    <cellStyle name="Hyperlink 935" xfId="26249"/>
    <cellStyle name="Hyperlink 936" xfId="26250"/>
    <cellStyle name="Hyperlink 937" xfId="26251"/>
    <cellStyle name="Hyperlink 938" xfId="26252"/>
    <cellStyle name="Hyperlink 939" xfId="26253"/>
    <cellStyle name="Hyperlink 94" xfId="26254"/>
    <cellStyle name="Hyperlink 940" xfId="26255"/>
    <cellStyle name="Hyperlink 941" xfId="26256"/>
    <cellStyle name="Hyperlink 942" xfId="26257"/>
    <cellStyle name="Hyperlink 943" xfId="26258"/>
    <cellStyle name="Hyperlink 944" xfId="26259"/>
    <cellStyle name="Hyperlink 945" xfId="26260"/>
    <cellStyle name="Hyperlink 946" xfId="26261"/>
    <cellStyle name="Hyperlink 947" xfId="26262"/>
    <cellStyle name="Hyperlink 948" xfId="26263"/>
    <cellStyle name="Hyperlink 949" xfId="26264"/>
    <cellStyle name="Hyperlink 95" xfId="26265"/>
    <cellStyle name="Hyperlink 950" xfId="26266"/>
    <cellStyle name="Hyperlink 951" xfId="26267"/>
    <cellStyle name="Hyperlink 952" xfId="26268"/>
    <cellStyle name="Hyperlink 953" xfId="26269"/>
    <cellStyle name="Hyperlink 954" xfId="26270"/>
    <cellStyle name="Hyperlink 955" xfId="26271"/>
    <cellStyle name="Hyperlink 956" xfId="26272"/>
    <cellStyle name="Hyperlink 957" xfId="26273"/>
    <cellStyle name="Hyperlink 958" xfId="26274"/>
    <cellStyle name="Hyperlink 959" xfId="26275"/>
    <cellStyle name="Hyperlink 96" xfId="26276"/>
    <cellStyle name="Hyperlink 960" xfId="26277"/>
    <cellStyle name="Hyperlink 961" xfId="26278"/>
    <cellStyle name="Hyperlink 962" xfId="26279"/>
    <cellStyle name="Hyperlink 963" xfId="26280"/>
    <cellStyle name="Hyperlink 964" xfId="26281"/>
    <cellStyle name="Hyperlink 965" xfId="26282"/>
    <cellStyle name="Hyperlink 966" xfId="26283"/>
    <cellStyle name="Hyperlink 967" xfId="26284"/>
    <cellStyle name="Hyperlink 968" xfId="26285"/>
    <cellStyle name="Hyperlink 969" xfId="26286"/>
    <cellStyle name="Hyperlink 97" xfId="26287"/>
    <cellStyle name="Hyperlink 970" xfId="26288"/>
    <cellStyle name="Hyperlink 971" xfId="26289"/>
    <cellStyle name="Hyperlink 972" xfId="26290"/>
    <cellStyle name="Hyperlink 973" xfId="26291"/>
    <cellStyle name="Hyperlink 974" xfId="26292"/>
    <cellStyle name="Hyperlink 975" xfId="26293"/>
    <cellStyle name="Hyperlink 976" xfId="26294"/>
    <cellStyle name="Hyperlink 977" xfId="26295"/>
    <cellStyle name="Hyperlink 978" xfId="26296"/>
    <cellStyle name="Hyperlink 979" xfId="26297"/>
    <cellStyle name="Hyperlink 98" xfId="26298"/>
    <cellStyle name="Hyperlink 980" xfId="26299"/>
    <cellStyle name="Hyperlink 981" xfId="26300"/>
    <cellStyle name="Hyperlink 982" xfId="26301"/>
    <cellStyle name="Hyperlink 983" xfId="26302"/>
    <cellStyle name="Hyperlink 984" xfId="26303"/>
    <cellStyle name="Hyperlink 985" xfId="26304"/>
    <cellStyle name="Hyperlink 986" xfId="26305"/>
    <cellStyle name="Hyperlink 987" xfId="26306"/>
    <cellStyle name="Hyperlink 988" xfId="26307"/>
    <cellStyle name="Hyperlink 989" xfId="26308"/>
    <cellStyle name="Hyperlink 99" xfId="26309"/>
    <cellStyle name="Hyperlink 990" xfId="26310"/>
    <cellStyle name="Hyperlink 991" xfId="26311"/>
    <cellStyle name="Hyperlink 992" xfId="26312"/>
    <cellStyle name="Hyperlink 993" xfId="26313"/>
    <cellStyle name="Hyperlink 994" xfId="26314"/>
    <cellStyle name="Hyperlink 995" xfId="26315"/>
    <cellStyle name="Hyperlink 996" xfId="26316"/>
    <cellStyle name="Hyperlink 997" xfId="26317"/>
    <cellStyle name="Hyperlink 998" xfId="26318"/>
    <cellStyle name="Hyperlink 999" xfId="26319"/>
    <cellStyle name="Input [yellow]" xfId="2448"/>
    <cellStyle name="Input [yellow] 2" xfId="9605"/>
    <cellStyle name="Input 10" xfId="2449"/>
    <cellStyle name="Input 11" xfId="2450"/>
    <cellStyle name="Input 12" xfId="2451"/>
    <cellStyle name="Input 13" xfId="2452"/>
    <cellStyle name="Input 14" xfId="2453"/>
    <cellStyle name="Input 15" xfId="2454"/>
    <cellStyle name="Input 16" xfId="2455"/>
    <cellStyle name="Input 17" xfId="2456"/>
    <cellStyle name="Input 18" xfId="2457"/>
    <cellStyle name="Input 19" xfId="2458"/>
    <cellStyle name="Input 2" xfId="2459"/>
    <cellStyle name="Input 2 2" xfId="2460"/>
    <cellStyle name="Input 2 3" xfId="4127"/>
    <cellStyle name="Input 2 4" xfId="6507"/>
    <cellStyle name="Input 20" xfId="2461"/>
    <cellStyle name="Input 21" xfId="2462"/>
    <cellStyle name="Input 22" xfId="2463"/>
    <cellStyle name="Input 23" xfId="2464"/>
    <cellStyle name="Input 24" xfId="2465"/>
    <cellStyle name="Input 25" xfId="2466"/>
    <cellStyle name="Input 26" xfId="2467"/>
    <cellStyle name="Input 27" xfId="2468"/>
    <cellStyle name="Input 28" xfId="2469"/>
    <cellStyle name="Input 29" xfId="2470"/>
    <cellStyle name="Input 3" xfId="2471"/>
    <cellStyle name="Input 3 2" xfId="4128"/>
    <cellStyle name="Input 3 3" xfId="5391"/>
    <cellStyle name="Input 3 4" xfId="6508"/>
    <cellStyle name="Input 30" xfId="2472"/>
    <cellStyle name="Input 31" xfId="2473"/>
    <cellStyle name="Input 32" xfId="2474"/>
    <cellStyle name="Input 33" xfId="2475"/>
    <cellStyle name="Input 34" xfId="2476"/>
    <cellStyle name="Input 35" xfId="2477"/>
    <cellStyle name="Input 36" xfId="2478"/>
    <cellStyle name="Input 37" xfId="2479"/>
    <cellStyle name="Input 38" xfId="2480"/>
    <cellStyle name="Input 39" xfId="2481"/>
    <cellStyle name="Input 4" xfId="2482"/>
    <cellStyle name="Input 4 2" xfId="4129"/>
    <cellStyle name="Input 4 3" xfId="5390"/>
    <cellStyle name="Input 4 4" xfId="6509"/>
    <cellStyle name="Input 40" xfId="2483"/>
    <cellStyle name="Input 41" xfId="2484"/>
    <cellStyle name="Input 42" xfId="2485"/>
    <cellStyle name="Input 43" xfId="2486"/>
    <cellStyle name="Input 44" xfId="2487"/>
    <cellStyle name="Input 45" xfId="2488"/>
    <cellStyle name="Input 46" xfId="2489"/>
    <cellStyle name="Input 47" xfId="2490"/>
    <cellStyle name="Input 48" xfId="2491"/>
    <cellStyle name="Input 49" xfId="2492"/>
    <cellStyle name="Input 5" xfId="2493"/>
    <cellStyle name="Input 50" xfId="2494"/>
    <cellStyle name="Input 51" xfId="2495"/>
    <cellStyle name="Input 52" xfId="2496"/>
    <cellStyle name="Input 53" xfId="2497"/>
    <cellStyle name="Input 54" xfId="2498"/>
    <cellStyle name="Input 55" xfId="2499"/>
    <cellStyle name="Input 56" xfId="2500"/>
    <cellStyle name="Input 57" xfId="2501"/>
    <cellStyle name="Input 58" xfId="2502"/>
    <cellStyle name="Input 59" xfId="2503"/>
    <cellStyle name="Input 6" xfId="2504"/>
    <cellStyle name="Input 6 2" xfId="2505"/>
    <cellStyle name="Input 60" xfId="2506"/>
    <cellStyle name="Input 61" xfId="4130"/>
    <cellStyle name="Input 62" xfId="14013"/>
    <cellStyle name="Input 7" xfId="2507"/>
    <cellStyle name="Input 7 2" xfId="2508"/>
    <cellStyle name="Input 8" xfId="2509"/>
    <cellStyle name="Input 8 2" xfId="2510"/>
    <cellStyle name="Input 9" xfId="2511"/>
    <cellStyle name="Input 9 2" xfId="2512"/>
    <cellStyle name="Input Percent [2]" xfId="2513"/>
    <cellStyle name="Input Percent [2] 2" xfId="9606"/>
    <cellStyle name="Insatisfaisant" xfId="2514"/>
    <cellStyle name="Linked" xfId="2515"/>
    <cellStyle name="Linked Cell 10" xfId="2516"/>
    <cellStyle name="Linked Cell 11" xfId="2517"/>
    <cellStyle name="Linked Cell 12" xfId="2518"/>
    <cellStyle name="Linked Cell 13" xfId="2519"/>
    <cellStyle name="Linked Cell 14" xfId="2520"/>
    <cellStyle name="Linked Cell 15" xfId="2521"/>
    <cellStyle name="Linked Cell 16" xfId="2522"/>
    <cellStyle name="Linked Cell 17" xfId="2523"/>
    <cellStyle name="Linked Cell 18" xfId="2524"/>
    <cellStyle name="Linked Cell 19" xfId="2525"/>
    <cellStyle name="Linked Cell 2" xfId="2526"/>
    <cellStyle name="Linked Cell 2 2" xfId="2527"/>
    <cellStyle name="Linked Cell 2 3" xfId="4131"/>
    <cellStyle name="Linked Cell 2 4" xfId="6510"/>
    <cellStyle name="Linked Cell 20" xfId="2528"/>
    <cellStyle name="Linked Cell 21" xfId="2529"/>
    <cellStyle name="Linked Cell 22" xfId="2530"/>
    <cellStyle name="Linked Cell 23" xfId="13631"/>
    <cellStyle name="Linked Cell 3" xfId="2531"/>
    <cellStyle name="Linked Cell 3 2" xfId="4132"/>
    <cellStyle name="Linked Cell 3 3" xfId="5393"/>
    <cellStyle name="Linked Cell 3 4" xfId="6511"/>
    <cellStyle name="Linked Cell 4" xfId="2532"/>
    <cellStyle name="Linked Cell 4 2" xfId="2533"/>
    <cellStyle name="Linked Cell 4 3" xfId="4133"/>
    <cellStyle name="Linked Cell 4 4" xfId="5392"/>
    <cellStyle name="Linked Cell 4 5" xfId="6512"/>
    <cellStyle name="Linked Cell 5" xfId="2534"/>
    <cellStyle name="Linked Cell 6" xfId="2535"/>
    <cellStyle name="Linked Cell 7" xfId="2536"/>
    <cellStyle name="Linked Cell 8" xfId="2537"/>
    <cellStyle name="Linked Cell 9" xfId="2538"/>
    <cellStyle name="Locked" xfId="2539"/>
    <cellStyle name="Locked 2" xfId="9607"/>
    <cellStyle name="Millares [0]_Segment Values" xfId="4134"/>
    <cellStyle name="Millares_Segment Values" xfId="4135"/>
    <cellStyle name="Milliers [0]_CREATIVE" xfId="2540"/>
    <cellStyle name="Milliers_CREATIVE" xfId="2541"/>
    <cellStyle name="Moneda [0]_Mex-Braz-Arg" xfId="2542"/>
    <cellStyle name="Moneda_Mex-Braz-Arg" xfId="2543"/>
    <cellStyle name="Monétaire [0]_CREATIVE" xfId="2544"/>
    <cellStyle name="Monétaire_CREATIVE" xfId="2545"/>
    <cellStyle name="MonthYears" xfId="2546"/>
    <cellStyle name="MonthYears 2" xfId="9608"/>
    <cellStyle name="Multiple" xfId="2547"/>
    <cellStyle name="MW" xfId="4136"/>
    <cellStyle name="MW 2" xfId="4137"/>
    <cellStyle name="MW 2 2" xfId="4138"/>
    <cellStyle name="MW 2 2 2" xfId="14199"/>
    <cellStyle name="MW 2 3" xfId="14198"/>
    <cellStyle name="MW 3" xfId="4139"/>
    <cellStyle name="MW 3 2" xfId="4140"/>
    <cellStyle name="MW 3 2 2" xfId="14201"/>
    <cellStyle name="MW 3 3" xfId="14200"/>
    <cellStyle name="MW 4" xfId="4141"/>
    <cellStyle name="MW 4 2" xfId="14202"/>
    <cellStyle name="MW 5" xfId="4142"/>
    <cellStyle name="MW 5 2" xfId="14203"/>
    <cellStyle name="MW 6" xfId="4143"/>
    <cellStyle name="MW 6 2" xfId="14204"/>
    <cellStyle name="MW 7" xfId="4144"/>
    <cellStyle name="MW 7 2" xfId="14205"/>
    <cellStyle name="MW 8" xfId="14197"/>
    <cellStyle name="MW_2011 Q2 CAM True Up - comparison btwn 12Sep11 and 21June11" xfId="4145"/>
    <cellStyle name="MWh" xfId="4146"/>
    <cellStyle name="MWh 2" xfId="4147"/>
    <cellStyle name="MWh 2 2" xfId="4148"/>
    <cellStyle name="MWh 2 2 2" xfId="14208"/>
    <cellStyle name="MWh 2 3" xfId="14207"/>
    <cellStyle name="MWh 3" xfId="4149"/>
    <cellStyle name="MWh 3 2" xfId="4150"/>
    <cellStyle name="MWh 3 2 2" xfId="14210"/>
    <cellStyle name="MWh 3 3" xfId="14209"/>
    <cellStyle name="MWh 4" xfId="4151"/>
    <cellStyle name="MWh 4 2" xfId="14211"/>
    <cellStyle name="MWh 5" xfId="4152"/>
    <cellStyle name="MWh 5 2" xfId="14212"/>
    <cellStyle name="MWh 6" xfId="4153"/>
    <cellStyle name="MWh 6 2" xfId="14213"/>
    <cellStyle name="MWh 7" xfId="4154"/>
    <cellStyle name="MWh 7 2" xfId="14214"/>
    <cellStyle name="MWh 8" xfId="14206"/>
    <cellStyle name="MWh_2011 Q2 CAM True Up - comparison btwn 12Sep11 and 21June11" xfId="4155"/>
    <cellStyle name="Neutral 10" xfId="2548"/>
    <cellStyle name="Neutral 11" xfId="2549"/>
    <cellStyle name="Neutral 12" xfId="2550"/>
    <cellStyle name="Neutral 13" xfId="2551"/>
    <cellStyle name="Neutral 14" xfId="2552"/>
    <cellStyle name="Neutral 15" xfId="2553"/>
    <cellStyle name="Neutral 16" xfId="2554"/>
    <cellStyle name="Neutral 17" xfId="2555"/>
    <cellStyle name="Neutral 18" xfId="2556"/>
    <cellStyle name="Neutral 19" xfId="2557"/>
    <cellStyle name="Neutral 2" xfId="2558"/>
    <cellStyle name="Neutral 2 2" xfId="2559"/>
    <cellStyle name="Neutral 2 3" xfId="4156"/>
    <cellStyle name="Neutral 2 4" xfId="6513"/>
    <cellStyle name="Neutral 20" xfId="2560"/>
    <cellStyle name="Neutral 21" xfId="2561"/>
    <cellStyle name="Neutral 22" xfId="2562"/>
    <cellStyle name="Neutral 23" xfId="4157"/>
    <cellStyle name="Neutral 24" xfId="13632"/>
    <cellStyle name="Neutral 3" xfId="2563"/>
    <cellStyle name="Neutral 3 2" xfId="4158"/>
    <cellStyle name="Neutral 3 3" xfId="5395"/>
    <cellStyle name="Neutral 3 4" xfId="6514"/>
    <cellStyle name="Neutral 4" xfId="2564"/>
    <cellStyle name="Neutral 4 2" xfId="2565"/>
    <cellStyle name="Neutral 4 3" xfId="4159"/>
    <cellStyle name="Neutral 4 4" xfId="5394"/>
    <cellStyle name="Neutral 4 5" xfId="6515"/>
    <cellStyle name="Neutral 5" xfId="2566"/>
    <cellStyle name="Neutral 6" xfId="2567"/>
    <cellStyle name="Neutral 7" xfId="2568"/>
    <cellStyle name="Neutral 8" xfId="2569"/>
    <cellStyle name="Neutral 9" xfId="2570"/>
    <cellStyle name="Neutre" xfId="2571"/>
    <cellStyle name="NEW" xfId="2572"/>
    <cellStyle name="no dec" xfId="2573"/>
    <cellStyle name="no dec 2" xfId="9609"/>
    <cellStyle name="no dec 3" xfId="9610"/>
    <cellStyle name="no dec 4" xfId="9715"/>
    <cellStyle name="Normal" xfId="0" builtinId="0"/>
    <cellStyle name="Normal - Style1" xfId="2574"/>
    <cellStyle name="Normal - Style1 2" xfId="2575"/>
    <cellStyle name="Normal - Style1 3" xfId="4160"/>
    <cellStyle name="Normal 000$" xfId="4161"/>
    <cellStyle name="Normal 10" xfId="2576"/>
    <cellStyle name="Normal 10 10" xfId="14033"/>
    <cellStyle name="Normal 10 10 2" xfId="21440"/>
    <cellStyle name="Normal 10 2" xfId="2577"/>
    <cellStyle name="Normal 10 2 10" xfId="15477"/>
    <cellStyle name="Normal 10 2 10 2" xfId="22232"/>
    <cellStyle name="Normal 10 2 11" xfId="15677"/>
    <cellStyle name="Normal 10 2 11 2" xfId="22423"/>
    <cellStyle name="Normal 10 2 12" xfId="15873"/>
    <cellStyle name="Normal 10 2 12 2" xfId="22616"/>
    <cellStyle name="Normal 10 2 13" xfId="16126"/>
    <cellStyle name="Normal 10 2 2" xfId="2578"/>
    <cellStyle name="Normal 10 2 2 10" xfId="15709"/>
    <cellStyle name="Normal 10 2 2 10 2" xfId="22455"/>
    <cellStyle name="Normal 10 2 2 11" xfId="15939"/>
    <cellStyle name="Normal 10 2 2 11 2" xfId="22668"/>
    <cellStyle name="Normal 10 2 2 12" xfId="16158"/>
    <cellStyle name="Normal 10 2 2 2" xfId="5081"/>
    <cellStyle name="Normal 10 2 2 2 2" xfId="6864"/>
    <cellStyle name="Normal 10 2 2 2 2 2" xfId="10235"/>
    <cellStyle name="Normal 10 2 2 2 2 2 2" xfId="18107"/>
    <cellStyle name="Normal 10 2 2 2 2 3" xfId="17111"/>
    <cellStyle name="Normal 10 2 2 2 3" xfId="10234"/>
    <cellStyle name="Normal 10 2 2 2 3 2" xfId="18106"/>
    <cellStyle name="Normal 10 2 2 2 4" xfId="14820"/>
    <cellStyle name="Normal 10 2 2 2 4 2" xfId="21724"/>
    <cellStyle name="Normal 10 2 2 2 5" xfId="16358"/>
    <cellStyle name="Normal 10 2 2 3" xfId="5966"/>
    <cellStyle name="Normal 10 2 2 3 2" xfId="7172"/>
    <cellStyle name="Normal 10 2 2 3 2 2" xfId="10237"/>
    <cellStyle name="Normal 10 2 2 3 2 2 2" xfId="18109"/>
    <cellStyle name="Normal 10 2 2 3 2 3" xfId="17419"/>
    <cellStyle name="Normal 10 2 2 3 3" xfId="10236"/>
    <cellStyle name="Normal 10 2 2 3 3 2" xfId="18108"/>
    <cellStyle name="Normal 10 2 2 3 4" xfId="15233"/>
    <cellStyle name="Normal 10 2 2 3 4 2" xfId="22032"/>
    <cellStyle name="Normal 10 2 2 3 5" xfId="16623"/>
    <cellStyle name="Normal 10 2 2 4" xfId="6269"/>
    <cellStyle name="Normal 10 2 2 4 2" xfId="10238"/>
    <cellStyle name="Normal 10 2 2 4 2 2" xfId="18110"/>
    <cellStyle name="Normal 10 2 2 4 3" xfId="16827"/>
    <cellStyle name="Normal 10 2 2 5" xfId="9800"/>
    <cellStyle name="Normal 10 2 2 6" xfId="10233"/>
    <cellStyle name="Normal 10 2 2 6 2" xfId="18105"/>
    <cellStyle name="Normal 10 2 2 7" xfId="13634"/>
    <cellStyle name="Normal 10 2 2 7 2" xfId="21348"/>
    <cellStyle name="Normal 10 2 2 8" xfId="14458"/>
    <cellStyle name="Normal 10 2 2 8 2" xfId="21481"/>
    <cellStyle name="Normal 10 2 2 9" xfId="15509"/>
    <cellStyle name="Normal 10 2 2 9 2" xfId="22264"/>
    <cellStyle name="Normal 10 2 3" xfId="5080"/>
    <cellStyle name="Normal 10 2 3 2" xfId="6863"/>
    <cellStyle name="Normal 10 2 3 2 2" xfId="10240"/>
    <cellStyle name="Normal 10 2 3 2 2 2" xfId="18112"/>
    <cellStyle name="Normal 10 2 3 2 3" xfId="17110"/>
    <cellStyle name="Normal 10 2 3 3" xfId="10239"/>
    <cellStyle name="Normal 10 2 3 3 2" xfId="18111"/>
    <cellStyle name="Normal 10 2 3 4" xfId="14819"/>
    <cellStyle name="Normal 10 2 3 4 2" xfId="21723"/>
    <cellStyle name="Normal 10 2 3 5" xfId="16357"/>
    <cellStyle name="Normal 10 2 4" xfId="5823"/>
    <cellStyle name="Normal 10 2 4 2" xfId="7066"/>
    <cellStyle name="Normal 10 2 4 2 2" xfId="10242"/>
    <cellStyle name="Normal 10 2 4 2 2 2" xfId="18114"/>
    <cellStyle name="Normal 10 2 4 2 3" xfId="17313"/>
    <cellStyle name="Normal 10 2 4 3" xfId="10241"/>
    <cellStyle name="Normal 10 2 4 3 2" xfId="18113"/>
    <cellStyle name="Normal 10 2 4 4" xfId="15127"/>
    <cellStyle name="Normal 10 2 4 4 2" xfId="21926"/>
    <cellStyle name="Normal 10 2 4 5" xfId="16517"/>
    <cellStyle name="Normal 10 2 5" xfId="6268"/>
    <cellStyle name="Normal 10 2 5 2" xfId="10243"/>
    <cellStyle name="Normal 10 2 5 2 2" xfId="18115"/>
    <cellStyle name="Normal 10 2 5 3" xfId="16826"/>
    <cellStyle name="Normal 10 2 6" xfId="9611"/>
    <cellStyle name="Normal 10 2 6 2" xfId="17601"/>
    <cellStyle name="Normal 10 2 7" xfId="10232"/>
    <cellStyle name="Normal 10 2 7 2" xfId="18104"/>
    <cellStyle name="Normal 10 2 8" xfId="13633"/>
    <cellStyle name="Normal 10 2 8 2" xfId="21347"/>
    <cellStyle name="Normal 10 2 9" xfId="14034"/>
    <cellStyle name="Normal 10 2 9 2" xfId="21441"/>
    <cellStyle name="Normal 10 3" xfId="2579"/>
    <cellStyle name="Normal 10 3 10" xfId="15478"/>
    <cellStyle name="Normal 10 3 10 2" xfId="22233"/>
    <cellStyle name="Normal 10 3 11" xfId="15678"/>
    <cellStyle name="Normal 10 3 11 2" xfId="22424"/>
    <cellStyle name="Normal 10 3 12" xfId="15874"/>
    <cellStyle name="Normal 10 3 12 2" xfId="22617"/>
    <cellStyle name="Normal 10 3 13" xfId="16127"/>
    <cellStyle name="Normal 10 3 2" xfId="2580"/>
    <cellStyle name="Normal 10 3 2 10" xfId="15940"/>
    <cellStyle name="Normal 10 3 2 10 2" xfId="22669"/>
    <cellStyle name="Normal 10 3 2 11" xfId="16159"/>
    <cellStyle name="Normal 10 3 2 2" xfId="5083"/>
    <cellStyle name="Normal 10 3 2 2 2" xfId="6866"/>
    <cellStyle name="Normal 10 3 2 2 2 2" xfId="10247"/>
    <cellStyle name="Normal 10 3 2 2 2 2 2" xfId="18119"/>
    <cellStyle name="Normal 10 3 2 2 2 3" xfId="17113"/>
    <cellStyle name="Normal 10 3 2 2 3" xfId="10246"/>
    <cellStyle name="Normal 10 3 2 2 3 2" xfId="18118"/>
    <cellStyle name="Normal 10 3 2 2 4" xfId="14822"/>
    <cellStyle name="Normal 10 3 2 2 4 2" xfId="21726"/>
    <cellStyle name="Normal 10 3 2 2 5" xfId="16360"/>
    <cellStyle name="Normal 10 3 2 3" xfId="5967"/>
    <cellStyle name="Normal 10 3 2 3 2" xfId="7173"/>
    <cellStyle name="Normal 10 3 2 3 2 2" xfId="10249"/>
    <cellStyle name="Normal 10 3 2 3 2 2 2" xfId="18121"/>
    <cellStyle name="Normal 10 3 2 3 2 3" xfId="17420"/>
    <cellStyle name="Normal 10 3 2 3 3" xfId="10248"/>
    <cellStyle name="Normal 10 3 2 3 3 2" xfId="18120"/>
    <cellStyle name="Normal 10 3 2 3 4" xfId="15234"/>
    <cellStyle name="Normal 10 3 2 3 4 2" xfId="22033"/>
    <cellStyle name="Normal 10 3 2 3 5" xfId="16624"/>
    <cellStyle name="Normal 10 3 2 4" xfId="6271"/>
    <cellStyle name="Normal 10 3 2 4 2" xfId="10250"/>
    <cellStyle name="Normal 10 3 2 4 2 2" xfId="18122"/>
    <cellStyle name="Normal 10 3 2 4 3" xfId="16829"/>
    <cellStyle name="Normal 10 3 2 5" xfId="10245"/>
    <cellStyle name="Normal 10 3 2 5 2" xfId="18117"/>
    <cellStyle name="Normal 10 3 2 6" xfId="13636"/>
    <cellStyle name="Normal 10 3 2 6 2" xfId="21350"/>
    <cellStyle name="Normal 10 3 2 7" xfId="14459"/>
    <cellStyle name="Normal 10 3 2 7 2" xfId="21482"/>
    <cellStyle name="Normal 10 3 2 8" xfId="15510"/>
    <cellStyle name="Normal 10 3 2 8 2" xfId="22265"/>
    <cellStyle name="Normal 10 3 2 9" xfId="15710"/>
    <cellStyle name="Normal 10 3 2 9 2" xfId="22456"/>
    <cellStyle name="Normal 10 3 3" xfId="5082"/>
    <cellStyle name="Normal 10 3 3 2" xfId="6865"/>
    <cellStyle name="Normal 10 3 3 2 2" xfId="10252"/>
    <cellStyle name="Normal 10 3 3 2 2 2" xfId="18124"/>
    <cellStyle name="Normal 10 3 3 2 3" xfId="17112"/>
    <cellStyle name="Normal 10 3 3 3" xfId="10251"/>
    <cellStyle name="Normal 10 3 3 3 2" xfId="18123"/>
    <cellStyle name="Normal 10 3 3 4" xfId="14821"/>
    <cellStyle name="Normal 10 3 3 4 2" xfId="21725"/>
    <cellStyle name="Normal 10 3 3 5" xfId="16359"/>
    <cellStyle name="Normal 10 3 4" xfId="5824"/>
    <cellStyle name="Normal 10 3 4 2" xfId="7067"/>
    <cellStyle name="Normal 10 3 4 2 2" xfId="10254"/>
    <cellStyle name="Normal 10 3 4 2 2 2" xfId="18126"/>
    <cellStyle name="Normal 10 3 4 2 3" xfId="17314"/>
    <cellStyle name="Normal 10 3 4 3" xfId="10253"/>
    <cellStyle name="Normal 10 3 4 3 2" xfId="18125"/>
    <cellStyle name="Normal 10 3 4 4" xfId="15128"/>
    <cellStyle name="Normal 10 3 4 4 2" xfId="21927"/>
    <cellStyle name="Normal 10 3 4 5" xfId="16518"/>
    <cellStyle name="Normal 10 3 5" xfId="6270"/>
    <cellStyle name="Normal 10 3 5 2" xfId="10255"/>
    <cellStyle name="Normal 10 3 5 2 2" xfId="18127"/>
    <cellStyle name="Normal 10 3 5 3" xfId="16828"/>
    <cellStyle name="Normal 10 3 6" xfId="9801"/>
    <cellStyle name="Normal 10 3 7" xfId="10244"/>
    <cellStyle name="Normal 10 3 7 2" xfId="18116"/>
    <cellStyle name="Normal 10 3 8" xfId="13635"/>
    <cellStyle name="Normal 10 3 8 2" xfId="21349"/>
    <cellStyle name="Normal 10 3 9" xfId="14035"/>
    <cellStyle name="Normal 10 3 9 2" xfId="21442"/>
    <cellStyle name="Normal 10 4" xfId="2581"/>
    <cellStyle name="Normal 10 4 2" xfId="2582"/>
    <cellStyle name="Normal 10 4 2 10" xfId="15942"/>
    <cellStyle name="Normal 10 4 2 10 2" xfId="22671"/>
    <cellStyle name="Normal 10 4 2 11" xfId="16161"/>
    <cellStyle name="Normal 10 4 2 2" xfId="5085"/>
    <cellStyle name="Normal 10 4 2 2 2" xfId="6868"/>
    <cellStyle name="Normal 10 4 2 2 2 2" xfId="10259"/>
    <cellStyle name="Normal 10 4 2 2 2 2 2" xfId="18131"/>
    <cellStyle name="Normal 10 4 2 2 2 3" xfId="17115"/>
    <cellStyle name="Normal 10 4 2 2 3" xfId="10258"/>
    <cellStyle name="Normal 10 4 2 2 3 2" xfId="18130"/>
    <cellStyle name="Normal 10 4 2 2 4" xfId="14824"/>
    <cellStyle name="Normal 10 4 2 2 4 2" xfId="21728"/>
    <cellStyle name="Normal 10 4 2 2 5" xfId="16361"/>
    <cellStyle name="Normal 10 4 2 3" xfId="5969"/>
    <cellStyle name="Normal 10 4 2 3 2" xfId="7175"/>
    <cellStyle name="Normal 10 4 2 3 2 2" xfId="10261"/>
    <cellStyle name="Normal 10 4 2 3 2 2 2" xfId="18133"/>
    <cellStyle name="Normal 10 4 2 3 2 3" xfId="17422"/>
    <cellStyle name="Normal 10 4 2 3 3" xfId="10260"/>
    <cellStyle name="Normal 10 4 2 3 3 2" xfId="18132"/>
    <cellStyle name="Normal 10 4 2 3 4" xfId="15236"/>
    <cellStyle name="Normal 10 4 2 3 4 2" xfId="22035"/>
    <cellStyle name="Normal 10 4 2 3 5" xfId="16626"/>
    <cellStyle name="Normal 10 4 2 4" xfId="6273"/>
    <cellStyle name="Normal 10 4 2 4 2" xfId="10262"/>
    <cellStyle name="Normal 10 4 2 4 2 2" xfId="18134"/>
    <cellStyle name="Normal 10 4 2 4 3" xfId="16831"/>
    <cellStyle name="Normal 10 4 2 5" xfId="10257"/>
    <cellStyle name="Normal 10 4 2 5 2" xfId="18129"/>
    <cellStyle name="Normal 10 4 2 6" xfId="13638"/>
    <cellStyle name="Normal 10 4 2 6 2" xfId="21352"/>
    <cellStyle name="Normal 10 4 2 7" xfId="14461"/>
    <cellStyle name="Normal 10 4 2 7 2" xfId="21484"/>
    <cellStyle name="Normal 10 4 2 8" xfId="15512"/>
    <cellStyle name="Normal 10 4 2 8 2" xfId="22267"/>
    <cellStyle name="Normal 10 4 2 9" xfId="15712"/>
    <cellStyle name="Normal 10 4 2 9 2" xfId="22458"/>
    <cellStyle name="Normal 10 4 3" xfId="5084"/>
    <cellStyle name="Normal 10 4 3 2" xfId="5968"/>
    <cellStyle name="Normal 10 4 3 2 2" xfId="7174"/>
    <cellStyle name="Normal 10 4 3 2 2 2" xfId="10265"/>
    <cellStyle name="Normal 10 4 3 2 2 2 2" xfId="18137"/>
    <cellStyle name="Normal 10 4 3 2 2 3" xfId="17421"/>
    <cellStyle name="Normal 10 4 3 2 3" xfId="10264"/>
    <cellStyle name="Normal 10 4 3 2 3 2" xfId="18136"/>
    <cellStyle name="Normal 10 4 3 2 4" xfId="15235"/>
    <cellStyle name="Normal 10 4 3 2 4 2" xfId="22034"/>
    <cellStyle name="Normal 10 4 3 2 5" xfId="16625"/>
    <cellStyle name="Normal 10 4 3 3" xfId="6867"/>
    <cellStyle name="Normal 10 4 3 3 2" xfId="10266"/>
    <cellStyle name="Normal 10 4 3 3 2 2" xfId="18138"/>
    <cellStyle name="Normal 10 4 3 3 3" xfId="17114"/>
    <cellStyle name="Normal 10 4 3 4" xfId="10263"/>
    <cellStyle name="Normal 10 4 3 4 2" xfId="18135"/>
    <cellStyle name="Normal 10 4 3 5" xfId="14823"/>
    <cellStyle name="Normal 10 4 3 5 2" xfId="21727"/>
    <cellStyle name="Normal 10 4 3 6" xfId="15511"/>
    <cellStyle name="Normal 10 4 3 6 2" xfId="22266"/>
    <cellStyle name="Normal 10 4 3 7" xfId="15711"/>
    <cellStyle name="Normal 10 4 3 7 2" xfId="22457"/>
    <cellStyle name="Normal 10 4 3 8" xfId="15941"/>
    <cellStyle name="Normal 10 4 3 8 2" xfId="22670"/>
    <cellStyle name="Normal 10 4 3 9" xfId="16160"/>
    <cellStyle name="Normal 10 4 4" xfId="5396"/>
    <cellStyle name="Normal 10 4 4 2" xfId="14976"/>
    <cellStyle name="Normal 10 4 5" xfId="6272"/>
    <cellStyle name="Normal 10 4 5 2" xfId="10267"/>
    <cellStyle name="Normal 10 4 5 2 2" xfId="18139"/>
    <cellStyle name="Normal 10 4 5 3" xfId="14460"/>
    <cellStyle name="Normal 10 4 5 3 2" xfId="21483"/>
    <cellStyle name="Normal 10 4 5 4" xfId="16830"/>
    <cellStyle name="Normal 10 4 6" xfId="9799"/>
    <cellStyle name="Normal 10 4 7" xfId="10256"/>
    <cellStyle name="Normal 10 4 7 2" xfId="18128"/>
    <cellStyle name="Normal 10 4 8" xfId="13637"/>
    <cellStyle name="Normal 10 4 8 2" xfId="21351"/>
    <cellStyle name="Normal 10 4 9" xfId="14215"/>
    <cellStyle name="Normal 10 5" xfId="2583"/>
    <cellStyle name="Normal 10 5 2" xfId="4162"/>
    <cellStyle name="Normal 10 5 3" xfId="5173"/>
    <cellStyle name="Normal 10 5 3 2" xfId="6949"/>
    <cellStyle name="Normal 10 5 3 2 2" xfId="10269"/>
    <cellStyle name="Normal 10 5 3 2 2 2" xfId="18141"/>
    <cellStyle name="Normal 10 5 3 2 3" xfId="17196"/>
    <cellStyle name="Normal 10 5 3 3" xfId="10268"/>
    <cellStyle name="Normal 10 5 3 3 2" xfId="18140"/>
    <cellStyle name="Normal 10 5 3 4" xfId="14909"/>
    <cellStyle name="Normal 10 5 3 4 2" xfId="21809"/>
    <cellStyle name="Normal 10 5 3 5" xfId="16404"/>
    <cellStyle name="Normal 10 5 4" xfId="5822"/>
    <cellStyle name="Normal 10 5 4 2" xfId="7065"/>
    <cellStyle name="Normal 10 5 4 2 2" xfId="10271"/>
    <cellStyle name="Normal 10 5 4 2 2 2" xfId="18143"/>
    <cellStyle name="Normal 10 5 4 2 3" xfId="17312"/>
    <cellStyle name="Normal 10 5 4 3" xfId="10270"/>
    <cellStyle name="Normal 10 5 4 3 2" xfId="18142"/>
    <cellStyle name="Normal 10 5 4 4" xfId="15126"/>
    <cellStyle name="Normal 10 5 4 4 2" xfId="21925"/>
    <cellStyle name="Normal 10 5 4 5" xfId="16516"/>
    <cellStyle name="Normal 10 5 5" xfId="15476"/>
    <cellStyle name="Normal 10 5 5 2" xfId="22231"/>
    <cellStyle name="Normal 10 5 6" xfId="15676"/>
    <cellStyle name="Normal 10 5 6 2" xfId="22422"/>
    <cellStyle name="Normal 10 5 7" xfId="15872"/>
    <cellStyle name="Normal 10 5 7 2" xfId="22615"/>
    <cellStyle name="Normal 10 5 8" xfId="16125"/>
    <cellStyle name="Normal 10 6" xfId="2584"/>
    <cellStyle name="Normal 10 6 10" xfId="15713"/>
    <cellStyle name="Normal 10 6 10 2" xfId="22459"/>
    <cellStyle name="Normal 10 6 11" xfId="15943"/>
    <cellStyle name="Normal 10 6 11 2" xfId="22672"/>
    <cellStyle name="Normal 10 6 12" xfId="16162"/>
    <cellStyle name="Normal 10 6 2" xfId="2585"/>
    <cellStyle name="Normal 10 6 2 10" xfId="15944"/>
    <cellStyle name="Normal 10 6 2 10 2" xfId="22673"/>
    <cellStyle name="Normal 10 6 2 11" xfId="16163"/>
    <cellStyle name="Normal 10 6 2 2" xfId="5087"/>
    <cellStyle name="Normal 10 6 2 2 2" xfId="6870"/>
    <cellStyle name="Normal 10 6 2 2 2 2" xfId="10275"/>
    <cellStyle name="Normal 10 6 2 2 2 2 2" xfId="18147"/>
    <cellStyle name="Normal 10 6 2 2 2 3" xfId="17117"/>
    <cellStyle name="Normal 10 6 2 2 3" xfId="10274"/>
    <cellStyle name="Normal 10 6 2 2 3 2" xfId="18146"/>
    <cellStyle name="Normal 10 6 2 2 4" xfId="14826"/>
    <cellStyle name="Normal 10 6 2 2 4 2" xfId="21730"/>
    <cellStyle name="Normal 10 6 2 2 5" xfId="16363"/>
    <cellStyle name="Normal 10 6 2 3" xfId="5971"/>
    <cellStyle name="Normal 10 6 2 3 2" xfId="7177"/>
    <cellStyle name="Normal 10 6 2 3 2 2" xfId="10277"/>
    <cellStyle name="Normal 10 6 2 3 2 2 2" xfId="18149"/>
    <cellStyle name="Normal 10 6 2 3 2 3" xfId="17424"/>
    <cellStyle name="Normal 10 6 2 3 3" xfId="10276"/>
    <cellStyle name="Normal 10 6 2 3 3 2" xfId="18148"/>
    <cellStyle name="Normal 10 6 2 3 4" xfId="15238"/>
    <cellStyle name="Normal 10 6 2 3 4 2" xfId="22037"/>
    <cellStyle name="Normal 10 6 2 3 5" xfId="16628"/>
    <cellStyle name="Normal 10 6 2 4" xfId="6275"/>
    <cellStyle name="Normal 10 6 2 4 2" xfId="10278"/>
    <cellStyle name="Normal 10 6 2 4 2 2" xfId="18150"/>
    <cellStyle name="Normal 10 6 2 4 3" xfId="16833"/>
    <cellStyle name="Normal 10 6 2 5" xfId="10273"/>
    <cellStyle name="Normal 10 6 2 5 2" xfId="18145"/>
    <cellStyle name="Normal 10 6 2 6" xfId="13640"/>
    <cellStyle name="Normal 10 6 2 6 2" xfId="21354"/>
    <cellStyle name="Normal 10 6 2 7" xfId="14463"/>
    <cellStyle name="Normal 10 6 2 7 2" xfId="21486"/>
    <cellStyle name="Normal 10 6 2 8" xfId="15514"/>
    <cellStyle name="Normal 10 6 2 8 2" xfId="22269"/>
    <cellStyle name="Normal 10 6 2 9" xfId="15714"/>
    <cellStyle name="Normal 10 6 2 9 2" xfId="22460"/>
    <cellStyle name="Normal 10 6 3" xfId="5086"/>
    <cellStyle name="Normal 10 6 3 2" xfId="6869"/>
    <cellStyle name="Normal 10 6 3 2 2" xfId="10280"/>
    <cellStyle name="Normal 10 6 3 2 2 2" xfId="18152"/>
    <cellStyle name="Normal 10 6 3 2 3" xfId="17116"/>
    <cellStyle name="Normal 10 6 3 3" xfId="10279"/>
    <cellStyle name="Normal 10 6 3 3 2" xfId="18151"/>
    <cellStyle name="Normal 10 6 3 4" xfId="14825"/>
    <cellStyle name="Normal 10 6 3 4 2" xfId="21729"/>
    <cellStyle name="Normal 10 6 3 5" xfId="16362"/>
    <cellStyle name="Normal 10 6 4" xfId="5970"/>
    <cellStyle name="Normal 10 6 4 2" xfId="7176"/>
    <cellStyle name="Normal 10 6 4 2 2" xfId="10282"/>
    <cellStyle name="Normal 10 6 4 2 2 2" xfId="18154"/>
    <cellStyle name="Normal 10 6 4 2 3" xfId="17423"/>
    <cellStyle name="Normal 10 6 4 3" xfId="10281"/>
    <cellStyle name="Normal 10 6 4 3 2" xfId="18153"/>
    <cellStyle name="Normal 10 6 4 4" xfId="15237"/>
    <cellStyle name="Normal 10 6 4 4 2" xfId="22036"/>
    <cellStyle name="Normal 10 6 4 5" xfId="16627"/>
    <cellStyle name="Normal 10 6 5" xfId="6274"/>
    <cellStyle name="Normal 10 6 5 2" xfId="10283"/>
    <cellStyle name="Normal 10 6 5 2 2" xfId="18155"/>
    <cellStyle name="Normal 10 6 5 3" xfId="16832"/>
    <cellStyle name="Normal 10 6 6" xfId="10272"/>
    <cellStyle name="Normal 10 6 6 2" xfId="18144"/>
    <cellStyle name="Normal 10 6 7" xfId="13639"/>
    <cellStyle name="Normal 10 6 7 2" xfId="21353"/>
    <cellStyle name="Normal 10 6 8" xfId="14462"/>
    <cellStyle name="Normal 10 6 8 2" xfId="21485"/>
    <cellStyle name="Normal 10 6 9" xfId="15513"/>
    <cellStyle name="Normal 10 6 9 2" xfId="22268"/>
    <cellStyle name="Normal 10 7" xfId="2586"/>
    <cellStyle name="Normal 10 7 2" xfId="13641"/>
    <cellStyle name="Normal 10 8" xfId="4163"/>
    <cellStyle name="Normal 10 9" xfId="6516"/>
    <cellStyle name="Normal 10_Schedule May 2011" xfId="2587"/>
    <cellStyle name="Normal 100" xfId="2588"/>
    <cellStyle name="Normal 100 2" xfId="13642"/>
    <cellStyle name="Normal 101" xfId="2589"/>
    <cellStyle name="Normal 101 2" xfId="13643"/>
    <cellStyle name="Normal 102" xfId="2590"/>
    <cellStyle name="Normal 102 2" xfId="13644"/>
    <cellStyle name="Normal 103" xfId="2591"/>
    <cellStyle name="Normal 103 2" xfId="13645"/>
    <cellStyle name="Normal 104" xfId="2592"/>
    <cellStyle name="Normal 104 2" xfId="4164"/>
    <cellStyle name="Normal 104 3" xfId="13646"/>
    <cellStyle name="Normal 105" xfId="2593"/>
    <cellStyle name="Normal 105 2" xfId="13647"/>
    <cellStyle name="Normal 106" xfId="2594"/>
    <cellStyle name="Normal 106 2" xfId="13648"/>
    <cellStyle name="Normal 107" xfId="2595"/>
    <cellStyle name="Normal 107 2" xfId="13649"/>
    <cellStyle name="Normal 108" xfId="2596"/>
    <cellStyle name="Normal 108 2" xfId="13650"/>
    <cellStyle name="Normal 109" xfId="2597"/>
    <cellStyle name="Normal 109 2" xfId="4165"/>
    <cellStyle name="Normal 109 2 2" xfId="14704"/>
    <cellStyle name="Normal 109 3" xfId="5397"/>
    <cellStyle name="Normal 109 4" xfId="6517"/>
    <cellStyle name="Normal 109 4 2" xfId="14464"/>
    <cellStyle name="Normal 109 5" xfId="13651"/>
    <cellStyle name="Normal 11" xfId="2598"/>
    <cellStyle name="Normal 11 10" xfId="4166"/>
    <cellStyle name="Normal 11 10 2" xfId="14217"/>
    <cellStyle name="Normal 11 11" xfId="4167"/>
    <cellStyle name="Normal 11 11 2" xfId="14218"/>
    <cellStyle name="Normal 11 12" xfId="4168"/>
    <cellStyle name="Normal 11 12 2" xfId="14219"/>
    <cellStyle name="Normal 11 13" xfId="4169"/>
    <cellStyle name="Normal 11 13 2" xfId="14220"/>
    <cellStyle name="Normal 11 14" xfId="4170"/>
    <cellStyle name="Normal 11 14 2" xfId="14221"/>
    <cellStyle name="Normal 11 15" xfId="4171"/>
    <cellStyle name="Normal 11 15 2" xfId="14216"/>
    <cellStyle name="Normal 11 16" xfId="4172"/>
    <cellStyle name="Normal 11 17" xfId="5766"/>
    <cellStyle name="Normal 11 17 2" xfId="7016"/>
    <cellStyle name="Normal 11 17 2 2" xfId="10285"/>
    <cellStyle name="Normal 11 17 2 2 2" xfId="18157"/>
    <cellStyle name="Normal 11 17 2 3" xfId="17263"/>
    <cellStyle name="Normal 11 17 3" xfId="10284"/>
    <cellStyle name="Normal 11 17 3 2" xfId="18156"/>
    <cellStyle name="Normal 11 17 4" xfId="15077"/>
    <cellStyle name="Normal 11 17 4 2" xfId="21876"/>
    <cellStyle name="Normal 11 17 5" xfId="16467"/>
    <cellStyle name="Normal 11 18" xfId="13652"/>
    <cellStyle name="Normal 11 19" xfId="15442"/>
    <cellStyle name="Normal 11 19 2" xfId="22197"/>
    <cellStyle name="Normal 11 2" xfId="2599"/>
    <cellStyle name="Normal 11 2 2" xfId="13653"/>
    <cellStyle name="Normal 11 20" xfId="15641"/>
    <cellStyle name="Normal 11 20 2" xfId="22387"/>
    <cellStyle name="Normal 11 21" xfId="15835"/>
    <cellStyle name="Normal 11 21 2" xfId="22578"/>
    <cellStyle name="Normal 11 22" xfId="16086"/>
    <cellStyle name="Normal 11 3" xfId="2600"/>
    <cellStyle name="Normal 11 3 2" xfId="4173"/>
    <cellStyle name="Normal 11 3 3" xfId="5398"/>
    <cellStyle name="Normal 11 3 3 2" xfId="14977"/>
    <cellStyle name="Normal 11 3 4" xfId="6518"/>
    <cellStyle name="Normal 11 3 5" xfId="14222"/>
    <cellStyle name="Normal 11 4" xfId="2601"/>
    <cellStyle name="Normal 11 4 2" xfId="4174"/>
    <cellStyle name="Normal 11 4 3" xfId="5399"/>
    <cellStyle name="Normal 11 4 3 2" xfId="14978"/>
    <cellStyle name="Normal 11 4 4" xfId="6519"/>
    <cellStyle name="Normal 11 4 5" xfId="14223"/>
    <cellStyle name="Normal 11 5" xfId="2602"/>
    <cellStyle name="Normal 11 5 2" xfId="4175"/>
    <cellStyle name="Normal 11 5 2 2" xfId="5972"/>
    <cellStyle name="Normal 11 5 2 2 2" xfId="7178"/>
    <cellStyle name="Normal 11 5 2 2 2 2" xfId="10289"/>
    <cellStyle name="Normal 11 5 2 2 2 2 2" xfId="18161"/>
    <cellStyle name="Normal 11 5 2 2 2 3" xfId="17425"/>
    <cellStyle name="Normal 11 5 2 2 3" xfId="10288"/>
    <cellStyle name="Normal 11 5 2 2 3 2" xfId="18160"/>
    <cellStyle name="Normal 11 5 2 2 4" xfId="15239"/>
    <cellStyle name="Normal 11 5 2 2 4 2" xfId="22038"/>
    <cellStyle name="Normal 11 5 2 2 5" xfId="16629"/>
    <cellStyle name="Normal 11 5 2 3" xfId="6772"/>
    <cellStyle name="Normal 11 5 2 3 2" xfId="10290"/>
    <cellStyle name="Normal 11 5 2 3 2 2" xfId="18162"/>
    <cellStyle name="Normal 11 5 2 3 3" xfId="17019"/>
    <cellStyle name="Normal 11 5 2 4" xfId="10287"/>
    <cellStyle name="Normal 11 5 2 4 2" xfId="18159"/>
    <cellStyle name="Normal 11 5 2 5" xfId="14705"/>
    <cellStyle name="Normal 11 5 2 5 2" xfId="21632"/>
    <cellStyle name="Normal 11 5 2 6" xfId="15515"/>
    <cellStyle name="Normal 11 5 2 6 2" xfId="22270"/>
    <cellStyle name="Normal 11 5 2 7" xfId="15715"/>
    <cellStyle name="Normal 11 5 2 7 2" xfId="22461"/>
    <cellStyle name="Normal 11 5 2 8" xfId="15945"/>
    <cellStyle name="Normal 11 5 2 8 2" xfId="22674"/>
    <cellStyle name="Normal 11 5 2 9" xfId="16164"/>
    <cellStyle name="Normal 11 5 3" xfId="5400"/>
    <cellStyle name="Normal 11 5 3 2" xfId="14979"/>
    <cellStyle name="Normal 11 5 4" xfId="6520"/>
    <cellStyle name="Normal 11 5 4 2" xfId="10291"/>
    <cellStyle name="Normal 11 5 4 2 2" xfId="18163"/>
    <cellStyle name="Normal 11 5 4 3" xfId="14465"/>
    <cellStyle name="Normal 11 5 4 3 2" xfId="21487"/>
    <cellStyle name="Normal 11 5 4 4" xfId="16949"/>
    <cellStyle name="Normal 11 5 5" xfId="10286"/>
    <cellStyle name="Normal 11 5 5 2" xfId="18158"/>
    <cellStyle name="Normal 11 5 6" xfId="14224"/>
    <cellStyle name="Normal 11 6" xfId="4176"/>
    <cellStyle name="Normal 11 6 2" xfId="14225"/>
    <cellStyle name="Normal 11 7" xfId="4177"/>
    <cellStyle name="Normal 11 7 2" xfId="14226"/>
    <cellStyle name="Normal 11 8" xfId="4178"/>
    <cellStyle name="Normal 11 8 2" xfId="14227"/>
    <cellStyle name="Normal 11 9" xfId="4179"/>
    <cellStyle name="Normal 11 9 2" xfId="14228"/>
    <cellStyle name="Normal 110" xfId="2603"/>
    <cellStyle name="Normal 110 2" xfId="13654"/>
    <cellStyle name="Normal 111" xfId="2604"/>
    <cellStyle name="Normal 111 2" xfId="13655"/>
    <cellStyle name="Normal 112" xfId="2605"/>
    <cellStyle name="Normal 112 2" xfId="13656"/>
    <cellStyle name="Normal 113" xfId="2606"/>
    <cellStyle name="Normal 113 2" xfId="13657"/>
    <cellStyle name="Normal 114" xfId="2607"/>
    <cellStyle name="Normal 114 2" xfId="13658"/>
    <cellStyle name="Normal 115" xfId="2608"/>
    <cellStyle name="Normal 115 2" xfId="13659"/>
    <cellStyle name="Normal 116" xfId="2609"/>
    <cellStyle name="Normal 116 2" xfId="13660"/>
    <cellStyle name="Normal 117" xfId="2610"/>
    <cellStyle name="Normal 117 2" xfId="13661"/>
    <cellStyle name="Normal 118" xfId="2611"/>
    <cellStyle name="Normal 118 2" xfId="13662"/>
    <cellStyle name="Normal 119" xfId="2612"/>
    <cellStyle name="Normal 119 2" xfId="13663"/>
    <cellStyle name="Normal 12" xfId="2613"/>
    <cellStyle name="Normal 12 10" xfId="4180"/>
    <cellStyle name="Normal 12 10 2" xfId="14229"/>
    <cellStyle name="Normal 12 11" xfId="4181"/>
    <cellStyle name="Normal 12 11 2" xfId="14230"/>
    <cellStyle name="Normal 12 12" xfId="4182"/>
    <cellStyle name="Normal 12 12 2" xfId="14231"/>
    <cellStyle name="Normal 12 13" xfId="4183"/>
    <cellStyle name="Normal 12 13 2" xfId="14232"/>
    <cellStyle name="Normal 12 14" xfId="4184"/>
    <cellStyle name="Normal 12 14 2" xfId="14233"/>
    <cellStyle name="Normal 12 15" xfId="4185"/>
    <cellStyle name="Normal 12 15 2" xfId="14706"/>
    <cellStyle name="Normal 12 16" xfId="5767"/>
    <cellStyle name="Normal 12 16 2" xfId="7017"/>
    <cellStyle name="Normal 12 16 2 2" xfId="10293"/>
    <cellStyle name="Normal 12 16 2 2 2" xfId="18165"/>
    <cellStyle name="Normal 12 16 2 3" xfId="17264"/>
    <cellStyle name="Normal 12 16 3" xfId="10292"/>
    <cellStyle name="Normal 12 16 3 2" xfId="18164"/>
    <cellStyle name="Normal 12 16 4" xfId="15078"/>
    <cellStyle name="Normal 12 16 4 2" xfId="21877"/>
    <cellStyle name="Normal 12 16 5" xfId="16468"/>
    <cellStyle name="Normal 12 17" xfId="9674"/>
    <cellStyle name="Normal 12 18" xfId="13664"/>
    <cellStyle name="Normal 12 19" xfId="15443"/>
    <cellStyle name="Normal 12 19 2" xfId="22198"/>
    <cellStyle name="Normal 12 2" xfId="2614"/>
    <cellStyle name="Normal 12 2 2" xfId="2615"/>
    <cellStyle name="Normal 12 2 2 2" xfId="13665"/>
    <cellStyle name="Normal 12 2 3" xfId="4186"/>
    <cellStyle name="Normal 12 2 4" xfId="6521"/>
    <cellStyle name="Normal 12 20" xfId="15642"/>
    <cellStyle name="Normal 12 20 2" xfId="22388"/>
    <cellStyle name="Normal 12 21" xfId="15836"/>
    <cellStyle name="Normal 12 21 2" xfId="22579"/>
    <cellStyle name="Normal 12 22" xfId="16087"/>
    <cellStyle name="Normal 12 3" xfId="2616"/>
    <cellStyle name="Normal 12 3 2" xfId="4187"/>
    <cellStyle name="Normal 12 3 3" xfId="5401"/>
    <cellStyle name="Normal 12 3 3 2" xfId="14980"/>
    <cellStyle name="Normal 12 3 4" xfId="6522"/>
    <cellStyle name="Normal 12 3 5" xfId="14234"/>
    <cellStyle name="Normal 12 4" xfId="2617"/>
    <cellStyle name="Normal 12 4 2" xfId="4188"/>
    <cellStyle name="Normal 12 4 3" xfId="5402"/>
    <cellStyle name="Normal 12 4 3 2" xfId="14981"/>
    <cellStyle name="Normal 12 4 4" xfId="6523"/>
    <cellStyle name="Normal 12 4 5" xfId="14235"/>
    <cellStyle name="Normal 12 5" xfId="2618"/>
    <cellStyle name="Normal 12 5 2" xfId="4189"/>
    <cellStyle name="Normal 12 5 3" xfId="5403"/>
    <cellStyle name="Normal 12 5 3 2" xfId="14982"/>
    <cellStyle name="Normal 12 5 4" xfId="6524"/>
    <cellStyle name="Normal 12 5 5" xfId="14236"/>
    <cellStyle name="Normal 12 6" xfId="2619"/>
    <cellStyle name="Normal 12 6 2" xfId="5337"/>
    <cellStyle name="Normal 12 6 2 2" xfId="5973"/>
    <cellStyle name="Normal 12 6 2 2 2" xfId="7179"/>
    <cellStyle name="Normal 12 6 2 2 2 2" xfId="10297"/>
    <cellStyle name="Normal 12 6 2 2 2 2 2" xfId="18169"/>
    <cellStyle name="Normal 12 6 2 2 2 3" xfId="17426"/>
    <cellStyle name="Normal 12 6 2 2 3" xfId="10296"/>
    <cellStyle name="Normal 12 6 2 2 3 2" xfId="18168"/>
    <cellStyle name="Normal 12 6 2 2 4" xfId="15240"/>
    <cellStyle name="Normal 12 6 2 2 4 2" xfId="22039"/>
    <cellStyle name="Normal 12 6 2 2 5" xfId="16630"/>
    <cellStyle name="Normal 12 6 2 3" xfId="6984"/>
    <cellStyle name="Normal 12 6 2 3 2" xfId="10298"/>
    <cellStyle name="Normal 12 6 2 3 2 2" xfId="18170"/>
    <cellStyle name="Normal 12 6 2 3 3" xfId="17231"/>
    <cellStyle name="Normal 12 6 2 4" xfId="10295"/>
    <cellStyle name="Normal 12 6 2 4 2" xfId="18167"/>
    <cellStyle name="Normal 12 6 2 5" xfId="14962"/>
    <cellStyle name="Normal 12 6 2 5 2" xfId="21844"/>
    <cellStyle name="Normal 12 6 2 6" xfId="15516"/>
    <cellStyle name="Normal 12 6 2 6 2" xfId="22271"/>
    <cellStyle name="Normal 12 6 2 7" xfId="15716"/>
    <cellStyle name="Normal 12 6 2 7 2" xfId="22462"/>
    <cellStyle name="Normal 12 6 2 8" xfId="15946"/>
    <cellStyle name="Normal 12 6 2 8 2" xfId="22675"/>
    <cellStyle name="Normal 12 6 2 9" xfId="16165"/>
    <cellStyle name="Normal 12 6 3" xfId="5404"/>
    <cellStyle name="Normal 12 6 3 2" xfId="14983"/>
    <cellStyle name="Normal 12 6 4" xfId="6525"/>
    <cellStyle name="Normal 12 6 4 2" xfId="10299"/>
    <cellStyle name="Normal 12 6 4 2 2" xfId="18171"/>
    <cellStyle name="Normal 12 6 4 3" xfId="14466"/>
    <cellStyle name="Normal 12 6 4 3 2" xfId="21488"/>
    <cellStyle name="Normal 12 6 4 4" xfId="16950"/>
    <cellStyle name="Normal 12 6 5" xfId="10294"/>
    <cellStyle name="Normal 12 6 5 2" xfId="18166"/>
    <cellStyle name="Normal 12 6 6" xfId="14237"/>
    <cellStyle name="Normal 12 7" xfId="4190"/>
    <cellStyle name="Normal 12 7 2" xfId="14238"/>
    <cellStyle name="Normal 12 8" xfId="4191"/>
    <cellStyle name="Normal 12 8 2" xfId="14239"/>
    <cellStyle name="Normal 12 9" xfId="4192"/>
    <cellStyle name="Normal 12 9 2" xfId="14240"/>
    <cellStyle name="Normal 120" xfId="2620"/>
    <cellStyle name="Normal 120 2" xfId="5089"/>
    <cellStyle name="Normal 120 2 2" xfId="5974"/>
    <cellStyle name="Normal 120 2 2 2" xfId="7180"/>
    <cellStyle name="Normal 120 2 2 2 2" xfId="10303"/>
    <cellStyle name="Normal 120 2 2 2 2 2" xfId="18175"/>
    <cellStyle name="Normal 120 2 2 2 3" xfId="17427"/>
    <cellStyle name="Normal 120 2 2 3" xfId="10302"/>
    <cellStyle name="Normal 120 2 2 3 2" xfId="18174"/>
    <cellStyle name="Normal 120 2 2 4" xfId="15241"/>
    <cellStyle name="Normal 120 2 2 4 2" xfId="22040"/>
    <cellStyle name="Normal 120 2 2 5" xfId="16631"/>
    <cellStyle name="Normal 120 2 3" xfId="6871"/>
    <cellStyle name="Normal 120 2 3 2" xfId="10304"/>
    <cellStyle name="Normal 120 2 3 2 2" xfId="18176"/>
    <cellStyle name="Normal 120 2 3 3" xfId="17118"/>
    <cellStyle name="Normal 120 2 4" xfId="10301"/>
    <cellStyle name="Normal 120 2 4 2" xfId="18173"/>
    <cellStyle name="Normal 120 2 5" xfId="14827"/>
    <cellStyle name="Normal 120 2 5 2" xfId="21731"/>
    <cellStyle name="Normal 120 2 6" xfId="15517"/>
    <cellStyle name="Normal 120 2 6 2" xfId="22272"/>
    <cellStyle name="Normal 120 2 7" xfId="15717"/>
    <cellStyle name="Normal 120 2 7 2" xfId="22463"/>
    <cellStyle name="Normal 120 2 8" xfId="15947"/>
    <cellStyle name="Normal 120 2 8 2" xfId="22676"/>
    <cellStyle name="Normal 120 2 9" xfId="16166"/>
    <cellStyle name="Normal 120 3" xfId="5405"/>
    <cellStyle name="Normal 120 3 2" xfId="14984"/>
    <cellStyle name="Normal 120 4" xfId="6276"/>
    <cellStyle name="Normal 120 4 2" xfId="10305"/>
    <cellStyle name="Normal 120 4 2 2" xfId="18177"/>
    <cellStyle name="Normal 120 4 3" xfId="14467"/>
    <cellStyle name="Normal 120 4 3 2" xfId="21489"/>
    <cellStyle name="Normal 120 4 4" xfId="16834"/>
    <cellStyle name="Normal 120 5" xfId="10300"/>
    <cellStyle name="Normal 120 5 2" xfId="18172"/>
    <cellStyle name="Normal 120 6" xfId="13666"/>
    <cellStyle name="Normal 120 6 2" xfId="21355"/>
    <cellStyle name="Normal 120 7" xfId="14241"/>
    <cellStyle name="Normal 121" xfId="2621"/>
    <cellStyle name="Normal 121 2" xfId="5090"/>
    <cellStyle name="Normal 121 2 2" xfId="5975"/>
    <cellStyle name="Normal 121 2 2 2" xfId="7181"/>
    <cellStyle name="Normal 121 2 2 2 2" xfId="10309"/>
    <cellStyle name="Normal 121 2 2 2 2 2" xfId="18181"/>
    <cellStyle name="Normal 121 2 2 2 3" xfId="17428"/>
    <cellStyle name="Normal 121 2 2 3" xfId="10308"/>
    <cellStyle name="Normal 121 2 2 3 2" xfId="18180"/>
    <cellStyle name="Normal 121 2 2 4" xfId="15242"/>
    <cellStyle name="Normal 121 2 2 4 2" xfId="22041"/>
    <cellStyle name="Normal 121 2 2 5" xfId="16632"/>
    <cellStyle name="Normal 121 2 3" xfId="6872"/>
    <cellStyle name="Normal 121 2 3 2" xfId="10310"/>
    <cellStyle name="Normal 121 2 3 2 2" xfId="18182"/>
    <cellStyle name="Normal 121 2 3 3" xfId="17119"/>
    <cellStyle name="Normal 121 2 4" xfId="10307"/>
    <cellStyle name="Normal 121 2 4 2" xfId="18179"/>
    <cellStyle name="Normal 121 2 5" xfId="14828"/>
    <cellStyle name="Normal 121 2 5 2" xfId="21732"/>
    <cellStyle name="Normal 121 2 6" xfId="15518"/>
    <cellStyle name="Normal 121 2 6 2" xfId="22273"/>
    <cellStyle name="Normal 121 2 7" xfId="15718"/>
    <cellStyle name="Normal 121 2 7 2" xfId="22464"/>
    <cellStyle name="Normal 121 2 8" xfId="15948"/>
    <cellStyle name="Normal 121 2 8 2" xfId="22677"/>
    <cellStyle name="Normal 121 2 9" xfId="16167"/>
    <cellStyle name="Normal 121 3" xfId="5406"/>
    <cellStyle name="Normal 121 3 2" xfId="14985"/>
    <cellStyle name="Normal 121 4" xfId="6277"/>
    <cellStyle name="Normal 121 4 2" xfId="10311"/>
    <cellStyle name="Normal 121 4 2 2" xfId="18183"/>
    <cellStyle name="Normal 121 4 3" xfId="14468"/>
    <cellStyle name="Normal 121 4 3 2" xfId="21490"/>
    <cellStyle name="Normal 121 4 4" xfId="16835"/>
    <cellStyle name="Normal 121 5" xfId="10306"/>
    <cellStyle name="Normal 121 5 2" xfId="18178"/>
    <cellStyle name="Normal 121 6" xfId="13667"/>
    <cellStyle name="Normal 121 6 2" xfId="21356"/>
    <cellStyle name="Normal 121 7" xfId="14242"/>
    <cellStyle name="Normal 122" xfId="2622"/>
    <cellStyle name="Normal 122 2" xfId="4193"/>
    <cellStyle name="Normal 122 3" xfId="5407"/>
    <cellStyle name="Normal 122 3 2" xfId="14986"/>
    <cellStyle name="Normal 122 4" xfId="6526"/>
    <cellStyle name="Normal 122 5" xfId="14243"/>
    <cellStyle name="Normal 123" xfId="2623"/>
    <cellStyle name="Normal 123 2" xfId="4194"/>
    <cellStyle name="Normal 123 3" xfId="5408"/>
    <cellStyle name="Normal 123 3 2" xfId="14987"/>
    <cellStyle name="Normal 123 4" xfId="6527"/>
    <cellStyle name="Normal 123 5" xfId="14244"/>
    <cellStyle name="Normal 124" xfId="2624"/>
    <cellStyle name="Normal 124 2" xfId="2625"/>
    <cellStyle name="Normal 124 2 10" xfId="16293"/>
    <cellStyle name="Normal 124 2 11" xfId="16168"/>
    <cellStyle name="Normal 124 2 2" xfId="5678"/>
    <cellStyle name="Normal 124 2 2 2" xfId="6996"/>
    <cellStyle name="Normal 124 2 2 2 2" xfId="10315"/>
    <cellStyle name="Normal 124 2 2 2 2 2" xfId="18187"/>
    <cellStyle name="Normal 124 2 2 2 3" xfId="17243"/>
    <cellStyle name="Normal 124 2 2 3" xfId="10314"/>
    <cellStyle name="Normal 124 2 2 3 2" xfId="18186"/>
    <cellStyle name="Normal 124 2 2 4" xfId="15052"/>
    <cellStyle name="Normal 124 2 2 4 2" xfId="21856"/>
    <cellStyle name="Normal 124 2 2 5" xfId="16447"/>
    <cellStyle name="Normal 124 2 3" xfId="5976"/>
    <cellStyle name="Normal 124 2 3 2" xfId="7182"/>
    <cellStyle name="Normal 124 2 3 2 2" xfId="10317"/>
    <cellStyle name="Normal 124 2 3 2 2 2" xfId="18189"/>
    <cellStyle name="Normal 124 2 3 2 3" xfId="17429"/>
    <cellStyle name="Normal 124 2 3 3" xfId="10316"/>
    <cellStyle name="Normal 124 2 3 3 2" xfId="18188"/>
    <cellStyle name="Normal 124 2 3 4" xfId="15243"/>
    <cellStyle name="Normal 124 2 3 4 2" xfId="22042"/>
    <cellStyle name="Normal 124 2 3 5" xfId="16633"/>
    <cellStyle name="Normal 124 2 4" xfId="6529"/>
    <cellStyle name="Normal 124 2 4 2" xfId="10318"/>
    <cellStyle name="Normal 124 2 4 2 2" xfId="18190"/>
    <cellStyle name="Normal 124 2 5" xfId="10313"/>
    <cellStyle name="Normal 124 2 5 2" xfId="18185"/>
    <cellStyle name="Normal 124 2 6" xfId="15400"/>
    <cellStyle name="Normal 124 2 6 2" xfId="22189"/>
    <cellStyle name="Normal 124 2 7" xfId="15519"/>
    <cellStyle name="Normal 124 2 7 2" xfId="22274"/>
    <cellStyle name="Normal 124 2 8" xfId="15719"/>
    <cellStyle name="Normal 124 2 8 2" xfId="22465"/>
    <cellStyle name="Normal 124 2 9" xfId="15949"/>
    <cellStyle name="Normal 124 2 9 2" xfId="22678"/>
    <cellStyle name="Normal 124 3" xfId="5342"/>
    <cellStyle name="Normal 124 3 2" xfId="14966"/>
    <cellStyle name="Normal 124 4" xfId="6528"/>
    <cellStyle name="Normal 124 4 2" xfId="10319"/>
    <cellStyle name="Normal 124 4 2 2" xfId="18191"/>
    <cellStyle name="Normal 124 4 3" xfId="14469"/>
    <cellStyle name="Normal 124 4 3 2" xfId="21491"/>
    <cellStyle name="Normal 124 4 4" xfId="16951"/>
    <cellStyle name="Normal 124 5" xfId="10312"/>
    <cellStyle name="Normal 124 5 2" xfId="18184"/>
    <cellStyle name="Normal 125" xfId="2626"/>
    <cellStyle name="Normal 125 2" xfId="5345"/>
    <cellStyle name="Normal 125 2 2" xfId="5977"/>
    <cellStyle name="Normal 125 2 2 2" xfId="7183"/>
    <cellStyle name="Normal 125 2 2 2 2" xfId="10323"/>
    <cellStyle name="Normal 125 2 2 2 2 2" xfId="18195"/>
    <cellStyle name="Normal 125 2 2 2 3" xfId="17430"/>
    <cellStyle name="Normal 125 2 2 3" xfId="10322"/>
    <cellStyle name="Normal 125 2 2 3 2" xfId="18194"/>
    <cellStyle name="Normal 125 2 2 4" xfId="15244"/>
    <cellStyle name="Normal 125 2 2 4 2" xfId="22043"/>
    <cellStyle name="Normal 125 2 2 5" xfId="16634"/>
    <cellStyle name="Normal 125 2 3" xfId="6988"/>
    <cellStyle name="Normal 125 2 3 2" xfId="10324"/>
    <cellStyle name="Normal 125 2 3 2 2" xfId="18196"/>
    <cellStyle name="Normal 125 2 3 3" xfId="17235"/>
    <cellStyle name="Normal 125 2 4" xfId="10321"/>
    <cellStyle name="Normal 125 2 4 2" xfId="18193"/>
    <cellStyle name="Normal 125 2 5" xfId="14967"/>
    <cellStyle name="Normal 125 2 5 2" xfId="21848"/>
    <cellStyle name="Normal 125 2 6" xfId="15520"/>
    <cellStyle name="Normal 125 2 6 2" xfId="22275"/>
    <cellStyle name="Normal 125 2 7" xfId="15720"/>
    <cellStyle name="Normal 125 2 7 2" xfId="22466"/>
    <cellStyle name="Normal 125 2 8" xfId="15950"/>
    <cellStyle name="Normal 125 2 8 2" xfId="22679"/>
    <cellStyle name="Normal 125 2 9" xfId="16169"/>
    <cellStyle name="Normal 125 3" xfId="5409"/>
    <cellStyle name="Normal 125 3 2" xfId="14988"/>
    <cellStyle name="Normal 125 4" xfId="6530"/>
    <cellStyle name="Normal 125 4 2" xfId="10325"/>
    <cellStyle name="Normal 125 4 2 2" xfId="18197"/>
    <cellStyle name="Normal 125 4 3" xfId="14470"/>
    <cellStyle name="Normal 125 4 3 2" xfId="21492"/>
    <cellStyle name="Normal 125 4 4" xfId="16952"/>
    <cellStyle name="Normal 125 5" xfId="10320"/>
    <cellStyle name="Normal 125 5 2" xfId="18192"/>
    <cellStyle name="Normal 125 6" xfId="13668"/>
    <cellStyle name="Normal 125 6 2" xfId="21357"/>
    <cellStyle name="Normal 125 7" xfId="14245"/>
    <cellStyle name="Normal 126" xfId="2627"/>
    <cellStyle name="Normal 126 2" xfId="4195"/>
    <cellStyle name="Normal 126 2 2" xfId="5978"/>
    <cellStyle name="Normal 126 2 2 2" xfId="7184"/>
    <cellStyle name="Normal 126 2 2 2 2" xfId="10329"/>
    <cellStyle name="Normal 126 2 2 2 2 2" xfId="18201"/>
    <cellStyle name="Normal 126 2 2 2 3" xfId="17431"/>
    <cellStyle name="Normal 126 2 2 3" xfId="10328"/>
    <cellStyle name="Normal 126 2 2 3 2" xfId="18200"/>
    <cellStyle name="Normal 126 2 2 4" xfId="15245"/>
    <cellStyle name="Normal 126 2 2 4 2" xfId="22044"/>
    <cellStyle name="Normal 126 2 2 5" xfId="16635"/>
    <cellStyle name="Normal 126 2 3" xfId="6773"/>
    <cellStyle name="Normal 126 2 3 2" xfId="10330"/>
    <cellStyle name="Normal 126 2 3 2 2" xfId="18202"/>
    <cellStyle name="Normal 126 2 3 3" xfId="17020"/>
    <cellStyle name="Normal 126 2 4" xfId="10327"/>
    <cellStyle name="Normal 126 2 4 2" xfId="18199"/>
    <cellStyle name="Normal 126 2 5" xfId="14707"/>
    <cellStyle name="Normal 126 2 5 2" xfId="21633"/>
    <cellStyle name="Normal 126 2 6" xfId="15521"/>
    <cellStyle name="Normal 126 2 6 2" xfId="22276"/>
    <cellStyle name="Normal 126 2 7" xfId="15721"/>
    <cellStyle name="Normal 126 2 7 2" xfId="22467"/>
    <cellStyle name="Normal 126 2 8" xfId="15951"/>
    <cellStyle name="Normal 126 2 8 2" xfId="22680"/>
    <cellStyle name="Normal 126 2 9" xfId="16170"/>
    <cellStyle name="Normal 126 3" xfId="5410"/>
    <cellStyle name="Normal 126 3 2" xfId="14989"/>
    <cellStyle name="Normal 126 4" xfId="6531"/>
    <cellStyle name="Normal 126 4 2" xfId="10331"/>
    <cellStyle name="Normal 126 4 2 2" xfId="18203"/>
    <cellStyle name="Normal 126 4 3" xfId="14471"/>
    <cellStyle name="Normal 126 4 3 2" xfId="21493"/>
    <cellStyle name="Normal 126 4 4" xfId="16953"/>
    <cellStyle name="Normal 126 5" xfId="10326"/>
    <cellStyle name="Normal 126 5 2" xfId="18198"/>
    <cellStyle name="Normal 126 6" xfId="13460"/>
    <cellStyle name="Normal 126 6 2" xfId="21330"/>
    <cellStyle name="Normal 126 7" xfId="13669"/>
    <cellStyle name="Normal 126 7 2" xfId="21358"/>
    <cellStyle name="Normal 126 8" xfId="14246"/>
    <cellStyle name="Normal 127" xfId="2628"/>
    <cellStyle name="Normal 127 2" xfId="4196"/>
    <cellStyle name="Normal 127 2 2" xfId="5979"/>
    <cellStyle name="Normal 127 2 2 2" xfId="7185"/>
    <cellStyle name="Normal 127 2 2 2 2" xfId="10335"/>
    <cellStyle name="Normal 127 2 2 2 2 2" xfId="18207"/>
    <cellStyle name="Normal 127 2 2 2 3" xfId="17432"/>
    <cellStyle name="Normal 127 2 2 3" xfId="10334"/>
    <cellStyle name="Normal 127 2 2 3 2" xfId="18206"/>
    <cellStyle name="Normal 127 2 2 4" xfId="15246"/>
    <cellStyle name="Normal 127 2 2 4 2" xfId="22045"/>
    <cellStyle name="Normal 127 2 2 5" xfId="16636"/>
    <cellStyle name="Normal 127 2 3" xfId="6774"/>
    <cellStyle name="Normal 127 2 3 2" xfId="10336"/>
    <cellStyle name="Normal 127 2 3 2 2" xfId="18208"/>
    <cellStyle name="Normal 127 2 3 3" xfId="17021"/>
    <cellStyle name="Normal 127 2 4" xfId="10333"/>
    <cellStyle name="Normal 127 2 4 2" xfId="18205"/>
    <cellStyle name="Normal 127 2 5" xfId="14708"/>
    <cellStyle name="Normal 127 2 5 2" xfId="21634"/>
    <cellStyle name="Normal 127 2 6" xfId="15522"/>
    <cellStyle name="Normal 127 2 6 2" xfId="22277"/>
    <cellStyle name="Normal 127 2 7" xfId="15722"/>
    <cellStyle name="Normal 127 2 7 2" xfId="22468"/>
    <cellStyle name="Normal 127 2 8" xfId="15952"/>
    <cellStyle name="Normal 127 2 8 2" xfId="22681"/>
    <cellStyle name="Normal 127 2 9" xfId="16171"/>
    <cellStyle name="Normal 127 3" xfId="5411"/>
    <cellStyle name="Normal 127 3 2" xfId="14990"/>
    <cellStyle name="Normal 127 4" xfId="6532"/>
    <cellStyle name="Normal 127 4 2" xfId="10337"/>
    <cellStyle name="Normal 127 4 2 2" xfId="18209"/>
    <cellStyle name="Normal 127 4 3" xfId="14472"/>
    <cellStyle name="Normal 127 4 3 2" xfId="21494"/>
    <cellStyle name="Normal 127 4 4" xfId="16954"/>
    <cellStyle name="Normal 127 5" xfId="10332"/>
    <cellStyle name="Normal 127 5 2" xfId="18204"/>
    <cellStyle name="Normal 127 6" xfId="14015"/>
    <cellStyle name="Normal 127 6 2" xfId="21428"/>
    <cellStyle name="Normal 127 7" xfId="14247"/>
    <cellStyle name="Normal 128" xfId="2629"/>
    <cellStyle name="Normal 128 2" xfId="4197"/>
    <cellStyle name="Normal 128 2 2" xfId="5980"/>
    <cellStyle name="Normal 128 2 2 2" xfId="7186"/>
    <cellStyle name="Normal 128 2 2 2 2" xfId="10341"/>
    <cellStyle name="Normal 128 2 2 2 2 2" xfId="18213"/>
    <cellStyle name="Normal 128 2 2 2 3" xfId="17433"/>
    <cellStyle name="Normal 128 2 2 3" xfId="10340"/>
    <cellStyle name="Normal 128 2 2 3 2" xfId="18212"/>
    <cellStyle name="Normal 128 2 2 4" xfId="15247"/>
    <cellStyle name="Normal 128 2 2 4 2" xfId="22046"/>
    <cellStyle name="Normal 128 2 2 5" xfId="16637"/>
    <cellStyle name="Normal 128 2 3" xfId="6775"/>
    <cellStyle name="Normal 128 2 3 2" xfId="10342"/>
    <cellStyle name="Normal 128 2 3 2 2" xfId="18214"/>
    <cellStyle name="Normal 128 2 3 3" xfId="17022"/>
    <cellStyle name="Normal 128 2 4" xfId="10339"/>
    <cellStyle name="Normal 128 2 4 2" xfId="18211"/>
    <cellStyle name="Normal 128 2 5" xfId="14709"/>
    <cellStyle name="Normal 128 2 5 2" xfId="21635"/>
    <cellStyle name="Normal 128 2 6" xfId="15523"/>
    <cellStyle name="Normal 128 2 6 2" xfId="22278"/>
    <cellStyle name="Normal 128 2 7" xfId="15723"/>
    <cellStyle name="Normal 128 2 7 2" xfId="22469"/>
    <cellStyle name="Normal 128 2 8" xfId="15953"/>
    <cellStyle name="Normal 128 2 8 2" xfId="22682"/>
    <cellStyle name="Normal 128 2 9" xfId="16172"/>
    <cellStyle name="Normal 128 3" xfId="5412"/>
    <cellStyle name="Normal 128 3 2" xfId="14991"/>
    <cellStyle name="Normal 128 4" xfId="6533"/>
    <cellStyle name="Normal 128 4 2" xfId="10343"/>
    <cellStyle name="Normal 128 4 2 2" xfId="18215"/>
    <cellStyle name="Normal 128 4 3" xfId="14473"/>
    <cellStyle name="Normal 128 4 3 2" xfId="21495"/>
    <cellStyle name="Normal 128 4 4" xfId="16955"/>
    <cellStyle name="Normal 128 5" xfId="10338"/>
    <cellStyle name="Normal 128 5 2" xfId="18210"/>
    <cellStyle name="Normal 128 6" xfId="14016"/>
    <cellStyle name="Normal 128 6 2" xfId="21429"/>
    <cellStyle name="Normal 128 7" xfId="14248"/>
    <cellStyle name="Normal 129" xfId="2630"/>
    <cellStyle name="Normal 129 2" xfId="4198"/>
    <cellStyle name="Normal 129 2 2" xfId="5981"/>
    <cellStyle name="Normal 129 2 2 2" xfId="7187"/>
    <cellStyle name="Normal 129 2 2 2 2" xfId="10347"/>
    <cellStyle name="Normal 129 2 2 2 2 2" xfId="18219"/>
    <cellStyle name="Normal 129 2 2 2 3" xfId="17434"/>
    <cellStyle name="Normal 129 2 2 3" xfId="10346"/>
    <cellStyle name="Normal 129 2 2 3 2" xfId="18218"/>
    <cellStyle name="Normal 129 2 2 4" xfId="15248"/>
    <cellStyle name="Normal 129 2 2 4 2" xfId="22047"/>
    <cellStyle name="Normal 129 2 2 5" xfId="16638"/>
    <cellStyle name="Normal 129 2 3" xfId="6776"/>
    <cellStyle name="Normal 129 2 3 2" xfId="10348"/>
    <cellStyle name="Normal 129 2 3 2 2" xfId="18220"/>
    <cellStyle name="Normal 129 2 3 3" xfId="17023"/>
    <cellStyle name="Normal 129 2 4" xfId="10345"/>
    <cellStyle name="Normal 129 2 4 2" xfId="18217"/>
    <cellStyle name="Normal 129 2 5" xfId="14710"/>
    <cellStyle name="Normal 129 2 5 2" xfId="21636"/>
    <cellStyle name="Normal 129 2 6" xfId="15524"/>
    <cellStyle name="Normal 129 2 6 2" xfId="22279"/>
    <cellStyle name="Normal 129 2 7" xfId="15724"/>
    <cellStyle name="Normal 129 2 7 2" xfId="22470"/>
    <cellStyle name="Normal 129 2 8" xfId="15954"/>
    <cellStyle name="Normal 129 2 8 2" xfId="22683"/>
    <cellStyle name="Normal 129 2 9" xfId="16173"/>
    <cellStyle name="Normal 129 3" xfId="5413"/>
    <cellStyle name="Normal 129 3 2" xfId="14992"/>
    <cellStyle name="Normal 129 4" xfId="6534"/>
    <cellStyle name="Normal 129 4 2" xfId="10349"/>
    <cellStyle name="Normal 129 4 2 2" xfId="18221"/>
    <cellStyle name="Normal 129 4 3" xfId="14474"/>
    <cellStyle name="Normal 129 4 3 2" xfId="21496"/>
    <cellStyle name="Normal 129 4 4" xfId="16956"/>
    <cellStyle name="Normal 129 5" xfId="10344"/>
    <cellStyle name="Normal 129 5 2" xfId="18216"/>
    <cellStyle name="Normal 129 6" xfId="14017"/>
    <cellStyle name="Normal 129 6 2" xfId="21430"/>
    <cellStyle name="Normal 129 7" xfId="14249"/>
    <cellStyle name="Normal 13" xfId="2631"/>
    <cellStyle name="Normal 13 10" xfId="4199"/>
    <cellStyle name="Normal 13 10 2" xfId="14250"/>
    <cellStyle name="Normal 13 11" xfId="4200"/>
    <cellStyle name="Normal 13 11 2" xfId="14251"/>
    <cellStyle name="Normal 13 12" xfId="4201"/>
    <cellStyle name="Normal 13 12 2" xfId="14252"/>
    <cellStyle name="Normal 13 13" xfId="4202"/>
    <cellStyle name="Normal 13 13 2" xfId="14253"/>
    <cellStyle name="Normal 13 14" xfId="4203"/>
    <cellStyle name="Normal 13 14 2" xfId="14254"/>
    <cellStyle name="Normal 13 15" xfId="4204"/>
    <cellStyle name="Normal 13 15 2" xfId="14711"/>
    <cellStyle name="Normal 13 16" xfId="4205"/>
    <cellStyle name="Normal 13 17" xfId="5768"/>
    <cellStyle name="Normal 13 17 2" xfId="7018"/>
    <cellStyle name="Normal 13 17 2 2" xfId="10351"/>
    <cellStyle name="Normal 13 17 2 2 2" xfId="18223"/>
    <cellStyle name="Normal 13 17 2 3" xfId="17265"/>
    <cellStyle name="Normal 13 17 3" xfId="10350"/>
    <cellStyle name="Normal 13 17 3 2" xfId="18222"/>
    <cellStyle name="Normal 13 17 4" xfId="15079"/>
    <cellStyle name="Normal 13 17 4 2" xfId="21878"/>
    <cellStyle name="Normal 13 17 5" xfId="16469"/>
    <cellStyle name="Normal 13 18" xfId="6535"/>
    <cellStyle name="Normal 13 19" xfId="9675"/>
    <cellStyle name="Normal 13 2" xfId="2632"/>
    <cellStyle name="Normal 13 2 2" xfId="13670"/>
    <cellStyle name="Normal 13 20" xfId="15444"/>
    <cellStyle name="Normal 13 20 2" xfId="22199"/>
    <cellStyle name="Normal 13 21" xfId="15643"/>
    <cellStyle name="Normal 13 21 2" xfId="22389"/>
    <cellStyle name="Normal 13 22" xfId="15837"/>
    <cellStyle name="Normal 13 22 2" xfId="22580"/>
    <cellStyle name="Normal 13 23" xfId="16088"/>
    <cellStyle name="Normal 13 3" xfId="2633"/>
    <cellStyle name="Normal 13 3 2" xfId="4206"/>
    <cellStyle name="Normal 13 3 2 2" xfId="5982"/>
    <cellStyle name="Normal 13 3 2 2 2" xfId="7188"/>
    <cellStyle name="Normal 13 3 2 2 2 2" xfId="10355"/>
    <cellStyle name="Normal 13 3 2 2 2 2 2" xfId="18227"/>
    <cellStyle name="Normal 13 3 2 2 2 3" xfId="17435"/>
    <cellStyle name="Normal 13 3 2 2 3" xfId="10354"/>
    <cellStyle name="Normal 13 3 2 2 3 2" xfId="18226"/>
    <cellStyle name="Normal 13 3 2 2 4" xfId="15249"/>
    <cellStyle name="Normal 13 3 2 2 4 2" xfId="22048"/>
    <cellStyle name="Normal 13 3 2 2 5" xfId="16639"/>
    <cellStyle name="Normal 13 3 2 3" xfId="6777"/>
    <cellStyle name="Normal 13 3 2 3 2" xfId="10356"/>
    <cellStyle name="Normal 13 3 2 3 2 2" xfId="18228"/>
    <cellStyle name="Normal 13 3 2 3 3" xfId="17024"/>
    <cellStyle name="Normal 13 3 2 4" xfId="10353"/>
    <cellStyle name="Normal 13 3 2 4 2" xfId="18225"/>
    <cellStyle name="Normal 13 3 2 5" xfId="14712"/>
    <cellStyle name="Normal 13 3 2 5 2" xfId="21637"/>
    <cellStyle name="Normal 13 3 2 6" xfId="15525"/>
    <cellStyle name="Normal 13 3 2 6 2" xfId="22280"/>
    <cellStyle name="Normal 13 3 2 7" xfId="15725"/>
    <cellStyle name="Normal 13 3 2 7 2" xfId="22471"/>
    <cellStyle name="Normal 13 3 2 8" xfId="15955"/>
    <cellStyle name="Normal 13 3 2 8 2" xfId="22684"/>
    <cellStyle name="Normal 13 3 2 9" xfId="16174"/>
    <cellStyle name="Normal 13 3 3" xfId="5414"/>
    <cellStyle name="Normal 13 3 3 2" xfId="14993"/>
    <cellStyle name="Normal 13 3 4" xfId="6536"/>
    <cellStyle name="Normal 13 3 4 2" xfId="10357"/>
    <cellStyle name="Normal 13 3 4 2 2" xfId="18229"/>
    <cellStyle name="Normal 13 3 4 3" xfId="14475"/>
    <cellStyle name="Normal 13 3 4 3 2" xfId="21497"/>
    <cellStyle name="Normal 13 3 4 4" xfId="16957"/>
    <cellStyle name="Normal 13 3 5" xfId="10352"/>
    <cellStyle name="Normal 13 3 5 2" xfId="18224"/>
    <cellStyle name="Normal 13 3 6" xfId="14255"/>
    <cellStyle name="Normal 13 4" xfId="4207"/>
    <cellStyle name="Normal 13 4 2" xfId="14256"/>
    <cellStyle name="Normal 13 5" xfId="4208"/>
    <cellStyle name="Normal 13 5 2" xfId="14257"/>
    <cellStyle name="Normal 13 6" xfId="4209"/>
    <cellStyle name="Normal 13 6 2" xfId="14258"/>
    <cellStyle name="Normal 13 7" xfId="4210"/>
    <cellStyle name="Normal 13 7 2" xfId="14259"/>
    <cellStyle name="Normal 13 8" xfId="4211"/>
    <cellStyle name="Normal 13 8 2" xfId="14260"/>
    <cellStyle name="Normal 13 9" xfId="4212"/>
    <cellStyle name="Normal 13 9 2" xfId="14261"/>
    <cellStyle name="Normal 130" xfId="2634"/>
    <cellStyle name="Normal 130 2" xfId="4213"/>
    <cellStyle name="Normal 130 2 2" xfId="5983"/>
    <cellStyle name="Normal 130 2 2 2" xfId="7189"/>
    <cellStyle name="Normal 130 2 2 2 2" xfId="10361"/>
    <cellStyle name="Normal 130 2 2 2 2 2" xfId="18233"/>
    <cellStyle name="Normal 130 2 2 2 3" xfId="17436"/>
    <cellStyle name="Normal 130 2 2 3" xfId="10360"/>
    <cellStyle name="Normal 130 2 2 3 2" xfId="18232"/>
    <cellStyle name="Normal 130 2 2 4" xfId="15250"/>
    <cellStyle name="Normal 130 2 2 4 2" xfId="22049"/>
    <cellStyle name="Normal 130 2 2 5" xfId="16640"/>
    <cellStyle name="Normal 130 2 3" xfId="6778"/>
    <cellStyle name="Normal 130 2 3 2" xfId="10362"/>
    <cellStyle name="Normal 130 2 3 2 2" xfId="18234"/>
    <cellStyle name="Normal 130 2 3 3" xfId="17025"/>
    <cellStyle name="Normal 130 2 4" xfId="10359"/>
    <cellStyle name="Normal 130 2 4 2" xfId="18231"/>
    <cellStyle name="Normal 130 2 5" xfId="14713"/>
    <cellStyle name="Normal 130 2 5 2" xfId="21638"/>
    <cellStyle name="Normal 130 2 6" xfId="15526"/>
    <cellStyle name="Normal 130 2 6 2" xfId="22281"/>
    <cellStyle name="Normal 130 2 7" xfId="15726"/>
    <cellStyle name="Normal 130 2 7 2" xfId="22472"/>
    <cellStyle name="Normal 130 2 8" xfId="15956"/>
    <cellStyle name="Normal 130 2 8 2" xfId="22685"/>
    <cellStyle name="Normal 130 2 9" xfId="16175"/>
    <cellStyle name="Normal 130 3" xfId="5415"/>
    <cellStyle name="Normal 130 3 2" xfId="14994"/>
    <cellStyle name="Normal 130 4" xfId="6537"/>
    <cellStyle name="Normal 130 4 2" xfId="10363"/>
    <cellStyle name="Normal 130 4 2 2" xfId="18235"/>
    <cellStyle name="Normal 130 4 3" xfId="14476"/>
    <cellStyle name="Normal 130 4 3 2" xfId="21498"/>
    <cellStyle name="Normal 130 4 4" xfId="16958"/>
    <cellStyle name="Normal 130 5" xfId="10358"/>
    <cellStyle name="Normal 130 5 2" xfId="18230"/>
    <cellStyle name="Normal 130 6" xfId="14018"/>
    <cellStyle name="Normal 130 6 2" xfId="21431"/>
    <cellStyle name="Normal 130 7" xfId="14262"/>
    <cellStyle name="Normal 131" xfId="2635"/>
    <cellStyle name="Normal 131 2" xfId="4214"/>
    <cellStyle name="Normal 131 2 2" xfId="5984"/>
    <cellStyle name="Normal 131 2 2 2" xfId="7190"/>
    <cellStyle name="Normal 131 2 2 2 2" xfId="10367"/>
    <cellStyle name="Normal 131 2 2 2 2 2" xfId="18239"/>
    <cellStyle name="Normal 131 2 2 2 3" xfId="17437"/>
    <cellStyle name="Normal 131 2 2 3" xfId="10366"/>
    <cellStyle name="Normal 131 2 2 3 2" xfId="18238"/>
    <cellStyle name="Normal 131 2 2 4" xfId="15251"/>
    <cellStyle name="Normal 131 2 2 4 2" xfId="22050"/>
    <cellStyle name="Normal 131 2 2 5" xfId="16641"/>
    <cellStyle name="Normal 131 2 3" xfId="6779"/>
    <cellStyle name="Normal 131 2 3 2" xfId="10368"/>
    <cellStyle name="Normal 131 2 3 2 2" xfId="18240"/>
    <cellStyle name="Normal 131 2 3 3" xfId="17026"/>
    <cellStyle name="Normal 131 2 4" xfId="10365"/>
    <cellStyle name="Normal 131 2 4 2" xfId="18237"/>
    <cellStyle name="Normal 131 2 5" xfId="14714"/>
    <cellStyle name="Normal 131 2 5 2" xfId="21639"/>
    <cellStyle name="Normal 131 2 6" xfId="15527"/>
    <cellStyle name="Normal 131 2 6 2" xfId="22282"/>
    <cellStyle name="Normal 131 2 7" xfId="15727"/>
    <cellStyle name="Normal 131 2 7 2" xfId="22473"/>
    <cellStyle name="Normal 131 2 8" xfId="15957"/>
    <cellStyle name="Normal 131 2 8 2" xfId="22686"/>
    <cellStyle name="Normal 131 2 9" xfId="16176"/>
    <cellStyle name="Normal 131 3" xfId="5416"/>
    <cellStyle name="Normal 131 3 2" xfId="14995"/>
    <cellStyle name="Normal 131 4" xfId="6538"/>
    <cellStyle name="Normal 131 4 2" xfId="10369"/>
    <cellStyle name="Normal 131 4 2 2" xfId="18241"/>
    <cellStyle name="Normal 131 4 3" xfId="14477"/>
    <cellStyle name="Normal 131 4 3 2" xfId="21499"/>
    <cellStyle name="Normal 131 4 4" xfId="16959"/>
    <cellStyle name="Normal 131 5" xfId="10364"/>
    <cellStyle name="Normal 131 5 2" xfId="18236"/>
    <cellStyle name="Normal 131 6" xfId="14019"/>
    <cellStyle name="Normal 131 6 2" xfId="21432"/>
    <cellStyle name="Normal 131 7" xfId="14263"/>
    <cellStyle name="Normal 132" xfId="2636"/>
    <cellStyle name="Normal 132 2" xfId="4215"/>
    <cellStyle name="Normal 132 2 2" xfId="5985"/>
    <cellStyle name="Normal 132 2 2 2" xfId="7191"/>
    <cellStyle name="Normal 132 2 2 2 2" xfId="10373"/>
    <cellStyle name="Normal 132 2 2 2 2 2" xfId="18245"/>
    <cellStyle name="Normal 132 2 2 2 3" xfId="17438"/>
    <cellStyle name="Normal 132 2 2 3" xfId="10372"/>
    <cellStyle name="Normal 132 2 2 3 2" xfId="18244"/>
    <cellStyle name="Normal 132 2 2 4" xfId="15252"/>
    <cellStyle name="Normal 132 2 2 4 2" xfId="22051"/>
    <cellStyle name="Normal 132 2 2 5" xfId="16642"/>
    <cellStyle name="Normal 132 2 3" xfId="6780"/>
    <cellStyle name="Normal 132 2 3 2" xfId="10374"/>
    <cellStyle name="Normal 132 2 3 2 2" xfId="18246"/>
    <cellStyle name="Normal 132 2 3 3" xfId="17027"/>
    <cellStyle name="Normal 132 2 4" xfId="10371"/>
    <cellStyle name="Normal 132 2 4 2" xfId="18243"/>
    <cellStyle name="Normal 132 2 5" xfId="14715"/>
    <cellStyle name="Normal 132 2 5 2" xfId="21640"/>
    <cellStyle name="Normal 132 2 6" xfId="15528"/>
    <cellStyle name="Normal 132 2 6 2" xfId="22283"/>
    <cellStyle name="Normal 132 2 7" xfId="15728"/>
    <cellStyle name="Normal 132 2 7 2" xfId="22474"/>
    <cellStyle name="Normal 132 2 8" xfId="15958"/>
    <cellStyle name="Normal 132 2 8 2" xfId="22687"/>
    <cellStyle name="Normal 132 2 9" xfId="16177"/>
    <cellStyle name="Normal 132 3" xfId="5417"/>
    <cellStyle name="Normal 132 3 2" xfId="14996"/>
    <cellStyle name="Normal 132 4" xfId="6539"/>
    <cellStyle name="Normal 132 4 2" xfId="10375"/>
    <cellStyle name="Normal 132 4 2 2" xfId="18247"/>
    <cellStyle name="Normal 132 4 3" xfId="14478"/>
    <cellStyle name="Normal 132 4 3 2" xfId="21500"/>
    <cellStyle name="Normal 132 4 4" xfId="16960"/>
    <cellStyle name="Normal 132 5" xfId="10370"/>
    <cellStyle name="Normal 132 5 2" xfId="18242"/>
    <cellStyle name="Normal 132 6" xfId="14020"/>
    <cellStyle name="Normal 132 6 2" xfId="21433"/>
    <cellStyle name="Normal 132 7" xfId="14264"/>
    <cellStyle name="Normal 133" xfId="2637"/>
    <cellStyle name="Normal 133 2" xfId="4216"/>
    <cellStyle name="Normal 133 2 2" xfId="5986"/>
    <cellStyle name="Normal 133 2 2 2" xfId="7192"/>
    <cellStyle name="Normal 133 2 2 2 2" xfId="10379"/>
    <cellStyle name="Normal 133 2 2 2 2 2" xfId="18251"/>
    <cellStyle name="Normal 133 2 2 2 3" xfId="17439"/>
    <cellStyle name="Normal 133 2 2 3" xfId="10378"/>
    <cellStyle name="Normal 133 2 2 3 2" xfId="18250"/>
    <cellStyle name="Normal 133 2 2 4" xfId="15253"/>
    <cellStyle name="Normal 133 2 2 4 2" xfId="22052"/>
    <cellStyle name="Normal 133 2 2 5" xfId="16643"/>
    <cellStyle name="Normal 133 2 3" xfId="6781"/>
    <cellStyle name="Normal 133 2 3 2" xfId="10380"/>
    <cellStyle name="Normal 133 2 3 2 2" xfId="18252"/>
    <cellStyle name="Normal 133 2 3 3" xfId="17028"/>
    <cellStyle name="Normal 133 2 4" xfId="10377"/>
    <cellStyle name="Normal 133 2 4 2" xfId="18249"/>
    <cellStyle name="Normal 133 2 5" xfId="14716"/>
    <cellStyle name="Normal 133 2 5 2" xfId="21641"/>
    <cellStyle name="Normal 133 2 6" xfId="15529"/>
    <cellStyle name="Normal 133 2 6 2" xfId="22284"/>
    <cellStyle name="Normal 133 2 7" xfId="15729"/>
    <cellStyle name="Normal 133 2 7 2" xfId="22475"/>
    <cellStyle name="Normal 133 2 8" xfId="15959"/>
    <cellStyle name="Normal 133 2 8 2" xfId="22688"/>
    <cellStyle name="Normal 133 2 9" xfId="16178"/>
    <cellStyle name="Normal 133 3" xfId="5418"/>
    <cellStyle name="Normal 133 3 2" xfId="14997"/>
    <cellStyle name="Normal 133 4" xfId="6540"/>
    <cellStyle name="Normal 133 4 2" xfId="10381"/>
    <cellStyle name="Normal 133 4 2 2" xfId="18253"/>
    <cellStyle name="Normal 133 4 3" xfId="14479"/>
    <cellStyle name="Normal 133 4 3 2" xfId="21501"/>
    <cellStyle name="Normal 133 4 4" xfId="16961"/>
    <cellStyle name="Normal 133 5" xfId="10376"/>
    <cellStyle name="Normal 133 5 2" xfId="18248"/>
    <cellStyle name="Normal 133 6" xfId="14265"/>
    <cellStyle name="Normal 134" xfId="2638"/>
    <cellStyle name="Normal 134 2" xfId="4217"/>
    <cellStyle name="Normal 134 2 2" xfId="5987"/>
    <cellStyle name="Normal 134 2 2 2" xfId="7193"/>
    <cellStyle name="Normal 134 2 2 2 2" xfId="10385"/>
    <cellStyle name="Normal 134 2 2 2 2 2" xfId="18257"/>
    <cellStyle name="Normal 134 2 2 2 3" xfId="17440"/>
    <cellStyle name="Normal 134 2 2 3" xfId="10384"/>
    <cellStyle name="Normal 134 2 2 3 2" xfId="18256"/>
    <cellStyle name="Normal 134 2 2 4" xfId="15254"/>
    <cellStyle name="Normal 134 2 2 4 2" xfId="22053"/>
    <cellStyle name="Normal 134 2 2 5" xfId="16644"/>
    <cellStyle name="Normal 134 2 3" xfId="6782"/>
    <cellStyle name="Normal 134 2 3 2" xfId="10386"/>
    <cellStyle name="Normal 134 2 3 2 2" xfId="18258"/>
    <cellStyle name="Normal 134 2 3 3" xfId="17029"/>
    <cellStyle name="Normal 134 2 4" xfId="10383"/>
    <cellStyle name="Normal 134 2 4 2" xfId="18255"/>
    <cellStyle name="Normal 134 2 5" xfId="14717"/>
    <cellStyle name="Normal 134 2 5 2" xfId="21642"/>
    <cellStyle name="Normal 134 2 6" xfId="15530"/>
    <cellStyle name="Normal 134 2 6 2" xfId="22285"/>
    <cellStyle name="Normal 134 2 7" xfId="15730"/>
    <cellStyle name="Normal 134 2 7 2" xfId="22476"/>
    <cellStyle name="Normal 134 2 8" xfId="15960"/>
    <cellStyle name="Normal 134 2 8 2" xfId="22689"/>
    <cellStyle name="Normal 134 2 9" xfId="16179"/>
    <cellStyle name="Normal 134 3" xfId="5419"/>
    <cellStyle name="Normal 134 3 2" xfId="14998"/>
    <cellStyle name="Normal 134 4" xfId="6541"/>
    <cellStyle name="Normal 134 4 2" xfId="10387"/>
    <cellStyle name="Normal 134 4 2 2" xfId="18259"/>
    <cellStyle name="Normal 134 4 3" xfId="14480"/>
    <cellStyle name="Normal 134 4 3 2" xfId="21502"/>
    <cellStyle name="Normal 134 4 4" xfId="16962"/>
    <cellStyle name="Normal 134 5" xfId="10382"/>
    <cellStyle name="Normal 134 5 2" xfId="18254"/>
    <cellStyle name="Normal 134 6" xfId="14266"/>
    <cellStyle name="Normal 135" xfId="2639"/>
    <cellStyle name="Normal 135 2" xfId="4218"/>
    <cellStyle name="Normal 135 2 2" xfId="5988"/>
    <cellStyle name="Normal 135 2 2 2" xfId="7194"/>
    <cellStyle name="Normal 135 2 2 2 2" xfId="10391"/>
    <cellStyle name="Normal 135 2 2 2 2 2" xfId="18263"/>
    <cellStyle name="Normal 135 2 2 2 3" xfId="17441"/>
    <cellStyle name="Normal 135 2 2 3" xfId="10390"/>
    <cellStyle name="Normal 135 2 2 3 2" xfId="18262"/>
    <cellStyle name="Normal 135 2 2 4" xfId="15255"/>
    <cellStyle name="Normal 135 2 2 4 2" xfId="22054"/>
    <cellStyle name="Normal 135 2 2 5" xfId="16645"/>
    <cellStyle name="Normal 135 2 3" xfId="6783"/>
    <cellStyle name="Normal 135 2 3 2" xfId="10392"/>
    <cellStyle name="Normal 135 2 3 2 2" xfId="18264"/>
    <cellStyle name="Normal 135 2 3 3" xfId="17030"/>
    <cellStyle name="Normal 135 2 4" xfId="10389"/>
    <cellStyle name="Normal 135 2 4 2" xfId="18261"/>
    <cellStyle name="Normal 135 2 5" xfId="14718"/>
    <cellStyle name="Normal 135 2 5 2" xfId="21643"/>
    <cellStyle name="Normal 135 2 6" xfId="15531"/>
    <cellStyle name="Normal 135 2 6 2" xfId="22286"/>
    <cellStyle name="Normal 135 2 7" xfId="15731"/>
    <cellStyle name="Normal 135 2 7 2" xfId="22477"/>
    <cellStyle name="Normal 135 2 8" xfId="15961"/>
    <cellStyle name="Normal 135 2 8 2" xfId="22690"/>
    <cellStyle name="Normal 135 2 9" xfId="16180"/>
    <cellStyle name="Normal 135 3" xfId="5420"/>
    <cellStyle name="Normal 135 3 2" xfId="14999"/>
    <cellStyle name="Normal 135 4" xfId="6542"/>
    <cellStyle name="Normal 135 4 2" xfId="10393"/>
    <cellStyle name="Normal 135 4 2 2" xfId="18265"/>
    <cellStyle name="Normal 135 4 3" xfId="14481"/>
    <cellStyle name="Normal 135 4 3 2" xfId="21503"/>
    <cellStyle name="Normal 135 4 4" xfId="16963"/>
    <cellStyle name="Normal 135 5" xfId="10388"/>
    <cellStyle name="Normal 135 5 2" xfId="18260"/>
    <cellStyle name="Normal 135 6" xfId="14267"/>
    <cellStyle name="Normal 136" xfId="2640"/>
    <cellStyle name="Normal 136 2" xfId="4219"/>
    <cellStyle name="Normal 136 2 2" xfId="5989"/>
    <cellStyle name="Normal 136 2 2 2" xfId="7195"/>
    <cellStyle name="Normal 136 2 2 2 2" xfId="10397"/>
    <cellStyle name="Normal 136 2 2 2 2 2" xfId="18269"/>
    <cellStyle name="Normal 136 2 2 2 3" xfId="17442"/>
    <cellStyle name="Normal 136 2 2 3" xfId="10396"/>
    <cellStyle name="Normal 136 2 2 3 2" xfId="18268"/>
    <cellStyle name="Normal 136 2 2 4" xfId="15256"/>
    <cellStyle name="Normal 136 2 2 4 2" xfId="22055"/>
    <cellStyle name="Normal 136 2 2 5" xfId="16646"/>
    <cellStyle name="Normal 136 2 3" xfId="6784"/>
    <cellStyle name="Normal 136 2 3 2" xfId="10398"/>
    <cellStyle name="Normal 136 2 3 2 2" xfId="18270"/>
    <cellStyle name="Normal 136 2 3 3" xfId="17031"/>
    <cellStyle name="Normal 136 2 4" xfId="10395"/>
    <cellStyle name="Normal 136 2 4 2" xfId="18267"/>
    <cellStyle name="Normal 136 2 5" xfId="14719"/>
    <cellStyle name="Normal 136 2 5 2" xfId="21644"/>
    <cellStyle name="Normal 136 2 6" xfId="15532"/>
    <cellStyle name="Normal 136 2 6 2" xfId="22287"/>
    <cellStyle name="Normal 136 2 7" xfId="15732"/>
    <cellStyle name="Normal 136 2 7 2" xfId="22478"/>
    <cellStyle name="Normal 136 2 8" xfId="15962"/>
    <cellStyle name="Normal 136 2 8 2" xfId="22691"/>
    <cellStyle name="Normal 136 2 9" xfId="16181"/>
    <cellStyle name="Normal 136 3" xfId="5421"/>
    <cellStyle name="Normal 136 3 2" xfId="15000"/>
    <cellStyle name="Normal 136 4" xfId="6543"/>
    <cellStyle name="Normal 136 4 2" xfId="10399"/>
    <cellStyle name="Normal 136 4 2 2" xfId="18271"/>
    <cellStyle name="Normal 136 4 3" xfId="14482"/>
    <cellStyle name="Normal 136 4 3 2" xfId="21504"/>
    <cellStyle name="Normal 136 4 4" xfId="16964"/>
    <cellStyle name="Normal 136 5" xfId="10394"/>
    <cellStyle name="Normal 136 5 2" xfId="18266"/>
    <cellStyle name="Normal 136 6" xfId="14268"/>
    <cellStyle name="Normal 137" xfId="2641"/>
    <cellStyle name="Normal 137 2" xfId="4220"/>
    <cellStyle name="Normal 137 2 2" xfId="5990"/>
    <cellStyle name="Normal 137 2 2 2" xfId="7196"/>
    <cellStyle name="Normal 137 2 2 2 2" xfId="10403"/>
    <cellStyle name="Normal 137 2 2 2 2 2" xfId="18275"/>
    <cellStyle name="Normal 137 2 2 2 3" xfId="17443"/>
    <cellStyle name="Normal 137 2 2 3" xfId="10402"/>
    <cellStyle name="Normal 137 2 2 3 2" xfId="18274"/>
    <cellStyle name="Normal 137 2 2 4" xfId="15257"/>
    <cellStyle name="Normal 137 2 2 4 2" xfId="22056"/>
    <cellStyle name="Normal 137 2 2 5" xfId="16647"/>
    <cellStyle name="Normal 137 2 3" xfId="6785"/>
    <cellStyle name="Normal 137 2 3 2" xfId="10404"/>
    <cellStyle name="Normal 137 2 3 2 2" xfId="18276"/>
    <cellStyle name="Normal 137 2 3 3" xfId="17032"/>
    <cellStyle name="Normal 137 2 4" xfId="10401"/>
    <cellStyle name="Normal 137 2 4 2" xfId="18273"/>
    <cellStyle name="Normal 137 2 5" xfId="14720"/>
    <cellStyle name="Normal 137 2 5 2" xfId="21645"/>
    <cellStyle name="Normal 137 2 6" xfId="15533"/>
    <cellStyle name="Normal 137 2 6 2" xfId="22288"/>
    <cellStyle name="Normal 137 2 7" xfId="15733"/>
    <cellStyle name="Normal 137 2 7 2" xfId="22479"/>
    <cellStyle name="Normal 137 2 8" xfId="15963"/>
    <cellStyle name="Normal 137 2 8 2" xfId="22692"/>
    <cellStyle name="Normal 137 2 9" xfId="16182"/>
    <cellStyle name="Normal 137 3" xfId="5422"/>
    <cellStyle name="Normal 137 3 2" xfId="15001"/>
    <cellStyle name="Normal 137 4" xfId="6544"/>
    <cellStyle name="Normal 137 4 2" xfId="10405"/>
    <cellStyle name="Normal 137 4 2 2" xfId="18277"/>
    <cellStyle name="Normal 137 4 3" xfId="14483"/>
    <cellStyle name="Normal 137 4 3 2" xfId="21505"/>
    <cellStyle name="Normal 137 4 4" xfId="16965"/>
    <cellStyle name="Normal 137 5" xfId="10400"/>
    <cellStyle name="Normal 137 5 2" xfId="18272"/>
    <cellStyle name="Normal 137 6" xfId="14269"/>
    <cellStyle name="Normal 138" xfId="2642"/>
    <cellStyle name="Normal 138 2" xfId="4221"/>
    <cellStyle name="Normal 138 2 2" xfId="5991"/>
    <cellStyle name="Normal 138 2 2 2" xfId="7197"/>
    <cellStyle name="Normal 138 2 2 2 2" xfId="10409"/>
    <cellStyle name="Normal 138 2 2 2 2 2" xfId="18281"/>
    <cellStyle name="Normal 138 2 2 2 3" xfId="17444"/>
    <cellStyle name="Normal 138 2 2 3" xfId="10408"/>
    <cellStyle name="Normal 138 2 2 3 2" xfId="18280"/>
    <cellStyle name="Normal 138 2 2 4" xfId="15258"/>
    <cellStyle name="Normal 138 2 2 4 2" xfId="22057"/>
    <cellStyle name="Normal 138 2 2 5" xfId="16648"/>
    <cellStyle name="Normal 138 2 3" xfId="6786"/>
    <cellStyle name="Normal 138 2 3 2" xfId="10410"/>
    <cellStyle name="Normal 138 2 3 2 2" xfId="18282"/>
    <cellStyle name="Normal 138 2 3 3" xfId="17033"/>
    <cellStyle name="Normal 138 2 4" xfId="10407"/>
    <cellStyle name="Normal 138 2 4 2" xfId="18279"/>
    <cellStyle name="Normal 138 2 5" xfId="14721"/>
    <cellStyle name="Normal 138 2 5 2" xfId="21646"/>
    <cellStyle name="Normal 138 2 6" xfId="15534"/>
    <cellStyle name="Normal 138 2 6 2" xfId="22289"/>
    <cellStyle name="Normal 138 2 7" xfId="15734"/>
    <cellStyle name="Normal 138 2 7 2" xfId="22480"/>
    <cellStyle name="Normal 138 2 8" xfId="15964"/>
    <cellStyle name="Normal 138 2 8 2" xfId="22693"/>
    <cellStyle name="Normal 138 2 9" xfId="16183"/>
    <cellStyle name="Normal 138 3" xfId="5423"/>
    <cellStyle name="Normal 138 3 2" xfId="15002"/>
    <cellStyle name="Normal 138 4" xfId="6545"/>
    <cellStyle name="Normal 138 4 2" xfId="10411"/>
    <cellStyle name="Normal 138 4 2 2" xfId="18283"/>
    <cellStyle name="Normal 138 4 3" xfId="14484"/>
    <cellStyle name="Normal 138 4 3 2" xfId="21506"/>
    <cellStyle name="Normal 138 4 4" xfId="16966"/>
    <cellStyle name="Normal 138 5" xfId="10406"/>
    <cellStyle name="Normal 138 5 2" xfId="18278"/>
    <cellStyle name="Normal 138 6" xfId="14270"/>
    <cellStyle name="Normal 139" xfId="2643"/>
    <cellStyle name="Normal 139 2" xfId="4222"/>
    <cellStyle name="Normal 139 2 2" xfId="5992"/>
    <cellStyle name="Normal 139 2 2 2" xfId="7198"/>
    <cellStyle name="Normal 139 2 2 2 2" xfId="10415"/>
    <cellStyle name="Normal 139 2 2 2 2 2" xfId="18287"/>
    <cellStyle name="Normal 139 2 2 2 3" xfId="17445"/>
    <cellStyle name="Normal 139 2 2 3" xfId="10414"/>
    <cellStyle name="Normal 139 2 2 3 2" xfId="18286"/>
    <cellStyle name="Normal 139 2 2 4" xfId="15259"/>
    <cellStyle name="Normal 139 2 2 4 2" xfId="22058"/>
    <cellStyle name="Normal 139 2 2 5" xfId="16649"/>
    <cellStyle name="Normal 139 2 3" xfId="6787"/>
    <cellStyle name="Normal 139 2 3 2" xfId="10416"/>
    <cellStyle name="Normal 139 2 3 2 2" xfId="18288"/>
    <cellStyle name="Normal 139 2 3 3" xfId="17034"/>
    <cellStyle name="Normal 139 2 4" xfId="10413"/>
    <cellStyle name="Normal 139 2 4 2" xfId="18285"/>
    <cellStyle name="Normal 139 2 5" xfId="14722"/>
    <cellStyle name="Normal 139 2 5 2" xfId="21647"/>
    <cellStyle name="Normal 139 2 6" xfId="15535"/>
    <cellStyle name="Normal 139 2 6 2" xfId="22290"/>
    <cellStyle name="Normal 139 2 7" xfId="15735"/>
    <cellStyle name="Normal 139 2 7 2" xfId="22481"/>
    <cellStyle name="Normal 139 2 8" xfId="15965"/>
    <cellStyle name="Normal 139 2 8 2" xfId="22694"/>
    <cellStyle name="Normal 139 2 9" xfId="16184"/>
    <cellStyle name="Normal 139 3" xfId="5424"/>
    <cellStyle name="Normal 139 3 2" xfId="15003"/>
    <cellStyle name="Normal 139 4" xfId="6546"/>
    <cellStyle name="Normal 139 4 2" xfId="10417"/>
    <cellStyle name="Normal 139 4 2 2" xfId="18289"/>
    <cellStyle name="Normal 139 4 3" xfId="14485"/>
    <cellStyle name="Normal 139 4 3 2" xfId="21507"/>
    <cellStyle name="Normal 139 4 4" xfId="16967"/>
    <cellStyle name="Normal 139 5" xfId="10412"/>
    <cellStyle name="Normal 139 5 2" xfId="18284"/>
    <cellStyle name="Normal 139 6" xfId="14271"/>
    <cellStyle name="Normal 14" xfId="2644"/>
    <cellStyle name="Normal 14 10" xfId="15445"/>
    <cellStyle name="Normal 14 10 2" xfId="22200"/>
    <cellStyle name="Normal 14 11" xfId="15644"/>
    <cellStyle name="Normal 14 11 2" xfId="22390"/>
    <cellStyle name="Normal 14 12" xfId="15838"/>
    <cellStyle name="Normal 14 12 2" xfId="22581"/>
    <cellStyle name="Normal 14 13" xfId="16089"/>
    <cellStyle name="Normal 14 2" xfId="2645"/>
    <cellStyle name="Normal 14 2 2" xfId="9802"/>
    <cellStyle name="Normal 14 2 3" xfId="13671"/>
    <cellStyle name="Normal 14 3" xfId="2646"/>
    <cellStyle name="Normal 14 3 2" xfId="4223"/>
    <cellStyle name="Normal 14 3 2 2" xfId="5993"/>
    <cellStyle name="Normal 14 3 2 2 2" xfId="7199"/>
    <cellStyle name="Normal 14 3 2 2 2 2" xfId="10421"/>
    <cellStyle name="Normal 14 3 2 2 2 2 2" xfId="18293"/>
    <cellStyle name="Normal 14 3 2 2 2 3" xfId="17446"/>
    <cellStyle name="Normal 14 3 2 2 3" xfId="10420"/>
    <cellStyle name="Normal 14 3 2 2 3 2" xfId="18292"/>
    <cellStyle name="Normal 14 3 2 2 4" xfId="15260"/>
    <cellStyle name="Normal 14 3 2 2 4 2" xfId="22059"/>
    <cellStyle name="Normal 14 3 2 2 5" xfId="16650"/>
    <cellStyle name="Normal 14 3 2 3" xfId="6788"/>
    <cellStyle name="Normal 14 3 2 3 2" xfId="10422"/>
    <cellStyle name="Normal 14 3 2 3 2 2" xfId="18294"/>
    <cellStyle name="Normal 14 3 2 3 3" xfId="17035"/>
    <cellStyle name="Normal 14 3 2 4" xfId="10419"/>
    <cellStyle name="Normal 14 3 2 4 2" xfId="18291"/>
    <cellStyle name="Normal 14 3 2 5" xfId="14723"/>
    <cellStyle name="Normal 14 3 2 5 2" xfId="21648"/>
    <cellStyle name="Normal 14 3 2 6" xfId="15536"/>
    <cellStyle name="Normal 14 3 2 6 2" xfId="22291"/>
    <cellStyle name="Normal 14 3 2 7" xfId="15736"/>
    <cellStyle name="Normal 14 3 2 7 2" xfId="22482"/>
    <cellStyle name="Normal 14 3 2 8" xfId="15966"/>
    <cellStyle name="Normal 14 3 2 8 2" xfId="22695"/>
    <cellStyle name="Normal 14 3 2 9" xfId="16185"/>
    <cellStyle name="Normal 14 3 3" xfId="5425"/>
    <cellStyle name="Normal 14 3 4" xfId="6548"/>
    <cellStyle name="Normal 14 3 4 2" xfId="10423"/>
    <cellStyle name="Normal 14 3 4 2 2" xfId="18295"/>
    <cellStyle name="Normal 14 3 4 3" xfId="14486"/>
    <cellStyle name="Normal 14 3 4 3 2" xfId="21508"/>
    <cellStyle name="Normal 14 3 4 4" xfId="16968"/>
    <cellStyle name="Normal 14 3 5" xfId="10418"/>
    <cellStyle name="Normal 14 3 5 2" xfId="18290"/>
    <cellStyle name="Normal 14 4" xfId="4224"/>
    <cellStyle name="Normal 14 4 2" xfId="14272"/>
    <cellStyle name="Normal 14 5" xfId="4225"/>
    <cellStyle name="Normal 14 6" xfId="4226"/>
    <cellStyle name="Normal 14 7" xfId="5769"/>
    <cellStyle name="Normal 14 7 2" xfId="7019"/>
    <cellStyle name="Normal 14 7 2 2" xfId="10425"/>
    <cellStyle name="Normal 14 7 2 2 2" xfId="18297"/>
    <cellStyle name="Normal 14 7 2 3" xfId="17266"/>
    <cellStyle name="Normal 14 7 3" xfId="10424"/>
    <cellStyle name="Normal 14 7 3 2" xfId="18296"/>
    <cellStyle name="Normal 14 7 4" xfId="15080"/>
    <cellStyle name="Normal 14 7 4 2" xfId="21879"/>
    <cellStyle name="Normal 14 7 5" xfId="16470"/>
    <cellStyle name="Normal 14 8" xfId="6547"/>
    <cellStyle name="Normal 14 9" xfId="9676"/>
    <cellStyle name="Normal 140" xfId="2647"/>
    <cellStyle name="Normal 140 2" xfId="4227"/>
    <cellStyle name="Normal 140 2 2" xfId="5994"/>
    <cellStyle name="Normal 140 2 2 2" xfId="7200"/>
    <cellStyle name="Normal 140 2 2 2 2" xfId="10429"/>
    <cellStyle name="Normal 140 2 2 2 2 2" xfId="18301"/>
    <cellStyle name="Normal 140 2 2 2 3" xfId="17447"/>
    <cellStyle name="Normal 140 2 2 3" xfId="10428"/>
    <cellStyle name="Normal 140 2 2 3 2" xfId="18300"/>
    <cellStyle name="Normal 140 2 2 4" xfId="15261"/>
    <cellStyle name="Normal 140 2 2 4 2" xfId="22060"/>
    <cellStyle name="Normal 140 2 2 5" xfId="16651"/>
    <cellStyle name="Normal 140 2 3" xfId="6789"/>
    <cellStyle name="Normal 140 2 3 2" xfId="10430"/>
    <cellStyle name="Normal 140 2 3 2 2" xfId="18302"/>
    <cellStyle name="Normal 140 2 3 3" xfId="17036"/>
    <cellStyle name="Normal 140 2 4" xfId="10427"/>
    <cellStyle name="Normal 140 2 4 2" xfId="18299"/>
    <cellStyle name="Normal 140 2 5" xfId="14724"/>
    <cellStyle name="Normal 140 2 5 2" xfId="21649"/>
    <cellStyle name="Normal 140 2 6" xfId="15537"/>
    <cellStyle name="Normal 140 2 6 2" xfId="22292"/>
    <cellStyle name="Normal 140 2 7" xfId="15737"/>
    <cellStyle name="Normal 140 2 7 2" xfId="22483"/>
    <cellStyle name="Normal 140 2 8" xfId="15967"/>
    <cellStyle name="Normal 140 2 8 2" xfId="22696"/>
    <cellStyle name="Normal 140 2 9" xfId="16186"/>
    <cellStyle name="Normal 140 3" xfId="5426"/>
    <cellStyle name="Normal 140 3 2" xfId="15004"/>
    <cellStyle name="Normal 140 4" xfId="6549"/>
    <cellStyle name="Normal 140 4 2" xfId="10431"/>
    <cellStyle name="Normal 140 4 2 2" xfId="18303"/>
    <cellStyle name="Normal 140 4 3" xfId="14487"/>
    <cellStyle name="Normal 140 4 3 2" xfId="21509"/>
    <cellStyle name="Normal 140 4 4" xfId="16969"/>
    <cellStyle name="Normal 140 5" xfId="10426"/>
    <cellStyle name="Normal 140 5 2" xfId="18298"/>
    <cellStyle name="Normal 140 6" xfId="14273"/>
    <cellStyle name="Normal 141" xfId="2648"/>
    <cellStyle name="Normal 141 2" xfId="4228"/>
    <cellStyle name="Normal 141 2 2" xfId="5995"/>
    <cellStyle name="Normal 141 2 2 2" xfId="7201"/>
    <cellStyle name="Normal 141 2 2 2 2" xfId="10435"/>
    <cellStyle name="Normal 141 2 2 2 2 2" xfId="18307"/>
    <cellStyle name="Normal 141 2 2 2 3" xfId="17448"/>
    <cellStyle name="Normal 141 2 2 3" xfId="10434"/>
    <cellStyle name="Normal 141 2 2 3 2" xfId="18306"/>
    <cellStyle name="Normal 141 2 2 4" xfId="15262"/>
    <cellStyle name="Normal 141 2 2 4 2" xfId="22061"/>
    <cellStyle name="Normal 141 2 2 5" xfId="16652"/>
    <cellStyle name="Normal 141 2 3" xfId="6790"/>
    <cellStyle name="Normal 141 2 3 2" xfId="10436"/>
    <cellStyle name="Normal 141 2 3 2 2" xfId="18308"/>
    <cellStyle name="Normal 141 2 3 3" xfId="17037"/>
    <cellStyle name="Normal 141 2 4" xfId="10433"/>
    <cellStyle name="Normal 141 2 4 2" xfId="18305"/>
    <cellStyle name="Normal 141 2 5" xfId="14725"/>
    <cellStyle name="Normal 141 2 5 2" xfId="21650"/>
    <cellStyle name="Normal 141 2 6" xfId="15538"/>
    <cellStyle name="Normal 141 2 6 2" xfId="22293"/>
    <cellStyle name="Normal 141 2 7" xfId="15738"/>
    <cellStyle name="Normal 141 2 7 2" xfId="22484"/>
    <cellStyle name="Normal 141 2 8" xfId="15968"/>
    <cellStyle name="Normal 141 2 8 2" xfId="22697"/>
    <cellStyle name="Normal 141 2 9" xfId="16187"/>
    <cellStyle name="Normal 141 3" xfId="5427"/>
    <cellStyle name="Normal 141 3 2" xfId="15005"/>
    <cellStyle name="Normal 141 4" xfId="6550"/>
    <cellStyle name="Normal 141 4 2" xfId="10437"/>
    <cellStyle name="Normal 141 4 2 2" xfId="18309"/>
    <cellStyle name="Normal 141 4 3" xfId="14488"/>
    <cellStyle name="Normal 141 4 3 2" xfId="21510"/>
    <cellStyle name="Normal 141 4 4" xfId="16970"/>
    <cellStyle name="Normal 141 5" xfId="10432"/>
    <cellStyle name="Normal 141 5 2" xfId="18304"/>
    <cellStyle name="Normal 141 6" xfId="14274"/>
    <cellStyle name="Normal 142" xfId="2649"/>
    <cellStyle name="Normal 142 2" xfId="4229"/>
    <cellStyle name="Normal 142 2 2" xfId="5996"/>
    <cellStyle name="Normal 142 2 2 2" xfId="7202"/>
    <cellStyle name="Normal 142 2 2 2 2" xfId="10441"/>
    <cellStyle name="Normal 142 2 2 2 2 2" xfId="18313"/>
    <cellStyle name="Normal 142 2 2 2 3" xfId="17449"/>
    <cellStyle name="Normal 142 2 2 3" xfId="10440"/>
    <cellStyle name="Normal 142 2 2 3 2" xfId="18312"/>
    <cellStyle name="Normal 142 2 2 4" xfId="15263"/>
    <cellStyle name="Normal 142 2 2 4 2" xfId="22062"/>
    <cellStyle name="Normal 142 2 2 5" xfId="16653"/>
    <cellStyle name="Normal 142 2 3" xfId="6791"/>
    <cellStyle name="Normal 142 2 3 2" xfId="10442"/>
    <cellStyle name="Normal 142 2 3 2 2" xfId="18314"/>
    <cellStyle name="Normal 142 2 3 3" xfId="17038"/>
    <cellStyle name="Normal 142 2 4" xfId="10439"/>
    <cellStyle name="Normal 142 2 4 2" xfId="18311"/>
    <cellStyle name="Normal 142 2 5" xfId="14726"/>
    <cellStyle name="Normal 142 2 5 2" xfId="21651"/>
    <cellStyle name="Normal 142 2 6" xfId="15539"/>
    <cellStyle name="Normal 142 2 6 2" xfId="22294"/>
    <cellStyle name="Normal 142 2 7" xfId="15739"/>
    <cellStyle name="Normal 142 2 7 2" xfId="22485"/>
    <cellStyle name="Normal 142 2 8" xfId="15969"/>
    <cellStyle name="Normal 142 2 8 2" xfId="22698"/>
    <cellStyle name="Normal 142 2 9" xfId="16188"/>
    <cellStyle name="Normal 142 3" xfId="5428"/>
    <cellStyle name="Normal 142 3 2" xfId="15006"/>
    <cellStyle name="Normal 142 4" xfId="6551"/>
    <cellStyle name="Normal 142 4 2" xfId="10443"/>
    <cellStyle name="Normal 142 4 2 2" xfId="18315"/>
    <cellStyle name="Normal 142 4 3" xfId="14489"/>
    <cellStyle name="Normal 142 4 3 2" xfId="21511"/>
    <cellStyle name="Normal 142 4 4" xfId="16971"/>
    <cellStyle name="Normal 142 5" xfId="10438"/>
    <cellStyle name="Normal 142 5 2" xfId="18310"/>
    <cellStyle name="Normal 142 6" xfId="14275"/>
    <cellStyle name="Normal 143" xfId="2650"/>
    <cellStyle name="Normal 143 2" xfId="4230"/>
    <cellStyle name="Normal 143 2 2" xfId="5997"/>
    <cellStyle name="Normal 143 2 2 2" xfId="7203"/>
    <cellStyle name="Normal 143 2 2 2 2" xfId="10447"/>
    <cellStyle name="Normal 143 2 2 2 2 2" xfId="18319"/>
    <cellStyle name="Normal 143 2 2 2 3" xfId="17450"/>
    <cellStyle name="Normal 143 2 2 3" xfId="10446"/>
    <cellStyle name="Normal 143 2 2 3 2" xfId="18318"/>
    <cellStyle name="Normal 143 2 2 4" xfId="15264"/>
    <cellStyle name="Normal 143 2 2 4 2" xfId="22063"/>
    <cellStyle name="Normal 143 2 2 5" xfId="16654"/>
    <cellStyle name="Normal 143 2 3" xfId="6792"/>
    <cellStyle name="Normal 143 2 3 2" xfId="10448"/>
    <cellStyle name="Normal 143 2 3 2 2" xfId="18320"/>
    <cellStyle name="Normal 143 2 3 3" xfId="17039"/>
    <cellStyle name="Normal 143 2 4" xfId="10445"/>
    <cellStyle name="Normal 143 2 4 2" xfId="18317"/>
    <cellStyle name="Normal 143 2 5" xfId="14727"/>
    <cellStyle name="Normal 143 2 5 2" xfId="21652"/>
    <cellStyle name="Normal 143 2 6" xfId="15540"/>
    <cellStyle name="Normal 143 2 6 2" xfId="22295"/>
    <cellStyle name="Normal 143 2 7" xfId="15740"/>
    <cellStyle name="Normal 143 2 7 2" xfId="22486"/>
    <cellStyle name="Normal 143 2 8" xfId="15970"/>
    <cellStyle name="Normal 143 2 8 2" xfId="22699"/>
    <cellStyle name="Normal 143 2 9" xfId="16189"/>
    <cellStyle name="Normal 143 3" xfId="5429"/>
    <cellStyle name="Normal 143 3 2" xfId="15007"/>
    <cellStyle name="Normal 143 4" xfId="6552"/>
    <cellStyle name="Normal 143 4 2" xfId="10449"/>
    <cellStyle name="Normal 143 4 2 2" xfId="18321"/>
    <cellStyle name="Normal 143 4 3" xfId="14490"/>
    <cellStyle name="Normal 143 4 3 2" xfId="21512"/>
    <cellStyle name="Normal 143 4 4" xfId="16972"/>
    <cellStyle name="Normal 143 5" xfId="10444"/>
    <cellStyle name="Normal 143 5 2" xfId="18316"/>
    <cellStyle name="Normal 143 6" xfId="14276"/>
    <cellStyle name="Normal 144" xfId="2651"/>
    <cellStyle name="Normal 144 2" xfId="4231"/>
    <cellStyle name="Normal 144 2 2" xfId="5998"/>
    <cellStyle name="Normal 144 2 2 2" xfId="7204"/>
    <cellStyle name="Normal 144 2 2 2 2" xfId="10453"/>
    <cellStyle name="Normal 144 2 2 2 2 2" xfId="18325"/>
    <cellStyle name="Normal 144 2 2 2 3" xfId="17451"/>
    <cellStyle name="Normal 144 2 2 3" xfId="10452"/>
    <cellStyle name="Normal 144 2 2 3 2" xfId="18324"/>
    <cellStyle name="Normal 144 2 2 4" xfId="15265"/>
    <cellStyle name="Normal 144 2 2 4 2" xfId="22064"/>
    <cellStyle name="Normal 144 2 2 5" xfId="16655"/>
    <cellStyle name="Normal 144 2 3" xfId="6793"/>
    <cellStyle name="Normal 144 2 3 2" xfId="10454"/>
    <cellStyle name="Normal 144 2 3 2 2" xfId="18326"/>
    <cellStyle name="Normal 144 2 3 3" xfId="17040"/>
    <cellStyle name="Normal 144 2 4" xfId="10451"/>
    <cellStyle name="Normal 144 2 4 2" xfId="18323"/>
    <cellStyle name="Normal 144 2 5" xfId="14728"/>
    <cellStyle name="Normal 144 2 5 2" xfId="21653"/>
    <cellStyle name="Normal 144 2 6" xfId="15541"/>
    <cellStyle name="Normal 144 2 6 2" xfId="22296"/>
    <cellStyle name="Normal 144 2 7" xfId="15741"/>
    <cellStyle name="Normal 144 2 7 2" xfId="22487"/>
    <cellStyle name="Normal 144 2 8" xfId="15971"/>
    <cellStyle name="Normal 144 2 8 2" xfId="22700"/>
    <cellStyle name="Normal 144 2 9" xfId="16190"/>
    <cellStyle name="Normal 144 3" xfId="5430"/>
    <cellStyle name="Normal 144 3 2" xfId="15008"/>
    <cellStyle name="Normal 144 4" xfId="6553"/>
    <cellStyle name="Normal 144 4 2" xfId="10455"/>
    <cellStyle name="Normal 144 4 2 2" xfId="18327"/>
    <cellStyle name="Normal 144 4 3" xfId="14491"/>
    <cellStyle name="Normal 144 4 3 2" xfId="21513"/>
    <cellStyle name="Normal 144 4 4" xfId="16973"/>
    <cellStyle name="Normal 144 5" xfId="10450"/>
    <cellStyle name="Normal 144 5 2" xfId="18322"/>
    <cellStyle name="Normal 144 6" xfId="14277"/>
    <cellStyle name="Normal 145" xfId="2652"/>
    <cellStyle name="Normal 145 2" xfId="4232"/>
    <cellStyle name="Normal 145 2 2" xfId="5999"/>
    <cellStyle name="Normal 145 2 2 2" xfId="7205"/>
    <cellStyle name="Normal 145 2 2 2 2" xfId="10459"/>
    <cellStyle name="Normal 145 2 2 2 2 2" xfId="18331"/>
    <cellStyle name="Normal 145 2 2 2 3" xfId="17452"/>
    <cellStyle name="Normal 145 2 2 3" xfId="10458"/>
    <cellStyle name="Normal 145 2 2 3 2" xfId="18330"/>
    <cellStyle name="Normal 145 2 2 4" xfId="15266"/>
    <cellStyle name="Normal 145 2 2 4 2" xfId="22065"/>
    <cellStyle name="Normal 145 2 2 5" xfId="16656"/>
    <cellStyle name="Normal 145 2 3" xfId="6794"/>
    <cellStyle name="Normal 145 2 3 2" xfId="10460"/>
    <cellStyle name="Normal 145 2 3 2 2" xfId="18332"/>
    <cellStyle name="Normal 145 2 3 3" xfId="17041"/>
    <cellStyle name="Normal 145 2 4" xfId="10457"/>
    <cellStyle name="Normal 145 2 4 2" xfId="18329"/>
    <cellStyle name="Normal 145 2 5" xfId="14729"/>
    <cellStyle name="Normal 145 2 5 2" xfId="21654"/>
    <cellStyle name="Normal 145 2 6" xfId="15542"/>
    <cellStyle name="Normal 145 2 6 2" xfId="22297"/>
    <cellStyle name="Normal 145 2 7" xfId="15742"/>
    <cellStyle name="Normal 145 2 7 2" xfId="22488"/>
    <cellStyle name="Normal 145 2 8" xfId="15972"/>
    <cellStyle name="Normal 145 2 8 2" xfId="22701"/>
    <cellStyle name="Normal 145 2 9" xfId="16191"/>
    <cellStyle name="Normal 145 3" xfId="5431"/>
    <cellStyle name="Normal 145 3 2" xfId="15009"/>
    <cellStyle name="Normal 145 4" xfId="6554"/>
    <cellStyle name="Normal 145 4 2" xfId="10461"/>
    <cellStyle name="Normal 145 4 2 2" xfId="18333"/>
    <cellStyle name="Normal 145 4 3" xfId="14492"/>
    <cellStyle name="Normal 145 4 3 2" xfId="21514"/>
    <cellStyle name="Normal 145 4 4" xfId="16974"/>
    <cellStyle name="Normal 145 5" xfId="10456"/>
    <cellStyle name="Normal 145 5 2" xfId="18328"/>
    <cellStyle name="Normal 145 6" xfId="14278"/>
    <cellStyle name="Normal 146" xfId="2653"/>
    <cellStyle name="Normal 146 2" xfId="14279"/>
    <cellStyle name="Normal 147" xfId="2654"/>
    <cellStyle name="Normal 147 2" xfId="4233"/>
    <cellStyle name="Normal 147 2 2" xfId="6000"/>
    <cellStyle name="Normal 147 2 2 2" xfId="7206"/>
    <cellStyle name="Normal 147 2 2 2 2" xfId="10465"/>
    <cellStyle name="Normal 147 2 2 2 2 2" xfId="18337"/>
    <cellStyle name="Normal 147 2 2 2 3" xfId="17453"/>
    <cellStyle name="Normal 147 2 2 3" xfId="10464"/>
    <cellStyle name="Normal 147 2 2 3 2" xfId="18336"/>
    <cellStyle name="Normal 147 2 2 4" xfId="15267"/>
    <cellStyle name="Normal 147 2 2 4 2" xfId="22066"/>
    <cellStyle name="Normal 147 2 2 5" xfId="16657"/>
    <cellStyle name="Normal 147 2 3" xfId="6795"/>
    <cellStyle name="Normal 147 2 3 2" xfId="10466"/>
    <cellStyle name="Normal 147 2 3 2 2" xfId="18338"/>
    <cellStyle name="Normal 147 2 3 3" xfId="17042"/>
    <cellStyle name="Normal 147 2 4" xfId="10463"/>
    <cellStyle name="Normal 147 2 4 2" xfId="18335"/>
    <cellStyle name="Normal 147 2 5" xfId="14730"/>
    <cellStyle name="Normal 147 2 5 2" xfId="21655"/>
    <cellStyle name="Normal 147 2 6" xfId="15543"/>
    <cellStyle name="Normal 147 2 6 2" xfId="22298"/>
    <cellStyle name="Normal 147 2 7" xfId="15743"/>
    <cellStyle name="Normal 147 2 7 2" xfId="22489"/>
    <cellStyle name="Normal 147 2 8" xfId="15973"/>
    <cellStyle name="Normal 147 2 8 2" xfId="22702"/>
    <cellStyle name="Normal 147 2 9" xfId="16192"/>
    <cellStyle name="Normal 147 3" xfId="5432"/>
    <cellStyle name="Normal 147 3 2" xfId="15010"/>
    <cellStyle name="Normal 147 4" xfId="6555"/>
    <cellStyle name="Normal 147 4 2" xfId="10467"/>
    <cellStyle name="Normal 147 4 2 2" xfId="18339"/>
    <cellStyle name="Normal 147 4 3" xfId="14493"/>
    <cellStyle name="Normal 147 4 3 2" xfId="21515"/>
    <cellStyle name="Normal 147 4 4" xfId="16975"/>
    <cellStyle name="Normal 147 5" xfId="10462"/>
    <cellStyle name="Normal 147 5 2" xfId="18334"/>
    <cellStyle name="Normal 147 6" xfId="14280"/>
    <cellStyle name="Normal 148" xfId="2655"/>
    <cellStyle name="Normal 148 2" xfId="5433"/>
    <cellStyle name="Normal 148 2 2" xfId="15011"/>
    <cellStyle name="Normal 148 3" xfId="6556"/>
    <cellStyle name="Normal 148 3 2" xfId="10469"/>
    <cellStyle name="Normal 148 3 2 2" xfId="18341"/>
    <cellStyle name="Normal 148 3 3" xfId="14494"/>
    <cellStyle name="Normal 148 3 3 2" xfId="21516"/>
    <cellStyle name="Normal 148 3 4" xfId="16976"/>
    <cellStyle name="Normal 148 4" xfId="10468"/>
    <cellStyle name="Normal 148 4 2" xfId="18340"/>
    <cellStyle name="Normal 148 5" xfId="14281"/>
    <cellStyle name="Normal 148 6" xfId="16294"/>
    <cellStyle name="Normal 149" xfId="3648"/>
    <cellStyle name="Normal 149 2" xfId="5434"/>
    <cellStyle name="Normal 149 2 2" xfId="15012"/>
    <cellStyle name="Normal 149 3" xfId="6752"/>
    <cellStyle name="Normal 149 3 2" xfId="10471"/>
    <cellStyle name="Normal 149 3 2 2" xfId="18343"/>
    <cellStyle name="Normal 149 3 3" xfId="14630"/>
    <cellStyle name="Normal 149 3 3 2" xfId="21611"/>
    <cellStyle name="Normal 149 3 4" xfId="16999"/>
    <cellStyle name="Normal 149 4" xfId="10470"/>
    <cellStyle name="Normal 149 4 2" xfId="18342"/>
    <cellStyle name="Normal 149 5" xfId="14282"/>
    <cellStyle name="Normal 149 6" xfId="16301"/>
    <cellStyle name="Normal 15" xfId="2656"/>
    <cellStyle name="Normal 15 10" xfId="4234"/>
    <cellStyle name="Normal 15 10 2" xfId="14283"/>
    <cellStyle name="Normal 15 11" xfId="4235"/>
    <cellStyle name="Normal 15 11 2" xfId="14284"/>
    <cellStyle name="Normal 15 12" xfId="4236"/>
    <cellStyle name="Normal 15 12 2" xfId="14285"/>
    <cellStyle name="Normal 15 13" xfId="4237"/>
    <cellStyle name="Normal 15 13 2" xfId="14286"/>
    <cellStyle name="Normal 15 14" xfId="4238"/>
    <cellStyle name="Normal 15 14 2" xfId="14287"/>
    <cellStyle name="Normal 15 15" xfId="4239"/>
    <cellStyle name="Normal 15 15 2" xfId="14731"/>
    <cellStyle name="Normal 15 16" xfId="4240"/>
    <cellStyle name="Normal 15 17" xfId="5770"/>
    <cellStyle name="Normal 15 17 2" xfId="7020"/>
    <cellStyle name="Normal 15 17 2 2" xfId="10473"/>
    <cellStyle name="Normal 15 17 2 2 2" xfId="18345"/>
    <cellStyle name="Normal 15 17 2 3" xfId="17267"/>
    <cellStyle name="Normal 15 17 3" xfId="10472"/>
    <cellStyle name="Normal 15 17 3 2" xfId="18344"/>
    <cellStyle name="Normal 15 17 4" xfId="15081"/>
    <cellStyle name="Normal 15 17 4 2" xfId="21880"/>
    <cellStyle name="Normal 15 17 5" xfId="16471"/>
    <cellStyle name="Normal 15 18" xfId="6557"/>
    <cellStyle name="Normal 15 19" xfId="9677"/>
    <cellStyle name="Normal 15 2" xfId="2657"/>
    <cellStyle name="Normal 15 2 2" xfId="13672"/>
    <cellStyle name="Normal 15 20" xfId="15446"/>
    <cellStyle name="Normal 15 20 2" xfId="22201"/>
    <cellStyle name="Normal 15 21" xfId="15645"/>
    <cellStyle name="Normal 15 21 2" xfId="22391"/>
    <cellStyle name="Normal 15 22" xfId="15839"/>
    <cellStyle name="Normal 15 22 2" xfId="22582"/>
    <cellStyle name="Normal 15 23" xfId="16090"/>
    <cellStyle name="Normal 15 3" xfId="2658"/>
    <cellStyle name="Normal 15 3 2" xfId="4241"/>
    <cellStyle name="Normal 15 3 2 2" xfId="6001"/>
    <cellStyle name="Normal 15 3 2 2 2" xfId="7207"/>
    <cellStyle name="Normal 15 3 2 2 2 2" xfId="10477"/>
    <cellStyle name="Normal 15 3 2 2 2 2 2" xfId="18349"/>
    <cellStyle name="Normal 15 3 2 2 2 3" xfId="17454"/>
    <cellStyle name="Normal 15 3 2 2 3" xfId="10476"/>
    <cellStyle name="Normal 15 3 2 2 3 2" xfId="18348"/>
    <cellStyle name="Normal 15 3 2 2 4" xfId="15268"/>
    <cellStyle name="Normal 15 3 2 2 4 2" xfId="22067"/>
    <cellStyle name="Normal 15 3 2 2 5" xfId="16658"/>
    <cellStyle name="Normal 15 3 2 3" xfId="6796"/>
    <cellStyle name="Normal 15 3 2 3 2" xfId="10478"/>
    <cellStyle name="Normal 15 3 2 3 2 2" xfId="18350"/>
    <cellStyle name="Normal 15 3 2 3 3" xfId="17043"/>
    <cellStyle name="Normal 15 3 2 4" xfId="10475"/>
    <cellStyle name="Normal 15 3 2 4 2" xfId="18347"/>
    <cellStyle name="Normal 15 3 2 5" xfId="14732"/>
    <cellStyle name="Normal 15 3 2 5 2" xfId="21656"/>
    <cellStyle name="Normal 15 3 2 6" xfId="15544"/>
    <cellStyle name="Normal 15 3 2 6 2" xfId="22299"/>
    <cellStyle name="Normal 15 3 2 7" xfId="15744"/>
    <cellStyle name="Normal 15 3 2 7 2" xfId="22490"/>
    <cellStyle name="Normal 15 3 2 8" xfId="15974"/>
    <cellStyle name="Normal 15 3 2 8 2" xfId="22703"/>
    <cellStyle name="Normal 15 3 2 9" xfId="16193"/>
    <cellStyle name="Normal 15 3 3" xfId="5435"/>
    <cellStyle name="Normal 15 3 3 2" xfId="15013"/>
    <cellStyle name="Normal 15 3 4" xfId="6558"/>
    <cellStyle name="Normal 15 3 4 2" xfId="10479"/>
    <cellStyle name="Normal 15 3 4 2 2" xfId="18351"/>
    <cellStyle name="Normal 15 3 4 3" xfId="14495"/>
    <cellStyle name="Normal 15 3 4 3 2" xfId="21517"/>
    <cellStyle name="Normal 15 3 4 4" xfId="16977"/>
    <cellStyle name="Normal 15 3 5" xfId="10474"/>
    <cellStyle name="Normal 15 3 5 2" xfId="18346"/>
    <cellStyle name="Normal 15 3 6" xfId="14288"/>
    <cellStyle name="Normal 15 4" xfId="4242"/>
    <cellStyle name="Normal 15 4 2" xfId="14289"/>
    <cellStyle name="Normal 15 5" xfId="4243"/>
    <cellStyle name="Normal 15 5 2" xfId="14290"/>
    <cellStyle name="Normal 15 6" xfId="4244"/>
    <cellStyle name="Normal 15 6 2" xfId="14291"/>
    <cellStyle name="Normal 15 7" xfId="5367"/>
    <cellStyle name="Normal 15 7 2" xfId="14292"/>
    <cellStyle name="Normal 15 8" xfId="4245"/>
    <cellStyle name="Normal 15 8 2" xfId="14293"/>
    <cellStyle name="Normal 15 9" xfId="4246"/>
    <cellStyle name="Normal 15 9 2" xfId="14294"/>
    <cellStyle name="Normal 150" xfId="5339"/>
    <cellStyle name="Normal 150 2" xfId="5436"/>
    <cellStyle name="Normal 150 2 2" xfId="15014"/>
    <cellStyle name="Normal 150 3" xfId="6986"/>
    <cellStyle name="Normal 150 3 2" xfId="10481"/>
    <cellStyle name="Normal 150 3 2 2" xfId="18353"/>
    <cellStyle name="Normal 150 3 3" xfId="14964"/>
    <cellStyle name="Normal 150 3 3 2" xfId="21846"/>
    <cellStyle name="Normal 150 3 4" xfId="17233"/>
    <cellStyle name="Normal 150 4" xfId="10480"/>
    <cellStyle name="Normal 150 4 2" xfId="18352"/>
    <cellStyle name="Normal 150 5" xfId="14295"/>
    <cellStyle name="Normal 150 6" xfId="16440"/>
    <cellStyle name="Normal 151" xfId="4247"/>
    <cellStyle name="Normal 151 2" xfId="14296"/>
    <cellStyle name="Normal 152" xfId="4248"/>
    <cellStyle name="Normal 152 2" xfId="14297"/>
    <cellStyle name="Normal 153" xfId="4249"/>
    <cellStyle name="Normal 153 2" xfId="14298"/>
    <cellStyle name="Normal 154" xfId="4250"/>
    <cellStyle name="Normal 154 2" xfId="14299"/>
    <cellStyle name="Normal 155" xfId="4251"/>
    <cellStyle name="Normal 156" xfId="4252"/>
    <cellStyle name="Normal 157" xfId="4253"/>
    <cellStyle name="Normal 158" xfId="4254"/>
    <cellStyle name="Normal 159" xfId="4255"/>
    <cellStyle name="Normal 16" xfId="2659"/>
    <cellStyle name="Normal 16 10" xfId="4256"/>
    <cellStyle name="Normal 16 10 2" xfId="14300"/>
    <cellStyle name="Normal 16 11" xfId="4257"/>
    <cellStyle name="Normal 16 11 2" xfId="14301"/>
    <cellStyle name="Normal 16 12" xfId="4258"/>
    <cellStyle name="Normal 16 12 2" xfId="14302"/>
    <cellStyle name="Normal 16 13" xfId="4259"/>
    <cellStyle name="Normal 16 13 2" xfId="14303"/>
    <cellStyle name="Normal 16 14" xfId="4260"/>
    <cellStyle name="Normal 16 14 2" xfId="14304"/>
    <cellStyle name="Normal 16 15" xfId="5366"/>
    <cellStyle name="Normal 16 15 2" xfId="14973"/>
    <cellStyle name="Normal 16 16" xfId="4261"/>
    <cellStyle name="Normal 16 17" xfId="5771"/>
    <cellStyle name="Normal 16 17 2" xfId="7021"/>
    <cellStyle name="Normal 16 17 2 2" xfId="10483"/>
    <cellStyle name="Normal 16 17 2 2 2" xfId="18355"/>
    <cellStyle name="Normal 16 17 2 3" xfId="17268"/>
    <cellStyle name="Normal 16 17 3" xfId="10482"/>
    <cellStyle name="Normal 16 17 3 2" xfId="18354"/>
    <cellStyle name="Normal 16 17 4" xfId="15082"/>
    <cellStyle name="Normal 16 17 4 2" xfId="21881"/>
    <cellStyle name="Normal 16 17 5" xfId="16472"/>
    <cellStyle name="Normal 16 18" xfId="6559"/>
    <cellStyle name="Normal 16 19" xfId="9678"/>
    <cellStyle name="Normal 16 2" xfId="2660"/>
    <cellStyle name="Normal 16 2 2" xfId="4262"/>
    <cellStyle name="Normal 16 2 3" xfId="5437"/>
    <cellStyle name="Normal 16 2 3 2" xfId="15015"/>
    <cellStyle name="Normal 16 2 4" xfId="6560"/>
    <cellStyle name="Normal 16 2 5" xfId="14305"/>
    <cellStyle name="Normal 16 20" xfId="15447"/>
    <cellStyle name="Normal 16 20 2" xfId="22202"/>
    <cellStyle name="Normal 16 21" xfId="15646"/>
    <cellStyle name="Normal 16 21 2" xfId="22392"/>
    <cellStyle name="Normal 16 22" xfId="15840"/>
    <cellStyle name="Normal 16 22 2" xfId="22583"/>
    <cellStyle name="Normal 16 23" xfId="16091"/>
    <cellStyle name="Normal 16 3" xfId="2661"/>
    <cellStyle name="Normal 16 3 2" xfId="4263"/>
    <cellStyle name="Normal 16 3 3" xfId="5438"/>
    <cellStyle name="Normal 16 3 3 2" xfId="15016"/>
    <cellStyle name="Normal 16 3 4" xfId="6561"/>
    <cellStyle name="Normal 16 3 5" xfId="14306"/>
    <cellStyle name="Normal 16 4" xfId="2662"/>
    <cellStyle name="Normal 16 4 2" xfId="4264"/>
    <cellStyle name="Normal 16 4 3" xfId="5439"/>
    <cellStyle name="Normal 16 4 3 2" xfId="15017"/>
    <cellStyle name="Normal 16 4 4" xfId="6562"/>
    <cellStyle name="Normal 16 4 5" xfId="14307"/>
    <cellStyle name="Normal 16 5" xfId="2663"/>
    <cellStyle name="Normal 16 5 2" xfId="4265"/>
    <cellStyle name="Normal 16 5 3" xfId="5440"/>
    <cellStyle name="Normal 16 5 3 2" xfId="15018"/>
    <cellStyle name="Normal 16 5 4" xfId="6563"/>
    <cellStyle name="Normal 16 5 5" xfId="14308"/>
    <cellStyle name="Normal 16 6" xfId="2664"/>
    <cellStyle name="Normal 16 6 2" xfId="13673"/>
    <cellStyle name="Normal 16 7" xfId="2665"/>
    <cellStyle name="Normal 16 7 2" xfId="4266"/>
    <cellStyle name="Normal 16 7 2 2" xfId="6002"/>
    <cellStyle name="Normal 16 7 2 2 2" xfId="7208"/>
    <cellStyle name="Normal 16 7 2 2 2 2" xfId="10487"/>
    <cellStyle name="Normal 16 7 2 2 2 2 2" xfId="18359"/>
    <cellStyle name="Normal 16 7 2 2 2 3" xfId="17455"/>
    <cellStyle name="Normal 16 7 2 2 3" xfId="10486"/>
    <cellStyle name="Normal 16 7 2 2 3 2" xfId="18358"/>
    <cellStyle name="Normal 16 7 2 2 4" xfId="15269"/>
    <cellStyle name="Normal 16 7 2 2 4 2" xfId="22068"/>
    <cellStyle name="Normal 16 7 2 2 5" xfId="16659"/>
    <cellStyle name="Normal 16 7 2 3" xfId="6797"/>
    <cellStyle name="Normal 16 7 2 3 2" xfId="10488"/>
    <cellStyle name="Normal 16 7 2 3 2 2" xfId="18360"/>
    <cellStyle name="Normal 16 7 2 3 3" xfId="17044"/>
    <cellStyle name="Normal 16 7 2 4" xfId="10485"/>
    <cellStyle name="Normal 16 7 2 4 2" xfId="18357"/>
    <cellStyle name="Normal 16 7 2 5" xfId="14733"/>
    <cellStyle name="Normal 16 7 2 5 2" xfId="21657"/>
    <cellStyle name="Normal 16 7 2 6" xfId="15545"/>
    <cellStyle name="Normal 16 7 2 6 2" xfId="22300"/>
    <cellStyle name="Normal 16 7 2 7" xfId="15745"/>
    <cellStyle name="Normal 16 7 2 7 2" xfId="22491"/>
    <cellStyle name="Normal 16 7 2 8" xfId="15975"/>
    <cellStyle name="Normal 16 7 2 8 2" xfId="22704"/>
    <cellStyle name="Normal 16 7 2 9" xfId="16194"/>
    <cellStyle name="Normal 16 7 3" xfId="5441"/>
    <cellStyle name="Normal 16 7 3 2" xfId="15019"/>
    <cellStyle name="Normal 16 7 4" xfId="6564"/>
    <cellStyle name="Normal 16 7 4 2" xfId="10489"/>
    <cellStyle name="Normal 16 7 4 2 2" xfId="18361"/>
    <cellStyle name="Normal 16 7 4 3" xfId="14496"/>
    <cellStyle name="Normal 16 7 4 3 2" xfId="21518"/>
    <cellStyle name="Normal 16 7 4 4" xfId="16978"/>
    <cellStyle name="Normal 16 7 5" xfId="10484"/>
    <cellStyle name="Normal 16 7 5 2" xfId="18356"/>
    <cellStyle name="Normal 16 7 6" xfId="14309"/>
    <cellStyle name="Normal 16 8" xfId="4267"/>
    <cellStyle name="Normal 16 8 2" xfId="14310"/>
    <cellStyle name="Normal 16 9" xfId="4268"/>
    <cellStyle name="Normal 16 9 2" xfId="14311"/>
    <cellStyle name="Normal 160" xfId="4269"/>
    <cellStyle name="Normal 161" xfId="4270"/>
    <cellStyle name="Normal 162" xfId="4271"/>
    <cellStyle name="Normal 163" xfId="4272"/>
    <cellStyle name="Normal 164" xfId="4273"/>
    <cellStyle name="Normal 165" xfId="4274"/>
    <cellStyle name="Normal 166" xfId="4275"/>
    <cellStyle name="Normal 167" xfId="4276"/>
    <cellStyle name="Normal 167 2" xfId="14734"/>
    <cellStyle name="Normal 168" xfId="4277"/>
    <cellStyle name="Normal 168 2" xfId="14735"/>
    <cellStyle name="Normal 169" xfId="5078"/>
    <cellStyle name="Normal 169 2" xfId="6862"/>
    <cellStyle name="Normal 169 2 2" xfId="10491"/>
    <cellStyle name="Normal 169 2 2 2" xfId="18363"/>
    <cellStyle name="Normal 169 2 3" xfId="17109"/>
    <cellStyle name="Normal 169 3" xfId="10490"/>
    <cellStyle name="Normal 169 3 2" xfId="18362"/>
    <cellStyle name="Normal 169 4" xfId="14818"/>
    <cellStyle name="Normal 169 4 2" xfId="21722"/>
    <cellStyle name="Normal 169 5" xfId="16356"/>
    <cellStyle name="Normal 17" xfId="2666"/>
    <cellStyle name="Normal 17 10" xfId="5772"/>
    <cellStyle name="Normal 17 10 2" xfId="7022"/>
    <cellStyle name="Normal 17 10 2 2" xfId="10493"/>
    <cellStyle name="Normal 17 10 2 2 2" xfId="18365"/>
    <cellStyle name="Normal 17 10 2 3" xfId="17269"/>
    <cellStyle name="Normal 17 10 3" xfId="10492"/>
    <cellStyle name="Normal 17 10 3 2" xfId="18364"/>
    <cellStyle name="Normal 17 10 4" xfId="15083"/>
    <cellStyle name="Normal 17 10 4 2" xfId="21882"/>
    <cellStyle name="Normal 17 10 5" xfId="16473"/>
    <cellStyle name="Normal 17 11" xfId="6565"/>
    <cellStyle name="Normal 17 12" xfId="9679"/>
    <cellStyle name="Normal 17 13" xfId="15448"/>
    <cellStyle name="Normal 17 13 2" xfId="22203"/>
    <cellStyle name="Normal 17 14" xfId="15647"/>
    <cellStyle name="Normal 17 14 2" xfId="22393"/>
    <cellStyle name="Normal 17 15" xfId="15841"/>
    <cellStyle name="Normal 17 15 2" xfId="22584"/>
    <cellStyle name="Normal 17 16" xfId="16092"/>
    <cellStyle name="Normal 17 2" xfId="2667"/>
    <cellStyle name="Normal 17 2 2" xfId="4278"/>
    <cellStyle name="Normal 17 2 3" xfId="5443"/>
    <cellStyle name="Normal 17 2 4" xfId="6566"/>
    <cellStyle name="Normal 17 3" xfId="2668"/>
    <cellStyle name="Normal 17 3 2" xfId="4279"/>
    <cellStyle name="Normal 17 3 3" xfId="5442"/>
    <cellStyle name="Normal 17 3 3 2" xfId="15020"/>
    <cellStyle name="Normal 17 4" xfId="2669"/>
    <cellStyle name="Normal 17 5" xfId="2670"/>
    <cellStyle name="Normal 17 6" xfId="2671"/>
    <cellStyle name="Normal 17 6 2" xfId="13674"/>
    <cellStyle name="Normal 17 7" xfId="2672"/>
    <cellStyle name="Normal 17 7 10" xfId="16195"/>
    <cellStyle name="Normal 17 7 2" xfId="5679"/>
    <cellStyle name="Normal 17 7 2 2" xfId="6997"/>
    <cellStyle name="Normal 17 7 2 2 2" xfId="10496"/>
    <cellStyle name="Normal 17 7 2 2 2 2" xfId="18368"/>
    <cellStyle name="Normal 17 7 2 2 3" xfId="17244"/>
    <cellStyle name="Normal 17 7 2 3" xfId="10495"/>
    <cellStyle name="Normal 17 7 2 3 2" xfId="18367"/>
    <cellStyle name="Normal 17 7 2 4" xfId="15053"/>
    <cellStyle name="Normal 17 7 2 4 2" xfId="21857"/>
    <cellStyle name="Normal 17 7 2 5" xfId="16448"/>
    <cellStyle name="Normal 17 7 3" xfId="6004"/>
    <cellStyle name="Normal 17 7 3 2" xfId="7210"/>
    <cellStyle name="Normal 17 7 3 2 2" xfId="10498"/>
    <cellStyle name="Normal 17 7 3 2 2 2" xfId="18370"/>
    <cellStyle name="Normal 17 7 3 2 3" xfId="17457"/>
    <cellStyle name="Normal 17 7 3 3" xfId="10497"/>
    <cellStyle name="Normal 17 7 3 3 2" xfId="18369"/>
    <cellStyle name="Normal 17 7 3 4" xfId="15271"/>
    <cellStyle name="Normal 17 7 3 4 2" xfId="22070"/>
    <cellStyle name="Normal 17 7 3 5" xfId="16661"/>
    <cellStyle name="Normal 17 7 4" xfId="6567"/>
    <cellStyle name="Normal 17 7 4 2" xfId="10499"/>
    <cellStyle name="Normal 17 7 4 2 2" xfId="18371"/>
    <cellStyle name="Normal 17 7 4 3" xfId="16979"/>
    <cellStyle name="Normal 17 7 5" xfId="10494"/>
    <cellStyle name="Normal 17 7 5 2" xfId="18366"/>
    <cellStyle name="Normal 17 7 6" xfId="14497"/>
    <cellStyle name="Normal 17 7 6 2" xfId="21519"/>
    <cellStyle name="Normal 17 7 7" xfId="15546"/>
    <cellStyle name="Normal 17 7 7 2" xfId="22301"/>
    <cellStyle name="Normal 17 7 8" xfId="15746"/>
    <cellStyle name="Normal 17 7 8 2" xfId="22492"/>
    <cellStyle name="Normal 17 7 9" xfId="15976"/>
    <cellStyle name="Normal 17 7 9 2" xfId="22705"/>
    <cellStyle name="Normal 17 8" xfId="4280"/>
    <cellStyle name="Normal 17 9" xfId="5094"/>
    <cellStyle name="Normal 17 9 2" xfId="6876"/>
    <cellStyle name="Normal 17 9 2 2" xfId="10501"/>
    <cellStyle name="Normal 17 9 2 2 2" xfId="18373"/>
    <cellStyle name="Normal 17 9 2 3" xfId="17123"/>
    <cellStyle name="Normal 17 9 3" xfId="10500"/>
    <cellStyle name="Normal 17 9 3 2" xfId="18372"/>
    <cellStyle name="Normal 17 9 4" xfId="14832"/>
    <cellStyle name="Normal 17 9 4 2" xfId="21736"/>
    <cellStyle name="Normal 17 9 5" xfId="16365"/>
    <cellStyle name="Normal 170" xfId="5151"/>
    <cellStyle name="Normal 170 2" xfId="6933"/>
    <cellStyle name="Normal 170 2 2" xfId="10503"/>
    <cellStyle name="Normal 170 2 2 2" xfId="18375"/>
    <cellStyle name="Normal 170 2 3" xfId="17180"/>
    <cellStyle name="Normal 170 3" xfId="10502"/>
    <cellStyle name="Normal 170 3 2" xfId="18374"/>
    <cellStyle name="Normal 170 4" xfId="14889"/>
    <cellStyle name="Normal 170 4 2" xfId="21793"/>
    <cellStyle name="Normal 170 5" xfId="16397"/>
    <cellStyle name="Normal 171" xfId="5743"/>
    <cellStyle name="Normal 171 2" xfId="7004"/>
    <cellStyle name="Normal 171 2 2" xfId="10505"/>
    <cellStyle name="Normal 171 2 2 2" xfId="18377"/>
    <cellStyle name="Normal 171 2 3" xfId="17251"/>
    <cellStyle name="Normal 171 3" xfId="10504"/>
    <cellStyle name="Normal 171 3 2" xfId="18376"/>
    <cellStyle name="Normal 171 4" xfId="15062"/>
    <cellStyle name="Normal 171 4 2" xfId="21864"/>
    <cellStyle name="Normal 171 5" xfId="16455"/>
    <cellStyle name="Normal 172" xfId="5739"/>
    <cellStyle name="Normal 172 2" xfId="7000"/>
    <cellStyle name="Normal 172 2 2" xfId="10507"/>
    <cellStyle name="Normal 172 2 2 2" xfId="18379"/>
    <cellStyle name="Normal 172 2 3" xfId="17247"/>
    <cellStyle name="Normal 172 3" xfId="10506"/>
    <cellStyle name="Normal 172 3 2" xfId="18378"/>
    <cellStyle name="Normal 172 4" xfId="15058"/>
    <cellStyle name="Normal 172 4 2" xfId="21860"/>
    <cellStyle name="Normal 172 5" xfId="16451"/>
    <cellStyle name="Normal 173" xfId="5756"/>
    <cellStyle name="Normal 173 2" xfId="7008"/>
    <cellStyle name="Normal 173 2 2" xfId="10509"/>
    <cellStyle name="Normal 173 2 2 2" xfId="18381"/>
    <cellStyle name="Normal 173 2 3" xfId="17255"/>
    <cellStyle name="Normal 173 3" xfId="10508"/>
    <cellStyle name="Normal 173 3 2" xfId="18380"/>
    <cellStyle name="Normal 173 4" xfId="15069"/>
    <cellStyle name="Normal 173 4 2" xfId="21868"/>
    <cellStyle name="Normal 173 5" xfId="16459"/>
    <cellStyle name="Normal 174" xfId="5803"/>
    <cellStyle name="Normal 174 2" xfId="7050"/>
    <cellStyle name="Normal 174 2 2" xfId="10511"/>
    <cellStyle name="Normal 174 2 2 2" xfId="18383"/>
    <cellStyle name="Normal 174 2 3" xfId="17297"/>
    <cellStyle name="Normal 174 3" xfId="10510"/>
    <cellStyle name="Normal 174 3 2" xfId="18382"/>
    <cellStyle name="Normal 174 4" xfId="15111"/>
    <cellStyle name="Normal 174 4 2" xfId="21910"/>
    <cellStyle name="Normal 174 5" xfId="16501"/>
    <cellStyle name="Normal 175" xfId="6105"/>
    <cellStyle name="Normal 175 2" xfId="7301"/>
    <cellStyle name="Normal 175 2 2" xfId="10513"/>
    <cellStyle name="Normal 175 2 2 2" xfId="18385"/>
    <cellStyle name="Normal 175 2 3" xfId="17548"/>
    <cellStyle name="Normal 175 3" xfId="10512"/>
    <cellStyle name="Normal 175 3 2" xfId="18384"/>
    <cellStyle name="Normal 175 4" xfId="15363"/>
    <cellStyle name="Normal 175 4 2" xfId="22161"/>
    <cellStyle name="Normal 175 5" xfId="16752"/>
    <cellStyle name="Normal 176" xfId="5884"/>
    <cellStyle name="Normal 176 2" xfId="7116"/>
    <cellStyle name="Normal 176 2 2" xfId="10515"/>
    <cellStyle name="Normal 176 2 2 2" xfId="18387"/>
    <cellStyle name="Normal 176 2 3" xfId="17363"/>
    <cellStyle name="Normal 176 3" xfId="10514"/>
    <cellStyle name="Normal 176 3 2" xfId="18386"/>
    <cellStyle name="Normal 176 4" xfId="15177"/>
    <cellStyle name="Normal 176 4 2" xfId="21976"/>
    <cellStyle name="Normal 176 5" xfId="16567"/>
    <cellStyle name="Normal 177" xfId="6114"/>
    <cellStyle name="Normal 177 2" xfId="7306"/>
    <cellStyle name="Normal 177 2 2" xfId="10517"/>
    <cellStyle name="Normal 177 2 2 2" xfId="18389"/>
    <cellStyle name="Normal 177 2 3" xfId="17553"/>
    <cellStyle name="Normal 177 3" xfId="10516"/>
    <cellStyle name="Normal 177 3 2" xfId="18388"/>
    <cellStyle name="Normal 177 4" xfId="15368"/>
    <cellStyle name="Normal 177 4 2" xfId="22166"/>
    <cellStyle name="Normal 177 5" xfId="16757"/>
    <cellStyle name="Normal 178" xfId="6126"/>
    <cellStyle name="Normal 178 2" xfId="7315"/>
    <cellStyle name="Normal 178 2 2" xfId="10519"/>
    <cellStyle name="Normal 178 2 2 2" xfId="18391"/>
    <cellStyle name="Normal 178 2 3" xfId="17562"/>
    <cellStyle name="Normal 178 3" xfId="10518"/>
    <cellStyle name="Normal 178 3 2" xfId="18390"/>
    <cellStyle name="Normal 178 4" xfId="15377"/>
    <cellStyle name="Normal 178 4 2" xfId="22175"/>
    <cellStyle name="Normal 178 5" xfId="16766"/>
    <cellStyle name="Normal 179" xfId="5831"/>
    <cellStyle name="Normal 179 2" xfId="7074"/>
    <cellStyle name="Normal 179 2 2" xfId="10521"/>
    <cellStyle name="Normal 179 2 2 2" xfId="18393"/>
    <cellStyle name="Normal 179 2 3" xfId="17321"/>
    <cellStyle name="Normal 179 3" xfId="10520"/>
    <cellStyle name="Normal 179 3 2" xfId="18392"/>
    <cellStyle name="Normal 179 4" xfId="15135"/>
    <cellStyle name="Normal 179 4 2" xfId="21934"/>
    <cellStyle name="Normal 179 5" xfId="16525"/>
    <cellStyle name="Normal 18" xfId="2673"/>
    <cellStyle name="Normal 18 10" xfId="5773"/>
    <cellStyle name="Normal 18 10 2" xfId="7023"/>
    <cellStyle name="Normal 18 10 2 2" xfId="10523"/>
    <cellStyle name="Normal 18 10 2 2 2" xfId="18395"/>
    <cellStyle name="Normal 18 10 2 3" xfId="17270"/>
    <cellStyle name="Normal 18 10 3" xfId="10522"/>
    <cellStyle name="Normal 18 10 3 2" xfId="18394"/>
    <cellStyle name="Normal 18 10 4" xfId="15084"/>
    <cellStyle name="Normal 18 10 4 2" xfId="21883"/>
    <cellStyle name="Normal 18 10 5" xfId="16474"/>
    <cellStyle name="Normal 18 11" xfId="6568"/>
    <cellStyle name="Normal 18 12" xfId="9680"/>
    <cellStyle name="Normal 18 13" xfId="14312"/>
    <cellStyle name="Normal 18 14" xfId="15449"/>
    <cellStyle name="Normal 18 14 2" xfId="22204"/>
    <cellStyle name="Normal 18 15" xfId="15648"/>
    <cellStyle name="Normal 18 15 2" xfId="22394"/>
    <cellStyle name="Normal 18 16" xfId="15842"/>
    <cellStyle name="Normal 18 16 2" xfId="22585"/>
    <cellStyle name="Normal 18 17" xfId="16093"/>
    <cellStyle name="Normal 18 2" xfId="2674"/>
    <cellStyle name="Normal 18 2 2" xfId="4281"/>
    <cellStyle name="Normal 18 2 3" xfId="5445"/>
    <cellStyle name="Normal 18 2 4" xfId="6569"/>
    <cellStyle name="Normal 18 3" xfId="2675"/>
    <cellStyle name="Normal 18 3 2" xfId="4282"/>
    <cellStyle name="Normal 18 3 3" xfId="5444"/>
    <cellStyle name="Normal 18 3 3 2" xfId="15021"/>
    <cellStyle name="Normal 18 4" xfId="2676"/>
    <cellStyle name="Normal 18 5" xfId="2677"/>
    <cellStyle name="Normal 18 6" xfId="2678"/>
    <cellStyle name="Normal 18 7" xfId="2679"/>
    <cellStyle name="Normal 18 7 10" xfId="16196"/>
    <cellStyle name="Normal 18 7 2" xfId="5680"/>
    <cellStyle name="Normal 18 7 2 2" xfId="6998"/>
    <cellStyle name="Normal 18 7 2 2 2" xfId="10526"/>
    <cellStyle name="Normal 18 7 2 2 2 2" xfId="18398"/>
    <cellStyle name="Normal 18 7 2 2 3" xfId="17245"/>
    <cellStyle name="Normal 18 7 2 3" xfId="10525"/>
    <cellStyle name="Normal 18 7 2 3 2" xfId="18397"/>
    <cellStyle name="Normal 18 7 2 4" xfId="15054"/>
    <cellStyle name="Normal 18 7 2 4 2" xfId="21858"/>
    <cellStyle name="Normal 18 7 2 5" xfId="16449"/>
    <cellStyle name="Normal 18 7 3" xfId="6006"/>
    <cellStyle name="Normal 18 7 3 2" xfId="7211"/>
    <cellStyle name="Normal 18 7 3 2 2" xfId="10528"/>
    <cellStyle name="Normal 18 7 3 2 2 2" xfId="18400"/>
    <cellStyle name="Normal 18 7 3 2 3" xfId="17458"/>
    <cellStyle name="Normal 18 7 3 3" xfId="10527"/>
    <cellStyle name="Normal 18 7 3 3 2" xfId="18399"/>
    <cellStyle name="Normal 18 7 3 4" xfId="15272"/>
    <cellStyle name="Normal 18 7 3 4 2" xfId="22071"/>
    <cellStyle name="Normal 18 7 3 5" xfId="16662"/>
    <cellStyle name="Normal 18 7 4" xfId="6570"/>
    <cellStyle name="Normal 18 7 4 2" xfId="10529"/>
    <cellStyle name="Normal 18 7 4 2 2" xfId="18401"/>
    <cellStyle name="Normal 18 7 4 3" xfId="16980"/>
    <cellStyle name="Normal 18 7 5" xfId="10524"/>
    <cellStyle name="Normal 18 7 5 2" xfId="18396"/>
    <cellStyle name="Normal 18 7 6" xfId="14498"/>
    <cellStyle name="Normal 18 7 6 2" xfId="21520"/>
    <cellStyle name="Normal 18 7 7" xfId="15547"/>
    <cellStyle name="Normal 18 7 7 2" xfId="22302"/>
    <cellStyle name="Normal 18 7 8" xfId="15747"/>
    <cellStyle name="Normal 18 7 8 2" xfId="22493"/>
    <cellStyle name="Normal 18 7 9" xfId="15978"/>
    <cellStyle name="Normal 18 7 9 2" xfId="22706"/>
    <cellStyle name="Normal 18 8" xfId="5365"/>
    <cellStyle name="Normal 18 9" xfId="5104"/>
    <cellStyle name="Normal 18 9 2" xfId="6886"/>
    <cellStyle name="Normal 18 9 2 2" xfId="10531"/>
    <cellStyle name="Normal 18 9 2 2 2" xfId="18403"/>
    <cellStyle name="Normal 18 9 2 3" xfId="17133"/>
    <cellStyle name="Normal 18 9 3" xfId="10530"/>
    <cellStyle name="Normal 18 9 3 2" xfId="18402"/>
    <cellStyle name="Normal 18 9 4" xfId="14842"/>
    <cellStyle name="Normal 18 9 4 2" xfId="21746"/>
    <cellStyle name="Normal 18 9 5" xfId="16371"/>
    <cellStyle name="Normal 180" xfId="6109"/>
    <cellStyle name="Normal 180 2" xfId="7302"/>
    <cellStyle name="Normal 180 2 2" xfId="10533"/>
    <cellStyle name="Normal 180 2 2 2" xfId="18405"/>
    <cellStyle name="Normal 180 2 3" xfId="17549"/>
    <cellStyle name="Normal 180 3" xfId="10532"/>
    <cellStyle name="Normal 180 3 2" xfId="18404"/>
    <cellStyle name="Normal 180 4" xfId="15364"/>
    <cellStyle name="Normal 180 4 2" xfId="22162"/>
    <cellStyle name="Normal 180 5" xfId="16753"/>
    <cellStyle name="Normal 181" xfId="5866"/>
    <cellStyle name="Normal 181 2" xfId="7101"/>
    <cellStyle name="Normal 181 2 2" xfId="10535"/>
    <cellStyle name="Normal 181 2 2 2" xfId="18407"/>
    <cellStyle name="Normal 181 2 3" xfId="17348"/>
    <cellStyle name="Normal 181 3" xfId="10534"/>
    <cellStyle name="Normal 181 3 2" xfId="18406"/>
    <cellStyle name="Normal 181 4" xfId="15162"/>
    <cellStyle name="Normal 181 4 2" xfId="21961"/>
    <cellStyle name="Normal 181 5" xfId="16552"/>
    <cellStyle name="Normal 182" xfId="5859"/>
    <cellStyle name="Normal 182 2" xfId="7095"/>
    <cellStyle name="Normal 182 2 2" xfId="10537"/>
    <cellStyle name="Normal 182 2 2 2" xfId="18409"/>
    <cellStyle name="Normal 182 2 3" xfId="17342"/>
    <cellStyle name="Normal 182 3" xfId="10536"/>
    <cellStyle name="Normal 182 3 2" xfId="18408"/>
    <cellStyle name="Normal 182 4" xfId="15156"/>
    <cellStyle name="Normal 182 4 2" xfId="21955"/>
    <cellStyle name="Normal 182 5" xfId="16546"/>
    <cellStyle name="Normal 183" xfId="6029"/>
    <cellStyle name="Normal 183 2" xfId="7234"/>
    <cellStyle name="Normal 183 2 2" xfId="10539"/>
    <cellStyle name="Normal 183 2 2 2" xfId="18411"/>
    <cellStyle name="Normal 183 2 3" xfId="17481"/>
    <cellStyle name="Normal 183 3" xfId="10538"/>
    <cellStyle name="Normal 183 3 2" xfId="18410"/>
    <cellStyle name="Normal 183 4" xfId="15295"/>
    <cellStyle name="Normal 183 4 2" xfId="22094"/>
    <cellStyle name="Normal 183 5" xfId="16685"/>
    <cellStyle name="Normal 184" xfId="5861"/>
    <cellStyle name="Normal 184 2" xfId="7096"/>
    <cellStyle name="Normal 184 2 2" xfId="10541"/>
    <cellStyle name="Normal 184 2 2 2" xfId="18413"/>
    <cellStyle name="Normal 184 2 3" xfId="17343"/>
    <cellStyle name="Normal 184 3" xfId="10540"/>
    <cellStyle name="Normal 184 3 2" xfId="18412"/>
    <cellStyle name="Normal 184 4" xfId="15157"/>
    <cellStyle name="Normal 184 4 2" xfId="21956"/>
    <cellStyle name="Normal 184 5" xfId="16547"/>
    <cellStyle name="Normal 185" xfId="5938"/>
    <cellStyle name="Normal 185 2" xfId="7153"/>
    <cellStyle name="Normal 185 2 2" xfId="10543"/>
    <cellStyle name="Normal 185 2 2 2" xfId="18415"/>
    <cellStyle name="Normal 185 2 3" xfId="17400"/>
    <cellStyle name="Normal 185 3" xfId="10542"/>
    <cellStyle name="Normal 185 3 2" xfId="18414"/>
    <cellStyle name="Normal 185 4" xfId="15214"/>
    <cellStyle name="Normal 185 4 2" xfId="22013"/>
    <cellStyle name="Normal 185 5" xfId="16604"/>
    <cellStyle name="Normal 186" xfId="4283"/>
    <cellStyle name="Normal 186 2" xfId="14313"/>
    <cellStyle name="Normal 187" xfId="5918"/>
    <cellStyle name="Normal 187 2" xfId="7142"/>
    <cellStyle name="Normal 187 2 2" xfId="10545"/>
    <cellStyle name="Normal 187 2 2 2" xfId="18417"/>
    <cellStyle name="Normal 187 2 3" xfId="17389"/>
    <cellStyle name="Normal 187 3" xfId="10544"/>
    <cellStyle name="Normal 187 3 2" xfId="18416"/>
    <cellStyle name="Normal 187 4" xfId="15203"/>
    <cellStyle name="Normal 187 4 2" xfId="22002"/>
    <cellStyle name="Normal 187 5" xfId="16593"/>
    <cellStyle name="Normal 188" xfId="5848"/>
    <cellStyle name="Normal 188 2" xfId="7090"/>
    <cellStyle name="Normal 188 2 2" xfId="10547"/>
    <cellStyle name="Normal 188 2 2 2" xfId="18419"/>
    <cellStyle name="Normal 188 2 3" xfId="17337"/>
    <cellStyle name="Normal 188 3" xfId="10546"/>
    <cellStyle name="Normal 188 3 2" xfId="18418"/>
    <cellStyle name="Normal 188 4" xfId="15151"/>
    <cellStyle name="Normal 188 4 2" xfId="21950"/>
    <cellStyle name="Normal 188 5" xfId="16541"/>
    <cellStyle name="Normal 189" xfId="5891"/>
    <cellStyle name="Normal 189 2" xfId="7121"/>
    <cellStyle name="Normal 189 2 2" xfId="10549"/>
    <cellStyle name="Normal 189 2 2 2" xfId="18421"/>
    <cellStyle name="Normal 189 2 3" xfId="17368"/>
    <cellStyle name="Normal 189 3" xfId="10548"/>
    <cellStyle name="Normal 189 3 2" xfId="18420"/>
    <cellStyle name="Normal 189 4" xfId="15182"/>
    <cellStyle name="Normal 189 4 2" xfId="21981"/>
    <cellStyle name="Normal 189 5" xfId="16572"/>
    <cellStyle name="Normal 19" xfId="2680"/>
    <cellStyle name="Normal 19 10" xfId="4284"/>
    <cellStyle name="Normal 19 10 2" xfId="14315"/>
    <cellStyle name="Normal 19 11" xfId="4285"/>
    <cellStyle name="Normal 19 11 2" xfId="14316"/>
    <cellStyle name="Normal 19 12" xfId="4286"/>
    <cellStyle name="Normal 19 12 2" xfId="14317"/>
    <cellStyle name="Normal 19 13" xfId="4287"/>
    <cellStyle name="Normal 19 13 2" xfId="14318"/>
    <cellStyle name="Normal 19 14" xfId="4288"/>
    <cellStyle name="Normal 19 14 2" xfId="14319"/>
    <cellStyle name="Normal 19 15" xfId="4289"/>
    <cellStyle name="Normal 19 15 2" xfId="14736"/>
    <cellStyle name="Normal 19 16" xfId="4290"/>
    <cellStyle name="Normal 19 17" xfId="5774"/>
    <cellStyle name="Normal 19 17 2" xfId="7024"/>
    <cellStyle name="Normal 19 17 2 2" xfId="10551"/>
    <cellStyle name="Normal 19 17 2 2 2" xfId="18423"/>
    <cellStyle name="Normal 19 17 2 3" xfId="17271"/>
    <cellStyle name="Normal 19 17 3" xfId="10550"/>
    <cellStyle name="Normal 19 17 3 2" xfId="18422"/>
    <cellStyle name="Normal 19 17 4" xfId="15085"/>
    <cellStyle name="Normal 19 17 4 2" xfId="21884"/>
    <cellStyle name="Normal 19 17 5" xfId="16475"/>
    <cellStyle name="Normal 19 18" xfId="6571"/>
    <cellStyle name="Normal 19 19" xfId="9738"/>
    <cellStyle name="Normal 19 19 2" xfId="17668"/>
    <cellStyle name="Normal 19 2" xfId="2681"/>
    <cellStyle name="Normal 19 2 2" xfId="5091"/>
    <cellStyle name="Normal 19 2 2 2" xfId="6007"/>
    <cellStyle name="Normal 19 2 2 2 2" xfId="7212"/>
    <cellStyle name="Normal 19 2 2 2 2 2" xfId="10555"/>
    <cellStyle name="Normal 19 2 2 2 2 2 2" xfId="18427"/>
    <cellStyle name="Normal 19 2 2 2 2 3" xfId="17459"/>
    <cellStyle name="Normal 19 2 2 2 3" xfId="10554"/>
    <cellStyle name="Normal 19 2 2 2 3 2" xfId="18426"/>
    <cellStyle name="Normal 19 2 2 2 4" xfId="15273"/>
    <cellStyle name="Normal 19 2 2 2 4 2" xfId="22072"/>
    <cellStyle name="Normal 19 2 2 2 5" xfId="16663"/>
    <cellStyle name="Normal 19 2 2 3" xfId="6873"/>
    <cellStyle name="Normal 19 2 2 3 2" xfId="10556"/>
    <cellStyle name="Normal 19 2 2 3 2 2" xfId="18428"/>
    <cellStyle name="Normal 19 2 2 3 3" xfId="17120"/>
    <cellStyle name="Normal 19 2 2 4" xfId="10553"/>
    <cellStyle name="Normal 19 2 2 4 2" xfId="18425"/>
    <cellStyle name="Normal 19 2 2 5" xfId="14829"/>
    <cellStyle name="Normal 19 2 2 5 2" xfId="21733"/>
    <cellStyle name="Normal 19 2 2 6" xfId="15548"/>
    <cellStyle name="Normal 19 2 2 6 2" xfId="22303"/>
    <cellStyle name="Normal 19 2 2 7" xfId="15748"/>
    <cellStyle name="Normal 19 2 2 7 2" xfId="22494"/>
    <cellStyle name="Normal 19 2 2 8" xfId="15979"/>
    <cellStyle name="Normal 19 2 2 8 2" xfId="22707"/>
    <cellStyle name="Normal 19 2 2 9" xfId="16197"/>
    <cellStyle name="Normal 19 2 3" xfId="5446"/>
    <cellStyle name="Normal 19 2 3 2" xfId="15022"/>
    <cellStyle name="Normal 19 2 4" xfId="6278"/>
    <cellStyle name="Normal 19 2 4 2" xfId="10557"/>
    <cellStyle name="Normal 19 2 4 2 2" xfId="18429"/>
    <cellStyle name="Normal 19 2 4 3" xfId="14499"/>
    <cellStyle name="Normal 19 2 4 3 2" xfId="21521"/>
    <cellStyle name="Normal 19 2 4 4" xfId="16836"/>
    <cellStyle name="Normal 19 2 5" xfId="10552"/>
    <cellStyle name="Normal 19 2 5 2" xfId="18424"/>
    <cellStyle name="Normal 19 2 6" xfId="13675"/>
    <cellStyle name="Normal 19 2 6 2" xfId="21359"/>
    <cellStyle name="Normal 19 2 7" xfId="14320"/>
    <cellStyle name="Normal 19 20" xfId="14314"/>
    <cellStyle name="Normal 19 21" xfId="15450"/>
    <cellStyle name="Normal 19 21 2" xfId="22205"/>
    <cellStyle name="Normal 19 22" xfId="15649"/>
    <cellStyle name="Normal 19 22 2" xfId="22395"/>
    <cellStyle name="Normal 19 23" xfId="15843"/>
    <cellStyle name="Normal 19 23 2" xfId="22586"/>
    <cellStyle name="Normal 19 24" xfId="16094"/>
    <cellStyle name="Normal 19 3" xfId="4291"/>
    <cellStyle name="Normal 19 3 2" xfId="14321"/>
    <cellStyle name="Normal 19 4" xfId="4292"/>
    <cellStyle name="Normal 19 4 2" xfId="14322"/>
    <cellStyle name="Normal 19 5" xfId="4293"/>
    <cellStyle name="Normal 19 5 2" xfId="14323"/>
    <cellStyle name="Normal 19 6" xfId="4294"/>
    <cellStyle name="Normal 19 6 2" xfId="14324"/>
    <cellStyle name="Normal 19 7" xfId="4295"/>
    <cellStyle name="Normal 19 7 2" xfId="14325"/>
    <cellStyle name="Normal 19 8" xfId="4296"/>
    <cellStyle name="Normal 19 8 2" xfId="14326"/>
    <cellStyle name="Normal 19 9" xfId="4297"/>
    <cellStyle name="Normal 19 9 2" xfId="14327"/>
    <cellStyle name="Normal 190" xfId="5890"/>
    <cellStyle name="Normal 190 2" xfId="7120"/>
    <cellStyle name="Normal 190 2 2" xfId="10559"/>
    <cellStyle name="Normal 190 2 2 2" xfId="18431"/>
    <cellStyle name="Normal 190 2 3" xfId="17367"/>
    <cellStyle name="Normal 190 3" xfId="10558"/>
    <cellStyle name="Normal 190 3 2" xfId="18430"/>
    <cellStyle name="Normal 190 4" xfId="15181"/>
    <cellStyle name="Normal 190 4 2" xfId="21980"/>
    <cellStyle name="Normal 190 5" xfId="16571"/>
    <cellStyle name="Normal 191" xfId="5840"/>
    <cellStyle name="Normal 191 2" xfId="7082"/>
    <cellStyle name="Normal 191 2 2" xfId="10561"/>
    <cellStyle name="Normal 191 2 2 2" xfId="18433"/>
    <cellStyle name="Normal 191 2 3" xfId="17329"/>
    <cellStyle name="Normal 191 3" xfId="10560"/>
    <cellStyle name="Normal 191 3 2" xfId="18432"/>
    <cellStyle name="Normal 191 4" xfId="15143"/>
    <cellStyle name="Normal 191 4 2" xfId="21942"/>
    <cellStyle name="Normal 191 5" xfId="16533"/>
    <cellStyle name="Normal 192" xfId="6103"/>
    <cellStyle name="Normal 192 2" xfId="7300"/>
    <cellStyle name="Normal 192 2 2" xfId="10563"/>
    <cellStyle name="Normal 192 2 2 2" xfId="18435"/>
    <cellStyle name="Normal 192 2 3" xfId="17547"/>
    <cellStyle name="Normal 192 3" xfId="10562"/>
    <cellStyle name="Normal 192 3 2" xfId="18434"/>
    <cellStyle name="Normal 192 4" xfId="15361"/>
    <cellStyle name="Normal 192 4 2" xfId="22160"/>
    <cellStyle name="Normal 192 5" xfId="16751"/>
    <cellStyle name="Normal 193" xfId="5952"/>
    <cellStyle name="Normal 193 2" xfId="7164"/>
    <cellStyle name="Normal 193 2 2" xfId="10565"/>
    <cellStyle name="Normal 193 2 2 2" xfId="18437"/>
    <cellStyle name="Normal 193 2 3" xfId="17411"/>
    <cellStyle name="Normal 193 3" xfId="10564"/>
    <cellStyle name="Normal 193 3 2" xfId="18436"/>
    <cellStyle name="Normal 193 4" xfId="15225"/>
    <cellStyle name="Normal 193 4 2" xfId="22024"/>
    <cellStyle name="Normal 193 5" xfId="16615"/>
    <cellStyle name="Normal 194" xfId="6003"/>
    <cellStyle name="Normal 194 2" xfId="7209"/>
    <cellStyle name="Normal 194 2 2" xfId="10567"/>
    <cellStyle name="Normal 194 2 2 2" xfId="18439"/>
    <cellStyle name="Normal 194 2 3" xfId="17456"/>
    <cellStyle name="Normal 194 3" xfId="10566"/>
    <cellStyle name="Normal 194 3 2" xfId="18438"/>
    <cellStyle name="Normal 194 4" xfId="15270"/>
    <cellStyle name="Normal 194 4 2" xfId="22069"/>
    <cellStyle name="Normal 194 5" xfId="16660"/>
    <cellStyle name="Normal 195" xfId="5764"/>
    <cellStyle name="Normal 195 2" xfId="7015"/>
    <cellStyle name="Normal 195 2 2" xfId="10569"/>
    <cellStyle name="Normal 195 2 2 2" xfId="18441"/>
    <cellStyle name="Normal 195 2 3" xfId="17262"/>
    <cellStyle name="Normal 195 3" xfId="10568"/>
    <cellStyle name="Normal 195 3 2" xfId="18440"/>
    <cellStyle name="Normal 195 4" xfId="15076"/>
    <cellStyle name="Normal 195 4 2" xfId="21875"/>
    <cellStyle name="Normal 195 5" xfId="16466"/>
    <cellStyle name="Normal 196" xfId="5881"/>
    <cellStyle name="Normal 196 2" xfId="7113"/>
    <cellStyle name="Normal 196 2 2" xfId="10571"/>
    <cellStyle name="Normal 196 2 2 2" xfId="18443"/>
    <cellStyle name="Normal 196 2 3" xfId="17360"/>
    <cellStyle name="Normal 196 3" xfId="10570"/>
    <cellStyle name="Normal 196 3 2" xfId="18442"/>
    <cellStyle name="Normal 196 4" xfId="15174"/>
    <cellStyle name="Normal 196 4 2" xfId="21973"/>
    <cellStyle name="Normal 196 5" xfId="16564"/>
    <cellStyle name="Normal 197" xfId="6100"/>
    <cellStyle name="Normal 197 2" xfId="7298"/>
    <cellStyle name="Normal 197 2 2" xfId="10573"/>
    <cellStyle name="Normal 197 2 2 2" xfId="18445"/>
    <cellStyle name="Normal 197 2 3" xfId="17545"/>
    <cellStyle name="Normal 197 3" xfId="10572"/>
    <cellStyle name="Normal 197 3 2" xfId="18444"/>
    <cellStyle name="Normal 197 4" xfId="15359"/>
    <cellStyle name="Normal 197 4 2" xfId="22158"/>
    <cellStyle name="Normal 197 5" xfId="16749"/>
    <cellStyle name="Normal 198" xfId="5954"/>
    <cellStyle name="Normal 198 2" xfId="7165"/>
    <cellStyle name="Normal 198 2 2" xfId="10575"/>
    <cellStyle name="Normal 198 2 2 2" xfId="18447"/>
    <cellStyle name="Normal 198 2 3" xfId="17412"/>
    <cellStyle name="Normal 198 3" xfId="10574"/>
    <cellStyle name="Normal 198 3 2" xfId="18446"/>
    <cellStyle name="Normal 198 4" xfId="15226"/>
    <cellStyle name="Normal 198 4 2" xfId="22025"/>
    <cellStyle name="Normal 198 5" xfId="16616"/>
    <cellStyle name="Normal 199" xfId="4298"/>
    <cellStyle name="Normal 199 2" xfId="14328"/>
    <cellStyle name="Normal 2" xfId="2682"/>
    <cellStyle name="Normal 2 10" xfId="2683"/>
    <cellStyle name="Normal 2 10 2" xfId="4299"/>
    <cellStyle name="Normal 2 10 3" xfId="5447"/>
    <cellStyle name="Normal 2 10 3 2" xfId="15023"/>
    <cellStyle name="Normal 2 10 4" xfId="6572"/>
    <cellStyle name="Normal 2 10 5" xfId="14329"/>
    <cellStyle name="Normal 2 11" xfId="2684"/>
    <cellStyle name="Normal 2 11 2" xfId="13677"/>
    <cellStyle name="Normal 2 12" xfId="2685"/>
    <cellStyle name="Normal 2 12 2" xfId="4300"/>
    <cellStyle name="Normal 2 12 3" xfId="5448"/>
    <cellStyle name="Normal 2 12 3 2" xfId="15024"/>
    <cellStyle name="Normal 2 12 4" xfId="6573"/>
    <cellStyle name="Normal 2 12 5" xfId="14330"/>
    <cellStyle name="Normal 2 13" xfId="5092"/>
    <cellStyle name="Normal 2 13 2" xfId="5449"/>
    <cellStyle name="Normal 2 13 2 2" xfId="15025"/>
    <cellStyle name="Normal 2 13 3" xfId="6874"/>
    <cellStyle name="Normal 2 13 3 2" xfId="10577"/>
    <cellStyle name="Normal 2 13 3 2 2" xfId="18449"/>
    <cellStyle name="Normal 2 13 3 3" xfId="14830"/>
    <cellStyle name="Normal 2 13 3 3 2" xfId="21734"/>
    <cellStyle name="Normal 2 13 3 4" xfId="17121"/>
    <cellStyle name="Normal 2 13 4" xfId="10576"/>
    <cellStyle name="Normal 2 13 4 2" xfId="18448"/>
    <cellStyle name="Normal 2 13 5" xfId="13676"/>
    <cellStyle name="Normal 2 13 5 2" xfId="21360"/>
    <cellStyle name="Normal 2 13 6" xfId="14331"/>
    <cellStyle name="Normal 2 13 7" xfId="16364"/>
    <cellStyle name="Normal 2 14" xfId="4301"/>
    <cellStyle name="Normal 2 14 2" xfId="14332"/>
    <cellStyle name="Normal 2 15" xfId="4302"/>
    <cellStyle name="Normal 2 15 2" xfId="14333"/>
    <cellStyle name="Normal 2 16" xfId="4303"/>
    <cellStyle name="Normal 2 16 2" xfId="14334"/>
    <cellStyle name="Normal 2 17" xfId="4304"/>
    <cellStyle name="Normal 2 17 2" xfId="14335"/>
    <cellStyle name="Normal 2 18" xfId="4305"/>
    <cellStyle name="Normal 2 18 2" xfId="14336"/>
    <cellStyle name="Normal 2 19" xfId="4306"/>
    <cellStyle name="Normal 2 19 2" xfId="14337"/>
    <cellStyle name="Normal 2 2" xfId="2686"/>
    <cellStyle name="Normal 2 2 10" xfId="15479"/>
    <cellStyle name="Normal 2 2 10 2" xfId="22234"/>
    <cellStyle name="Normal 2 2 11" xfId="15679"/>
    <cellStyle name="Normal 2 2 11 2" xfId="22425"/>
    <cellStyle name="Normal 2 2 12" xfId="15875"/>
    <cellStyle name="Normal 2 2 12 2" xfId="22618"/>
    <cellStyle name="Normal 2 2 13" xfId="16128"/>
    <cellStyle name="Normal 2 2 2" xfId="2687"/>
    <cellStyle name="Normal 2 2 2 2" xfId="2688"/>
    <cellStyle name="Normal 2 2 2 2 2" xfId="13680"/>
    <cellStyle name="Normal 2 2 2 3" xfId="2689"/>
    <cellStyle name="Normal 2 2 2 3 10" xfId="15981"/>
    <cellStyle name="Normal 2 2 2 3 10 2" xfId="22709"/>
    <cellStyle name="Normal 2 2 2 3 11" xfId="16199"/>
    <cellStyle name="Normal 2 2 2 3 2" xfId="5095"/>
    <cellStyle name="Normal 2 2 2 3 2 2" xfId="6877"/>
    <cellStyle name="Normal 2 2 2 3 2 2 2" xfId="10582"/>
    <cellStyle name="Normal 2 2 2 3 2 2 2 2" xfId="18454"/>
    <cellStyle name="Normal 2 2 2 3 2 2 3" xfId="17124"/>
    <cellStyle name="Normal 2 2 2 3 2 3" xfId="10581"/>
    <cellStyle name="Normal 2 2 2 3 2 3 2" xfId="18453"/>
    <cellStyle name="Normal 2 2 2 3 2 4" xfId="14833"/>
    <cellStyle name="Normal 2 2 2 3 2 4 2" xfId="21737"/>
    <cellStyle name="Normal 2 2 2 3 2 5" xfId="16366"/>
    <cellStyle name="Normal 2 2 2 3 3" xfId="6010"/>
    <cellStyle name="Normal 2 2 2 3 3 2" xfId="7215"/>
    <cellStyle name="Normal 2 2 2 3 3 2 2" xfId="10584"/>
    <cellStyle name="Normal 2 2 2 3 3 2 2 2" xfId="18456"/>
    <cellStyle name="Normal 2 2 2 3 3 2 3" xfId="17462"/>
    <cellStyle name="Normal 2 2 2 3 3 3" xfId="10583"/>
    <cellStyle name="Normal 2 2 2 3 3 3 2" xfId="18455"/>
    <cellStyle name="Normal 2 2 2 3 3 4" xfId="15276"/>
    <cellStyle name="Normal 2 2 2 3 3 4 2" xfId="22075"/>
    <cellStyle name="Normal 2 2 2 3 3 5" xfId="16666"/>
    <cellStyle name="Normal 2 2 2 3 4" xfId="6281"/>
    <cellStyle name="Normal 2 2 2 3 4 2" xfId="10585"/>
    <cellStyle name="Normal 2 2 2 3 4 2 2" xfId="18457"/>
    <cellStyle name="Normal 2 2 2 3 4 3" xfId="16839"/>
    <cellStyle name="Normal 2 2 2 3 5" xfId="10580"/>
    <cellStyle name="Normal 2 2 2 3 5 2" xfId="18452"/>
    <cellStyle name="Normal 2 2 2 3 6" xfId="13681"/>
    <cellStyle name="Normal 2 2 2 3 6 2" xfId="21362"/>
    <cellStyle name="Normal 2 2 2 3 7" xfId="14501"/>
    <cellStyle name="Normal 2 2 2 3 7 2" xfId="21523"/>
    <cellStyle name="Normal 2 2 2 3 8" xfId="15550"/>
    <cellStyle name="Normal 2 2 2 3 8 2" xfId="22305"/>
    <cellStyle name="Normal 2 2 2 3 9" xfId="15750"/>
    <cellStyle name="Normal 2 2 2 3 9 2" xfId="22496"/>
    <cellStyle name="Normal 2 2 2 4" xfId="5093"/>
    <cellStyle name="Normal 2 2 2 4 10" xfId="16198"/>
    <cellStyle name="Normal 2 2 2 4 2" xfId="6008"/>
    <cellStyle name="Normal 2 2 2 4 2 2" xfId="7213"/>
    <cellStyle name="Normal 2 2 2 4 2 2 2" xfId="10588"/>
    <cellStyle name="Normal 2 2 2 4 2 2 2 2" xfId="18460"/>
    <cellStyle name="Normal 2 2 2 4 2 2 3" xfId="17460"/>
    <cellStyle name="Normal 2 2 2 4 2 3" xfId="10587"/>
    <cellStyle name="Normal 2 2 2 4 2 3 2" xfId="18459"/>
    <cellStyle name="Normal 2 2 2 4 2 4" xfId="15274"/>
    <cellStyle name="Normal 2 2 2 4 2 4 2" xfId="22073"/>
    <cellStyle name="Normal 2 2 2 4 2 5" xfId="16664"/>
    <cellStyle name="Normal 2 2 2 4 3" xfId="6875"/>
    <cellStyle name="Normal 2 2 2 4 3 2" xfId="10589"/>
    <cellStyle name="Normal 2 2 2 4 3 2 2" xfId="18461"/>
    <cellStyle name="Normal 2 2 2 4 3 3" xfId="17122"/>
    <cellStyle name="Normal 2 2 2 4 4" xfId="9803"/>
    <cellStyle name="Normal 2 2 2 4 4 2" xfId="17703"/>
    <cellStyle name="Normal 2 2 2 4 5" xfId="10586"/>
    <cellStyle name="Normal 2 2 2 4 5 2" xfId="18458"/>
    <cellStyle name="Normal 2 2 2 4 6" xfId="14831"/>
    <cellStyle name="Normal 2 2 2 4 6 2" xfId="21735"/>
    <cellStyle name="Normal 2 2 2 4 7" xfId="15549"/>
    <cellStyle name="Normal 2 2 2 4 7 2" xfId="22304"/>
    <cellStyle name="Normal 2 2 2 4 8" xfId="15749"/>
    <cellStyle name="Normal 2 2 2 4 8 2" xfId="22495"/>
    <cellStyle name="Normal 2 2 2 4 9" xfId="15980"/>
    <cellStyle name="Normal 2 2 2 4 9 2" xfId="22708"/>
    <cellStyle name="Normal 2 2 2 5" xfId="5236"/>
    <cellStyle name="Normal 2 2 2 6" xfId="6280"/>
    <cellStyle name="Normal 2 2 2 6 2" xfId="10590"/>
    <cellStyle name="Normal 2 2 2 6 2 2" xfId="18462"/>
    <cellStyle name="Normal 2 2 2 6 3" xfId="14500"/>
    <cellStyle name="Normal 2 2 2 6 3 2" xfId="21522"/>
    <cellStyle name="Normal 2 2 2 6 4" xfId="16838"/>
    <cellStyle name="Normal 2 2 2 7" xfId="10579"/>
    <cellStyle name="Normal 2 2 2 7 2" xfId="18451"/>
    <cellStyle name="Normal 2 2 2 8" xfId="13679"/>
    <cellStyle name="Normal 2 2 2 8 2" xfId="21361"/>
    <cellStyle name="Normal 2 2 2_Sheet2" xfId="2690"/>
    <cellStyle name="Normal 2 2 3" xfId="2691"/>
    <cellStyle name="Normal 2 2 3 2" xfId="2692"/>
    <cellStyle name="Normal 2 2 3 2 10" xfId="15983"/>
    <cellStyle name="Normal 2 2 3 2 10 2" xfId="22711"/>
    <cellStyle name="Normal 2 2 3 2 11" xfId="16201"/>
    <cellStyle name="Normal 2 2 3 2 2" xfId="5097"/>
    <cellStyle name="Normal 2 2 3 2 2 2" xfId="6879"/>
    <cellStyle name="Normal 2 2 3 2 2 2 2" xfId="10594"/>
    <cellStyle name="Normal 2 2 3 2 2 2 2 2" xfId="18466"/>
    <cellStyle name="Normal 2 2 3 2 2 2 3" xfId="17126"/>
    <cellStyle name="Normal 2 2 3 2 2 3" xfId="10593"/>
    <cellStyle name="Normal 2 2 3 2 2 3 2" xfId="18465"/>
    <cellStyle name="Normal 2 2 3 2 2 4" xfId="14835"/>
    <cellStyle name="Normal 2 2 3 2 2 4 2" xfId="21739"/>
    <cellStyle name="Normal 2 2 3 2 2 5" xfId="16367"/>
    <cellStyle name="Normal 2 2 3 2 3" xfId="6012"/>
    <cellStyle name="Normal 2 2 3 2 3 2" xfId="7217"/>
    <cellStyle name="Normal 2 2 3 2 3 2 2" xfId="10596"/>
    <cellStyle name="Normal 2 2 3 2 3 2 2 2" xfId="18468"/>
    <cellStyle name="Normal 2 2 3 2 3 2 3" xfId="17464"/>
    <cellStyle name="Normal 2 2 3 2 3 3" xfId="10595"/>
    <cellStyle name="Normal 2 2 3 2 3 3 2" xfId="18467"/>
    <cellStyle name="Normal 2 2 3 2 3 4" xfId="15278"/>
    <cellStyle name="Normal 2 2 3 2 3 4 2" xfId="22077"/>
    <cellStyle name="Normal 2 2 3 2 3 5" xfId="16668"/>
    <cellStyle name="Normal 2 2 3 2 4" xfId="6283"/>
    <cellStyle name="Normal 2 2 3 2 4 2" xfId="10597"/>
    <cellStyle name="Normal 2 2 3 2 4 2 2" xfId="18469"/>
    <cellStyle name="Normal 2 2 3 2 4 3" xfId="16841"/>
    <cellStyle name="Normal 2 2 3 2 5" xfId="10592"/>
    <cellStyle name="Normal 2 2 3 2 5 2" xfId="18464"/>
    <cellStyle name="Normal 2 2 3 2 6" xfId="13683"/>
    <cellStyle name="Normal 2 2 3 2 6 2" xfId="21364"/>
    <cellStyle name="Normal 2 2 3 2 7" xfId="14503"/>
    <cellStyle name="Normal 2 2 3 2 7 2" xfId="21525"/>
    <cellStyle name="Normal 2 2 3 2 8" xfId="15552"/>
    <cellStyle name="Normal 2 2 3 2 8 2" xfId="22307"/>
    <cellStyle name="Normal 2 2 3 2 9" xfId="15752"/>
    <cellStyle name="Normal 2 2 3 2 9 2" xfId="22498"/>
    <cellStyle name="Normal 2 2 3 3" xfId="5096"/>
    <cellStyle name="Normal 2 2 3 3 2" xfId="6011"/>
    <cellStyle name="Normal 2 2 3 3 2 2" xfId="7216"/>
    <cellStyle name="Normal 2 2 3 3 2 2 2" xfId="10600"/>
    <cellStyle name="Normal 2 2 3 3 2 2 2 2" xfId="18472"/>
    <cellStyle name="Normal 2 2 3 3 2 2 3" xfId="17463"/>
    <cellStyle name="Normal 2 2 3 3 2 3" xfId="10599"/>
    <cellStyle name="Normal 2 2 3 3 2 3 2" xfId="18471"/>
    <cellStyle name="Normal 2 2 3 3 2 4" xfId="15277"/>
    <cellStyle name="Normal 2 2 3 3 2 4 2" xfId="22076"/>
    <cellStyle name="Normal 2 2 3 3 2 5" xfId="16667"/>
    <cellStyle name="Normal 2 2 3 3 3" xfId="6878"/>
    <cellStyle name="Normal 2 2 3 3 3 2" xfId="10601"/>
    <cellStyle name="Normal 2 2 3 3 3 2 2" xfId="18473"/>
    <cellStyle name="Normal 2 2 3 3 3 3" xfId="17125"/>
    <cellStyle name="Normal 2 2 3 3 4" xfId="10598"/>
    <cellStyle name="Normal 2 2 3 3 4 2" xfId="18470"/>
    <cellStyle name="Normal 2 2 3 3 5" xfId="14834"/>
    <cellStyle name="Normal 2 2 3 3 5 2" xfId="21738"/>
    <cellStyle name="Normal 2 2 3 3 6" xfId="15551"/>
    <cellStyle name="Normal 2 2 3 3 6 2" xfId="22306"/>
    <cellStyle name="Normal 2 2 3 3 7" xfId="15751"/>
    <cellStyle name="Normal 2 2 3 3 7 2" xfId="22497"/>
    <cellStyle name="Normal 2 2 3 3 8" xfId="15982"/>
    <cellStyle name="Normal 2 2 3 3 8 2" xfId="22710"/>
    <cellStyle name="Normal 2 2 3 3 9" xfId="16200"/>
    <cellStyle name="Normal 2 2 3 4" xfId="5450"/>
    <cellStyle name="Normal 2 2 3 4 2" xfId="15026"/>
    <cellStyle name="Normal 2 2 3 5" xfId="6282"/>
    <cellStyle name="Normal 2 2 3 5 2" xfId="10602"/>
    <cellStyle name="Normal 2 2 3 5 2 2" xfId="18474"/>
    <cellStyle name="Normal 2 2 3 5 3" xfId="14502"/>
    <cellStyle name="Normal 2 2 3 5 3 2" xfId="21524"/>
    <cellStyle name="Normal 2 2 3 5 4" xfId="16840"/>
    <cellStyle name="Normal 2 2 3 6" xfId="10591"/>
    <cellStyle name="Normal 2 2 3 6 2" xfId="18463"/>
    <cellStyle name="Normal 2 2 3 7" xfId="13682"/>
    <cellStyle name="Normal 2 2 3 7 2" xfId="21363"/>
    <cellStyle name="Normal 2 2 3 8" xfId="14338"/>
    <cellStyle name="Normal 2 2 4" xfId="2693"/>
    <cellStyle name="Normal 2 2 4 10" xfId="15753"/>
    <cellStyle name="Normal 2 2 4 10 2" xfId="22499"/>
    <cellStyle name="Normal 2 2 4 11" xfId="15984"/>
    <cellStyle name="Normal 2 2 4 11 2" xfId="22712"/>
    <cellStyle name="Normal 2 2 4 12" xfId="16202"/>
    <cellStyle name="Normal 2 2 4 2" xfId="2694"/>
    <cellStyle name="Normal 2 2 4 2 10" xfId="15985"/>
    <cellStyle name="Normal 2 2 4 2 10 2" xfId="22713"/>
    <cellStyle name="Normal 2 2 4 2 11" xfId="16203"/>
    <cellStyle name="Normal 2 2 4 2 2" xfId="5099"/>
    <cellStyle name="Normal 2 2 4 2 2 2" xfId="6881"/>
    <cellStyle name="Normal 2 2 4 2 2 2 2" xfId="10606"/>
    <cellStyle name="Normal 2 2 4 2 2 2 2 2" xfId="18478"/>
    <cellStyle name="Normal 2 2 4 2 2 2 3" xfId="17128"/>
    <cellStyle name="Normal 2 2 4 2 2 3" xfId="10605"/>
    <cellStyle name="Normal 2 2 4 2 2 3 2" xfId="18477"/>
    <cellStyle name="Normal 2 2 4 2 2 4" xfId="14837"/>
    <cellStyle name="Normal 2 2 4 2 2 4 2" xfId="21741"/>
    <cellStyle name="Normal 2 2 4 2 2 5" xfId="16369"/>
    <cellStyle name="Normal 2 2 4 2 3" xfId="6014"/>
    <cellStyle name="Normal 2 2 4 2 3 2" xfId="7219"/>
    <cellStyle name="Normal 2 2 4 2 3 2 2" xfId="10608"/>
    <cellStyle name="Normal 2 2 4 2 3 2 2 2" xfId="18480"/>
    <cellStyle name="Normal 2 2 4 2 3 2 3" xfId="17466"/>
    <cellStyle name="Normal 2 2 4 2 3 3" xfId="10607"/>
    <cellStyle name="Normal 2 2 4 2 3 3 2" xfId="18479"/>
    <cellStyle name="Normal 2 2 4 2 3 4" xfId="15280"/>
    <cellStyle name="Normal 2 2 4 2 3 4 2" xfId="22079"/>
    <cellStyle name="Normal 2 2 4 2 3 5" xfId="16670"/>
    <cellStyle name="Normal 2 2 4 2 4" xfId="6285"/>
    <cellStyle name="Normal 2 2 4 2 4 2" xfId="10609"/>
    <cellStyle name="Normal 2 2 4 2 4 2 2" xfId="18481"/>
    <cellStyle name="Normal 2 2 4 2 4 3" xfId="16843"/>
    <cellStyle name="Normal 2 2 4 2 5" xfId="10604"/>
    <cellStyle name="Normal 2 2 4 2 5 2" xfId="18476"/>
    <cellStyle name="Normal 2 2 4 2 6" xfId="13685"/>
    <cellStyle name="Normal 2 2 4 2 6 2" xfId="21366"/>
    <cellStyle name="Normal 2 2 4 2 7" xfId="14505"/>
    <cellStyle name="Normal 2 2 4 2 7 2" xfId="21527"/>
    <cellStyle name="Normal 2 2 4 2 8" xfId="15554"/>
    <cellStyle name="Normal 2 2 4 2 8 2" xfId="22309"/>
    <cellStyle name="Normal 2 2 4 2 9" xfId="15754"/>
    <cellStyle name="Normal 2 2 4 2 9 2" xfId="22500"/>
    <cellStyle name="Normal 2 2 4 3" xfId="5098"/>
    <cellStyle name="Normal 2 2 4 3 2" xfId="6880"/>
    <cellStyle name="Normal 2 2 4 3 2 2" xfId="10611"/>
    <cellStyle name="Normal 2 2 4 3 2 2 2" xfId="18483"/>
    <cellStyle name="Normal 2 2 4 3 2 3" xfId="17127"/>
    <cellStyle name="Normal 2 2 4 3 3" xfId="10610"/>
    <cellStyle name="Normal 2 2 4 3 3 2" xfId="18482"/>
    <cellStyle name="Normal 2 2 4 3 4" xfId="14836"/>
    <cellStyle name="Normal 2 2 4 3 4 2" xfId="21740"/>
    <cellStyle name="Normal 2 2 4 3 5" xfId="16368"/>
    <cellStyle name="Normal 2 2 4 4" xfId="6013"/>
    <cellStyle name="Normal 2 2 4 4 2" xfId="7218"/>
    <cellStyle name="Normal 2 2 4 4 2 2" xfId="10613"/>
    <cellStyle name="Normal 2 2 4 4 2 2 2" xfId="18485"/>
    <cellStyle name="Normal 2 2 4 4 2 3" xfId="17465"/>
    <cellStyle name="Normal 2 2 4 4 3" xfId="10612"/>
    <cellStyle name="Normal 2 2 4 4 3 2" xfId="18484"/>
    <cellStyle name="Normal 2 2 4 4 4" xfId="15279"/>
    <cellStyle name="Normal 2 2 4 4 4 2" xfId="22078"/>
    <cellStyle name="Normal 2 2 4 4 5" xfId="16669"/>
    <cellStyle name="Normal 2 2 4 5" xfId="6284"/>
    <cellStyle name="Normal 2 2 4 5 2" xfId="10614"/>
    <cellStyle name="Normal 2 2 4 5 2 2" xfId="18486"/>
    <cellStyle name="Normal 2 2 4 5 3" xfId="16842"/>
    <cellStyle name="Normal 2 2 4 6" xfId="10603"/>
    <cellStyle name="Normal 2 2 4 6 2" xfId="18475"/>
    <cellStyle name="Normal 2 2 4 7" xfId="13684"/>
    <cellStyle name="Normal 2 2 4 7 2" xfId="21365"/>
    <cellStyle name="Normal 2 2 4 8" xfId="14504"/>
    <cellStyle name="Normal 2 2 4 8 2" xfId="21526"/>
    <cellStyle name="Normal 2 2 4 9" xfId="15553"/>
    <cellStyle name="Normal 2 2 4 9 2" xfId="22308"/>
    <cellStyle name="Normal 2 2 5" xfId="2695"/>
    <cellStyle name="Normal 2 2 5 2" xfId="14506"/>
    <cellStyle name="Normal 2 2 6" xfId="5806"/>
    <cellStyle name="Normal 2 2 6 2" xfId="7053"/>
    <cellStyle name="Normal 2 2 6 2 2" xfId="10616"/>
    <cellStyle name="Normal 2 2 6 2 2 2" xfId="18488"/>
    <cellStyle name="Normal 2 2 6 2 3" xfId="17300"/>
    <cellStyle name="Normal 2 2 6 3" xfId="10615"/>
    <cellStyle name="Normal 2 2 6 3 2" xfId="18487"/>
    <cellStyle name="Normal 2 2 6 4" xfId="15114"/>
    <cellStyle name="Normal 2 2 6 4 2" xfId="21913"/>
    <cellStyle name="Normal 2 2 6 5" xfId="16504"/>
    <cellStyle name="Normal 2 2 7" xfId="10578"/>
    <cellStyle name="Normal 2 2 7 2" xfId="18450"/>
    <cellStyle name="Normal 2 2 8" xfId="13678"/>
    <cellStyle name="Normal 2 2 9" xfId="14036"/>
    <cellStyle name="Normal 2 2 9 2" xfId="21443"/>
    <cellStyle name="Normal 2 20" xfId="5364"/>
    <cellStyle name="Normal 2 20 2" xfId="14339"/>
    <cellStyle name="Normal 2 21" xfId="4307"/>
    <cellStyle name="Normal 2 21 2" xfId="14340"/>
    <cellStyle name="Normal 2 22" xfId="4308"/>
    <cellStyle name="Normal 2 22 2" xfId="14341"/>
    <cellStyle name="Normal 2 23" xfId="4309"/>
    <cellStyle name="Normal 2 23 2" xfId="14342"/>
    <cellStyle name="Normal 2 24" xfId="4310"/>
    <cellStyle name="Normal 2 24 2" xfId="14343"/>
    <cellStyle name="Normal 2 25" xfId="4311"/>
    <cellStyle name="Normal 2 25 2" xfId="14344"/>
    <cellStyle name="Normal 2 26" xfId="4312"/>
    <cellStyle name="Normal 2 26 2" xfId="14345"/>
    <cellStyle name="Normal 2 27" xfId="4313"/>
    <cellStyle name="Normal 2 27 2" xfId="14346"/>
    <cellStyle name="Normal 2 28" xfId="4314"/>
    <cellStyle name="Normal 2 28 2" xfId="14347"/>
    <cellStyle name="Normal 2 29" xfId="4315"/>
    <cellStyle name="Normal 2 29 2" xfId="14348"/>
    <cellStyle name="Normal 2 3" xfId="2696"/>
    <cellStyle name="Normal 2 3 2" xfId="2697"/>
    <cellStyle name="Normal 2 3 2 2" xfId="2698"/>
    <cellStyle name="Normal 2 3 2 2 10" xfId="15988"/>
    <cellStyle name="Normal 2 3 2 2 10 2" xfId="22716"/>
    <cellStyle name="Normal 2 3 2 2 11" xfId="16206"/>
    <cellStyle name="Normal 2 3 2 2 2" xfId="5102"/>
    <cellStyle name="Normal 2 3 2 2 2 2" xfId="6884"/>
    <cellStyle name="Normal 2 3 2 2 2 2 2" xfId="10621"/>
    <cellStyle name="Normal 2 3 2 2 2 2 2 2" xfId="18493"/>
    <cellStyle name="Normal 2 3 2 2 2 2 3" xfId="17131"/>
    <cellStyle name="Normal 2 3 2 2 2 3" xfId="10620"/>
    <cellStyle name="Normal 2 3 2 2 2 3 2" xfId="18492"/>
    <cellStyle name="Normal 2 3 2 2 2 4" xfId="14840"/>
    <cellStyle name="Normal 2 3 2 2 2 4 2" xfId="21744"/>
    <cellStyle name="Normal 2 3 2 2 2 5" xfId="16370"/>
    <cellStyle name="Normal 2 3 2 2 3" xfId="6017"/>
    <cellStyle name="Normal 2 3 2 2 3 2" xfId="7222"/>
    <cellStyle name="Normal 2 3 2 2 3 2 2" xfId="10623"/>
    <cellStyle name="Normal 2 3 2 2 3 2 2 2" xfId="18495"/>
    <cellStyle name="Normal 2 3 2 2 3 2 3" xfId="17469"/>
    <cellStyle name="Normal 2 3 2 2 3 3" xfId="10622"/>
    <cellStyle name="Normal 2 3 2 2 3 3 2" xfId="18494"/>
    <cellStyle name="Normal 2 3 2 2 3 4" xfId="15283"/>
    <cellStyle name="Normal 2 3 2 2 3 4 2" xfId="22082"/>
    <cellStyle name="Normal 2 3 2 2 3 5" xfId="16673"/>
    <cellStyle name="Normal 2 3 2 2 4" xfId="6288"/>
    <cellStyle name="Normal 2 3 2 2 4 2" xfId="10624"/>
    <cellStyle name="Normal 2 3 2 2 4 2 2" xfId="18496"/>
    <cellStyle name="Normal 2 3 2 2 4 3" xfId="16846"/>
    <cellStyle name="Normal 2 3 2 2 5" xfId="10619"/>
    <cellStyle name="Normal 2 3 2 2 5 2" xfId="18491"/>
    <cellStyle name="Normal 2 3 2 2 6" xfId="13688"/>
    <cellStyle name="Normal 2 3 2 2 6 2" xfId="21369"/>
    <cellStyle name="Normal 2 3 2 2 7" xfId="14509"/>
    <cellStyle name="Normal 2 3 2 2 7 2" xfId="21530"/>
    <cellStyle name="Normal 2 3 2 2 8" xfId="15557"/>
    <cellStyle name="Normal 2 3 2 2 8 2" xfId="22312"/>
    <cellStyle name="Normal 2 3 2 2 9" xfId="15757"/>
    <cellStyle name="Normal 2 3 2 2 9 2" xfId="22503"/>
    <cellStyle name="Normal 2 3 2 3" xfId="5101"/>
    <cellStyle name="Normal 2 3 2 3 2" xfId="6016"/>
    <cellStyle name="Normal 2 3 2 3 2 2" xfId="7221"/>
    <cellStyle name="Normal 2 3 2 3 2 2 2" xfId="10627"/>
    <cellStyle name="Normal 2 3 2 3 2 2 2 2" xfId="18499"/>
    <cellStyle name="Normal 2 3 2 3 2 2 3" xfId="17468"/>
    <cellStyle name="Normal 2 3 2 3 2 3" xfId="10626"/>
    <cellStyle name="Normal 2 3 2 3 2 3 2" xfId="18498"/>
    <cellStyle name="Normal 2 3 2 3 2 4" xfId="15282"/>
    <cellStyle name="Normal 2 3 2 3 2 4 2" xfId="22081"/>
    <cellStyle name="Normal 2 3 2 3 2 5" xfId="16672"/>
    <cellStyle name="Normal 2 3 2 3 3" xfId="6883"/>
    <cellStyle name="Normal 2 3 2 3 3 2" xfId="10628"/>
    <cellStyle name="Normal 2 3 2 3 3 2 2" xfId="18500"/>
    <cellStyle name="Normal 2 3 2 3 3 3" xfId="17130"/>
    <cellStyle name="Normal 2 3 2 3 4" xfId="10625"/>
    <cellStyle name="Normal 2 3 2 3 4 2" xfId="18497"/>
    <cellStyle name="Normal 2 3 2 3 5" xfId="14839"/>
    <cellStyle name="Normal 2 3 2 3 5 2" xfId="21743"/>
    <cellStyle name="Normal 2 3 2 3 6" xfId="15556"/>
    <cellStyle name="Normal 2 3 2 3 6 2" xfId="22311"/>
    <cellStyle name="Normal 2 3 2 3 7" xfId="15756"/>
    <cellStyle name="Normal 2 3 2 3 7 2" xfId="22502"/>
    <cellStyle name="Normal 2 3 2 3 8" xfId="15987"/>
    <cellStyle name="Normal 2 3 2 3 8 2" xfId="22715"/>
    <cellStyle name="Normal 2 3 2 3 9" xfId="16205"/>
    <cellStyle name="Normal 2 3 2 4" xfId="5451"/>
    <cellStyle name="Normal 2 3 2 4 2" xfId="15027"/>
    <cellStyle name="Normal 2 3 2 5" xfId="6287"/>
    <cellStyle name="Normal 2 3 2 5 2" xfId="10629"/>
    <cellStyle name="Normal 2 3 2 5 2 2" xfId="18501"/>
    <cellStyle name="Normal 2 3 2 5 3" xfId="14508"/>
    <cellStyle name="Normal 2 3 2 5 3 2" xfId="21529"/>
    <cellStyle name="Normal 2 3 2 5 4" xfId="16845"/>
    <cellStyle name="Normal 2 3 2 6" xfId="10618"/>
    <cellStyle name="Normal 2 3 2 6 2" xfId="18490"/>
    <cellStyle name="Normal 2 3 2 7" xfId="13687"/>
    <cellStyle name="Normal 2 3 2 7 2" xfId="21368"/>
    <cellStyle name="Normal 2 3 2 8" xfId="14349"/>
    <cellStyle name="Normal 2 3 3" xfId="2699"/>
    <cellStyle name="Normal 2 3 3 2" xfId="5103"/>
    <cellStyle name="Normal 2 3 3 2 2" xfId="6018"/>
    <cellStyle name="Normal 2 3 3 2 2 2" xfId="7223"/>
    <cellStyle name="Normal 2 3 3 2 2 2 2" xfId="10633"/>
    <cellStyle name="Normal 2 3 3 2 2 2 2 2" xfId="18505"/>
    <cellStyle name="Normal 2 3 3 2 2 2 3" xfId="17470"/>
    <cellStyle name="Normal 2 3 3 2 2 3" xfId="10632"/>
    <cellStyle name="Normal 2 3 3 2 2 3 2" xfId="18504"/>
    <cellStyle name="Normal 2 3 3 2 2 4" xfId="15284"/>
    <cellStyle name="Normal 2 3 3 2 2 4 2" xfId="22083"/>
    <cellStyle name="Normal 2 3 3 2 2 5" xfId="16674"/>
    <cellStyle name="Normal 2 3 3 2 3" xfId="6885"/>
    <cellStyle name="Normal 2 3 3 2 3 2" xfId="10634"/>
    <cellStyle name="Normal 2 3 3 2 3 2 2" xfId="18506"/>
    <cellStyle name="Normal 2 3 3 2 3 3" xfId="17132"/>
    <cellStyle name="Normal 2 3 3 2 4" xfId="10631"/>
    <cellStyle name="Normal 2 3 3 2 4 2" xfId="18503"/>
    <cellStyle name="Normal 2 3 3 2 5" xfId="14841"/>
    <cellStyle name="Normal 2 3 3 2 5 2" xfId="21745"/>
    <cellStyle name="Normal 2 3 3 2 6" xfId="15558"/>
    <cellStyle name="Normal 2 3 3 2 6 2" xfId="22313"/>
    <cellStyle name="Normal 2 3 3 2 7" xfId="15758"/>
    <cellStyle name="Normal 2 3 3 2 7 2" xfId="22504"/>
    <cellStyle name="Normal 2 3 3 2 8" xfId="15989"/>
    <cellStyle name="Normal 2 3 3 2 8 2" xfId="22717"/>
    <cellStyle name="Normal 2 3 3 2 9" xfId="16207"/>
    <cellStyle name="Normal 2 3 3 3" xfId="5602"/>
    <cellStyle name="Normal 2 3 3 4" xfId="6289"/>
    <cellStyle name="Normal 2 3 3 4 2" xfId="10635"/>
    <cellStyle name="Normal 2 3 3 4 2 2" xfId="18507"/>
    <cellStyle name="Normal 2 3 3 4 3" xfId="16847"/>
    <cellStyle name="Normal 2 3 3 5" xfId="10630"/>
    <cellStyle name="Normal 2 3 3 5 2" xfId="18502"/>
    <cellStyle name="Normal 2 3 3 6" xfId="13689"/>
    <cellStyle name="Normal 2 3 3 6 2" xfId="21370"/>
    <cellStyle name="Normal 2 3 3 7" xfId="14510"/>
    <cellStyle name="Normal 2 3 3 7 2" xfId="21531"/>
    <cellStyle name="Normal 2 3 4" xfId="2700"/>
    <cellStyle name="Normal 2 3 5" xfId="5100"/>
    <cellStyle name="Normal 2 3 5 2" xfId="6015"/>
    <cellStyle name="Normal 2 3 5 2 2" xfId="7220"/>
    <cellStyle name="Normal 2 3 5 2 2 2" xfId="10638"/>
    <cellStyle name="Normal 2 3 5 2 2 2 2" xfId="18510"/>
    <cellStyle name="Normal 2 3 5 2 2 3" xfId="17467"/>
    <cellStyle name="Normal 2 3 5 2 3" xfId="10637"/>
    <cellStyle name="Normal 2 3 5 2 3 2" xfId="18509"/>
    <cellStyle name="Normal 2 3 5 2 4" xfId="15281"/>
    <cellStyle name="Normal 2 3 5 2 4 2" xfId="22080"/>
    <cellStyle name="Normal 2 3 5 2 5" xfId="16671"/>
    <cellStyle name="Normal 2 3 5 3" xfId="6882"/>
    <cellStyle name="Normal 2 3 5 3 2" xfId="10639"/>
    <cellStyle name="Normal 2 3 5 3 2 2" xfId="18511"/>
    <cellStyle name="Normal 2 3 5 3 3" xfId="17129"/>
    <cellStyle name="Normal 2 3 5 4" xfId="10636"/>
    <cellStyle name="Normal 2 3 5 4 2" xfId="18508"/>
    <cellStyle name="Normal 2 3 5 5" xfId="14838"/>
    <cellStyle name="Normal 2 3 5 5 2" xfId="21742"/>
    <cellStyle name="Normal 2 3 5 6" xfId="15555"/>
    <cellStyle name="Normal 2 3 5 6 2" xfId="22310"/>
    <cellStyle name="Normal 2 3 5 7" xfId="15755"/>
    <cellStyle name="Normal 2 3 5 7 2" xfId="22501"/>
    <cellStyle name="Normal 2 3 5 8" xfId="15986"/>
    <cellStyle name="Normal 2 3 5 8 2" xfId="22714"/>
    <cellStyle name="Normal 2 3 5 9" xfId="16204"/>
    <cellStyle name="Normal 2 3 6" xfId="5238"/>
    <cellStyle name="Normal 2 3 7" xfId="6286"/>
    <cellStyle name="Normal 2 3 7 2" xfId="10640"/>
    <cellStyle name="Normal 2 3 7 2 2" xfId="18512"/>
    <cellStyle name="Normal 2 3 7 3" xfId="14507"/>
    <cellStyle name="Normal 2 3 7 3 2" xfId="21528"/>
    <cellStyle name="Normal 2 3 7 4" xfId="16844"/>
    <cellStyle name="Normal 2 3 8" xfId="10617"/>
    <cellStyle name="Normal 2 3 8 2" xfId="18489"/>
    <cellStyle name="Normal 2 3 9" xfId="13686"/>
    <cellStyle name="Normal 2 3 9 2" xfId="21367"/>
    <cellStyle name="Normal 2 3_Sheet2" xfId="2701"/>
    <cellStyle name="Normal 2 30" xfId="4316"/>
    <cellStyle name="Normal 2 30 2" xfId="14350"/>
    <cellStyle name="Normal 2 31" xfId="4317"/>
    <cellStyle name="Normal 2 31 2" xfId="14351"/>
    <cellStyle name="Normal 2 32" xfId="4318"/>
    <cellStyle name="Normal 2 32 2" xfId="14352"/>
    <cellStyle name="Normal 2 33" xfId="4319"/>
    <cellStyle name="Normal 2 33 2" xfId="14353"/>
    <cellStyle name="Normal 2 34" xfId="5354"/>
    <cellStyle name="Normal 2 34 2" xfId="14354"/>
    <cellStyle name="Normal 2 35" xfId="4320"/>
    <cellStyle name="Normal 2 35 2" xfId="14355"/>
    <cellStyle name="Normal 2 36" xfId="4321"/>
    <cellStyle name="Normal 2 36 2" xfId="14356"/>
    <cellStyle name="Normal 2 37" xfId="4322"/>
    <cellStyle name="Normal 2 37 2" xfId="14357"/>
    <cellStyle name="Normal 2 38" xfId="4323"/>
    <cellStyle name="Normal 2 38 2" xfId="14358"/>
    <cellStyle name="Normal 2 39" xfId="4324"/>
    <cellStyle name="Normal 2 39 2" xfId="14359"/>
    <cellStyle name="Normal 2 4" xfId="2702"/>
    <cellStyle name="Normal 2 4 2" xfId="2703"/>
    <cellStyle name="Normal 2 4 2 2" xfId="2704"/>
    <cellStyle name="Normal 2 4 2 2 10" xfId="15992"/>
    <cellStyle name="Normal 2 4 2 2 10 2" xfId="22720"/>
    <cellStyle name="Normal 2 4 2 2 11" xfId="16210"/>
    <cellStyle name="Normal 2 4 2 2 2" xfId="5107"/>
    <cellStyle name="Normal 2 4 2 2 2 2" xfId="6889"/>
    <cellStyle name="Normal 2 4 2 2 2 2 2" xfId="10645"/>
    <cellStyle name="Normal 2 4 2 2 2 2 2 2" xfId="18517"/>
    <cellStyle name="Normal 2 4 2 2 2 2 3" xfId="17136"/>
    <cellStyle name="Normal 2 4 2 2 2 3" xfId="10644"/>
    <cellStyle name="Normal 2 4 2 2 2 3 2" xfId="18516"/>
    <cellStyle name="Normal 2 4 2 2 2 4" xfId="14845"/>
    <cellStyle name="Normal 2 4 2 2 2 4 2" xfId="21749"/>
    <cellStyle name="Normal 2 4 2 2 2 5" xfId="16372"/>
    <cellStyle name="Normal 2 4 2 2 3" xfId="6021"/>
    <cellStyle name="Normal 2 4 2 2 3 2" xfId="7226"/>
    <cellStyle name="Normal 2 4 2 2 3 2 2" xfId="10647"/>
    <cellStyle name="Normal 2 4 2 2 3 2 2 2" xfId="18519"/>
    <cellStyle name="Normal 2 4 2 2 3 2 3" xfId="17473"/>
    <cellStyle name="Normal 2 4 2 2 3 3" xfId="10646"/>
    <cellStyle name="Normal 2 4 2 2 3 3 2" xfId="18518"/>
    <cellStyle name="Normal 2 4 2 2 3 4" xfId="15287"/>
    <cellStyle name="Normal 2 4 2 2 3 4 2" xfId="22086"/>
    <cellStyle name="Normal 2 4 2 2 3 5" xfId="16677"/>
    <cellStyle name="Normal 2 4 2 2 4" xfId="6292"/>
    <cellStyle name="Normal 2 4 2 2 4 2" xfId="10648"/>
    <cellStyle name="Normal 2 4 2 2 4 2 2" xfId="18520"/>
    <cellStyle name="Normal 2 4 2 2 4 3" xfId="16850"/>
    <cellStyle name="Normal 2 4 2 2 5" xfId="10643"/>
    <cellStyle name="Normal 2 4 2 2 5 2" xfId="18515"/>
    <cellStyle name="Normal 2 4 2 2 6" xfId="13692"/>
    <cellStyle name="Normal 2 4 2 2 6 2" xfId="21373"/>
    <cellStyle name="Normal 2 4 2 2 7" xfId="14513"/>
    <cellStyle name="Normal 2 4 2 2 7 2" xfId="21534"/>
    <cellStyle name="Normal 2 4 2 2 8" xfId="15561"/>
    <cellStyle name="Normal 2 4 2 2 8 2" xfId="22316"/>
    <cellStyle name="Normal 2 4 2 2 9" xfId="15761"/>
    <cellStyle name="Normal 2 4 2 2 9 2" xfId="22507"/>
    <cellStyle name="Normal 2 4 2 3" xfId="5106"/>
    <cellStyle name="Normal 2 4 2 3 2" xfId="6020"/>
    <cellStyle name="Normal 2 4 2 3 2 2" xfId="7225"/>
    <cellStyle name="Normal 2 4 2 3 2 2 2" xfId="10651"/>
    <cellStyle name="Normal 2 4 2 3 2 2 2 2" xfId="18523"/>
    <cellStyle name="Normal 2 4 2 3 2 2 3" xfId="17472"/>
    <cellStyle name="Normal 2 4 2 3 2 3" xfId="10650"/>
    <cellStyle name="Normal 2 4 2 3 2 3 2" xfId="18522"/>
    <cellStyle name="Normal 2 4 2 3 2 4" xfId="15286"/>
    <cellStyle name="Normal 2 4 2 3 2 4 2" xfId="22085"/>
    <cellStyle name="Normal 2 4 2 3 2 5" xfId="16676"/>
    <cellStyle name="Normal 2 4 2 3 3" xfId="6888"/>
    <cellStyle name="Normal 2 4 2 3 3 2" xfId="10652"/>
    <cellStyle name="Normal 2 4 2 3 3 2 2" xfId="18524"/>
    <cellStyle name="Normal 2 4 2 3 3 3" xfId="17135"/>
    <cellStyle name="Normal 2 4 2 3 4" xfId="10649"/>
    <cellStyle name="Normal 2 4 2 3 4 2" xfId="18521"/>
    <cellStyle name="Normal 2 4 2 3 5" xfId="14844"/>
    <cellStyle name="Normal 2 4 2 3 5 2" xfId="21748"/>
    <cellStyle name="Normal 2 4 2 3 6" xfId="15560"/>
    <cellStyle name="Normal 2 4 2 3 6 2" xfId="22315"/>
    <cellStyle name="Normal 2 4 2 3 7" xfId="15760"/>
    <cellStyle name="Normal 2 4 2 3 7 2" xfId="22506"/>
    <cellStyle name="Normal 2 4 2 3 8" xfId="15991"/>
    <cellStyle name="Normal 2 4 2 3 8 2" xfId="22719"/>
    <cellStyle name="Normal 2 4 2 3 9" xfId="16209"/>
    <cellStyle name="Normal 2 4 2 4" xfId="5452"/>
    <cellStyle name="Normal 2 4 2 4 2" xfId="15028"/>
    <cellStyle name="Normal 2 4 2 5" xfId="6291"/>
    <cellStyle name="Normal 2 4 2 5 2" xfId="10653"/>
    <cellStyle name="Normal 2 4 2 5 2 2" xfId="18525"/>
    <cellStyle name="Normal 2 4 2 5 3" xfId="14512"/>
    <cellStyle name="Normal 2 4 2 5 3 2" xfId="21533"/>
    <cellStyle name="Normal 2 4 2 5 4" xfId="16849"/>
    <cellStyle name="Normal 2 4 2 6" xfId="10642"/>
    <cellStyle name="Normal 2 4 2 6 2" xfId="18514"/>
    <cellStyle name="Normal 2 4 2 7" xfId="13691"/>
    <cellStyle name="Normal 2 4 2 7 2" xfId="21372"/>
    <cellStyle name="Normal 2 4 2 8" xfId="14360"/>
    <cellStyle name="Normal 2 4 3" xfId="2705"/>
    <cellStyle name="Normal 2 4 3 10" xfId="15993"/>
    <cellStyle name="Normal 2 4 3 10 2" xfId="22721"/>
    <cellStyle name="Normal 2 4 3 11" xfId="16211"/>
    <cellStyle name="Normal 2 4 3 2" xfId="5108"/>
    <cellStyle name="Normal 2 4 3 2 2" xfId="6890"/>
    <cellStyle name="Normal 2 4 3 2 2 2" xfId="10656"/>
    <cellStyle name="Normal 2 4 3 2 2 2 2" xfId="18528"/>
    <cellStyle name="Normal 2 4 3 2 2 3" xfId="17137"/>
    <cellStyle name="Normal 2 4 3 2 3" xfId="10655"/>
    <cellStyle name="Normal 2 4 3 2 3 2" xfId="18527"/>
    <cellStyle name="Normal 2 4 3 2 4" xfId="14846"/>
    <cellStyle name="Normal 2 4 3 2 4 2" xfId="21750"/>
    <cellStyle name="Normal 2 4 3 2 5" xfId="16373"/>
    <cellStyle name="Normal 2 4 3 3" xfId="6022"/>
    <cellStyle name="Normal 2 4 3 3 2" xfId="7440"/>
    <cellStyle name="Normal 2 4 3 3 2 2" xfId="10658"/>
    <cellStyle name="Normal 2 4 3 3 2 2 2" xfId="18530"/>
    <cellStyle name="Normal 2 4 3 3 3" xfId="7227"/>
    <cellStyle name="Normal 2 4 3 3 3 2" xfId="10659"/>
    <cellStyle name="Normal 2 4 3 3 3 2 2" xfId="18531"/>
    <cellStyle name="Normal 2 4 3 3 3 3" xfId="17474"/>
    <cellStyle name="Normal 2 4 3 3 4" xfId="10657"/>
    <cellStyle name="Normal 2 4 3 3 4 2" xfId="18529"/>
    <cellStyle name="Normal 2 4 3 3 5" xfId="15288"/>
    <cellStyle name="Normal 2 4 3 3 5 2" xfId="22087"/>
    <cellStyle name="Normal 2 4 3 3 6" xfId="16678"/>
    <cellStyle name="Normal 2 4 3 4" xfId="6293"/>
    <cellStyle name="Normal 2 4 3 4 2" xfId="10660"/>
    <cellStyle name="Normal 2 4 3 4 2 2" xfId="18532"/>
    <cellStyle name="Normal 2 4 3 4 3" xfId="16851"/>
    <cellStyle name="Normal 2 4 3 5" xfId="10654"/>
    <cellStyle name="Normal 2 4 3 5 2" xfId="18526"/>
    <cellStyle name="Normal 2 4 3 6" xfId="13693"/>
    <cellStyle name="Normal 2 4 3 6 2" xfId="21374"/>
    <cellStyle name="Normal 2 4 3 7" xfId="14514"/>
    <cellStyle name="Normal 2 4 3 7 2" xfId="21535"/>
    <cellStyle name="Normal 2 4 3 8" xfId="15562"/>
    <cellStyle name="Normal 2 4 3 8 2" xfId="22317"/>
    <cellStyle name="Normal 2 4 3 9" xfId="15762"/>
    <cellStyle name="Normal 2 4 3 9 2" xfId="22508"/>
    <cellStyle name="Normal 2 4 4" xfId="2706"/>
    <cellStyle name="Normal 2 4 4 2" xfId="7441"/>
    <cellStyle name="Normal 2 4 4 2 2" xfId="10661"/>
    <cellStyle name="Normal 2 4 4 2 2 2" xfId="18533"/>
    <cellStyle name="Normal 2 4 5" xfId="5105"/>
    <cellStyle name="Normal 2 4 5 10" xfId="16208"/>
    <cellStyle name="Normal 2 4 5 2" xfId="6019"/>
    <cellStyle name="Normal 2 4 5 2 2" xfId="7443"/>
    <cellStyle name="Normal 2 4 5 2 2 2" xfId="10664"/>
    <cellStyle name="Normal 2 4 5 2 2 2 2" xfId="18536"/>
    <cellStyle name="Normal 2 4 5 2 3" xfId="7224"/>
    <cellStyle name="Normal 2 4 5 2 3 2" xfId="10665"/>
    <cellStyle name="Normal 2 4 5 2 3 2 2" xfId="18537"/>
    <cellStyle name="Normal 2 4 5 2 3 3" xfId="17471"/>
    <cellStyle name="Normal 2 4 5 2 4" xfId="10663"/>
    <cellStyle name="Normal 2 4 5 2 4 2" xfId="18535"/>
    <cellStyle name="Normal 2 4 5 2 5" xfId="15285"/>
    <cellStyle name="Normal 2 4 5 2 5 2" xfId="22084"/>
    <cellStyle name="Normal 2 4 5 2 6" xfId="16675"/>
    <cellStyle name="Normal 2 4 5 3" xfId="7442"/>
    <cellStyle name="Normal 2 4 5 3 2" xfId="10666"/>
    <cellStyle name="Normal 2 4 5 3 2 2" xfId="18538"/>
    <cellStyle name="Normal 2 4 5 4" xfId="6887"/>
    <cellStyle name="Normal 2 4 5 4 2" xfId="10667"/>
    <cellStyle name="Normal 2 4 5 4 2 2" xfId="18539"/>
    <cellStyle name="Normal 2 4 5 4 3" xfId="17134"/>
    <cellStyle name="Normal 2 4 5 5" xfId="10662"/>
    <cellStyle name="Normal 2 4 5 5 2" xfId="18534"/>
    <cellStyle name="Normal 2 4 5 6" xfId="14843"/>
    <cellStyle name="Normal 2 4 5 6 2" xfId="21747"/>
    <cellStyle name="Normal 2 4 5 7" xfId="15559"/>
    <cellStyle name="Normal 2 4 5 7 2" xfId="22314"/>
    <cellStyle name="Normal 2 4 5 8" xfId="15759"/>
    <cellStyle name="Normal 2 4 5 8 2" xfId="22505"/>
    <cellStyle name="Normal 2 4 5 9" xfId="15990"/>
    <cellStyle name="Normal 2 4 5 9 2" xfId="22718"/>
    <cellStyle name="Normal 2 4 6" xfId="5244"/>
    <cellStyle name="Normal 2 4 6 2" xfId="7444"/>
    <cellStyle name="Normal 2 4 6 2 2" xfId="10668"/>
    <cellStyle name="Normal 2 4 6 2 2 2" xfId="18540"/>
    <cellStyle name="Normal 2 4 7" xfId="6290"/>
    <cellStyle name="Normal 2 4 7 2" xfId="10669"/>
    <cellStyle name="Normal 2 4 7 2 2" xfId="18541"/>
    <cellStyle name="Normal 2 4 7 3" xfId="14511"/>
    <cellStyle name="Normal 2 4 7 3 2" xfId="21532"/>
    <cellStyle name="Normal 2 4 7 4" xfId="16848"/>
    <cellStyle name="Normal 2 4 8" xfId="10641"/>
    <cellStyle name="Normal 2 4 8 2" xfId="18513"/>
    <cellStyle name="Normal 2 4 9" xfId="13690"/>
    <cellStyle name="Normal 2 4 9 2" xfId="21371"/>
    <cellStyle name="Normal 2 4_Sheet2" xfId="2707"/>
    <cellStyle name="Normal 2 40" xfId="4325"/>
    <cellStyle name="Normal 2 40 2" xfId="7445"/>
    <cellStyle name="Normal 2 40 2 2" xfId="10670"/>
    <cellStyle name="Normal 2 40 2 2 2" xfId="18542"/>
    <cellStyle name="Normal 2 41" xfId="4326"/>
    <cellStyle name="Normal 2 41 2" xfId="7446"/>
    <cellStyle name="Normal 2 41 2 2" xfId="10671"/>
    <cellStyle name="Normal 2 41 2 2 2" xfId="18543"/>
    <cellStyle name="Normal 2 42" xfId="4327"/>
    <cellStyle name="Normal 2 42 2" xfId="7447"/>
    <cellStyle name="Normal 2 42 2 2" xfId="10672"/>
    <cellStyle name="Normal 2 42 2 2 2" xfId="18544"/>
    <cellStyle name="Normal 2 43" xfId="4328"/>
    <cellStyle name="Normal 2 43 2" xfId="7448"/>
    <cellStyle name="Normal 2 43 2 2" xfId="10673"/>
    <cellStyle name="Normal 2 43 2 2 2" xfId="18545"/>
    <cellStyle name="Normal 2 44" xfId="4329"/>
    <cellStyle name="Normal 2 44 2" xfId="7449"/>
    <cellStyle name="Normal 2 44 2 2" xfId="10674"/>
    <cellStyle name="Normal 2 44 2 2 2" xfId="18546"/>
    <cellStyle name="Normal 2 45" xfId="4330"/>
    <cellStyle name="Normal 2 45 2" xfId="7450"/>
    <cellStyle name="Normal 2 45 2 2" xfId="10675"/>
    <cellStyle name="Normal 2 45 2 2 2" xfId="18547"/>
    <cellStyle name="Normal 2 46" xfId="4331"/>
    <cellStyle name="Normal 2 46 2" xfId="7451"/>
    <cellStyle name="Normal 2 46 2 2" xfId="10676"/>
    <cellStyle name="Normal 2 46 2 2 2" xfId="18548"/>
    <cellStyle name="Normal 2 47" xfId="4332"/>
    <cellStyle name="Normal 2 47 2" xfId="7452"/>
    <cellStyle name="Normal 2 47 2 2" xfId="10677"/>
    <cellStyle name="Normal 2 47 2 2 2" xfId="18549"/>
    <cellStyle name="Normal 2 48" xfId="4333"/>
    <cellStyle name="Normal 2 48 2" xfId="7453"/>
    <cellStyle name="Normal 2 48 2 2" xfId="10678"/>
    <cellStyle name="Normal 2 48 2 2 2" xfId="18550"/>
    <cellStyle name="Normal 2 49" xfId="4334"/>
    <cellStyle name="Normal 2 49 2" xfId="7454"/>
    <cellStyle name="Normal 2 49 2 2" xfId="10679"/>
    <cellStyle name="Normal 2 49 2 2 2" xfId="18551"/>
    <cellStyle name="Normal 2 5" xfId="2708"/>
    <cellStyle name="Normal 2 5 2" xfId="2709"/>
    <cellStyle name="Normal 2 5 2 10" xfId="15764"/>
    <cellStyle name="Normal 2 5 2 10 2" xfId="22510"/>
    <cellStyle name="Normal 2 5 2 11" xfId="15995"/>
    <cellStyle name="Normal 2 5 2 11 2" xfId="22723"/>
    <cellStyle name="Normal 2 5 2 12" xfId="16213"/>
    <cellStyle name="Normal 2 5 2 2" xfId="2710"/>
    <cellStyle name="Normal 2 5 2 2 10" xfId="15996"/>
    <cellStyle name="Normal 2 5 2 2 10 2" xfId="22724"/>
    <cellStyle name="Normal 2 5 2 2 11" xfId="16214"/>
    <cellStyle name="Normal 2 5 2 2 2" xfId="5111"/>
    <cellStyle name="Normal 2 5 2 2 2 2" xfId="7458"/>
    <cellStyle name="Normal 2 5 2 2 2 2 2" xfId="10684"/>
    <cellStyle name="Normal 2 5 2 2 2 2 2 2" xfId="18556"/>
    <cellStyle name="Normal 2 5 2 2 2 3" xfId="6893"/>
    <cellStyle name="Normal 2 5 2 2 2 3 2" xfId="10685"/>
    <cellStyle name="Normal 2 5 2 2 2 3 2 2" xfId="18557"/>
    <cellStyle name="Normal 2 5 2 2 2 3 3" xfId="17140"/>
    <cellStyle name="Normal 2 5 2 2 2 4" xfId="10683"/>
    <cellStyle name="Normal 2 5 2 2 2 4 2" xfId="18555"/>
    <cellStyle name="Normal 2 5 2 2 2 5" xfId="14849"/>
    <cellStyle name="Normal 2 5 2 2 2 5 2" xfId="21753"/>
    <cellStyle name="Normal 2 5 2 2 2 6" xfId="16375"/>
    <cellStyle name="Normal 2 5 2 2 3" xfId="6025"/>
    <cellStyle name="Normal 2 5 2 2 3 2" xfId="7459"/>
    <cellStyle name="Normal 2 5 2 2 3 2 2" xfId="10687"/>
    <cellStyle name="Normal 2 5 2 2 3 2 2 2" xfId="18559"/>
    <cellStyle name="Normal 2 5 2 2 3 3" xfId="7230"/>
    <cellStyle name="Normal 2 5 2 2 3 3 2" xfId="10688"/>
    <cellStyle name="Normal 2 5 2 2 3 3 2 2" xfId="18560"/>
    <cellStyle name="Normal 2 5 2 2 3 3 3" xfId="17477"/>
    <cellStyle name="Normal 2 5 2 2 3 4" xfId="10686"/>
    <cellStyle name="Normal 2 5 2 2 3 4 2" xfId="18558"/>
    <cellStyle name="Normal 2 5 2 2 3 5" xfId="15291"/>
    <cellStyle name="Normal 2 5 2 2 3 5 2" xfId="22090"/>
    <cellStyle name="Normal 2 5 2 2 3 6" xfId="16681"/>
    <cellStyle name="Normal 2 5 2 2 4" xfId="6296"/>
    <cellStyle name="Normal 2 5 2 2 4 2" xfId="7457"/>
    <cellStyle name="Normal 2 5 2 2 4 2 2" xfId="10690"/>
    <cellStyle name="Normal 2 5 2 2 4 2 2 2" xfId="18562"/>
    <cellStyle name="Normal 2 5 2 2 4 3" xfId="10689"/>
    <cellStyle name="Normal 2 5 2 2 4 3 2" xfId="18561"/>
    <cellStyle name="Normal 2 5 2 2 4 4" xfId="16854"/>
    <cellStyle name="Normal 2 5 2 2 5" xfId="10682"/>
    <cellStyle name="Normal 2 5 2 2 5 2" xfId="18554"/>
    <cellStyle name="Normal 2 5 2 2 6" xfId="13696"/>
    <cellStyle name="Normal 2 5 2 2 6 2" xfId="21377"/>
    <cellStyle name="Normal 2 5 2 2 7" xfId="14517"/>
    <cellStyle name="Normal 2 5 2 2 7 2" xfId="21538"/>
    <cellStyle name="Normal 2 5 2 2 8" xfId="15565"/>
    <cellStyle name="Normal 2 5 2 2 8 2" xfId="22320"/>
    <cellStyle name="Normal 2 5 2 2 9" xfId="15765"/>
    <cellStyle name="Normal 2 5 2 2 9 2" xfId="22511"/>
    <cellStyle name="Normal 2 5 2 3" xfId="5110"/>
    <cellStyle name="Normal 2 5 2 3 2" xfId="7460"/>
    <cellStyle name="Normal 2 5 2 3 2 2" xfId="10692"/>
    <cellStyle name="Normal 2 5 2 3 2 2 2" xfId="18564"/>
    <cellStyle name="Normal 2 5 2 3 3" xfId="6892"/>
    <cellStyle name="Normal 2 5 2 3 3 2" xfId="10693"/>
    <cellStyle name="Normal 2 5 2 3 3 2 2" xfId="18565"/>
    <cellStyle name="Normal 2 5 2 3 3 3" xfId="17139"/>
    <cellStyle name="Normal 2 5 2 3 4" xfId="10691"/>
    <cellStyle name="Normal 2 5 2 3 4 2" xfId="18563"/>
    <cellStyle name="Normal 2 5 2 3 5" xfId="14848"/>
    <cellStyle name="Normal 2 5 2 3 5 2" xfId="21752"/>
    <cellStyle name="Normal 2 5 2 3 6" xfId="16374"/>
    <cellStyle name="Normal 2 5 2 4" xfId="6024"/>
    <cellStyle name="Normal 2 5 2 4 2" xfId="7461"/>
    <cellStyle name="Normal 2 5 2 4 2 2" xfId="10695"/>
    <cellStyle name="Normal 2 5 2 4 2 2 2" xfId="18567"/>
    <cellStyle name="Normal 2 5 2 4 3" xfId="7229"/>
    <cellStyle name="Normal 2 5 2 4 3 2" xfId="10696"/>
    <cellStyle name="Normal 2 5 2 4 3 2 2" xfId="18568"/>
    <cellStyle name="Normal 2 5 2 4 3 3" xfId="17476"/>
    <cellStyle name="Normal 2 5 2 4 4" xfId="10694"/>
    <cellStyle name="Normal 2 5 2 4 4 2" xfId="18566"/>
    <cellStyle name="Normal 2 5 2 4 5" xfId="15290"/>
    <cellStyle name="Normal 2 5 2 4 5 2" xfId="22089"/>
    <cellStyle name="Normal 2 5 2 4 6" xfId="16680"/>
    <cellStyle name="Normal 2 5 2 5" xfId="6295"/>
    <cellStyle name="Normal 2 5 2 5 2" xfId="7456"/>
    <cellStyle name="Normal 2 5 2 5 2 2" xfId="10698"/>
    <cellStyle name="Normal 2 5 2 5 2 2 2" xfId="18570"/>
    <cellStyle name="Normal 2 5 2 5 3" xfId="10697"/>
    <cellStyle name="Normal 2 5 2 5 3 2" xfId="18569"/>
    <cellStyle name="Normal 2 5 2 5 4" xfId="16853"/>
    <cellStyle name="Normal 2 5 2 6" xfId="10681"/>
    <cellStyle name="Normal 2 5 2 6 2" xfId="18553"/>
    <cellStyle name="Normal 2 5 2 7" xfId="13695"/>
    <cellStyle name="Normal 2 5 2 7 2" xfId="21376"/>
    <cellStyle name="Normal 2 5 2 8" xfId="14516"/>
    <cellStyle name="Normal 2 5 2 8 2" xfId="21537"/>
    <cellStyle name="Normal 2 5 2 9" xfId="15564"/>
    <cellStyle name="Normal 2 5 2 9 2" xfId="22319"/>
    <cellStyle name="Normal 2 5 3" xfId="2711"/>
    <cellStyle name="Normal 2 5 3 10" xfId="15997"/>
    <cellStyle name="Normal 2 5 3 10 2" xfId="22725"/>
    <cellStyle name="Normal 2 5 3 11" xfId="16215"/>
    <cellStyle name="Normal 2 5 3 2" xfId="5112"/>
    <cellStyle name="Normal 2 5 3 2 2" xfId="7463"/>
    <cellStyle name="Normal 2 5 3 2 2 2" xfId="10701"/>
    <cellStyle name="Normal 2 5 3 2 2 2 2" xfId="18573"/>
    <cellStyle name="Normal 2 5 3 2 3" xfId="6894"/>
    <cellStyle name="Normal 2 5 3 2 3 2" xfId="10702"/>
    <cellStyle name="Normal 2 5 3 2 3 2 2" xfId="18574"/>
    <cellStyle name="Normal 2 5 3 2 3 3" xfId="17141"/>
    <cellStyle name="Normal 2 5 3 2 4" xfId="10700"/>
    <cellStyle name="Normal 2 5 3 2 4 2" xfId="18572"/>
    <cellStyle name="Normal 2 5 3 2 5" xfId="14850"/>
    <cellStyle name="Normal 2 5 3 2 5 2" xfId="21754"/>
    <cellStyle name="Normal 2 5 3 2 6" xfId="16376"/>
    <cellStyle name="Normal 2 5 3 3" xfId="6026"/>
    <cellStyle name="Normal 2 5 3 3 2" xfId="7464"/>
    <cellStyle name="Normal 2 5 3 3 2 2" xfId="10704"/>
    <cellStyle name="Normal 2 5 3 3 2 2 2" xfId="18576"/>
    <cellStyle name="Normal 2 5 3 3 3" xfId="7231"/>
    <cellStyle name="Normal 2 5 3 3 3 2" xfId="10705"/>
    <cellStyle name="Normal 2 5 3 3 3 2 2" xfId="18577"/>
    <cellStyle name="Normal 2 5 3 3 3 3" xfId="17478"/>
    <cellStyle name="Normal 2 5 3 3 4" xfId="10703"/>
    <cellStyle name="Normal 2 5 3 3 4 2" xfId="18575"/>
    <cellStyle name="Normal 2 5 3 3 5" xfId="15292"/>
    <cellStyle name="Normal 2 5 3 3 5 2" xfId="22091"/>
    <cellStyle name="Normal 2 5 3 3 6" xfId="16682"/>
    <cellStyle name="Normal 2 5 3 4" xfId="6297"/>
    <cellStyle name="Normal 2 5 3 4 2" xfId="7462"/>
    <cellStyle name="Normal 2 5 3 4 2 2" xfId="10707"/>
    <cellStyle name="Normal 2 5 3 4 2 2 2" xfId="18579"/>
    <cellStyle name="Normal 2 5 3 4 3" xfId="10706"/>
    <cellStyle name="Normal 2 5 3 4 3 2" xfId="18578"/>
    <cellStyle name="Normal 2 5 3 4 4" xfId="16855"/>
    <cellStyle name="Normal 2 5 3 5" xfId="10699"/>
    <cellStyle name="Normal 2 5 3 5 2" xfId="18571"/>
    <cellStyle name="Normal 2 5 3 6" xfId="13697"/>
    <cellStyle name="Normal 2 5 3 6 2" xfId="21378"/>
    <cellStyle name="Normal 2 5 3 7" xfId="14518"/>
    <cellStyle name="Normal 2 5 3 7 2" xfId="21539"/>
    <cellStyle name="Normal 2 5 3 8" xfId="15566"/>
    <cellStyle name="Normal 2 5 3 8 2" xfId="22321"/>
    <cellStyle name="Normal 2 5 3 9" xfId="15766"/>
    <cellStyle name="Normal 2 5 3 9 2" xfId="22512"/>
    <cellStyle name="Normal 2 5 4" xfId="5109"/>
    <cellStyle name="Normal 2 5 4 10" xfId="16212"/>
    <cellStyle name="Normal 2 5 4 2" xfId="6023"/>
    <cellStyle name="Normal 2 5 4 2 2" xfId="7466"/>
    <cellStyle name="Normal 2 5 4 2 2 2" xfId="10710"/>
    <cellStyle name="Normal 2 5 4 2 2 2 2" xfId="18582"/>
    <cellStyle name="Normal 2 5 4 2 3" xfId="7228"/>
    <cellStyle name="Normal 2 5 4 2 3 2" xfId="10711"/>
    <cellStyle name="Normal 2 5 4 2 3 2 2" xfId="18583"/>
    <cellStyle name="Normal 2 5 4 2 3 3" xfId="17475"/>
    <cellStyle name="Normal 2 5 4 2 4" xfId="10709"/>
    <cellStyle name="Normal 2 5 4 2 4 2" xfId="18581"/>
    <cellStyle name="Normal 2 5 4 2 5" xfId="15289"/>
    <cellStyle name="Normal 2 5 4 2 5 2" xfId="22088"/>
    <cellStyle name="Normal 2 5 4 2 6" xfId="16679"/>
    <cellStyle name="Normal 2 5 4 3" xfId="7465"/>
    <cellStyle name="Normal 2 5 4 3 2" xfId="10712"/>
    <cellStyle name="Normal 2 5 4 3 2 2" xfId="18584"/>
    <cellStyle name="Normal 2 5 4 4" xfId="6891"/>
    <cellStyle name="Normal 2 5 4 4 2" xfId="10713"/>
    <cellStyle name="Normal 2 5 4 4 2 2" xfId="18585"/>
    <cellStyle name="Normal 2 5 4 4 3" xfId="17138"/>
    <cellStyle name="Normal 2 5 4 5" xfId="10708"/>
    <cellStyle name="Normal 2 5 4 5 2" xfId="18580"/>
    <cellStyle name="Normal 2 5 4 6" xfId="14847"/>
    <cellStyle name="Normal 2 5 4 6 2" xfId="21751"/>
    <cellStyle name="Normal 2 5 4 7" xfId="15563"/>
    <cellStyle name="Normal 2 5 4 7 2" xfId="22318"/>
    <cellStyle name="Normal 2 5 4 8" xfId="15763"/>
    <cellStyle name="Normal 2 5 4 8 2" xfId="22509"/>
    <cellStyle name="Normal 2 5 4 9" xfId="15994"/>
    <cellStyle name="Normal 2 5 4 9 2" xfId="22722"/>
    <cellStyle name="Normal 2 5 5" xfId="5245"/>
    <cellStyle name="Normal 2 5 5 2" xfId="7467"/>
    <cellStyle name="Normal 2 5 5 2 2" xfId="10714"/>
    <cellStyle name="Normal 2 5 5 2 2 2" xfId="18586"/>
    <cellStyle name="Normal 2 5 6" xfId="6294"/>
    <cellStyle name="Normal 2 5 6 2" xfId="10715"/>
    <cellStyle name="Normal 2 5 6 2 2" xfId="18587"/>
    <cellStyle name="Normal 2 5 6 3" xfId="14515"/>
    <cellStyle name="Normal 2 5 6 3 2" xfId="21536"/>
    <cellStyle name="Normal 2 5 6 4" xfId="16852"/>
    <cellStyle name="Normal 2 5 7" xfId="7455"/>
    <cellStyle name="Normal 2 5 7 2" xfId="10716"/>
    <cellStyle name="Normal 2 5 7 2 2" xfId="18588"/>
    <cellStyle name="Normal 2 5 8" xfId="10680"/>
    <cellStyle name="Normal 2 5 8 2" xfId="18552"/>
    <cellStyle name="Normal 2 5 9" xfId="13694"/>
    <cellStyle name="Normal 2 5 9 2" xfId="21375"/>
    <cellStyle name="Normal 2 5_Sheet2" xfId="2712"/>
    <cellStyle name="Normal 2 50" xfId="4335"/>
    <cellStyle name="Normal 2 50 2" xfId="7468"/>
    <cellStyle name="Normal 2 50 2 2" xfId="10717"/>
    <cellStyle name="Normal 2 50 2 2 2" xfId="18589"/>
    <cellStyle name="Normal 2 51" xfId="4336"/>
    <cellStyle name="Normal 2 51 2" xfId="7469"/>
    <cellStyle name="Normal 2 51 2 2" xfId="10718"/>
    <cellStyle name="Normal 2 51 2 2 2" xfId="18590"/>
    <cellStyle name="Normal 2 52" xfId="4337"/>
    <cellStyle name="Normal 2 52 2" xfId="7470"/>
    <cellStyle name="Normal 2 52 2 2" xfId="10719"/>
    <cellStyle name="Normal 2 52 2 2 2" xfId="18591"/>
    <cellStyle name="Normal 2 53" xfId="4338"/>
    <cellStyle name="Normal 2 53 2" xfId="7471"/>
    <cellStyle name="Normal 2 53 2 2" xfId="10720"/>
    <cellStyle name="Normal 2 53 2 2 2" xfId="18592"/>
    <cellStyle name="Normal 2 54" xfId="4339"/>
    <cellStyle name="Normal 2 54 2" xfId="7472"/>
    <cellStyle name="Normal 2 54 2 2" xfId="10721"/>
    <cellStyle name="Normal 2 54 2 2 2" xfId="18593"/>
    <cellStyle name="Normal 2 55" xfId="4340"/>
    <cellStyle name="Normal 2 55 2" xfId="7473"/>
    <cellStyle name="Normal 2 55 2 2" xfId="10722"/>
    <cellStyle name="Normal 2 55 2 2 2" xfId="18594"/>
    <cellStyle name="Normal 2 56" xfId="4341"/>
    <cellStyle name="Normal 2 56 2" xfId="7474"/>
    <cellStyle name="Normal 2 56 2 2" xfId="10723"/>
    <cellStyle name="Normal 2 56 2 2 2" xfId="18595"/>
    <cellStyle name="Normal 2 57" xfId="4342"/>
    <cellStyle name="Normal 2 57 2" xfId="7475"/>
    <cellStyle name="Normal 2 57 2 2" xfId="10724"/>
    <cellStyle name="Normal 2 57 2 2 2" xfId="18596"/>
    <cellStyle name="Normal 2 58" xfId="4343"/>
    <cellStyle name="Normal 2 58 2" xfId="7476"/>
    <cellStyle name="Normal 2 58 2 2" xfId="10725"/>
    <cellStyle name="Normal 2 58 2 2 2" xfId="18597"/>
    <cellStyle name="Normal 2 59" xfId="4344"/>
    <cellStyle name="Normal 2 59 2" xfId="7477"/>
    <cellStyle name="Normal 2 59 2 2" xfId="10726"/>
    <cellStyle name="Normal 2 59 2 2 2" xfId="18598"/>
    <cellStyle name="Normal 2 6" xfId="2713"/>
    <cellStyle name="Normal 2 6 2" xfId="4345"/>
    <cellStyle name="Normal 2 6 2 2" xfId="7479"/>
    <cellStyle name="Normal 2 6 2 2 2" xfId="10727"/>
    <cellStyle name="Normal 2 6 2 2 2 2" xfId="18599"/>
    <cellStyle name="Normal 2 6 3" xfId="5241"/>
    <cellStyle name="Normal 2 6 3 2" xfId="7480"/>
    <cellStyle name="Normal 2 6 3 2 2" xfId="10728"/>
    <cellStyle name="Normal 2 6 3 2 2 2" xfId="18600"/>
    <cellStyle name="Normal 2 6 4" xfId="7478"/>
    <cellStyle name="Normal 2 6 4 2" xfId="10729"/>
    <cellStyle name="Normal 2 6 4 2 2" xfId="18601"/>
    <cellStyle name="Normal 2 60" xfId="4346"/>
    <cellStyle name="Normal 2 60 2" xfId="7481"/>
    <cellStyle name="Normal 2 60 2 2" xfId="10730"/>
    <cellStyle name="Normal 2 60 2 2 2" xfId="18602"/>
    <cellStyle name="Normal 2 61" xfId="4347"/>
    <cellStyle name="Normal 2 61 2" xfId="7482"/>
    <cellStyle name="Normal 2 61 2 2" xfId="10731"/>
    <cellStyle name="Normal 2 61 2 2 2" xfId="18603"/>
    <cellStyle name="Normal 2 62" xfId="4348"/>
    <cellStyle name="Normal 2 62 2" xfId="7483"/>
    <cellStyle name="Normal 2 62 2 2" xfId="10732"/>
    <cellStyle name="Normal 2 62 2 2 2" xfId="18604"/>
    <cellStyle name="Normal 2 63" xfId="4349"/>
    <cellStyle name="Normal 2 63 2" xfId="7484"/>
    <cellStyle name="Normal 2 63 2 2" xfId="10733"/>
    <cellStyle name="Normal 2 63 2 2 2" xfId="18605"/>
    <cellStyle name="Normal 2 64" xfId="4350"/>
    <cellStyle name="Normal 2 64 2" xfId="7485"/>
    <cellStyle name="Normal 2 64 2 2" xfId="10734"/>
    <cellStyle name="Normal 2 64 2 2 2" xfId="18606"/>
    <cellStyle name="Normal 2 65" xfId="4351"/>
    <cellStyle name="Normal 2 65 2" xfId="4352"/>
    <cellStyle name="Normal 2 65 2 2" xfId="7487"/>
    <cellStyle name="Normal 2 65 2 2 2" xfId="10735"/>
    <cellStyle name="Normal 2 65 2 2 2 2" xfId="18607"/>
    <cellStyle name="Normal 2 65 3" xfId="5627"/>
    <cellStyle name="Normal 2 65 3 2" xfId="7488"/>
    <cellStyle name="Normal 2 65 3 2 2" xfId="10736"/>
    <cellStyle name="Normal 2 65 3 2 2 2" xfId="18608"/>
    <cellStyle name="Normal 2 65 4" xfId="7486"/>
    <cellStyle name="Normal 2 65 4 2" xfId="10737"/>
    <cellStyle name="Normal 2 65 4 2 2" xfId="18609"/>
    <cellStyle name="Normal 2 66" xfId="6279"/>
    <cellStyle name="Normal 2 66 2" xfId="10738"/>
    <cellStyle name="Normal 2 66 2 2" xfId="18610"/>
    <cellStyle name="Normal 2 66 3" xfId="16837"/>
    <cellStyle name="Normal 2 67" xfId="6390"/>
    <cellStyle name="Normal 2 67 2" xfId="10739"/>
    <cellStyle name="Normal 2 68" xfId="13462"/>
    <cellStyle name="Normal 2 69" xfId="14024"/>
    <cellStyle name="Normal 2 7" xfId="2714"/>
    <cellStyle name="Normal 2 7 2" xfId="2715"/>
    <cellStyle name="Normal 2 7 2 2" xfId="5114"/>
    <cellStyle name="Normal 2 7 2 2 10" xfId="16217"/>
    <cellStyle name="Normal 2 7 2 2 2" xfId="6028"/>
    <cellStyle name="Normal 2 7 2 2 2 2" xfId="7492"/>
    <cellStyle name="Normal 2 7 2 2 2 2 2" xfId="10744"/>
    <cellStyle name="Normal 2 7 2 2 2 2 2 2" xfId="18615"/>
    <cellStyle name="Normal 2 7 2 2 2 3" xfId="7233"/>
    <cellStyle name="Normal 2 7 2 2 2 3 2" xfId="10745"/>
    <cellStyle name="Normal 2 7 2 2 2 3 2 2" xfId="18616"/>
    <cellStyle name="Normal 2 7 2 2 2 3 3" xfId="17480"/>
    <cellStyle name="Normal 2 7 2 2 2 4" xfId="10743"/>
    <cellStyle name="Normal 2 7 2 2 2 4 2" xfId="18614"/>
    <cellStyle name="Normal 2 7 2 2 2 5" xfId="15294"/>
    <cellStyle name="Normal 2 7 2 2 2 5 2" xfId="22093"/>
    <cellStyle name="Normal 2 7 2 2 2 6" xfId="16684"/>
    <cellStyle name="Normal 2 7 2 2 3" xfId="7491"/>
    <cellStyle name="Normal 2 7 2 2 3 2" xfId="10746"/>
    <cellStyle name="Normal 2 7 2 2 3 2 2" xfId="18617"/>
    <cellStyle name="Normal 2 7 2 2 4" xfId="6896"/>
    <cellStyle name="Normal 2 7 2 2 4 2" xfId="10747"/>
    <cellStyle name="Normal 2 7 2 2 4 2 2" xfId="18618"/>
    <cellStyle name="Normal 2 7 2 2 4 3" xfId="17143"/>
    <cellStyle name="Normal 2 7 2 2 5" xfId="10742"/>
    <cellStyle name="Normal 2 7 2 2 5 2" xfId="18613"/>
    <cellStyle name="Normal 2 7 2 2 6" xfId="14852"/>
    <cellStyle name="Normal 2 7 2 2 6 2" xfId="21756"/>
    <cellStyle name="Normal 2 7 2 2 7" xfId="15568"/>
    <cellStyle name="Normal 2 7 2 2 7 2" xfId="22323"/>
    <cellStyle name="Normal 2 7 2 2 8" xfId="15768"/>
    <cellStyle name="Normal 2 7 2 2 8 2" xfId="22514"/>
    <cellStyle name="Normal 2 7 2 2 9" xfId="15999"/>
    <cellStyle name="Normal 2 7 2 2 9 2" xfId="22727"/>
    <cellStyle name="Normal 2 7 2 3" xfId="5453"/>
    <cellStyle name="Normal 2 7 2 3 2" xfId="7493"/>
    <cellStyle name="Normal 2 7 2 3 2 2" xfId="10748"/>
    <cellStyle name="Normal 2 7 2 3 2 2 2" xfId="18619"/>
    <cellStyle name="Normal 2 7 2 4" xfId="6299"/>
    <cellStyle name="Normal 2 7 2 4 2" xfId="10749"/>
    <cellStyle name="Normal 2 7 2 4 2 2" xfId="18620"/>
    <cellStyle name="Normal 2 7 2 4 3" xfId="14520"/>
    <cellStyle name="Normal 2 7 2 4 3 2" xfId="21541"/>
    <cellStyle name="Normal 2 7 2 4 4" xfId="16857"/>
    <cellStyle name="Normal 2 7 2 5" xfId="7490"/>
    <cellStyle name="Normal 2 7 2 5 2" xfId="10750"/>
    <cellStyle name="Normal 2 7 2 5 2 2" xfId="18621"/>
    <cellStyle name="Normal 2 7 2 6" xfId="10741"/>
    <cellStyle name="Normal 2 7 2 6 2" xfId="18612"/>
    <cellStyle name="Normal 2 7 2 7" xfId="13699"/>
    <cellStyle name="Normal 2 7 2 7 2" xfId="21380"/>
    <cellStyle name="Normal 2 7 3" xfId="5113"/>
    <cellStyle name="Normal 2 7 3 10" xfId="16216"/>
    <cellStyle name="Normal 2 7 3 2" xfId="6027"/>
    <cellStyle name="Normal 2 7 3 2 2" xfId="7495"/>
    <cellStyle name="Normal 2 7 3 2 2 2" xfId="10753"/>
    <cellStyle name="Normal 2 7 3 2 2 2 2" xfId="18624"/>
    <cellStyle name="Normal 2 7 3 2 3" xfId="7232"/>
    <cellStyle name="Normal 2 7 3 2 3 2" xfId="10754"/>
    <cellStyle name="Normal 2 7 3 2 3 2 2" xfId="18625"/>
    <cellStyle name="Normal 2 7 3 2 3 3" xfId="17479"/>
    <cellStyle name="Normal 2 7 3 2 4" xfId="10752"/>
    <cellStyle name="Normal 2 7 3 2 4 2" xfId="18623"/>
    <cellStyle name="Normal 2 7 3 2 5" xfId="15293"/>
    <cellStyle name="Normal 2 7 3 2 5 2" xfId="22092"/>
    <cellStyle name="Normal 2 7 3 2 6" xfId="16683"/>
    <cellStyle name="Normal 2 7 3 3" xfId="7494"/>
    <cellStyle name="Normal 2 7 3 3 2" xfId="10755"/>
    <cellStyle name="Normal 2 7 3 3 2 2" xfId="18626"/>
    <cellStyle name="Normal 2 7 3 4" xfId="6895"/>
    <cellStyle name="Normal 2 7 3 4 2" xfId="10756"/>
    <cellStyle name="Normal 2 7 3 4 2 2" xfId="18627"/>
    <cellStyle name="Normal 2 7 3 4 3" xfId="17142"/>
    <cellStyle name="Normal 2 7 3 5" xfId="10751"/>
    <cellStyle name="Normal 2 7 3 5 2" xfId="18622"/>
    <cellStyle name="Normal 2 7 3 6" xfId="14851"/>
    <cellStyle name="Normal 2 7 3 6 2" xfId="21755"/>
    <cellStyle name="Normal 2 7 3 7" xfId="15567"/>
    <cellStyle name="Normal 2 7 3 7 2" xfId="22322"/>
    <cellStyle name="Normal 2 7 3 8" xfId="15767"/>
    <cellStyle name="Normal 2 7 3 8 2" xfId="22513"/>
    <cellStyle name="Normal 2 7 3 9" xfId="15998"/>
    <cellStyle name="Normal 2 7 3 9 2" xfId="22726"/>
    <cellStyle name="Normal 2 7 4" xfId="5204"/>
    <cellStyle name="Normal 2 7 4 2" xfId="7496"/>
    <cellStyle name="Normal 2 7 4 2 2" xfId="10757"/>
    <cellStyle name="Normal 2 7 4 2 2 2" xfId="18628"/>
    <cellStyle name="Normal 2 7 5" xfId="6298"/>
    <cellStyle name="Normal 2 7 5 2" xfId="10758"/>
    <cellStyle name="Normal 2 7 5 2 2" xfId="18629"/>
    <cellStyle name="Normal 2 7 5 3" xfId="14519"/>
    <cellStyle name="Normal 2 7 5 3 2" xfId="21540"/>
    <cellStyle name="Normal 2 7 5 4" xfId="16856"/>
    <cellStyle name="Normal 2 7 6" xfId="7489"/>
    <cellStyle name="Normal 2 7 6 2" xfId="10759"/>
    <cellStyle name="Normal 2 7 6 2 2" xfId="18630"/>
    <cellStyle name="Normal 2 7 7" xfId="10740"/>
    <cellStyle name="Normal 2 7 7 2" xfId="18611"/>
    <cellStyle name="Normal 2 7 8" xfId="13698"/>
    <cellStyle name="Normal 2 7 8 2" xfId="21379"/>
    <cellStyle name="Normal 2 70" xfId="14626"/>
    <cellStyle name="Normal 2 71" xfId="14429"/>
    <cellStyle name="Normal 2 72" xfId="15389"/>
    <cellStyle name="Normal 2 73" xfId="22810"/>
    <cellStyle name="Normal 2 74" xfId="22821"/>
    <cellStyle name="Normal 2 75" xfId="22822"/>
    <cellStyle name="Normal 2 8" xfId="2716"/>
    <cellStyle name="Normal 2 8 2" xfId="2717"/>
    <cellStyle name="Normal 2 8 2 2" xfId="7498"/>
    <cellStyle name="Normal 2 8 2 2 2" xfId="10760"/>
    <cellStyle name="Normal 2 8 2 2 2 2" xfId="18631"/>
    <cellStyle name="Normal 2 8 3" xfId="4353"/>
    <cellStyle name="Normal 2 8 3 2" xfId="7499"/>
    <cellStyle name="Normal 2 8 3 2 2" xfId="10761"/>
    <cellStyle name="Normal 2 8 3 2 2 2" xfId="18632"/>
    <cellStyle name="Normal 2 8 3 3" xfId="14737"/>
    <cellStyle name="Normal 2 8 4" xfId="5454"/>
    <cellStyle name="Normal 2 8 4 2" xfId="7500"/>
    <cellStyle name="Normal 2 8 4 2 2" xfId="10762"/>
    <cellStyle name="Normal 2 8 4 2 2 2" xfId="18633"/>
    <cellStyle name="Normal 2 8 5" xfId="6574"/>
    <cellStyle name="Normal 2 8 5 2" xfId="14521"/>
    <cellStyle name="Normal 2 8 6" xfId="7497"/>
    <cellStyle name="Normal 2 8 6 2" xfId="10763"/>
    <cellStyle name="Normal 2 8 6 2 2" xfId="18634"/>
    <cellStyle name="Normal 2 8 7" xfId="13700"/>
    <cellStyle name="Normal 2 9" xfId="2718"/>
    <cellStyle name="Normal 2 9 2" xfId="2719"/>
    <cellStyle name="Normal 2 9 2 2" xfId="7502"/>
    <cellStyle name="Normal 2 9 2 2 2" xfId="10764"/>
    <cellStyle name="Normal 2 9 2 2 2 2" xfId="18635"/>
    <cellStyle name="Normal 2 9 3" xfId="4354"/>
    <cellStyle name="Normal 2 9 3 2" xfId="7503"/>
    <cellStyle name="Normal 2 9 3 2 2" xfId="10765"/>
    <cellStyle name="Normal 2 9 3 2 2 2" xfId="18636"/>
    <cellStyle name="Normal 2 9 4" xfId="5455"/>
    <cellStyle name="Normal 2 9 4 2" xfId="7504"/>
    <cellStyle name="Normal 2 9 4 2 2" xfId="10766"/>
    <cellStyle name="Normal 2 9 4 2 2 2" xfId="18637"/>
    <cellStyle name="Normal 2 9 5" xfId="6575"/>
    <cellStyle name="Normal 2 9 6" xfId="7501"/>
    <cellStyle name="Normal 2 9 6 2" xfId="10767"/>
    <cellStyle name="Normal 2 9 6 2 2" xfId="18638"/>
    <cellStyle name="Normal 2_2011 Q2 CAM True Up - comparison btwn 12Sep11 and 21June11" xfId="4355"/>
    <cellStyle name="Normal 20" xfId="2720"/>
    <cellStyle name="Normal 20 10" xfId="4356"/>
    <cellStyle name="Normal 20 10 2" xfId="7506"/>
    <cellStyle name="Normal 20 10 2 2" xfId="10768"/>
    <cellStyle name="Normal 20 10 2 2 2" xfId="18639"/>
    <cellStyle name="Normal 20 11" xfId="4357"/>
    <cellStyle name="Normal 20 11 2" xfId="7507"/>
    <cellStyle name="Normal 20 11 2 2" xfId="10769"/>
    <cellStyle name="Normal 20 11 2 2 2" xfId="18640"/>
    <cellStyle name="Normal 20 12" xfId="4358"/>
    <cellStyle name="Normal 20 12 2" xfId="7508"/>
    <cellStyle name="Normal 20 12 2 2" xfId="10770"/>
    <cellStyle name="Normal 20 12 2 2 2" xfId="18641"/>
    <cellStyle name="Normal 20 13" xfId="4359"/>
    <cellStyle name="Normal 20 13 2" xfId="7509"/>
    <cellStyle name="Normal 20 13 2 2" xfId="10771"/>
    <cellStyle name="Normal 20 13 2 2 2" xfId="18642"/>
    <cellStyle name="Normal 20 14" xfId="4360"/>
    <cellStyle name="Normal 20 14 2" xfId="7510"/>
    <cellStyle name="Normal 20 14 2 2" xfId="10772"/>
    <cellStyle name="Normal 20 14 2 2 2" xfId="18643"/>
    <cellStyle name="Normal 20 15" xfId="4361"/>
    <cellStyle name="Normal 20 15 2" xfId="7511"/>
    <cellStyle name="Normal 20 15 2 2" xfId="10773"/>
    <cellStyle name="Normal 20 15 2 2 2" xfId="18644"/>
    <cellStyle name="Normal 20 16" xfId="4362"/>
    <cellStyle name="Normal 20 16 2" xfId="7512"/>
    <cellStyle name="Normal 20 16 2 2" xfId="10774"/>
    <cellStyle name="Normal 20 16 2 2 2" xfId="18645"/>
    <cellStyle name="Normal 20 17" xfId="5775"/>
    <cellStyle name="Normal 20 17 2" xfId="7513"/>
    <cellStyle name="Normal 20 17 2 2" xfId="10776"/>
    <cellStyle name="Normal 20 17 2 2 2" xfId="18647"/>
    <cellStyle name="Normal 20 17 3" xfId="7025"/>
    <cellStyle name="Normal 20 17 3 2" xfId="10777"/>
    <cellStyle name="Normal 20 17 3 2 2" xfId="18648"/>
    <cellStyle name="Normal 20 17 3 3" xfId="17272"/>
    <cellStyle name="Normal 20 17 4" xfId="10775"/>
    <cellStyle name="Normal 20 17 4 2" xfId="18646"/>
    <cellStyle name="Normal 20 17 5" xfId="15086"/>
    <cellStyle name="Normal 20 17 5 2" xfId="21885"/>
    <cellStyle name="Normal 20 17 6" xfId="16476"/>
    <cellStyle name="Normal 20 18" xfId="6576"/>
    <cellStyle name="Normal 20 19" xfId="7505"/>
    <cellStyle name="Normal 20 19 2" xfId="10778"/>
    <cellStyle name="Normal 20 19 2 2" xfId="18649"/>
    <cellStyle name="Normal 20 2" xfId="2721"/>
    <cellStyle name="Normal 20 2 2" xfId="4363"/>
    <cellStyle name="Normal 20 2 2 2" xfId="7515"/>
    <cellStyle name="Normal 20 2 2 2 2" xfId="10779"/>
    <cellStyle name="Normal 20 2 2 2 2 2" xfId="18650"/>
    <cellStyle name="Normal 20 2 3" xfId="5456"/>
    <cellStyle name="Normal 20 2 3 2" xfId="7516"/>
    <cellStyle name="Normal 20 2 3 2 2" xfId="10780"/>
    <cellStyle name="Normal 20 2 3 2 2 2" xfId="18651"/>
    <cellStyle name="Normal 20 2 4" xfId="6577"/>
    <cellStyle name="Normal 20 2 5" xfId="7514"/>
    <cellStyle name="Normal 20 2 5 2" xfId="10781"/>
    <cellStyle name="Normal 20 2 5 2 2" xfId="18652"/>
    <cellStyle name="Normal 20 20" xfId="9740"/>
    <cellStyle name="Normal 20 20 2" xfId="17670"/>
    <cellStyle name="Normal 20 21" xfId="15451"/>
    <cellStyle name="Normal 20 21 2" xfId="22206"/>
    <cellStyle name="Normal 20 22" xfId="15650"/>
    <cellStyle name="Normal 20 22 2" xfId="22396"/>
    <cellStyle name="Normal 20 23" xfId="15844"/>
    <cellStyle name="Normal 20 23 2" xfId="22587"/>
    <cellStyle name="Normal 20 24" xfId="16095"/>
    <cellStyle name="Normal 20 3" xfId="2722"/>
    <cellStyle name="Normal 20 3 2" xfId="4364"/>
    <cellStyle name="Normal 20 3 2 2" xfId="7518"/>
    <cellStyle name="Normal 20 3 2 2 2" xfId="10782"/>
    <cellStyle name="Normal 20 3 2 2 2 2" xfId="18653"/>
    <cellStyle name="Normal 20 3 3" xfId="5457"/>
    <cellStyle name="Normal 20 3 3 2" xfId="7519"/>
    <cellStyle name="Normal 20 3 3 2 2" xfId="10783"/>
    <cellStyle name="Normal 20 3 3 2 2 2" xfId="18654"/>
    <cellStyle name="Normal 20 3 4" xfId="6578"/>
    <cellStyle name="Normal 20 3 5" xfId="7517"/>
    <cellStyle name="Normal 20 3 5 2" xfId="10784"/>
    <cellStyle name="Normal 20 3 5 2 2" xfId="18655"/>
    <cellStyle name="Normal 20 4" xfId="2723"/>
    <cellStyle name="Normal 20 4 2" xfId="4365"/>
    <cellStyle name="Normal 20 4 2 2" xfId="7521"/>
    <cellStyle name="Normal 20 4 2 2 2" xfId="10785"/>
    <cellStyle name="Normal 20 4 2 2 2 2" xfId="18656"/>
    <cellStyle name="Normal 20 4 3" xfId="5458"/>
    <cellStyle name="Normal 20 4 3 2" xfId="7522"/>
    <cellStyle name="Normal 20 4 3 2 2" xfId="10786"/>
    <cellStyle name="Normal 20 4 3 2 2 2" xfId="18657"/>
    <cellStyle name="Normal 20 4 4" xfId="6579"/>
    <cellStyle name="Normal 20 4 5" xfId="7520"/>
    <cellStyle name="Normal 20 4 5 2" xfId="10787"/>
    <cellStyle name="Normal 20 4 5 2 2" xfId="18658"/>
    <cellStyle name="Normal 20 5" xfId="2724"/>
    <cellStyle name="Normal 20 5 2" xfId="4366"/>
    <cellStyle name="Normal 20 5 2 2" xfId="7524"/>
    <cellStyle name="Normal 20 5 2 2 2" xfId="10788"/>
    <cellStyle name="Normal 20 5 2 2 2 2" xfId="18659"/>
    <cellStyle name="Normal 20 5 3" xfId="5459"/>
    <cellStyle name="Normal 20 5 3 2" xfId="7525"/>
    <cellStyle name="Normal 20 5 3 2 2" xfId="10789"/>
    <cellStyle name="Normal 20 5 3 2 2 2" xfId="18660"/>
    <cellStyle name="Normal 20 5 4" xfId="6580"/>
    <cellStyle name="Normal 20 5 5" xfId="7523"/>
    <cellStyle name="Normal 20 5 5 2" xfId="10790"/>
    <cellStyle name="Normal 20 5 5 2 2" xfId="18661"/>
    <cellStyle name="Normal 20 6" xfId="2725"/>
    <cellStyle name="Normal 20 6 2" xfId="5116"/>
    <cellStyle name="Normal 20 6 2 10" xfId="16218"/>
    <cellStyle name="Normal 20 6 2 2" xfId="6030"/>
    <cellStyle name="Normal 20 6 2 2 2" xfId="7528"/>
    <cellStyle name="Normal 20 6 2 2 2 2" xfId="10794"/>
    <cellStyle name="Normal 20 6 2 2 2 2 2" xfId="18665"/>
    <cellStyle name="Normal 20 6 2 2 3" xfId="7235"/>
    <cellStyle name="Normal 20 6 2 2 3 2" xfId="10795"/>
    <cellStyle name="Normal 20 6 2 2 3 2 2" xfId="18666"/>
    <cellStyle name="Normal 20 6 2 2 3 3" xfId="17482"/>
    <cellStyle name="Normal 20 6 2 2 4" xfId="10793"/>
    <cellStyle name="Normal 20 6 2 2 4 2" xfId="18664"/>
    <cellStyle name="Normal 20 6 2 2 5" xfId="15296"/>
    <cellStyle name="Normal 20 6 2 2 5 2" xfId="22095"/>
    <cellStyle name="Normal 20 6 2 2 6" xfId="16686"/>
    <cellStyle name="Normal 20 6 2 3" xfId="7527"/>
    <cellStyle name="Normal 20 6 2 3 2" xfId="10796"/>
    <cellStyle name="Normal 20 6 2 3 2 2" xfId="18667"/>
    <cellStyle name="Normal 20 6 2 4" xfId="6898"/>
    <cellStyle name="Normal 20 6 2 4 2" xfId="10797"/>
    <cellStyle name="Normal 20 6 2 4 2 2" xfId="18668"/>
    <cellStyle name="Normal 20 6 2 4 3" xfId="17145"/>
    <cellStyle name="Normal 20 6 2 5" xfId="10792"/>
    <cellStyle name="Normal 20 6 2 5 2" xfId="18663"/>
    <cellStyle name="Normal 20 6 2 6" xfId="14854"/>
    <cellStyle name="Normal 20 6 2 6 2" xfId="21758"/>
    <cellStyle name="Normal 20 6 2 7" xfId="15569"/>
    <cellStyle name="Normal 20 6 2 7 2" xfId="22324"/>
    <cellStyle name="Normal 20 6 2 8" xfId="15769"/>
    <cellStyle name="Normal 20 6 2 8 2" xfId="22515"/>
    <cellStyle name="Normal 20 6 2 9" xfId="16000"/>
    <cellStyle name="Normal 20 6 2 9 2" xfId="22728"/>
    <cellStyle name="Normal 20 6 3" xfId="5460"/>
    <cellStyle name="Normal 20 6 3 2" xfId="7529"/>
    <cellStyle name="Normal 20 6 3 2 2" xfId="10798"/>
    <cellStyle name="Normal 20 6 3 2 2 2" xfId="18669"/>
    <cellStyle name="Normal 20 6 4" xfId="6300"/>
    <cellStyle name="Normal 20 6 4 2" xfId="10799"/>
    <cellStyle name="Normal 20 6 4 2 2" xfId="18670"/>
    <cellStyle name="Normal 20 6 4 3" xfId="14522"/>
    <cellStyle name="Normal 20 6 4 3 2" xfId="21542"/>
    <cellStyle name="Normal 20 6 4 4" xfId="16858"/>
    <cellStyle name="Normal 20 6 5" xfId="7526"/>
    <cellStyle name="Normal 20 6 5 2" xfId="10800"/>
    <cellStyle name="Normal 20 6 5 2 2" xfId="18671"/>
    <cellStyle name="Normal 20 6 6" xfId="10791"/>
    <cellStyle name="Normal 20 6 6 2" xfId="18662"/>
    <cellStyle name="Normal 20 6 7" xfId="13701"/>
    <cellStyle name="Normal 20 6 7 2" xfId="21381"/>
    <cellStyle name="Normal 20 7" xfId="4367"/>
    <cellStyle name="Normal 20 7 2" xfId="7530"/>
    <cellStyle name="Normal 20 7 2 2" xfId="10801"/>
    <cellStyle name="Normal 20 7 2 2 2" xfId="18672"/>
    <cellStyle name="Normal 20 8" xfId="4368"/>
    <cellStyle name="Normal 20 8 2" xfId="7531"/>
    <cellStyle name="Normal 20 8 2 2" xfId="10802"/>
    <cellStyle name="Normal 20 8 2 2 2" xfId="18673"/>
    <cellStyle name="Normal 20 9" xfId="4369"/>
    <cellStyle name="Normal 20 9 2" xfId="7532"/>
    <cellStyle name="Normal 20 9 2 2" xfId="10803"/>
    <cellStyle name="Normal 20 9 2 2 2" xfId="18674"/>
    <cellStyle name="Normal 200" xfId="6102"/>
    <cellStyle name="Normal 200 2" xfId="7533"/>
    <cellStyle name="Normal 200 2 2" xfId="10805"/>
    <cellStyle name="Normal 200 2 2 2" xfId="18676"/>
    <cellStyle name="Normal 200 3" xfId="7299"/>
    <cellStyle name="Normal 200 3 2" xfId="10806"/>
    <cellStyle name="Normal 200 3 2 2" xfId="18677"/>
    <cellStyle name="Normal 200 3 3" xfId="17546"/>
    <cellStyle name="Normal 200 4" xfId="10804"/>
    <cellStyle name="Normal 200 4 2" xfId="18675"/>
    <cellStyle name="Normal 200 5" xfId="15360"/>
    <cellStyle name="Normal 200 5 2" xfId="22159"/>
    <cellStyle name="Normal 200 6" xfId="16750"/>
    <cellStyle name="Normal 201" xfId="5871"/>
    <cellStyle name="Normal 201 2" xfId="7534"/>
    <cellStyle name="Normal 201 2 2" xfId="10808"/>
    <cellStyle name="Normal 201 2 2 2" xfId="18679"/>
    <cellStyle name="Normal 201 3" xfId="7104"/>
    <cellStyle name="Normal 201 3 2" xfId="10809"/>
    <cellStyle name="Normal 201 3 2 2" xfId="18680"/>
    <cellStyle name="Normal 201 3 3" xfId="17351"/>
    <cellStyle name="Normal 201 4" xfId="10807"/>
    <cellStyle name="Normal 201 4 2" xfId="18678"/>
    <cellStyle name="Normal 201 5" xfId="15165"/>
    <cellStyle name="Normal 201 5 2" xfId="21964"/>
    <cellStyle name="Normal 201 6" xfId="16555"/>
    <cellStyle name="Normal 202" xfId="5896"/>
    <cellStyle name="Normal 202 2" xfId="7535"/>
    <cellStyle name="Normal 202 2 2" xfId="10811"/>
    <cellStyle name="Normal 202 2 2 2" xfId="18682"/>
    <cellStyle name="Normal 202 3" xfId="7124"/>
    <cellStyle name="Normal 202 3 2" xfId="10812"/>
    <cellStyle name="Normal 202 3 2 2" xfId="18683"/>
    <cellStyle name="Normal 202 3 3" xfId="17371"/>
    <cellStyle name="Normal 202 4" xfId="10810"/>
    <cellStyle name="Normal 202 4 2" xfId="18681"/>
    <cellStyle name="Normal 202 5" xfId="15185"/>
    <cellStyle name="Normal 202 5 2" xfId="21984"/>
    <cellStyle name="Normal 202 6" xfId="16575"/>
    <cellStyle name="Normal 203" xfId="6111"/>
    <cellStyle name="Normal 203 2" xfId="7536"/>
    <cellStyle name="Normal 203 2 2" xfId="10814"/>
    <cellStyle name="Normal 203 2 2 2" xfId="18685"/>
    <cellStyle name="Normal 203 3" xfId="7304"/>
    <cellStyle name="Normal 203 3 2" xfId="10815"/>
    <cellStyle name="Normal 203 3 2 2" xfId="18686"/>
    <cellStyle name="Normal 203 3 3" xfId="17551"/>
    <cellStyle name="Normal 203 4" xfId="10813"/>
    <cellStyle name="Normal 203 4 2" xfId="18684"/>
    <cellStyle name="Normal 203 5" xfId="15366"/>
    <cellStyle name="Normal 203 5 2" xfId="22164"/>
    <cellStyle name="Normal 203 6" xfId="16755"/>
    <cellStyle name="Normal 204" xfId="6113"/>
    <cellStyle name="Normal 204 2" xfId="7537"/>
    <cellStyle name="Normal 204 2 2" xfId="10817"/>
    <cellStyle name="Normal 204 2 2 2" xfId="18688"/>
    <cellStyle name="Normal 204 3" xfId="7305"/>
    <cellStyle name="Normal 204 3 2" xfId="10818"/>
    <cellStyle name="Normal 204 3 2 2" xfId="18689"/>
    <cellStyle name="Normal 204 3 3" xfId="17552"/>
    <cellStyle name="Normal 204 4" xfId="10816"/>
    <cellStyle name="Normal 204 4 2" xfId="18687"/>
    <cellStyle name="Normal 204 5" xfId="15367"/>
    <cellStyle name="Normal 204 5 2" xfId="22165"/>
    <cellStyle name="Normal 204 6" xfId="16756"/>
    <cellStyle name="Normal 205" xfId="5837"/>
    <cellStyle name="Normal 205 2" xfId="7538"/>
    <cellStyle name="Normal 205 2 2" xfId="10820"/>
    <cellStyle name="Normal 205 2 2 2" xfId="18691"/>
    <cellStyle name="Normal 205 3" xfId="7079"/>
    <cellStyle name="Normal 205 3 2" xfId="10821"/>
    <cellStyle name="Normal 205 3 2 2" xfId="18692"/>
    <cellStyle name="Normal 205 3 3" xfId="17326"/>
    <cellStyle name="Normal 205 4" xfId="10819"/>
    <cellStyle name="Normal 205 4 2" xfId="18690"/>
    <cellStyle name="Normal 205 5" xfId="15140"/>
    <cellStyle name="Normal 205 5 2" xfId="21939"/>
    <cellStyle name="Normal 205 6" xfId="16530"/>
    <cellStyle name="Normal 206" xfId="6119"/>
    <cellStyle name="Normal 206 2" xfId="7539"/>
    <cellStyle name="Normal 206 2 2" xfId="10822"/>
    <cellStyle name="Normal 206 2 2 2" xfId="18693"/>
    <cellStyle name="Normal 207" xfId="6131"/>
    <cellStyle name="Normal 207 2" xfId="9528"/>
    <cellStyle name="Normal 207 2 2" xfId="10824"/>
    <cellStyle name="Normal 207 2 2 2" xfId="18695"/>
    <cellStyle name="Normal 207 2 3" xfId="15395"/>
    <cellStyle name="Normal 207 2 3 2" xfId="22186"/>
    <cellStyle name="Normal 207 2 4" xfId="17568"/>
    <cellStyle name="Normal 207 3" xfId="6230"/>
    <cellStyle name="Normal 207 3 2" xfId="10825"/>
    <cellStyle name="Normal 207 3 2 2" xfId="18696"/>
    <cellStyle name="Normal 207 4" xfId="10823"/>
    <cellStyle name="Normal 207 4 2" xfId="18694"/>
    <cellStyle name="Normal 207 5" xfId="16770"/>
    <cellStyle name="Normal 208" xfId="6384"/>
    <cellStyle name="Normal 208 2" xfId="7319"/>
    <cellStyle name="Normal 208 2 2" xfId="10827"/>
    <cellStyle name="Normal 208 2 2 2" xfId="18698"/>
    <cellStyle name="Normal 208 3" xfId="10826"/>
    <cellStyle name="Normal 208 3 2" xfId="18697"/>
    <cellStyle name="Normal 208 4" xfId="16942"/>
    <cellStyle name="Normal 209" xfId="6389"/>
    <cellStyle name="Normal 209 2" xfId="10828"/>
    <cellStyle name="Normal 209 2 2" xfId="18699"/>
    <cellStyle name="Normal 209 3" xfId="16945"/>
    <cellStyle name="Normal 21" xfId="2726"/>
    <cellStyle name="Normal 21 10" xfId="4370"/>
    <cellStyle name="Normal 21 10 2" xfId="7541"/>
    <cellStyle name="Normal 21 10 2 2" xfId="10829"/>
    <cellStyle name="Normal 21 10 2 2 2" xfId="18700"/>
    <cellStyle name="Normal 21 11" xfId="4371"/>
    <cellStyle name="Normal 21 11 2" xfId="7542"/>
    <cellStyle name="Normal 21 11 2 2" xfId="10830"/>
    <cellStyle name="Normal 21 11 2 2 2" xfId="18701"/>
    <cellStyle name="Normal 21 12" xfId="4372"/>
    <cellStyle name="Normal 21 12 2" xfId="7543"/>
    <cellStyle name="Normal 21 12 2 2" xfId="10831"/>
    <cellStyle name="Normal 21 12 2 2 2" xfId="18702"/>
    <cellStyle name="Normal 21 13" xfId="4373"/>
    <cellStyle name="Normal 21 13 2" xfId="7544"/>
    <cellStyle name="Normal 21 13 2 2" xfId="10832"/>
    <cellStyle name="Normal 21 13 2 2 2" xfId="18703"/>
    <cellStyle name="Normal 21 14" xfId="4374"/>
    <cellStyle name="Normal 21 14 2" xfId="7545"/>
    <cellStyle name="Normal 21 14 2 2" xfId="10833"/>
    <cellStyle name="Normal 21 14 2 2 2" xfId="18704"/>
    <cellStyle name="Normal 21 15" xfId="4375"/>
    <cellStyle name="Normal 21 15 2" xfId="7546"/>
    <cellStyle name="Normal 21 15 2 2" xfId="10834"/>
    <cellStyle name="Normal 21 15 2 2 2" xfId="18705"/>
    <cellStyle name="Normal 21 16" xfId="4376"/>
    <cellStyle name="Normal 21 16 2" xfId="7547"/>
    <cellStyle name="Normal 21 16 2 2" xfId="10835"/>
    <cellStyle name="Normal 21 16 2 2 2" xfId="18706"/>
    <cellStyle name="Normal 21 17" xfId="5776"/>
    <cellStyle name="Normal 21 17 2" xfId="7548"/>
    <cellStyle name="Normal 21 17 2 2" xfId="10837"/>
    <cellStyle name="Normal 21 17 2 2 2" xfId="18708"/>
    <cellStyle name="Normal 21 17 3" xfId="7026"/>
    <cellStyle name="Normal 21 17 3 2" xfId="10838"/>
    <cellStyle name="Normal 21 17 3 2 2" xfId="18709"/>
    <cellStyle name="Normal 21 17 3 3" xfId="17273"/>
    <cellStyle name="Normal 21 17 4" xfId="10836"/>
    <cellStyle name="Normal 21 17 4 2" xfId="18707"/>
    <cellStyle name="Normal 21 17 5" xfId="15087"/>
    <cellStyle name="Normal 21 17 5 2" xfId="21886"/>
    <cellStyle name="Normal 21 17 6" xfId="16477"/>
    <cellStyle name="Normal 21 18" xfId="6581"/>
    <cellStyle name="Normal 21 19" xfId="7540"/>
    <cellStyle name="Normal 21 19 2" xfId="10839"/>
    <cellStyle name="Normal 21 19 2 2" xfId="18710"/>
    <cellStyle name="Normal 21 2" xfId="2727"/>
    <cellStyle name="Normal 21 2 2" xfId="4377"/>
    <cellStyle name="Normal 21 2 2 2" xfId="7550"/>
    <cellStyle name="Normal 21 2 2 2 2" xfId="10840"/>
    <cellStyle name="Normal 21 2 2 2 2 2" xfId="18711"/>
    <cellStyle name="Normal 21 2 3" xfId="5461"/>
    <cellStyle name="Normal 21 2 3 2" xfId="7551"/>
    <cellStyle name="Normal 21 2 3 2 2" xfId="10841"/>
    <cellStyle name="Normal 21 2 3 2 2 2" xfId="18712"/>
    <cellStyle name="Normal 21 2 4" xfId="6582"/>
    <cellStyle name="Normal 21 2 5" xfId="7549"/>
    <cellStyle name="Normal 21 2 5 2" xfId="10842"/>
    <cellStyle name="Normal 21 2 5 2 2" xfId="18713"/>
    <cellStyle name="Normal 21 20" xfId="15452"/>
    <cellStyle name="Normal 21 20 2" xfId="22207"/>
    <cellStyle name="Normal 21 21" xfId="15651"/>
    <cellStyle name="Normal 21 21 2" xfId="22397"/>
    <cellStyle name="Normal 21 22" xfId="15845"/>
    <cellStyle name="Normal 21 22 2" xfId="22588"/>
    <cellStyle name="Normal 21 23" xfId="16096"/>
    <cellStyle name="Normal 21 3" xfId="2728"/>
    <cellStyle name="Normal 21 3 2" xfId="4378"/>
    <cellStyle name="Normal 21 3 2 2" xfId="7553"/>
    <cellStyle name="Normal 21 3 2 2 2" xfId="10843"/>
    <cellStyle name="Normal 21 3 2 2 2 2" xfId="18714"/>
    <cellStyle name="Normal 21 3 3" xfId="5462"/>
    <cellStyle name="Normal 21 3 3 2" xfId="7554"/>
    <cellStyle name="Normal 21 3 3 2 2" xfId="10844"/>
    <cellStyle name="Normal 21 3 3 2 2 2" xfId="18715"/>
    <cellStyle name="Normal 21 3 4" xfId="6583"/>
    <cellStyle name="Normal 21 3 5" xfId="7552"/>
    <cellStyle name="Normal 21 3 5 2" xfId="10845"/>
    <cellStyle name="Normal 21 3 5 2 2" xfId="18716"/>
    <cellStyle name="Normal 21 4" xfId="2729"/>
    <cellStyle name="Normal 21 4 2" xfId="4379"/>
    <cellStyle name="Normal 21 4 2 2" xfId="7556"/>
    <cellStyle name="Normal 21 4 2 2 2" xfId="10846"/>
    <cellStyle name="Normal 21 4 2 2 2 2" xfId="18717"/>
    <cellStyle name="Normal 21 4 3" xfId="5463"/>
    <cellStyle name="Normal 21 4 3 2" xfId="7557"/>
    <cellStyle name="Normal 21 4 3 2 2" xfId="10847"/>
    <cellStyle name="Normal 21 4 3 2 2 2" xfId="18718"/>
    <cellStyle name="Normal 21 4 4" xfId="6584"/>
    <cellStyle name="Normal 21 4 5" xfId="7555"/>
    <cellStyle name="Normal 21 4 5 2" xfId="10848"/>
    <cellStyle name="Normal 21 4 5 2 2" xfId="18719"/>
    <cellStyle name="Normal 21 5" xfId="2730"/>
    <cellStyle name="Normal 21 5 2" xfId="4380"/>
    <cellStyle name="Normal 21 5 2 2" xfId="7559"/>
    <cellStyle name="Normal 21 5 2 2 2" xfId="10849"/>
    <cellStyle name="Normal 21 5 2 2 2 2" xfId="18720"/>
    <cellStyle name="Normal 21 5 3" xfId="5464"/>
    <cellStyle name="Normal 21 5 3 2" xfId="7560"/>
    <cellStyle name="Normal 21 5 3 2 2" xfId="10850"/>
    <cellStyle name="Normal 21 5 3 2 2 2" xfId="18721"/>
    <cellStyle name="Normal 21 5 4" xfId="6585"/>
    <cellStyle name="Normal 21 5 5" xfId="7558"/>
    <cellStyle name="Normal 21 5 5 2" xfId="10851"/>
    <cellStyle name="Normal 21 5 5 2 2" xfId="18722"/>
    <cellStyle name="Normal 21 6" xfId="2731"/>
    <cellStyle name="Normal 21 6 2" xfId="4381"/>
    <cellStyle name="Normal 21 6 2 10" xfId="16219"/>
    <cellStyle name="Normal 21 6 2 2" xfId="6032"/>
    <cellStyle name="Normal 21 6 2 2 2" xfId="7563"/>
    <cellStyle name="Normal 21 6 2 2 2 2" xfId="10855"/>
    <cellStyle name="Normal 21 6 2 2 2 2 2" xfId="18726"/>
    <cellStyle name="Normal 21 6 2 2 3" xfId="7236"/>
    <cellStyle name="Normal 21 6 2 2 3 2" xfId="10856"/>
    <cellStyle name="Normal 21 6 2 2 3 2 2" xfId="18727"/>
    <cellStyle name="Normal 21 6 2 2 3 3" xfId="17483"/>
    <cellStyle name="Normal 21 6 2 2 4" xfId="10854"/>
    <cellStyle name="Normal 21 6 2 2 4 2" xfId="18725"/>
    <cellStyle name="Normal 21 6 2 2 5" xfId="15297"/>
    <cellStyle name="Normal 21 6 2 2 5 2" xfId="22096"/>
    <cellStyle name="Normal 21 6 2 2 6" xfId="16687"/>
    <cellStyle name="Normal 21 6 2 3" xfId="7562"/>
    <cellStyle name="Normal 21 6 2 3 2" xfId="10857"/>
    <cellStyle name="Normal 21 6 2 3 2 2" xfId="18728"/>
    <cellStyle name="Normal 21 6 2 4" xfId="6798"/>
    <cellStyle name="Normal 21 6 2 4 2" xfId="10858"/>
    <cellStyle name="Normal 21 6 2 4 2 2" xfId="18729"/>
    <cellStyle name="Normal 21 6 2 4 3" xfId="17045"/>
    <cellStyle name="Normal 21 6 2 5" xfId="10853"/>
    <cellStyle name="Normal 21 6 2 5 2" xfId="18724"/>
    <cellStyle name="Normal 21 6 2 6" xfId="14738"/>
    <cellStyle name="Normal 21 6 2 6 2" xfId="21658"/>
    <cellStyle name="Normal 21 6 2 7" xfId="15570"/>
    <cellStyle name="Normal 21 6 2 7 2" xfId="22325"/>
    <cellStyle name="Normal 21 6 2 8" xfId="15770"/>
    <cellStyle name="Normal 21 6 2 8 2" xfId="22516"/>
    <cellStyle name="Normal 21 6 2 9" xfId="16001"/>
    <cellStyle name="Normal 21 6 2 9 2" xfId="22729"/>
    <cellStyle name="Normal 21 6 3" xfId="5465"/>
    <cellStyle name="Normal 21 6 3 2" xfId="7564"/>
    <cellStyle name="Normal 21 6 3 2 2" xfId="10859"/>
    <cellStyle name="Normal 21 6 3 2 2 2" xfId="18730"/>
    <cellStyle name="Normal 21 6 4" xfId="6586"/>
    <cellStyle name="Normal 21 6 4 2" xfId="10860"/>
    <cellStyle name="Normal 21 6 4 2 2" xfId="18731"/>
    <cellStyle name="Normal 21 6 4 3" xfId="14523"/>
    <cellStyle name="Normal 21 6 4 3 2" xfId="21543"/>
    <cellStyle name="Normal 21 6 4 4" xfId="16981"/>
    <cellStyle name="Normal 21 6 5" xfId="7561"/>
    <cellStyle name="Normal 21 6 5 2" xfId="10861"/>
    <cellStyle name="Normal 21 6 5 2 2" xfId="18732"/>
    <cellStyle name="Normal 21 6 6" xfId="10852"/>
    <cellStyle name="Normal 21 6 6 2" xfId="18723"/>
    <cellStyle name="Normal 21 7" xfId="4382"/>
    <cellStyle name="Normal 21 7 2" xfId="7565"/>
    <cellStyle name="Normal 21 7 2 2" xfId="10862"/>
    <cellStyle name="Normal 21 7 2 2 2" xfId="18733"/>
    <cellStyle name="Normal 21 8" xfId="4383"/>
    <cellStyle name="Normal 21 8 2" xfId="7566"/>
    <cellStyle name="Normal 21 8 2 2" xfId="10863"/>
    <cellStyle name="Normal 21 8 2 2 2" xfId="18734"/>
    <cellStyle name="Normal 21 9" xfId="4384"/>
    <cellStyle name="Normal 21 9 2" xfId="7567"/>
    <cellStyle name="Normal 21 9 2 2" xfId="10864"/>
    <cellStyle name="Normal 21 9 2 2 2" xfId="18735"/>
    <cellStyle name="Normal 210" xfId="6393"/>
    <cellStyle name="Normal 210 2" xfId="10865"/>
    <cellStyle name="Normal 210 2 2" xfId="18736"/>
    <cellStyle name="Normal 210 3" xfId="16948"/>
    <cellStyle name="Normal 211" xfId="9531"/>
    <cellStyle name="Normal 211 2" xfId="17569"/>
    <cellStyle name="Normal 212" xfId="9541"/>
    <cellStyle name="Normal 212 2" xfId="17572"/>
    <cellStyle name="Normal 213" xfId="9798"/>
    <cellStyle name="Normal 213 2" xfId="17702"/>
    <cellStyle name="Normal 214" xfId="9834"/>
    <cellStyle name="Normal 214 2" xfId="17706"/>
    <cellStyle name="Normal 215" xfId="9797"/>
    <cellStyle name="Normal 215 2" xfId="17701"/>
    <cellStyle name="Normal 216" xfId="9813"/>
    <cellStyle name="Normal 216 2" xfId="17704"/>
    <cellStyle name="Normal 217" xfId="9532"/>
    <cellStyle name="Normal 217 2" xfId="17570"/>
    <cellStyle name="Normal 218" xfId="9835"/>
    <cellStyle name="Normal 218 2" xfId="17707"/>
    <cellStyle name="Normal 219" xfId="13456"/>
    <cellStyle name="Normal 219 2" xfId="21327"/>
    <cellStyle name="Normal 22" xfId="2732"/>
    <cellStyle name="Normal 22 10" xfId="4385"/>
    <cellStyle name="Normal 22 10 2" xfId="7569"/>
    <cellStyle name="Normal 22 10 2 2" xfId="10866"/>
    <cellStyle name="Normal 22 10 2 2 2" xfId="18737"/>
    <cellStyle name="Normal 22 11" xfId="4386"/>
    <cellStyle name="Normal 22 11 2" xfId="7570"/>
    <cellStyle name="Normal 22 11 2 2" xfId="10867"/>
    <cellStyle name="Normal 22 11 2 2 2" xfId="18738"/>
    <cellStyle name="Normal 22 12" xfId="4387"/>
    <cellStyle name="Normal 22 12 2" xfId="7571"/>
    <cellStyle name="Normal 22 12 2 2" xfId="10868"/>
    <cellStyle name="Normal 22 12 2 2 2" xfId="18739"/>
    <cellStyle name="Normal 22 13" xfId="4388"/>
    <cellStyle name="Normal 22 13 2" xfId="7572"/>
    <cellStyle name="Normal 22 13 2 2" xfId="10869"/>
    <cellStyle name="Normal 22 13 2 2 2" xfId="18740"/>
    <cellStyle name="Normal 22 14" xfId="4389"/>
    <cellStyle name="Normal 22 14 2" xfId="7573"/>
    <cellStyle name="Normal 22 14 2 2" xfId="10870"/>
    <cellStyle name="Normal 22 14 2 2 2" xfId="18741"/>
    <cellStyle name="Normal 22 15" xfId="4390"/>
    <cellStyle name="Normal 22 15 2" xfId="7574"/>
    <cellStyle name="Normal 22 15 2 2" xfId="10871"/>
    <cellStyle name="Normal 22 15 2 2 2" xfId="18742"/>
    <cellStyle name="Normal 22 16" xfId="4391"/>
    <cellStyle name="Normal 22 16 2" xfId="7575"/>
    <cellStyle name="Normal 22 16 2 2" xfId="10872"/>
    <cellStyle name="Normal 22 16 2 2 2" xfId="18743"/>
    <cellStyle name="Normal 22 17" xfId="5777"/>
    <cellStyle name="Normal 22 17 2" xfId="7576"/>
    <cellStyle name="Normal 22 17 2 2" xfId="10874"/>
    <cellStyle name="Normal 22 17 2 2 2" xfId="18745"/>
    <cellStyle name="Normal 22 17 3" xfId="7027"/>
    <cellStyle name="Normal 22 17 3 2" xfId="10875"/>
    <cellStyle name="Normal 22 17 3 2 2" xfId="18746"/>
    <cellStyle name="Normal 22 17 3 3" xfId="17274"/>
    <cellStyle name="Normal 22 17 4" xfId="10873"/>
    <cellStyle name="Normal 22 17 4 2" xfId="18744"/>
    <cellStyle name="Normal 22 17 5" xfId="15088"/>
    <cellStyle name="Normal 22 17 5 2" xfId="21887"/>
    <cellStyle name="Normal 22 17 6" xfId="16478"/>
    <cellStyle name="Normal 22 18" xfId="6587"/>
    <cellStyle name="Normal 22 19" xfId="7568"/>
    <cellStyle name="Normal 22 19 2" xfId="10876"/>
    <cellStyle name="Normal 22 19 2 2" xfId="18747"/>
    <cellStyle name="Normal 22 2" xfId="2733"/>
    <cellStyle name="Normal 22 2 2" xfId="4392"/>
    <cellStyle name="Normal 22 2 2 2" xfId="7578"/>
    <cellStyle name="Normal 22 2 2 2 2" xfId="10877"/>
    <cellStyle name="Normal 22 2 2 2 2 2" xfId="18748"/>
    <cellStyle name="Normal 22 2 2 3" xfId="9612"/>
    <cellStyle name="Normal 22 2 3" xfId="6588"/>
    <cellStyle name="Normal 22 2 4" xfId="7577"/>
    <cellStyle name="Normal 22 2 4 2" xfId="10878"/>
    <cellStyle name="Normal 22 2 4 2 2" xfId="18749"/>
    <cellStyle name="Normal 22 20" xfId="15453"/>
    <cellStyle name="Normal 22 20 2" xfId="22208"/>
    <cellStyle name="Normal 22 21" xfId="15652"/>
    <cellStyle name="Normal 22 21 2" xfId="22398"/>
    <cellStyle name="Normal 22 22" xfId="15846"/>
    <cellStyle name="Normal 22 22 2" xfId="22589"/>
    <cellStyle name="Normal 22 23" xfId="16097"/>
    <cellStyle name="Normal 22 3" xfId="2734"/>
    <cellStyle name="Normal 22 3 2" xfId="4393"/>
    <cellStyle name="Normal 22 3 2 10" xfId="16220"/>
    <cellStyle name="Normal 22 3 2 2" xfId="6033"/>
    <cellStyle name="Normal 22 3 2 2 2" xfId="7581"/>
    <cellStyle name="Normal 22 3 2 2 2 2" xfId="10882"/>
    <cellStyle name="Normal 22 3 2 2 2 2 2" xfId="18753"/>
    <cellStyle name="Normal 22 3 2 2 3" xfId="7237"/>
    <cellStyle name="Normal 22 3 2 2 3 2" xfId="10883"/>
    <cellStyle name="Normal 22 3 2 2 3 2 2" xfId="18754"/>
    <cellStyle name="Normal 22 3 2 2 3 3" xfId="17484"/>
    <cellStyle name="Normal 22 3 2 2 4" xfId="10881"/>
    <cellStyle name="Normal 22 3 2 2 4 2" xfId="18752"/>
    <cellStyle name="Normal 22 3 2 2 5" xfId="15298"/>
    <cellStyle name="Normal 22 3 2 2 5 2" xfId="22097"/>
    <cellStyle name="Normal 22 3 2 2 6" xfId="16688"/>
    <cellStyle name="Normal 22 3 2 3" xfId="7580"/>
    <cellStyle name="Normal 22 3 2 3 2" xfId="10884"/>
    <cellStyle name="Normal 22 3 2 3 2 2" xfId="18755"/>
    <cellStyle name="Normal 22 3 2 4" xfId="6799"/>
    <cellStyle name="Normal 22 3 2 4 2" xfId="10885"/>
    <cellStyle name="Normal 22 3 2 4 2 2" xfId="18756"/>
    <cellStyle name="Normal 22 3 2 4 3" xfId="17046"/>
    <cellStyle name="Normal 22 3 2 5" xfId="10880"/>
    <cellStyle name="Normal 22 3 2 5 2" xfId="18751"/>
    <cellStyle name="Normal 22 3 2 6" xfId="14739"/>
    <cellStyle name="Normal 22 3 2 6 2" xfId="21659"/>
    <cellStyle name="Normal 22 3 2 7" xfId="15571"/>
    <cellStyle name="Normal 22 3 2 7 2" xfId="22326"/>
    <cellStyle name="Normal 22 3 2 8" xfId="15771"/>
    <cellStyle name="Normal 22 3 2 8 2" xfId="22517"/>
    <cellStyle name="Normal 22 3 2 9" xfId="16002"/>
    <cellStyle name="Normal 22 3 2 9 2" xfId="22730"/>
    <cellStyle name="Normal 22 3 3" xfId="5466"/>
    <cellStyle name="Normal 22 3 3 2" xfId="7582"/>
    <cellStyle name="Normal 22 3 3 2 2" xfId="10886"/>
    <cellStyle name="Normal 22 3 3 2 2 2" xfId="18757"/>
    <cellStyle name="Normal 22 3 4" xfId="6589"/>
    <cellStyle name="Normal 22 3 4 2" xfId="10887"/>
    <cellStyle name="Normal 22 3 4 2 2" xfId="18758"/>
    <cellStyle name="Normal 22 3 4 3" xfId="14524"/>
    <cellStyle name="Normal 22 3 4 3 2" xfId="21544"/>
    <cellStyle name="Normal 22 3 4 4" xfId="16982"/>
    <cellStyle name="Normal 22 3 5" xfId="7579"/>
    <cellStyle name="Normal 22 3 5 2" xfId="10888"/>
    <cellStyle name="Normal 22 3 5 2 2" xfId="18759"/>
    <cellStyle name="Normal 22 3 6" xfId="10879"/>
    <cellStyle name="Normal 22 3 6 2" xfId="18750"/>
    <cellStyle name="Normal 22 4" xfId="4394"/>
    <cellStyle name="Normal 22 4 2" xfId="7583"/>
    <cellStyle name="Normal 22 4 2 2" xfId="10889"/>
    <cellStyle name="Normal 22 4 2 2 2" xfId="18760"/>
    <cellStyle name="Normal 22 5" xfId="4395"/>
    <cellStyle name="Normal 22 5 2" xfId="7584"/>
    <cellStyle name="Normal 22 5 2 2" xfId="10890"/>
    <cellStyle name="Normal 22 5 2 2 2" xfId="18761"/>
    <cellStyle name="Normal 22 6" xfId="4396"/>
    <cellStyle name="Normal 22 6 2" xfId="7585"/>
    <cellStyle name="Normal 22 6 2 2" xfId="10891"/>
    <cellStyle name="Normal 22 6 2 2 2" xfId="18762"/>
    <cellStyle name="Normal 22 7" xfId="4397"/>
    <cellStyle name="Normal 22 7 2" xfId="7586"/>
    <cellStyle name="Normal 22 7 2 2" xfId="10892"/>
    <cellStyle name="Normal 22 7 2 2 2" xfId="18763"/>
    <cellStyle name="Normal 22 8" xfId="4398"/>
    <cellStyle name="Normal 22 8 2" xfId="7587"/>
    <cellStyle name="Normal 22 8 2 2" xfId="10893"/>
    <cellStyle name="Normal 22 8 2 2 2" xfId="18764"/>
    <cellStyle name="Normal 22 9" xfId="4399"/>
    <cellStyle name="Normal 22 9 2" xfId="7588"/>
    <cellStyle name="Normal 22 9 2 2" xfId="10894"/>
    <cellStyle name="Normal 22 9 2 2 2" xfId="18765"/>
    <cellStyle name="Normal 220" xfId="13461"/>
    <cellStyle name="Normal 221" xfId="14021"/>
    <cellStyle name="Normal 221 2" xfId="21434"/>
    <cellStyle name="Normal 222" xfId="14629"/>
    <cellStyle name="Normal 222 2" xfId="21610"/>
    <cellStyle name="Normal 223" xfId="14430"/>
    <cellStyle name="Normal 223 2" xfId="21478"/>
    <cellStyle name="Normal 224" xfId="14610"/>
    <cellStyle name="Normal 224 2" xfId="21607"/>
    <cellStyle name="Normal 225" xfId="14058"/>
    <cellStyle name="Normal 225 2" xfId="21452"/>
    <cellStyle name="Normal 226" xfId="14361"/>
    <cellStyle name="Normal 226 2" xfId="21456"/>
    <cellStyle name="Normal 227" xfId="14421"/>
    <cellStyle name="Normal 227 2" xfId="21476"/>
    <cellStyle name="Normal 228" xfId="15406"/>
    <cellStyle name="Normal 229" xfId="15409"/>
    <cellStyle name="Normal 229 2" xfId="22193"/>
    <cellStyle name="Normal 23" xfId="2735"/>
    <cellStyle name="Normal 23 10" xfId="4400"/>
    <cellStyle name="Normal 23 10 2" xfId="7590"/>
    <cellStyle name="Normal 23 10 2 2" xfId="10895"/>
    <cellStyle name="Normal 23 10 2 2 2" xfId="18766"/>
    <cellStyle name="Normal 23 11" xfId="4401"/>
    <cellStyle name="Normal 23 11 2" xfId="7591"/>
    <cellStyle name="Normal 23 11 2 2" xfId="10896"/>
    <cellStyle name="Normal 23 11 2 2 2" xfId="18767"/>
    <cellStyle name="Normal 23 12" xfId="4402"/>
    <cellStyle name="Normal 23 12 2" xfId="7592"/>
    <cellStyle name="Normal 23 12 2 2" xfId="10897"/>
    <cellStyle name="Normal 23 12 2 2 2" xfId="18768"/>
    <cellStyle name="Normal 23 13" xfId="4403"/>
    <cellStyle name="Normal 23 13 2" xfId="7593"/>
    <cellStyle name="Normal 23 13 2 2" xfId="10898"/>
    <cellStyle name="Normal 23 13 2 2 2" xfId="18769"/>
    <cellStyle name="Normal 23 14" xfId="5363"/>
    <cellStyle name="Normal 23 14 2" xfId="7594"/>
    <cellStyle name="Normal 23 14 2 2" xfId="10899"/>
    <cellStyle name="Normal 23 14 2 2 2" xfId="18770"/>
    <cellStyle name="Normal 23 15" xfId="4404"/>
    <cellStyle name="Normal 23 15 2" xfId="7595"/>
    <cellStyle name="Normal 23 15 2 2" xfId="10900"/>
    <cellStyle name="Normal 23 15 2 2 2" xfId="18771"/>
    <cellStyle name="Normal 23 16" xfId="4405"/>
    <cellStyle name="Normal 23 16 2" xfId="7596"/>
    <cellStyle name="Normal 23 16 2 2" xfId="10901"/>
    <cellStyle name="Normal 23 16 2 2 2" xfId="18772"/>
    <cellStyle name="Normal 23 17" xfId="5778"/>
    <cellStyle name="Normal 23 17 2" xfId="7597"/>
    <cellStyle name="Normal 23 17 2 2" xfId="10903"/>
    <cellStyle name="Normal 23 17 2 2 2" xfId="18774"/>
    <cellStyle name="Normal 23 17 3" xfId="7028"/>
    <cellStyle name="Normal 23 17 3 2" xfId="10904"/>
    <cellStyle name="Normal 23 17 3 2 2" xfId="18775"/>
    <cellStyle name="Normal 23 17 3 3" xfId="17275"/>
    <cellStyle name="Normal 23 17 4" xfId="10902"/>
    <cellStyle name="Normal 23 17 4 2" xfId="18773"/>
    <cellStyle name="Normal 23 17 5" xfId="15089"/>
    <cellStyle name="Normal 23 17 5 2" xfId="21888"/>
    <cellStyle name="Normal 23 17 6" xfId="16479"/>
    <cellStyle name="Normal 23 18" xfId="6590"/>
    <cellStyle name="Normal 23 19" xfId="7589"/>
    <cellStyle name="Normal 23 19 2" xfId="10905"/>
    <cellStyle name="Normal 23 19 2 2" xfId="18776"/>
    <cellStyle name="Normal 23 2" xfId="2736"/>
    <cellStyle name="Normal 23 2 2" xfId="4406"/>
    <cellStyle name="Normal 23 2 2 2" xfId="7599"/>
    <cellStyle name="Normal 23 2 2 2 2" xfId="10906"/>
    <cellStyle name="Normal 23 2 2 2 2 2" xfId="18777"/>
    <cellStyle name="Normal 23 2 3" xfId="5467"/>
    <cellStyle name="Normal 23 2 3 2" xfId="7600"/>
    <cellStyle name="Normal 23 2 3 2 2" xfId="10907"/>
    <cellStyle name="Normal 23 2 3 2 2 2" xfId="18778"/>
    <cellStyle name="Normal 23 2 4" xfId="6591"/>
    <cellStyle name="Normal 23 2 5" xfId="7598"/>
    <cellStyle name="Normal 23 2 5 2" xfId="10908"/>
    <cellStyle name="Normal 23 2 5 2 2" xfId="18779"/>
    <cellStyle name="Normal 23 20" xfId="9782"/>
    <cellStyle name="Normal 23 21" xfId="15454"/>
    <cellStyle name="Normal 23 21 2" xfId="22209"/>
    <cellStyle name="Normal 23 22" xfId="15653"/>
    <cellStyle name="Normal 23 22 2" xfId="22399"/>
    <cellStyle name="Normal 23 23" xfId="15847"/>
    <cellStyle name="Normal 23 23 2" xfId="22590"/>
    <cellStyle name="Normal 23 24" xfId="16098"/>
    <cellStyle name="Normal 23 3" xfId="2737"/>
    <cellStyle name="Normal 23 3 2" xfId="4407"/>
    <cellStyle name="Normal 23 3 2 2" xfId="7602"/>
    <cellStyle name="Normal 23 3 2 2 2" xfId="10909"/>
    <cellStyle name="Normal 23 3 2 2 2 2" xfId="18780"/>
    <cellStyle name="Normal 23 3 3" xfId="5468"/>
    <cellStyle name="Normal 23 3 3 2" xfId="7603"/>
    <cellStyle name="Normal 23 3 3 2 2" xfId="10910"/>
    <cellStyle name="Normal 23 3 3 2 2 2" xfId="18781"/>
    <cellStyle name="Normal 23 3 4" xfId="6592"/>
    <cellStyle name="Normal 23 3 5" xfId="7601"/>
    <cellStyle name="Normal 23 3 5 2" xfId="10911"/>
    <cellStyle name="Normal 23 3 5 2 2" xfId="18782"/>
    <cellStyle name="Normal 23 4" xfId="2738"/>
    <cellStyle name="Normal 23 4 2" xfId="4408"/>
    <cellStyle name="Normal 23 4 2 2" xfId="7605"/>
    <cellStyle name="Normal 23 4 2 2 2" xfId="10912"/>
    <cellStyle name="Normal 23 4 2 2 2 2" xfId="18783"/>
    <cellStyle name="Normal 23 4 3" xfId="5469"/>
    <cellStyle name="Normal 23 4 3 2" xfId="7606"/>
    <cellStyle name="Normal 23 4 3 2 2" xfId="10913"/>
    <cellStyle name="Normal 23 4 3 2 2 2" xfId="18784"/>
    <cellStyle name="Normal 23 4 4" xfId="6593"/>
    <cellStyle name="Normal 23 4 5" xfId="7604"/>
    <cellStyle name="Normal 23 4 5 2" xfId="10914"/>
    <cellStyle name="Normal 23 4 5 2 2" xfId="18785"/>
    <cellStyle name="Normal 23 5" xfId="2739"/>
    <cellStyle name="Normal 23 5 2" xfId="4409"/>
    <cellStyle name="Normal 23 5 2 2" xfId="7608"/>
    <cellStyle name="Normal 23 5 2 2 2" xfId="10915"/>
    <cellStyle name="Normal 23 5 2 2 2 2" xfId="18786"/>
    <cellStyle name="Normal 23 5 3" xfId="5470"/>
    <cellStyle name="Normal 23 5 3 2" xfId="7609"/>
    <cellStyle name="Normal 23 5 3 2 2" xfId="10916"/>
    <cellStyle name="Normal 23 5 3 2 2 2" xfId="18787"/>
    <cellStyle name="Normal 23 5 4" xfId="6594"/>
    <cellStyle name="Normal 23 5 5" xfId="7607"/>
    <cellStyle name="Normal 23 5 5 2" xfId="10917"/>
    <cellStyle name="Normal 23 5 5 2 2" xfId="18788"/>
    <cellStyle name="Normal 23 6" xfId="2740"/>
    <cellStyle name="Normal 23 6 2" xfId="4410"/>
    <cellStyle name="Normal 23 6 2 10" xfId="16221"/>
    <cellStyle name="Normal 23 6 2 2" xfId="6034"/>
    <cellStyle name="Normal 23 6 2 2 2" xfId="7612"/>
    <cellStyle name="Normal 23 6 2 2 2 2" xfId="10921"/>
    <cellStyle name="Normal 23 6 2 2 2 2 2" xfId="18792"/>
    <cellStyle name="Normal 23 6 2 2 3" xfId="7238"/>
    <cellStyle name="Normal 23 6 2 2 3 2" xfId="10922"/>
    <cellStyle name="Normal 23 6 2 2 3 2 2" xfId="18793"/>
    <cellStyle name="Normal 23 6 2 2 3 3" xfId="17485"/>
    <cellStyle name="Normal 23 6 2 2 4" xfId="10920"/>
    <cellStyle name="Normal 23 6 2 2 4 2" xfId="18791"/>
    <cellStyle name="Normal 23 6 2 2 5" xfId="15299"/>
    <cellStyle name="Normal 23 6 2 2 5 2" xfId="22098"/>
    <cellStyle name="Normal 23 6 2 2 6" xfId="16689"/>
    <cellStyle name="Normal 23 6 2 3" xfId="7611"/>
    <cellStyle name="Normal 23 6 2 3 2" xfId="10923"/>
    <cellStyle name="Normal 23 6 2 3 2 2" xfId="18794"/>
    <cellStyle name="Normal 23 6 2 4" xfId="6800"/>
    <cellStyle name="Normal 23 6 2 4 2" xfId="10924"/>
    <cellStyle name="Normal 23 6 2 4 2 2" xfId="18795"/>
    <cellStyle name="Normal 23 6 2 4 3" xfId="17047"/>
    <cellStyle name="Normal 23 6 2 5" xfId="10919"/>
    <cellStyle name="Normal 23 6 2 5 2" xfId="18790"/>
    <cellStyle name="Normal 23 6 2 6" xfId="14740"/>
    <cellStyle name="Normal 23 6 2 6 2" xfId="21660"/>
    <cellStyle name="Normal 23 6 2 7" xfId="15572"/>
    <cellStyle name="Normal 23 6 2 7 2" xfId="22327"/>
    <cellStyle name="Normal 23 6 2 8" xfId="15772"/>
    <cellStyle name="Normal 23 6 2 8 2" xfId="22518"/>
    <cellStyle name="Normal 23 6 2 9" xfId="16003"/>
    <cellStyle name="Normal 23 6 2 9 2" xfId="22731"/>
    <cellStyle name="Normal 23 6 3" xfId="5471"/>
    <cellStyle name="Normal 23 6 3 2" xfId="7613"/>
    <cellStyle name="Normal 23 6 3 2 2" xfId="10925"/>
    <cellStyle name="Normal 23 6 3 2 2 2" xfId="18796"/>
    <cellStyle name="Normal 23 6 4" xfId="6595"/>
    <cellStyle name="Normal 23 6 4 2" xfId="10926"/>
    <cellStyle name="Normal 23 6 4 2 2" xfId="18797"/>
    <cellStyle name="Normal 23 6 4 3" xfId="14525"/>
    <cellStyle name="Normal 23 6 4 3 2" xfId="21545"/>
    <cellStyle name="Normal 23 6 4 4" xfId="16983"/>
    <cellStyle name="Normal 23 6 5" xfId="7610"/>
    <cellStyle name="Normal 23 6 5 2" xfId="10927"/>
    <cellStyle name="Normal 23 6 5 2 2" xfId="18798"/>
    <cellStyle name="Normal 23 6 6" xfId="10918"/>
    <cellStyle name="Normal 23 6 6 2" xfId="18789"/>
    <cellStyle name="Normal 23 7" xfId="4411"/>
    <cellStyle name="Normal 23 7 2" xfId="7614"/>
    <cellStyle name="Normal 23 7 2 2" xfId="10928"/>
    <cellStyle name="Normal 23 7 2 2 2" xfId="18799"/>
    <cellStyle name="Normal 23 8" xfId="4412"/>
    <cellStyle name="Normal 23 8 2" xfId="7615"/>
    <cellStyle name="Normal 23 8 2 2" xfId="10929"/>
    <cellStyle name="Normal 23 8 2 2 2" xfId="18800"/>
    <cellStyle name="Normal 23 9" xfId="4413"/>
    <cellStyle name="Normal 23 9 2" xfId="7616"/>
    <cellStyle name="Normal 23 9 2 2" xfId="10930"/>
    <cellStyle name="Normal 23 9 2 2 2" xfId="18801"/>
    <cellStyle name="Normal 230" xfId="15437"/>
    <cellStyle name="Normal 230 2" xfId="22195"/>
    <cellStyle name="Normal 231" xfId="15472"/>
    <cellStyle name="Normal 231 2" xfId="22227"/>
    <cellStyle name="Normal 232" xfId="15635"/>
    <cellStyle name="Normal 232 2" xfId="22384"/>
    <cellStyle name="Normal 233" xfId="15636"/>
    <cellStyle name="Normal 233 2" xfId="22385"/>
    <cellStyle name="Normal 234" xfId="15637"/>
    <cellStyle name="Normal 234 2" xfId="22386"/>
    <cellStyle name="Normal 235" xfId="15828"/>
    <cellStyle name="Normal 235 2" xfId="22574"/>
    <cellStyle name="Normal 236" xfId="15865"/>
    <cellStyle name="Normal 236 2" xfId="22608"/>
    <cellStyle name="Normal 237" xfId="15882"/>
    <cellStyle name="Normal 237 2" xfId="22625"/>
    <cellStyle name="Normal 237 3" xfId="22826"/>
    <cellStyle name="Normal 238" xfId="16063"/>
    <cellStyle name="Normal 238 2" xfId="22788"/>
    <cellStyle name="Normal 239" xfId="15885"/>
    <cellStyle name="Normal 239 2" xfId="22627"/>
    <cellStyle name="Normal 24" xfId="2741"/>
    <cellStyle name="Normal 24 10" xfId="4414"/>
    <cellStyle name="Normal 24 10 2" xfId="7618"/>
    <cellStyle name="Normal 24 10 2 2" xfId="10931"/>
    <cellStyle name="Normal 24 10 2 2 2" xfId="18802"/>
    <cellStyle name="Normal 24 11" xfId="4415"/>
    <cellStyle name="Normal 24 11 2" xfId="7619"/>
    <cellStyle name="Normal 24 11 2 2" xfId="10932"/>
    <cellStyle name="Normal 24 11 2 2 2" xfId="18803"/>
    <cellStyle name="Normal 24 12" xfId="4416"/>
    <cellStyle name="Normal 24 12 2" xfId="7620"/>
    <cellStyle name="Normal 24 12 2 2" xfId="10933"/>
    <cellStyle name="Normal 24 12 2 2 2" xfId="18804"/>
    <cellStyle name="Normal 24 13" xfId="4417"/>
    <cellStyle name="Normal 24 13 2" xfId="7621"/>
    <cellStyle name="Normal 24 13 2 2" xfId="10934"/>
    <cellStyle name="Normal 24 13 2 2 2" xfId="18805"/>
    <cellStyle name="Normal 24 14" xfId="4418"/>
    <cellStyle name="Normal 24 14 2" xfId="7622"/>
    <cellStyle name="Normal 24 14 2 2" xfId="10935"/>
    <cellStyle name="Normal 24 14 2 2 2" xfId="18806"/>
    <cellStyle name="Normal 24 15" xfId="4419"/>
    <cellStyle name="Normal 24 15 2" xfId="7623"/>
    <cellStyle name="Normal 24 15 2 2" xfId="10936"/>
    <cellStyle name="Normal 24 15 2 2 2" xfId="18807"/>
    <cellStyle name="Normal 24 16" xfId="4420"/>
    <cellStyle name="Normal 24 16 2" xfId="7624"/>
    <cellStyle name="Normal 24 16 2 2" xfId="10937"/>
    <cellStyle name="Normal 24 16 2 2 2" xfId="18808"/>
    <cellStyle name="Normal 24 17" xfId="5779"/>
    <cellStyle name="Normal 24 17 2" xfId="7625"/>
    <cellStyle name="Normal 24 17 2 2" xfId="10939"/>
    <cellStyle name="Normal 24 17 2 2 2" xfId="18810"/>
    <cellStyle name="Normal 24 17 3" xfId="7029"/>
    <cellStyle name="Normal 24 17 3 2" xfId="10940"/>
    <cellStyle name="Normal 24 17 3 2 2" xfId="18811"/>
    <cellStyle name="Normal 24 17 3 3" xfId="17276"/>
    <cellStyle name="Normal 24 17 4" xfId="10938"/>
    <cellStyle name="Normal 24 17 4 2" xfId="18809"/>
    <cellStyle name="Normal 24 17 5" xfId="15090"/>
    <cellStyle name="Normal 24 17 5 2" xfId="21889"/>
    <cellStyle name="Normal 24 17 6" xfId="16480"/>
    <cellStyle name="Normal 24 18" xfId="6596"/>
    <cellStyle name="Normal 24 19" xfId="7617"/>
    <cellStyle name="Normal 24 19 2" xfId="10941"/>
    <cellStyle name="Normal 24 19 2 2" xfId="18812"/>
    <cellStyle name="Normal 24 2" xfId="2742"/>
    <cellStyle name="Normal 24 2 2" xfId="4421"/>
    <cellStyle name="Normal 24 2 2 2" xfId="7627"/>
    <cellStyle name="Normal 24 2 2 2 2" xfId="10942"/>
    <cellStyle name="Normal 24 2 2 2 2 2" xfId="18813"/>
    <cellStyle name="Normal 24 2 3" xfId="5472"/>
    <cellStyle name="Normal 24 2 3 2" xfId="7628"/>
    <cellStyle name="Normal 24 2 3 2 2" xfId="10943"/>
    <cellStyle name="Normal 24 2 3 2 2 2" xfId="18814"/>
    <cellStyle name="Normal 24 2 4" xfId="6597"/>
    <cellStyle name="Normal 24 2 5" xfId="7626"/>
    <cellStyle name="Normal 24 2 5 2" xfId="10944"/>
    <cellStyle name="Normal 24 2 5 2 2" xfId="18815"/>
    <cellStyle name="Normal 24 20" xfId="9804"/>
    <cellStyle name="Normal 24 21" xfId="15455"/>
    <cellStyle name="Normal 24 21 2" xfId="22210"/>
    <cellStyle name="Normal 24 22" xfId="15654"/>
    <cellStyle name="Normal 24 22 2" xfId="22400"/>
    <cellStyle name="Normal 24 23" xfId="15848"/>
    <cellStyle name="Normal 24 23 2" xfId="22591"/>
    <cellStyle name="Normal 24 24" xfId="16099"/>
    <cellStyle name="Normal 24 3" xfId="2743"/>
    <cellStyle name="Normal 24 3 2" xfId="4422"/>
    <cellStyle name="Normal 24 3 2 2" xfId="7630"/>
    <cellStyle name="Normal 24 3 2 2 2" xfId="10945"/>
    <cellStyle name="Normal 24 3 2 2 2 2" xfId="18816"/>
    <cellStyle name="Normal 24 3 3" xfId="5473"/>
    <cellStyle name="Normal 24 3 3 2" xfId="7631"/>
    <cellStyle name="Normal 24 3 3 2 2" xfId="10946"/>
    <cellStyle name="Normal 24 3 3 2 2 2" xfId="18817"/>
    <cellStyle name="Normal 24 3 4" xfId="6598"/>
    <cellStyle name="Normal 24 3 5" xfId="7629"/>
    <cellStyle name="Normal 24 3 5 2" xfId="10947"/>
    <cellStyle name="Normal 24 3 5 2 2" xfId="18818"/>
    <cellStyle name="Normal 24 4" xfId="2744"/>
    <cellStyle name="Normal 24 4 2" xfId="4423"/>
    <cellStyle name="Normal 24 4 2 2" xfId="7633"/>
    <cellStyle name="Normal 24 4 2 2 2" xfId="10948"/>
    <cellStyle name="Normal 24 4 2 2 2 2" xfId="18819"/>
    <cellStyle name="Normal 24 4 3" xfId="5474"/>
    <cellStyle name="Normal 24 4 3 2" xfId="7634"/>
    <cellStyle name="Normal 24 4 3 2 2" xfId="10949"/>
    <cellStyle name="Normal 24 4 3 2 2 2" xfId="18820"/>
    <cellStyle name="Normal 24 4 4" xfId="6599"/>
    <cellStyle name="Normal 24 4 5" xfId="7632"/>
    <cellStyle name="Normal 24 4 5 2" xfId="10950"/>
    <cellStyle name="Normal 24 4 5 2 2" xfId="18821"/>
    <cellStyle name="Normal 24 5" xfId="2745"/>
    <cellStyle name="Normal 24 5 2" xfId="4424"/>
    <cellStyle name="Normal 24 5 2 2" xfId="7636"/>
    <cellStyle name="Normal 24 5 2 2 2" xfId="10951"/>
    <cellStyle name="Normal 24 5 2 2 2 2" xfId="18822"/>
    <cellStyle name="Normal 24 5 3" xfId="5475"/>
    <cellStyle name="Normal 24 5 3 2" xfId="7637"/>
    <cellStyle name="Normal 24 5 3 2 2" xfId="10952"/>
    <cellStyle name="Normal 24 5 3 2 2 2" xfId="18823"/>
    <cellStyle name="Normal 24 5 4" xfId="6600"/>
    <cellStyle name="Normal 24 5 5" xfId="7635"/>
    <cellStyle name="Normal 24 5 5 2" xfId="10953"/>
    <cellStyle name="Normal 24 5 5 2 2" xfId="18824"/>
    <cellStyle name="Normal 24 6" xfId="2746"/>
    <cellStyle name="Normal 24 6 2" xfId="4425"/>
    <cellStyle name="Normal 24 6 2 10" xfId="16222"/>
    <cellStyle name="Normal 24 6 2 2" xfId="6035"/>
    <cellStyle name="Normal 24 6 2 2 2" xfId="7640"/>
    <cellStyle name="Normal 24 6 2 2 2 2" xfId="10957"/>
    <cellStyle name="Normal 24 6 2 2 2 2 2" xfId="18828"/>
    <cellStyle name="Normal 24 6 2 2 3" xfId="7239"/>
    <cellStyle name="Normal 24 6 2 2 3 2" xfId="10958"/>
    <cellStyle name="Normal 24 6 2 2 3 2 2" xfId="18829"/>
    <cellStyle name="Normal 24 6 2 2 3 3" xfId="17486"/>
    <cellStyle name="Normal 24 6 2 2 4" xfId="10956"/>
    <cellStyle name="Normal 24 6 2 2 4 2" xfId="18827"/>
    <cellStyle name="Normal 24 6 2 2 5" xfId="15300"/>
    <cellStyle name="Normal 24 6 2 2 5 2" xfId="22099"/>
    <cellStyle name="Normal 24 6 2 2 6" xfId="16690"/>
    <cellStyle name="Normal 24 6 2 3" xfId="7639"/>
    <cellStyle name="Normal 24 6 2 3 2" xfId="10959"/>
    <cellStyle name="Normal 24 6 2 3 2 2" xfId="18830"/>
    <cellStyle name="Normal 24 6 2 4" xfId="6801"/>
    <cellStyle name="Normal 24 6 2 4 2" xfId="10960"/>
    <cellStyle name="Normal 24 6 2 4 2 2" xfId="18831"/>
    <cellStyle name="Normal 24 6 2 4 3" xfId="17048"/>
    <cellStyle name="Normal 24 6 2 5" xfId="10955"/>
    <cellStyle name="Normal 24 6 2 5 2" xfId="18826"/>
    <cellStyle name="Normal 24 6 2 6" xfId="14741"/>
    <cellStyle name="Normal 24 6 2 6 2" xfId="21661"/>
    <cellStyle name="Normal 24 6 2 7" xfId="15573"/>
    <cellStyle name="Normal 24 6 2 7 2" xfId="22328"/>
    <cellStyle name="Normal 24 6 2 8" xfId="15773"/>
    <cellStyle name="Normal 24 6 2 8 2" xfId="22519"/>
    <cellStyle name="Normal 24 6 2 9" xfId="16004"/>
    <cellStyle name="Normal 24 6 2 9 2" xfId="22732"/>
    <cellStyle name="Normal 24 6 3" xfId="5476"/>
    <cellStyle name="Normal 24 6 3 2" xfId="7641"/>
    <cellStyle name="Normal 24 6 3 2 2" xfId="10961"/>
    <cellStyle name="Normal 24 6 3 2 2 2" xfId="18832"/>
    <cellStyle name="Normal 24 6 4" xfId="6601"/>
    <cellStyle name="Normal 24 6 4 2" xfId="10962"/>
    <cellStyle name="Normal 24 6 4 2 2" xfId="18833"/>
    <cellStyle name="Normal 24 6 4 3" xfId="14526"/>
    <cellStyle name="Normal 24 6 4 3 2" xfId="21546"/>
    <cellStyle name="Normal 24 6 4 4" xfId="16984"/>
    <cellStyle name="Normal 24 6 5" xfId="7638"/>
    <cellStyle name="Normal 24 6 5 2" xfId="10963"/>
    <cellStyle name="Normal 24 6 5 2 2" xfId="18834"/>
    <cellStyle name="Normal 24 6 6" xfId="10954"/>
    <cellStyle name="Normal 24 6 6 2" xfId="18825"/>
    <cellStyle name="Normal 24 7" xfId="4426"/>
    <cellStyle name="Normal 24 7 2" xfId="7642"/>
    <cellStyle name="Normal 24 7 2 2" xfId="10964"/>
    <cellStyle name="Normal 24 7 2 2 2" xfId="18835"/>
    <cellStyle name="Normal 24 8" xfId="4427"/>
    <cellStyle name="Normal 24 8 2" xfId="7643"/>
    <cellStyle name="Normal 24 8 2 2" xfId="10965"/>
    <cellStyle name="Normal 24 8 2 2 2" xfId="18836"/>
    <cellStyle name="Normal 24 9" xfId="4428"/>
    <cellStyle name="Normal 24 9 2" xfId="7644"/>
    <cellStyle name="Normal 24 9 2 2" xfId="10966"/>
    <cellStyle name="Normal 24 9 2 2 2" xfId="18837"/>
    <cellStyle name="Normal 240" xfId="15937"/>
    <cellStyle name="Normal 240 2" xfId="22667"/>
    <cellStyle name="Normal 241" xfId="15897"/>
    <cellStyle name="Normal 241 2" xfId="22633"/>
    <cellStyle name="Normal 242" xfId="15893"/>
    <cellStyle name="Normal 242 2" xfId="22631"/>
    <cellStyle name="Normal 243" xfId="15891"/>
    <cellStyle name="Normal 243 2" xfId="22630"/>
    <cellStyle name="Normal 244" xfId="16068"/>
    <cellStyle name="Normal 244 2" xfId="22792"/>
    <cellStyle name="Normal 245" xfId="16278"/>
    <cellStyle name="Normal 246" xfId="16299"/>
    <cellStyle name="Normal 247" xfId="16280"/>
    <cellStyle name="Normal 248" xfId="22804"/>
    <cellStyle name="Normal 249" xfId="16082"/>
    <cellStyle name="Normal 25" xfId="2747"/>
    <cellStyle name="Normal 25 10" xfId="4429"/>
    <cellStyle name="Normal 25 10 2" xfId="7646"/>
    <cellStyle name="Normal 25 10 2 2" xfId="10967"/>
    <cellStyle name="Normal 25 10 2 2 2" xfId="18838"/>
    <cellStyle name="Normal 25 11" xfId="4430"/>
    <cellStyle name="Normal 25 11 2" xfId="7647"/>
    <cellStyle name="Normal 25 11 2 2" xfId="10968"/>
    <cellStyle name="Normal 25 11 2 2 2" xfId="18839"/>
    <cellStyle name="Normal 25 12" xfId="4431"/>
    <cellStyle name="Normal 25 12 2" xfId="7648"/>
    <cellStyle name="Normal 25 12 2 2" xfId="10969"/>
    <cellStyle name="Normal 25 12 2 2 2" xfId="18840"/>
    <cellStyle name="Normal 25 13" xfId="4432"/>
    <cellStyle name="Normal 25 13 2" xfId="7649"/>
    <cellStyle name="Normal 25 13 2 2" xfId="10970"/>
    <cellStyle name="Normal 25 13 2 2 2" xfId="18841"/>
    <cellStyle name="Normal 25 14" xfId="4433"/>
    <cellStyle name="Normal 25 14 2" xfId="7650"/>
    <cellStyle name="Normal 25 14 2 2" xfId="10971"/>
    <cellStyle name="Normal 25 14 2 2 2" xfId="18842"/>
    <cellStyle name="Normal 25 15" xfId="4434"/>
    <cellStyle name="Normal 25 15 2" xfId="7651"/>
    <cellStyle name="Normal 25 15 2 2" xfId="10972"/>
    <cellStyle name="Normal 25 15 2 2 2" xfId="18843"/>
    <cellStyle name="Normal 25 16" xfId="4435"/>
    <cellStyle name="Normal 25 16 2" xfId="7652"/>
    <cellStyle name="Normal 25 16 2 2" xfId="10973"/>
    <cellStyle name="Normal 25 16 2 2 2" xfId="18844"/>
    <cellStyle name="Normal 25 17" xfId="5780"/>
    <cellStyle name="Normal 25 17 2" xfId="7653"/>
    <cellStyle name="Normal 25 17 2 2" xfId="10975"/>
    <cellStyle name="Normal 25 17 2 2 2" xfId="18846"/>
    <cellStyle name="Normal 25 17 3" xfId="7030"/>
    <cellStyle name="Normal 25 17 3 2" xfId="10976"/>
    <cellStyle name="Normal 25 17 3 2 2" xfId="18847"/>
    <cellStyle name="Normal 25 17 3 3" xfId="17277"/>
    <cellStyle name="Normal 25 17 4" xfId="10974"/>
    <cellStyle name="Normal 25 17 4 2" xfId="18845"/>
    <cellStyle name="Normal 25 17 5" xfId="15091"/>
    <cellStyle name="Normal 25 17 5 2" xfId="21890"/>
    <cellStyle name="Normal 25 17 6" xfId="16481"/>
    <cellStyle name="Normal 25 18" xfId="6602"/>
    <cellStyle name="Normal 25 19" xfId="7645"/>
    <cellStyle name="Normal 25 19 2" xfId="10977"/>
    <cellStyle name="Normal 25 19 2 2" xfId="18848"/>
    <cellStyle name="Normal 25 2" xfId="2748"/>
    <cellStyle name="Normal 25 2 2" xfId="5346"/>
    <cellStyle name="Normal 25 2 2 2" xfId="7655"/>
    <cellStyle name="Normal 25 2 2 2 2" xfId="10978"/>
    <cellStyle name="Normal 25 2 2 2 2 2" xfId="18849"/>
    <cellStyle name="Normal 25 2 3" xfId="5477"/>
    <cellStyle name="Normal 25 2 3 2" xfId="7656"/>
    <cellStyle name="Normal 25 2 3 2 2" xfId="10979"/>
    <cellStyle name="Normal 25 2 3 2 2 2" xfId="18850"/>
    <cellStyle name="Normal 25 2 4" xfId="6603"/>
    <cellStyle name="Normal 25 2 5" xfId="7654"/>
    <cellStyle name="Normal 25 2 5 2" xfId="10980"/>
    <cellStyle name="Normal 25 2 5 2 2" xfId="18851"/>
    <cellStyle name="Normal 25 20" xfId="15456"/>
    <cellStyle name="Normal 25 20 2" xfId="22211"/>
    <cellStyle name="Normal 25 21" xfId="15655"/>
    <cellStyle name="Normal 25 21 2" xfId="22401"/>
    <cellStyle name="Normal 25 22" xfId="15849"/>
    <cellStyle name="Normal 25 22 2" xfId="22592"/>
    <cellStyle name="Normal 25 23" xfId="16100"/>
    <cellStyle name="Normal 25 3" xfId="2749"/>
    <cellStyle name="Normal 25 3 2" xfId="4436"/>
    <cellStyle name="Normal 25 3 2 2" xfId="7658"/>
    <cellStyle name="Normal 25 3 2 2 2" xfId="10981"/>
    <cellStyle name="Normal 25 3 2 2 2 2" xfId="18852"/>
    <cellStyle name="Normal 25 3 3" xfId="5478"/>
    <cellStyle name="Normal 25 3 3 2" xfId="7659"/>
    <cellStyle name="Normal 25 3 3 2 2" xfId="10982"/>
    <cellStyle name="Normal 25 3 3 2 2 2" xfId="18853"/>
    <cellStyle name="Normal 25 3 4" xfId="6604"/>
    <cellStyle name="Normal 25 3 5" xfId="7657"/>
    <cellStyle name="Normal 25 3 5 2" xfId="10983"/>
    <cellStyle name="Normal 25 3 5 2 2" xfId="18854"/>
    <cellStyle name="Normal 25 4" xfId="2750"/>
    <cellStyle name="Normal 25 4 2" xfId="4437"/>
    <cellStyle name="Normal 25 4 2 2" xfId="7661"/>
    <cellStyle name="Normal 25 4 2 2 2" xfId="10984"/>
    <cellStyle name="Normal 25 4 2 2 2 2" xfId="18855"/>
    <cellStyle name="Normal 25 4 3" xfId="5479"/>
    <cellStyle name="Normal 25 4 3 2" xfId="7662"/>
    <cellStyle name="Normal 25 4 3 2 2" xfId="10985"/>
    <cellStyle name="Normal 25 4 3 2 2 2" xfId="18856"/>
    <cellStyle name="Normal 25 4 4" xfId="6605"/>
    <cellStyle name="Normal 25 4 5" xfId="7660"/>
    <cellStyle name="Normal 25 4 5 2" xfId="10986"/>
    <cellStyle name="Normal 25 4 5 2 2" xfId="18857"/>
    <cellStyle name="Normal 25 5" xfId="2751"/>
    <cellStyle name="Normal 25 5 2" xfId="4438"/>
    <cellStyle name="Normal 25 5 2 2" xfId="7664"/>
    <cellStyle name="Normal 25 5 2 2 2" xfId="10987"/>
    <cellStyle name="Normal 25 5 2 2 2 2" xfId="18858"/>
    <cellStyle name="Normal 25 5 3" xfId="5480"/>
    <cellStyle name="Normal 25 5 3 2" xfId="7665"/>
    <cellStyle name="Normal 25 5 3 2 2" xfId="10988"/>
    <cellStyle name="Normal 25 5 3 2 2 2" xfId="18859"/>
    <cellStyle name="Normal 25 5 4" xfId="6606"/>
    <cellStyle name="Normal 25 5 5" xfId="7663"/>
    <cellStyle name="Normal 25 5 5 2" xfId="10989"/>
    <cellStyle name="Normal 25 5 5 2 2" xfId="18860"/>
    <cellStyle name="Normal 25 6" xfId="2752"/>
    <cellStyle name="Normal 25 6 2" xfId="4439"/>
    <cellStyle name="Normal 25 6 2 10" xfId="16223"/>
    <cellStyle name="Normal 25 6 2 2" xfId="6036"/>
    <cellStyle name="Normal 25 6 2 2 2" xfId="7668"/>
    <cellStyle name="Normal 25 6 2 2 2 2" xfId="10993"/>
    <cellStyle name="Normal 25 6 2 2 2 2 2" xfId="18864"/>
    <cellStyle name="Normal 25 6 2 2 3" xfId="7240"/>
    <cellStyle name="Normal 25 6 2 2 3 2" xfId="10994"/>
    <cellStyle name="Normal 25 6 2 2 3 2 2" xfId="18865"/>
    <cellStyle name="Normal 25 6 2 2 3 3" xfId="17487"/>
    <cellStyle name="Normal 25 6 2 2 4" xfId="10992"/>
    <cellStyle name="Normal 25 6 2 2 4 2" xfId="18863"/>
    <cellStyle name="Normal 25 6 2 2 5" xfId="15301"/>
    <cellStyle name="Normal 25 6 2 2 5 2" xfId="22100"/>
    <cellStyle name="Normal 25 6 2 2 6" xfId="16691"/>
    <cellStyle name="Normal 25 6 2 3" xfId="7667"/>
    <cellStyle name="Normal 25 6 2 3 2" xfId="10995"/>
    <cellStyle name="Normal 25 6 2 3 2 2" xfId="18866"/>
    <cellStyle name="Normal 25 6 2 4" xfId="6802"/>
    <cellStyle name="Normal 25 6 2 4 2" xfId="10996"/>
    <cellStyle name="Normal 25 6 2 4 2 2" xfId="18867"/>
    <cellStyle name="Normal 25 6 2 4 3" xfId="17049"/>
    <cellStyle name="Normal 25 6 2 5" xfId="10991"/>
    <cellStyle name="Normal 25 6 2 5 2" xfId="18862"/>
    <cellStyle name="Normal 25 6 2 6" xfId="14742"/>
    <cellStyle name="Normal 25 6 2 6 2" xfId="21662"/>
    <cellStyle name="Normal 25 6 2 7" xfId="15574"/>
    <cellStyle name="Normal 25 6 2 7 2" xfId="22329"/>
    <cellStyle name="Normal 25 6 2 8" xfId="15774"/>
    <cellStyle name="Normal 25 6 2 8 2" xfId="22520"/>
    <cellStyle name="Normal 25 6 2 9" xfId="16005"/>
    <cellStyle name="Normal 25 6 2 9 2" xfId="22733"/>
    <cellStyle name="Normal 25 6 3" xfId="5481"/>
    <cellStyle name="Normal 25 6 3 2" xfId="7669"/>
    <cellStyle name="Normal 25 6 3 2 2" xfId="10997"/>
    <cellStyle name="Normal 25 6 3 2 2 2" xfId="18868"/>
    <cellStyle name="Normal 25 6 4" xfId="6607"/>
    <cellStyle name="Normal 25 6 4 2" xfId="10998"/>
    <cellStyle name="Normal 25 6 4 2 2" xfId="18869"/>
    <cellStyle name="Normal 25 6 4 3" xfId="14527"/>
    <cellStyle name="Normal 25 6 4 3 2" xfId="21547"/>
    <cellStyle name="Normal 25 6 4 4" xfId="16985"/>
    <cellStyle name="Normal 25 6 5" xfId="7666"/>
    <cellStyle name="Normal 25 6 5 2" xfId="10999"/>
    <cellStyle name="Normal 25 6 5 2 2" xfId="18870"/>
    <cellStyle name="Normal 25 6 6" xfId="10990"/>
    <cellStyle name="Normal 25 6 6 2" xfId="18861"/>
    <cellStyle name="Normal 25 7" xfId="4440"/>
    <cellStyle name="Normal 25 7 2" xfId="7670"/>
    <cellStyle name="Normal 25 7 2 2" xfId="11000"/>
    <cellStyle name="Normal 25 7 2 2 2" xfId="18871"/>
    <cellStyle name="Normal 25 8" xfId="4441"/>
    <cellStyle name="Normal 25 8 2" xfId="7671"/>
    <cellStyle name="Normal 25 8 2 2" xfId="11001"/>
    <cellStyle name="Normal 25 8 2 2 2" xfId="18872"/>
    <cellStyle name="Normal 25 9" xfId="4442"/>
    <cellStyle name="Normal 25 9 2" xfId="7672"/>
    <cellStyle name="Normal 25 9 2 2" xfId="11002"/>
    <cellStyle name="Normal 25 9 2 2 2" xfId="18873"/>
    <cellStyle name="Normal 250" xfId="16118"/>
    <cellStyle name="Normal 251" xfId="22808"/>
    <cellStyle name="Normal 252" xfId="22819"/>
    <cellStyle name="Normal 253" xfId="22823"/>
    <cellStyle name="Normal 26" xfId="2753"/>
    <cellStyle name="Normal 26 10" xfId="6608"/>
    <cellStyle name="Normal 26 11" xfId="7673"/>
    <cellStyle name="Normal 26 11 2" xfId="11003"/>
    <cellStyle name="Normal 26 11 2 2" xfId="18874"/>
    <cellStyle name="Normal 26 12" xfId="15457"/>
    <cellStyle name="Normal 26 12 2" xfId="22212"/>
    <cellStyle name="Normal 26 13" xfId="15656"/>
    <cellStyle name="Normal 26 13 2" xfId="22402"/>
    <cellStyle name="Normal 26 14" xfId="15850"/>
    <cellStyle name="Normal 26 14 2" xfId="22593"/>
    <cellStyle name="Normal 26 15" xfId="16101"/>
    <cellStyle name="Normal 26 2" xfId="2754"/>
    <cellStyle name="Normal 26 2 2" xfId="4443"/>
    <cellStyle name="Normal 26 2 2 2" xfId="7675"/>
    <cellStyle name="Normal 26 2 2 2 2" xfId="11004"/>
    <cellStyle name="Normal 26 2 2 2 2 2" xfId="18875"/>
    <cellStyle name="Normal 26 2 3" xfId="5482"/>
    <cellStyle name="Normal 26 2 3 2" xfId="7676"/>
    <cellStyle name="Normal 26 2 3 2 2" xfId="11005"/>
    <cellStyle name="Normal 26 2 3 2 2 2" xfId="18876"/>
    <cellStyle name="Normal 26 2 4" xfId="7674"/>
    <cellStyle name="Normal 26 2 4 2" xfId="11006"/>
    <cellStyle name="Normal 26 2 4 2 2" xfId="18877"/>
    <cellStyle name="Normal 26 3" xfId="2755"/>
    <cellStyle name="Normal 26 3 2" xfId="7677"/>
    <cellStyle name="Normal 26 3 2 2" xfId="11007"/>
    <cellStyle name="Normal 26 3 2 2 2" xfId="18878"/>
    <cellStyle name="Normal 26 4" xfId="2756"/>
    <cellStyle name="Normal 26 4 2" xfId="7678"/>
    <cellStyle name="Normal 26 4 2 2" xfId="11008"/>
    <cellStyle name="Normal 26 4 2 2 2" xfId="18879"/>
    <cellStyle name="Normal 26 5" xfId="2757"/>
    <cellStyle name="Normal 26 5 2" xfId="7679"/>
    <cellStyle name="Normal 26 5 2 2" xfId="11009"/>
    <cellStyle name="Normal 26 5 2 2 2" xfId="18880"/>
    <cellStyle name="Normal 26 6" xfId="2758"/>
    <cellStyle name="Normal 26 6 10" xfId="16006"/>
    <cellStyle name="Normal 26 6 10 2" xfId="22734"/>
    <cellStyle name="Normal 26 6 11" xfId="16224"/>
    <cellStyle name="Normal 26 6 2" xfId="5681"/>
    <cellStyle name="Normal 26 6 2 2" xfId="7681"/>
    <cellStyle name="Normal 26 6 2 2 2" xfId="11012"/>
    <cellStyle name="Normal 26 6 2 2 2 2" xfId="18883"/>
    <cellStyle name="Normal 26 6 2 3" xfId="6999"/>
    <cellStyle name="Normal 26 6 2 3 2" xfId="11013"/>
    <cellStyle name="Normal 26 6 2 3 2 2" xfId="18884"/>
    <cellStyle name="Normal 26 6 2 3 3" xfId="17246"/>
    <cellStyle name="Normal 26 6 2 4" xfId="11011"/>
    <cellStyle name="Normal 26 6 2 4 2" xfId="18882"/>
    <cellStyle name="Normal 26 6 2 5" xfId="15055"/>
    <cellStyle name="Normal 26 6 2 5 2" xfId="21859"/>
    <cellStyle name="Normal 26 6 2 6" xfId="16450"/>
    <cellStyle name="Normal 26 6 3" xfId="6037"/>
    <cellStyle name="Normal 26 6 3 2" xfId="7682"/>
    <cellStyle name="Normal 26 6 3 2 2" xfId="11015"/>
    <cellStyle name="Normal 26 6 3 2 2 2" xfId="18886"/>
    <cellStyle name="Normal 26 6 3 3" xfId="7241"/>
    <cellStyle name="Normal 26 6 3 3 2" xfId="11016"/>
    <cellStyle name="Normal 26 6 3 3 2 2" xfId="18887"/>
    <cellStyle name="Normal 26 6 3 3 3" xfId="17488"/>
    <cellStyle name="Normal 26 6 3 4" xfId="11014"/>
    <cellStyle name="Normal 26 6 3 4 2" xfId="18885"/>
    <cellStyle name="Normal 26 6 3 5" xfId="15302"/>
    <cellStyle name="Normal 26 6 3 5 2" xfId="22101"/>
    <cellStyle name="Normal 26 6 3 6" xfId="16692"/>
    <cellStyle name="Normal 26 6 4" xfId="7680"/>
    <cellStyle name="Normal 26 6 4 2" xfId="11017"/>
    <cellStyle name="Normal 26 6 4 2 2" xfId="18888"/>
    <cellStyle name="Normal 26 6 5" xfId="6609"/>
    <cellStyle name="Normal 26 6 5 2" xfId="11018"/>
    <cellStyle name="Normal 26 6 5 2 2" xfId="18889"/>
    <cellStyle name="Normal 26 6 5 3" xfId="16986"/>
    <cellStyle name="Normal 26 6 6" xfId="11010"/>
    <cellStyle name="Normal 26 6 6 2" xfId="18881"/>
    <cellStyle name="Normal 26 6 7" xfId="14528"/>
    <cellStyle name="Normal 26 6 7 2" xfId="21548"/>
    <cellStyle name="Normal 26 6 8" xfId="15575"/>
    <cellStyle name="Normal 26 6 8 2" xfId="22330"/>
    <cellStyle name="Normal 26 6 9" xfId="15775"/>
    <cellStyle name="Normal 26 6 9 2" xfId="22521"/>
    <cellStyle name="Normal 26 7" xfId="4444"/>
    <cellStyle name="Normal 26 7 2" xfId="7683"/>
    <cellStyle name="Normal 26 7 2 2" xfId="11019"/>
    <cellStyle name="Normal 26 7 2 2 2" xfId="18890"/>
    <cellStyle name="Normal 26 8" xfId="5115"/>
    <cellStyle name="Normal 26 8 2" xfId="7684"/>
    <cellStyle name="Normal 26 8 2 2" xfId="11021"/>
    <cellStyle name="Normal 26 8 2 2 2" xfId="18892"/>
    <cellStyle name="Normal 26 8 3" xfId="6897"/>
    <cellStyle name="Normal 26 8 3 2" xfId="11022"/>
    <cellStyle name="Normal 26 8 3 2 2" xfId="18893"/>
    <cellStyle name="Normal 26 8 3 3" xfId="17144"/>
    <cellStyle name="Normal 26 8 4" xfId="11020"/>
    <cellStyle name="Normal 26 8 4 2" xfId="18891"/>
    <cellStyle name="Normal 26 8 5" xfId="14853"/>
    <cellStyle name="Normal 26 8 5 2" xfId="21757"/>
    <cellStyle name="Normal 26 8 6" xfId="16377"/>
    <cellStyle name="Normal 26 9" xfId="5781"/>
    <cellStyle name="Normal 26 9 2" xfId="7685"/>
    <cellStyle name="Normal 26 9 2 2" xfId="11024"/>
    <cellStyle name="Normal 26 9 2 2 2" xfId="18895"/>
    <cellStyle name="Normal 26 9 3" xfId="7031"/>
    <cellStyle name="Normal 26 9 3 2" xfId="11025"/>
    <cellStyle name="Normal 26 9 3 2 2" xfId="18896"/>
    <cellStyle name="Normal 26 9 3 3" xfId="17278"/>
    <cellStyle name="Normal 26 9 4" xfId="11023"/>
    <cellStyle name="Normal 26 9 4 2" xfId="18894"/>
    <cellStyle name="Normal 26 9 5" xfId="15092"/>
    <cellStyle name="Normal 26 9 5 2" xfId="21891"/>
    <cellStyle name="Normal 26 9 6" xfId="16482"/>
    <cellStyle name="Normal 27" xfId="2759"/>
    <cellStyle name="Normal 27 10" xfId="4445"/>
    <cellStyle name="Normal 27 10 2" xfId="7687"/>
    <cellStyle name="Normal 27 10 2 2" xfId="11026"/>
    <cellStyle name="Normal 27 10 2 2 2" xfId="18897"/>
    <cellStyle name="Normal 27 11" xfId="4446"/>
    <cellStyle name="Normal 27 11 2" xfId="7688"/>
    <cellStyle name="Normal 27 11 2 2" xfId="11027"/>
    <cellStyle name="Normal 27 11 2 2 2" xfId="18898"/>
    <cellStyle name="Normal 27 12" xfId="4447"/>
    <cellStyle name="Normal 27 12 2" xfId="7689"/>
    <cellStyle name="Normal 27 12 2 2" xfId="11028"/>
    <cellStyle name="Normal 27 12 2 2 2" xfId="18899"/>
    <cellStyle name="Normal 27 13" xfId="4448"/>
    <cellStyle name="Normal 27 13 2" xfId="7690"/>
    <cellStyle name="Normal 27 13 2 2" xfId="11029"/>
    <cellStyle name="Normal 27 13 2 2 2" xfId="18900"/>
    <cellStyle name="Normal 27 14" xfId="4449"/>
    <cellStyle name="Normal 27 14 2" xfId="7691"/>
    <cellStyle name="Normal 27 14 2 2" xfId="11030"/>
    <cellStyle name="Normal 27 14 2 2 2" xfId="18901"/>
    <cellStyle name="Normal 27 15" xfId="4450"/>
    <cellStyle name="Normal 27 15 2" xfId="7692"/>
    <cellStyle name="Normal 27 15 2 2" xfId="11031"/>
    <cellStyle name="Normal 27 15 2 2 2" xfId="18902"/>
    <cellStyle name="Normal 27 16" xfId="4451"/>
    <cellStyle name="Normal 27 16 2" xfId="7693"/>
    <cellStyle name="Normal 27 16 2 2" xfId="11032"/>
    <cellStyle name="Normal 27 16 2 2 2" xfId="18903"/>
    <cellStyle name="Normal 27 17" xfId="5782"/>
    <cellStyle name="Normal 27 17 2" xfId="7694"/>
    <cellStyle name="Normal 27 17 2 2" xfId="11034"/>
    <cellStyle name="Normal 27 17 2 2 2" xfId="18905"/>
    <cellStyle name="Normal 27 17 3" xfId="7032"/>
    <cellStyle name="Normal 27 17 3 2" xfId="11035"/>
    <cellStyle name="Normal 27 17 3 2 2" xfId="18906"/>
    <cellStyle name="Normal 27 17 3 3" xfId="17279"/>
    <cellStyle name="Normal 27 17 4" xfId="11033"/>
    <cellStyle name="Normal 27 17 4 2" xfId="18904"/>
    <cellStyle name="Normal 27 17 5" xfId="15093"/>
    <cellStyle name="Normal 27 17 5 2" xfId="21892"/>
    <cellStyle name="Normal 27 17 6" xfId="16483"/>
    <cellStyle name="Normal 27 18" xfId="6610"/>
    <cellStyle name="Normal 27 19" xfId="7686"/>
    <cellStyle name="Normal 27 19 2" xfId="11036"/>
    <cellStyle name="Normal 27 19 2 2" xfId="18907"/>
    <cellStyle name="Normal 27 2" xfId="2760"/>
    <cellStyle name="Normal 27 2 2" xfId="4452"/>
    <cellStyle name="Normal 27 2 2 10" xfId="16225"/>
    <cellStyle name="Normal 27 2 2 2" xfId="6038"/>
    <cellStyle name="Normal 27 2 2 2 2" xfId="7697"/>
    <cellStyle name="Normal 27 2 2 2 2 2" xfId="11040"/>
    <cellStyle name="Normal 27 2 2 2 2 2 2" xfId="18911"/>
    <cellStyle name="Normal 27 2 2 2 3" xfId="7242"/>
    <cellStyle name="Normal 27 2 2 2 3 2" xfId="11041"/>
    <cellStyle name="Normal 27 2 2 2 3 2 2" xfId="18912"/>
    <cellStyle name="Normal 27 2 2 2 3 3" xfId="17489"/>
    <cellStyle name="Normal 27 2 2 2 4" xfId="11039"/>
    <cellStyle name="Normal 27 2 2 2 4 2" xfId="18910"/>
    <cellStyle name="Normal 27 2 2 2 5" xfId="15303"/>
    <cellStyle name="Normal 27 2 2 2 5 2" xfId="22102"/>
    <cellStyle name="Normal 27 2 2 2 6" xfId="16693"/>
    <cellStyle name="Normal 27 2 2 3" xfId="7696"/>
    <cellStyle name="Normal 27 2 2 3 2" xfId="11042"/>
    <cellStyle name="Normal 27 2 2 3 2 2" xfId="18913"/>
    <cellStyle name="Normal 27 2 2 4" xfId="6803"/>
    <cellStyle name="Normal 27 2 2 4 2" xfId="11043"/>
    <cellStyle name="Normal 27 2 2 4 2 2" xfId="18914"/>
    <cellStyle name="Normal 27 2 2 4 3" xfId="17050"/>
    <cellStyle name="Normal 27 2 2 5" xfId="11038"/>
    <cellStyle name="Normal 27 2 2 5 2" xfId="18909"/>
    <cellStyle name="Normal 27 2 2 6" xfId="14743"/>
    <cellStyle name="Normal 27 2 2 6 2" xfId="21663"/>
    <cellStyle name="Normal 27 2 2 7" xfId="15576"/>
    <cellStyle name="Normal 27 2 2 7 2" xfId="22331"/>
    <cellStyle name="Normal 27 2 2 8" xfId="15776"/>
    <cellStyle name="Normal 27 2 2 8 2" xfId="22522"/>
    <cellStyle name="Normal 27 2 2 9" xfId="16007"/>
    <cellStyle name="Normal 27 2 2 9 2" xfId="22735"/>
    <cellStyle name="Normal 27 2 3" xfId="5483"/>
    <cellStyle name="Normal 27 2 3 2" xfId="7698"/>
    <cellStyle name="Normal 27 2 3 2 2" xfId="11044"/>
    <cellStyle name="Normal 27 2 3 2 2 2" xfId="18915"/>
    <cellStyle name="Normal 27 2 4" xfId="6611"/>
    <cellStyle name="Normal 27 2 4 2" xfId="11045"/>
    <cellStyle name="Normal 27 2 4 2 2" xfId="18916"/>
    <cellStyle name="Normal 27 2 4 3" xfId="14529"/>
    <cellStyle name="Normal 27 2 4 3 2" xfId="21549"/>
    <cellStyle name="Normal 27 2 4 4" xfId="16987"/>
    <cellStyle name="Normal 27 2 5" xfId="7695"/>
    <cellStyle name="Normal 27 2 5 2" xfId="11046"/>
    <cellStyle name="Normal 27 2 5 2 2" xfId="18917"/>
    <cellStyle name="Normal 27 2 6" xfId="11037"/>
    <cellStyle name="Normal 27 2 6 2" xfId="18908"/>
    <cellStyle name="Normal 27 20" xfId="15458"/>
    <cellStyle name="Normal 27 20 2" xfId="22213"/>
    <cellStyle name="Normal 27 21" xfId="15657"/>
    <cellStyle name="Normal 27 21 2" xfId="22403"/>
    <cellStyle name="Normal 27 22" xfId="15851"/>
    <cellStyle name="Normal 27 22 2" xfId="22594"/>
    <cellStyle name="Normal 27 23" xfId="16102"/>
    <cellStyle name="Normal 27 3" xfId="4453"/>
    <cellStyle name="Normal 27 3 2" xfId="7699"/>
    <cellStyle name="Normal 27 3 2 2" xfId="11047"/>
    <cellStyle name="Normal 27 3 2 2 2" xfId="18918"/>
    <cellStyle name="Normal 27 4" xfId="4454"/>
    <cellStyle name="Normal 27 4 2" xfId="7700"/>
    <cellStyle name="Normal 27 4 2 2" xfId="11048"/>
    <cellStyle name="Normal 27 4 2 2 2" xfId="18919"/>
    <cellStyle name="Normal 27 5" xfId="4455"/>
    <cellStyle name="Normal 27 5 2" xfId="7701"/>
    <cellStyle name="Normal 27 5 2 2" xfId="11049"/>
    <cellStyle name="Normal 27 5 2 2 2" xfId="18920"/>
    <cellStyle name="Normal 27 6" xfId="4456"/>
    <cellStyle name="Normal 27 6 2" xfId="7702"/>
    <cellStyle name="Normal 27 6 2 2" xfId="11050"/>
    <cellStyle name="Normal 27 6 2 2 2" xfId="18921"/>
    <cellStyle name="Normal 27 7" xfId="4457"/>
    <cellStyle name="Normal 27 7 2" xfId="7703"/>
    <cellStyle name="Normal 27 7 2 2" xfId="11051"/>
    <cellStyle name="Normal 27 7 2 2 2" xfId="18922"/>
    <cellStyle name="Normal 27 8" xfId="4458"/>
    <cellStyle name="Normal 27 8 2" xfId="7704"/>
    <cellStyle name="Normal 27 8 2 2" xfId="11052"/>
    <cellStyle name="Normal 27 8 2 2 2" xfId="18923"/>
    <cellStyle name="Normal 27 9" xfId="4459"/>
    <cellStyle name="Normal 27 9 2" xfId="7705"/>
    <cellStyle name="Normal 27 9 2 2" xfId="11053"/>
    <cellStyle name="Normal 27 9 2 2 2" xfId="18924"/>
    <cellStyle name="Normal 28" xfId="2761"/>
    <cellStyle name="Normal 28 10" xfId="4460"/>
    <cellStyle name="Normal 28 10 2" xfId="7707"/>
    <cellStyle name="Normal 28 10 2 2" xfId="11054"/>
    <cellStyle name="Normal 28 10 2 2 2" xfId="18925"/>
    <cellStyle name="Normal 28 11" xfId="4461"/>
    <cellStyle name="Normal 28 11 2" xfId="7708"/>
    <cellStyle name="Normal 28 11 2 2" xfId="11055"/>
    <cellStyle name="Normal 28 11 2 2 2" xfId="18926"/>
    <cellStyle name="Normal 28 12" xfId="4462"/>
    <cellStyle name="Normal 28 12 2" xfId="7709"/>
    <cellStyle name="Normal 28 12 2 2" xfId="11056"/>
    <cellStyle name="Normal 28 12 2 2 2" xfId="18927"/>
    <cellStyle name="Normal 28 13" xfId="4463"/>
    <cellStyle name="Normal 28 13 2" xfId="7710"/>
    <cellStyle name="Normal 28 13 2 2" xfId="11057"/>
    <cellStyle name="Normal 28 13 2 2 2" xfId="18928"/>
    <cellStyle name="Normal 28 14" xfId="4464"/>
    <cellStyle name="Normal 28 14 2" xfId="7711"/>
    <cellStyle name="Normal 28 14 2 2" xfId="11058"/>
    <cellStyle name="Normal 28 14 2 2 2" xfId="18929"/>
    <cellStyle name="Normal 28 15" xfId="4465"/>
    <cellStyle name="Normal 28 15 2" xfId="7712"/>
    <cellStyle name="Normal 28 15 2 2" xfId="11059"/>
    <cellStyle name="Normal 28 15 2 2 2" xfId="18930"/>
    <cellStyle name="Normal 28 16" xfId="4466"/>
    <cellStyle name="Normal 28 16 2" xfId="7713"/>
    <cellStyle name="Normal 28 16 2 2" xfId="11060"/>
    <cellStyle name="Normal 28 16 2 2 2" xfId="18931"/>
    <cellStyle name="Normal 28 17" xfId="5783"/>
    <cellStyle name="Normal 28 17 2" xfId="7714"/>
    <cellStyle name="Normal 28 17 2 2" xfId="11062"/>
    <cellStyle name="Normal 28 17 2 2 2" xfId="18933"/>
    <cellStyle name="Normal 28 17 3" xfId="7033"/>
    <cellStyle name="Normal 28 17 3 2" xfId="11063"/>
    <cellStyle name="Normal 28 17 3 2 2" xfId="18934"/>
    <cellStyle name="Normal 28 17 3 3" xfId="17280"/>
    <cellStyle name="Normal 28 17 4" xfId="11061"/>
    <cellStyle name="Normal 28 17 4 2" xfId="18932"/>
    <cellStyle name="Normal 28 17 5" xfId="15094"/>
    <cellStyle name="Normal 28 17 5 2" xfId="21893"/>
    <cellStyle name="Normal 28 17 6" xfId="16484"/>
    <cellStyle name="Normal 28 18" xfId="6612"/>
    <cellStyle name="Normal 28 19" xfId="7706"/>
    <cellStyle name="Normal 28 19 2" xfId="11064"/>
    <cellStyle name="Normal 28 19 2 2" xfId="18935"/>
    <cellStyle name="Normal 28 2" xfId="2762"/>
    <cellStyle name="Normal 28 2 2" xfId="4467"/>
    <cellStyle name="Normal 28 2 2 10" xfId="16226"/>
    <cellStyle name="Normal 28 2 2 2" xfId="6039"/>
    <cellStyle name="Normal 28 2 2 2 2" xfId="7717"/>
    <cellStyle name="Normal 28 2 2 2 2 2" xfId="11068"/>
    <cellStyle name="Normal 28 2 2 2 2 2 2" xfId="18939"/>
    <cellStyle name="Normal 28 2 2 2 3" xfId="7243"/>
    <cellStyle name="Normal 28 2 2 2 3 2" xfId="11069"/>
    <cellStyle name="Normal 28 2 2 2 3 2 2" xfId="18940"/>
    <cellStyle name="Normal 28 2 2 2 3 3" xfId="17490"/>
    <cellStyle name="Normal 28 2 2 2 4" xfId="11067"/>
    <cellStyle name="Normal 28 2 2 2 4 2" xfId="18938"/>
    <cellStyle name="Normal 28 2 2 2 5" xfId="15304"/>
    <cellStyle name="Normal 28 2 2 2 5 2" xfId="22103"/>
    <cellStyle name="Normal 28 2 2 2 6" xfId="16694"/>
    <cellStyle name="Normal 28 2 2 3" xfId="7716"/>
    <cellStyle name="Normal 28 2 2 3 2" xfId="11070"/>
    <cellStyle name="Normal 28 2 2 3 2 2" xfId="18941"/>
    <cellStyle name="Normal 28 2 2 4" xfId="6804"/>
    <cellStyle name="Normal 28 2 2 4 2" xfId="11071"/>
    <cellStyle name="Normal 28 2 2 4 2 2" xfId="18942"/>
    <cellStyle name="Normal 28 2 2 4 3" xfId="17051"/>
    <cellStyle name="Normal 28 2 2 5" xfId="11066"/>
    <cellStyle name="Normal 28 2 2 5 2" xfId="18937"/>
    <cellStyle name="Normal 28 2 2 6" xfId="14744"/>
    <cellStyle name="Normal 28 2 2 6 2" xfId="21664"/>
    <cellStyle name="Normal 28 2 2 7" xfId="15577"/>
    <cellStyle name="Normal 28 2 2 7 2" xfId="22332"/>
    <cellStyle name="Normal 28 2 2 8" xfId="15777"/>
    <cellStyle name="Normal 28 2 2 8 2" xfId="22523"/>
    <cellStyle name="Normal 28 2 2 9" xfId="16008"/>
    <cellStyle name="Normal 28 2 2 9 2" xfId="22736"/>
    <cellStyle name="Normal 28 2 3" xfId="5484"/>
    <cellStyle name="Normal 28 2 3 2" xfId="7718"/>
    <cellStyle name="Normal 28 2 3 2 2" xfId="11072"/>
    <cellStyle name="Normal 28 2 3 2 2 2" xfId="18943"/>
    <cellStyle name="Normal 28 2 4" xfId="6613"/>
    <cellStyle name="Normal 28 2 4 2" xfId="11073"/>
    <cellStyle name="Normal 28 2 4 2 2" xfId="18944"/>
    <cellStyle name="Normal 28 2 4 3" xfId="14530"/>
    <cellStyle name="Normal 28 2 4 3 2" xfId="21550"/>
    <cellStyle name="Normal 28 2 4 4" xfId="16988"/>
    <cellStyle name="Normal 28 2 5" xfId="7715"/>
    <cellStyle name="Normal 28 2 5 2" xfId="11074"/>
    <cellStyle name="Normal 28 2 5 2 2" xfId="18945"/>
    <cellStyle name="Normal 28 2 6" xfId="11065"/>
    <cellStyle name="Normal 28 2 6 2" xfId="18936"/>
    <cellStyle name="Normal 28 20" xfId="15459"/>
    <cellStyle name="Normal 28 20 2" xfId="22214"/>
    <cellStyle name="Normal 28 21" xfId="15658"/>
    <cellStyle name="Normal 28 21 2" xfId="22404"/>
    <cellStyle name="Normal 28 22" xfId="15852"/>
    <cellStyle name="Normal 28 22 2" xfId="22595"/>
    <cellStyle name="Normal 28 23" xfId="16103"/>
    <cellStyle name="Normal 28 3" xfId="4468"/>
    <cellStyle name="Normal 28 3 2" xfId="7719"/>
    <cellStyle name="Normal 28 3 2 2" xfId="11075"/>
    <cellStyle name="Normal 28 3 2 2 2" xfId="18946"/>
    <cellStyle name="Normal 28 4" xfId="4469"/>
    <cellStyle name="Normal 28 4 2" xfId="7720"/>
    <cellStyle name="Normal 28 4 2 2" xfId="11076"/>
    <cellStyle name="Normal 28 4 2 2 2" xfId="18947"/>
    <cellStyle name="Normal 28 5" xfId="4470"/>
    <cellStyle name="Normal 28 5 2" xfId="7721"/>
    <cellStyle name="Normal 28 5 2 2" xfId="11077"/>
    <cellStyle name="Normal 28 5 2 2 2" xfId="18948"/>
    <cellStyle name="Normal 28 6" xfId="4471"/>
    <cellStyle name="Normal 28 6 2" xfId="7722"/>
    <cellStyle name="Normal 28 6 2 2" xfId="11078"/>
    <cellStyle name="Normal 28 6 2 2 2" xfId="18949"/>
    <cellStyle name="Normal 28 7" xfId="4472"/>
    <cellStyle name="Normal 28 7 2" xfId="7723"/>
    <cellStyle name="Normal 28 7 2 2" xfId="11079"/>
    <cellStyle name="Normal 28 7 2 2 2" xfId="18950"/>
    <cellStyle name="Normal 28 8" xfId="4473"/>
    <cellStyle name="Normal 28 8 2" xfId="7724"/>
    <cellStyle name="Normal 28 8 2 2" xfId="11080"/>
    <cellStyle name="Normal 28 8 2 2 2" xfId="18951"/>
    <cellStyle name="Normal 28 9" xfId="4474"/>
    <cellStyle name="Normal 28 9 2" xfId="7725"/>
    <cellStyle name="Normal 28 9 2 2" xfId="11081"/>
    <cellStyle name="Normal 28 9 2 2 2" xfId="18952"/>
    <cellStyle name="Normal 29" xfId="2763"/>
    <cellStyle name="Normal 29 10" xfId="4475"/>
    <cellStyle name="Normal 29 10 2" xfId="7727"/>
    <cellStyle name="Normal 29 10 2 2" xfId="11083"/>
    <cellStyle name="Normal 29 10 2 2 2" xfId="18954"/>
    <cellStyle name="Normal 29 11" xfId="4476"/>
    <cellStyle name="Normal 29 11 2" xfId="7728"/>
    <cellStyle name="Normal 29 11 2 2" xfId="11084"/>
    <cellStyle name="Normal 29 11 2 2 2" xfId="18955"/>
    <cellStyle name="Normal 29 12" xfId="4477"/>
    <cellStyle name="Normal 29 12 2" xfId="7729"/>
    <cellStyle name="Normal 29 12 2 2" xfId="11085"/>
    <cellStyle name="Normal 29 12 2 2 2" xfId="18956"/>
    <cellStyle name="Normal 29 13" xfId="4478"/>
    <cellStyle name="Normal 29 13 2" xfId="7730"/>
    <cellStyle name="Normal 29 13 2 2" xfId="11086"/>
    <cellStyle name="Normal 29 13 2 2 2" xfId="18957"/>
    <cellStyle name="Normal 29 14" xfId="4479"/>
    <cellStyle name="Normal 29 14 2" xfId="7731"/>
    <cellStyle name="Normal 29 14 2 2" xfId="11087"/>
    <cellStyle name="Normal 29 14 2 2 2" xfId="18958"/>
    <cellStyle name="Normal 29 15" xfId="4480"/>
    <cellStyle name="Normal 29 15 2" xfId="7732"/>
    <cellStyle name="Normal 29 15 2 2" xfId="11088"/>
    <cellStyle name="Normal 29 15 2 2 2" xfId="18959"/>
    <cellStyle name="Normal 29 16" xfId="5784"/>
    <cellStyle name="Normal 29 16 2" xfId="7733"/>
    <cellStyle name="Normal 29 16 2 2" xfId="11090"/>
    <cellStyle name="Normal 29 16 2 2 2" xfId="18961"/>
    <cellStyle name="Normal 29 16 3" xfId="7034"/>
    <cellStyle name="Normal 29 16 3 2" xfId="11091"/>
    <cellStyle name="Normal 29 16 3 2 2" xfId="18962"/>
    <cellStyle name="Normal 29 16 3 3" xfId="17281"/>
    <cellStyle name="Normal 29 16 4" xfId="11089"/>
    <cellStyle name="Normal 29 16 4 2" xfId="18960"/>
    <cellStyle name="Normal 29 16 5" xfId="15095"/>
    <cellStyle name="Normal 29 16 5 2" xfId="21894"/>
    <cellStyle name="Normal 29 16 6" xfId="16485"/>
    <cellStyle name="Normal 29 17" xfId="6301"/>
    <cellStyle name="Normal 29 17 2" xfId="11092"/>
    <cellStyle name="Normal 29 17 2 2" xfId="18963"/>
    <cellStyle name="Normal 29 17 3" xfId="14531"/>
    <cellStyle name="Normal 29 17 3 2" xfId="21551"/>
    <cellStyle name="Normal 29 17 4" xfId="16859"/>
    <cellStyle name="Normal 29 18" xfId="7726"/>
    <cellStyle name="Normal 29 18 2" xfId="11093"/>
    <cellStyle name="Normal 29 18 2 2" xfId="18964"/>
    <cellStyle name="Normal 29 19" xfId="11082"/>
    <cellStyle name="Normal 29 19 2" xfId="18953"/>
    <cellStyle name="Normal 29 2" xfId="2764"/>
    <cellStyle name="Normal 29 2 2" xfId="5118"/>
    <cellStyle name="Normal 29 2 2 10" xfId="16227"/>
    <cellStyle name="Normal 29 2 2 2" xfId="6040"/>
    <cellStyle name="Normal 29 2 2 2 2" xfId="7736"/>
    <cellStyle name="Normal 29 2 2 2 2 2" xfId="11097"/>
    <cellStyle name="Normal 29 2 2 2 2 2 2" xfId="18968"/>
    <cellStyle name="Normal 29 2 2 2 3" xfId="7244"/>
    <cellStyle name="Normal 29 2 2 2 3 2" xfId="11098"/>
    <cellStyle name="Normal 29 2 2 2 3 2 2" xfId="18969"/>
    <cellStyle name="Normal 29 2 2 2 3 3" xfId="17491"/>
    <cellStyle name="Normal 29 2 2 2 4" xfId="11096"/>
    <cellStyle name="Normal 29 2 2 2 4 2" xfId="18967"/>
    <cellStyle name="Normal 29 2 2 2 5" xfId="15305"/>
    <cellStyle name="Normal 29 2 2 2 5 2" xfId="22104"/>
    <cellStyle name="Normal 29 2 2 2 6" xfId="16695"/>
    <cellStyle name="Normal 29 2 2 3" xfId="7735"/>
    <cellStyle name="Normal 29 2 2 3 2" xfId="11099"/>
    <cellStyle name="Normal 29 2 2 3 2 2" xfId="18970"/>
    <cellStyle name="Normal 29 2 2 4" xfId="6900"/>
    <cellStyle name="Normal 29 2 2 4 2" xfId="11100"/>
    <cellStyle name="Normal 29 2 2 4 2 2" xfId="18971"/>
    <cellStyle name="Normal 29 2 2 4 3" xfId="17147"/>
    <cellStyle name="Normal 29 2 2 5" xfId="11095"/>
    <cellStyle name="Normal 29 2 2 5 2" xfId="18966"/>
    <cellStyle name="Normal 29 2 2 6" xfId="14856"/>
    <cellStyle name="Normal 29 2 2 6 2" xfId="21760"/>
    <cellStyle name="Normal 29 2 2 7" xfId="15578"/>
    <cellStyle name="Normal 29 2 2 7 2" xfId="22333"/>
    <cellStyle name="Normal 29 2 2 8" xfId="15778"/>
    <cellStyle name="Normal 29 2 2 8 2" xfId="22524"/>
    <cellStyle name="Normal 29 2 2 9" xfId="16009"/>
    <cellStyle name="Normal 29 2 2 9 2" xfId="22737"/>
    <cellStyle name="Normal 29 2 3" xfId="5485"/>
    <cellStyle name="Normal 29 2 3 2" xfId="7737"/>
    <cellStyle name="Normal 29 2 3 2 2" xfId="11101"/>
    <cellStyle name="Normal 29 2 3 2 2 2" xfId="18972"/>
    <cellStyle name="Normal 29 2 4" xfId="6302"/>
    <cellStyle name="Normal 29 2 4 2" xfId="11102"/>
    <cellStyle name="Normal 29 2 4 2 2" xfId="18973"/>
    <cellStyle name="Normal 29 2 4 3" xfId="14532"/>
    <cellStyle name="Normal 29 2 4 3 2" xfId="21552"/>
    <cellStyle name="Normal 29 2 4 4" xfId="16860"/>
    <cellStyle name="Normal 29 2 5" xfId="7734"/>
    <cellStyle name="Normal 29 2 5 2" xfId="11103"/>
    <cellStyle name="Normal 29 2 5 2 2" xfId="18974"/>
    <cellStyle name="Normal 29 2 6" xfId="11094"/>
    <cellStyle name="Normal 29 2 6 2" xfId="18965"/>
    <cellStyle name="Normal 29 2 7" xfId="13703"/>
    <cellStyle name="Normal 29 2 7 2" xfId="21383"/>
    <cellStyle name="Normal 29 20" xfId="13702"/>
    <cellStyle name="Normal 29 20 2" xfId="21382"/>
    <cellStyle name="Normal 29 21" xfId="15460"/>
    <cellStyle name="Normal 29 21 2" xfId="22215"/>
    <cellStyle name="Normal 29 22" xfId="15659"/>
    <cellStyle name="Normal 29 22 2" xfId="22405"/>
    <cellStyle name="Normal 29 23" xfId="15853"/>
    <cellStyle name="Normal 29 23 2" xfId="22596"/>
    <cellStyle name="Normal 29 24" xfId="16104"/>
    <cellStyle name="Normal 29 3" xfId="5117"/>
    <cellStyle name="Normal 29 3 2" xfId="5486"/>
    <cellStyle name="Normal 29 3 2 2" xfId="7739"/>
    <cellStyle name="Normal 29 3 2 2 2" xfId="11105"/>
    <cellStyle name="Normal 29 3 2 2 2 2" xfId="18976"/>
    <cellStyle name="Normal 29 3 3" xfId="6899"/>
    <cellStyle name="Normal 29 3 3 2" xfId="11106"/>
    <cellStyle name="Normal 29 3 3 2 2" xfId="18977"/>
    <cellStyle name="Normal 29 3 3 3" xfId="14855"/>
    <cellStyle name="Normal 29 3 3 3 2" xfId="21759"/>
    <cellStyle name="Normal 29 3 3 4" xfId="17146"/>
    <cellStyle name="Normal 29 3 4" xfId="7738"/>
    <cellStyle name="Normal 29 3 4 2" xfId="11107"/>
    <cellStyle name="Normal 29 3 4 2 2" xfId="18978"/>
    <cellStyle name="Normal 29 3 5" xfId="11104"/>
    <cellStyle name="Normal 29 3 5 2" xfId="18975"/>
    <cellStyle name="Normal 29 3 6" xfId="16378"/>
    <cellStyle name="Normal 29 4" xfId="4481"/>
    <cellStyle name="Normal 29 4 2" xfId="7740"/>
    <cellStyle name="Normal 29 4 2 2" xfId="11108"/>
    <cellStyle name="Normal 29 4 2 2 2" xfId="18979"/>
    <cellStyle name="Normal 29 5" xfId="4482"/>
    <cellStyle name="Normal 29 5 2" xfId="7741"/>
    <cellStyle name="Normal 29 5 2 2" xfId="11109"/>
    <cellStyle name="Normal 29 5 2 2 2" xfId="18980"/>
    <cellStyle name="Normal 29 6" xfId="4483"/>
    <cellStyle name="Normal 29 6 2" xfId="7742"/>
    <cellStyle name="Normal 29 6 2 2" xfId="11110"/>
    <cellStyle name="Normal 29 6 2 2 2" xfId="18981"/>
    <cellStyle name="Normal 29 7" xfId="4484"/>
    <cellStyle name="Normal 29 7 2" xfId="7743"/>
    <cellStyle name="Normal 29 7 2 2" xfId="11111"/>
    <cellStyle name="Normal 29 7 2 2 2" xfId="18982"/>
    <cellStyle name="Normal 29 8" xfId="4485"/>
    <cellStyle name="Normal 29 8 2" xfId="7744"/>
    <cellStyle name="Normal 29 8 2 2" xfId="11112"/>
    <cellStyle name="Normal 29 8 2 2 2" xfId="18983"/>
    <cellStyle name="Normal 29 9" xfId="4486"/>
    <cellStyle name="Normal 29 9 2" xfId="7745"/>
    <cellStyle name="Normal 29 9 2 2" xfId="11113"/>
    <cellStyle name="Normal 29 9 2 2 2" xfId="18984"/>
    <cellStyle name="Normal 3" xfId="2765"/>
    <cellStyle name="Normal 3 10" xfId="2766"/>
    <cellStyle name="Normal 3 10 2" xfId="4487"/>
    <cellStyle name="Normal 3 10 2 2" xfId="7748"/>
    <cellStyle name="Normal 3 10 2 2 2" xfId="11115"/>
    <cellStyle name="Normal 3 10 2 2 2 2" xfId="18986"/>
    <cellStyle name="Normal 3 10 3" xfId="5487"/>
    <cellStyle name="Normal 3 10 3 2" xfId="7749"/>
    <cellStyle name="Normal 3 10 3 2 2" xfId="11116"/>
    <cellStyle name="Normal 3 10 3 2 2 2" xfId="18987"/>
    <cellStyle name="Normal 3 10 4" xfId="6615"/>
    <cellStyle name="Normal 3 10 5" xfId="7747"/>
    <cellStyle name="Normal 3 10 5 2" xfId="11117"/>
    <cellStyle name="Normal 3 10 5 2 2" xfId="18988"/>
    <cellStyle name="Normal 3 11" xfId="2767"/>
    <cellStyle name="Normal 3 11 2" xfId="4488"/>
    <cellStyle name="Normal 3 11 2 2" xfId="7751"/>
    <cellStyle name="Normal 3 11 2 2 2" xfId="11118"/>
    <cellStyle name="Normal 3 11 2 2 2 2" xfId="18989"/>
    <cellStyle name="Normal 3 11 2 3" xfId="14745"/>
    <cellStyle name="Normal 3 11 3" xfId="5488"/>
    <cellStyle name="Normal 3 11 3 2" xfId="7752"/>
    <cellStyle name="Normal 3 11 3 2 2" xfId="11119"/>
    <cellStyle name="Normal 3 11 3 2 2 2" xfId="18990"/>
    <cellStyle name="Normal 3 11 4" xfId="6616"/>
    <cellStyle name="Normal 3 11 4 2" xfId="14534"/>
    <cellStyle name="Normal 3 11 5" xfId="7750"/>
    <cellStyle name="Normal 3 11 5 2" xfId="11120"/>
    <cellStyle name="Normal 3 11 5 2 2" xfId="18991"/>
    <cellStyle name="Normal 3 12" xfId="2768"/>
    <cellStyle name="Normal 3 12 2" xfId="4489"/>
    <cellStyle name="Normal 3 12 2 2" xfId="7754"/>
    <cellStyle name="Normal 3 12 2 2 2" xfId="11121"/>
    <cellStyle name="Normal 3 12 2 2 2 2" xfId="18992"/>
    <cellStyle name="Normal 3 12 3" xfId="5489"/>
    <cellStyle name="Normal 3 12 3 2" xfId="7755"/>
    <cellStyle name="Normal 3 12 3 2 2" xfId="11122"/>
    <cellStyle name="Normal 3 12 3 2 2 2" xfId="18993"/>
    <cellStyle name="Normal 3 12 4" xfId="6617"/>
    <cellStyle name="Normal 3 12 5" xfId="7753"/>
    <cellStyle name="Normal 3 12 5 2" xfId="11123"/>
    <cellStyle name="Normal 3 12 5 2 2" xfId="18994"/>
    <cellStyle name="Normal 3 13" xfId="4490"/>
    <cellStyle name="Normal 3 13 2" xfId="7756"/>
    <cellStyle name="Normal 3 13 2 2" xfId="11124"/>
    <cellStyle name="Normal 3 13 2 2 2" xfId="18995"/>
    <cellStyle name="Normal 3 14" xfId="4491"/>
    <cellStyle name="Normal 3 14 2" xfId="7757"/>
    <cellStyle name="Normal 3 14 2 2" xfId="11125"/>
    <cellStyle name="Normal 3 14 2 2 2" xfId="18996"/>
    <cellStyle name="Normal 3 15" xfId="4492"/>
    <cellStyle name="Normal 3 15 2" xfId="7758"/>
    <cellStyle name="Normal 3 15 2 2" xfId="11126"/>
    <cellStyle name="Normal 3 15 2 2 2" xfId="18997"/>
    <cellStyle name="Normal 3 16" xfId="4493"/>
    <cellStyle name="Normal 3 16 2" xfId="7759"/>
    <cellStyle name="Normal 3 16 2 2" xfId="11127"/>
    <cellStyle name="Normal 3 16 2 2 2" xfId="18998"/>
    <cellStyle name="Normal 3 17" xfId="4494"/>
    <cellStyle name="Normal 3 17 2" xfId="7760"/>
    <cellStyle name="Normal 3 17 2 2" xfId="11128"/>
    <cellStyle name="Normal 3 17 2 2 2" xfId="18999"/>
    <cellStyle name="Normal 3 18" xfId="6614"/>
    <cellStyle name="Normal 3 18 2" xfId="9529"/>
    <cellStyle name="Normal 3 18 2 2" xfId="15396"/>
    <cellStyle name="Normal 3 18 3" xfId="11129"/>
    <cellStyle name="Normal 3 18 3 2" xfId="19000"/>
    <cellStyle name="Normal 3 18 4" xfId="14533"/>
    <cellStyle name="Normal 3 18 4 2" xfId="21553"/>
    <cellStyle name="Normal 3 18 5" xfId="16989"/>
    <cellStyle name="Normal 3 19" xfId="7746"/>
    <cellStyle name="Normal 3 19 2" xfId="11130"/>
    <cellStyle name="Normal 3 19 2 2" xfId="19001"/>
    <cellStyle name="Normal 3 2" xfId="2769"/>
    <cellStyle name="Normal 3 2 10" xfId="9613"/>
    <cellStyle name="Normal 3 2 11" xfId="11131"/>
    <cellStyle name="Normal 3 2 11 2" xfId="19002"/>
    <cellStyle name="Normal 3 2 12" xfId="13705"/>
    <cellStyle name="Normal 3 2 12 2" xfId="21384"/>
    <cellStyle name="Normal 3 2 2" xfId="2770"/>
    <cellStyle name="Normal 3 2 2 2" xfId="2771"/>
    <cellStyle name="Normal 3 2 2 2 10" xfId="16011"/>
    <cellStyle name="Normal 3 2 2 2 10 2" xfId="22739"/>
    <cellStyle name="Normal 3 2 2 2 11" xfId="16229"/>
    <cellStyle name="Normal 3 2 2 2 2" xfId="5121"/>
    <cellStyle name="Normal 3 2 2 2 2 2" xfId="7764"/>
    <cellStyle name="Normal 3 2 2 2 2 2 2" xfId="11135"/>
    <cellStyle name="Normal 3 2 2 2 2 2 2 2" xfId="19006"/>
    <cellStyle name="Normal 3 2 2 2 2 3" xfId="6903"/>
    <cellStyle name="Normal 3 2 2 2 2 3 2" xfId="11136"/>
    <cellStyle name="Normal 3 2 2 2 2 3 2 2" xfId="19007"/>
    <cellStyle name="Normal 3 2 2 2 2 3 3" xfId="17150"/>
    <cellStyle name="Normal 3 2 2 2 2 4" xfId="11134"/>
    <cellStyle name="Normal 3 2 2 2 2 4 2" xfId="19005"/>
    <cellStyle name="Normal 3 2 2 2 2 5" xfId="14859"/>
    <cellStyle name="Normal 3 2 2 2 2 5 2" xfId="21763"/>
    <cellStyle name="Normal 3 2 2 2 2 6" xfId="16379"/>
    <cellStyle name="Normal 3 2 2 2 3" xfId="6042"/>
    <cellStyle name="Normal 3 2 2 2 3 2" xfId="7765"/>
    <cellStyle name="Normal 3 2 2 2 3 2 2" xfId="11138"/>
    <cellStyle name="Normal 3 2 2 2 3 2 2 2" xfId="19009"/>
    <cellStyle name="Normal 3 2 2 2 3 3" xfId="7246"/>
    <cellStyle name="Normal 3 2 2 2 3 3 2" xfId="11139"/>
    <cellStyle name="Normal 3 2 2 2 3 3 2 2" xfId="19010"/>
    <cellStyle name="Normal 3 2 2 2 3 3 3" xfId="17493"/>
    <cellStyle name="Normal 3 2 2 2 3 4" xfId="11137"/>
    <cellStyle name="Normal 3 2 2 2 3 4 2" xfId="19008"/>
    <cellStyle name="Normal 3 2 2 2 3 5" xfId="15307"/>
    <cellStyle name="Normal 3 2 2 2 3 5 2" xfId="22106"/>
    <cellStyle name="Normal 3 2 2 2 3 6" xfId="16697"/>
    <cellStyle name="Normal 3 2 2 2 4" xfId="6305"/>
    <cellStyle name="Normal 3 2 2 2 4 2" xfId="7763"/>
    <cellStyle name="Normal 3 2 2 2 4 2 2" xfId="11141"/>
    <cellStyle name="Normal 3 2 2 2 4 2 2 2" xfId="19012"/>
    <cellStyle name="Normal 3 2 2 2 4 3" xfId="11140"/>
    <cellStyle name="Normal 3 2 2 2 4 3 2" xfId="19011"/>
    <cellStyle name="Normal 3 2 2 2 4 4" xfId="16863"/>
    <cellStyle name="Normal 3 2 2 2 5" xfId="11133"/>
    <cellStyle name="Normal 3 2 2 2 5 2" xfId="19004"/>
    <cellStyle name="Normal 3 2 2 2 6" xfId="13707"/>
    <cellStyle name="Normal 3 2 2 2 6 2" xfId="21386"/>
    <cellStyle name="Normal 3 2 2 2 7" xfId="14537"/>
    <cellStyle name="Normal 3 2 2 2 7 2" xfId="21556"/>
    <cellStyle name="Normal 3 2 2 2 8" xfId="15580"/>
    <cellStyle name="Normal 3 2 2 2 8 2" xfId="22335"/>
    <cellStyle name="Normal 3 2 2 2 9" xfId="15780"/>
    <cellStyle name="Normal 3 2 2 2 9 2" xfId="22526"/>
    <cellStyle name="Normal 3 2 2 3" xfId="5120"/>
    <cellStyle name="Normal 3 2 2 3 10" xfId="16228"/>
    <cellStyle name="Normal 3 2 2 3 2" xfId="6041"/>
    <cellStyle name="Normal 3 2 2 3 2 2" xfId="7767"/>
    <cellStyle name="Normal 3 2 2 3 2 2 2" xfId="11144"/>
    <cellStyle name="Normal 3 2 2 3 2 2 2 2" xfId="19015"/>
    <cellStyle name="Normal 3 2 2 3 2 3" xfId="7245"/>
    <cellStyle name="Normal 3 2 2 3 2 3 2" xfId="11145"/>
    <cellStyle name="Normal 3 2 2 3 2 3 2 2" xfId="19016"/>
    <cellStyle name="Normal 3 2 2 3 2 3 3" xfId="17492"/>
    <cellStyle name="Normal 3 2 2 3 2 4" xfId="11143"/>
    <cellStyle name="Normal 3 2 2 3 2 4 2" xfId="19014"/>
    <cellStyle name="Normal 3 2 2 3 2 5" xfId="15306"/>
    <cellStyle name="Normal 3 2 2 3 2 5 2" xfId="22105"/>
    <cellStyle name="Normal 3 2 2 3 2 6" xfId="16696"/>
    <cellStyle name="Normal 3 2 2 3 3" xfId="7766"/>
    <cellStyle name="Normal 3 2 2 3 3 2" xfId="11146"/>
    <cellStyle name="Normal 3 2 2 3 3 2 2" xfId="19017"/>
    <cellStyle name="Normal 3 2 2 3 4" xfId="6902"/>
    <cellStyle name="Normal 3 2 2 3 4 2" xfId="11147"/>
    <cellStyle name="Normal 3 2 2 3 4 2 2" xfId="19018"/>
    <cellStyle name="Normal 3 2 2 3 4 3" xfId="17149"/>
    <cellStyle name="Normal 3 2 2 3 5" xfId="11142"/>
    <cellStyle name="Normal 3 2 2 3 5 2" xfId="19013"/>
    <cellStyle name="Normal 3 2 2 3 6" xfId="14858"/>
    <cellStyle name="Normal 3 2 2 3 6 2" xfId="21762"/>
    <cellStyle name="Normal 3 2 2 3 7" xfId="15579"/>
    <cellStyle name="Normal 3 2 2 3 7 2" xfId="22334"/>
    <cellStyle name="Normal 3 2 2 3 8" xfId="15779"/>
    <cellStyle name="Normal 3 2 2 3 8 2" xfId="22525"/>
    <cellStyle name="Normal 3 2 2 3 9" xfId="16010"/>
    <cellStyle name="Normal 3 2 2 3 9 2" xfId="22738"/>
    <cellStyle name="Normal 3 2 2 4" xfId="5490"/>
    <cellStyle name="Normal 3 2 2 4 2" xfId="7768"/>
    <cellStyle name="Normal 3 2 2 4 2 2" xfId="11148"/>
    <cellStyle name="Normal 3 2 2 4 2 2 2" xfId="19019"/>
    <cellStyle name="Normal 3 2 2 5" xfId="6304"/>
    <cellStyle name="Normal 3 2 2 5 2" xfId="11149"/>
    <cellStyle name="Normal 3 2 2 5 2 2" xfId="19020"/>
    <cellStyle name="Normal 3 2 2 5 3" xfId="14536"/>
    <cellStyle name="Normal 3 2 2 5 3 2" xfId="21555"/>
    <cellStyle name="Normal 3 2 2 5 4" xfId="16862"/>
    <cellStyle name="Normal 3 2 2 6" xfId="7762"/>
    <cellStyle name="Normal 3 2 2 6 2" xfId="11150"/>
    <cellStyle name="Normal 3 2 2 6 2 2" xfId="19021"/>
    <cellStyle name="Normal 3 2 2 7" xfId="9805"/>
    <cellStyle name="Normal 3 2 2 8" xfId="11132"/>
    <cellStyle name="Normal 3 2 2 8 2" xfId="19003"/>
    <cellStyle name="Normal 3 2 2 9" xfId="13706"/>
    <cellStyle name="Normal 3 2 2 9 2" xfId="21385"/>
    <cellStyle name="Normal 3 2 3" xfId="2772"/>
    <cellStyle name="Normal 3 2 3 2" xfId="5122"/>
    <cellStyle name="Normal 3 2 3 2 10" xfId="16230"/>
    <cellStyle name="Normal 3 2 3 2 2" xfId="6043"/>
    <cellStyle name="Normal 3 2 3 2 2 2" xfId="7771"/>
    <cellStyle name="Normal 3 2 3 2 2 2 2" xfId="11154"/>
    <cellStyle name="Normal 3 2 3 2 2 2 2 2" xfId="19025"/>
    <cellStyle name="Normal 3 2 3 2 2 3" xfId="7247"/>
    <cellStyle name="Normal 3 2 3 2 2 3 2" xfId="11155"/>
    <cellStyle name="Normal 3 2 3 2 2 3 2 2" xfId="19026"/>
    <cellStyle name="Normal 3 2 3 2 2 3 3" xfId="17494"/>
    <cellStyle name="Normal 3 2 3 2 2 4" xfId="11153"/>
    <cellStyle name="Normal 3 2 3 2 2 4 2" xfId="19024"/>
    <cellStyle name="Normal 3 2 3 2 2 5" xfId="15308"/>
    <cellStyle name="Normal 3 2 3 2 2 5 2" xfId="22107"/>
    <cellStyle name="Normal 3 2 3 2 2 6" xfId="16698"/>
    <cellStyle name="Normal 3 2 3 2 3" xfId="7770"/>
    <cellStyle name="Normal 3 2 3 2 3 2" xfId="11156"/>
    <cellStyle name="Normal 3 2 3 2 3 2 2" xfId="19027"/>
    <cellStyle name="Normal 3 2 3 2 4" xfId="6904"/>
    <cellStyle name="Normal 3 2 3 2 4 2" xfId="11157"/>
    <cellStyle name="Normal 3 2 3 2 4 2 2" xfId="19028"/>
    <cellStyle name="Normal 3 2 3 2 4 3" xfId="17151"/>
    <cellStyle name="Normal 3 2 3 2 5" xfId="11152"/>
    <cellStyle name="Normal 3 2 3 2 5 2" xfId="19023"/>
    <cellStyle name="Normal 3 2 3 2 6" xfId="14860"/>
    <cellStyle name="Normal 3 2 3 2 6 2" xfId="21764"/>
    <cellStyle name="Normal 3 2 3 2 7" xfId="15581"/>
    <cellStyle name="Normal 3 2 3 2 7 2" xfId="22336"/>
    <cellStyle name="Normal 3 2 3 2 8" xfId="15781"/>
    <cellStyle name="Normal 3 2 3 2 8 2" xfId="22527"/>
    <cellStyle name="Normal 3 2 3 2 9" xfId="16012"/>
    <cellStyle name="Normal 3 2 3 2 9 2" xfId="22740"/>
    <cellStyle name="Normal 3 2 3 3" xfId="5618"/>
    <cellStyle name="Normal 3 2 3 3 2" xfId="7772"/>
    <cellStyle name="Normal 3 2 3 3 2 2" xfId="11158"/>
    <cellStyle name="Normal 3 2 3 3 2 2 2" xfId="19029"/>
    <cellStyle name="Normal 3 2 3 4" xfId="6306"/>
    <cellStyle name="Normal 3 2 3 4 2" xfId="7769"/>
    <cellStyle name="Normal 3 2 3 4 2 2" xfId="11160"/>
    <cellStyle name="Normal 3 2 3 4 2 2 2" xfId="19031"/>
    <cellStyle name="Normal 3 2 3 4 3" xfId="11159"/>
    <cellStyle name="Normal 3 2 3 4 3 2" xfId="19030"/>
    <cellStyle name="Normal 3 2 3 4 4" xfId="16864"/>
    <cellStyle name="Normal 3 2 3 5" xfId="11151"/>
    <cellStyle name="Normal 3 2 3 5 2" xfId="19022"/>
    <cellStyle name="Normal 3 2 3 6" xfId="13708"/>
    <cellStyle name="Normal 3 2 3 6 2" xfId="21387"/>
    <cellStyle name="Normal 3 2 3 7" xfId="14538"/>
    <cellStyle name="Normal 3 2 3 7 2" xfId="21557"/>
    <cellStyle name="Normal 3 2 4" xfId="2773"/>
    <cellStyle name="Normal 3 2 4 2" xfId="7773"/>
    <cellStyle name="Normal 3 2 4 2 2" xfId="11161"/>
    <cellStyle name="Normal 3 2 4 2 2 2" xfId="19032"/>
    <cellStyle name="Normal 3 2 5" xfId="5119"/>
    <cellStyle name="Normal 3 2 5 10" xfId="16138"/>
    <cellStyle name="Normal 3 2 5 2" xfId="5762"/>
    <cellStyle name="Normal 3 2 5 2 2" xfId="7775"/>
    <cellStyle name="Normal 3 2 5 2 2 2" xfId="11164"/>
    <cellStyle name="Normal 3 2 5 2 2 2 2" xfId="19035"/>
    <cellStyle name="Normal 3 2 5 2 3" xfId="7014"/>
    <cellStyle name="Normal 3 2 5 2 3 2" xfId="11165"/>
    <cellStyle name="Normal 3 2 5 2 3 2 2" xfId="19036"/>
    <cellStyle name="Normal 3 2 5 2 3 3" xfId="17261"/>
    <cellStyle name="Normal 3 2 5 2 4" xfId="11163"/>
    <cellStyle name="Normal 3 2 5 2 4 2" xfId="19034"/>
    <cellStyle name="Normal 3 2 5 2 5" xfId="15075"/>
    <cellStyle name="Normal 3 2 5 2 5 2" xfId="21874"/>
    <cellStyle name="Normal 3 2 5 2 6" xfId="16465"/>
    <cellStyle name="Normal 3 2 5 3" xfId="7774"/>
    <cellStyle name="Normal 3 2 5 3 2" xfId="11166"/>
    <cellStyle name="Normal 3 2 5 3 2 2" xfId="19037"/>
    <cellStyle name="Normal 3 2 5 4" xfId="6901"/>
    <cellStyle name="Normal 3 2 5 4 2" xfId="11167"/>
    <cellStyle name="Normal 3 2 5 4 2 2" xfId="19038"/>
    <cellStyle name="Normal 3 2 5 4 3" xfId="17148"/>
    <cellStyle name="Normal 3 2 5 5" xfId="11162"/>
    <cellStyle name="Normal 3 2 5 5 2" xfId="19033"/>
    <cellStyle name="Normal 3 2 5 6" xfId="14857"/>
    <cellStyle name="Normal 3 2 5 6 2" xfId="21761"/>
    <cellStyle name="Normal 3 2 5 7" xfId="15489"/>
    <cellStyle name="Normal 3 2 5 7 2" xfId="22244"/>
    <cellStyle name="Normal 3 2 5 8" xfId="15689"/>
    <cellStyle name="Normal 3 2 5 8 2" xfId="22435"/>
    <cellStyle name="Normal 3 2 5 9" xfId="15901"/>
    <cellStyle name="Normal 3 2 5 9 2" xfId="22635"/>
    <cellStyle name="Normal 3 2 6" xfId="5176"/>
    <cellStyle name="Normal 3 2 6 2" xfId="7776"/>
    <cellStyle name="Normal 3 2 6 2 2" xfId="11168"/>
    <cellStyle name="Normal 3 2 6 2 2 2" xfId="19039"/>
    <cellStyle name="Normal 3 2 7" xfId="5805"/>
    <cellStyle name="Normal 3 2 7 2" xfId="7777"/>
    <cellStyle name="Normal 3 2 7 2 2" xfId="11170"/>
    <cellStyle name="Normal 3 2 7 2 2 2" xfId="19041"/>
    <cellStyle name="Normal 3 2 7 3" xfId="7052"/>
    <cellStyle name="Normal 3 2 7 3 2" xfId="11171"/>
    <cellStyle name="Normal 3 2 7 3 2 2" xfId="19042"/>
    <cellStyle name="Normal 3 2 7 3 3" xfId="17299"/>
    <cellStyle name="Normal 3 2 7 4" xfId="11169"/>
    <cellStyle name="Normal 3 2 7 4 2" xfId="19040"/>
    <cellStyle name="Normal 3 2 7 5" xfId="15113"/>
    <cellStyle name="Normal 3 2 7 5 2" xfId="21912"/>
    <cellStyle name="Normal 3 2 7 6" xfId="16503"/>
    <cellStyle name="Normal 3 2 8" xfId="6303"/>
    <cellStyle name="Normal 3 2 8 2" xfId="9530"/>
    <cellStyle name="Normal 3 2 8 2 2" xfId="15397"/>
    <cellStyle name="Normal 3 2 8 3" xfId="11172"/>
    <cellStyle name="Normal 3 2 8 3 2" xfId="19043"/>
    <cellStyle name="Normal 3 2 8 4" xfId="14535"/>
    <cellStyle name="Normal 3 2 8 4 2" xfId="21554"/>
    <cellStyle name="Normal 3 2 8 5" xfId="16861"/>
    <cellStyle name="Normal 3 2 9" xfId="7761"/>
    <cellStyle name="Normal 3 2 9 2" xfId="11173"/>
    <cellStyle name="Normal 3 2 9 2 2" xfId="19044"/>
    <cellStyle name="Normal 3 2_Schedule May 2011" xfId="2774"/>
    <cellStyle name="Normal 3 20" xfId="11114"/>
    <cellStyle name="Normal 3 20 2" xfId="18985"/>
    <cellStyle name="Normal 3 21" xfId="13704"/>
    <cellStyle name="Normal 3 3" xfId="2775"/>
    <cellStyle name="Normal 3 3 10" xfId="13709"/>
    <cellStyle name="Normal 3 3 10 2" xfId="21388"/>
    <cellStyle name="Normal 3 3 2" xfId="2776"/>
    <cellStyle name="Normal 3 3 2 10" xfId="15583"/>
    <cellStyle name="Normal 3 3 2 10 2" xfId="22338"/>
    <cellStyle name="Normal 3 3 2 11" xfId="15783"/>
    <cellStyle name="Normal 3 3 2 11 2" xfId="22529"/>
    <cellStyle name="Normal 3 3 2 12" xfId="16014"/>
    <cellStyle name="Normal 3 3 2 12 2" xfId="22742"/>
    <cellStyle name="Normal 3 3 2 13" xfId="16232"/>
    <cellStyle name="Normal 3 3 2 2" xfId="2777"/>
    <cellStyle name="Normal 3 3 2 2 10" xfId="16015"/>
    <cellStyle name="Normal 3 3 2 2 10 2" xfId="22743"/>
    <cellStyle name="Normal 3 3 2 2 11" xfId="16233"/>
    <cellStyle name="Normal 3 3 2 2 2" xfId="5125"/>
    <cellStyle name="Normal 3 3 2 2 2 2" xfId="7781"/>
    <cellStyle name="Normal 3 3 2 2 2 2 2" xfId="11178"/>
    <cellStyle name="Normal 3 3 2 2 2 2 2 2" xfId="19049"/>
    <cellStyle name="Normal 3 3 2 2 2 3" xfId="6907"/>
    <cellStyle name="Normal 3 3 2 2 2 3 2" xfId="11179"/>
    <cellStyle name="Normal 3 3 2 2 2 3 2 2" xfId="19050"/>
    <cellStyle name="Normal 3 3 2 2 2 3 3" xfId="17154"/>
    <cellStyle name="Normal 3 3 2 2 2 4" xfId="11177"/>
    <cellStyle name="Normal 3 3 2 2 2 4 2" xfId="19048"/>
    <cellStyle name="Normal 3 3 2 2 2 5" xfId="14863"/>
    <cellStyle name="Normal 3 3 2 2 2 5 2" xfId="21767"/>
    <cellStyle name="Normal 3 3 2 2 2 6" xfId="16381"/>
    <cellStyle name="Normal 3 3 2 2 3" xfId="6046"/>
    <cellStyle name="Normal 3 3 2 2 3 2" xfId="7782"/>
    <cellStyle name="Normal 3 3 2 2 3 2 2" xfId="11181"/>
    <cellStyle name="Normal 3 3 2 2 3 2 2 2" xfId="19052"/>
    <cellStyle name="Normal 3 3 2 2 3 3" xfId="7250"/>
    <cellStyle name="Normal 3 3 2 2 3 3 2" xfId="11182"/>
    <cellStyle name="Normal 3 3 2 2 3 3 2 2" xfId="19053"/>
    <cellStyle name="Normal 3 3 2 2 3 3 3" xfId="17497"/>
    <cellStyle name="Normal 3 3 2 2 3 4" xfId="11180"/>
    <cellStyle name="Normal 3 3 2 2 3 4 2" xfId="19051"/>
    <cellStyle name="Normal 3 3 2 2 3 5" xfId="15311"/>
    <cellStyle name="Normal 3 3 2 2 3 5 2" xfId="22110"/>
    <cellStyle name="Normal 3 3 2 2 3 6" xfId="16701"/>
    <cellStyle name="Normal 3 3 2 2 4" xfId="6309"/>
    <cellStyle name="Normal 3 3 2 2 4 2" xfId="7780"/>
    <cellStyle name="Normal 3 3 2 2 4 2 2" xfId="11184"/>
    <cellStyle name="Normal 3 3 2 2 4 2 2 2" xfId="19055"/>
    <cellStyle name="Normal 3 3 2 2 4 3" xfId="11183"/>
    <cellStyle name="Normal 3 3 2 2 4 3 2" xfId="19054"/>
    <cellStyle name="Normal 3 3 2 2 4 4" xfId="16867"/>
    <cellStyle name="Normal 3 3 2 2 5" xfId="11176"/>
    <cellStyle name="Normal 3 3 2 2 5 2" xfId="19047"/>
    <cellStyle name="Normal 3 3 2 2 6" xfId="13711"/>
    <cellStyle name="Normal 3 3 2 2 6 2" xfId="21390"/>
    <cellStyle name="Normal 3 3 2 2 7" xfId="14541"/>
    <cellStyle name="Normal 3 3 2 2 7 2" xfId="21560"/>
    <cellStyle name="Normal 3 3 2 2 8" xfId="15584"/>
    <cellStyle name="Normal 3 3 2 2 8 2" xfId="22339"/>
    <cellStyle name="Normal 3 3 2 2 9" xfId="15784"/>
    <cellStyle name="Normal 3 3 2 2 9 2" xfId="22530"/>
    <cellStyle name="Normal 3 3 2 3" xfId="5124"/>
    <cellStyle name="Normal 3 3 2 3 2" xfId="7783"/>
    <cellStyle name="Normal 3 3 2 3 2 2" xfId="11186"/>
    <cellStyle name="Normal 3 3 2 3 2 2 2" xfId="19057"/>
    <cellStyle name="Normal 3 3 2 3 3" xfId="6906"/>
    <cellStyle name="Normal 3 3 2 3 3 2" xfId="11187"/>
    <cellStyle name="Normal 3 3 2 3 3 2 2" xfId="19058"/>
    <cellStyle name="Normal 3 3 2 3 3 3" xfId="17153"/>
    <cellStyle name="Normal 3 3 2 3 4" xfId="11185"/>
    <cellStyle name="Normal 3 3 2 3 4 2" xfId="19056"/>
    <cellStyle name="Normal 3 3 2 3 5" xfId="14862"/>
    <cellStyle name="Normal 3 3 2 3 5 2" xfId="21766"/>
    <cellStyle name="Normal 3 3 2 3 6" xfId="16380"/>
    <cellStyle name="Normal 3 3 2 4" xfId="6045"/>
    <cellStyle name="Normal 3 3 2 4 2" xfId="7784"/>
    <cellStyle name="Normal 3 3 2 4 2 2" xfId="11189"/>
    <cellStyle name="Normal 3 3 2 4 2 2 2" xfId="19060"/>
    <cellStyle name="Normal 3 3 2 4 3" xfId="7249"/>
    <cellStyle name="Normal 3 3 2 4 3 2" xfId="11190"/>
    <cellStyle name="Normal 3 3 2 4 3 2 2" xfId="19061"/>
    <cellStyle name="Normal 3 3 2 4 3 3" xfId="17496"/>
    <cellStyle name="Normal 3 3 2 4 4" xfId="11188"/>
    <cellStyle name="Normal 3 3 2 4 4 2" xfId="19059"/>
    <cellStyle name="Normal 3 3 2 4 5" xfId="15310"/>
    <cellStyle name="Normal 3 3 2 4 5 2" xfId="22109"/>
    <cellStyle name="Normal 3 3 2 4 6" xfId="16700"/>
    <cellStyle name="Normal 3 3 2 5" xfId="6308"/>
    <cellStyle name="Normal 3 3 2 5 2" xfId="7779"/>
    <cellStyle name="Normal 3 3 2 5 2 2" xfId="11192"/>
    <cellStyle name="Normal 3 3 2 5 2 2 2" xfId="19063"/>
    <cellStyle name="Normal 3 3 2 5 3" xfId="11191"/>
    <cellStyle name="Normal 3 3 2 5 3 2" xfId="19062"/>
    <cellStyle name="Normal 3 3 2 5 4" xfId="16866"/>
    <cellStyle name="Normal 3 3 2 6" xfId="9806"/>
    <cellStyle name="Normal 3 3 2 7" xfId="11175"/>
    <cellStyle name="Normal 3 3 2 7 2" xfId="19046"/>
    <cellStyle name="Normal 3 3 2 8" xfId="13710"/>
    <cellStyle name="Normal 3 3 2 8 2" xfId="21389"/>
    <cellStyle name="Normal 3 3 2 9" xfId="14540"/>
    <cellStyle name="Normal 3 3 2 9 2" xfId="21559"/>
    <cellStyle name="Normal 3 3 3" xfId="2778"/>
    <cellStyle name="Normal 3 3 3 10" xfId="16016"/>
    <cellStyle name="Normal 3 3 3 10 2" xfId="22744"/>
    <cellStyle name="Normal 3 3 3 11" xfId="16234"/>
    <cellStyle name="Normal 3 3 3 2" xfId="5126"/>
    <cellStyle name="Normal 3 3 3 2 2" xfId="7786"/>
    <cellStyle name="Normal 3 3 3 2 2 2" xfId="11195"/>
    <cellStyle name="Normal 3 3 3 2 2 2 2" xfId="19066"/>
    <cellStyle name="Normal 3 3 3 2 3" xfId="6908"/>
    <cellStyle name="Normal 3 3 3 2 3 2" xfId="11196"/>
    <cellStyle name="Normal 3 3 3 2 3 2 2" xfId="19067"/>
    <cellStyle name="Normal 3 3 3 2 3 3" xfId="17155"/>
    <cellStyle name="Normal 3 3 3 2 4" xfId="11194"/>
    <cellStyle name="Normal 3 3 3 2 4 2" xfId="19065"/>
    <cellStyle name="Normal 3 3 3 2 5" xfId="14864"/>
    <cellStyle name="Normal 3 3 3 2 5 2" xfId="21768"/>
    <cellStyle name="Normal 3 3 3 2 6" xfId="16382"/>
    <cellStyle name="Normal 3 3 3 3" xfId="6047"/>
    <cellStyle name="Normal 3 3 3 3 2" xfId="7787"/>
    <cellStyle name="Normal 3 3 3 3 2 2" xfId="11198"/>
    <cellStyle name="Normal 3 3 3 3 2 2 2" xfId="19069"/>
    <cellStyle name="Normal 3 3 3 3 3" xfId="7251"/>
    <cellStyle name="Normal 3 3 3 3 3 2" xfId="11199"/>
    <cellStyle name="Normal 3 3 3 3 3 2 2" xfId="19070"/>
    <cellStyle name="Normal 3 3 3 3 3 3" xfId="17498"/>
    <cellStyle name="Normal 3 3 3 3 4" xfId="11197"/>
    <cellStyle name="Normal 3 3 3 3 4 2" xfId="19068"/>
    <cellStyle name="Normal 3 3 3 3 5" xfId="15312"/>
    <cellStyle name="Normal 3 3 3 3 5 2" xfId="22111"/>
    <cellStyle name="Normal 3 3 3 3 6" xfId="16702"/>
    <cellStyle name="Normal 3 3 3 4" xfId="6310"/>
    <cellStyle name="Normal 3 3 3 4 2" xfId="7785"/>
    <cellStyle name="Normal 3 3 3 4 2 2" xfId="11201"/>
    <cellStyle name="Normal 3 3 3 4 2 2 2" xfId="19072"/>
    <cellStyle name="Normal 3 3 3 4 3" xfId="11200"/>
    <cellStyle name="Normal 3 3 3 4 3 2" xfId="19071"/>
    <cellStyle name="Normal 3 3 3 4 4" xfId="16868"/>
    <cellStyle name="Normal 3 3 3 5" xfId="11193"/>
    <cellStyle name="Normal 3 3 3 5 2" xfId="19064"/>
    <cellStyle name="Normal 3 3 3 6" xfId="13712"/>
    <cellStyle name="Normal 3 3 3 6 2" xfId="21391"/>
    <cellStyle name="Normal 3 3 3 7" xfId="14542"/>
    <cellStyle name="Normal 3 3 3 7 2" xfId="21561"/>
    <cellStyle name="Normal 3 3 3 8" xfId="15585"/>
    <cellStyle name="Normal 3 3 3 8 2" xfId="22340"/>
    <cellStyle name="Normal 3 3 3 9" xfId="15785"/>
    <cellStyle name="Normal 3 3 3 9 2" xfId="22531"/>
    <cellStyle name="Normal 3 3 4" xfId="5123"/>
    <cellStyle name="Normal 3 3 4 10" xfId="16231"/>
    <cellStyle name="Normal 3 3 4 2" xfId="6044"/>
    <cellStyle name="Normal 3 3 4 2 2" xfId="7789"/>
    <cellStyle name="Normal 3 3 4 2 2 2" xfId="11204"/>
    <cellStyle name="Normal 3 3 4 2 2 2 2" xfId="19075"/>
    <cellStyle name="Normal 3 3 4 2 3" xfId="7248"/>
    <cellStyle name="Normal 3 3 4 2 3 2" xfId="11205"/>
    <cellStyle name="Normal 3 3 4 2 3 2 2" xfId="19076"/>
    <cellStyle name="Normal 3 3 4 2 3 3" xfId="17495"/>
    <cellStyle name="Normal 3 3 4 2 4" xfId="11203"/>
    <cellStyle name="Normal 3 3 4 2 4 2" xfId="19074"/>
    <cellStyle name="Normal 3 3 4 2 5" xfId="15309"/>
    <cellStyle name="Normal 3 3 4 2 5 2" xfId="22108"/>
    <cellStyle name="Normal 3 3 4 2 6" xfId="16699"/>
    <cellStyle name="Normal 3 3 4 3" xfId="7788"/>
    <cellStyle name="Normal 3 3 4 3 2" xfId="11206"/>
    <cellStyle name="Normal 3 3 4 3 2 2" xfId="19077"/>
    <cellStyle name="Normal 3 3 4 4" xfId="6905"/>
    <cellStyle name="Normal 3 3 4 4 2" xfId="11207"/>
    <cellStyle name="Normal 3 3 4 4 2 2" xfId="19078"/>
    <cellStyle name="Normal 3 3 4 4 3" xfId="17152"/>
    <cellStyle name="Normal 3 3 4 5" xfId="11202"/>
    <cellStyle name="Normal 3 3 4 5 2" xfId="19073"/>
    <cellStyle name="Normal 3 3 4 6" xfId="14861"/>
    <cellStyle name="Normal 3 3 4 6 2" xfId="21765"/>
    <cellStyle name="Normal 3 3 4 7" xfId="15582"/>
    <cellStyle name="Normal 3 3 4 7 2" xfId="22337"/>
    <cellStyle name="Normal 3 3 4 8" xfId="15782"/>
    <cellStyle name="Normal 3 3 4 8 2" xfId="22528"/>
    <cellStyle name="Normal 3 3 4 9" xfId="16013"/>
    <cellStyle name="Normal 3 3 4 9 2" xfId="22741"/>
    <cellStyle name="Normal 3 3 5" xfId="5491"/>
    <cellStyle name="Normal 3 3 5 2" xfId="7790"/>
    <cellStyle name="Normal 3 3 5 2 2" xfId="11208"/>
    <cellStyle name="Normal 3 3 5 2 2 2" xfId="19079"/>
    <cellStyle name="Normal 3 3 6" xfId="6307"/>
    <cellStyle name="Normal 3 3 6 2" xfId="11209"/>
    <cellStyle name="Normal 3 3 6 2 2" xfId="19080"/>
    <cellStyle name="Normal 3 3 6 3" xfId="14539"/>
    <cellStyle name="Normal 3 3 6 3 2" xfId="21558"/>
    <cellStyle name="Normal 3 3 6 4" xfId="16865"/>
    <cellStyle name="Normal 3 3 7" xfId="7778"/>
    <cellStyle name="Normal 3 3 7 2" xfId="11210"/>
    <cellStyle name="Normal 3 3 7 2 2" xfId="19081"/>
    <cellStyle name="Normal 3 3 8" xfId="9763"/>
    <cellStyle name="Normal 3 3 9" xfId="11174"/>
    <cellStyle name="Normal 3 3 9 2" xfId="19045"/>
    <cellStyle name="Normal 3 3_Sheet2" xfId="2779"/>
    <cellStyle name="Normal 3 4" xfId="2780"/>
    <cellStyle name="Normal 3 4 2" xfId="2781"/>
    <cellStyle name="Normal 3 4 2 10" xfId="16018"/>
    <cellStyle name="Normal 3 4 2 10 2" xfId="22746"/>
    <cellStyle name="Normal 3 4 2 11" xfId="16236"/>
    <cellStyle name="Normal 3 4 2 2" xfId="5128"/>
    <cellStyle name="Normal 3 4 2 2 2" xfId="7793"/>
    <cellStyle name="Normal 3 4 2 2 2 2" xfId="11214"/>
    <cellStyle name="Normal 3 4 2 2 2 2 2" xfId="19085"/>
    <cellStyle name="Normal 3 4 2 2 3" xfId="6910"/>
    <cellStyle name="Normal 3 4 2 2 3 2" xfId="11215"/>
    <cellStyle name="Normal 3 4 2 2 3 2 2" xfId="19086"/>
    <cellStyle name="Normal 3 4 2 2 3 3" xfId="17157"/>
    <cellStyle name="Normal 3 4 2 2 4" xfId="11213"/>
    <cellStyle name="Normal 3 4 2 2 4 2" xfId="19084"/>
    <cellStyle name="Normal 3 4 2 2 5" xfId="14866"/>
    <cellStyle name="Normal 3 4 2 2 5 2" xfId="21770"/>
    <cellStyle name="Normal 3 4 2 2 6" xfId="16383"/>
    <cellStyle name="Normal 3 4 2 3" xfId="6049"/>
    <cellStyle name="Normal 3 4 2 3 2" xfId="7794"/>
    <cellStyle name="Normal 3 4 2 3 2 2" xfId="11217"/>
    <cellStyle name="Normal 3 4 2 3 2 2 2" xfId="19088"/>
    <cellStyle name="Normal 3 4 2 3 3" xfId="7253"/>
    <cellStyle name="Normal 3 4 2 3 3 2" xfId="11218"/>
    <cellStyle name="Normal 3 4 2 3 3 2 2" xfId="19089"/>
    <cellStyle name="Normal 3 4 2 3 3 3" xfId="17500"/>
    <cellStyle name="Normal 3 4 2 3 4" xfId="11216"/>
    <cellStyle name="Normal 3 4 2 3 4 2" xfId="19087"/>
    <cellStyle name="Normal 3 4 2 3 5" xfId="15314"/>
    <cellStyle name="Normal 3 4 2 3 5 2" xfId="22113"/>
    <cellStyle name="Normal 3 4 2 3 6" xfId="16704"/>
    <cellStyle name="Normal 3 4 2 4" xfId="6312"/>
    <cellStyle name="Normal 3 4 2 4 2" xfId="7792"/>
    <cellStyle name="Normal 3 4 2 4 2 2" xfId="11220"/>
    <cellStyle name="Normal 3 4 2 4 2 2 2" xfId="19091"/>
    <cellStyle name="Normal 3 4 2 4 3" xfId="11219"/>
    <cellStyle name="Normal 3 4 2 4 3 2" xfId="19090"/>
    <cellStyle name="Normal 3 4 2 4 4" xfId="16870"/>
    <cellStyle name="Normal 3 4 2 5" xfId="11212"/>
    <cellStyle name="Normal 3 4 2 5 2" xfId="19083"/>
    <cellStyle name="Normal 3 4 2 6" xfId="13714"/>
    <cellStyle name="Normal 3 4 2 6 2" xfId="21393"/>
    <cellStyle name="Normal 3 4 2 7" xfId="14544"/>
    <cellStyle name="Normal 3 4 2 7 2" xfId="21563"/>
    <cellStyle name="Normal 3 4 2 8" xfId="15587"/>
    <cellStyle name="Normal 3 4 2 8 2" xfId="22342"/>
    <cellStyle name="Normal 3 4 2 9" xfId="15787"/>
    <cellStyle name="Normal 3 4 2 9 2" xfId="22533"/>
    <cellStyle name="Normal 3 4 3" xfId="5127"/>
    <cellStyle name="Normal 3 4 3 10" xfId="16235"/>
    <cellStyle name="Normal 3 4 3 2" xfId="6048"/>
    <cellStyle name="Normal 3 4 3 2 2" xfId="7796"/>
    <cellStyle name="Normal 3 4 3 2 2 2" xfId="11223"/>
    <cellStyle name="Normal 3 4 3 2 2 2 2" xfId="19094"/>
    <cellStyle name="Normal 3 4 3 2 3" xfId="7252"/>
    <cellStyle name="Normal 3 4 3 2 3 2" xfId="11224"/>
    <cellStyle name="Normal 3 4 3 2 3 2 2" xfId="19095"/>
    <cellStyle name="Normal 3 4 3 2 3 3" xfId="17499"/>
    <cellStyle name="Normal 3 4 3 2 4" xfId="11222"/>
    <cellStyle name="Normal 3 4 3 2 4 2" xfId="19093"/>
    <cellStyle name="Normal 3 4 3 2 5" xfId="15313"/>
    <cellStyle name="Normal 3 4 3 2 5 2" xfId="22112"/>
    <cellStyle name="Normal 3 4 3 2 6" xfId="16703"/>
    <cellStyle name="Normal 3 4 3 3" xfId="7795"/>
    <cellStyle name="Normal 3 4 3 3 2" xfId="11225"/>
    <cellStyle name="Normal 3 4 3 3 2 2" xfId="19096"/>
    <cellStyle name="Normal 3 4 3 4" xfId="6909"/>
    <cellStyle name="Normal 3 4 3 4 2" xfId="11226"/>
    <cellStyle name="Normal 3 4 3 4 2 2" xfId="19097"/>
    <cellStyle name="Normal 3 4 3 4 3" xfId="17156"/>
    <cellStyle name="Normal 3 4 3 5" xfId="11221"/>
    <cellStyle name="Normal 3 4 3 5 2" xfId="19092"/>
    <cellStyle name="Normal 3 4 3 6" xfId="14865"/>
    <cellStyle name="Normal 3 4 3 6 2" xfId="21769"/>
    <cellStyle name="Normal 3 4 3 7" xfId="15586"/>
    <cellStyle name="Normal 3 4 3 7 2" xfId="22341"/>
    <cellStyle name="Normal 3 4 3 8" xfId="15786"/>
    <cellStyle name="Normal 3 4 3 8 2" xfId="22532"/>
    <cellStyle name="Normal 3 4 3 9" xfId="16017"/>
    <cellStyle name="Normal 3 4 3 9 2" xfId="22745"/>
    <cellStyle name="Normal 3 4 4" xfId="5492"/>
    <cellStyle name="Normal 3 4 4 2" xfId="7797"/>
    <cellStyle name="Normal 3 4 4 2 2" xfId="11227"/>
    <cellStyle name="Normal 3 4 4 2 2 2" xfId="19098"/>
    <cellStyle name="Normal 3 4 5" xfId="6311"/>
    <cellStyle name="Normal 3 4 5 2" xfId="11228"/>
    <cellStyle name="Normal 3 4 5 2 2" xfId="19099"/>
    <cellStyle name="Normal 3 4 5 3" xfId="14543"/>
    <cellStyle name="Normal 3 4 5 3 2" xfId="21562"/>
    <cellStyle name="Normal 3 4 5 4" xfId="16869"/>
    <cellStyle name="Normal 3 4 6" xfId="7791"/>
    <cellStyle name="Normal 3 4 6 2" xfId="11229"/>
    <cellStyle name="Normal 3 4 6 2 2" xfId="19100"/>
    <cellStyle name="Normal 3 4 7" xfId="11211"/>
    <cellStyle name="Normal 3 4 7 2" xfId="19082"/>
    <cellStyle name="Normal 3 4 8" xfId="13713"/>
    <cellStyle name="Normal 3 4 8 2" xfId="21392"/>
    <cellStyle name="Normal 3 5" xfId="2782"/>
    <cellStyle name="Normal 3 5 2" xfId="7798"/>
    <cellStyle name="Normal 3 5 2 2" xfId="11230"/>
    <cellStyle name="Normal 3 5 2 2 2" xfId="19101"/>
    <cellStyle name="Normal 3 6" xfId="2783"/>
    <cellStyle name="Normal 3 6 2" xfId="7799"/>
    <cellStyle name="Normal 3 6 2 2" xfId="11231"/>
    <cellStyle name="Normal 3 6 2 2 2" xfId="19102"/>
    <cellStyle name="Normal 3 7" xfId="2784"/>
    <cellStyle name="Normal 3 7 2" xfId="4495"/>
    <cellStyle name="Normal 3 7 2 2" xfId="7801"/>
    <cellStyle name="Normal 3 7 2 2 2" xfId="11232"/>
    <cellStyle name="Normal 3 7 2 2 2 2" xfId="19103"/>
    <cellStyle name="Normal 3 7 2 3" xfId="14746"/>
    <cellStyle name="Normal 3 7 3" xfId="5493"/>
    <cellStyle name="Normal 3 7 3 2" xfId="7802"/>
    <cellStyle name="Normal 3 7 3 2 2" xfId="11233"/>
    <cellStyle name="Normal 3 7 3 2 2 2" xfId="19104"/>
    <cellStyle name="Normal 3 7 4" xfId="6618"/>
    <cellStyle name="Normal 3 7 4 2" xfId="14545"/>
    <cellStyle name="Normal 3 7 5" xfId="7800"/>
    <cellStyle name="Normal 3 7 5 2" xfId="11234"/>
    <cellStyle name="Normal 3 7 5 2 2" xfId="19105"/>
    <cellStyle name="Normal 3 7 6" xfId="13715"/>
    <cellStyle name="Normal 3 8" xfId="2785"/>
    <cellStyle name="Normal 3 8 2" xfId="4496"/>
    <cellStyle name="Normal 3 8 2 2" xfId="7804"/>
    <cellStyle name="Normal 3 8 2 2 2" xfId="11235"/>
    <cellStyle name="Normal 3 8 2 2 2 2" xfId="19106"/>
    <cellStyle name="Normal 3 8 2 3" xfId="14747"/>
    <cellStyle name="Normal 3 8 3" xfId="5494"/>
    <cellStyle name="Normal 3 8 3 2" xfId="7805"/>
    <cellStyle name="Normal 3 8 3 2 2" xfId="11236"/>
    <cellStyle name="Normal 3 8 3 2 2 2" xfId="19107"/>
    <cellStyle name="Normal 3 8 4" xfId="6619"/>
    <cellStyle name="Normal 3 8 4 2" xfId="14546"/>
    <cellStyle name="Normal 3 8 5" xfId="7803"/>
    <cellStyle name="Normal 3 8 5 2" xfId="11237"/>
    <cellStyle name="Normal 3 8 5 2 2" xfId="19108"/>
    <cellStyle name="Normal 3 8 6" xfId="13716"/>
    <cellStyle name="Normal 3 9" xfId="2786"/>
    <cellStyle name="Normal 3 9 2" xfId="4497"/>
    <cellStyle name="Normal 3 9 2 2" xfId="7807"/>
    <cellStyle name="Normal 3 9 2 2 2" xfId="11238"/>
    <cellStyle name="Normal 3 9 2 2 2 2" xfId="19109"/>
    <cellStyle name="Normal 3 9 3" xfId="5495"/>
    <cellStyle name="Normal 3 9 3 2" xfId="7808"/>
    <cellStyle name="Normal 3 9 3 2 2" xfId="11239"/>
    <cellStyle name="Normal 3 9 3 2 2 2" xfId="19110"/>
    <cellStyle name="Normal 3 9 4" xfId="6620"/>
    <cellStyle name="Normal 3 9 5" xfId="7806"/>
    <cellStyle name="Normal 3 9 5 2" xfId="11240"/>
    <cellStyle name="Normal 3 9 5 2 2" xfId="19111"/>
    <cellStyle name="Normal 3_Schedule May 2011" xfId="2787"/>
    <cellStyle name="Normal 30" xfId="2788"/>
    <cellStyle name="Normal 30 10" xfId="4498"/>
    <cellStyle name="Normal 30 10 2" xfId="7810"/>
    <cellStyle name="Normal 30 10 2 2" xfId="11241"/>
    <cellStyle name="Normal 30 10 2 2 2" xfId="19112"/>
    <cellStyle name="Normal 30 11" xfId="4499"/>
    <cellStyle name="Normal 30 11 2" xfId="7811"/>
    <cellStyle name="Normal 30 11 2 2" xfId="11242"/>
    <cellStyle name="Normal 30 11 2 2 2" xfId="19113"/>
    <cellStyle name="Normal 30 12" xfId="4500"/>
    <cellStyle name="Normal 30 12 2" xfId="7812"/>
    <cellStyle name="Normal 30 12 2 2" xfId="11243"/>
    <cellStyle name="Normal 30 12 2 2 2" xfId="19114"/>
    <cellStyle name="Normal 30 13" xfId="4501"/>
    <cellStyle name="Normal 30 13 2" xfId="7813"/>
    <cellStyle name="Normal 30 13 2 2" xfId="11244"/>
    <cellStyle name="Normal 30 13 2 2 2" xfId="19115"/>
    <cellStyle name="Normal 30 14" xfId="4502"/>
    <cellStyle name="Normal 30 14 2" xfId="7814"/>
    <cellStyle name="Normal 30 14 2 2" xfId="11245"/>
    <cellStyle name="Normal 30 14 2 2 2" xfId="19116"/>
    <cellStyle name="Normal 30 15" xfId="4503"/>
    <cellStyle name="Normal 30 15 2" xfId="7815"/>
    <cellStyle name="Normal 30 15 2 2" xfId="11246"/>
    <cellStyle name="Normal 30 15 2 2 2" xfId="19117"/>
    <cellStyle name="Normal 30 16" xfId="4504"/>
    <cellStyle name="Normal 30 16 2" xfId="7816"/>
    <cellStyle name="Normal 30 16 2 2" xfId="11247"/>
    <cellStyle name="Normal 30 16 2 2 2" xfId="19118"/>
    <cellStyle name="Normal 30 17" xfId="5785"/>
    <cellStyle name="Normal 30 17 2" xfId="7817"/>
    <cellStyle name="Normal 30 17 2 2" xfId="11249"/>
    <cellStyle name="Normal 30 17 2 2 2" xfId="19120"/>
    <cellStyle name="Normal 30 17 3" xfId="7035"/>
    <cellStyle name="Normal 30 17 3 2" xfId="11250"/>
    <cellStyle name="Normal 30 17 3 2 2" xfId="19121"/>
    <cellStyle name="Normal 30 17 3 3" xfId="17282"/>
    <cellStyle name="Normal 30 17 4" xfId="11248"/>
    <cellStyle name="Normal 30 17 4 2" xfId="19119"/>
    <cellStyle name="Normal 30 17 5" xfId="15096"/>
    <cellStyle name="Normal 30 17 5 2" xfId="21895"/>
    <cellStyle name="Normal 30 17 6" xfId="16486"/>
    <cellStyle name="Normal 30 18" xfId="6621"/>
    <cellStyle name="Normal 30 19" xfId="7809"/>
    <cellStyle name="Normal 30 19 2" xfId="11251"/>
    <cellStyle name="Normal 30 19 2 2" xfId="19122"/>
    <cellStyle name="Normal 30 2" xfId="2789"/>
    <cellStyle name="Normal 30 2 2" xfId="4505"/>
    <cellStyle name="Normal 30 2 2 10" xfId="16237"/>
    <cellStyle name="Normal 30 2 2 2" xfId="6050"/>
    <cellStyle name="Normal 30 2 2 2 2" xfId="7820"/>
    <cellStyle name="Normal 30 2 2 2 2 2" xfId="11255"/>
    <cellStyle name="Normal 30 2 2 2 2 2 2" xfId="19126"/>
    <cellStyle name="Normal 30 2 2 2 3" xfId="7254"/>
    <cellStyle name="Normal 30 2 2 2 3 2" xfId="11256"/>
    <cellStyle name="Normal 30 2 2 2 3 2 2" xfId="19127"/>
    <cellStyle name="Normal 30 2 2 2 3 3" xfId="17501"/>
    <cellStyle name="Normal 30 2 2 2 4" xfId="11254"/>
    <cellStyle name="Normal 30 2 2 2 4 2" xfId="19125"/>
    <cellStyle name="Normal 30 2 2 2 5" xfId="15315"/>
    <cellStyle name="Normal 30 2 2 2 5 2" xfId="22114"/>
    <cellStyle name="Normal 30 2 2 2 6" xfId="16705"/>
    <cellStyle name="Normal 30 2 2 3" xfId="7819"/>
    <cellStyle name="Normal 30 2 2 3 2" xfId="11257"/>
    <cellStyle name="Normal 30 2 2 3 2 2" xfId="19128"/>
    <cellStyle name="Normal 30 2 2 4" xfId="6805"/>
    <cellStyle name="Normal 30 2 2 4 2" xfId="11258"/>
    <cellStyle name="Normal 30 2 2 4 2 2" xfId="19129"/>
    <cellStyle name="Normal 30 2 2 4 3" xfId="17052"/>
    <cellStyle name="Normal 30 2 2 5" xfId="11253"/>
    <cellStyle name="Normal 30 2 2 5 2" xfId="19124"/>
    <cellStyle name="Normal 30 2 2 6" xfId="14748"/>
    <cellStyle name="Normal 30 2 2 6 2" xfId="21665"/>
    <cellStyle name="Normal 30 2 2 7" xfId="15588"/>
    <cellStyle name="Normal 30 2 2 7 2" xfId="22343"/>
    <cellStyle name="Normal 30 2 2 8" xfId="15788"/>
    <cellStyle name="Normal 30 2 2 8 2" xfId="22534"/>
    <cellStyle name="Normal 30 2 2 9" xfId="16019"/>
    <cellStyle name="Normal 30 2 2 9 2" xfId="22747"/>
    <cellStyle name="Normal 30 2 3" xfId="5496"/>
    <cellStyle name="Normal 30 2 3 2" xfId="7821"/>
    <cellStyle name="Normal 30 2 3 2 2" xfId="11259"/>
    <cellStyle name="Normal 30 2 3 2 2 2" xfId="19130"/>
    <cellStyle name="Normal 30 2 4" xfId="6622"/>
    <cellStyle name="Normal 30 2 4 2" xfId="11260"/>
    <cellStyle name="Normal 30 2 4 2 2" xfId="19131"/>
    <cellStyle name="Normal 30 2 4 3" xfId="14547"/>
    <cellStyle name="Normal 30 2 4 3 2" xfId="21564"/>
    <cellStyle name="Normal 30 2 4 4" xfId="16990"/>
    <cellStyle name="Normal 30 2 5" xfId="7818"/>
    <cellStyle name="Normal 30 2 5 2" xfId="11261"/>
    <cellStyle name="Normal 30 2 5 2 2" xfId="19132"/>
    <cellStyle name="Normal 30 2 6" xfId="11252"/>
    <cellStyle name="Normal 30 2 6 2" xfId="19123"/>
    <cellStyle name="Normal 30 20" xfId="15461"/>
    <cellStyle name="Normal 30 20 2" xfId="22216"/>
    <cellStyle name="Normal 30 21" xfId="15660"/>
    <cellStyle name="Normal 30 21 2" xfId="22406"/>
    <cellStyle name="Normal 30 22" xfId="15854"/>
    <cellStyle name="Normal 30 22 2" xfId="22597"/>
    <cellStyle name="Normal 30 23" xfId="16105"/>
    <cellStyle name="Normal 30 3" xfId="4506"/>
    <cellStyle name="Normal 30 3 2" xfId="7822"/>
    <cellStyle name="Normal 30 3 2 2" xfId="11262"/>
    <cellStyle name="Normal 30 3 2 2 2" xfId="19133"/>
    <cellStyle name="Normal 30 4" xfId="4507"/>
    <cellStyle name="Normal 30 4 2" xfId="7823"/>
    <cellStyle name="Normal 30 4 2 2" xfId="11263"/>
    <cellStyle name="Normal 30 4 2 2 2" xfId="19134"/>
    <cellStyle name="Normal 30 5" xfId="4508"/>
    <cellStyle name="Normal 30 5 2" xfId="7824"/>
    <cellStyle name="Normal 30 5 2 2" xfId="11264"/>
    <cellStyle name="Normal 30 5 2 2 2" xfId="19135"/>
    <cellStyle name="Normal 30 6" xfId="4509"/>
    <cellStyle name="Normal 30 6 2" xfId="7825"/>
    <cellStyle name="Normal 30 6 2 2" xfId="11265"/>
    <cellStyle name="Normal 30 6 2 2 2" xfId="19136"/>
    <cellStyle name="Normal 30 7" xfId="4510"/>
    <cellStyle name="Normal 30 7 2" xfId="7826"/>
    <cellStyle name="Normal 30 7 2 2" xfId="11266"/>
    <cellStyle name="Normal 30 7 2 2 2" xfId="19137"/>
    <cellStyle name="Normal 30 8" xfId="4511"/>
    <cellStyle name="Normal 30 8 2" xfId="7827"/>
    <cellStyle name="Normal 30 8 2 2" xfId="11267"/>
    <cellStyle name="Normal 30 8 2 2 2" xfId="19138"/>
    <cellStyle name="Normal 30 9" xfId="4512"/>
    <cellStyle name="Normal 30 9 2" xfId="7828"/>
    <cellStyle name="Normal 30 9 2 2" xfId="11268"/>
    <cellStyle name="Normal 30 9 2 2 2" xfId="19139"/>
    <cellStyle name="Normal 31" xfId="2790"/>
    <cellStyle name="Normal 31 10" xfId="4513"/>
    <cellStyle name="Normal 31 10 2" xfId="7830"/>
    <cellStyle name="Normal 31 10 2 2" xfId="11270"/>
    <cellStyle name="Normal 31 10 2 2 2" xfId="19141"/>
    <cellStyle name="Normal 31 11" xfId="4514"/>
    <cellStyle name="Normal 31 11 2" xfId="7831"/>
    <cellStyle name="Normal 31 11 2 2" xfId="11271"/>
    <cellStyle name="Normal 31 11 2 2 2" xfId="19142"/>
    <cellStyle name="Normal 31 12" xfId="4515"/>
    <cellStyle name="Normal 31 12 2" xfId="7832"/>
    <cellStyle name="Normal 31 12 2 2" xfId="11272"/>
    <cellStyle name="Normal 31 12 2 2 2" xfId="19143"/>
    <cellStyle name="Normal 31 13" xfId="4516"/>
    <cellStyle name="Normal 31 13 2" xfId="7833"/>
    <cellStyle name="Normal 31 13 2 2" xfId="11273"/>
    <cellStyle name="Normal 31 13 2 2 2" xfId="19144"/>
    <cellStyle name="Normal 31 14" xfId="4517"/>
    <cellStyle name="Normal 31 14 2" xfId="7834"/>
    <cellStyle name="Normal 31 14 2 2" xfId="11274"/>
    <cellStyle name="Normal 31 14 2 2 2" xfId="19145"/>
    <cellStyle name="Normal 31 15" xfId="4518"/>
    <cellStyle name="Normal 31 15 2" xfId="7835"/>
    <cellStyle name="Normal 31 15 2 2" xfId="11275"/>
    <cellStyle name="Normal 31 15 2 2 2" xfId="19146"/>
    <cellStyle name="Normal 31 16" xfId="5786"/>
    <cellStyle name="Normal 31 16 2" xfId="7836"/>
    <cellStyle name="Normal 31 16 2 2" xfId="11277"/>
    <cellStyle name="Normal 31 16 2 2 2" xfId="19148"/>
    <cellStyle name="Normal 31 16 3" xfId="7036"/>
    <cellStyle name="Normal 31 16 3 2" xfId="11278"/>
    <cellStyle name="Normal 31 16 3 2 2" xfId="19149"/>
    <cellStyle name="Normal 31 16 3 3" xfId="17283"/>
    <cellStyle name="Normal 31 16 4" xfId="11276"/>
    <cellStyle name="Normal 31 16 4 2" xfId="19147"/>
    <cellStyle name="Normal 31 16 5" xfId="15097"/>
    <cellStyle name="Normal 31 16 5 2" xfId="21896"/>
    <cellStyle name="Normal 31 16 6" xfId="16487"/>
    <cellStyle name="Normal 31 17" xfId="6313"/>
    <cellStyle name="Normal 31 17 2" xfId="11279"/>
    <cellStyle name="Normal 31 17 2 2" xfId="19150"/>
    <cellStyle name="Normal 31 17 3" xfId="14548"/>
    <cellStyle name="Normal 31 17 3 2" xfId="21565"/>
    <cellStyle name="Normal 31 17 4" xfId="16871"/>
    <cellStyle name="Normal 31 18" xfId="7829"/>
    <cellStyle name="Normal 31 18 2" xfId="11280"/>
    <cellStyle name="Normal 31 18 2 2" xfId="19151"/>
    <cellStyle name="Normal 31 19" xfId="11269"/>
    <cellStyle name="Normal 31 19 2" xfId="19140"/>
    <cellStyle name="Normal 31 2" xfId="2791"/>
    <cellStyle name="Normal 31 2 2" xfId="2792"/>
    <cellStyle name="Normal 31 2 2 10" xfId="16021"/>
    <cellStyle name="Normal 31 2 2 10 2" xfId="22749"/>
    <cellStyle name="Normal 31 2 2 11" xfId="16239"/>
    <cellStyle name="Normal 31 2 2 2" xfId="5131"/>
    <cellStyle name="Normal 31 2 2 2 2" xfId="7839"/>
    <cellStyle name="Normal 31 2 2 2 2 2" xfId="11284"/>
    <cellStyle name="Normal 31 2 2 2 2 2 2" xfId="19155"/>
    <cellStyle name="Normal 31 2 2 2 3" xfId="6913"/>
    <cellStyle name="Normal 31 2 2 2 3 2" xfId="11285"/>
    <cellStyle name="Normal 31 2 2 2 3 2 2" xfId="19156"/>
    <cellStyle name="Normal 31 2 2 2 3 3" xfId="17160"/>
    <cellStyle name="Normal 31 2 2 2 4" xfId="11283"/>
    <cellStyle name="Normal 31 2 2 2 4 2" xfId="19154"/>
    <cellStyle name="Normal 31 2 2 2 5" xfId="14869"/>
    <cellStyle name="Normal 31 2 2 2 5 2" xfId="21773"/>
    <cellStyle name="Normal 31 2 2 2 6" xfId="16385"/>
    <cellStyle name="Normal 31 2 2 3" xfId="6052"/>
    <cellStyle name="Normal 31 2 2 3 2" xfId="7840"/>
    <cellStyle name="Normal 31 2 2 3 2 2" xfId="11287"/>
    <cellStyle name="Normal 31 2 2 3 2 2 2" xfId="19158"/>
    <cellStyle name="Normal 31 2 2 3 3" xfId="7256"/>
    <cellStyle name="Normal 31 2 2 3 3 2" xfId="11288"/>
    <cellStyle name="Normal 31 2 2 3 3 2 2" xfId="19159"/>
    <cellStyle name="Normal 31 2 2 3 3 3" xfId="17503"/>
    <cellStyle name="Normal 31 2 2 3 4" xfId="11286"/>
    <cellStyle name="Normal 31 2 2 3 4 2" xfId="19157"/>
    <cellStyle name="Normal 31 2 2 3 5" xfId="15317"/>
    <cellStyle name="Normal 31 2 2 3 5 2" xfId="22116"/>
    <cellStyle name="Normal 31 2 2 3 6" xfId="16707"/>
    <cellStyle name="Normal 31 2 2 4" xfId="6315"/>
    <cellStyle name="Normal 31 2 2 4 2" xfId="7838"/>
    <cellStyle name="Normal 31 2 2 4 2 2" xfId="11290"/>
    <cellStyle name="Normal 31 2 2 4 2 2 2" xfId="19161"/>
    <cellStyle name="Normal 31 2 2 4 3" xfId="11289"/>
    <cellStyle name="Normal 31 2 2 4 3 2" xfId="19160"/>
    <cellStyle name="Normal 31 2 2 4 4" xfId="16873"/>
    <cellStyle name="Normal 31 2 2 5" xfId="11282"/>
    <cellStyle name="Normal 31 2 2 5 2" xfId="19153"/>
    <cellStyle name="Normal 31 2 2 6" xfId="13719"/>
    <cellStyle name="Normal 31 2 2 6 2" xfId="21396"/>
    <cellStyle name="Normal 31 2 2 7" xfId="14550"/>
    <cellStyle name="Normal 31 2 2 7 2" xfId="21567"/>
    <cellStyle name="Normal 31 2 2 8" xfId="15590"/>
    <cellStyle name="Normal 31 2 2 8 2" xfId="22345"/>
    <cellStyle name="Normal 31 2 2 9" xfId="15790"/>
    <cellStyle name="Normal 31 2 2 9 2" xfId="22536"/>
    <cellStyle name="Normal 31 2 3" xfId="5130"/>
    <cellStyle name="Normal 31 2 3 10" xfId="16238"/>
    <cellStyle name="Normal 31 2 3 2" xfId="6051"/>
    <cellStyle name="Normal 31 2 3 2 2" xfId="7842"/>
    <cellStyle name="Normal 31 2 3 2 2 2" xfId="11293"/>
    <cellStyle name="Normal 31 2 3 2 2 2 2" xfId="19164"/>
    <cellStyle name="Normal 31 2 3 2 3" xfId="7255"/>
    <cellStyle name="Normal 31 2 3 2 3 2" xfId="11294"/>
    <cellStyle name="Normal 31 2 3 2 3 2 2" xfId="19165"/>
    <cellStyle name="Normal 31 2 3 2 3 3" xfId="17502"/>
    <cellStyle name="Normal 31 2 3 2 4" xfId="11292"/>
    <cellStyle name="Normal 31 2 3 2 4 2" xfId="19163"/>
    <cellStyle name="Normal 31 2 3 2 5" xfId="15316"/>
    <cellStyle name="Normal 31 2 3 2 5 2" xfId="22115"/>
    <cellStyle name="Normal 31 2 3 2 6" xfId="16706"/>
    <cellStyle name="Normal 31 2 3 3" xfId="7841"/>
    <cellStyle name="Normal 31 2 3 3 2" xfId="11295"/>
    <cellStyle name="Normal 31 2 3 3 2 2" xfId="19166"/>
    <cellStyle name="Normal 31 2 3 4" xfId="6912"/>
    <cellStyle name="Normal 31 2 3 4 2" xfId="11296"/>
    <cellStyle name="Normal 31 2 3 4 2 2" xfId="19167"/>
    <cellStyle name="Normal 31 2 3 4 3" xfId="17159"/>
    <cellStyle name="Normal 31 2 3 5" xfId="11291"/>
    <cellStyle name="Normal 31 2 3 5 2" xfId="19162"/>
    <cellStyle name="Normal 31 2 3 6" xfId="14868"/>
    <cellStyle name="Normal 31 2 3 6 2" xfId="21772"/>
    <cellStyle name="Normal 31 2 3 7" xfId="15589"/>
    <cellStyle name="Normal 31 2 3 7 2" xfId="22344"/>
    <cellStyle name="Normal 31 2 3 8" xfId="15789"/>
    <cellStyle name="Normal 31 2 3 8 2" xfId="22535"/>
    <cellStyle name="Normal 31 2 3 9" xfId="16020"/>
    <cellStyle name="Normal 31 2 3 9 2" xfId="22748"/>
    <cellStyle name="Normal 31 2 4" xfId="5497"/>
    <cellStyle name="Normal 31 2 4 2" xfId="7843"/>
    <cellStyle name="Normal 31 2 4 2 2" xfId="11297"/>
    <cellStyle name="Normal 31 2 4 2 2 2" xfId="19168"/>
    <cellStyle name="Normal 31 2 5" xfId="6314"/>
    <cellStyle name="Normal 31 2 5 2" xfId="11298"/>
    <cellStyle name="Normal 31 2 5 2 2" xfId="19169"/>
    <cellStyle name="Normal 31 2 5 3" xfId="14549"/>
    <cellStyle name="Normal 31 2 5 3 2" xfId="21566"/>
    <cellStyle name="Normal 31 2 5 4" xfId="16872"/>
    <cellStyle name="Normal 31 2 6" xfId="7837"/>
    <cellStyle name="Normal 31 2 6 2" xfId="11299"/>
    <cellStyle name="Normal 31 2 6 2 2" xfId="19170"/>
    <cellStyle name="Normal 31 2 7" xfId="11281"/>
    <cellStyle name="Normal 31 2 7 2" xfId="19152"/>
    <cellStyle name="Normal 31 2 8" xfId="13718"/>
    <cellStyle name="Normal 31 2 8 2" xfId="21395"/>
    <cellStyle name="Normal 31 20" xfId="13717"/>
    <cellStyle name="Normal 31 20 2" xfId="21394"/>
    <cellStyle name="Normal 31 21" xfId="15462"/>
    <cellStyle name="Normal 31 21 2" xfId="22217"/>
    <cellStyle name="Normal 31 22" xfId="15661"/>
    <cellStyle name="Normal 31 22 2" xfId="22407"/>
    <cellStyle name="Normal 31 23" xfId="15855"/>
    <cellStyle name="Normal 31 23 2" xfId="22598"/>
    <cellStyle name="Normal 31 24" xfId="16106"/>
    <cellStyle name="Normal 31 3" xfId="2793"/>
    <cellStyle name="Normal 31 3 2" xfId="5132"/>
    <cellStyle name="Normal 31 3 2 10" xfId="16240"/>
    <cellStyle name="Normal 31 3 2 2" xfId="6053"/>
    <cellStyle name="Normal 31 3 2 2 2" xfId="7846"/>
    <cellStyle name="Normal 31 3 2 2 2 2" xfId="11303"/>
    <cellStyle name="Normal 31 3 2 2 2 2 2" xfId="19174"/>
    <cellStyle name="Normal 31 3 2 2 3" xfId="7257"/>
    <cellStyle name="Normal 31 3 2 2 3 2" xfId="11304"/>
    <cellStyle name="Normal 31 3 2 2 3 2 2" xfId="19175"/>
    <cellStyle name="Normal 31 3 2 2 3 3" xfId="17504"/>
    <cellStyle name="Normal 31 3 2 2 4" xfId="11302"/>
    <cellStyle name="Normal 31 3 2 2 4 2" xfId="19173"/>
    <cellStyle name="Normal 31 3 2 2 5" xfId="15318"/>
    <cellStyle name="Normal 31 3 2 2 5 2" xfId="22117"/>
    <cellStyle name="Normal 31 3 2 2 6" xfId="16708"/>
    <cellStyle name="Normal 31 3 2 3" xfId="7845"/>
    <cellStyle name="Normal 31 3 2 3 2" xfId="11305"/>
    <cellStyle name="Normal 31 3 2 3 2 2" xfId="19176"/>
    <cellStyle name="Normal 31 3 2 4" xfId="6914"/>
    <cellStyle name="Normal 31 3 2 4 2" xfId="11306"/>
    <cellStyle name="Normal 31 3 2 4 2 2" xfId="19177"/>
    <cellStyle name="Normal 31 3 2 4 3" xfId="17161"/>
    <cellStyle name="Normal 31 3 2 5" xfId="11301"/>
    <cellStyle name="Normal 31 3 2 5 2" xfId="19172"/>
    <cellStyle name="Normal 31 3 2 6" xfId="14870"/>
    <cellStyle name="Normal 31 3 2 6 2" xfId="21774"/>
    <cellStyle name="Normal 31 3 2 7" xfId="15591"/>
    <cellStyle name="Normal 31 3 2 7 2" xfId="22346"/>
    <cellStyle name="Normal 31 3 2 8" xfId="15791"/>
    <cellStyle name="Normal 31 3 2 8 2" xfId="22537"/>
    <cellStyle name="Normal 31 3 2 9" xfId="16022"/>
    <cellStyle name="Normal 31 3 2 9 2" xfId="22750"/>
    <cellStyle name="Normal 31 3 3" xfId="5498"/>
    <cellStyle name="Normal 31 3 3 2" xfId="7847"/>
    <cellStyle name="Normal 31 3 3 2 2" xfId="11307"/>
    <cellStyle name="Normal 31 3 3 2 2 2" xfId="19178"/>
    <cellStyle name="Normal 31 3 4" xfId="6316"/>
    <cellStyle name="Normal 31 3 4 2" xfId="11308"/>
    <cellStyle name="Normal 31 3 4 2 2" xfId="19179"/>
    <cellStyle name="Normal 31 3 4 3" xfId="14551"/>
    <cellStyle name="Normal 31 3 4 3 2" xfId="21568"/>
    <cellStyle name="Normal 31 3 4 4" xfId="16874"/>
    <cellStyle name="Normal 31 3 5" xfId="7844"/>
    <cellStyle name="Normal 31 3 5 2" xfId="11309"/>
    <cellStyle name="Normal 31 3 5 2 2" xfId="19180"/>
    <cellStyle name="Normal 31 3 6" xfId="11300"/>
    <cellStyle name="Normal 31 3 6 2" xfId="19171"/>
    <cellStyle name="Normal 31 3 7" xfId="13720"/>
    <cellStyle name="Normal 31 3 7 2" xfId="21397"/>
    <cellStyle name="Normal 31 4" xfId="5129"/>
    <cellStyle name="Normal 31 4 2" xfId="5499"/>
    <cellStyle name="Normal 31 4 2 2" xfId="7849"/>
    <cellStyle name="Normal 31 4 2 2 2" xfId="11311"/>
    <cellStyle name="Normal 31 4 2 2 2 2" xfId="19182"/>
    <cellStyle name="Normal 31 4 3" xfId="6911"/>
    <cellStyle name="Normal 31 4 3 2" xfId="11312"/>
    <cellStyle name="Normal 31 4 3 2 2" xfId="19183"/>
    <cellStyle name="Normal 31 4 3 3" xfId="14867"/>
    <cellStyle name="Normal 31 4 3 3 2" xfId="21771"/>
    <cellStyle name="Normal 31 4 3 4" xfId="17158"/>
    <cellStyle name="Normal 31 4 4" xfId="7848"/>
    <cellStyle name="Normal 31 4 4 2" xfId="11313"/>
    <cellStyle name="Normal 31 4 4 2 2" xfId="19184"/>
    <cellStyle name="Normal 31 4 5" xfId="11310"/>
    <cellStyle name="Normal 31 4 5 2" xfId="19181"/>
    <cellStyle name="Normal 31 4 6" xfId="16384"/>
    <cellStyle name="Normal 31 5" xfId="4519"/>
    <cellStyle name="Normal 31 5 2" xfId="7850"/>
    <cellStyle name="Normal 31 5 2 2" xfId="11314"/>
    <cellStyle name="Normal 31 5 2 2 2" xfId="19185"/>
    <cellStyle name="Normal 31 6" xfId="4520"/>
    <cellStyle name="Normal 31 6 2" xfId="7851"/>
    <cellStyle name="Normal 31 6 2 2" xfId="11315"/>
    <cellStyle name="Normal 31 6 2 2 2" xfId="19186"/>
    <cellStyle name="Normal 31 7" xfId="4521"/>
    <cellStyle name="Normal 31 7 2" xfId="7852"/>
    <cellStyle name="Normal 31 7 2 2" xfId="11316"/>
    <cellStyle name="Normal 31 7 2 2 2" xfId="19187"/>
    <cellStyle name="Normal 31 8" xfId="4522"/>
    <cellStyle name="Normal 31 8 2" xfId="7853"/>
    <cellStyle name="Normal 31 8 2 2" xfId="11317"/>
    <cellStyle name="Normal 31 8 2 2 2" xfId="19188"/>
    <cellStyle name="Normal 31 9" xfId="4523"/>
    <cellStyle name="Normal 31 9 2" xfId="7854"/>
    <cellStyle name="Normal 31 9 2 2" xfId="11318"/>
    <cellStyle name="Normal 31 9 2 2 2" xfId="19189"/>
    <cellStyle name="Normal 31_Sheet2" xfId="2794"/>
    <cellStyle name="Normal 32" xfId="2795"/>
    <cellStyle name="Normal 32 10" xfId="4524"/>
    <cellStyle name="Normal 32 10 2" xfId="7856"/>
    <cellStyle name="Normal 32 10 2 2" xfId="11319"/>
    <cellStyle name="Normal 32 10 2 2 2" xfId="19190"/>
    <cellStyle name="Normal 32 11" xfId="4525"/>
    <cellStyle name="Normal 32 11 2" xfId="7857"/>
    <cellStyle name="Normal 32 11 2 2" xfId="11320"/>
    <cellStyle name="Normal 32 11 2 2 2" xfId="19191"/>
    <cellStyle name="Normal 32 12" xfId="4526"/>
    <cellStyle name="Normal 32 12 2" xfId="7858"/>
    <cellStyle name="Normal 32 12 2 2" xfId="11321"/>
    <cellStyle name="Normal 32 12 2 2 2" xfId="19192"/>
    <cellStyle name="Normal 32 13" xfId="4527"/>
    <cellStyle name="Normal 32 13 2" xfId="7859"/>
    <cellStyle name="Normal 32 13 2 2" xfId="11322"/>
    <cellStyle name="Normal 32 13 2 2 2" xfId="19193"/>
    <cellStyle name="Normal 32 14" xfId="4528"/>
    <cellStyle name="Normal 32 14 2" xfId="7860"/>
    <cellStyle name="Normal 32 14 2 2" xfId="11323"/>
    <cellStyle name="Normal 32 14 2 2 2" xfId="19194"/>
    <cellStyle name="Normal 32 15" xfId="4529"/>
    <cellStyle name="Normal 32 15 2" xfId="7861"/>
    <cellStyle name="Normal 32 15 2 2" xfId="11324"/>
    <cellStyle name="Normal 32 15 2 2 2" xfId="19195"/>
    <cellStyle name="Normal 32 16" xfId="5787"/>
    <cellStyle name="Normal 32 16 2" xfId="7862"/>
    <cellStyle name="Normal 32 16 2 2" xfId="11326"/>
    <cellStyle name="Normal 32 16 2 2 2" xfId="19197"/>
    <cellStyle name="Normal 32 16 3" xfId="7037"/>
    <cellStyle name="Normal 32 16 3 2" xfId="11327"/>
    <cellStyle name="Normal 32 16 3 2 2" xfId="19198"/>
    <cellStyle name="Normal 32 16 3 3" xfId="17284"/>
    <cellStyle name="Normal 32 16 4" xfId="11325"/>
    <cellStyle name="Normal 32 16 4 2" xfId="19196"/>
    <cellStyle name="Normal 32 16 5" xfId="15098"/>
    <cellStyle name="Normal 32 16 5 2" xfId="21897"/>
    <cellStyle name="Normal 32 16 6" xfId="16488"/>
    <cellStyle name="Normal 32 17" xfId="7855"/>
    <cellStyle name="Normal 32 17 2" xfId="11328"/>
    <cellStyle name="Normal 32 17 2 2" xfId="19199"/>
    <cellStyle name="Normal 32 18" xfId="15463"/>
    <cellStyle name="Normal 32 18 2" xfId="22218"/>
    <cellStyle name="Normal 32 19" xfId="15662"/>
    <cellStyle name="Normal 32 19 2" xfId="22408"/>
    <cellStyle name="Normal 32 2" xfId="2796"/>
    <cellStyle name="Normal 32 2 2" xfId="4530"/>
    <cellStyle name="Normal 32 2 2 10" xfId="16241"/>
    <cellStyle name="Normal 32 2 2 2" xfId="6054"/>
    <cellStyle name="Normal 32 2 2 2 2" xfId="7865"/>
    <cellStyle name="Normal 32 2 2 2 2 2" xfId="11332"/>
    <cellStyle name="Normal 32 2 2 2 2 2 2" xfId="19203"/>
    <cellStyle name="Normal 32 2 2 2 3" xfId="7258"/>
    <cellStyle name="Normal 32 2 2 2 3 2" xfId="11333"/>
    <cellStyle name="Normal 32 2 2 2 3 2 2" xfId="19204"/>
    <cellStyle name="Normal 32 2 2 2 3 3" xfId="17505"/>
    <cellStyle name="Normal 32 2 2 2 4" xfId="11331"/>
    <cellStyle name="Normal 32 2 2 2 4 2" xfId="19202"/>
    <cellStyle name="Normal 32 2 2 2 5" xfId="15319"/>
    <cellStyle name="Normal 32 2 2 2 5 2" xfId="22118"/>
    <cellStyle name="Normal 32 2 2 2 6" xfId="16709"/>
    <cellStyle name="Normal 32 2 2 3" xfId="7864"/>
    <cellStyle name="Normal 32 2 2 3 2" xfId="11334"/>
    <cellStyle name="Normal 32 2 2 3 2 2" xfId="19205"/>
    <cellStyle name="Normal 32 2 2 4" xfId="6806"/>
    <cellStyle name="Normal 32 2 2 4 2" xfId="11335"/>
    <cellStyle name="Normal 32 2 2 4 2 2" xfId="19206"/>
    <cellStyle name="Normal 32 2 2 4 3" xfId="17053"/>
    <cellStyle name="Normal 32 2 2 5" xfId="11330"/>
    <cellStyle name="Normal 32 2 2 5 2" xfId="19201"/>
    <cellStyle name="Normal 32 2 2 6" xfId="14749"/>
    <cellStyle name="Normal 32 2 2 6 2" xfId="21666"/>
    <cellStyle name="Normal 32 2 2 7" xfId="15592"/>
    <cellStyle name="Normal 32 2 2 7 2" xfId="22347"/>
    <cellStyle name="Normal 32 2 2 8" xfId="15792"/>
    <cellStyle name="Normal 32 2 2 8 2" xfId="22538"/>
    <cellStyle name="Normal 32 2 2 9" xfId="16023"/>
    <cellStyle name="Normal 32 2 2 9 2" xfId="22751"/>
    <cellStyle name="Normal 32 2 3" xfId="5500"/>
    <cellStyle name="Normal 32 2 3 2" xfId="7866"/>
    <cellStyle name="Normal 32 2 3 2 2" xfId="11336"/>
    <cellStyle name="Normal 32 2 3 2 2 2" xfId="19207"/>
    <cellStyle name="Normal 32 2 4" xfId="6623"/>
    <cellStyle name="Normal 32 2 4 2" xfId="11337"/>
    <cellStyle name="Normal 32 2 4 2 2" xfId="19208"/>
    <cellStyle name="Normal 32 2 4 3" xfId="14552"/>
    <cellStyle name="Normal 32 2 4 3 2" xfId="21569"/>
    <cellStyle name="Normal 32 2 4 4" xfId="16991"/>
    <cellStyle name="Normal 32 2 5" xfId="7863"/>
    <cellStyle name="Normal 32 2 5 2" xfId="11338"/>
    <cellStyle name="Normal 32 2 5 2 2" xfId="19209"/>
    <cellStyle name="Normal 32 2 6" xfId="11329"/>
    <cellStyle name="Normal 32 2 6 2" xfId="19200"/>
    <cellStyle name="Normal 32 20" xfId="15856"/>
    <cellStyle name="Normal 32 20 2" xfId="22599"/>
    <cellStyle name="Normal 32 21" xfId="16107"/>
    <cellStyle name="Normal 32 3" xfId="4531"/>
    <cellStyle name="Normal 32 3 2" xfId="7867"/>
    <cellStyle name="Normal 32 3 2 2" xfId="11339"/>
    <cellStyle name="Normal 32 3 2 2 2" xfId="19210"/>
    <cellStyle name="Normal 32 4" xfId="4532"/>
    <cellStyle name="Normal 32 4 2" xfId="7868"/>
    <cellStyle name="Normal 32 4 2 2" xfId="11340"/>
    <cellStyle name="Normal 32 4 2 2 2" xfId="19211"/>
    <cellStyle name="Normal 32 5" xfId="4533"/>
    <cellStyle name="Normal 32 5 2" xfId="7869"/>
    <cellStyle name="Normal 32 5 2 2" xfId="11341"/>
    <cellStyle name="Normal 32 5 2 2 2" xfId="19212"/>
    <cellStyle name="Normal 32 6" xfId="4534"/>
    <cellStyle name="Normal 32 6 2" xfId="7870"/>
    <cellStyle name="Normal 32 6 2 2" xfId="11342"/>
    <cellStyle name="Normal 32 6 2 2 2" xfId="19213"/>
    <cellStyle name="Normal 32 7" xfId="4535"/>
    <cellStyle name="Normal 32 7 2" xfId="7871"/>
    <cellStyle name="Normal 32 7 2 2" xfId="11343"/>
    <cellStyle name="Normal 32 7 2 2 2" xfId="19214"/>
    <cellStyle name="Normal 32 8" xfId="4536"/>
    <cellStyle name="Normal 32 8 2" xfId="7872"/>
    <cellStyle name="Normal 32 8 2 2" xfId="11344"/>
    <cellStyle name="Normal 32 8 2 2 2" xfId="19215"/>
    <cellStyle name="Normal 32 9" xfId="4537"/>
    <cellStyle name="Normal 32 9 2" xfId="7873"/>
    <cellStyle name="Normal 32 9 2 2" xfId="11345"/>
    <cellStyle name="Normal 32 9 2 2 2" xfId="19216"/>
    <cellStyle name="Normal 33" xfId="2797"/>
    <cellStyle name="Normal 33 10" xfId="4538"/>
    <cellStyle name="Normal 33 10 2" xfId="7875"/>
    <cellStyle name="Normal 33 10 2 2" xfId="11347"/>
    <cellStyle name="Normal 33 10 2 2 2" xfId="19218"/>
    <cellStyle name="Normal 33 11" xfId="4539"/>
    <cellStyle name="Normal 33 11 2" xfId="7876"/>
    <cellStyle name="Normal 33 11 2 2" xfId="11348"/>
    <cellStyle name="Normal 33 11 2 2 2" xfId="19219"/>
    <cellStyle name="Normal 33 12" xfId="4540"/>
    <cellStyle name="Normal 33 12 2" xfId="7877"/>
    <cellStyle name="Normal 33 12 2 2" xfId="11349"/>
    <cellStyle name="Normal 33 12 2 2 2" xfId="19220"/>
    <cellStyle name="Normal 33 13" xfId="4541"/>
    <cellStyle name="Normal 33 13 2" xfId="7878"/>
    <cellStyle name="Normal 33 13 2 2" xfId="11350"/>
    <cellStyle name="Normal 33 13 2 2 2" xfId="19221"/>
    <cellStyle name="Normal 33 14" xfId="4542"/>
    <cellStyle name="Normal 33 14 2" xfId="7879"/>
    <cellStyle name="Normal 33 14 2 2" xfId="11351"/>
    <cellStyle name="Normal 33 14 2 2 2" xfId="19222"/>
    <cellStyle name="Normal 33 15" xfId="4543"/>
    <cellStyle name="Normal 33 15 10" xfId="16242"/>
    <cellStyle name="Normal 33 15 2" xfId="6055"/>
    <cellStyle name="Normal 33 15 2 2" xfId="7881"/>
    <cellStyle name="Normal 33 15 2 2 2" xfId="11354"/>
    <cellStyle name="Normal 33 15 2 2 2 2" xfId="19225"/>
    <cellStyle name="Normal 33 15 2 3" xfId="7259"/>
    <cellStyle name="Normal 33 15 2 3 2" xfId="11355"/>
    <cellStyle name="Normal 33 15 2 3 2 2" xfId="19226"/>
    <cellStyle name="Normal 33 15 2 3 3" xfId="17506"/>
    <cellStyle name="Normal 33 15 2 4" xfId="11353"/>
    <cellStyle name="Normal 33 15 2 4 2" xfId="19224"/>
    <cellStyle name="Normal 33 15 2 5" xfId="15320"/>
    <cellStyle name="Normal 33 15 2 5 2" xfId="22119"/>
    <cellStyle name="Normal 33 15 2 6" xfId="16710"/>
    <cellStyle name="Normal 33 15 3" xfId="7880"/>
    <cellStyle name="Normal 33 15 3 2" xfId="11356"/>
    <cellStyle name="Normal 33 15 3 2 2" xfId="19227"/>
    <cellStyle name="Normal 33 15 4" xfId="6807"/>
    <cellStyle name="Normal 33 15 4 2" xfId="11357"/>
    <cellStyle name="Normal 33 15 4 2 2" xfId="19228"/>
    <cellStyle name="Normal 33 15 4 3" xfId="17054"/>
    <cellStyle name="Normal 33 15 5" xfId="11352"/>
    <cellStyle name="Normal 33 15 5 2" xfId="19223"/>
    <cellStyle name="Normal 33 15 6" xfId="14750"/>
    <cellStyle name="Normal 33 15 6 2" xfId="21667"/>
    <cellStyle name="Normal 33 15 7" xfId="15593"/>
    <cellStyle name="Normal 33 15 7 2" xfId="22348"/>
    <cellStyle name="Normal 33 15 8" xfId="15793"/>
    <cellStyle name="Normal 33 15 8 2" xfId="22539"/>
    <cellStyle name="Normal 33 15 9" xfId="16024"/>
    <cellStyle name="Normal 33 15 9 2" xfId="22752"/>
    <cellStyle name="Normal 33 16" xfId="6317"/>
    <cellStyle name="Normal 33 16 2" xfId="11358"/>
    <cellStyle name="Normal 33 16 2 2" xfId="19229"/>
    <cellStyle name="Normal 33 16 3" xfId="14553"/>
    <cellStyle name="Normal 33 16 3 2" xfId="21570"/>
    <cellStyle name="Normal 33 16 4" xfId="16875"/>
    <cellStyle name="Normal 33 17" xfId="7874"/>
    <cellStyle name="Normal 33 17 2" xfId="11359"/>
    <cellStyle name="Normal 33 17 2 2" xfId="19230"/>
    <cellStyle name="Normal 33 18" xfId="11346"/>
    <cellStyle name="Normal 33 18 2" xfId="19217"/>
    <cellStyle name="Normal 33 19" xfId="13721"/>
    <cellStyle name="Normal 33 19 2" xfId="21398"/>
    <cellStyle name="Normal 33 2" xfId="2798"/>
    <cellStyle name="Normal 33 2 2" xfId="5134"/>
    <cellStyle name="Normal 33 2 2 10" xfId="16243"/>
    <cellStyle name="Normal 33 2 2 2" xfId="6056"/>
    <cellStyle name="Normal 33 2 2 2 2" xfId="7884"/>
    <cellStyle name="Normal 33 2 2 2 2 2" xfId="11363"/>
    <cellStyle name="Normal 33 2 2 2 2 2 2" xfId="19234"/>
    <cellStyle name="Normal 33 2 2 2 3" xfId="7260"/>
    <cellStyle name="Normal 33 2 2 2 3 2" xfId="11364"/>
    <cellStyle name="Normal 33 2 2 2 3 2 2" xfId="19235"/>
    <cellStyle name="Normal 33 2 2 2 3 3" xfId="17507"/>
    <cellStyle name="Normal 33 2 2 2 4" xfId="11362"/>
    <cellStyle name="Normal 33 2 2 2 4 2" xfId="19233"/>
    <cellStyle name="Normal 33 2 2 2 5" xfId="15321"/>
    <cellStyle name="Normal 33 2 2 2 5 2" xfId="22120"/>
    <cellStyle name="Normal 33 2 2 2 6" xfId="16711"/>
    <cellStyle name="Normal 33 2 2 3" xfId="7883"/>
    <cellStyle name="Normal 33 2 2 3 2" xfId="11365"/>
    <cellStyle name="Normal 33 2 2 3 2 2" xfId="19236"/>
    <cellStyle name="Normal 33 2 2 4" xfId="6916"/>
    <cellStyle name="Normal 33 2 2 4 2" xfId="11366"/>
    <cellStyle name="Normal 33 2 2 4 2 2" xfId="19237"/>
    <cellStyle name="Normal 33 2 2 4 3" xfId="17163"/>
    <cellStyle name="Normal 33 2 2 5" xfId="11361"/>
    <cellStyle name="Normal 33 2 2 5 2" xfId="19232"/>
    <cellStyle name="Normal 33 2 2 6" xfId="14872"/>
    <cellStyle name="Normal 33 2 2 6 2" xfId="21776"/>
    <cellStyle name="Normal 33 2 2 7" xfId="15594"/>
    <cellStyle name="Normal 33 2 2 7 2" xfId="22349"/>
    <cellStyle name="Normal 33 2 2 8" xfId="15794"/>
    <cellStyle name="Normal 33 2 2 8 2" xfId="22540"/>
    <cellStyle name="Normal 33 2 2 9" xfId="16025"/>
    <cellStyle name="Normal 33 2 2 9 2" xfId="22753"/>
    <cellStyle name="Normal 33 2 3" xfId="5501"/>
    <cellStyle name="Normal 33 2 3 2" xfId="7885"/>
    <cellStyle name="Normal 33 2 3 2 2" xfId="11367"/>
    <cellStyle name="Normal 33 2 3 2 2 2" xfId="19238"/>
    <cellStyle name="Normal 33 2 4" xfId="6318"/>
    <cellStyle name="Normal 33 2 4 2" xfId="11368"/>
    <cellStyle name="Normal 33 2 4 2 2" xfId="19239"/>
    <cellStyle name="Normal 33 2 4 3" xfId="14554"/>
    <cellStyle name="Normal 33 2 4 3 2" xfId="21571"/>
    <cellStyle name="Normal 33 2 4 4" xfId="16876"/>
    <cellStyle name="Normal 33 2 5" xfId="7882"/>
    <cellStyle name="Normal 33 2 5 2" xfId="11369"/>
    <cellStyle name="Normal 33 2 5 2 2" xfId="19240"/>
    <cellStyle name="Normal 33 2 6" xfId="11360"/>
    <cellStyle name="Normal 33 2 6 2" xfId="19231"/>
    <cellStyle name="Normal 33 2 7" xfId="13722"/>
    <cellStyle name="Normal 33 2 7 2" xfId="21399"/>
    <cellStyle name="Normal 33 3" xfId="2799"/>
    <cellStyle name="Normal 33 3 2" xfId="7886"/>
    <cellStyle name="Normal 33 3 2 2" xfId="11370"/>
    <cellStyle name="Normal 33 3 2 2 2" xfId="19241"/>
    <cellStyle name="Normal 33 4" xfId="5133"/>
    <cellStyle name="Normal 33 4 2" xfId="5502"/>
    <cellStyle name="Normal 33 4 2 2" xfId="7888"/>
    <cellStyle name="Normal 33 4 2 2 2" xfId="11372"/>
    <cellStyle name="Normal 33 4 2 2 2 2" xfId="19243"/>
    <cellStyle name="Normal 33 4 3" xfId="6915"/>
    <cellStyle name="Normal 33 4 3 2" xfId="11373"/>
    <cellStyle name="Normal 33 4 3 2 2" xfId="19244"/>
    <cellStyle name="Normal 33 4 3 3" xfId="14871"/>
    <cellStyle name="Normal 33 4 3 3 2" xfId="21775"/>
    <cellStyle name="Normal 33 4 3 4" xfId="17162"/>
    <cellStyle name="Normal 33 4 4" xfId="7887"/>
    <cellStyle name="Normal 33 4 4 2" xfId="11374"/>
    <cellStyle name="Normal 33 4 4 2 2" xfId="19245"/>
    <cellStyle name="Normal 33 4 5" xfId="11371"/>
    <cellStyle name="Normal 33 4 5 2" xfId="19242"/>
    <cellStyle name="Normal 33 4 6" xfId="16386"/>
    <cellStyle name="Normal 33 5" xfId="4544"/>
    <cellStyle name="Normal 33 5 2" xfId="7889"/>
    <cellStyle name="Normal 33 5 2 2" xfId="11375"/>
    <cellStyle name="Normal 33 5 2 2 2" xfId="19246"/>
    <cellStyle name="Normal 33 6" xfId="4545"/>
    <cellStyle name="Normal 33 6 2" xfId="7890"/>
    <cellStyle name="Normal 33 6 2 2" xfId="11376"/>
    <cellStyle name="Normal 33 6 2 2 2" xfId="19247"/>
    <cellStyle name="Normal 33 7" xfId="4546"/>
    <cellStyle name="Normal 33 7 2" xfId="7891"/>
    <cellStyle name="Normal 33 7 2 2" xfId="11377"/>
    <cellStyle name="Normal 33 7 2 2 2" xfId="19248"/>
    <cellStyle name="Normal 33 8" xfId="4547"/>
    <cellStyle name="Normal 33 8 2" xfId="7892"/>
    <cellStyle name="Normal 33 8 2 2" xfId="11378"/>
    <cellStyle name="Normal 33 8 2 2 2" xfId="19249"/>
    <cellStyle name="Normal 33 9" xfId="4548"/>
    <cellStyle name="Normal 33 9 2" xfId="7893"/>
    <cellStyle name="Normal 33 9 2 2" xfId="11379"/>
    <cellStyle name="Normal 33 9 2 2 2" xfId="19250"/>
    <cellStyle name="Normal 34" xfId="2800"/>
    <cellStyle name="Normal 34 10" xfId="4549"/>
    <cellStyle name="Normal 34 10 2" xfId="7895"/>
    <cellStyle name="Normal 34 10 2 2" xfId="11380"/>
    <cellStyle name="Normal 34 10 2 2 2" xfId="19251"/>
    <cellStyle name="Normal 34 11" xfId="4550"/>
    <cellStyle name="Normal 34 11 2" xfId="7896"/>
    <cellStyle name="Normal 34 11 2 2" xfId="11381"/>
    <cellStyle name="Normal 34 11 2 2 2" xfId="19252"/>
    <cellStyle name="Normal 34 12" xfId="4551"/>
    <cellStyle name="Normal 34 12 2" xfId="7897"/>
    <cellStyle name="Normal 34 12 2 2" xfId="11382"/>
    <cellStyle name="Normal 34 12 2 2 2" xfId="19253"/>
    <cellStyle name="Normal 34 13" xfId="4552"/>
    <cellStyle name="Normal 34 13 2" xfId="7898"/>
    <cellStyle name="Normal 34 13 2 2" xfId="11383"/>
    <cellStyle name="Normal 34 13 2 2 2" xfId="19254"/>
    <cellStyle name="Normal 34 14" xfId="4553"/>
    <cellStyle name="Normal 34 14 2" xfId="7899"/>
    <cellStyle name="Normal 34 14 2 2" xfId="11384"/>
    <cellStyle name="Normal 34 14 2 2 2" xfId="19255"/>
    <cellStyle name="Normal 34 15" xfId="4554"/>
    <cellStyle name="Normal 34 15 2" xfId="7900"/>
    <cellStyle name="Normal 34 15 2 2" xfId="11385"/>
    <cellStyle name="Normal 34 15 2 2 2" xfId="19256"/>
    <cellStyle name="Normal 34 16" xfId="5788"/>
    <cellStyle name="Normal 34 16 2" xfId="7901"/>
    <cellStyle name="Normal 34 16 2 2" xfId="11387"/>
    <cellStyle name="Normal 34 16 2 2 2" xfId="19258"/>
    <cellStyle name="Normal 34 16 3" xfId="7038"/>
    <cellStyle name="Normal 34 16 3 2" xfId="11388"/>
    <cellStyle name="Normal 34 16 3 2 2" xfId="19259"/>
    <cellStyle name="Normal 34 16 3 3" xfId="17285"/>
    <cellStyle name="Normal 34 16 4" xfId="11386"/>
    <cellStyle name="Normal 34 16 4 2" xfId="19257"/>
    <cellStyle name="Normal 34 16 5" xfId="15099"/>
    <cellStyle name="Normal 34 16 5 2" xfId="21898"/>
    <cellStyle name="Normal 34 16 6" xfId="16489"/>
    <cellStyle name="Normal 34 17" xfId="7894"/>
    <cellStyle name="Normal 34 17 2" xfId="11389"/>
    <cellStyle name="Normal 34 17 2 2" xfId="19260"/>
    <cellStyle name="Normal 34 18" xfId="15464"/>
    <cellStyle name="Normal 34 18 2" xfId="22219"/>
    <cellStyle name="Normal 34 19" xfId="15663"/>
    <cellStyle name="Normal 34 19 2" xfId="22409"/>
    <cellStyle name="Normal 34 2" xfId="2801"/>
    <cellStyle name="Normal 34 2 2" xfId="7902"/>
    <cellStyle name="Normal 34 2 2 2" xfId="11390"/>
    <cellStyle name="Normal 34 2 2 2 2" xfId="19261"/>
    <cellStyle name="Normal 34 20" xfId="15857"/>
    <cellStyle name="Normal 34 20 2" xfId="22600"/>
    <cellStyle name="Normal 34 21" xfId="16108"/>
    <cellStyle name="Normal 34 3" xfId="2802"/>
    <cellStyle name="Normal 34 3 2" xfId="4555"/>
    <cellStyle name="Normal 34 3 2 10" xfId="16244"/>
    <cellStyle name="Normal 34 3 2 2" xfId="6057"/>
    <cellStyle name="Normal 34 3 2 2 2" xfId="7905"/>
    <cellStyle name="Normal 34 3 2 2 2 2" xfId="11394"/>
    <cellStyle name="Normal 34 3 2 2 2 2 2" xfId="19265"/>
    <cellStyle name="Normal 34 3 2 2 3" xfId="7261"/>
    <cellStyle name="Normal 34 3 2 2 3 2" xfId="11395"/>
    <cellStyle name="Normal 34 3 2 2 3 2 2" xfId="19266"/>
    <cellStyle name="Normal 34 3 2 2 3 3" xfId="17508"/>
    <cellStyle name="Normal 34 3 2 2 4" xfId="11393"/>
    <cellStyle name="Normal 34 3 2 2 4 2" xfId="19264"/>
    <cellStyle name="Normal 34 3 2 2 5" xfId="15322"/>
    <cellStyle name="Normal 34 3 2 2 5 2" xfId="22121"/>
    <cellStyle name="Normal 34 3 2 2 6" xfId="16712"/>
    <cellStyle name="Normal 34 3 2 3" xfId="7904"/>
    <cellStyle name="Normal 34 3 2 3 2" xfId="11396"/>
    <cellStyle name="Normal 34 3 2 3 2 2" xfId="19267"/>
    <cellStyle name="Normal 34 3 2 4" xfId="6808"/>
    <cellStyle name="Normal 34 3 2 4 2" xfId="11397"/>
    <cellStyle name="Normal 34 3 2 4 2 2" xfId="19268"/>
    <cellStyle name="Normal 34 3 2 4 3" xfId="17055"/>
    <cellStyle name="Normal 34 3 2 5" xfId="11392"/>
    <cellStyle name="Normal 34 3 2 5 2" xfId="19263"/>
    <cellStyle name="Normal 34 3 2 6" xfId="14751"/>
    <cellStyle name="Normal 34 3 2 6 2" xfId="21668"/>
    <cellStyle name="Normal 34 3 2 7" xfId="15595"/>
    <cellStyle name="Normal 34 3 2 7 2" xfId="22350"/>
    <cellStyle name="Normal 34 3 2 8" xfId="15795"/>
    <cellStyle name="Normal 34 3 2 8 2" xfId="22541"/>
    <cellStyle name="Normal 34 3 2 9" xfId="16026"/>
    <cellStyle name="Normal 34 3 2 9 2" xfId="22754"/>
    <cellStyle name="Normal 34 3 3" xfId="5503"/>
    <cellStyle name="Normal 34 3 3 2" xfId="7906"/>
    <cellStyle name="Normal 34 3 3 2 2" xfId="11398"/>
    <cellStyle name="Normal 34 3 3 2 2 2" xfId="19269"/>
    <cellStyle name="Normal 34 3 4" xfId="6624"/>
    <cellStyle name="Normal 34 3 4 2" xfId="11399"/>
    <cellStyle name="Normal 34 3 4 2 2" xfId="19270"/>
    <cellStyle name="Normal 34 3 4 3" xfId="14555"/>
    <cellStyle name="Normal 34 3 4 3 2" xfId="21572"/>
    <cellStyle name="Normal 34 3 4 4" xfId="16992"/>
    <cellStyle name="Normal 34 3 5" xfId="7903"/>
    <cellStyle name="Normal 34 3 5 2" xfId="11400"/>
    <cellStyle name="Normal 34 3 5 2 2" xfId="19271"/>
    <cellStyle name="Normal 34 3 6" xfId="11391"/>
    <cellStyle name="Normal 34 3 6 2" xfId="19262"/>
    <cellStyle name="Normal 34 4" xfId="4556"/>
    <cellStyle name="Normal 34 4 2" xfId="7907"/>
    <cellStyle name="Normal 34 4 2 2" xfId="11401"/>
    <cellStyle name="Normal 34 4 2 2 2" xfId="19272"/>
    <cellStyle name="Normal 34 5" xfId="4557"/>
    <cellStyle name="Normal 34 5 2" xfId="7908"/>
    <cellStyle name="Normal 34 5 2 2" xfId="11402"/>
    <cellStyle name="Normal 34 5 2 2 2" xfId="19273"/>
    <cellStyle name="Normal 34 6" xfId="4558"/>
    <cellStyle name="Normal 34 6 2" xfId="7909"/>
    <cellStyle name="Normal 34 6 2 2" xfId="11403"/>
    <cellStyle name="Normal 34 6 2 2 2" xfId="19274"/>
    <cellStyle name="Normal 34 7" xfId="4559"/>
    <cellStyle name="Normal 34 7 2" xfId="7910"/>
    <cellStyle name="Normal 34 7 2 2" xfId="11404"/>
    <cellStyle name="Normal 34 7 2 2 2" xfId="19275"/>
    <cellStyle name="Normal 34 8" xfId="4560"/>
    <cellStyle name="Normal 34 8 2" xfId="7911"/>
    <cellStyle name="Normal 34 8 2 2" xfId="11405"/>
    <cellStyle name="Normal 34 8 2 2 2" xfId="19276"/>
    <cellStyle name="Normal 34 9" xfId="4561"/>
    <cellStyle name="Normal 34 9 2" xfId="7912"/>
    <cellStyle name="Normal 34 9 2 2" xfId="11406"/>
    <cellStyle name="Normal 34 9 2 2 2" xfId="19277"/>
    <cellStyle name="Normal 35" xfId="2803"/>
    <cellStyle name="Normal 35 10" xfId="4562"/>
    <cellStyle name="Normal 35 10 2" xfId="7914"/>
    <cellStyle name="Normal 35 10 2 2" xfId="11407"/>
    <cellStyle name="Normal 35 10 2 2 2" xfId="19278"/>
    <cellStyle name="Normal 35 11" xfId="4563"/>
    <cellStyle name="Normal 35 11 2" xfId="7915"/>
    <cellStyle name="Normal 35 11 2 2" xfId="11408"/>
    <cellStyle name="Normal 35 11 2 2 2" xfId="19279"/>
    <cellStyle name="Normal 35 12" xfId="4564"/>
    <cellStyle name="Normal 35 12 2" xfId="7916"/>
    <cellStyle name="Normal 35 12 2 2" xfId="11409"/>
    <cellStyle name="Normal 35 12 2 2 2" xfId="19280"/>
    <cellStyle name="Normal 35 13" xfId="4565"/>
    <cellStyle name="Normal 35 13 2" xfId="7917"/>
    <cellStyle name="Normal 35 13 2 2" xfId="11410"/>
    <cellStyle name="Normal 35 13 2 2 2" xfId="19281"/>
    <cellStyle name="Normal 35 14" xfId="4566"/>
    <cellStyle name="Normal 35 14 2" xfId="7918"/>
    <cellStyle name="Normal 35 14 2 2" xfId="11411"/>
    <cellStyle name="Normal 35 14 2 2 2" xfId="19282"/>
    <cellStyle name="Normal 35 15" xfId="4567"/>
    <cellStyle name="Normal 35 15 2" xfId="7919"/>
    <cellStyle name="Normal 35 15 2 2" xfId="11412"/>
    <cellStyle name="Normal 35 15 2 2 2" xfId="19283"/>
    <cellStyle name="Normal 35 16" xfId="5789"/>
    <cellStyle name="Normal 35 16 2" xfId="7920"/>
    <cellStyle name="Normal 35 16 2 2" xfId="11414"/>
    <cellStyle name="Normal 35 16 2 2 2" xfId="19285"/>
    <cellStyle name="Normal 35 16 3" xfId="7039"/>
    <cellStyle name="Normal 35 16 3 2" xfId="11415"/>
    <cellStyle name="Normal 35 16 3 2 2" xfId="19286"/>
    <cellStyle name="Normal 35 16 3 3" xfId="17286"/>
    <cellStyle name="Normal 35 16 4" xfId="11413"/>
    <cellStyle name="Normal 35 16 4 2" xfId="19284"/>
    <cellStyle name="Normal 35 16 5" xfId="15100"/>
    <cellStyle name="Normal 35 16 5 2" xfId="21899"/>
    <cellStyle name="Normal 35 16 6" xfId="16490"/>
    <cellStyle name="Normal 35 17" xfId="7913"/>
    <cellStyle name="Normal 35 17 2" xfId="11416"/>
    <cellStyle name="Normal 35 17 2 2" xfId="19287"/>
    <cellStyle name="Normal 35 18" xfId="15465"/>
    <cellStyle name="Normal 35 18 2" xfId="22220"/>
    <cellStyle name="Normal 35 19" xfId="15664"/>
    <cellStyle name="Normal 35 19 2" xfId="22410"/>
    <cellStyle name="Normal 35 2" xfId="2804"/>
    <cellStyle name="Normal 35 2 2" xfId="7921"/>
    <cellStyle name="Normal 35 2 2 2" xfId="11417"/>
    <cellStyle name="Normal 35 2 2 2 2" xfId="19288"/>
    <cellStyle name="Normal 35 20" xfId="15858"/>
    <cellStyle name="Normal 35 20 2" xfId="22601"/>
    <cellStyle name="Normal 35 21" xfId="16109"/>
    <cellStyle name="Normal 35 3" xfId="2805"/>
    <cellStyle name="Normal 35 3 2" xfId="4568"/>
    <cellStyle name="Normal 35 3 2 10" xfId="16245"/>
    <cellStyle name="Normal 35 3 2 2" xfId="6058"/>
    <cellStyle name="Normal 35 3 2 2 2" xfId="7924"/>
    <cellStyle name="Normal 35 3 2 2 2 2" xfId="11421"/>
    <cellStyle name="Normal 35 3 2 2 2 2 2" xfId="19292"/>
    <cellStyle name="Normal 35 3 2 2 3" xfId="7262"/>
    <cellStyle name="Normal 35 3 2 2 3 2" xfId="11422"/>
    <cellStyle name="Normal 35 3 2 2 3 2 2" xfId="19293"/>
    <cellStyle name="Normal 35 3 2 2 3 3" xfId="17509"/>
    <cellStyle name="Normal 35 3 2 2 4" xfId="11420"/>
    <cellStyle name="Normal 35 3 2 2 4 2" xfId="19291"/>
    <cellStyle name="Normal 35 3 2 2 5" xfId="15323"/>
    <cellStyle name="Normal 35 3 2 2 5 2" xfId="22122"/>
    <cellStyle name="Normal 35 3 2 2 6" xfId="16713"/>
    <cellStyle name="Normal 35 3 2 3" xfId="7923"/>
    <cellStyle name="Normal 35 3 2 3 2" xfId="11423"/>
    <cellStyle name="Normal 35 3 2 3 2 2" xfId="19294"/>
    <cellStyle name="Normal 35 3 2 4" xfId="6809"/>
    <cellStyle name="Normal 35 3 2 4 2" xfId="11424"/>
    <cellStyle name="Normal 35 3 2 4 2 2" xfId="19295"/>
    <cellStyle name="Normal 35 3 2 4 3" xfId="17056"/>
    <cellStyle name="Normal 35 3 2 5" xfId="11419"/>
    <cellStyle name="Normal 35 3 2 5 2" xfId="19290"/>
    <cellStyle name="Normal 35 3 2 6" xfId="14752"/>
    <cellStyle name="Normal 35 3 2 6 2" xfId="21669"/>
    <cellStyle name="Normal 35 3 2 7" xfId="15596"/>
    <cellStyle name="Normal 35 3 2 7 2" xfId="22351"/>
    <cellStyle name="Normal 35 3 2 8" xfId="15796"/>
    <cellStyle name="Normal 35 3 2 8 2" xfId="22542"/>
    <cellStyle name="Normal 35 3 2 9" xfId="16027"/>
    <cellStyle name="Normal 35 3 2 9 2" xfId="22755"/>
    <cellStyle name="Normal 35 3 3" xfId="5504"/>
    <cellStyle name="Normal 35 3 3 2" xfId="7925"/>
    <cellStyle name="Normal 35 3 3 2 2" xfId="11425"/>
    <cellStyle name="Normal 35 3 3 2 2 2" xfId="19296"/>
    <cellStyle name="Normal 35 3 4" xfId="6625"/>
    <cellStyle name="Normal 35 3 4 2" xfId="11426"/>
    <cellStyle name="Normal 35 3 4 2 2" xfId="19297"/>
    <cellStyle name="Normal 35 3 4 3" xfId="14556"/>
    <cellStyle name="Normal 35 3 4 3 2" xfId="21573"/>
    <cellStyle name="Normal 35 3 4 4" xfId="16993"/>
    <cellStyle name="Normal 35 3 5" xfId="7922"/>
    <cellStyle name="Normal 35 3 5 2" xfId="11427"/>
    <cellStyle name="Normal 35 3 5 2 2" xfId="19298"/>
    <cellStyle name="Normal 35 3 6" xfId="11418"/>
    <cellStyle name="Normal 35 3 6 2" xfId="19289"/>
    <cellStyle name="Normal 35 4" xfId="4569"/>
    <cellStyle name="Normal 35 4 2" xfId="7926"/>
    <cellStyle name="Normal 35 4 2 2" xfId="11428"/>
    <cellStyle name="Normal 35 4 2 2 2" xfId="19299"/>
    <cellStyle name="Normal 35 5" xfId="4570"/>
    <cellStyle name="Normal 35 5 2" xfId="7927"/>
    <cellStyle name="Normal 35 5 2 2" xfId="11429"/>
    <cellStyle name="Normal 35 5 2 2 2" xfId="19300"/>
    <cellStyle name="Normal 35 6" xfId="4571"/>
    <cellStyle name="Normal 35 6 2" xfId="7928"/>
    <cellStyle name="Normal 35 6 2 2" xfId="11430"/>
    <cellStyle name="Normal 35 6 2 2 2" xfId="19301"/>
    <cellStyle name="Normal 35 7" xfId="4572"/>
    <cellStyle name="Normal 35 7 2" xfId="7929"/>
    <cellStyle name="Normal 35 7 2 2" xfId="11431"/>
    <cellStyle name="Normal 35 7 2 2 2" xfId="19302"/>
    <cellStyle name="Normal 35 8" xfId="4573"/>
    <cellStyle name="Normal 35 8 2" xfId="7930"/>
    <cellStyle name="Normal 35 8 2 2" xfId="11432"/>
    <cellStyle name="Normal 35 8 2 2 2" xfId="19303"/>
    <cellStyle name="Normal 35 9" xfId="4574"/>
    <cellStyle name="Normal 35 9 2" xfId="7931"/>
    <cellStyle name="Normal 35 9 2 2" xfId="11433"/>
    <cellStyle name="Normal 35 9 2 2 2" xfId="19304"/>
    <cellStyle name="Normal 36" xfId="2806"/>
    <cellStyle name="Normal 36 10" xfId="4575"/>
    <cellStyle name="Normal 36 10 2" xfId="7933"/>
    <cellStyle name="Normal 36 10 2 2" xfId="11434"/>
    <cellStyle name="Normal 36 10 2 2 2" xfId="19305"/>
    <cellStyle name="Normal 36 11" xfId="4576"/>
    <cellStyle name="Normal 36 11 2" xfId="7934"/>
    <cellStyle name="Normal 36 11 2 2" xfId="11435"/>
    <cellStyle name="Normal 36 11 2 2 2" xfId="19306"/>
    <cellStyle name="Normal 36 12" xfId="4577"/>
    <cellStyle name="Normal 36 12 2" xfId="7935"/>
    <cellStyle name="Normal 36 12 2 2" xfId="11436"/>
    <cellStyle name="Normal 36 12 2 2 2" xfId="19307"/>
    <cellStyle name="Normal 36 13" xfId="4578"/>
    <cellStyle name="Normal 36 13 2" xfId="7936"/>
    <cellStyle name="Normal 36 13 2 2" xfId="11437"/>
    <cellStyle name="Normal 36 13 2 2 2" xfId="19308"/>
    <cellStyle name="Normal 36 14" xfId="4579"/>
    <cellStyle name="Normal 36 14 2" xfId="7937"/>
    <cellStyle name="Normal 36 14 2 2" xfId="11438"/>
    <cellStyle name="Normal 36 14 2 2 2" xfId="19309"/>
    <cellStyle name="Normal 36 15" xfId="4580"/>
    <cellStyle name="Normal 36 15 2" xfId="7938"/>
    <cellStyle name="Normal 36 15 2 2" xfId="11439"/>
    <cellStyle name="Normal 36 15 2 2 2" xfId="19310"/>
    <cellStyle name="Normal 36 16" xfId="5790"/>
    <cellStyle name="Normal 36 16 2" xfId="7939"/>
    <cellStyle name="Normal 36 16 2 2" xfId="11441"/>
    <cellStyle name="Normal 36 16 2 2 2" xfId="19312"/>
    <cellStyle name="Normal 36 16 3" xfId="7040"/>
    <cellStyle name="Normal 36 16 3 2" xfId="11442"/>
    <cellStyle name="Normal 36 16 3 2 2" xfId="19313"/>
    <cellStyle name="Normal 36 16 3 3" xfId="17287"/>
    <cellStyle name="Normal 36 16 4" xfId="11440"/>
    <cellStyle name="Normal 36 16 4 2" xfId="19311"/>
    <cellStyle name="Normal 36 16 5" xfId="15101"/>
    <cellStyle name="Normal 36 16 5 2" xfId="21900"/>
    <cellStyle name="Normal 36 16 6" xfId="16491"/>
    <cellStyle name="Normal 36 17" xfId="7932"/>
    <cellStyle name="Normal 36 17 2" xfId="11443"/>
    <cellStyle name="Normal 36 17 2 2" xfId="19314"/>
    <cellStyle name="Normal 36 18" xfId="15466"/>
    <cellStyle name="Normal 36 18 2" xfId="22221"/>
    <cellStyle name="Normal 36 19" xfId="15665"/>
    <cellStyle name="Normal 36 19 2" xfId="22411"/>
    <cellStyle name="Normal 36 2" xfId="2807"/>
    <cellStyle name="Normal 36 2 2" xfId="7940"/>
    <cellStyle name="Normal 36 2 2 2" xfId="11444"/>
    <cellStyle name="Normal 36 2 2 2 2" xfId="19315"/>
    <cellStyle name="Normal 36 20" xfId="15859"/>
    <cellStyle name="Normal 36 20 2" xfId="22602"/>
    <cellStyle name="Normal 36 21" xfId="16110"/>
    <cellStyle name="Normal 36 3" xfId="2808"/>
    <cellStyle name="Normal 36 3 2" xfId="4581"/>
    <cellStyle name="Normal 36 3 2 10" xfId="16246"/>
    <cellStyle name="Normal 36 3 2 2" xfId="6059"/>
    <cellStyle name="Normal 36 3 2 2 2" xfId="7943"/>
    <cellStyle name="Normal 36 3 2 2 2 2" xfId="11448"/>
    <cellStyle name="Normal 36 3 2 2 2 2 2" xfId="19319"/>
    <cellStyle name="Normal 36 3 2 2 3" xfId="7263"/>
    <cellStyle name="Normal 36 3 2 2 3 2" xfId="11449"/>
    <cellStyle name="Normal 36 3 2 2 3 2 2" xfId="19320"/>
    <cellStyle name="Normal 36 3 2 2 3 3" xfId="17510"/>
    <cellStyle name="Normal 36 3 2 2 4" xfId="11447"/>
    <cellStyle name="Normal 36 3 2 2 4 2" xfId="19318"/>
    <cellStyle name="Normal 36 3 2 2 5" xfId="15324"/>
    <cellStyle name="Normal 36 3 2 2 5 2" xfId="22123"/>
    <cellStyle name="Normal 36 3 2 2 6" xfId="16714"/>
    <cellStyle name="Normal 36 3 2 3" xfId="7942"/>
    <cellStyle name="Normal 36 3 2 3 2" xfId="11450"/>
    <cellStyle name="Normal 36 3 2 3 2 2" xfId="19321"/>
    <cellStyle name="Normal 36 3 2 4" xfId="6810"/>
    <cellStyle name="Normal 36 3 2 4 2" xfId="11451"/>
    <cellStyle name="Normal 36 3 2 4 2 2" xfId="19322"/>
    <cellStyle name="Normal 36 3 2 4 3" xfId="17057"/>
    <cellStyle name="Normal 36 3 2 5" xfId="11446"/>
    <cellStyle name="Normal 36 3 2 5 2" xfId="19317"/>
    <cellStyle name="Normal 36 3 2 6" xfId="14753"/>
    <cellStyle name="Normal 36 3 2 6 2" xfId="21670"/>
    <cellStyle name="Normal 36 3 2 7" xfId="15597"/>
    <cellStyle name="Normal 36 3 2 7 2" xfId="22352"/>
    <cellStyle name="Normal 36 3 2 8" xfId="15797"/>
    <cellStyle name="Normal 36 3 2 8 2" xfId="22543"/>
    <cellStyle name="Normal 36 3 2 9" xfId="16028"/>
    <cellStyle name="Normal 36 3 2 9 2" xfId="22756"/>
    <cellStyle name="Normal 36 3 3" xfId="5505"/>
    <cellStyle name="Normal 36 3 3 2" xfId="7944"/>
    <cellStyle name="Normal 36 3 3 2 2" xfId="11452"/>
    <cellStyle name="Normal 36 3 3 2 2 2" xfId="19323"/>
    <cellStyle name="Normal 36 3 4" xfId="6626"/>
    <cellStyle name="Normal 36 3 4 2" xfId="11453"/>
    <cellStyle name="Normal 36 3 4 2 2" xfId="19324"/>
    <cellStyle name="Normal 36 3 4 3" xfId="14557"/>
    <cellStyle name="Normal 36 3 4 3 2" xfId="21574"/>
    <cellStyle name="Normal 36 3 4 4" xfId="16994"/>
    <cellStyle name="Normal 36 3 5" xfId="7941"/>
    <cellStyle name="Normal 36 3 5 2" xfId="11454"/>
    <cellStyle name="Normal 36 3 5 2 2" xfId="19325"/>
    <cellStyle name="Normal 36 3 6" xfId="11445"/>
    <cellStyle name="Normal 36 3 6 2" xfId="19316"/>
    <cellStyle name="Normal 36 4" xfId="4582"/>
    <cellStyle name="Normal 36 4 2" xfId="7945"/>
    <cellStyle name="Normal 36 4 2 2" xfId="11455"/>
    <cellStyle name="Normal 36 4 2 2 2" xfId="19326"/>
    <cellStyle name="Normal 36 5" xfId="4583"/>
    <cellStyle name="Normal 36 5 2" xfId="7946"/>
    <cellStyle name="Normal 36 5 2 2" xfId="11456"/>
    <cellStyle name="Normal 36 5 2 2 2" xfId="19327"/>
    <cellStyle name="Normal 36 6" xfId="4584"/>
    <cellStyle name="Normal 36 6 2" xfId="7947"/>
    <cellStyle name="Normal 36 6 2 2" xfId="11457"/>
    <cellStyle name="Normal 36 6 2 2 2" xfId="19328"/>
    <cellStyle name="Normal 36 7" xfId="4585"/>
    <cellStyle name="Normal 36 7 2" xfId="7948"/>
    <cellStyle name="Normal 36 7 2 2" xfId="11458"/>
    <cellStyle name="Normal 36 7 2 2 2" xfId="19329"/>
    <cellStyle name="Normal 36 8" xfId="4586"/>
    <cellStyle name="Normal 36 8 2" xfId="7949"/>
    <cellStyle name="Normal 36 8 2 2" xfId="11459"/>
    <cellStyle name="Normal 36 8 2 2 2" xfId="19330"/>
    <cellStyle name="Normal 36 9" xfId="4587"/>
    <cellStyle name="Normal 36 9 2" xfId="7950"/>
    <cellStyle name="Normal 36 9 2 2" xfId="11460"/>
    <cellStyle name="Normal 36 9 2 2 2" xfId="19331"/>
    <cellStyle name="Normal 37" xfId="2809"/>
    <cellStyle name="Normal 37 2" xfId="2810"/>
    <cellStyle name="Normal 37 2 2" xfId="4588"/>
    <cellStyle name="Normal 37 2 2 2" xfId="7953"/>
    <cellStyle name="Normal 37 2 2 2 2" xfId="11461"/>
    <cellStyle name="Normal 37 2 2 2 2 2" xfId="19332"/>
    <cellStyle name="Normal 37 2 3" xfId="5507"/>
    <cellStyle name="Normal 37 2 3 2" xfId="7954"/>
    <cellStyle name="Normal 37 2 3 2 2" xfId="11462"/>
    <cellStyle name="Normal 37 2 3 2 2 2" xfId="19333"/>
    <cellStyle name="Normal 37 2 4" xfId="6627"/>
    <cellStyle name="Normal 37 2 4 2" xfId="14558"/>
    <cellStyle name="Normal 37 2 5" xfId="7952"/>
    <cellStyle name="Normal 37 2 5 2" xfId="11463"/>
    <cellStyle name="Normal 37 2 5 2 2" xfId="19334"/>
    <cellStyle name="Normal 37 3" xfId="2811"/>
    <cellStyle name="Normal 37 3 2" xfId="4589"/>
    <cellStyle name="Normal 37 3 2 10" xfId="16247"/>
    <cellStyle name="Normal 37 3 2 2" xfId="6060"/>
    <cellStyle name="Normal 37 3 2 2 2" xfId="7957"/>
    <cellStyle name="Normal 37 3 2 2 2 2" xfId="11467"/>
    <cellStyle name="Normal 37 3 2 2 2 2 2" xfId="19338"/>
    <cellStyle name="Normal 37 3 2 2 3" xfId="7264"/>
    <cellStyle name="Normal 37 3 2 2 3 2" xfId="11468"/>
    <cellStyle name="Normal 37 3 2 2 3 2 2" xfId="19339"/>
    <cellStyle name="Normal 37 3 2 2 3 3" xfId="17511"/>
    <cellStyle name="Normal 37 3 2 2 4" xfId="11466"/>
    <cellStyle name="Normal 37 3 2 2 4 2" xfId="19337"/>
    <cellStyle name="Normal 37 3 2 2 5" xfId="15325"/>
    <cellStyle name="Normal 37 3 2 2 5 2" xfId="22124"/>
    <cellStyle name="Normal 37 3 2 2 6" xfId="16715"/>
    <cellStyle name="Normal 37 3 2 3" xfId="7956"/>
    <cellStyle name="Normal 37 3 2 3 2" xfId="11469"/>
    <cellStyle name="Normal 37 3 2 3 2 2" xfId="19340"/>
    <cellStyle name="Normal 37 3 2 4" xfId="6811"/>
    <cellStyle name="Normal 37 3 2 4 2" xfId="11470"/>
    <cellStyle name="Normal 37 3 2 4 2 2" xfId="19341"/>
    <cellStyle name="Normal 37 3 2 4 3" xfId="17058"/>
    <cellStyle name="Normal 37 3 2 5" xfId="11465"/>
    <cellStyle name="Normal 37 3 2 5 2" xfId="19336"/>
    <cellStyle name="Normal 37 3 2 6" xfId="14754"/>
    <cellStyle name="Normal 37 3 2 6 2" xfId="21671"/>
    <cellStyle name="Normal 37 3 2 7" xfId="15598"/>
    <cellStyle name="Normal 37 3 2 7 2" xfId="22353"/>
    <cellStyle name="Normal 37 3 2 8" xfId="15798"/>
    <cellStyle name="Normal 37 3 2 8 2" xfId="22544"/>
    <cellStyle name="Normal 37 3 2 9" xfId="16029"/>
    <cellStyle name="Normal 37 3 2 9 2" xfId="22757"/>
    <cellStyle name="Normal 37 3 3" xfId="5506"/>
    <cellStyle name="Normal 37 3 3 2" xfId="7958"/>
    <cellStyle name="Normal 37 3 3 2 2" xfId="11471"/>
    <cellStyle name="Normal 37 3 3 2 2 2" xfId="19342"/>
    <cellStyle name="Normal 37 3 4" xfId="7955"/>
    <cellStyle name="Normal 37 3 4 2" xfId="11472"/>
    <cellStyle name="Normal 37 3 4 2 2" xfId="19343"/>
    <cellStyle name="Normal 37 3 5" xfId="6628"/>
    <cellStyle name="Normal 37 3 5 2" xfId="11473"/>
    <cellStyle name="Normal 37 3 5 2 2" xfId="19344"/>
    <cellStyle name="Normal 37 3 5 3" xfId="16995"/>
    <cellStyle name="Normal 37 3 6" xfId="11464"/>
    <cellStyle name="Normal 37 3 6 2" xfId="19335"/>
    <cellStyle name="Normal 37 3 7" xfId="14559"/>
    <cellStyle name="Normal 37 3 7 2" xfId="21575"/>
    <cellStyle name="Normal 37 4" xfId="5791"/>
    <cellStyle name="Normal 37 4 2" xfId="7959"/>
    <cellStyle name="Normal 37 4 2 2" xfId="11475"/>
    <cellStyle name="Normal 37 4 2 2 2" xfId="19346"/>
    <cellStyle name="Normal 37 4 3" xfId="7041"/>
    <cellStyle name="Normal 37 4 3 2" xfId="11476"/>
    <cellStyle name="Normal 37 4 3 2 2" xfId="19347"/>
    <cellStyle name="Normal 37 4 3 3" xfId="17288"/>
    <cellStyle name="Normal 37 4 4" xfId="11474"/>
    <cellStyle name="Normal 37 4 4 2" xfId="19345"/>
    <cellStyle name="Normal 37 4 5" xfId="15102"/>
    <cellStyle name="Normal 37 4 5 2" xfId="21901"/>
    <cellStyle name="Normal 37 4 6" xfId="16492"/>
    <cellStyle name="Normal 37 5" xfId="7951"/>
    <cellStyle name="Normal 37 5 2" xfId="11477"/>
    <cellStyle name="Normal 37 5 2 2" xfId="19348"/>
    <cellStyle name="Normal 37 6" xfId="15467"/>
    <cellStyle name="Normal 37 6 2" xfId="22222"/>
    <cellStyle name="Normal 37 7" xfId="15666"/>
    <cellStyle name="Normal 37 7 2" xfId="22412"/>
    <cellStyle name="Normal 37 8" xfId="15860"/>
    <cellStyle name="Normal 37 8 2" xfId="22603"/>
    <cellStyle name="Normal 37 9" xfId="16111"/>
    <cellStyle name="Normal 38" xfId="2812"/>
    <cellStyle name="Normal 38 10" xfId="4590"/>
    <cellStyle name="Normal 38 10 2" xfId="7961"/>
    <cellStyle name="Normal 38 10 2 2" xfId="11478"/>
    <cellStyle name="Normal 38 10 2 2 2" xfId="19349"/>
    <cellStyle name="Normal 38 11" xfId="4591"/>
    <cellStyle name="Normal 38 11 2" xfId="7962"/>
    <cellStyle name="Normal 38 11 2 2" xfId="11479"/>
    <cellStyle name="Normal 38 11 2 2 2" xfId="19350"/>
    <cellStyle name="Normal 38 12" xfId="4592"/>
    <cellStyle name="Normal 38 12 2" xfId="7963"/>
    <cellStyle name="Normal 38 12 2 2" xfId="11480"/>
    <cellStyle name="Normal 38 12 2 2 2" xfId="19351"/>
    <cellStyle name="Normal 38 13" xfId="4593"/>
    <cellStyle name="Normal 38 13 2" xfId="7964"/>
    <cellStyle name="Normal 38 13 2 2" xfId="11481"/>
    <cellStyle name="Normal 38 13 2 2 2" xfId="19352"/>
    <cellStyle name="Normal 38 14" xfId="4594"/>
    <cellStyle name="Normal 38 14 2" xfId="7965"/>
    <cellStyle name="Normal 38 14 2 2" xfId="11482"/>
    <cellStyle name="Normal 38 14 2 2 2" xfId="19353"/>
    <cellStyle name="Normal 38 15" xfId="4595"/>
    <cellStyle name="Normal 38 15 2" xfId="7966"/>
    <cellStyle name="Normal 38 15 2 2" xfId="11483"/>
    <cellStyle name="Normal 38 15 2 2 2" xfId="19354"/>
    <cellStyle name="Normal 38 16" xfId="5792"/>
    <cellStyle name="Normal 38 16 2" xfId="7967"/>
    <cellStyle name="Normal 38 16 2 2" xfId="11485"/>
    <cellStyle name="Normal 38 16 2 2 2" xfId="19356"/>
    <cellStyle name="Normal 38 16 3" xfId="7042"/>
    <cellStyle name="Normal 38 16 3 2" xfId="11486"/>
    <cellStyle name="Normal 38 16 3 2 2" xfId="19357"/>
    <cellStyle name="Normal 38 16 3 3" xfId="17289"/>
    <cellStyle name="Normal 38 16 4" xfId="11484"/>
    <cellStyle name="Normal 38 16 4 2" xfId="19355"/>
    <cellStyle name="Normal 38 16 5" xfId="15103"/>
    <cellStyle name="Normal 38 16 5 2" xfId="21902"/>
    <cellStyle name="Normal 38 16 6" xfId="16493"/>
    <cellStyle name="Normal 38 17" xfId="7960"/>
    <cellStyle name="Normal 38 17 2" xfId="11487"/>
    <cellStyle name="Normal 38 17 2 2" xfId="19358"/>
    <cellStyle name="Normal 38 18" xfId="15468"/>
    <cellStyle name="Normal 38 18 2" xfId="22223"/>
    <cellStyle name="Normal 38 19" xfId="15667"/>
    <cellStyle name="Normal 38 19 2" xfId="22413"/>
    <cellStyle name="Normal 38 2" xfId="2813"/>
    <cellStyle name="Normal 38 2 2" xfId="7968"/>
    <cellStyle name="Normal 38 2 2 2" xfId="11488"/>
    <cellStyle name="Normal 38 2 2 2 2" xfId="19359"/>
    <cellStyle name="Normal 38 20" xfId="15861"/>
    <cellStyle name="Normal 38 20 2" xfId="22604"/>
    <cellStyle name="Normal 38 21" xfId="16112"/>
    <cellStyle name="Normal 38 3" xfId="2814"/>
    <cellStyle name="Normal 38 3 2" xfId="4596"/>
    <cellStyle name="Normal 38 3 2 10" xfId="16248"/>
    <cellStyle name="Normal 38 3 2 2" xfId="6061"/>
    <cellStyle name="Normal 38 3 2 2 2" xfId="7971"/>
    <cellStyle name="Normal 38 3 2 2 2 2" xfId="11492"/>
    <cellStyle name="Normal 38 3 2 2 2 2 2" xfId="19363"/>
    <cellStyle name="Normal 38 3 2 2 3" xfId="7265"/>
    <cellStyle name="Normal 38 3 2 2 3 2" xfId="11493"/>
    <cellStyle name="Normal 38 3 2 2 3 2 2" xfId="19364"/>
    <cellStyle name="Normal 38 3 2 2 3 3" xfId="17512"/>
    <cellStyle name="Normal 38 3 2 2 4" xfId="11491"/>
    <cellStyle name="Normal 38 3 2 2 4 2" xfId="19362"/>
    <cellStyle name="Normal 38 3 2 2 5" xfId="15326"/>
    <cellStyle name="Normal 38 3 2 2 5 2" xfId="22125"/>
    <cellStyle name="Normal 38 3 2 2 6" xfId="16716"/>
    <cellStyle name="Normal 38 3 2 3" xfId="7970"/>
    <cellStyle name="Normal 38 3 2 3 2" xfId="11494"/>
    <cellStyle name="Normal 38 3 2 3 2 2" xfId="19365"/>
    <cellStyle name="Normal 38 3 2 4" xfId="6812"/>
    <cellStyle name="Normal 38 3 2 4 2" xfId="11495"/>
    <cellStyle name="Normal 38 3 2 4 2 2" xfId="19366"/>
    <cellStyle name="Normal 38 3 2 4 3" xfId="17059"/>
    <cellStyle name="Normal 38 3 2 5" xfId="11490"/>
    <cellStyle name="Normal 38 3 2 5 2" xfId="19361"/>
    <cellStyle name="Normal 38 3 2 6" xfId="14755"/>
    <cellStyle name="Normal 38 3 2 6 2" xfId="21672"/>
    <cellStyle name="Normal 38 3 2 7" xfId="15599"/>
    <cellStyle name="Normal 38 3 2 7 2" xfId="22354"/>
    <cellStyle name="Normal 38 3 2 8" xfId="15799"/>
    <cellStyle name="Normal 38 3 2 8 2" xfId="22545"/>
    <cellStyle name="Normal 38 3 2 9" xfId="16030"/>
    <cellStyle name="Normal 38 3 2 9 2" xfId="22758"/>
    <cellStyle name="Normal 38 3 3" xfId="5508"/>
    <cellStyle name="Normal 38 3 3 2" xfId="7972"/>
    <cellStyle name="Normal 38 3 3 2 2" xfId="11496"/>
    <cellStyle name="Normal 38 3 3 2 2 2" xfId="19367"/>
    <cellStyle name="Normal 38 3 4" xfId="6629"/>
    <cellStyle name="Normal 38 3 4 2" xfId="11497"/>
    <cellStyle name="Normal 38 3 4 2 2" xfId="19368"/>
    <cellStyle name="Normal 38 3 4 3" xfId="14560"/>
    <cellStyle name="Normal 38 3 4 3 2" xfId="21576"/>
    <cellStyle name="Normal 38 3 4 4" xfId="16996"/>
    <cellStyle name="Normal 38 3 5" xfId="7969"/>
    <cellStyle name="Normal 38 3 5 2" xfId="11498"/>
    <cellStyle name="Normal 38 3 5 2 2" xfId="19369"/>
    <cellStyle name="Normal 38 3 6" xfId="11489"/>
    <cellStyle name="Normal 38 3 6 2" xfId="19360"/>
    <cellStyle name="Normal 38 4" xfId="4597"/>
    <cellStyle name="Normal 38 4 2" xfId="7973"/>
    <cellStyle name="Normal 38 4 2 2" xfId="11499"/>
    <cellStyle name="Normal 38 4 2 2 2" xfId="19370"/>
    <cellStyle name="Normal 38 5" xfId="4598"/>
    <cellStyle name="Normal 38 5 2" xfId="7974"/>
    <cellStyle name="Normal 38 5 2 2" xfId="11500"/>
    <cellStyle name="Normal 38 5 2 2 2" xfId="19371"/>
    <cellStyle name="Normal 38 6" xfId="4599"/>
    <cellStyle name="Normal 38 6 2" xfId="7975"/>
    <cellStyle name="Normal 38 6 2 2" xfId="11501"/>
    <cellStyle name="Normal 38 6 2 2 2" xfId="19372"/>
    <cellStyle name="Normal 38 7" xfId="4600"/>
    <cellStyle name="Normal 38 7 2" xfId="7976"/>
    <cellStyle name="Normal 38 7 2 2" xfId="11502"/>
    <cellStyle name="Normal 38 7 2 2 2" xfId="19373"/>
    <cellStyle name="Normal 38 8" xfId="4601"/>
    <cellStyle name="Normal 38 8 2" xfId="7977"/>
    <cellStyle name="Normal 38 8 2 2" xfId="11503"/>
    <cellStyle name="Normal 38 8 2 2 2" xfId="19374"/>
    <cellStyle name="Normal 38 9" xfId="4602"/>
    <cellStyle name="Normal 38 9 2" xfId="7978"/>
    <cellStyle name="Normal 38 9 2 2" xfId="11504"/>
    <cellStyle name="Normal 38 9 2 2 2" xfId="19375"/>
    <cellStyle name="Normal 39" xfId="2815"/>
    <cellStyle name="Normal 39 10" xfId="4603"/>
    <cellStyle name="Normal 39 10 2" xfId="7980"/>
    <cellStyle name="Normal 39 10 2 2" xfId="11505"/>
    <cellStyle name="Normal 39 10 2 2 2" xfId="19376"/>
    <cellStyle name="Normal 39 11" xfId="4604"/>
    <cellStyle name="Normal 39 11 2" xfId="7981"/>
    <cellStyle name="Normal 39 11 2 2" xfId="11506"/>
    <cellStyle name="Normal 39 11 2 2 2" xfId="19377"/>
    <cellStyle name="Normal 39 12" xfId="4605"/>
    <cellStyle name="Normal 39 12 2" xfId="7982"/>
    <cellStyle name="Normal 39 12 2 2" xfId="11507"/>
    <cellStyle name="Normal 39 12 2 2 2" xfId="19378"/>
    <cellStyle name="Normal 39 13" xfId="4606"/>
    <cellStyle name="Normal 39 13 2" xfId="7983"/>
    <cellStyle name="Normal 39 13 2 2" xfId="11508"/>
    <cellStyle name="Normal 39 13 2 2 2" xfId="19379"/>
    <cellStyle name="Normal 39 14" xfId="4607"/>
    <cellStyle name="Normal 39 14 2" xfId="7984"/>
    <cellStyle name="Normal 39 14 2 2" xfId="11509"/>
    <cellStyle name="Normal 39 14 2 2 2" xfId="19380"/>
    <cellStyle name="Normal 39 15" xfId="4608"/>
    <cellStyle name="Normal 39 15 2" xfId="7985"/>
    <cellStyle name="Normal 39 15 2 2" xfId="11510"/>
    <cellStyle name="Normal 39 15 2 2 2" xfId="19381"/>
    <cellStyle name="Normal 39 16" xfId="5793"/>
    <cellStyle name="Normal 39 16 2" xfId="7986"/>
    <cellStyle name="Normal 39 16 2 2" xfId="11512"/>
    <cellStyle name="Normal 39 16 2 2 2" xfId="19383"/>
    <cellStyle name="Normal 39 16 3" xfId="7043"/>
    <cellStyle name="Normal 39 16 3 2" xfId="11513"/>
    <cellStyle name="Normal 39 16 3 2 2" xfId="19384"/>
    <cellStyle name="Normal 39 16 3 3" xfId="17290"/>
    <cellStyle name="Normal 39 16 4" xfId="11511"/>
    <cellStyle name="Normal 39 16 4 2" xfId="19382"/>
    <cellStyle name="Normal 39 16 5" xfId="15104"/>
    <cellStyle name="Normal 39 16 5 2" xfId="21903"/>
    <cellStyle name="Normal 39 16 6" xfId="16494"/>
    <cellStyle name="Normal 39 17" xfId="7979"/>
    <cellStyle name="Normal 39 17 2" xfId="11514"/>
    <cellStyle name="Normal 39 17 2 2" xfId="19385"/>
    <cellStyle name="Normal 39 18" xfId="15469"/>
    <cellStyle name="Normal 39 18 2" xfId="22224"/>
    <cellStyle name="Normal 39 19" xfId="15668"/>
    <cellStyle name="Normal 39 19 2" xfId="22414"/>
    <cellStyle name="Normal 39 2" xfId="2816"/>
    <cellStyle name="Normal 39 2 2" xfId="7987"/>
    <cellStyle name="Normal 39 2 2 2" xfId="11515"/>
    <cellStyle name="Normal 39 2 2 2 2" xfId="19386"/>
    <cellStyle name="Normal 39 20" xfId="15862"/>
    <cellStyle name="Normal 39 20 2" xfId="22605"/>
    <cellStyle name="Normal 39 21" xfId="16113"/>
    <cellStyle name="Normal 39 3" xfId="2817"/>
    <cellStyle name="Normal 39 3 2" xfId="4609"/>
    <cellStyle name="Normal 39 3 2 10" xfId="16249"/>
    <cellStyle name="Normal 39 3 2 2" xfId="6062"/>
    <cellStyle name="Normal 39 3 2 2 2" xfId="7990"/>
    <cellStyle name="Normal 39 3 2 2 2 2" xfId="11519"/>
    <cellStyle name="Normal 39 3 2 2 2 2 2" xfId="19390"/>
    <cellStyle name="Normal 39 3 2 2 3" xfId="7266"/>
    <cellStyle name="Normal 39 3 2 2 3 2" xfId="11520"/>
    <cellStyle name="Normal 39 3 2 2 3 2 2" xfId="19391"/>
    <cellStyle name="Normal 39 3 2 2 3 3" xfId="17513"/>
    <cellStyle name="Normal 39 3 2 2 4" xfId="11518"/>
    <cellStyle name="Normal 39 3 2 2 4 2" xfId="19389"/>
    <cellStyle name="Normal 39 3 2 2 5" xfId="15327"/>
    <cellStyle name="Normal 39 3 2 2 5 2" xfId="22126"/>
    <cellStyle name="Normal 39 3 2 2 6" xfId="16717"/>
    <cellStyle name="Normal 39 3 2 3" xfId="7989"/>
    <cellStyle name="Normal 39 3 2 3 2" xfId="11521"/>
    <cellStyle name="Normal 39 3 2 3 2 2" xfId="19392"/>
    <cellStyle name="Normal 39 3 2 4" xfId="6813"/>
    <cellStyle name="Normal 39 3 2 4 2" xfId="11522"/>
    <cellStyle name="Normal 39 3 2 4 2 2" xfId="19393"/>
    <cellStyle name="Normal 39 3 2 4 3" xfId="17060"/>
    <cellStyle name="Normal 39 3 2 5" xfId="11517"/>
    <cellStyle name="Normal 39 3 2 5 2" xfId="19388"/>
    <cellStyle name="Normal 39 3 2 6" xfId="14756"/>
    <cellStyle name="Normal 39 3 2 6 2" xfId="21673"/>
    <cellStyle name="Normal 39 3 2 7" xfId="15600"/>
    <cellStyle name="Normal 39 3 2 7 2" xfId="22355"/>
    <cellStyle name="Normal 39 3 2 8" xfId="15800"/>
    <cellStyle name="Normal 39 3 2 8 2" xfId="22546"/>
    <cellStyle name="Normal 39 3 2 9" xfId="16031"/>
    <cellStyle name="Normal 39 3 2 9 2" xfId="22759"/>
    <cellStyle name="Normal 39 3 3" xfId="5509"/>
    <cellStyle name="Normal 39 3 3 2" xfId="7991"/>
    <cellStyle name="Normal 39 3 3 2 2" xfId="11523"/>
    <cellStyle name="Normal 39 3 3 2 2 2" xfId="19394"/>
    <cellStyle name="Normal 39 3 4" xfId="6630"/>
    <cellStyle name="Normal 39 3 4 2" xfId="11524"/>
    <cellStyle name="Normal 39 3 4 2 2" xfId="19395"/>
    <cellStyle name="Normal 39 3 4 3" xfId="14561"/>
    <cellStyle name="Normal 39 3 4 3 2" xfId="21577"/>
    <cellStyle name="Normal 39 3 4 4" xfId="16997"/>
    <cellStyle name="Normal 39 3 5" xfId="7988"/>
    <cellStyle name="Normal 39 3 5 2" xfId="11525"/>
    <cellStyle name="Normal 39 3 5 2 2" xfId="19396"/>
    <cellStyle name="Normal 39 3 6" xfId="11516"/>
    <cellStyle name="Normal 39 3 6 2" xfId="19387"/>
    <cellStyle name="Normal 39 4" xfId="4610"/>
    <cellStyle name="Normal 39 4 2" xfId="7992"/>
    <cellStyle name="Normal 39 4 2 2" xfId="11526"/>
    <cellStyle name="Normal 39 4 2 2 2" xfId="19397"/>
    <cellStyle name="Normal 39 5" xfId="4611"/>
    <cellStyle name="Normal 39 5 2" xfId="7993"/>
    <cellStyle name="Normal 39 5 2 2" xfId="11527"/>
    <cellStyle name="Normal 39 5 2 2 2" xfId="19398"/>
    <cellStyle name="Normal 39 6" xfId="4612"/>
    <cellStyle name="Normal 39 6 2" xfId="7994"/>
    <cellStyle name="Normal 39 6 2 2" xfId="11528"/>
    <cellStyle name="Normal 39 6 2 2 2" xfId="19399"/>
    <cellStyle name="Normal 39 7" xfId="4613"/>
    <cellStyle name="Normal 39 7 2" xfId="7995"/>
    <cellStyle name="Normal 39 7 2 2" xfId="11529"/>
    <cellStyle name="Normal 39 7 2 2 2" xfId="19400"/>
    <cellStyle name="Normal 39 8" xfId="4614"/>
    <cellStyle name="Normal 39 8 2" xfId="7996"/>
    <cellStyle name="Normal 39 8 2 2" xfId="11530"/>
    <cellStyle name="Normal 39 8 2 2 2" xfId="19401"/>
    <cellStyle name="Normal 39 9" xfId="4615"/>
    <cellStyle name="Normal 39 9 2" xfId="7997"/>
    <cellStyle name="Normal 39 9 2 2" xfId="11531"/>
    <cellStyle name="Normal 39 9 2 2 2" xfId="19402"/>
    <cellStyle name="Normal 4" xfId="2818"/>
    <cellStyle name="Normal 4 10" xfId="4616"/>
    <cellStyle name="Normal 4 10 2" xfId="7999"/>
    <cellStyle name="Normal 4 10 2 2" xfId="11532"/>
    <cellStyle name="Normal 4 10 2 2 2" xfId="19403"/>
    <cellStyle name="Normal 4 11" xfId="4617"/>
    <cellStyle name="Normal 4 11 2" xfId="8000"/>
    <cellStyle name="Normal 4 11 2 2" xfId="11533"/>
    <cellStyle name="Normal 4 11 2 2 2" xfId="19404"/>
    <cellStyle name="Normal 4 12" xfId="4618"/>
    <cellStyle name="Normal 4 12 2" xfId="8001"/>
    <cellStyle name="Normal 4 12 2 2" xfId="11534"/>
    <cellStyle name="Normal 4 12 2 2 2" xfId="19405"/>
    <cellStyle name="Normal 4 13" xfId="4619"/>
    <cellStyle name="Normal 4 13 2" xfId="8002"/>
    <cellStyle name="Normal 4 13 2 2" xfId="11535"/>
    <cellStyle name="Normal 4 13 2 2 2" xfId="19406"/>
    <cellStyle name="Normal 4 14" xfId="4620"/>
    <cellStyle name="Normal 4 14 2" xfId="8003"/>
    <cellStyle name="Normal 4 14 2 2" xfId="11536"/>
    <cellStyle name="Normal 4 14 2 2 2" xfId="19407"/>
    <cellStyle name="Normal 4 15" xfId="4621"/>
    <cellStyle name="Normal 4 15 2" xfId="8004"/>
    <cellStyle name="Normal 4 15 2 2" xfId="11537"/>
    <cellStyle name="Normal 4 15 2 2 2" xfId="19408"/>
    <cellStyle name="Normal 4 16" xfId="4622"/>
    <cellStyle name="Normal 4 16 2" xfId="8005"/>
    <cellStyle name="Normal 4 16 2 2" xfId="11538"/>
    <cellStyle name="Normal 4 16 2 2 2" xfId="19409"/>
    <cellStyle name="Normal 4 17" xfId="4623"/>
    <cellStyle name="Normal 4 17 2" xfId="8006"/>
    <cellStyle name="Normal 4 17 2 2" xfId="11539"/>
    <cellStyle name="Normal 4 17 2 2 2" xfId="19410"/>
    <cellStyle name="Normal 4 18" xfId="6631"/>
    <cellStyle name="Normal 4 19" xfId="7998"/>
    <cellStyle name="Normal 4 19 2" xfId="11540"/>
    <cellStyle name="Normal 4 19 2 2" xfId="19411"/>
    <cellStyle name="Normal 4 2" xfId="2819"/>
    <cellStyle name="Normal 4 2 10" xfId="11541"/>
    <cellStyle name="Normal 4 2 10 2" xfId="19412"/>
    <cellStyle name="Normal 4 2 11" xfId="13723"/>
    <cellStyle name="Normal 4 2 11 2" xfId="21400"/>
    <cellStyle name="Normal 4 2 2" xfId="2820"/>
    <cellStyle name="Normal 4 2 2 2" xfId="5136"/>
    <cellStyle name="Normal 4 2 2 2 10" xfId="16251"/>
    <cellStyle name="Normal 4 2 2 2 2" xfId="6064"/>
    <cellStyle name="Normal 4 2 2 2 2 2" xfId="8010"/>
    <cellStyle name="Normal 4 2 2 2 2 2 2" xfId="11545"/>
    <cellStyle name="Normal 4 2 2 2 2 2 2 2" xfId="19416"/>
    <cellStyle name="Normal 4 2 2 2 2 3" xfId="7268"/>
    <cellStyle name="Normal 4 2 2 2 2 3 2" xfId="11546"/>
    <cellStyle name="Normal 4 2 2 2 2 3 2 2" xfId="19417"/>
    <cellStyle name="Normal 4 2 2 2 2 3 3" xfId="17515"/>
    <cellStyle name="Normal 4 2 2 2 2 4" xfId="11544"/>
    <cellStyle name="Normal 4 2 2 2 2 4 2" xfId="19415"/>
    <cellStyle name="Normal 4 2 2 2 2 5" xfId="15329"/>
    <cellStyle name="Normal 4 2 2 2 2 5 2" xfId="22128"/>
    <cellStyle name="Normal 4 2 2 2 2 6" xfId="16719"/>
    <cellStyle name="Normal 4 2 2 2 3" xfId="8009"/>
    <cellStyle name="Normal 4 2 2 2 3 2" xfId="11547"/>
    <cellStyle name="Normal 4 2 2 2 3 2 2" xfId="19418"/>
    <cellStyle name="Normal 4 2 2 2 4" xfId="6918"/>
    <cellStyle name="Normal 4 2 2 2 4 2" xfId="11548"/>
    <cellStyle name="Normal 4 2 2 2 4 2 2" xfId="19419"/>
    <cellStyle name="Normal 4 2 2 2 4 3" xfId="17165"/>
    <cellStyle name="Normal 4 2 2 2 5" xfId="11543"/>
    <cellStyle name="Normal 4 2 2 2 5 2" xfId="19414"/>
    <cellStyle name="Normal 4 2 2 2 6" xfId="14874"/>
    <cellStyle name="Normal 4 2 2 2 6 2" xfId="21778"/>
    <cellStyle name="Normal 4 2 2 2 7" xfId="15602"/>
    <cellStyle name="Normal 4 2 2 2 7 2" xfId="22357"/>
    <cellStyle name="Normal 4 2 2 2 8" xfId="15802"/>
    <cellStyle name="Normal 4 2 2 2 8 2" xfId="22548"/>
    <cellStyle name="Normal 4 2 2 2 9" xfId="16033"/>
    <cellStyle name="Normal 4 2 2 2 9 2" xfId="22761"/>
    <cellStyle name="Normal 4 2 2 3" xfId="5625"/>
    <cellStyle name="Normal 4 2 2 3 2" xfId="8011"/>
    <cellStyle name="Normal 4 2 2 3 2 2" xfId="11549"/>
    <cellStyle name="Normal 4 2 2 3 2 2 2" xfId="19420"/>
    <cellStyle name="Normal 4 2 2 4" xfId="6320"/>
    <cellStyle name="Normal 4 2 2 4 2" xfId="8008"/>
    <cellStyle name="Normal 4 2 2 4 2 2" xfId="11551"/>
    <cellStyle name="Normal 4 2 2 4 2 2 2" xfId="19422"/>
    <cellStyle name="Normal 4 2 2 4 3" xfId="11550"/>
    <cellStyle name="Normal 4 2 2 4 3 2" xfId="19421"/>
    <cellStyle name="Normal 4 2 2 4 4" xfId="16878"/>
    <cellStyle name="Normal 4 2 2 5" xfId="11542"/>
    <cellStyle name="Normal 4 2 2 5 2" xfId="19413"/>
    <cellStyle name="Normal 4 2 2 6" xfId="13724"/>
    <cellStyle name="Normal 4 2 2 6 2" xfId="21401"/>
    <cellStyle name="Normal 4 2 2 7" xfId="14563"/>
    <cellStyle name="Normal 4 2 2 7 2" xfId="21579"/>
    <cellStyle name="Normal 4 2 3" xfId="2821"/>
    <cellStyle name="Normal 4 2 3 2" xfId="8012"/>
    <cellStyle name="Normal 4 2 3 2 2" xfId="11552"/>
    <cellStyle name="Normal 4 2 3 2 2 2" xfId="19423"/>
    <cellStyle name="Normal 4 2 4" xfId="2822"/>
    <cellStyle name="Normal 4 2 4 2" xfId="8013"/>
    <cellStyle name="Normal 4 2 4 2 2" xfId="11553"/>
    <cellStyle name="Normal 4 2 4 2 2 2" xfId="19424"/>
    <cellStyle name="Normal 4 2 5" xfId="5135"/>
    <cellStyle name="Normal 4 2 5 10" xfId="16250"/>
    <cellStyle name="Normal 4 2 5 2" xfId="6063"/>
    <cellStyle name="Normal 4 2 5 2 2" xfId="8015"/>
    <cellStyle name="Normal 4 2 5 2 2 2" xfId="11556"/>
    <cellStyle name="Normal 4 2 5 2 2 2 2" xfId="19427"/>
    <cellStyle name="Normal 4 2 5 2 3" xfId="7267"/>
    <cellStyle name="Normal 4 2 5 2 3 2" xfId="11557"/>
    <cellStyle name="Normal 4 2 5 2 3 2 2" xfId="19428"/>
    <cellStyle name="Normal 4 2 5 2 3 3" xfId="17514"/>
    <cellStyle name="Normal 4 2 5 2 4" xfId="11555"/>
    <cellStyle name="Normal 4 2 5 2 4 2" xfId="19426"/>
    <cellStyle name="Normal 4 2 5 2 5" xfId="15328"/>
    <cellStyle name="Normal 4 2 5 2 5 2" xfId="22127"/>
    <cellStyle name="Normal 4 2 5 2 6" xfId="16718"/>
    <cellStyle name="Normal 4 2 5 3" xfId="8014"/>
    <cellStyle name="Normal 4 2 5 3 2" xfId="11558"/>
    <cellStyle name="Normal 4 2 5 3 2 2" xfId="19429"/>
    <cellStyle name="Normal 4 2 5 4" xfId="6917"/>
    <cellStyle name="Normal 4 2 5 4 2" xfId="11559"/>
    <cellStyle name="Normal 4 2 5 4 2 2" xfId="19430"/>
    <cellStyle name="Normal 4 2 5 4 3" xfId="17164"/>
    <cellStyle name="Normal 4 2 5 5" xfId="11554"/>
    <cellStyle name="Normal 4 2 5 5 2" xfId="19425"/>
    <cellStyle name="Normal 4 2 5 6" xfId="14873"/>
    <cellStyle name="Normal 4 2 5 6 2" xfId="21777"/>
    <cellStyle name="Normal 4 2 5 7" xfId="15601"/>
    <cellStyle name="Normal 4 2 5 7 2" xfId="22356"/>
    <cellStyle name="Normal 4 2 5 8" xfId="15801"/>
    <cellStyle name="Normal 4 2 5 8 2" xfId="22547"/>
    <cellStyle name="Normal 4 2 5 9" xfId="16032"/>
    <cellStyle name="Normal 4 2 5 9 2" xfId="22760"/>
    <cellStyle name="Normal 4 2 6" xfId="5610"/>
    <cellStyle name="Normal 4 2 6 2" xfId="8016"/>
    <cellStyle name="Normal 4 2 6 2 2" xfId="11560"/>
    <cellStyle name="Normal 4 2 6 2 2 2" xfId="19431"/>
    <cellStyle name="Normal 4 2 7" xfId="6319"/>
    <cellStyle name="Normal 4 2 7 2" xfId="11561"/>
    <cellStyle name="Normal 4 2 7 2 2" xfId="19432"/>
    <cellStyle name="Normal 4 2 7 3" xfId="14562"/>
    <cellStyle name="Normal 4 2 7 3 2" xfId="21578"/>
    <cellStyle name="Normal 4 2 7 4" xfId="16877"/>
    <cellStyle name="Normal 4 2 8" xfId="8007"/>
    <cellStyle name="Normal 4 2 8 2" xfId="11562"/>
    <cellStyle name="Normal 4 2 8 2 2" xfId="19433"/>
    <cellStyle name="Normal 4 2 9" xfId="9614"/>
    <cellStyle name="Normal 4 3" xfId="2823"/>
    <cellStyle name="Normal 4 3 2" xfId="2824"/>
    <cellStyle name="Normal 4 3 2 2" xfId="5137"/>
    <cellStyle name="Normal 4 3 2 2 10" xfId="16252"/>
    <cellStyle name="Normal 4 3 2 2 2" xfId="6065"/>
    <cellStyle name="Normal 4 3 2 2 2 2" xfId="8020"/>
    <cellStyle name="Normal 4 3 2 2 2 2 2" xfId="11566"/>
    <cellStyle name="Normal 4 3 2 2 2 2 2 2" xfId="19437"/>
    <cellStyle name="Normal 4 3 2 2 2 3" xfId="7269"/>
    <cellStyle name="Normal 4 3 2 2 2 3 2" xfId="11567"/>
    <cellStyle name="Normal 4 3 2 2 2 3 2 2" xfId="19438"/>
    <cellStyle name="Normal 4 3 2 2 2 3 3" xfId="17516"/>
    <cellStyle name="Normal 4 3 2 2 2 4" xfId="11565"/>
    <cellStyle name="Normal 4 3 2 2 2 4 2" xfId="19436"/>
    <cellStyle name="Normal 4 3 2 2 2 5" xfId="15330"/>
    <cellStyle name="Normal 4 3 2 2 2 5 2" xfId="22129"/>
    <cellStyle name="Normal 4 3 2 2 2 6" xfId="16720"/>
    <cellStyle name="Normal 4 3 2 2 3" xfId="8019"/>
    <cellStyle name="Normal 4 3 2 2 3 2" xfId="11568"/>
    <cellStyle name="Normal 4 3 2 2 3 2 2" xfId="19439"/>
    <cellStyle name="Normal 4 3 2 2 4" xfId="6919"/>
    <cellStyle name="Normal 4 3 2 2 4 2" xfId="11569"/>
    <cellStyle name="Normal 4 3 2 2 4 2 2" xfId="19440"/>
    <cellStyle name="Normal 4 3 2 2 4 3" xfId="17166"/>
    <cellStyle name="Normal 4 3 2 2 5" xfId="11564"/>
    <cellStyle name="Normal 4 3 2 2 5 2" xfId="19435"/>
    <cellStyle name="Normal 4 3 2 2 6" xfId="14875"/>
    <cellStyle name="Normal 4 3 2 2 6 2" xfId="21779"/>
    <cellStyle name="Normal 4 3 2 2 7" xfId="15603"/>
    <cellStyle name="Normal 4 3 2 2 7 2" xfId="22358"/>
    <cellStyle name="Normal 4 3 2 2 8" xfId="15803"/>
    <cellStyle name="Normal 4 3 2 2 8 2" xfId="22549"/>
    <cellStyle name="Normal 4 3 2 2 9" xfId="16034"/>
    <cellStyle name="Normal 4 3 2 2 9 2" xfId="22762"/>
    <cellStyle name="Normal 4 3 2 3" xfId="5510"/>
    <cellStyle name="Normal 4 3 2 3 2" xfId="8021"/>
    <cellStyle name="Normal 4 3 2 3 2 2" xfId="11570"/>
    <cellStyle name="Normal 4 3 2 3 2 2 2" xfId="19441"/>
    <cellStyle name="Normal 4 3 2 4" xfId="6321"/>
    <cellStyle name="Normal 4 3 2 4 2" xfId="11571"/>
    <cellStyle name="Normal 4 3 2 4 2 2" xfId="19442"/>
    <cellStyle name="Normal 4 3 2 4 3" xfId="14564"/>
    <cellStyle name="Normal 4 3 2 4 3 2" xfId="21580"/>
    <cellStyle name="Normal 4 3 2 4 4" xfId="16879"/>
    <cellStyle name="Normal 4 3 2 5" xfId="8018"/>
    <cellStyle name="Normal 4 3 2 5 2" xfId="11572"/>
    <cellStyle name="Normal 4 3 2 5 2 2" xfId="19443"/>
    <cellStyle name="Normal 4 3 2 6" xfId="11563"/>
    <cellStyle name="Normal 4 3 2 6 2" xfId="19434"/>
    <cellStyle name="Normal 4 3 2 7" xfId="13725"/>
    <cellStyle name="Normal 4 3 2 7 2" xfId="21402"/>
    <cellStyle name="Normal 4 3 3" xfId="2825"/>
    <cellStyle name="Normal 4 3 3 10" xfId="16035"/>
    <cellStyle name="Normal 4 3 3 10 2" xfId="22763"/>
    <cellStyle name="Normal 4 3 3 11" xfId="16253"/>
    <cellStyle name="Normal 4 3 3 2" xfId="5138"/>
    <cellStyle name="Normal 4 3 3 2 2" xfId="8023"/>
    <cellStyle name="Normal 4 3 3 2 2 2" xfId="11575"/>
    <cellStyle name="Normal 4 3 3 2 2 2 2" xfId="19446"/>
    <cellStyle name="Normal 4 3 3 2 3" xfId="6920"/>
    <cellStyle name="Normal 4 3 3 2 3 2" xfId="11576"/>
    <cellStyle name="Normal 4 3 3 2 3 2 2" xfId="19447"/>
    <cellStyle name="Normal 4 3 3 2 3 3" xfId="17167"/>
    <cellStyle name="Normal 4 3 3 2 4" xfId="11574"/>
    <cellStyle name="Normal 4 3 3 2 4 2" xfId="19445"/>
    <cellStyle name="Normal 4 3 3 2 5" xfId="14876"/>
    <cellStyle name="Normal 4 3 3 2 5 2" xfId="21780"/>
    <cellStyle name="Normal 4 3 3 2 6" xfId="16387"/>
    <cellStyle name="Normal 4 3 3 3" xfId="6066"/>
    <cellStyle name="Normal 4 3 3 3 2" xfId="8024"/>
    <cellStyle name="Normal 4 3 3 3 2 2" xfId="11578"/>
    <cellStyle name="Normal 4 3 3 3 2 2 2" xfId="19449"/>
    <cellStyle name="Normal 4 3 3 3 3" xfId="7270"/>
    <cellStyle name="Normal 4 3 3 3 3 2" xfId="11579"/>
    <cellStyle name="Normal 4 3 3 3 3 2 2" xfId="19450"/>
    <cellStyle name="Normal 4 3 3 3 3 3" xfId="17517"/>
    <cellStyle name="Normal 4 3 3 3 4" xfId="11577"/>
    <cellStyle name="Normal 4 3 3 3 4 2" xfId="19448"/>
    <cellStyle name="Normal 4 3 3 3 5" xfId="15331"/>
    <cellStyle name="Normal 4 3 3 3 5 2" xfId="22130"/>
    <cellStyle name="Normal 4 3 3 3 6" xfId="16721"/>
    <cellStyle name="Normal 4 3 3 4" xfId="6322"/>
    <cellStyle name="Normal 4 3 3 4 2" xfId="8022"/>
    <cellStyle name="Normal 4 3 3 4 2 2" xfId="11581"/>
    <cellStyle name="Normal 4 3 3 4 2 2 2" xfId="19452"/>
    <cellStyle name="Normal 4 3 3 4 3" xfId="11580"/>
    <cellStyle name="Normal 4 3 3 4 3 2" xfId="19451"/>
    <cellStyle name="Normal 4 3 3 4 4" xfId="16880"/>
    <cellStyle name="Normal 4 3 3 5" xfId="11573"/>
    <cellStyle name="Normal 4 3 3 5 2" xfId="19444"/>
    <cellStyle name="Normal 4 3 3 6" xfId="13726"/>
    <cellStyle name="Normal 4 3 3 6 2" xfId="21403"/>
    <cellStyle name="Normal 4 3 3 7" xfId="14565"/>
    <cellStyle name="Normal 4 3 3 7 2" xfId="21581"/>
    <cellStyle name="Normal 4 3 3 8" xfId="15604"/>
    <cellStyle name="Normal 4 3 3 8 2" xfId="22359"/>
    <cellStyle name="Normal 4 3 3 9" xfId="15804"/>
    <cellStyle name="Normal 4 3 3 9 2" xfId="22550"/>
    <cellStyle name="Normal 4 3 4" xfId="5237"/>
    <cellStyle name="Normal 4 3 4 2" xfId="8025"/>
    <cellStyle name="Normal 4 3 4 2 2" xfId="11582"/>
    <cellStyle name="Normal 4 3 4 2 2 2" xfId="19453"/>
    <cellStyle name="Normal 4 3 5" xfId="8017"/>
    <cellStyle name="Normal 4 3 5 2" xfId="11583"/>
    <cellStyle name="Normal 4 3 5 2 2" xfId="19454"/>
    <cellStyle name="Normal 4 4" xfId="2826"/>
    <cellStyle name="Normal 4 4 2" xfId="5139"/>
    <cellStyle name="Normal 4 4 2 2" xfId="5511"/>
    <cellStyle name="Normal 4 4 2 2 2" xfId="8028"/>
    <cellStyle name="Normal 4 4 2 2 2 2" xfId="11586"/>
    <cellStyle name="Normal 4 4 2 2 2 2 2" xfId="19457"/>
    <cellStyle name="Normal 4 4 2 3" xfId="6921"/>
    <cellStyle name="Normal 4 4 2 3 2" xfId="11587"/>
    <cellStyle name="Normal 4 4 2 3 2 2" xfId="19458"/>
    <cellStyle name="Normal 4 4 2 3 3" xfId="14877"/>
    <cellStyle name="Normal 4 4 2 3 3 2" xfId="21781"/>
    <cellStyle name="Normal 4 4 2 3 4" xfId="17168"/>
    <cellStyle name="Normal 4 4 2 4" xfId="8027"/>
    <cellStyle name="Normal 4 4 2 4 2" xfId="11588"/>
    <cellStyle name="Normal 4 4 2 4 2 2" xfId="19459"/>
    <cellStyle name="Normal 4 4 2 5" xfId="11585"/>
    <cellStyle name="Normal 4 4 2 5 2" xfId="19456"/>
    <cellStyle name="Normal 4 4 2 6" xfId="16388"/>
    <cellStyle name="Normal 4 4 3" xfId="4624"/>
    <cellStyle name="Normal 4 4 3 10" xfId="16254"/>
    <cellStyle name="Normal 4 4 3 2" xfId="6067"/>
    <cellStyle name="Normal 4 4 3 2 2" xfId="8030"/>
    <cellStyle name="Normal 4 4 3 2 2 2" xfId="11591"/>
    <cellStyle name="Normal 4 4 3 2 2 2 2" xfId="19462"/>
    <cellStyle name="Normal 4 4 3 2 3" xfId="7271"/>
    <cellStyle name="Normal 4 4 3 2 3 2" xfId="11592"/>
    <cellStyle name="Normal 4 4 3 2 3 2 2" xfId="19463"/>
    <cellStyle name="Normal 4 4 3 2 3 3" xfId="17518"/>
    <cellStyle name="Normal 4 4 3 2 4" xfId="11590"/>
    <cellStyle name="Normal 4 4 3 2 4 2" xfId="19461"/>
    <cellStyle name="Normal 4 4 3 2 5" xfId="15332"/>
    <cellStyle name="Normal 4 4 3 2 5 2" xfId="22131"/>
    <cellStyle name="Normal 4 4 3 2 6" xfId="16722"/>
    <cellStyle name="Normal 4 4 3 3" xfId="8029"/>
    <cellStyle name="Normal 4 4 3 3 2" xfId="11593"/>
    <cellStyle name="Normal 4 4 3 3 2 2" xfId="19464"/>
    <cellStyle name="Normal 4 4 3 4" xfId="6814"/>
    <cellStyle name="Normal 4 4 3 4 2" xfId="11594"/>
    <cellStyle name="Normal 4 4 3 4 2 2" xfId="19465"/>
    <cellStyle name="Normal 4 4 3 4 3" xfId="17061"/>
    <cellStyle name="Normal 4 4 3 5" xfId="11589"/>
    <cellStyle name="Normal 4 4 3 5 2" xfId="19460"/>
    <cellStyle name="Normal 4 4 3 6" xfId="14757"/>
    <cellStyle name="Normal 4 4 3 6 2" xfId="21674"/>
    <cellStyle name="Normal 4 4 3 7" xfId="15605"/>
    <cellStyle name="Normal 4 4 3 7 2" xfId="22360"/>
    <cellStyle name="Normal 4 4 3 8" xfId="15805"/>
    <cellStyle name="Normal 4 4 3 8 2" xfId="22551"/>
    <cellStyle name="Normal 4 4 3 9" xfId="16036"/>
    <cellStyle name="Normal 4 4 3 9 2" xfId="22764"/>
    <cellStyle name="Normal 4 4 4" xfId="5226"/>
    <cellStyle name="Normal 4 4 4 2" xfId="8031"/>
    <cellStyle name="Normal 4 4 4 2 2" xfId="11595"/>
    <cellStyle name="Normal 4 4 4 2 2 2" xfId="19466"/>
    <cellStyle name="Normal 4 4 5" xfId="6323"/>
    <cellStyle name="Normal 4 4 5 2" xfId="11596"/>
    <cellStyle name="Normal 4 4 5 2 2" xfId="19467"/>
    <cellStyle name="Normal 4 4 5 3" xfId="14566"/>
    <cellStyle name="Normal 4 4 5 3 2" xfId="21582"/>
    <cellStyle name="Normal 4 4 5 4" xfId="16881"/>
    <cellStyle name="Normal 4 4 6" xfId="8026"/>
    <cellStyle name="Normal 4 4 6 2" xfId="11597"/>
    <cellStyle name="Normal 4 4 6 2 2" xfId="19468"/>
    <cellStyle name="Normal 4 4 7" xfId="11584"/>
    <cellStyle name="Normal 4 4 7 2" xfId="19455"/>
    <cellStyle name="Normal 4 4 8" xfId="13727"/>
    <cellStyle name="Normal 4 4 8 2" xfId="21404"/>
    <cellStyle name="Normal 4 5" xfId="2827"/>
    <cellStyle name="Normal 4 5 2" xfId="4625"/>
    <cellStyle name="Normal 4 5 2 2" xfId="8033"/>
    <cellStyle name="Normal 4 5 2 2 2" xfId="11598"/>
    <cellStyle name="Normal 4 5 2 2 2 2" xfId="19469"/>
    <cellStyle name="Normal 4 5 3" xfId="5512"/>
    <cellStyle name="Normal 4 5 3 2" xfId="8034"/>
    <cellStyle name="Normal 4 5 3 2 2" xfId="11599"/>
    <cellStyle name="Normal 4 5 3 2 2 2" xfId="19470"/>
    <cellStyle name="Normal 4 5 4" xfId="6632"/>
    <cellStyle name="Normal 4 5 5" xfId="8032"/>
    <cellStyle name="Normal 4 5 5 2" xfId="11600"/>
    <cellStyle name="Normal 4 5 5 2 2" xfId="19471"/>
    <cellStyle name="Normal 4 6" xfId="2828"/>
    <cellStyle name="Normal 4 6 2" xfId="4626"/>
    <cellStyle name="Normal 4 6 2 2" xfId="8036"/>
    <cellStyle name="Normal 4 6 2 2 2" xfId="11601"/>
    <cellStyle name="Normal 4 6 2 2 2 2" xfId="19472"/>
    <cellStyle name="Normal 4 6 3" xfId="5513"/>
    <cellStyle name="Normal 4 6 3 2" xfId="8037"/>
    <cellStyle name="Normal 4 6 3 2 2" xfId="11602"/>
    <cellStyle name="Normal 4 6 3 2 2 2" xfId="19473"/>
    <cellStyle name="Normal 4 6 4" xfId="6633"/>
    <cellStyle name="Normal 4 6 5" xfId="8035"/>
    <cellStyle name="Normal 4 6 5 2" xfId="11603"/>
    <cellStyle name="Normal 4 6 5 2 2" xfId="19474"/>
    <cellStyle name="Normal 4 7" xfId="4627"/>
    <cellStyle name="Normal 4 7 2" xfId="8038"/>
    <cellStyle name="Normal 4 7 2 2" xfId="11604"/>
    <cellStyle name="Normal 4 7 2 2 2" xfId="19475"/>
    <cellStyle name="Normal 4 8" xfId="4628"/>
    <cellStyle name="Normal 4 8 2" xfId="8039"/>
    <cellStyle name="Normal 4 8 2 2" xfId="11605"/>
    <cellStyle name="Normal 4 8 2 2 2" xfId="19476"/>
    <cellStyle name="Normal 4 9" xfId="4629"/>
    <cellStyle name="Normal 4 9 2" xfId="8040"/>
    <cellStyle name="Normal 4 9 2 2" xfId="11606"/>
    <cellStyle name="Normal 4 9 2 2 2" xfId="19477"/>
    <cellStyle name="Normal 4_.5 Direct Costs" xfId="4630"/>
    <cellStyle name="Normal 40" xfId="2829"/>
    <cellStyle name="Normal 40 10" xfId="4631"/>
    <cellStyle name="Normal 40 10 2" xfId="8042"/>
    <cellStyle name="Normal 40 10 2 2" xfId="11607"/>
    <cellStyle name="Normal 40 10 2 2 2" xfId="19478"/>
    <cellStyle name="Normal 40 11" xfId="4632"/>
    <cellStyle name="Normal 40 11 2" xfId="8043"/>
    <cellStyle name="Normal 40 11 2 2" xfId="11608"/>
    <cellStyle name="Normal 40 11 2 2 2" xfId="19479"/>
    <cellStyle name="Normal 40 12" xfId="4633"/>
    <cellStyle name="Normal 40 12 2" xfId="8044"/>
    <cellStyle name="Normal 40 12 2 2" xfId="11609"/>
    <cellStyle name="Normal 40 12 2 2 2" xfId="19480"/>
    <cellStyle name="Normal 40 13" xfId="4634"/>
    <cellStyle name="Normal 40 13 2" xfId="8045"/>
    <cellStyle name="Normal 40 13 2 2" xfId="11610"/>
    <cellStyle name="Normal 40 13 2 2 2" xfId="19481"/>
    <cellStyle name="Normal 40 14" xfId="4635"/>
    <cellStyle name="Normal 40 14 2" xfId="8046"/>
    <cellStyle name="Normal 40 14 2 2" xfId="11611"/>
    <cellStyle name="Normal 40 14 2 2 2" xfId="19482"/>
    <cellStyle name="Normal 40 15" xfId="4636"/>
    <cellStyle name="Normal 40 15 2" xfId="8047"/>
    <cellStyle name="Normal 40 15 2 2" xfId="11612"/>
    <cellStyle name="Normal 40 15 2 2 2" xfId="19483"/>
    <cellStyle name="Normal 40 16" xfId="5794"/>
    <cellStyle name="Normal 40 16 2" xfId="8048"/>
    <cellStyle name="Normal 40 16 2 2" xfId="11614"/>
    <cellStyle name="Normal 40 16 2 2 2" xfId="19485"/>
    <cellStyle name="Normal 40 16 3" xfId="7044"/>
    <cellStyle name="Normal 40 16 3 2" xfId="11615"/>
    <cellStyle name="Normal 40 16 3 2 2" xfId="19486"/>
    <cellStyle name="Normal 40 16 3 3" xfId="17291"/>
    <cellStyle name="Normal 40 16 4" xfId="11613"/>
    <cellStyle name="Normal 40 16 4 2" xfId="19484"/>
    <cellStyle name="Normal 40 16 5" xfId="15105"/>
    <cellStyle name="Normal 40 16 5 2" xfId="21904"/>
    <cellStyle name="Normal 40 16 6" xfId="16495"/>
    <cellStyle name="Normal 40 17" xfId="8041"/>
    <cellStyle name="Normal 40 17 2" xfId="11616"/>
    <cellStyle name="Normal 40 17 2 2" xfId="19487"/>
    <cellStyle name="Normal 40 18" xfId="15470"/>
    <cellStyle name="Normal 40 18 2" xfId="22225"/>
    <cellStyle name="Normal 40 19" xfId="15669"/>
    <cellStyle name="Normal 40 19 2" xfId="22415"/>
    <cellStyle name="Normal 40 2" xfId="2830"/>
    <cellStyle name="Normal 40 2 2" xfId="8049"/>
    <cellStyle name="Normal 40 2 2 2" xfId="11617"/>
    <cellStyle name="Normal 40 2 2 2 2" xfId="19488"/>
    <cellStyle name="Normal 40 20" xfId="15863"/>
    <cellStyle name="Normal 40 20 2" xfId="22606"/>
    <cellStyle name="Normal 40 21" xfId="16114"/>
    <cellStyle name="Normal 40 3" xfId="2831"/>
    <cellStyle name="Normal 40 3 2" xfId="4637"/>
    <cellStyle name="Normal 40 3 2 10" xfId="16255"/>
    <cellStyle name="Normal 40 3 2 2" xfId="6068"/>
    <cellStyle name="Normal 40 3 2 2 2" xfId="8052"/>
    <cellStyle name="Normal 40 3 2 2 2 2" xfId="11621"/>
    <cellStyle name="Normal 40 3 2 2 2 2 2" xfId="19492"/>
    <cellStyle name="Normal 40 3 2 2 3" xfId="7272"/>
    <cellStyle name="Normal 40 3 2 2 3 2" xfId="11622"/>
    <cellStyle name="Normal 40 3 2 2 3 2 2" xfId="19493"/>
    <cellStyle name="Normal 40 3 2 2 3 3" xfId="17519"/>
    <cellStyle name="Normal 40 3 2 2 4" xfId="11620"/>
    <cellStyle name="Normal 40 3 2 2 4 2" xfId="19491"/>
    <cellStyle name="Normal 40 3 2 2 5" xfId="15333"/>
    <cellStyle name="Normal 40 3 2 2 5 2" xfId="22132"/>
    <cellStyle name="Normal 40 3 2 2 6" xfId="16723"/>
    <cellStyle name="Normal 40 3 2 3" xfId="8051"/>
    <cellStyle name="Normal 40 3 2 3 2" xfId="11623"/>
    <cellStyle name="Normal 40 3 2 3 2 2" xfId="19494"/>
    <cellStyle name="Normal 40 3 2 4" xfId="6815"/>
    <cellStyle name="Normal 40 3 2 4 2" xfId="11624"/>
    <cellStyle name="Normal 40 3 2 4 2 2" xfId="19495"/>
    <cellStyle name="Normal 40 3 2 4 3" xfId="17062"/>
    <cellStyle name="Normal 40 3 2 5" xfId="11619"/>
    <cellStyle name="Normal 40 3 2 5 2" xfId="19490"/>
    <cellStyle name="Normal 40 3 2 6" xfId="14758"/>
    <cellStyle name="Normal 40 3 2 6 2" xfId="21675"/>
    <cellStyle name="Normal 40 3 2 7" xfId="15606"/>
    <cellStyle name="Normal 40 3 2 7 2" xfId="22361"/>
    <cellStyle name="Normal 40 3 2 8" xfId="15806"/>
    <cellStyle name="Normal 40 3 2 8 2" xfId="22552"/>
    <cellStyle name="Normal 40 3 2 9" xfId="16037"/>
    <cellStyle name="Normal 40 3 2 9 2" xfId="22765"/>
    <cellStyle name="Normal 40 3 3" xfId="5514"/>
    <cellStyle name="Normal 40 3 3 2" xfId="8053"/>
    <cellStyle name="Normal 40 3 3 2 2" xfId="11625"/>
    <cellStyle name="Normal 40 3 3 2 2 2" xfId="19496"/>
    <cellStyle name="Normal 40 3 4" xfId="6634"/>
    <cellStyle name="Normal 40 3 4 2" xfId="11626"/>
    <cellStyle name="Normal 40 3 4 2 2" xfId="19497"/>
    <cellStyle name="Normal 40 3 4 3" xfId="14567"/>
    <cellStyle name="Normal 40 3 4 3 2" xfId="21583"/>
    <cellStyle name="Normal 40 3 4 4" xfId="16998"/>
    <cellStyle name="Normal 40 3 5" xfId="8050"/>
    <cellStyle name="Normal 40 3 5 2" xfId="11627"/>
    <cellStyle name="Normal 40 3 5 2 2" xfId="19498"/>
    <cellStyle name="Normal 40 3 6" xfId="11618"/>
    <cellStyle name="Normal 40 3 6 2" xfId="19489"/>
    <cellStyle name="Normal 40 4" xfId="4638"/>
    <cellStyle name="Normal 40 4 2" xfId="8054"/>
    <cellStyle name="Normal 40 4 2 2" xfId="11628"/>
    <cellStyle name="Normal 40 4 2 2 2" xfId="19499"/>
    <cellStyle name="Normal 40 5" xfId="4639"/>
    <cellStyle name="Normal 40 5 2" xfId="8055"/>
    <cellStyle name="Normal 40 5 2 2" xfId="11629"/>
    <cellStyle name="Normal 40 5 2 2 2" xfId="19500"/>
    <cellStyle name="Normal 40 6" xfId="4640"/>
    <cellStyle name="Normal 40 6 2" xfId="8056"/>
    <cellStyle name="Normal 40 6 2 2" xfId="11630"/>
    <cellStyle name="Normal 40 6 2 2 2" xfId="19501"/>
    <cellStyle name="Normal 40 7" xfId="4641"/>
    <cellStyle name="Normal 40 7 2" xfId="8057"/>
    <cellStyle name="Normal 40 7 2 2" xfId="11631"/>
    <cellStyle name="Normal 40 7 2 2 2" xfId="19502"/>
    <cellStyle name="Normal 40 8" xfId="4642"/>
    <cellStyle name="Normal 40 8 2" xfId="8058"/>
    <cellStyle name="Normal 40 8 2 2" xfId="11632"/>
    <cellStyle name="Normal 40 8 2 2 2" xfId="19503"/>
    <cellStyle name="Normal 40 9" xfId="4643"/>
    <cellStyle name="Normal 40 9 2" xfId="8059"/>
    <cellStyle name="Normal 40 9 2 2" xfId="11633"/>
    <cellStyle name="Normal 40 9 2 2 2" xfId="19504"/>
    <cellStyle name="Normal 41" xfId="2832"/>
    <cellStyle name="Normal 41 10" xfId="5362"/>
    <cellStyle name="Normal 41 10 2" xfId="8061"/>
    <cellStyle name="Normal 41 10 2 2" xfId="11634"/>
    <cellStyle name="Normal 41 10 2 2 2" xfId="19505"/>
    <cellStyle name="Normal 41 11" xfId="4644"/>
    <cellStyle name="Normal 41 11 2" xfId="8062"/>
    <cellStyle name="Normal 41 11 2 2" xfId="11635"/>
    <cellStyle name="Normal 41 11 2 2 2" xfId="19506"/>
    <cellStyle name="Normal 41 12" xfId="4645"/>
    <cellStyle name="Normal 41 12 2" xfId="8063"/>
    <cellStyle name="Normal 41 12 2 2" xfId="11636"/>
    <cellStyle name="Normal 41 12 2 2 2" xfId="19507"/>
    <cellStyle name="Normal 41 13" xfId="4646"/>
    <cellStyle name="Normal 41 13 2" xfId="8064"/>
    <cellStyle name="Normal 41 13 2 2" xfId="11637"/>
    <cellStyle name="Normal 41 13 2 2 2" xfId="19508"/>
    <cellStyle name="Normal 41 14" xfId="4647"/>
    <cellStyle name="Normal 41 14 2" xfId="8065"/>
    <cellStyle name="Normal 41 14 2 2" xfId="11638"/>
    <cellStyle name="Normal 41 14 2 2 2" xfId="19509"/>
    <cellStyle name="Normal 41 15" xfId="8060"/>
    <cellStyle name="Normal 41 15 2" xfId="11639"/>
    <cellStyle name="Normal 41 15 2 2" xfId="19510"/>
    <cellStyle name="Normal 41 2" xfId="2833"/>
    <cellStyle name="Normal 41 2 2" xfId="8066"/>
    <cellStyle name="Normal 41 2 2 2" xfId="11640"/>
    <cellStyle name="Normal 41 2 2 2 2" xfId="19511"/>
    <cellStyle name="Normal 41 3" xfId="4648"/>
    <cellStyle name="Normal 41 3 2" xfId="8067"/>
    <cellStyle name="Normal 41 3 2 2" xfId="11641"/>
    <cellStyle name="Normal 41 3 2 2 2" xfId="19512"/>
    <cellStyle name="Normal 41 4" xfId="4649"/>
    <cellStyle name="Normal 41 4 2" xfId="8068"/>
    <cellStyle name="Normal 41 4 2 2" xfId="11642"/>
    <cellStyle name="Normal 41 4 2 2 2" xfId="19513"/>
    <cellStyle name="Normal 41 5" xfId="4650"/>
    <cellStyle name="Normal 41 5 2" xfId="8069"/>
    <cellStyle name="Normal 41 5 2 2" xfId="11643"/>
    <cellStyle name="Normal 41 5 2 2 2" xfId="19514"/>
    <cellStyle name="Normal 41 6" xfId="4651"/>
    <cellStyle name="Normal 41 6 2" xfId="8070"/>
    <cellStyle name="Normal 41 6 2 2" xfId="11644"/>
    <cellStyle name="Normal 41 6 2 2 2" xfId="19515"/>
    <cellStyle name="Normal 41 7" xfId="4652"/>
    <cellStyle name="Normal 41 7 2" xfId="8071"/>
    <cellStyle name="Normal 41 7 2 2" xfId="11645"/>
    <cellStyle name="Normal 41 7 2 2 2" xfId="19516"/>
    <cellStyle name="Normal 41 8" xfId="4653"/>
    <cellStyle name="Normal 41 8 2" xfId="8072"/>
    <cellStyle name="Normal 41 8 2 2" xfId="11646"/>
    <cellStyle name="Normal 41 8 2 2 2" xfId="19517"/>
    <cellStyle name="Normal 41 9" xfId="4654"/>
    <cellStyle name="Normal 41 9 2" xfId="8073"/>
    <cellStyle name="Normal 41 9 2 2" xfId="11647"/>
    <cellStyle name="Normal 41 9 2 2 2" xfId="19518"/>
    <cellStyle name="Normal 42" xfId="2834"/>
    <cellStyle name="Normal 42 10" xfId="4655"/>
    <cellStyle name="Normal 42 10 2" xfId="8075"/>
    <cellStyle name="Normal 42 10 2 2" xfId="11648"/>
    <cellStyle name="Normal 42 10 2 2 2" xfId="19519"/>
    <cellStyle name="Normal 42 11" xfId="4656"/>
    <cellStyle name="Normal 42 11 2" xfId="8076"/>
    <cellStyle name="Normal 42 11 2 2" xfId="11649"/>
    <cellStyle name="Normal 42 11 2 2 2" xfId="19520"/>
    <cellStyle name="Normal 42 12" xfId="4657"/>
    <cellStyle name="Normal 42 12 2" xfId="8077"/>
    <cellStyle name="Normal 42 12 2 2" xfId="11650"/>
    <cellStyle name="Normal 42 12 2 2 2" xfId="19521"/>
    <cellStyle name="Normal 42 13" xfId="4658"/>
    <cellStyle name="Normal 42 13 2" xfId="8078"/>
    <cellStyle name="Normal 42 13 2 2" xfId="11651"/>
    <cellStyle name="Normal 42 13 2 2 2" xfId="19522"/>
    <cellStyle name="Normal 42 14" xfId="4659"/>
    <cellStyle name="Normal 42 14 2" xfId="8079"/>
    <cellStyle name="Normal 42 14 2 2" xfId="11652"/>
    <cellStyle name="Normal 42 14 2 2 2" xfId="19523"/>
    <cellStyle name="Normal 42 15" xfId="8074"/>
    <cellStyle name="Normal 42 15 2" xfId="11653"/>
    <cellStyle name="Normal 42 15 2 2" xfId="19524"/>
    <cellStyle name="Normal 42 2" xfId="2835"/>
    <cellStyle name="Normal 42 2 2" xfId="8080"/>
    <cellStyle name="Normal 42 2 2 2" xfId="11654"/>
    <cellStyle name="Normal 42 2 2 2 2" xfId="19525"/>
    <cellStyle name="Normal 42 3" xfId="4660"/>
    <cellStyle name="Normal 42 3 2" xfId="8081"/>
    <cellStyle name="Normal 42 3 2 2" xfId="11655"/>
    <cellStyle name="Normal 42 3 2 2 2" xfId="19526"/>
    <cellStyle name="Normal 42 4" xfId="4661"/>
    <cellStyle name="Normal 42 4 2" xfId="8082"/>
    <cellStyle name="Normal 42 4 2 2" xfId="11656"/>
    <cellStyle name="Normal 42 4 2 2 2" xfId="19527"/>
    <cellStyle name="Normal 42 5" xfId="4662"/>
    <cellStyle name="Normal 42 5 2" xfId="8083"/>
    <cellStyle name="Normal 42 5 2 2" xfId="11657"/>
    <cellStyle name="Normal 42 5 2 2 2" xfId="19528"/>
    <cellStyle name="Normal 42 6" xfId="4663"/>
    <cellStyle name="Normal 42 6 2" xfId="8084"/>
    <cellStyle name="Normal 42 6 2 2" xfId="11658"/>
    <cellStyle name="Normal 42 6 2 2 2" xfId="19529"/>
    <cellStyle name="Normal 42 7" xfId="4664"/>
    <cellStyle name="Normal 42 7 2" xfId="8085"/>
    <cellStyle name="Normal 42 7 2 2" xfId="11659"/>
    <cellStyle name="Normal 42 7 2 2 2" xfId="19530"/>
    <cellStyle name="Normal 42 8" xfId="4665"/>
    <cellStyle name="Normal 42 8 2" xfId="8086"/>
    <cellStyle name="Normal 42 8 2 2" xfId="11660"/>
    <cellStyle name="Normal 42 8 2 2 2" xfId="19531"/>
    <cellStyle name="Normal 42 9" xfId="4666"/>
    <cellStyle name="Normal 42 9 2" xfId="8087"/>
    <cellStyle name="Normal 42 9 2 2" xfId="11661"/>
    <cellStyle name="Normal 42 9 2 2 2" xfId="19532"/>
    <cellStyle name="Normal 43" xfId="2836"/>
    <cellStyle name="Normal 43 10" xfId="4667"/>
    <cellStyle name="Normal 43 10 2" xfId="8089"/>
    <cellStyle name="Normal 43 10 2 2" xfId="11662"/>
    <cellStyle name="Normal 43 10 2 2 2" xfId="19533"/>
    <cellStyle name="Normal 43 11" xfId="4668"/>
    <cellStyle name="Normal 43 11 2" xfId="8090"/>
    <cellStyle name="Normal 43 11 2 2" xfId="11663"/>
    <cellStyle name="Normal 43 11 2 2 2" xfId="19534"/>
    <cellStyle name="Normal 43 12" xfId="4669"/>
    <cellStyle name="Normal 43 12 2" xfId="8091"/>
    <cellStyle name="Normal 43 12 2 2" xfId="11664"/>
    <cellStyle name="Normal 43 12 2 2 2" xfId="19535"/>
    <cellStyle name="Normal 43 13" xfId="4670"/>
    <cellStyle name="Normal 43 13 2" xfId="8092"/>
    <cellStyle name="Normal 43 13 2 2" xfId="11665"/>
    <cellStyle name="Normal 43 13 2 2 2" xfId="19536"/>
    <cellStyle name="Normal 43 14" xfId="4671"/>
    <cellStyle name="Normal 43 14 2" xfId="8093"/>
    <cellStyle name="Normal 43 14 2 2" xfId="11666"/>
    <cellStyle name="Normal 43 14 2 2 2" xfId="19537"/>
    <cellStyle name="Normal 43 15" xfId="8088"/>
    <cellStyle name="Normal 43 15 2" xfId="11667"/>
    <cellStyle name="Normal 43 15 2 2" xfId="19538"/>
    <cellStyle name="Normal 43 2" xfId="2837"/>
    <cellStyle name="Normal 43 2 2" xfId="8094"/>
    <cellStyle name="Normal 43 2 2 2" xfId="11668"/>
    <cellStyle name="Normal 43 2 2 2 2" xfId="19539"/>
    <cellStyle name="Normal 43 3" xfId="4672"/>
    <cellStyle name="Normal 43 3 2" xfId="8095"/>
    <cellStyle name="Normal 43 3 2 2" xfId="11669"/>
    <cellStyle name="Normal 43 3 2 2 2" xfId="19540"/>
    <cellStyle name="Normal 43 4" xfId="4673"/>
    <cellStyle name="Normal 43 4 2" xfId="8096"/>
    <cellStyle name="Normal 43 4 2 2" xfId="11670"/>
    <cellStyle name="Normal 43 4 2 2 2" xfId="19541"/>
    <cellStyle name="Normal 43 5" xfId="4674"/>
    <cellStyle name="Normal 43 5 2" xfId="8097"/>
    <cellStyle name="Normal 43 5 2 2" xfId="11671"/>
    <cellStyle name="Normal 43 5 2 2 2" xfId="19542"/>
    <cellStyle name="Normal 43 6" xfId="4675"/>
    <cellStyle name="Normal 43 6 2" xfId="8098"/>
    <cellStyle name="Normal 43 6 2 2" xfId="11672"/>
    <cellStyle name="Normal 43 6 2 2 2" xfId="19543"/>
    <cellStyle name="Normal 43 7" xfId="4676"/>
    <cellStyle name="Normal 43 7 2" xfId="8099"/>
    <cellStyle name="Normal 43 7 2 2" xfId="11673"/>
    <cellStyle name="Normal 43 7 2 2 2" xfId="19544"/>
    <cellStyle name="Normal 43 8" xfId="5347"/>
    <cellStyle name="Normal 43 8 2" xfId="8100"/>
    <cellStyle name="Normal 43 8 2 2" xfId="11674"/>
    <cellStyle name="Normal 43 8 2 2 2" xfId="19545"/>
    <cellStyle name="Normal 43 9" xfId="4677"/>
    <cellStyle name="Normal 43 9 2" xfId="8101"/>
    <cellStyle name="Normal 43 9 2 2" xfId="11675"/>
    <cellStyle name="Normal 43 9 2 2 2" xfId="19546"/>
    <cellStyle name="Normal 44" xfId="2838"/>
    <cellStyle name="Normal 44 10" xfId="4678"/>
    <cellStyle name="Normal 44 10 2" xfId="8103"/>
    <cellStyle name="Normal 44 10 2 2" xfId="11676"/>
    <cellStyle name="Normal 44 10 2 2 2" xfId="19547"/>
    <cellStyle name="Normal 44 11" xfId="4679"/>
    <cellStyle name="Normal 44 11 2" xfId="8104"/>
    <cellStyle name="Normal 44 11 2 2" xfId="11677"/>
    <cellStyle name="Normal 44 11 2 2 2" xfId="19548"/>
    <cellStyle name="Normal 44 12" xfId="4680"/>
    <cellStyle name="Normal 44 12 2" xfId="8105"/>
    <cellStyle name="Normal 44 12 2 2" xfId="11678"/>
    <cellStyle name="Normal 44 12 2 2 2" xfId="19549"/>
    <cellStyle name="Normal 44 13" xfId="4681"/>
    <cellStyle name="Normal 44 13 2" xfId="8106"/>
    <cellStyle name="Normal 44 13 2 2" xfId="11679"/>
    <cellStyle name="Normal 44 13 2 2 2" xfId="19550"/>
    <cellStyle name="Normal 44 14" xfId="4682"/>
    <cellStyle name="Normal 44 14 2" xfId="8107"/>
    <cellStyle name="Normal 44 14 2 2" xfId="11680"/>
    <cellStyle name="Normal 44 14 2 2 2" xfId="19551"/>
    <cellStyle name="Normal 44 15" xfId="8102"/>
    <cellStyle name="Normal 44 15 2" xfId="11681"/>
    <cellStyle name="Normal 44 15 2 2" xfId="19552"/>
    <cellStyle name="Normal 44 2" xfId="2839"/>
    <cellStyle name="Normal 44 2 2" xfId="8108"/>
    <cellStyle name="Normal 44 2 2 2" xfId="11682"/>
    <cellStyle name="Normal 44 2 2 2 2" xfId="19553"/>
    <cellStyle name="Normal 44 3" xfId="4683"/>
    <cellStyle name="Normal 44 3 2" xfId="8109"/>
    <cellStyle name="Normal 44 3 2 2" xfId="11683"/>
    <cellStyle name="Normal 44 3 2 2 2" xfId="19554"/>
    <cellStyle name="Normal 44 4" xfId="4684"/>
    <cellStyle name="Normal 44 4 2" xfId="8110"/>
    <cellStyle name="Normal 44 4 2 2" xfId="11684"/>
    <cellStyle name="Normal 44 4 2 2 2" xfId="19555"/>
    <cellStyle name="Normal 44 5" xfId="4685"/>
    <cellStyle name="Normal 44 5 2" xfId="8111"/>
    <cellStyle name="Normal 44 5 2 2" xfId="11685"/>
    <cellStyle name="Normal 44 5 2 2 2" xfId="19556"/>
    <cellStyle name="Normal 44 6" xfId="4686"/>
    <cellStyle name="Normal 44 6 2" xfId="8112"/>
    <cellStyle name="Normal 44 6 2 2" xfId="11686"/>
    <cellStyle name="Normal 44 6 2 2 2" xfId="19557"/>
    <cellStyle name="Normal 44 7" xfId="4687"/>
    <cellStyle name="Normal 44 7 2" xfId="8113"/>
    <cellStyle name="Normal 44 7 2 2" xfId="11687"/>
    <cellStyle name="Normal 44 7 2 2 2" xfId="19558"/>
    <cellStyle name="Normal 44 8" xfId="4688"/>
    <cellStyle name="Normal 44 8 2" xfId="8114"/>
    <cellStyle name="Normal 44 8 2 2" xfId="11688"/>
    <cellStyle name="Normal 44 8 2 2 2" xfId="19559"/>
    <cellStyle name="Normal 44 9" xfId="4689"/>
    <cellStyle name="Normal 44 9 2" xfId="8115"/>
    <cellStyle name="Normal 44 9 2 2" xfId="11689"/>
    <cellStyle name="Normal 44 9 2 2 2" xfId="19560"/>
    <cellStyle name="Normal 45" xfId="2840"/>
    <cellStyle name="Normal 45 10" xfId="4690"/>
    <cellStyle name="Normal 45 10 2" xfId="8117"/>
    <cellStyle name="Normal 45 10 2 2" xfId="11690"/>
    <cellStyle name="Normal 45 10 2 2 2" xfId="19561"/>
    <cellStyle name="Normal 45 11" xfId="4691"/>
    <cellStyle name="Normal 45 11 2" xfId="8118"/>
    <cellStyle name="Normal 45 11 2 2" xfId="11691"/>
    <cellStyle name="Normal 45 11 2 2 2" xfId="19562"/>
    <cellStyle name="Normal 45 12" xfId="4692"/>
    <cellStyle name="Normal 45 12 2" xfId="8119"/>
    <cellStyle name="Normal 45 12 2 2" xfId="11692"/>
    <cellStyle name="Normal 45 12 2 2 2" xfId="19563"/>
    <cellStyle name="Normal 45 13" xfId="4693"/>
    <cellStyle name="Normal 45 13 2" xfId="8120"/>
    <cellStyle name="Normal 45 13 2 2" xfId="11693"/>
    <cellStyle name="Normal 45 13 2 2 2" xfId="19564"/>
    <cellStyle name="Normal 45 14" xfId="4694"/>
    <cellStyle name="Normal 45 14 2" xfId="8121"/>
    <cellStyle name="Normal 45 14 2 2" xfId="11694"/>
    <cellStyle name="Normal 45 14 2 2 2" xfId="19565"/>
    <cellStyle name="Normal 45 15" xfId="8116"/>
    <cellStyle name="Normal 45 15 2" xfId="11695"/>
    <cellStyle name="Normal 45 15 2 2" xfId="19566"/>
    <cellStyle name="Normal 45 2" xfId="2841"/>
    <cellStyle name="Normal 45 2 2" xfId="8122"/>
    <cellStyle name="Normal 45 2 2 2" xfId="11696"/>
    <cellStyle name="Normal 45 2 2 2 2" xfId="19567"/>
    <cellStyle name="Normal 45 3" xfId="4695"/>
    <cellStyle name="Normal 45 3 2" xfId="8123"/>
    <cellStyle name="Normal 45 3 2 2" xfId="11697"/>
    <cellStyle name="Normal 45 3 2 2 2" xfId="19568"/>
    <cellStyle name="Normal 45 4" xfId="4696"/>
    <cellStyle name="Normal 45 4 2" xfId="8124"/>
    <cellStyle name="Normal 45 4 2 2" xfId="11698"/>
    <cellStyle name="Normal 45 4 2 2 2" xfId="19569"/>
    <cellStyle name="Normal 45 5" xfId="4697"/>
    <cellStyle name="Normal 45 5 2" xfId="8125"/>
    <cellStyle name="Normal 45 5 2 2" xfId="11699"/>
    <cellStyle name="Normal 45 5 2 2 2" xfId="19570"/>
    <cellStyle name="Normal 45 6" xfId="4698"/>
    <cellStyle name="Normal 45 6 2" xfId="8126"/>
    <cellStyle name="Normal 45 6 2 2" xfId="11700"/>
    <cellStyle name="Normal 45 6 2 2 2" xfId="19571"/>
    <cellStyle name="Normal 45 7" xfId="4699"/>
    <cellStyle name="Normal 45 7 2" xfId="8127"/>
    <cellStyle name="Normal 45 7 2 2" xfId="11701"/>
    <cellStyle name="Normal 45 7 2 2 2" xfId="19572"/>
    <cellStyle name="Normal 45 8" xfId="4700"/>
    <cellStyle name="Normal 45 8 2" xfId="8128"/>
    <cellStyle name="Normal 45 8 2 2" xfId="11702"/>
    <cellStyle name="Normal 45 8 2 2 2" xfId="19573"/>
    <cellStyle name="Normal 45 9" xfId="4701"/>
    <cellStyle name="Normal 45 9 2" xfId="8129"/>
    <cellStyle name="Normal 45 9 2 2" xfId="11703"/>
    <cellStyle name="Normal 45 9 2 2 2" xfId="19574"/>
    <cellStyle name="Normal 46" xfId="2842"/>
    <cellStyle name="Normal 46 10" xfId="4702"/>
    <cellStyle name="Normal 46 10 2" xfId="8131"/>
    <cellStyle name="Normal 46 10 2 2" xfId="11704"/>
    <cellStyle name="Normal 46 10 2 2 2" xfId="19575"/>
    <cellStyle name="Normal 46 11" xfId="4703"/>
    <cellStyle name="Normal 46 11 2" xfId="8132"/>
    <cellStyle name="Normal 46 11 2 2" xfId="11705"/>
    <cellStyle name="Normal 46 11 2 2 2" xfId="19576"/>
    <cellStyle name="Normal 46 12" xfId="4704"/>
    <cellStyle name="Normal 46 12 2" xfId="8133"/>
    <cellStyle name="Normal 46 12 2 2" xfId="11706"/>
    <cellStyle name="Normal 46 12 2 2 2" xfId="19577"/>
    <cellStyle name="Normal 46 13" xfId="4705"/>
    <cellStyle name="Normal 46 13 2" xfId="8134"/>
    <cellStyle name="Normal 46 13 2 2" xfId="11707"/>
    <cellStyle name="Normal 46 13 2 2 2" xfId="19578"/>
    <cellStyle name="Normal 46 14" xfId="4706"/>
    <cellStyle name="Normal 46 14 2" xfId="8135"/>
    <cellStyle name="Normal 46 14 2 2" xfId="11708"/>
    <cellStyle name="Normal 46 14 2 2 2" xfId="19579"/>
    <cellStyle name="Normal 46 15" xfId="8130"/>
    <cellStyle name="Normal 46 15 2" xfId="11709"/>
    <cellStyle name="Normal 46 15 2 2" xfId="19580"/>
    <cellStyle name="Normal 46 2" xfId="2843"/>
    <cellStyle name="Normal 46 2 2" xfId="8136"/>
    <cellStyle name="Normal 46 2 2 2" xfId="11710"/>
    <cellStyle name="Normal 46 2 2 2 2" xfId="19581"/>
    <cellStyle name="Normal 46 3" xfId="4707"/>
    <cellStyle name="Normal 46 3 2" xfId="8137"/>
    <cellStyle name="Normal 46 3 2 2" xfId="11711"/>
    <cellStyle name="Normal 46 3 2 2 2" xfId="19582"/>
    <cellStyle name="Normal 46 4" xfId="4708"/>
    <cellStyle name="Normal 46 4 2" xfId="8138"/>
    <cellStyle name="Normal 46 4 2 2" xfId="11712"/>
    <cellStyle name="Normal 46 4 2 2 2" xfId="19583"/>
    <cellStyle name="Normal 46 5" xfId="4709"/>
    <cellStyle name="Normal 46 5 2" xfId="8139"/>
    <cellStyle name="Normal 46 5 2 2" xfId="11713"/>
    <cellStyle name="Normal 46 5 2 2 2" xfId="19584"/>
    <cellStyle name="Normal 46 6" xfId="4710"/>
    <cellStyle name="Normal 46 6 2" xfId="8140"/>
    <cellStyle name="Normal 46 6 2 2" xfId="11714"/>
    <cellStyle name="Normal 46 6 2 2 2" xfId="19585"/>
    <cellStyle name="Normal 46 7" xfId="4711"/>
    <cellStyle name="Normal 46 7 2" xfId="8141"/>
    <cellStyle name="Normal 46 7 2 2" xfId="11715"/>
    <cellStyle name="Normal 46 7 2 2 2" xfId="19586"/>
    <cellStyle name="Normal 46 8" xfId="4712"/>
    <cellStyle name="Normal 46 8 2" xfId="8142"/>
    <cellStyle name="Normal 46 8 2 2" xfId="11716"/>
    <cellStyle name="Normal 46 8 2 2 2" xfId="19587"/>
    <cellStyle name="Normal 46 9" xfId="4713"/>
    <cellStyle name="Normal 46 9 2" xfId="8143"/>
    <cellStyle name="Normal 46 9 2 2" xfId="11717"/>
    <cellStyle name="Normal 46 9 2 2 2" xfId="19588"/>
    <cellStyle name="Normal 47" xfId="2844"/>
    <cellStyle name="Normal 47 2" xfId="2845"/>
    <cellStyle name="Normal 47 2 2" xfId="4714"/>
    <cellStyle name="Normal 47 2 2 2" xfId="8146"/>
    <cellStyle name="Normal 47 2 2 2 2" xfId="11718"/>
    <cellStyle name="Normal 47 2 2 2 2 2" xfId="19589"/>
    <cellStyle name="Normal 47 2 3" xfId="5515"/>
    <cellStyle name="Normal 47 2 3 2" xfId="8147"/>
    <cellStyle name="Normal 47 2 3 2 2" xfId="11719"/>
    <cellStyle name="Normal 47 2 3 2 2 2" xfId="19590"/>
    <cellStyle name="Normal 47 2 4" xfId="6635"/>
    <cellStyle name="Normal 47 2 4 2" xfId="14568"/>
    <cellStyle name="Normal 47 2 5" xfId="8145"/>
    <cellStyle name="Normal 47 2 5 2" xfId="11720"/>
    <cellStyle name="Normal 47 2 5 2 2" xfId="19591"/>
    <cellStyle name="Normal 47 3" xfId="8144"/>
    <cellStyle name="Normal 47 3 2" xfId="11721"/>
    <cellStyle name="Normal 47 3 2 2" xfId="19592"/>
    <cellStyle name="Normal 48" xfId="2846"/>
    <cellStyle name="Normal 48 2" xfId="2847"/>
    <cellStyle name="Normal 48 2 2" xfId="8149"/>
    <cellStyle name="Normal 48 2 2 2" xfId="11722"/>
    <cellStyle name="Normal 48 2 2 2 2" xfId="19593"/>
    <cellStyle name="Normal 48 3" xfId="4715"/>
    <cellStyle name="Normal 48 3 2" xfId="8150"/>
    <cellStyle name="Normal 48 3 2 2" xfId="11723"/>
    <cellStyle name="Normal 48 3 2 2 2" xfId="19594"/>
    <cellStyle name="Normal 48 4" xfId="4716"/>
    <cellStyle name="Normal 48 4 2" xfId="8151"/>
    <cellStyle name="Normal 48 4 2 2" xfId="11724"/>
    <cellStyle name="Normal 48 4 2 2 2" xfId="19595"/>
    <cellStyle name="Normal 48 5" xfId="4717"/>
    <cellStyle name="Normal 48 5 2" xfId="8152"/>
    <cellStyle name="Normal 48 5 2 2" xfId="11725"/>
    <cellStyle name="Normal 48 5 2 2 2" xfId="19596"/>
    <cellStyle name="Normal 48 6" xfId="4718"/>
    <cellStyle name="Normal 48 6 2" xfId="8153"/>
    <cellStyle name="Normal 48 6 2 2" xfId="11726"/>
    <cellStyle name="Normal 48 6 2 2 2" xfId="19597"/>
    <cellStyle name="Normal 48 7" xfId="8148"/>
    <cellStyle name="Normal 48 7 2" xfId="11727"/>
    <cellStyle name="Normal 48 7 2 2" xfId="19598"/>
    <cellStyle name="Normal 49" xfId="2848"/>
    <cellStyle name="Normal 49 10" xfId="4719"/>
    <cellStyle name="Normal 49 10 2" xfId="8155"/>
    <cellStyle name="Normal 49 10 2 2" xfId="11729"/>
    <cellStyle name="Normal 49 10 2 2 2" xfId="19600"/>
    <cellStyle name="Normal 49 11" xfId="4720"/>
    <cellStyle name="Normal 49 11 2" xfId="8156"/>
    <cellStyle name="Normal 49 11 2 2" xfId="11730"/>
    <cellStyle name="Normal 49 11 2 2 2" xfId="19601"/>
    <cellStyle name="Normal 49 12" xfId="4721"/>
    <cellStyle name="Normal 49 12 2" xfId="8157"/>
    <cellStyle name="Normal 49 12 2 2" xfId="11731"/>
    <cellStyle name="Normal 49 12 2 2 2" xfId="19602"/>
    <cellStyle name="Normal 49 13" xfId="4722"/>
    <cellStyle name="Normal 49 13 2" xfId="8158"/>
    <cellStyle name="Normal 49 13 2 2" xfId="11732"/>
    <cellStyle name="Normal 49 13 2 2 2" xfId="19603"/>
    <cellStyle name="Normal 49 14" xfId="4723"/>
    <cellStyle name="Normal 49 14 2" xfId="8159"/>
    <cellStyle name="Normal 49 14 2 2" xfId="11733"/>
    <cellStyle name="Normal 49 14 2 2 2" xfId="19604"/>
    <cellStyle name="Normal 49 15" xfId="4724"/>
    <cellStyle name="Normal 49 15 10" xfId="16256"/>
    <cellStyle name="Normal 49 15 2" xfId="6069"/>
    <cellStyle name="Normal 49 15 2 2" xfId="8161"/>
    <cellStyle name="Normal 49 15 2 2 2" xfId="11736"/>
    <cellStyle name="Normal 49 15 2 2 2 2" xfId="19607"/>
    <cellStyle name="Normal 49 15 2 3" xfId="7273"/>
    <cellStyle name="Normal 49 15 2 3 2" xfId="11737"/>
    <cellStyle name="Normal 49 15 2 3 2 2" xfId="19608"/>
    <cellStyle name="Normal 49 15 2 3 3" xfId="17520"/>
    <cellStyle name="Normal 49 15 2 4" xfId="11735"/>
    <cellStyle name="Normal 49 15 2 4 2" xfId="19606"/>
    <cellStyle name="Normal 49 15 2 5" xfId="15334"/>
    <cellStyle name="Normal 49 15 2 5 2" xfId="22133"/>
    <cellStyle name="Normal 49 15 2 6" xfId="16724"/>
    <cellStyle name="Normal 49 15 3" xfId="8160"/>
    <cellStyle name="Normal 49 15 3 2" xfId="11738"/>
    <cellStyle name="Normal 49 15 3 2 2" xfId="19609"/>
    <cellStyle name="Normal 49 15 4" xfId="6816"/>
    <cellStyle name="Normal 49 15 4 2" xfId="11739"/>
    <cellStyle name="Normal 49 15 4 2 2" xfId="19610"/>
    <cellStyle name="Normal 49 15 4 3" xfId="17063"/>
    <cellStyle name="Normal 49 15 5" xfId="11734"/>
    <cellStyle name="Normal 49 15 5 2" xfId="19605"/>
    <cellStyle name="Normal 49 15 6" xfId="14759"/>
    <cellStyle name="Normal 49 15 6 2" xfId="21676"/>
    <cellStyle name="Normal 49 15 7" xfId="15607"/>
    <cellStyle name="Normal 49 15 7 2" xfId="22362"/>
    <cellStyle name="Normal 49 15 8" xfId="15807"/>
    <cellStyle name="Normal 49 15 8 2" xfId="22553"/>
    <cellStyle name="Normal 49 15 9" xfId="16038"/>
    <cellStyle name="Normal 49 15 9 2" xfId="22766"/>
    <cellStyle name="Normal 49 16" xfId="6324"/>
    <cellStyle name="Normal 49 16 2" xfId="11740"/>
    <cellStyle name="Normal 49 16 2 2" xfId="19611"/>
    <cellStyle name="Normal 49 16 3" xfId="14569"/>
    <cellStyle name="Normal 49 16 3 2" xfId="21584"/>
    <cellStyle name="Normal 49 16 4" xfId="16882"/>
    <cellStyle name="Normal 49 17" xfId="8154"/>
    <cellStyle name="Normal 49 17 2" xfId="11741"/>
    <cellStyle name="Normal 49 17 2 2" xfId="19612"/>
    <cellStyle name="Normal 49 18" xfId="11728"/>
    <cellStyle name="Normal 49 18 2" xfId="19599"/>
    <cellStyle name="Normal 49 19" xfId="13728"/>
    <cellStyle name="Normal 49 19 2" xfId="21405"/>
    <cellStyle name="Normal 49 2" xfId="2849"/>
    <cellStyle name="Normal 49 2 2" xfId="5141"/>
    <cellStyle name="Normal 49 2 2 10" xfId="16257"/>
    <cellStyle name="Normal 49 2 2 2" xfId="6070"/>
    <cellStyle name="Normal 49 2 2 2 2" xfId="8164"/>
    <cellStyle name="Normal 49 2 2 2 2 2" xfId="11745"/>
    <cellStyle name="Normal 49 2 2 2 2 2 2" xfId="19616"/>
    <cellStyle name="Normal 49 2 2 2 3" xfId="7274"/>
    <cellStyle name="Normal 49 2 2 2 3 2" xfId="11746"/>
    <cellStyle name="Normal 49 2 2 2 3 2 2" xfId="19617"/>
    <cellStyle name="Normal 49 2 2 2 3 3" xfId="17521"/>
    <cellStyle name="Normal 49 2 2 2 4" xfId="11744"/>
    <cellStyle name="Normal 49 2 2 2 4 2" xfId="19615"/>
    <cellStyle name="Normal 49 2 2 2 5" xfId="15335"/>
    <cellStyle name="Normal 49 2 2 2 5 2" xfId="22134"/>
    <cellStyle name="Normal 49 2 2 2 6" xfId="16725"/>
    <cellStyle name="Normal 49 2 2 3" xfId="8163"/>
    <cellStyle name="Normal 49 2 2 3 2" xfId="11747"/>
    <cellStyle name="Normal 49 2 2 3 2 2" xfId="19618"/>
    <cellStyle name="Normal 49 2 2 4" xfId="6923"/>
    <cellStyle name="Normal 49 2 2 4 2" xfId="11748"/>
    <cellStyle name="Normal 49 2 2 4 2 2" xfId="19619"/>
    <cellStyle name="Normal 49 2 2 4 3" xfId="17170"/>
    <cellStyle name="Normal 49 2 2 5" xfId="11743"/>
    <cellStyle name="Normal 49 2 2 5 2" xfId="19614"/>
    <cellStyle name="Normal 49 2 2 6" xfId="14879"/>
    <cellStyle name="Normal 49 2 2 6 2" xfId="21783"/>
    <cellStyle name="Normal 49 2 2 7" xfId="15608"/>
    <cellStyle name="Normal 49 2 2 7 2" xfId="22363"/>
    <cellStyle name="Normal 49 2 2 8" xfId="15808"/>
    <cellStyle name="Normal 49 2 2 8 2" xfId="22554"/>
    <cellStyle name="Normal 49 2 2 9" xfId="16039"/>
    <cellStyle name="Normal 49 2 2 9 2" xfId="22767"/>
    <cellStyle name="Normal 49 2 3" xfId="5516"/>
    <cellStyle name="Normal 49 2 3 2" xfId="8165"/>
    <cellStyle name="Normal 49 2 3 2 2" xfId="11749"/>
    <cellStyle name="Normal 49 2 3 2 2 2" xfId="19620"/>
    <cellStyle name="Normal 49 2 4" xfId="6325"/>
    <cellStyle name="Normal 49 2 4 2" xfId="11750"/>
    <cellStyle name="Normal 49 2 4 2 2" xfId="19621"/>
    <cellStyle name="Normal 49 2 4 3" xfId="14570"/>
    <cellStyle name="Normal 49 2 4 3 2" xfId="21585"/>
    <cellStyle name="Normal 49 2 4 4" xfId="16883"/>
    <cellStyle name="Normal 49 2 5" xfId="8162"/>
    <cellStyle name="Normal 49 2 5 2" xfId="11751"/>
    <cellStyle name="Normal 49 2 5 2 2" xfId="19622"/>
    <cellStyle name="Normal 49 2 6" xfId="11742"/>
    <cellStyle name="Normal 49 2 6 2" xfId="19613"/>
    <cellStyle name="Normal 49 2 7" xfId="13729"/>
    <cellStyle name="Normal 49 2 7 2" xfId="21406"/>
    <cellStyle name="Normal 49 3" xfId="2850"/>
    <cellStyle name="Normal 49 3 2" xfId="4725"/>
    <cellStyle name="Normal 49 3 2 2" xfId="8167"/>
    <cellStyle name="Normal 49 3 2 2 2" xfId="11752"/>
    <cellStyle name="Normal 49 3 2 2 2 2" xfId="19623"/>
    <cellStyle name="Normal 49 3 3" xfId="5517"/>
    <cellStyle name="Normal 49 3 3 2" xfId="8168"/>
    <cellStyle name="Normal 49 3 3 2 2" xfId="11753"/>
    <cellStyle name="Normal 49 3 3 2 2 2" xfId="19624"/>
    <cellStyle name="Normal 49 3 4" xfId="6636"/>
    <cellStyle name="Normal 49 3 5" xfId="8166"/>
    <cellStyle name="Normal 49 3 5 2" xfId="11754"/>
    <cellStyle name="Normal 49 3 5 2 2" xfId="19625"/>
    <cellStyle name="Normal 49 4" xfId="5140"/>
    <cellStyle name="Normal 49 4 2" xfId="5518"/>
    <cellStyle name="Normal 49 4 2 2" xfId="8170"/>
    <cellStyle name="Normal 49 4 2 2 2" xfId="11756"/>
    <cellStyle name="Normal 49 4 2 2 2 2" xfId="19627"/>
    <cellStyle name="Normal 49 4 3" xfId="6922"/>
    <cellStyle name="Normal 49 4 3 2" xfId="11757"/>
    <cellStyle name="Normal 49 4 3 2 2" xfId="19628"/>
    <cellStyle name="Normal 49 4 3 3" xfId="14878"/>
    <cellStyle name="Normal 49 4 3 3 2" xfId="21782"/>
    <cellStyle name="Normal 49 4 3 4" xfId="17169"/>
    <cellStyle name="Normal 49 4 4" xfId="8169"/>
    <cellStyle name="Normal 49 4 4 2" xfId="11758"/>
    <cellStyle name="Normal 49 4 4 2 2" xfId="19629"/>
    <cellStyle name="Normal 49 4 5" xfId="11755"/>
    <cellStyle name="Normal 49 4 5 2" xfId="19626"/>
    <cellStyle name="Normal 49 4 6" xfId="16389"/>
    <cellStyle name="Normal 49 5" xfId="4726"/>
    <cellStyle name="Normal 49 5 2" xfId="8171"/>
    <cellStyle name="Normal 49 5 2 2" xfId="11759"/>
    <cellStyle name="Normal 49 5 2 2 2" xfId="19630"/>
    <cellStyle name="Normal 49 6" xfId="4727"/>
    <cellStyle name="Normal 49 6 2" xfId="8172"/>
    <cellStyle name="Normal 49 6 2 2" xfId="11760"/>
    <cellStyle name="Normal 49 6 2 2 2" xfId="19631"/>
    <cellStyle name="Normal 49 7" xfId="4728"/>
    <cellStyle name="Normal 49 7 2" xfId="8173"/>
    <cellStyle name="Normal 49 7 2 2" xfId="11761"/>
    <cellStyle name="Normal 49 7 2 2 2" xfId="19632"/>
    <cellStyle name="Normal 49 8" xfId="4729"/>
    <cellStyle name="Normal 49 8 2" xfId="8174"/>
    <cellStyle name="Normal 49 8 2 2" xfId="11762"/>
    <cellStyle name="Normal 49 8 2 2 2" xfId="19633"/>
    <cellStyle name="Normal 49 9" xfId="4730"/>
    <cellStyle name="Normal 49 9 2" xfId="8175"/>
    <cellStyle name="Normal 49 9 2 2" xfId="11763"/>
    <cellStyle name="Normal 49 9 2 2 2" xfId="19634"/>
    <cellStyle name="Normal 5" xfId="2851"/>
    <cellStyle name="Normal 5 10" xfId="4731"/>
    <cellStyle name="Normal 5 10 2" xfId="8176"/>
    <cellStyle name="Normal 5 10 2 2" xfId="11764"/>
    <cellStyle name="Normal 5 10 2 2 2" xfId="19635"/>
    <cellStyle name="Normal 5 11" xfId="4732"/>
    <cellStyle name="Normal 5 11 2" xfId="8177"/>
    <cellStyle name="Normal 5 11 2 2" xfId="11765"/>
    <cellStyle name="Normal 5 11 2 2 2" xfId="19636"/>
    <cellStyle name="Normal 5 12" xfId="4733"/>
    <cellStyle name="Normal 5 12 2" xfId="8178"/>
    <cellStyle name="Normal 5 12 2 2" xfId="11766"/>
    <cellStyle name="Normal 5 12 2 2 2" xfId="19637"/>
    <cellStyle name="Normal 5 13" xfId="4734"/>
    <cellStyle name="Normal 5 13 2" xfId="8179"/>
    <cellStyle name="Normal 5 13 2 2" xfId="11767"/>
    <cellStyle name="Normal 5 13 2 2 2" xfId="19638"/>
    <cellStyle name="Normal 5 14" xfId="4735"/>
    <cellStyle name="Normal 5 14 2" xfId="8180"/>
    <cellStyle name="Normal 5 14 2 2" xfId="11768"/>
    <cellStyle name="Normal 5 14 2 2 2" xfId="19639"/>
    <cellStyle name="Normal 5 15" xfId="4736"/>
    <cellStyle name="Normal 5 15 2" xfId="8181"/>
    <cellStyle name="Normal 5 15 2 2" xfId="11769"/>
    <cellStyle name="Normal 5 15 2 2 2" xfId="19640"/>
    <cellStyle name="Normal 5 16" xfId="4737"/>
    <cellStyle name="Normal 5 16 2" xfId="8182"/>
    <cellStyle name="Normal 5 16 2 2" xfId="11770"/>
    <cellStyle name="Normal 5 16 2 2 2" xfId="19641"/>
    <cellStyle name="Normal 5 17" xfId="4738"/>
    <cellStyle name="Normal 5 17 2" xfId="8183"/>
    <cellStyle name="Normal 5 17 2 2" xfId="11771"/>
    <cellStyle name="Normal 5 17 2 2 2" xfId="19642"/>
    <cellStyle name="Normal 5 18" xfId="6637"/>
    <cellStyle name="Normal 5 18 2" xfId="11772"/>
    <cellStyle name="Normal 5 18 2 2" xfId="19643"/>
    <cellStyle name="Normal 5 19" xfId="15384"/>
    <cellStyle name="Normal 5 19 2" xfId="22180"/>
    <cellStyle name="Normal 5 2" xfId="2852"/>
    <cellStyle name="Normal 5 2 2" xfId="2853"/>
    <cellStyle name="Normal 5 2 2 2" xfId="8185"/>
    <cellStyle name="Normal 5 2 2 2 2" xfId="11773"/>
    <cellStyle name="Normal 5 2 2 2 2 2" xfId="19644"/>
    <cellStyle name="Normal 5 2 3" xfId="4739"/>
    <cellStyle name="Normal 5 2 3 2" xfId="8186"/>
    <cellStyle name="Normal 5 2 3 2 2" xfId="11774"/>
    <cellStyle name="Normal 5 2 3 2 2 2" xfId="19645"/>
    <cellStyle name="Normal 5 2 4" xfId="6638"/>
    <cellStyle name="Normal 5 2 5" xfId="8184"/>
    <cellStyle name="Normal 5 2 5 2" xfId="11775"/>
    <cellStyle name="Normal 5 2 5 2 2" xfId="19646"/>
    <cellStyle name="Normal 5 2 6" xfId="9615"/>
    <cellStyle name="Normal 5 2 7" xfId="26320"/>
    <cellStyle name="Normal 5 3" xfId="2854"/>
    <cellStyle name="Normal 5 3 2" xfId="4740"/>
    <cellStyle name="Normal 5 3 2 2" xfId="8188"/>
    <cellStyle name="Normal 5 3 2 2 2" xfId="11776"/>
    <cellStyle name="Normal 5 3 2 2 2 2" xfId="19647"/>
    <cellStyle name="Normal 5 3 3" xfId="5519"/>
    <cellStyle name="Normal 5 3 3 2" xfId="8189"/>
    <cellStyle name="Normal 5 3 3 2 2" xfId="11777"/>
    <cellStyle name="Normal 5 3 3 2 2 2" xfId="19648"/>
    <cellStyle name="Normal 5 3 4" xfId="6639"/>
    <cellStyle name="Normal 5 3 5" xfId="8187"/>
    <cellStyle name="Normal 5 3 5 2" xfId="11778"/>
    <cellStyle name="Normal 5 3 5 2 2" xfId="19649"/>
    <cellStyle name="Normal 5 4" xfId="2855"/>
    <cellStyle name="Normal 5 4 2" xfId="8190"/>
    <cellStyle name="Normal 5 4 2 2" xfId="11779"/>
    <cellStyle name="Normal 5 4 2 2 2" xfId="19650"/>
    <cellStyle name="Normal 5 5" xfId="2856"/>
    <cellStyle name="Normal 5 5 2" xfId="4741"/>
    <cellStyle name="Normal 5 5 2 2" xfId="8192"/>
    <cellStyle name="Normal 5 5 2 2 2" xfId="11780"/>
    <cellStyle name="Normal 5 5 2 2 2 2" xfId="19651"/>
    <cellStyle name="Normal 5 5 2 3" xfId="14760"/>
    <cellStyle name="Normal 5 5 3" xfId="5520"/>
    <cellStyle name="Normal 5 5 3 2" xfId="8193"/>
    <cellStyle name="Normal 5 5 3 2 2" xfId="11781"/>
    <cellStyle name="Normal 5 5 3 2 2 2" xfId="19652"/>
    <cellStyle name="Normal 5 5 4" xfId="6640"/>
    <cellStyle name="Normal 5 5 4 2" xfId="14571"/>
    <cellStyle name="Normal 5 5 5" xfId="8191"/>
    <cellStyle name="Normal 5 5 5 2" xfId="11782"/>
    <cellStyle name="Normal 5 5 5 2 2" xfId="19653"/>
    <cellStyle name="Normal 5 5 6" xfId="13730"/>
    <cellStyle name="Normal 5 6" xfId="2857"/>
    <cellStyle name="Normal 5 6 2" xfId="8194"/>
    <cellStyle name="Normal 5 6 2 2" xfId="11783"/>
    <cellStyle name="Normal 5 6 2 2 2" xfId="19654"/>
    <cellStyle name="Normal 5 7" xfId="2858"/>
    <cellStyle name="Normal 5 7 2" xfId="4742"/>
    <cellStyle name="Normal 5 7 2 2" xfId="8196"/>
    <cellStyle name="Normal 5 7 2 2 2" xfId="11784"/>
    <cellStyle name="Normal 5 7 2 2 2 2" xfId="19655"/>
    <cellStyle name="Normal 5 7 3" xfId="5521"/>
    <cellStyle name="Normal 5 7 3 2" xfId="8197"/>
    <cellStyle name="Normal 5 7 3 2 2" xfId="11785"/>
    <cellStyle name="Normal 5 7 3 2 2 2" xfId="19656"/>
    <cellStyle name="Normal 5 7 4" xfId="6641"/>
    <cellStyle name="Normal 5 7 5" xfId="8195"/>
    <cellStyle name="Normal 5 7 5 2" xfId="11786"/>
    <cellStyle name="Normal 5 7 5 2 2" xfId="19657"/>
    <cellStyle name="Normal 5 8" xfId="4743"/>
    <cellStyle name="Normal 5 8 2" xfId="8198"/>
    <cellStyle name="Normal 5 8 2 2" xfId="11787"/>
    <cellStyle name="Normal 5 8 2 2 2" xfId="19658"/>
    <cellStyle name="Normal 5 9" xfId="4744"/>
    <cellStyle name="Normal 5 9 2" xfId="8199"/>
    <cellStyle name="Normal 5 9 2 2" xfId="11788"/>
    <cellStyle name="Normal 5 9 2 2 2" xfId="19659"/>
    <cellStyle name="Normal 5_Schedule May 2011" xfId="2859"/>
    <cellStyle name="Normal 50" xfId="2860"/>
    <cellStyle name="Normal 50 10" xfId="4745"/>
    <cellStyle name="Normal 50 10 2" xfId="8201"/>
    <cellStyle name="Normal 50 10 2 2" xfId="11790"/>
    <cellStyle name="Normal 50 10 2 2 2" xfId="19661"/>
    <cellStyle name="Normal 50 11" xfId="4746"/>
    <cellStyle name="Normal 50 11 2" xfId="8202"/>
    <cellStyle name="Normal 50 11 2 2" xfId="11791"/>
    <cellStyle name="Normal 50 11 2 2 2" xfId="19662"/>
    <cellStyle name="Normal 50 12" xfId="4747"/>
    <cellStyle name="Normal 50 12 2" xfId="8203"/>
    <cellStyle name="Normal 50 12 2 2" xfId="11792"/>
    <cellStyle name="Normal 50 12 2 2 2" xfId="19663"/>
    <cellStyle name="Normal 50 13" xfId="4748"/>
    <cellStyle name="Normal 50 13 2" xfId="8204"/>
    <cellStyle name="Normal 50 13 2 2" xfId="11793"/>
    <cellStyle name="Normal 50 13 2 2 2" xfId="19664"/>
    <cellStyle name="Normal 50 14" xfId="4749"/>
    <cellStyle name="Normal 50 14 2" xfId="8205"/>
    <cellStyle name="Normal 50 14 2 2" xfId="11794"/>
    <cellStyle name="Normal 50 14 2 2 2" xfId="19665"/>
    <cellStyle name="Normal 50 15" xfId="4750"/>
    <cellStyle name="Normal 50 15 10" xfId="16258"/>
    <cellStyle name="Normal 50 15 2" xfId="6071"/>
    <cellStyle name="Normal 50 15 2 2" xfId="8207"/>
    <cellStyle name="Normal 50 15 2 2 2" xfId="11797"/>
    <cellStyle name="Normal 50 15 2 2 2 2" xfId="19668"/>
    <cellStyle name="Normal 50 15 2 3" xfId="7275"/>
    <cellStyle name="Normal 50 15 2 3 2" xfId="11798"/>
    <cellStyle name="Normal 50 15 2 3 2 2" xfId="19669"/>
    <cellStyle name="Normal 50 15 2 3 3" xfId="17522"/>
    <cellStyle name="Normal 50 15 2 4" xfId="11796"/>
    <cellStyle name="Normal 50 15 2 4 2" xfId="19667"/>
    <cellStyle name="Normal 50 15 2 5" xfId="15336"/>
    <cellStyle name="Normal 50 15 2 5 2" xfId="22135"/>
    <cellStyle name="Normal 50 15 2 6" xfId="16726"/>
    <cellStyle name="Normal 50 15 3" xfId="8206"/>
    <cellStyle name="Normal 50 15 3 2" xfId="11799"/>
    <cellStyle name="Normal 50 15 3 2 2" xfId="19670"/>
    <cellStyle name="Normal 50 15 4" xfId="6817"/>
    <cellStyle name="Normal 50 15 4 2" xfId="11800"/>
    <cellStyle name="Normal 50 15 4 2 2" xfId="19671"/>
    <cellStyle name="Normal 50 15 4 3" xfId="17064"/>
    <cellStyle name="Normal 50 15 5" xfId="11795"/>
    <cellStyle name="Normal 50 15 5 2" xfId="19666"/>
    <cellStyle name="Normal 50 15 6" xfId="14761"/>
    <cellStyle name="Normal 50 15 6 2" xfId="21677"/>
    <cellStyle name="Normal 50 15 7" xfId="15609"/>
    <cellStyle name="Normal 50 15 7 2" xfId="22364"/>
    <cellStyle name="Normal 50 15 8" xfId="15809"/>
    <cellStyle name="Normal 50 15 8 2" xfId="22555"/>
    <cellStyle name="Normal 50 15 9" xfId="16040"/>
    <cellStyle name="Normal 50 15 9 2" xfId="22768"/>
    <cellStyle name="Normal 50 16" xfId="6326"/>
    <cellStyle name="Normal 50 16 2" xfId="11801"/>
    <cellStyle name="Normal 50 16 2 2" xfId="19672"/>
    <cellStyle name="Normal 50 16 3" xfId="14572"/>
    <cellStyle name="Normal 50 16 3 2" xfId="21586"/>
    <cellStyle name="Normal 50 16 4" xfId="16884"/>
    <cellStyle name="Normal 50 17" xfId="8200"/>
    <cellStyle name="Normal 50 17 2" xfId="11802"/>
    <cellStyle name="Normal 50 17 2 2" xfId="19673"/>
    <cellStyle name="Normal 50 18" xfId="11789"/>
    <cellStyle name="Normal 50 18 2" xfId="19660"/>
    <cellStyle name="Normal 50 19" xfId="13731"/>
    <cellStyle name="Normal 50 19 2" xfId="21407"/>
    <cellStyle name="Normal 50 2" xfId="2861"/>
    <cellStyle name="Normal 50 2 2" xfId="4751"/>
    <cellStyle name="Normal 50 2 2 2" xfId="8209"/>
    <cellStyle name="Normal 50 2 2 2 2" xfId="11803"/>
    <cellStyle name="Normal 50 2 2 2 2 2" xfId="19674"/>
    <cellStyle name="Normal 50 2 3" xfId="5522"/>
    <cellStyle name="Normal 50 2 3 2" xfId="8210"/>
    <cellStyle name="Normal 50 2 3 2 2" xfId="11804"/>
    <cellStyle name="Normal 50 2 3 2 2 2" xfId="19675"/>
    <cellStyle name="Normal 50 2 4" xfId="6642"/>
    <cellStyle name="Normal 50 2 5" xfId="8208"/>
    <cellStyle name="Normal 50 2 5 2" xfId="11805"/>
    <cellStyle name="Normal 50 2 5 2 2" xfId="19676"/>
    <cellStyle name="Normal 50 3" xfId="5142"/>
    <cellStyle name="Normal 50 3 2" xfId="5523"/>
    <cellStyle name="Normal 50 3 2 2" xfId="8212"/>
    <cellStyle name="Normal 50 3 2 2 2" xfId="11807"/>
    <cellStyle name="Normal 50 3 2 2 2 2" xfId="19678"/>
    <cellStyle name="Normal 50 3 3" xfId="6924"/>
    <cellStyle name="Normal 50 3 3 2" xfId="11808"/>
    <cellStyle name="Normal 50 3 3 2 2" xfId="19679"/>
    <cellStyle name="Normal 50 3 3 3" xfId="14880"/>
    <cellStyle name="Normal 50 3 3 3 2" xfId="21784"/>
    <cellStyle name="Normal 50 3 3 4" xfId="17171"/>
    <cellStyle name="Normal 50 3 4" xfId="8211"/>
    <cellStyle name="Normal 50 3 4 2" xfId="11809"/>
    <cellStyle name="Normal 50 3 4 2 2" xfId="19680"/>
    <cellStyle name="Normal 50 3 5" xfId="11806"/>
    <cellStyle name="Normal 50 3 5 2" xfId="19677"/>
    <cellStyle name="Normal 50 3 6" xfId="16390"/>
    <cellStyle name="Normal 50 4" xfId="4752"/>
    <cellStyle name="Normal 50 4 2" xfId="8213"/>
    <cellStyle name="Normal 50 4 2 2" xfId="11810"/>
    <cellStyle name="Normal 50 4 2 2 2" xfId="19681"/>
    <cellStyle name="Normal 50 5" xfId="4753"/>
    <cellStyle name="Normal 50 5 2" xfId="8214"/>
    <cellStyle name="Normal 50 5 2 2" xfId="11811"/>
    <cellStyle name="Normal 50 5 2 2 2" xfId="19682"/>
    <cellStyle name="Normal 50 6" xfId="4754"/>
    <cellStyle name="Normal 50 6 2" xfId="8215"/>
    <cellStyle name="Normal 50 6 2 2" xfId="11812"/>
    <cellStyle name="Normal 50 6 2 2 2" xfId="19683"/>
    <cellStyle name="Normal 50 7" xfId="4755"/>
    <cellStyle name="Normal 50 7 2" xfId="8216"/>
    <cellStyle name="Normal 50 7 2 2" xfId="11813"/>
    <cellStyle name="Normal 50 7 2 2 2" xfId="19684"/>
    <cellStyle name="Normal 50 8" xfId="4756"/>
    <cellStyle name="Normal 50 8 2" xfId="8217"/>
    <cellStyle name="Normal 50 8 2 2" xfId="11814"/>
    <cellStyle name="Normal 50 8 2 2 2" xfId="19685"/>
    <cellStyle name="Normal 50 9" xfId="4757"/>
    <cellStyle name="Normal 50 9 2" xfId="8218"/>
    <cellStyle name="Normal 50 9 2 2" xfId="11815"/>
    <cellStyle name="Normal 50 9 2 2 2" xfId="19686"/>
    <cellStyle name="Normal 51" xfId="2862"/>
    <cellStyle name="Normal 51 10" xfId="4758"/>
    <cellStyle name="Normal 51 10 2" xfId="8220"/>
    <cellStyle name="Normal 51 10 2 2" xfId="11817"/>
    <cellStyle name="Normal 51 10 2 2 2" xfId="19688"/>
    <cellStyle name="Normal 51 11" xfId="4759"/>
    <cellStyle name="Normal 51 11 2" xfId="8221"/>
    <cellStyle name="Normal 51 11 2 2" xfId="11818"/>
    <cellStyle name="Normal 51 11 2 2 2" xfId="19689"/>
    <cellStyle name="Normal 51 12" xfId="4760"/>
    <cellStyle name="Normal 51 12 2" xfId="8222"/>
    <cellStyle name="Normal 51 12 2 2" xfId="11819"/>
    <cellStyle name="Normal 51 12 2 2 2" xfId="19690"/>
    <cellStyle name="Normal 51 13" xfId="4761"/>
    <cellStyle name="Normal 51 13 2" xfId="8223"/>
    <cellStyle name="Normal 51 13 2 2" xfId="11820"/>
    <cellStyle name="Normal 51 13 2 2 2" xfId="19691"/>
    <cellStyle name="Normal 51 14" xfId="4762"/>
    <cellStyle name="Normal 51 14 2" xfId="8224"/>
    <cellStyle name="Normal 51 14 2 2" xfId="11821"/>
    <cellStyle name="Normal 51 14 2 2 2" xfId="19692"/>
    <cellStyle name="Normal 51 15" xfId="4763"/>
    <cellStyle name="Normal 51 15 10" xfId="16259"/>
    <cellStyle name="Normal 51 15 2" xfId="6072"/>
    <cellStyle name="Normal 51 15 2 2" xfId="8226"/>
    <cellStyle name="Normal 51 15 2 2 2" xfId="11824"/>
    <cellStyle name="Normal 51 15 2 2 2 2" xfId="19695"/>
    <cellStyle name="Normal 51 15 2 3" xfId="7276"/>
    <cellStyle name="Normal 51 15 2 3 2" xfId="11825"/>
    <cellStyle name="Normal 51 15 2 3 2 2" xfId="19696"/>
    <cellStyle name="Normal 51 15 2 3 3" xfId="17523"/>
    <cellStyle name="Normal 51 15 2 4" xfId="11823"/>
    <cellStyle name="Normal 51 15 2 4 2" xfId="19694"/>
    <cellStyle name="Normal 51 15 2 5" xfId="15337"/>
    <cellStyle name="Normal 51 15 2 5 2" xfId="22136"/>
    <cellStyle name="Normal 51 15 2 6" xfId="16727"/>
    <cellStyle name="Normal 51 15 3" xfId="8225"/>
    <cellStyle name="Normal 51 15 3 2" xfId="11826"/>
    <cellStyle name="Normal 51 15 3 2 2" xfId="19697"/>
    <cellStyle name="Normal 51 15 4" xfId="6818"/>
    <cellStyle name="Normal 51 15 4 2" xfId="11827"/>
    <cellStyle name="Normal 51 15 4 2 2" xfId="19698"/>
    <cellStyle name="Normal 51 15 4 3" xfId="17065"/>
    <cellStyle name="Normal 51 15 5" xfId="11822"/>
    <cellStyle name="Normal 51 15 5 2" xfId="19693"/>
    <cellStyle name="Normal 51 15 6" xfId="14762"/>
    <cellStyle name="Normal 51 15 6 2" xfId="21678"/>
    <cellStyle name="Normal 51 15 7" xfId="15610"/>
    <cellStyle name="Normal 51 15 7 2" xfId="22365"/>
    <cellStyle name="Normal 51 15 8" xfId="15810"/>
    <cellStyle name="Normal 51 15 8 2" xfId="22556"/>
    <cellStyle name="Normal 51 15 9" xfId="16041"/>
    <cellStyle name="Normal 51 15 9 2" xfId="22769"/>
    <cellStyle name="Normal 51 16" xfId="6327"/>
    <cellStyle name="Normal 51 16 2" xfId="11828"/>
    <cellStyle name="Normal 51 16 2 2" xfId="19699"/>
    <cellStyle name="Normal 51 16 3" xfId="14573"/>
    <cellStyle name="Normal 51 16 3 2" xfId="21587"/>
    <cellStyle name="Normal 51 16 4" xfId="16885"/>
    <cellStyle name="Normal 51 17" xfId="8219"/>
    <cellStyle name="Normal 51 17 2" xfId="11829"/>
    <cellStyle name="Normal 51 17 2 2" xfId="19700"/>
    <cellStyle name="Normal 51 18" xfId="11816"/>
    <cellStyle name="Normal 51 18 2" xfId="19687"/>
    <cellStyle name="Normal 51 19" xfId="13732"/>
    <cellStyle name="Normal 51 19 2" xfId="21408"/>
    <cellStyle name="Normal 51 2" xfId="2863"/>
    <cellStyle name="Normal 51 2 2" xfId="4764"/>
    <cellStyle name="Normal 51 2 2 2" xfId="8228"/>
    <cellStyle name="Normal 51 2 2 2 2" xfId="11830"/>
    <cellStyle name="Normal 51 2 2 2 2 2" xfId="19701"/>
    <cellStyle name="Normal 51 2 3" xfId="5524"/>
    <cellStyle name="Normal 51 2 3 2" xfId="8229"/>
    <cellStyle name="Normal 51 2 3 2 2" xfId="11831"/>
    <cellStyle name="Normal 51 2 3 2 2 2" xfId="19702"/>
    <cellStyle name="Normal 51 2 4" xfId="6643"/>
    <cellStyle name="Normal 51 2 5" xfId="8227"/>
    <cellStyle name="Normal 51 2 5 2" xfId="11832"/>
    <cellStyle name="Normal 51 2 5 2 2" xfId="19703"/>
    <cellStyle name="Normal 51 3" xfId="5143"/>
    <cellStyle name="Normal 51 3 2" xfId="5525"/>
    <cellStyle name="Normal 51 3 2 2" xfId="8231"/>
    <cellStyle name="Normal 51 3 2 2 2" xfId="11834"/>
    <cellStyle name="Normal 51 3 2 2 2 2" xfId="19705"/>
    <cellStyle name="Normal 51 3 3" xfId="6925"/>
    <cellStyle name="Normal 51 3 3 2" xfId="11835"/>
    <cellStyle name="Normal 51 3 3 2 2" xfId="19706"/>
    <cellStyle name="Normal 51 3 3 3" xfId="14881"/>
    <cellStyle name="Normal 51 3 3 3 2" xfId="21785"/>
    <cellStyle name="Normal 51 3 3 4" xfId="17172"/>
    <cellStyle name="Normal 51 3 4" xfId="8230"/>
    <cellStyle name="Normal 51 3 4 2" xfId="11836"/>
    <cellStyle name="Normal 51 3 4 2 2" xfId="19707"/>
    <cellStyle name="Normal 51 3 5" xfId="11833"/>
    <cellStyle name="Normal 51 3 5 2" xfId="19704"/>
    <cellStyle name="Normal 51 3 6" xfId="16391"/>
    <cellStyle name="Normal 51 4" xfId="4765"/>
    <cellStyle name="Normal 51 4 2" xfId="8232"/>
    <cellStyle name="Normal 51 4 2 2" xfId="11837"/>
    <cellStyle name="Normal 51 4 2 2 2" xfId="19708"/>
    <cellStyle name="Normal 51 5" xfId="4766"/>
    <cellStyle name="Normal 51 5 2" xfId="8233"/>
    <cellStyle name="Normal 51 5 2 2" xfId="11838"/>
    <cellStyle name="Normal 51 5 2 2 2" xfId="19709"/>
    <cellStyle name="Normal 51 6" xfId="4767"/>
    <cellStyle name="Normal 51 6 2" xfId="8234"/>
    <cellStyle name="Normal 51 6 2 2" xfId="11839"/>
    <cellStyle name="Normal 51 6 2 2 2" xfId="19710"/>
    <cellStyle name="Normal 51 7" xfId="4768"/>
    <cellStyle name="Normal 51 7 2" xfId="8235"/>
    <cellStyle name="Normal 51 7 2 2" xfId="11840"/>
    <cellStyle name="Normal 51 7 2 2 2" xfId="19711"/>
    <cellStyle name="Normal 51 8" xfId="4769"/>
    <cellStyle name="Normal 51 8 2" xfId="8236"/>
    <cellStyle name="Normal 51 8 2 2" xfId="11841"/>
    <cellStyle name="Normal 51 8 2 2 2" xfId="19712"/>
    <cellStyle name="Normal 51 9" xfId="4770"/>
    <cellStyle name="Normal 51 9 2" xfId="8237"/>
    <cellStyle name="Normal 51 9 2 2" xfId="11842"/>
    <cellStyle name="Normal 51 9 2 2 2" xfId="19713"/>
    <cellStyle name="Normal 52" xfId="2864"/>
    <cellStyle name="Normal 52 10" xfId="4771"/>
    <cellStyle name="Normal 52 10 2" xfId="8239"/>
    <cellStyle name="Normal 52 10 2 2" xfId="11844"/>
    <cellStyle name="Normal 52 10 2 2 2" xfId="19715"/>
    <cellStyle name="Normal 52 11" xfId="4772"/>
    <cellStyle name="Normal 52 11 2" xfId="8240"/>
    <cellStyle name="Normal 52 11 2 2" xfId="11845"/>
    <cellStyle name="Normal 52 11 2 2 2" xfId="19716"/>
    <cellStyle name="Normal 52 12" xfId="4773"/>
    <cellStyle name="Normal 52 12 2" xfId="8241"/>
    <cellStyle name="Normal 52 12 2 2" xfId="11846"/>
    <cellStyle name="Normal 52 12 2 2 2" xfId="19717"/>
    <cellStyle name="Normal 52 13" xfId="4774"/>
    <cellStyle name="Normal 52 13 2" xfId="8242"/>
    <cellStyle name="Normal 52 13 2 2" xfId="11847"/>
    <cellStyle name="Normal 52 13 2 2 2" xfId="19718"/>
    <cellStyle name="Normal 52 14" xfId="4775"/>
    <cellStyle name="Normal 52 14 2" xfId="8243"/>
    <cellStyle name="Normal 52 14 2 2" xfId="11848"/>
    <cellStyle name="Normal 52 14 2 2 2" xfId="19719"/>
    <cellStyle name="Normal 52 15" xfId="4776"/>
    <cellStyle name="Normal 52 15 10" xfId="16260"/>
    <cellStyle name="Normal 52 15 2" xfId="6073"/>
    <cellStyle name="Normal 52 15 2 2" xfId="8245"/>
    <cellStyle name="Normal 52 15 2 2 2" xfId="11851"/>
    <cellStyle name="Normal 52 15 2 2 2 2" xfId="19722"/>
    <cellStyle name="Normal 52 15 2 3" xfId="7277"/>
    <cellStyle name="Normal 52 15 2 3 2" xfId="11852"/>
    <cellStyle name="Normal 52 15 2 3 2 2" xfId="19723"/>
    <cellStyle name="Normal 52 15 2 3 3" xfId="17524"/>
    <cellStyle name="Normal 52 15 2 4" xfId="11850"/>
    <cellStyle name="Normal 52 15 2 4 2" xfId="19721"/>
    <cellStyle name="Normal 52 15 2 5" xfId="15338"/>
    <cellStyle name="Normal 52 15 2 5 2" xfId="22137"/>
    <cellStyle name="Normal 52 15 2 6" xfId="16728"/>
    <cellStyle name="Normal 52 15 3" xfId="8244"/>
    <cellStyle name="Normal 52 15 3 2" xfId="11853"/>
    <cellStyle name="Normal 52 15 3 2 2" xfId="19724"/>
    <cellStyle name="Normal 52 15 4" xfId="6819"/>
    <cellStyle name="Normal 52 15 4 2" xfId="11854"/>
    <cellStyle name="Normal 52 15 4 2 2" xfId="19725"/>
    <cellStyle name="Normal 52 15 4 3" xfId="17066"/>
    <cellStyle name="Normal 52 15 5" xfId="11849"/>
    <cellStyle name="Normal 52 15 5 2" xfId="19720"/>
    <cellStyle name="Normal 52 15 6" xfId="14763"/>
    <cellStyle name="Normal 52 15 6 2" xfId="21679"/>
    <cellStyle name="Normal 52 15 7" xfId="15611"/>
    <cellStyle name="Normal 52 15 7 2" xfId="22366"/>
    <cellStyle name="Normal 52 15 8" xfId="15811"/>
    <cellStyle name="Normal 52 15 8 2" xfId="22557"/>
    <cellStyle name="Normal 52 15 9" xfId="16042"/>
    <cellStyle name="Normal 52 15 9 2" xfId="22770"/>
    <cellStyle name="Normal 52 16" xfId="6328"/>
    <cellStyle name="Normal 52 16 2" xfId="11855"/>
    <cellStyle name="Normal 52 16 2 2" xfId="19726"/>
    <cellStyle name="Normal 52 16 3" xfId="14574"/>
    <cellStyle name="Normal 52 16 3 2" xfId="21588"/>
    <cellStyle name="Normal 52 16 4" xfId="16886"/>
    <cellStyle name="Normal 52 17" xfId="8238"/>
    <cellStyle name="Normal 52 17 2" xfId="11856"/>
    <cellStyle name="Normal 52 17 2 2" xfId="19727"/>
    <cellStyle name="Normal 52 18" xfId="11843"/>
    <cellStyle name="Normal 52 18 2" xfId="19714"/>
    <cellStyle name="Normal 52 19" xfId="13733"/>
    <cellStyle name="Normal 52 19 2" xfId="21409"/>
    <cellStyle name="Normal 52 2" xfId="2865"/>
    <cellStyle name="Normal 52 2 2" xfId="4777"/>
    <cellStyle name="Normal 52 2 2 2" xfId="8247"/>
    <cellStyle name="Normal 52 2 2 2 2" xfId="11857"/>
    <cellStyle name="Normal 52 2 2 2 2 2" xfId="19728"/>
    <cellStyle name="Normal 52 2 3" xfId="5526"/>
    <cellStyle name="Normal 52 2 3 2" xfId="8248"/>
    <cellStyle name="Normal 52 2 3 2 2" xfId="11858"/>
    <cellStyle name="Normal 52 2 3 2 2 2" xfId="19729"/>
    <cellStyle name="Normal 52 2 4" xfId="6644"/>
    <cellStyle name="Normal 52 2 5" xfId="8246"/>
    <cellStyle name="Normal 52 2 5 2" xfId="11859"/>
    <cellStyle name="Normal 52 2 5 2 2" xfId="19730"/>
    <cellStyle name="Normal 52 3" xfId="5144"/>
    <cellStyle name="Normal 52 3 2" xfId="5527"/>
    <cellStyle name="Normal 52 3 2 2" xfId="8250"/>
    <cellStyle name="Normal 52 3 2 2 2" xfId="11861"/>
    <cellStyle name="Normal 52 3 2 2 2 2" xfId="19732"/>
    <cellStyle name="Normal 52 3 3" xfId="6926"/>
    <cellStyle name="Normal 52 3 3 2" xfId="11862"/>
    <cellStyle name="Normal 52 3 3 2 2" xfId="19733"/>
    <cellStyle name="Normal 52 3 3 3" xfId="14882"/>
    <cellStyle name="Normal 52 3 3 3 2" xfId="21786"/>
    <cellStyle name="Normal 52 3 3 4" xfId="17173"/>
    <cellStyle name="Normal 52 3 4" xfId="8249"/>
    <cellStyle name="Normal 52 3 4 2" xfId="11863"/>
    <cellStyle name="Normal 52 3 4 2 2" xfId="19734"/>
    <cellStyle name="Normal 52 3 5" xfId="11860"/>
    <cellStyle name="Normal 52 3 5 2" xfId="19731"/>
    <cellStyle name="Normal 52 3 6" xfId="16392"/>
    <cellStyle name="Normal 52 4" xfId="4778"/>
    <cellStyle name="Normal 52 4 2" xfId="8251"/>
    <cellStyle name="Normal 52 4 2 2" xfId="11864"/>
    <cellStyle name="Normal 52 4 2 2 2" xfId="19735"/>
    <cellStyle name="Normal 52 5" xfId="4779"/>
    <cellStyle name="Normal 52 5 2" xfId="8252"/>
    <cellStyle name="Normal 52 5 2 2" xfId="11865"/>
    <cellStyle name="Normal 52 5 2 2 2" xfId="19736"/>
    <cellStyle name="Normal 52 6" xfId="4780"/>
    <cellStyle name="Normal 52 6 2" xfId="8253"/>
    <cellStyle name="Normal 52 6 2 2" xfId="11866"/>
    <cellStyle name="Normal 52 6 2 2 2" xfId="19737"/>
    <cellStyle name="Normal 52 7" xfId="4781"/>
    <cellStyle name="Normal 52 7 2" xfId="8254"/>
    <cellStyle name="Normal 52 7 2 2" xfId="11867"/>
    <cellStyle name="Normal 52 7 2 2 2" xfId="19738"/>
    <cellStyle name="Normal 52 8" xfId="4782"/>
    <cellStyle name="Normal 52 8 2" xfId="8255"/>
    <cellStyle name="Normal 52 8 2 2" xfId="11868"/>
    <cellStyle name="Normal 52 8 2 2 2" xfId="19739"/>
    <cellStyle name="Normal 52 9" xfId="4783"/>
    <cellStyle name="Normal 52 9 2" xfId="8256"/>
    <cellStyle name="Normal 52 9 2 2" xfId="11869"/>
    <cellStyle name="Normal 52 9 2 2 2" xfId="19740"/>
    <cellStyle name="Normal 53" xfId="2866"/>
    <cellStyle name="Normal 53 10" xfId="4784"/>
    <cellStyle name="Normal 53 10 2" xfId="8258"/>
    <cellStyle name="Normal 53 10 2 2" xfId="11871"/>
    <cellStyle name="Normal 53 10 2 2 2" xfId="19742"/>
    <cellStyle name="Normal 53 11" xfId="4785"/>
    <cellStyle name="Normal 53 11 2" xfId="8259"/>
    <cellStyle name="Normal 53 11 2 2" xfId="11872"/>
    <cellStyle name="Normal 53 11 2 2 2" xfId="19743"/>
    <cellStyle name="Normal 53 12" xfId="4786"/>
    <cellStyle name="Normal 53 12 2" xfId="8260"/>
    <cellStyle name="Normal 53 12 2 2" xfId="11873"/>
    <cellStyle name="Normal 53 12 2 2 2" xfId="19744"/>
    <cellStyle name="Normal 53 13" xfId="4787"/>
    <cellStyle name="Normal 53 13 2" xfId="8261"/>
    <cellStyle name="Normal 53 13 2 2" xfId="11874"/>
    <cellStyle name="Normal 53 13 2 2 2" xfId="19745"/>
    <cellStyle name="Normal 53 14" xfId="4788"/>
    <cellStyle name="Normal 53 14 2" xfId="8262"/>
    <cellStyle name="Normal 53 14 2 2" xfId="11875"/>
    <cellStyle name="Normal 53 14 2 2 2" xfId="19746"/>
    <cellStyle name="Normal 53 15" xfId="4789"/>
    <cellStyle name="Normal 53 15 10" xfId="16261"/>
    <cellStyle name="Normal 53 15 2" xfId="6074"/>
    <cellStyle name="Normal 53 15 2 2" xfId="8264"/>
    <cellStyle name="Normal 53 15 2 2 2" xfId="11878"/>
    <cellStyle name="Normal 53 15 2 2 2 2" xfId="19749"/>
    <cellStyle name="Normal 53 15 2 3" xfId="7278"/>
    <cellStyle name="Normal 53 15 2 3 2" xfId="11879"/>
    <cellStyle name="Normal 53 15 2 3 2 2" xfId="19750"/>
    <cellStyle name="Normal 53 15 2 3 3" xfId="17525"/>
    <cellStyle name="Normal 53 15 2 4" xfId="11877"/>
    <cellStyle name="Normal 53 15 2 4 2" xfId="19748"/>
    <cellStyle name="Normal 53 15 2 5" xfId="15339"/>
    <cellStyle name="Normal 53 15 2 5 2" xfId="22138"/>
    <cellStyle name="Normal 53 15 2 6" xfId="16729"/>
    <cellStyle name="Normal 53 15 3" xfId="8263"/>
    <cellStyle name="Normal 53 15 3 2" xfId="11880"/>
    <cellStyle name="Normal 53 15 3 2 2" xfId="19751"/>
    <cellStyle name="Normal 53 15 4" xfId="6820"/>
    <cellStyle name="Normal 53 15 4 2" xfId="11881"/>
    <cellStyle name="Normal 53 15 4 2 2" xfId="19752"/>
    <cellStyle name="Normal 53 15 4 3" xfId="17067"/>
    <cellStyle name="Normal 53 15 5" xfId="11876"/>
    <cellStyle name="Normal 53 15 5 2" xfId="19747"/>
    <cellStyle name="Normal 53 15 6" xfId="14764"/>
    <cellStyle name="Normal 53 15 6 2" xfId="21680"/>
    <cellStyle name="Normal 53 15 7" xfId="15612"/>
    <cellStyle name="Normal 53 15 7 2" xfId="22367"/>
    <cellStyle name="Normal 53 15 8" xfId="15812"/>
    <cellStyle name="Normal 53 15 8 2" xfId="22558"/>
    <cellStyle name="Normal 53 15 9" xfId="16043"/>
    <cellStyle name="Normal 53 15 9 2" xfId="22771"/>
    <cellStyle name="Normal 53 16" xfId="6329"/>
    <cellStyle name="Normal 53 16 2" xfId="11882"/>
    <cellStyle name="Normal 53 16 2 2" xfId="19753"/>
    <cellStyle name="Normal 53 16 3" xfId="14575"/>
    <cellStyle name="Normal 53 16 3 2" xfId="21589"/>
    <cellStyle name="Normal 53 16 4" xfId="16887"/>
    <cellStyle name="Normal 53 17" xfId="8257"/>
    <cellStyle name="Normal 53 17 2" xfId="11883"/>
    <cellStyle name="Normal 53 17 2 2" xfId="19754"/>
    <cellStyle name="Normal 53 18" xfId="11870"/>
    <cellStyle name="Normal 53 18 2" xfId="19741"/>
    <cellStyle name="Normal 53 19" xfId="13734"/>
    <cellStyle name="Normal 53 19 2" xfId="21410"/>
    <cellStyle name="Normal 53 2" xfId="2867"/>
    <cellStyle name="Normal 53 2 2" xfId="4790"/>
    <cellStyle name="Normal 53 2 2 2" xfId="8266"/>
    <cellStyle name="Normal 53 2 2 2 2" xfId="11884"/>
    <cellStyle name="Normal 53 2 2 2 2 2" xfId="19755"/>
    <cellStyle name="Normal 53 2 3" xfId="5528"/>
    <cellStyle name="Normal 53 2 3 2" xfId="8267"/>
    <cellStyle name="Normal 53 2 3 2 2" xfId="11885"/>
    <cellStyle name="Normal 53 2 3 2 2 2" xfId="19756"/>
    <cellStyle name="Normal 53 2 4" xfId="6645"/>
    <cellStyle name="Normal 53 2 5" xfId="8265"/>
    <cellStyle name="Normal 53 2 5 2" xfId="11886"/>
    <cellStyle name="Normal 53 2 5 2 2" xfId="19757"/>
    <cellStyle name="Normal 53 3" xfId="5145"/>
    <cellStyle name="Normal 53 3 2" xfId="5529"/>
    <cellStyle name="Normal 53 3 2 2" xfId="8269"/>
    <cellStyle name="Normal 53 3 2 2 2" xfId="11888"/>
    <cellStyle name="Normal 53 3 2 2 2 2" xfId="19759"/>
    <cellStyle name="Normal 53 3 3" xfId="6927"/>
    <cellStyle name="Normal 53 3 3 2" xfId="11889"/>
    <cellStyle name="Normal 53 3 3 2 2" xfId="19760"/>
    <cellStyle name="Normal 53 3 3 3" xfId="14883"/>
    <cellStyle name="Normal 53 3 3 3 2" xfId="21787"/>
    <cellStyle name="Normal 53 3 3 4" xfId="17174"/>
    <cellStyle name="Normal 53 3 4" xfId="8268"/>
    <cellStyle name="Normal 53 3 4 2" xfId="11890"/>
    <cellStyle name="Normal 53 3 4 2 2" xfId="19761"/>
    <cellStyle name="Normal 53 3 5" xfId="11887"/>
    <cellStyle name="Normal 53 3 5 2" xfId="19758"/>
    <cellStyle name="Normal 53 3 6" xfId="16393"/>
    <cellStyle name="Normal 53 4" xfId="4791"/>
    <cellStyle name="Normal 53 4 2" xfId="8270"/>
    <cellStyle name="Normal 53 4 2 2" xfId="11891"/>
    <cellStyle name="Normal 53 4 2 2 2" xfId="19762"/>
    <cellStyle name="Normal 53 5" xfId="4792"/>
    <cellStyle name="Normal 53 5 2" xfId="8271"/>
    <cellStyle name="Normal 53 5 2 2" xfId="11892"/>
    <cellStyle name="Normal 53 5 2 2 2" xfId="19763"/>
    <cellStyle name="Normal 53 6" xfId="4793"/>
    <cellStyle name="Normal 53 6 2" xfId="8272"/>
    <cellStyle name="Normal 53 6 2 2" xfId="11893"/>
    <cellStyle name="Normal 53 6 2 2 2" xfId="19764"/>
    <cellStyle name="Normal 53 7" xfId="4794"/>
    <cellStyle name="Normal 53 7 2" xfId="8273"/>
    <cellStyle name="Normal 53 7 2 2" xfId="11894"/>
    <cellStyle name="Normal 53 7 2 2 2" xfId="19765"/>
    <cellStyle name="Normal 53 8" xfId="4795"/>
    <cellStyle name="Normal 53 8 2" xfId="8274"/>
    <cellStyle name="Normal 53 8 2 2" xfId="11895"/>
    <cellStyle name="Normal 53 8 2 2 2" xfId="19766"/>
    <cellStyle name="Normal 53 9" xfId="4796"/>
    <cellStyle name="Normal 53 9 2" xfId="8275"/>
    <cellStyle name="Normal 53 9 2 2" xfId="11896"/>
    <cellStyle name="Normal 53 9 2 2 2" xfId="19767"/>
    <cellStyle name="Normal 54" xfId="2868"/>
    <cellStyle name="Normal 54 10" xfId="4797"/>
    <cellStyle name="Normal 54 10 2" xfId="8277"/>
    <cellStyle name="Normal 54 10 2 2" xfId="11898"/>
    <cellStyle name="Normal 54 10 2 2 2" xfId="19769"/>
    <cellStyle name="Normal 54 11" xfId="4798"/>
    <cellStyle name="Normal 54 11 2" xfId="8278"/>
    <cellStyle name="Normal 54 11 2 2" xfId="11899"/>
    <cellStyle name="Normal 54 11 2 2 2" xfId="19770"/>
    <cellStyle name="Normal 54 12" xfId="4799"/>
    <cellStyle name="Normal 54 12 2" xfId="8279"/>
    <cellStyle name="Normal 54 12 2 2" xfId="11900"/>
    <cellStyle name="Normal 54 12 2 2 2" xfId="19771"/>
    <cellStyle name="Normal 54 13" xfId="4800"/>
    <cellStyle name="Normal 54 13 2" xfId="8280"/>
    <cellStyle name="Normal 54 13 2 2" xfId="11901"/>
    <cellStyle name="Normal 54 13 2 2 2" xfId="19772"/>
    <cellStyle name="Normal 54 14" xfId="4801"/>
    <cellStyle name="Normal 54 14 2" xfId="8281"/>
    <cellStyle name="Normal 54 14 2 2" xfId="11902"/>
    <cellStyle name="Normal 54 14 2 2 2" xfId="19773"/>
    <cellStyle name="Normal 54 15" xfId="4802"/>
    <cellStyle name="Normal 54 15 10" xfId="16262"/>
    <cellStyle name="Normal 54 15 2" xfId="6075"/>
    <cellStyle name="Normal 54 15 2 2" xfId="8283"/>
    <cellStyle name="Normal 54 15 2 2 2" xfId="11905"/>
    <cellStyle name="Normal 54 15 2 2 2 2" xfId="19776"/>
    <cellStyle name="Normal 54 15 2 3" xfId="7279"/>
    <cellStyle name="Normal 54 15 2 3 2" xfId="11906"/>
    <cellStyle name="Normal 54 15 2 3 2 2" xfId="19777"/>
    <cellStyle name="Normal 54 15 2 3 3" xfId="17526"/>
    <cellStyle name="Normal 54 15 2 4" xfId="11904"/>
    <cellStyle name="Normal 54 15 2 4 2" xfId="19775"/>
    <cellStyle name="Normal 54 15 2 5" xfId="15340"/>
    <cellStyle name="Normal 54 15 2 5 2" xfId="22139"/>
    <cellStyle name="Normal 54 15 2 6" xfId="16730"/>
    <cellStyle name="Normal 54 15 3" xfId="8282"/>
    <cellStyle name="Normal 54 15 3 2" xfId="11907"/>
    <cellStyle name="Normal 54 15 3 2 2" xfId="19778"/>
    <cellStyle name="Normal 54 15 4" xfId="6821"/>
    <cellStyle name="Normal 54 15 4 2" xfId="11908"/>
    <cellStyle name="Normal 54 15 4 2 2" xfId="19779"/>
    <cellStyle name="Normal 54 15 4 3" xfId="17068"/>
    <cellStyle name="Normal 54 15 5" xfId="11903"/>
    <cellStyle name="Normal 54 15 5 2" xfId="19774"/>
    <cellStyle name="Normal 54 15 6" xfId="14765"/>
    <cellStyle name="Normal 54 15 6 2" xfId="21681"/>
    <cellStyle name="Normal 54 15 7" xfId="15613"/>
    <cellStyle name="Normal 54 15 7 2" xfId="22368"/>
    <cellStyle name="Normal 54 15 8" xfId="15813"/>
    <cellStyle name="Normal 54 15 8 2" xfId="22559"/>
    <cellStyle name="Normal 54 15 9" xfId="16044"/>
    <cellStyle name="Normal 54 15 9 2" xfId="22772"/>
    <cellStyle name="Normal 54 16" xfId="6330"/>
    <cellStyle name="Normal 54 16 2" xfId="11909"/>
    <cellStyle name="Normal 54 16 2 2" xfId="19780"/>
    <cellStyle name="Normal 54 16 3" xfId="14576"/>
    <cellStyle name="Normal 54 16 3 2" xfId="21590"/>
    <cellStyle name="Normal 54 16 4" xfId="16888"/>
    <cellStyle name="Normal 54 17" xfId="8276"/>
    <cellStyle name="Normal 54 17 2" xfId="11910"/>
    <cellStyle name="Normal 54 17 2 2" xfId="19781"/>
    <cellStyle name="Normal 54 18" xfId="11897"/>
    <cellStyle name="Normal 54 18 2" xfId="19768"/>
    <cellStyle name="Normal 54 19" xfId="13735"/>
    <cellStyle name="Normal 54 19 2" xfId="21411"/>
    <cellStyle name="Normal 54 2" xfId="2869"/>
    <cellStyle name="Normal 54 2 2" xfId="4803"/>
    <cellStyle name="Normal 54 2 2 2" xfId="8285"/>
    <cellStyle name="Normal 54 2 2 2 2" xfId="11911"/>
    <cellStyle name="Normal 54 2 2 2 2 2" xfId="19782"/>
    <cellStyle name="Normal 54 2 3" xfId="5530"/>
    <cellStyle name="Normal 54 2 3 2" xfId="8286"/>
    <cellStyle name="Normal 54 2 3 2 2" xfId="11912"/>
    <cellStyle name="Normal 54 2 3 2 2 2" xfId="19783"/>
    <cellStyle name="Normal 54 2 4" xfId="6646"/>
    <cellStyle name="Normal 54 2 5" xfId="8284"/>
    <cellStyle name="Normal 54 2 5 2" xfId="11913"/>
    <cellStyle name="Normal 54 2 5 2 2" xfId="19784"/>
    <cellStyle name="Normal 54 3" xfId="5146"/>
    <cellStyle name="Normal 54 3 2" xfId="5531"/>
    <cellStyle name="Normal 54 3 2 2" xfId="8288"/>
    <cellStyle name="Normal 54 3 2 2 2" xfId="11915"/>
    <cellStyle name="Normal 54 3 2 2 2 2" xfId="19786"/>
    <cellStyle name="Normal 54 3 3" xfId="6928"/>
    <cellStyle name="Normal 54 3 3 2" xfId="11916"/>
    <cellStyle name="Normal 54 3 3 2 2" xfId="19787"/>
    <cellStyle name="Normal 54 3 3 3" xfId="14884"/>
    <cellStyle name="Normal 54 3 3 3 2" xfId="21788"/>
    <cellStyle name="Normal 54 3 3 4" xfId="17175"/>
    <cellStyle name="Normal 54 3 4" xfId="8287"/>
    <cellStyle name="Normal 54 3 4 2" xfId="11917"/>
    <cellStyle name="Normal 54 3 4 2 2" xfId="19788"/>
    <cellStyle name="Normal 54 3 5" xfId="11914"/>
    <cellStyle name="Normal 54 3 5 2" xfId="19785"/>
    <cellStyle name="Normal 54 3 6" xfId="16394"/>
    <cellStyle name="Normal 54 4" xfId="4804"/>
    <cellStyle name="Normal 54 4 2" xfId="8289"/>
    <cellStyle name="Normal 54 4 2 2" xfId="11918"/>
    <cellStyle name="Normal 54 4 2 2 2" xfId="19789"/>
    <cellStyle name="Normal 54 5" xfId="4805"/>
    <cellStyle name="Normal 54 5 2" xfId="8290"/>
    <cellStyle name="Normal 54 5 2 2" xfId="11919"/>
    <cellStyle name="Normal 54 5 2 2 2" xfId="19790"/>
    <cellStyle name="Normal 54 6" xfId="4806"/>
    <cellStyle name="Normal 54 6 2" xfId="8291"/>
    <cellStyle name="Normal 54 6 2 2" xfId="11920"/>
    <cellStyle name="Normal 54 6 2 2 2" xfId="19791"/>
    <cellStyle name="Normal 54 7" xfId="4807"/>
    <cellStyle name="Normal 54 7 2" xfId="8292"/>
    <cellStyle name="Normal 54 7 2 2" xfId="11921"/>
    <cellStyle name="Normal 54 7 2 2 2" xfId="19792"/>
    <cellStyle name="Normal 54 8" xfId="4808"/>
    <cellStyle name="Normal 54 8 2" xfId="8293"/>
    <cellStyle name="Normal 54 8 2 2" xfId="11922"/>
    <cellStyle name="Normal 54 8 2 2 2" xfId="19793"/>
    <cellStyle name="Normal 54 9" xfId="4809"/>
    <cellStyle name="Normal 54 9 2" xfId="8294"/>
    <cellStyle name="Normal 54 9 2 2" xfId="11923"/>
    <cellStyle name="Normal 54 9 2 2 2" xfId="19794"/>
    <cellStyle name="Normal 55" xfId="2870"/>
    <cellStyle name="Normal 55 10" xfId="4810"/>
    <cellStyle name="Normal 55 10 2" xfId="8296"/>
    <cellStyle name="Normal 55 10 2 2" xfId="11924"/>
    <cellStyle name="Normal 55 10 2 2 2" xfId="19795"/>
    <cellStyle name="Normal 55 11" xfId="4811"/>
    <cellStyle name="Normal 55 11 2" xfId="8297"/>
    <cellStyle name="Normal 55 11 2 2" xfId="11925"/>
    <cellStyle name="Normal 55 11 2 2 2" xfId="19796"/>
    <cellStyle name="Normal 55 12" xfId="4812"/>
    <cellStyle name="Normal 55 12 2" xfId="8298"/>
    <cellStyle name="Normal 55 12 2 2" xfId="11926"/>
    <cellStyle name="Normal 55 12 2 2 2" xfId="19797"/>
    <cellStyle name="Normal 55 13" xfId="4813"/>
    <cellStyle name="Normal 55 13 2" xfId="8299"/>
    <cellStyle name="Normal 55 13 2 2" xfId="11927"/>
    <cellStyle name="Normal 55 13 2 2 2" xfId="19798"/>
    <cellStyle name="Normal 55 14" xfId="4814"/>
    <cellStyle name="Normal 55 14 2" xfId="8300"/>
    <cellStyle name="Normal 55 14 2 2" xfId="11928"/>
    <cellStyle name="Normal 55 14 2 2 2" xfId="19799"/>
    <cellStyle name="Normal 55 15" xfId="4815"/>
    <cellStyle name="Normal 55 15 2" xfId="8301"/>
    <cellStyle name="Normal 55 15 2 2" xfId="11929"/>
    <cellStyle name="Normal 55 15 2 2 2" xfId="19800"/>
    <cellStyle name="Normal 55 16" xfId="6647"/>
    <cellStyle name="Normal 55 17" xfId="8295"/>
    <cellStyle name="Normal 55 17 2" xfId="11930"/>
    <cellStyle name="Normal 55 17 2 2" xfId="19801"/>
    <cellStyle name="Normal 55 2" xfId="4816"/>
    <cellStyle name="Normal 55 2 2" xfId="8302"/>
    <cellStyle name="Normal 55 2 2 2" xfId="11931"/>
    <cellStyle name="Normal 55 2 2 2 2" xfId="19802"/>
    <cellStyle name="Normal 55 3" xfId="4817"/>
    <cellStyle name="Normal 55 3 2" xfId="8303"/>
    <cellStyle name="Normal 55 3 2 2" xfId="11932"/>
    <cellStyle name="Normal 55 3 2 2 2" xfId="19803"/>
    <cellStyle name="Normal 55 4" xfId="4818"/>
    <cellStyle name="Normal 55 4 2" xfId="8304"/>
    <cellStyle name="Normal 55 4 2 2" xfId="11933"/>
    <cellStyle name="Normal 55 4 2 2 2" xfId="19804"/>
    <cellStyle name="Normal 55 5" xfId="4819"/>
    <cellStyle name="Normal 55 5 2" xfId="8305"/>
    <cellStyle name="Normal 55 5 2 2" xfId="11934"/>
    <cellStyle name="Normal 55 5 2 2 2" xfId="19805"/>
    <cellStyle name="Normal 55 6" xfId="4820"/>
    <cellStyle name="Normal 55 6 2" xfId="8306"/>
    <cellStyle name="Normal 55 6 2 2" xfId="11935"/>
    <cellStyle name="Normal 55 6 2 2 2" xfId="19806"/>
    <cellStyle name="Normal 55 7" xfId="4821"/>
    <cellStyle name="Normal 55 7 2" xfId="8307"/>
    <cellStyle name="Normal 55 7 2 2" xfId="11936"/>
    <cellStyle name="Normal 55 7 2 2 2" xfId="19807"/>
    <cellStyle name="Normal 55 8" xfId="4822"/>
    <cellStyle name="Normal 55 8 2" xfId="8308"/>
    <cellStyle name="Normal 55 8 2 2" xfId="11937"/>
    <cellStyle name="Normal 55 8 2 2 2" xfId="19808"/>
    <cellStyle name="Normal 55 9" xfId="4823"/>
    <cellStyle name="Normal 55 9 2" xfId="8309"/>
    <cellStyle name="Normal 55 9 2 2" xfId="11938"/>
    <cellStyle name="Normal 55 9 2 2 2" xfId="19809"/>
    <cellStyle name="Normal 56" xfId="2871"/>
    <cellStyle name="Normal 56 10" xfId="4824"/>
    <cellStyle name="Normal 56 10 2" xfId="8311"/>
    <cellStyle name="Normal 56 10 2 2" xfId="11939"/>
    <cellStyle name="Normal 56 10 2 2 2" xfId="19810"/>
    <cellStyle name="Normal 56 11" xfId="4825"/>
    <cellStyle name="Normal 56 11 2" xfId="8312"/>
    <cellStyle name="Normal 56 11 2 2" xfId="11940"/>
    <cellStyle name="Normal 56 11 2 2 2" xfId="19811"/>
    <cellStyle name="Normal 56 12" xfId="4826"/>
    <cellStyle name="Normal 56 12 2" xfId="8313"/>
    <cellStyle name="Normal 56 12 2 2" xfId="11941"/>
    <cellStyle name="Normal 56 12 2 2 2" xfId="19812"/>
    <cellStyle name="Normal 56 13" xfId="4827"/>
    <cellStyle name="Normal 56 13 2" xfId="8314"/>
    <cellStyle name="Normal 56 13 2 2" xfId="11942"/>
    <cellStyle name="Normal 56 13 2 2 2" xfId="19813"/>
    <cellStyle name="Normal 56 14" xfId="4828"/>
    <cellStyle name="Normal 56 14 2" xfId="8315"/>
    <cellStyle name="Normal 56 14 2 2" xfId="11943"/>
    <cellStyle name="Normal 56 14 2 2 2" xfId="19814"/>
    <cellStyle name="Normal 56 15" xfId="4829"/>
    <cellStyle name="Normal 56 15 2" xfId="8316"/>
    <cellStyle name="Normal 56 15 2 2" xfId="11944"/>
    <cellStyle name="Normal 56 15 2 2 2" xfId="19815"/>
    <cellStyle name="Normal 56 16" xfId="6648"/>
    <cellStyle name="Normal 56 17" xfId="8310"/>
    <cellStyle name="Normal 56 17 2" xfId="11945"/>
    <cellStyle name="Normal 56 17 2 2" xfId="19816"/>
    <cellStyle name="Normal 56 2" xfId="4830"/>
    <cellStyle name="Normal 56 2 2" xfId="8317"/>
    <cellStyle name="Normal 56 2 2 2" xfId="11946"/>
    <cellStyle name="Normal 56 2 2 2 2" xfId="19817"/>
    <cellStyle name="Normal 56 3" xfId="4831"/>
    <cellStyle name="Normal 56 3 2" xfId="8318"/>
    <cellStyle name="Normal 56 3 2 2" xfId="11947"/>
    <cellStyle name="Normal 56 3 2 2 2" xfId="19818"/>
    <cellStyle name="Normal 56 4" xfId="4832"/>
    <cellStyle name="Normal 56 4 2" xfId="8319"/>
    <cellStyle name="Normal 56 4 2 2" xfId="11948"/>
    <cellStyle name="Normal 56 4 2 2 2" xfId="19819"/>
    <cellStyle name="Normal 56 5" xfId="4833"/>
    <cellStyle name="Normal 56 5 2" xfId="8320"/>
    <cellStyle name="Normal 56 5 2 2" xfId="11949"/>
    <cellStyle name="Normal 56 5 2 2 2" xfId="19820"/>
    <cellStyle name="Normal 56 6" xfId="4834"/>
    <cellStyle name="Normal 56 6 2" xfId="8321"/>
    <cellStyle name="Normal 56 6 2 2" xfId="11950"/>
    <cellStyle name="Normal 56 6 2 2 2" xfId="19821"/>
    <cellStyle name="Normal 56 7" xfId="4835"/>
    <cellStyle name="Normal 56 7 2" xfId="8322"/>
    <cellStyle name="Normal 56 7 2 2" xfId="11951"/>
    <cellStyle name="Normal 56 7 2 2 2" xfId="19822"/>
    <cellStyle name="Normal 56 8" xfId="4836"/>
    <cellStyle name="Normal 56 8 2" xfId="8323"/>
    <cellStyle name="Normal 56 8 2 2" xfId="11952"/>
    <cellStyle name="Normal 56 8 2 2 2" xfId="19823"/>
    <cellStyle name="Normal 56 9" xfId="4837"/>
    <cellStyle name="Normal 56 9 2" xfId="8324"/>
    <cellStyle name="Normal 56 9 2 2" xfId="11953"/>
    <cellStyle name="Normal 56 9 2 2 2" xfId="19824"/>
    <cellStyle name="Normal 57" xfId="2872"/>
    <cellStyle name="Normal 57 10" xfId="4838"/>
    <cellStyle name="Normal 57 10 2" xfId="8326"/>
    <cellStyle name="Normal 57 10 2 2" xfId="11954"/>
    <cellStyle name="Normal 57 10 2 2 2" xfId="19825"/>
    <cellStyle name="Normal 57 11" xfId="4839"/>
    <cellStyle name="Normal 57 11 2" xfId="8327"/>
    <cellStyle name="Normal 57 11 2 2" xfId="11955"/>
    <cellStyle name="Normal 57 11 2 2 2" xfId="19826"/>
    <cellStyle name="Normal 57 12" xfId="4840"/>
    <cellStyle name="Normal 57 12 2" xfId="8328"/>
    <cellStyle name="Normal 57 12 2 2" xfId="11956"/>
    <cellStyle name="Normal 57 12 2 2 2" xfId="19827"/>
    <cellStyle name="Normal 57 13" xfId="4841"/>
    <cellStyle name="Normal 57 13 2" xfId="8329"/>
    <cellStyle name="Normal 57 13 2 2" xfId="11957"/>
    <cellStyle name="Normal 57 13 2 2 2" xfId="19828"/>
    <cellStyle name="Normal 57 14" xfId="4842"/>
    <cellStyle name="Normal 57 14 2" xfId="8330"/>
    <cellStyle name="Normal 57 14 2 2" xfId="11958"/>
    <cellStyle name="Normal 57 14 2 2 2" xfId="19829"/>
    <cellStyle name="Normal 57 15" xfId="4843"/>
    <cellStyle name="Normal 57 15 2" xfId="8331"/>
    <cellStyle name="Normal 57 15 2 2" xfId="11959"/>
    <cellStyle name="Normal 57 15 2 2 2" xfId="19830"/>
    <cellStyle name="Normal 57 16" xfId="6649"/>
    <cellStyle name="Normal 57 17" xfId="8325"/>
    <cellStyle name="Normal 57 17 2" xfId="11960"/>
    <cellStyle name="Normal 57 17 2 2" xfId="19831"/>
    <cellStyle name="Normal 57 2" xfId="4844"/>
    <cellStyle name="Normal 57 2 2" xfId="8332"/>
    <cellStyle name="Normal 57 2 2 2" xfId="11961"/>
    <cellStyle name="Normal 57 2 2 2 2" xfId="19832"/>
    <cellStyle name="Normal 57 3" xfId="4845"/>
    <cellStyle name="Normal 57 3 2" xfId="8333"/>
    <cellStyle name="Normal 57 3 2 2" xfId="11962"/>
    <cellStyle name="Normal 57 3 2 2 2" xfId="19833"/>
    <cellStyle name="Normal 57 4" xfId="4846"/>
    <cellStyle name="Normal 57 4 2" xfId="8334"/>
    <cellStyle name="Normal 57 4 2 2" xfId="11963"/>
    <cellStyle name="Normal 57 4 2 2 2" xfId="19834"/>
    <cellStyle name="Normal 57 5" xfId="4847"/>
    <cellStyle name="Normal 57 5 2" xfId="8335"/>
    <cellStyle name="Normal 57 5 2 2" xfId="11964"/>
    <cellStyle name="Normal 57 5 2 2 2" xfId="19835"/>
    <cellStyle name="Normal 57 6" xfId="4848"/>
    <cellStyle name="Normal 57 6 2" xfId="8336"/>
    <cellStyle name="Normal 57 6 2 2" xfId="11965"/>
    <cellStyle name="Normal 57 6 2 2 2" xfId="19836"/>
    <cellStyle name="Normal 57 7" xfId="4849"/>
    <cellStyle name="Normal 57 7 2" xfId="8337"/>
    <cellStyle name="Normal 57 7 2 2" xfId="11966"/>
    <cellStyle name="Normal 57 7 2 2 2" xfId="19837"/>
    <cellStyle name="Normal 57 8" xfId="4850"/>
    <cellStyle name="Normal 57 8 2" xfId="8338"/>
    <cellStyle name="Normal 57 8 2 2" xfId="11967"/>
    <cellStyle name="Normal 57 8 2 2 2" xfId="19838"/>
    <cellStyle name="Normal 57 9" xfId="4851"/>
    <cellStyle name="Normal 57 9 2" xfId="8339"/>
    <cellStyle name="Normal 57 9 2 2" xfId="11968"/>
    <cellStyle name="Normal 57 9 2 2 2" xfId="19839"/>
    <cellStyle name="Normal 58" xfId="2873"/>
    <cellStyle name="Normal 58 10" xfId="4852"/>
    <cellStyle name="Normal 58 10 2" xfId="8341"/>
    <cellStyle name="Normal 58 10 2 2" xfId="11969"/>
    <cellStyle name="Normal 58 10 2 2 2" xfId="19840"/>
    <cellStyle name="Normal 58 11" xfId="4853"/>
    <cellStyle name="Normal 58 11 2" xfId="8342"/>
    <cellStyle name="Normal 58 11 2 2" xfId="11970"/>
    <cellStyle name="Normal 58 11 2 2 2" xfId="19841"/>
    <cellStyle name="Normal 58 12" xfId="4854"/>
    <cellStyle name="Normal 58 12 2" xfId="8343"/>
    <cellStyle name="Normal 58 12 2 2" xfId="11971"/>
    <cellStyle name="Normal 58 12 2 2 2" xfId="19842"/>
    <cellStyle name="Normal 58 13" xfId="4855"/>
    <cellStyle name="Normal 58 13 2" xfId="8344"/>
    <cellStyle name="Normal 58 13 2 2" xfId="11972"/>
    <cellStyle name="Normal 58 13 2 2 2" xfId="19843"/>
    <cellStyle name="Normal 58 14" xfId="4856"/>
    <cellStyle name="Normal 58 14 2" xfId="8345"/>
    <cellStyle name="Normal 58 14 2 2" xfId="11973"/>
    <cellStyle name="Normal 58 14 2 2 2" xfId="19844"/>
    <cellStyle name="Normal 58 15" xfId="4857"/>
    <cellStyle name="Normal 58 15 2" xfId="8346"/>
    <cellStyle name="Normal 58 15 2 2" xfId="11974"/>
    <cellStyle name="Normal 58 15 2 2 2" xfId="19845"/>
    <cellStyle name="Normal 58 16" xfId="6650"/>
    <cellStyle name="Normal 58 17" xfId="8340"/>
    <cellStyle name="Normal 58 17 2" xfId="11975"/>
    <cellStyle name="Normal 58 17 2 2" xfId="19846"/>
    <cellStyle name="Normal 58 2" xfId="4858"/>
    <cellStyle name="Normal 58 2 2" xfId="8347"/>
    <cellStyle name="Normal 58 2 2 2" xfId="11976"/>
    <cellStyle name="Normal 58 2 2 2 2" xfId="19847"/>
    <cellStyle name="Normal 58 3" xfId="4859"/>
    <cellStyle name="Normal 58 3 2" xfId="8348"/>
    <cellStyle name="Normal 58 3 2 2" xfId="11977"/>
    <cellStyle name="Normal 58 3 2 2 2" xfId="19848"/>
    <cellStyle name="Normal 58 4" xfId="4860"/>
    <cellStyle name="Normal 58 4 2" xfId="8349"/>
    <cellStyle name="Normal 58 4 2 2" xfId="11978"/>
    <cellStyle name="Normal 58 4 2 2 2" xfId="19849"/>
    <cellStyle name="Normal 58 5" xfId="4861"/>
    <cellStyle name="Normal 58 5 2" xfId="8350"/>
    <cellStyle name="Normal 58 5 2 2" xfId="11979"/>
    <cellStyle name="Normal 58 5 2 2 2" xfId="19850"/>
    <cellStyle name="Normal 58 6" xfId="4862"/>
    <cellStyle name="Normal 58 6 2" xfId="8351"/>
    <cellStyle name="Normal 58 6 2 2" xfId="11980"/>
    <cellStyle name="Normal 58 6 2 2 2" xfId="19851"/>
    <cellStyle name="Normal 58 7" xfId="4863"/>
    <cellStyle name="Normal 58 7 2" xfId="8352"/>
    <cellStyle name="Normal 58 7 2 2" xfId="11981"/>
    <cellStyle name="Normal 58 7 2 2 2" xfId="19852"/>
    <cellStyle name="Normal 58 8" xfId="4864"/>
    <cellStyle name="Normal 58 8 2" xfId="8353"/>
    <cellStyle name="Normal 58 8 2 2" xfId="11982"/>
    <cellStyle name="Normal 58 8 2 2 2" xfId="19853"/>
    <cellStyle name="Normal 58 9" xfId="4865"/>
    <cellStyle name="Normal 58 9 2" xfId="8354"/>
    <cellStyle name="Normal 58 9 2 2" xfId="11983"/>
    <cellStyle name="Normal 58 9 2 2 2" xfId="19854"/>
    <cellStyle name="Normal 59" xfId="2874"/>
    <cellStyle name="Normal 59 10" xfId="4866"/>
    <cellStyle name="Normal 59 10 2" xfId="8356"/>
    <cellStyle name="Normal 59 10 2 2" xfId="11984"/>
    <cellStyle name="Normal 59 10 2 2 2" xfId="19855"/>
    <cellStyle name="Normal 59 11" xfId="4867"/>
    <cellStyle name="Normal 59 11 2" xfId="8357"/>
    <cellStyle name="Normal 59 11 2 2" xfId="11985"/>
    <cellStyle name="Normal 59 11 2 2 2" xfId="19856"/>
    <cellStyle name="Normal 59 12" xfId="4868"/>
    <cellStyle name="Normal 59 12 2" xfId="8358"/>
    <cellStyle name="Normal 59 12 2 2" xfId="11986"/>
    <cellStyle name="Normal 59 12 2 2 2" xfId="19857"/>
    <cellStyle name="Normal 59 13" xfId="4869"/>
    <cellStyle name="Normal 59 13 2" xfId="8359"/>
    <cellStyle name="Normal 59 13 2 2" xfId="11987"/>
    <cellStyle name="Normal 59 13 2 2 2" xfId="19858"/>
    <cellStyle name="Normal 59 14" xfId="4870"/>
    <cellStyle name="Normal 59 14 2" xfId="8360"/>
    <cellStyle name="Normal 59 14 2 2" xfId="11988"/>
    <cellStyle name="Normal 59 14 2 2 2" xfId="19859"/>
    <cellStyle name="Normal 59 15" xfId="4871"/>
    <cellStyle name="Normal 59 15 2" xfId="8361"/>
    <cellStyle name="Normal 59 15 2 2" xfId="11989"/>
    <cellStyle name="Normal 59 15 2 2 2" xfId="19860"/>
    <cellStyle name="Normal 59 16" xfId="6651"/>
    <cellStyle name="Normal 59 17" xfId="8355"/>
    <cellStyle name="Normal 59 17 2" xfId="11990"/>
    <cellStyle name="Normal 59 17 2 2" xfId="19861"/>
    <cellStyle name="Normal 59 2" xfId="4872"/>
    <cellStyle name="Normal 59 2 2" xfId="8362"/>
    <cellStyle name="Normal 59 2 2 2" xfId="11991"/>
    <cellStyle name="Normal 59 2 2 2 2" xfId="19862"/>
    <cellStyle name="Normal 59 3" xfId="4873"/>
    <cellStyle name="Normal 59 3 2" xfId="8363"/>
    <cellStyle name="Normal 59 3 2 2" xfId="11992"/>
    <cellStyle name="Normal 59 3 2 2 2" xfId="19863"/>
    <cellStyle name="Normal 59 4" xfId="4874"/>
    <cellStyle name="Normal 59 4 2" xfId="8364"/>
    <cellStyle name="Normal 59 4 2 2" xfId="11993"/>
    <cellStyle name="Normal 59 4 2 2 2" xfId="19864"/>
    <cellStyle name="Normal 59 5" xfId="4875"/>
    <cellStyle name="Normal 59 5 2" xfId="8365"/>
    <cellStyle name="Normal 59 5 2 2" xfId="11994"/>
    <cellStyle name="Normal 59 5 2 2 2" xfId="19865"/>
    <cellStyle name="Normal 59 6" xfId="4876"/>
    <cellStyle name="Normal 59 6 2" xfId="8366"/>
    <cellStyle name="Normal 59 6 2 2" xfId="11995"/>
    <cellStyle name="Normal 59 6 2 2 2" xfId="19866"/>
    <cellStyle name="Normal 59 7" xfId="4877"/>
    <cellStyle name="Normal 59 7 2" xfId="8367"/>
    <cellStyle name="Normal 59 7 2 2" xfId="11996"/>
    <cellStyle name="Normal 59 7 2 2 2" xfId="19867"/>
    <cellStyle name="Normal 59 8" xfId="4878"/>
    <cellStyle name="Normal 59 8 2" xfId="8368"/>
    <cellStyle name="Normal 59 8 2 2" xfId="11997"/>
    <cellStyle name="Normal 59 8 2 2 2" xfId="19868"/>
    <cellStyle name="Normal 59 9" xfId="4879"/>
    <cellStyle name="Normal 59 9 2" xfId="8369"/>
    <cellStyle name="Normal 59 9 2 2" xfId="11998"/>
    <cellStyle name="Normal 59 9 2 2 2" xfId="19869"/>
    <cellStyle name="Normal 6" xfId="2875"/>
    <cellStyle name="Normal 6 10" xfId="4880"/>
    <cellStyle name="Normal 6 10 2" xfId="8371"/>
    <cellStyle name="Normal 6 10 2 2" xfId="11999"/>
    <cellStyle name="Normal 6 10 2 2 2" xfId="19870"/>
    <cellStyle name="Normal 6 11" xfId="4881"/>
    <cellStyle name="Normal 6 11 2" xfId="8372"/>
    <cellStyle name="Normal 6 11 2 2" xfId="12000"/>
    <cellStyle name="Normal 6 11 2 2 2" xfId="19871"/>
    <cellStyle name="Normal 6 12" xfId="4882"/>
    <cellStyle name="Normal 6 12 2" xfId="8373"/>
    <cellStyle name="Normal 6 12 2 2" xfId="12001"/>
    <cellStyle name="Normal 6 12 2 2 2" xfId="19872"/>
    <cellStyle name="Normal 6 13" xfId="4883"/>
    <cellStyle name="Normal 6 13 2" xfId="8374"/>
    <cellStyle name="Normal 6 13 2 2" xfId="12002"/>
    <cellStyle name="Normal 6 13 2 2 2" xfId="19873"/>
    <cellStyle name="Normal 6 14" xfId="5361"/>
    <cellStyle name="Normal 6 14 2" xfId="8375"/>
    <cellStyle name="Normal 6 14 2 2" xfId="12003"/>
    <cellStyle name="Normal 6 14 2 2 2" xfId="19874"/>
    <cellStyle name="Normal 6 15" xfId="4884"/>
    <cellStyle name="Normal 6 15 2" xfId="8376"/>
    <cellStyle name="Normal 6 15 2 2" xfId="12004"/>
    <cellStyle name="Normal 6 15 2 2 2" xfId="19875"/>
    <cellStyle name="Normal 6 16" xfId="4885"/>
    <cellStyle name="Normal 6 16 2" xfId="8377"/>
    <cellStyle name="Normal 6 16 2 2" xfId="12005"/>
    <cellStyle name="Normal 6 16 2 2 2" xfId="19876"/>
    <cellStyle name="Normal 6 17" xfId="4886"/>
    <cellStyle name="Normal 6 17 2" xfId="8378"/>
    <cellStyle name="Normal 6 17 2 2" xfId="12006"/>
    <cellStyle name="Normal 6 17 2 2 2" xfId="19877"/>
    <cellStyle name="Normal 6 18" xfId="4887"/>
    <cellStyle name="Normal 6 18 10" xfId="16129"/>
    <cellStyle name="Normal 6 18 2" xfId="5825"/>
    <cellStyle name="Normal 6 18 2 2" xfId="8380"/>
    <cellStyle name="Normal 6 18 2 2 2" xfId="12009"/>
    <cellStyle name="Normal 6 18 2 2 2 2" xfId="19880"/>
    <cellStyle name="Normal 6 18 2 3" xfId="7068"/>
    <cellStyle name="Normal 6 18 2 3 2" xfId="12010"/>
    <cellStyle name="Normal 6 18 2 3 2 2" xfId="19881"/>
    <cellStyle name="Normal 6 18 2 3 3" xfId="17315"/>
    <cellStyle name="Normal 6 18 2 4" xfId="12008"/>
    <cellStyle name="Normal 6 18 2 4 2" xfId="19879"/>
    <cellStyle name="Normal 6 18 2 5" xfId="15129"/>
    <cellStyle name="Normal 6 18 2 5 2" xfId="21928"/>
    <cellStyle name="Normal 6 18 2 6" xfId="16519"/>
    <cellStyle name="Normal 6 18 3" xfId="8379"/>
    <cellStyle name="Normal 6 18 3 2" xfId="12011"/>
    <cellStyle name="Normal 6 18 3 2 2" xfId="19882"/>
    <cellStyle name="Normal 6 18 4" xfId="6822"/>
    <cellStyle name="Normal 6 18 4 2" xfId="12012"/>
    <cellStyle name="Normal 6 18 4 2 2" xfId="19883"/>
    <cellStyle name="Normal 6 18 4 3" xfId="17069"/>
    <cellStyle name="Normal 6 18 5" xfId="12007"/>
    <cellStyle name="Normal 6 18 5 2" xfId="19878"/>
    <cellStyle name="Normal 6 18 6" xfId="14766"/>
    <cellStyle name="Normal 6 18 6 2" xfId="21682"/>
    <cellStyle name="Normal 6 18 7" xfId="15480"/>
    <cellStyle name="Normal 6 18 7 2" xfId="22235"/>
    <cellStyle name="Normal 6 18 8" xfId="15680"/>
    <cellStyle name="Normal 6 18 8 2" xfId="22426"/>
    <cellStyle name="Normal 6 18 9" xfId="15876"/>
    <cellStyle name="Normal 6 18 9 2" xfId="22619"/>
    <cellStyle name="Normal 6 19" xfId="8370"/>
    <cellStyle name="Normal 6 19 2" xfId="12013"/>
    <cellStyle name="Normal 6 19 2 2" xfId="19884"/>
    <cellStyle name="Normal 6 2" xfId="2876"/>
    <cellStyle name="Normal 6 2 10" xfId="15481"/>
    <cellStyle name="Normal 6 2 10 2" xfId="22236"/>
    <cellStyle name="Normal 6 2 11" xfId="15681"/>
    <cellStyle name="Normal 6 2 11 2" xfId="22427"/>
    <cellStyle name="Normal 6 2 12" xfId="15877"/>
    <cellStyle name="Normal 6 2 12 2" xfId="22620"/>
    <cellStyle name="Normal 6 2 13" xfId="16130"/>
    <cellStyle name="Normal 6 2 2" xfId="2877"/>
    <cellStyle name="Normal 6 2 2 2" xfId="5148"/>
    <cellStyle name="Normal 6 2 2 2 10" xfId="16263"/>
    <cellStyle name="Normal 6 2 2 2 2" xfId="6077"/>
    <cellStyle name="Normal 6 2 2 2 2 2" xfId="8384"/>
    <cellStyle name="Normal 6 2 2 2 2 2 2" xfId="12018"/>
    <cellStyle name="Normal 6 2 2 2 2 2 2 2" xfId="19889"/>
    <cellStyle name="Normal 6 2 2 2 2 3" xfId="7281"/>
    <cellStyle name="Normal 6 2 2 2 2 3 2" xfId="12019"/>
    <cellStyle name="Normal 6 2 2 2 2 3 2 2" xfId="19890"/>
    <cellStyle name="Normal 6 2 2 2 2 3 3" xfId="17528"/>
    <cellStyle name="Normal 6 2 2 2 2 4" xfId="12017"/>
    <cellStyle name="Normal 6 2 2 2 2 4 2" xfId="19888"/>
    <cellStyle name="Normal 6 2 2 2 2 5" xfId="15342"/>
    <cellStyle name="Normal 6 2 2 2 2 5 2" xfId="22141"/>
    <cellStyle name="Normal 6 2 2 2 2 6" xfId="16732"/>
    <cellStyle name="Normal 6 2 2 2 3" xfId="8383"/>
    <cellStyle name="Normal 6 2 2 2 3 2" xfId="12020"/>
    <cellStyle name="Normal 6 2 2 2 3 2 2" xfId="19891"/>
    <cellStyle name="Normal 6 2 2 2 4" xfId="6930"/>
    <cellStyle name="Normal 6 2 2 2 4 2" xfId="12021"/>
    <cellStyle name="Normal 6 2 2 2 4 2 2" xfId="19892"/>
    <cellStyle name="Normal 6 2 2 2 4 3" xfId="17177"/>
    <cellStyle name="Normal 6 2 2 2 5" xfId="12016"/>
    <cellStyle name="Normal 6 2 2 2 5 2" xfId="19887"/>
    <cellStyle name="Normal 6 2 2 2 6" xfId="14886"/>
    <cellStyle name="Normal 6 2 2 2 6 2" xfId="21790"/>
    <cellStyle name="Normal 6 2 2 2 7" xfId="15614"/>
    <cellStyle name="Normal 6 2 2 2 7 2" xfId="22369"/>
    <cellStyle name="Normal 6 2 2 2 8" xfId="15814"/>
    <cellStyle name="Normal 6 2 2 2 8 2" xfId="22560"/>
    <cellStyle name="Normal 6 2 2 2 9" xfId="16045"/>
    <cellStyle name="Normal 6 2 2 2 9 2" xfId="22773"/>
    <cellStyle name="Normal 6 2 2 3" xfId="5532"/>
    <cellStyle name="Normal 6 2 2 3 2" xfId="8385"/>
    <cellStyle name="Normal 6 2 2 3 2 2" xfId="12022"/>
    <cellStyle name="Normal 6 2 2 3 2 2 2" xfId="19893"/>
    <cellStyle name="Normal 6 2 2 4" xfId="6332"/>
    <cellStyle name="Normal 6 2 2 4 2" xfId="12023"/>
    <cellStyle name="Normal 6 2 2 4 2 2" xfId="19894"/>
    <cellStyle name="Normal 6 2 2 4 3" xfId="14577"/>
    <cellStyle name="Normal 6 2 2 4 3 2" xfId="21591"/>
    <cellStyle name="Normal 6 2 2 4 4" xfId="16890"/>
    <cellStyle name="Normal 6 2 2 5" xfId="8382"/>
    <cellStyle name="Normal 6 2 2 5 2" xfId="12024"/>
    <cellStyle name="Normal 6 2 2 5 2 2" xfId="19895"/>
    <cellStyle name="Normal 6 2 2 6" xfId="9808"/>
    <cellStyle name="Normal 6 2 2 7" xfId="12015"/>
    <cellStyle name="Normal 6 2 2 7 2" xfId="19886"/>
    <cellStyle name="Normal 6 2 2 8" xfId="13737"/>
    <cellStyle name="Normal 6 2 2 8 2" xfId="21413"/>
    <cellStyle name="Normal 6 2 3" xfId="5147"/>
    <cellStyle name="Normal 6 2 3 2" xfId="8386"/>
    <cellStyle name="Normal 6 2 3 2 2" xfId="12026"/>
    <cellStyle name="Normal 6 2 3 2 2 2" xfId="19897"/>
    <cellStyle name="Normal 6 2 3 3" xfId="6929"/>
    <cellStyle name="Normal 6 2 3 3 2" xfId="12027"/>
    <cellStyle name="Normal 6 2 3 3 2 2" xfId="19898"/>
    <cellStyle name="Normal 6 2 3 3 3" xfId="17176"/>
    <cellStyle name="Normal 6 2 3 4" xfId="12025"/>
    <cellStyle name="Normal 6 2 3 4 2" xfId="19896"/>
    <cellStyle name="Normal 6 2 3 5" xfId="14885"/>
    <cellStyle name="Normal 6 2 3 5 2" xfId="21789"/>
    <cellStyle name="Normal 6 2 3 6" xfId="16395"/>
    <cellStyle name="Normal 6 2 4" xfId="5826"/>
    <cellStyle name="Normal 6 2 4 2" xfId="8387"/>
    <cellStyle name="Normal 6 2 4 2 2" xfId="12029"/>
    <cellStyle name="Normal 6 2 4 2 2 2" xfId="19900"/>
    <cellStyle name="Normal 6 2 4 3" xfId="7069"/>
    <cellStyle name="Normal 6 2 4 3 2" xfId="12030"/>
    <cellStyle name="Normal 6 2 4 3 2 2" xfId="19901"/>
    <cellStyle name="Normal 6 2 4 3 3" xfId="17316"/>
    <cellStyle name="Normal 6 2 4 4" xfId="12028"/>
    <cellStyle name="Normal 6 2 4 4 2" xfId="19899"/>
    <cellStyle name="Normal 6 2 4 5" xfId="15130"/>
    <cellStyle name="Normal 6 2 4 5 2" xfId="21929"/>
    <cellStyle name="Normal 6 2 4 6" xfId="16520"/>
    <cellStyle name="Normal 6 2 5" xfId="6331"/>
    <cellStyle name="Normal 6 2 5 2" xfId="8381"/>
    <cellStyle name="Normal 6 2 5 2 2" xfId="12032"/>
    <cellStyle name="Normal 6 2 5 2 2 2" xfId="19903"/>
    <cellStyle name="Normal 6 2 5 3" xfId="12031"/>
    <cellStyle name="Normal 6 2 5 3 2" xfId="19902"/>
    <cellStyle name="Normal 6 2 5 4" xfId="16889"/>
    <cellStyle name="Normal 6 2 6" xfId="9616"/>
    <cellStyle name="Normal 6 2 7" xfId="12014"/>
    <cellStyle name="Normal 6 2 7 2" xfId="19885"/>
    <cellStyle name="Normal 6 2 8" xfId="13736"/>
    <cellStyle name="Normal 6 2 8 2" xfId="21412"/>
    <cellStyle name="Normal 6 2 9" xfId="14038"/>
    <cellStyle name="Normal 6 2 9 2" xfId="21445"/>
    <cellStyle name="Normal 6 20" xfId="14037"/>
    <cellStyle name="Normal 6 20 2" xfId="21444"/>
    <cellStyle name="Normal 6 3" xfId="2878"/>
    <cellStyle name="Normal 6 3 10" xfId="15482"/>
    <cellStyle name="Normal 6 3 10 2" xfId="22237"/>
    <cellStyle name="Normal 6 3 11" xfId="15682"/>
    <cellStyle name="Normal 6 3 11 2" xfId="22428"/>
    <cellStyle name="Normal 6 3 12" xfId="15878"/>
    <cellStyle name="Normal 6 3 12 2" xfId="22621"/>
    <cellStyle name="Normal 6 3 13" xfId="16131"/>
    <cellStyle name="Normal 6 3 2" xfId="2879"/>
    <cellStyle name="Normal 6 3 2 2" xfId="5150"/>
    <cellStyle name="Normal 6 3 2 2 10" xfId="16264"/>
    <cellStyle name="Normal 6 3 2 2 2" xfId="6078"/>
    <cellStyle name="Normal 6 3 2 2 2 2" xfId="8391"/>
    <cellStyle name="Normal 6 3 2 2 2 2 2" xfId="12037"/>
    <cellStyle name="Normal 6 3 2 2 2 2 2 2" xfId="19908"/>
    <cellStyle name="Normal 6 3 2 2 2 3" xfId="7282"/>
    <cellStyle name="Normal 6 3 2 2 2 3 2" xfId="12038"/>
    <cellStyle name="Normal 6 3 2 2 2 3 2 2" xfId="19909"/>
    <cellStyle name="Normal 6 3 2 2 2 3 3" xfId="17529"/>
    <cellStyle name="Normal 6 3 2 2 2 4" xfId="12036"/>
    <cellStyle name="Normal 6 3 2 2 2 4 2" xfId="19907"/>
    <cellStyle name="Normal 6 3 2 2 2 5" xfId="15343"/>
    <cellStyle name="Normal 6 3 2 2 2 5 2" xfId="22142"/>
    <cellStyle name="Normal 6 3 2 2 2 6" xfId="16733"/>
    <cellStyle name="Normal 6 3 2 2 3" xfId="8390"/>
    <cellStyle name="Normal 6 3 2 2 3 2" xfId="12039"/>
    <cellStyle name="Normal 6 3 2 2 3 2 2" xfId="19910"/>
    <cellStyle name="Normal 6 3 2 2 4" xfId="6932"/>
    <cellStyle name="Normal 6 3 2 2 4 2" xfId="12040"/>
    <cellStyle name="Normal 6 3 2 2 4 2 2" xfId="19911"/>
    <cellStyle name="Normal 6 3 2 2 4 3" xfId="17179"/>
    <cellStyle name="Normal 6 3 2 2 5" xfId="12035"/>
    <cellStyle name="Normal 6 3 2 2 5 2" xfId="19906"/>
    <cellStyle name="Normal 6 3 2 2 6" xfId="14888"/>
    <cellStyle name="Normal 6 3 2 2 6 2" xfId="21792"/>
    <cellStyle name="Normal 6 3 2 2 7" xfId="15615"/>
    <cellStyle name="Normal 6 3 2 2 7 2" xfId="22370"/>
    <cellStyle name="Normal 6 3 2 2 8" xfId="15815"/>
    <cellStyle name="Normal 6 3 2 2 8 2" xfId="22561"/>
    <cellStyle name="Normal 6 3 2 2 9" xfId="16046"/>
    <cellStyle name="Normal 6 3 2 2 9 2" xfId="22774"/>
    <cellStyle name="Normal 6 3 2 3" xfId="5533"/>
    <cellStyle name="Normal 6 3 2 3 2" xfId="8392"/>
    <cellStyle name="Normal 6 3 2 3 2 2" xfId="12041"/>
    <cellStyle name="Normal 6 3 2 3 2 2 2" xfId="19912"/>
    <cellStyle name="Normal 6 3 2 4" xfId="6334"/>
    <cellStyle name="Normal 6 3 2 4 2" xfId="12042"/>
    <cellStyle name="Normal 6 3 2 4 2 2" xfId="19913"/>
    <cellStyle name="Normal 6 3 2 4 3" xfId="14578"/>
    <cellStyle name="Normal 6 3 2 4 3 2" xfId="21592"/>
    <cellStyle name="Normal 6 3 2 4 4" xfId="16892"/>
    <cellStyle name="Normal 6 3 2 5" xfId="8389"/>
    <cellStyle name="Normal 6 3 2 5 2" xfId="12043"/>
    <cellStyle name="Normal 6 3 2 5 2 2" xfId="19914"/>
    <cellStyle name="Normal 6 3 2 6" xfId="12034"/>
    <cellStyle name="Normal 6 3 2 6 2" xfId="19905"/>
    <cellStyle name="Normal 6 3 2 7" xfId="13739"/>
    <cellStyle name="Normal 6 3 2 7 2" xfId="21415"/>
    <cellStyle name="Normal 6 3 3" xfId="5149"/>
    <cellStyle name="Normal 6 3 3 2" xfId="8393"/>
    <cellStyle name="Normal 6 3 3 2 2" xfId="12045"/>
    <cellStyle name="Normal 6 3 3 2 2 2" xfId="19916"/>
    <cellStyle name="Normal 6 3 3 3" xfId="6931"/>
    <cellStyle name="Normal 6 3 3 3 2" xfId="12046"/>
    <cellStyle name="Normal 6 3 3 3 2 2" xfId="19917"/>
    <cellStyle name="Normal 6 3 3 3 3" xfId="17178"/>
    <cellStyle name="Normal 6 3 3 4" xfId="12044"/>
    <cellStyle name="Normal 6 3 3 4 2" xfId="19915"/>
    <cellStyle name="Normal 6 3 3 5" xfId="14887"/>
    <cellStyle name="Normal 6 3 3 5 2" xfId="21791"/>
    <cellStyle name="Normal 6 3 3 6" xfId="16396"/>
    <cellStyle name="Normal 6 3 4" xfId="5827"/>
    <cellStyle name="Normal 6 3 4 2" xfId="8394"/>
    <cellStyle name="Normal 6 3 4 2 2" xfId="12048"/>
    <cellStyle name="Normal 6 3 4 2 2 2" xfId="19919"/>
    <cellStyle name="Normal 6 3 4 3" xfId="7070"/>
    <cellStyle name="Normal 6 3 4 3 2" xfId="12049"/>
    <cellStyle name="Normal 6 3 4 3 2 2" xfId="19920"/>
    <cellStyle name="Normal 6 3 4 3 3" xfId="17317"/>
    <cellStyle name="Normal 6 3 4 4" xfId="12047"/>
    <cellStyle name="Normal 6 3 4 4 2" xfId="19918"/>
    <cellStyle name="Normal 6 3 4 5" xfId="15131"/>
    <cellStyle name="Normal 6 3 4 5 2" xfId="21930"/>
    <cellStyle name="Normal 6 3 4 6" xfId="16521"/>
    <cellStyle name="Normal 6 3 5" xfId="6333"/>
    <cellStyle name="Normal 6 3 5 2" xfId="8388"/>
    <cellStyle name="Normal 6 3 5 2 2" xfId="12051"/>
    <cellStyle name="Normal 6 3 5 2 2 2" xfId="19922"/>
    <cellStyle name="Normal 6 3 5 3" xfId="12050"/>
    <cellStyle name="Normal 6 3 5 3 2" xfId="19921"/>
    <cellStyle name="Normal 6 3 5 4" xfId="16891"/>
    <cellStyle name="Normal 6 3 6" xfId="9809"/>
    <cellStyle name="Normal 6 3 7" xfId="12033"/>
    <cellStyle name="Normal 6 3 7 2" xfId="19904"/>
    <cellStyle name="Normal 6 3 8" xfId="13738"/>
    <cellStyle name="Normal 6 3 8 2" xfId="21414"/>
    <cellStyle name="Normal 6 3 9" xfId="14039"/>
    <cellStyle name="Normal 6 3 9 2" xfId="21446"/>
    <cellStyle name="Normal 6 4" xfId="2880"/>
    <cellStyle name="Normal 6 4 2" xfId="4888"/>
    <cellStyle name="Normal 6 4 2 2" xfId="8396"/>
    <cellStyle name="Normal 6 4 2 2 2" xfId="12052"/>
    <cellStyle name="Normal 6 4 2 2 2 2" xfId="19923"/>
    <cellStyle name="Normal 6 4 3" xfId="5534"/>
    <cellStyle name="Normal 6 4 3 2" xfId="8397"/>
    <cellStyle name="Normal 6 4 3 2 2" xfId="12053"/>
    <cellStyle name="Normal 6 4 3 2 2 2" xfId="19924"/>
    <cellStyle name="Normal 6 4 4" xfId="6652"/>
    <cellStyle name="Normal 6 4 5" xfId="8395"/>
    <cellStyle name="Normal 6 4 5 2" xfId="12054"/>
    <cellStyle name="Normal 6 4 5 2 2" xfId="19925"/>
    <cellStyle name="Normal 6 4 6" xfId="9807"/>
    <cellStyle name="Normal 6 5" xfId="4889"/>
    <cellStyle name="Normal 6 5 2" xfId="8398"/>
    <cellStyle name="Normal 6 5 2 2" xfId="12055"/>
    <cellStyle name="Normal 6 5 2 2 2" xfId="19926"/>
    <cellStyle name="Normal 6 6" xfId="4890"/>
    <cellStyle name="Normal 6 6 2" xfId="8399"/>
    <cellStyle name="Normal 6 6 2 2" xfId="12056"/>
    <cellStyle name="Normal 6 6 2 2 2" xfId="19927"/>
    <cellStyle name="Normal 6 7" xfId="4891"/>
    <cellStyle name="Normal 6 7 2" xfId="8400"/>
    <cellStyle name="Normal 6 7 2 2" xfId="12057"/>
    <cellStyle name="Normal 6 7 2 2 2" xfId="19928"/>
    <cellStyle name="Normal 6 8" xfId="4892"/>
    <cellStyle name="Normal 6 8 2" xfId="8401"/>
    <cellStyle name="Normal 6 8 2 2" xfId="12058"/>
    <cellStyle name="Normal 6 8 2 2 2" xfId="19929"/>
    <cellStyle name="Normal 6 9" xfId="4893"/>
    <cellStyle name="Normal 6 9 2" xfId="8402"/>
    <cellStyle name="Normal 6 9 2 2" xfId="12059"/>
    <cellStyle name="Normal 6 9 2 2 2" xfId="19930"/>
    <cellStyle name="Normal 6_Schedule May 2011" xfId="2881"/>
    <cellStyle name="Normal 60" xfId="2882"/>
    <cellStyle name="Normal 60 2" xfId="4894"/>
    <cellStyle name="Normal 60 2 2" xfId="8404"/>
    <cellStyle name="Normal 60 2 2 2" xfId="12060"/>
    <cellStyle name="Normal 60 2 2 2 2" xfId="19931"/>
    <cellStyle name="Normal 60 3" xfId="4895"/>
    <cellStyle name="Normal 60 3 2" xfId="8405"/>
    <cellStyle name="Normal 60 3 2 2" xfId="12061"/>
    <cellStyle name="Normal 60 3 2 2 2" xfId="19932"/>
    <cellStyle name="Normal 60 4" xfId="5535"/>
    <cellStyle name="Normal 60 4 2" xfId="8406"/>
    <cellStyle name="Normal 60 4 2 2" xfId="12062"/>
    <cellStyle name="Normal 60 4 2 2 2" xfId="19933"/>
    <cellStyle name="Normal 60 5" xfId="6653"/>
    <cellStyle name="Normal 60 6" xfId="8403"/>
    <cellStyle name="Normal 60 6 2" xfId="12063"/>
    <cellStyle name="Normal 60 6 2 2" xfId="19934"/>
    <cellStyle name="Normal 61" xfId="2883"/>
    <cellStyle name="Normal 61 2" xfId="4896"/>
    <cellStyle name="Normal 61 2 2" xfId="8408"/>
    <cellStyle name="Normal 61 2 2 2" xfId="12064"/>
    <cellStyle name="Normal 61 2 2 2 2" xfId="19935"/>
    <cellStyle name="Normal 61 3" xfId="4897"/>
    <cellStyle name="Normal 61 3 2" xfId="8409"/>
    <cellStyle name="Normal 61 3 2 2" xfId="12065"/>
    <cellStyle name="Normal 61 3 2 2 2" xfId="19936"/>
    <cellStyle name="Normal 61 4" xfId="5536"/>
    <cellStyle name="Normal 61 4 2" xfId="8410"/>
    <cellStyle name="Normal 61 4 2 2" xfId="12066"/>
    <cellStyle name="Normal 61 4 2 2 2" xfId="19937"/>
    <cellStyle name="Normal 61 5" xfId="6654"/>
    <cellStyle name="Normal 61 6" xfId="8407"/>
    <cellStyle name="Normal 61 6 2" xfId="12067"/>
    <cellStyle name="Normal 61 6 2 2" xfId="19938"/>
    <cellStyle name="Normal 62" xfId="2884"/>
    <cellStyle name="Normal 62 2" xfId="4898"/>
    <cellStyle name="Normal 62 2 2" xfId="8412"/>
    <cellStyle name="Normal 62 2 2 2" xfId="12068"/>
    <cellStyle name="Normal 62 2 2 2 2" xfId="19939"/>
    <cellStyle name="Normal 62 3" xfId="5537"/>
    <cellStyle name="Normal 62 3 2" xfId="8413"/>
    <cellStyle name="Normal 62 3 2 2" xfId="12069"/>
    <cellStyle name="Normal 62 3 2 2 2" xfId="19940"/>
    <cellStyle name="Normal 62 4" xfId="6655"/>
    <cellStyle name="Normal 62 5" xfId="8411"/>
    <cellStyle name="Normal 62 5 2" xfId="12070"/>
    <cellStyle name="Normal 62 5 2 2" xfId="19941"/>
    <cellStyle name="Normal 63" xfId="2885"/>
    <cellStyle name="Normal 63 2" xfId="4899"/>
    <cellStyle name="Normal 63 2 2" xfId="8415"/>
    <cellStyle name="Normal 63 2 2 2" xfId="12071"/>
    <cellStyle name="Normal 63 2 2 2 2" xfId="19942"/>
    <cellStyle name="Normal 63 3" xfId="5538"/>
    <cellStyle name="Normal 63 3 2" xfId="8416"/>
    <cellStyle name="Normal 63 3 2 2" xfId="12072"/>
    <cellStyle name="Normal 63 3 2 2 2" xfId="19943"/>
    <cellStyle name="Normal 63 4" xfId="6656"/>
    <cellStyle name="Normal 63 5" xfId="8414"/>
    <cellStyle name="Normal 63 5 2" xfId="12073"/>
    <cellStyle name="Normal 63 5 2 2" xfId="19944"/>
    <cellStyle name="Normal 64" xfId="2886"/>
    <cellStyle name="Normal 64 2" xfId="4900"/>
    <cellStyle name="Normal 64 2 2" xfId="8418"/>
    <cellStyle name="Normal 64 2 2 2" xfId="12074"/>
    <cellStyle name="Normal 64 2 2 2 2" xfId="19945"/>
    <cellStyle name="Normal 64 3" xfId="5539"/>
    <cellStyle name="Normal 64 3 2" xfId="8419"/>
    <cellStyle name="Normal 64 3 2 2" xfId="12075"/>
    <cellStyle name="Normal 64 3 2 2 2" xfId="19946"/>
    <cellStyle name="Normal 64 4" xfId="6657"/>
    <cellStyle name="Normal 64 5" xfId="8417"/>
    <cellStyle name="Normal 64 5 2" xfId="12076"/>
    <cellStyle name="Normal 64 5 2 2" xfId="19947"/>
    <cellStyle name="Normal 65" xfId="2887"/>
    <cellStyle name="Normal 65 2" xfId="4901"/>
    <cellStyle name="Normal 65 2 2" xfId="8421"/>
    <cellStyle name="Normal 65 2 2 2" xfId="12077"/>
    <cellStyle name="Normal 65 2 2 2 2" xfId="19948"/>
    <cellStyle name="Normal 65 3" xfId="5540"/>
    <cellStyle name="Normal 65 3 2" xfId="8422"/>
    <cellStyle name="Normal 65 3 2 2" xfId="12078"/>
    <cellStyle name="Normal 65 3 2 2 2" xfId="19949"/>
    <cellStyle name="Normal 65 4" xfId="6658"/>
    <cellStyle name="Normal 65 5" xfId="8420"/>
    <cellStyle name="Normal 65 5 2" xfId="12079"/>
    <cellStyle name="Normal 65 5 2 2" xfId="19950"/>
    <cellStyle name="Normal 66" xfId="2888"/>
    <cellStyle name="Normal 66 2" xfId="4902"/>
    <cellStyle name="Normal 66 2 2" xfId="8424"/>
    <cellStyle name="Normal 66 2 2 2" xfId="12080"/>
    <cellStyle name="Normal 66 2 2 2 2" xfId="19951"/>
    <cellStyle name="Normal 66 3" xfId="5541"/>
    <cellStyle name="Normal 66 3 2" xfId="8425"/>
    <cellStyle name="Normal 66 3 2 2" xfId="12081"/>
    <cellStyle name="Normal 66 3 2 2 2" xfId="19952"/>
    <cellStyle name="Normal 66 4" xfId="6659"/>
    <cellStyle name="Normal 66 5" xfId="8423"/>
    <cellStyle name="Normal 66 5 2" xfId="12082"/>
    <cellStyle name="Normal 66 5 2 2" xfId="19953"/>
    <cellStyle name="Normal 67" xfId="2889"/>
    <cellStyle name="Normal 67 2" xfId="4903"/>
    <cellStyle name="Normal 67 2 2" xfId="8427"/>
    <cellStyle name="Normal 67 2 2 2" xfId="12083"/>
    <cellStyle name="Normal 67 2 2 2 2" xfId="19954"/>
    <cellStyle name="Normal 67 3" xfId="5542"/>
    <cellStyle name="Normal 67 3 2" xfId="8428"/>
    <cellStyle name="Normal 67 3 2 2" xfId="12084"/>
    <cellStyle name="Normal 67 3 2 2 2" xfId="19955"/>
    <cellStyle name="Normal 67 4" xfId="6660"/>
    <cellStyle name="Normal 67 5" xfId="8426"/>
    <cellStyle name="Normal 67 5 2" xfId="12085"/>
    <cellStyle name="Normal 67 5 2 2" xfId="19956"/>
    <cellStyle name="Normal 68" xfId="2890"/>
    <cellStyle name="Normal 68 2" xfId="4904"/>
    <cellStyle name="Normal 68 2 2" xfId="8430"/>
    <cellStyle name="Normal 68 2 2 2" xfId="12086"/>
    <cellStyle name="Normal 68 2 2 2 2" xfId="19957"/>
    <cellStyle name="Normal 68 3" xfId="5543"/>
    <cellStyle name="Normal 68 3 2" xfId="8431"/>
    <cellStyle name="Normal 68 3 2 2" xfId="12087"/>
    <cellStyle name="Normal 68 3 2 2 2" xfId="19958"/>
    <cellStyle name="Normal 68 4" xfId="6661"/>
    <cellStyle name="Normal 68 5" xfId="8429"/>
    <cellStyle name="Normal 68 5 2" xfId="12088"/>
    <cellStyle name="Normal 68 5 2 2" xfId="19959"/>
    <cellStyle name="Normal 69" xfId="2891"/>
    <cellStyle name="Normal 69 2" xfId="4905"/>
    <cellStyle name="Normal 69 2 2" xfId="8433"/>
    <cellStyle name="Normal 69 2 2 2" xfId="12089"/>
    <cellStyle name="Normal 69 2 2 2 2" xfId="19960"/>
    <cellStyle name="Normal 69 3" xfId="5544"/>
    <cellStyle name="Normal 69 3 2" xfId="8434"/>
    <cellStyle name="Normal 69 3 2 2" xfId="12090"/>
    <cellStyle name="Normal 69 3 2 2 2" xfId="19961"/>
    <cellStyle name="Normal 69 4" xfId="6662"/>
    <cellStyle name="Normal 69 5" xfId="8432"/>
    <cellStyle name="Normal 69 5 2" xfId="12091"/>
    <cellStyle name="Normal 69 5 2 2" xfId="19962"/>
    <cellStyle name="Normal 7" xfId="2892"/>
    <cellStyle name="Normal 7 10" xfId="4906"/>
    <cellStyle name="Normal 7 10 2" xfId="8436"/>
    <cellStyle name="Normal 7 10 2 2" xfId="12093"/>
    <cellStyle name="Normal 7 10 2 2 2" xfId="19964"/>
    <cellStyle name="Normal 7 11" xfId="4907"/>
    <cellStyle name="Normal 7 11 2" xfId="8437"/>
    <cellStyle name="Normal 7 11 2 2" xfId="12094"/>
    <cellStyle name="Normal 7 11 2 2 2" xfId="19965"/>
    <cellStyle name="Normal 7 12" xfId="4908"/>
    <cellStyle name="Normal 7 12 2" xfId="8438"/>
    <cellStyle name="Normal 7 12 2 2" xfId="12095"/>
    <cellStyle name="Normal 7 12 2 2 2" xfId="19966"/>
    <cellStyle name="Normal 7 13" xfId="4909"/>
    <cellStyle name="Normal 7 13 2" xfId="8439"/>
    <cellStyle name="Normal 7 13 2 2" xfId="12096"/>
    <cellStyle name="Normal 7 13 2 2 2" xfId="19967"/>
    <cellStyle name="Normal 7 14" xfId="4910"/>
    <cellStyle name="Normal 7 14 2" xfId="8440"/>
    <cellStyle name="Normal 7 14 2 2" xfId="12097"/>
    <cellStyle name="Normal 7 14 2 2 2" xfId="19968"/>
    <cellStyle name="Normal 7 15" xfId="4911"/>
    <cellStyle name="Normal 7 15 2" xfId="8441"/>
    <cellStyle name="Normal 7 15 2 2" xfId="12098"/>
    <cellStyle name="Normal 7 15 2 2 2" xfId="19969"/>
    <cellStyle name="Normal 7 16" xfId="4912"/>
    <cellStyle name="Normal 7 16 2" xfId="8442"/>
    <cellStyle name="Normal 7 16 2 2" xfId="12099"/>
    <cellStyle name="Normal 7 16 2 2 2" xfId="19970"/>
    <cellStyle name="Normal 7 17" xfId="4913"/>
    <cellStyle name="Normal 7 17 2" xfId="8443"/>
    <cellStyle name="Normal 7 17 2 2" xfId="12100"/>
    <cellStyle name="Normal 7 17 2 2 2" xfId="19971"/>
    <cellStyle name="Normal 7 18" xfId="4914"/>
    <cellStyle name="Normal 7 18 2" xfId="5619"/>
    <cellStyle name="Normal 7 18 2 2" xfId="8445"/>
    <cellStyle name="Normal 7 18 2 2 2" xfId="12101"/>
    <cellStyle name="Normal 7 18 2 2 2 2" xfId="19972"/>
    <cellStyle name="Normal 7 18 3" xfId="8444"/>
    <cellStyle name="Normal 7 18 3 2" xfId="12102"/>
    <cellStyle name="Normal 7 18 3 2 2" xfId="19973"/>
    <cellStyle name="Normal 7 19" xfId="4915"/>
    <cellStyle name="Normal 7 19 2" xfId="8446"/>
    <cellStyle name="Normal 7 19 2 2" xfId="12103"/>
    <cellStyle name="Normal 7 19 2 2 2" xfId="19974"/>
    <cellStyle name="Normal 7 2" xfId="2893"/>
    <cellStyle name="Normal 7 2 2" xfId="2894"/>
    <cellStyle name="Normal 7 2 2 2" xfId="5157"/>
    <cellStyle name="Normal 7 2 2 2 10" xfId="16267"/>
    <cellStyle name="Normal 7 2 2 2 2" xfId="6081"/>
    <cellStyle name="Normal 7 2 2 2 2 2" xfId="8450"/>
    <cellStyle name="Normal 7 2 2 2 2 2 2" xfId="12108"/>
    <cellStyle name="Normal 7 2 2 2 2 2 2 2" xfId="19979"/>
    <cellStyle name="Normal 7 2 2 2 2 3" xfId="7285"/>
    <cellStyle name="Normal 7 2 2 2 2 3 2" xfId="12109"/>
    <cellStyle name="Normal 7 2 2 2 2 3 2 2" xfId="19980"/>
    <cellStyle name="Normal 7 2 2 2 2 3 3" xfId="17532"/>
    <cellStyle name="Normal 7 2 2 2 2 4" xfId="12107"/>
    <cellStyle name="Normal 7 2 2 2 2 4 2" xfId="19978"/>
    <cellStyle name="Normal 7 2 2 2 2 5" xfId="15346"/>
    <cellStyle name="Normal 7 2 2 2 2 5 2" xfId="22145"/>
    <cellStyle name="Normal 7 2 2 2 2 6" xfId="16736"/>
    <cellStyle name="Normal 7 2 2 2 3" xfId="8449"/>
    <cellStyle name="Normal 7 2 2 2 3 2" xfId="12110"/>
    <cellStyle name="Normal 7 2 2 2 3 2 2" xfId="19981"/>
    <cellStyle name="Normal 7 2 2 2 4" xfId="6939"/>
    <cellStyle name="Normal 7 2 2 2 4 2" xfId="12111"/>
    <cellStyle name="Normal 7 2 2 2 4 2 2" xfId="19982"/>
    <cellStyle name="Normal 7 2 2 2 4 3" xfId="17186"/>
    <cellStyle name="Normal 7 2 2 2 5" xfId="12106"/>
    <cellStyle name="Normal 7 2 2 2 5 2" xfId="19977"/>
    <cellStyle name="Normal 7 2 2 2 6" xfId="14895"/>
    <cellStyle name="Normal 7 2 2 2 6 2" xfId="21799"/>
    <cellStyle name="Normal 7 2 2 2 7" xfId="15618"/>
    <cellStyle name="Normal 7 2 2 2 7 2" xfId="22373"/>
    <cellStyle name="Normal 7 2 2 2 8" xfId="15818"/>
    <cellStyle name="Normal 7 2 2 2 8 2" xfId="22564"/>
    <cellStyle name="Normal 7 2 2 2 9" xfId="16049"/>
    <cellStyle name="Normal 7 2 2 2 9 2" xfId="22777"/>
    <cellStyle name="Normal 7 2 2 3" xfId="5545"/>
    <cellStyle name="Normal 7 2 2 3 2" xfId="8451"/>
    <cellStyle name="Normal 7 2 2 3 2 2" xfId="12112"/>
    <cellStyle name="Normal 7 2 2 3 2 2 2" xfId="19983"/>
    <cellStyle name="Normal 7 2 2 4" xfId="6337"/>
    <cellStyle name="Normal 7 2 2 4 2" xfId="12113"/>
    <cellStyle name="Normal 7 2 2 4 2 2" xfId="19984"/>
    <cellStyle name="Normal 7 2 2 4 3" xfId="14581"/>
    <cellStyle name="Normal 7 2 2 4 3 2" xfId="21595"/>
    <cellStyle name="Normal 7 2 2 4 4" xfId="16895"/>
    <cellStyle name="Normal 7 2 2 5" xfId="8448"/>
    <cellStyle name="Normal 7 2 2 5 2" xfId="12114"/>
    <cellStyle name="Normal 7 2 2 5 2 2" xfId="19985"/>
    <cellStyle name="Normal 7 2 2 6" xfId="12105"/>
    <cellStyle name="Normal 7 2 2 6 2" xfId="19976"/>
    <cellStyle name="Normal 7 2 2 7" xfId="13742"/>
    <cellStyle name="Normal 7 2 2 7 2" xfId="21418"/>
    <cellStyle name="Normal 7 2 3" xfId="5156"/>
    <cellStyle name="Normal 7 2 3 10" xfId="16266"/>
    <cellStyle name="Normal 7 2 3 2" xfId="6080"/>
    <cellStyle name="Normal 7 2 3 2 2" xfId="8453"/>
    <cellStyle name="Normal 7 2 3 2 2 2" xfId="12117"/>
    <cellStyle name="Normal 7 2 3 2 2 2 2" xfId="19988"/>
    <cellStyle name="Normal 7 2 3 2 3" xfId="7284"/>
    <cellStyle name="Normal 7 2 3 2 3 2" xfId="12118"/>
    <cellStyle name="Normal 7 2 3 2 3 2 2" xfId="19989"/>
    <cellStyle name="Normal 7 2 3 2 3 3" xfId="17531"/>
    <cellStyle name="Normal 7 2 3 2 4" xfId="12116"/>
    <cellStyle name="Normal 7 2 3 2 4 2" xfId="19987"/>
    <cellStyle name="Normal 7 2 3 2 5" xfId="15345"/>
    <cellStyle name="Normal 7 2 3 2 5 2" xfId="22144"/>
    <cellStyle name="Normal 7 2 3 2 6" xfId="16735"/>
    <cellStyle name="Normal 7 2 3 3" xfId="8452"/>
    <cellStyle name="Normal 7 2 3 3 2" xfId="12119"/>
    <cellStyle name="Normal 7 2 3 3 2 2" xfId="19990"/>
    <cellStyle name="Normal 7 2 3 4" xfId="6938"/>
    <cellStyle name="Normal 7 2 3 4 2" xfId="12120"/>
    <cellStyle name="Normal 7 2 3 4 2 2" xfId="19991"/>
    <cellStyle name="Normal 7 2 3 4 3" xfId="17185"/>
    <cellStyle name="Normal 7 2 3 5" xfId="12115"/>
    <cellStyle name="Normal 7 2 3 5 2" xfId="19986"/>
    <cellStyle name="Normal 7 2 3 6" xfId="14894"/>
    <cellStyle name="Normal 7 2 3 6 2" xfId="21798"/>
    <cellStyle name="Normal 7 2 3 7" xfId="15617"/>
    <cellStyle name="Normal 7 2 3 7 2" xfId="22372"/>
    <cellStyle name="Normal 7 2 3 8" xfId="15817"/>
    <cellStyle name="Normal 7 2 3 8 2" xfId="22563"/>
    <cellStyle name="Normal 7 2 3 9" xfId="16048"/>
    <cellStyle name="Normal 7 2 3 9 2" xfId="22776"/>
    <cellStyle name="Normal 7 2 4" xfId="5233"/>
    <cellStyle name="Normal 7 2 4 2" xfId="8454"/>
    <cellStyle name="Normal 7 2 4 2 2" xfId="12121"/>
    <cellStyle name="Normal 7 2 4 2 2 2" xfId="19992"/>
    <cellStyle name="Normal 7 2 5" xfId="6336"/>
    <cellStyle name="Normal 7 2 5 2" xfId="12122"/>
    <cellStyle name="Normal 7 2 5 2 2" xfId="19993"/>
    <cellStyle name="Normal 7 2 5 3" xfId="14580"/>
    <cellStyle name="Normal 7 2 5 3 2" xfId="21594"/>
    <cellStyle name="Normal 7 2 5 4" xfId="16894"/>
    <cellStyle name="Normal 7 2 6" xfId="8447"/>
    <cellStyle name="Normal 7 2 6 2" xfId="12123"/>
    <cellStyle name="Normal 7 2 6 2 2" xfId="19994"/>
    <cellStyle name="Normal 7 2 7" xfId="9617"/>
    <cellStyle name="Normal 7 2 8" xfId="12104"/>
    <cellStyle name="Normal 7 2 8 2" xfId="19975"/>
    <cellStyle name="Normal 7 2 9" xfId="13741"/>
    <cellStyle name="Normal 7 2 9 2" xfId="21417"/>
    <cellStyle name="Normal 7 20" xfId="4916"/>
    <cellStyle name="Normal 7 20 10" xfId="16265"/>
    <cellStyle name="Normal 7 20 2" xfId="6079"/>
    <cellStyle name="Normal 7 20 2 2" xfId="8456"/>
    <cellStyle name="Normal 7 20 2 2 2" xfId="12126"/>
    <cellStyle name="Normal 7 20 2 2 2 2" xfId="19997"/>
    <cellStyle name="Normal 7 20 2 3" xfId="7283"/>
    <cellStyle name="Normal 7 20 2 3 2" xfId="12127"/>
    <cellStyle name="Normal 7 20 2 3 2 2" xfId="19998"/>
    <cellStyle name="Normal 7 20 2 3 3" xfId="17530"/>
    <cellStyle name="Normal 7 20 2 4" xfId="12125"/>
    <cellStyle name="Normal 7 20 2 4 2" xfId="19996"/>
    <cellStyle name="Normal 7 20 2 5" xfId="15344"/>
    <cellStyle name="Normal 7 20 2 5 2" xfId="22143"/>
    <cellStyle name="Normal 7 20 2 6" xfId="16734"/>
    <cellStyle name="Normal 7 20 3" xfId="8455"/>
    <cellStyle name="Normal 7 20 3 2" xfId="12128"/>
    <cellStyle name="Normal 7 20 3 2 2" xfId="19999"/>
    <cellStyle name="Normal 7 20 4" xfId="6823"/>
    <cellStyle name="Normal 7 20 4 2" xfId="12129"/>
    <cellStyle name="Normal 7 20 4 2 2" xfId="20000"/>
    <cellStyle name="Normal 7 20 4 3" xfId="17070"/>
    <cellStyle name="Normal 7 20 5" xfId="12124"/>
    <cellStyle name="Normal 7 20 5 2" xfId="19995"/>
    <cellStyle name="Normal 7 20 6" xfId="14767"/>
    <cellStyle name="Normal 7 20 6 2" xfId="21683"/>
    <cellStyle name="Normal 7 20 7" xfId="15616"/>
    <cellStyle name="Normal 7 20 7 2" xfId="22371"/>
    <cellStyle name="Normal 7 20 8" xfId="15816"/>
    <cellStyle name="Normal 7 20 8 2" xfId="22562"/>
    <cellStyle name="Normal 7 20 9" xfId="16047"/>
    <cellStyle name="Normal 7 20 9 2" xfId="22775"/>
    <cellStyle name="Normal 7 21" xfId="6335"/>
    <cellStyle name="Normal 7 21 2" xfId="12130"/>
    <cellStyle name="Normal 7 21 2 2" xfId="20001"/>
    <cellStyle name="Normal 7 21 3" xfId="14579"/>
    <cellStyle name="Normal 7 21 3 2" xfId="21593"/>
    <cellStyle name="Normal 7 21 4" xfId="16893"/>
    <cellStyle name="Normal 7 22" xfId="8435"/>
    <cellStyle name="Normal 7 22 2" xfId="12131"/>
    <cellStyle name="Normal 7 22 2 2" xfId="20002"/>
    <cellStyle name="Normal 7 23" xfId="12092"/>
    <cellStyle name="Normal 7 23 2" xfId="19963"/>
    <cellStyle name="Normal 7 24" xfId="13740"/>
    <cellStyle name="Normal 7 24 2" xfId="21416"/>
    <cellStyle name="Normal 7 3" xfId="2895"/>
    <cellStyle name="Normal 7 3 2" xfId="5158"/>
    <cellStyle name="Normal 7 3 2 10" xfId="16268"/>
    <cellStyle name="Normal 7 3 2 2" xfId="6082"/>
    <cellStyle name="Normal 7 3 2 2 2" xfId="8459"/>
    <cellStyle name="Normal 7 3 2 2 2 2" xfId="12135"/>
    <cellStyle name="Normal 7 3 2 2 2 2 2" xfId="20006"/>
    <cellStyle name="Normal 7 3 2 2 3" xfId="7286"/>
    <cellStyle name="Normal 7 3 2 2 3 2" xfId="12136"/>
    <cellStyle name="Normal 7 3 2 2 3 2 2" xfId="20007"/>
    <cellStyle name="Normal 7 3 2 2 3 3" xfId="17533"/>
    <cellStyle name="Normal 7 3 2 2 4" xfId="12134"/>
    <cellStyle name="Normal 7 3 2 2 4 2" xfId="20005"/>
    <cellStyle name="Normal 7 3 2 2 5" xfId="15347"/>
    <cellStyle name="Normal 7 3 2 2 5 2" xfId="22146"/>
    <cellStyle name="Normal 7 3 2 2 6" xfId="16737"/>
    <cellStyle name="Normal 7 3 2 3" xfId="8458"/>
    <cellStyle name="Normal 7 3 2 3 2" xfId="12137"/>
    <cellStyle name="Normal 7 3 2 3 2 2" xfId="20008"/>
    <cellStyle name="Normal 7 3 2 4" xfId="6940"/>
    <cellStyle name="Normal 7 3 2 4 2" xfId="12138"/>
    <cellStyle name="Normal 7 3 2 4 2 2" xfId="20009"/>
    <cellStyle name="Normal 7 3 2 4 3" xfId="17187"/>
    <cellStyle name="Normal 7 3 2 5" xfId="12133"/>
    <cellStyle name="Normal 7 3 2 5 2" xfId="20004"/>
    <cellStyle name="Normal 7 3 2 6" xfId="14896"/>
    <cellStyle name="Normal 7 3 2 6 2" xfId="21800"/>
    <cellStyle name="Normal 7 3 2 7" xfId="15619"/>
    <cellStyle name="Normal 7 3 2 7 2" xfId="22374"/>
    <cellStyle name="Normal 7 3 2 8" xfId="15819"/>
    <cellStyle name="Normal 7 3 2 8 2" xfId="22565"/>
    <cellStyle name="Normal 7 3 2 9" xfId="16050"/>
    <cellStyle name="Normal 7 3 2 9 2" xfId="22778"/>
    <cellStyle name="Normal 7 3 3" xfId="5546"/>
    <cellStyle name="Normal 7 3 3 2" xfId="8460"/>
    <cellStyle name="Normal 7 3 3 2 2" xfId="12139"/>
    <cellStyle name="Normal 7 3 3 2 2 2" xfId="20010"/>
    <cellStyle name="Normal 7 3 4" xfId="6338"/>
    <cellStyle name="Normal 7 3 4 2" xfId="12140"/>
    <cellStyle name="Normal 7 3 4 2 2" xfId="20011"/>
    <cellStyle name="Normal 7 3 4 3" xfId="14582"/>
    <cellStyle name="Normal 7 3 4 3 2" xfId="21596"/>
    <cellStyle name="Normal 7 3 4 4" xfId="16896"/>
    <cellStyle name="Normal 7 3 5" xfId="8457"/>
    <cellStyle name="Normal 7 3 5 2" xfId="12141"/>
    <cellStyle name="Normal 7 3 5 2 2" xfId="20012"/>
    <cellStyle name="Normal 7 3 6" xfId="9810"/>
    <cellStyle name="Normal 7 3 7" xfId="12132"/>
    <cellStyle name="Normal 7 3 7 2" xfId="20003"/>
    <cellStyle name="Normal 7 3 8" xfId="13743"/>
    <cellStyle name="Normal 7 3 8 2" xfId="21419"/>
    <cellStyle name="Normal 7 4" xfId="2896"/>
    <cellStyle name="Normal 7 4 2" xfId="8461"/>
    <cellStyle name="Normal 7 4 2 2" xfId="12142"/>
    <cellStyle name="Normal 7 4 2 2 2" xfId="20013"/>
    <cellStyle name="Normal 7 5" xfId="2897"/>
    <cellStyle name="Normal 7 5 2" xfId="4917"/>
    <cellStyle name="Normal 7 5 2 2" xfId="8463"/>
    <cellStyle name="Normal 7 5 2 2 2" xfId="12143"/>
    <cellStyle name="Normal 7 5 2 2 2 2" xfId="20014"/>
    <cellStyle name="Normal 7 5 3" xfId="5547"/>
    <cellStyle name="Normal 7 5 3 2" xfId="8464"/>
    <cellStyle name="Normal 7 5 3 2 2" xfId="12144"/>
    <cellStyle name="Normal 7 5 3 2 2 2" xfId="20015"/>
    <cellStyle name="Normal 7 5 4" xfId="6663"/>
    <cellStyle name="Normal 7 5 5" xfId="8462"/>
    <cellStyle name="Normal 7 5 5 2" xfId="12145"/>
    <cellStyle name="Normal 7 5 5 2 2" xfId="20016"/>
    <cellStyle name="Normal 7 6" xfId="5155"/>
    <cellStyle name="Normal 7 6 2" xfId="5548"/>
    <cellStyle name="Normal 7 6 2 2" xfId="8466"/>
    <cellStyle name="Normal 7 6 2 2 2" xfId="12147"/>
    <cellStyle name="Normal 7 6 2 2 2 2" xfId="20018"/>
    <cellStyle name="Normal 7 6 3" xfId="6937"/>
    <cellStyle name="Normal 7 6 3 2" xfId="12148"/>
    <cellStyle name="Normal 7 6 3 2 2" xfId="20019"/>
    <cellStyle name="Normal 7 6 3 3" xfId="14893"/>
    <cellStyle name="Normal 7 6 3 3 2" xfId="21797"/>
    <cellStyle name="Normal 7 6 3 4" xfId="17184"/>
    <cellStyle name="Normal 7 6 4" xfId="8465"/>
    <cellStyle name="Normal 7 6 4 2" xfId="12149"/>
    <cellStyle name="Normal 7 6 4 2 2" xfId="20020"/>
    <cellStyle name="Normal 7 6 5" xfId="12146"/>
    <cellStyle name="Normal 7 6 5 2" xfId="20017"/>
    <cellStyle name="Normal 7 6 6" xfId="16401"/>
    <cellStyle name="Normal 7 7" xfId="5348"/>
    <cellStyle name="Normal 7 7 2" xfId="8467"/>
    <cellStyle name="Normal 7 7 2 2" xfId="12150"/>
    <cellStyle name="Normal 7 7 2 2 2" xfId="20021"/>
    <cellStyle name="Normal 7 8" xfId="4918"/>
    <cellStyle name="Normal 7 8 2" xfId="8468"/>
    <cellStyle name="Normal 7 8 2 2" xfId="12151"/>
    <cellStyle name="Normal 7 8 2 2 2" xfId="20022"/>
    <cellStyle name="Normal 7 9" xfId="4919"/>
    <cellStyle name="Normal 7 9 2" xfId="8469"/>
    <cellStyle name="Normal 7 9 2 2" xfId="12152"/>
    <cellStyle name="Normal 7 9 2 2 2" xfId="20023"/>
    <cellStyle name="Normal 7_Schedule May 2011" xfId="2898"/>
    <cellStyle name="Normal 70" xfId="2899"/>
    <cellStyle name="Normal 70 2" xfId="4920"/>
    <cellStyle name="Normal 70 2 2" xfId="8471"/>
    <cellStyle name="Normal 70 2 2 2" xfId="12153"/>
    <cellStyle name="Normal 70 2 2 2 2" xfId="20024"/>
    <cellStyle name="Normal 70 3" xfId="5549"/>
    <cellStyle name="Normal 70 3 2" xfId="8472"/>
    <cellStyle name="Normal 70 3 2 2" xfId="12154"/>
    <cellStyle name="Normal 70 3 2 2 2" xfId="20025"/>
    <cellStyle name="Normal 70 4" xfId="6664"/>
    <cellStyle name="Normal 70 5" xfId="8470"/>
    <cellStyle name="Normal 70 5 2" xfId="12155"/>
    <cellStyle name="Normal 70 5 2 2" xfId="20026"/>
    <cellStyle name="Normal 71" xfId="2900"/>
    <cellStyle name="Normal 71 2" xfId="8473"/>
    <cellStyle name="Normal 71 2 2" xfId="12156"/>
    <cellStyle name="Normal 71 2 2 2" xfId="20027"/>
    <cellStyle name="Normal 72" xfId="2901"/>
    <cellStyle name="Normal 72 2" xfId="4921"/>
    <cellStyle name="Normal 72 2 2" xfId="8475"/>
    <cellStyle name="Normal 72 2 2 2" xfId="12157"/>
    <cellStyle name="Normal 72 2 2 2 2" xfId="20028"/>
    <cellStyle name="Normal 72 3" xfId="5550"/>
    <cellStyle name="Normal 72 3 2" xfId="8476"/>
    <cellStyle name="Normal 72 3 2 2" xfId="12158"/>
    <cellStyle name="Normal 72 3 2 2 2" xfId="20029"/>
    <cellStyle name="Normal 72 4" xfId="6665"/>
    <cellStyle name="Normal 72 5" xfId="8474"/>
    <cellStyle name="Normal 72 5 2" xfId="12159"/>
    <cellStyle name="Normal 72 5 2 2" xfId="20030"/>
    <cellStyle name="Normal 73" xfId="2902"/>
    <cellStyle name="Normal 73 2" xfId="4922"/>
    <cellStyle name="Normal 73 2 2" xfId="8478"/>
    <cellStyle name="Normal 73 2 2 2" xfId="12160"/>
    <cellStyle name="Normal 73 2 2 2 2" xfId="20031"/>
    <cellStyle name="Normal 73 3" xfId="5551"/>
    <cellStyle name="Normal 73 3 2" xfId="8479"/>
    <cellStyle name="Normal 73 3 2 2" xfId="12161"/>
    <cellStyle name="Normal 73 3 2 2 2" xfId="20032"/>
    <cellStyle name="Normal 73 4" xfId="6666"/>
    <cellStyle name="Normal 73 5" xfId="8477"/>
    <cellStyle name="Normal 73 5 2" xfId="12162"/>
    <cellStyle name="Normal 73 5 2 2" xfId="20033"/>
    <cellStyle name="Normal 74" xfId="2903"/>
    <cellStyle name="Normal 74 2" xfId="4923"/>
    <cellStyle name="Normal 74 2 2" xfId="8481"/>
    <cellStyle name="Normal 74 2 2 2" xfId="12163"/>
    <cellStyle name="Normal 74 2 2 2 2" xfId="20034"/>
    <cellStyle name="Normal 74 3" xfId="5552"/>
    <cellStyle name="Normal 74 3 2" xfId="8482"/>
    <cellStyle name="Normal 74 3 2 2" xfId="12164"/>
    <cellStyle name="Normal 74 3 2 2 2" xfId="20035"/>
    <cellStyle name="Normal 74 4" xfId="6667"/>
    <cellStyle name="Normal 74 5" xfId="8480"/>
    <cellStyle name="Normal 74 5 2" xfId="12165"/>
    <cellStyle name="Normal 74 5 2 2" xfId="20036"/>
    <cellStyle name="Normal 75" xfId="2904"/>
    <cellStyle name="Normal 75 2" xfId="4924"/>
    <cellStyle name="Normal 75 2 2" xfId="8484"/>
    <cellStyle name="Normal 75 2 2 2" xfId="12166"/>
    <cellStyle name="Normal 75 2 2 2 2" xfId="20037"/>
    <cellStyle name="Normal 75 3" xfId="5553"/>
    <cellStyle name="Normal 75 3 2" xfId="8485"/>
    <cellStyle name="Normal 75 3 2 2" xfId="12167"/>
    <cellStyle name="Normal 75 3 2 2 2" xfId="20038"/>
    <cellStyle name="Normal 75 4" xfId="6668"/>
    <cellStyle name="Normal 75 5" xfId="8483"/>
    <cellStyle name="Normal 75 5 2" xfId="12168"/>
    <cellStyle name="Normal 75 5 2 2" xfId="20039"/>
    <cellStyle name="Normal 76" xfId="2905"/>
    <cellStyle name="Normal 76 2" xfId="4925"/>
    <cellStyle name="Normal 76 2 2" xfId="8487"/>
    <cellStyle name="Normal 76 2 2 2" xfId="12169"/>
    <cellStyle name="Normal 76 2 2 2 2" xfId="20040"/>
    <cellStyle name="Normal 76 3" xfId="5554"/>
    <cellStyle name="Normal 76 3 2" xfId="8488"/>
    <cellStyle name="Normal 76 3 2 2" xfId="12170"/>
    <cellStyle name="Normal 76 3 2 2 2" xfId="20041"/>
    <cellStyle name="Normal 76 4" xfId="6669"/>
    <cellStyle name="Normal 76 5" xfId="8486"/>
    <cellStyle name="Normal 76 5 2" xfId="12171"/>
    <cellStyle name="Normal 76 5 2 2" xfId="20042"/>
    <cellStyle name="Normal 77" xfId="2906"/>
    <cellStyle name="Normal 77 2" xfId="4926"/>
    <cellStyle name="Normal 77 2 2" xfId="8490"/>
    <cellStyle name="Normal 77 2 2 2" xfId="12172"/>
    <cellStyle name="Normal 77 2 2 2 2" xfId="20043"/>
    <cellStyle name="Normal 77 3" xfId="5555"/>
    <cellStyle name="Normal 77 3 2" xfId="8491"/>
    <cellStyle name="Normal 77 3 2 2" xfId="12173"/>
    <cellStyle name="Normal 77 3 2 2 2" xfId="20044"/>
    <cellStyle name="Normal 77 4" xfId="6670"/>
    <cellStyle name="Normal 77 5" xfId="8489"/>
    <cellStyle name="Normal 77 5 2" xfId="12174"/>
    <cellStyle name="Normal 77 5 2 2" xfId="20045"/>
    <cellStyle name="Normal 78" xfId="2907"/>
    <cellStyle name="Normal 78 2" xfId="4927"/>
    <cellStyle name="Normal 78 2 2" xfId="8493"/>
    <cellStyle name="Normal 78 2 2 2" xfId="12175"/>
    <cellStyle name="Normal 78 2 2 2 2" xfId="20046"/>
    <cellStyle name="Normal 78 3" xfId="5556"/>
    <cellStyle name="Normal 78 3 2" xfId="8494"/>
    <cellStyle name="Normal 78 3 2 2" xfId="12176"/>
    <cellStyle name="Normal 78 3 2 2 2" xfId="20047"/>
    <cellStyle name="Normal 78 4" xfId="6671"/>
    <cellStyle name="Normal 78 5" xfId="8492"/>
    <cellStyle name="Normal 78 5 2" xfId="12177"/>
    <cellStyle name="Normal 78 5 2 2" xfId="20048"/>
    <cellStyle name="Normal 79" xfId="2908"/>
    <cellStyle name="Normal 79 2" xfId="4928"/>
    <cellStyle name="Normal 79 2 2" xfId="8496"/>
    <cellStyle name="Normal 79 2 2 2" xfId="12178"/>
    <cellStyle name="Normal 79 2 2 2 2" xfId="20049"/>
    <cellStyle name="Normal 79 3" xfId="5557"/>
    <cellStyle name="Normal 79 3 2" xfId="8497"/>
    <cellStyle name="Normal 79 3 2 2" xfId="12179"/>
    <cellStyle name="Normal 79 3 2 2 2" xfId="20050"/>
    <cellStyle name="Normal 79 4" xfId="6672"/>
    <cellStyle name="Normal 79 5" xfId="8495"/>
    <cellStyle name="Normal 79 5 2" xfId="12180"/>
    <cellStyle name="Normal 79 5 2 2" xfId="20051"/>
    <cellStyle name="Normal 8" xfId="2909"/>
    <cellStyle name="Normal 8 10" xfId="4929"/>
    <cellStyle name="Normal 8 10 2" xfId="8499"/>
    <cellStyle name="Normal 8 10 2 2" xfId="12181"/>
    <cellStyle name="Normal 8 10 2 2 2" xfId="20052"/>
    <cellStyle name="Normal 8 11" xfId="4930"/>
    <cellStyle name="Normal 8 11 2" xfId="8500"/>
    <cellStyle name="Normal 8 11 2 2" xfId="12182"/>
    <cellStyle name="Normal 8 11 2 2 2" xfId="20053"/>
    <cellStyle name="Normal 8 12" xfId="4931"/>
    <cellStyle name="Normal 8 12 2" xfId="8501"/>
    <cellStyle name="Normal 8 12 2 2" xfId="12183"/>
    <cellStyle name="Normal 8 12 2 2 2" xfId="20054"/>
    <cellStyle name="Normal 8 13" xfId="4932"/>
    <cellStyle name="Normal 8 13 2" xfId="8502"/>
    <cellStyle name="Normal 8 13 2 2" xfId="12184"/>
    <cellStyle name="Normal 8 13 2 2 2" xfId="20055"/>
    <cellStyle name="Normal 8 14" xfId="4933"/>
    <cellStyle name="Normal 8 14 2" xfId="8503"/>
    <cellStyle name="Normal 8 14 2 2" xfId="12185"/>
    <cellStyle name="Normal 8 14 2 2 2" xfId="20056"/>
    <cellStyle name="Normal 8 15" xfId="4934"/>
    <cellStyle name="Normal 8 15 2" xfId="8504"/>
    <cellStyle name="Normal 8 15 2 2" xfId="12186"/>
    <cellStyle name="Normal 8 15 2 2 2" xfId="20057"/>
    <cellStyle name="Normal 8 16" xfId="4935"/>
    <cellStyle name="Normal 8 16 2" xfId="8505"/>
    <cellStyle name="Normal 8 16 2 2" xfId="12187"/>
    <cellStyle name="Normal 8 16 2 2 2" xfId="20058"/>
    <cellStyle name="Normal 8 17" xfId="4936"/>
    <cellStyle name="Normal 8 17 2" xfId="8506"/>
    <cellStyle name="Normal 8 17 2 2" xfId="12188"/>
    <cellStyle name="Normal 8 17 2 2 2" xfId="20059"/>
    <cellStyle name="Normal 8 18" xfId="8498"/>
    <cellStyle name="Normal 8 18 2" xfId="12189"/>
    <cellStyle name="Normal 8 18 2 2" xfId="20060"/>
    <cellStyle name="Normal 8 2" xfId="2910"/>
    <cellStyle name="Normal 8 2 2" xfId="2911"/>
    <cellStyle name="Normal 8 2 2 2" xfId="5160"/>
    <cellStyle name="Normal 8 2 2 2 10" xfId="16270"/>
    <cellStyle name="Normal 8 2 2 2 2" xfId="6084"/>
    <cellStyle name="Normal 8 2 2 2 2 2" xfId="8510"/>
    <cellStyle name="Normal 8 2 2 2 2 2 2" xfId="12194"/>
    <cellStyle name="Normal 8 2 2 2 2 2 2 2" xfId="20065"/>
    <cellStyle name="Normal 8 2 2 2 2 3" xfId="7288"/>
    <cellStyle name="Normal 8 2 2 2 2 3 2" xfId="12195"/>
    <cellStyle name="Normal 8 2 2 2 2 3 2 2" xfId="20066"/>
    <cellStyle name="Normal 8 2 2 2 2 3 3" xfId="17535"/>
    <cellStyle name="Normal 8 2 2 2 2 4" xfId="12193"/>
    <cellStyle name="Normal 8 2 2 2 2 4 2" xfId="20064"/>
    <cellStyle name="Normal 8 2 2 2 2 5" xfId="15349"/>
    <cellStyle name="Normal 8 2 2 2 2 5 2" xfId="22148"/>
    <cellStyle name="Normal 8 2 2 2 2 6" xfId="16739"/>
    <cellStyle name="Normal 8 2 2 2 3" xfId="8509"/>
    <cellStyle name="Normal 8 2 2 2 3 2" xfId="12196"/>
    <cellStyle name="Normal 8 2 2 2 3 2 2" xfId="20067"/>
    <cellStyle name="Normal 8 2 2 2 4" xfId="6942"/>
    <cellStyle name="Normal 8 2 2 2 4 2" xfId="12197"/>
    <cellStyle name="Normal 8 2 2 2 4 2 2" xfId="20068"/>
    <cellStyle name="Normal 8 2 2 2 4 3" xfId="17189"/>
    <cellStyle name="Normal 8 2 2 2 5" xfId="12192"/>
    <cellStyle name="Normal 8 2 2 2 5 2" xfId="20063"/>
    <cellStyle name="Normal 8 2 2 2 6" xfId="14898"/>
    <cellStyle name="Normal 8 2 2 2 6 2" xfId="21802"/>
    <cellStyle name="Normal 8 2 2 2 7" xfId="15621"/>
    <cellStyle name="Normal 8 2 2 2 7 2" xfId="22376"/>
    <cellStyle name="Normal 8 2 2 2 8" xfId="15821"/>
    <cellStyle name="Normal 8 2 2 2 8 2" xfId="22567"/>
    <cellStyle name="Normal 8 2 2 2 9" xfId="16052"/>
    <cellStyle name="Normal 8 2 2 2 9 2" xfId="22780"/>
    <cellStyle name="Normal 8 2 2 3" xfId="5558"/>
    <cellStyle name="Normal 8 2 2 3 2" xfId="8511"/>
    <cellStyle name="Normal 8 2 2 3 2 2" xfId="12198"/>
    <cellStyle name="Normal 8 2 2 3 2 2 2" xfId="20069"/>
    <cellStyle name="Normal 8 2 2 4" xfId="6340"/>
    <cellStyle name="Normal 8 2 2 4 2" xfId="12199"/>
    <cellStyle name="Normal 8 2 2 4 2 2" xfId="20070"/>
    <cellStyle name="Normal 8 2 2 4 3" xfId="14584"/>
    <cellStyle name="Normal 8 2 2 4 3 2" xfId="21598"/>
    <cellStyle name="Normal 8 2 2 4 4" xfId="16898"/>
    <cellStyle name="Normal 8 2 2 5" xfId="8508"/>
    <cellStyle name="Normal 8 2 2 5 2" xfId="12200"/>
    <cellStyle name="Normal 8 2 2 5 2 2" xfId="20071"/>
    <cellStyle name="Normal 8 2 2 6" xfId="12191"/>
    <cellStyle name="Normal 8 2 2 6 2" xfId="20062"/>
    <cellStyle name="Normal 8 2 2 7" xfId="13745"/>
    <cellStyle name="Normal 8 2 2 7 2" xfId="21421"/>
    <cellStyle name="Normal 8 2 3" xfId="5159"/>
    <cellStyle name="Normal 8 2 3 10" xfId="16269"/>
    <cellStyle name="Normal 8 2 3 2" xfId="6083"/>
    <cellStyle name="Normal 8 2 3 2 2" xfId="8513"/>
    <cellStyle name="Normal 8 2 3 2 2 2" xfId="12203"/>
    <cellStyle name="Normal 8 2 3 2 2 2 2" xfId="20074"/>
    <cellStyle name="Normal 8 2 3 2 3" xfId="7287"/>
    <cellStyle name="Normal 8 2 3 2 3 2" xfId="12204"/>
    <cellStyle name="Normal 8 2 3 2 3 2 2" xfId="20075"/>
    <cellStyle name="Normal 8 2 3 2 3 3" xfId="17534"/>
    <cellStyle name="Normal 8 2 3 2 4" xfId="12202"/>
    <cellStyle name="Normal 8 2 3 2 4 2" xfId="20073"/>
    <cellStyle name="Normal 8 2 3 2 5" xfId="15348"/>
    <cellStyle name="Normal 8 2 3 2 5 2" xfId="22147"/>
    <cellStyle name="Normal 8 2 3 2 6" xfId="16738"/>
    <cellStyle name="Normal 8 2 3 3" xfId="8512"/>
    <cellStyle name="Normal 8 2 3 3 2" xfId="12205"/>
    <cellStyle name="Normal 8 2 3 3 2 2" xfId="20076"/>
    <cellStyle name="Normal 8 2 3 4" xfId="6941"/>
    <cellStyle name="Normal 8 2 3 4 2" xfId="12206"/>
    <cellStyle name="Normal 8 2 3 4 2 2" xfId="20077"/>
    <cellStyle name="Normal 8 2 3 4 3" xfId="17188"/>
    <cellStyle name="Normal 8 2 3 5" xfId="12201"/>
    <cellStyle name="Normal 8 2 3 5 2" xfId="20072"/>
    <cellStyle name="Normal 8 2 3 6" xfId="14897"/>
    <cellStyle name="Normal 8 2 3 6 2" xfId="21801"/>
    <cellStyle name="Normal 8 2 3 7" xfId="15620"/>
    <cellStyle name="Normal 8 2 3 7 2" xfId="22375"/>
    <cellStyle name="Normal 8 2 3 8" xfId="15820"/>
    <cellStyle name="Normal 8 2 3 8 2" xfId="22566"/>
    <cellStyle name="Normal 8 2 3 9" xfId="16051"/>
    <cellStyle name="Normal 8 2 3 9 2" xfId="22779"/>
    <cellStyle name="Normal 8 2 4" xfId="5209"/>
    <cellStyle name="Normal 8 2 4 2" xfId="8514"/>
    <cellStyle name="Normal 8 2 4 2 2" xfId="12207"/>
    <cellStyle name="Normal 8 2 4 2 2 2" xfId="20078"/>
    <cellStyle name="Normal 8 2 5" xfId="6339"/>
    <cellStyle name="Normal 8 2 5 2" xfId="12208"/>
    <cellStyle name="Normal 8 2 5 2 2" xfId="20079"/>
    <cellStyle name="Normal 8 2 5 3" xfId="14583"/>
    <cellStyle name="Normal 8 2 5 3 2" xfId="21597"/>
    <cellStyle name="Normal 8 2 5 4" xfId="16897"/>
    <cellStyle name="Normal 8 2 6" xfId="8507"/>
    <cellStyle name="Normal 8 2 6 2" xfId="12209"/>
    <cellStyle name="Normal 8 2 6 2 2" xfId="20080"/>
    <cellStyle name="Normal 8 2 7" xfId="9618"/>
    <cellStyle name="Normal 8 2 8" xfId="12190"/>
    <cellStyle name="Normal 8 2 8 2" xfId="20061"/>
    <cellStyle name="Normal 8 2 9" xfId="13744"/>
    <cellStyle name="Normal 8 2 9 2" xfId="21420"/>
    <cellStyle name="Normal 8 3" xfId="2912"/>
    <cellStyle name="Normal 8 3 2" xfId="2913"/>
    <cellStyle name="Normal 8 3 2 10" xfId="16054"/>
    <cellStyle name="Normal 8 3 2 10 2" xfId="22782"/>
    <cellStyle name="Normal 8 3 2 11" xfId="16272"/>
    <cellStyle name="Normal 8 3 2 2" xfId="5162"/>
    <cellStyle name="Normal 8 3 2 2 2" xfId="8517"/>
    <cellStyle name="Normal 8 3 2 2 2 2" xfId="12213"/>
    <cellStyle name="Normal 8 3 2 2 2 2 2" xfId="20084"/>
    <cellStyle name="Normal 8 3 2 2 3" xfId="6944"/>
    <cellStyle name="Normal 8 3 2 2 3 2" xfId="12214"/>
    <cellStyle name="Normal 8 3 2 2 3 2 2" xfId="20085"/>
    <cellStyle name="Normal 8 3 2 2 3 3" xfId="17191"/>
    <cellStyle name="Normal 8 3 2 2 4" xfId="12212"/>
    <cellStyle name="Normal 8 3 2 2 4 2" xfId="20083"/>
    <cellStyle name="Normal 8 3 2 2 5" xfId="14900"/>
    <cellStyle name="Normal 8 3 2 2 5 2" xfId="21804"/>
    <cellStyle name="Normal 8 3 2 2 6" xfId="16402"/>
    <cellStyle name="Normal 8 3 2 3" xfId="6086"/>
    <cellStyle name="Normal 8 3 2 3 2" xfId="8518"/>
    <cellStyle name="Normal 8 3 2 3 2 2" xfId="12216"/>
    <cellStyle name="Normal 8 3 2 3 2 2 2" xfId="20087"/>
    <cellStyle name="Normal 8 3 2 3 3" xfId="7290"/>
    <cellStyle name="Normal 8 3 2 3 3 2" xfId="12217"/>
    <cellStyle name="Normal 8 3 2 3 3 2 2" xfId="20088"/>
    <cellStyle name="Normal 8 3 2 3 3 3" xfId="17537"/>
    <cellStyle name="Normal 8 3 2 3 4" xfId="12215"/>
    <cellStyle name="Normal 8 3 2 3 4 2" xfId="20086"/>
    <cellStyle name="Normal 8 3 2 3 5" xfId="15351"/>
    <cellStyle name="Normal 8 3 2 3 5 2" xfId="22150"/>
    <cellStyle name="Normal 8 3 2 3 6" xfId="16741"/>
    <cellStyle name="Normal 8 3 2 4" xfId="6342"/>
    <cellStyle name="Normal 8 3 2 4 2" xfId="8516"/>
    <cellStyle name="Normal 8 3 2 4 2 2" xfId="12219"/>
    <cellStyle name="Normal 8 3 2 4 2 2 2" xfId="20090"/>
    <cellStyle name="Normal 8 3 2 4 3" xfId="12218"/>
    <cellStyle name="Normal 8 3 2 4 3 2" xfId="20089"/>
    <cellStyle name="Normal 8 3 2 4 4" xfId="16900"/>
    <cellStyle name="Normal 8 3 2 5" xfId="12211"/>
    <cellStyle name="Normal 8 3 2 5 2" xfId="20082"/>
    <cellStyle name="Normal 8 3 2 6" xfId="13747"/>
    <cellStyle name="Normal 8 3 2 6 2" xfId="21423"/>
    <cellStyle name="Normal 8 3 2 7" xfId="14586"/>
    <cellStyle name="Normal 8 3 2 7 2" xfId="21600"/>
    <cellStyle name="Normal 8 3 2 8" xfId="15623"/>
    <cellStyle name="Normal 8 3 2 8 2" xfId="22378"/>
    <cellStyle name="Normal 8 3 2 9" xfId="15823"/>
    <cellStyle name="Normal 8 3 2 9 2" xfId="22569"/>
    <cellStyle name="Normal 8 3 3" xfId="5161"/>
    <cellStyle name="Normal 8 3 3 10" xfId="16271"/>
    <cellStyle name="Normal 8 3 3 2" xfId="6085"/>
    <cellStyle name="Normal 8 3 3 2 2" xfId="8520"/>
    <cellStyle name="Normal 8 3 3 2 2 2" xfId="12222"/>
    <cellStyle name="Normal 8 3 3 2 2 2 2" xfId="20093"/>
    <cellStyle name="Normal 8 3 3 2 3" xfId="7289"/>
    <cellStyle name="Normal 8 3 3 2 3 2" xfId="12223"/>
    <cellStyle name="Normal 8 3 3 2 3 2 2" xfId="20094"/>
    <cellStyle name="Normal 8 3 3 2 3 3" xfId="17536"/>
    <cellStyle name="Normal 8 3 3 2 4" xfId="12221"/>
    <cellStyle name="Normal 8 3 3 2 4 2" xfId="20092"/>
    <cellStyle name="Normal 8 3 3 2 5" xfId="15350"/>
    <cellStyle name="Normal 8 3 3 2 5 2" xfId="22149"/>
    <cellStyle name="Normal 8 3 3 2 6" xfId="16740"/>
    <cellStyle name="Normal 8 3 3 3" xfId="8519"/>
    <cellStyle name="Normal 8 3 3 3 2" xfId="12224"/>
    <cellStyle name="Normal 8 3 3 3 2 2" xfId="20095"/>
    <cellStyle name="Normal 8 3 3 4" xfId="6943"/>
    <cellStyle name="Normal 8 3 3 4 2" xfId="12225"/>
    <cellStyle name="Normal 8 3 3 4 2 2" xfId="20096"/>
    <cellStyle name="Normal 8 3 3 4 3" xfId="17190"/>
    <cellStyle name="Normal 8 3 3 5" xfId="12220"/>
    <cellStyle name="Normal 8 3 3 5 2" xfId="20091"/>
    <cellStyle name="Normal 8 3 3 6" xfId="14899"/>
    <cellStyle name="Normal 8 3 3 6 2" xfId="21803"/>
    <cellStyle name="Normal 8 3 3 7" xfId="15622"/>
    <cellStyle name="Normal 8 3 3 7 2" xfId="22377"/>
    <cellStyle name="Normal 8 3 3 8" xfId="15822"/>
    <cellStyle name="Normal 8 3 3 8 2" xfId="22568"/>
    <cellStyle name="Normal 8 3 3 9" xfId="16053"/>
    <cellStyle name="Normal 8 3 3 9 2" xfId="22781"/>
    <cellStyle name="Normal 8 3 4" xfId="5559"/>
    <cellStyle name="Normal 8 3 4 2" xfId="8521"/>
    <cellStyle name="Normal 8 3 4 2 2" xfId="12226"/>
    <cellStyle name="Normal 8 3 4 2 2 2" xfId="20097"/>
    <cellStyle name="Normal 8 3 5" xfId="6341"/>
    <cellStyle name="Normal 8 3 5 2" xfId="12227"/>
    <cellStyle name="Normal 8 3 5 2 2" xfId="20098"/>
    <cellStyle name="Normal 8 3 5 3" xfId="14585"/>
    <cellStyle name="Normal 8 3 5 3 2" xfId="21599"/>
    <cellStyle name="Normal 8 3 5 4" xfId="16899"/>
    <cellStyle name="Normal 8 3 6" xfId="8515"/>
    <cellStyle name="Normal 8 3 6 2" xfId="12228"/>
    <cellStyle name="Normal 8 3 6 2 2" xfId="20099"/>
    <cellStyle name="Normal 8 3 7" xfId="9811"/>
    <cellStyle name="Normal 8 3 8" xfId="12210"/>
    <cellStyle name="Normal 8 3 8 2" xfId="20081"/>
    <cellStyle name="Normal 8 3 9" xfId="13746"/>
    <cellStyle name="Normal 8 3 9 2" xfId="21422"/>
    <cellStyle name="Normal 8 4" xfId="2914"/>
    <cellStyle name="Normal 8 4 2" xfId="4937"/>
    <cellStyle name="Normal 8 4 2 2" xfId="8523"/>
    <cellStyle name="Normal 8 4 2 2 2" xfId="12229"/>
    <cellStyle name="Normal 8 4 2 2 2 2" xfId="20100"/>
    <cellStyle name="Normal 8 4 3" xfId="5560"/>
    <cellStyle name="Normal 8 4 3 2" xfId="8524"/>
    <cellStyle name="Normal 8 4 3 2 2" xfId="12230"/>
    <cellStyle name="Normal 8 4 3 2 2 2" xfId="20101"/>
    <cellStyle name="Normal 8 4 4" xfId="6673"/>
    <cellStyle name="Normal 8 4 5" xfId="8522"/>
    <cellStyle name="Normal 8 4 5 2" xfId="12231"/>
    <cellStyle name="Normal 8 4 5 2 2" xfId="20102"/>
    <cellStyle name="Normal 8 5" xfId="4938"/>
    <cellStyle name="Normal 8 5 2" xfId="8525"/>
    <cellStyle name="Normal 8 5 2 2" xfId="12232"/>
    <cellStyle name="Normal 8 5 2 2 2" xfId="20103"/>
    <cellStyle name="Normal 8 6" xfId="4939"/>
    <cellStyle name="Normal 8 6 2" xfId="8526"/>
    <cellStyle name="Normal 8 6 2 2" xfId="12233"/>
    <cellStyle name="Normal 8 6 2 2 2" xfId="20104"/>
    <cellStyle name="Normal 8 7" xfId="4940"/>
    <cellStyle name="Normal 8 7 2" xfId="8527"/>
    <cellStyle name="Normal 8 7 2 2" xfId="12234"/>
    <cellStyle name="Normal 8 7 2 2 2" xfId="20105"/>
    <cellStyle name="Normal 8 8" xfId="4941"/>
    <cellStyle name="Normal 8 8 2" xfId="8528"/>
    <cellStyle name="Normal 8 8 2 2" xfId="12235"/>
    <cellStyle name="Normal 8 8 2 2 2" xfId="20106"/>
    <cellStyle name="Normal 8 9" xfId="4942"/>
    <cellStyle name="Normal 8 9 2" xfId="8529"/>
    <cellStyle name="Normal 8 9 2 2" xfId="12236"/>
    <cellStyle name="Normal 8 9 2 2 2" xfId="20107"/>
    <cellStyle name="Normal 80" xfId="2915"/>
    <cellStyle name="Normal 80 2" xfId="4943"/>
    <cellStyle name="Normal 80 2 2" xfId="8531"/>
    <cellStyle name="Normal 80 2 2 2" xfId="12237"/>
    <cellStyle name="Normal 80 2 2 2 2" xfId="20108"/>
    <cellStyle name="Normal 80 3" xfId="5561"/>
    <cellStyle name="Normal 80 3 2" xfId="8532"/>
    <cellStyle name="Normal 80 3 2 2" xfId="12238"/>
    <cellStyle name="Normal 80 3 2 2 2" xfId="20109"/>
    <cellStyle name="Normal 80 4" xfId="6674"/>
    <cellStyle name="Normal 80 5" xfId="8530"/>
    <cellStyle name="Normal 80 5 2" xfId="12239"/>
    <cellStyle name="Normal 80 5 2 2" xfId="20110"/>
    <cellStyle name="Normal 81" xfId="2916"/>
    <cellStyle name="Normal 81 2" xfId="4944"/>
    <cellStyle name="Normal 81 2 2" xfId="8534"/>
    <cellStyle name="Normal 81 2 2 2" xfId="12240"/>
    <cellStyle name="Normal 81 2 2 2 2" xfId="20111"/>
    <cellStyle name="Normal 81 3" xfId="5562"/>
    <cellStyle name="Normal 81 3 2" xfId="8535"/>
    <cellStyle name="Normal 81 3 2 2" xfId="12241"/>
    <cellStyle name="Normal 81 3 2 2 2" xfId="20112"/>
    <cellStyle name="Normal 81 4" xfId="6675"/>
    <cellStyle name="Normal 81 5" xfId="8533"/>
    <cellStyle name="Normal 81 5 2" xfId="12242"/>
    <cellStyle name="Normal 81 5 2 2" xfId="20113"/>
    <cellStyle name="Normal 82" xfId="2917"/>
    <cellStyle name="Normal 82 2" xfId="4945"/>
    <cellStyle name="Normal 82 2 2" xfId="8537"/>
    <cellStyle name="Normal 82 2 2 2" xfId="12243"/>
    <cellStyle name="Normal 82 2 2 2 2" xfId="20114"/>
    <cellStyle name="Normal 82 3" xfId="5563"/>
    <cellStyle name="Normal 82 3 2" xfId="8538"/>
    <cellStyle name="Normal 82 3 2 2" xfId="12244"/>
    <cellStyle name="Normal 82 3 2 2 2" xfId="20115"/>
    <cellStyle name="Normal 82 4" xfId="6676"/>
    <cellStyle name="Normal 82 5" xfId="8536"/>
    <cellStyle name="Normal 82 5 2" xfId="12245"/>
    <cellStyle name="Normal 82 5 2 2" xfId="20116"/>
    <cellStyle name="Normal 83" xfId="2918"/>
    <cellStyle name="Normal 83 2" xfId="4946"/>
    <cellStyle name="Normal 83 2 2" xfId="8540"/>
    <cellStyle name="Normal 83 2 2 2" xfId="12246"/>
    <cellStyle name="Normal 83 2 2 2 2" xfId="20117"/>
    <cellStyle name="Normal 83 3" xfId="5564"/>
    <cellStyle name="Normal 83 3 2" xfId="8541"/>
    <cellStyle name="Normal 83 3 2 2" xfId="12247"/>
    <cellStyle name="Normal 83 3 2 2 2" xfId="20118"/>
    <cellStyle name="Normal 83 4" xfId="6677"/>
    <cellStyle name="Normal 83 5" xfId="8539"/>
    <cellStyle name="Normal 83 5 2" xfId="12248"/>
    <cellStyle name="Normal 83 5 2 2" xfId="20119"/>
    <cellStyle name="Normal 84" xfId="2919"/>
    <cellStyle name="Normal 84 2" xfId="4947"/>
    <cellStyle name="Normal 84 2 2" xfId="8543"/>
    <cellStyle name="Normal 84 2 2 2" xfId="12249"/>
    <cellStyle name="Normal 84 2 2 2 2" xfId="20120"/>
    <cellStyle name="Normal 84 3" xfId="5565"/>
    <cellStyle name="Normal 84 3 2" xfId="8544"/>
    <cellStyle name="Normal 84 3 2 2" xfId="12250"/>
    <cellStyle name="Normal 84 3 2 2 2" xfId="20121"/>
    <cellStyle name="Normal 84 4" xfId="6678"/>
    <cellStyle name="Normal 84 5" xfId="8542"/>
    <cellStyle name="Normal 84 5 2" xfId="12251"/>
    <cellStyle name="Normal 84 5 2 2" xfId="20122"/>
    <cellStyle name="Normal 85" xfId="2920"/>
    <cellStyle name="Normal 85 2" xfId="4948"/>
    <cellStyle name="Normal 85 2 2" xfId="8546"/>
    <cellStyle name="Normal 85 2 2 2" xfId="12252"/>
    <cellStyle name="Normal 85 2 2 2 2" xfId="20123"/>
    <cellStyle name="Normal 85 3" xfId="5566"/>
    <cellStyle name="Normal 85 3 2" xfId="8547"/>
    <cellStyle name="Normal 85 3 2 2" xfId="12253"/>
    <cellStyle name="Normal 85 3 2 2 2" xfId="20124"/>
    <cellStyle name="Normal 85 4" xfId="6679"/>
    <cellStyle name="Normal 85 5" xfId="8545"/>
    <cellStyle name="Normal 85 5 2" xfId="12254"/>
    <cellStyle name="Normal 85 5 2 2" xfId="20125"/>
    <cellStyle name="Normal 86" xfId="2921"/>
    <cellStyle name="Normal 86 2" xfId="4949"/>
    <cellStyle name="Normal 86 2 2" xfId="8549"/>
    <cellStyle name="Normal 86 2 2 2" xfId="12255"/>
    <cellStyle name="Normal 86 2 2 2 2" xfId="20126"/>
    <cellStyle name="Normal 86 3" xfId="5567"/>
    <cellStyle name="Normal 86 3 2" xfId="8550"/>
    <cellStyle name="Normal 86 3 2 2" xfId="12256"/>
    <cellStyle name="Normal 86 3 2 2 2" xfId="20127"/>
    <cellStyle name="Normal 86 4" xfId="6680"/>
    <cellStyle name="Normal 86 5" xfId="8548"/>
    <cellStyle name="Normal 86 5 2" xfId="12257"/>
    <cellStyle name="Normal 86 5 2 2" xfId="20128"/>
    <cellStyle name="Normal 87" xfId="2922"/>
    <cellStyle name="Normal 87 2" xfId="4950"/>
    <cellStyle name="Normal 87 2 2" xfId="8552"/>
    <cellStyle name="Normal 87 2 2 2" xfId="12258"/>
    <cellStyle name="Normal 87 2 2 2 2" xfId="20129"/>
    <cellStyle name="Normal 87 3" xfId="5568"/>
    <cellStyle name="Normal 87 3 2" xfId="8553"/>
    <cellStyle name="Normal 87 3 2 2" xfId="12259"/>
    <cellStyle name="Normal 87 3 2 2 2" xfId="20130"/>
    <cellStyle name="Normal 87 4" xfId="6681"/>
    <cellStyle name="Normal 87 5" xfId="8551"/>
    <cellStyle name="Normal 87 5 2" xfId="12260"/>
    <cellStyle name="Normal 87 5 2 2" xfId="20131"/>
    <cellStyle name="Normal 88" xfId="2923"/>
    <cellStyle name="Normal 88 2" xfId="4951"/>
    <cellStyle name="Normal 88 2 2" xfId="8555"/>
    <cellStyle name="Normal 88 2 2 2" xfId="12261"/>
    <cellStyle name="Normal 88 2 2 2 2" xfId="20132"/>
    <cellStyle name="Normal 88 3" xfId="5569"/>
    <cellStyle name="Normal 88 3 2" xfId="8556"/>
    <cellStyle name="Normal 88 3 2 2" xfId="12262"/>
    <cellStyle name="Normal 88 3 2 2 2" xfId="20133"/>
    <cellStyle name="Normal 88 4" xfId="6682"/>
    <cellStyle name="Normal 88 5" xfId="8554"/>
    <cellStyle name="Normal 88 5 2" xfId="12263"/>
    <cellStyle name="Normal 88 5 2 2" xfId="20134"/>
    <cellStyle name="Normal 89" xfId="2924"/>
    <cellStyle name="Normal 89 2" xfId="4952"/>
    <cellStyle name="Normal 89 2 2" xfId="8558"/>
    <cellStyle name="Normal 89 2 2 2" xfId="12264"/>
    <cellStyle name="Normal 89 2 2 2 2" xfId="20135"/>
    <cellStyle name="Normal 89 3" xfId="5570"/>
    <cellStyle name="Normal 89 3 2" xfId="8559"/>
    <cellStyle name="Normal 89 3 2 2" xfId="12265"/>
    <cellStyle name="Normal 89 3 2 2 2" xfId="20136"/>
    <cellStyle name="Normal 89 4" xfId="6683"/>
    <cellStyle name="Normal 89 5" xfId="8557"/>
    <cellStyle name="Normal 89 5 2" xfId="12266"/>
    <cellStyle name="Normal 89 5 2 2" xfId="20137"/>
    <cellStyle name="Normal 9" xfId="2925"/>
    <cellStyle name="Normal 9 10" xfId="4953"/>
    <cellStyle name="Normal 9 10 2" xfId="8561"/>
    <cellStyle name="Normal 9 10 2 2" xfId="12268"/>
    <cellStyle name="Normal 9 10 2 2 2" xfId="20139"/>
    <cellStyle name="Normal 9 11" xfId="4954"/>
    <cellStyle name="Normal 9 11 2" xfId="8562"/>
    <cellStyle name="Normal 9 11 2 2" xfId="12269"/>
    <cellStyle name="Normal 9 11 2 2 2" xfId="20140"/>
    <cellStyle name="Normal 9 12" xfId="4955"/>
    <cellStyle name="Normal 9 12 2" xfId="8563"/>
    <cellStyle name="Normal 9 12 2 2" xfId="12270"/>
    <cellStyle name="Normal 9 12 2 2 2" xfId="20141"/>
    <cellStyle name="Normal 9 13" xfId="4956"/>
    <cellStyle name="Normal 9 13 2" xfId="8564"/>
    <cellStyle name="Normal 9 13 2 2" xfId="12271"/>
    <cellStyle name="Normal 9 13 2 2 2" xfId="20142"/>
    <cellStyle name="Normal 9 14" xfId="4957"/>
    <cellStyle name="Normal 9 14 2" xfId="8565"/>
    <cellStyle name="Normal 9 14 2 2" xfId="12272"/>
    <cellStyle name="Normal 9 14 2 2 2" xfId="20143"/>
    <cellStyle name="Normal 9 15" xfId="4958"/>
    <cellStyle name="Normal 9 15 2" xfId="8566"/>
    <cellStyle name="Normal 9 15 2 2" xfId="12273"/>
    <cellStyle name="Normal 9 15 2 2 2" xfId="20144"/>
    <cellStyle name="Normal 9 16" xfId="4959"/>
    <cellStyle name="Normal 9 16 2" xfId="5620"/>
    <cellStyle name="Normal 9 16 2 2" xfId="8568"/>
    <cellStyle name="Normal 9 16 2 2 2" xfId="12274"/>
    <cellStyle name="Normal 9 16 2 2 2 2" xfId="20145"/>
    <cellStyle name="Normal 9 16 3" xfId="8567"/>
    <cellStyle name="Normal 9 16 3 2" xfId="12275"/>
    <cellStyle name="Normal 9 16 3 2 2" xfId="20146"/>
    <cellStyle name="Normal 9 17" xfId="4960"/>
    <cellStyle name="Normal 9 17 2" xfId="8569"/>
    <cellStyle name="Normal 9 17 2 2" xfId="12276"/>
    <cellStyle name="Normal 9 17 2 2 2" xfId="20147"/>
    <cellStyle name="Normal 9 18" xfId="4961"/>
    <cellStyle name="Normal 9 18 10" xfId="16273"/>
    <cellStyle name="Normal 9 18 2" xfId="6087"/>
    <cellStyle name="Normal 9 18 2 2" xfId="8571"/>
    <cellStyle name="Normal 9 18 2 2 2" xfId="12279"/>
    <cellStyle name="Normal 9 18 2 2 2 2" xfId="20150"/>
    <cellStyle name="Normal 9 18 2 3" xfId="7291"/>
    <cellStyle name="Normal 9 18 2 3 2" xfId="12280"/>
    <cellStyle name="Normal 9 18 2 3 2 2" xfId="20151"/>
    <cellStyle name="Normal 9 18 2 3 3" xfId="17538"/>
    <cellStyle name="Normal 9 18 2 4" xfId="12278"/>
    <cellStyle name="Normal 9 18 2 4 2" xfId="20149"/>
    <cellStyle name="Normal 9 18 2 5" xfId="15352"/>
    <cellStyle name="Normal 9 18 2 5 2" xfId="22151"/>
    <cellStyle name="Normal 9 18 2 6" xfId="16742"/>
    <cellStyle name="Normal 9 18 3" xfId="8570"/>
    <cellStyle name="Normal 9 18 3 2" xfId="12281"/>
    <cellStyle name="Normal 9 18 3 2 2" xfId="20152"/>
    <cellStyle name="Normal 9 18 4" xfId="6824"/>
    <cellStyle name="Normal 9 18 4 2" xfId="12282"/>
    <cellStyle name="Normal 9 18 4 2 2" xfId="20153"/>
    <cellStyle name="Normal 9 18 4 3" xfId="17071"/>
    <cellStyle name="Normal 9 18 5" xfId="12277"/>
    <cellStyle name="Normal 9 18 5 2" xfId="20148"/>
    <cellStyle name="Normal 9 18 6" xfId="14768"/>
    <cellStyle name="Normal 9 18 6 2" xfId="21684"/>
    <cellStyle name="Normal 9 18 7" xfId="15624"/>
    <cellStyle name="Normal 9 18 7 2" xfId="22379"/>
    <cellStyle name="Normal 9 18 8" xfId="15824"/>
    <cellStyle name="Normal 9 18 8 2" xfId="22570"/>
    <cellStyle name="Normal 9 18 9" xfId="16055"/>
    <cellStyle name="Normal 9 18 9 2" xfId="22783"/>
    <cellStyle name="Normal 9 19" xfId="6343"/>
    <cellStyle name="Normal 9 19 2" xfId="12283"/>
    <cellStyle name="Normal 9 19 2 2" xfId="20154"/>
    <cellStyle name="Normal 9 19 3" xfId="14588"/>
    <cellStyle name="Normal 9 19 3 2" xfId="21602"/>
    <cellStyle name="Normal 9 19 4" xfId="16901"/>
    <cellStyle name="Normal 9 2" xfId="2926"/>
    <cellStyle name="Normal 9 2 2" xfId="8572"/>
    <cellStyle name="Normal 9 2 2 2" xfId="12284"/>
    <cellStyle name="Normal 9 2 2 2 2" xfId="20155"/>
    <cellStyle name="Normal 9 2 3" xfId="9619"/>
    <cellStyle name="Normal 9 20" xfId="8560"/>
    <cellStyle name="Normal 9 20 2" xfId="12285"/>
    <cellStyle name="Normal 9 20 2 2" xfId="20156"/>
    <cellStyle name="Normal 9 21" xfId="12267"/>
    <cellStyle name="Normal 9 21 2" xfId="20138"/>
    <cellStyle name="Normal 9 22" xfId="13748"/>
    <cellStyle name="Normal 9 22 2" xfId="21424"/>
    <cellStyle name="Normal 9 3" xfId="2927"/>
    <cellStyle name="Normal 9 3 2" xfId="5165"/>
    <cellStyle name="Normal 9 3 2 10" xfId="16274"/>
    <cellStyle name="Normal 9 3 2 2" xfId="6088"/>
    <cellStyle name="Normal 9 3 2 2 2" xfId="8575"/>
    <cellStyle name="Normal 9 3 2 2 2 2" xfId="12289"/>
    <cellStyle name="Normal 9 3 2 2 2 2 2" xfId="20160"/>
    <cellStyle name="Normal 9 3 2 2 3" xfId="7292"/>
    <cellStyle name="Normal 9 3 2 2 3 2" xfId="12290"/>
    <cellStyle name="Normal 9 3 2 2 3 2 2" xfId="20161"/>
    <cellStyle name="Normal 9 3 2 2 3 3" xfId="17539"/>
    <cellStyle name="Normal 9 3 2 2 4" xfId="12288"/>
    <cellStyle name="Normal 9 3 2 2 4 2" xfId="20159"/>
    <cellStyle name="Normal 9 3 2 2 5" xfId="15353"/>
    <cellStyle name="Normal 9 3 2 2 5 2" xfId="22152"/>
    <cellStyle name="Normal 9 3 2 2 6" xfId="16743"/>
    <cellStyle name="Normal 9 3 2 3" xfId="8574"/>
    <cellStyle name="Normal 9 3 2 3 2" xfId="12291"/>
    <cellStyle name="Normal 9 3 2 3 2 2" xfId="20162"/>
    <cellStyle name="Normal 9 3 2 4" xfId="6946"/>
    <cellStyle name="Normal 9 3 2 4 2" xfId="12292"/>
    <cellStyle name="Normal 9 3 2 4 2 2" xfId="20163"/>
    <cellStyle name="Normal 9 3 2 4 3" xfId="17193"/>
    <cellStyle name="Normal 9 3 2 5" xfId="12287"/>
    <cellStyle name="Normal 9 3 2 5 2" xfId="20158"/>
    <cellStyle name="Normal 9 3 2 6" xfId="14902"/>
    <cellStyle name="Normal 9 3 2 6 2" xfId="21806"/>
    <cellStyle name="Normal 9 3 2 7" xfId="15625"/>
    <cellStyle name="Normal 9 3 2 7 2" xfId="22380"/>
    <cellStyle name="Normal 9 3 2 8" xfId="15825"/>
    <cellStyle name="Normal 9 3 2 8 2" xfId="22571"/>
    <cellStyle name="Normal 9 3 2 9" xfId="16056"/>
    <cellStyle name="Normal 9 3 2 9 2" xfId="22784"/>
    <cellStyle name="Normal 9 3 3" xfId="5571"/>
    <cellStyle name="Normal 9 3 3 2" xfId="8576"/>
    <cellStyle name="Normal 9 3 3 2 2" xfId="12293"/>
    <cellStyle name="Normal 9 3 3 2 2 2" xfId="20164"/>
    <cellStyle name="Normal 9 3 4" xfId="6344"/>
    <cellStyle name="Normal 9 3 4 2" xfId="12294"/>
    <cellStyle name="Normal 9 3 4 2 2" xfId="20165"/>
    <cellStyle name="Normal 9 3 4 3" xfId="14589"/>
    <cellStyle name="Normal 9 3 4 3 2" xfId="21603"/>
    <cellStyle name="Normal 9 3 4 4" xfId="16902"/>
    <cellStyle name="Normal 9 3 5" xfId="8573"/>
    <cellStyle name="Normal 9 3 5 2" xfId="12295"/>
    <cellStyle name="Normal 9 3 5 2 2" xfId="20166"/>
    <cellStyle name="Normal 9 3 6" xfId="9812"/>
    <cellStyle name="Normal 9 3 7" xfId="12286"/>
    <cellStyle name="Normal 9 3 7 2" xfId="20157"/>
    <cellStyle name="Normal 9 3 8" xfId="13749"/>
    <cellStyle name="Normal 9 3 8 2" xfId="21425"/>
    <cellStyle name="Normal 9 4" xfId="2928"/>
    <cellStyle name="Normal 9 4 2" xfId="4962"/>
    <cellStyle name="Normal 9 4 2 2" xfId="8578"/>
    <cellStyle name="Normal 9 4 2 2 2" xfId="12296"/>
    <cellStyle name="Normal 9 4 2 2 2 2" xfId="20167"/>
    <cellStyle name="Normal 9 4 3" xfId="5572"/>
    <cellStyle name="Normal 9 4 3 2" xfId="8579"/>
    <cellStyle name="Normal 9 4 3 2 2" xfId="12297"/>
    <cellStyle name="Normal 9 4 3 2 2 2" xfId="20168"/>
    <cellStyle name="Normal 9 4 4" xfId="6684"/>
    <cellStyle name="Normal 9 4 5" xfId="8577"/>
    <cellStyle name="Normal 9 4 5 2" xfId="12298"/>
    <cellStyle name="Normal 9 4 5 2 2" xfId="20169"/>
    <cellStyle name="Normal 9 5" xfId="5163"/>
    <cellStyle name="Normal 9 5 2" xfId="5573"/>
    <cellStyle name="Normal 9 5 2 2" xfId="8581"/>
    <cellStyle name="Normal 9 5 2 2 2" xfId="12300"/>
    <cellStyle name="Normal 9 5 2 2 2 2" xfId="20171"/>
    <cellStyle name="Normal 9 5 3" xfId="6945"/>
    <cellStyle name="Normal 9 5 3 2" xfId="12301"/>
    <cellStyle name="Normal 9 5 3 2 2" xfId="20172"/>
    <cellStyle name="Normal 9 5 3 3" xfId="14901"/>
    <cellStyle name="Normal 9 5 3 3 2" xfId="21805"/>
    <cellStyle name="Normal 9 5 3 4" xfId="17192"/>
    <cellStyle name="Normal 9 5 4" xfId="8580"/>
    <cellStyle name="Normal 9 5 4 2" xfId="12302"/>
    <cellStyle name="Normal 9 5 4 2 2" xfId="20173"/>
    <cellStyle name="Normal 9 5 5" xfId="12299"/>
    <cellStyle name="Normal 9 5 5 2" xfId="20170"/>
    <cellStyle name="Normal 9 5 6" xfId="16403"/>
    <cellStyle name="Normal 9 6" xfId="4963"/>
    <cellStyle name="Normal 9 6 2" xfId="8582"/>
    <cellStyle name="Normal 9 6 2 2" xfId="12303"/>
    <cellStyle name="Normal 9 6 2 2 2" xfId="20174"/>
    <cellStyle name="Normal 9 7" xfId="4964"/>
    <cellStyle name="Normal 9 7 2" xfId="8583"/>
    <cellStyle name="Normal 9 7 2 2" xfId="12304"/>
    <cellStyle name="Normal 9 7 2 2 2" xfId="20175"/>
    <cellStyle name="Normal 9 8" xfId="4965"/>
    <cellStyle name="Normal 9 8 2" xfId="8584"/>
    <cellStyle name="Normal 9 8 2 2" xfId="12305"/>
    <cellStyle name="Normal 9 8 2 2 2" xfId="20176"/>
    <cellStyle name="Normal 9 9" xfId="4966"/>
    <cellStyle name="Normal 9 9 2" xfId="8585"/>
    <cellStyle name="Normal 9 9 2 2" xfId="12306"/>
    <cellStyle name="Normal 9 9 2 2 2" xfId="20177"/>
    <cellStyle name="Normal 9_Schedule May 2011" xfId="2929"/>
    <cellStyle name="Normal 90" xfId="2930"/>
    <cellStyle name="Normal 90 2" xfId="4967"/>
    <cellStyle name="Normal 90 2 2" xfId="8587"/>
    <cellStyle name="Normal 90 2 2 2" xfId="12307"/>
    <cellStyle name="Normal 90 2 2 2 2" xfId="20178"/>
    <cellStyle name="Normal 90 3" xfId="5574"/>
    <cellStyle name="Normal 90 3 2" xfId="8588"/>
    <cellStyle name="Normal 90 3 2 2" xfId="12308"/>
    <cellStyle name="Normal 90 3 2 2 2" xfId="20179"/>
    <cellStyle name="Normal 90 4" xfId="6685"/>
    <cellStyle name="Normal 90 5" xfId="8586"/>
    <cellStyle name="Normal 90 5 2" xfId="12309"/>
    <cellStyle name="Normal 90 5 2 2" xfId="20180"/>
    <cellStyle name="Normal 91" xfId="2931"/>
    <cellStyle name="Normal 91 2" xfId="4968"/>
    <cellStyle name="Normal 91 2 2" xfId="8590"/>
    <cellStyle name="Normal 91 2 2 2" xfId="12310"/>
    <cellStyle name="Normal 91 2 2 2 2" xfId="20181"/>
    <cellStyle name="Normal 91 3" xfId="5575"/>
    <cellStyle name="Normal 91 3 2" xfId="8591"/>
    <cellStyle name="Normal 91 3 2 2" xfId="12311"/>
    <cellStyle name="Normal 91 3 2 2 2" xfId="20182"/>
    <cellStyle name="Normal 91 4" xfId="6686"/>
    <cellStyle name="Normal 91 5" xfId="8589"/>
    <cellStyle name="Normal 91 5 2" xfId="12312"/>
    <cellStyle name="Normal 91 5 2 2" xfId="20183"/>
    <cellStyle name="Normal 92" xfId="2932"/>
    <cellStyle name="Normal 92 2" xfId="4969"/>
    <cellStyle name="Normal 92 2 2" xfId="8593"/>
    <cellStyle name="Normal 92 2 2 2" xfId="12313"/>
    <cellStyle name="Normal 92 2 2 2 2" xfId="20184"/>
    <cellStyle name="Normal 92 3" xfId="5576"/>
    <cellStyle name="Normal 92 3 2" xfId="8594"/>
    <cellStyle name="Normal 92 3 2 2" xfId="12314"/>
    <cellStyle name="Normal 92 3 2 2 2" xfId="20185"/>
    <cellStyle name="Normal 92 4" xfId="6687"/>
    <cellStyle name="Normal 92 5" xfId="8592"/>
    <cellStyle name="Normal 92 5 2" xfId="12315"/>
    <cellStyle name="Normal 92 5 2 2" xfId="20186"/>
    <cellStyle name="Normal 93" xfId="2933"/>
    <cellStyle name="Normal 93 2" xfId="4970"/>
    <cellStyle name="Normal 93 2 2" xfId="8596"/>
    <cellStyle name="Normal 93 2 2 2" xfId="12316"/>
    <cellStyle name="Normal 93 2 2 2 2" xfId="20187"/>
    <cellStyle name="Normal 93 3" xfId="5577"/>
    <cellStyle name="Normal 93 3 2" xfId="8597"/>
    <cellStyle name="Normal 93 3 2 2" xfId="12317"/>
    <cellStyle name="Normal 93 3 2 2 2" xfId="20188"/>
    <cellStyle name="Normal 93 4" xfId="6688"/>
    <cellStyle name="Normal 93 5" xfId="8595"/>
    <cellStyle name="Normal 93 5 2" xfId="12318"/>
    <cellStyle name="Normal 93 5 2 2" xfId="20189"/>
    <cellStyle name="Normal 94" xfId="2934"/>
    <cellStyle name="Normal 94 2" xfId="5168"/>
    <cellStyle name="Normal 94 2 10" xfId="16275"/>
    <cellStyle name="Normal 94 2 2" xfId="6089"/>
    <cellStyle name="Normal 94 2 2 2" xfId="8600"/>
    <cellStyle name="Normal 94 2 2 2 2" xfId="12322"/>
    <cellStyle name="Normal 94 2 2 2 2 2" xfId="20193"/>
    <cellStyle name="Normal 94 2 2 3" xfId="7293"/>
    <cellStyle name="Normal 94 2 2 3 2" xfId="12323"/>
    <cellStyle name="Normal 94 2 2 3 2 2" xfId="20194"/>
    <cellStyle name="Normal 94 2 2 3 3" xfId="17540"/>
    <cellStyle name="Normal 94 2 2 4" xfId="12321"/>
    <cellStyle name="Normal 94 2 2 4 2" xfId="20192"/>
    <cellStyle name="Normal 94 2 2 5" xfId="15354"/>
    <cellStyle name="Normal 94 2 2 5 2" xfId="22153"/>
    <cellStyle name="Normal 94 2 2 6" xfId="16744"/>
    <cellStyle name="Normal 94 2 3" xfId="8599"/>
    <cellStyle name="Normal 94 2 3 2" xfId="12324"/>
    <cellStyle name="Normal 94 2 3 2 2" xfId="20195"/>
    <cellStyle name="Normal 94 2 4" xfId="6947"/>
    <cellStyle name="Normal 94 2 4 2" xfId="12325"/>
    <cellStyle name="Normal 94 2 4 2 2" xfId="20196"/>
    <cellStyle name="Normal 94 2 4 3" xfId="17194"/>
    <cellStyle name="Normal 94 2 5" xfId="12320"/>
    <cellStyle name="Normal 94 2 5 2" xfId="20191"/>
    <cellStyle name="Normal 94 2 6" xfId="14904"/>
    <cellStyle name="Normal 94 2 6 2" xfId="21807"/>
    <cellStyle name="Normal 94 2 7" xfId="15626"/>
    <cellStyle name="Normal 94 2 7 2" xfId="22381"/>
    <cellStyle name="Normal 94 2 8" xfId="15826"/>
    <cellStyle name="Normal 94 2 8 2" xfId="22572"/>
    <cellStyle name="Normal 94 2 9" xfId="16057"/>
    <cellStyle name="Normal 94 2 9 2" xfId="22785"/>
    <cellStyle name="Normal 94 3" xfId="5578"/>
    <cellStyle name="Normal 94 3 2" xfId="8601"/>
    <cellStyle name="Normal 94 3 2 2" xfId="12326"/>
    <cellStyle name="Normal 94 3 2 2 2" xfId="20197"/>
    <cellStyle name="Normal 94 4" xfId="6345"/>
    <cellStyle name="Normal 94 4 2" xfId="12327"/>
    <cellStyle name="Normal 94 4 2 2" xfId="20198"/>
    <cellStyle name="Normal 94 4 3" xfId="14590"/>
    <cellStyle name="Normal 94 4 3 2" xfId="21604"/>
    <cellStyle name="Normal 94 4 4" xfId="16903"/>
    <cellStyle name="Normal 94 5" xfId="8598"/>
    <cellStyle name="Normal 94 5 2" xfId="12328"/>
    <cellStyle name="Normal 94 5 2 2" xfId="20199"/>
    <cellStyle name="Normal 94 6" xfId="12319"/>
    <cellStyle name="Normal 94 6 2" xfId="20190"/>
    <cellStyle name="Normal 94 7" xfId="13750"/>
    <cellStyle name="Normal 94 7 2" xfId="21426"/>
    <cellStyle name="Normal 95" xfId="2935"/>
    <cellStyle name="Normal 95 2" xfId="5169"/>
    <cellStyle name="Normal 95 2 10" xfId="16276"/>
    <cellStyle name="Normal 95 2 2" xfId="6090"/>
    <cellStyle name="Normal 95 2 2 2" xfId="8604"/>
    <cellStyle name="Normal 95 2 2 2 2" xfId="12332"/>
    <cellStyle name="Normal 95 2 2 2 2 2" xfId="20203"/>
    <cellStyle name="Normal 95 2 2 3" xfId="7294"/>
    <cellStyle name="Normal 95 2 2 3 2" xfId="12333"/>
    <cellStyle name="Normal 95 2 2 3 2 2" xfId="20204"/>
    <cellStyle name="Normal 95 2 2 3 3" xfId="17541"/>
    <cellStyle name="Normal 95 2 2 4" xfId="12331"/>
    <cellStyle name="Normal 95 2 2 4 2" xfId="20202"/>
    <cellStyle name="Normal 95 2 2 5" xfId="15355"/>
    <cellStyle name="Normal 95 2 2 5 2" xfId="22154"/>
    <cellStyle name="Normal 95 2 2 6" xfId="16745"/>
    <cellStyle name="Normal 95 2 3" xfId="8603"/>
    <cellStyle name="Normal 95 2 3 2" xfId="12334"/>
    <cellStyle name="Normal 95 2 3 2 2" xfId="20205"/>
    <cellStyle name="Normal 95 2 4" xfId="6948"/>
    <cellStyle name="Normal 95 2 4 2" xfId="12335"/>
    <cellStyle name="Normal 95 2 4 2 2" xfId="20206"/>
    <cellStyle name="Normal 95 2 4 3" xfId="17195"/>
    <cellStyle name="Normal 95 2 5" xfId="12330"/>
    <cellStyle name="Normal 95 2 5 2" xfId="20201"/>
    <cellStyle name="Normal 95 2 6" xfId="14905"/>
    <cellStyle name="Normal 95 2 6 2" xfId="21808"/>
    <cellStyle name="Normal 95 2 7" xfId="15627"/>
    <cellStyle name="Normal 95 2 7 2" xfId="22382"/>
    <cellStyle name="Normal 95 2 8" xfId="15827"/>
    <cellStyle name="Normal 95 2 8 2" xfId="22573"/>
    <cellStyle name="Normal 95 2 9" xfId="16058"/>
    <cellStyle name="Normal 95 2 9 2" xfId="22786"/>
    <cellStyle name="Normal 95 3" xfId="5579"/>
    <cellStyle name="Normal 95 3 2" xfId="8605"/>
    <cellStyle name="Normal 95 3 2 2" xfId="12336"/>
    <cellStyle name="Normal 95 3 2 2 2" xfId="20207"/>
    <cellStyle name="Normal 95 4" xfId="6346"/>
    <cellStyle name="Normal 95 4 2" xfId="12337"/>
    <cellStyle name="Normal 95 4 2 2" xfId="20208"/>
    <cellStyle name="Normal 95 4 3" xfId="14591"/>
    <cellStyle name="Normal 95 4 3 2" xfId="21605"/>
    <cellStyle name="Normal 95 4 4" xfId="16904"/>
    <cellStyle name="Normal 95 5" xfId="8602"/>
    <cellStyle name="Normal 95 5 2" xfId="12338"/>
    <cellStyle name="Normal 95 5 2 2" xfId="20209"/>
    <cellStyle name="Normal 95 6" xfId="12329"/>
    <cellStyle name="Normal 95 6 2" xfId="20200"/>
    <cellStyle name="Normal 95 7" xfId="13751"/>
    <cellStyle name="Normal 95 7 2" xfId="21427"/>
    <cellStyle name="Normal 96" xfId="2936"/>
    <cellStyle name="Normal 96 2" xfId="8606"/>
    <cellStyle name="Normal 96 2 2" xfId="12339"/>
    <cellStyle name="Normal 96 2 2 2" xfId="20210"/>
    <cellStyle name="Normal 97" xfId="2937"/>
    <cellStyle name="Normal 97 2" xfId="8607"/>
    <cellStyle name="Normal 97 2 2" xfId="12340"/>
    <cellStyle name="Normal 97 2 2 2" xfId="20211"/>
    <cellStyle name="Normal 98" xfId="2938"/>
    <cellStyle name="Normal 98 2" xfId="8608"/>
    <cellStyle name="Normal 98 2 2" xfId="12341"/>
    <cellStyle name="Normal 98 2 2 2" xfId="20212"/>
    <cellStyle name="Normal 99" xfId="2939"/>
    <cellStyle name="Normal 99 2" xfId="8609"/>
    <cellStyle name="Normal 99 2 2" xfId="12342"/>
    <cellStyle name="Normal 99 2 2 2" xfId="20213"/>
    <cellStyle name="Normal Bold" xfId="2940"/>
    <cellStyle name="Normal Bold 2" xfId="8610"/>
    <cellStyle name="Normal Bold 2 2" xfId="12343"/>
    <cellStyle name="Normal Bold 2 2 2" xfId="20214"/>
    <cellStyle name="Normal_1EPCOR Transmission Assets 031009" xfId="2941"/>
    <cellStyle name="Normal_barry" xfId="13457"/>
    <cellStyle name="Normal_transposed 1ENMAX 2002 COSS Filing Information FINAL" xfId="2942"/>
    <cellStyle name="Normal8" xfId="2943"/>
    <cellStyle name="Normal8 10" xfId="8611"/>
    <cellStyle name="Normal8 10 2" xfId="12344"/>
    <cellStyle name="Normal8 10 2 2" xfId="20215"/>
    <cellStyle name="Normal8 2" xfId="4971"/>
    <cellStyle name="Normal8 2 2" xfId="4972"/>
    <cellStyle name="Normal8 2 2 2" xfId="8613"/>
    <cellStyle name="Normal8 2 2 2 2" xfId="12345"/>
    <cellStyle name="Normal8 2 2 2 2 2" xfId="20216"/>
    <cellStyle name="Normal8 2 3" xfId="8612"/>
    <cellStyle name="Normal8 2 3 2" xfId="12346"/>
    <cellStyle name="Normal8 2 3 2 2" xfId="20217"/>
    <cellStyle name="Normal8 3" xfId="4973"/>
    <cellStyle name="Normal8 3 2" xfId="4974"/>
    <cellStyle name="Normal8 3 2 2" xfId="8615"/>
    <cellStyle name="Normal8 3 2 2 2" xfId="12347"/>
    <cellStyle name="Normal8 3 2 2 2 2" xfId="20218"/>
    <cellStyle name="Normal8 3 3" xfId="8614"/>
    <cellStyle name="Normal8 3 3 2" xfId="12348"/>
    <cellStyle name="Normal8 3 3 2 2" xfId="20219"/>
    <cellStyle name="Normal8 4" xfId="4975"/>
    <cellStyle name="Normal8 4 2" xfId="8616"/>
    <cellStyle name="Normal8 4 2 2" xfId="12349"/>
    <cellStyle name="Normal8 4 2 2 2" xfId="20220"/>
    <cellStyle name="Normal8 5" xfId="4976"/>
    <cellStyle name="Normal8 5 2" xfId="8617"/>
    <cellStyle name="Normal8 5 2 2" xfId="12350"/>
    <cellStyle name="Normal8 5 2 2 2" xfId="20221"/>
    <cellStyle name="Normal8 6" xfId="4977"/>
    <cellStyle name="Normal8 6 2" xfId="8618"/>
    <cellStyle name="Normal8 6 2 2" xfId="12351"/>
    <cellStyle name="Normal8 6 2 2 2" xfId="20222"/>
    <cellStyle name="Normal8 7" xfId="4978"/>
    <cellStyle name="Normal8 7 2" xfId="8619"/>
    <cellStyle name="Normal8 7 2 2" xfId="12352"/>
    <cellStyle name="Normal8 7 2 2 2" xfId="20223"/>
    <cellStyle name="Normal8 8" xfId="4979"/>
    <cellStyle name="Normal8 8 2" xfId="8620"/>
    <cellStyle name="Normal8 8 2 2" xfId="12353"/>
    <cellStyle name="Normal8 8 2 2 2" xfId="20224"/>
    <cellStyle name="Normal8 9" xfId="6689"/>
    <cellStyle name="Normal8_2011 Q2 CAM True Up - comparison btwn 12Sep11 and 21June11" xfId="4980"/>
    <cellStyle name="Note 10" xfId="2944"/>
    <cellStyle name="Note 10 2" xfId="8621"/>
    <cellStyle name="Note 10 2 2" xfId="12354"/>
    <cellStyle name="Note 10 2 2 2" xfId="20225"/>
    <cellStyle name="Note 10 3" xfId="13752"/>
    <cellStyle name="Note 11" xfId="2945"/>
    <cellStyle name="Note 11 2" xfId="8622"/>
    <cellStyle name="Note 11 2 2" xfId="12355"/>
    <cellStyle name="Note 11 2 2 2" xfId="20226"/>
    <cellStyle name="Note 11 3" xfId="13753"/>
    <cellStyle name="Note 12" xfId="2946"/>
    <cellStyle name="Note 12 2" xfId="8623"/>
    <cellStyle name="Note 12 2 2" xfId="12356"/>
    <cellStyle name="Note 12 2 2 2" xfId="20227"/>
    <cellStyle name="Note 12 3" xfId="13754"/>
    <cellStyle name="Note 13" xfId="2947"/>
    <cellStyle name="Note 13 2" xfId="8624"/>
    <cellStyle name="Note 13 2 2" xfId="12357"/>
    <cellStyle name="Note 13 2 2 2" xfId="20228"/>
    <cellStyle name="Note 13 3" xfId="13755"/>
    <cellStyle name="Note 14" xfId="2948"/>
    <cellStyle name="Note 14 2" xfId="8625"/>
    <cellStyle name="Note 14 2 2" xfId="12358"/>
    <cellStyle name="Note 14 2 2 2" xfId="20229"/>
    <cellStyle name="Note 14 3" xfId="13756"/>
    <cellStyle name="Note 15" xfId="2949"/>
    <cellStyle name="Note 15 2" xfId="8626"/>
    <cellStyle name="Note 15 2 2" xfId="12359"/>
    <cellStyle name="Note 15 2 2 2" xfId="20230"/>
    <cellStyle name="Note 15 3" xfId="13757"/>
    <cellStyle name="Note 16" xfId="2950"/>
    <cellStyle name="Note 16 2" xfId="8627"/>
    <cellStyle name="Note 16 2 2" xfId="12360"/>
    <cellStyle name="Note 16 2 2 2" xfId="20231"/>
    <cellStyle name="Note 16 3" xfId="13758"/>
    <cellStyle name="Note 17" xfId="2951"/>
    <cellStyle name="Note 17 2" xfId="8628"/>
    <cellStyle name="Note 17 2 2" xfId="12361"/>
    <cellStyle name="Note 17 2 2 2" xfId="20232"/>
    <cellStyle name="Note 17 3" xfId="13759"/>
    <cellStyle name="Note 18" xfId="2952"/>
    <cellStyle name="Note 18 2" xfId="8629"/>
    <cellStyle name="Note 18 2 2" xfId="12362"/>
    <cellStyle name="Note 18 2 2 2" xfId="20233"/>
    <cellStyle name="Note 18 3" xfId="13760"/>
    <cellStyle name="Note 19" xfId="2953"/>
    <cellStyle name="Note 19 2" xfId="8630"/>
    <cellStyle name="Note 19 2 2" xfId="12363"/>
    <cellStyle name="Note 19 2 2 2" xfId="20234"/>
    <cellStyle name="Note 19 3" xfId="13761"/>
    <cellStyle name="Note 2" xfId="2954"/>
    <cellStyle name="Note 2 2" xfId="2955"/>
    <cellStyle name="Note 2 2 2" xfId="2956"/>
    <cellStyle name="Note 2 2 2 2" xfId="2957"/>
    <cellStyle name="Note 2 2 2 2 2" xfId="8634"/>
    <cellStyle name="Note 2 2 2 2 2 2" xfId="12364"/>
    <cellStyle name="Note 2 2 2 2 2 2 2" xfId="20235"/>
    <cellStyle name="Note 2 2 2 2 3" xfId="6692"/>
    <cellStyle name="Note 2 2 2 3" xfId="5175"/>
    <cellStyle name="Note 2 2 2 3 2" xfId="8635"/>
    <cellStyle name="Note 2 2 2 3 2 2" xfId="12366"/>
    <cellStyle name="Note 2 2 2 3 2 2 2" xfId="20237"/>
    <cellStyle name="Note 2 2 2 3 3" xfId="6951"/>
    <cellStyle name="Note 2 2 2 3 3 2" xfId="12367"/>
    <cellStyle name="Note 2 2 2 3 3 2 2" xfId="20238"/>
    <cellStyle name="Note 2 2 2 3 3 3" xfId="17198"/>
    <cellStyle name="Note 2 2 2 3 4" xfId="12365"/>
    <cellStyle name="Note 2 2 2 3 4 2" xfId="20236"/>
    <cellStyle name="Note 2 2 2 3 5" xfId="14911"/>
    <cellStyle name="Note 2 2 2 3 5 2" xfId="21811"/>
    <cellStyle name="Note 2 2 2 3 6" xfId="16406"/>
    <cellStyle name="Note 2 2 2 4" xfId="5683"/>
    <cellStyle name="Note 2 2 2 4 2" xfId="8636"/>
    <cellStyle name="Note 2 2 2 4 2 2" xfId="12368"/>
    <cellStyle name="Note 2 2 2 4 2 2 2" xfId="20239"/>
    <cellStyle name="Note 2 2 2 5" xfId="6348"/>
    <cellStyle name="Note 2 2 2 5 2" xfId="8633"/>
    <cellStyle name="Note 2 2 2 5 2 2" xfId="12370"/>
    <cellStyle name="Note 2 2 2 5 2 2 2" xfId="20241"/>
    <cellStyle name="Note 2 2 2 5 3" xfId="12369"/>
    <cellStyle name="Note 2 2 2 5 3 2" xfId="20240"/>
    <cellStyle name="Note 2 2 2 5 4" xfId="16906"/>
    <cellStyle name="Note 2 2 2 6" xfId="9764"/>
    <cellStyle name="Note 2 2 2 6 2" xfId="17681"/>
    <cellStyle name="Note 2 2 2 7" xfId="15420"/>
    <cellStyle name="Note 2 2 3" xfId="2958"/>
    <cellStyle name="Note 2 2 3 2" xfId="5682"/>
    <cellStyle name="Note 2 2 3 2 2" xfId="8638"/>
    <cellStyle name="Note 2 2 3 2 2 2" xfId="12371"/>
    <cellStyle name="Note 2 2 3 2 2 2 2" xfId="20242"/>
    <cellStyle name="Note 2 2 3 3" xfId="8637"/>
    <cellStyle name="Note 2 2 3 3 2" xfId="12372"/>
    <cellStyle name="Note 2 2 3 3 2 2" xfId="20243"/>
    <cellStyle name="Note 2 2 4" xfId="5174"/>
    <cellStyle name="Note 2 2 4 2" xfId="8639"/>
    <cellStyle name="Note 2 2 4 2 2" xfId="12374"/>
    <cellStyle name="Note 2 2 4 2 2 2" xfId="20245"/>
    <cellStyle name="Note 2 2 4 3" xfId="6950"/>
    <cellStyle name="Note 2 2 4 3 2" xfId="12375"/>
    <cellStyle name="Note 2 2 4 3 2 2" xfId="20246"/>
    <cellStyle name="Note 2 2 4 3 3" xfId="17197"/>
    <cellStyle name="Note 2 2 4 4" xfId="12373"/>
    <cellStyle name="Note 2 2 4 4 2" xfId="20244"/>
    <cellStyle name="Note 2 2 4 5" xfId="14910"/>
    <cellStyle name="Note 2 2 4 5 2" xfId="21810"/>
    <cellStyle name="Note 2 2 4 6" xfId="16405"/>
    <cellStyle name="Note 2 2 5" xfId="5581"/>
    <cellStyle name="Note 2 2 5 2" xfId="8640"/>
    <cellStyle name="Note 2 2 5 2 2" xfId="12376"/>
    <cellStyle name="Note 2 2 5 2 2 2" xfId="20247"/>
    <cellStyle name="Note 2 2 5 3" xfId="15029"/>
    <cellStyle name="Note 2 2 6" xfId="6347"/>
    <cellStyle name="Note 2 2 6 2" xfId="6691"/>
    <cellStyle name="Note 2 2 6 3" xfId="12377"/>
    <cellStyle name="Note 2 2 6 3 2" xfId="20248"/>
    <cellStyle name="Note 2 2 6 4" xfId="16905"/>
    <cellStyle name="Note 2 2 7" xfId="8632"/>
    <cellStyle name="Note 2 2 7 2" xfId="12378"/>
    <cellStyle name="Note 2 2 7 2 2" xfId="20249"/>
    <cellStyle name="Note 2 2 8" xfId="14365"/>
    <cellStyle name="Note 2 3" xfId="2959"/>
    <cellStyle name="Note 2 3 2" xfId="8641"/>
    <cellStyle name="Note 2 3 2 2" xfId="12379"/>
    <cellStyle name="Note 2 3 2 2 2" xfId="20250"/>
    <cellStyle name="Note 2 3 3" xfId="14364"/>
    <cellStyle name="Note 2 4" xfId="4981"/>
    <cellStyle name="Note 2 4 2" xfId="8642"/>
    <cellStyle name="Note 2 4 2 2" xfId="12380"/>
    <cellStyle name="Note 2 4 2 2 2" xfId="20251"/>
    <cellStyle name="Note 2 5" xfId="4982"/>
    <cellStyle name="Note 2 5 2" xfId="8643"/>
    <cellStyle name="Note 2 5 2 2" xfId="12381"/>
    <cellStyle name="Note 2 5 2 2 2" xfId="20252"/>
    <cellStyle name="Note 2 5 3" xfId="14769"/>
    <cellStyle name="Note 2 6" xfId="6690"/>
    <cellStyle name="Note 2 6 2" xfId="14592"/>
    <cellStyle name="Note 2 7" xfId="8631"/>
    <cellStyle name="Note 2 7 2" xfId="12382"/>
    <cellStyle name="Note 2 7 2 2" xfId="20253"/>
    <cellStyle name="Note 2 8" xfId="13762"/>
    <cellStyle name="Note 2_Sheet2" xfId="2960"/>
    <cellStyle name="Note 20" xfId="2961"/>
    <cellStyle name="Note 20 2" xfId="8644"/>
    <cellStyle name="Note 20 2 2" xfId="12383"/>
    <cellStyle name="Note 20 2 2 2" xfId="20254"/>
    <cellStyle name="Note 20 3" xfId="13763"/>
    <cellStyle name="Note 21" xfId="2962"/>
    <cellStyle name="Note 21 2" xfId="8645"/>
    <cellStyle name="Note 21 2 2" xfId="12384"/>
    <cellStyle name="Note 21 2 2 2" xfId="20255"/>
    <cellStyle name="Note 21 3" xfId="13764"/>
    <cellStyle name="Note 22" xfId="2963"/>
    <cellStyle name="Note 22 2" xfId="2964"/>
    <cellStyle name="Note 22 2 2" xfId="8647"/>
    <cellStyle name="Note 22 2 2 2" xfId="12385"/>
    <cellStyle name="Note 22 2 2 2 2" xfId="20256"/>
    <cellStyle name="Note 22 2 3" xfId="13766"/>
    <cellStyle name="Note 22 3" xfId="8646"/>
    <cellStyle name="Note 22 3 2" xfId="12386"/>
    <cellStyle name="Note 22 3 2 2" xfId="20257"/>
    <cellStyle name="Note 22 4" xfId="13765"/>
    <cellStyle name="Note 23" xfId="2965"/>
    <cellStyle name="Note 23 2" xfId="2966"/>
    <cellStyle name="Note 23 2 2" xfId="8649"/>
    <cellStyle name="Note 23 2 2 2" xfId="12387"/>
    <cellStyle name="Note 23 2 2 2 2" xfId="20258"/>
    <cellStyle name="Note 23 2 3" xfId="13768"/>
    <cellStyle name="Note 23 3" xfId="8648"/>
    <cellStyle name="Note 23 3 2" xfId="12388"/>
    <cellStyle name="Note 23 3 2 2" xfId="20259"/>
    <cellStyle name="Note 23 4" xfId="13767"/>
    <cellStyle name="Note 24" xfId="2967"/>
    <cellStyle name="Note 24 2" xfId="2968"/>
    <cellStyle name="Note 24 2 2" xfId="8651"/>
    <cellStyle name="Note 24 2 2 2" xfId="12389"/>
    <cellStyle name="Note 24 2 2 2 2" xfId="20260"/>
    <cellStyle name="Note 24 2 3" xfId="13770"/>
    <cellStyle name="Note 24 3" xfId="8650"/>
    <cellStyle name="Note 24 3 2" xfId="12390"/>
    <cellStyle name="Note 24 3 2 2" xfId="20261"/>
    <cellStyle name="Note 24 4" xfId="13769"/>
    <cellStyle name="Note 25" xfId="2969"/>
    <cellStyle name="Note 25 2" xfId="2970"/>
    <cellStyle name="Note 25 2 2" xfId="8653"/>
    <cellStyle name="Note 25 2 2 2" xfId="12391"/>
    <cellStyle name="Note 25 2 2 2 2" xfId="20262"/>
    <cellStyle name="Note 25 2 3" xfId="13772"/>
    <cellStyle name="Note 25 3" xfId="8652"/>
    <cellStyle name="Note 25 3 2" xfId="12392"/>
    <cellStyle name="Note 25 3 2 2" xfId="20263"/>
    <cellStyle name="Note 25 4" xfId="13771"/>
    <cellStyle name="Note 26" xfId="2971"/>
    <cellStyle name="Note 26 2" xfId="2972"/>
    <cellStyle name="Note 26 2 2" xfId="8655"/>
    <cellStyle name="Note 26 2 2 2" xfId="12393"/>
    <cellStyle name="Note 26 2 2 2 2" xfId="20264"/>
    <cellStyle name="Note 26 2 3" xfId="13774"/>
    <cellStyle name="Note 26 3" xfId="8654"/>
    <cellStyle name="Note 26 3 2" xfId="12394"/>
    <cellStyle name="Note 26 3 2 2" xfId="20265"/>
    <cellStyle name="Note 26 4" xfId="13773"/>
    <cellStyle name="Note 27" xfId="2973"/>
    <cellStyle name="Note 27 2" xfId="2974"/>
    <cellStyle name="Note 27 2 2" xfId="8657"/>
    <cellStyle name="Note 27 2 2 2" xfId="12395"/>
    <cellStyle name="Note 27 2 2 2 2" xfId="20266"/>
    <cellStyle name="Note 27 2 3" xfId="13776"/>
    <cellStyle name="Note 27 3" xfId="8656"/>
    <cellStyle name="Note 27 3 2" xfId="12396"/>
    <cellStyle name="Note 27 3 2 2" xfId="20267"/>
    <cellStyle name="Note 27 4" xfId="13775"/>
    <cellStyle name="Note 28" xfId="2975"/>
    <cellStyle name="Note 28 2" xfId="2976"/>
    <cellStyle name="Note 28 2 2" xfId="8659"/>
    <cellStyle name="Note 28 2 2 2" xfId="12397"/>
    <cellStyle name="Note 28 2 2 2 2" xfId="20268"/>
    <cellStyle name="Note 28 2 3" xfId="13778"/>
    <cellStyle name="Note 28 3" xfId="8658"/>
    <cellStyle name="Note 28 3 2" xfId="12398"/>
    <cellStyle name="Note 28 3 2 2" xfId="20269"/>
    <cellStyle name="Note 28 4" xfId="13777"/>
    <cellStyle name="Note 29" xfId="2977"/>
    <cellStyle name="Note 29 2" xfId="2978"/>
    <cellStyle name="Note 29 2 2" xfId="8661"/>
    <cellStyle name="Note 29 2 2 2" xfId="12399"/>
    <cellStyle name="Note 29 2 2 2 2" xfId="20270"/>
    <cellStyle name="Note 29 2 3" xfId="13780"/>
    <cellStyle name="Note 29 3" xfId="8660"/>
    <cellStyle name="Note 29 3 2" xfId="12400"/>
    <cellStyle name="Note 29 3 2 2" xfId="20271"/>
    <cellStyle name="Note 29 4" xfId="13779"/>
    <cellStyle name="Note 3" xfId="2979"/>
    <cellStyle name="Note 3 2" xfId="2980"/>
    <cellStyle name="Note 3 2 2" xfId="2981"/>
    <cellStyle name="Note 3 2 2 2" xfId="2982"/>
    <cellStyle name="Note 3 2 2 2 2" xfId="8665"/>
    <cellStyle name="Note 3 2 2 2 2 2" xfId="12401"/>
    <cellStyle name="Note 3 2 2 2 2 2 2" xfId="20272"/>
    <cellStyle name="Note 3 2 2 2 3" xfId="6694"/>
    <cellStyle name="Note 3 2 2 3" xfId="5180"/>
    <cellStyle name="Note 3 2 2 3 2" xfId="8666"/>
    <cellStyle name="Note 3 2 2 3 2 2" xfId="12403"/>
    <cellStyle name="Note 3 2 2 3 2 2 2" xfId="20274"/>
    <cellStyle name="Note 3 2 2 3 3" xfId="6953"/>
    <cellStyle name="Note 3 2 2 3 3 2" xfId="12404"/>
    <cellStyle name="Note 3 2 2 3 3 2 2" xfId="20275"/>
    <cellStyle name="Note 3 2 2 3 3 3" xfId="17200"/>
    <cellStyle name="Note 3 2 2 3 4" xfId="12402"/>
    <cellStyle name="Note 3 2 2 3 4 2" xfId="20273"/>
    <cellStyle name="Note 3 2 2 3 5" xfId="14913"/>
    <cellStyle name="Note 3 2 2 3 5 2" xfId="21813"/>
    <cellStyle name="Note 3 2 2 3 6" xfId="16408"/>
    <cellStyle name="Note 3 2 2 4" xfId="5685"/>
    <cellStyle name="Note 3 2 2 4 2" xfId="8667"/>
    <cellStyle name="Note 3 2 2 4 2 2" xfId="12405"/>
    <cellStyle name="Note 3 2 2 4 2 2 2" xfId="20276"/>
    <cellStyle name="Note 3 2 2 5" xfId="6350"/>
    <cellStyle name="Note 3 2 2 5 2" xfId="8664"/>
    <cellStyle name="Note 3 2 2 5 2 2" xfId="12407"/>
    <cellStyle name="Note 3 2 2 5 2 2 2" xfId="20278"/>
    <cellStyle name="Note 3 2 2 5 3" xfId="12406"/>
    <cellStyle name="Note 3 2 2 5 3 2" xfId="20277"/>
    <cellStyle name="Note 3 2 2 5 4" xfId="16908"/>
    <cellStyle name="Note 3 2 3" xfId="2983"/>
    <cellStyle name="Note 3 2 3 2" xfId="8668"/>
    <cellStyle name="Note 3 2 3 2 2" xfId="12408"/>
    <cellStyle name="Note 3 2 3 2 2 2" xfId="20279"/>
    <cellStyle name="Note 3 2 3 3" xfId="6695"/>
    <cellStyle name="Note 3 2 4" xfId="5179"/>
    <cellStyle name="Note 3 2 4 2" xfId="8669"/>
    <cellStyle name="Note 3 2 4 2 2" xfId="12410"/>
    <cellStyle name="Note 3 2 4 2 2 2" xfId="20281"/>
    <cellStyle name="Note 3 2 4 3" xfId="6952"/>
    <cellStyle name="Note 3 2 4 3 2" xfId="12411"/>
    <cellStyle name="Note 3 2 4 3 2 2" xfId="20282"/>
    <cellStyle name="Note 3 2 4 3 3" xfId="17199"/>
    <cellStyle name="Note 3 2 4 4" xfId="12409"/>
    <cellStyle name="Note 3 2 4 4 2" xfId="20280"/>
    <cellStyle name="Note 3 2 4 5" xfId="14912"/>
    <cellStyle name="Note 3 2 4 5 2" xfId="21812"/>
    <cellStyle name="Note 3 2 4 6" xfId="16407"/>
    <cellStyle name="Note 3 2 5" xfId="5684"/>
    <cellStyle name="Note 3 2 5 2" xfId="8670"/>
    <cellStyle name="Note 3 2 5 2 2" xfId="12412"/>
    <cellStyle name="Note 3 2 5 2 2 2" xfId="20283"/>
    <cellStyle name="Note 3 2 6" xfId="6349"/>
    <cellStyle name="Note 3 2 6 2" xfId="8663"/>
    <cellStyle name="Note 3 2 6 2 2" xfId="12414"/>
    <cellStyle name="Note 3 2 6 2 2 2" xfId="20285"/>
    <cellStyle name="Note 3 2 6 3" xfId="12413"/>
    <cellStyle name="Note 3 2 6 3 2" xfId="20284"/>
    <cellStyle name="Note 3 2 6 4" xfId="16907"/>
    <cellStyle name="Note 3 2 7" xfId="9766"/>
    <cellStyle name="Note 3 2 7 2" xfId="17683"/>
    <cellStyle name="Note 3 2 8" xfId="15421"/>
    <cellStyle name="Note 3 3" xfId="4983"/>
    <cellStyle name="Note 3 3 2" xfId="8671"/>
    <cellStyle name="Note 3 3 2 2" xfId="12415"/>
    <cellStyle name="Note 3 3 2 2 2" xfId="20286"/>
    <cellStyle name="Note 3 3 3" xfId="9765"/>
    <cellStyle name="Note 3 3 3 2" xfId="17682"/>
    <cellStyle name="Note 3 3 4" xfId="14770"/>
    <cellStyle name="Note 3 4" xfId="5582"/>
    <cellStyle name="Note 3 4 2" xfId="8672"/>
    <cellStyle name="Note 3 4 2 2" xfId="12416"/>
    <cellStyle name="Note 3 4 2 2 2" xfId="20287"/>
    <cellStyle name="Note 3 4 3" xfId="15030"/>
    <cellStyle name="Note 3 5" xfId="6693"/>
    <cellStyle name="Note 3 5 2" xfId="14593"/>
    <cellStyle name="Note 3 6" xfId="8662"/>
    <cellStyle name="Note 3 6 2" xfId="12417"/>
    <cellStyle name="Note 3 6 2 2" xfId="20288"/>
    <cellStyle name="Note 3 7" xfId="13781"/>
    <cellStyle name="Note 3 8" xfId="14366"/>
    <cellStyle name="Note 3_Sheet2" xfId="2984"/>
    <cellStyle name="Note 30" xfId="2985"/>
    <cellStyle name="Note 30 2" xfId="2986"/>
    <cellStyle name="Note 30 2 2" xfId="8674"/>
    <cellStyle name="Note 30 2 2 2" xfId="12418"/>
    <cellStyle name="Note 30 2 2 2 2" xfId="20289"/>
    <cellStyle name="Note 30 2 3" xfId="13783"/>
    <cellStyle name="Note 30 3" xfId="8673"/>
    <cellStyle name="Note 30 3 2" xfId="12419"/>
    <cellStyle name="Note 30 3 2 2" xfId="20290"/>
    <cellStyle name="Note 30 4" xfId="13782"/>
    <cellStyle name="Note 31" xfId="2987"/>
    <cellStyle name="Note 31 2" xfId="2988"/>
    <cellStyle name="Note 31 2 2" xfId="8676"/>
    <cellStyle name="Note 31 2 2 2" xfId="12420"/>
    <cellStyle name="Note 31 2 2 2 2" xfId="20291"/>
    <cellStyle name="Note 31 2 3" xfId="13785"/>
    <cellStyle name="Note 31 3" xfId="8675"/>
    <cellStyle name="Note 31 3 2" xfId="12421"/>
    <cellStyle name="Note 31 3 2 2" xfId="20292"/>
    <cellStyle name="Note 31 4" xfId="13784"/>
    <cellStyle name="Note 32" xfId="2989"/>
    <cellStyle name="Note 32 2" xfId="2990"/>
    <cellStyle name="Note 32 2 2" xfId="8678"/>
    <cellStyle name="Note 32 2 2 2" xfId="12422"/>
    <cellStyle name="Note 32 2 2 2 2" xfId="20293"/>
    <cellStyle name="Note 32 2 3" xfId="13787"/>
    <cellStyle name="Note 32 3" xfId="8677"/>
    <cellStyle name="Note 32 3 2" xfId="12423"/>
    <cellStyle name="Note 32 3 2 2" xfId="20294"/>
    <cellStyle name="Note 32 4" xfId="13786"/>
    <cellStyle name="Note 33" xfId="2991"/>
    <cellStyle name="Note 33 2" xfId="2992"/>
    <cellStyle name="Note 33 2 2" xfId="8680"/>
    <cellStyle name="Note 33 2 2 2" xfId="12424"/>
    <cellStyle name="Note 33 2 2 2 2" xfId="20295"/>
    <cellStyle name="Note 33 2 3" xfId="13789"/>
    <cellStyle name="Note 33 3" xfId="8679"/>
    <cellStyle name="Note 33 3 2" xfId="12425"/>
    <cellStyle name="Note 33 3 2 2" xfId="20296"/>
    <cellStyle name="Note 33 4" xfId="13788"/>
    <cellStyle name="Note 34" xfId="2993"/>
    <cellStyle name="Note 34 2" xfId="2994"/>
    <cellStyle name="Note 34 2 2" xfId="8682"/>
    <cellStyle name="Note 34 2 2 2" xfId="12426"/>
    <cellStyle name="Note 34 2 2 2 2" xfId="20297"/>
    <cellStyle name="Note 34 2 3" xfId="13791"/>
    <cellStyle name="Note 34 3" xfId="8681"/>
    <cellStyle name="Note 34 3 2" xfId="12427"/>
    <cellStyle name="Note 34 3 2 2" xfId="20298"/>
    <cellStyle name="Note 34 4" xfId="13790"/>
    <cellStyle name="Note 35" xfId="2995"/>
    <cellStyle name="Note 35 2" xfId="2996"/>
    <cellStyle name="Note 35 2 2" xfId="8684"/>
    <cellStyle name="Note 35 2 2 2" xfId="12428"/>
    <cellStyle name="Note 35 2 2 2 2" xfId="20299"/>
    <cellStyle name="Note 35 2 3" xfId="13793"/>
    <cellStyle name="Note 35 3" xfId="8683"/>
    <cellStyle name="Note 35 3 2" xfId="12429"/>
    <cellStyle name="Note 35 3 2 2" xfId="20300"/>
    <cellStyle name="Note 35 4" xfId="13792"/>
    <cellStyle name="Note 36" xfId="2997"/>
    <cellStyle name="Note 36 2" xfId="2998"/>
    <cellStyle name="Note 36 2 2" xfId="8686"/>
    <cellStyle name="Note 36 2 2 2" xfId="12430"/>
    <cellStyle name="Note 36 2 2 2 2" xfId="20301"/>
    <cellStyle name="Note 36 2 3" xfId="13795"/>
    <cellStyle name="Note 36 3" xfId="8685"/>
    <cellStyle name="Note 36 3 2" xfId="12431"/>
    <cellStyle name="Note 36 3 2 2" xfId="20302"/>
    <cellStyle name="Note 36 4" xfId="13794"/>
    <cellStyle name="Note 37" xfId="2999"/>
    <cellStyle name="Note 37 2" xfId="3000"/>
    <cellStyle name="Note 37 2 2" xfId="8688"/>
    <cellStyle name="Note 37 2 2 2" xfId="12432"/>
    <cellStyle name="Note 37 2 2 2 2" xfId="20303"/>
    <cellStyle name="Note 37 2 3" xfId="6696"/>
    <cellStyle name="Note 37 3" xfId="5182"/>
    <cellStyle name="Note 37 3 2" xfId="8689"/>
    <cellStyle name="Note 37 3 2 2" xfId="12434"/>
    <cellStyle name="Note 37 3 2 2 2" xfId="20305"/>
    <cellStyle name="Note 37 3 3" xfId="6954"/>
    <cellStyle name="Note 37 3 3 2" xfId="12435"/>
    <cellStyle name="Note 37 3 3 2 2" xfId="20306"/>
    <cellStyle name="Note 37 3 3 3" xfId="17201"/>
    <cellStyle name="Note 37 3 4" xfId="12433"/>
    <cellStyle name="Note 37 3 4 2" xfId="20304"/>
    <cellStyle name="Note 37 3 5" xfId="14914"/>
    <cellStyle name="Note 37 3 5 2" xfId="21814"/>
    <cellStyle name="Note 37 3 6" xfId="16409"/>
    <cellStyle name="Note 37 4" xfId="5686"/>
    <cellStyle name="Note 37 4 2" xfId="8690"/>
    <cellStyle name="Note 37 4 2 2" xfId="12436"/>
    <cellStyle name="Note 37 4 2 2 2" xfId="20307"/>
    <cellStyle name="Note 37 5" xfId="6351"/>
    <cellStyle name="Note 37 5 2" xfId="8687"/>
    <cellStyle name="Note 37 5 2 2" xfId="12438"/>
    <cellStyle name="Note 37 5 2 2 2" xfId="20309"/>
    <cellStyle name="Note 37 5 3" xfId="12437"/>
    <cellStyle name="Note 37 5 3 2" xfId="20308"/>
    <cellStyle name="Note 37 5 4" xfId="16909"/>
    <cellStyle name="Note 38" xfId="3001"/>
    <cellStyle name="Note 38 2" xfId="3002"/>
    <cellStyle name="Note 38 2 2" xfId="8692"/>
    <cellStyle name="Note 38 2 2 2" xfId="12439"/>
    <cellStyle name="Note 38 2 2 2 2" xfId="20310"/>
    <cellStyle name="Note 38 2 3" xfId="6697"/>
    <cellStyle name="Note 38 3" xfId="5183"/>
    <cellStyle name="Note 38 3 2" xfId="8693"/>
    <cellStyle name="Note 38 3 2 2" xfId="12441"/>
    <cellStyle name="Note 38 3 2 2 2" xfId="20312"/>
    <cellStyle name="Note 38 3 3" xfId="6955"/>
    <cellStyle name="Note 38 3 3 2" xfId="12442"/>
    <cellStyle name="Note 38 3 3 2 2" xfId="20313"/>
    <cellStyle name="Note 38 3 3 3" xfId="17202"/>
    <cellStyle name="Note 38 3 4" xfId="12440"/>
    <cellStyle name="Note 38 3 4 2" xfId="20311"/>
    <cellStyle name="Note 38 3 5" xfId="14915"/>
    <cellStyle name="Note 38 3 5 2" xfId="21815"/>
    <cellStyle name="Note 38 3 6" xfId="16410"/>
    <cellStyle name="Note 38 4" xfId="5687"/>
    <cellStyle name="Note 38 4 2" xfId="8694"/>
    <cellStyle name="Note 38 4 2 2" xfId="12443"/>
    <cellStyle name="Note 38 4 2 2 2" xfId="20314"/>
    <cellStyle name="Note 38 5" xfId="6352"/>
    <cellStyle name="Note 38 5 2" xfId="8691"/>
    <cellStyle name="Note 38 5 2 2" xfId="12445"/>
    <cellStyle name="Note 38 5 2 2 2" xfId="20316"/>
    <cellStyle name="Note 38 5 3" xfId="12444"/>
    <cellStyle name="Note 38 5 3 2" xfId="20315"/>
    <cellStyle name="Note 38 5 4" xfId="16910"/>
    <cellStyle name="Note 39" xfId="3003"/>
    <cellStyle name="Note 39 2" xfId="3004"/>
    <cellStyle name="Note 39 2 2" xfId="8696"/>
    <cellStyle name="Note 39 2 2 2" xfId="12446"/>
    <cellStyle name="Note 39 2 2 2 2" xfId="20317"/>
    <cellStyle name="Note 39 2 3" xfId="6698"/>
    <cellStyle name="Note 39 3" xfId="5184"/>
    <cellStyle name="Note 39 3 2" xfId="8697"/>
    <cellStyle name="Note 39 3 2 2" xfId="12448"/>
    <cellStyle name="Note 39 3 2 2 2" xfId="20319"/>
    <cellStyle name="Note 39 3 3" xfId="6956"/>
    <cellStyle name="Note 39 3 3 2" xfId="12449"/>
    <cellStyle name="Note 39 3 3 2 2" xfId="20320"/>
    <cellStyle name="Note 39 3 3 3" xfId="17203"/>
    <cellStyle name="Note 39 3 4" xfId="12447"/>
    <cellStyle name="Note 39 3 4 2" xfId="20318"/>
    <cellStyle name="Note 39 3 5" xfId="14916"/>
    <cellStyle name="Note 39 3 5 2" xfId="21816"/>
    <cellStyle name="Note 39 3 6" xfId="16411"/>
    <cellStyle name="Note 39 4" xfId="5688"/>
    <cellStyle name="Note 39 4 2" xfId="8698"/>
    <cellStyle name="Note 39 4 2 2" xfId="12450"/>
    <cellStyle name="Note 39 4 2 2 2" xfId="20321"/>
    <cellStyle name="Note 39 5" xfId="6353"/>
    <cellStyle name="Note 39 5 2" xfId="8695"/>
    <cellStyle name="Note 39 5 2 2" xfId="12452"/>
    <cellStyle name="Note 39 5 2 2 2" xfId="20323"/>
    <cellStyle name="Note 39 5 3" xfId="12451"/>
    <cellStyle name="Note 39 5 3 2" xfId="20322"/>
    <cellStyle name="Note 39 5 4" xfId="16911"/>
    <cellStyle name="Note 4" xfId="3005"/>
    <cellStyle name="Note 4 2" xfId="3006"/>
    <cellStyle name="Note 4 2 2" xfId="3007"/>
    <cellStyle name="Note 4 2 2 2" xfId="3008"/>
    <cellStyle name="Note 4 2 2 2 2" xfId="8702"/>
    <cellStyle name="Note 4 2 2 2 2 2" xfId="12453"/>
    <cellStyle name="Note 4 2 2 2 2 2 2" xfId="20324"/>
    <cellStyle name="Note 4 2 2 2 3" xfId="6700"/>
    <cellStyle name="Note 4 2 2 3" xfId="5186"/>
    <cellStyle name="Note 4 2 2 3 2" xfId="8703"/>
    <cellStyle name="Note 4 2 2 3 2 2" xfId="12455"/>
    <cellStyle name="Note 4 2 2 3 2 2 2" xfId="20326"/>
    <cellStyle name="Note 4 2 2 3 3" xfId="6958"/>
    <cellStyle name="Note 4 2 2 3 3 2" xfId="12456"/>
    <cellStyle name="Note 4 2 2 3 3 2 2" xfId="20327"/>
    <cellStyle name="Note 4 2 2 3 3 3" xfId="17205"/>
    <cellStyle name="Note 4 2 2 3 4" xfId="12454"/>
    <cellStyle name="Note 4 2 2 3 4 2" xfId="20325"/>
    <cellStyle name="Note 4 2 2 3 5" xfId="14918"/>
    <cellStyle name="Note 4 2 2 3 5 2" xfId="21818"/>
    <cellStyle name="Note 4 2 2 3 6" xfId="16413"/>
    <cellStyle name="Note 4 2 2 4" xfId="5690"/>
    <cellStyle name="Note 4 2 2 4 2" xfId="8704"/>
    <cellStyle name="Note 4 2 2 4 2 2" xfId="12457"/>
    <cellStyle name="Note 4 2 2 4 2 2 2" xfId="20328"/>
    <cellStyle name="Note 4 2 2 5" xfId="6355"/>
    <cellStyle name="Note 4 2 2 5 2" xfId="8701"/>
    <cellStyle name="Note 4 2 2 5 2 2" xfId="12459"/>
    <cellStyle name="Note 4 2 2 5 2 2 2" xfId="20330"/>
    <cellStyle name="Note 4 2 2 5 3" xfId="12458"/>
    <cellStyle name="Note 4 2 2 5 3 2" xfId="20329"/>
    <cellStyle name="Note 4 2 2 5 4" xfId="16913"/>
    <cellStyle name="Note 4 2 2 6" xfId="9769"/>
    <cellStyle name="Note 4 2 2 6 2" xfId="17686"/>
    <cellStyle name="Note 4 2 2 7" xfId="15424"/>
    <cellStyle name="Note 4 2 3" xfId="3009"/>
    <cellStyle name="Note 4 2 3 2" xfId="8705"/>
    <cellStyle name="Note 4 2 3 2 2" xfId="12460"/>
    <cellStyle name="Note 4 2 3 2 2 2" xfId="20331"/>
    <cellStyle name="Note 4 2 3 3" xfId="6701"/>
    <cellStyle name="Note 4 2 4" xfId="5185"/>
    <cellStyle name="Note 4 2 4 2" xfId="8706"/>
    <cellStyle name="Note 4 2 4 2 2" xfId="12462"/>
    <cellStyle name="Note 4 2 4 2 2 2" xfId="20333"/>
    <cellStyle name="Note 4 2 4 3" xfId="6957"/>
    <cellStyle name="Note 4 2 4 3 2" xfId="12463"/>
    <cellStyle name="Note 4 2 4 3 2 2" xfId="20334"/>
    <cellStyle name="Note 4 2 4 3 3" xfId="17204"/>
    <cellStyle name="Note 4 2 4 4" xfId="12461"/>
    <cellStyle name="Note 4 2 4 4 2" xfId="20332"/>
    <cellStyle name="Note 4 2 4 5" xfId="14917"/>
    <cellStyle name="Note 4 2 4 5 2" xfId="21817"/>
    <cellStyle name="Note 4 2 4 6" xfId="16412"/>
    <cellStyle name="Note 4 2 5" xfId="5689"/>
    <cellStyle name="Note 4 2 5 2" xfId="8707"/>
    <cellStyle name="Note 4 2 5 2 2" xfId="12464"/>
    <cellStyle name="Note 4 2 5 2 2 2" xfId="20335"/>
    <cellStyle name="Note 4 2 6" xfId="6354"/>
    <cellStyle name="Note 4 2 6 2" xfId="8700"/>
    <cellStyle name="Note 4 2 6 2 2" xfId="12466"/>
    <cellStyle name="Note 4 2 6 2 2 2" xfId="20337"/>
    <cellStyle name="Note 4 2 6 3" xfId="12465"/>
    <cellStyle name="Note 4 2 6 3 2" xfId="20336"/>
    <cellStyle name="Note 4 2 6 4" xfId="16912"/>
    <cellStyle name="Note 4 2 7" xfId="9768"/>
    <cellStyle name="Note 4 2 7 2" xfId="17685"/>
    <cellStyle name="Note 4 2 8" xfId="15423"/>
    <cellStyle name="Note 4 3" xfId="4984"/>
    <cellStyle name="Note 4 3 2" xfId="8708"/>
    <cellStyle name="Note 4 3 2 2" xfId="12467"/>
    <cellStyle name="Note 4 3 2 2 2" xfId="20338"/>
    <cellStyle name="Note 4 3 3" xfId="9770"/>
    <cellStyle name="Note 4 3 3 2" xfId="17687"/>
    <cellStyle name="Note 4 3 4" xfId="14771"/>
    <cellStyle name="Note 4 3 5" xfId="15425"/>
    <cellStyle name="Note 4 4" xfId="5583"/>
    <cellStyle name="Note 4 4 2" xfId="8709"/>
    <cellStyle name="Note 4 4 2 2" xfId="12468"/>
    <cellStyle name="Note 4 4 2 2 2" xfId="20339"/>
    <cellStyle name="Note 4 4 3" xfId="9767"/>
    <cellStyle name="Note 4 4 3 2" xfId="17684"/>
    <cellStyle name="Note 4 5" xfId="6699"/>
    <cellStyle name="Note 4 5 2" xfId="14594"/>
    <cellStyle name="Note 4 6" xfId="8699"/>
    <cellStyle name="Note 4 6 2" xfId="12469"/>
    <cellStyle name="Note 4 6 2 2" xfId="20340"/>
    <cellStyle name="Note 4 7" xfId="9716"/>
    <cellStyle name="Note 4 7 2" xfId="17655"/>
    <cellStyle name="Note 4 8" xfId="13796"/>
    <cellStyle name="Note 4 9" xfId="15422"/>
    <cellStyle name="Note 4_Sheet2" xfId="3010"/>
    <cellStyle name="Note 40" xfId="3011"/>
    <cellStyle name="Note 40 2" xfId="3012"/>
    <cellStyle name="Note 40 2 2" xfId="8711"/>
    <cellStyle name="Note 40 2 2 2" xfId="12470"/>
    <cellStyle name="Note 40 2 2 2 2" xfId="20341"/>
    <cellStyle name="Note 40 2 3" xfId="6702"/>
    <cellStyle name="Note 40 3" xfId="5187"/>
    <cellStyle name="Note 40 3 2" xfId="8712"/>
    <cellStyle name="Note 40 3 2 2" xfId="12472"/>
    <cellStyle name="Note 40 3 2 2 2" xfId="20343"/>
    <cellStyle name="Note 40 3 3" xfId="6959"/>
    <cellStyle name="Note 40 3 3 2" xfId="12473"/>
    <cellStyle name="Note 40 3 3 2 2" xfId="20344"/>
    <cellStyle name="Note 40 3 3 3" xfId="17206"/>
    <cellStyle name="Note 40 3 4" xfId="12471"/>
    <cellStyle name="Note 40 3 4 2" xfId="20342"/>
    <cellStyle name="Note 40 3 5" xfId="14919"/>
    <cellStyle name="Note 40 3 5 2" xfId="21819"/>
    <cellStyle name="Note 40 3 6" xfId="16414"/>
    <cellStyle name="Note 40 4" xfId="5691"/>
    <cellStyle name="Note 40 4 2" xfId="8713"/>
    <cellStyle name="Note 40 4 2 2" xfId="12474"/>
    <cellStyle name="Note 40 4 2 2 2" xfId="20345"/>
    <cellStyle name="Note 40 5" xfId="6356"/>
    <cellStyle name="Note 40 5 2" xfId="8710"/>
    <cellStyle name="Note 40 5 2 2" xfId="12476"/>
    <cellStyle name="Note 40 5 2 2 2" xfId="20347"/>
    <cellStyle name="Note 40 5 3" xfId="12475"/>
    <cellStyle name="Note 40 5 3 2" xfId="20346"/>
    <cellStyle name="Note 40 5 4" xfId="16914"/>
    <cellStyle name="Note 41" xfId="3013"/>
    <cellStyle name="Note 41 2" xfId="3014"/>
    <cellStyle name="Note 41 2 2" xfId="8715"/>
    <cellStyle name="Note 41 2 2 2" xfId="12477"/>
    <cellStyle name="Note 41 2 2 2 2" xfId="20348"/>
    <cellStyle name="Note 41 2 3" xfId="6703"/>
    <cellStyle name="Note 41 3" xfId="5188"/>
    <cellStyle name="Note 41 3 2" xfId="8716"/>
    <cellStyle name="Note 41 3 2 2" xfId="12479"/>
    <cellStyle name="Note 41 3 2 2 2" xfId="20350"/>
    <cellStyle name="Note 41 3 3" xfId="6960"/>
    <cellStyle name="Note 41 3 3 2" xfId="12480"/>
    <cellStyle name="Note 41 3 3 2 2" xfId="20351"/>
    <cellStyle name="Note 41 3 3 3" xfId="17207"/>
    <cellStyle name="Note 41 3 4" xfId="12478"/>
    <cellStyle name="Note 41 3 4 2" xfId="20349"/>
    <cellStyle name="Note 41 3 5" xfId="14920"/>
    <cellStyle name="Note 41 3 5 2" xfId="21820"/>
    <cellStyle name="Note 41 3 6" xfId="16415"/>
    <cellStyle name="Note 41 4" xfId="5692"/>
    <cellStyle name="Note 41 4 2" xfId="8717"/>
    <cellStyle name="Note 41 4 2 2" xfId="12481"/>
    <cellStyle name="Note 41 4 2 2 2" xfId="20352"/>
    <cellStyle name="Note 41 5" xfId="6357"/>
    <cellStyle name="Note 41 5 2" xfId="8714"/>
    <cellStyle name="Note 41 5 2 2" xfId="12483"/>
    <cellStyle name="Note 41 5 2 2 2" xfId="20354"/>
    <cellStyle name="Note 41 5 3" xfId="12482"/>
    <cellStyle name="Note 41 5 3 2" xfId="20353"/>
    <cellStyle name="Note 41 5 4" xfId="16915"/>
    <cellStyle name="Note 42" xfId="3015"/>
    <cellStyle name="Note 42 2" xfId="8718"/>
    <cellStyle name="Note 42 2 2" xfId="12484"/>
    <cellStyle name="Note 42 2 2 2" xfId="20355"/>
    <cellStyle name="Note 42 3" xfId="13797"/>
    <cellStyle name="Note 43" xfId="3016"/>
    <cellStyle name="Note 43 2" xfId="8719"/>
    <cellStyle name="Note 43 2 2" xfId="12485"/>
    <cellStyle name="Note 43 2 2 2" xfId="20356"/>
    <cellStyle name="Note 43 3" xfId="13798"/>
    <cellStyle name="Note 44" xfId="3017"/>
    <cellStyle name="Note 44 2" xfId="8720"/>
    <cellStyle name="Note 44 2 2" xfId="12486"/>
    <cellStyle name="Note 44 2 2 2" xfId="20357"/>
    <cellStyle name="Note 44 3" xfId="13799"/>
    <cellStyle name="Note 45" xfId="3018"/>
    <cellStyle name="Note 45 2" xfId="8721"/>
    <cellStyle name="Note 45 2 2" xfId="12487"/>
    <cellStyle name="Note 45 2 2 2" xfId="20358"/>
    <cellStyle name="Note 45 3" xfId="13800"/>
    <cellStyle name="Note 46" xfId="3019"/>
    <cellStyle name="Note 46 2" xfId="8722"/>
    <cellStyle name="Note 46 2 2" xfId="12488"/>
    <cellStyle name="Note 46 2 2 2" xfId="20359"/>
    <cellStyle name="Note 46 3" xfId="13801"/>
    <cellStyle name="Note 47" xfId="3020"/>
    <cellStyle name="Note 47 2" xfId="8723"/>
    <cellStyle name="Note 47 2 2" xfId="12489"/>
    <cellStyle name="Note 47 2 2 2" xfId="20360"/>
    <cellStyle name="Note 47 3" xfId="13802"/>
    <cellStyle name="Note 48" xfId="3021"/>
    <cellStyle name="Note 48 2" xfId="8724"/>
    <cellStyle name="Note 48 2 2" xfId="12490"/>
    <cellStyle name="Note 48 2 2 2" xfId="20361"/>
    <cellStyle name="Note 48 3" xfId="13803"/>
    <cellStyle name="Note 49" xfId="3022"/>
    <cellStyle name="Note 49 2" xfId="8725"/>
    <cellStyle name="Note 49 2 2" xfId="12491"/>
    <cellStyle name="Note 49 2 2 2" xfId="20362"/>
    <cellStyle name="Note 49 3" xfId="13804"/>
    <cellStyle name="Note 5" xfId="3023"/>
    <cellStyle name="Note 5 2" xfId="4985"/>
    <cellStyle name="Note 5 2 2" xfId="8727"/>
    <cellStyle name="Note 5 2 2 2" xfId="9773"/>
    <cellStyle name="Note 5 2 2 2 2" xfId="17690"/>
    <cellStyle name="Note 5 2 2 3" xfId="12492"/>
    <cellStyle name="Note 5 2 2 3 2" xfId="20363"/>
    <cellStyle name="Note 5 2 2 4" xfId="15428"/>
    <cellStyle name="Note 5 2 3" xfId="9772"/>
    <cellStyle name="Note 5 2 3 2" xfId="17689"/>
    <cellStyle name="Note 5 2 4" xfId="14772"/>
    <cellStyle name="Note 5 2 5" xfId="15427"/>
    <cellStyle name="Note 5 3" xfId="5580"/>
    <cellStyle name="Note 5 3 2" xfId="8728"/>
    <cellStyle name="Note 5 3 2 2" xfId="12493"/>
    <cellStyle name="Note 5 3 2 2 2" xfId="20364"/>
    <cellStyle name="Note 5 3 3" xfId="9774"/>
    <cellStyle name="Note 5 3 3 2" xfId="17691"/>
    <cellStyle name="Note 5 3 4" xfId="15429"/>
    <cellStyle name="Note 5 4" xfId="6704"/>
    <cellStyle name="Note 5 4 2" xfId="14595"/>
    <cellStyle name="Note 5 5" xfId="8726"/>
    <cellStyle name="Note 5 5 2" xfId="12494"/>
    <cellStyle name="Note 5 5 2 2" xfId="20365"/>
    <cellStyle name="Note 5 6" xfId="9771"/>
    <cellStyle name="Note 5 6 2" xfId="17688"/>
    <cellStyle name="Note 5 7" xfId="13805"/>
    <cellStyle name="Note 5 8" xfId="15426"/>
    <cellStyle name="Note 50" xfId="3024"/>
    <cellStyle name="Note 50 2" xfId="8729"/>
    <cellStyle name="Note 50 2 2" xfId="12495"/>
    <cellStyle name="Note 50 2 2 2" xfId="20366"/>
    <cellStyle name="Note 50 3" xfId="13806"/>
    <cellStyle name="Note 51" xfId="3025"/>
    <cellStyle name="Note 51 2" xfId="8730"/>
    <cellStyle name="Note 51 2 2" xfId="12496"/>
    <cellStyle name="Note 51 2 2 2" xfId="20367"/>
    <cellStyle name="Note 51 3" xfId="13807"/>
    <cellStyle name="Note 52" xfId="3026"/>
    <cellStyle name="Note 52 2" xfId="8731"/>
    <cellStyle name="Note 52 2 2" xfId="12497"/>
    <cellStyle name="Note 52 2 2 2" xfId="20368"/>
    <cellStyle name="Note 52 3" xfId="13808"/>
    <cellStyle name="Note 53" xfId="3027"/>
    <cellStyle name="Note 53 2" xfId="8732"/>
    <cellStyle name="Note 53 2 2" xfId="12498"/>
    <cellStyle name="Note 53 2 2 2" xfId="20369"/>
    <cellStyle name="Note 53 3" xfId="13809"/>
    <cellStyle name="Note 54" xfId="3028"/>
    <cellStyle name="Note 54 2" xfId="8733"/>
    <cellStyle name="Note 54 2 2" xfId="12499"/>
    <cellStyle name="Note 54 2 2 2" xfId="20370"/>
    <cellStyle name="Note 54 3" xfId="13810"/>
    <cellStyle name="Note 55" xfId="3029"/>
    <cellStyle name="Note 55 2" xfId="8734"/>
    <cellStyle name="Note 55 2 2" xfId="12500"/>
    <cellStyle name="Note 55 2 2 2" xfId="20371"/>
    <cellStyle name="Note 55 3" xfId="13811"/>
    <cellStyle name="Note 56" xfId="3030"/>
    <cellStyle name="Note 56 2" xfId="8735"/>
    <cellStyle name="Note 56 2 2" xfId="12501"/>
    <cellStyle name="Note 56 2 2 2" xfId="20372"/>
    <cellStyle name="Note 56 3" xfId="13812"/>
    <cellStyle name="Note 57" xfId="3031"/>
    <cellStyle name="Note 57 2" xfId="8736"/>
    <cellStyle name="Note 57 2 2" xfId="12502"/>
    <cellStyle name="Note 57 2 2 2" xfId="20373"/>
    <cellStyle name="Note 57 3" xfId="13813"/>
    <cellStyle name="Note 58" xfId="3032"/>
    <cellStyle name="Note 58 2" xfId="8737"/>
    <cellStyle name="Note 58 2 2" xfId="12503"/>
    <cellStyle name="Note 58 2 2 2" xfId="20374"/>
    <cellStyle name="Note 58 3" xfId="13814"/>
    <cellStyle name="Note 59" xfId="3033"/>
    <cellStyle name="Note 59 2" xfId="8738"/>
    <cellStyle name="Note 59 2 2" xfId="12504"/>
    <cellStyle name="Note 59 2 2 2" xfId="20375"/>
    <cellStyle name="Note 59 3" xfId="13815"/>
    <cellStyle name="Note 6" xfId="3034"/>
    <cellStyle name="Note 6 2" xfId="8739"/>
    <cellStyle name="Note 6 2 2" xfId="12505"/>
    <cellStyle name="Note 6 2 2 2" xfId="20376"/>
    <cellStyle name="Note 6 3" xfId="9538"/>
    <cellStyle name="Note 6 3 2" xfId="17571"/>
    <cellStyle name="Note 6 4" xfId="13816"/>
    <cellStyle name="Note 6 5" xfId="15419"/>
    <cellStyle name="Note 60" xfId="3035"/>
    <cellStyle name="Note 60 2" xfId="8740"/>
    <cellStyle name="Note 60 2 2" xfId="12506"/>
    <cellStyle name="Note 60 2 2 2" xfId="20377"/>
    <cellStyle name="Note 60 3" xfId="13817"/>
    <cellStyle name="Note 61" xfId="3036"/>
    <cellStyle name="Note 61 2" xfId="8741"/>
    <cellStyle name="Note 61 2 2" xfId="12507"/>
    <cellStyle name="Note 61 2 2 2" xfId="20378"/>
    <cellStyle name="Note 61 3" xfId="13818"/>
    <cellStyle name="Note 62" xfId="3037"/>
    <cellStyle name="Note 62 2" xfId="8742"/>
    <cellStyle name="Note 62 2 2" xfId="12508"/>
    <cellStyle name="Note 62 2 2 2" xfId="20379"/>
    <cellStyle name="Note 62 3" xfId="13819"/>
    <cellStyle name="Note 63" xfId="3038"/>
    <cellStyle name="Note 63 2" xfId="8743"/>
    <cellStyle name="Note 63 2 2" xfId="12509"/>
    <cellStyle name="Note 63 2 2 2" xfId="20380"/>
    <cellStyle name="Note 63 3" xfId="13820"/>
    <cellStyle name="Note 64" xfId="3039"/>
    <cellStyle name="Note 64 2" xfId="8744"/>
    <cellStyle name="Note 64 2 2" xfId="12510"/>
    <cellStyle name="Note 64 2 2 2" xfId="20381"/>
    <cellStyle name="Note 64 3" xfId="13821"/>
    <cellStyle name="Note 65" xfId="3040"/>
    <cellStyle name="Note 65 2" xfId="8745"/>
    <cellStyle name="Note 65 2 2" xfId="12511"/>
    <cellStyle name="Note 65 2 2 2" xfId="20382"/>
    <cellStyle name="Note 66" xfId="4986"/>
    <cellStyle name="Note 66 2" xfId="8746"/>
    <cellStyle name="Note 66 2 2" xfId="12512"/>
    <cellStyle name="Note 66 2 2 2" xfId="20383"/>
    <cellStyle name="Note 67" xfId="14014"/>
    <cellStyle name="Note 7" xfId="3041"/>
    <cellStyle name="Note 7 2" xfId="8747"/>
    <cellStyle name="Note 7 2 2" xfId="12513"/>
    <cellStyle name="Note 7 2 2 2" xfId="20384"/>
    <cellStyle name="Note 7 3" xfId="13822"/>
    <cellStyle name="Note 8" xfId="3042"/>
    <cellStyle name="Note 8 2" xfId="3043"/>
    <cellStyle name="Note 8 2 2" xfId="3044"/>
    <cellStyle name="Note 8 2 2 2" xfId="8750"/>
    <cellStyle name="Note 8 2 2 2 2" xfId="12514"/>
    <cellStyle name="Note 8 2 2 2 2 2" xfId="20385"/>
    <cellStyle name="Note 8 2 2 3" xfId="6705"/>
    <cellStyle name="Note 8 2 3" xfId="5192"/>
    <cellStyle name="Note 8 2 3 2" xfId="8751"/>
    <cellStyle name="Note 8 2 3 2 2" xfId="12515"/>
    <cellStyle name="Note 8 2 3 2 2 2" xfId="20386"/>
    <cellStyle name="Note 8 2 4" xfId="5693"/>
    <cellStyle name="Note 8 2 4 2" xfId="8752"/>
    <cellStyle name="Note 8 2 4 2 2" xfId="12516"/>
    <cellStyle name="Note 8 2 4 2 2 2" xfId="20387"/>
    <cellStyle name="Note 8 2 5" xfId="8749"/>
    <cellStyle name="Note 8 2 5 2" xfId="12517"/>
    <cellStyle name="Note 8 2 5 2 2" xfId="20388"/>
    <cellStyle name="Note 8 3" xfId="8748"/>
    <cellStyle name="Note 8 3 2" xfId="12518"/>
    <cellStyle name="Note 8 3 2 2" xfId="20389"/>
    <cellStyle name="Note 8 4" xfId="13823"/>
    <cellStyle name="Note 9" xfId="3045"/>
    <cellStyle name="Note 9 2" xfId="8753"/>
    <cellStyle name="Note 9 2 2" xfId="12519"/>
    <cellStyle name="Note 9 2 2 2" xfId="20390"/>
    <cellStyle name="Note 9 3" xfId="13824"/>
    <cellStyle name="Num line" xfId="3046"/>
    <cellStyle name="Num line 2" xfId="8754"/>
    <cellStyle name="Num line 2 2" xfId="12520"/>
    <cellStyle name="Num line 2 2 2" xfId="20391"/>
    <cellStyle name="Number [0]" xfId="3047"/>
    <cellStyle name="Number [0] 2" xfId="8755"/>
    <cellStyle name="Number [0] 2 2" xfId="12521"/>
    <cellStyle name="Number [0] 2 2 2" xfId="20392"/>
    <cellStyle name="One Dec." xfId="3048"/>
    <cellStyle name="One Dec. 2" xfId="8756"/>
    <cellStyle name="One Dec. 2 2" xfId="12522"/>
    <cellStyle name="One Dec. 2 2 2" xfId="20393"/>
    <cellStyle name="Output 10" xfId="3049"/>
    <cellStyle name="Output 10 2" xfId="8757"/>
    <cellStyle name="Output 10 2 2" xfId="12523"/>
    <cellStyle name="Output 10 2 2 2" xfId="20394"/>
    <cellStyle name="Output 11" xfId="3050"/>
    <cellStyle name="Output 11 2" xfId="8758"/>
    <cellStyle name="Output 11 2 2" xfId="12524"/>
    <cellStyle name="Output 11 2 2 2" xfId="20395"/>
    <cellStyle name="Output 12" xfId="3051"/>
    <cellStyle name="Output 12 2" xfId="8759"/>
    <cellStyle name="Output 12 2 2" xfId="12525"/>
    <cellStyle name="Output 12 2 2 2" xfId="20396"/>
    <cellStyle name="Output 13" xfId="3052"/>
    <cellStyle name="Output 13 2" xfId="8760"/>
    <cellStyle name="Output 13 2 2" xfId="12526"/>
    <cellStyle name="Output 13 2 2 2" xfId="20397"/>
    <cellStyle name="Output 14" xfId="3053"/>
    <cellStyle name="Output 14 2" xfId="8761"/>
    <cellStyle name="Output 14 2 2" xfId="12527"/>
    <cellStyle name="Output 14 2 2 2" xfId="20398"/>
    <cellStyle name="Output 15" xfId="3054"/>
    <cellStyle name="Output 15 2" xfId="8762"/>
    <cellStyle name="Output 15 2 2" xfId="12528"/>
    <cellStyle name="Output 15 2 2 2" xfId="20399"/>
    <cellStyle name="Output 16" xfId="3055"/>
    <cellStyle name="Output 16 2" xfId="8763"/>
    <cellStyle name="Output 16 2 2" xfId="12529"/>
    <cellStyle name="Output 16 2 2 2" xfId="20400"/>
    <cellStyle name="Output 17" xfId="3056"/>
    <cellStyle name="Output 17 2" xfId="8764"/>
    <cellStyle name="Output 17 2 2" xfId="12530"/>
    <cellStyle name="Output 17 2 2 2" xfId="20401"/>
    <cellStyle name="Output 18" xfId="3057"/>
    <cellStyle name="Output 18 2" xfId="8765"/>
    <cellStyle name="Output 18 2 2" xfId="12531"/>
    <cellStyle name="Output 18 2 2 2" xfId="20402"/>
    <cellStyle name="Output 19" xfId="3058"/>
    <cellStyle name="Output 19 2" xfId="8766"/>
    <cellStyle name="Output 19 2 2" xfId="12532"/>
    <cellStyle name="Output 19 2 2 2" xfId="20403"/>
    <cellStyle name="Output 2" xfId="3059"/>
    <cellStyle name="Output 2 2" xfId="3060"/>
    <cellStyle name="Output 2 2 2" xfId="8768"/>
    <cellStyle name="Output 2 2 2 2" xfId="12533"/>
    <cellStyle name="Output 2 2 2 2 2" xfId="20404"/>
    <cellStyle name="Output 2 3" xfId="4987"/>
    <cellStyle name="Output 2 3 2" xfId="8769"/>
    <cellStyle name="Output 2 3 2 2" xfId="12534"/>
    <cellStyle name="Output 2 3 2 2 2" xfId="20405"/>
    <cellStyle name="Output 2 4" xfId="6706"/>
    <cellStyle name="Output 2 5" xfId="8767"/>
    <cellStyle name="Output 2 5 2" xfId="12535"/>
    <cellStyle name="Output 2 5 2 2" xfId="20406"/>
    <cellStyle name="Output 20" xfId="3061"/>
    <cellStyle name="Output 20 2" xfId="8770"/>
    <cellStyle name="Output 20 2 2" xfId="12536"/>
    <cellStyle name="Output 20 2 2 2" xfId="20407"/>
    <cellStyle name="Output 21" xfId="3062"/>
    <cellStyle name="Output 21 2" xfId="8771"/>
    <cellStyle name="Output 21 2 2" xfId="12537"/>
    <cellStyle name="Output 21 2 2 2" xfId="20408"/>
    <cellStyle name="Output 22" xfId="3063"/>
    <cellStyle name="Output 22 2" xfId="8772"/>
    <cellStyle name="Output 22 2 2" xfId="12538"/>
    <cellStyle name="Output 22 2 2 2" xfId="20409"/>
    <cellStyle name="Output 23" xfId="13825"/>
    <cellStyle name="Output 3" xfId="3064"/>
    <cellStyle name="Output 3 2" xfId="4988"/>
    <cellStyle name="Output 3 2 2" xfId="8774"/>
    <cellStyle name="Output 3 2 2 2" xfId="12539"/>
    <cellStyle name="Output 3 2 2 2 2" xfId="20410"/>
    <cellStyle name="Output 3 3" xfId="5585"/>
    <cellStyle name="Output 3 3 2" xfId="8775"/>
    <cellStyle name="Output 3 3 2 2" xfId="12540"/>
    <cellStyle name="Output 3 3 2 2 2" xfId="20411"/>
    <cellStyle name="Output 3 4" xfId="6707"/>
    <cellStyle name="Output 3 5" xfId="8773"/>
    <cellStyle name="Output 3 5 2" xfId="12541"/>
    <cellStyle name="Output 3 5 2 2" xfId="20412"/>
    <cellStyle name="Output 4" xfId="3065"/>
    <cellStyle name="Output 4 2" xfId="3066"/>
    <cellStyle name="Output 4 2 2" xfId="8777"/>
    <cellStyle name="Output 4 2 2 2" xfId="12542"/>
    <cellStyle name="Output 4 2 2 2 2" xfId="20413"/>
    <cellStyle name="Output 4 3" xfId="4989"/>
    <cellStyle name="Output 4 3 2" xfId="8778"/>
    <cellStyle name="Output 4 3 2 2" xfId="12543"/>
    <cellStyle name="Output 4 3 2 2 2" xfId="20414"/>
    <cellStyle name="Output 4 4" xfId="5584"/>
    <cellStyle name="Output 4 4 2" xfId="8779"/>
    <cellStyle name="Output 4 4 2 2" xfId="12544"/>
    <cellStyle name="Output 4 4 2 2 2" xfId="20415"/>
    <cellStyle name="Output 4 5" xfId="6708"/>
    <cellStyle name="Output 4 6" xfId="8776"/>
    <cellStyle name="Output 4 6 2" xfId="12545"/>
    <cellStyle name="Output 4 6 2 2" xfId="20416"/>
    <cellStyle name="Output 5" xfId="3067"/>
    <cellStyle name="Output 5 2" xfId="8780"/>
    <cellStyle name="Output 5 2 2" xfId="12546"/>
    <cellStyle name="Output 5 2 2 2" xfId="20417"/>
    <cellStyle name="Output 6" xfId="3068"/>
    <cellStyle name="Output 6 2" xfId="8781"/>
    <cellStyle name="Output 6 2 2" xfId="12547"/>
    <cellStyle name="Output 6 2 2 2" xfId="20418"/>
    <cellStyle name="Output 7" xfId="3069"/>
    <cellStyle name="Output 7 2" xfId="8782"/>
    <cellStyle name="Output 7 2 2" xfId="12548"/>
    <cellStyle name="Output 7 2 2 2" xfId="20419"/>
    <cellStyle name="Output 8" xfId="3070"/>
    <cellStyle name="Output 8 2" xfId="8783"/>
    <cellStyle name="Output 8 2 2" xfId="12549"/>
    <cellStyle name="Output 8 2 2 2" xfId="20420"/>
    <cellStyle name="Output 9" xfId="3071"/>
    <cellStyle name="Output 9 2" xfId="8784"/>
    <cellStyle name="Output 9 2 2" xfId="12550"/>
    <cellStyle name="Output 9 2 2 2" xfId="20421"/>
    <cellStyle name="Output Amounts" xfId="4990"/>
    <cellStyle name="Output Amounts 2" xfId="8785"/>
    <cellStyle name="Output Amounts 2 2" xfId="12551"/>
    <cellStyle name="Output Amounts 2 2 2" xfId="20422"/>
    <cellStyle name="Output Column Headings" xfId="4991"/>
    <cellStyle name="Output Column Headings 2" xfId="8786"/>
    <cellStyle name="Output Column Headings 2 2" xfId="12552"/>
    <cellStyle name="Output Column Headings 2 2 2" xfId="20423"/>
    <cellStyle name="Output Line Items" xfId="4992"/>
    <cellStyle name="Output Line Items 2" xfId="8787"/>
    <cellStyle name="Output Line Items 2 2" xfId="12553"/>
    <cellStyle name="Output Line Items 2 2 2" xfId="20424"/>
    <cellStyle name="Output Report Heading" xfId="4993"/>
    <cellStyle name="Output Report Heading 2" xfId="8788"/>
    <cellStyle name="Output Report Heading 2 2" xfId="12554"/>
    <cellStyle name="Output Report Heading 2 2 2" xfId="20425"/>
    <cellStyle name="Output Report Title" xfId="4994"/>
    <cellStyle name="Output Report Title 2" xfId="8789"/>
    <cellStyle name="Output Report Title 2 2" xfId="12555"/>
    <cellStyle name="Output Report Title 2 2 2" xfId="20426"/>
    <cellStyle name="P $,(0)" xfId="3072"/>
    <cellStyle name="P $,(0) 2" xfId="8790"/>
    <cellStyle name="P $,(0) 2 2" xfId="9620"/>
    <cellStyle name="P $,(0) 2 2 2" xfId="17602"/>
    <cellStyle name="P $,(0) 2 3" xfId="12556"/>
    <cellStyle name="P $,(0) 2 3 2" xfId="20427"/>
    <cellStyle name="P $,(0) 3" xfId="14596"/>
    <cellStyle name="Page Number" xfId="3073"/>
    <cellStyle name="Page Number 2" xfId="8791"/>
    <cellStyle name="Page Number 2 2" xfId="12557"/>
    <cellStyle name="Page Number 2 2 2" xfId="20428"/>
    <cellStyle name="Percen - Style2" xfId="3074"/>
    <cellStyle name="Percen - Style2 2" xfId="8792"/>
    <cellStyle name="Percen - Style2 2 2" xfId="12558"/>
    <cellStyle name="Percen - Style2 2 2 2" xfId="20429"/>
    <cellStyle name="Percent" xfId="3075" builtinId="5"/>
    <cellStyle name="Percent [2]" xfId="3076"/>
    <cellStyle name="Percent [2] 2" xfId="8793"/>
    <cellStyle name="Percent [2] 2 2" xfId="9621"/>
    <cellStyle name="Percent [2] 2 2 2" xfId="17603"/>
    <cellStyle name="Percent [2] 2 3" xfId="12559"/>
    <cellStyle name="Percent [2] 2 3 2" xfId="20430"/>
    <cellStyle name="Percent [2] 3" xfId="9622"/>
    <cellStyle name="Percent [2] 3 2" xfId="17604"/>
    <cellStyle name="Percent [2] 4" xfId="9717"/>
    <cellStyle name="Percent [2] 4 2" xfId="17656"/>
    <cellStyle name="Percent [2] 5" xfId="13826"/>
    <cellStyle name="Percent 10" xfId="3077"/>
    <cellStyle name="Percent 10 2" xfId="4995"/>
    <cellStyle name="Percent 10 2 2" xfId="8795"/>
    <cellStyle name="Percent 10 2 2 2" xfId="12560"/>
    <cellStyle name="Percent 10 2 2 2 2" xfId="20431"/>
    <cellStyle name="Percent 10 2 3" xfId="14368"/>
    <cellStyle name="Percent 10 3" xfId="4996"/>
    <cellStyle name="Percent 10 3 2" xfId="8796"/>
    <cellStyle name="Percent 10 3 2 2" xfId="12561"/>
    <cellStyle name="Percent 10 3 2 2 2" xfId="20432"/>
    <cellStyle name="Percent 10 4" xfId="4997"/>
    <cellStyle name="Percent 10 4 2" xfId="8797"/>
    <cellStyle name="Percent 10 4 2 2" xfId="12562"/>
    <cellStyle name="Percent 10 4 2 2 2" xfId="20433"/>
    <cellStyle name="Percent 10 5" xfId="6710"/>
    <cellStyle name="Percent 10 6" xfId="8794"/>
    <cellStyle name="Percent 10 6 2" xfId="12563"/>
    <cellStyle name="Percent 10 6 2 2" xfId="20434"/>
    <cellStyle name="Percent 10 7" xfId="14367"/>
    <cellStyle name="Percent 100" xfId="14363"/>
    <cellStyle name="Percent 100 2" xfId="21458"/>
    <cellStyle name="Percent 101" xfId="15391"/>
    <cellStyle name="Percent 101 2" xfId="22183"/>
    <cellStyle name="Percent 102" xfId="15438"/>
    <cellStyle name="Percent 102 2" xfId="22196"/>
    <cellStyle name="Percent 103" xfId="15471"/>
    <cellStyle name="Percent 103 2" xfId="22226"/>
    <cellStyle name="Percent 104" xfId="15634"/>
    <cellStyle name="Percent 104 2" xfId="22383"/>
    <cellStyle name="Percent 105" xfId="15672"/>
    <cellStyle name="Percent 105 2" xfId="22418"/>
    <cellStyle name="Percent 106" xfId="15868"/>
    <cellStyle name="Percent 106 2" xfId="22611"/>
    <cellStyle name="Percent 107" xfId="16064"/>
    <cellStyle name="Percent 107 2" xfId="22789"/>
    <cellStyle name="Percent 108" xfId="16074"/>
    <cellStyle name="Percent 108 2" xfId="22794"/>
    <cellStyle name="Percent 109" xfId="15910"/>
    <cellStyle name="Percent 109 2" xfId="22643"/>
    <cellStyle name="Percent 11" xfId="3078"/>
    <cellStyle name="Percent 11 2" xfId="4998"/>
    <cellStyle name="Percent 11 2 2" xfId="8799"/>
    <cellStyle name="Percent 11 2 2 2" xfId="12564"/>
    <cellStyle name="Percent 11 2 2 2 2" xfId="20435"/>
    <cellStyle name="Percent 11 2 3" xfId="14370"/>
    <cellStyle name="Percent 11 3" xfId="4999"/>
    <cellStyle name="Percent 11 3 2" xfId="8800"/>
    <cellStyle name="Percent 11 3 2 2" xfId="12565"/>
    <cellStyle name="Percent 11 3 2 2 2" xfId="20436"/>
    <cellStyle name="Percent 11 4" xfId="5000"/>
    <cellStyle name="Percent 11 4 2" xfId="8801"/>
    <cellStyle name="Percent 11 4 2 2" xfId="12566"/>
    <cellStyle name="Percent 11 4 2 2 2" xfId="20437"/>
    <cellStyle name="Percent 11 4 3" xfId="14371"/>
    <cellStyle name="Percent 11 5" xfId="5001"/>
    <cellStyle name="Percent 11 5 2" xfId="8802"/>
    <cellStyle name="Percent 11 5 2 2" xfId="12567"/>
    <cellStyle name="Percent 11 5 2 2 2" xfId="20438"/>
    <cellStyle name="Percent 11 6" xfId="6711"/>
    <cellStyle name="Percent 11 7" xfId="8798"/>
    <cellStyle name="Percent 11 7 2" xfId="12568"/>
    <cellStyle name="Percent 11 7 2 2" xfId="20439"/>
    <cellStyle name="Percent 11 8" xfId="14369"/>
    <cellStyle name="Percent 110" xfId="15833"/>
    <cellStyle name="Percent 110 2" xfId="22576"/>
    <cellStyle name="Percent 111" xfId="16069"/>
    <cellStyle name="Percent 111 2" xfId="22793"/>
    <cellStyle name="Percent 112" xfId="16077"/>
    <cellStyle name="Percent 112 2" xfId="22797"/>
    <cellStyle name="Percent 113" xfId="15925"/>
    <cellStyle name="Percent 113 2" xfId="22656"/>
    <cellStyle name="Percent 114" xfId="15909"/>
    <cellStyle name="Percent 114 2" xfId="22642"/>
    <cellStyle name="Percent 115" xfId="15935"/>
    <cellStyle name="Percent 115 2" xfId="22665"/>
    <cellStyle name="Percent 116" xfId="16295"/>
    <cellStyle name="Percent 117" xfId="16281"/>
    <cellStyle name="Percent 118" xfId="16318"/>
    <cellStyle name="Percent 119" xfId="22806"/>
    <cellStyle name="Percent 12" xfId="3079"/>
    <cellStyle name="Percent 12 2" xfId="5340"/>
    <cellStyle name="Percent 12 2 2" xfId="8804"/>
    <cellStyle name="Percent 12 2 2 2" xfId="12569"/>
    <cellStyle name="Percent 12 2 2 2 2" xfId="20440"/>
    <cellStyle name="Percent 12 2 3" xfId="14373"/>
    <cellStyle name="Percent 12 3" xfId="5002"/>
    <cellStyle name="Percent 12 3 2" xfId="8805"/>
    <cellStyle name="Percent 12 3 2 2" xfId="12570"/>
    <cellStyle name="Percent 12 3 2 2 2" xfId="20441"/>
    <cellStyle name="Percent 12 4" xfId="6712"/>
    <cellStyle name="Percent 12 5" xfId="8803"/>
    <cellStyle name="Percent 12 5 2" xfId="12571"/>
    <cellStyle name="Percent 12 5 2 2" xfId="20442"/>
    <cellStyle name="Percent 12 6" xfId="14372"/>
    <cellStyle name="Percent 120" xfId="16121"/>
    <cellStyle name="Percent 121" xfId="16115"/>
    <cellStyle name="Percent 122" xfId="22825"/>
    <cellStyle name="Percent 13" xfId="3080"/>
    <cellStyle name="Percent 13 2" xfId="5003"/>
    <cellStyle name="Percent 13 2 2" xfId="8807"/>
    <cellStyle name="Percent 13 2 2 2" xfId="12572"/>
    <cellStyle name="Percent 13 2 2 2 2" xfId="20443"/>
    <cellStyle name="Percent 13 2 3" xfId="14375"/>
    <cellStyle name="Percent 13 3" xfId="5004"/>
    <cellStyle name="Percent 13 3 2" xfId="8808"/>
    <cellStyle name="Percent 13 3 2 2" xfId="12573"/>
    <cellStyle name="Percent 13 3 2 2 2" xfId="20444"/>
    <cellStyle name="Percent 13 4" xfId="5005"/>
    <cellStyle name="Percent 13 4 2" xfId="8809"/>
    <cellStyle name="Percent 13 4 2 2" xfId="12574"/>
    <cellStyle name="Percent 13 4 2 2 2" xfId="20445"/>
    <cellStyle name="Percent 13 5" xfId="6713"/>
    <cellStyle name="Percent 13 6" xfId="8806"/>
    <cellStyle name="Percent 13 6 2" xfId="12575"/>
    <cellStyle name="Percent 13 6 2 2" xfId="20446"/>
    <cellStyle name="Percent 13 7" xfId="14374"/>
    <cellStyle name="Percent 14" xfId="3081"/>
    <cellStyle name="Percent 14 2" xfId="5006"/>
    <cellStyle name="Percent 14 2 2" xfId="8811"/>
    <cellStyle name="Percent 14 2 2 2" xfId="12576"/>
    <cellStyle name="Percent 14 2 2 2 2" xfId="20447"/>
    <cellStyle name="Percent 14 3" xfId="5586"/>
    <cellStyle name="Percent 14 3 2" xfId="8812"/>
    <cellStyle name="Percent 14 3 2 2" xfId="12577"/>
    <cellStyle name="Percent 14 3 2 2 2" xfId="20448"/>
    <cellStyle name="Percent 14 3 3" xfId="15031"/>
    <cellStyle name="Percent 14 4" xfId="6714"/>
    <cellStyle name="Percent 14 5" xfId="8810"/>
    <cellStyle name="Percent 14 5 2" xfId="12578"/>
    <cellStyle name="Percent 14 5 2 2" xfId="20449"/>
    <cellStyle name="Percent 14 6" xfId="14376"/>
    <cellStyle name="Percent 15" xfId="3082"/>
    <cellStyle name="Percent 15 2" xfId="5007"/>
    <cellStyle name="Percent 15 2 2" xfId="8814"/>
    <cellStyle name="Percent 15 2 2 2" xfId="12579"/>
    <cellStyle name="Percent 15 2 2 2 2" xfId="20450"/>
    <cellStyle name="Percent 15 2 3" xfId="14378"/>
    <cellStyle name="Percent 15 3" xfId="5008"/>
    <cellStyle name="Percent 15 3 2" xfId="8815"/>
    <cellStyle name="Percent 15 3 2 2" xfId="12580"/>
    <cellStyle name="Percent 15 3 2 2 2" xfId="20451"/>
    <cellStyle name="Percent 15 4" xfId="6715"/>
    <cellStyle name="Percent 15 5" xfId="8813"/>
    <cellStyle name="Percent 15 5 2" xfId="12581"/>
    <cellStyle name="Percent 15 5 2 2" xfId="20452"/>
    <cellStyle name="Percent 15 6" xfId="14377"/>
    <cellStyle name="Percent 16" xfId="3083"/>
    <cellStyle name="Percent 16 2" xfId="5009"/>
    <cellStyle name="Percent 16 2 2" xfId="8817"/>
    <cellStyle name="Percent 16 2 2 2" xfId="12582"/>
    <cellStyle name="Percent 16 2 2 2 2" xfId="20453"/>
    <cellStyle name="Percent 16 3" xfId="5587"/>
    <cellStyle name="Percent 16 3 2" xfId="8818"/>
    <cellStyle name="Percent 16 3 2 2" xfId="12583"/>
    <cellStyle name="Percent 16 3 2 2 2" xfId="20454"/>
    <cellStyle name="Percent 16 4" xfId="6716"/>
    <cellStyle name="Percent 16 5" xfId="8816"/>
    <cellStyle name="Percent 16 5 2" xfId="12584"/>
    <cellStyle name="Percent 16 5 2 2" xfId="20455"/>
    <cellStyle name="Percent 16 6" xfId="9670"/>
    <cellStyle name="Percent 16 6 2" xfId="17631"/>
    <cellStyle name="Percent 17" xfId="3084"/>
    <cellStyle name="Percent 17 2" xfId="8819"/>
    <cellStyle name="Percent 17 2 2" xfId="12585"/>
    <cellStyle name="Percent 17 2 2 2" xfId="20456"/>
    <cellStyle name="Percent 17 3" xfId="9681"/>
    <cellStyle name="Percent 17 3 2" xfId="17633"/>
    <cellStyle name="Percent 18" xfId="3085"/>
    <cellStyle name="Percent 18 2" xfId="8820"/>
    <cellStyle name="Percent 18 2 2" xfId="12586"/>
    <cellStyle name="Percent 18 2 2 2" xfId="20457"/>
    <cellStyle name="Percent 18 3" xfId="9682"/>
    <cellStyle name="Percent 18 3 2" xfId="17634"/>
    <cellStyle name="Percent 19" xfId="3086"/>
    <cellStyle name="Percent 19 2" xfId="8821"/>
    <cellStyle name="Percent 19 2 2" xfId="12587"/>
    <cellStyle name="Percent 19 2 2 2" xfId="20458"/>
    <cellStyle name="Percent 19 3" xfId="9683"/>
    <cellStyle name="Percent 19 3 2" xfId="17635"/>
    <cellStyle name="Percent 2" xfId="3087"/>
    <cellStyle name="Percent 2 10" xfId="8822"/>
    <cellStyle name="Percent 2 10 2" xfId="12588"/>
    <cellStyle name="Percent 2 10 2 2" xfId="20459"/>
    <cellStyle name="Percent 2 11" xfId="22812"/>
    <cellStyle name="Percent 2 2" xfId="3088"/>
    <cellStyle name="Percent 2 2 2" xfId="3089"/>
    <cellStyle name="Percent 2 2 2 2" xfId="5010"/>
    <cellStyle name="Percent 2 2 2 2 2" xfId="8825"/>
    <cellStyle name="Percent 2 2 2 2 2 2" xfId="12589"/>
    <cellStyle name="Percent 2 2 2 2 2 2 2" xfId="20460"/>
    <cellStyle name="Percent 2 2 2 3" xfId="5588"/>
    <cellStyle name="Percent 2 2 2 3 2" xfId="8826"/>
    <cellStyle name="Percent 2 2 2 3 2 2" xfId="12590"/>
    <cellStyle name="Percent 2 2 2 3 2 2 2" xfId="20461"/>
    <cellStyle name="Percent 2 2 2 3 3" xfId="15032"/>
    <cellStyle name="Percent 2 2 2 4" xfId="6718"/>
    <cellStyle name="Percent 2 2 2 5" xfId="8824"/>
    <cellStyle name="Percent 2 2 2 5 2" xfId="12591"/>
    <cellStyle name="Percent 2 2 2 5 2 2" xfId="20462"/>
    <cellStyle name="Percent 2 2 2 6" xfId="9815"/>
    <cellStyle name="Percent 2 2 2 7" xfId="14381"/>
    <cellStyle name="Percent 2 2 2 8" xfId="26321"/>
    <cellStyle name="Percent 2 2 3" xfId="3090"/>
    <cellStyle name="Percent 2 2 3 2" xfId="8827"/>
    <cellStyle name="Percent 2 2 3 2 2" xfId="12592"/>
    <cellStyle name="Percent 2 2 3 2 2 2" xfId="20463"/>
    <cellStyle name="Percent 2 2 3 3" xfId="14380"/>
    <cellStyle name="Percent 2 2 4" xfId="5011"/>
    <cellStyle name="Percent 2 2 4 2" xfId="8828"/>
    <cellStyle name="Percent 2 2 4 2 2" xfId="12593"/>
    <cellStyle name="Percent 2 2 4 2 2 2" xfId="20464"/>
    <cellStyle name="Percent 2 2 5" xfId="5012"/>
    <cellStyle name="Percent 2 2 5 2" xfId="8829"/>
    <cellStyle name="Percent 2 2 5 2 2" xfId="12594"/>
    <cellStyle name="Percent 2 2 5 2 2 2" xfId="20465"/>
    <cellStyle name="Percent 2 2 5 3" xfId="14773"/>
    <cellStyle name="Percent 2 2 6" xfId="6717"/>
    <cellStyle name="Percent 2 2 6 2" xfId="12595"/>
    <cellStyle name="Percent 2 2 6 2 2" xfId="20466"/>
    <cellStyle name="Percent 2 2 7" xfId="8823"/>
    <cellStyle name="Percent 2 2 7 2" xfId="12596"/>
    <cellStyle name="Percent 2 2 7 2 2" xfId="20467"/>
    <cellStyle name="Percent 2 2 8" xfId="14457"/>
    <cellStyle name="Percent 2 2 8 2" xfId="21480"/>
    <cellStyle name="Percent 2 3" xfId="3091"/>
    <cellStyle name="Percent 2 3 2" xfId="3092"/>
    <cellStyle name="Percent 2 3 2 2" xfId="3093"/>
    <cellStyle name="Percent 2 3 2 2 2" xfId="5696"/>
    <cellStyle name="Percent 2 3 2 2 2 2" xfId="8833"/>
    <cellStyle name="Percent 2 3 2 2 2 2 2" xfId="12597"/>
    <cellStyle name="Percent 2 3 2 2 2 2 2 2" xfId="20468"/>
    <cellStyle name="Percent 2 3 2 2 3" xfId="8832"/>
    <cellStyle name="Percent 2 3 2 2 3 2" xfId="12598"/>
    <cellStyle name="Percent 2 3 2 2 3 2 2" xfId="20469"/>
    <cellStyle name="Percent 2 3 2 3" xfId="5206"/>
    <cellStyle name="Percent 2 3 2 3 2" xfId="8834"/>
    <cellStyle name="Percent 2 3 2 3 2 2" xfId="12600"/>
    <cellStyle name="Percent 2 3 2 3 2 2 2" xfId="20471"/>
    <cellStyle name="Percent 2 3 2 3 3" xfId="6962"/>
    <cellStyle name="Percent 2 3 2 3 3 2" xfId="12601"/>
    <cellStyle name="Percent 2 3 2 3 3 2 2" xfId="20472"/>
    <cellStyle name="Percent 2 3 2 3 3 3" xfId="17209"/>
    <cellStyle name="Percent 2 3 2 3 4" xfId="12599"/>
    <cellStyle name="Percent 2 3 2 3 4 2" xfId="20470"/>
    <cellStyle name="Percent 2 3 2 3 5" xfId="14922"/>
    <cellStyle name="Percent 2 3 2 3 5 2" xfId="21822"/>
    <cellStyle name="Percent 2 3 2 3 6" xfId="16417"/>
    <cellStyle name="Percent 2 3 2 4" xfId="5589"/>
    <cellStyle name="Percent 2 3 2 4 2" xfId="8835"/>
    <cellStyle name="Percent 2 3 2 4 2 2" xfId="12602"/>
    <cellStyle name="Percent 2 3 2 4 2 2 2" xfId="20473"/>
    <cellStyle name="Percent 2 3 2 4 3" xfId="15033"/>
    <cellStyle name="Percent 2 3 2 5" xfId="6359"/>
    <cellStyle name="Percent 2 3 2 5 2" xfId="6720"/>
    <cellStyle name="Percent 2 3 2 5 3" xfId="12603"/>
    <cellStyle name="Percent 2 3 2 5 3 2" xfId="20474"/>
    <cellStyle name="Percent 2 3 2 5 4" xfId="16917"/>
    <cellStyle name="Percent 2 3 2 6" xfId="8831"/>
    <cellStyle name="Percent 2 3 2 6 2" xfId="12604"/>
    <cellStyle name="Percent 2 3 2 6 2 2" xfId="20475"/>
    <cellStyle name="Percent 2 3 2 7" xfId="14382"/>
    <cellStyle name="Percent 2 3 3" xfId="3094"/>
    <cellStyle name="Percent 2 3 3 2" xfId="5695"/>
    <cellStyle name="Percent 2 3 3 2 2" xfId="8837"/>
    <cellStyle name="Percent 2 3 3 2 2 2" xfId="12605"/>
    <cellStyle name="Percent 2 3 3 2 2 2 2" xfId="20476"/>
    <cellStyle name="Percent 2 3 3 3" xfId="8836"/>
    <cellStyle name="Percent 2 3 3 3 2" xfId="12606"/>
    <cellStyle name="Percent 2 3 3 3 2 2" xfId="20477"/>
    <cellStyle name="Percent 2 3 4" xfId="5205"/>
    <cellStyle name="Percent 2 3 4 2" xfId="8838"/>
    <cellStyle name="Percent 2 3 4 2 2" xfId="12608"/>
    <cellStyle name="Percent 2 3 4 2 2 2" xfId="20479"/>
    <cellStyle name="Percent 2 3 4 3" xfId="6961"/>
    <cellStyle name="Percent 2 3 4 3 2" xfId="12609"/>
    <cellStyle name="Percent 2 3 4 3 2 2" xfId="20480"/>
    <cellStyle name="Percent 2 3 4 3 3" xfId="17208"/>
    <cellStyle name="Percent 2 3 4 4" xfId="12607"/>
    <cellStyle name="Percent 2 3 4 4 2" xfId="20478"/>
    <cellStyle name="Percent 2 3 4 5" xfId="14921"/>
    <cellStyle name="Percent 2 3 4 5 2" xfId="21821"/>
    <cellStyle name="Percent 2 3 4 6" xfId="16416"/>
    <cellStyle name="Percent 2 3 5" xfId="5208"/>
    <cellStyle name="Percent 2 3 5 2" xfId="8839"/>
    <cellStyle name="Percent 2 3 5 2 2" xfId="12610"/>
    <cellStyle name="Percent 2 3 5 2 2 2" xfId="20481"/>
    <cellStyle name="Percent 2 3 6" xfId="6358"/>
    <cellStyle name="Percent 2 3 6 2" xfId="6719"/>
    <cellStyle name="Percent 2 3 6 3" xfId="12611"/>
    <cellStyle name="Percent 2 3 6 3 2" xfId="20482"/>
    <cellStyle name="Percent 2 3 6 4" xfId="16916"/>
    <cellStyle name="Percent 2 3 7" xfId="8830"/>
    <cellStyle name="Percent 2 3 7 2" xfId="12612"/>
    <cellStyle name="Percent 2 3 7 2 2" xfId="20483"/>
    <cellStyle name="Percent 2 4" xfId="3095"/>
    <cellStyle name="Percent 2 4 2" xfId="8840"/>
    <cellStyle name="Percent 2 4 2 2" xfId="12613"/>
    <cellStyle name="Percent 2 4 2 2 2" xfId="20484"/>
    <cellStyle name="Percent 2 4 3" xfId="13827"/>
    <cellStyle name="Percent 2 5" xfId="3096"/>
    <cellStyle name="Percent 2 5 2" xfId="5013"/>
    <cellStyle name="Percent 2 5 2 2" xfId="8842"/>
    <cellStyle name="Percent 2 5 2 2 2" xfId="12614"/>
    <cellStyle name="Percent 2 5 2 2 2 2" xfId="20485"/>
    <cellStyle name="Percent 2 5 2 3" xfId="14384"/>
    <cellStyle name="Percent 2 5 3" xfId="5014"/>
    <cellStyle name="Percent 2 5 3 2" xfId="8843"/>
    <cellStyle name="Percent 2 5 3 2 2" xfId="12615"/>
    <cellStyle name="Percent 2 5 3 2 2 2" xfId="20486"/>
    <cellStyle name="Percent 2 5 4" xfId="6721"/>
    <cellStyle name="Percent 2 5 5" xfId="8841"/>
    <cellStyle name="Percent 2 5 5 2" xfId="12616"/>
    <cellStyle name="Percent 2 5 5 2 2" xfId="20487"/>
    <cellStyle name="Percent 2 5 6" xfId="14383"/>
    <cellStyle name="Percent 2 6" xfId="5349"/>
    <cellStyle name="Percent 2 6 2" xfId="8844"/>
    <cellStyle name="Percent 2 6 2 2" xfId="12617"/>
    <cellStyle name="Percent 2 6 2 2 2" xfId="20488"/>
    <cellStyle name="Percent 2 6 3" xfId="14385"/>
    <cellStyle name="Percent 2 7" xfId="5015"/>
    <cellStyle name="Percent 2 7 2" xfId="8845"/>
    <cellStyle name="Percent 2 7 2 2" xfId="12618"/>
    <cellStyle name="Percent 2 7 2 2 2" xfId="20489"/>
    <cellStyle name="Percent 2 7 3" xfId="14379"/>
    <cellStyle name="Percent 2 8" xfId="5016"/>
    <cellStyle name="Percent 2 8 2" xfId="8846"/>
    <cellStyle name="Percent 2 8 2 2" xfId="12619"/>
    <cellStyle name="Percent 2 8 2 2 2" xfId="20490"/>
    <cellStyle name="Percent 2 9" xfId="5017"/>
    <cellStyle name="Percent 2 9 2" xfId="8847"/>
    <cellStyle name="Percent 2 9 2 2" xfId="12620"/>
    <cellStyle name="Percent 2 9 2 2 2" xfId="20491"/>
    <cellStyle name="Percent 2_Schedule May 2011" xfId="3097"/>
    <cellStyle name="Percent 20" xfId="3098"/>
    <cellStyle name="Percent 20 2" xfId="8848"/>
    <cellStyle name="Percent 20 2 2" xfId="12621"/>
    <cellStyle name="Percent 20 2 2 2" xfId="20492"/>
    <cellStyle name="Percent 20 3" xfId="9684"/>
    <cellStyle name="Percent 20 3 2" xfId="17636"/>
    <cellStyle name="Percent 21" xfId="3099"/>
    <cellStyle name="Percent 21 2" xfId="8849"/>
    <cellStyle name="Percent 21 2 2" xfId="12622"/>
    <cellStyle name="Percent 21 2 2 2" xfId="20493"/>
    <cellStyle name="Percent 21 3" xfId="9685"/>
    <cellStyle name="Percent 21 3 2" xfId="17637"/>
    <cellStyle name="Percent 22" xfId="3100"/>
    <cellStyle name="Percent 22 2" xfId="8850"/>
    <cellStyle name="Percent 22 2 2" xfId="12623"/>
    <cellStyle name="Percent 22 2 2 2" xfId="20494"/>
    <cellStyle name="Percent 22 3" xfId="9686"/>
    <cellStyle name="Percent 22 3 2" xfId="17638"/>
    <cellStyle name="Percent 23" xfId="3101"/>
    <cellStyle name="Percent 23 2" xfId="8851"/>
    <cellStyle name="Percent 23 2 2" xfId="12624"/>
    <cellStyle name="Percent 23 2 2 2" xfId="20495"/>
    <cellStyle name="Percent 23 3" xfId="9687"/>
    <cellStyle name="Percent 23 3 2" xfId="17639"/>
    <cellStyle name="Percent 24" xfId="3102"/>
    <cellStyle name="Percent 24 2" xfId="8852"/>
    <cellStyle name="Percent 24 2 2" xfId="12625"/>
    <cellStyle name="Percent 24 2 2 2" xfId="20496"/>
    <cellStyle name="Percent 24 3" xfId="13828"/>
    <cellStyle name="Percent 25" xfId="3103"/>
    <cellStyle name="Percent 25 2" xfId="8853"/>
    <cellStyle name="Percent 25 2 2" xfId="12626"/>
    <cellStyle name="Percent 25 2 2 2" xfId="20497"/>
    <cellStyle name="Percent 25 3" xfId="9742"/>
    <cellStyle name="Percent 25 3 2" xfId="17672"/>
    <cellStyle name="Percent 26" xfId="3104"/>
    <cellStyle name="Percent 26 2" xfId="8854"/>
    <cellStyle name="Percent 26 2 2" xfId="12627"/>
    <cellStyle name="Percent 26 2 2 2" xfId="20498"/>
    <cellStyle name="Percent 26 3" xfId="13829"/>
    <cellStyle name="Percent 27" xfId="3105"/>
    <cellStyle name="Percent 27 2" xfId="8855"/>
    <cellStyle name="Percent 27 2 2" xfId="12628"/>
    <cellStyle name="Percent 27 2 2 2" xfId="20499"/>
    <cellStyle name="Percent 27 3" xfId="9814"/>
    <cellStyle name="Percent 28" xfId="3106"/>
    <cellStyle name="Percent 28 2" xfId="8856"/>
    <cellStyle name="Percent 28 2 2" xfId="12629"/>
    <cellStyle name="Percent 28 2 2 2" xfId="20500"/>
    <cellStyle name="Percent 28 3" xfId="9829"/>
    <cellStyle name="Percent 29" xfId="3107"/>
    <cellStyle name="Percent 29 2" xfId="3108"/>
    <cellStyle name="Percent 29 2 2" xfId="5750"/>
    <cellStyle name="Percent 29 2 2 2" xfId="8859"/>
    <cellStyle name="Percent 29 2 2 2 2" xfId="12630"/>
    <cellStyle name="Percent 29 2 2 2 2 2" xfId="20501"/>
    <cellStyle name="Percent 29 2 2 3" xfId="15065"/>
    <cellStyle name="Percent 29 2 3" xfId="8858"/>
    <cellStyle name="Percent 29 2 3 2" xfId="12631"/>
    <cellStyle name="Percent 29 2 3 2 2" xfId="20502"/>
    <cellStyle name="Percent 29 2 4" xfId="6722"/>
    <cellStyle name="Percent 29 2 4 2" xfId="12632"/>
    <cellStyle name="Percent 29 2 4 2 2" xfId="20503"/>
    <cellStyle name="Percent 29 2 5" xfId="15399"/>
    <cellStyle name="Percent 29 2 5 2" xfId="22188"/>
    <cellStyle name="Percent 29 3" xfId="5353"/>
    <cellStyle name="Percent 29 3 2" xfId="8860"/>
    <cellStyle name="Percent 29 3 2 2" xfId="12633"/>
    <cellStyle name="Percent 29 3 2 2 2" xfId="20504"/>
    <cellStyle name="Percent 29 3 3" xfId="14969"/>
    <cellStyle name="Percent 29 4" xfId="5697"/>
    <cellStyle name="Percent 29 4 2" xfId="8861"/>
    <cellStyle name="Percent 29 4 2 2" xfId="12634"/>
    <cellStyle name="Percent 29 4 2 2 2" xfId="20505"/>
    <cellStyle name="Percent 29 5" xfId="8857"/>
    <cellStyle name="Percent 29 5 2" xfId="12635"/>
    <cellStyle name="Percent 29 5 2 2" xfId="20506"/>
    <cellStyle name="Percent 3" xfId="3109"/>
    <cellStyle name="Percent 3 10" xfId="6360"/>
    <cellStyle name="Percent 3 10 2" xfId="6723"/>
    <cellStyle name="Percent 3 10 2 2" xfId="12637"/>
    <cellStyle name="Percent 3 10 2 2 2" xfId="20508"/>
    <cellStyle name="Percent 3 10 3" xfId="12636"/>
    <cellStyle name="Percent 3 10 3 2" xfId="20507"/>
    <cellStyle name="Percent 3 10 4" xfId="16918"/>
    <cellStyle name="Percent 3 11" xfId="8862"/>
    <cellStyle name="Percent 3 11 2" xfId="12638"/>
    <cellStyle name="Percent 3 11 2 2" xfId="20509"/>
    <cellStyle name="Percent 3 12" xfId="14040"/>
    <cellStyle name="Percent 3 12 2" xfId="21447"/>
    <cellStyle name="Percent 3 13" xfId="14408"/>
    <cellStyle name="Percent 3 13 2" xfId="21465"/>
    <cellStyle name="Percent 3 14" xfId="15483"/>
    <cellStyle name="Percent 3 14 2" xfId="22238"/>
    <cellStyle name="Percent 3 15" xfId="15683"/>
    <cellStyle name="Percent 3 15 2" xfId="22429"/>
    <cellStyle name="Percent 3 16" xfId="15879"/>
    <cellStyle name="Percent 3 16 2" xfId="22622"/>
    <cellStyle name="Percent 3 17" xfId="16132"/>
    <cellStyle name="Percent 3 2" xfId="3110"/>
    <cellStyle name="Percent 3 2 10" xfId="15430"/>
    <cellStyle name="Percent 3 2 11" xfId="15484"/>
    <cellStyle name="Percent 3 2 11 2" xfId="22239"/>
    <cellStyle name="Percent 3 2 12" xfId="15684"/>
    <cellStyle name="Percent 3 2 12 2" xfId="22430"/>
    <cellStyle name="Percent 3 2 13" xfId="15880"/>
    <cellStyle name="Percent 3 2 13 2" xfId="22623"/>
    <cellStyle name="Percent 3 2 14" xfId="16133"/>
    <cellStyle name="Percent 3 2 2" xfId="3111"/>
    <cellStyle name="Percent 3 2 2 2" xfId="3112"/>
    <cellStyle name="Percent 3 2 2 2 2" xfId="8865"/>
    <cellStyle name="Percent 3 2 2 2 2 2" xfId="12639"/>
    <cellStyle name="Percent 3 2 2 2 2 2 2" xfId="20510"/>
    <cellStyle name="Percent 3 2 2 2 3" xfId="6725"/>
    <cellStyle name="Percent 3 2 2 3" xfId="5212"/>
    <cellStyle name="Percent 3 2 2 3 2" xfId="8866"/>
    <cellStyle name="Percent 3 2 2 3 2 2" xfId="12641"/>
    <cellStyle name="Percent 3 2 2 3 2 2 2" xfId="20512"/>
    <cellStyle name="Percent 3 2 2 3 3" xfId="6965"/>
    <cellStyle name="Percent 3 2 2 3 3 2" xfId="12642"/>
    <cellStyle name="Percent 3 2 2 3 3 2 2" xfId="20513"/>
    <cellStyle name="Percent 3 2 2 3 3 3" xfId="17212"/>
    <cellStyle name="Percent 3 2 2 3 4" xfId="12640"/>
    <cellStyle name="Percent 3 2 2 3 4 2" xfId="20511"/>
    <cellStyle name="Percent 3 2 2 3 5" xfId="14925"/>
    <cellStyle name="Percent 3 2 2 3 5 2" xfId="21825"/>
    <cellStyle name="Percent 3 2 2 3 6" xfId="16420"/>
    <cellStyle name="Percent 3 2 2 4" xfId="5700"/>
    <cellStyle name="Percent 3 2 2 4 2" xfId="8867"/>
    <cellStyle name="Percent 3 2 2 4 2 2" xfId="12643"/>
    <cellStyle name="Percent 3 2 2 4 2 2 2" xfId="20514"/>
    <cellStyle name="Percent 3 2 2 5" xfId="6362"/>
    <cellStyle name="Percent 3 2 2 5 2" xfId="8864"/>
    <cellStyle name="Percent 3 2 2 5 2 2" xfId="12645"/>
    <cellStyle name="Percent 3 2 2 5 2 2 2" xfId="20516"/>
    <cellStyle name="Percent 3 2 2 5 3" xfId="12644"/>
    <cellStyle name="Percent 3 2 2 5 3 2" xfId="20515"/>
    <cellStyle name="Percent 3 2 2 5 4" xfId="16920"/>
    <cellStyle name="Percent 3 2 2 6" xfId="9776"/>
    <cellStyle name="Percent 3 2 2 6 2" xfId="17693"/>
    <cellStyle name="Percent 3 2 2 7" xfId="15431"/>
    <cellStyle name="Percent 3 2 3" xfId="3113"/>
    <cellStyle name="Percent 3 2 3 2" xfId="5699"/>
    <cellStyle name="Percent 3 2 3 2 2" xfId="8869"/>
    <cellStyle name="Percent 3 2 3 2 2 2" xfId="12646"/>
    <cellStyle name="Percent 3 2 3 2 2 2 2" xfId="20517"/>
    <cellStyle name="Percent 3 2 3 3" xfId="8868"/>
    <cellStyle name="Percent 3 2 3 3 2" xfId="12647"/>
    <cellStyle name="Percent 3 2 3 3 2 2" xfId="20518"/>
    <cellStyle name="Percent 3 2 3 4" xfId="9817"/>
    <cellStyle name="Percent 3 2 4" xfId="5211"/>
    <cellStyle name="Percent 3 2 4 2" xfId="8870"/>
    <cellStyle name="Percent 3 2 4 2 2" xfId="12649"/>
    <cellStyle name="Percent 3 2 4 2 2 2" xfId="20520"/>
    <cellStyle name="Percent 3 2 4 3" xfId="6964"/>
    <cellStyle name="Percent 3 2 4 3 2" xfId="12650"/>
    <cellStyle name="Percent 3 2 4 3 2 2" xfId="20521"/>
    <cellStyle name="Percent 3 2 4 3 3" xfId="17211"/>
    <cellStyle name="Percent 3 2 4 4" xfId="12648"/>
    <cellStyle name="Percent 3 2 4 4 2" xfId="20519"/>
    <cellStyle name="Percent 3 2 4 5" xfId="14924"/>
    <cellStyle name="Percent 3 2 4 5 2" xfId="21824"/>
    <cellStyle name="Percent 3 2 4 6" xfId="16419"/>
    <cellStyle name="Percent 3 2 5" xfId="5829"/>
    <cellStyle name="Percent 3 2 5 2" xfId="8871"/>
    <cellStyle name="Percent 3 2 5 2 2" xfId="12652"/>
    <cellStyle name="Percent 3 2 5 2 2 2" xfId="20523"/>
    <cellStyle name="Percent 3 2 5 3" xfId="7072"/>
    <cellStyle name="Percent 3 2 5 3 2" xfId="12653"/>
    <cellStyle name="Percent 3 2 5 3 2 2" xfId="20524"/>
    <cellStyle name="Percent 3 2 5 3 3" xfId="17319"/>
    <cellStyle name="Percent 3 2 5 4" xfId="12651"/>
    <cellStyle name="Percent 3 2 5 4 2" xfId="20522"/>
    <cellStyle name="Percent 3 2 5 5" xfId="15133"/>
    <cellStyle name="Percent 3 2 5 5 2" xfId="21932"/>
    <cellStyle name="Percent 3 2 5 6" xfId="16523"/>
    <cellStyle name="Percent 3 2 6" xfId="6361"/>
    <cellStyle name="Percent 3 2 6 2" xfId="6724"/>
    <cellStyle name="Percent 3 2 6 3" xfId="12654"/>
    <cellStyle name="Percent 3 2 6 3 2" xfId="20525"/>
    <cellStyle name="Percent 3 2 6 4" xfId="16919"/>
    <cellStyle name="Percent 3 2 7" xfId="8863"/>
    <cellStyle name="Percent 3 2 7 2" xfId="12655"/>
    <cellStyle name="Percent 3 2 7 2 2" xfId="20526"/>
    <cellStyle name="Percent 3 2 8" xfId="9775"/>
    <cellStyle name="Percent 3 2 8 2" xfId="17692"/>
    <cellStyle name="Percent 3 2 9" xfId="14041"/>
    <cellStyle name="Percent 3 2 9 2" xfId="21448"/>
    <cellStyle name="Percent 3 3" xfId="3114"/>
    <cellStyle name="Percent 3 3 10" xfId="15432"/>
    <cellStyle name="Percent 3 3 11" xfId="15485"/>
    <cellStyle name="Percent 3 3 11 2" xfId="22240"/>
    <cellStyle name="Percent 3 3 12" xfId="15685"/>
    <cellStyle name="Percent 3 3 12 2" xfId="22431"/>
    <cellStyle name="Percent 3 3 13" xfId="15881"/>
    <cellStyle name="Percent 3 3 13 2" xfId="22624"/>
    <cellStyle name="Percent 3 3 14" xfId="16134"/>
    <cellStyle name="Percent 3 3 2" xfId="3115"/>
    <cellStyle name="Percent 3 3 2 2" xfId="3116"/>
    <cellStyle name="Percent 3 3 2 2 2" xfId="8874"/>
    <cellStyle name="Percent 3 3 2 2 2 2" xfId="12656"/>
    <cellStyle name="Percent 3 3 2 2 2 2 2" xfId="20527"/>
    <cellStyle name="Percent 3 3 2 2 3" xfId="6727"/>
    <cellStyle name="Percent 3 3 2 3" xfId="5214"/>
    <cellStyle name="Percent 3 3 2 3 2" xfId="8875"/>
    <cellStyle name="Percent 3 3 2 3 2 2" xfId="12658"/>
    <cellStyle name="Percent 3 3 2 3 2 2 2" xfId="20529"/>
    <cellStyle name="Percent 3 3 2 3 3" xfId="6967"/>
    <cellStyle name="Percent 3 3 2 3 3 2" xfId="12659"/>
    <cellStyle name="Percent 3 3 2 3 3 2 2" xfId="20530"/>
    <cellStyle name="Percent 3 3 2 3 3 3" xfId="17214"/>
    <cellStyle name="Percent 3 3 2 3 4" xfId="12657"/>
    <cellStyle name="Percent 3 3 2 3 4 2" xfId="20528"/>
    <cellStyle name="Percent 3 3 2 3 5" xfId="14927"/>
    <cellStyle name="Percent 3 3 2 3 5 2" xfId="21827"/>
    <cellStyle name="Percent 3 3 2 3 6" xfId="16422"/>
    <cellStyle name="Percent 3 3 2 4" xfId="5702"/>
    <cellStyle name="Percent 3 3 2 4 2" xfId="8876"/>
    <cellStyle name="Percent 3 3 2 4 2 2" xfId="12660"/>
    <cellStyle name="Percent 3 3 2 4 2 2 2" xfId="20531"/>
    <cellStyle name="Percent 3 3 2 5" xfId="6364"/>
    <cellStyle name="Percent 3 3 2 5 2" xfId="8873"/>
    <cellStyle name="Percent 3 3 2 5 2 2" xfId="12662"/>
    <cellStyle name="Percent 3 3 2 5 2 2 2" xfId="20533"/>
    <cellStyle name="Percent 3 3 2 5 3" xfId="12661"/>
    <cellStyle name="Percent 3 3 2 5 3 2" xfId="20532"/>
    <cellStyle name="Percent 3 3 2 5 4" xfId="16922"/>
    <cellStyle name="Percent 3 3 2 6" xfId="9818"/>
    <cellStyle name="Percent 3 3 3" xfId="3117"/>
    <cellStyle name="Percent 3 3 3 2" xfId="5701"/>
    <cellStyle name="Percent 3 3 3 2 2" xfId="8878"/>
    <cellStyle name="Percent 3 3 3 2 2 2" xfId="12663"/>
    <cellStyle name="Percent 3 3 3 2 2 2 2" xfId="20534"/>
    <cellStyle name="Percent 3 3 3 3" xfId="8877"/>
    <cellStyle name="Percent 3 3 3 3 2" xfId="12664"/>
    <cellStyle name="Percent 3 3 3 3 2 2" xfId="20535"/>
    <cellStyle name="Percent 3 3 4" xfId="5213"/>
    <cellStyle name="Percent 3 3 4 2" xfId="8879"/>
    <cellStyle name="Percent 3 3 4 2 2" xfId="12666"/>
    <cellStyle name="Percent 3 3 4 2 2 2" xfId="20537"/>
    <cellStyle name="Percent 3 3 4 3" xfId="6966"/>
    <cellStyle name="Percent 3 3 4 3 2" xfId="12667"/>
    <cellStyle name="Percent 3 3 4 3 2 2" xfId="20538"/>
    <cellStyle name="Percent 3 3 4 3 3" xfId="17213"/>
    <cellStyle name="Percent 3 3 4 4" xfId="12665"/>
    <cellStyle name="Percent 3 3 4 4 2" xfId="20536"/>
    <cellStyle name="Percent 3 3 4 5" xfId="14926"/>
    <cellStyle name="Percent 3 3 4 5 2" xfId="21826"/>
    <cellStyle name="Percent 3 3 4 6" xfId="16421"/>
    <cellStyle name="Percent 3 3 5" xfId="5830"/>
    <cellStyle name="Percent 3 3 5 2" xfId="8880"/>
    <cellStyle name="Percent 3 3 5 2 2" xfId="12669"/>
    <cellStyle name="Percent 3 3 5 2 2 2" xfId="20540"/>
    <cellStyle name="Percent 3 3 5 3" xfId="7073"/>
    <cellStyle name="Percent 3 3 5 3 2" xfId="12670"/>
    <cellStyle name="Percent 3 3 5 3 2 2" xfId="20541"/>
    <cellStyle name="Percent 3 3 5 3 3" xfId="17320"/>
    <cellStyle name="Percent 3 3 5 4" xfId="12668"/>
    <cellStyle name="Percent 3 3 5 4 2" xfId="20539"/>
    <cellStyle name="Percent 3 3 5 5" xfId="15134"/>
    <cellStyle name="Percent 3 3 5 5 2" xfId="21933"/>
    <cellStyle name="Percent 3 3 5 6" xfId="16524"/>
    <cellStyle name="Percent 3 3 6" xfId="6363"/>
    <cellStyle name="Percent 3 3 6 2" xfId="6726"/>
    <cellStyle name="Percent 3 3 6 3" xfId="12671"/>
    <cellStyle name="Percent 3 3 6 3 2" xfId="20542"/>
    <cellStyle name="Percent 3 3 6 4" xfId="16921"/>
    <cellStyle name="Percent 3 3 7" xfId="8872"/>
    <cellStyle name="Percent 3 3 7 2" xfId="12672"/>
    <cellStyle name="Percent 3 3 7 2 2" xfId="20543"/>
    <cellStyle name="Percent 3 3 8" xfId="9777"/>
    <cellStyle name="Percent 3 3 8 2" xfId="17694"/>
    <cellStyle name="Percent 3 3 9" xfId="14042"/>
    <cellStyle name="Percent 3 3 9 2" xfId="21449"/>
    <cellStyle name="Percent 3 4" xfId="3118"/>
    <cellStyle name="Percent 3 4 2" xfId="3119"/>
    <cellStyle name="Percent 3 4 2 2" xfId="5703"/>
    <cellStyle name="Percent 3 4 2 2 2" xfId="8883"/>
    <cellStyle name="Percent 3 4 2 2 2 2" xfId="12673"/>
    <cellStyle name="Percent 3 4 2 2 2 2 2" xfId="20544"/>
    <cellStyle name="Percent 3 4 2 3" xfId="8882"/>
    <cellStyle name="Percent 3 4 2 3 2" xfId="12674"/>
    <cellStyle name="Percent 3 4 2 3 2 2" xfId="20545"/>
    <cellStyle name="Percent 3 4 3" xfId="5215"/>
    <cellStyle name="Percent 3 4 3 2" xfId="8884"/>
    <cellStyle name="Percent 3 4 3 2 2" xfId="12676"/>
    <cellStyle name="Percent 3 4 3 2 2 2" xfId="20547"/>
    <cellStyle name="Percent 3 4 3 3" xfId="6968"/>
    <cellStyle name="Percent 3 4 3 3 2" xfId="12677"/>
    <cellStyle name="Percent 3 4 3 3 2 2" xfId="20548"/>
    <cellStyle name="Percent 3 4 3 3 3" xfId="17215"/>
    <cellStyle name="Percent 3 4 3 4" xfId="12675"/>
    <cellStyle name="Percent 3 4 3 4 2" xfId="20546"/>
    <cellStyle name="Percent 3 4 3 5" xfId="14928"/>
    <cellStyle name="Percent 3 4 3 5 2" xfId="21828"/>
    <cellStyle name="Percent 3 4 3 6" xfId="16423"/>
    <cellStyle name="Percent 3 4 4" xfId="5590"/>
    <cellStyle name="Percent 3 4 4 2" xfId="8885"/>
    <cellStyle name="Percent 3 4 4 2 2" xfId="12678"/>
    <cellStyle name="Percent 3 4 4 2 2 2" xfId="20549"/>
    <cellStyle name="Percent 3 4 4 3" xfId="15034"/>
    <cellStyle name="Percent 3 4 5" xfId="6365"/>
    <cellStyle name="Percent 3 4 5 2" xfId="6728"/>
    <cellStyle name="Percent 3 4 5 3" xfId="12679"/>
    <cellStyle name="Percent 3 4 5 3 2" xfId="20550"/>
    <cellStyle name="Percent 3 4 5 4" xfId="16923"/>
    <cellStyle name="Percent 3 4 6" xfId="8881"/>
    <cellStyle name="Percent 3 4 6 2" xfId="12680"/>
    <cellStyle name="Percent 3 4 6 2 2" xfId="20551"/>
    <cellStyle name="Percent 3 4 7" xfId="9816"/>
    <cellStyle name="Percent 3 4 8" xfId="14386"/>
    <cellStyle name="Percent 3 5" xfId="3120"/>
    <cellStyle name="Percent 3 5 2" xfId="5018"/>
    <cellStyle name="Percent 3 5 2 2" xfId="8887"/>
    <cellStyle name="Percent 3 5 2 2 2" xfId="12681"/>
    <cellStyle name="Percent 3 5 2 2 2 2" xfId="20552"/>
    <cellStyle name="Percent 3 5 3" xfId="5621"/>
    <cellStyle name="Percent 3 5 3 2" xfId="8888"/>
    <cellStyle name="Percent 3 5 3 2 2" xfId="12683"/>
    <cellStyle name="Percent 3 5 3 2 2 2" xfId="20554"/>
    <cellStyle name="Percent 3 5 3 3" xfId="6992"/>
    <cellStyle name="Percent 3 5 3 3 2" xfId="12684"/>
    <cellStyle name="Percent 3 5 3 3 2 2" xfId="20555"/>
    <cellStyle name="Percent 3 5 3 3 3" xfId="17239"/>
    <cellStyle name="Percent 3 5 3 4" xfId="12682"/>
    <cellStyle name="Percent 3 5 3 4 2" xfId="20553"/>
    <cellStyle name="Percent 3 5 3 5" xfId="15044"/>
    <cellStyle name="Percent 3 5 3 5 2" xfId="21852"/>
    <cellStyle name="Percent 3 5 3 6" xfId="16443"/>
    <cellStyle name="Percent 3 5 4" xfId="5828"/>
    <cellStyle name="Percent 3 5 4 2" xfId="8889"/>
    <cellStyle name="Percent 3 5 4 2 2" xfId="12686"/>
    <cellStyle name="Percent 3 5 4 2 2 2" xfId="20557"/>
    <cellStyle name="Percent 3 5 4 3" xfId="7071"/>
    <cellStyle name="Percent 3 5 4 3 2" xfId="12687"/>
    <cellStyle name="Percent 3 5 4 3 2 2" xfId="20558"/>
    <cellStyle name="Percent 3 5 4 3 3" xfId="17318"/>
    <cellStyle name="Percent 3 5 4 4" xfId="12685"/>
    <cellStyle name="Percent 3 5 4 4 2" xfId="20556"/>
    <cellStyle name="Percent 3 5 4 5" xfId="15132"/>
    <cellStyle name="Percent 3 5 4 5 2" xfId="21931"/>
    <cellStyle name="Percent 3 5 4 6" xfId="16522"/>
    <cellStyle name="Percent 3 5 5" xfId="8886"/>
    <cellStyle name="Percent 3 5 5 2" xfId="12688"/>
    <cellStyle name="Percent 3 5 5 2 2" xfId="20559"/>
    <cellStyle name="Percent 3 5 6" xfId="15493"/>
    <cellStyle name="Percent 3 5 6 2" xfId="22248"/>
    <cellStyle name="Percent 3 5 7" xfId="15693"/>
    <cellStyle name="Percent 3 5 7 2" xfId="22439"/>
    <cellStyle name="Percent 3 5 8" xfId="15908"/>
    <cellStyle name="Percent 3 5 8 2" xfId="22641"/>
    <cellStyle name="Percent 3 5 9" xfId="16142"/>
    <cellStyle name="Percent 3 6" xfId="3121"/>
    <cellStyle name="Percent 3 6 2" xfId="5704"/>
    <cellStyle name="Percent 3 6 2 2" xfId="8891"/>
    <cellStyle name="Percent 3 6 2 2 2" xfId="12689"/>
    <cellStyle name="Percent 3 6 2 2 2 2" xfId="20560"/>
    <cellStyle name="Percent 3 6 3" xfId="8890"/>
    <cellStyle name="Percent 3 6 3 2" xfId="12690"/>
    <cellStyle name="Percent 3 6 3 2 2" xfId="20561"/>
    <cellStyle name="Percent 3 7" xfId="3122"/>
    <cellStyle name="Percent 3 7 2" xfId="8892"/>
    <cellStyle name="Percent 3 7 2 2" xfId="12691"/>
    <cellStyle name="Percent 3 7 2 2 2" xfId="20562"/>
    <cellStyle name="Percent 3 7 3" xfId="14597"/>
    <cellStyle name="Percent 3 8" xfId="3123"/>
    <cellStyle name="Percent 3 8 2" xfId="5698"/>
    <cellStyle name="Percent 3 8 2 2" xfId="8894"/>
    <cellStyle name="Percent 3 8 2 2 2" xfId="12692"/>
    <cellStyle name="Percent 3 8 2 2 2 2" xfId="20563"/>
    <cellStyle name="Percent 3 8 2 3" xfId="15057"/>
    <cellStyle name="Percent 3 8 3" xfId="8893"/>
    <cellStyle name="Percent 3 8 3 2" xfId="12693"/>
    <cellStyle name="Percent 3 8 3 2 2" xfId="20564"/>
    <cellStyle name="Percent 3 8 4" xfId="6729"/>
    <cellStyle name="Percent 3 8 5" xfId="16296"/>
    <cellStyle name="Percent 3 9" xfId="5210"/>
    <cellStyle name="Percent 3 9 2" xfId="8895"/>
    <cellStyle name="Percent 3 9 2 2" xfId="12695"/>
    <cellStyle name="Percent 3 9 2 2 2" xfId="20566"/>
    <cellStyle name="Percent 3 9 3" xfId="6963"/>
    <cellStyle name="Percent 3 9 3 2" xfId="12696"/>
    <cellStyle name="Percent 3 9 3 2 2" xfId="20567"/>
    <cellStyle name="Percent 3 9 3 3" xfId="17210"/>
    <cellStyle name="Percent 3 9 4" xfId="12694"/>
    <cellStyle name="Percent 3 9 4 2" xfId="20565"/>
    <cellStyle name="Percent 3 9 5" xfId="14923"/>
    <cellStyle name="Percent 3 9 5 2" xfId="21823"/>
    <cellStyle name="Percent 3 9 6" xfId="16418"/>
    <cellStyle name="Percent 30" xfId="3124"/>
    <cellStyle name="Percent 30 2" xfId="5705"/>
    <cellStyle name="Percent 30 2 2" xfId="8897"/>
    <cellStyle name="Percent 30 2 2 2" xfId="12697"/>
    <cellStyle name="Percent 30 2 2 2 2" xfId="20568"/>
    <cellStyle name="Percent 30 3" xfId="8896"/>
    <cellStyle name="Percent 30 3 2" xfId="12698"/>
    <cellStyle name="Percent 30 3 2 2" xfId="20569"/>
    <cellStyle name="Percent 31" xfId="3125"/>
    <cellStyle name="Percent 31 2" xfId="5706"/>
    <cellStyle name="Percent 31 2 2" xfId="8899"/>
    <cellStyle name="Percent 31 2 2 2" xfId="12699"/>
    <cellStyle name="Percent 31 2 2 2 2" xfId="20570"/>
    <cellStyle name="Percent 31 3" xfId="8898"/>
    <cellStyle name="Percent 31 3 2" xfId="12700"/>
    <cellStyle name="Percent 31 3 2 2" xfId="20571"/>
    <cellStyle name="Percent 32" xfId="3126"/>
    <cellStyle name="Percent 32 2" xfId="5707"/>
    <cellStyle name="Percent 32 2 2" xfId="8901"/>
    <cellStyle name="Percent 32 2 2 2" xfId="12701"/>
    <cellStyle name="Percent 32 2 2 2 2" xfId="20572"/>
    <cellStyle name="Percent 32 3" xfId="8900"/>
    <cellStyle name="Percent 32 3 2" xfId="12702"/>
    <cellStyle name="Percent 32 3 2 2" xfId="20573"/>
    <cellStyle name="Percent 33" xfId="3127"/>
    <cellStyle name="Percent 33 2" xfId="5708"/>
    <cellStyle name="Percent 33 2 2" xfId="8903"/>
    <cellStyle name="Percent 33 2 2 2" xfId="12703"/>
    <cellStyle name="Percent 33 2 2 2 2" xfId="20574"/>
    <cellStyle name="Percent 33 3" xfId="8902"/>
    <cellStyle name="Percent 33 3 2" xfId="12704"/>
    <cellStyle name="Percent 33 3 2 2" xfId="20575"/>
    <cellStyle name="Percent 34" xfId="3128"/>
    <cellStyle name="Percent 34 2" xfId="5709"/>
    <cellStyle name="Percent 34 2 2" xfId="8905"/>
    <cellStyle name="Percent 34 2 2 2" xfId="12705"/>
    <cellStyle name="Percent 34 2 2 2 2" xfId="20576"/>
    <cellStyle name="Percent 34 3" xfId="8904"/>
    <cellStyle name="Percent 34 3 2" xfId="12706"/>
    <cellStyle name="Percent 34 3 2 2" xfId="20577"/>
    <cellStyle name="Percent 35" xfId="3129"/>
    <cellStyle name="Percent 35 2" xfId="5710"/>
    <cellStyle name="Percent 35 2 2" xfId="8907"/>
    <cellStyle name="Percent 35 2 2 2" xfId="12707"/>
    <cellStyle name="Percent 35 2 2 2 2" xfId="20578"/>
    <cellStyle name="Percent 35 3" xfId="8906"/>
    <cellStyle name="Percent 35 3 2" xfId="12708"/>
    <cellStyle name="Percent 35 3 2 2" xfId="20579"/>
    <cellStyle name="Percent 36" xfId="3130"/>
    <cellStyle name="Percent 36 2" xfId="5711"/>
    <cellStyle name="Percent 36 2 2" xfId="8909"/>
    <cellStyle name="Percent 36 2 2 2" xfId="12709"/>
    <cellStyle name="Percent 36 2 2 2 2" xfId="20580"/>
    <cellStyle name="Percent 36 3" xfId="8908"/>
    <cellStyle name="Percent 36 3 2" xfId="12710"/>
    <cellStyle name="Percent 36 3 2 2" xfId="20581"/>
    <cellStyle name="Percent 37" xfId="3131"/>
    <cellStyle name="Percent 37 2" xfId="5712"/>
    <cellStyle name="Percent 37 2 2" xfId="8911"/>
    <cellStyle name="Percent 37 2 2 2" xfId="12711"/>
    <cellStyle name="Percent 37 2 2 2 2" xfId="20582"/>
    <cellStyle name="Percent 37 3" xfId="8910"/>
    <cellStyle name="Percent 37 3 2" xfId="12712"/>
    <cellStyle name="Percent 37 3 2 2" xfId="20583"/>
    <cellStyle name="Percent 38" xfId="3132"/>
    <cellStyle name="Percent 38 2" xfId="5713"/>
    <cellStyle name="Percent 38 2 2" xfId="8913"/>
    <cellStyle name="Percent 38 2 2 2" xfId="12713"/>
    <cellStyle name="Percent 38 2 2 2 2" xfId="20584"/>
    <cellStyle name="Percent 38 3" xfId="8912"/>
    <cellStyle name="Percent 38 3 2" xfId="12714"/>
    <cellStyle name="Percent 38 3 2 2" xfId="20585"/>
    <cellStyle name="Percent 39" xfId="3133"/>
    <cellStyle name="Percent 39 2" xfId="5714"/>
    <cellStyle name="Percent 39 2 2" xfId="8915"/>
    <cellStyle name="Percent 39 2 2 2" xfId="12715"/>
    <cellStyle name="Percent 39 2 2 2 2" xfId="20586"/>
    <cellStyle name="Percent 39 3" xfId="8914"/>
    <cellStyle name="Percent 39 3 2" xfId="12716"/>
    <cellStyle name="Percent 39 3 2 2" xfId="20587"/>
    <cellStyle name="Percent 4" xfId="3134"/>
    <cellStyle name="Percent 4 10" xfId="8916"/>
    <cellStyle name="Percent 4 10 2" xfId="12717"/>
    <cellStyle name="Percent 4 10 2 2" xfId="20588"/>
    <cellStyle name="Percent 4 2" xfId="3135"/>
    <cellStyle name="Percent 4 2 2" xfId="3136"/>
    <cellStyle name="Percent 4 2 2 2" xfId="3137"/>
    <cellStyle name="Percent 4 2 2 2 2" xfId="5717"/>
    <cellStyle name="Percent 4 2 2 2 2 2" xfId="8920"/>
    <cellStyle name="Percent 4 2 2 2 2 2 2" xfId="12718"/>
    <cellStyle name="Percent 4 2 2 2 2 2 2 2" xfId="20589"/>
    <cellStyle name="Percent 4 2 2 2 3" xfId="8919"/>
    <cellStyle name="Percent 4 2 2 2 3 2" xfId="12719"/>
    <cellStyle name="Percent 4 2 2 2 3 2 2" xfId="20590"/>
    <cellStyle name="Percent 4 2 2 3" xfId="5219"/>
    <cellStyle name="Percent 4 2 2 3 2" xfId="8921"/>
    <cellStyle name="Percent 4 2 2 3 2 2" xfId="12721"/>
    <cellStyle name="Percent 4 2 2 3 2 2 2" xfId="20592"/>
    <cellStyle name="Percent 4 2 2 3 3" xfId="6971"/>
    <cellStyle name="Percent 4 2 2 3 3 2" xfId="12722"/>
    <cellStyle name="Percent 4 2 2 3 3 2 2" xfId="20593"/>
    <cellStyle name="Percent 4 2 2 3 3 3" xfId="17218"/>
    <cellStyle name="Percent 4 2 2 3 4" xfId="12720"/>
    <cellStyle name="Percent 4 2 2 3 4 2" xfId="20591"/>
    <cellStyle name="Percent 4 2 2 3 5" xfId="14931"/>
    <cellStyle name="Percent 4 2 2 3 5 2" xfId="21831"/>
    <cellStyle name="Percent 4 2 2 3 6" xfId="16426"/>
    <cellStyle name="Percent 4 2 2 4" xfId="5592"/>
    <cellStyle name="Percent 4 2 2 4 2" xfId="8922"/>
    <cellStyle name="Percent 4 2 2 4 2 2" xfId="12723"/>
    <cellStyle name="Percent 4 2 2 4 2 2 2" xfId="20594"/>
    <cellStyle name="Percent 4 2 2 4 3" xfId="15035"/>
    <cellStyle name="Percent 4 2 2 5" xfId="6368"/>
    <cellStyle name="Percent 4 2 2 5 2" xfId="6732"/>
    <cellStyle name="Percent 4 2 2 5 3" xfId="12724"/>
    <cellStyle name="Percent 4 2 2 5 3 2" xfId="20595"/>
    <cellStyle name="Percent 4 2 2 5 4" xfId="16926"/>
    <cellStyle name="Percent 4 2 2 6" xfId="8918"/>
    <cellStyle name="Percent 4 2 2 6 2" xfId="12725"/>
    <cellStyle name="Percent 4 2 2 6 2 2" xfId="20596"/>
    <cellStyle name="Percent 4 2 2 7" xfId="14387"/>
    <cellStyle name="Percent 4 2 3" xfId="3138"/>
    <cellStyle name="Percent 4 2 3 2" xfId="8923"/>
    <cellStyle name="Percent 4 2 3 2 2" xfId="12726"/>
    <cellStyle name="Percent 4 2 3 2 2 2" xfId="20597"/>
    <cellStyle name="Percent 4 2 3 3" xfId="13830"/>
    <cellStyle name="Percent 4 2 4" xfId="3139"/>
    <cellStyle name="Percent 4 2 4 2" xfId="5716"/>
    <cellStyle name="Percent 4 2 4 2 2" xfId="8925"/>
    <cellStyle name="Percent 4 2 4 2 2 2" xfId="12727"/>
    <cellStyle name="Percent 4 2 4 2 2 2 2" xfId="20598"/>
    <cellStyle name="Percent 4 2 4 3" xfId="8924"/>
    <cellStyle name="Percent 4 2 4 3 2" xfId="12728"/>
    <cellStyle name="Percent 4 2 4 3 2 2" xfId="20599"/>
    <cellStyle name="Percent 4 2 5" xfId="5218"/>
    <cellStyle name="Percent 4 2 5 2" xfId="8926"/>
    <cellStyle name="Percent 4 2 5 2 2" xfId="12730"/>
    <cellStyle name="Percent 4 2 5 2 2 2" xfId="20601"/>
    <cellStyle name="Percent 4 2 5 3" xfId="6970"/>
    <cellStyle name="Percent 4 2 5 3 2" xfId="12731"/>
    <cellStyle name="Percent 4 2 5 3 2 2" xfId="20602"/>
    <cellStyle name="Percent 4 2 5 3 3" xfId="17217"/>
    <cellStyle name="Percent 4 2 5 4" xfId="12729"/>
    <cellStyle name="Percent 4 2 5 4 2" xfId="20600"/>
    <cellStyle name="Percent 4 2 5 5" xfId="14930"/>
    <cellStyle name="Percent 4 2 5 5 2" xfId="21830"/>
    <cellStyle name="Percent 4 2 5 6" xfId="16425"/>
    <cellStyle name="Percent 4 2 6" xfId="5222"/>
    <cellStyle name="Percent 4 2 6 2" xfId="8927"/>
    <cellStyle name="Percent 4 2 6 2 2" xfId="12732"/>
    <cellStyle name="Percent 4 2 6 2 2 2" xfId="20603"/>
    <cellStyle name="Percent 4 2 7" xfId="6367"/>
    <cellStyle name="Percent 4 2 7 2" xfId="6731"/>
    <cellStyle name="Percent 4 2 7 3" xfId="12733"/>
    <cellStyle name="Percent 4 2 7 3 2" xfId="20604"/>
    <cellStyle name="Percent 4 2 7 4" xfId="16925"/>
    <cellStyle name="Percent 4 2 8" xfId="8917"/>
    <cellStyle name="Percent 4 2 8 2" xfId="12734"/>
    <cellStyle name="Percent 4 2 8 2 2" xfId="20605"/>
    <cellStyle name="Percent 4 3" xfId="3140"/>
    <cellStyle name="Percent 4 3 2" xfId="3141"/>
    <cellStyle name="Percent 4 3 2 2" xfId="5718"/>
    <cellStyle name="Percent 4 3 2 2 2" xfId="8930"/>
    <cellStyle name="Percent 4 3 2 2 2 2" xfId="12735"/>
    <cellStyle name="Percent 4 3 2 2 2 2 2" xfId="20606"/>
    <cellStyle name="Percent 4 3 2 3" xfId="8929"/>
    <cellStyle name="Percent 4 3 2 3 2" xfId="12736"/>
    <cellStyle name="Percent 4 3 2 3 2 2" xfId="20607"/>
    <cellStyle name="Percent 4 3 3" xfId="5221"/>
    <cellStyle name="Percent 4 3 3 2" xfId="8931"/>
    <cellStyle name="Percent 4 3 3 2 2" xfId="12738"/>
    <cellStyle name="Percent 4 3 3 2 2 2" xfId="20609"/>
    <cellStyle name="Percent 4 3 3 3" xfId="6972"/>
    <cellStyle name="Percent 4 3 3 3 2" xfId="12739"/>
    <cellStyle name="Percent 4 3 3 3 2 2" xfId="20610"/>
    <cellStyle name="Percent 4 3 3 3 3" xfId="17219"/>
    <cellStyle name="Percent 4 3 3 4" xfId="12737"/>
    <cellStyle name="Percent 4 3 3 4 2" xfId="20608"/>
    <cellStyle name="Percent 4 3 3 5" xfId="14932"/>
    <cellStyle name="Percent 4 3 3 5 2" xfId="21832"/>
    <cellStyle name="Percent 4 3 3 6" xfId="16427"/>
    <cellStyle name="Percent 4 3 4" xfId="5593"/>
    <cellStyle name="Percent 4 3 4 2" xfId="8932"/>
    <cellStyle name="Percent 4 3 4 2 2" xfId="12740"/>
    <cellStyle name="Percent 4 3 4 2 2 2" xfId="20611"/>
    <cellStyle name="Percent 4 3 5" xfId="6369"/>
    <cellStyle name="Percent 4 3 5 2" xfId="6733"/>
    <cellStyle name="Percent 4 3 5 3" xfId="12741"/>
    <cellStyle name="Percent 4 3 5 3 2" xfId="20612"/>
    <cellStyle name="Percent 4 3 5 4" xfId="16927"/>
    <cellStyle name="Percent 4 3 6" xfId="8928"/>
    <cellStyle name="Percent 4 3 6 2" xfId="12742"/>
    <cellStyle name="Percent 4 3 6 2 2" xfId="20613"/>
    <cellStyle name="Percent 4 3 7" xfId="9778"/>
    <cellStyle name="Percent 4 3 7 2" xfId="17695"/>
    <cellStyle name="Percent 4 3 8" xfId="15433"/>
    <cellStyle name="Percent 4 4" xfId="3142"/>
    <cellStyle name="Percent 4 4 2" xfId="5019"/>
    <cellStyle name="Percent 4 4 2 2" xfId="8934"/>
    <cellStyle name="Percent 4 4 2 2 2" xfId="12743"/>
    <cellStyle name="Percent 4 4 2 2 2 2" xfId="20614"/>
    <cellStyle name="Percent 4 4 2 3" xfId="14774"/>
    <cellStyle name="Percent 4 4 3" xfId="5591"/>
    <cellStyle name="Percent 4 4 3 2" xfId="8935"/>
    <cellStyle name="Percent 4 4 3 2 2" xfId="12744"/>
    <cellStyle name="Percent 4 4 3 2 2 2" xfId="20615"/>
    <cellStyle name="Percent 4 4 4" xfId="6734"/>
    <cellStyle name="Percent 4 4 4 2" xfId="14598"/>
    <cellStyle name="Percent 4 4 5" xfId="8933"/>
    <cellStyle name="Percent 4 4 5 2" xfId="12745"/>
    <cellStyle name="Percent 4 4 5 2 2" xfId="20616"/>
    <cellStyle name="Percent 4 4 6" xfId="9819"/>
    <cellStyle name="Percent 4 4 7" xfId="13831"/>
    <cellStyle name="Percent 4 5" xfId="3143"/>
    <cellStyle name="Percent 4 5 2" xfId="5622"/>
    <cellStyle name="Percent 4 5 2 2" xfId="8937"/>
    <cellStyle name="Percent 4 5 2 2 2" xfId="12746"/>
    <cellStyle name="Percent 4 5 2 2 2 2" xfId="20617"/>
    <cellStyle name="Percent 4 5 2 3" xfId="15045"/>
    <cellStyle name="Percent 4 5 3" xfId="8936"/>
    <cellStyle name="Percent 4 5 3 2" xfId="12747"/>
    <cellStyle name="Percent 4 5 3 2 2" xfId="20618"/>
    <cellStyle name="Percent 4 5 4" xfId="6735"/>
    <cellStyle name="Percent 4 5 5" xfId="16297"/>
    <cellStyle name="Percent 4 6" xfId="5217"/>
    <cellStyle name="Percent 4 6 2" xfId="5715"/>
    <cellStyle name="Percent 4 6 2 2" xfId="8939"/>
    <cellStyle name="Percent 4 6 2 2 2" xfId="12749"/>
    <cellStyle name="Percent 4 6 2 2 2 2" xfId="20620"/>
    <cellStyle name="Percent 4 6 3" xfId="8938"/>
    <cellStyle name="Percent 4 6 3 2" xfId="12750"/>
    <cellStyle name="Percent 4 6 3 2 2" xfId="20621"/>
    <cellStyle name="Percent 4 6 4" xfId="6969"/>
    <cellStyle name="Percent 4 6 4 2" xfId="12751"/>
    <cellStyle name="Percent 4 6 4 2 2" xfId="20622"/>
    <cellStyle name="Percent 4 6 4 3" xfId="17216"/>
    <cellStyle name="Percent 4 6 5" xfId="12748"/>
    <cellStyle name="Percent 4 6 5 2" xfId="20619"/>
    <cellStyle name="Percent 4 6 6" xfId="14929"/>
    <cellStyle name="Percent 4 6 6 2" xfId="21829"/>
    <cellStyle name="Percent 4 6 7" xfId="16424"/>
    <cellStyle name="Percent 4 7" xfId="5609"/>
    <cellStyle name="Percent 4 7 10" xfId="16137"/>
    <cellStyle name="Percent 4 7 2" xfId="5911"/>
    <cellStyle name="Percent 4 7 2 2" xfId="8941"/>
    <cellStyle name="Percent 4 7 2 2 2" xfId="12754"/>
    <cellStyle name="Percent 4 7 2 2 2 2" xfId="20625"/>
    <cellStyle name="Percent 4 7 2 3" xfId="7138"/>
    <cellStyle name="Percent 4 7 2 3 2" xfId="12755"/>
    <cellStyle name="Percent 4 7 2 3 2 2" xfId="20626"/>
    <cellStyle name="Percent 4 7 2 3 3" xfId="17385"/>
    <cellStyle name="Percent 4 7 2 4" xfId="12753"/>
    <cellStyle name="Percent 4 7 2 4 2" xfId="20624"/>
    <cellStyle name="Percent 4 7 2 5" xfId="15199"/>
    <cellStyle name="Percent 4 7 2 5 2" xfId="21998"/>
    <cellStyle name="Percent 4 7 2 6" xfId="16589"/>
    <cellStyle name="Percent 4 7 3" xfId="8940"/>
    <cellStyle name="Percent 4 7 3 2" xfId="12756"/>
    <cellStyle name="Percent 4 7 3 2 2" xfId="20627"/>
    <cellStyle name="Percent 4 7 4" xfId="6990"/>
    <cellStyle name="Percent 4 7 4 2" xfId="12757"/>
    <cellStyle name="Percent 4 7 4 2 2" xfId="20628"/>
    <cellStyle name="Percent 4 7 4 3" xfId="17237"/>
    <cellStyle name="Percent 4 7 5" xfId="12752"/>
    <cellStyle name="Percent 4 7 5 2" xfId="20623"/>
    <cellStyle name="Percent 4 7 6" xfId="15040"/>
    <cellStyle name="Percent 4 7 6 2" xfId="21850"/>
    <cellStyle name="Percent 4 7 7" xfId="15488"/>
    <cellStyle name="Percent 4 7 7 2" xfId="22243"/>
    <cellStyle name="Percent 4 7 8" xfId="15688"/>
    <cellStyle name="Percent 4 7 8 2" xfId="22434"/>
    <cellStyle name="Percent 4 7 9" xfId="15900"/>
    <cellStyle name="Percent 4 7 9 2" xfId="22634"/>
    <cellStyle name="Percent 4 8" xfId="5804"/>
    <cellStyle name="Percent 4 8 2" xfId="8942"/>
    <cellStyle name="Percent 4 8 2 2" xfId="12759"/>
    <cellStyle name="Percent 4 8 2 2 2" xfId="20630"/>
    <cellStyle name="Percent 4 8 3" xfId="7051"/>
    <cellStyle name="Percent 4 8 3 2" xfId="12760"/>
    <cellStyle name="Percent 4 8 3 2 2" xfId="20631"/>
    <cellStyle name="Percent 4 8 3 3" xfId="17298"/>
    <cellStyle name="Percent 4 8 4" xfId="12758"/>
    <cellStyle name="Percent 4 8 4 2" xfId="20629"/>
    <cellStyle name="Percent 4 8 5" xfId="15112"/>
    <cellStyle name="Percent 4 8 5 2" xfId="21911"/>
    <cellStyle name="Percent 4 8 6" xfId="16502"/>
    <cellStyle name="Percent 4 9" xfId="6366"/>
    <cellStyle name="Percent 4 9 2" xfId="6730"/>
    <cellStyle name="Percent 4 9 3" xfId="12761"/>
    <cellStyle name="Percent 4 9 3 2" xfId="20632"/>
    <cellStyle name="Percent 4 9 4" xfId="16924"/>
    <cellStyle name="Percent 40" xfId="3144"/>
    <cellStyle name="Percent 40 2" xfId="5719"/>
    <cellStyle name="Percent 40 2 2" xfId="8944"/>
    <cellStyle name="Percent 40 2 2 2" xfId="12762"/>
    <cellStyle name="Percent 40 2 2 2 2" xfId="20633"/>
    <cellStyle name="Percent 40 3" xfId="8943"/>
    <cellStyle name="Percent 40 3 2" xfId="12763"/>
    <cellStyle name="Percent 40 3 2 2" xfId="20634"/>
    <cellStyle name="Percent 41" xfId="3145"/>
    <cellStyle name="Percent 41 2" xfId="5720"/>
    <cellStyle name="Percent 41 2 2" xfId="8946"/>
    <cellStyle name="Percent 41 2 2 2" xfId="12764"/>
    <cellStyle name="Percent 41 2 2 2 2" xfId="20635"/>
    <cellStyle name="Percent 41 3" xfId="8945"/>
    <cellStyle name="Percent 41 3 2" xfId="12765"/>
    <cellStyle name="Percent 41 3 2 2" xfId="20636"/>
    <cellStyle name="Percent 42" xfId="3146"/>
    <cellStyle name="Percent 42 2" xfId="5721"/>
    <cellStyle name="Percent 42 2 2" xfId="8948"/>
    <cellStyle name="Percent 42 2 2 2" xfId="12766"/>
    <cellStyle name="Percent 42 2 2 2 2" xfId="20637"/>
    <cellStyle name="Percent 42 3" xfId="8947"/>
    <cellStyle name="Percent 42 3 2" xfId="12767"/>
    <cellStyle name="Percent 42 3 2 2" xfId="20638"/>
    <cellStyle name="Percent 43" xfId="3147"/>
    <cellStyle name="Percent 43 2" xfId="5722"/>
    <cellStyle name="Percent 43 2 2" xfId="8950"/>
    <cellStyle name="Percent 43 2 2 2" xfId="12768"/>
    <cellStyle name="Percent 43 2 2 2 2" xfId="20639"/>
    <cellStyle name="Percent 43 3" xfId="8949"/>
    <cellStyle name="Percent 43 3 2" xfId="12769"/>
    <cellStyle name="Percent 43 3 2 2" xfId="20640"/>
    <cellStyle name="Percent 44" xfId="3148"/>
    <cellStyle name="Percent 44 2" xfId="5723"/>
    <cellStyle name="Percent 44 2 2" xfId="8952"/>
    <cellStyle name="Percent 44 2 2 2" xfId="12770"/>
    <cellStyle name="Percent 44 2 2 2 2" xfId="20641"/>
    <cellStyle name="Percent 44 3" xfId="8951"/>
    <cellStyle name="Percent 44 3 2" xfId="12771"/>
    <cellStyle name="Percent 44 3 2 2" xfId="20642"/>
    <cellStyle name="Percent 45" xfId="3149"/>
    <cellStyle name="Percent 45 2" xfId="5724"/>
    <cellStyle name="Percent 45 2 2" xfId="8954"/>
    <cellStyle name="Percent 45 2 2 2" xfId="12772"/>
    <cellStyle name="Percent 45 2 2 2 2" xfId="20643"/>
    <cellStyle name="Percent 45 3" xfId="8953"/>
    <cellStyle name="Percent 45 3 2" xfId="12773"/>
    <cellStyle name="Percent 45 3 2 2" xfId="20644"/>
    <cellStyle name="Percent 46" xfId="3150"/>
    <cellStyle name="Percent 46 2" xfId="5725"/>
    <cellStyle name="Percent 46 2 2" xfId="8956"/>
    <cellStyle name="Percent 46 2 2 2" xfId="12774"/>
    <cellStyle name="Percent 46 2 2 2 2" xfId="20645"/>
    <cellStyle name="Percent 46 3" xfId="8955"/>
    <cellStyle name="Percent 46 3 2" xfId="12775"/>
    <cellStyle name="Percent 46 3 2 2" xfId="20646"/>
    <cellStyle name="Percent 47" xfId="3151"/>
    <cellStyle name="Percent 47 2" xfId="5726"/>
    <cellStyle name="Percent 47 2 2" xfId="8958"/>
    <cellStyle name="Percent 47 2 2 2" xfId="12776"/>
    <cellStyle name="Percent 47 2 2 2 2" xfId="20647"/>
    <cellStyle name="Percent 47 3" xfId="8957"/>
    <cellStyle name="Percent 47 3 2" xfId="12777"/>
    <cellStyle name="Percent 47 3 2 2" xfId="20648"/>
    <cellStyle name="Percent 48" xfId="3152"/>
    <cellStyle name="Percent 48 2" xfId="5727"/>
    <cellStyle name="Percent 48 2 2" xfId="8960"/>
    <cellStyle name="Percent 48 2 2 2" xfId="12778"/>
    <cellStyle name="Percent 48 2 2 2 2" xfId="20649"/>
    <cellStyle name="Percent 48 3" xfId="8959"/>
    <cellStyle name="Percent 48 3 2" xfId="12779"/>
    <cellStyle name="Percent 48 3 2 2" xfId="20650"/>
    <cellStyle name="Percent 49" xfId="3153"/>
    <cellStyle name="Percent 49 2" xfId="5728"/>
    <cellStyle name="Percent 49 2 2" xfId="8962"/>
    <cellStyle name="Percent 49 2 2 2" xfId="12780"/>
    <cellStyle name="Percent 49 2 2 2 2" xfId="20651"/>
    <cellStyle name="Percent 49 3" xfId="8961"/>
    <cellStyle name="Percent 49 3 2" xfId="12781"/>
    <cellStyle name="Percent 49 3 2 2" xfId="20652"/>
    <cellStyle name="Percent 5" xfId="3154"/>
    <cellStyle name="Percent 5 2" xfId="3155"/>
    <cellStyle name="Percent 5 2 2" xfId="3156"/>
    <cellStyle name="Percent 5 2 2 2" xfId="3157"/>
    <cellStyle name="Percent 5 2 2 2 2" xfId="5731"/>
    <cellStyle name="Percent 5 2 2 2 2 2" xfId="8967"/>
    <cellStyle name="Percent 5 2 2 2 2 2 2" xfId="12782"/>
    <cellStyle name="Percent 5 2 2 2 2 2 2 2" xfId="20653"/>
    <cellStyle name="Percent 5 2 2 2 3" xfId="8966"/>
    <cellStyle name="Percent 5 2 2 2 3 2" xfId="12783"/>
    <cellStyle name="Percent 5 2 2 2 3 2 2" xfId="20654"/>
    <cellStyle name="Percent 5 2 2 3" xfId="5225"/>
    <cellStyle name="Percent 5 2 2 3 2" xfId="8968"/>
    <cellStyle name="Percent 5 2 2 3 2 2" xfId="12785"/>
    <cellStyle name="Percent 5 2 2 3 2 2 2" xfId="20656"/>
    <cellStyle name="Percent 5 2 2 3 3" xfId="6975"/>
    <cellStyle name="Percent 5 2 2 3 3 2" xfId="12786"/>
    <cellStyle name="Percent 5 2 2 3 3 2 2" xfId="20657"/>
    <cellStyle name="Percent 5 2 2 3 3 3" xfId="17222"/>
    <cellStyle name="Percent 5 2 2 3 4" xfId="12784"/>
    <cellStyle name="Percent 5 2 2 3 4 2" xfId="20655"/>
    <cellStyle name="Percent 5 2 2 3 5" xfId="14935"/>
    <cellStyle name="Percent 5 2 2 3 5 2" xfId="21835"/>
    <cellStyle name="Percent 5 2 2 3 6" xfId="16430"/>
    <cellStyle name="Percent 5 2 2 4" xfId="5603"/>
    <cellStyle name="Percent 5 2 2 4 2" xfId="8969"/>
    <cellStyle name="Percent 5 2 2 4 2 2" xfId="12787"/>
    <cellStyle name="Percent 5 2 2 4 2 2 2" xfId="20658"/>
    <cellStyle name="Percent 5 2 2 5" xfId="6372"/>
    <cellStyle name="Percent 5 2 2 5 2" xfId="8965"/>
    <cellStyle name="Percent 5 2 2 5 2 2" xfId="12789"/>
    <cellStyle name="Percent 5 2 2 5 2 2 2" xfId="20660"/>
    <cellStyle name="Percent 5 2 2 5 3" xfId="12788"/>
    <cellStyle name="Percent 5 2 2 5 3 2" xfId="20659"/>
    <cellStyle name="Percent 5 2 2 5 4" xfId="16930"/>
    <cellStyle name="Percent 5 2 2 6" xfId="9780"/>
    <cellStyle name="Percent 5 2 2 6 2" xfId="17697"/>
    <cellStyle name="Percent 5 2 2 7" xfId="15435"/>
    <cellStyle name="Percent 5 2 3" xfId="3158"/>
    <cellStyle name="Percent 5 2 3 2" xfId="5730"/>
    <cellStyle name="Percent 5 2 3 2 2" xfId="8971"/>
    <cellStyle name="Percent 5 2 3 2 2 2" xfId="12790"/>
    <cellStyle name="Percent 5 2 3 2 2 2 2" xfId="20661"/>
    <cellStyle name="Percent 5 2 3 3" xfId="8970"/>
    <cellStyle name="Percent 5 2 3 3 2" xfId="12791"/>
    <cellStyle name="Percent 5 2 3 3 2 2" xfId="20662"/>
    <cellStyle name="Percent 5 2 3 4" xfId="9820"/>
    <cellStyle name="Percent 5 2 4" xfId="5224"/>
    <cellStyle name="Percent 5 2 4 2" xfId="8972"/>
    <cellStyle name="Percent 5 2 4 2 2" xfId="12793"/>
    <cellStyle name="Percent 5 2 4 2 2 2" xfId="20664"/>
    <cellStyle name="Percent 5 2 4 3" xfId="6974"/>
    <cellStyle name="Percent 5 2 4 3 2" xfId="12794"/>
    <cellStyle name="Percent 5 2 4 3 2 2" xfId="20665"/>
    <cellStyle name="Percent 5 2 4 3 3" xfId="17221"/>
    <cellStyle name="Percent 5 2 4 4" xfId="12792"/>
    <cellStyle name="Percent 5 2 4 4 2" xfId="20663"/>
    <cellStyle name="Percent 5 2 4 5" xfId="14934"/>
    <cellStyle name="Percent 5 2 4 5 2" xfId="21834"/>
    <cellStyle name="Percent 5 2 4 6" xfId="16429"/>
    <cellStyle name="Percent 5 2 5" xfId="5239"/>
    <cellStyle name="Percent 5 2 5 2" xfId="8973"/>
    <cellStyle name="Percent 5 2 5 2 2" xfId="12795"/>
    <cellStyle name="Percent 5 2 5 2 2 2" xfId="20666"/>
    <cellStyle name="Percent 5 2 6" xfId="6371"/>
    <cellStyle name="Percent 5 2 6 2" xfId="6737"/>
    <cellStyle name="Percent 5 2 6 3" xfId="12796"/>
    <cellStyle name="Percent 5 2 6 3 2" xfId="20667"/>
    <cellStyle name="Percent 5 2 6 4" xfId="16929"/>
    <cellStyle name="Percent 5 2 7" xfId="8964"/>
    <cellStyle name="Percent 5 2 7 2" xfId="12797"/>
    <cellStyle name="Percent 5 2 7 2 2" xfId="20668"/>
    <cellStyle name="Percent 5 2 8" xfId="9779"/>
    <cellStyle name="Percent 5 2 8 2" xfId="17696"/>
    <cellStyle name="Percent 5 2 9" xfId="15434"/>
    <cellStyle name="Percent 5 3" xfId="3159"/>
    <cellStyle name="Percent 5 3 2" xfId="8974"/>
    <cellStyle name="Percent 5 3 2 2" xfId="12798"/>
    <cellStyle name="Percent 5 3 2 2 2" xfId="20669"/>
    <cellStyle name="Percent 5 3 3" xfId="13832"/>
    <cellStyle name="Percent 5 4" xfId="3160"/>
    <cellStyle name="Percent 5 4 2" xfId="3161"/>
    <cellStyle name="Percent 5 4 2 2" xfId="5732"/>
    <cellStyle name="Percent 5 4 2 2 2" xfId="8977"/>
    <cellStyle name="Percent 5 4 2 2 2 2" xfId="12799"/>
    <cellStyle name="Percent 5 4 2 2 2 2 2" xfId="20670"/>
    <cellStyle name="Percent 5 4 2 3" xfId="8976"/>
    <cellStyle name="Percent 5 4 2 3 2" xfId="12800"/>
    <cellStyle name="Percent 5 4 2 3 2 2" xfId="20671"/>
    <cellStyle name="Percent 5 4 3" xfId="5227"/>
    <cellStyle name="Percent 5 4 3 2" xfId="8978"/>
    <cellStyle name="Percent 5 4 3 2 2" xfId="12802"/>
    <cellStyle name="Percent 5 4 3 2 2 2" xfId="20673"/>
    <cellStyle name="Percent 5 4 3 3" xfId="6976"/>
    <cellStyle name="Percent 5 4 3 3 2" xfId="12803"/>
    <cellStyle name="Percent 5 4 3 3 2 2" xfId="20674"/>
    <cellStyle name="Percent 5 4 3 3 3" xfId="17223"/>
    <cellStyle name="Percent 5 4 3 4" xfId="12801"/>
    <cellStyle name="Percent 5 4 3 4 2" xfId="20672"/>
    <cellStyle name="Percent 5 4 3 5" xfId="14936"/>
    <cellStyle name="Percent 5 4 3 5 2" xfId="21836"/>
    <cellStyle name="Percent 5 4 3 6" xfId="16431"/>
    <cellStyle name="Percent 5 4 4" xfId="5624"/>
    <cellStyle name="Percent 5 4 4 2" xfId="8979"/>
    <cellStyle name="Percent 5 4 4 2 2" xfId="12804"/>
    <cellStyle name="Percent 5 4 4 2 2 2" xfId="20675"/>
    <cellStyle name="Percent 5 4 5" xfId="6373"/>
    <cellStyle name="Percent 5 4 5 2" xfId="8975"/>
    <cellStyle name="Percent 5 4 5 2 2" xfId="12806"/>
    <cellStyle name="Percent 5 4 5 2 2 2" xfId="20677"/>
    <cellStyle name="Percent 5 4 5 3" xfId="12805"/>
    <cellStyle name="Percent 5 4 5 3 2" xfId="20676"/>
    <cellStyle name="Percent 5 4 5 4" xfId="16931"/>
    <cellStyle name="Percent 5 5" xfId="3162"/>
    <cellStyle name="Percent 5 5 2" xfId="5729"/>
    <cellStyle name="Percent 5 5 2 2" xfId="8981"/>
    <cellStyle name="Percent 5 5 2 2 2" xfId="12807"/>
    <cellStyle name="Percent 5 5 2 2 2 2" xfId="20678"/>
    <cellStyle name="Percent 5 5 3" xfId="8980"/>
    <cellStyle name="Percent 5 5 3 2" xfId="12808"/>
    <cellStyle name="Percent 5 5 3 2 2" xfId="20679"/>
    <cellStyle name="Percent 5 6" xfId="5223"/>
    <cellStyle name="Percent 5 6 2" xfId="8982"/>
    <cellStyle name="Percent 5 6 2 2" xfId="12810"/>
    <cellStyle name="Percent 5 6 2 2 2" xfId="20681"/>
    <cellStyle name="Percent 5 6 3" xfId="6973"/>
    <cellStyle name="Percent 5 6 3 2" xfId="12811"/>
    <cellStyle name="Percent 5 6 3 2 2" xfId="20682"/>
    <cellStyle name="Percent 5 6 3 3" xfId="17220"/>
    <cellStyle name="Percent 5 6 4" xfId="12809"/>
    <cellStyle name="Percent 5 6 4 2" xfId="20680"/>
    <cellStyle name="Percent 5 6 5" xfId="14933"/>
    <cellStyle name="Percent 5 6 5 2" xfId="21833"/>
    <cellStyle name="Percent 5 6 6" xfId="16428"/>
    <cellStyle name="Percent 5 7" xfId="5220"/>
    <cellStyle name="Percent 5 7 2" xfId="8983"/>
    <cellStyle name="Percent 5 7 2 2" xfId="12812"/>
    <cellStyle name="Percent 5 7 2 2 2" xfId="20683"/>
    <cellStyle name="Percent 5 8" xfId="6370"/>
    <cellStyle name="Percent 5 8 2" xfId="6736"/>
    <cellStyle name="Percent 5 8 3" xfId="12813"/>
    <cellStyle name="Percent 5 8 3 2" xfId="20684"/>
    <cellStyle name="Percent 5 8 4" xfId="16928"/>
    <cellStyle name="Percent 5 9" xfId="8963"/>
    <cellStyle name="Percent 5 9 2" xfId="12814"/>
    <cellStyle name="Percent 5 9 2 2" xfId="20685"/>
    <cellStyle name="Percent 50" xfId="3163"/>
    <cellStyle name="Percent 50 2" xfId="5733"/>
    <cellStyle name="Percent 50 2 2" xfId="8985"/>
    <cellStyle name="Percent 50 2 2 2" xfId="12815"/>
    <cellStyle name="Percent 50 2 2 2 2" xfId="20686"/>
    <cellStyle name="Percent 50 3" xfId="8984"/>
    <cellStyle name="Percent 50 3 2" xfId="12816"/>
    <cellStyle name="Percent 50 3 2 2" xfId="20687"/>
    <cellStyle name="Percent 51" xfId="3164"/>
    <cellStyle name="Percent 51 2" xfId="8986"/>
    <cellStyle name="Percent 51 2 2" xfId="12817"/>
    <cellStyle name="Percent 51 2 2 2" xfId="20688"/>
    <cellStyle name="Percent 51 3" xfId="14599"/>
    <cellStyle name="Percent 52" xfId="3165"/>
    <cellStyle name="Percent 52 2" xfId="5694"/>
    <cellStyle name="Percent 52 2 2" xfId="8988"/>
    <cellStyle name="Percent 52 2 2 2" xfId="12818"/>
    <cellStyle name="Percent 52 2 2 2 2" xfId="20689"/>
    <cellStyle name="Percent 52 2 3" xfId="15056"/>
    <cellStyle name="Percent 52 3" xfId="8987"/>
    <cellStyle name="Percent 52 3 2" xfId="12819"/>
    <cellStyle name="Percent 52 3 2 2" xfId="20690"/>
    <cellStyle name="Percent 52 4" xfId="6738"/>
    <cellStyle name="Percent 52 5" xfId="16298"/>
    <cellStyle name="Percent 53" xfId="5341"/>
    <cellStyle name="Percent 53 2" xfId="5749"/>
    <cellStyle name="Percent 53 2 2" xfId="8990"/>
    <cellStyle name="Percent 53 2 2 2" xfId="12821"/>
    <cellStyle name="Percent 53 2 2 2 2" xfId="20692"/>
    <cellStyle name="Percent 53 2 3" xfId="15064"/>
    <cellStyle name="Percent 53 3" xfId="8989"/>
    <cellStyle name="Percent 53 3 2" xfId="12822"/>
    <cellStyle name="Percent 53 3 2 2" xfId="20693"/>
    <cellStyle name="Percent 53 4" xfId="6987"/>
    <cellStyle name="Percent 53 4 2" xfId="12823"/>
    <cellStyle name="Percent 53 4 2 2" xfId="20694"/>
    <cellStyle name="Percent 53 4 3" xfId="17234"/>
    <cellStyle name="Percent 53 5" xfId="12820"/>
    <cellStyle name="Percent 53 5 2" xfId="20691"/>
    <cellStyle name="Percent 53 6" xfId="14965"/>
    <cellStyle name="Percent 53 6 2" xfId="21847"/>
    <cellStyle name="Percent 53 7" xfId="16441"/>
    <cellStyle name="Percent 54" xfId="5355"/>
    <cellStyle name="Percent 54 2" xfId="8991"/>
    <cellStyle name="Percent 54 2 2" xfId="12825"/>
    <cellStyle name="Percent 54 2 2 2" xfId="20696"/>
    <cellStyle name="Percent 54 3" xfId="6989"/>
    <cellStyle name="Percent 54 3 2" xfId="12826"/>
    <cellStyle name="Percent 54 3 2 2" xfId="20697"/>
    <cellStyle name="Percent 54 3 3" xfId="17236"/>
    <cellStyle name="Percent 54 4" xfId="12824"/>
    <cellStyle name="Percent 54 4 2" xfId="20695"/>
    <cellStyle name="Percent 54 5" xfId="14970"/>
    <cellStyle name="Percent 54 5 2" xfId="21849"/>
    <cellStyle name="Percent 54 6" xfId="16442"/>
    <cellStyle name="Percent 55" xfId="5154"/>
    <cellStyle name="Percent 55 2" xfId="8992"/>
    <cellStyle name="Percent 55 2 2" xfId="12828"/>
    <cellStyle name="Percent 55 2 2 2" xfId="20699"/>
    <cellStyle name="Percent 55 3" xfId="6936"/>
    <cellStyle name="Percent 55 3 2" xfId="12829"/>
    <cellStyle name="Percent 55 3 2 2" xfId="20700"/>
    <cellStyle name="Percent 55 3 3" xfId="17183"/>
    <cellStyle name="Percent 55 4" xfId="12827"/>
    <cellStyle name="Percent 55 4 2" xfId="20698"/>
    <cellStyle name="Percent 55 5" xfId="14892"/>
    <cellStyle name="Percent 55 5 2" xfId="21796"/>
    <cellStyle name="Percent 55 6" xfId="16400"/>
    <cellStyle name="Percent 56" xfId="5740"/>
    <cellStyle name="Percent 56 2" xfId="8993"/>
    <cellStyle name="Percent 56 2 2" xfId="12831"/>
    <cellStyle name="Percent 56 2 2 2" xfId="20702"/>
    <cellStyle name="Percent 56 3" xfId="7001"/>
    <cellStyle name="Percent 56 3 2" xfId="12832"/>
    <cellStyle name="Percent 56 3 2 2" xfId="20703"/>
    <cellStyle name="Percent 56 3 3" xfId="17248"/>
    <cellStyle name="Percent 56 4" xfId="12830"/>
    <cellStyle name="Percent 56 4 2" xfId="20701"/>
    <cellStyle name="Percent 56 5" xfId="15059"/>
    <cellStyle name="Percent 56 5 2" xfId="21861"/>
    <cellStyle name="Percent 56 6" xfId="16452"/>
    <cellStyle name="Percent 57" xfId="5751"/>
    <cellStyle name="Percent 57 2" xfId="8994"/>
    <cellStyle name="Percent 57 2 2" xfId="12834"/>
    <cellStyle name="Percent 57 2 2 2" xfId="20705"/>
    <cellStyle name="Percent 57 3" xfId="7005"/>
    <cellStyle name="Percent 57 3 2" xfId="12835"/>
    <cellStyle name="Percent 57 3 2 2" xfId="20706"/>
    <cellStyle name="Percent 57 3 3" xfId="17252"/>
    <cellStyle name="Percent 57 4" xfId="12833"/>
    <cellStyle name="Percent 57 4 2" xfId="20704"/>
    <cellStyle name="Percent 57 5" xfId="15066"/>
    <cellStyle name="Percent 57 5 2" xfId="21865"/>
    <cellStyle name="Percent 57 6" xfId="16456"/>
    <cellStyle name="Percent 58" xfId="5629"/>
    <cellStyle name="Percent 58 2" xfId="8995"/>
    <cellStyle name="Percent 58 2 2" xfId="12837"/>
    <cellStyle name="Percent 58 2 2 2" xfId="20708"/>
    <cellStyle name="Percent 58 3" xfId="6994"/>
    <cellStyle name="Percent 58 3 2" xfId="12838"/>
    <cellStyle name="Percent 58 3 2 2" xfId="20709"/>
    <cellStyle name="Percent 58 3 3" xfId="17241"/>
    <cellStyle name="Percent 58 4" xfId="12836"/>
    <cellStyle name="Percent 58 4 2" xfId="20707"/>
    <cellStyle name="Percent 58 5" xfId="15048"/>
    <cellStyle name="Percent 58 5 2" xfId="21854"/>
    <cellStyle name="Percent 58 6" xfId="16445"/>
    <cellStyle name="Percent 59" xfId="5759"/>
    <cellStyle name="Percent 59 2" xfId="8996"/>
    <cellStyle name="Percent 59 2 2" xfId="12840"/>
    <cellStyle name="Percent 59 2 2 2" xfId="20711"/>
    <cellStyle name="Percent 59 3" xfId="7011"/>
    <cellStyle name="Percent 59 3 2" xfId="12841"/>
    <cellStyle name="Percent 59 3 2 2" xfId="20712"/>
    <cellStyle name="Percent 59 3 3" xfId="17258"/>
    <cellStyle name="Percent 59 4" xfId="12839"/>
    <cellStyle name="Percent 59 4 2" xfId="20710"/>
    <cellStyle name="Percent 59 5" xfId="15072"/>
    <cellStyle name="Percent 59 5 2" xfId="21871"/>
    <cellStyle name="Percent 59 6" xfId="16462"/>
    <cellStyle name="Percent 6" xfId="3166"/>
    <cellStyle name="Percent 6 10" xfId="15436"/>
    <cellStyle name="Percent 6 10 2" xfId="22194"/>
    <cellStyle name="Percent 6 2" xfId="3167"/>
    <cellStyle name="Percent 6 2 2" xfId="3168"/>
    <cellStyle name="Percent 6 2 2 2" xfId="3169"/>
    <cellStyle name="Percent 6 2 2 2 2" xfId="5734"/>
    <cellStyle name="Percent 6 2 2 2 2 2" xfId="9001"/>
    <cellStyle name="Percent 6 2 2 2 2 2 2" xfId="12842"/>
    <cellStyle name="Percent 6 2 2 2 2 2 2 2" xfId="20713"/>
    <cellStyle name="Percent 6 2 2 2 3" xfId="9000"/>
    <cellStyle name="Percent 6 2 2 2 3 2" xfId="12843"/>
    <cellStyle name="Percent 6 2 2 2 3 2 2" xfId="20714"/>
    <cellStyle name="Percent 6 2 2 3" xfId="5230"/>
    <cellStyle name="Percent 6 2 2 3 2" xfId="9002"/>
    <cellStyle name="Percent 6 2 2 3 2 2" xfId="12845"/>
    <cellStyle name="Percent 6 2 2 3 2 2 2" xfId="20716"/>
    <cellStyle name="Percent 6 2 2 3 3" xfId="6979"/>
    <cellStyle name="Percent 6 2 2 3 3 2" xfId="12846"/>
    <cellStyle name="Percent 6 2 2 3 3 2 2" xfId="20717"/>
    <cellStyle name="Percent 6 2 2 3 3 3" xfId="17226"/>
    <cellStyle name="Percent 6 2 2 3 4" xfId="12844"/>
    <cellStyle name="Percent 6 2 2 3 4 2" xfId="20715"/>
    <cellStyle name="Percent 6 2 2 3 5" xfId="14939"/>
    <cellStyle name="Percent 6 2 2 3 5 2" xfId="21839"/>
    <cellStyle name="Percent 6 2 2 3 6" xfId="16434"/>
    <cellStyle name="Percent 6 2 2 4" xfId="5594"/>
    <cellStyle name="Percent 6 2 2 4 2" xfId="9003"/>
    <cellStyle name="Percent 6 2 2 4 2 2" xfId="12847"/>
    <cellStyle name="Percent 6 2 2 4 2 2 2" xfId="20718"/>
    <cellStyle name="Percent 6 2 2 4 3" xfId="15036"/>
    <cellStyle name="Percent 6 2 2 5" xfId="6376"/>
    <cellStyle name="Percent 6 2 2 5 2" xfId="8999"/>
    <cellStyle name="Percent 6 2 2 5 2 2" xfId="12849"/>
    <cellStyle name="Percent 6 2 2 5 2 2 2" xfId="20720"/>
    <cellStyle name="Percent 6 2 2 5 3" xfId="12848"/>
    <cellStyle name="Percent 6 2 2 5 3 2" xfId="20719"/>
    <cellStyle name="Percent 6 2 2 5 4" xfId="16934"/>
    <cellStyle name="Percent 6 2 3" xfId="3170"/>
    <cellStyle name="Percent 6 2 3 2" xfId="9004"/>
    <cellStyle name="Percent 6 2 3 2 2" xfId="12850"/>
    <cellStyle name="Percent 6 2 3 2 2 2" xfId="20721"/>
    <cellStyle name="Percent 6 2 4" xfId="3171"/>
    <cellStyle name="Percent 6 2 4 2" xfId="9005"/>
    <cellStyle name="Percent 6 2 4 2 2" xfId="12851"/>
    <cellStyle name="Percent 6 2 4 2 2 2" xfId="20722"/>
    <cellStyle name="Percent 6 2 4 3" xfId="6741"/>
    <cellStyle name="Percent 6 2 5" xfId="5229"/>
    <cellStyle name="Percent 6 2 5 2" xfId="9006"/>
    <cellStyle name="Percent 6 2 5 2 2" xfId="12853"/>
    <cellStyle name="Percent 6 2 5 2 2 2" xfId="20724"/>
    <cellStyle name="Percent 6 2 5 3" xfId="6978"/>
    <cellStyle name="Percent 6 2 5 3 2" xfId="12854"/>
    <cellStyle name="Percent 6 2 5 3 2 2" xfId="20725"/>
    <cellStyle name="Percent 6 2 5 3 3" xfId="17225"/>
    <cellStyle name="Percent 6 2 5 4" xfId="12852"/>
    <cellStyle name="Percent 6 2 5 4 2" xfId="20723"/>
    <cellStyle name="Percent 6 2 5 5" xfId="14938"/>
    <cellStyle name="Percent 6 2 5 5 2" xfId="21838"/>
    <cellStyle name="Percent 6 2 5 6" xfId="16433"/>
    <cellStyle name="Percent 6 2 6" xfId="6375"/>
    <cellStyle name="Percent 6 2 6 2" xfId="6740"/>
    <cellStyle name="Percent 6 2 6 3" xfId="12855"/>
    <cellStyle name="Percent 6 2 6 3 2" xfId="20726"/>
    <cellStyle name="Percent 6 2 6 4" xfId="16933"/>
    <cellStyle name="Percent 6 2 7" xfId="8998"/>
    <cellStyle name="Percent 6 2 7 2" xfId="12856"/>
    <cellStyle name="Percent 6 2 7 2 2" xfId="20727"/>
    <cellStyle name="Percent 6 2 8" xfId="14388"/>
    <cellStyle name="Percent 6 3" xfId="3172"/>
    <cellStyle name="Percent 6 3 2" xfId="3173"/>
    <cellStyle name="Percent 6 3 2 2" xfId="5735"/>
    <cellStyle name="Percent 6 3 2 2 2" xfId="9009"/>
    <cellStyle name="Percent 6 3 2 2 2 2" xfId="12857"/>
    <cellStyle name="Percent 6 3 2 2 2 2 2" xfId="20728"/>
    <cellStyle name="Percent 6 3 2 3" xfId="9008"/>
    <cellStyle name="Percent 6 3 2 3 2" xfId="12858"/>
    <cellStyle name="Percent 6 3 2 3 2 2" xfId="20729"/>
    <cellStyle name="Percent 6 3 3" xfId="5231"/>
    <cellStyle name="Percent 6 3 3 2" xfId="9010"/>
    <cellStyle name="Percent 6 3 3 2 2" xfId="12860"/>
    <cellStyle name="Percent 6 3 3 2 2 2" xfId="20731"/>
    <cellStyle name="Percent 6 3 3 3" xfId="6980"/>
    <cellStyle name="Percent 6 3 3 3 2" xfId="12861"/>
    <cellStyle name="Percent 6 3 3 3 2 2" xfId="20732"/>
    <cellStyle name="Percent 6 3 3 3 3" xfId="17227"/>
    <cellStyle name="Percent 6 3 3 4" xfId="12859"/>
    <cellStyle name="Percent 6 3 3 4 2" xfId="20730"/>
    <cellStyle name="Percent 6 3 3 5" xfId="14940"/>
    <cellStyle name="Percent 6 3 3 5 2" xfId="21840"/>
    <cellStyle name="Percent 6 3 3 6" xfId="16435"/>
    <cellStyle name="Percent 6 3 4" xfId="5623"/>
    <cellStyle name="Percent 6 3 4 2" xfId="9011"/>
    <cellStyle name="Percent 6 3 4 2 2" xfId="12862"/>
    <cellStyle name="Percent 6 3 4 2 2 2" xfId="20733"/>
    <cellStyle name="Percent 6 3 5" xfId="6377"/>
    <cellStyle name="Percent 6 3 5 2" xfId="9007"/>
    <cellStyle name="Percent 6 3 5 2 2" xfId="12864"/>
    <cellStyle name="Percent 6 3 5 2 2 2" xfId="20735"/>
    <cellStyle name="Percent 6 3 5 3" xfId="12863"/>
    <cellStyle name="Percent 6 3 5 3 2" xfId="20734"/>
    <cellStyle name="Percent 6 3 5 4" xfId="16935"/>
    <cellStyle name="Percent 6 3 6" xfId="9781"/>
    <cellStyle name="Percent 6 3 6 2" xfId="17698"/>
    <cellStyle name="Percent 6 4" xfId="3174"/>
    <cellStyle name="Percent 6 4 2" xfId="9012"/>
    <cellStyle name="Percent 6 4 2 2" xfId="12865"/>
    <cellStyle name="Percent 6 4 2 2 2" xfId="20736"/>
    <cellStyle name="Percent 6 4 3" xfId="14600"/>
    <cellStyle name="Percent 6 5" xfId="3175"/>
    <cellStyle name="Percent 6 5 2" xfId="9013"/>
    <cellStyle name="Percent 6 5 2 2" xfId="12866"/>
    <cellStyle name="Percent 6 5 2 2 2" xfId="20737"/>
    <cellStyle name="Percent 6 5 3" xfId="6742"/>
    <cellStyle name="Percent 6 6" xfId="5228"/>
    <cellStyle name="Percent 6 6 2" xfId="9014"/>
    <cellStyle name="Percent 6 6 2 2" xfId="12868"/>
    <cellStyle name="Percent 6 6 2 2 2" xfId="20739"/>
    <cellStyle name="Percent 6 6 3" xfId="6977"/>
    <cellStyle name="Percent 6 6 3 2" xfId="12869"/>
    <cellStyle name="Percent 6 6 3 2 2" xfId="20740"/>
    <cellStyle name="Percent 6 6 3 3" xfId="17224"/>
    <cellStyle name="Percent 6 6 4" xfId="12867"/>
    <cellStyle name="Percent 6 6 4 2" xfId="20738"/>
    <cellStyle name="Percent 6 6 5" xfId="14937"/>
    <cellStyle name="Percent 6 6 5 2" xfId="21837"/>
    <cellStyle name="Percent 6 6 6" xfId="16432"/>
    <cellStyle name="Percent 6 7" xfId="5207"/>
    <cellStyle name="Percent 6 7 2" xfId="9015"/>
    <cellStyle name="Percent 6 7 2 2" xfId="12870"/>
    <cellStyle name="Percent 6 7 2 2 2" xfId="20741"/>
    <cellStyle name="Percent 6 8" xfId="6374"/>
    <cellStyle name="Percent 6 8 2" xfId="6739"/>
    <cellStyle name="Percent 6 8 3" xfId="12871"/>
    <cellStyle name="Percent 6 8 3 2" xfId="20742"/>
    <cellStyle name="Percent 6 8 4" xfId="16932"/>
    <cellStyle name="Percent 6 9" xfId="8997"/>
    <cellStyle name="Percent 6 9 2" xfId="12872"/>
    <cellStyle name="Percent 6 9 2 2" xfId="20743"/>
    <cellStyle name="Percent 60" xfId="5833"/>
    <cellStyle name="Percent 60 2" xfId="9016"/>
    <cellStyle name="Percent 60 2 2" xfId="12874"/>
    <cellStyle name="Percent 60 2 2 2" xfId="20745"/>
    <cellStyle name="Percent 60 3" xfId="7075"/>
    <cellStyle name="Percent 60 3 2" xfId="12875"/>
    <cellStyle name="Percent 60 3 2 2" xfId="20746"/>
    <cellStyle name="Percent 60 3 3" xfId="17322"/>
    <cellStyle name="Percent 60 4" xfId="12873"/>
    <cellStyle name="Percent 60 4 2" xfId="20744"/>
    <cellStyle name="Percent 60 5" xfId="15136"/>
    <cellStyle name="Percent 60 5 2" xfId="21935"/>
    <cellStyle name="Percent 60 6" xfId="16526"/>
    <cellStyle name="Percent 61" xfId="5843"/>
    <cellStyle name="Percent 61 2" xfId="9017"/>
    <cellStyle name="Percent 61 2 2" xfId="12877"/>
    <cellStyle name="Percent 61 2 2 2" xfId="20748"/>
    <cellStyle name="Percent 61 3" xfId="7085"/>
    <cellStyle name="Percent 61 3 2" xfId="12878"/>
    <cellStyle name="Percent 61 3 2 2" xfId="20749"/>
    <cellStyle name="Percent 61 3 3" xfId="17332"/>
    <cellStyle name="Percent 61 4" xfId="12876"/>
    <cellStyle name="Percent 61 4 2" xfId="20747"/>
    <cellStyle name="Percent 61 5" xfId="15146"/>
    <cellStyle name="Percent 61 5 2" xfId="21945"/>
    <cellStyle name="Percent 61 6" xfId="16536"/>
    <cellStyle name="Percent 62" xfId="6118"/>
    <cellStyle name="Percent 62 2" xfId="9018"/>
    <cellStyle name="Percent 62 2 2" xfId="12880"/>
    <cellStyle name="Percent 62 2 2 2" xfId="20751"/>
    <cellStyle name="Percent 62 3" xfId="7310"/>
    <cellStyle name="Percent 62 3 2" xfId="12881"/>
    <cellStyle name="Percent 62 3 2 2" xfId="20752"/>
    <cellStyle name="Percent 62 3 3" xfId="17557"/>
    <cellStyle name="Percent 62 4" xfId="12879"/>
    <cellStyle name="Percent 62 4 2" xfId="20750"/>
    <cellStyle name="Percent 62 5" xfId="15372"/>
    <cellStyle name="Percent 62 5 2" xfId="22170"/>
    <cellStyle name="Percent 62 6" xfId="16761"/>
    <cellStyle name="Percent 63" xfId="5839"/>
    <cellStyle name="Percent 63 2" xfId="9019"/>
    <cellStyle name="Percent 63 2 2" xfId="12883"/>
    <cellStyle name="Percent 63 2 2 2" xfId="20754"/>
    <cellStyle name="Percent 63 3" xfId="7081"/>
    <cellStyle name="Percent 63 3 2" xfId="12884"/>
    <cellStyle name="Percent 63 3 2 2" xfId="20755"/>
    <cellStyle name="Percent 63 3 3" xfId="17328"/>
    <cellStyle name="Percent 63 4" xfId="12882"/>
    <cellStyle name="Percent 63 4 2" xfId="20753"/>
    <cellStyle name="Percent 63 5" xfId="15142"/>
    <cellStyle name="Percent 63 5 2" xfId="21941"/>
    <cellStyle name="Percent 63 6" xfId="16532"/>
    <cellStyle name="Percent 64" xfId="5959"/>
    <cellStyle name="Percent 64 2" xfId="9020"/>
    <cellStyle name="Percent 64 2 2" xfId="12886"/>
    <cellStyle name="Percent 64 2 2 2" xfId="20757"/>
    <cellStyle name="Percent 64 3" xfId="7168"/>
    <cellStyle name="Percent 64 3 2" xfId="12887"/>
    <cellStyle name="Percent 64 3 2 2" xfId="20758"/>
    <cellStyle name="Percent 64 3 3" xfId="17415"/>
    <cellStyle name="Percent 64 4" xfId="12885"/>
    <cellStyle name="Percent 64 4 2" xfId="20756"/>
    <cellStyle name="Percent 64 5" xfId="15229"/>
    <cellStyle name="Percent 64 5 2" xfId="22028"/>
    <cellStyle name="Percent 64 6" xfId="16619"/>
    <cellStyle name="Percent 65" xfId="5812"/>
    <cellStyle name="Percent 65 2" xfId="9021"/>
    <cellStyle name="Percent 65 2 2" xfId="12889"/>
    <cellStyle name="Percent 65 2 2 2" xfId="20760"/>
    <cellStyle name="Percent 65 3" xfId="7056"/>
    <cellStyle name="Percent 65 3 2" xfId="12890"/>
    <cellStyle name="Percent 65 3 2 2" xfId="20761"/>
    <cellStyle name="Percent 65 3 3" xfId="17303"/>
    <cellStyle name="Percent 65 4" xfId="12888"/>
    <cellStyle name="Percent 65 4 2" xfId="20759"/>
    <cellStyle name="Percent 65 5" xfId="15117"/>
    <cellStyle name="Percent 65 5 2" xfId="21916"/>
    <cellStyle name="Percent 65 6" xfId="16507"/>
    <cellStyle name="Percent 66" xfId="6120"/>
    <cellStyle name="Percent 66 2" xfId="9022"/>
    <cellStyle name="Percent 66 2 2" xfId="12892"/>
    <cellStyle name="Percent 66 2 2 2" xfId="20763"/>
    <cellStyle name="Percent 66 3" xfId="7311"/>
    <cellStyle name="Percent 66 3 2" xfId="12893"/>
    <cellStyle name="Percent 66 3 2 2" xfId="20764"/>
    <cellStyle name="Percent 66 3 3" xfId="17558"/>
    <cellStyle name="Percent 66 4" xfId="12891"/>
    <cellStyle name="Percent 66 4 2" xfId="20762"/>
    <cellStyle name="Percent 66 5" xfId="15373"/>
    <cellStyle name="Percent 66 5 2" xfId="22171"/>
    <cellStyle name="Percent 66 6" xfId="16762"/>
    <cellStyle name="Percent 67" xfId="5880"/>
    <cellStyle name="Percent 67 2" xfId="9023"/>
    <cellStyle name="Percent 67 2 2" xfId="12895"/>
    <cellStyle name="Percent 67 2 2 2" xfId="20766"/>
    <cellStyle name="Percent 67 3" xfId="7112"/>
    <cellStyle name="Percent 67 3 2" xfId="12896"/>
    <cellStyle name="Percent 67 3 2 2" xfId="20767"/>
    <cellStyle name="Percent 67 3 3" xfId="17359"/>
    <cellStyle name="Percent 67 4" xfId="12894"/>
    <cellStyle name="Percent 67 4 2" xfId="20765"/>
    <cellStyle name="Percent 67 5" xfId="15173"/>
    <cellStyle name="Percent 67 5 2" xfId="21972"/>
    <cellStyle name="Percent 67 6" xfId="16563"/>
    <cellStyle name="Percent 68" xfId="6095"/>
    <cellStyle name="Percent 68 2" xfId="9024"/>
    <cellStyle name="Percent 68 2 2" xfId="12898"/>
    <cellStyle name="Percent 68 2 2 2" xfId="20769"/>
    <cellStyle name="Percent 68 3" xfId="7297"/>
    <cellStyle name="Percent 68 3 2" xfId="12899"/>
    <cellStyle name="Percent 68 3 2 2" xfId="20770"/>
    <cellStyle name="Percent 68 3 3" xfId="17544"/>
    <cellStyle name="Percent 68 4" xfId="12897"/>
    <cellStyle name="Percent 68 4 2" xfId="20768"/>
    <cellStyle name="Percent 68 5" xfId="15358"/>
    <cellStyle name="Percent 68 5 2" xfId="22157"/>
    <cellStyle name="Percent 68 6" xfId="16748"/>
    <cellStyle name="Percent 69" xfId="5846"/>
    <cellStyle name="Percent 69 2" xfId="9025"/>
    <cellStyle name="Percent 69 2 2" xfId="12901"/>
    <cellStyle name="Percent 69 2 2 2" xfId="20772"/>
    <cellStyle name="Percent 69 3" xfId="7088"/>
    <cellStyle name="Percent 69 3 2" xfId="12902"/>
    <cellStyle name="Percent 69 3 2 2" xfId="20773"/>
    <cellStyle name="Percent 69 3 3" xfId="17335"/>
    <cellStyle name="Percent 69 4" xfId="12900"/>
    <cellStyle name="Percent 69 4 2" xfId="20771"/>
    <cellStyle name="Percent 69 5" xfId="15149"/>
    <cellStyle name="Percent 69 5 2" xfId="21948"/>
    <cellStyle name="Percent 69 6" xfId="16539"/>
    <cellStyle name="Percent 7" xfId="3176"/>
    <cellStyle name="Percent 7 2" xfId="3177"/>
    <cellStyle name="Percent 7 2 2" xfId="9027"/>
    <cellStyle name="Percent 7 2 2 2" xfId="12903"/>
    <cellStyle name="Percent 7 2 2 2 2" xfId="20774"/>
    <cellStyle name="Percent 7 3" xfId="3178"/>
    <cellStyle name="Percent 7 3 2" xfId="3179"/>
    <cellStyle name="Percent 7 3 2 2" xfId="9029"/>
    <cellStyle name="Percent 7 3 2 2 2" xfId="12904"/>
    <cellStyle name="Percent 7 3 2 2 2 2" xfId="20775"/>
    <cellStyle name="Percent 7 3 2 3" xfId="6744"/>
    <cellStyle name="Percent 7 3 3" xfId="5234"/>
    <cellStyle name="Percent 7 3 3 2" xfId="9030"/>
    <cellStyle name="Percent 7 3 3 2 2" xfId="12906"/>
    <cellStyle name="Percent 7 3 3 2 2 2" xfId="20777"/>
    <cellStyle name="Percent 7 3 3 3" xfId="6982"/>
    <cellStyle name="Percent 7 3 3 3 2" xfId="12907"/>
    <cellStyle name="Percent 7 3 3 3 2 2" xfId="20778"/>
    <cellStyle name="Percent 7 3 3 3 3" xfId="17229"/>
    <cellStyle name="Percent 7 3 3 4" xfId="12905"/>
    <cellStyle name="Percent 7 3 3 4 2" xfId="20776"/>
    <cellStyle name="Percent 7 3 3 5" xfId="14942"/>
    <cellStyle name="Percent 7 3 3 5 2" xfId="21842"/>
    <cellStyle name="Percent 7 3 3 6" xfId="16437"/>
    <cellStyle name="Percent 7 3 4" xfId="5737"/>
    <cellStyle name="Percent 7 3 4 2" xfId="9031"/>
    <cellStyle name="Percent 7 3 4 2 2" xfId="12908"/>
    <cellStyle name="Percent 7 3 4 2 2 2" xfId="20779"/>
    <cellStyle name="Percent 7 3 5" xfId="6379"/>
    <cellStyle name="Percent 7 3 5 2" xfId="9028"/>
    <cellStyle name="Percent 7 3 5 2 2" xfId="12910"/>
    <cellStyle name="Percent 7 3 5 2 2 2" xfId="20781"/>
    <cellStyle name="Percent 7 3 5 3" xfId="12909"/>
    <cellStyle name="Percent 7 3 5 3 2" xfId="20780"/>
    <cellStyle name="Percent 7 3 5 4" xfId="16937"/>
    <cellStyle name="Percent 7 4" xfId="3180"/>
    <cellStyle name="Percent 7 4 2" xfId="5736"/>
    <cellStyle name="Percent 7 4 2 2" xfId="9033"/>
    <cellStyle name="Percent 7 4 2 2 2" xfId="12911"/>
    <cellStyle name="Percent 7 4 2 2 2 2" xfId="20782"/>
    <cellStyle name="Percent 7 4 3" xfId="9032"/>
    <cellStyle name="Percent 7 4 3 2" xfId="12912"/>
    <cellStyle name="Percent 7 4 3 2 2" xfId="20783"/>
    <cellStyle name="Percent 7 5" xfId="5232"/>
    <cellStyle name="Percent 7 5 2" xfId="9034"/>
    <cellStyle name="Percent 7 5 2 2" xfId="12914"/>
    <cellStyle name="Percent 7 5 2 2 2" xfId="20785"/>
    <cellStyle name="Percent 7 5 3" xfId="6981"/>
    <cellStyle name="Percent 7 5 3 2" xfId="12915"/>
    <cellStyle name="Percent 7 5 3 2 2" xfId="20786"/>
    <cellStyle name="Percent 7 5 3 3" xfId="17228"/>
    <cellStyle name="Percent 7 5 4" xfId="12913"/>
    <cellStyle name="Percent 7 5 4 2" xfId="20784"/>
    <cellStyle name="Percent 7 5 5" xfId="14941"/>
    <cellStyle name="Percent 7 5 5 2" xfId="21841"/>
    <cellStyle name="Percent 7 5 6" xfId="16436"/>
    <cellStyle name="Percent 7 6" xfId="5595"/>
    <cellStyle name="Percent 7 6 2" xfId="9035"/>
    <cellStyle name="Percent 7 6 2 2" xfId="12916"/>
    <cellStyle name="Percent 7 6 2 2 2" xfId="20787"/>
    <cellStyle name="Percent 7 6 3" xfId="15037"/>
    <cellStyle name="Percent 7 7" xfId="6378"/>
    <cellStyle name="Percent 7 7 2" xfId="6743"/>
    <cellStyle name="Percent 7 7 3" xfId="12917"/>
    <cellStyle name="Percent 7 7 3 2" xfId="20788"/>
    <cellStyle name="Percent 7 7 4" xfId="16936"/>
    <cellStyle name="Percent 7 8" xfId="9026"/>
    <cellStyle name="Percent 7 8 2" xfId="12918"/>
    <cellStyle name="Percent 7 8 2 2" xfId="20789"/>
    <cellStyle name="Percent 7 9" xfId="14389"/>
    <cellStyle name="Percent 70" xfId="5796"/>
    <cellStyle name="Percent 70 2" xfId="9036"/>
    <cellStyle name="Percent 70 2 2" xfId="12920"/>
    <cellStyle name="Percent 70 2 2 2" xfId="20791"/>
    <cellStyle name="Percent 70 3" xfId="7045"/>
    <cellStyle name="Percent 70 3 2" xfId="12921"/>
    <cellStyle name="Percent 70 3 2 2" xfId="20792"/>
    <cellStyle name="Percent 70 3 3" xfId="17292"/>
    <cellStyle name="Percent 70 4" xfId="12919"/>
    <cellStyle name="Percent 70 4 2" xfId="20790"/>
    <cellStyle name="Percent 70 5" xfId="15106"/>
    <cellStyle name="Percent 70 5 2" xfId="21905"/>
    <cellStyle name="Percent 70 6" xfId="16496"/>
    <cellStyle name="Percent 71" xfId="6127"/>
    <cellStyle name="Percent 71 2" xfId="9037"/>
    <cellStyle name="Percent 71 2 2" xfId="12923"/>
    <cellStyle name="Percent 71 2 2 2" xfId="20794"/>
    <cellStyle name="Percent 71 3" xfId="7316"/>
    <cellStyle name="Percent 71 3 2" xfId="12924"/>
    <cellStyle name="Percent 71 3 2 2" xfId="20795"/>
    <cellStyle name="Percent 71 3 3" xfId="17563"/>
    <cellStyle name="Percent 71 4" xfId="12922"/>
    <cellStyle name="Percent 71 4 2" xfId="20793"/>
    <cellStyle name="Percent 71 5" xfId="15378"/>
    <cellStyle name="Percent 71 5 2" xfId="22176"/>
    <cellStyle name="Percent 71 6" xfId="16767"/>
    <cellStyle name="Percent 72" xfId="5858"/>
    <cellStyle name="Percent 72 2" xfId="9038"/>
    <cellStyle name="Percent 72 2 2" xfId="12926"/>
    <cellStyle name="Percent 72 2 2 2" xfId="20797"/>
    <cellStyle name="Percent 72 3" xfId="7094"/>
    <cellStyle name="Percent 72 3 2" xfId="12927"/>
    <cellStyle name="Percent 72 3 2 2" xfId="20798"/>
    <cellStyle name="Percent 72 3 3" xfId="17341"/>
    <cellStyle name="Percent 72 4" xfId="12925"/>
    <cellStyle name="Percent 72 4 2" xfId="20796"/>
    <cellStyle name="Percent 72 5" xfId="15155"/>
    <cellStyle name="Percent 72 5 2" xfId="21954"/>
    <cellStyle name="Percent 72 6" xfId="16545"/>
    <cellStyle name="Percent 73" xfId="5962"/>
    <cellStyle name="Percent 73 2" xfId="9039"/>
    <cellStyle name="Percent 73 2 2" xfId="12929"/>
    <cellStyle name="Percent 73 2 2 2" xfId="20800"/>
    <cellStyle name="Percent 73 3" xfId="7169"/>
    <cellStyle name="Percent 73 3 2" xfId="12930"/>
    <cellStyle name="Percent 73 3 2 2" xfId="20801"/>
    <cellStyle name="Percent 73 3 3" xfId="17416"/>
    <cellStyle name="Percent 73 4" xfId="12928"/>
    <cellStyle name="Percent 73 4 2" xfId="20799"/>
    <cellStyle name="Percent 73 5" xfId="15230"/>
    <cellStyle name="Percent 73 5 2" xfId="22029"/>
    <cellStyle name="Percent 73 6" xfId="16620"/>
    <cellStyle name="Percent 74" xfId="5885"/>
    <cellStyle name="Percent 74 2" xfId="9040"/>
    <cellStyle name="Percent 74 2 2" xfId="12932"/>
    <cellStyle name="Percent 74 2 2 2" xfId="20803"/>
    <cellStyle name="Percent 74 3" xfId="7117"/>
    <cellStyle name="Percent 74 3 2" xfId="12933"/>
    <cellStyle name="Percent 74 3 2 2" xfId="20804"/>
    <cellStyle name="Percent 74 3 3" xfId="17364"/>
    <cellStyle name="Percent 74 4" xfId="12931"/>
    <cellStyle name="Percent 74 4 2" xfId="20802"/>
    <cellStyle name="Percent 74 5" xfId="15178"/>
    <cellStyle name="Percent 74 5 2" xfId="21977"/>
    <cellStyle name="Percent 74 6" xfId="16568"/>
    <cellStyle name="Percent 75" xfId="6122"/>
    <cellStyle name="Percent 75 2" xfId="9041"/>
    <cellStyle name="Percent 75 2 2" xfId="12935"/>
    <cellStyle name="Percent 75 2 2 2" xfId="20806"/>
    <cellStyle name="Percent 75 3" xfId="7312"/>
    <cellStyle name="Percent 75 3 2" xfId="12936"/>
    <cellStyle name="Percent 75 3 2 2" xfId="20807"/>
    <cellStyle name="Percent 75 3 3" xfId="17559"/>
    <cellStyle name="Percent 75 4" xfId="12934"/>
    <cellStyle name="Percent 75 4 2" xfId="20805"/>
    <cellStyle name="Percent 75 5" xfId="15374"/>
    <cellStyle name="Percent 75 5 2" xfId="22172"/>
    <cellStyle name="Percent 75 6" xfId="16763"/>
    <cellStyle name="Percent 76" xfId="6093"/>
    <cellStyle name="Percent 76 2" xfId="9042"/>
    <cellStyle name="Percent 76 2 2" xfId="12938"/>
    <cellStyle name="Percent 76 2 2 2" xfId="20809"/>
    <cellStyle name="Percent 76 3" xfId="7296"/>
    <cellStyle name="Percent 76 3 2" xfId="12939"/>
    <cellStyle name="Percent 76 3 2 2" xfId="20810"/>
    <cellStyle name="Percent 76 3 3" xfId="17543"/>
    <cellStyle name="Percent 76 4" xfId="12937"/>
    <cellStyle name="Percent 76 4 2" xfId="20808"/>
    <cellStyle name="Percent 76 5" xfId="15357"/>
    <cellStyle name="Percent 76 5 2" xfId="22156"/>
    <cellStyle name="Percent 76 6" xfId="16747"/>
    <cellStyle name="Percent 77" xfId="5869"/>
    <cellStyle name="Percent 77 2" xfId="9043"/>
    <cellStyle name="Percent 77 2 2" xfId="12941"/>
    <cellStyle name="Percent 77 2 2 2" xfId="20812"/>
    <cellStyle name="Percent 77 3" xfId="7102"/>
    <cellStyle name="Percent 77 3 2" xfId="12942"/>
    <cellStyle name="Percent 77 3 2 2" xfId="20813"/>
    <cellStyle name="Percent 77 3 3" xfId="17349"/>
    <cellStyle name="Percent 77 4" xfId="12940"/>
    <cellStyle name="Percent 77 4 2" xfId="20811"/>
    <cellStyle name="Percent 77 5" xfId="15163"/>
    <cellStyle name="Percent 77 5 2" xfId="21962"/>
    <cellStyle name="Percent 77 6" xfId="16553"/>
    <cellStyle name="Percent 78" xfId="5893"/>
    <cellStyle name="Percent 78 2" xfId="9044"/>
    <cellStyle name="Percent 78 2 2" xfId="12944"/>
    <cellStyle name="Percent 78 2 2 2" xfId="20815"/>
    <cellStyle name="Percent 78 3" xfId="7122"/>
    <cellStyle name="Percent 78 3 2" xfId="12945"/>
    <cellStyle name="Percent 78 3 2 2" xfId="20816"/>
    <cellStyle name="Percent 78 3 3" xfId="17369"/>
    <cellStyle name="Percent 78 4" xfId="12943"/>
    <cellStyle name="Percent 78 4 2" xfId="20814"/>
    <cellStyle name="Percent 78 5" xfId="15183"/>
    <cellStyle name="Percent 78 5 2" xfId="21982"/>
    <cellStyle name="Percent 78 6" xfId="16573"/>
    <cellStyle name="Percent 79" xfId="5914"/>
    <cellStyle name="Percent 79 2" xfId="9045"/>
    <cellStyle name="Percent 79 2 2" xfId="12947"/>
    <cellStyle name="Percent 79 2 2 2" xfId="20818"/>
    <cellStyle name="Percent 79 3" xfId="7140"/>
    <cellStyle name="Percent 79 3 2" xfId="12948"/>
    <cellStyle name="Percent 79 3 2 2" xfId="20819"/>
    <cellStyle name="Percent 79 3 3" xfId="17387"/>
    <cellStyle name="Percent 79 4" xfId="12946"/>
    <cellStyle name="Percent 79 4 2" xfId="20817"/>
    <cellStyle name="Percent 79 5" xfId="15201"/>
    <cellStyle name="Percent 79 5 2" xfId="22000"/>
    <cellStyle name="Percent 79 6" xfId="16591"/>
    <cellStyle name="Percent 8" xfId="3181"/>
    <cellStyle name="Percent 8 2" xfId="5020"/>
    <cellStyle name="Percent 8 2 2" xfId="9047"/>
    <cellStyle name="Percent 8 2 2 2" xfId="12949"/>
    <cellStyle name="Percent 8 2 2 2 2" xfId="20820"/>
    <cellStyle name="Percent 8 3" xfId="5596"/>
    <cellStyle name="Percent 8 3 2" xfId="9048"/>
    <cellStyle name="Percent 8 3 2 2" xfId="12950"/>
    <cellStyle name="Percent 8 3 2 2 2" xfId="20821"/>
    <cellStyle name="Percent 8 3 3" xfId="15038"/>
    <cellStyle name="Percent 8 4" xfId="6745"/>
    <cellStyle name="Percent 8 5" xfId="9046"/>
    <cellStyle name="Percent 8 5 2" xfId="12951"/>
    <cellStyle name="Percent 8 5 2 2" xfId="20822"/>
    <cellStyle name="Percent 8 6" xfId="14390"/>
    <cellStyle name="Percent 80" xfId="5949"/>
    <cellStyle name="Percent 80 2" xfId="9049"/>
    <cellStyle name="Percent 80 2 2" xfId="12953"/>
    <cellStyle name="Percent 80 2 2 2" xfId="20824"/>
    <cellStyle name="Percent 80 3" xfId="7162"/>
    <cellStyle name="Percent 80 3 2" xfId="12954"/>
    <cellStyle name="Percent 80 3 2 2" xfId="20825"/>
    <cellStyle name="Percent 80 3 3" xfId="17409"/>
    <cellStyle name="Percent 80 4" xfId="12952"/>
    <cellStyle name="Percent 80 4 2" xfId="20823"/>
    <cellStyle name="Percent 80 5" xfId="15223"/>
    <cellStyle name="Percent 80 5 2" xfId="22022"/>
    <cellStyle name="Percent 80 6" xfId="16613"/>
    <cellStyle name="Percent 81" xfId="5920"/>
    <cellStyle name="Percent 81 2" xfId="9050"/>
    <cellStyle name="Percent 81 2 2" xfId="12956"/>
    <cellStyle name="Percent 81 2 2 2" xfId="20827"/>
    <cellStyle name="Percent 81 3" xfId="7143"/>
    <cellStyle name="Percent 81 3 2" xfId="12957"/>
    <cellStyle name="Percent 81 3 2 2" xfId="20828"/>
    <cellStyle name="Percent 81 3 3" xfId="17390"/>
    <cellStyle name="Percent 81 4" xfId="12955"/>
    <cellStyle name="Percent 81 4 2" xfId="20826"/>
    <cellStyle name="Percent 81 5" xfId="15204"/>
    <cellStyle name="Percent 81 5 2" xfId="22003"/>
    <cellStyle name="Percent 81 6" xfId="16594"/>
    <cellStyle name="Percent 82" xfId="6130"/>
    <cellStyle name="Percent 82 2" xfId="9051"/>
    <cellStyle name="Percent 82 2 2" xfId="12959"/>
    <cellStyle name="Percent 82 2 2 2" xfId="20830"/>
    <cellStyle name="Percent 82 3" xfId="7318"/>
    <cellStyle name="Percent 82 3 2" xfId="12960"/>
    <cellStyle name="Percent 82 3 2 2" xfId="20831"/>
    <cellStyle name="Percent 82 3 3" xfId="17565"/>
    <cellStyle name="Percent 82 4" xfId="12958"/>
    <cellStyle name="Percent 82 4 2" xfId="20829"/>
    <cellStyle name="Percent 82 5" xfId="15380"/>
    <cellStyle name="Percent 82 5 2" xfId="22178"/>
    <cellStyle name="Percent 82 6" xfId="16769"/>
    <cellStyle name="Percent 83" xfId="6125"/>
    <cellStyle name="Percent 83 2" xfId="9052"/>
    <cellStyle name="Percent 83 2 2" xfId="12962"/>
    <cellStyle name="Percent 83 2 2 2" xfId="20833"/>
    <cellStyle name="Percent 83 3" xfId="7314"/>
    <cellStyle name="Percent 83 3 2" xfId="12963"/>
    <cellStyle name="Percent 83 3 2 2" xfId="20834"/>
    <cellStyle name="Percent 83 3 3" xfId="17561"/>
    <cellStyle name="Percent 83 4" xfId="12961"/>
    <cellStyle name="Percent 83 4 2" xfId="20832"/>
    <cellStyle name="Percent 83 5" xfId="15376"/>
    <cellStyle name="Percent 83 5 2" xfId="22174"/>
    <cellStyle name="Percent 83 6" xfId="16765"/>
    <cellStyle name="Percent 84" xfId="5876"/>
    <cellStyle name="Percent 84 2" xfId="9053"/>
    <cellStyle name="Percent 84 2 2" xfId="12965"/>
    <cellStyle name="Percent 84 2 2 2" xfId="20836"/>
    <cellStyle name="Percent 84 3" xfId="7108"/>
    <cellStyle name="Percent 84 3 2" xfId="12966"/>
    <cellStyle name="Percent 84 3 2 2" xfId="20837"/>
    <cellStyle name="Percent 84 3 3" xfId="17355"/>
    <cellStyle name="Percent 84 4" xfId="12964"/>
    <cellStyle name="Percent 84 4 2" xfId="20835"/>
    <cellStyle name="Percent 84 5" xfId="15169"/>
    <cellStyle name="Percent 84 5 2" xfId="21968"/>
    <cellStyle name="Percent 84 6" xfId="16559"/>
    <cellStyle name="Percent 85" xfId="5872"/>
    <cellStyle name="Percent 85 2" xfId="9054"/>
    <cellStyle name="Percent 85 2 2" xfId="12968"/>
    <cellStyle name="Percent 85 2 2 2" xfId="20839"/>
    <cellStyle name="Percent 85 3" xfId="7105"/>
    <cellStyle name="Percent 85 3 2" xfId="12969"/>
    <cellStyle name="Percent 85 3 2 2" xfId="20840"/>
    <cellStyle name="Percent 85 3 3" xfId="17352"/>
    <cellStyle name="Percent 85 4" xfId="12967"/>
    <cellStyle name="Percent 85 4 2" xfId="20838"/>
    <cellStyle name="Percent 85 5" xfId="15166"/>
    <cellStyle name="Percent 85 5 2" xfId="21965"/>
    <cellStyle name="Percent 85 6" xfId="16556"/>
    <cellStyle name="Percent 86" xfId="5897"/>
    <cellStyle name="Percent 86 2" xfId="9055"/>
    <cellStyle name="Percent 86 2 2" xfId="12971"/>
    <cellStyle name="Percent 86 2 2 2" xfId="20842"/>
    <cellStyle name="Percent 86 3" xfId="7125"/>
    <cellStyle name="Percent 86 3 2" xfId="12972"/>
    <cellStyle name="Percent 86 3 2 2" xfId="20843"/>
    <cellStyle name="Percent 86 3 3" xfId="17372"/>
    <cellStyle name="Percent 86 4" xfId="12970"/>
    <cellStyle name="Percent 86 4 2" xfId="20841"/>
    <cellStyle name="Percent 86 5" xfId="15186"/>
    <cellStyle name="Percent 86 5 2" xfId="21985"/>
    <cellStyle name="Percent 86 6" xfId="16576"/>
    <cellStyle name="Percent 87" xfId="5817"/>
    <cellStyle name="Percent 87 2" xfId="9056"/>
    <cellStyle name="Percent 87 2 2" xfId="12974"/>
    <cellStyle name="Percent 87 2 2 2" xfId="20845"/>
    <cellStyle name="Percent 87 3" xfId="7061"/>
    <cellStyle name="Percent 87 3 2" xfId="12975"/>
    <cellStyle name="Percent 87 3 2 2" xfId="20846"/>
    <cellStyle name="Percent 87 3 3" xfId="17308"/>
    <cellStyle name="Percent 87 4" xfId="12973"/>
    <cellStyle name="Percent 87 4 2" xfId="20844"/>
    <cellStyle name="Percent 87 5" xfId="15122"/>
    <cellStyle name="Percent 87 5 2" xfId="21921"/>
    <cellStyle name="Percent 87 6" xfId="16512"/>
    <cellStyle name="Percent 88" xfId="5927"/>
    <cellStyle name="Percent 88 2" xfId="9057"/>
    <cellStyle name="Percent 88 2 2" xfId="12977"/>
    <cellStyle name="Percent 88 2 2 2" xfId="20848"/>
    <cellStyle name="Percent 88 3" xfId="7146"/>
    <cellStyle name="Percent 88 3 2" xfId="12978"/>
    <cellStyle name="Percent 88 3 2 2" xfId="20849"/>
    <cellStyle name="Percent 88 3 3" xfId="17393"/>
    <cellStyle name="Percent 88 4" xfId="12976"/>
    <cellStyle name="Percent 88 4 2" xfId="20847"/>
    <cellStyle name="Percent 88 5" xfId="15207"/>
    <cellStyle name="Percent 88 5 2" xfId="22006"/>
    <cellStyle name="Percent 88 6" xfId="16597"/>
    <cellStyle name="Percent 89" xfId="5946"/>
    <cellStyle name="Percent 89 2" xfId="9058"/>
    <cellStyle name="Percent 89 2 2" xfId="12980"/>
    <cellStyle name="Percent 89 2 2 2" xfId="20851"/>
    <cellStyle name="Percent 89 3" xfId="7159"/>
    <cellStyle name="Percent 89 3 2" xfId="12981"/>
    <cellStyle name="Percent 89 3 2 2" xfId="20852"/>
    <cellStyle name="Percent 89 3 3" xfId="17406"/>
    <cellStyle name="Percent 89 4" xfId="12979"/>
    <cellStyle name="Percent 89 4 2" xfId="20850"/>
    <cellStyle name="Percent 89 5" xfId="15220"/>
    <cellStyle name="Percent 89 5 2" xfId="22019"/>
    <cellStyle name="Percent 89 6" xfId="16610"/>
    <cellStyle name="Percent 9" xfId="3182"/>
    <cellStyle name="Percent 9 2" xfId="5021"/>
    <cellStyle name="Percent 9 2 2" xfId="9060"/>
    <cellStyle name="Percent 9 2 2 2" xfId="12982"/>
    <cellStyle name="Percent 9 2 2 2 2" xfId="20853"/>
    <cellStyle name="Percent 9 3" xfId="5597"/>
    <cellStyle name="Percent 9 3 2" xfId="9061"/>
    <cellStyle name="Percent 9 3 2 2" xfId="12983"/>
    <cellStyle name="Percent 9 3 2 2 2" xfId="20854"/>
    <cellStyle name="Percent 9 3 3" xfId="15039"/>
    <cellStyle name="Percent 9 4" xfId="6746"/>
    <cellStyle name="Percent 9 5" xfId="9059"/>
    <cellStyle name="Percent 9 5 2" xfId="12984"/>
    <cellStyle name="Percent 9 5 2 2" xfId="20855"/>
    <cellStyle name="Percent 9 6" xfId="14391"/>
    <cellStyle name="Percent 90" xfId="6709"/>
    <cellStyle name="Percent 90 2" xfId="9062"/>
    <cellStyle name="Percent 90 2 2" xfId="12986"/>
    <cellStyle name="Percent 90 2 2 2" xfId="20857"/>
    <cellStyle name="Percent 90 3" xfId="12985"/>
    <cellStyle name="Percent 90 3 2" xfId="20856"/>
    <cellStyle name="Percent 91" xfId="6228"/>
    <cellStyle name="Percent 91 2" xfId="12987"/>
    <cellStyle name="Percent 91 2 2" xfId="20858"/>
    <cellStyle name="Percent 92" xfId="6391"/>
    <cellStyle name="Percent 92 2" xfId="12988"/>
    <cellStyle name="Percent 92 2 2" xfId="20859"/>
    <cellStyle name="Percent 92 3" xfId="16946"/>
    <cellStyle name="Percent 93" xfId="9837"/>
    <cellStyle name="Percent 93 2" xfId="17709"/>
    <cellStyle name="Percent 94" xfId="13454"/>
    <cellStyle name="Percent 94 2" xfId="21325"/>
    <cellStyle name="Percent 95" xfId="13458"/>
    <cellStyle name="Percent 95 2" xfId="21328"/>
    <cellStyle name="Percent 96" xfId="14023"/>
    <cellStyle name="Percent 96 2" xfId="21436"/>
    <cellStyle name="Percent 97" xfId="14627"/>
    <cellStyle name="Percent 97 2" xfId="21608"/>
    <cellStyle name="Percent 98" xfId="14651"/>
    <cellStyle name="Percent 98 2" xfId="21630"/>
    <cellStyle name="Percent 99" xfId="14609"/>
    <cellStyle name="Percent 99 2" xfId="21606"/>
    <cellStyle name="Percent(2)" xfId="3183"/>
    <cellStyle name="Percent(2) 2" xfId="5022"/>
    <cellStyle name="Percent(2) 2 2" xfId="9064"/>
    <cellStyle name="Percent(2) 2 2 2" xfId="12989"/>
    <cellStyle name="Percent(2) 2 2 2 2" xfId="20860"/>
    <cellStyle name="Percent(2) 2 3" xfId="14392"/>
    <cellStyle name="Percent(2) 3" xfId="9063"/>
    <cellStyle name="Percent(2) 3 2" xfId="12990"/>
    <cellStyle name="Percent(2) 3 2 2" xfId="20861"/>
    <cellStyle name="Percent(2) 4" xfId="13833"/>
    <cellStyle name="Percent0" xfId="3184"/>
    <cellStyle name="Percent0 2" xfId="9065"/>
    <cellStyle name="Percent0 2 2" xfId="9623"/>
    <cellStyle name="Percent0 2 3" xfId="12991"/>
    <cellStyle name="Percent0 2 3 2" xfId="20862"/>
    <cellStyle name="Percent0 3" xfId="9624"/>
    <cellStyle name="Percent0 4" xfId="9718"/>
    <cellStyle name="Placeholder" xfId="3185"/>
    <cellStyle name="Placeholder 2" xfId="9066"/>
    <cellStyle name="Placeholder 2 2" xfId="12992"/>
    <cellStyle name="Placeholder 2 2 2" xfId="20863"/>
    <cellStyle name="Prot $,(0)" xfId="3186"/>
    <cellStyle name="Prot $,(0) 2" xfId="9067"/>
    <cellStyle name="Prot $,(0) 2 2" xfId="9625"/>
    <cellStyle name="Prot $,(0) 2 2 2" xfId="17605"/>
    <cellStyle name="Prot $,(0) 2 3" xfId="12993"/>
    <cellStyle name="Prot $,(0) 2 3 2" xfId="20864"/>
    <cellStyle name="Prot $,(0) 3" xfId="14601"/>
    <cellStyle name="Prot, (0)" xfId="3187"/>
    <cellStyle name="Prot, (0) 2" xfId="9068"/>
    <cellStyle name="Prot, (0) 2 2" xfId="12994"/>
    <cellStyle name="Prot, (0) 2 2 2" xfId="20865"/>
    <cellStyle name="Protected" xfId="3188"/>
    <cellStyle name="Protected 2" xfId="9069"/>
    <cellStyle name="Protected 2 2" xfId="12995"/>
    <cellStyle name="Protected 2 2 2" xfId="20866"/>
    <cellStyle name="ProtectedDates" xfId="3189"/>
    <cellStyle name="ProtectedDates 2" xfId="9070"/>
    <cellStyle name="ProtectedDates 2 2" xfId="12996"/>
    <cellStyle name="ProtectedDates 2 2 2" xfId="20867"/>
    <cellStyle name="PSChar" xfId="3190"/>
    <cellStyle name="PSChar 2" xfId="3191"/>
    <cellStyle name="PSChar 2 2" xfId="9072"/>
    <cellStyle name="PSChar 2 2 2" xfId="12997"/>
    <cellStyle name="PSChar 2 2 2 2" xfId="20868"/>
    <cellStyle name="PSChar 2 3" xfId="14602"/>
    <cellStyle name="PSChar 3" xfId="5023"/>
    <cellStyle name="PSChar 3 2" xfId="9073"/>
    <cellStyle name="PSChar 3 2 2" xfId="12998"/>
    <cellStyle name="PSChar 3 2 2 2" xfId="20869"/>
    <cellStyle name="PSChar 3 3" xfId="14775"/>
    <cellStyle name="PSChar 4" xfId="9071"/>
    <cellStyle name="PSChar 4 2" xfId="12999"/>
    <cellStyle name="PSChar 4 2 2" xfId="20870"/>
    <cellStyle name="PSChar 5" xfId="15394"/>
    <cellStyle name="PSChar 5 2" xfId="22185"/>
    <cellStyle name="PSChar 6" xfId="22813"/>
    <cellStyle name="PSDate" xfId="3192"/>
    <cellStyle name="PSDate 2" xfId="3193"/>
    <cellStyle name="PSDate 2 2" xfId="9075"/>
    <cellStyle name="PSDate 2 2 2" xfId="13000"/>
    <cellStyle name="PSDate 2 2 2 2" xfId="20871"/>
    <cellStyle name="PSDate 2 3" xfId="14603"/>
    <cellStyle name="PSDate 3" xfId="5024"/>
    <cellStyle name="PSDate 3 2" xfId="9076"/>
    <cellStyle name="PSDate 3 2 2" xfId="13001"/>
    <cellStyle name="PSDate 3 2 2 2" xfId="20872"/>
    <cellStyle name="PSDate 3 3" xfId="14776"/>
    <cellStyle name="PSDate 4" xfId="9074"/>
    <cellStyle name="PSDate 4 2" xfId="13002"/>
    <cellStyle name="PSDate 4 2 2" xfId="20873"/>
    <cellStyle name="PSDate 5" xfId="15398"/>
    <cellStyle name="PSDate 5 2" xfId="22187"/>
    <cellStyle name="PSDate 6" xfId="22814"/>
    <cellStyle name="PSDec" xfId="3194"/>
    <cellStyle name="PSDec 2" xfId="3195"/>
    <cellStyle name="PSDec 2 2" xfId="9078"/>
    <cellStyle name="PSDec 2 2 2" xfId="13003"/>
    <cellStyle name="PSDec 2 2 2 2" xfId="20874"/>
    <cellStyle name="PSDec 2 3" xfId="14604"/>
    <cellStyle name="PSDec 3" xfId="5025"/>
    <cellStyle name="PSDec 3 2" xfId="9079"/>
    <cellStyle name="PSDec 3 2 2" xfId="13004"/>
    <cellStyle name="PSDec 3 2 2 2" xfId="20875"/>
    <cellStyle name="PSDec 3 3" xfId="14777"/>
    <cellStyle name="PSDec 4" xfId="9077"/>
    <cellStyle name="PSDec 4 2" xfId="13005"/>
    <cellStyle name="PSDec 4 2 2" xfId="20876"/>
    <cellStyle name="PSDec 5" xfId="15381"/>
    <cellStyle name="PSDec 5 2" xfId="22179"/>
    <cellStyle name="PSDec 6" xfId="22815"/>
    <cellStyle name="PSHeading" xfId="3196"/>
    <cellStyle name="PSHeading 2" xfId="3197"/>
    <cellStyle name="PSHeading 2 2" xfId="9081"/>
    <cellStyle name="PSHeading 2 2 2" xfId="13006"/>
    <cellStyle name="PSHeading 2 2 2 2" xfId="20877"/>
    <cellStyle name="PSHeading 2 3" xfId="14605"/>
    <cellStyle name="PSHeading 2 3 2" xfId="26322"/>
    <cellStyle name="PSHeading 2 4" xfId="26323"/>
    <cellStyle name="PSHeading 3" xfId="5026"/>
    <cellStyle name="PSHeading 3 2" xfId="9082"/>
    <cellStyle name="PSHeading 3 2 2" xfId="13007"/>
    <cellStyle name="PSHeading 3 2 2 2" xfId="20878"/>
    <cellStyle name="PSHeading 3 3" xfId="14778"/>
    <cellStyle name="PSHeading 3 3 2" xfId="26324"/>
    <cellStyle name="PSHeading 3 4" xfId="26325"/>
    <cellStyle name="PSHeading 4" xfId="9080"/>
    <cellStyle name="PSHeading 4 2" xfId="13008"/>
    <cellStyle name="PSHeading 4 2 2" xfId="20879"/>
    <cellStyle name="PSHeading 5" xfId="15388"/>
    <cellStyle name="PSHeading 5 2" xfId="22181"/>
    <cellStyle name="PSHeading 6" xfId="22816"/>
    <cellStyle name="PSInt" xfId="3198"/>
    <cellStyle name="PSInt 2" xfId="3199"/>
    <cellStyle name="PSInt 2 2" xfId="9084"/>
    <cellStyle name="PSInt 2 2 2" xfId="13009"/>
    <cellStyle name="PSInt 2 2 2 2" xfId="20880"/>
    <cellStyle name="PSInt 2 3" xfId="14606"/>
    <cellStyle name="PSInt 3" xfId="5027"/>
    <cellStyle name="PSInt 3 2" xfId="9085"/>
    <cellStyle name="PSInt 3 2 2" xfId="13010"/>
    <cellStyle name="PSInt 3 2 2 2" xfId="20881"/>
    <cellStyle name="PSInt 3 3" xfId="14779"/>
    <cellStyle name="PSInt 4" xfId="9083"/>
    <cellStyle name="PSInt 4 2" xfId="13011"/>
    <cellStyle name="PSInt 4 2 2" xfId="20882"/>
    <cellStyle name="PSInt 5" xfId="14362"/>
    <cellStyle name="PSInt 5 2" xfId="21457"/>
    <cellStyle name="PSInt 6" xfId="22817"/>
    <cellStyle name="PSSpacer" xfId="3200"/>
    <cellStyle name="PSSpacer 2" xfId="3201"/>
    <cellStyle name="PSSpacer 2 2" xfId="9087"/>
    <cellStyle name="PSSpacer 2 2 2" xfId="13012"/>
    <cellStyle name="PSSpacer 2 2 2 2" xfId="20883"/>
    <cellStyle name="PSSpacer 2 3" xfId="14607"/>
    <cellStyle name="PSSpacer 3" xfId="5028"/>
    <cellStyle name="PSSpacer 3 2" xfId="9088"/>
    <cellStyle name="PSSpacer 3 2 2" xfId="13013"/>
    <cellStyle name="PSSpacer 3 2 2 2" xfId="20884"/>
    <cellStyle name="PSSpacer 3 3" xfId="14780"/>
    <cellStyle name="PSSpacer 4" xfId="9086"/>
    <cellStyle name="PSSpacer 4 2" xfId="13014"/>
    <cellStyle name="PSSpacer 4 2 2" xfId="20885"/>
    <cellStyle name="PSSpacer 5" xfId="14454"/>
    <cellStyle name="PSSpacer 5 2" xfId="21479"/>
    <cellStyle name="PSSpacer 6" xfId="22818"/>
    <cellStyle name="Red" xfId="3202"/>
    <cellStyle name="Red 2" xfId="9089"/>
    <cellStyle name="Red 2 2" xfId="13015"/>
    <cellStyle name="Red 2 2 2" xfId="20886"/>
    <cellStyle name="Reports-0" xfId="3203"/>
    <cellStyle name="Reports-0 2" xfId="9090"/>
    <cellStyle name="Reports-0 2 2" xfId="13016"/>
    <cellStyle name="Reports-0 2 2 2" xfId="20887"/>
    <cellStyle name="Reports-2" xfId="3204"/>
    <cellStyle name="Reports-2 2" xfId="9091"/>
    <cellStyle name="Reports-2 2 2" xfId="13017"/>
    <cellStyle name="Reports-2 2 2 2" xfId="20888"/>
    <cellStyle name="Row head" xfId="3205"/>
    <cellStyle name="Row head 2" xfId="9092"/>
    <cellStyle name="Row head 2 2" xfId="13018"/>
    <cellStyle name="Row head 2 2 2" xfId="20889"/>
    <cellStyle name="SAPBEXaggData" xfId="3206"/>
    <cellStyle name="SAPBEXaggData 2" xfId="3207"/>
    <cellStyle name="SAPBEXaggData 2 2" xfId="5029"/>
    <cellStyle name="SAPBEXaggData 2 2 2" xfId="9095"/>
    <cellStyle name="SAPBEXaggData 2 2 2 2" xfId="13019"/>
    <cellStyle name="SAPBEXaggData 2 2 2 2 2" xfId="20890"/>
    <cellStyle name="SAPBEXaggData 2 3" xfId="5177"/>
    <cellStyle name="SAPBEXaggData 2 3 2" xfId="9096"/>
    <cellStyle name="SAPBEXaggData 2 3 2 2" xfId="13020"/>
    <cellStyle name="SAPBEXaggData 2 3 2 2 2" xfId="20891"/>
    <cellStyle name="SAPBEXaggData 2 4" xfId="9094"/>
    <cellStyle name="SAPBEXaggData 2 4 2" xfId="13021"/>
    <cellStyle name="SAPBEXaggData 2 4 2 2" xfId="20892"/>
    <cellStyle name="SAPBEXaggData 2 5" xfId="9626"/>
    <cellStyle name="SAPBEXaggData 2 5 2" xfId="17606"/>
    <cellStyle name="SAPBEXaggData 3" xfId="3208"/>
    <cellStyle name="SAPBEXaggData 3 2" xfId="9097"/>
    <cellStyle name="SAPBEXaggData 3 2 2" xfId="13022"/>
    <cellStyle name="SAPBEXaggData 3 2 2 2" xfId="20893"/>
    <cellStyle name="SAPBEXaggData 3 3" xfId="9821"/>
    <cellStyle name="SAPBEXaggData 4" xfId="3209"/>
    <cellStyle name="SAPBEXaggData 4 2" xfId="9098"/>
    <cellStyle name="SAPBEXaggData 4 2 2" xfId="13023"/>
    <cellStyle name="SAPBEXaggData 4 2 2 2" xfId="20894"/>
    <cellStyle name="SAPBEXaggData 5" xfId="3210"/>
    <cellStyle name="SAPBEXaggData 5 2" xfId="9099"/>
    <cellStyle name="SAPBEXaggData 5 2 2" xfId="13024"/>
    <cellStyle name="SAPBEXaggData 5 2 2 2" xfId="20895"/>
    <cellStyle name="SAPBEXaggData 6" xfId="3211"/>
    <cellStyle name="SAPBEXaggData 6 2" xfId="9100"/>
    <cellStyle name="SAPBEXaggData 6 2 2" xfId="13025"/>
    <cellStyle name="SAPBEXaggData 6 2 2 2" xfId="20896"/>
    <cellStyle name="SAPBEXaggData 7" xfId="3212"/>
    <cellStyle name="SAPBEXaggData 7 2" xfId="9101"/>
    <cellStyle name="SAPBEXaggData 7 2 2" xfId="13026"/>
    <cellStyle name="SAPBEXaggData 7 2 2 2" xfId="20897"/>
    <cellStyle name="SAPBEXaggData 8" xfId="3213"/>
    <cellStyle name="SAPBEXaggData 8 2" xfId="9102"/>
    <cellStyle name="SAPBEXaggData 8 2 2" xfId="13027"/>
    <cellStyle name="SAPBEXaggData 8 2 2 2" xfId="20898"/>
    <cellStyle name="SAPBEXaggData 8 3" xfId="14608"/>
    <cellStyle name="SAPBEXaggData 9" xfId="9093"/>
    <cellStyle name="SAPBEXaggData 9 2" xfId="13028"/>
    <cellStyle name="SAPBEXaggData 9 2 2" xfId="20899"/>
    <cellStyle name="SAPBEXaggData_Use this one" xfId="3214"/>
    <cellStyle name="SAPBEXaggDataEmph" xfId="3215"/>
    <cellStyle name="SAPBEXaggDataEmph 2" xfId="9103"/>
    <cellStyle name="SAPBEXaggDataEmph 2 2" xfId="13029"/>
    <cellStyle name="SAPBEXaggDataEmph 2 2 2" xfId="20900"/>
    <cellStyle name="SAPBEXaggItem" xfId="3216"/>
    <cellStyle name="SAPBEXaggItem 2" xfId="3217"/>
    <cellStyle name="SAPBEXaggItem 2 2" xfId="5030"/>
    <cellStyle name="SAPBEXaggItem 2 2 2" xfId="9106"/>
    <cellStyle name="SAPBEXaggItem 2 2 2 2" xfId="13030"/>
    <cellStyle name="SAPBEXaggItem 2 2 2 2 2" xfId="20901"/>
    <cellStyle name="SAPBEXaggItem 2 3" xfId="5178"/>
    <cellStyle name="SAPBEXaggItem 2 3 2" xfId="9107"/>
    <cellStyle name="SAPBEXaggItem 2 3 2 2" xfId="13031"/>
    <cellStyle name="SAPBEXaggItem 2 3 2 2 2" xfId="20902"/>
    <cellStyle name="SAPBEXaggItem 2 4" xfId="9105"/>
    <cellStyle name="SAPBEXaggItem 2 4 2" xfId="13032"/>
    <cellStyle name="SAPBEXaggItem 2 4 2 2" xfId="20903"/>
    <cellStyle name="SAPBEXaggItem 3" xfId="3218"/>
    <cellStyle name="SAPBEXaggItem 3 2" xfId="9108"/>
    <cellStyle name="SAPBEXaggItem 3 2 2" xfId="13033"/>
    <cellStyle name="SAPBEXaggItem 3 2 2 2" xfId="20904"/>
    <cellStyle name="SAPBEXaggItem 4" xfId="3219"/>
    <cellStyle name="SAPBEXaggItem 4 2" xfId="9109"/>
    <cellStyle name="SAPBEXaggItem 4 2 2" xfId="13034"/>
    <cellStyle name="SAPBEXaggItem 4 2 2 2" xfId="20905"/>
    <cellStyle name="SAPBEXaggItem 5" xfId="3220"/>
    <cellStyle name="SAPBEXaggItem 5 2" xfId="9110"/>
    <cellStyle name="SAPBEXaggItem 5 2 2" xfId="13035"/>
    <cellStyle name="SAPBEXaggItem 5 2 2 2" xfId="20906"/>
    <cellStyle name="SAPBEXaggItem 6" xfId="3221"/>
    <cellStyle name="SAPBEXaggItem 6 2" xfId="9111"/>
    <cellStyle name="SAPBEXaggItem 6 2 2" xfId="13036"/>
    <cellStyle name="SAPBEXaggItem 6 2 2 2" xfId="20907"/>
    <cellStyle name="SAPBEXaggItem 7" xfId="3222"/>
    <cellStyle name="SAPBEXaggItem 7 2" xfId="9112"/>
    <cellStyle name="SAPBEXaggItem 7 2 2" xfId="13037"/>
    <cellStyle name="SAPBEXaggItem 7 2 2 2" xfId="20908"/>
    <cellStyle name="SAPBEXaggItem 8" xfId="3223"/>
    <cellStyle name="SAPBEXaggItem 8 2" xfId="9113"/>
    <cellStyle name="SAPBEXaggItem 8 2 2" xfId="13038"/>
    <cellStyle name="SAPBEXaggItem 8 2 2 2" xfId="20909"/>
    <cellStyle name="SAPBEXaggItem 9" xfId="9104"/>
    <cellStyle name="SAPBEXaggItem 9 2" xfId="13039"/>
    <cellStyle name="SAPBEXaggItem 9 2 2" xfId="20910"/>
    <cellStyle name="SAPBEXaggItem_Use this one" xfId="3224"/>
    <cellStyle name="SAPBEXaggItemX" xfId="3225"/>
    <cellStyle name="SAPBEXaggItemX 2" xfId="9114"/>
    <cellStyle name="SAPBEXaggItemX 2 2" xfId="13040"/>
    <cellStyle name="SAPBEXaggItemX 2 2 2" xfId="20911"/>
    <cellStyle name="SAPBEXchaText" xfId="3226"/>
    <cellStyle name="SAPBEXchaText 2" xfId="3227"/>
    <cellStyle name="SAPBEXchaText 2 2" xfId="5031"/>
    <cellStyle name="SAPBEXchaText 2 2 2" xfId="9117"/>
    <cellStyle name="SAPBEXchaText 2 2 2 2" xfId="13041"/>
    <cellStyle name="SAPBEXchaText 2 2 2 2 2" xfId="20912"/>
    <cellStyle name="SAPBEXchaText 2 3" xfId="5181"/>
    <cellStyle name="SAPBEXchaText 2 3 2" xfId="9118"/>
    <cellStyle name="SAPBEXchaText 2 3 2 2" xfId="13042"/>
    <cellStyle name="SAPBEXchaText 2 3 2 2 2" xfId="20913"/>
    <cellStyle name="SAPBEXchaText 2 4" xfId="9116"/>
    <cellStyle name="SAPBEXchaText 2 4 2" xfId="13043"/>
    <cellStyle name="SAPBEXchaText 2 4 2 2" xfId="20914"/>
    <cellStyle name="SAPBEXchaText 3" xfId="3228"/>
    <cellStyle name="SAPBEXchaText 3 2" xfId="9119"/>
    <cellStyle name="SAPBEXchaText 3 2 2" xfId="13044"/>
    <cellStyle name="SAPBEXchaText 3 2 2 2" xfId="20915"/>
    <cellStyle name="SAPBEXchaText 4" xfId="3229"/>
    <cellStyle name="SAPBEXchaText 4 2" xfId="9120"/>
    <cellStyle name="SAPBEXchaText 4 2 2" xfId="13045"/>
    <cellStyle name="SAPBEXchaText 4 2 2 2" xfId="20916"/>
    <cellStyle name="SAPBEXchaText 5" xfId="3230"/>
    <cellStyle name="SAPBEXchaText 5 2" xfId="9121"/>
    <cellStyle name="SAPBEXchaText 5 2 2" xfId="13046"/>
    <cellStyle name="SAPBEXchaText 5 2 2 2" xfId="20917"/>
    <cellStyle name="SAPBEXchaText 6" xfId="3231"/>
    <cellStyle name="SAPBEXchaText 6 2" xfId="9122"/>
    <cellStyle name="SAPBEXchaText 6 2 2" xfId="13047"/>
    <cellStyle name="SAPBEXchaText 6 2 2 2" xfId="20918"/>
    <cellStyle name="SAPBEXchaText 7" xfId="3232"/>
    <cellStyle name="SAPBEXchaText 7 2" xfId="9123"/>
    <cellStyle name="SAPBEXchaText 7 2 2" xfId="13048"/>
    <cellStyle name="SAPBEXchaText 7 2 2 2" xfId="20919"/>
    <cellStyle name="SAPBEXchaText 8" xfId="3233"/>
    <cellStyle name="SAPBEXchaText 8 2" xfId="9124"/>
    <cellStyle name="SAPBEXchaText 8 2 2" xfId="13049"/>
    <cellStyle name="SAPBEXchaText 8 2 2 2" xfId="20920"/>
    <cellStyle name="SAPBEXchaText 9" xfId="9115"/>
    <cellStyle name="SAPBEXchaText 9 2" xfId="13050"/>
    <cellStyle name="SAPBEXchaText 9 2 2" xfId="20921"/>
    <cellStyle name="SAPBEXchaText_Use this one" xfId="3234"/>
    <cellStyle name="SAPBEXexcBad7" xfId="3235"/>
    <cellStyle name="SAPBEXexcBad7 2" xfId="9125"/>
    <cellStyle name="SAPBEXexcBad7 2 2" xfId="13051"/>
    <cellStyle name="SAPBEXexcBad7 2 2 2" xfId="20922"/>
    <cellStyle name="SAPBEXexcBad8" xfId="3236"/>
    <cellStyle name="SAPBEXexcBad8 2" xfId="9126"/>
    <cellStyle name="SAPBEXexcBad8 2 2" xfId="13052"/>
    <cellStyle name="SAPBEXexcBad8 2 2 2" xfId="20923"/>
    <cellStyle name="SAPBEXexcBad9" xfId="3237"/>
    <cellStyle name="SAPBEXexcBad9 2" xfId="9127"/>
    <cellStyle name="SAPBEXexcBad9 2 2" xfId="13053"/>
    <cellStyle name="SAPBEXexcBad9 2 2 2" xfId="20924"/>
    <cellStyle name="SAPBEXexcCritical4" xfId="3238"/>
    <cellStyle name="SAPBEXexcCritical4 2" xfId="9128"/>
    <cellStyle name="SAPBEXexcCritical4 2 2" xfId="13054"/>
    <cellStyle name="SAPBEXexcCritical4 2 2 2" xfId="20925"/>
    <cellStyle name="SAPBEXexcCritical5" xfId="3239"/>
    <cellStyle name="SAPBEXexcCritical5 2" xfId="9129"/>
    <cellStyle name="SAPBEXexcCritical5 2 2" xfId="13055"/>
    <cellStyle name="SAPBEXexcCritical5 2 2 2" xfId="20926"/>
    <cellStyle name="SAPBEXexcCritical6" xfId="3240"/>
    <cellStyle name="SAPBEXexcCritical6 2" xfId="9130"/>
    <cellStyle name="SAPBEXexcCritical6 2 2" xfId="13056"/>
    <cellStyle name="SAPBEXexcCritical6 2 2 2" xfId="20927"/>
    <cellStyle name="SAPBEXexcGood1" xfId="3241"/>
    <cellStyle name="SAPBEXexcGood1 2" xfId="9131"/>
    <cellStyle name="SAPBEXexcGood1 2 2" xfId="13057"/>
    <cellStyle name="SAPBEXexcGood1 2 2 2" xfId="20928"/>
    <cellStyle name="SAPBEXexcGood2" xfId="3242"/>
    <cellStyle name="SAPBEXexcGood2 2" xfId="9132"/>
    <cellStyle name="SAPBEXexcGood2 2 2" xfId="13058"/>
    <cellStyle name="SAPBEXexcGood2 2 2 2" xfId="20929"/>
    <cellStyle name="SAPBEXexcGood3" xfId="3243"/>
    <cellStyle name="SAPBEXexcGood3 2" xfId="9133"/>
    <cellStyle name="SAPBEXexcGood3 2 2" xfId="13059"/>
    <cellStyle name="SAPBEXexcGood3 2 2 2" xfId="20930"/>
    <cellStyle name="SAPBEXfilterDrill" xfId="3244"/>
    <cellStyle name="SAPBEXfilterDrill 2" xfId="9134"/>
    <cellStyle name="SAPBEXfilterDrill 2 2" xfId="13060"/>
    <cellStyle name="SAPBEXfilterDrill 2 2 2" xfId="20931"/>
    <cellStyle name="SAPBEXfilterItem" xfId="3245"/>
    <cellStyle name="SAPBEXfilterItem 2" xfId="9135"/>
    <cellStyle name="SAPBEXfilterItem 2 2" xfId="13061"/>
    <cellStyle name="SAPBEXfilterItem 2 2 2" xfId="20932"/>
    <cellStyle name="SAPBEXfilterText" xfId="3246"/>
    <cellStyle name="SAPBEXfilterText 10" xfId="3247"/>
    <cellStyle name="SAPBEXfilterText 10 2" xfId="9137"/>
    <cellStyle name="SAPBEXfilterText 10 2 2" xfId="13062"/>
    <cellStyle name="SAPBEXfilterText 10 2 2 2" xfId="20933"/>
    <cellStyle name="SAPBEXfilterText 11" xfId="3248"/>
    <cellStyle name="SAPBEXfilterText 11 2" xfId="9138"/>
    <cellStyle name="SAPBEXfilterText 11 2 2" xfId="13063"/>
    <cellStyle name="SAPBEXfilterText 11 2 2 2" xfId="20934"/>
    <cellStyle name="SAPBEXfilterText 12" xfId="3249"/>
    <cellStyle name="SAPBEXfilterText 12 2" xfId="9139"/>
    <cellStyle name="SAPBEXfilterText 12 2 2" xfId="13064"/>
    <cellStyle name="SAPBEXfilterText 12 2 2 2" xfId="20935"/>
    <cellStyle name="SAPBEXfilterText 13" xfId="3250"/>
    <cellStyle name="SAPBEXfilterText 13 2" xfId="9140"/>
    <cellStyle name="SAPBEXfilterText 13 2 2" xfId="13065"/>
    <cellStyle name="SAPBEXfilterText 13 2 2 2" xfId="20936"/>
    <cellStyle name="SAPBEXfilterText 14" xfId="9136"/>
    <cellStyle name="SAPBEXfilterText 14 2" xfId="13066"/>
    <cellStyle name="SAPBEXfilterText 14 2 2" xfId="20937"/>
    <cellStyle name="SAPBEXfilterText 2" xfId="3251"/>
    <cellStyle name="SAPBEXfilterText 2 2" xfId="9141"/>
    <cellStyle name="SAPBEXfilterText 2 2 2" xfId="13067"/>
    <cellStyle name="SAPBEXfilterText 2 2 2 2" xfId="20938"/>
    <cellStyle name="SAPBEXfilterText 3" xfId="3252"/>
    <cellStyle name="SAPBEXfilterText 3 2" xfId="9142"/>
    <cellStyle name="SAPBEXfilterText 3 2 2" xfId="13068"/>
    <cellStyle name="SAPBEXfilterText 3 2 2 2" xfId="20939"/>
    <cellStyle name="SAPBEXfilterText 4" xfId="3253"/>
    <cellStyle name="SAPBEXfilterText 4 2" xfId="9143"/>
    <cellStyle name="SAPBEXfilterText 4 2 2" xfId="13069"/>
    <cellStyle name="SAPBEXfilterText 4 2 2 2" xfId="20940"/>
    <cellStyle name="SAPBEXfilterText 5" xfId="3254"/>
    <cellStyle name="SAPBEXfilterText 5 2" xfId="9144"/>
    <cellStyle name="SAPBEXfilterText 5 2 2" xfId="13070"/>
    <cellStyle name="SAPBEXfilterText 5 2 2 2" xfId="20941"/>
    <cellStyle name="SAPBEXfilterText 6" xfId="3255"/>
    <cellStyle name="SAPBEXfilterText 6 2" xfId="9145"/>
    <cellStyle name="SAPBEXfilterText 6 2 2" xfId="13071"/>
    <cellStyle name="SAPBEXfilterText 6 2 2 2" xfId="20942"/>
    <cellStyle name="SAPBEXfilterText 7" xfId="3256"/>
    <cellStyle name="SAPBEXfilterText 7 2" xfId="9146"/>
    <cellStyle name="SAPBEXfilterText 7 2 2" xfId="13072"/>
    <cellStyle name="SAPBEXfilterText 7 2 2 2" xfId="20943"/>
    <cellStyle name="SAPBEXfilterText 8" xfId="3257"/>
    <cellStyle name="SAPBEXfilterText 8 2" xfId="9147"/>
    <cellStyle name="SAPBEXfilterText 8 2 2" xfId="13073"/>
    <cellStyle name="SAPBEXfilterText 8 2 2 2" xfId="20944"/>
    <cellStyle name="SAPBEXfilterText 9" xfId="3258"/>
    <cellStyle name="SAPBEXfilterText 9 2" xfId="9148"/>
    <cellStyle name="SAPBEXfilterText 9 2 2" xfId="13074"/>
    <cellStyle name="SAPBEXfilterText 9 2 2 2" xfId="20945"/>
    <cellStyle name="SAPBEXfilterText_AFE Structure" xfId="3259"/>
    <cellStyle name="SAPBEXformats" xfId="3260"/>
    <cellStyle name="SAPBEXformats 2" xfId="9149"/>
    <cellStyle name="SAPBEXformats 2 2" xfId="13075"/>
    <cellStyle name="SAPBEXformats 2 2 2" xfId="20946"/>
    <cellStyle name="SAPBEXheaderItem" xfId="3261"/>
    <cellStyle name="SAPBEXheaderItem 10" xfId="3262"/>
    <cellStyle name="SAPBEXheaderItem 10 2" xfId="9151"/>
    <cellStyle name="SAPBEXheaderItem 10 2 2" xfId="13076"/>
    <cellStyle name="SAPBEXheaderItem 10 2 2 2" xfId="20947"/>
    <cellStyle name="SAPBEXheaderItem 11" xfId="3263"/>
    <cellStyle name="SAPBEXheaderItem 11 2" xfId="9152"/>
    <cellStyle name="SAPBEXheaderItem 11 2 2" xfId="13077"/>
    <cellStyle name="SAPBEXheaderItem 11 2 2 2" xfId="20948"/>
    <cellStyle name="SAPBEXheaderItem 12" xfId="3264"/>
    <cellStyle name="SAPBEXheaderItem 12 2" xfId="9153"/>
    <cellStyle name="SAPBEXheaderItem 12 2 2" xfId="13078"/>
    <cellStyle name="SAPBEXheaderItem 12 2 2 2" xfId="20949"/>
    <cellStyle name="SAPBEXheaderItem 13" xfId="3265"/>
    <cellStyle name="SAPBEXheaderItem 13 2" xfId="9154"/>
    <cellStyle name="SAPBEXheaderItem 13 2 2" xfId="13079"/>
    <cellStyle name="SAPBEXheaderItem 13 2 2 2" xfId="20950"/>
    <cellStyle name="SAPBEXheaderItem 14" xfId="9150"/>
    <cellStyle name="SAPBEXheaderItem 14 2" xfId="13080"/>
    <cellStyle name="SAPBEXheaderItem 14 2 2" xfId="20951"/>
    <cellStyle name="SAPBEXheaderItem 2" xfId="3266"/>
    <cellStyle name="SAPBEXheaderItem 2 2" xfId="9155"/>
    <cellStyle name="SAPBEXheaderItem 2 2 2" xfId="13081"/>
    <cellStyle name="SAPBEXheaderItem 2 2 2 2" xfId="20952"/>
    <cellStyle name="SAPBEXheaderItem 3" xfId="3267"/>
    <cellStyle name="SAPBEXheaderItem 3 2" xfId="9156"/>
    <cellStyle name="SAPBEXheaderItem 3 2 2" xfId="13082"/>
    <cellStyle name="SAPBEXheaderItem 3 2 2 2" xfId="20953"/>
    <cellStyle name="SAPBEXheaderItem 4" xfId="3268"/>
    <cellStyle name="SAPBEXheaderItem 4 2" xfId="9157"/>
    <cellStyle name="SAPBEXheaderItem 4 2 2" xfId="13083"/>
    <cellStyle name="SAPBEXheaderItem 4 2 2 2" xfId="20954"/>
    <cellStyle name="SAPBEXheaderItem 5" xfId="3269"/>
    <cellStyle name="SAPBEXheaderItem 5 2" xfId="9158"/>
    <cellStyle name="SAPBEXheaderItem 5 2 2" xfId="13084"/>
    <cellStyle name="SAPBEXheaderItem 5 2 2 2" xfId="20955"/>
    <cellStyle name="SAPBEXheaderItem 6" xfId="3270"/>
    <cellStyle name="SAPBEXheaderItem 6 2" xfId="9159"/>
    <cellStyle name="SAPBEXheaderItem 6 2 2" xfId="13085"/>
    <cellStyle name="SAPBEXheaderItem 6 2 2 2" xfId="20956"/>
    <cellStyle name="SAPBEXheaderItem 7" xfId="3271"/>
    <cellStyle name="SAPBEXheaderItem 7 2" xfId="9160"/>
    <cellStyle name="SAPBEXheaderItem 7 2 2" xfId="13086"/>
    <cellStyle name="SAPBEXheaderItem 7 2 2 2" xfId="20957"/>
    <cellStyle name="SAPBEXheaderItem 8" xfId="3272"/>
    <cellStyle name="SAPBEXheaderItem 8 2" xfId="9161"/>
    <cellStyle name="SAPBEXheaderItem 8 2 2" xfId="13087"/>
    <cellStyle name="SAPBEXheaderItem 8 2 2 2" xfId="20958"/>
    <cellStyle name="SAPBEXheaderItem 9" xfId="3273"/>
    <cellStyle name="SAPBEXheaderItem 9 2" xfId="9162"/>
    <cellStyle name="SAPBEXheaderItem 9 2 2" xfId="13088"/>
    <cellStyle name="SAPBEXheaderItem 9 2 2 2" xfId="20959"/>
    <cellStyle name="SAPBEXheaderItem_AFE Structure" xfId="3274"/>
    <cellStyle name="SAPBEXheaderText" xfId="3275"/>
    <cellStyle name="SAPBEXheaderText 10" xfId="3276"/>
    <cellStyle name="SAPBEXheaderText 10 2" xfId="9164"/>
    <cellStyle name="SAPBEXheaderText 10 2 2" xfId="13089"/>
    <cellStyle name="SAPBEXheaderText 10 2 2 2" xfId="20960"/>
    <cellStyle name="SAPBEXheaderText 11" xfId="3277"/>
    <cellStyle name="SAPBEXheaderText 11 2" xfId="9165"/>
    <cellStyle name="SAPBEXheaderText 11 2 2" xfId="13090"/>
    <cellStyle name="SAPBEXheaderText 11 2 2 2" xfId="20961"/>
    <cellStyle name="SAPBEXheaderText 12" xfId="3278"/>
    <cellStyle name="SAPBEXheaderText 12 2" xfId="9166"/>
    <cellStyle name="SAPBEXheaderText 12 2 2" xfId="13091"/>
    <cellStyle name="SAPBEXheaderText 12 2 2 2" xfId="20962"/>
    <cellStyle name="SAPBEXheaderText 13" xfId="3279"/>
    <cellStyle name="SAPBEXheaderText 13 2" xfId="9167"/>
    <cellStyle name="SAPBEXheaderText 13 2 2" xfId="13092"/>
    <cellStyle name="SAPBEXheaderText 13 2 2 2" xfId="20963"/>
    <cellStyle name="SAPBEXheaderText 14" xfId="9163"/>
    <cellStyle name="SAPBEXheaderText 14 2" xfId="13093"/>
    <cellStyle name="SAPBEXheaderText 14 2 2" xfId="20964"/>
    <cellStyle name="SAPBEXheaderText 2" xfId="3280"/>
    <cellStyle name="SAPBEXheaderText 2 2" xfId="9168"/>
    <cellStyle name="SAPBEXheaderText 2 2 2" xfId="13094"/>
    <cellStyle name="SAPBEXheaderText 2 2 2 2" xfId="20965"/>
    <cellStyle name="SAPBEXheaderText 3" xfId="3281"/>
    <cellStyle name="SAPBEXheaderText 3 2" xfId="9169"/>
    <cellStyle name="SAPBEXheaderText 3 2 2" xfId="13095"/>
    <cellStyle name="SAPBEXheaderText 3 2 2 2" xfId="20966"/>
    <cellStyle name="SAPBEXheaderText 4" xfId="3282"/>
    <cellStyle name="SAPBEXheaderText 4 2" xfId="9170"/>
    <cellStyle name="SAPBEXheaderText 4 2 2" xfId="13096"/>
    <cellStyle name="SAPBEXheaderText 4 2 2 2" xfId="20967"/>
    <cellStyle name="SAPBEXheaderText 5" xfId="3283"/>
    <cellStyle name="SAPBEXheaderText 5 2" xfId="9171"/>
    <cellStyle name="SAPBEXheaderText 5 2 2" xfId="13097"/>
    <cellStyle name="SAPBEXheaderText 5 2 2 2" xfId="20968"/>
    <cellStyle name="SAPBEXheaderText 6" xfId="3284"/>
    <cellStyle name="SAPBEXheaderText 6 2" xfId="9172"/>
    <cellStyle name="SAPBEXheaderText 6 2 2" xfId="13098"/>
    <cellStyle name="SAPBEXheaderText 6 2 2 2" xfId="20969"/>
    <cellStyle name="SAPBEXheaderText 7" xfId="3285"/>
    <cellStyle name="SAPBEXheaderText 7 2" xfId="9173"/>
    <cellStyle name="SAPBEXheaderText 7 2 2" xfId="13099"/>
    <cellStyle name="SAPBEXheaderText 7 2 2 2" xfId="20970"/>
    <cellStyle name="SAPBEXheaderText 8" xfId="3286"/>
    <cellStyle name="SAPBEXheaderText 8 2" xfId="9174"/>
    <cellStyle name="SAPBEXheaderText 8 2 2" xfId="13100"/>
    <cellStyle name="SAPBEXheaderText 8 2 2 2" xfId="20971"/>
    <cellStyle name="SAPBEXheaderText 9" xfId="3287"/>
    <cellStyle name="SAPBEXheaderText 9 2" xfId="9175"/>
    <cellStyle name="SAPBEXheaderText 9 2 2" xfId="13101"/>
    <cellStyle name="SAPBEXheaderText 9 2 2 2" xfId="20972"/>
    <cellStyle name="SAPBEXheaderText_AFE Structure" xfId="3288"/>
    <cellStyle name="SAPBEXHLevel0" xfId="3289"/>
    <cellStyle name="SAPBEXHLevel0 10" xfId="3290"/>
    <cellStyle name="SAPBEXHLevel0 10 2" xfId="9177"/>
    <cellStyle name="SAPBEXHLevel0 10 2 2" xfId="13102"/>
    <cellStyle name="SAPBEXHLevel0 10 2 2 2" xfId="20973"/>
    <cellStyle name="SAPBEXHLevel0 10 3" xfId="13835"/>
    <cellStyle name="SAPBEXHLevel0 11" xfId="3291"/>
    <cellStyle name="SAPBEXHLevel0 11 2" xfId="9178"/>
    <cellStyle name="SAPBEXHLevel0 11 2 2" xfId="13103"/>
    <cellStyle name="SAPBEXHLevel0 11 2 2 2" xfId="20974"/>
    <cellStyle name="SAPBEXHLevel0 11 3" xfId="13836"/>
    <cellStyle name="SAPBEXHLevel0 12" xfId="3292"/>
    <cellStyle name="SAPBEXHLevel0 12 2" xfId="9179"/>
    <cellStyle name="SAPBEXHLevel0 12 2 2" xfId="13104"/>
    <cellStyle name="SAPBEXHLevel0 12 2 2 2" xfId="20975"/>
    <cellStyle name="SAPBEXHLevel0 12 3" xfId="13837"/>
    <cellStyle name="SAPBEXHLevel0 13" xfId="3293"/>
    <cellStyle name="SAPBEXHLevel0 13 2" xfId="9180"/>
    <cellStyle name="SAPBEXHLevel0 13 2 2" xfId="13105"/>
    <cellStyle name="SAPBEXHLevel0 13 2 2 2" xfId="20976"/>
    <cellStyle name="SAPBEXHLevel0 13 3" xfId="13838"/>
    <cellStyle name="SAPBEXHLevel0 14" xfId="3294"/>
    <cellStyle name="SAPBEXHLevel0 14 2" xfId="9181"/>
    <cellStyle name="SAPBEXHLevel0 14 2 2" xfId="13106"/>
    <cellStyle name="SAPBEXHLevel0 14 2 2 2" xfId="20977"/>
    <cellStyle name="SAPBEXHLevel0 14 3" xfId="13839"/>
    <cellStyle name="SAPBEXHLevel0 15" xfId="3295"/>
    <cellStyle name="SAPBEXHLevel0 15 2" xfId="9182"/>
    <cellStyle name="SAPBEXHLevel0 15 2 2" xfId="13107"/>
    <cellStyle name="SAPBEXHLevel0 15 2 2 2" xfId="20978"/>
    <cellStyle name="SAPBEXHLevel0 15 3" xfId="13840"/>
    <cellStyle name="SAPBEXHLevel0 16" xfId="3296"/>
    <cellStyle name="SAPBEXHLevel0 16 2" xfId="9183"/>
    <cellStyle name="SAPBEXHLevel0 16 2 2" xfId="13108"/>
    <cellStyle name="SAPBEXHLevel0 16 2 2 2" xfId="20979"/>
    <cellStyle name="SAPBEXHLevel0 16 3" xfId="13841"/>
    <cellStyle name="SAPBEXHLevel0 17" xfId="3297"/>
    <cellStyle name="SAPBEXHLevel0 17 2" xfId="9184"/>
    <cellStyle name="SAPBEXHLevel0 17 2 2" xfId="13109"/>
    <cellStyle name="SAPBEXHLevel0 17 2 2 2" xfId="20980"/>
    <cellStyle name="SAPBEXHLevel0 17 3" xfId="13842"/>
    <cellStyle name="SAPBEXHLevel0 18" xfId="3298"/>
    <cellStyle name="SAPBEXHLevel0 18 2" xfId="9185"/>
    <cellStyle name="SAPBEXHLevel0 18 2 2" xfId="13110"/>
    <cellStyle name="SAPBEXHLevel0 18 2 2 2" xfId="20981"/>
    <cellStyle name="SAPBEXHLevel0 18 3" xfId="13843"/>
    <cellStyle name="SAPBEXHLevel0 19" xfId="3299"/>
    <cellStyle name="SAPBEXHLevel0 19 2" xfId="9186"/>
    <cellStyle name="SAPBEXHLevel0 19 2 2" xfId="13111"/>
    <cellStyle name="SAPBEXHLevel0 19 2 2 2" xfId="20982"/>
    <cellStyle name="SAPBEXHLevel0 19 3" xfId="13844"/>
    <cellStyle name="SAPBEXHLevel0 2" xfId="3300"/>
    <cellStyle name="SAPBEXHLevel0 2 2" xfId="3301"/>
    <cellStyle name="SAPBEXHLevel0 2 2 2" xfId="9188"/>
    <cellStyle name="SAPBEXHLevel0 2 2 2 2" xfId="13112"/>
    <cellStyle name="SAPBEXHLevel0 2 2 2 2 2" xfId="20983"/>
    <cellStyle name="SAPBEXHLevel0 2 2 3" xfId="13846"/>
    <cellStyle name="SAPBEXHLevel0 2 3" xfId="9187"/>
    <cellStyle name="SAPBEXHLevel0 2 3 2" xfId="13113"/>
    <cellStyle name="SAPBEXHLevel0 2 3 2 2" xfId="20984"/>
    <cellStyle name="SAPBEXHLevel0 2 4" xfId="13845"/>
    <cellStyle name="SAPBEXHLevel0 20" xfId="3302"/>
    <cellStyle name="SAPBEXHLevel0 20 2" xfId="9189"/>
    <cellStyle name="SAPBEXHLevel0 20 2 2" xfId="13114"/>
    <cellStyle name="SAPBEXHLevel0 20 2 2 2" xfId="20985"/>
    <cellStyle name="SAPBEXHLevel0 20 3" xfId="13847"/>
    <cellStyle name="SAPBEXHLevel0 21" xfId="3303"/>
    <cellStyle name="SAPBEXHLevel0 21 2" xfId="9190"/>
    <cellStyle name="SAPBEXHLevel0 21 2 2" xfId="13115"/>
    <cellStyle name="SAPBEXHLevel0 21 2 2 2" xfId="20986"/>
    <cellStyle name="SAPBEXHLevel0 21 3" xfId="13848"/>
    <cellStyle name="SAPBEXHLevel0 22" xfId="9176"/>
    <cellStyle name="SAPBEXHLevel0 22 2" xfId="13116"/>
    <cellStyle name="SAPBEXHLevel0 22 2 2" xfId="20987"/>
    <cellStyle name="SAPBEXHLevel0 23" xfId="13834"/>
    <cellStyle name="SAPBEXHLevel0 3" xfId="3304"/>
    <cellStyle name="SAPBEXHLevel0 3 2" xfId="3305"/>
    <cellStyle name="SAPBEXHLevel0 3 2 2" xfId="9192"/>
    <cellStyle name="SAPBEXHLevel0 3 2 2 2" xfId="13117"/>
    <cellStyle name="SAPBEXHLevel0 3 2 2 2 2" xfId="20988"/>
    <cellStyle name="SAPBEXHLevel0 3 2 3" xfId="13850"/>
    <cellStyle name="SAPBEXHLevel0 3 3" xfId="9191"/>
    <cellStyle name="SAPBEXHLevel0 3 3 2" xfId="13118"/>
    <cellStyle name="SAPBEXHLevel0 3 3 2 2" xfId="20989"/>
    <cellStyle name="SAPBEXHLevel0 3 4" xfId="13849"/>
    <cellStyle name="SAPBEXHLevel0 4" xfId="3306"/>
    <cellStyle name="SAPBEXHLevel0 4 2" xfId="9193"/>
    <cellStyle name="SAPBEXHLevel0 4 2 2" xfId="13119"/>
    <cellStyle name="SAPBEXHLevel0 4 2 2 2" xfId="20990"/>
    <cellStyle name="SAPBEXHLevel0 4 3" xfId="13851"/>
    <cellStyle name="SAPBEXHLevel0 5" xfId="3307"/>
    <cellStyle name="SAPBEXHLevel0 5 2" xfId="9194"/>
    <cellStyle name="SAPBEXHLevel0 5 2 2" xfId="13120"/>
    <cellStyle name="SAPBEXHLevel0 5 2 2 2" xfId="20991"/>
    <cellStyle name="SAPBEXHLevel0 5 3" xfId="13852"/>
    <cellStyle name="SAPBEXHLevel0 6" xfId="3308"/>
    <cellStyle name="SAPBEXHLevel0 6 2" xfId="9195"/>
    <cellStyle name="SAPBEXHLevel0 6 2 2" xfId="13121"/>
    <cellStyle name="SAPBEXHLevel0 6 2 2 2" xfId="20992"/>
    <cellStyle name="SAPBEXHLevel0 6 3" xfId="13853"/>
    <cellStyle name="SAPBEXHLevel0 7" xfId="3309"/>
    <cellStyle name="SAPBEXHLevel0 7 2" xfId="9196"/>
    <cellStyle name="SAPBEXHLevel0 7 2 2" xfId="13122"/>
    <cellStyle name="SAPBEXHLevel0 7 2 2 2" xfId="20993"/>
    <cellStyle name="SAPBEXHLevel0 7 3" xfId="13854"/>
    <cellStyle name="SAPBEXHLevel0 8" xfId="3310"/>
    <cellStyle name="SAPBEXHLevel0 8 2" xfId="9197"/>
    <cellStyle name="SAPBEXHLevel0 8 2 2" xfId="13123"/>
    <cellStyle name="SAPBEXHLevel0 8 2 2 2" xfId="20994"/>
    <cellStyle name="SAPBEXHLevel0 8 3" xfId="13855"/>
    <cellStyle name="SAPBEXHLevel0 9" xfId="3311"/>
    <cellStyle name="SAPBEXHLevel0 9 2" xfId="9198"/>
    <cellStyle name="SAPBEXHLevel0 9 2 2" xfId="13124"/>
    <cellStyle name="SAPBEXHLevel0 9 2 2 2" xfId="20995"/>
    <cellStyle name="SAPBEXHLevel0 9 3" xfId="13856"/>
    <cellStyle name="SAPBEXHLevel0_AFE Structure" xfId="3312"/>
    <cellStyle name="SAPBEXHLevel0X" xfId="3313"/>
    <cellStyle name="SAPBEXHLevel0X 10" xfId="3314"/>
    <cellStyle name="SAPBEXHLevel0X 10 2" xfId="9200"/>
    <cellStyle name="SAPBEXHLevel0X 10 2 2" xfId="13125"/>
    <cellStyle name="SAPBEXHLevel0X 10 2 2 2" xfId="20996"/>
    <cellStyle name="SAPBEXHLevel0X 10 3" xfId="13858"/>
    <cellStyle name="SAPBEXHLevel0X 11" xfId="3315"/>
    <cellStyle name="SAPBEXHLevel0X 11 2" xfId="9201"/>
    <cellStyle name="SAPBEXHLevel0X 11 2 2" xfId="13126"/>
    <cellStyle name="SAPBEXHLevel0X 11 2 2 2" xfId="20997"/>
    <cellStyle name="SAPBEXHLevel0X 11 3" xfId="13859"/>
    <cellStyle name="SAPBEXHLevel0X 12" xfId="3316"/>
    <cellStyle name="SAPBEXHLevel0X 12 2" xfId="9202"/>
    <cellStyle name="SAPBEXHLevel0X 12 2 2" xfId="13127"/>
    <cellStyle name="SAPBEXHLevel0X 12 2 2 2" xfId="20998"/>
    <cellStyle name="SAPBEXHLevel0X 12 3" xfId="13860"/>
    <cellStyle name="SAPBEXHLevel0X 13" xfId="3317"/>
    <cellStyle name="SAPBEXHLevel0X 13 2" xfId="9203"/>
    <cellStyle name="SAPBEXHLevel0X 13 2 2" xfId="13128"/>
    <cellStyle name="SAPBEXHLevel0X 13 2 2 2" xfId="20999"/>
    <cellStyle name="SAPBEXHLevel0X 13 3" xfId="13861"/>
    <cellStyle name="SAPBEXHLevel0X 14" xfId="3318"/>
    <cellStyle name="SAPBEXHLevel0X 14 2" xfId="3319"/>
    <cellStyle name="SAPBEXHLevel0X 14 2 2" xfId="9205"/>
    <cellStyle name="SAPBEXHLevel0X 14 2 2 2" xfId="13129"/>
    <cellStyle name="SAPBEXHLevel0X 14 2 2 2 2" xfId="21000"/>
    <cellStyle name="SAPBEXHLevel0X 14 2 3" xfId="13863"/>
    <cellStyle name="SAPBEXHLevel0X 14 3" xfId="9204"/>
    <cellStyle name="SAPBEXHLevel0X 14 3 2" xfId="13130"/>
    <cellStyle name="SAPBEXHLevel0X 14 3 2 2" xfId="21001"/>
    <cellStyle name="SAPBEXHLevel0X 14 4" xfId="13862"/>
    <cellStyle name="SAPBEXHLevel0X 15" xfId="3320"/>
    <cellStyle name="SAPBEXHLevel0X 15 2" xfId="9206"/>
    <cellStyle name="SAPBEXHLevel0X 15 2 2" xfId="13131"/>
    <cellStyle name="SAPBEXHLevel0X 15 2 2 2" xfId="21002"/>
    <cellStyle name="SAPBEXHLevel0X 15 3" xfId="13864"/>
    <cellStyle name="SAPBEXHLevel0X 16" xfId="9199"/>
    <cellStyle name="SAPBEXHLevel0X 16 2" xfId="13132"/>
    <cellStyle name="SAPBEXHLevel0X 16 2 2" xfId="21003"/>
    <cellStyle name="SAPBEXHLevel0X 17" xfId="13857"/>
    <cellStyle name="SAPBEXHLevel0X 2" xfId="3321"/>
    <cellStyle name="SAPBEXHLevel0X 2 2" xfId="9207"/>
    <cellStyle name="SAPBEXHLevel0X 2 2 2" xfId="13133"/>
    <cellStyle name="SAPBEXHLevel0X 2 2 2 2" xfId="21004"/>
    <cellStyle name="SAPBEXHLevel0X 2 3" xfId="13865"/>
    <cellStyle name="SAPBEXHLevel0X 3" xfId="3322"/>
    <cellStyle name="SAPBEXHLevel0X 3 2" xfId="9208"/>
    <cellStyle name="SAPBEXHLevel0X 3 2 2" xfId="13134"/>
    <cellStyle name="SAPBEXHLevel0X 3 2 2 2" xfId="21005"/>
    <cellStyle name="SAPBEXHLevel0X 3 3" xfId="13866"/>
    <cellStyle name="SAPBEXHLevel0X 4" xfId="3323"/>
    <cellStyle name="SAPBEXHLevel0X 4 2" xfId="9209"/>
    <cellStyle name="SAPBEXHLevel0X 4 2 2" xfId="13135"/>
    <cellStyle name="SAPBEXHLevel0X 4 2 2 2" xfId="21006"/>
    <cellStyle name="SAPBEXHLevel0X 4 3" xfId="13867"/>
    <cellStyle name="SAPBEXHLevel0X 5" xfId="3324"/>
    <cellStyle name="SAPBEXHLevel0X 5 2" xfId="9210"/>
    <cellStyle name="SAPBEXHLevel0X 5 2 2" xfId="13136"/>
    <cellStyle name="SAPBEXHLevel0X 5 2 2 2" xfId="21007"/>
    <cellStyle name="SAPBEXHLevel0X 5 3" xfId="13868"/>
    <cellStyle name="SAPBEXHLevel0X 6" xfId="3325"/>
    <cellStyle name="SAPBEXHLevel0X 6 2" xfId="9211"/>
    <cellStyle name="SAPBEXHLevel0X 6 2 2" xfId="13137"/>
    <cellStyle name="SAPBEXHLevel0X 6 2 2 2" xfId="21008"/>
    <cellStyle name="SAPBEXHLevel0X 6 3" xfId="13869"/>
    <cellStyle name="SAPBEXHLevel0X 7" xfId="3326"/>
    <cellStyle name="SAPBEXHLevel0X 7 2" xfId="9212"/>
    <cellStyle name="SAPBEXHLevel0X 7 2 2" xfId="13138"/>
    <cellStyle name="SAPBEXHLevel0X 7 2 2 2" xfId="21009"/>
    <cellStyle name="SAPBEXHLevel0X 7 3" xfId="13870"/>
    <cellStyle name="SAPBEXHLevel0X 8" xfId="3327"/>
    <cellStyle name="SAPBEXHLevel0X 8 2" xfId="9213"/>
    <cellStyle name="SAPBEXHLevel0X 8 2 2" xfId="13139"/>
    <cellStyle name="SAPBEXHLevel0X 8 2 2 2" xfId="21010"/>
    <cellStyle name="SAPBEXHLevel0X 8 3" xfId="13871"/>
    <cellStyle name="SAPBEXHLevel0X 9" xfId="3328"/>
    <cellStyle name="SAPBEXHLevel0X 9 2" xfId="9214"/>
    <cellStyle name="SAPBEXHLevel0X 9 2 2" xfId="13140"/>
    <cellStyle name="SAPBEXHLevel0X 9 2 2 2" xfId="21011"/>
    <cellStyle name="SAPBEXHLevel0X 9 3" xfId="13872"/>
    <cellStyle name="SAPBEXHLevel0X_AFE Structure" xfId="3329"/>
    <cellStyle name="SAPBEXHLevel1" xfId="3330"/>
    <cellStyle name="SAPBEXHLevel1 10" xfId="3331"/>
    <cellStyle name="SAPBEXHLevel1 10 2" xfId="9216"/>
    <cellStyle name="SAPBEXHLevel1 10 2 2" xfId="13141"/>
    <cellStyle name="SAPBEXHLevel1 10 2 2 2" xfId="21012"/>
    <cellStyle name="SAPBEXHLevel1 10 3" xfId="13874"/>
    <cellStyle name="SAPBEXHLevel1 11" xfId="3332"/>
    <cellStyle name="SAPBEXHLevel1 11 2" xfId="9217"/>
    <cellStyle name="SAPBEXHLevel1 11 2 2" xfId="13142"/>
    <cellStyle name="SAPBEXHLevel1 11 2 2 2" xfId="21013"/>
    <cellStyle name="SAPBEXHLevel1 11 3" xfId="13875"/>
    <cellStyle name="SAPBEXHLevel1 12" xfId="3333"/>
    <cellStyle name="SAPBEXHLevel1 12 2" xfId="9218"/>
    <cellStyle name="SAPBEXHLevel1 12 2 2" xfId="13143"/>
    <cellStyle name="SAPBEXHLevel1 12 2 2 2" xfId="21014"/>
    <cellStyle name="SAPBEXHLevel1 12 3" xfId="13876"/>
    <cellStyle name="SAPBEXHLevel1 13" xfId="3334"/>
    <cellStyle name="SAPBEXHLevel1 13 2" xfId="9219"/>
    <cellStyle name="SAPBEXHLevel1 13 2 2" xfId="13144"/>
    <cellStyle name="SAPBEXHLevel1 13 2 2 2" xfId="21015"/>
    <cellStyle name="SAPBEXHLevel1 13 3" xfId="13877"/>
    <cellStyle name="SAPBEXHLevel1 14" xfId="3335"/>
    <cellStyle name="SAPBEXHLevel1 14 2" xfId="9220"/>
    <cellStyle name="SAPBEXHLevel1 14 2 2" xfId="13145"/>
    <cellStyle name="SAPBEXHLevel1 14 2 2 2" xfId="21016"/>
    <cellStyle name="SAPBEXHLevel1 14 3" xfId="13878"/>
    <cellStyle name="SAPBEXHLevel1 15" xfId="3336"/>
    <cellStyle name="SAPBEXHLevel1 15 2" xfId="9221"/>
    <cellStyle name="SAPBEXHLevel1 15 2 2" xfId="13146"/>
    <cellStyle name="SAPBEXHLevel1 15 2 2 2" xfId="21017"/>
    <cellStyle name="SAPBEXHLevel1 15 3" xfId="13879"/>
    <cellStyle name="SAPBEXHLevel1 16" xfId="3337"/>
    <cellStyle name="SAPBEXHLevel1 16 2" xfId="9222"/>
    <cellStyle name="SAPBEXHLevel1 16 2 2" xfId="13147"/>
    <cellStyle name="SAPBEXHLevel1 16 2 2 2" xfId="21018"/>
    <cellStyle name="SAPBEXHLevel1 16 3" xfId="13880"/>
    <cellStyle name="SAPBEXHLevel1 17" xfId="3338"/>
    <cellStyle name="SAPBEXHLevel1 17 2" xfId="9223"/>
    <cellStyle name="SAPBEXHLevel1 17 2 2" xfId="13148"/>
    <cellStyle name="SAPBEXHLevel1 17 2 2 2" xfId="21019"/>
    <cellStyle name="SAPBEXHLevel1 17 3" xfId="13881"/>
    <cellStyle name="SAPBEXHLevel1 18" xfId="3339"/>
    <cellStyle name="SAPBEXHLevel1 18 2" xfId="9224"/>
    <cellStyle name="SAPBEXHLevel1 18 2 2" xfId="13149"/>
    <cellStyle name="SAPBEXHLevel1 18 2 2 2" xfId="21020"/>
    <cellStyle name="SAPBEXHLevel1 18 3" xfId="13882"/>
    <cellStyle name="SAPBEXHLevel1 19" xfId="3340"/>
    <cellStyle name="SAPBEXHLevel1 19 2" xfId="9225"/>
    <cellStyle name="SAPBEXHLevel1 19 2 2" xfId="13150"/>
    <cellStyle name="SAPBEXHLevel1 19 2 2 2" xfId="21021"/>
    <cellStyle name="SAPBEXHLevel1 19 3" xfId="13883"/>
    <cellStyle name="SAPBEXHLevel1 2" xfId="3341"/>
    <cellStyle name="SAPBEXHLevel1 2 2" xfId="3342"/>
    <cellStyle name="SAPBEXHLevel1 2 2 2" xfId="9227"/>
    <cellStyle name="SAPBEXHLevel1 2 2 2 2" xfId="13151"/>
    <cellStyle name="SAPBEXHLevel1 2 2 2 2 2" xfId="21022"/>
    <cellStyle name="SAPBEXHLevel1 2 2 3" xfId="13885"/>
    <cellStyle name="SAPBEXHLevel1 2 3" xfId="9226"/>
    <cellStyle name="SAPBEXHLevel1 2 3 2" xfId="13152"/>
    <cellStyle name="SAPBEXHLevel1 2 3 2 2" xfId="21023"/>
    <cellStyle name="SAPBEXHLevel1 2 4" xfId="13884"/>
    <cellStyle name="SAPBEXHLevel1 20" xfId="3343"/>
    <cellStyle name="SAPBEXHLevel1 20 2" xfId="9228"/>
    <cellStyle name="SAPBEXHLevel1 20 2 2" xfId="13153"/>
    <cellStyle name="SAPBEXHLevel1 20 2 2 2" xfId="21024"/>
    <cellStyle name="SAPBEXHLevel1 20 3" xfId="13886"/>
    <cellStyle name="SAPBEXHLevel1 21" xfId="3344"/>
    <cellStyle name="SAPBEXHLevel1 21 2" xfId="9229"/>
    <cellStyle name="SAPBEXHLevel1 21 2 2" xfId="13154"/>
    <cellStyle name="SAPBEXHLevel1 21 2 2 2" xfId="21025"/>
    <cellStyle name="SAPBEXHLevel1 21 3" xfId="13887"/>
    <cellStyle name="SAPBEXHLevel1 22" xfId="9215"/>
    <cellStyle name="SAPBEXHLevel1 22 2" xfId="13155"/>
    <cellStyle name="SAPBEXHLevel1 22 2 2" xfId="21026"/>
    <cellStyle name="SAPBEXHLevel1 23" xfId="13873"/>
    <cellStyle name="SAPBEXHLevel1 3" xfId="3345"/>
    <cellStyle name="SAPBEXHLevel1 3 2" xfId="3346"/>
    <cellStyle name="SAPBEXHLevel1 3 2 2" xfId="9231"/>
    <cellStyle name="SAPBEXHLevel1 3 2 2 2" xfId="13156"/>
    <cellStyle name="SAPBEXHLevel1 3 2 2 2 2" xfId="21027"/>
    <cellStyle name="SAPBEXHLevel1 3 2 3" xfId="13889"/>
    <cellStyle name="SAPBEXHLevel1 3 3" xfId="9230"/>
    <cellStyle name="SAPBEXHLevel1 3 3 2" xfId="13157"/>
    <cellStyle name="SAPBEXHLevel1 3 3 2 2" xfId="21028"/>
    <cellStyle name="SAPBEXHLevel1 3 4" xfId="13888"/>
    <cellStyle name="SAPBEXHLevel1 4" xfId="3347"/>
    <cellStyle name="SAPBEXHLevel1 4 2" xfId="9232"/>
    <cellStyle name="SAPBEXHLevel1 4 2 2" xfId="13158"/>
    <cellStyle name="SAPBEXHLevel1 4 2 2 2" xfId="21029"/>
    <cellStyle name="SAPBEXHLevel1 4 3" xfId="13890"/>
    <cellStyle name="SAPBEXHLevel1 5" xfId="3348"/>
    <cellStyle name="SAPBEXHLevel1 5 2" xfId="9233"/>
    <cellStyle name="SAPBEXHLevel1 5 2 2" xfId="13159"/>
    <cellStyle name="SAPBEXHLevel1 5 2 2 2" xfId="21030"/>
    <cellStyle name="SAPBEXHLevel1 5 3" xfId="13891"/>
    <cellStyle name="SAPBEXHLevel1 6" xfId="3349"/>
    <cellStyle name="SAPBEXHLevel1 6 2" xfId="9234"/>
    <cellStyle name="SAPBEXHLevel1 6 2 2" xfId="13160"/>
    <cellStyle name="SAPBEXHLevel1 6 2 2 2" xfId="21031"/>
    <cellStyle name="SAPBEXHLevel1 6 3" xfId="13892"/>
    <cellStyle name="SAPBEXHLevel1 7" xfId="3350"/>
    <cellStyle name="SAPBEXHLevel1 7 2" xfId="9235"/>
    <cellStyle name="SAPBEXHLevel1 7 2 2" xfId="13161"/>
    <cellStyle name="SAPBEXHLevel1 7 2 2 2" xfId="21032"/>
    <cellStyle name="SAPBEXHLevel1 7 3" xfId="13893"/>
    <cellStyle name="SAPBEXHLevel1 8" xfId="3351"/>
    <cellStyle name="SAPBEXHLevel1 8 2" xfId="9236"/>
    <cellStyle name="SAPBEXHLevel1 8 2 2" xfId="13162"/>
    <cellStyle name="SAPBEXHLevel1 8 2 2 2" xfId="21033"/>
    <cellStyle name="SAPBEXHLevel1 8 3" xfId="13894"/>
    <cellStyle name="SAPBEXHLevel1 9" xfId="3352"/>
    <cellStyle name="SAPBEXHLevel1 9 2" xfId="9237"/>
    <cellStyle name="SAPBEXHLevel1 9 2 2" xfId="13163"/>
    <cellStyle name="SAPBEXHLevel1 9 2 2 2" xfId="21034"/>
    <cellStyle name="SAPBEXHLevel1 9 3" xfId="13895"/>
    <cellStyle name="SAPBEXHLevel1_AFE Structure" xfId="3353"/>
    <cellStyle name="SAPBEXHLevel1X" xfId="3354"/>
    <cellStyle name="SAPBEXHLevel1X 10" xfId="3355"/>
    <cellStyle name="SAPBEXHLevel1X 10 2" xfId="9239"/>
    <cellStyle name="SAPBEXHLevel1X 10 2 2" xfId="13164"/>
    <cellStyle name="SAPBEXHLevel1X 10 2 2 2" xfId="21035"/>
    <cellStyle name="SAPBEXHLevel1X 10 3" xfId="13897"/>
    <cellStyle name="SAPBEXHLevel1X 11" xfId="3356"/>
    <cellStyle name="SAPBEXHLevel1X 11 2" xfId="9240"/>
    <cellStyle name="SAPBEXHLevel1X 11 2 2" xfId="13165"/>
    <cellStyle name="SAPBEXHLevel1X 11 2 2 2" xfId="21036"/>
    <cellStyle name="SAPBEXHLevel1X 11 3" xfId="13898"/>
    <cellStyle name="SAPBEXHLevel1X 12" xfId="3357"/>
    <cellStyle name="SAPBEXHLevel1X 12 2" xfId="9241"/>
    <cellStyle name="SAPBEXHLevel1X 12 2 2" xfId="13166"/>
    <cellStyle name="SAPBEXHLevel1X 12 2 2 2" xfId="21037"/>
    <cellStyle name="SAPBEXHLevel1X 12 3" xfId="13899"/>
    <cellStyle name="SAPBEXHLevel1X 13" xfId="3358"/>
    <cellStyle name="SAPBEXHLevel1X 13 2" xfId="9242"/>
    <cellStyle name="SAPBEXHLevel1X 13 2 2" xfId="13167"/>
    <cellStyle name="SAPBEXHLevel1X 13 2 2 2" xfId="21038"/>
    <cellStyle name="SAPBEXHLevel1X 13 3" xfId="13900"/>
    <cellStyle name="SAPBEXHLevel1X 14" xfId="3359"/>
    <cellStyle name="SAPBEXHLevel1X 14 2" xfId="3360"/>
    <cellStyle name="SAPBEXHLevel1X 14 2 2" xfId="9244"/>
    <cellStyle name="SAPBEXHLevel1X 14 2 2 2" xfId="13168"/>
    <cellStyle name="SAPBEXHLevel1X 14 2 2 2 2" xfId="21039"/>
    <cellStyle name="SAPBEXHLevel1X 14 2 3" xfId="13902"/>
    <cellStyle name="SAPBEXHLevel1X 14 3" xfId="9243"/>
    <cellStyle name="SAPBEXHLevel1X 14 3 2" xfId="13169"/>
    <cellStyle name="SAPBEXHLevel1X 14 3 2 2" xfId="21040"/>
    <cellStyle name="SAPBEXHLevel1X 14 4" xfId="13901"/>
    <cellStyle name="SAPBEXHLevel1X 15" xfId="3361"/>
    <cellStyle name="SAPBEXHLevel1X 15 2" xfId="9245"/>
    <cellStyle name="SAPBEXHLevel1X 15 2 2" xfId="13170"/>
    <cellStyle name="SAPBEXHLevel1X 15 2 2 2" xfId="21041"/>
    <cellStyle name="SAPBEXHLevel1X 15 3" xfId="13903"/>
    <cellStyle name="SAPBEXHLevel1X 16" xfId="9238"/>
    <cellStyle name="SAPBEXHLevel1X 16 2" xfId="13171"/>
    <cellStyle name="SAPBEXHLevel1X 16 2 2" xfId="21042"/>
    <cellStyle name="SAPBEXHLevel1X 17" xfId="13896"/>
    <cellStyle name="SAPBEXHLevel1X 2" xfId="3362"/>
    <cellStyle name="SAPBEXHLevel1X 2 2" xfId="9246"/>
    <cellStyle name="SAPBEXHLevel1X 2 2 2" xfId="13172"/>
    <cellStyle name="SAPBEXHLevel1X 2 2 2 2" xfId="21043"/>
    <cellStyle name="SAPBEXHLevel1X 2 3" xfId="13904"/>
    <cellStyle name="SAPBEXHLevel1X 3" xfId="3363"/>
    <cellStyle name="SAPBEXHLevel1X 3 2" xfId="9247"/>
    <cellStyle name="SAPBEXHLevel1X 3 2 2" xfId="13173"/>
    <cellStyle name="SAPBEXHLevel1X 3 2 2 2" xfId="21044"/>
    <cellStyle name="SAPBEXHLevel1X 3 3" xfId="13905"/>
    <cellStyle name="SAPBEXHLevel1X 4" xfId="3364"/>
    <cellStyle name="SAPBEXHLevel1X 4 2" xfId="9248"/>
    <cellStyle name="SAPBEXHLevel1X 4 2 2" xfId="13174"/>
    <cellStyle name="SAPBEXHLevel1X 4 2 2 2" xfId="21045"/>
    <cellStyle name="SAPBEXHLevel1X 4 3" xfId="13906"/>
    <cellStyle name="SAPBEXHLevel1X 5" xfId="3365"/>
    <cellStyle name="SAPBEXHLevel1X 5 2" xfId="9249"/>
    <cellStyle name="SAPBEXHLevel1X 5 2 2" xfId="13175"/>
    <cellStyle name="SAPBEXHLevel1X 5 2 2 2" xfId="21046"/>
    <cellStyle name="SAPBEXHLevel1X 5 3" xfId="13907"/>
    <cellStyle name="SAPBEXHLevel1X 6" xfId="3366"/>
    <cellStyle name="SAPBEXHLevel1X 6 2" xfId="9250"/>
    <cellStyle name="SAPBEXHLevel1X 6 2 2" xfId="13176"/>
    <cellStyle name="SAPBEXHLevel1X 6 2 2 2" xfId="21047"/>
    <cellStyle name="SAPBEXHLevel1X 6 3" xfId="13908"/>
    <cellStyle name="SAPBEXHLevel1X 7" xfId="3367"/>
    <cellStyle name="SAPBEXHLevel1X 7 2" xfId="9251"/>
    <cellStyle name="SAPBEXHLevel1X 7 2 2" xfId="13177"/>
    <cellStyle name="SAPBEXHLevel1X 7 2 2 2" xfId="21048"/>
    <cellStyle name="SAPBEXHLevel1X 7 3" xfId="13909"/>
    <cellStyle name="SAPBEXHLevel1X 8" xfId="3368"/>
    <cellStyle name="SAPBEXHLevel1X 8 2" xfId="9252"/>
    <cellStyle name="SAPBEXHLevel1X 8 2 2" xfId="13178"/>
    <cellStyle name="SAPBEXHLevel1X 8 2 2 2" xfId="21049"/>
    <cellStyle name="SAPBEXHLevel1X 8 3" xfId="13910"/>
    <cellStyle name="SAPBEXHLevel1X 9" xfId="3369"/>
    <cellStyle name="SAPBEXHLevel1X 9 2" xfId="9253"/>
    <cellStyle name="SAPBEXHLevel1X 9 2 2" xfId="13179"/>
    <cellStyle name="SAPBEXHLevel1X 9 2 2 2" xfId="21050"/>
    <cellStyle name="SAPBEXHLevel1X 9 3" xfId="13911"/>
    <cellStyle name="SAPBEXHLevel1X_AFE Structure" xfId="3370"/>
    <cellStyle name="SAPBEXHLevel2" xfId="3371"/>
    <cellStyle name="SAPBEXHLevel2 10" xfId="3372"/>
    <cellStyle name="SAPBEXHLevel2 10 2" xfId="9255"/>
    <cellStyle name="SAPBEXHLevel2 10 2 2" xfId="13180"/>
    <cellStyle name="SAPBEXHLevel2 10 2 2 2" xfId="21051"/>
    <cellStyle name="SAPBEXHLevel2 10 3" xfId="13913"/>
    <cellStyle name="SAPBEXHLevel2 11" xfId="3373"/>
    <cellStyle name="SAPBEXHLevel2 11 2" xfId="9256"/>
    <cellStyle name="SAPBEXHLevel2 11 2 2" xfId="13181"/>
    <cellStyle name="SAPBEXHLevel2 11 2 2 2" xfId="21052"/>
    <cellStyle name="SAPBEXHLevel2 11 3" xfId="13914"/>
    <cellStyle name="SAPBEXHLevel2 12" xfId="3374"/>
    <cellStyle name="SAPBEXHLevel2 12 2" xfId="9257"/>
    <cellStyle name="SAPBEXHLevel2 12 2 2" xfId="13182"/>
    <cellStyle name="SAPBEXHLevel2 12 2 2 2" xfId="21053"/>
    <cellStyle name="SAPBEXHLevel2 12 3" xfId="13915"/>
    <cellStyle name="SAPBEXHLevel2 13" xfId="3375"/>
    <cellStyle name="SAPBEXHLevel2 13 2" xfId="9258"/>
    <cellStyle name="SAPBEXHLevel2 13 2 2" xfId="13183"/>
    <cellStyle name="SAPBEXHLevel2 13 2 2 2" xfId="21054"/>
    <cellStyle name="SAPBEXHLevel2 13 3" xfId="13916"/>
    <cellStyle name="SAPBEXHLevel2 14" xfId="3376"/>
    <cellStyle name="SAPBEXHLevel2 14 2" xfId="9259"/>
    <cellStyle name="SAPBEXHLevel2 14 2 2" xfId="13184"/>
    <cellStyle name="SAPBEXHLevel2 14 2 2 2" xfId="21055"/>
    <cellStyle name="SAPBEXHLevel2 14 3" xfId="13917"/>
    <cellStyle name="SAPBEXHLevel2 15" xfId="3377"/>
    <cellStyle name="SAPBEXHLevel2 15 2" xfId="9260"/>
    <cellStyle name="SAPBEXHLevel2 15 2 2" xfId="13185"/>
    <cellStyle name="SAPBEXHLevel2 15 2 2 2" xfId="21056"/>
    <cellStyle name="SAPBEXHLevel2 15 3" xfId="13918"/>
    <cellStyle name="SAPBEXHLevel2 16" xfId="3378"/>
    <cellStyle name="SAPBEXHLevel2 16 2" xfId="9261"/>
    <cellStyle name="SAPBEXHLevel2 16 2 2" xfId="13186"/>
    <cellStyle name="SAPBEXHLevel2 16 2 2 2" xfId="21057"/>
    <cellStyle name="SAPBEXHLevel2 16 3" xfId="13919"/>
    <cellStyle name="SAPBEXHLevel2 17" xfId="3379"/>
    <cellStyle name="SAPBEXHLevel2 17 2" xfId="9262"/>
    <cellStyle name="SAPBEXHLevel2 17 2 2" xfId="13187"/>
    <cellStyle name="SAPBEXHLevel2 17 2 2 2" xfId="21058"/>
    <cellStyle name="SAPBEXHLevel2 17 3" xfId="13920"/>
    <cellStyle name="SAPBEXHLevel2 18" xfId="3380"/>
    <cellStyle name="SAPBEXHLevel2 18 2" xfId="9263"/>
    <cellStyle name="SAPBEXHLevel2 18 2 2" xfId="13188"/>
    <cellStyle name="SAPBEXHLevel2 18 2 2 2" xfId="21059"/>
    <cellStyle name="SAPBEXHLevel2 18 3" xfId="13921"/>
    <cellStyle name="SAPBEXHLevel2 19" xfId="3381"/>
    <cellStyle name="SAPBEXHLevel2 19 2" xfId="9264"/>
    <cellStyle name="SAPBEXHLevel2 19 2 2" xfId="13189"/>
    <cellStyle name="SAPBEXHLevel2 19 2 2 2" xfId="21060"/>
    <cellStyle name="SAPBEXHLevel2 19 3" xfId="13922"/>
    <cellStyle name="SAPBEXHLevel2 2" xfId="3382"/>
    <cellStyle name="SAPBEXHLevel2 2 2" xfId="9265"/>
    <cellStyle name="SAPBEXHLevel2 2 2 2" xfId="13190"/>
    <cellStyle name="SAPBEXHLevel2 2 2 2 2" xfId="21061"/>
    <cellStyle name="SAPBEXHLevel2 2 3" xfId="13923"/>
    <cellStyle name="SAPBEXHLevel2 20" xfId="3383"/>
    <cellStyle name="SAPBEXHLevel2 20 2" xfId="9266"/>
    <cellStyle name="SAPBEXHLevel2 20 2 2" xfId="13191"/>
    <cellStyle name="SAPBEXHLevel2 20 2 2 2" xfId="21062"/>
    <cellStyle name="SAPBEXHLevel2 20 3" xfId="13924"/>
    <cellStyle name="SAPBEXHLevel2 21" xfId="3384"/>
    <cellStyle name="SAPBEXHLevel2 21 2" xfId="9267"/>
    <cellStyle name="SAPBEXHLevel2 21 2 2" xfId="13192"/>
    <cellStyle name="SAPBEXHLevel2 21 2 2 2" xfId="21063"/>
    <cellStyle name="SAPBEXHLevel2 21 3" xfId="13925"/>
    <cellStyle name="SAPBEXHLevel2 22" xfId="9254"/>
    <cellStyle name="SAPBEXHLevel2 22 2" xfId="13193"/>
    <cellStyle name="SAPBEXHLevel2 22 2 2" xfId="21064"/>
    <cellStyle name="SAPBEXHLevel2 23" xfId="13912"/>
    <cellStyle name="SAPBEXHLevel2 3" xfId="3385"/>
    <cellStyle name="SAPBEXHLevel2 3 2" xfId="3386"/>
    <cellStyle name="SAPBEXHLevel2 3 2 2" xfId="9269"/>
    <cellStyle name="SAPBEXHLevel2 3 2 2 2" xfId="13194"/>
    <cellStyle name="SAPBEXHLevel2 3 2 2 2 2" xfId="21065"/>
    <cellStyle name="SAPBEXHLevel2 3 2 3" xfId="13927"/>
    <cellStyle name="SAPBEXHLevel2 3 3" xfId="9268"/>
    <cellStyle name="SAPBEXHLevel2 3 3 2" xfId="13195"/>
    <cellStyle name="SAPBEXHLevel2 3 3 2 2" xfId="21066"/>
    <cellStyle name="SAPBEXHLevel2 3 4" xfId="13926"/>
    <cellStyle name="SAPBEXHLevel2 4" xfId="3387"/>
    <cellStyle name="SAPBEXHLevel2 4 2" xfId="9270"/>
    <cellStyle name="SAPBEXHLevel2 4 2 2" xfId="13196"/>
    <cellStyle name="SAPBEXHLevel2 4 2 2 2" xfId="21067"/>
    <cellStyle name="SAPBEXHLevel2 4 3" xfId="13928"/>
    <cellStyle name="SAPBEXHLevel2 5" xfId="3388"/>
    <cellStyle name="SAPBEXHLevel2 5 2" xfId="9271"/>
    <cellStyle name="SAPBEXHLevel2 5 2 2" xfId="13197"/>
    <cellStyle name="SAPBEXHLevel2 5 2 2 2" xfId="21068"/>
    <cellStyle name="SAPBEXHLevel2 5 3" xfId="13929"/>
    <cellStyle name="SAPBEXHLevel2 6" xfId="3389"/>
    <cellStyle name="SAPBEXHLevel2 6 2" xfId="9272"/>
    <cellStyle name="SAPBEXHLevel2 6 2 2" xfId="13198"/>
    <cellStyle name="SAPBEXHLevel2 6 2 2 2" xfId="21069"/>
    <cellStyle name="SAPBEXHLevel2 6 3" xfId="13930"/>
    <cellStyle name="SAPBEXHLevel2 7" xfId="3390"/>
    <cellStyle name="SAPBEXHLevel2 7 2" xfId="9273"/>
    <cellStyle name="SAPBEXHLevel2 7 2 2" xfId="13199"/>
    <cellStyle name="SAPBEXHLevel2 7 2 2 2" xfId="21070"/>
    <cellStyle name="SAPBEXHLevel2 7 3" xfId="13931"/>
    <cellStyle name="SAPBEXHLevel2 8" xfId="3391"/>
    <cellStyle name="SAPBEXHLevel2 8 2" xfId="9274"/>
    <cellStyle name="SAPBEXHLevel2 8 2 2" xfId="13200"/>
    <cellStyle name="SAPBEXHLevel2 8 2 2 2" xfId="21071"/>
    <cellStyle name="SAPBEXHLevel2 8 3" xfId="13932"/>
    <cellStyle name="SAPBEXHLevel2 9" xfId="3392"/>
    <cellStyle name="SAPBEXHLevel2 9 2" xfId="9275"/>
    <cellStyle name="SAPBEXHLevel2 9 2 2" xfId="13201"/>
    <cellStyle name="SAPBEXHLevel2 9 2 2 2" xfId="21072"/>
    <cellStyle name="SAPBEXHLevel2 9 3" xfId="13933"/>
    <cellStyle name="SAPBEXHLevel2_AFE Structure" xfId="3393"/>
    <cellStyle name="SAPBEXHLevel2X" xfId="3394"/>
    <cellStyle name="SAPBEXHLevel2X 10" xfId="3395"/>
    <cellStyle name="SAPBEXHLevel2X 10 2" xfId="9277"/>
    <cellStyle name="SAPBEXHLevel2X 10 2 2" xfId="13202"/>
    <cellStyle name="SAPBEXHLevel2X 10 2 2 2" xfId="21073"/>
    <cellStyle name="SAPBEXHLevel2X 10 3" xfId="13935"/>
    <cellStyle name="SAPBEXHLevel2X 11" xfId="3396"/>
    <cellStyle name="SAPBEXHLevel2X 11 2" xfId="9278"/>
    <cellStyle name="SAPBEXHLevel2X 11 2 2" xfId="13203"/>
    <cellStyle name="SAPBEXHLevel2X 11 2 2 2" xfId="21074"/>
    <cellStyle name="SAPBEXHLevel2X 11 3" xfId="13936"/>
    <cellStyle name="SAPBEXHLevel2X 12" xfId="3397"/>
    <cellStyle name="SAPBEXHLevel2X 12 2" xfId="9279"/>
    <cellStyle name="SAPBEXHLevel2X 12 2 2" xfId="13204"/>
    <cellStyle name="SAPBEXHLevel2X 12 2 2 2" xfId="21075"/>
    <cellStyle name="SAPBEXHLevel2X 12 3" xfId="13937"/>
    <cellStyle name="SAPBEXHLevel2X 13" xfId="3398"/>
    <cellStyle name="SAPBEXHLevel2X 13 2" xfId="9280"/>
    <cellStyle name="SAPBEXHLevel2X 13 2 2" xfId="13205"/>
    <cellStyle name="SAPBEXHLevel2X 13 2 2 2" xfId="21076"/>
    <cellStyle name="SAPBEXHLevel2X 13 3" xfId="13938"/>
    <cellStyle name="SAPBEXHLevel2X 14" xfId="3399"/>
    <cellStyle name="SAPBEXHLevel2X 14 2" xfId="3400"/>
    <cellStyle name="SAPBEXHLevel2X 14 2 2" xfId="9282"/>
    <cellStyle name="SAPBEXHLevel2X 14 2 2 2" xfId="13206"/>
    <cellStyle name="SAPBEXHLevel2X 14 2 2 2 2" xfId="21077"/>
    <cellStyle name="SAPBEXHLevel2X 14 2 3" xfId="13940"/>
    <cellStyle name="SAPBEXHLevel2X 14 3" xfId="9281"/>
    <cellStyle name="SAPBEXHLevel2X 14 3 2" xfId="13207"/>
    <cellStyle name="SAPBEXHLevel2X 14 3 2 2" xfId="21078"/>
    <cellStyle name="SAPBEXHLevel2X 14 4" xfId="13939"/>
    <cellStyle name="SAPBEXHLevel2X 15" xfId="3401"/>
    <cellStyle name="SAPBEXHLevel2X 15 2" xfId="9283"/>
    <cellStyle name="SAPBEXHLevel2X 15 2 2" xfId="13208"/>
    <cellStyle name="SAPBEXHLevel2X 15 2 2 2" xfId="21079"/>
    <cellStyle name="SAPBEXHLevel2X 15 3" xfId="13941"/>
    <cellStyle name="SAPBEXHLevel2X 16" xfId="9276"/>
    <cellStyle name="SAPBEXHLevel2X 16 2" xfId="13209"/>
    <cellStyle name="SAPBEXHLevel2X 16 2 2" xfId="21080"/>
    <cellStyle name="SAPBEXHLevel2X 17" xfId="13934"/>
    <cellStyle name="SAPBEXHLevel2X 2" xfId="3402"/>
    <cellStyle name="SAPBEXHLevel2X 2 2" xfId="9284"/>
    <cellStyle name="SAPBEXHLevel2X 2 2 2" xfId="13210"/>
    <cellStyle name="SAPBEXHLevel2X 2 2 2 2" xfId="21081"/>
    <cellStyle name="SAPBEXHLevel2X 2 3" xfId="13942"/>
    <cellStyle name="SAPBEXHLevel2X 3" xfId="3403"/>
    <cellStyle name="SAPBEXHLevel2X 3 2" xfId="9285"/>
    <cellStyle name="SAPBEXHLevel2X 3 2 2" xfId="13211"/>
    <cellStyle name="SAPBEXHLevel2X 3 2 2 2" xfId="21082"/>
    <cellStyle name="SAPBEXHLevel2X 3 3" xfId="13943"/>
    <cellStyle name="SAPBEXHLevel2X 4" xfId="3404"/>
    <cellStyle name="SAPBEXHLevel2X 4 2" xfId="9286"/>
    <cellStyle name="SAPBEXHLevel2X 4 2 2" xfId="13212"/>
    <cellStyle name="SAPBEXHLevel2X 4 2 2 2" xfId="21083"/>
    <cellStyle name="SAPBEXHLevel2X 4 3" xfId="13944"/>
    <cellStyle name="SAPBEXHLevel2X 5" xfId="3405"/>
    <cellStyle name="SAPBEXHLevel2X 5 2" xfId="9287"/>
    <cellStyle name="SAPBEXHLevel2X 5 2 2" xfId="13213"/>
    <cellStyle name="SAPBEXHLevel2X 5 2 2 2" xfId="21084"/>
    <cellStyle name="SAPBEXHLevel2X 5 3" xfId="13945"/>
    <cellStyle name="SAPBEXHLevel2X 6" xfId="3406"/>
    <cellStyle name="SAPBEXHLevel2X 6 2" xfId="9288"/>
    <cellStyle name="SAPBEXHLevel2X 6 2 2" xfId="13214"/>
    <cellStyle name="SAPBEXHLevel2X 6 2 2 2" xfId="21085"/>
    <cellStyle name="SAPBEXHLevel2X 6 3" xfId="13946"/>
    <cellStyle name="SAPBEXHLevel2X 7" xfId="3407"/>
    <cellStyle name="SAPBEXHLevel2X 7 2" xfId="9289"/>
    <cellStyle name="SAPBEXHLevel2X 7 2 2" xfId="13215"/>
    <cellStyle name="SAPBEXHLevel2X 7 2 2 2" xfId="21086"/>
    <cellStyle name="SAPBEXHLevel2X 7 3" xfId="13947"/>
    <cellStyle name="SAPBEXHLevel2X 8" xfId="3408"/>
    <cellStyle name="SAPBEXHLevel2X 8 2" xfId="9290"/>
    <cellStyle name="SAPBEXHLevel2X 8 2 2" xfId="13216"/>
    <cellStyle name="SAPBEXHLevel2X 8 2 2 2" xfId="21087"/>
    <cellStyle name="SAPBEXHLevel2X 8 3" xfId="13948"/>
    <cellStyle name="SAPBEXHLevel2X 9" xfId="3409"/>
    <cellStyle name="SAPBEXHLevel2X 9 2" xfId="9291"/>
    <cellStyle name="SAPBEXHLevel2X 9 2 2" xfId="13217"/>
    <cellStyle name="SAPBEXHLevel2X 9 2 2 2" xfId="21088"/>
    <cellStyle name="SAPBEXHLevel2X 9 3" xfId="13949"/>
    <cellStyle name="SAPBEXHLevel2X_AFE Structure" xfId="3410"/>
    <cellStyle name="SAPBEXHLevel3" xfId="3411"/>
    <cellStyle name="SAPBEXHLevel3 10" xfId="3412"/>
    <cellStyle name="SAPBEXHLevel3 10 2" xfId="9293"/>
    <cellStyle name="SAPBEXHLevel3 10 2 2" xfId="13218"/>
    <cellStyle name="SAPBEXHLevel3 10 2 2 2" xfId="21089"/>
    <cellStyle name="SAPBEXHLevel3 10 3" xfId="13951"/>
    <cellStyle name="SAPBEXHLevel3 11" xfId="3413"/>
    <cellStyle name="SAPBEXHLevel3 11 2" xfId="9294"/>
    <cellStyle name="SAPBEXHLevel3 11 2 2" xfId="13219"/>
    <cellStyle name="SAPBEXHLevel3 11 2 2 2" xfId="21090"/>
    <cellStyle name="SAPBEXHLevel3 11 3" xfId="13952"/>
    <cellStyle name="SAPBEXHLevel3 12" xfId="3414"/>
    <cellStyle name="SAPBEXHLevel3 12 2" xfId="9295"/>
    <cellStyle name="SAPBEXHLevel3 12 2 2" xfId="13220"/>
    <cellStyle name="SAPBEXHLevel3 12 2 2 2" xfId="21091"/>
    <cellStyle name="SAPBEXHLevel3 12 3" xfId="13953"/>
    <cellStyle name="SAPBEXHLevel3 13" xfId="3415"/>
    <cellStyle name="SAPBEXHLevel3 13 2" xfId="9296"/>
    <cellStyle name="SAPBEXHLevel3 13 2 2" xfId="13221"/>
    <cellStyle name="SAPBEXHLevel3 13 2 2 2" xfId="21092"/>
    <cellStyle name="SAPBEXHLevel3 13 3" xfId="13954"/>
    <cellStyle name="SAPBEXHLevel3 14" xfId="3416"/>
    <cellStyle name="SAPBEXHLevel3 14 2" xfId="9297"/>
    <cellStyle name="SAPBEXHLevel3 14 2 2" xfId="13222"/>
    <cellStyle name="SAPBEXHLevel3 14 2 2 2" xfId="21093"/>
    <cellStyle name="SAPBEXHLevel3 14 3" xfId="13955"/>
    <cellStyle name="SAPBEXHLevel3 15" xfId="3417"/>
    <cellStyle name="SAPBEXHLevel3 15 2" xfId="9298"/>
    <cellStyle name="SAPBEXHLevel3 15 2 2" xfId="13223"/>
    <cellStyle name="SAPBEXHLevel3 15 2 2 2" xfId="21094"/>
    <cellStyle name="SAPBEXHLevel3 15 3" xfId="13956"/>
    <cellStyle name="SAPBEXHLevel3 16" xfId="3418"/>
    <cellStyle name="SAPBEXHLevel3 16 2" xfId="3419"/>
    <cellStyle name="SAPBEXHLevel3 16 2 2" xfId="9300"/>
    <cellStyle name="SAPBEXHLevel3 16 2 2 2" xfId="13224"/>
    <cellStyle name="SAPBEXHLevel3 16 2 2 2 2" xfId="21095"/>
    <cellStyle name="SAPBEXHLevel3 16 2 3" xfId="13958"/>
    <cellStyle name="SAPBEXHLevel3 16 3" xfId="9299"/>
    <cellStyle name="SAPBEXHLevel3 16 3 2" xfId="13225"/>
    <cellStyle name="SAPBEXHLevel3 16 3 2 2" xfId="21096"/>
    <cellStyle name="SAPBEXHLevel3 16 4" xfId="13957"/>
    <cellStyle name="SAPBEXHLevel3 17" xfId="3420"/>
    <cellStyle name="SAPBEXHLevel3 17 2" xfId="9301"/>
    <cellStyle name="SAPBEXHLevel3 17 2 2" xfId="13226"/>
    <cellStyle name="SAPBEXHLevel3 17 2 2 2" xfId="21097"/>
    <cellStyle name="SAPBEXHLevel3 17 3" xfId="13959"/>
    <cellStyle name="SAPBEXHLevel3 18" xfId="9292"/>
    <cellStyle name="SAPBEXHLevel3 18 2" xfId="13227"/>
    <cellStyle name="SAPBEXHLevel3 18 2 2" xfId="21098"/>
    <cellStyle name="SAPBEXHLevel3 19" xfId="13950"/>
    <cellStyle name="SAPBEXHLevel3 2" xfId="3421"/>
    <cellStyle name="SAPBEXHLevel3 2 2" xfId="3422"/>
    <cellStyle name="SAPBEXHLevel3 2 2 2" xfId="9303"/>
    <cellStyle name="SAPBEXHLevel3 2 2 2 2" xfId="13228"/>
    <cellStyle name="SAPBEXHLevel3 2 2 2 2 2" xfId="21099"/>
    <cellStyle name="SAPBEXHLevel3 2 2 3" xfId="13961"/>
    <cellStyle name="SAPBEXHLevel3 2 3" xfId="9302"/>
    <cellStyle name="SAPBEXHLevel3 2 3 2" xfId="13229"/>
    <cellStyle name="SAPBEXHLevel3 2 3 2 2" xfId="21100"/>
    <cellStyle name="SAPBEXHLevel3 2 4" xfId="13960"/>
    <cellStyle name="SAPBEXHLevel3 2_Sheet3" xfId="3423"/>
    <cellStyle name="SAPBEXHLevel3 3" xfId="3424"/>
    <cellStyle name="SAPBEXHLevel3 3 2" xfId="9304"/>
    <cellStyle name="SAPBEXHLevel3 3 2 2" xfId="13230"/>
    <cellStyle name="SAPBEXHLevel3 3 2 2 2" xfId="21101"/>
    <cellStyle name="SAPBEXHLevel3 3 3" xfId="13962"/>
    <cellStyle name="SAPBEXHLevel3 4" xfId="3425"/>
    <cellStyle name="SAPBEXHLevel3 4 2" xfId="9305"/>
    <cellStyle name="SAPBEXHLevel3 4 2 2" xfId="13231"/>
    <cellStyle name="SAPBEXHLevel3 4 2 2 2" xfId="21102"/>
    <cellStyle name="SAPBEXHLevel3 4 3" xfId="13963"/>
    <cellStyle name="SAPBEXHLevel3 5" xfId="3426"/>
    <cellStyle name="SAPBEXHLevel3 5 2" xfId="9306"/>
    <cellStyle name="SAPBEXHLevel3 5 2 2" xfId="13232"/>
    <cellStyle name="SAPBEXHLevel3 5 2 2 2" xfId="21103"/>
    <cellStyle name="SAPBEXHLevel3 5 3" xfId="13964"/>
    <cellStyle name="SAPBEXHLevel3 53" xfId="3427"/>
    <cellStyle name="SAPBEXHLevel3 53 2" xfId="3428"/>
    <cellStyle name="SAPBEXHLevel3 53 2 2" xfId="5744"/>
    <cellStyle name="SAPBEXHLevel3 53 2 2 2" xfId="9309"/>
    <cellStyle name="SAPBEXHLevel3 53 2 2 2 2" xfId="13233"/>
    <cellStyle name="SAPBEXHLevel3 53 2 2 2 2 2" xfId="21104"/>
    <cellStyle name="SAPBEXHLevel3 53 2 3" xfId="9308"/>
    <cellStyle name="SAPBEXHLevel3 53 2 3 2" xfId="13234"/>
    <cellStyle name="SAPBEXHLevel3 53 2 3 2 2" xfId="21105"/>
    <cellStyle name="SAPBEXHLevel3 53 3" xfId="5292"/>
    <cellStyle name="SAPBEXHLevel3 53 3 2" xfId="9310"/>
    <cellStyle name="SAPBEXHLevel3 53 3 2 2" xfId="13235"/>
    <cellStyle name="SAPBEXHLevel3 53 3 2 2 2" xfId="21106"/>
    <cellStyle name="SAPBEXHLevel3 53 4" xfId="6747"/>
    <cellStyle name="SAPBEXHLevel3 53 5" xfId="9307"/>
    <cellStyle name="SAPBEXHLevel3 53 5 2" xfId="13236"/>
    <cellStyle name="SAPBEXHLevel3 53 5 2 2" xfId="21107"/>
    <cellStyle name="SAPBEXHLevel3 53 6" xfId="9823"/>
    <cellStyle name="SAPBEXHLevel3 6" xfId="3429"/>
    <cellStyle name="SAPBEXHLevel3 6 2" xfId="9311"/>
    <cellStyle name="SAPBEXHLevel3 6 2 2" xfId="13237"/>
    <cellStyle name="SAPBEXHLevel3 6 2 2 2" xfId="21108"/>
    <cellStyle name="SAPBEXHLevel3 6 3" xfId="13965"/>
    <cellStyle name="SAPBEXHLevel3 7" xfId="3430"/>
    <cellStyle name="SAPBEXHLevel3 7 2" xfId="9312"/>
    <cellStyle name="SAPBEXHLevel3 7 2 2" xfId="13238"/>
    <cellStyle name="SAPBEXHLevel3 7 2 2 2" xfId="21109"/>
    <cellStyle name="SAPBEXHLevel3 7 3" xfId="13966"/>
    <cellStyle name="SAPBEXHLevel3 8" xfId="3431"/>
    <cellStyle name="SAPBEXHLevel3 8 2" xfId="9313"/>
    <cellStyle name="SAPBEXHLevel3 8 2 2" xfId="13239"/>
    <cellStyle name="SAPBEXHLevel3 8 2 2 2" xfId="21110"/>
    <cellStyle name="SAPBEXHLevel3 8 3" xfId="13967"/>
    <cellStyle name="SAPBEXHLevel3 9" xfId="3432"/>
    <cellStyle name="SAPBEXHLevel3 9 2" xfId="9314"/>
    <cellStyle name="SAPBEXHLevel3 9 2 2" xfId="13240"/>
    <cellStyle name="SAPBEXHLevel3 9 2 2 2" xfId="21111"/>
    <cellStyle name="SAPBEXHLevel3 9 3" xfId="13968"/>
    <cellStyle name="SAPBEXHLevel3_AFE Structure" xfId="3433"/>
    <cellStyle name="SAPBEXHLevel3X" xfId="3434"/>
    <cellStyle name="SAPBEXHLevel3X 10" xfId="3435"/>
    <cellStyle name="SAPBEXHLevel3X 10 2" xfId="9316"/>
    <cellStyle name="SAPBEXHLevel3X 10 2 2" xfId="13241"/>
    <cellStyle name="SAPBEXHLevel3X 10 2 2 2" xfId="21112"/>
    <cellStyle name="SAPBEXHLevel3X 10 3" xfId="13970"/>
    <cellStyle name="SAPBEXHLevel3X 11" xfId="3436"/>
    <cellStyle name="SAPBEXHLevel3X 11 2" xfId="9317"/>
    <cellStyle name="SAPBEXHLevel3X 11 2 2" xfId="13242"/>
    <cellStyle name="SAPBEXHLevel3X 11 2 2 2" xfId="21113"/>
    <cellStyle name="SAPBEXHLevel3X 11 3" xfId="13971"/>
    <cellStyle name="SAPBEXHLevel3X 12" xfId="3437"/>
    <cellStyle name="SAPBEXHLevel3X 12 2" xfId="9318"/>
    <cellStyle name="SAPBEXHLevel3X 12 2 2" xfId="13243"/>
    <cellStyle name="SAPBEXHLevel3X 12 2 2 2" xfId="21114"/>
    <cellStyle name="SAPBEXHLevel3X 12 3" xfId="13972"/>
    <cellStyle name="SAPBEXHLevel3X 13" xfId="3438"/>
    <cellStyle name="SAPBEXHLevel3X 13 2" xfId="9319"/>
    <cellStyle name="SAPBEXHLevel3X 13 2 2" xfId="13244"/>
    <cellStyle name="SAPBEXHLevel3X 13 2 2 2" xfId="21115"/>
    <cellStyle name="SAPBEXHLevel3X 13 3" xfId="13973"/>
    <cellStyle name="SAPBEXHLevel3X 14" xfId="3439"/>
    <cellStyle name="SAPBEXHLevel3X 14 2" xfId="3440"/>
    <cellStyle name="SAPBEXHLevel3X 14 2 2" xfId="9321"/>
    <cellStyle name="SAPBEXHLevel3X 14 2 2 2" xfId="13245"/>
    <cellStyle name="SAPBEXHLevel3X 14 2 2 2 2" xfId="21116"/>
    <cellStyle name="SAPBEXHLevel3X 14 2 3" xfId="13975"/>
    <cellStyle name="SAPBEXHLevel3X 14 3" xfId="9320"/>
    <cellStyle name="SAPBEXHLevel3X 14 3 2" xfId="13246"/>
    <cellStyle name="SAPBEXHLevel3X 14 3 2 2" xfId="21117"/>
    <cellStyle name="SAPBEXHLevel3X 14 4" xfId="13974"/>
    <cellStyle name="SAPBEXHLevel3X 15" xfId="3441"/>
    <cellStyle name="SAPBEXHLevel3X 15 2" xfId="9322"/>
    <cellStyle name="SAPBEXHLevel3X 15 2 2" xfId="13247"/>
    <cellStyle name="SAPBEXHLevel3X 15 2 2 2" xfId="21118"/>
    <cellStyle name="SAPBEXHLevel3X 15 3" xfId="13976"/>
    <cellStyle name="SAPBEXHLevel3X 16" xfId="9315"/>
    <cellStyle name="SAPBEXHLevel3X 16 2" xfId="13248"/>
    <cellStyle name="SAPBEXHLevel3X 16 2 2" xfId="21119"/>
    <cellStyle name="SAPBEXHLevel3X 17" xfId="13969"/>
    <cellStyle name="SAPBEXHLevel3X 2" xfId="3442"/>
    <cellStyle name="SAPBEXHLevel3X 2 2" xfId="9323"/>
    <cellStyle name="SAPBEXHLevel3X 2 2 2" xfId="13249"/>
    <cellStyle name="SAPBEXHLevel3X 2 2 2 2" xfId="21120"/>
    <cellStyle name="SAPBEXHLevel3X 2 3" xfId="13977"/>
    <cellStyle name="SAPBEXHLevel3X 3" xfId="3443"/>
    <cellStyle name="SAPBEXHLevel3X 3 2" xfId="9324"/>
    <cellStyle name="SAPBEXHLevel3X 3 2 2" xfId="13250"/>
    <cellStyle name="SAPBEXHLevel3X 3 2 2 2" xfId="21121"/>
    <cellStyle name="SAPBEXHLevel3X 3 3" xfId="13978"/>
    <cellStyle name="SAPBEXHLevel3X 4" xfId="3444"/>
    <cellStyle name="SAPBEXHLevel3X 4 2" xfId="9325"/>
    <cellStyle name="SAPBEXHLevel3X 4 2 2" xfId="13251"/>
    <cellStyle name="SAPBEXHLevel3X 4 2 2 2" xfId="21122"/>
    <cellStyle name="SAPBEXHLevel3X 4 3" xfId="13979"/>
    <cellStyle name="SAPBEXHLevel3X 5" xfId="3445"/>
    <cellStyle name="SAPBEXHLevel3X 5 2" xfId="9326"/>
    <cellStyle name="SAPBEXHLevel3X 5 2 2" xfId="13252"/>
    <cellStyle name="SAPBEXHLevel3X 5 2 2 2" xfId="21123"/>
    <cellStyle name="SAPBEXHLevel3X 5 3" xfId="13980"/>
    <cellStyle name="SAPBEXHLevel3X 6" xfId="3446"/>
    <cellStyle name="SAPBEXHLevel3X 6 2" xfId="9327"/>
    <cellStyle name="SAPBEXHLevel3X 6 2 2" xfId="13253"/>
    <cellStyle name="SAPBEXHLevel3X 6 2 2 2" xfId="21124"/>
    <cellStyle name="SAPBEXHLevel3X 6 3" xfId="13981"/>
    <cellStyle name="SAPBEXHLevel3X 7" xfId="3447"/>
    <cellStyle name="SAPBEXHLevel3X 7 2" xfId="9328"/>
    <cellStyle name="SAPBEXHLevel3X 7 2 2" xfId="13254"/>
    <cellStyle name="SAPBEXHLevel3X 7 2 2 2" xfId="21125"/>
    <cellStyle name="SAPBEXHLevel3X 7 3" xfId="13982"/>
    <cellStyle name="SAPBEXHLevel3X 8" xfId="3448"/>
    <cellStyle name="SAPBEXHLevel3X 8 2" xfId="9329"/>
    <cellStyle name="SAPBEXHLevel3X 8 2 2" xfId="13255"/>
    <cellStyle name="SAPBEXHLevel3X 8 2 2 2" xfId="21126"/>
    <cellStyle name="SAPBEXHLevel3X 8 3" xfId="13983"/>
    <cellStyle name="SAPBEXHLevel3X 9" xfId="3449"/>
    <cellStyle name="SAPBEXHLevel3X 9 2" xfId="9330"/>
    <cellStyle name="SAPBEXHLevel3X 9 2 2" xfId="13256"/>
    <cellStyle name="SAPBEXHLevel3X 9 2 2 2" xfId="21127"/>
    <cellStyle name="SAPBEXHLevel3X 9 3" xfId="13984"/>
    <cellStyle name="SAPBEXHLevel3X_AFE Structure" xfId="3450"/>
    <cellStyle name="SAPBEXinputData" xfId="3451"/>
    <cellStyle name="SAPBEXinputData 10" xfId="3452"/>
    <cellStyle name="SAPBEXinputData 10 2" xfId="9332"/>
    <cellStyle name="SAPBEXinputData 10 2 2" xfId="13257"/>
    <cellStyle name="SAPBEXinputData 10 2 2 2" xfId="21128"/>
    <cellStyle name="SAPBEXinputData 10 3" xfId="13986"/>
    <cellStyle name="SAPBEXinputData 11" xfId="3453"/>
    <cellStyle name="SAPBEXinputData 11 2" xfId="9333"/>
    <cellStyle name="SAPBEXinputData 11 2 2" xfId="13258"/>
    <cellStyle name="SAPBEXinputData 11 2 2 2" xfId="21129"/>
    <cellStyle name="SAPBEXinputData 11 3" xfId="13987"/>
    <cellStyle name="SAPBEXinputData 12" xfId="3454"/>
    <cellStyle name="SAPBEXinputData 12 2" xfId="9334"/>
    <cellStyle name="SAPBEXinputData 12 2 2" xfId="13259"/>
    <cellStyle name="SAPBEXinputData 12 2 2 2" xfId="21130"/>
    <cellStyle name="SAPBEXinputData 12 3" xfId="13988"/>
    <cellStyle name="SAPBEXinputData 13" xfId="3455"/>
    <cellStyle name="SAPBEXinputData 13 2" xfId="9335"/>
    <cellStyle name="SAPBEXinputData 13 2 2" xfId="13260"/>
    <cellStyle name="SAPBEXinputData 13 2 2 2" xfId="21131"/>
    <cellStyle name="SAPBEXinputData 13 3" xfId="13989"/>
    <cellStyle name="SAPBEXinputData 14" xfId="3456"/>
    <cellStyle name="SAPBEXinputData 14 2" xfId="3457"/>
    <cellStyle name="SAPBEXinputData 14 2 2" xfId="9337"/>
    <cellStyle name="SAPBEXinputData 14 2 2 2" xfId="13261"/>
    <cellStyle name="SAPBEXinputData 14 2 2 2 2" xfId="21132"/>
    <cellStyle name="SAPBEXinputData 14 2 3" xfId="13991"/>
    <cellStyle name="SAPBEXinputData 14 3" xfId="9336"/>
    <cellStyle name="SAPBEXinputData 14 3 2" xfId="13262"/>
    <cellStyle name="SAPBEXinputData 14 3 2 2" xfId="21133"/>
    <cellStyle name="SAPBEXinputData 14 4" xfId="13990"/>
    <cellStyle name="SAPBEXinputData 15" xfId="3458"/>
    <cellStyle name="SAPBEXinputData 15 2" xfId="9338"/>
    <cellStyle name="SAPBEXinputData 15 2 2" xfId="13263"/>
    <cellStyle name="SAPBEXinputData 15 2 2 2" xfId="21134"/>
    <cellStyle name="SAPBEXinputData 15 3" xfId="13992"/>
    <cellStyle name="SAPBEXinputData 16" xfId="9331"/>
    <cellStyle name="SAPBEXinputData 16 2" xfId="13264"/>
    <cellStyle name="SAPBEXinputData 16 2 2" xfId="21135"/>
    <cellStyle name="SAPBEXinputData 17" xfId="13985"/>
    <cellStyle name="SAPBEXinputData 2" xfId="3459"/>
    <cellStyle name="SAPBEXinputData 2 2" xfId="9339"/>
    <cellStyle name="SAPBEXinputData 2 2 2" xfId="13265"/>
    <cellStyle name="SAPBEXinputData 2 2 2 2" xfId="21136"/>
    <cellStyle name="SAPBEXinputData 2 3" xfId="13993"/>
    <cellStyle name="SAPBEXinputData 3" xfId="3460"/>
    <cellStyle name="SAPBEXinputData 3 2" xfId="9340"/>
    <cellStyle name="SAPBEXinputData 3 2 2" xfId="13266"/>
    <cellStyle name="SAPBEXinputData 3 2 2 2" xfId="21137"/>
    <cellStyle name="SAPBEXinputData 3 3" xfId="13994"/>
    <cellStyle name="SAPBEXinputData 4" xfId="3461"/>
    <cellStyle name="SAPBEXinputData 4 2" xfId="9341"/>
    <cellStyle name="SAPBEXinputData 4 2 2" xfId="13267"/>
    <cellStyle name="SAPBEXinputData 4 2 2 2" xfId="21138"/>
    <cellStyle name="SAPBEXinputData 4 3" xfId="13995"/>
    <cellStyle name="SAPBEXinputData 5" xfId="3462"/>
    <cellStyle name="SAPBEXinputData 5 2" xfId="9342"/>
    <cellStyle name="SAPBEXinputData 5 2 2" xfId="13268"/>
    <cellStyle name="SAPBEXinputData 5 2 2 2" xfId="21139"/>
    <cellStyle name="SAPBEXinputData 5 3" xfId="13996"/>
    <cellStyle name="SAPBEXinputData 6" xfId="3463"/>
    <cellStyle name="SAPBEXinputData 6 2" xfId="9343"/>
    <cellStyle name="SAPBEXinputData 6 2 2" xfId="13269"/>
    <cellStyle name="SAPBEXinputData 6 2 2 2" xfId="21140"/>
    <cellStyle name="SAPBEXinputData 6 3" xfId="13997"/>
    <cellStyle name="SAPBEXinputData 7" xfId="3464"/>
    <cellStyle name="SAPBEXinputData 7 2" xfId="9344"/>
    <cellStyle name="SAPBEXinputData 7 2 2" xfId="13270"/>
    <cellStyle name="SAPBEXinputData 7 2 2 2" xfId="21141"/>
    <cellStyle name="SAPBEXinputData 7 3" xfId="13998"/>
    <cellStyle name="SAPBEXinputData 8" xfId="3465"/>
    <cellStyle name="SAPBEXinputData 8 2" xfId="9345"/>
    <cellStyle name="SAPBEXinputData 8 2 2" xfId="13271"/>
    <cellStyle name="SAPBEXinputData 8 2 2 2" xfId="21142"/>
    <cellStyle name="SAPBEXinputData 8 3" xfId="13999"/>
    <cellStyle name="SAPBEXinputData 9" xfId="3466"/>
    <cellStyle name="SAPBEXinputData 9 2" xfId="9346"/>
    <cellStyle name="SAPBEXinputData 9 2 2" xfId="13272"/>
    <cellStyle name="SAPBEXinputData 9 2 2 2" xfId="21143"/>
    <cellStyle name="SAPBEXinputData 9 3" xfId="14000"/>
    <cellStyle name="SAPBEXinputData_AFE Structure" xfId="3467"/>
    <cellStyle name="SAPBEXresData" xfId="3468"/>
    <cellStyle name="SAPBEXresData 2" xfId="9347"/>
    <cellStyle name="SAPBEXresData 2 2" xfId="13273"/>
    <cellStyle name="SAPBEXresData 2 2 2" xfId="21144"/>
    <cellStyle name="SAPBEXresDataEmph" xfId="3469"/>
    <cellStyle name="SAPBEXresDataEmph 2" xfId="9348"/>
    <cellStyle name="SAPBEXresDataEmph 2 2" xfId="13274"/>
    <cellStyle name="SAPBEXresDataEmph 2 2 2" xfId="21145"/>
    <cellStyle name="SAPBEXresItem" xfId="3470"/>
    <cellStyle name="SAPBEXresItem 2" xfId="9349"/>
    <cellStyle name="SAPBEXresItem 2 2" xfId="13275"/>
    <cellStyle name="SAPBEXresItem 2 2 2" xfId="21146"/>
    <cellStyle name="SAPBEXresItemX" xfId="3471"/>
    <cellStyle name="SAPBEXresItemX 2" xfId="9350"/>
    <cellStyle name="SAPBEXresItemX 2 2" xfId="13276"/>
    <cellStyle name="SAPBEXresItemX 2 2 2" xfId="21147"/>
    <cellStyle name="SAPBEXstdData" xfId="3472"/>
    <cellStyle name="SAPBEXstdData 10" xfId="9351"/>
    <cellStyle name="SAPBEXstdData 10 2" xfId="13277"/>
    <cellStyle name="SAPBEXstdData 10 2 2" xfId="21148"/>
    <cellStyle name="SAPBEXstdData 2" xfId="3473"/>
    <cellStyle name="SAPBEXstdData 2 2" xfId="5032"/>
    <cellStyle name="SAPBEXstdData 2 2 2" xfId="9353"/>
    <cellStyle name="SAPBEXstdData 2 2 2 2" xfId="13278"/>
    <cellStyle name="SAPBEXstdData 2 2 2 2 2" xfId="21149"/>
    <cellStyle name="SAPBEXstdData 2 3" xfId="5189"/>
    <cellStyle name="SAPBEXstdData 2 3 2" xfId="9354"/>
    <cellStyle name="SAPBEXstdData 2 3 2 2" xfId="13279"/>
    <cellStyle name="SAPBEXstdData 2 3 2 2 2" xfId="21150"/>
    <cellStyle name="SAPBEXstdData 2 4" xfId="9352"/>
    <cellStyle name="SAPBEXstdData 2 4 2" xfId="13280"/>
    <cellStyle name="SAPBEXstdData 2 4 2 2" xfId="21151"/>
    <cellStyle name="SAPBEXstdData 2 5" xfId="9627"/>
    <cellStyle name="SAPBEXstdData 2 5 2" xfId="17607"/>
    <cellStyle name="SAPBEXstdData 3" xfId="3474"/>
    <cellStyle name="SAPBEXstdData 3 2" xfId="9355"/>
    <cellStyle name="SAPBEXstdData 3 2 2" xfId="13281"/>
    <cellStyle name="SAPBEXstdData 3 2 2 2" xfId="21152"/>
    <cellStyle name="SAPBEXstdData 3 3" xfId="9824"/>
    <cellStyle name="SAPBEXstdData 4" xfId="3475"/>
    <cellStyle name="SAPBEXstdData 4 2" xfId="9356"/>
    <cellStyle name="SAPBEXstdData 4 2 2" xfId="13282"/>
    <cellStyle name="SAPBEXstdData 4 2 2 2" xfId="21153"/>
    <cellStyle name="SAPBEXstdData 5" xfId="3476"/>
    <cellStyle name="SAPBEXstdData 5 2" xfId="9357"/>
    <cellStyle name="SAPBEXstdData 5 2 2" xfId="13283"/>
    <cellStyle name="SAPBEXstdData 5 2 2 2" xfId="21154"/>
    <cellStyle name="SAPBEXstdData 6" xfId="3477"/>
    <cellStyle name="SAPBEXstdData 6 2" xfId="9358"/>
    <cellStyle name="SAPBEXstdData 6 2 2" xfId="13284"/>
    <cellStyle name="SAPBEXstdData 6 2 2 2" xfId="21155"/>
    <cellStyle name="SAPBEXstdData 7" xfId="3478"/>
    <cellStyle name="SAPBEXstdData 7 2" xfId="9359"/>
    <cellStyle name="SAPBEXstdData 7 2 2" xfId="13285"/>
    <cellStyle name="SAPBEXstdData 7 2 2 2" xfId="21156"/>
    <cellStyle name="SAPBEXstdData 8" xfId="3479"/>
    <cellStyle name="SAPBEXstdData 8 2" xfId="9360"/>
    <cellStyle name="SAPBEXstdData 8 2 2" xfId="13286"/>
    <cellStyle name="SAPBEXstdData 8 2 2 2" xfId="21157"/>
    <cellStyle name="SAPBEXstdData 9" xfId="3480"/>
    <cellStyle name="SAPBEXstdData 9 2" xfId="9361"/>
    <cellStyle name="SAPBEXstdData 9 2 2" xfId="13287"/>
    <cellStyle name="SAPBEXstdData 9 2 2 2" xfId="21158"/>
    <cellStyle name="SAPBEXstdData 9 3" xfId="14613"/>
    <cellStyle name="SAPBEXstdData_Use this one" xfId="3481"/>
    <cellStyle name="SAPBEXstdDataEmph" xfId="3482"/>
    <cellStyle name="SAPBEXstdDataEmph 2" xfId="3483"/>
    <cellStyle name="SAPBEXstdDataEmph 2 2" xfId="5033"/>
    <cellStyle name="SAPBEXstdDataEmph 2 2 2" xfId="9364"/>
    <cellStyle name="SAPBEXstdDataEmph 2 2 2 2" xfId="13288"/>
    <cellStyle name="SAPBEXstdDataEmph 2 2 2 2 2" xfId="21159"/>
    <cellStyle name="SAPBEXstdDataEmph 2 3" xfId="5190"/>
    <cellStyle name="SAPBEXstdDataEmph 2 3 2" xfId="9365"/>
    <cellStyle name="SAPBEXstdDataEmph 2 3 2 2" xfId="13289"/>
    <cellStyle name="SAPBEXstdDataEmph 2 3 2 2 2" xfId="21160"/>
    <cellStyle name="SAPBEXstdDataEmph 2 4" xfId="9363"/>
    <cellStyle name="SAPBEXstdDataEmph 2 4 2" xfId="13290"/>
    <cellStyle name="SAPBEXstdDataEmph 2 4 2 2" xfId="21161"/>
    <cellStyle name="SAPBEXstdDataEmph 3" xfId="9362"/>
    <cellStyle name="SAPBEXstdDataEmph 3 2" xfId="9825"/>
    <cellStyle name="SAPBEXstdDataEmph 3 3" xfId="13291"/>
    <cellStyle name="SAPBEXstdDataEmph 3 3 2" xfId="21162"/>
    <cellStyle name="SAPBEXstdItem" xfId="3484"/>
    <cellStyle name="SAPBEXstdItem 2" xfId="3485"/>
    <cellStyle name="SAPBEXstdItem 2 2" xfId="5034"/>
    <cellStyle name="SAPBEXstdItem 2 2 2" xfId="9368"/>
    <cellStyle name="SAPBEXstdItem 2 2 2 2" xfId="13292"/>
    <cellStyle name="SAPBEXstdItem 2 2 2 2 2" xfId="21163"/>
    <cellStyle name="SAPBEXstdItem 2 3" xfId="5191"/>
    <cellStyle name="SAPBEXstdItem 2 3 2" xfId="9369"/>
    <cellStyle name="SAPBEXstdItem 2 3 2 2" xfId="13293"/>
    <cellStyle name="SAPBEXstdItem 2 3 2 2 2" xfId="21164"/>
    <cellStyle name="SAPBEXstdItem 2 4" xfId="9367"/>
    <cellStyle name="SAPBEXstdItem 2 4 2" xfId="13294"/>
    <cellStyle name="SAPBEXstdItem 2 4 2 2" xfId="21165"/>
    <cellStyle name="SAPBEXstdItem 2 5" xfId="9628"/>
    <cellStyle name="SAPBEXstdItem 2 5 2" xfId="17608"/>
    <cellStyle name="SAPBEXstdItem 3" xfId="3486"/>
    <cellStyle name="SAPBEXstdItem 3 2" xfId="9370"/>
    <cellStyle name="SAPBEXstdItem 3 2 2" xfId="13295"/>
    <cellStyle name="SAPBEXstdItem 3 2 2 2" xfId="21166"/>
    <cellStyle name="SAPBEXstdItem 3 3" xfId="9826"/>
    <cellStyle name="SAPBEXstdItem 4" xfId="3487"/>
    <cellStyle name="SAPBEXstdItem 4 2" xfId="9371"/>
    <cellStyle name="SAPBEXstdItem 4 2 2" xfId="13296"/>
    <cellStyle name="SAPBEXstdItem 4 2 2 2" xfId="21167"/>
    <cellStyle name="SAPBEXstdItem 5" xfId="3488"/>
    <cellStyle name="SAPBEXstdItem 5 2" xfId="9372"/>
    <cellStyle name="SAPBEXstdItem 5 2 2" xfId="13297"/>
    <cellStyle name="SAPBEXstdItem 5 2 2 2" xfId="21168"/>
    <cellStyle name="SAPBEXstdItem 6" xfId="3489"/>
    <cellStyle name="SAPBEXstdItem 6 2" xfId="9373"/>
    <cellStyle name="SAPBEXstdItem 6 2 2" xfId="13298"/>
    <cellStyle name="SAPBEXstdItem 6 2 2 2" xfId="21169"/>
    <cellStyle name="SAPBEXstdItem 7" xfId="3490"/>
    <cellStyle name="SAPBEXstdItem 7 2" xfId="9374"/>
    <cellStyle name="SAPBEXstdItem 7 2 2" xfId="13299"/>
    <cellStyle name="SAPBEXstdItem 7 2 2 2" xfId="21170"/>
    <cellStyle name="SAPBEXstdItem 8" xfId="3491"/>
    <cellStyle name="SAPBEXstdItem 8 2" xfId="9375"/>
    <cellStyle name="SAPBEXstdItem 8 2 2" xfId="13300"/>
    <cellStyle name="SAPBEXstdItem 8 2 2 2" xfId="21171"/>
    <cellStyle name="SAPBEXstdItem 8 3" xfId="14614"/>
    <cellStyle name="SAPBEXstdItem 9" xfId="9366"/>
    <cellStyle name="SAPBEXstdItem 9 2" xfId="13301"/>
    <cellStyle name="SAPBEXstdItem 9 2 2" xfId="21172"/>
    <cellStyle name="SAPBEXstdItem_Use this one" xfId="3492"/>
    <cellStyle name="SAPBEXstdItemX" xfId="3493"/>
    <cellStyle name="SAPBEXstdItemX 2" xfId="9376"/>
    <cellStyle name="SAPBEXstdItemX 2 2" xfId="13302"/>
    <cellStyle name="SAPBEXstdItemX 2 2 2" xfId="21173"/>
    <cellStyle name="SAPBEXtitle" xfId="3494"/>
    <cellStyle name="SAPBEXtitle 10" xfId="3495"/>
    <cellStyle name="SAPBEXtitle 10 2" xfId="9378"/>
    <cellStyle name="SAPBEXtitle 10 2 2" xfId="13303"/>
    <cellStyle name="SAPBEXtitle 10 2 2 2" xfId="21174"/>
    <cellStyle name="SAPBEXtitle 11" xfId="3496"/>
    <cellStyle name="SAPBEXtitle 11 2" xfId="9379"/>
    <cellStyle name="SAPBEXtitle 11 2 2" xfId="13304"/>
    <cellStyle name="SAPBEXtitle 11 2 2 2" xfId="21175"/>
    <cellStyle name="SAPBEXtitle 12" xfId="3497"/>
    <cellStyle name="SAPBEXtitle 12 2" xfId="9380"/>
    <cellStyle name="SAPBEXtitle 12 2 2" xfId="13305"/>
    <cellStyle name="SAPBEXtitle 12 2 2 2" xfId="21176"/>
    <cellStyle name="SAPBEXtitle 13" xfId="3498"/>
    <cellStyle name="SAPBEXtitle 13 2" xfId="9381"/>
    <cellStyle name="SAPBEXtitle 13 2 2" xfId="13306"/>
    <cellStyle name="SAPBEXtitle 13 2 2 2" xfId="21177"/>
    <cellStyle name="SAPBEXtitle 14" xfId="9377"/>
    <cellStyle name="SAPBEXtitle 14 2" xfId="13307"/>
    <cellStyle name="SAPBEXtitle 14 2 2" xfId="21178"/>
    <cellStyle name="SAPBEXtitle 2" xfId="3499"/>
    <cellStyle name="SAPBEXtitle 2 2" xfId="9382"/>
    <cellStyle name="SAPBEXtitle 2 2 2" xfId="13308"/>
    <cellStyle name="SAPBEXtitle 2 2 2 2" xfId="21179"/>
    <cellStyle name="SAPBEXtitle 3" xfId="3500"/>
    <cellStyle name="SAPBEXtitle 3 2" xfId="9383"/>
    <cellStyle name="SAPBEXtitle 3 2 2" xfId="13309"/>
    <cellStyle name="SAPBEXtitle 3 2 2 2" xfId="21180"/>
    <cellStyle name="SAPBEXtitle 4" xfId="3501"/>
    <cellStyle name="SAPBEXtitle 4 2" xfId="9384"/>
    <cellStyle name="SAPBEXtitle 4 2 2" xfId="13310"/>
    <cellStyle name="SAPBEXtitle 4 2 2 2" xfId="21181"/>
    <cellStyle name="SAPBEXtitle 5" xfId="3502"/>
    <cellStyle name="SAPBEXtitle 5 2" xfId="9385"/>
    <cellStyle name="SAPBEXtitle 5 2 2" xfId="13311"/>
    <cellStyle name="SAPBEXtitle 5 2 2 2" xfId="21182"/>
    <cellStyle name="SAPBEXtitle 6" xfId="3503"/>
    <cellStyle name="SAPBEXtitle 6 2" xfId="9386"/>
    <cellStyle name="SAPBEXtitle 6 2 2" xfId="13312"/>
    <cellStyle name="SAPBEXtitle 6 2 2 2" xfId="21183"/>
    <cellStyle name="SAPBEXtitle 7" xfId="3504"/>
    <cellStyle name="SAPBEXtitle 7 2" xfId="9387"/>
    <cellStyle name="SAPBEXtitle 7 2 2" xfId="13313"/>
    <cellStyle name="SAPBEXtitle 7 2 2 2" xfId="21184"/>
    <cellStyle name="SAPBEXtitle 8" xfId="3505"/>
    <cellStyle name="SAPBEXtitle 8 2" xfId="9388"/>
    <cellStyle name="SAPBEXtitle 8 2 2" xfId="13314"/>
    <cellStyle name="SAPBEXtitle 8 2 2 2" xfId="21185"/>
    <cellStyle name="SAPBEXtitle 9" xfId="3506"/>
    <cellStyle name="SAPBEXtitle 9 2" xfId="9389"/>
    <cellStyle name="SAPBEXtitle 9 2 2" xfId="13315"/>
    <cellStyle name="SAPBEXtitle 9 2 2 2" xfId="21186"/>
    <cellStyle name="SAPBEXtitle_AFE Structure" xfId="3507"/>
    <cellStyle name="SAPBEXundefined" xfId="3508"/>
    <cellStyle name="SAPBEXundefined 2" xfId="9390"/>
    <cellStyle name="SAPBEXundefined 2 2" xfId="13316"/>
    <cellStyle name="SAPBEXundefined 2 2 2" xfId="21187"/>
    <cellStyle name="Satisfaisant" xfId="3509"/>
    <cellStyle name="Satisfaisant 2" xfId="9391"/>
    <cellStyle name="Satisfaisant 2 2" xfId="13317"/>
    <cellStyle name="Satisfaisant 2 2 2" xfId="21188"/>
    <cellStyle name="SEM-BPS-key" xfId="3510"/>
    <cellStyle name="SEM-BPS-key 2" xfId="9392"/>
    <cellStyle name="SEM-BPS-key 2 2" xfId="13318"/>
    <cellStyle name="SEM-BPS-key 2 2 2" xfId="21189"/>
    <cellStyle name="Sheet Title" xfId="3511"/>
    <cellStyle name="Sheet Title 2" xfId="9393"/>
    <cellStyle name="Sheet Title 2 2" xfId="13319"/>
    <cellStyle name="Sheet Title 2 2 2" xfId="21190"/>
    <cellStyle name="Sortie" xfId="3512"/>
    <cellStyle name="Sortie 2" xfId="9394"/>
    <cellStyle name="Sortie 2 2" xfId="13320"/>
    <cellStyle name="Sortie 2 2 2" xfId="21191"/>
    <cellStyle name="SPOl" xfId="3513"/>
    <cellStyle name="SPOl 2" xfId="9395"/>
    <cellStyle name="SPOl 2 2" xfId="9629"/>
    <cellStyle name="SPOl 2 3" xfId="13321"/>
    <cellStyle name="SPOl 2 3 2" xfId="21192"/>
    <cellStyle name="SPOl 3" xfId="9630"/>
    <cellStyle name="SPOl 4" xfId="9719"/>
    <cellStyle name="Style 1" xfId="3514"/>
    <cellStyle name="Style 1 2" xfId="3515"/>
    <cellStyle name="Style 1 2 2" xfId="5035"/>
    <cellStyle name="Style 1 2 2 2" xfId="9398"/>
    <cellStyle name="Style 1 2 2 2 2" xfId="13322"/>
    <cellStyle name="Style 1 2 2 2 2 2" xfId="21193"/>
    <cellStyle name="Style 1 2 3" xfId="5598"/>
    <cellStyle name="Style 1 2 3 2" xfId="9399"/>
    <cellStyle name="Style 1 2 3 2 2" xfId="13323"/>
    <cellStyle name="Style 1 2 3 2 2 2" xfId="21194"/>
    <cellStyle name="Style 1 2 4" xfId="6748"/>
    <cellStyle name="Style 1 2 5" xfId="9397"/>
    <cellStyle name="Style 1 2 5 2" xfId="13324"/>
    <cellStyle name="Style 1 2 5 2 2" xfId="21195"/>
    <cellStyle name="Style 1 3" xfId="5036"/>
    <cellStyle name="Style 1 3 2" xfId="9400"/>
    <cellStyle name="Style 1 3 2 2" xfId="13325"/>
    <cellStyle name="Style 1 3 2 2 2" xfId="21196"/>
    <cellStyle name="Style 1 3 3" xfId="9631"/>
    <cellStyle name="Style 1 4" xfId="9396"/>
    <cellStyle name="Style 1 4 2" xfId="9720"/>
    <cellStyle name="Style 1 4 3" xfId="13326"/>
    <cellStyle name="Style 1 4 3 2" xfId="21197"/>
    <cellStyle name="Style 1 5" xfId="9827"/>
    <cellStyle name="Style 21" xfId="3516"/>
    <cellStyle name="Style 21 2" xfId="9401"/>
    <cellStyle name="Style 21 2 2" xfId="9632"/>
    <cellStyle name="Style 21 2 3" xfId="13327"/>
    <cellStyle name="Style 21 2 3 2" xfId="21198"/>
    <cellStyle name="Style 21 3" xfId="9633"/>
    <cellStyle name="Style 21 4" xfId="9721"/>
    <cellStyle name="Style 22" xfId="3517"/>
    <cellStyle name="Style 22 2" xfId="9402"/>
    <cellStyle name="Style 22 2 2" xfId="9634"/>
    <cellStyle name="Style 22 2 3" xfId="13328"/>
    <cellStyle name="Style 22 2 3 2" xfId="21199"/>
    <cellStyle name="Style 22 3" xfId="9635"/>
    <cellStyle name="Style 22 4" xfId="9722"/>
    <cellStyle name="Style 23" xfId="3518"/>
    <cellStyle name="Style 23 2" xfId="9403"/>
    <cellStyle name="Style 23 2 2" xfId="9636"/>
    <cellStyle name="Style 23 2 2 2" xfId="17609"/>
    <cellStyle name="Style 23 2 3" xfId="13329"/>
    <cellStyle name="Style 23 2 3 2" xfId="21200"/>
    <cellStyle name="Style 23 3" xfId="9637"/>
    <cellStyle name="Style 23 3 2" xfId="17610"/>
    <cellStyle name="Style 23 4" xfId="9723"/>
    <cellStyle name="Style 23 4 2" xfId="17657"/>
    <cellStyle name="Style 23 5" xfId="14615"/>
    <cellStyle name="Style 24" xfId="3519"/>
    <cellStyle name="Style 24 2" xfId="9404"/>
    <cellStyle name="Style 24 2 2" xfId="9638"/>
    <cellStyle name="Style 24 2 2 2" xfId="17611"/>
    <cellStyle name="Style 24 2 3" xfId="13330"/>
    <cellStyle name="Style 24 2 3 2" xfId="21201"/>
    <cellStyle name="Style 24 3" xfId="9639"/>
    <cellStyle name="Style 24 3 2" xfId="17612"/>
    <cellStyle name="Style 24 4" xfId="9724"/>
    <cellStyle name="Style 24 4 2" xfId="17658"/>
    <cellStyle name="Style 24 5" xfId="14616"/>
    <cellStyle name="Style 25" xfId="3520"/>
    <cellStyle name="Style 25 2" xfId="9405"/>
    <cellStyle name="Style 25 2 2" xfId="9640"/>
    <cellStyle name="Style 25 2 2 2" xfId="17613"/>
    <cellStyle name="Style 25 2 3" xfId="13331"/>
    <cellStyle name="Style 25 2 3 2" xfId="21202"/>
    <cellStyle name="Style 25 3" xfId="9641"/>
    <cellStyle name="Style 25 3 2" xfId="17614"/>
    <cellStyle name="Style 25 4" xfId="9725"/>
    <cellStyle name="Style 25 4 2" xfId="17659"/>
    <cellStyle name="Style 25 5" xfId="14617"/>
    <cellStyle name="Style 26" xfId="3521"/>
    <cellStyle name="Style 26 2" xfId="9406"/>
    <cellStyle name="Style 26 2 2" xfId="9642"/>
    <cellStyle name="Style 26 2 2 2" xfId="17615"/>
    <cellStyle name="Style 26 2 3" xfId="13332"/>
    <cellStyle name="Style 26 2 3 2" xfId="21203"/>
    <cellStyle name="Style 26 3" xfId="9643"/>
    <cellStyle name="Style 26 3 2" xfId="17616"/>
    <cellStyle name="Style 26 4" xfId="9726"/>
    <cellStyle name="Style 26 4 2" xfId="17660"/>
    <cellStyle name="Style 26 5" xfId="14618"/>
    <cellStyle name="Style 27" xfId="3522"/>
    <cellStyle name="Style 27 2" xfId="9407"/>
    <cellStyle name="Style 27 2 2" xfId="9644"/>
    <cellStyle name="Style 27 2 2 2" xfId="17617"/>
    <cellStyle name="Style 27 2 3" xfId="13333"/>
    <cellStyle name="Style 27 2 3 2" xfId="21204"/>
    <cellStyle name="Style 27 3" xfId="9645"/>
    <cellStyle name="Style 27 3 2" xfId="17618"/>
    <cellStyle name="Style 27 4" xfId="9727"/>
    <cellStyle name="Style 27 4 2" xfId="17661"/>
    <cellStyle name="Style 27 5" xfId="14619"/>
    <cellStyle name="Style 28" xfId="3523"/>
    <cellStyle name="Style 28 2" xfId="9408"/>
    <cellStyle name="Style 28 2 2" xfId="9646"/>
    <cellStyle name="Style 28 2 2 2" xfId="17619"/>
    <cellStyle name="Style 28 2 3" xfId="13334"/>
    <cellStyle name="Style 28 2 3 2" xfId="21205"/>
    <cellStyle name="Style 28 3" xfId="9647"/>
    <cellStyle name="Style 28 3 2" xfId="17620"/>
    <cellStyle name="Style 28 4" xfId="9728"/>
    <cellStyle name="Style 28 4 2" xfId="17662"/>
    <cellStyle name="Style 28 5" xfId="14620"/>
    <cellStyle name="Style 29" xfId="3524"/>
    <cellStyle name="Style 29 2" xfId="9409"/>
    <cellStyle name="Style 29 2 2" xfId="9648"/>
    <cellStyle name="Style 29 2 2 2" xfId="17621"/>
    <cellStyle name="Style 29 2 3" xfId="13335"/>
    <cellStyle name="Style 29 2 3 2" xfId="21206"/>
    <cellStyle name="Style 29 3" xfId="9649"/>
    <cellStyle name="Style 29 3 2" xfId="17622"/>
    <cellStyle name="Style 29 4" xfId="9729"/>
    <cellStyle name="Style 29 4 2" xfId="17663"/>
    <cellStyle name="Style 29 5" xfId="14621"/>
    <cellStyle name="Style 30" xfId="3525"/>
    <cellStyle name="Style 30 2" xfId="9410"/>
    <cellStyle name="Style 30 2 2" xfId="9650"/>
    <cellStyle name="Style 30 2 2 2" xfId="17623"/>
    <cellStyle name="Style 30 2 3" xfId="13336"/>
    <cellStyle name="Style 30 2 3 2" xfId="21207"/>
    <cellStyle name="Style 30 3" xfId="9651"/>
    <cellStyle name="Style 30 3 2" xfId="17624"/>
    <cellStyle name="Style 30 4" xfId="9730"/>
    <cellStyle name="Style 30 4 2" xfId="17664"/>
    <cellStyle name="Style 30 5" xfId="14622"/>
    <cellStyle name="Style 31" xfId="3526"/>
    <cellStyle name="Style 31 2" xfId="9411"/>
    <cellStyle name="Style 31 2 2" xfId="9652"/>
    <cellStyle name="Style 31 2 2 2" xfId="17625"/>
    <cellStyle name="Style 31 2 3" xfId="13337"/>
    <cellStyle name="Style 31 2 3 2" xfId="21208"/>
    <cellStyle name="Style 31 3" xfId="9653"/>
    <cellStyle name="Style 31 3 2" xfId="17626"/>
    <cellStyle name="Style 31 4" xfId="9731"/>
    <cellStyle name="Style 31 4 2" xfId="17665"/>
    <cellStyle name="Style 31 5" xfId="14623"/>
    <cellStyle name="Style 32" xfId="3527"/>
    <cellStyle name="Style 32 2" xfId="9412"/>
    <cellStyle name="Style 32 2 2" xfId="9654"/>
    <cellStyle name="Style 32 2 2 2" xfId="17627"/>
    <cellStyle name="Style 32 2 3" xfId="13338"/>
    <cellStyle name="Style 32 2 3 2" xfId="21209"/>
    <cellStyle name="Style 32 3" xfId="9655"/>
    <cellStyle name="Style 32 3 2" xfId="17628"/>
    <cellStyle name="Style 32 4" xfId="9732"/>
    <cellStyle name="Style 32 4 2" xfId="17666"/>
    <cellStyle name="Style 32 5" xfId="14624"/>
    <cellStyle name="Style 33" xfId="3528"/>
    <cellStyle name="Style 33 2" xfId="9413"/>
    <cellStyle name="Style 33 2 2" xfId="9656"/>
    <cellStyle name="Style 33 2 3" xfId="13339"/>
    <cellStyle name="Style 33 2 3 2" xfId="21210"/>
    <cellStyle name="Style 33 3" xfId="9657"/>
    <cellStyle name="Style 33 4" xfId="9733"/>
    <cellStyle name="Style 34" xfId="3529"/>
    <cellStyle name="Style 34 2" xfId="9414"/>
    <cellStyle name="Style 34 2 2" xfId="9658"/>
    <cellStyle name="Style 34 2 3" xfId="13340"/>
    <cellStyle name="Style 34 2 3 2" xfId="21211"/>
    <cellStyle name="Style 34 3" xfId="9659"/>
    <cellStyle name="Style 34 4" xfId="9734"/>
    <cellStyle name="Style 35" xfId="3530"/>
    <cellStyle name="Style 35 2" xfId="9415"/>
    <cellStyle name="Style 35 2 2" xfId="9660"/>
    <cellStyle name="Style 35 2 3" xfId="13341"/>
    <cellStyle name="Style 35 2 3 2" xfId="21212"/>
    <cellStyle name="Style 35 3" xfId="9661"/>
    <cellStyle name="Style 35 4" xfId="9735"/>
    <cellStyle name="Style1" xfId="3531"/>
    <cellStyle name="Style1 2" xfId="9416"/>
    <cellStyle name="Style1 2 2" xfId="9662"/>
    <cellStyle name="Style1 2 2 2" xfId="17629"/>
    <cellStyle name="Style1 2 3" xfId="13342"/>
    <cellStyle name="Style1 2 3 2" xfId="21213"/>
    <cellStyle name="Style1 3" xfId="9663"/>
    <cellStyle name="Style1 3 2" xfId="17630"/>
    <cellStyle name="Style1 4" xfId="9736"/>
    <cellStyle name="Style1 4 2" xfId="17667"/>
    <cellStyle name="Style1 5" xfId="14625"/>
    <cellStyle name="Subtitle" xfId="3532"/>
    <cellStyle name="Subtitle 2" xfId="9417"/>
    <cellStyle name="Subtitle 2 2" xfId="13343"/>
    <cellStyle name="Subtitle 2 2 2" xfId="21214"/>
    <cellStyle name="Table Head" xfId="3533"/>
    <cellStyle name="Table Head 2" xfId="9418"/>
    <cellStyle name="Table Head 2 2" xfId="13344"/>
    <cellStyle name="Table Head 2 2 2" xfId="21215"/>
    <cellStyle name="Table Head Aligned" xfId="3534"/>
    <cellStyle name="Table Head Aligned 2" xfId="9419"/>
    <cellStyle name="Table Head Aligned 2 2" xfId="13345"/>
    <cellStyle name="Table Head Aligned 2 2 2" xfId="21216"/>
    <cellStyle name="Table Head Blue" xfId="3535"/>
    <cellStyle name="Table Head Blue 2" xfId="9420"/>
    <cellStyle name="Table Head Blue 2 2" xfId="13346"/>
    <cellStyle name="Table Head Blue 2 2 2" xfId="21217"/>
    <cellStyle name="Table Head Green" xfId="3536"/>
    <cellStyle name="Table Head Green 2" xfId="9421"/>
    <cellStyle name="Table Head Green 2 2" xfId="13347"/>
    <cellStyle name="Table Head Green 2 2 2" xfId="21218"/>
    <cellStyle name="Table Title" xfId="3537"/>
    <cellStyle name="Table Title 2" xfId="9422"/>
    <cellStyle name="Table Title 2 2" xfId="13348"/>
    <cellStyle name="Table Title 2 2 2" xfId="21219"/>
    <cellStyle name="Table Units" xfId="3538"/>
    <cellStyle name="Table Units 2" xfId="9423"/>
    <cellStyle name="Table Units 2 2" xfId="13349"/>
    <cellStyle name="Table Units 2 2 2" xfId="21220"/>
    <cellStyle name="Temp" xfId="3539"/>
    <cellStyle name="Temp 2" xfId="9424"/>
    <cellStyle name="Temp 2 2" xfId="13350"/>
    <cellStyle name="Temp 2 2 2" xfId="21221"/>
    <cellStyle name="Text" xfId="3540"/>
    <cellStyle name="Text 2" xfId="9425"/>
    <cellStyle name="Text 2 2" xfId="13351"/>
    <cellStyle name="Text 2 2 2" xfId="21222"/>
    <cellStyle name="Text 3" xfId="14001"/>
    <cellStyle name="Text Centre" xfId="3541"/>
    <cellStyle name="Text Centre 2" xfId="9426"/>
    <cellStyle name="Text Centre 2 2" xfId="13352"/>
    <cellStyle name="Text Centre 2 2 2" xfId="21223"/>
    <cellStyle name="Text Wrap" xfId="3542"/>
    <cellStyle name="Text Wrap 2" xfId="3543"/>
    <cellStyle name="Text Wrap 2 2" xfId="5037"/>
    <cellStyle name="Text Wrap 2 2 2" xfId="9429"/>
    <cellStyle name="Text Wrap 2 2 2 2" xfId="13353"/>
    <cellStyle name="Text Wrap 2 2 2 2 2" xfId="21224"/>
    <cellStyle name="Text Wrap 2 3" xfId="5193"/>
    <cellStyle name="Text Wrap 2 3 2" xfId="9430"/>
    <cellStyle name="Text Wrap 2 3 2 2" xfId="13354"/>
    <cellStyle name="Text Wrap 2 3 2 2 2" xfId="21225"/>
    <cellStyle name="Text Wrap 2 4" xfId="9428"/>
    <cellStyle name="Text Wrap 2 4 2" xfId="13355"/>
    <cellStyle name="Text Wrap 2 4 2 2" xfId="21226"/>
    <cellStyle name="Text Wrap 3" xfId="9427"/>
    <cellStyle name="Text Wrap 3 2" xfId="13356"/>
    <cellStyle name="Text Wrap 3 2 2" xfId="21227"/>
    <cellStyle name="Texte explicatif" xfId="3544"/>
    <cellStyle name="Texte explicatif 2" xfId="9431"/>
    <cellStyle name="Texte explicatif 2 2" xfId="13357"/>
    <cellStyle name="Texte explicatif 2 2 2" xfId="21228"/>
    <cellStyle name="Thousands" xfId="5038"/>
    <cellStyle name="Thousands 2" xfId="5350"/>
    <cellStyle name="Thousands 2 2" xfId="9433"/>
    <cellStyle name="Thousands 2 2 2" xfId="13358"/>
    <cellStyle name="Thousands 2 2 2 2" xfId="21229"/>
    <cellStyle name="Thousands 3" xfId="9432"/>
    <cellStyle name="Thousands 3 2" xfId="13359"/>
    <cellStyle name="Thousands 3 2 2" xfId="21230"/>
    <cellStyle name="Three Dec." xfId="3545"/>
    <cellStyle name="Three Dec. 2" xfId="9434"/>
    <cellStyle name="Three Dec. 2 2" xfId="13360"/>
    <cellStyle name="Three Dec. 2 2 2" xfId="21231"/>
    <cellStyle name="Times 12 Bold L" xfId="3546"/>
    <cellStyle name="Times 12 Bold L 2" xfId="9435"/>
    <cellStyle name="Times 12 Bold L 2 2" xfId="13361"/>
    <cellStyle name="Times 12 Bold L 2 2 2" xfId="21232"/>
    <cellStyle name="Times New Roman" xfId="3547"/>
    <cellStyle name="Times New Roman 2" xfId="9436"/>
    <cellStyle name="Times New Roman 2 2" xfId="13362"/>
    <cellStyle name="Times New Roman 2 2 2" xfId="21233"/>
    <cellStyle name="Title 10" xfId="3548"/>
    <cellStyle name="Title 10 2" xfId="9437"/>
    <cellStyle name="Title 10 2 2" xfId="13363"/>
    <cellStyle name="Title 10 2 2 2" xfId="21234"/>
    <cellStyle name="Title 11" xfId="3549"/>
    <cellStyle name="Title 11 2" xfId="9438"/>
    <cellStyle name="Title 11 2 2" xfId="13364"/>
    <cellStyle name="Title 11 2 2 2" xfId="21235"/>
    <cellStyle name="Title 12" xfId="3550"/>
    <cellStyle name="Title 12 2" xfId="9439"/>
    <cellStyle name="Title 12 2 2" xfId="13365"/>
    <cellStyle name="Title 12 2 2 2" xfId="21236"/>
    <cellStyle name="Title 13" xfId="3551"/>
    <cellStyle name="Title 13 2" xfId="9440"/>
    <cellStyle name="Title 13 2 2" xfId="13366"/>
    <cellStyle name="Title 13 2 2 2" xfId="21237"/>
    <cellStyle name="Title 14" xfId="3552"/>
    <cellStyle name="Title 14 2" xfId="9441"/>
    <cellStyle name="Title 14 2 2" xfId="13367"/>
    <cellStyle name="Title 14 2 2 2" xfId="21238"/>
    <cellStyle name="Title 15" xfId="3553"/>
    <cellStyle name="Title 15 2" xfId="9442"/>
    <cellStyle name="Title 15 2 2" xfId="13368"/>
    <cellStyle name="Title 15 2 2 2" xfId="21239"/>
    <cellStyle name="Title 16" xfId="3554"/>
    <cellStyle name="Title 16 2" xfId="9443"/>
    <cellStyle name="Title 16 2 2" xfId="13369"/>
    <cellStyle name="Title 16 2 2 2" xfId="21240"/>
    <cellStyle name="Title 17" xfId="3555"/>
    <cellStyle name="Title 17 2" xfId="9444"/>
    <cellStyle name="Title 17 2 2" xfId="13370"/>
    <cellStyle name="Title 17 2 2 2" xfId="21241"/>
    <cellStyle name="Title 18" xfId="3556"/>
    <cellStyle name="Title 18 2" xfId="9445"/>
    <cellStyle name="Title 18 2 2" xfId="13371"/>
    <cellStyle name="Title 18 2 2 2" xfId="21242"/>
    <cellStyle name="Title 19" xfId="3557"/>
    <cellStyle name="Title 19 2" xfId="9446"/>
    <cellStyle name="Title 19 2 2" xfId="13372"/>
    <cellStyle name="Title 19 2 2 2" xfId="21243"/>
    <cellStyle name="Title 2" xfId="3558"/>
    <cellStyle name="Title 2 2" xfId="3559"/>
    <cellStyle name="Title 2 2 2" xfId="9448"/>
    <cellStyle name="Title 2 2 2 2" xfId="13373"/>
    <cellStyle name="Title 2 2 2 2 2" xfId="21244"/>
    <cellStyle name="Title 2 3" xfId="5039"/>
    <cellStyle name="Title 2 3 2" xfId="9449"/>
    <cellStyle name="Title 2 3 2 2" xfId="13374"/>
    <cellStyle name="Title 2 3 2 2 2" xfId="21245"/>
    <cellStyle name="Title 2 4" xfId="6749"/>
    <cellStyle name="Title 2 5" xfId="9447"/>
    <cellStyle name="Title 2 5 2" xfId="13375"/>
    <cellStyle name="Title 2 5 2 2" xfId="21246"/>
    <cellStyle name="Title 20" xfId="3560"/>
    <cellStyle name="Title 20 2" xfId="9450"/>
    <cellStyle name="Title 20 2 2" xfId="13376"/>
    <cellStyle name="Title 20 2 2 2" xfId="21247"/>
    <cellStyle name="Title 21" xfId="3561"/>
    <cellStyle name="Title 21 2" xfId="9451"/>
    <cellStyle name="Title 21 2 2" xfId="13377"/>
    <cellStyle name="Title 21 2 2 2" xfId="21248"/>
    <cellStyle name="Title 22" xfId="3562"/>
    <cellStyle name="Title 22 2" xfId="9452"/>
    <cellStyle name="Title 22 2 2" xfId="13378"/>
    <cellStyle name="Title 22 2 2 2" xfId="21249"/>
    <cellStyle name="Title 23" xfId="14002"/>
    <cellStyle name="Title 3" xfId="3563"/>
    <cellStyle name="Title 3 2" xfId="9453"/>
    <cellStyle name="Title 3 2 2" xfId="13379"/>
    <cellStyle name="Title 3 2 2 2" xfId="21250"/>
    <cellStyle name="Title 4" xfId="3564"/>
    <cellStyle name="Title 4 2" xfId="9454"/>
    <cellStyle name="Title 4 2 2" xfId="13380"/>
    <cellStyle name="Title 4 2 2 2" xfId="21251"/>
    <cellStyle name="Title 5" xfId="3565"/>
    <cellStyle name="Title 5 2" xfId="9455"/>
    <cellStyle name="Title 5 2 2" xfId="13381"/>
    <cellStyle name="Title 5 2 2 2" xfId="21252"/>
    <cellStyle name="Title 6" xfId="3566"/>
    <cellStyle name="Title 6 2" xfId="9456"/>
    <cellStyle name="Title 6 2 2" xfId="13382"/>
    <cellStyle name="Title 6 2 2 2" xfId="21253"/>
    <cellStyle name="Title 7" xfId="3567"/>
    <cellStyle name="Title 7 2" xfId="9457"/>
    <cellStyle name="Title 7 2 2" xfId="13383"/>
    <cellStyle name="Title 7 2 2 2" xfId="21254"/>
    <cellStyle name="Title 8" xfId="3568"/>
    <cellStyle name="Title 8 2" xfId="9458"/>
    <cellStyle name="Title 8 2 2" xfId="13384"/>
    <cellStyle name="Title 8 2 2 2" xfId="21255"/>
    <cellStyle name="Title 9" xfId="3569"/>
    <cellStyle name="Title 9 2" xfId="9459"/>
    <cellStyle name="Title 9 2 2" xfId="13385"/>
    <cellStyle name="Title 9 2 2 2" xfId="21256"/>
    <cellStyle name="Titles" xfId="3570"/>
    <cellStyle name="Titles 2" xfId="9460"/>
    <cellStyle name="Titles 2 2" xfId="13386"/>
    <cellStyle name="Titles 2 2 2" xfId="21257"/>
    <cellStyle name="Titre" xfId="3571"/>
    <cellStyle name="Titre 2" xfId="9461"/>
    <cellStyle name="Titre 2 2" xfId="13387"/>
    <cellStyle name="Titre 2 2 2" xfId="21258"/>
    <cellStyle name="Titre 1" xfId="3572"/>
    <cellStyle name="Titre 1 2" xfId="9462"/>
    <cellStyle name="Titre 1 2 2" xfId="13388"/>
    <cellStyle name="Titre 1 2 2 2" xfId="21259"/>
    <cellStyle name="Titre 2" xfId="3573"/>
    <cellStyle name="Titre 2 2" xfId="9463"/>
    <cellStyle name="Titre 2 2 2" xfId="13389"/>
    <cellStyle name="Titre 2 2 2 2" xfId="21260"/>
    <cellStyle name="Titre 3" xfId="3574"/>
    <cellStyle name="Titre 3 2" xfId="9464"/>
    <cellStyle name="Titre 3 2 2" xfId="13390"/>
    <cellStyle name="Titre 3 2 2 2" xfId="21261"/>
    <cellStyle name="Titre 4" xfId="3575"/>
    <cellStyle name="Titre 4 2" xfId="9465"/>
    <cellStyle name="Titre 4 2 2" xfId="13391"/>
    <cellStyle name="Titre 4 2 2 2" xfId="21262"/>
    <cellStyle name="Total 10" xfId="3576"/>
    <cellStyle name="Total 10 2" xfId="9466"/>
    <cellStyle name="Total 10 2 2" xfId="13392"/>
    <cellStyle name="Total 10 2 2 2" xfId="21263"/>
    <cellStyle name="Total 11" xfId="3577"/>
    <cellStyle name="Total 11 2" xfId="9467"/>
    <cellStyle name="Total 11 2 2" xfId="13393"/>
    <cellStyle name="Total 11 2 2 2" xfId="21264"/>
    <cellStyle name="Total 12" xfId="3578"/>
    <cellStyle name="Total 12 2" xfId="9468"/>
    <cellStyle name="Total 12 2 2" xfId="13394"/>
    <cellStyle name="Total 12 2 2 2" xfId="21265"/>
    <cellStyle name="Total 13" xfId="3579"/>
    <cellStyle name="Total 13 2" xfId="9469"/>
    <cellStyle name="Total 13 2 2" xfId="13395"/>
    <cellStyle name="Total 13 2 2 2" xfId="21266"/>
    <cellStyle name="Total 14" xfId="3580"/>
    <cellStyle name="Total 14 2" xfId="9470"/>
    <cellStyle name="Total 14 2 2" xfId="13396"/>
    <cellStyle name="Total 14 2 2 2" xfId="21267"/>
    <cellStyle name="Total 15" xfId="3581"/>
    <cellStyle name="Total 15 2" xfId="9471"/>
    <cellStyle name="Total 15 2 2" xfId="13397"/>
    <cellStyle name="Total 15 2 2 2" xfId="21268"/>
    <cellStyle name="Total 16" xfId="3582"/>
    <cellStyle name="Total 16 2" xfId="9472"/>
    <cellStyle name="Total 16 2 2" xfId="13398"/>
    <cellStyle name="Total 16 2 2 2" xfId="21269"/>
    <cellStyle name="Total 17" xfId="3583"/>
    <cellStyle name="Total 17 2" xfId="9473"/>
    <cellStyle name="Total 17 2 2" xfId="13399"/>
    <cellStyle name="Total 17 2 2 2" xfId="21270"/>
    <cellStyle name="Total 18" xfId="3584"/>
    <cellStyle name="Total 18 2" xfId="9474"/>
    <cellStyle name="Total 18 2 2" xfId="13400"/>
    <cellStyle name="Total 18 2 2 2" xfId="21271"/>
    <cellStyle name="Total 19" xfId="3585"/>
    <cellStyle name="Total 19 2" xfId="9475"/>
    <cellStyle name="Total 19 2 2" xfId="13401"/>
    <cellStyle name="Total 19 2 2 2" xfId="21272"/>
    <cellStyle name="Total 2" xfId="3586"/>
    <cellStyle name="Total 2 2" xfId="3587"/>
    <cellStyle name="Total 2 2 2" xfId="9477"/>
    <cellStyle name="Total 2 2 2 2" xfId="13402"/>
    <cellStyle name="Total 2 2 2 2 2" xfId="21273"/>
    <cellStyle name="Total 2 3" xfId="5040"/>
    <cellStyle name="Total 2 3 2" xfId="9478"/>
    <cellStyle name="Total 2 3 2 2" xfId="13403"/>
    <cellStyle name="Total 2 3 2 2 2" xfId="21274"/>
    <cellStyle name="Total 2 4" xfId="6750"/>
    <cellStyle name="Total 2 5" xfId="9476"/>
    <cellStyle name="Total 2 5 2" xfId="13404"/>
    <cellStyle name="Total 2 5 2 2" xfId="21275"/>
    <cellStyle name="Total 20" xfId="3588"/>
    <cellStyle name="Total 20 2" xfId="9479"/>
    <cellStyle name="Total 20 2 2" xfId="13405"/>
    <cellStyle name="Total 20 2 2 2" xfId="21276"/>
    <cellStyle name="Total 21" xfId="3589"/>
    <cellStyle name="Total 21 2" xfId="9480"/>
    <cellStyle name="Total 21 2 2" xfId="13406"/>
    <cellStyle name="Total 21 2 2 2" xfId="21277"/>
    <cellStyle name="Total 22" xfId="3590"/>
    <cellStyle name="Total 22 2" xfId="9481"/>
    <cellStyle name="Total 22 2 2" xfId="13407"/>
    <cellStyle name="Total 22 2 2 2" xfId="21278"/>
    <cellStyle name="Total 23" xfId="14003"/>
    <cellStyle name="Total 3" xfId="3591"/>
    <cellStyle name="Total 3 2" xfId="9482"/>
    <cellStyle name="Total 3 2 2" xfId="13408"/>
    <cellStyle name="Total 3 2 2 2" xfId="21279"/>
    <cellStyle name="Total 4" xfId="3592"/>
    <cellStyle name="Total 4 2" xfId="3593"/>
    <cellStyle name="Total 4 2 2" xfId="9484"/>
    <cellStyle name="Total 4 2 2 2" xfId="13409"/>
    <cellStyle name="Total 4 2 2 2 2" xfId="21280"/>
    <cellStyle name="Total 4 3" xfId="9483"/>
    <cellStyle name="Total 4 3 2" xfId="13410"/>
    <cellStyle name="Total 4 3 2 2" xfId="21281"/>
    <cellStyle name="Total 5" xfId="3594"/>
    <cellStyle name="Total 5 2" xfId="9485"/>
    <cellStyle name="Total 5 2 2" xfId="13411"/>
    <cellStyle name="Total 5 2 2 2" xfId="21282"/>
    <cellStyle name="Total 6" xfId="3595"/>
    <cellStyle name="Total 6 2" xfId="9486"/>
    <cellStyle name="Total 6 2 2" xfId="13412"/>
    <cellStyle name="Total 6 2 2 2" xfId="21283"/>
    <cellStyle name="Total 7" xfId="3596"/>
    <cellStyle name="Total 7 2" xfId="9487"/>
    <cellStyle name="Total 7 2 2" xfId="13413"/>
    <cellStyle name="Total 7 2 2 2" xfId="21284"/>
    <cellStyle name="Total 8" xfId="3597"/>
    <cellStyle name="Total 8 2" xfId="9488"/>
    <cellStyle name="Total 8 2 2" xfId="13414"/>
    <cellStyle name="Total 8 2 2 2" xfId="21285"/>
    <cellStyle name="Total 9" xfId="3598"/>
    <cellStyle name="Total 9 2" xfId="9489"/>
    <cellStyle name="Total 9 2 2" xfId="13415"/>
    <cellStyle name="Total 9 2 2 2" xfId="21286"/>
    <cellStyle name="Totals" xfId="3599"/>
    <cellStyle name="Totals 2" xfId="9490"/>
    <cellStyle name="Totals 2 2" xfId="13416"/>
    <cellStyle name="Totals 2 2 2" xfId="21287"/>
    <cellStyle name="Two Dec." xfId="3600"/>
    <cellStyle name="Two Dec. 2" xfId="9491"/>
    <cellStyle name="Two Dec. 2 2" xfId="13417"/>
    <cellStyle name="Two Dec. 2 2 2" xfId="21288"/>
    <cellStyle name="Unp Comma [0]" xfId="3601"/>
    <cellStyle name="Unp Comma [0] 2" xfId="9492"/>
    <cellStyle name="Unp Comma [0] 2 2" xfId="13418"/>
    <cellStyle name="Unp Comma [0] 2 2 2" xfId="21289"/>
    <cellStyle name="Unp comment" xfId="3602"/>
    <cellStyle name="Unp comment 2" xfId="9493"/>
    <cellStyle name="Unp comment 2 2" xfId="13419"/>
    <cellStyle name="Unp comment 2 2 2" xfId="21290"/>
    <cellStyle name="Unp Fixed (1)" xfId="3603"/>
    <cellStyle name="Unp Fixed (1) 2" xfId="9494"/>
    <cellStyle name="Unp Fixed (1) 2 2" xfId="13420"/>
    <cellStyle name="Unp Fixed (1) 2 2 2" xfId="21291"/>
    <cellStyle name="Unp Name" xfId="3604"/>
    <cellStyle name="Unp Name 2" xfId="9495"/>
    <cellStyle name="Unp Name 2 2" xfId="13421"/>
    <cellStyle name="Unp Name 2 2 2" xfId="21292"/>
    <cellStyle name="Unprot" xfId="3605"/>
    <cellStyle name="Unprot 2" xfId="9496"/>
    <cellStyle name="Unprot 2 2" xfId="9664"/>
    <cellStyle name="Unprot 2 3" xfId="13422"/>
    <cellStyle name="Unprot 2 3 2" xfId="21293"/>
    <cellStyle name="Unprot$" xfId="3606"/>
    <cellStyle name="Unprot$ 2" xfId="9497"/>
    <cellStyle name="Unprot$ 2 2" xfId="9665"/>
    <cellStyle name="Unprot$ 2 3" xfId="13423"/>
    <cellStyle name="Unprot$ 2 3 2" xfId="21294"/>
    <cellStyle name="Unprot$ 3" xfId="9666"/>
    <cellStyle name="Unprot$ 4" xfId="9737"/>
    <cellStyle name="Unprot_CurrencySKorea" xfId="3607"/>
    <cellStyle name="Unprotect" xfId="3608"/>
    <cellStyle name="Unprotect 2" xfId="9498"/>
    <cellStyle name="Unprotect 2 2" xfId="13424"/>
    <cellStyle name="Unprotect 2 2 2" xfId="21295"/>
    <cellStyle name="UnProtectedCalc" xfId="3609"/>
    <cellStyle name="UnProtectedCalc 2" xfId="9499"/>
    <cellStyle name="UnProtectedCalc 2 2" xfId="13425"/>
    <cellStyle name="UnProtectedCalc 2 2 2" xfId="21296"/>
    <cellStyle name="UOM center" xfId="3610"/>
    <cellStyle name="UOM center 2" xfId="9500"/>
    <cellStyle name="UOM center 2 2" xfId="13426"/>
    <cellStyle name="UOM center 2 2 2" xfId="21297"/>
    <cellStyle name="User_Defined_A" xfId="3611"/>
    <cellStyle name="Value" xfId="3612"/>
    <cellStyle name="Value 2" xfId="9501"/>
    <cellStyle name="Value 2 2" xfId="13427"/>
    <cellStyle name="Value 2 2 2" xfId="21298"/>
    <cellStyle name="Vérification" xfId="3613"/>
    <cellStyle name="Vérification 2" xfId="9502"/>
    <cellStyle name="Vérification 2 2" xfId="13428"/>
    <cellStyle name="Vérification 2 2 2" xfId="21299"/>
    <cellStyle name="Warning Text 10" xfId="3614"/>
    <cellStyle name="Warning Text 10 2" xfId="9503"/>
    <cellStyle name="Warning Text 10 2 2" xfId="13429"/>
    <cellStyle name="Warning Text 10 2 2 2" xfId="21300"/>
    <cellStyle name="Warning Text 11" xfId="3615"/>
    <cellStyle name="Warning Text 11 2" xfId="9504"/>
    <cellStyle name="Warning Text 11 2 2" xfId="13430"/>
    <cellStyle name="Warning Text 11 2 2 2" xfId="21301"/>
    <cellStyle name="Warning Text 12" xfId="3616"/>
    <cellStyle name="Warning Text 12 2" xfId="9505"/>
    <cellStyle name="Warning Text 12 2 2" xfId="13431"/>
    <cellStyle name="Warning Text 12 2 2 2" xfId="21302"/>
    <cellStyle name="Warning Text 13" xfId="3617"/>
    <cellStyle name="Warning Text 13 2" xfId="9506"/>
    <cellStyle name="Warning Text 13 2 2" xfId="13432"/>
    <cellStyle name="Warning Text 13 2 2 2" xfId="21303"/>
    <cellStyle name="Warning Text 14" xfId="3618"/>
    <cellStyle name="Warning Text 14 2" xfId="9507"/>
    <cellStyle name="Warning Text 14 2 2" xfId="13433"/>
    <cellStyle name="Warning Text 14 2 2 2" xfId="21304"/>
    <cellStyle name="Warning Text 15" xfId="3619"/>
    <cellStyle name="Warning Text 15 2" xfId="9508"/>
    <cellStyle name="Warning Text 15 2 2" xfId="13434"/>
    <cellStyle name="Warning Text 15 2 2 2" xfId="21305"/>
    <cellStyle name="Warning Text 16" xfId="3620"/>
    <cellStyle name="Warning Text 16 2" xfId="9509"/>
    <cellStyle name="Warning Text 16 2 2" xfId="13435"/>
    <cellStyle name="Warning Text 16 2 2 2" xfId="21306"/>
    <cellStyle name="Warning Text 17" xfId="3621"/>
    <cellStyle name="Warning Text 17 2" xfId="9510"/>
    <cellStyle name="Warning Text 17 2 2" xfId="13436"/>
    <cellStyle name="Warning Text 17 2 2 2" xfId="21307"/>
    <cellStyle name="Warning Text 18" xfId="3622"/>
    <cellStyle name="Warning Text 18 2" xfId="9511"/>
    <cellStyle name="Warning Text 18 2 2" xfId="13437"/>
    <cellStyle name="Warning Text 18 2 2 2" xfId="21308"/>
    <cellStyle name="Warning Text 19" xfId="3623"/>
    <cellStyle name="Warning Text 19 2" xfId="9512"/>
    <cellStyle name="Warning Text 19 2 2" xfId="13438"/>
    <cellStyle name="Warning Text 19 2 2 2" xfId="21309"/>
    <cellStyle name="Warning Text 2" xfId="3624"/>
    <cellStyle name="Warning Text 2 2" xfId="9513"/>
    <cellStyle name="Warning Text 2 2 2" xfId="13439"/>
    <cellStyle name="Warning Text 2 2 2 2" xfId="21310"/>
    <cellStyle name="Warning Text 20" xfId="3625"/>
    <cellStyle name="Warning Text 20 2" xfId="9514"/>
    <cellStyle name="Warning Text 20 2 2" xfId="13440"/>
    <cellStyle name="Warning Text 20 2 2 2" xfId="21311"/>
    <cellStyle name="Warning Text 21" xfId="3626"/>
    <cellStyle name="Warning Text 21 2" xfId="9515"/>
    <cellStyle name="Warning Text 21 2 2" xfId="13441"/>
    <cellStyle name="Warning Text 21 2 2 2" xfId="21312"/>
    <cellStyle name="Warning Text 22" xfId="14004"/>
    <cellStyle name="Warning Text 3" xfId="3627"/>
    <cellStyle name="Warning Text 3 2" xfId="9516"/>
    <cellStyle name="Warning Text 3 2 2" xfId="13442"/>
    <cellStyle name="Warning Text 3 2 2 2" xfId="21313"/>
    <cellStyle name="Warning Text 4" xfId="3628"/>
    <cellStyle name="Warning Text 4 2" xfId="3629"/>
    <cellStyle name="Warning Text 4 2 2" xfId="9518"/>
    <cellStyle name="Warning Text 4 2 2 2" xfId="13443"/>
    <cellStyle name="Warning Text 4 2 2 2 2" xfId="21314"/>
    <cellStyle name="Warning Text 4 3" xfId="9517"/>
    <cellStyle name="Warning Text 4 3 2" xfId="13444"/>
    <cellStyle name="Warning Text 4 3 2 2" xfId="21315"/>
    <cellStyle name="Warning Text 5" xfId="3630"/>
    <cellStyle name="Warning Text 5 2" xfId="9519"/>
    <cellStyle name="Warning Text 5 2 2" xfId="13445"/>
    <cellStyle name="Warning Text 5 2 2 2" xfId="21316"/>
    <cellStyle name="Warning Text 6" xfId="3631"/>
    <cellStyle name="Warning Text 6 2" xfId="9520"/>
    <cellStyle name="Warning Text 6 2 2" xfId="13446"/>
    <cellStyle name="Warning Text 6 2 2 2" xfId="21317"/>
    <cellStyle name="Warning Text 7" xfId="3632"/>
    <cellStyle name="Warning Text 7 2" xfId="9521"/>
    <cellStyle name="Warning Text 7 2 2" xfId="13447"/>
    <cellStyle name="Warning Text 7 2 2 2" xfId="21318"/>
    <cellStyle name="Warning Text 8" xfId="3633"/>
    <cellStyle name="Warning Text 8 2" xfId="9522"/>
    <cellStyle name="Warning Text 8 2 2" xfId="13448"/>
    <cellStyle name="Warning Text 8 2 2 2" xfId="21319"/>
    <cellStyle name="Warning Text 9" xfId="3634"/>
    <cellStyle name="Warning Text 9 2" xfId="9523"/>
    <cellStyle name="Warning Text 9 2 2" xfId="13449"/>
    <cellStyle name="Warning Text 9 2 2 2" xfId="21320"/>
    <cellStyle name="waslotus" xfId="3635"/>
    <cellStyle name="waslotus 2" xfId="9524"/>
    <cellStyle name="waslotus 2 2" xfId="13450"/>
    <cellStyle name="waslotus 2 2 2" xfId="21321"/>
    <cellStyle name="wk1_xls" xfId="3636"/>
    <cellStyle name="Year" xfId="3637"/>
    <cellStyle name="Year 2" xfId="9525"/>
    <cellStyle name="Year 2 2" xfId="13451"/>
    <cellStyle name="Year 2 2 2" xfId="21322"/>
    <cellStyle name="Years" xfId="3638"/>
    <cellStyle name="Years 2" xfId="9526"/>
    <cellStyle name="Years 2 2" xfId="9667"/>
    <cellStyle name="Years 2 3" xfId="13452"/>
    <cellStyle name="Years 2 3 2" xfId="21323"/>
    <cellStyle name="Zero Dec." xfId="3639"/>
    <cellStyle name="Zero Dec. 2" xfId="9527"/>
    <cellStyle name="Zero Dec. 2 2" xfId="13453"/>
    <cellStyle name="Zero Dec. 2 2 2" xfId="21324"/>
    <cellStyle name="Денежный [0]_J11-NORT" xfId="3640"/>
    <cellStyle name="Денежный_J11-NORT" xfId="3641"/>
    <cellStyle name="Обычный_forma" xfId="3642"/>
    <cellStyle name="Тысячи [0]_J11-NORT" xfId="3643"/>
    <cellStyle name="Тысячи_J11-NORT" xfId="3644"/>
    <cellStyle name="Финансовый [0]_Tabl_0303_0304" xfId="3645"/>
    <cellStyle name="Финансовый_Tabl_0303_0304" xfId="3646"/>
  </cellStyles>
  <dxfs count="0"/>
  <tableStyles count="0" defaultTableStyle="TableStyleMedium2" defaultPivotStyle="PivotStyleLight16"/>
  <colors>
    <mruColors>
      <color rgb="FFFFFF99"/>
      <color rgb="FFCCFFCC"/>
      <color rgb="FFFF66FF"/>
      <color rgb="FFFF00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Lbls>
            <c:showLegendKey val="0"/>
            <c:showVal val="1"/>
            <c:showCatName val="0"/>
            <c:showSerName val="0"/>
            <c:showPercent val="0"/>
            <c:showBubbleSize val="0"/>
            <c:showLeaderLines val="0"/>
          </c:dLbls>
          <c:cat>
            <c:multiLvlStrRef>
              <c:f>'2014StudyClassification'!$B$8:$C$9</c:f>
              <c:multiLvlStrCache>
                <c:ptCount val="2"/>
                <c:lvl>
                  <c:pt idx="0">
                    <c:v>240 kV Line - 2 X 795</c:v>
                  </c:pt>
                  <c:pt idx="1">
                    <c:v>240 kV Line - 2 x 1033</c:v>
                  </c:pt>
                </c:lvl>
                <c:lvl>
                  <c:pt idx="0">
                    <c:v>Minimum System</c:v>
                  </c:pt>
                  <c:pt idx="1">
                    <c:v>Optimal System</c:v>
                  </c:pt>
                </c:lvl>
              </c:multiLvlStrCache>
            </c:multiLvlStrRef>
          </c:cat>
          <c:val>
            <c:numRef>
              <c:f>'2014StudyClassification'!$D$8:$D$9</c:f>
              <c:numCache>
                <c:formatCode>_("$"* #,##0_);_("$"* \(#,##0\);_("$"* "-"??_);_(@_)</c:formatCode>
                <c:ptCount val="2"/>
                <c:pt idx="0">
                  <c:v>1593624.09</c:v>
                </c:pt>
                <c:pt idx="1">
                  <c:v>1701334.06</c:v>
                </c:pt>
              </c:numCache>
            </c:numRef>
          </c:val>
        </c:ser>
        <c:dLbls>
          <c:showLegendKey val="0"/>
          <c:showVal val="0"/>
          <c:showCatName val="0"/>
          <c:showSerName val="0"/>
          <c:showPercent val="0"/>
          <c:showBubbleSize val="0"/>
        </c:dLbls>
        <c:gapWidth val="150"/>
        <c:axId val="41017728"/>
        <c:axId val="41019264"/>
      </c:barChart>
      <c:catAx>
        <c:axId val="41017728"/>
        <c:scaling>
          <c:orientation val="minMax"/>
        </c:scaling>
        <c:delete val="0"/>
        <c:axPos val="b"/>
        <c:numFmt formatCode="General" sourceLinked="1"/>
        <c:majorTickMark val="out"/>
        <c:minorTickMark val="none"/>
        <c:tickLblPos val="nextTo"/>
        <c:crossAx val="41019264"/>
        <c:crosses val="autoZero"/>
        <c:auto val="1"/>
        <c:lblAlgn val="ctr"/>
        <c:lblOffset val="100"/>
        <c:noMultiLvlLbl val="0"/>
      </c:catAx>
      <c:valAx>
        <c:axId val="41019264"/>
        <c:scaling>
          <c:orientation val="minMax"/>
          <c:min val="0"/>
        </c:scaling>
        <c:delete val="0"/>
        <c:axPos val="l"/>
        <c:title>
          <c:tx>
            <c:rich>
              <a:bodyPr rot="-5400000" vert="horz"/>
              <a:lstStyle/>
              <a:p>
                <a:pPr>
                  <a:defRPr/>
                </a:pPr>
                <a:r>
                  <a:rPr lang="en-US"/>
                  <a:t>Cost of Conductor ($/km)</a:t>
                </a:r>
              </a:p>
            </c:rich>
          </c:tx>
          <c:layout/>
          <c:overlay val="0"/>
        </c:title>
        <c:numFmt formatCode="_(&quot;$&quot;* #,##0_);_(&quot;$&quot;* \(#,##0\);_(&quot;$&quot;* &quot;-&quot;??_);_(@_)" sourceLinked="1"/>
        <c:majorTickMark val="out"/>
        <c:minorTickMark val="none"/>
        <c:tickLblPos val="nextTo"/>
        <c:crossAx val="41017728"/>
        <c:crosses val="autoZero"/>
        <c:crossBetween val="between"/>
      </c:valAx>
    </c:plotArea>
    <c:plotVisOnly val="1"/>
    <c:dispBlanksAs val="gap"/>
    <c:showDLblsOverMax val="0"/>
  </c:chart>
  <c:spPr>
    <a:ln>
      <a:noFill/>
    </a:ln>
  </c:spPr>
  <c:txPr>
    <a:bodyPr/>
    <a:lstStyle/>
    <a:p>
      <a:pPr>
        <a:defRPr>
          <a:latin typeface="Book Antiqua" pitchFamily="18"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by Estimate Date</a:t>
            </a:r>
          </a:p>
        </c:rich>
      </c:tx>
      <c:overlay val="1"/>
    </c:title>
    <c:autoTitleDeleted val="0"/>
    <c:plotArea>
      <c:layout/>
      <c:scatterChart>
        <c:scatterStyle val="lineMarker"/>
        <c:varyColors val="0"/>
        <c:ser>
          <c:idx val="0"/>
          <c:order val="0"/>
          <c:tx>
            <c:v>477</c:v>
          </c:tx>
          <c:spPr>
            <a:ln w="28575">
              <a:noFill/>
            </a:ln>
          </c:spPr>
          <c:marker>
            <c:symbol val="diamond"/>
            <c:size val="4"/>
          </c:marker>
          <c:xVal>
            <c:numRef>
              <c:f>'2014StudyData'!$C$66:$C$88</c:f>
              <c:numCache>
                <c:formatCode>yyyy-mm-dd</c:formatCode>
                <c:ptCount val="23"/>
                <c:pt idx="0">
                  <c:v>41296</c:v>
                </c:pt>
                <c:pt idx="1">
                  <c:v>40203</c:v>
                </c:pt>
                <c:pt idx="2">
                  <c:v>40366</c:v>
                </c:pt>
                <c:pt idx="3">
                  <c:v>41090</c:v>
                </c:pt>
                <c:pt idx="4">
                  <c:v>41296</c:v>
                </c:pt>
                <c:pt idx="5">
                  <c:v>40844</c:v>
                </c:pt>
                <c:pt idx="6">
                  <c:v>40268</c:v>
                </c:pt>
                <c:pt idx="7">
                  <c:v>40324</c:v>
                </c:pt>
                <c:pt idx="8">
                  <c:v>41122</c:v>
                </c:pt>
                <c:pt idx="9">
                  <c:v>41122</c:v>
                </c:pt>
                <c:pt idx="10">
                  <c:v>41122</c:v>
                </c:pt>
                <c:pt idx="11">
                  <c:v>41249</c:v>
                </c:pt>
                <c:pt idx="12">
                  <c:v>41122</c:v>
                </c:pt>
                <c:pt idx="13">
                  <c:v>41122</c:v>
                </c:pt>
                <c:pt idx="14">
                  <c:v>40843</c:v>
                </c:pt>
                <c:pt idx="15">
                  <c:v>39600</c:v>
                </c:pt>
                <c:pt idx="16">
                  <c:v>41185</c:v>
                </c:pt>
                <c:pt idx="17">
                  <c:v>41193</c:v>
                </c:pt>
                <c:pt idx="18">
                  <c:v>41185</c:v>
                </c:pt>
                <c:pt idx="19">
                  <c:v>41344</c:v>
                </c:pt>
                <c:pt idx="20">
                  <c:v>40843</c:v>
                </c:pt>
                <c:pt idx="21">
                  <c:v>41122</c:v>
                </c:pt>
                <c:pt idx="22">
                  <c:v>39326</c:v>
                </c:pt>
              </c:numCache>
            </c:numRef>
          </c:xVal>
          <c:yVal>
            <c:numRef>
              <c:f>'2014StudyData'!$Q$66:$Q$88</c:f>
              <c:numCache>
                <c:formatCode>"$"#,##0</c:formatCode>
                <c:ptCount val="23"/>
                <c:pt idx="0">
                  <c:v>1682914.2857142859</c:v>
                </c:pt>
                <c:pt idx="1">
                  <c:v>131387.45833333334</c:v>
                </c:pt>
                <c:pt idx="2">
                  <c:v>429571.42857142858</c:v>
                </c:pt>
                <c:pt idx="3">
                  <c:v>532617.30000000005</c:v>
                </c:pt>
                <c:pt idx="4">
                  <c:v>765684.30769230775</c:v>
                </c:pt>
                <c:pt idx="5">
                  <c:v>369529.4117647059</c:v>
                </c:pt>
                <c:pt idx="6">
                  <c:v>469526.51162790699</c:v>
                </c:pt>
                <c:pt idx="7">
                  <c:v>783323.94366197183</c:v>
                </c:pt>
                <c:pt idx="8">
                  <c:v>346267.35294117645</c:v>
                </c:pt>
                <c:pt idx="9">
                  <c:v>299457.5</c:v>
                </c:pt>
                <c:pt idx="10">
                  <c:v>340993</c:v>
                </c:pt>
                <c:pt idx="11">
                  <c:v>629153.3600000001</c:v>
                </c:pt>
                <c:pt idx="12">
                  <c:v>325259.375</c:v>
                </c:pt>
                <c:pt idx="13">
                  <c:v>624864.24</c:v>
                </c:pt>
                <c:pt idx="14">
                  <c:v>550000</c:v>
                </c:pt>
                <c:pt idx="15">
                  <c:v>283770.49180327868</c:v>
                </c:pt>
                <c:pt idx="16">
                  <c:v>536857.14285714284</c:v>
                </c:pt>
                <c:pt idx="17">
                  <c:v>772816</c:v>
                </c:pt>
                <c:pt idx="18">
                  <c:v>511960.78431372554</c:v>
                </c:pt>
                <c:pt idx="19">
                  <c:v>1479573.3333333333</c:v>
                </c:pt>
                <c:pt idx="20">
                  <c:v>687000</c:v>
                </c:pt>
                <c:pt idx="21">
                  <c:v>575551.99679999996</c:v>
                </c:pt>
                <c:pt idx="22">
                  <c:v>3313200</c:v>
                </c:pt>
              </c:numCache>
            </c:numRef>
          </c:yVal>
          <c:smooth val="0"/>
        </c:ser>
        <c:ser>
          <c:idx val="1"/>
          <c:order val="1"/>
          <c:tx>
            <c:v>266</c:v>
          </c:tx>
          <c:spPr>
            <a:ln w="28575">
              <a:noFill/>
            </a:ln>
          </c:spPr>
          <c:marker>
            <c:symbol val="circle"/>
            <c:size val="4"/>
          </c:marker>
          <c:xVal>
            <c:numRef>
              <c:f>'2014StudyData'!$C$97:$C$139</c:f>
              <c:numCache>
                <c:formatCode>yyyy-mm-dd</c:formatCode>
                <c:ptCount val="43"/>
                <c:pt idx="0">
                  <c:v>39605</c:v>
                </c:pt>
                <c:pt idx="1">
                  <c:v>39595</c:v>
                </c:pt>
                <c:pt idx="2">
                  <c:v>40893</c:v>
                </c:pt>
                <c:pt idx="3">
                  <c:v>41244</c:v>
                </c:pt>
                <c:pt idx="4">
                  <c:v>39675</c:v>
                </c:pt>
                <c:pt idx="5">
                  <c:v>41262</c:v>
                </c:pt>
                <c:pt idx="6">
                  <c:v>40210</c:v>
                </c:pt>
                <c:pt idx="7">
                  <c:v>41136</c:v>
                </c:pt>
                <c:pt idx="8">
                  <c:v>41136</c:v>
                </c:pt>
                <c:pt idx="9">
                  <c:v>41110</c:v>
                </c:pt>
                <c:pt idx="10">
                  <c:v>40438</c:v>
                </c:pt>
                <c:pt idx="11">
                  <c:v>41026</c:v>
                </c:pt>
                <c:pt idx="12">
                  <c:v>39626</c:v>
                </c:pt>
                <c:pt idx="13">
                  <c:v>39675</c:v>
                </c:pt>
                <c:pt idx="14">
                  <c:v>40700</c:v>
                </c:pt>
                <c:pt idx="15">
                  <c:v>40877</c:v>
                </c:pt>
                <c:pt idx="16">
                  <c:v>40738</c:v>
                </c:pt>
                <c:pt idx="17">
                  <c:v>40700</c:v>
                </c:pt>
                <c:pt idx="18">
                  <c:v>39539</c:v>
                </c:pt>
                <c:pt idx="19">
                  <c:v>40151</c:v>
                </c:pt>
                <c:pt idx="20">
                  <c:v>39387</c:v>
                </c:pt>
                <c:pt idx="21">
                  <c:v>39612</c:v>
                </c:pt>
                <c:pt idx="22">
                  <c:v>40268</c:v>
                </c:pt>
                <c:pt idx="23">
                  <c:v>39514</c:v>
                </c:pt>
                <c:pt idx="24">
                  <c:v>40268</c:v>
                </c:pt>
                <c:pt idx="25">
                  <c:v>39766</c:v>
                </c:pt>
                <c:pt idx="26">
                  <c:v>40268</c:v>
                </c:pt>
                <c:pt idx="27">
                  <c:v>40891</c:v>
                </c:pt>
                <c:pt idx="28">
                  <c:v>40022</c:v>
                </c:pt>
                <c:pt idx="29">
                  <c:v>40022</c:v>
                </c:pt>
                <c:pt idx="30">
                  <c:v>40891</c:v>
                </c:pt>
                <c:pt idx="31">
                  <c:v>39577</c:v>
                </c:pt>
                <c:pt idx="32">
                  <c:v>39925</c:v>
                </c:pt>
                <c:pt idx="33">
                  <c:v>40480</c:v>
                </c:pt>
                <c:pt idx="34">
                  <c:v>40877</c:v>
                </c:pt>
                <c:pt idx="35">
                  <c:v>40996</c:v>
                </c:pt>
                <c:pt idx="36">
                  <c:v>39790</c:v>
                </c:pt>
                <c:pt idx="37">
                  <c:v>41079</c:v>
                </c:pt>
                <c:pt idx="38">
                  <c:v>40022</c:v>
                </c:pt>
                <c:pt idx="39">
                  <c:v>41530</c:v>
                </c:pt>
                <c:pt idx="40">
                  <c:v>40877</c:v>
                </c:pt>
                <c:pt idx="41">
                  <c:v>41039</c:v>
                </c:pt>
                <c:pt idx="42">
                  <c:v>40480</c:v>
                </c:pt>
              </c:numCache>
            </c:numRef>
          </c:xVal>
          <c:yVal>
            <c:numRef>
              <c:f>'2014StudyData'!$Q$97:$Q$139</c:f>
              <c:numCache>
                <c:formatCode>"$"#,##0</c:formatCode>
                <c:ptCount val="43"/>
                <c:pt idx="0">
                  <c:v>5728800</c:v>
                </c:pt>
                <c:pt idx="1">
                  <c:v>552500</c:v>
                </c:pt>
                <c:pt idx="2">
                  <c:v>693333.33333333337</c:v>
                </c:pt>
                <c:pt idx="3">
                  <c:v>1103000</c:v>
                </c:pt>
                <c:pt idx="4">
                  <c:v>1602114</c:v>
                </c:pt>
                <c:pt idx="5">
                  <c:v>2215642.88</c:v>
                </c:pt>
                <c:pt idx="6">
                  <c:v>284910.71428571432</c:v>
                </c:pt>
                <c:pt idx="7">
                  <c:v>2860000</c:v>
                </c:pt>
                <c:pt idx="8">
                  <c:v>3840000</c:v>
                </c:pt>
                <c:pt idx="9">
                  <c:v>2800000</c:v>
                </c:pt>
                <c:pt idx="10">
                  <c:v>4740000</c:v>
                </c:pt>
                <c:pt idx="11">
                  <c:v>2030000</c:v>
                </c:pt>
                <c:pt idx="12">
                  <c:v>298650</c:v>
                </c:pt>
                <c:pt idx="13">
                  <c:v>1936605</c:v>
                </c:pt>
                <c:pt idx="14">
                  <c:v>1500000</c:v>
                </c:pt>
                <c:pt idx="15">
                  <c:v>211857.14285714287</c:v>
                </c:pt>
                <c:pt idx="16">
                  <c:v>732000</c:v>
                </c:pt>
                <c:pt idx="17">
                  <c:v>265454.54545454547</c:v>
                </c:pt>
                <c:pt idx="18">
                  <c:v>128886.15384615384</c:v>
                </c:pt>
                <c:pt idx="19">
                  <c:v>197721.70588235295</c:v>
                </c:pt>
                <c:pt idx="20">
                  <c:v>1437500</c:v>
                </c:pt>
                <c:pt idx="21">
                  <c:v>345219.04761904763</c:v>
                </c:pt>
                <c:pt idx="22">
                  <c:v>258586</c:v>
                </c:pt>
                <c:pt idx="23">
                  <c:v>258586.20689655171</c:v>
                </c:pt>
                <c:pt idx="24">
                  <c:v>202628.80434782611</c:v>
                </c:pt>
                <c:pt idx="25">
                  <c:v>804869.8562091504</c:v>
                </c:pt>
                <c:pt idx="26">
                  <c:v>285094.59999999998</c:v>
                </c:pt>
                <c:pt idx="27">
                  <c:v>909739.69230769225</c:v>
                </c:pt>
                <c:pt idx="28">
                  <c:v>524490.5660377359</c:v>
                </c:pt>
                <c:pt idx="29">
                  <c:v>288933.33333333331</c:v>
                </c:pt>
                <c:pt idx="30">
                  <c:v>225987.54347826086</c:v>
                </c:pt>
                <c:pt idx="31">
                  <c:v>206615.38461538462</c:v>
                </c:pt>
                <c:pt idx="32">
                  <c:v>229250</c:v>
                </c:pt>
                <c:pt idx="33">
                  <c:v>268906.25</c:v>
                </c:pt>
                <c:pt idx="34">
                  <c:v>191176.4705882353</c:v>
                </c:pt>
                <c:pt idx="35">
                  <c:v>1615690.9090909089</c:v>
                </c:pt>
                <c:pt idx="36">
                  <c:v>162360</c:v>
                </c:pt>
                <c:pt idx="37">
                  <c:v>493526.4</c:v>
                </c:pt>
                <c:pt idx="38">
                  <c:v>166400</c:v>
                </c:pt>
                <c:pt idx="39">
                  <c:v>604462.39333333331</c:v>
                </c:pt>
                <c:pt idx="40">
                  <c:v>203909.09090909091</c:v>
                </c:pt>
                <c:pt idx="41">
                  <c:v>553353.48837209307</c:v>
                </c:pt>
                <c:pt idx="42">
                  <c:v>404250</c:v>
                </c:pt>
              </c:numCache>
            </c:numRef>
          </c:yVal>
          <c:smooth val="0"/>
        </c:ser>
        <c:dLbls>
          <c:showLegendKey val="0"/>
          <c:showVal val="0"/>
          <c:showCatName val="0"/>
          <c:showSerName val="0"/>
          <c:showPercent val="0"/>
          <c:showBubbleSize val="0"/>
        </c:dLbls>
        <c:axId val="43400192"/>
        <c:axId val="43406080"/>
      </c:scatterChart>
      <c:valAx>
        <c:axId val="43400192"/>
        <c:scaling>
          <c:orientation val="minMax"/>
        </c:scaling>
        <c:delete val="0"/>
        <c:axPos val="b"/>
        <c:numFmt formatCode="yyyy-mm-dd" sourceLinked="1"/>
        <c:majorTickMark val="out"/>
        <c:minorTickMark val="none"/>
        <c:tickLblPos val="nextTo"/>
        <c:crossAx val="43406080"/>
        <c:crosses val="autoZero"/>
        <c:crossBetween val="midCat"/>
      </c:valAx>
      <c:valAx>
        <c:axId val="43406080"/>
        <c:scaling>
          <c:orientation val="minMax"/>
          <c:max val="4000000"/>
        </c:scaling>
        <c:delete val="0"/>
        <c:axPos val="l"/>
        <c:majorGridlines/>
        <c:numFmt formatCode="&quot;$&quot;#,##0" sourceLinked="1"/>
        <c:majorTickMark val="out"/>
        <c:minorTickMark val="none"/>
        <c:tickLblPos val="nextTo"/>
        <c:crossAx val="43400192"/>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477</c:v>
          </c:tx>
          <c:spPr>
            <a:ln w="28575">
              <a:noFill/>
            </a:ln>
          </c:spPr>
          <c:marker>
            <c:symbol val="diamond"/>
            <c:size val="4"/>
          </c:marker>
          <c:xVal>
            <c:numRef>
              <c:f>'2014StudyData'!$J$66:$J$88</c:f>
              <c:numCache>
                <c:formatCode>General</c:formatCode>
                <c:ptCount val="23"/>
                <c:pt idx="0">
                  <c:v>0.7</c:v>
                </c:pt>
                <c:pt idx="1">
                  <c:v>24</c:v>
                </c:pt>
                <c:pt idx="2">
                  <c:v>14</c:v>
                </c:pt>
                <c:pt idx="3">
                  <c:v>10</c:v>
                </c:pt>
                <c:pt idx="4">
                  <c:v>6.5</c:v>
                </c:pt>
                <c:pt idx="5">
                  <c:v>51</c:v>
                </c:pt>
                <c:pt idx="6">
                  <c:v>4.3</c:v>
                </c:pt>
                <c:pt idx="7">
                  <c:v>7.1</c:v>
                </c:pt>
                <c:pt idx="8">
                  <c:v>17</c:v>
                </c:pt>
                <c:pt idx="9">
                  <c:v>0.4</c:v>
                </c:pt>
                <c:pt idx="10">
                  <c:v>2</c:v>
                </c:pt>
                <c:pt idx="11">
                  <c:v>7</c:v>
                </c:pt>
                <c:pt idx="12">
                  <c:v>8</c:v>
                </c:pt>
                <c:pt idx="13">
                  <c:v>1</c:v>
                </c:pt>
                <c:pt idx="14">
                  <c:v>1.6</c:v>
                </c:pt>
                <c:pt idx="15">
                  <c:v>12.2</c:v>
                </c:pt>
                <c:pt idx="16">
                  <c:v>3.5</c:v>
                </c:pt>
                <c:pt idx="17">
                  <c:v>0.5</c:v>
                </c:pt>
                <c:pt idx="18">
                  <c:v>5.0999999999999996</c:v>
                </c:pt>
                <c:pt idx="19">
                  <c:v>3</c:v>
                </c:pt>
                <c:pt idx="20">
                  <c:v>1</c:v>
                </c:pt>
                <c:pt idx="21">
                  <c:v>25</c:v>
                </c:pt>
                <c:pt idx="22">
                  <c:v>0.2</c:v>
                </c:pt>
              </c:numCache>
            </c:numRef>
          </c:xVal>
          <c:yVal>
            <c:numRef>
              <c:f>'2014StudyData'!$Q$66:$Q$88</c:f>
              <c:numCache>
                <c:formatCode>"$"#,##0</c:formatCode>
                <c:ptCount val="23"/>
                <c:pt idx="0">
                  <c:v>1682914.2857142859</c:v>
                </c:pt>
                <c:pt idx="1">
                  <c:v>131387.45833333334</c:v>
                </c:pt>
                <c:pt idx="2">
                  <c:v>429571.42857142858</c:v>
                </c:pt>
                <c:pt idx="3">
                  <c:v>532617.30000000005</c:v>
                </c:pt>
                <c:pt idx="4">
                  <c:v>765684.30769230775</c:v>
                </c:pt>
                <c:pt idx="5">
                  <c:v>369529.4117647059</c:v>
                </c:pt>
                <c:pt idx="6">
                  <c:v>469526.51162790699</c:v>
                </c:pt>
                <c:pt idx="7">
                  <c:v>783323.94366197183</c:v>
                </c:pt>
                <c:pt idx="8">
                  <c:v>346267.35294117645</c:v>
                </c:pt>
                <c:pt idx="9">
                  <c:v>299457.5</c:v>
                </c:pt>
                <c:pt idx="10">
                  <c:v>340993</c:v>
                </c:pt>
                <c:pt idx="11">
                  <c:v>629153.3600000001</c:v>
                </c:pt>
                <c:pt idx="12">
                  <c:v>325259.375</c:v>
                </c:pt>
                <c:pt idx="13">
                  <c:v>624864.24</c:v>
                </c:pt>
                <c:pt idx="14">
                  <c:v>550000</c:v>
                </c:pt>
                <c:pt idx="15">
                  <c:v>283770.49180327868</c:v>
                </c:pt>
                <c:pt idx="16">
                  <c:v>536857.14285714284</c:v>
                </c:pt>
                <c:pt idx="17">
                  <c:v>772816</c:v>
                </c:pt>
                <c:pt idx="18">
                  <c:v>511960.78431372554</c:v>
                </c:pt>
                <c:pt idx="19">
                  <c:v>1479573.3333333333</c:v>
                </c:pt>
                <c:pt idx="20">
                  <c:v>687000</c:v>
                </c:pt>
                <c:pt idx="21">
                  <c:v>575551.99679999996</c:v>
                </c:pt>
                <c:pt idx="22">
                  <c:v>3313200</c:v>
                </c:pt>
              </c:numCache>
            </c:numRef>
          </c:yVal>
          <c:smooth val="0"/>
        </c:ser>
        <c:ser>
          <c:idx val="1"/>
          <c:order val="1"/>
          <c:tx>
            <c:v>266</c:v>
          </c:tx>
          <c:spPr>
            <a:ln w="28575">
              <a:noFill/>
            </a:ln>
          </c:spPr>
          <c:marker>
            <c:symbol val="circle"/>
            <c:size val="4"/>
          </c:marker>
          <c:xVal>
            <c:numRef>
              <c:f>'2014StudyData'!$J$97:$J$139</c:f>
              <c:numCache>
                <c:formatCode>General</c:formatCode>
                <c:ptCount val="43"/>
                <c:pt idx="0">
                  <c:v>0.1</c:v>
                </c:pt>
                <c:pt idx="1">
                  <c:v>1.2</c:v>
                </c:pt>
                <c:pt idx="2">
                  <c:v>0.3</c:v>
                </c:pt>
                <c:pt idx="3">
                  <c:v>3</c:v>
                </c:pt>
                <c:pt idx="4">
                  <c:v>0.5</c:v>
                </c:pt>
                <c:pt idx="5">
                  <c:v>0.5</c:v>
                </c:pt>
                <c:pt idx="6">
                  <c:v>11.2</c:v>
                </c:pt>
                <c:pt idx="7">
                  <c:v>0.05</c:v>
                </c:pt>
                <c:pt idx="8">
                  <c:v>0.05</c:v>
                </c:pt>
                <c:pt idx="9">
                  <c:v>0.1</c:v>
                </c:pt>
                <c:pt idx="10">
                  <c:v>0.1</c:v>
                </c:pt>
                <c:pt idx="11">
                  <c:v>0.5</c:v>
                </c:pt>
                <c:pt idx="12">
                  <c:v>16</c:v>
                </c:pt>
                <c:pt idx="13">
                  <c:v>0.2</c:v>
                </c:pt>
                <c:pt idx="14">
                  <c:v>0.2</c:v>
                </c:pt>
                <c:pt idx="15">
                  <c:v>7</c:v>
                </c:pt>
                <c:pt idx="16">
                  <c:v>2</c:v>
                </c:pt>
                <c:pt idx="17">
                  <c:v>11</c:v>
                </c:pt>
                <c:pt idx="18">
                  <c:v>6.5</c:v>
                </c:pt>
                <c:pt idx="19">
                  <c:v>17</c:v>
                </c:pt>
                <c:pt idx="20">
                  <c:v>0.4</c:v>
                </c:pt>
                <c:pt idx="21">
                  <c:v>105</c:v>
                </c:pt>
                <c:pt idx="22">
                  <c:v>8</c:v>
                </c:pt>
                <c:pt idx="23">
                  <c:v>29</c:v>
                </c:pt>
                <c:pt idx="24">
                  <c:v>9.1999999999999993</c:v>
                </c:pt>
                <c:pt idx="25">
                  <c:v>0.76500000000000001</c:v>
                </c:pt>
                <c:pt idx="26">
                  <c:v>5</c:v>
                </c:pt>
                <c:pt idx="27">
                  <c:v>13</c:v>
                </c:pt>
                <c:pt idx="28">
                  <c:v>106</c:v>
                </c:pt>
                <c:pt idx="29">
                  <c:v>7.5</c:v>
                </c:pt>
                <c:pt idx="30">
                  <c:v>46</c:v>
                </c:pt>
                <c:pt idx="31">
                  <c:v>26</c:v>
                </c:pt>
                <c:pt idx="32">
                  <c:v>4</c:v>
                </c:pt>
                <c:pt idx="33">
                  <c:v>32</c:v>
                </c:pt>
                <c:pt idx="34">
                  <c:v>17</c:v>
                </c:pt>
                <c:pt idx="35">
                  <c:v>0.55000000000000004</c:v>
                </c:pt>
                <c:pt idx="36">
                  <c:v>25</c:v>
                </c:pt>
                <c:pt idx="37">
                  <c:v>5</c:v>
                </c:pt>
                <c:pt idx="38">
                  <c:v>7.5</c:v>
                </c:pt>
                <c:pt idx="39">
                  <c:v>12</c:v>
                </c:pt>
                <c:pt idx="40">
                  <c:v>11</c:v>
                </c:pt>
                <c:pt idx="41">
                  <c:v>21.5</c:v>
                </c:pt>
                <c:pt idx="42">
                  <c:v>4</c:v>
                </c:pt>
              </c:numCache>
            </c:numRef>
          </c:xVal>
          <c:yVal>
            <c:numRef>
              <c:f>'2014StudyData'!$Q$97:$Q$139</c:f>
              <c:numCache>
                <c:formatCode>"$"#,##0</c:formatCode>
                <c:ptCount val="43"/>
                <c:pt idx="0">
                  <c:v>5728800</c:v>
                </c:pt>
                <c:pt idx="1">
                  <c:v>552500</c:v>
                </c:pt>
                <c:pt idx="2">
                  <c:v>693333.33333333337</c:v>
                </c:pt>
                <c:pt idx="3">
                  <c:v>1103000</c:v>
                </c:pt>
                <c:pt idx="4">
                  <c:v>1602114</c:v>
                </c:pt>
                <c:pt idx="5">
                  <c:v>2215642.88</c:v>
                </c:pt>
                <c:pt idx="6">
                  <c:v>284910.71428571432</c:v>
                </c:pt>
                <c:pt idx="7">
                  <c:v>2860000</c:v>
                </c:pt>
                <c:pt idx="8">
                  <c:v>3840000</c:v>
                </c:pt>
                <c:pt idx="9">
                  <c:v>2800000</c:v>
                </c:pt>
                <c:pt idx="10">
                  <c:v>4740000</c:v>
                </c:pt>
                <c:pt idx="11">
                  <c:v>2030000</c:v>
                </c:pt>
                <c:pt idx="12">
                  <c:v>298650</c:v>
                </c:pt>
                <c:pt idx="13">
                  <c:v>1936605</c:v>
                </c:pt>
                <c:pt idx="14">
                  <c:v>1500000</c:v>
                </c:pt>
                <c:pt idx="15">
                  <c:v>211857.14285714287</c:v>
                </c:pt>
                <c:pt idx="16">
                  <c:v>732000</c:v>
                </c:pt>
                <c:pt idx="17">
                  <c:v>265454.54545454547</c:v>
                </c:pt>
                <c:pt idx="18">
                  <c:v>128886.15384615384</c:v>
                </c:pt>
                <c:pt idx="19">
                  <c:v>197721.70588235295</c:v>
                </c:pt>
                <c:pt idx="20">
                  <c:v>1437500</c:v>
                </c:pt>
                <c:pt idx="21">
                  <c:v>345219.04761904763</c:v>
                </c:pt>
                <c:pt idx="22">
                  <c:v>258586</c:v>
                </c:pt>
                <c:pt idx="23">
                  <c:v>258586.20689655171</c:v>
                </c:pt>
                <c:pt idx="24">
                  <c:v>202628.80434782611</c:v>
                </c:pt>
                <c:pt idx="25">
                  <c:v>804869.8562091504</c:v>
                </c:pt>
                <c:pt idx="26">
                  <c:v>285094.59999999998</c:v>
                </c:pt>
                <c:pt idx="27">
                  <c:v>909739.69230769225</c:v>
                </c:pt>
                <c:pt idx="28">
                  <c:v>524490.5660377359</c:v>
                </c:pt>
                <c:pt idx="29">
                  <c:v>288933.33333333331</c:v>
                </c:pt>
                <c:pt idx="30">
                  <c:v>225987.54347826086</c:v>
                </c:pt>
                <c:pt idx="31">
                  <c:v>206615.38461538462</c:v>
                </c:pt>
                <c:pt idx="32">
                  <c:v>229250</c:v>
                </c:pt>
                <c:pt idx="33">
                  <c:v>268906.25</c:v>
                </c:pt>
                <c:pt idx="34">
                  <c:v>191176.4705882353</c:v>
                </c:pt>
                <c:pt idx="35">
                  <c:v>1615690.9090909089</c:v>
                </c:pt>
                <c:pt idx="36">
                  <c:v>162360</c:v>
                </c:pt>
                <c:pt idx="37">
                  <c:v>493526.4</c:v>
                </c:pt>
                <c:pt idx="38">
                  <c:v>166400</c:v>
                </c:pt>
                <c:pt idx="39">
                  <c:v>604462.39333333331</c:v>
                </c:pt>
                <c:pt idx="40">
                  <c:v>203909.09090909091</c:v>
                </c:pt>
                <c:pt idx="41">
                  <c:v>553353.48837209307</c:v>
                </c:pt>
                <c:pt idx="42">
                  <c:v>404250</c:v>
                </c:pt>
              </c:numCache>
            </c:numRef>
          </c:yVal>
          <c:smooth val="0"/>
        </c:ser>
        <c:dLbls>
          <c:showLegendKey val="0"/>
          <c:showVal val="0"/>
          <c:showCatName val="0"/>
          <c:showSerName val="0"/>
          <c:showPercent val="0"/>
          <c:showBubbleSize val="0"/>
        </c:dLbls>
        <c:axId val="43440384"/>
        <c:axId val="43446272"/>
      </c:scatterChart>
      <c:valAx>
        <c:axId val="43440384"/>
        <c:scaling>
          <c:orientation val="minMax"/>
          <c:max val="30"/>
        </c:scaling>
        <c:delete val="0"/>
        <c:axPos val="b"/>
        <c:numFmt formatCode="General" sourceLinked="1"/>
        <c:majorTickMark val="out"/>
        <c:minorTickMark val="none"/>
        <c:tickLblPos val="nextTo"/>
        <c:crossAx val="43446272"/>
        <c:crosses val="autoZero"/>
        <c:crossBetween val="midCat"/>
      </c:valAx>
      <c:valAx>
        <c:axId val="43446272"/>
        <c:scaling>
          <c:orientation val="minMax"/>
          <c:max val="4000000"/>
        </c:scaling>
        <c:delete val="0"/>
        <c:axPos val="l"/>
        <c:majorGridlines/>
        <c:numFmt formatCode="&quot;$&quot;#,##0" sourceLinked="1"/>
        <c:majorTickMark val="out"/>
        <c:minorTickMark val="none"/>
        <c:tickLblPos val="nextTo"/>
        <c:crossAx val="43440384"/>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$/km</a:t>
            </a:r>
            <a:r>
              <a:rPr lang="en-US" baseline="0"/>
              <a:t> by km</a:t>
            </a:r>
            <a:endParaRPr lang="en-US"/>
          </a:p>
        </c:rich>
      </c:tx>
      <c:layout/>
      <c:overlay val="1"/>
    </c:title>
    <c:autoTitleDeleted val="0"/>
    <c:plotArea>
      <c:layout/>
      <c:scatterChart>
        <c:scatterStyle val="lineMarker"/>
        <c:varyColors val="0"/>
        <c:ser>
          <c:idx val="0"/>
          <c:order val="0"/>
          <c:tx>
            <c:v>1033</c:v>
          </c:tx>
          <c:spPr>
            <a:ln w="28575">
              <a:noFill/>
            </a:ln>
          </c:spPr>
          <c:marker>
            <c:symbol val="diamond"/>
            <c:size val="4"/>
          </c:marker>
          <c:xVal>
            <c:numRef>
              <c:f>'2018UpdateData'!$R$15:$R$44</c:f>
              <c:numCache>
                <c:formatCode>General</c:formatCode>
                <c:ptCount val="30"/>
                <c:pt idx="0">
                  <c:v>6</c:v>
                </c:pt>
                <c:pt idx="1">
                  <c:v>22</c:v>
                </c:pt>
                <c:pt idx="2">
                  <c:v>4</c:v>
                </c:pt>
                <c:pt idx="3">
                  <c:v>1</c:v>
                </c:pt>
                <c:pt idx="4">
                  <c:v>12</c:v>
                </c:pt>
                <c:pt idx="5">
                  <c:v>0.2</c:v>
                </c:pt>
                <c:pt idx="6">
                  <c:v>4.5</c:v>
                </c:pt>
                <c:pt idx="7">
                  <c:v>5</c:v>
                </c:pt>
                <c:pt idx="8">
                  <c:v>125</c:v>
                </c:pt>
                <c:pt idx="9">
                  <c:v>130</c:v>
                </c:pt>
                <c:pt idx="10">
                  <c:v>110</c:v>
                </c:pt>
                <c:pt idx="11">
                  <c:v>9</c:v>
                </c:pt>
                <c:pt idx="12">
                  <c:v>40</c:v>
                </c:pt>
                <c:pt idx="13">
                  <c:v>42</c:v>
                </c:pt>
                <c:pt idx="14">
                  <c:v>37</c:v>
                </c:pt>
                <c:pt idx="15">
                  <c:v>70</c:v>
                </c:pt>
                <c:pt idx="16">
                  <c:v>22</c:v>
                </c:pt>
                <c:pt idx="17">
                  <c:v>56</c:v>
                </c:pt>
                <c:pt idx="18">
                  <c:v>22</c:v>
                </c:pt>
                <c:pt idx="19">
                  <c:v>18</c:v>
                </c:pt>
                <c:pt idx="20">
                  <c:v>3</c:v>
                </c:pt>
                <c:pt idx="21">
                  <c:v>3</c:v>
                </c:pt>
                <c:pt idx="22">
                  <c:v>52</c:v>
                </c:pt>
                <c:pt idx="23">
                  <c:v>9</c:v>
                </c:pt>
                <c:pt idx="24">
                  <c:v>0.5</c:v>
                </c:pt>
                <c:pt idx="25">
                  <c:v>0.5</c:v>
                </c:pt>
                <c:pt idx="26">
                  <c:v>0.5</c:v>
                </c:pt>
                <c:pt idx="27">
                  <c:v>0.5</c:v>
                </c:pt>
                <c:pt idx="28">
                  <c:v>7.0000000000000007E-2</c:v>
                </c:pt>
                <c:pt idx="29">
                  <c:v>7.0000000000000007E-2</c:v>
                </c:pt>
              </c:numCache>
            </c:numRef>
          </c:xVal>
          <c:yVal>
            <c:numRef>
              <c:f>'2018UpdateData'!$Y$15:$Y$44</c:f>
              <c:numCache>
                <c:formatCode>_(* #,##0_);_(* \(#,##0\);_(* "-"??_);_(@_)</c:formatCode>
                <c:ptCount val="30"/>
                <c:pt idx="0">
                  <c:v>1935000</c:v>
                </c:pt>
                <c:pt idx="1">
                  <c:v>2560989.3181818184</c:v>
                </c:pt>
                <c:pt idx="2">
                  <c:v>3492750</c:v>
                </c:pt>
                <c:pt idx="3">
                  <c:v>3503000</c:v>
                </c:pt>
                <c:pt idx="4">
                  <c:v>1846948.6849999998</c:v>
                </c:pt>
                <c:pt idx="5">
                  <c:v>2988090</c:v>
                </c:pt>
                <c:pt idx="6">
                  <c:v>3543909.111111111</c:v>
                </c:pt>
                <c:pt idx="7">
                  <c:v>2585502.5040000002</c:v>
                </c:pt>
                <c:pt idx="8">
                  <c:v>2008819.648</c:v>
                </c:pt>
                <c:pt idx="9">
                  <c:v>1332092.3076923077</c:v>
                </c:pt>
                <c:pt idx="10">
                  <c:v>1438381.8181818181</c:v>
                </c:pt>
                <c:pt idx="11">
                  <c:v>2571777.777777778</c:v>
                </c:pt>
                <c:pt idx="12">
                  <c:v>2103350</c:v>
                </c:pt>
                <c:pt idx="13">
                  <c:v>2904820.5714285714</c:v>
                </c:pt>
                <c:pt idx="14">
                  <c:v>2223486.4864864866</c:v>
                </c:pt>
                <c:pt idx="15">
                  <c:v>2174504</c:v>
                </c:pt>
                <c:pt idx="16">
                  <c:v>3219921.1381818177</c:v>
                </c:pt>
                <c:pt idx="17">
                  <c:v>2765646.1346428571</c:v>
                </c:pt>
                <c:pt idx="18">
                  <c:v>3038099.1754545453</c:v>
                </c:pt>
                <c:pt idx="19">
                  <c:v>2497333.3333333335</c:v>
                </c:pt>
                <c:pt idx="20">
                  <c:v>1785780</c:v>
                </c:pt>
                <c:pt idx="21">
                  <c:v>1591920</c:v>
                </c:pt>
                <c:pt idx="22">
                  <c:v>2075403.8461538462</c:v>
                </c:pt>
                <c:pt idx="23">
                  <c:v>1243888.888888889</c:v>
                </c:pt>
                <c:pt idx="24">
                  <c:v>1455022.4400000002</c:v>
                </c:pt>
                <c:pt idx="25">
                  <c:v>1159058.1600000001</c:v>
                </c:pt>
                <c:pt idx="26">
                  <c:v>1159058.1600000001</c:v>
                </c:pt>
                <c:pt idx="27">
                  <c:v>1455022.4400000002</c:v>
                </c:pt>
                <c:pt idx="28">
                  <c:v>16079911.714285715</c:v>
                </c:pt>
                <c:pt idx="29">
                  <c:v>28344839.142857142</c:v>
                </c:pt>
              </c:numCache>
            </c:numRef>
          </c:yVal>
          <c:smooth val="0"/>
        </c:ser>
        <c:ser>
          <c:idx val="1"/>
          <c:order val="1"/>
          <c:tx>
            <c:v>795</c:v>
          </c:tx>
          <c:spPr>
            <a:ln w="28575">
              <a:noFill/>
            </a:ln>
          </c:spPr>
          <c:marker>
            <c:symbol val="circle"/>
            <c:size val="4"/>
          </c:marker>
          <c:xVal>
            <c:numRef>
              <c:f>'2018UpdateData'!$R$49:$R$94</c:f>
              <c:numCache>
                <c:formatCode>General</c:formatCode>
                <c:ptCount val="46"/>
                <c:pt idx="0">
                  <c:v>82</c:v>
                </c:pt>
                <c:pt idx="1">
                  <c:v>34</c:v>
                </c:pt>
                <c:pt idx="2">
                  <c:v>8.9</c:v>
                </c:pt>
                <c:pt idx="3">
                  <c:v>9.1999999999999993</c:v>
                </c:pt>
                <c:pt idx="4">
                  <c:v>88.6</c:v>
                </c:pt>
                <c:pt idx="5">
                  <c:v>44.7</c:v>
                </c:pt>
                <c:pt idx="6">
                  <c:v>68.7</c:v>
                </c:pt>
                <c:pt idx="7">
                  <c:v>20</c:v>
                </c:pt>
                <c:pt idx="8">
                  <c:v>30</c:v>
                </c:pt>
                <c:pt idx="9">
                  <c:v>30</c:v>
                </c:pt>
                <c:pt idx="10">
                  <c:v>60</c:v>
                </c:pt>
                <c:pt idx="11">
                  <c:v>120</c:v>
                </c:pt>
                <c:pt idx="12">
                  <c:v>52</c:v>
                </c:pt>
                <c:pt idx="13">
                  <c:v>80</c:v>
                </c:pt>
                <c:pt idx="14">
                  <c:v>68.11</c:v>
                </c:pt>
                <c:pt idx="15">
                  <c:v>46</c:v>
                </c:pt>
                <c:pt idx="16">
                  <c:v>63.42</c:v>
                </c:pt>
                <c:pt idx="17">
                  <c:v>81.5</c:v>
                </c:pt>
                <c:pt idx="18">
                  <c:v>81.5</c:v>
                </c:pt>
                <c:pt idx="19">
                  <c:v>81.5</c:v>
                </c:pt>
                <c:pt idx="20">
                  <c:v>81.8</c:v>
                </c:pt>
                <c:pt idx="21">
                  <c:v>26.5</c:v>
                </c:pt>
                <c:pt idx="22">
                  <c:v>81.5</c:v>
                </c:pt>
                <c:pt idx="23">
                  <c:v>88</c:v>
                </c:pt>
                <c:pt idx="24">
                  <c:v>81.5</c:v>
                </c:pt>
                <c:pt idx="25">
                  <c:v>81.5</c:v>
                </c:pt>
                <c:pt idx="26">
                  <c:v>65.819999999999993</c:v>
                </c:pt>
                <c:pt idx="27">
                  <c:v>81.8</c:v>
                </c:pt>
                <c:pt idx="28">
                  <c:v>63.42</c:v>
                </c:pt>
                <c:pt idx="29">
                  <c:v>81.5</c:v>
                </c:pt>
                <c:pt idx="30">
                  <c:v>26.5</c:v>
                </c:pt>
                <c:pt idx="31">
                  <c:v>65.819999999999993</c:v>
                </c:pt>
                <c:pt idx="32">
                  <c:v>81.5</c:v>
                </c:pt>
                <c:pt idx="33">
                  <c:v>65.819999999999993</c:v>
                </c:pt>
                <c:pt idx="34">
                  <c:v>81.5</c:v>
                </c:pt>
                <c:pt idx="35">
                  <c:v>81.5</c:v>
                </c:pt>
                <c:pt idx="36">
                  <c:v>63.42</c:v>
                </c:pt>
                <c:pt idx="37">
                  <c:v>81.5</c:v>
                </c:pt>
                <c:pt idx="38">
                  <c:v>81.5</c:v>
                </c:pt>
                <c:pt idx="39">
                  <c:v>81.5</c:v>
                </c:pt>
                <c:pt idx="40">
                  <c:v>81.5</c:v>
                </c:pt>
                <c:pt idx="41">
                  <c:v>63.42</c:v>
                </c:pt>
                <c:pt idx="42">
                  <c:v>81.5</c:v>
                </c:pt>
                <c:pt idx="43">
                  <c:v>81.5</c:v>
                </c:pt>
                <c:pt idx="44">
                  <c:v>88</c:v>
                </c:pt>
                <c:pt idx="45">
                  <c:v>65.819999999999993</c:v>
                </c:pt>
              </c:numCache>
            </c:numRef>
          </c:xVal>
          <c:yVal>
            <c:numRef>
              <c:f>'2018UpdateData'!$Y$49:$Y$94</c:f>
              <c:numCache>
                <c:formatCode>_(* #,##0_);_(* \(#,##0\);_(* "-"??_);_(@_)</c:formatCode>
                <c:ptCount val="46"/>
                <c:pt idx="0">
                  <c:v>2644061.3712195121</c:v>
                </c:pt>
                <c:pt idx="1">
                  <c:v>2318325.4541176469</c:v>
                </c:pt>
                <c:pt idx="2">
                  <c:v>1315476.404494382</c:v>
                </c:pt>
                <c:pt idx="3">
                  <c:v>917173.91304347839</c:v>
                </c:pt>
                <c:pt idx="4">
                  <c:v>775603.61173814908</c:v>
                </c:pt>
                <c:pt idx="5">
                  <c:v>786693.06487695745</c:v>
                </c:pt>
                <c:pt idx="6">
                  <c:v>800098.39883551665</c:v>
                </c:pt>
                <c:pt idx="7">
                  <c:v>2481422</c:v>
                </c:pt>
                <c:pt idx="8">
                  <c:v>1925639.6006666666</c:v>
                </c:pt>
                <c:pt idx="9">
                  <c:v>1980935.6593333331</c:v>
                </c:pt>
                <c:pt idx="10">
                  <c:v>1894314.6913333333</c:v>
                </c:pt>
                <c:pt idx="11">
                  <c:v>1609753.176</c:v>
                </c:pt>
                <c:pt idx="12">
                  <c:v>2072115.3846153845</c:v>
                </c:pt>
                <c:pt idx="13">
                  <c:v>2129767.25</c:v>
                </c:pt>
                <c:pt idx="14">
                  <c:v>1849656.4897959186</c:v>
                </c:pt>
                <c:pt idx="15">
                  <c:v>939080.12086956529</c:v>
                </c:pt>
                <c:pt idx="16">
                  <c:v>1301568.51371807</c:v>
                </c:pt>
                <c:pt idx="17">
                  <c:v>1292443.7919018406</c:v>
                </c:pt>
                <c:pt idx="18">
                  <c:v>1015013.7300613497</c:v>
                </c:pt>
                <c:pt idx="19">
                  <c:v>1292443.7919018406</c:v>
                </c:pt>
                <c:pt idx="20">
                  <c:v>1291364.8195599024</c:v>
                </c:pt>
                <c:pt idx="21">
                  <c:v>1320663.0633962264</c:v>
                </c:pt>
                <c:pt idx="22">
                  <c:v>1197716.2014723928</c:v>
                </c:pt>
                <c:pt idx="23">
                  <c:v>1188977.6545454545</c:v>
                </c:pt>
                <c:pt idx="24">
                  <c:v>1197716.2014723928</c:v>
                </c:pt>
                <c:pt idx="25">
                  <c:v>1296118.3096932517</c:v>
                </c:pt>
                <c:pt idx="26">
                  <c:v>1290773.9124886054</c:v>
                </c:pt>
                <c:pt idx="27">
                  <c:v>1291364.8195599024</c:v>
                </c:pt>
                <c:pt idx="28">
                  <c:v>1301568.51371807</c:v>
                </c:pt>
                <c:pt idx="29">
                  <c:v>1015013.7300613497</c:v>
                </c:pt>
                <c:pt idx="30">
                  <c:v>1320663.0633962264</c:v>
                </c:pt>
                <c:pt idx="31">
                  <c:v>1290773.9124886054</c:v>
                </c:pt>
                <c:pt idx="32">
                  <c:v>1296118.3096932517</c:v>
                </c:pt>
                <c:pt idx="33">
                  <c:v>1325964.6195685202</c:v>
                </c:pt>
                <c:pt idx="34">
                  <c:v>1015013.7300613497</c:v>
                </c:pt>
                <c:pt idx="35">
                  <c:v>1015013.7300613497</c:v>
                </c:pt>
                <c:pt idx="36">
                  <c:v>1322401.1608325448</c:v>
                </c:pt>
                <c:pt idx="37">
                  <c:v>1296118.3096932517</c:v>
                </c:pt>
                <c:pt idx="38">
                  <c:v>1296118.3096932517</c:v>
                </c:pt>
                <c:pt idx="39">
                  <c:v>1015013.7300613497</c:v>
                </c:pt>
                <c:pt idx="40">
                  <c:v>1296118.3096932517</c:v>
                </c:pt>
                <c:pt idx="41">
                  <c:v>1322401.1608325448</c:v>
                </c:pt>
                <c:pt idx="42">
                  <c:v>1015013.7300613497</c:v>
                </c:pt>
                <c:pt idx="43">
                  <c:v>1296118.3096932517</c:v>
                </c:pt>
                <c:pt idx="44">
                  <c:v>1188977.6545454545</c:v>
                </c:pt>
                <c:pt idx="45">
                  <c:v>1325964.6195685202</c:v>
                </c:pt>
              </c:numCache>
            </c:numRef>
          </c:yVal>
          <c:smooth val="0"/>
        </c:ser>
        <c:dLbls>
          <c:showLegendKey val="0"/>
          <c:showVal val="0"/>
          <c:showCatName val="0"/>
          <c:showSerName val="0"/>
          <c:showPercent val="0"/>
          <c:showBubbleSize val="0"/>
        </c:dLbls>
        <c:axId val="43866752"/>
        <c:axId val="43876736"/>
      </c:scatterChart>
      <c:valAx>
        <c:axId val="43866752"/>
        <c:scaling>
          <c:orientation val="minMax"/>
        </c:scaling>
        <c:delete val="0"/>
        <c:axPos val="b"/>
        <c:numFmt formatCode="General" sourceLinked="1"/>
        <c:majorTickMark val="out"/>
        <c:minorTickMark val="none"/>
        <c:tickLblPos val="nextTo"/>
        <c:crossAx val="43876736"/>
        <c:crosses val="autoZero"/>
        <c:crossBetween val="midCat"/>
      </c:valAx>
      <c:valAx>
        <c:axId val="43876736"/>
        <c:scaling>
          <c:orientation val="minMax"/>
          <c:max val="4000000"/>
        </c:scaling>
        <c:delete val="0"/>
        <c:axPos val="l"/>
        <c:majorGridlines/>
        <c:numFmt formatCode="_(* #,##0_);_(* \(#,##0\);_(* &quot;-&quot;??_);_(@_)" sourceLinked="1"/>
        <c:majorTickMark val="out"/>
        <c:minorTickMark val="none"/>
        <c:tickLblPos val="nextTo"/>
        <c:crossAx val="43866752"/>
        <c:crosses val="autoZero"/>
        <c:crossBetween val="midCat"/>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$/km by ISD</a:t>
            </a:r>
          </a:p>
        </c:rich>
      </c:tx>
      <c:layout/>
      <c:overlay val="0"/>
    </c:title>
    <c:autoTitleDeleted val="0"/>
    <c:plotArea>
      <c:layout/>
      <c:scatterChart>
        <c:scatterStyle val="lineMarker"/>
        <c:varyColors val="0"/>
        <c:ser>
          <c:idx val="0"/>
          <c:order val="0"/>
          <c:tx>
            <c:v>1033</c:v>
          </c:tx>
          <c:spPr>
            <a:ln w="28575">
              <a:noFill/>
            </a:ln>
          </c:spPr>
          <c:marker>
            <c:symbol val="diamond"/>
            <c:size val="4"/>
          </c:marker>
          <c:xVal>
            <c:numRef>
              <c:f>update!#REF!</c:f>
            </c:numRef>
          </c:xVal>
          <c:yVal>
            <c:numRef>
              <c:f>'2018UpdateData'!$Y$15:$Y$44</c:f>
              <c:numCache>
                <c:formatCode>_(* #,##0_);_(* \(#,##0\);_(* "-"??_);_(@_)</c:formatCode>
                <c:ptCount val="30"/>
                <c:pt idx="0">
                  <c:v>1935000</c:v>
                </c:pt>
                <c:pt idx="1">
                  <c:v>2560989.3181818184</c:v>
                </c:pt>
                <c:pt idx="2">
                  <c:v>3492750</c:v>
                </c:pt>
                <c:pt idx="3">
                  <c:v>3503000</c:v>
                </c:pt>
                <c:pt idx="4">
                  <c:v>1846948.6849999998</c:v>
                </c:pt>
                <c:pt idx="5">
                  <c:v>2988090</c:v>
                </c:pt>
                <c:pt idx="6">
                  <c:v>3543909.111111111</c:v>
                </c:pt>
                <c:pt idx="7">
                  <c:v>2585502.5040000002</c:v>
                </c:pt>
                <c:pt idx="8">
                  <c:v>2008819.648</c:v>
                </c:pt>
                <c:pt idx="9">
                  <c:v>1332092.3076923077</c:v>
                </c:pt>
                <c:pt idx="10">
                  <c:v>1438381.8181818181</c:v>
                </c:pt>
                <c:pt idx="11">
                  <c:v>2571777.777777778</c:v>
                </c:pt>
                <c:pt idx="12">
                  <c:v>2103350</c:v>
                </c:pt>
                <c:pt idx="13">
                  <c:v>2904820.5714285714</c:v>
                </c:pt>
                <c:pt idx="14">
                  <c:v>2223486.4864864866</c:v>
                </c:pt>
                <c:pt idx="15">
                  <c:v>2174504</c:v>
                </c:pt>
                <c:pt idx="16">
                  <c:v>3219921.1381818177</c:v>
                </c:pt>
                <c:pt idx="17">
                  <c:v>2765646.1346428571</c:v>
                </c:pt>
                <c:pt idx="18">
                  <c:v>3038099.1754545453</c:v>
                </c:pt>
                <c:pt idx="19">
                  <c:v>2497333.3333333335</c:v>
                </c:pt>
                <c:pt idx="20">
                  <c:v>1785780</c:v>
                </c:pt>
                <c:pt idx="21">
                  <c:v>1591920</c:v>
                </c:pt>
                <c:pt idx="22">
                  <c:v>2075403.8461538462</c:v>
                </c:pt>
                <c:pt idx="23">
                  <c:v>1243888.888888889</c:v>
                </c:pt>
                <c:pt idx="24">
                  <c:v>1455022.4400000002</c:v>
                </c:pt>
                <c:pt idx="25">
                  <c:v>1159058.1600000001</c:v>
                </c:pt>
                <c:pt idx="26">
                  <c:v>1159058.1600000001</c:v>
                </c:pt>
                <c:pt idx="27">
                  <c:v>1455022.4400000002</c:v>
                </c:pt>
                <c:pt idx="28">
                  <c:v>16079911.714285715</c:v>
                </c:pt>
                <c:pt idx="29">
                  <c:v>28344839.142857142</c:v>
                </c:pt>
              </c:numCache>
            </c:numRef>
          </c:yVal>
          <c:smooth val="0"/>
        </c:ser>
        <c:ser>
          <c:idx val="1"/>
          <c:order val="1"/>
          <c:tx>
            <c:v>795</c:v>
          </c:tx>
          <c:spPr>
            <a:ln w="28575">
              <a:noFill/>
            </a:ln>
          </c:spPr>
          <c:marker>
            <c:symbol val="circle"/>
            <c:size val="4"/>
          </c:marker>
          <c:xVal>
            <c:numRef>
              <c:f>update!#REF!</c:f>
            </c:numRef>
          </c:xVal>
          <c:yVal>
            <c:numRef>
              <c:f>'2018UpdateData'!$Y$49:$Y$94</c:f>
              <c:numCache>
                <c:formatCode>_(* #,##0_);_(* \(#,##0\);_(* "-"??_);_(@_)</c:formatCode>
                <c:ptCount val="46"/>
                <c:pt idx="0">
                  <c:v>2644061.3712195121</c:v>
                </c:pt>
                <c:pt idx="1">
                  <c:v>2318325.4541176469</c:v>
                </c:pt>
                <c:pt idx="2">
                  <c:v>1315476.404494382</c:v>
                </c:pt>
                <c:pt idx="3">
                  <c:v>917173.91304347839</c:v>
                </c:pt>
                <c:pt idx="4">
                  <c:v>775603.61173814908</c:v>
                </c:pt>
                <c:pt idx="5">
                  <c:v>786693.06487695745</c:v>
                </c:pt>
                <c:pt idx="6">
                  <c:v>800098.39883551665</c:v>
                </c:pt>
                <c:pt idx="7">
                  <c:v>2481422</c:v>
                </c:pt>
                <c:pt idx="8">
                  <c:v>1925639.6006666666</c:v>
                </c:pt>
                <c:pt idx="9">
                  <c:v>1980935.6593333331</c:v>
                </c:pt>
                <c:pt idx="10">
                  <c:v>1894314.6913333333</c:v>
                </c:pt>
                <c:pt idx="11">
                  <c:v>1609753.176</c:v>
                </c:pt>
                <c:pt idx="12">
                  <c:v>2072115.3846153845</c:v>
                </c:pt>
                <c:pt idx="13">
                  <c:v>2129767.25</c:v>
                </c:pt>
                <c:pt idx="14">
                  <c:v>1849656.4897959186</c:v>
                </c:pt>
                <c:pt idx="15">
                  <c:v>939080.12086956529</c:v>
                </c:pt>
                <c:pt idx="16">
                  <c:v>1301568.51371807</c:v>
                </c:pt>
                <c:pt idx="17">
                  <c:v>1292443.7919018406</c:v>
                </c:pt>
                <c:pt idx="18">
                  <c:v>1015013.7300613497</c:v>
                </c:pt>
                <c:pt idx="19">
                  <c:v>1292443.7919018406</c:v>
                </c:pt>
                <c:pt idx="20">
                  <c:v>1291364.8195599024</c:v>
                </c:pt>
                <c:pt idx="21">
                  <c:v>1320663.0633962264</c:v>
                </c:pt>
                <c:pt idx="22">
                  <c:v>1197716.2014723928</c:v>
                </c:pt>
                <c:pt idx="23">
                  <c:v>1188977.6545454545</c:v>
                </c:pt>
                <c:pt idx="24">
                  <c:v>1197716.2014723928</c:v>
                </c:pt>
                <c:pt idx="25">
                  <c:v>1296118.3096932517</c:v>
                </c:pt>
                <c:pt idx="26">
                  <c:v>1290773.9124886054</c:v>
                </c:pt>
                <c:pt idx="27">
                  <c:v>1291364.8195599024</c:v>
                </c:pt>
                <c:pt idx="28">
                  <c:v>1301568.51371807</c:v>
                </c:pt>
                <c:pt idx="29">
                  <c:v>1015013.7300613497</c:v>
                </c:pt>
                <c:pt idx="30">
                  <c:v>1320663.0633962264</c:v>
                </c:pt>
                <c:pt idx="31">
                  <c:v>1290773.9124886054</c:v>
                </c:pt>
                <c:pt idx="32">
                  <c:v>1296118.3096932517</c:v>
                </c:pt>
                <c:pt idx="33">
                  <c:v>1325964.6195685202</c:v>
                </c:pt>
                <c:pt idx="34">
                  <c:v>1015013.7300613497</c:v>
                </c:pt>
                <c:pt idx="35">
                  <c:v>1015013.7300613497</c:v>
                </c:pt>
                <c:pt idx="36">
                  <c:v>1322401.1608325448</c:v>
                </c:pt>
                <c:pt idx="37">
                  <c:v>1296118.3096932517</c:v>
                </c:pt>
                <c:pt idx="38">
                  <c:v>1296118.3096932517</c:v>
                </c:pt>
                <c:pt idx="39">
                  <c:v>1015013.7300613497</c:v>
                </c:pt>
                <c:pt idx="40">
                  <c:v>1296118.3096932517</c:v>
                </c:pt>
                <c:pt idx="41">
                  <c:v>1322401.1608325448</c:v>
                </c:pt>
                <c:pt idx="42">
                  <c:v>1015013.7300613497</c:v>
                </c:pt>
                <c:pt idx="43">
                  <c:v>1296118.3096932517</c:v>
                </c:pt>
                <c:pt idx="44">
                  <c:v>1188977.6545454545</c:v>
                </c:pt>
                <c:pt idx="45">
                  <c:v>1325964.6195685202</c:v>
                </c:pt>
              </c:numCache>
            </c:numRef>
          </c:yVal>
          <c:smooth val="0"/>
        </c:ser>
        <c:dLbls>
          <c:showLegendKey val="0"/>
          <c:showVal val="0"/>
          <c:showCatName val="0"/>
          <c:showSerName val="0"/>
          <c:showPercent val="0"/>
          <c:showBubbleSize val="0"/>
        </c:dLbls>
        <c:axId val="44238336"/>
        <c:axId val="44239872"/>
      </c:scatterChart>
      <c:valAx>
        <c:axId val="44238336"/>
        <c:scaling>
          <c:orientation val="minMax"/>
        </c:scaling>
        <c:delete val="0"/>
        <c:axPos val="b"/>
        <c:numFmt formatCode="General" sourceLinked="1"/>
        <c:majorTickMark val="out"/>
        <c:minorTickMark val="none"/>
        <c:tickLblPos val="nextTo"/>
        <c:crossAx val="44239872"/>
        <c:crosses val="autoZero"/>
        <c:crossBetween val="midCat"/>
      </c:valAx>
      <c:valAx>
        <c:axId val="44239872"/>
        <c:scaling>
          <c:orientation val="minMax"/>
          <c:max val="4000000"/>
        </c:scaling>
        <c:delete val="0"/>
        <c:axPos val="l"/>
        <c:majorGridlines/>
        <c:numFmt formatCode="_(* #,##0_);_(* \(#,##0\);_(* &quot;-&quot;??_);_(@_)" sourceLinked="1"/>
        <c:majorTickMark val="out"/>
        <c:minorTickMark val="none"/>
        <c:tickLblPos val="nextTo"/>
        <c:crossAx val="44238336"/>
        <c:crosses val="autoZero"/>
        <c:crossBetween val="midCat"/>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$/km by</a:t>
            </a:r>
            <a:r>
              <a:rPr lang="en-US" baseline="0"/>
              <a:t> project</a:t>
            </a:r>
            <a:endParaRPr lang="en-US"/>
          </a:p>
        </c:rich>
      </c:tx>
      <c:layout/>
      <c:overlay val="1"/>
    </c:title>
    <c:autoTitleDeleted val="0"/>
    <c:plotArea>
      <c:layout/>
      <c:scatterChart>
        <c:scatterStyle val="lineMarker"/>
        <c:varyColors val="0"/>
        <c:ser>
          <c:idx val="0"/>
          <c:order val="0"/>
          <c:tx>
            <c:v>1033</c:v>
          </c:tx>
          <c:spPr>
            <a:ln w="28575">
              <a:noFill/>
            </a:ln>
          </c:spPr>
          <c:marker>
            <c:symbol val="diamond"/>
            <c:size val="4"/>
          </c:marker>
          <c:xVal>
            <c:numRef>
              <c:f>update!#REF!</c:f>
            </c:numRef>
          </c:xVal>
          <c:yVal>
            <c:numRef>
              <c:f>'2018UpdateData'!$Y$15:$Y$43</c:f>
              <c:numCache>
                <c:formatCode>_(* #,##0_);_(* \(#,##0\);_(* "-"??_);_(@_)</c:formatCode>
                <c:ptCount val="29"/>
                <c:pt idx="0">
                  <c:v>1935000</c:v>
                </c:pt>
                <c:pt idx="1">
                  <c:v>2560989.3181818184</c:v>
                </c:pt>
                <c:pt idx="2">
                  <c:v>3492750</c:v>
                </c:pt>
                <c:pt idx="3">
                  <c:v>3503000</c:v>
                </c:pt>
                <c:pt idx="4">
                  <c:v>1846948.6849999998</c:v>
                </c:pt>
                <c:pt idx="5">
                  <c:v>2988090</c:v>
                </c:pt>
                <c:pt idx="6">
                  <c:v>3543909.111111111</c:v>
                </c:pt>
                <c:pt idx="7">
                  <c:v>2585502.5040000002</c:v>
                </c:pt>
                <c:pt idx="8">
                  <c:v>2008819.648</c:v>
                </c:pt>
                <c:pt idx="9">
                  <c:v>1332092.3076923077</c:v>
                </c:pt>
                <c:pt idx="10">
                  <c:v>1438381.8181818181</c:v>
                </c:pt>
                <c:pt idx="11">
                  <c:v>2571777.777777778</c:v>
                </c:pt>
                <c:pt idx="12">
                  <c:v>2103350</c:v>
                </c:pt>
                <c:pt idx="13">
                  <c:v>2904820.5714285714</c:v>
                </c:pt>
                <c:pt idx="14">
                  <c:v>2223486.4864864866</c:v>
                </c:pt>
                <c:pt idx="15">
                  <c:v>2174504</c:v>
                </c:pt>
                <c:pt idx="16">
                  <c:v>3219921.1381818177</c:v>
                </c:pt>
                <c:pt idx="17">
                  <c:v>2765646.1346428571</c:v>
                </c:pt>
                <c:pt idx="18">
                  <c:v>3038099.1754545453</c:v>
                </c:pt>
                <c:pt idx="19">
                  <c:v>2497333.3333333335</c:v>
                </c:pt>
                <c:pt idx="20">
                  <c:v>1785780</c:v>
                </c:pt>
                <c:pt idx="21">
                  <c:v>1591920</c:v>
                </c:pt>
                <c:pt idx="22">
                  <c:v>2075403.8461538462</c:v>
                </c:pt>
                <c:pt idx="23">
                  <c:v>1243888.888888889</c:v>
                </c:pt>
                <c:pt idx="24">
                  <c:v>1455022.4400000002</c:v>
                </c:pt>
                <c:pt idx="25">
                  <c:v>1159058.1600000001</c:v>
                </c:pt>
                <c:pt idx="26">
                  <c:v>1159058.1600000001</c:v>
                </c:pt>
                <c:pt idx="27">
                  <c:v>1455022.4400000002</c:v>
                </c:pt>
                <c:pt idx="28">
                  <c:v>16079911.714285715</c:v>
                </c:pt>
              </c:numCache>
            </c:numRef>
          </c:yVal>
          <c:smooth val="0"/>
        </c:ser>
        <c:ser>
          <c:idx val="1"/>
          <c:order val="1"/>
          <c:tx>
            <c:v>795</c:v>
          </c:tx>
          <c:spPr>
            <a:ln w="28575">
              <a:noFill/>
            </a:ln>
          </c:spPr>
          <c:marker>
            <c:symbol val="circle"/>
            <c:size val="4"/>
          </c:marker>
          <c:xVal>
            <c:numRef>
              <c:f>update!#REF!</c:f>
            </c:numRef>
          </c:xVal>
          <c:yVal>
            <c:numRef>
              <c:f>'2018UpdateData'!$Y$49:$Y$94</c:f>
              <c:numCache>
                <c:formatCode>_(* #,##0_);_(* \(#,##0\);_(* "-"??_);_(@_)</c:formatCode>
                <c:ptCount val="46"/>
                <c:pt idx="0">
                  <c:v>2644061.3712195121</c:v>
                </c:pt>
                <c:pt idx="1">
                  <c:v>2318325.4541176469</c:v>
                </c:pt>
                <c:pt idx="2">
                  <c:v>1315476.404494382</c:v>
                </c:pt>
                <c:pt idx="3">
                  <c:v>917173.91304347839</c:v>
                </c:pt>
                <c:pt idx="4">
                  <c:v>775603.61173814908</c:v>
                </c:pt>
                <c:pt idx="5">
                  <c:v>786693.06487695745</c:v>
                </c:pt>
                <c:pt idx="6">
                  <c:v>800098.39883551665</c:v>
                </c:pt>
                <c:pt idx="7">
                  <c:v>2481422</c:v>
                </c:pt>
                <c:pt idx="8">
                  <c:v>1925639.6006666666</c:v>
                </c:pt>
                <c:pt idx="9">
                  <c:v>1980935.6593333331</c:v>
                </c:pt>
                <c:pt idx="10">
                  <c:v>1894314.6913333333</c:v>
                </c:pt>
                <c:pt idx="11">
                  <c:v>1609753.176</c:v>
                </c:pt>
                <c:pt idx="12">
                  <c:v>2072115.3846153845</c:v>
                </c:pt>
                <c:pt idx="13">
                  <c:v>2129767.25</c:v>
                </c:pt>
                <c:pt idx="14">
                  <c:v>1849656.4897959186</c:v>
                </c:pt>
                <c:pt idx="15">
                  <c:v>939080.12086956529</c:v>
                </c:pt>
                <c:pt idx="16">
                  <c:v>1301568.51371807</c:v>
                </c:pt>
                <c:pt idx="17">
                  <c:v>1292443.7919018406</c:v>
                </c:pt>
                <c:pt idx="18">
                  <c:v>1015013.7300613497</c:v>
                </c:pt>
                <c:pt idx="19">
                  <c:v>1292443.7919018406</c:v>
                </c:pt>
                <c:pt idx="20">
                  <c:v>1291364.8195599024</c:v>
                </c:pt>
                <c:pt idx="21">
                  <c:v>1320663.0633962264</c:v>
                </c:pt>
                <c:pt idx="22">
                  <c:v>1197716.2014723928</c:v>
                </c:pt>
                <c:pt idx="23">
                  <c:v>1188977.6545454545</c:v>
                </c:pt>
                <c:pt idx="24">
                  <c:v>1197716.2014723928</c:v>
                </c:pt>
                <c:pt idx="25">
                  <c:v>1296118.3096932517</c:v>
                </c:pt>
                <c:pt idx="26">
                  <c:v>1290773.9124886054</c:v>
                </c:pt>
                <c:pt idx="27">
                  <c:v>1291364.8195599024</c:v>
                </c:pt>
                <c:pt idx="28">
                  <c:v>1301568.51371807</c:v>
                </c:pt>
                <c:pt idx="29">
                  <c:v>1015013.7300613497</c:v>
                </c:pt>
                <c:pt idx="30">
                  <c:v>1320663.0633962264</c:v>
                </c:pt>
                <c:pt idx="31">
                  <c:v>1290773.9124886054</c:v>
                </c:pt>
                <c:pt idx="32">
                  <c:v>1296118.3096932517</c:v>
                </c:pt>
                <c:pt idx="33">
                  <c:v>1325964.6195685202</c:v>
                </c:pt>
                <c:pt idx="34">
                  <c:v>1015013.7300613497</c:v>
                </c:pt>
                <c:pt idx="35">
                  <c:v>1015013.7300613497</c:v>
                </c:pt>
                <c:pt idx="36">
                  <c:v>1322401.1608325448</c:v>
                </c:pt>
                <c:pt idx="37">
                  <c:v>1296118.3096932517</c:v>
                </c:pt>
                <c:pt idx="38">
                  <c:v>1296118.3096932517</c:v>
                </c:pt>
                <c:pt idx="39">
                  <c:v>1015013.7300613497</c:v>
                </c:pt>
                <c:pt idx="40">
                  <c:v>1296118.3096932517</c:v>
                </c:pt>
                <c:pt idx="41">
                  <c:v>1322401.1608325448</c:v>
                </c:pt>
                <c:pt idx="42">
                  <c:v>1015013.7300613497</c:v>
                </c:pt>
                <c:pt idx="43">
                  <c:v>1296118.3096932517</c:v>
                </c:pt>
                <c:pt idx="44">
                  <c:v>1188977.6545454545</c:v>
                </c:pt>
                <c:pt idx="45">
                  <c:v>1325964.6195685202</c:v>
                </c:pt>
              </c:numCache>
            </c:numRef>
          </c:yVal>
          <c:smooth val="0"/>
        </c:ser>
        <c:dLbls>
          <c:showLegendKey val="0"/>
          <c:showVal val="0"/>
          <c:showCatName val="0"/>
          <c:showSerName val="0"/>
          <c:showPercent val="0"/>
          <c:showBubbleSize val="0"/>
        </c:dLbls>
        <c:axId val="44274048"/>
        <c:axId val="44275584"/>
      </c:scatterChart>
      <c:valAx>
        <c:axId val="44274048"/>
        <c:scaling>
          <c:orientation val="minMax"/>
        </c:scaling>
        <c:delete val="0"/>
        <c:axPos val="b"/>
        <c:numFmt formatCode="General" sourceLinked="1"/>
        <c:majorTickMark val="out"/>
        <c:minorTickMark val="none"/>
        <c:tickLblPos val="nextTo"/>
        <c:txPr>
          <a:bodyPr/>
          <a:lstStyle/>
          <a:p>
            <a:pPr>
              <a:defRPr sz="700"/>
            </a:pPr>
            <a:endParaRPr lang="en-US"/>
          </a:p>
        </c:txPr>
        <c:crossAx val="44275584"/>
        <c:crosses val="autoZero"/>
        <c:crossBetween val="midCat"/>
        <c:majorUnit val="100"/>
        <c:minorUnit val="50"/>
      </c:valAx>
      <c:valAx>
        <c:axId val="44275584"/>
        <c:scaling>
          <c:orientation val="minMax"/>
          <c:max val="4000000"/>
        </c:scaling>
        <c:delete val="0"/>
        <c:axPos val="l"/>
        <c:majorGridlines/>
        <c:numFmt formatCode="_(* #,##0_);_(* \(#,##0\);_(* &quot;-&quot;??_);_(@_)" sourceLinked="1"/>
        <c:majorTickMark val="out"/>
        <c:minorTickMark val="none"/>
        <c:tickLblPos val="nextTo"/>
        <c:crossAx val="44274048"/>
        <c:crosses val="autoZero"/>
        <c:crossBetween val="midCat"/>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$/km by</a:t>
            </a:r>
            <a:r>
              <a:rPr lang="en-US" baseline="0"/>
              <a:t> km</a:t>
            </a:r>
            <a:endParaRPr lang="en-US"/>
          </a:p>
        </c:rich>
      </c:tx>
      <c:layout/>
      <c:overlay val="1"/>
    </c:title>
    <c:autoTitleDeleted val="0"/>
    <c:plotArea>
      <c:layout/>
      <c:scatterChart>
        <c:scatterStyle val="lineMarker"/>
        <c:varyColors val="0"/>
        <c:ser>
          <c:idx val="0"/>
          <c:order val="0"/>
          <c:tx>
            <c:v>477</c:v>
          </c:tx>
          <c:spPr>
            <a:ln w="28575">
              <a:noFill/>
            </a:ln>
          </c:spPr>
          <c:marker>
            <c:symbol val="diamond"/>
            <c:size val="4"/>
          </c:marker>
          <c:xVal>
            <c:numRef>
              <c:f>'2018UpdateData'!$R$100:$R$173</c:f>
              <c:numCache>
                <c:formatCode>General</c:formatCode>
                <c:ptCount val="74"/>
                <c:pt idx="0">
                  <c:v>12.2</c:v>
                </c:pt>
                <c:pt idx="1">
                  <c:v>0.2</c:v>
                </c:pt>
                <c:pt idx="2">
                  <c:v>19</c:v>
                </c:pt>
                <c:pt idx="3">
                  <c:v>8</c:v>
                </c:pt>
                <c:pt idx="4">
                  <c:v>28</c:v>
                </c:pt>
                <c:pt idx="5">
                  <c:v>80.5</c:v>
                </c:pt>
                <c:pt idx="6">
                  <c:v>10</c:v>
                </c:pt>
                <c:pt idx="7">
                  <c:v>51</c:v>
                </c:pt>
                <c:pt idx="8">
                  <c:v>0.7</c:v>
                </c:pt>
                <c:pt idx="9">
                  <c:v>0.7</c:v>
                </c:pt>
                <c:pt idx="10">
                  <c:v>6.5</c:v>
                </c:pt>
                <c:pt idx="11">
                  <c:v>15</c:v>
                </c:pt>
                <c:pt idx="12">
                  <c:v>0.5</c:v>
                </c:pt>
                <c:pt idx="13">
                  <c:v>0.5</c:v>
                </c:pt>
                <c:pt idx="14">
                  <c:v>17</c:v>
                </c:pt>
                <c:pt idx="15">
                  <c:v>24</c:v>
                </c:pt>
                <c:pt idx="16">
                  <c:v>2</c:v>
                </c:pt>
                <c:pt idx="17">
                  <c:v>1</c:v>
                </c:pt>
                <c:pt idx="18">
                  <c:v>1.2</c:v>
                </c:pt>
                <c:pt idx="19">
                  <c:v>25</c:v>
                </c:pt>
                <c:pt idx="20">
                  <c:v>8</c:v>
                </c:pt>
                <c:pt idx="21">
                  <c:v>0.4</c:v>
                </c:pt>
                <c:pt idx="22">
                  <c:v>0.8</c:v>
                </c:pt>
                <c:pt idx="23">
                  <c:v>14</c:v>
                </c:pt>
                <c:pt idx="24">
                  <c:v>5.0999999999999996</c:v>
                </c:pt>
                <c:pt idx="25">
                  <c:v>3.5</c:v>
                </c:pt>
                <c:pt idx="26">
                  <c:v>7.1</c:v>
                </c:pt>
                <c:pt idx="27">
                  <c:v>11.6</c:v>
                </c:pt>
                <c:pt idx="28">
                  <c:v>49.6</c:v>
                </c:pt>
                <c:pt idx="29">
                  <c:v>12.2</c:v>
                </c:pt>
                <c:pt idx="30">
                  <c:v>46.7</c:v>
                </c:pt>
                <c:pt idx="31">
                  <c:v>3</c:v>
                </c:pt>
                <c:pt idx="32">
                  <c:v>6</c:v>
                </c:pt>
                <c:pt idx="33">
                  <c:v>7</c:v>
                </c:pt>
                <c:pt idx="34">
                  <c:v>0.5</c:v>
                </c:pt>
                <c:pt idx="35">
                  <c:v>3.5</c:v>
                </c:pt>
                <c:pt idx="36">
                  <c:v>1.9</c:v>
                </c:pt>
                <c:pt idx="37">
                  <c:v>1</c:v>
                </c:pt>
                <c:pt idx="38">
                  <c:v>0.05</c:v>
                </c:pt>
                <c:pt idx="39">
                  <c:v>0.13</c:v>
                </c:pt>
                <c:pt idx="40">
                  <c:v>0.13</c:v>
                </c:pt>
                <c:pt idx="41">
                  <c:v>6.4</c:v>
                </c:pt>
                <c:pt idx="42">
                  <c:v>6</c:v>
                </c:pt>
                <c:pt idx="43">
                  <c:v>5.5</c:v>
                </c:pt>
                <c:pt idx="44">
                  <c:v>4.2</c:v>
                </c:pt>
                <c:pt idx="45">
                  <c:v>1.65</c:v>
                </c:pt>
                <c:pt idx="46">
                  <c:v>6.4</c:v>
                </c:pt>
                <c:pt idx="47">
                  <c:v>3.3</c:v>
                </c:pt>
                <c:pt idx="48">
                  <c:v>6.4</c:v>
                </c:pt>
                <c:pt idx="49">
                  <c:v>1.65</c:v>
                </c:pt>
                <c:pt idx="50">
                  <c:v>4.2</c:v>
                </c:pt>
                <c:pt idx="51">
                  <c:v>3.9</c:v>
                </c:pt>
                <c:pt idx="52">
                  <c:v>6</c:v>
                </c:pt>
                <c:pt idx="53">
                  <c:v>2.1</c:v>
                </c:pt>
                <c:pt idx="54">
                  <c:v>5.5</c:v>
                </c:pt>
                <c:pt idx="55">
                  <c:v>3.9</c:v>
                </c:pt>
                <c:pt idx="56">
                  <c:v>3.9</c:v>
                </c:pt>
                <c:pt idx="57">
                  <c:v>2.2999999999999998</c:v>
                </c:pt>
                <c:pt idx="58">
                  <c:v>3</c:v>
                </c:pt>
                <c:pt idx="59">
                  <c:v>2.2999999999999998</c:v>
                </c:pt>
                <c:pt idx="60">
                  <c:v>6</c:v>
                </c:pt>
                <c:pt idx="61">
                  <c:v>3</c:v>
                </c:pt>
                <c:pt idx="62">
                  <c:v>5.5</c:v>
                </c:pt>
                <c:pt idx="63">
                  <c:v>0.6</c:v>
                </c:pt>
                <c:pt idx="64">
                  <c:v>50</c:v>
                </c:pt>
                <c:pt idx="65">
                  <c:v>29.7</c:v>
                </c:pt>
                <c:pt idx="66">
                  <c:v>29.7</c:v>
                </c:pt>
                <c:pt idx="67">
                  <c:v>70</c:v>
                </c:pt>
                <c:pt idx="68">
                  <c:v>50</c:v>
                </c:pt>
                <c:pt idx="69">
                  <c:v>50</c:v>
                </c:pt>
                <c:pt idx="70">
                  <c:v>50</c:v>
                </c:pt>
                <c:pt idx="71">
                  <c:v>70</c:v>
                </c:pt>
                <c:pt idx="72">
                  <c:v>29.7</c:v>
                </c:pt>
                <c:pt idx="73">
                  <c:v>29.7</c:v>
                </c:pt>
              </c:numCache>
            </c:numRef>
          </c:xVal>
          <c:yVal>
            <c:numRef>
              <c:f>'2018UpdateData'!$Y$100:$Y$173</c:f>
              <c:numCache>
                <c:formatCode>_(* #,##0_);_(* \(#,##0\);_(* "-"??_);_(@_)</c:formatCode>
                <c:ptCount val="74"/>
                <c:pt idx="0">
                  <c:v>283770.49180327868</c:v>
                </c:pt>
                <c:pt idx="1">
                  <c:v>3313200</c:v>
                </c:pt>
                <c:pt idx="2">
                  <c:v>218362.21052631579</c:v>
                </c:pt>
                <c:pt idx="3">
                  <c:v>643657.63</c:v>
                </c:pt>
                <c:pt idx="4">
                  <c:v>219337.96428571429</c:v>
                </c:pt>
                <c:pt idx="5">
                  <c:v>139757.97515527951</c:v>
                </c:pt>
                <c:pt idx="6">
                  <c:v>532617.30000000005</c:v>
                </c:pt>
                <c:pt idx="7">
                  <c:v>369529.4117647059</c:v>
                </c:pt>
                <c:pt idx="8">
                  <c:v>955807.14285714296</c:v>
                </c:pt>
                <c:pt idx="9">
                  <c:v>917970.00000000012</c:v>
                </c:pt>
                <c:pt idx="10">
                  <c:v>811977.69230769225</c:v>
                </c:pt>
                <c:pt idx="11">
                  <c:v>789133.33333333337</c:v>
                </c:pt>
                <c:pt idx="12">
                  <c:v>778716</c:v>
                </c:pt>
                <c:pt idx="13">
                  <c:v>527190</c:v>
                </c:pt>
                <c:pt idx="14">
                  <c:v>346267.35294117645</c:v>
                </c:pt>
                <c:pt idx="15">
                  <c:v>1190650.8166666667</c:v>
                </c:pt>
                <c:pt idx="16">
                  <c:v>340993</c:v>
                </c:pt>
                <c:pt idx="17">
                  <c:v>624864.24</c:v>
                </c:pt>
                <c:pt idx="18">
                  <c:v>2577522.2000000002</c:v>
                </c:pt>
                <c:pt idx="19">
                  <c:v>575551.99679999996</c:v>
                </c:pt>
                <c:pt idx="20">
                  <c:v>325259.375</c:v>
                </c:pt>
                <c:pt idx="21">
                  <c:v>299457.5</c:v>
                </c:pt>
                <c:pt idx="22">
                  <c:v>1864322.9</c:v>
                </c:pt>
                <c:pt idx="23">
                  <c:v>429571.42857142858</c:v>
                </c:pt>
                <c:pt idx="24">
                  <c:v>511960.78431372554</c:v>
                </c:pt>
                <c:pt idx="25">
                  <c:v>536857.14285714284</c:v>
                </c:pt>
                <c:pt idx="26">
                  <c:v>783323.94366197183</c:v>
                </c:pt>
                <c:pt idx="27">
                  <c:v>236120.68965517243</c:v>
                </c:pt>
                <c:pt idx="28">
                  <c:v>265181.45161290321</c:v>
                </c:pt>
                <c:pt idx="29">
                  <c:v>438360.65573770495</c:v>
                </c:pt>
                <c:pt idx="30">
                  <c:v>203361.88436830833</c:v>
                </c:pt>
                <c:pt idx="31">
                  <c:v>1139306.6666666667</c:v>
                </c:pt>
                <c:pt idx="32">
                  <c:v>576876.5</c:v>
                </c:pt>
                <c:pt idx="33">
                  <c:v>629153.3600000001</c:v>
                </c:pt>
                <c:pt idx="34">
                  <c:v>772816</c:v>
                </c:pt>
                <c:pt idx="35">
                  <c:v>746000</c:v>
                </c:pt>
                <c:pt idx="36">
                  <c:v>988947.3684210527</c:v>
                </c:pt>
                <c:pt idx="37">
                  <c:v>1393293</c:v>
                </c:pt>
                <c:pt idx="38">
                  <c:v>14686080</c:v>
                </c:pt>
                <c:pt idx="39">
                  <c:v>6857230.769230769</c:v>
                </c:pt>
                <c:pt idx="40">
                  <c:v>6857230.769230769</c:v>
                </c:pt>
                <c:pt idx="41">
                  <c:v>1300870.625</c:v>
                </c:pt>
                <c:pt idx="42">
                  <c:v>702305.16666666663</c:v>
                </c:pt>
                <c:pt idx="43">
                  <c:v>1002219.6363636364</c:v>
                </c:pt>
                <c:pt idx="44">
                  <c:v>780233.09523809515</c:v>
                </c:pt>
                <c:pt idx="45">
                  <c:v>4152903.6363636367</c:v>
                </c:pt>
                <c:pt idx="46">
                  <c:v>1261280.3125</c:v>
                </c:pt>
                <c:pt idx="47">
                  <c:v>2135342.1212121211</c:v>
                </c:pt>
                <c:pt idx="48">
                  <c:v>1300870.625</c:v>
                </c:pt>
                <c:pt idx="49">
                  <c:v>4152903.6363636367</c:v>
                </c:pt>
                <c:pt idx="50">
                  <c:v>780233.09523809515</c:v>
                </c:pt>
                <c:pt idx="51">
                  <c:v>1728226.4102564103</c:v>
                </c:pt>
                <c:pt idx="52">
                  <c:v>741736.16666666663</c:v>
                </c:pt>
                <c:pt idx="53">
                  <c:v>1222273.8095238095</c:v>
                </c:pt>
                <c:pt idx="54">
                  <c:v>1056255.6363636365</c:v>
                </c:pt>
                <c:pt idx="55">
                  <c:v>1722817.9487179487</c:v>
                </c:pt>
                <c:pt idx="56">
                  <c:v>1728226.4102564103</c:v>
                </c:pt>
                <c:pt idx="57">
                  <c:v>822353.47826086963</c:v>
                </c:pt>
                <c:pt idx="58">
                  <c:v>601932.33333333337</c:v>
                </c:pt>
                <c:pt idx="59">
                  <c:v>822353.47826086963</c:v>
                </c:pt>
                <c:pt idx="60">
                  <c:v>741736.16666666663</c:v>
                </c:pt>
                <c:pt idx="61">
                  <c:v>601932.33333333337</c:v>
                </c:pt>
                <c:pt idx="62">
                  <c:v>1056255.6363636365</c:v>
                </c:pt>
                <c:pt idx="63">
                  <c:v>2183906.666666667</c:v>
                </c:pt>
                <c:pt idx="64">
                  <c:v>559386.51760000002</c:v>
                </c:pt>
                <c:pt idx="65">
                  <c:v>579228.55218855222</c:v>
                </c:pt>
                <c:pt idx="66">
                  <c:v>415786.83501683502</c:v>
                </c:pt>
                <c:pt idx="67">
                  <c:v>536949.1857142857</c:v>
                </c:pt>
                <c:pt idx="68">
                  <c:v>595311.72</c:v>
                </c:pt>
                <c:pt idx="69">
                  <c:v>595092.04</c:v>
                </c:pt>
                <c:pt idx="70">
                  <c:v>559593.01679999998</c:v>
                </c:pt>
                <c:pt idx="71">
                  <c:v>863851.84885714273</c:v>
                </c:pt>
                <c:pt idx="72">
                  <c:v>592949.36026936024</c:v>
                </c:pt>
                <c:pt idx="73">
                  <c:v>433181.38047138049</c:v>
                </c:pt>
              </c:numCache>
            </c:numRef>
          </c:yVal>
          <c:smooth val="0"/>
        </c:ser>
        <c:ser>
          <c:idx val="1"/>
          <c:order val="1"/>
          <c:tx>
            <c:v>266</c:v>
          </c:tx>
          <c:spPr>
            <a:ln w="28575">
              <a:noFill/>
            </a:ln>
          </c:spPr>
          <c:marker>
            <c:symbol val="circle"/>
            <c:size val="4"/>
          </c:marker>
          <c:xVal>
            <c:numRef>
              <c:f>'2018UpdateData'!$R$177:$R$304</c:f>
              <c:numCache>
                <c:formatCode>General</c:formatCode>
                <c:ptCount val="128"/>
                <c:pt idx="0">
                  <c:v>0.3</c:v>
                </c:pt>
                <c:pt idx="1">
                  <c:v>4</c:v>
                </c:pt>
                <c:pt idx="2">
                  <c:v>26</c:v>
                </c:pt>
                <c:pt idx="3">
                  <c:v>0.1</c:v>
                </c:pt>
                <c:pt idx="4">
                  <c:v>16</c:v>
                </c:pt>
                <c:pt idx="5">
                  <c:v>0.1</c:v>
                </c:pt>
                <c:pt idx="6">
                  <c:v>29</c:v>
                </c:pt>
                <c:pt idx="7">
                  <c:v>10</c:v>
                </c:pt>
                <c:pt idx="8">
                  <c:v>105</c:v>
                </c:pt>
                <c:pt idx="9">
                  <c:v>7.5</c:v>
                </c:pt>
                <c:pt idx="10">
                  <c:v>7.5</c:v>
                </c:pt>
                <c:pt idx="11">
                  <c:v>106</c:v>
                </c:pt>
                <c:pt idx="12">
                  <c:v>0.2</c:v>
                </c:pt>
                <c:pt idx="13">
                  <c:v>0.5</c:v>
                </c:pt>
                <c:pt idx="14">
                  <c:v>2</c:v>
                </c:pt>
                <c:pt idx="15">
                  <c:v>1.2</c:v>
                </c:pt>
                <c:pt idx="16">
                  <c:v>0.76500000000000001</c:v>
                </c:pt>
                <c:pt idx="17">
                  <c:v>25</c:v>
                </c:pt>
                <c:pt idx="18">
                  <c:v>0.4</c:v>
                </c:pt>
                <c:pt idx="19">
                  <c:v>12</c:v>
                </c:pt>
                <c:pt idx="20">
                  <c:v>32</c:v>
                </c:pt>
                <c:pt idx="21">
                  <c:v>46</c:v>
                </c:pt>
                <c:pt idx="22">
                  <c:v>13</c:v>
                </c:pt>
                <c:pt idx="23">
                  <c:v>0.2</c:v>
                </c:pt>
                <c:pt idx="24">
                  <c:v>17</c:v>
                </c:pt>
                <c:pt idx="25">
                  <c:v>11.2</c:v>
                </c:pt>
                <c:pt idx="26">
                  <c:v>9.1999999999999993</c:v>
                </c:pt>
                <c:pt idx="27">
                  <c:v>5</c:v>
                </c:pt>
                <c:pt idx="28">
                  <c:v>12.4</c:v>
                </c:pt>
                <c:pt idx="29">
                  <c:v>24</c:v>
                </c:pt>
                <c:pt idx="30">
                  <c:v>1.5</c:v>
                </c:pt>
                <c:pt idx="31">
                  <c:v>0.05</c:v>
                </c:pt>
                <c:pt idx="32">
                  <c:v>0.05</c:v>
                </c:pt>
                <c:pt idx="33">
                  <c:v>0.2</c:v>
                </c:pt>
                <c:pt idx="34">
                  <c:v>0.5</c:v>
                </c:pt>
                <c:pt idx="35">
                  <c:v>21.5</c:v>
                </c:pt>
                <c:pt idx="36">
                  <c:v>5</c:v>
                </c:pt>
                <c:pt idx="37">
                  <c:v>3</c:v>
                </c:pt>
                <c:pt idx="38">
                  <c:v>0.1</c:v>
                </c:pt>
                <c:pt idx="39">
                  <c:v>0.5</c:v>
                </c:pt>
                <c:pt idx="40">
                  <c:v>0.26400000000000001</c:v>
                </c:pt>
                <c:pt idx="41">
                  <c:v>18.5</c:v>
                </c:pt>
                <c:pt idx="42">
                  <c:v>0.55000000000000004</c:v>
                </c:pt>
                <c:pt idx="43">
                  <c:v>0.19</c:v>
                </c:pt>
                <c:pt idx="44">
                  <c:v>0.19</c:v>
                </c:pt>
                <c:pt idx="45">
                  <c:v>1.6</c:v>
                </c:pt>
                <c:pt idx="46">
                  <c:v>11</c:v>
                </c:pt>
                <c:pt idx="47">
                  <c:v>4.9000000000000004</c:v>
                </c:pt>
                <c:pt idx="48">
                  <c:v>1.6</c:v>
                </c:pt>
                <c:pt idx="49">
                  <c:v>0.5</c:v>
                </c:pt>
                <c:pt idx="50">
                  <c:v>4.9000000000000004</c:v>
                </c:pt>
                <c:pt idx="51">
                  <c:v>12.6</c:v>
                </c:pt>
                <c:pt idx="52">
                  <c:v>4.9000000000000004</c:v>
                </c:pt>
                <c:pt idx="53">
                  <c:v>1.6</c:v>
                </c:pt>
                <c:pt idx="54">
                  <c:v>12.6</c:v>
                </c:pt>
                <c:pt idx="55">
                  <c:v>12.6</c:v>
                </c:pt>
                <c:pt idx="56">
                  <c:v>4.9000000000000004</c:v>
                </c:pt>
                <c:pt idx="57">
                  <c:v>4.9000000000000004</c:v>
                </c:pt>
                <c:pt idx="58">
                  <c:v>1.6</c:v>
                </c:pt>
                <c:pt idx="59">
                  <c:v>4.9000000000000004</c:v>
                </c:pt>
                <c:pt idx="60">
                  <c:v>1.6</c:v>
                </c:pt>
                <c:pt idx="61">
                  <c:v>4.9000000000000004</c:v>
                </c:pt>
                <c:pt idx="62">
                  <c:v>1.6</c:v>
                </c:pt>
                <c:pt idx="63">
                  <c:v>1.6</c:v>
                </c:pt>
                <c:pt idx="64">
                  <c:v>1.6</c:v>
                </c:pt>
                <c:pt idx="65">
                  <c:v>11</c:v>
                </c:pt>
                <c:pt idx="66">
                  <c:v>1.6</c:v>
                </c:pt>
                <c:pt idx="67">
                  <c:v>12.6</c:v>
                </c:pt>
                <c:pt idx="68">
                  <c:v>1.6</c:v>
                </c:pt>
                <c:pt idx="69">
                  <c:v>12.6</c:v>
                </c:pt>
                <c:pt idx="70">
                  <c:v>12.6</c:v>
                </c:pt>
                <c:pt idx="71">
                  <c:v>1.6</c:v>
                </c:pt>
                <c:pt idx="72">
                  <c:v>12.6</c:v>
                </c:pt>
                <c:pt idx="73">
                  <c:v>4.9000000000000004</c:v>
                </c:pt>
                <c:pt idx="74">
                  <c:v>1.6</c:v>
                </c:pt>
                <c:pt idx="75">
                  <c:v>1.6</c:v>
                </c:pt>
                <c:pt idx="76">
                  <c:v>11</c:v>
                </c:pt>
                <c:pt idx="77">
                  <c:v>1.6</c:v>
                </c:pt>
                <c:pt idx="78">
                  <c:v>4.9000000000000004</c:v>
                </c:pt>
                <c:pt idx="79">
                  <c:v>11</c:v>
                </c:pt>
                <c:pt idx="80">
                  <c:v>4.9000000000000004</c:v>
                </c:pt>
                <c:pt idx="81">
                  <c:v>4.9000000000000004</c:v>
                </c:pt>
                <c:pt idx="82">
                  <c:v>1.6</c:v>
                </c:pt>
                <c:pt idx="83">
                  <c:v>4.9000000000000004</c:v>
                </c:pt>
                <c:pt idx="84">
                  <c:v>4.9000000000000004</c:v>
                </c:pt>
                <c:pt idx="85">
                  <c:v>4.9000000000000004</c:v>
                </c:pt>
                <c:pt idx="86">
                  <c:v>4.9000000000000004</c:v>
                </c:pt>
                <c:pt idx="87">
                  <c:v>12.6</c:v>
                </c:pt>
                <c:pt idx="88">
                  <c:v>4.9000000000000004</c:v>
                </c:pt>
                <c:pt idx="89">
                  <c:v>1.6</c:v>
                </c:pt>
                <c:pt idx="90">
                  <c:v>1.6</c:v>
                </c:pt>
                <c:pt idx="91">
                  <c:v>4.9000000000000004</c:v>
                </c:pt>
                <c:pt idx="92">
                  <c:v>1.6</c:v>
                </c:pt>
                <c:pt idx="93">
                  <c:v>4.9000000000000004</c:v>
                </c:pt>
                <c:pt idx="94">
                  <c:v>1.6</c:v>
                </c:pt>
                <c:pt idx="95">
                  <c:v>1.6</c:v>
                </c:pt>
                <c:pt idx="96">
                  <c:v>1</c:v>
                </c:pt>
                <c:pt idx="97">
                  <c:v>4.9000000000000004</c:v>
                </c:pt>
                <c:pt idx="98">
                  <c:v>4.9000000000000004</c:v>
                </c:pt>
                <c:pt idx="99">
                  <c:v>4.9000000000000004</c:v>
                </c:pt>
                <c:pt idx="100">
                  <c:v>1.6</c:v>
                </c:pt>
                <c:pt idx="101">
                  <c:v>1.6</c:v>
                </c:pt>
                <c:pt idx="102">
                  <c:v>0.11</c:v>
                </c:pt>
                <c:pt idx="103">
                  <c:v>0.2</c:v>
                </c:pt>
                <c:pt idx="104">
                  <c:v>1</c:v>
                </c:pt>
                <c:pt idx="105">
                  <c:v>11</c:v>
                </c:pt>
                <c:pt idx="106">
                  <c:v>4.9000000000000004</c:v>
                </c:pt>
                <c:pt idx="107">
                  <c:v>4.9000000000000004</c:v>
                </c:pt>
                <c:pt idx="108">
                  <c:v>1.6</c:v>
                </c:pt>
                <c:pt idx="109">
                  <c:v>11</c:v>
                </c:pt>
                <c:pt idx="110">
                  <c:v>1.6</c:v>
                </c:pt>
                <c:pt idx="111">
                  <c:v>4.9000000000000004</c:v>
                </c:pt>
                <c:pt idx="112">
                  <c:v>11</c:v>
                </c:pt>
                <c:pt idx="113">
                  <c:v>4.9000000000000004</c:v>
                </c:pt>
                <c:pt idx="114">
                  <c:v>4.9000000000000004</c:v>
                </c:pt>
                <c:pt idx="115">
                  <c:v>1.6</c:v>
                </c:pt>
                <c:pt idx="116">
                  <c:v>1.6</c:v>
                </c:pt>
                <c:pt idx="117">
                  <c:v>11</c:v>
                </c:pt>
                <c:pt idx="118">
                  <c:v>1</c:v>
                </c:pt>
                <c:pt idx="119">
                  <c:v>26</c:v>
                </c:pt>
                <c:pt idx="120">
                  <c:v>0.06</c:v>
                </c:pt>
                <c:pt idx="121">
                  <c:v>6</c:v>
                </c:pt>
                <c:pt idx="122">
                  <c:v>7</c:v>
                </c:pt>
                <c:pt idx="123">
                  <c:v>1.7</c:v>
                </c:pt>
                <c:pt idx="124">
                  <c:v>1.7</c:v>
                </c:pt>
                <c:pt idx="125">
                  <c:v>1.7</c:v>
                </c:pt>
                <c:pt idx="126">
                  <c:v>1.7</c:v>
                </c:pt>
                <c:pt idx="127">
                  <c:v>1.7</c:v>
                </c:pt>
              </c:numCache>
            </c:numRef>
          </c:xVal>
          <c:yVal>
            <c:numRef>
              <c:f>'2018UpdateData'!$Y$177:$Y$304</c:f>
              <c:numCache>
                <c:formatCode>_(* #,##0_);_(* \(#,##0\);_(* "-"??_);_(@_)</c:formatCode>
                <c:ptCount val="128"/>
                <c:pt idx="0">
                  <c:v>693333.33333333337</c:v>
                </c:pt>
                <c:pt idx="1">
                  <c:v>229250</c:v>
                </c:pt>
                <c:pt idx="2">
                  <c:v>206615.38461538462</c:v>
                </c:pt>
                <c:pt idx="3">
                  <c:v>4060000</c:v>
                </c:pt>
                <c:pt idx="4">
                  <c:v>298650</c:v>
                </c:pt>
                <c:pt idx="5">
                  <c:v>5728800</c:v>
                </c:pt>
                <c:pt idx="6">
                  <c:v>258586.20689655171</c:v>
                </c:pt>
                <c:pt idx="7">
                  <c:v>126984</c:v>
                </c:pt>
                <c:pt idx="8">
                  <c:v>345219.04761904763</c:v>
                </c:pt>
                <c:pt idx="9">
                  <c:v>166400</c:v>
                </c:pt>
                <c:pt idx="10">
                  <c:v>288933.33333333331</c:v>
                </c:pt>
                <c:pt idx="11">
                  <c:v>524490.5660377359</c:v>
                </c:pt>
                <c:pt idx="12">
                  <c:v>1936605</c:v>
                </c:pt>
                <c:pt idx="13">
                  <c:v>1602114</c:v>
                </c:pt>
                <c:pt idx="14">
                  <c:v>732000</c:v>
                </c:pt>
                <c:pt idx="15">
                  <c:v>552500</c:v>
                </c:pt>
                <c:pt idx="16">
                  <c:v>804869.8562091504</c:v>
                </c:pt>
                <c:pt idx="17">
                  <c:v>162360</c:v>
                </c:pt>
                <c:pt idx="18">
                  <c:v>1437500</c:v>
                </c:pt>
                <c:pt idx="19">
                  <c:v>604462.39333333331</c:v>
                </c:pt>
                <c:pt idx="20">
                  <c:v>268906.25</c:v>
                </c:pt>
                <c:pt idx="21">
                  <c:v>225987.54347826086</c:v>
                </c:pt>
                <c:pt idx="22">
                  <c:v>909739.69230769225</c:v>
                </c:pt>
                <c:pt idx="23">
                  <c:v>3533200</c:v>
                </c:pt>
                <c:pt idx="24">
                  <c:v>474647.0588235294</c:v>
                </c:pt>
                <c:pt idx="25">
                  <c:v>284910.71428571432</c:v>
                </c:pt>
                <c:pt idx="26">
                  <c:v>202628.80434782611</c:v>
                </c:pt>
                <c:pt idx="27">
                  <c:v>285094.59999999998</c:v>
                </c:pt>
                <c:pt idx="28">
                  <c:v>237103.22580645161</c:v>
                </c:pt>
                <c:pt idx="29">
                  <c:v>751558.79333333333</c:v>
                </c:pt>
                <c:pt idx="30">
                  <c:v>974000</c:v>
                </c:pt>
                <c:pt idx="31">
                  <c:v>2860000</c:v>
                </c:pt>
                <c:pt idx="32">
                  <c:v>3840000</c:v>
                </c:pt>
                <c:pt idx="33">
                  <c:v>1500000</c:v>
                </c:pt>
                <c:pt idx="34">
                  <c:v>5245826.08</c:v>
                </c:pt>
                <c:pt idx="35">
                  <c:v>553353.48837209307</c:v>
                </c:pt>
                <c:pt idx="36">
                  <c:v>493526.4</c:v>
                </c:pt>
                <c:pt idx="37">
                  <c:v>1103000</c:v>
                </c:pt>
                <c:pt idx="38">
                  <c:v>2800000</c:v>
                </c:pt>
                <c:pt idx="39">
                  <c:v>2030000</c:v>
                </c:pt>
                <c:pt idx="40">
                  <c:v>506473.33333333326</c:v>
                </c:pt>
                <c:pt idx="41">
                  <c:v>489072.97297297296</c:v>
                </c:pt>
                <c:pt idx="42">
                  <c:v>1615690.9090909089</c:v>
                </c:pt>
                <c:pt idx="43">
                  <c:v>3104305.2631578948</c:v>
                </c:pt>
                <c:pt idx="44">
                  <c:v>4784210.5263157897</c:v>
                </c:pt>
                <c:pt idx="45">
                  <c:v>1689612.0999999999</c:v>
                </c:pt>
                <c:pt idx="46">
                  <c:v>490871.90909090912</c:v>
                </c:pt>
                <c:pt idx="47">
                  <c:v>729443.3142857143</c:v>
                </c:pt>
                <c:pt idx="48">
                  <c:v>1689612.0999999999</c:v>
                </c:pt>
                <c:pt idx="49">
                  <c:v>2022390</c:v>
                </c:pt>
                <c:pt idx="50">
                  <c:v>730447.77142857143</c:v>
                </c:pt>
                <c:pt idx="51">
                  <c:v>472934.8412698413</c:v>
                </c:pt>
                <c:pt idx="52">
                  <c:v>729443.3142857143</c:v>
                </c:pt>
                <c:pt idx="53">
                  <c:v>1689612.0999999999</c:v>
                </c:pt>
                <c:pt idx="54">
                  <c:v>472934.8412698413</c:v>
                </c:pt>
                <c:pt idx="55">
                  <c:v>472934.8412698413</c:v>
                </c:pt>
                <c:pt idx="56">
                  <c:v>730447.77142857143</c:v>
                </c:pt>
                <c:pt idx="57">
                  <c:v>729443.3142857143</c:v>
                </c:pt>
                <c:pt idx="58">
                  <c:v>1689612.0999999999</c:v>
                </c:pt>
                <c:pt idx="59">
                  <c:v>730447.77142857143</c:v>
                </c:pt>
                <c:pt idx="60">
                  <c:v>1689612.0999999999</c:v>
                </c:pt>
                <c:pt idx="61">
                  <c:v>729443.3142857143</c:v>
                </c:pt>
                <c:pt idx="62">
                  <c:v>1689612.0999999999</c:v>
                </c:pt>
                <c:pt idx="63">
                  <c:v>1726613.9000000001</c:v>
                </c:pt>
                <c:pt idx="64">
                  <c:v>1689612.0999999999</c:v>
                </c:pt>
                <c:pt idx="65">
                  <c:v>490871.90909090912</c:v>
                </c:pt>
                <c:pt idx="66">
                  <c:v>1689612.0999999999</c:v>
                </c:pt>
                <c:pt idx="67">
                  <c:v>472934.8412698413</c:v>
                </c:pt>
                <c:pt idx="68">
                  <c:v>1726613.3499999999</c:v>
                </c:pt>
                <c:pt idx="69">
                  <c:v>472934.8412698413</c:v>
                </c:pt>
                <c:pt idx="70">
                  <c:v>472934.8412698413</c:v>
                </c:pt>
                <c:pt idx="71">
                  <c:v>1726613.9000000001</c:v>
                </c:pt>
                <c:pt idx="72">
                  <c:v>472934.8412698413</c:v>
                </c:pt>
                <c:pt idx="73">
                  <c:v>729443.3142857143</c:v>
                </c:pt>
                <c:pt idx="74">
                  <c:v>1726613.9000000001</c:v>
                </c:pt>
                <c:pt idx="75">
                  <c:v>1689612.0999999999</c:v>
                </c:pt>
                <c:pt idx="76">
                  <c:v>490871.90909090912</c:v>
                </c:pt>
                <c:pt idx="77">
                  <c:v>1726613.3499999999</c:v>
                </c:pt>
                <c:pt idx="78">
                  <c:v>729443.3142857143</c:v>
                </c:pt>
                <c:pt idx="79">
                  <c:v>490871.90909090912</c:v>
                </c:pt>
                <c:pt idx="80">
                  <c:v>730447.77142857143</c:v>
                </c:pt>
                <c:pt idx="81">
                  <c:v>729443.3142857143</c:v>
                </c:pt>
                <c:pt idx="82">
                  <c:v>1689612.0999999999</c:v>
                </c:pt>
                <c:pt idx="83">
                  <c:v>729443.3142857143</c:v>
                </c:pt>
                <c:pt idx="84">
                  <c:v>730447.77142857143</c:v>
                </c:pt>
                <c:pt idx="85">
                  <c:v>730447.77142857143</c:v>
                </c:pt>
                <c:pt idx="86">
                  <c:v>729443.3142857143</c:v>
                </c:pt>
                <c:pt idx="87">
                  <c:v>472934.8412698413</c:v>
                </c:pt>
                <c:pt idx="88">
                  <c:v>729443.3142857143</c:v>
                </c:pt>
                <c:pt idx="89">
                  <c:v>1689612.0999999999</c:v>
                </c:pt>
                <c:pt idx="90">
                  <c:v>1726613.3499999999</c:v>
                </c:pt>
                <c:pt idx="91">
                  <c:v>729443.3142857143</c:v>
                </c:pt>
                <c:pt idx="92">
                  <c:v>1689612.0999999999</c:v>
                </c:pt>
                <c:pt idx="93">
                  <c:v>729443.3142857143</c:v>
                </c:pt>
                <c:pt idx="94">
                  <c:v>1689612.0999999999</c:v>
                </c:pt>
                <c:pt idx="95">
                  <c:v>1689612.0999999999</c:v>
                </c:pt>
                <c:pt idx="96">
                  <c:v>2339670</c:v>
                </c:pt>
                <c:pt idx="97">
                  <c:v>729443.3142857143</c:v>
                </c:pt>
                <c:pt idx="98">
                  <c:v>730447.77142857143</c:v>
                </c:pt>
                <c:pt idx="99">
                  <c:v>730447.77142857143</c:v>
                </c:pt>
                <c:pt idx="100">
                  <c:v>1726613.3499999999</c:v>
                </c:pt>
                <c:pt idx="101">
                  <c:v>1726613.9000000001</c:v>
                </c:pt>
                <c:pt idx="102">
                  <c:v>4574481.8181818184</c:v>
                </c:pt>
                <c:pt idx="103">
                  <c:v>5044870</c:v>
                </c:pt>
                <c:pt idx="104">
                  <c:v>2339670</c:v>
                </c:pt>
                <c:pt idx="105">
                  <c:v>490871.90909090912</c:v>
                </c:pt>
                <c:pt idx="106">
                  <c:v>729443.3142857143</c:v>
                </c:pt>
                <c:pt idx="107">
                  <c:v>729443.3142857143</c:v>
                </c:pt>
                <c:pt idx="108">
                  <c:v>1689612.0999999999</c:v>
                </c:pt>
                <c:pt idx="109">
                  <c:v>490871.90909090912</c:v>
                </c:pt>
                <c:pt idx="110">
                  <c:v>1689612.0999999999</c:v>
                </c:pt>
                <c:pt idx="111">
                  <c:v>729443.3142857143</c:v>
                </c:pt>
                <c:pt idx="112">
                  <c:v>490871.90909090912</c:v>
                </c:pt>
                <c:pt idx="113">
                  <c:v>729443.3142857143</c:v>
                </c:pt>
                <c:pt idx="114">
                  <c:v>729443.3142857143</c:v>
                </c:pt>
                <c:pt idx="115">
                  <c:v>1689612.0999999999</c:v>
                </c:pt>
                <c:pt idx="116">
                  <c:v>1689612.0999999999</c:v>
                </c:pt>
                <c:pt idx="117">
                  <c:v>490871.90909090912</c:v>
                </c:pt>
                <c:pt idx="118">
                  <c:v>1939000</c:v>
                </c:pt>
                <c:pt idx="119">
                  <c:v>236615.38461538462</c:v>
                </c:pt>
                <c:pt idx="120">
                  <c:v>10401016.666666668</c:v>
                </c:pt>
                <c:pt idx="121">
                  <c:v>373757.5</c:v>
                </c:pt>
                <c:pt idx="122">
                  <c:v>687229.85714285716</c:v>
                </c:pt>
                <c:pt idx="123">
                  <c:v>1156177.6470588236</c:v>
                </c:pt>
                <c:pt idx="124">
                  <c:v>1156177.6470588236</c:v>
                </c:pt>
                <c:pt idx="125">
                  <c:v>1156177.6470588236</c:v>
                </c:pt>
                <c:pt idx="126">
                  <c:v>1156177.6470588236</c:v>
                </c:pt>
                <c:pt idx="127">
                  <c:v>1156177.6470588236</c:v>
                </c:pt>
              </c:numCache>
            </c:numRef>
          </c:yVal>
          <c:smooth val="0"/>
        </c:ser>
        <c:dLbls>
          <c:showLegendKey val="0"/>
          <c:showVal val="0"/>
          <c:showCatName val="0"/>
          <c:showSerName val="0"/>
          <c:showPercent val="0"/>
          <c:showBubbleSize val="0"/>
        </c:dLbls>
        <c:axId val="44300928"/>
        <c:axId val="44306816"/>
      </c:scatterChart>
      <c:valAx>
        <c:axId val="44300928"/>
        <c:scaling>
          <c:orientation val="minMax"/>
        </c:scaling>
        <c:delete val="0"/>
        <c:axPos val="b"/>
        <c:numFmt formatCode="General" sourceLinked="1"/>
        <c:majorTickMark val="out"/>
        <c:minorTickMark val="none"/>
        <c:tickLblPos val="nextTo"/>
        <c:crossAx val="44306816"/>
        <c:crosses val="autoZero"/>
        <c:crossBetween val="midCat"/>
      </c:valAx>
      <c:valAx>
        <c:axId val="44306816"/>
        <c:scaling>
          <c:orientation val="minMax"/>
          <c:max val="4000000"/>
        </c:scaling>
        <c:delete val="0"/>
        <c:axPos val="l"/>
        <c:majorGridlines/>
        <c:numFmt formatCode="_(* #,##0_);_(* \(#,##0\);_(* &quot;-&quot;??_);_(@_)" sourceLinked="1"/>
        <c:majorTickMark val="out"/>
        <c:minorTickMark val="none"/>
        <c:tickLblPos val="nextTo"/>
        <c:crossAx val="44300928"/>
        <c:crosses val="autoZero"/>
        <c:crossBetween val="midCat"/>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$/km by ISD</a:t>
            </a:r>
          </a:p>
        </c:rich>
      </c:tx>
      <c:layout/>
      <c:overlay val="1"/>
    </c:title>
    <c:autoTitleDeleted val="0"/>
    <c:plotArea>
      <c:layout/>
      <c:scatterChart>
        <c:scatterStyle val="lineMarker"/>
        <c:varyColors val="0"/>
        <c:ser>
          <c:idx val="0"/>
          <c:order val="0"/>
          <c:tx>
            <c:v>477</c:v>
          </c:tx>
          <c:spPr>
            <a:ln w="28575">
              <a:noFill/>
            </a:ln>
          </c:spPr>
          <c:marker>
            <c:symbol val="diamond"/>
            <c:size val="4"/>
          </c:marker>
          <c:xVal>
            <c:numRef>
              <c:f>update!#REF!</c:f>
            </c:numRef>
          </c:xVal>
          <c:yVal>
            <c:numRef>
              <c:f>'2018UpdateData'!$Y$100:$Y$173</c:f>
              <c:numCache>
                <c:formatCode>_(* #,##0_);_(* \(#,##0\);_(* "-"??_);_(@_)</c:formatCode>
                <c:ptCount val="74"/>
                <c:pt idx="0">
                  <c:v>283770.49180327868</c:v>
                </c:pt>
                <c:pt idx="1">
                  <c:v>3313200</c:v>
                </c:pt>
                <c:pt idx="2">
                  <c:v>218362.21052631579</c:v>
                </c:pt>
                <c:pt idx="3">
                  <c:v>643657.63</c:v>
                </c:pt>
                <c:pt idx="4">
                  <c:v>219337.96428571429</c:v>
                </c:pt>
                <c:pt idx="5">
                  <c:v>139757.97515527951</c:v>
                </c:pt>
                <c:pt idx="6">
                  <c:v>532617.30000000005</c:v>
                </c:pt>
                <c:pt idx="7">
                  <c:v>369529.4117647059</c:v>
                </c:pt>
                <c:pt idx="8">
                  <c:v>955807.14285714296</c:v>
                </c:pt>
                <c:pt idx="9">
                  <c:v>917970.00000000012</c:v>
                </c:pt>
                <c:pt idx="10">
                  <c:v>811977.69230769225</c:v>
                </c:pt>
                <c:pt idx="11">
                  <c:v>789133.33333333337</c:v>
                </c:pt>
                <c:pt idx="12">
                  <c:v>778716</c:v>
                </c:pt>
                <c:pt idx="13">
                  <c:v>527190</c:v>
                </c:pt>
                <c:pt idx="14">
                  <c:v>346267.35294117645</c:v>
                </c:pt>
                <c:pt idx="15">
                  <c:v>1190650.8166666667</c:v>
                </c:pt>
                <c:pt idx="16">
                  <c:v>340993</c:v>
                </c:pt>
                <c:pt idx="17">
                  <c:v>624864.24</c:v>
                </c:pt>
                <c:pt idx="18">
                  <c:v>2577522.2000000002</c:v>
                </c:pt>
                <c:pt idx="19">
                  <c:v>575551.99679999996</c:v>
                </c:pt>
                <c:pt idx="20">
                  <c:v>325259.375</c:v>
                </c:pt>
                <c:pt idx="21">
                  <c:v>299457.5</c:v>
                </c:pt>
                <c:pt idx="22">
                  <c:v>1864322.9</c:v>
                </c:pt>
                <c:pt idx="23">
                  <c:v>429571.42857142858</c:v>
                </c:pt>
                <c:pt idx="24">
                  <c:v>511960.78431372554</c:v>
                </c:pt>
                <c:pt idx="25">
                  <c:v>536857.14285714284</c:v>
                </c:pt>
                <c:pt idx="26">
                  <c:v>783323.94366197183</c:v>
                </c:pt>
                <c:pt idx="27">
                  <c:v>236120.68965517243</c:v>
                </c:pt>
                <c:pt idx="28">
                  <c:v>265181.45161290321</c:v>
                </c:pt>
                <c:pt idx="29">
                  <c:v>438360.65573770495</c:v>
                </c:pt>
                <c:pt idx="30">
                  <c:v>203361.88436830833</c:v>
                </c:pt>
                <c:pt idx="31">
                  <c:v>1139306.6666666667</c:v>
                </c:pt>
                <c:pt idx="32">
                  <c:v>576876.5</c:v>
                </c:pt>
                <c:pt idx="33">
                  <c:v>629153.3600000001</c:v>
                </c:pt>
                <c:pt idx="34">
                  <c:v>772816</c:v>
                </c:pt>
                <c:pt idx="35">
                  <c:v>746000</c:v>
                </c:pt>
                <c:pt idx="36">
                  <c:v>988947.3684210527</c:v>
                </c:pt>
                <c:pt idx="37">
                  <c:v>1393293</c:v>
                </c:pt>
                <c:pt idx="38">
                  <c:v>14686080</c:v>
                </c:pt>
                <c:pt idx="39">
                  <c:v>6857230.769230769</c:v>
                </c:pt>
                <c:pt idx="40">
                  <c:v>6857230.769230769</c:v>
                </c:pt>
                <c:pt idx="41">
                  <c:v>1300870.625</c:v>
                </c:pt>
                <c:pt idx="42">
                  <c:v>702305.16666666663</c:v>
                </c:pt>
                <c:pt idx="43">
                  <c:v>1002219.6363636364</c:v>
                </c:pt>
                <c:pt idx="44">
                  <c:v>780233.09523809515</c:v>
                </c:pt>
                <c:pt idx="45">
                  <c:v>4152903.6363636367</c:v>
                </c:pt>
                <c:pt idx="46">
                  <c:v>1261280.3125</c:v>
                </c:pt>
                <c:pt idx="47">
                  <c:v>2135342.1212121211</c:v>
                </c:pt>
                <c:pt idx="48">
                  <c:v>1300870.625</c:v>
                </c:pt>
                <c:pt idx="49">
                  <c:v>4152903.6363636367</c:v>
                </c:pt>
                <c:pt idx="50">
                  <c:v>780233.09523809515</c:v>
                </c:pt>
                <c:pt idx="51">
                  <c:v>1728226.4102564103</c:v>
                </c:pt>
                <c:pt idx="52">
                  <c:v>741736.16666666663</c:v>
                </c:pt>
                <c:pt idx="53">
                  <c:v>1222273.8095238095</c:v>
                </c:pt>
                <c:pt idx="54">
                  <c:v>1056255.6363636365</c:v>
                </c:pt>
                <c:pt idx="55">
                  <c:v>1722817.9487179487</c:v>
                </c:pt>
                <c:pt idx="56">
                  <c:v>1728226.4102564103</c:v>
                </c:pt>
                <c:pt idx="57">
                  <c:v>822353.47826086963</c:v>
                </c:pt>
                <c:pt idx="58">
                  <c:v>601932.33333333337</c:v>
                </c:pt>
                <c:pt idx="59">
                  <c:v>822353.47826086963</c:v>
                </c:pt>
                <c:pt idx="60">
                  <c:v>741736.16666666663</c:v>
                </c:pt>
                <c:pt idx="61">
                  <c:v>601932.33333333337</c:v>
                </c:pt>
                <c:pt idx="62">
                  <c:v>1056255.6363636365</c:v>
                </c:pt>
                <c:pt idx="63">
                  <c:v>2183906.666666667</c:v>
                </c:pt>
                <c:pt idx="64">
                  <c:v>559386.51760000002</c:v>
                </c:pt>
                <c:pt idx="65">
                  <c:v>579228.55218855222</c:v>
                </c:pt>
                <c:pt idx="66">
                  <c:v>415786.83501683502</c:v>
                </c:pt>
                <c:pt idx="67">
                  <c:v>536949.1857142857</c:v>
                </c:pt>
                <c:pt idx="68">
                  <c:v>595311.72</c:v>
                </c:pt>
                <c:pt idx="69">
                  <c:v>595092.04</c:v>
                </c:pt>
                <c:pt idx="70">
                  <c:v>559593.01679999998</c:v>
                </c:pt>
                <c:pt idx="71">
                  <c:v>863851.84885714273</c:v>
                </c:pt>
                <c:pt idx="72">
                  <c:v>592949.36026936024</c:v>
                </c:pt>
                <c:pt idx="73">
                  <c:v>433181.38047138049</c:v>
                </c:pt>
              </c:numCache>
            </c:numRef>
          </c:yVal>
          <c:smooth val="0"/>
        </c:ser>
        <c:ser>
          <c:idx val="1"/>
          <c:order val="1"/>
          <c:tx>
            <c:v>266</c:v>
          </c:tx>
          <c:spPr>
            <a:ln w="28575">
              <a:noFill/>
            </a:ln>
          </c:spPr>
          <c:marker>
            <c:symbol val="circle"/>
            <c:size val="4"/>
          </c:marker>
          <c:xVal>
            <c:numRef>
              <c:f>update!#REF!</c:f>
            </c:numRef>
          </c:xVal>
          <c:yVal>
            <c:numRef>
              <c:f>'2018UpdateData'!$Y$177:$Y$304</c:f>
              <c:numCache>
                <c:formatCode>_(* #,##0_);_(* \(#,##0\);_(* "-"??_);_(@_)</c:formatCode>
                <c:ptCount val="128"/>
                <c:pt idx="0">
                  <c:v>693333.33333333337</c:v>
                </c:pt>
                <c:pt idx="1">
                  <c:v>229250</c:v>
                </c:pt>
                <c:pt idx="2">
                  <c:v>206615.38461538462</c:v>
                </c:pt>
                <c:pt idx="3">
                  <c:v>4060000</c:v>
                </c:pt>
                <c:pt idx="4">
                  <c:v>298650</c:v>
                </c:pt>
                <c:pt idx="5">
                  <c:v>5728800</c:v>
                </c:pt>
                <c:pt idx="6">
                  <c:v>258586.20689655171</c:v>
                </c:pt>
                <c:pt idx="7">
                  <c:v>126984</c:v>
                </c:pt>
                <c:pt idx="8">
                  <c:v>345219.04761904763</c:v>
                </c:pt>
                <c:pt idx="9">
                  <c:v>166400</c:v>
                </c:pt>
                <c:pt idx="10">
                  <c:v>288933.33333333331</c:v>
                </c:pt>
                <c:pt idx="11">
                  <c:v>524490.5660377359</c:v>
                </c:pt>
                <c:pt idx="12">
                  <c:v>1936605</c:v>
                </c:pt>
                <c:pt idx="13">
                  <c:v>1602114</c:v>
                </c:pt>
                <c:pt idx="14">
                  <c:v>732000</c:v>
                </c:pt>
                <c:pt idx="15">
                  <c:v>552500</c:v>
                </c:pt>
                <c:pt idx="16">
                  <c:v>804869.8562091504</c:v>
                </c:pt>
                <c:pt idx="17">
                  <c:v>162360</c:v>
                </c:pt>
                <c:pt idx="18">
                  <c:v>1437500</c:v>
                </c:pt>
                <c:pt idx="19">
                  <c:v>604462.39333333331</c:v>
                </c:pt>
                <c:pt idx="20">
                  <c:v>268906.25</c:v>
                </c:pt>
                <c:pt idx="21">
                  <c:v>225987.54347826086</c:v>
                </c:pt>
                <c:pt idx="22">
                  <c:v>909739.69230769225</c:v>
                </c:pt>
                <c:pt idx="23">
                  <c:v>3533200</c:v>
                </c:pt>
                <c:pt idx="24">
                  <c:v>474647.0588235294</c:v>
                </c:pt>
                <c:pt idx="25">
                  <c:v>284910.71428571432</c:v>
                </c:pt>
                <c:pt idx="26">
                  <c:v>202628.80434782611</c:v>
                </c:pt>
                <c:pt idx="27">
                  <c:v>285094.59999999998</c:v>
                </c:pt>
                <c:pt idx="28">
                  <c:v>237103.22580645161</c:v>
                </c:pt>
                <c:pt idx="29">
                  <c:v>751558.79333333333</c:v>
                </c:pt>
                <c:pt idx="30">
                  <c:v>974000</c:v>
                </c:pt>
                <c:pt idx="31">
                  <c:v>2860000</c:v>
                </c:pt>
                <c:pt idx="32">
                  <c:v>3840000</c:v>
                </c:pt>
                <c:pt idx="33">
                  <c:v>1500000</c:v>
                </c:pt>
                <c:pt idx="34">
                  <c:v>5245826.08</c:v>
                </c:pt>
                <c:pt idx="35">
                  <c:v>553353.48837209307</c:v>
                </c:pt>
                <c:pt idx="36">
                  <c:v>493526.4</c:v>
                </c:pt>
                <c:pt idx="37">
                  <c:v>1103000</c:v>
                </c:pt>
                <c:pt idx="38">
                  <c:v>2800000</c:v>
                </c:pt>
                <c:pt idx="39">
                  <c:v>2030000</c:v>
                </c:pt>
                <c:pt idx="40">
                  <c:v>506473.33333333326</c:v>
                </c:pt>
                <c:pt idx="41">
                  <c:v>489072.97297297296</c:v>
                </c:pt>
                <c:pt idx="42">
                  <c:v>1615690.9090909089</c:v>
                </c:pt>
                <c:pt idx="43">
                  <c:v>3104305.2631578948</c:v>
                </c:pt>
                <c:pt idx="44">
                  <c:v>4784210.5263157897</c:v>
                </c:pt>
                <c:pt idx="45">
                  <c:v>1689612.0999999999</c:v>
                </c:pt>
                <c:pt idx="46">
                  <c:v>490871.90909090912</c:v>
                </c:pt>
                <c:pt idx="47">
                  <c:v>729443.3142857143</c:v>
                </c:pt>
                <c:pt idx="48">
                  <c:v>1689612.0999999999</c:v>
                </c:pt>
                <c:pt idx="49">
                  <c:v>2022390</c:v>
                </c:pt>
                <c:pt idx="50">
                  <c:v>730447.77142857143</c:v>
                </c:pt>
                <c:pt idx="51">
                  <c:v>472934.8412698413</c:v>
                </c:pt>
                <c:pt idx="52">
                  <c:v>729443.3142857143</c:v>
                </c:pt>
                <c:pt idx="53">
                  <c:v>1689612.0999999999</c:v>
                </c:pt>
                <c:pt idx="54">
                  <c:v>472934.8412698413</c:v>
                </c:pt>
                <c:pt idx="55">
                  <c:v>472934.8412698413</c:v>
                </c:pt>
                <c:pt idx="56">
                  <c:v>730447.77142857143</c:v>
                </c:pt>
                <c:pt idx="57">
                  <c:v>729443.3142857143</c:v>
                </c:pt>
                <c:pt idx="58">
                  <c:v>1689612.0999999999</c:v>
                </c:pt>
                <c:pt idx="59">
                  <c:v>730447.77142857143</c:v>
                </c:pt>
                <c:pt idx="60">
                  <c:v>1689612.0999999999</c:v>
                </c:pt>
                <c:pt idx="61">
                  <c:v>729443.3142857143</c:v>
                </c:pt>
                <c:pt idx="62">
                  <c:v>1689612.0999999999</c:v>
                </c:pt>
                <c:pt idx="63">
                  <c:v>1726613.9000000001</c:v>
                </c:pt>
                <c:pt idx="64">
                  <c:v>1689612.0999999999</c:v>
                </c:pt>
                <c:pt idx="65">
                  <c:v>490871.90909090912</c:v>
                </c:pt>
                <c:pt idx="66">
                  <c:v>1689612.0999999999</c:v>
                </c:pt>
                <c:pt idx="67">
                  <c:v>472934.8412698413</c:v>
                </c:pt>
                <c:pt idx="68">
                  <c:v>1726613.3499999999</c:v>
                </c:pt>
                <c:pt idx="69">
                  <c:v>472934.8412698413</c:v>
                </c:pt>
                <c:pt idx="70">
                  <c:v>472934.8412698413</c:v>
                </c:pt>
                <c:pt idx="71">
                  <c:v>1726613.9000000001</c:v>
                </c:pt>
                <c:pt idx="72">
                  <c:v>472934.8412698413</c:v>
                </c:pt>
                <c:pt idx="73">
                  <c:v>729443.3142857143</c:v>
                </c:pt>
                <c:pt idx="74">
                  <c:v>1726613.9000000001</c:v>
                </c:pt>
                <c:pt idx="75">
                  <c:v>1689612.0999999999</c:v>
                </c:pt>
                <c:pt idx="76">
                  <c:v>490871.90909090912</c:v>
                </c:pt>
                <c:pt idx="77">
                  <c:v>1726613.3499999999</c:v>
                </c:pt>
                <c:pt idx="78">
                  <c:v>729443.3142857143</c:v>
                </c:pt>
                <c:pt idx="79">
                  <c:v>490871.90909090912</c:v>
                </c:pt>
                <c:pt idx="80">
                  <c:v>730447.77142857143</c:v>
                </c:pt>
                <c:pt idx="81">
                  <c:v>729443.3142857143</c:v>
                </c:pt>
                <c:pt idx="82">
                  <c:v>1689612.0999999999</c:v>
                </c:pt>
                <c:pt idx="83">
                  <c:v>729443.3142857143</c:v>
                </c:pt>
                <c:pt idx="84">
                  <c:v>730447.77142857143</c:v>
                </c:pt>
                <c:pt idx="85">
                  <c:v>730447.77142857143</c:v>
                </c:pt>
                <c:pt idx="86">
                  <c:v>729443.3142857143</c:v>
                </c:pt>
                <c:pt idx="87">
                  <c:v>472934.8412698413</c:v>
                </c:pt>
                <c:pt idx="88">
                  <c:v>729443.3142857143</c:v>
                </c:pt>
                <c:pt idx="89">
                  <c:v>1689612.0999999999</c:v>
                </c:pt>
                <c:pt idx="90">
                  <c:v>1726613.3499999999</c:v>
                </c:pt>
                <c:pt idx="91">
                  <c:v>729443.3142857143</c:v>
                </c:pt>
                <c:pt idx="92">
                  <c:v>1689612.0999999999</c:v>
                </c:pt>
                <c:pt idx="93">
                  <c:v>729443.3142857143</c:v>
                </c:pt>
                <c:pt idx="94">
                  <c:v>1689612.0999999999</c:v>
                </c:pt>
                <c:pt idx="95">
                  <c:v>1689612.0999999999</c:v>
                </c:pt>
                <c:pt idx="96">
                  <c:v>2339670</c:v>
                </c:pt>
                <c:pt idx="97">
                  <c:v>729443.3142857143</c:v>
                </c:pt>
                <c:pt idx="98">
                  <c:v>730447.77142857143</c:v>
                </c:pt>
                <c:pt idx="99">
                  <c:v>730447.77142857143</c:v>
                </c:pt>
                <c:pt idx="100">
                  <c:v>1726613.3499999999</c:v>
                </c:pt>
                <c:pt idx="101">
                  <c:v>1726613.9000000001</c:v>
                </c:pt>
                <c:pt idx="102">
                  <c:v>4574481.8181818184</c:v>
                </c:pt>
                <c:pt idx="103">
                  <c:v>5044870</c:v>
                </c:pt>
                <c:pt idx="104">
                  <c:v>2339670</c:v>
                </c:pt>
                <c:pt idx="105">
                  <c:v>490871.90909090912</c:v>
                </c:pt>
                <c:pt idx="106">
                  <c:v>729443.3142857143</c:v>
                </c:pt>
                <c:pt idx="107">
                  <c:v>729443.3142857143</c:v>
                </c:pt>
                <c:pt idx="108">
                  <c:v>1689612.0999999999</c:v>
                </c:pt>
                <c:pt idx="109">
                  <c:v>490871.90909090912</c:v>
                </c:pt>
                <c:pt idx="110">
                  <c:v>1689612.0999999999</c:v>
                </c:pt>
                <c:pt idx="111">
                  <c:v>729443.3142857143</c:v>
                </c:pt>
                <c:pt idx="112">
                  <c:v>490871.90909090912</c:v>
                </c:pt>
                <c:pt idx="113">
                  <c:v>729443.3142857143</c:v>
                </c:pt>
                <c:pt idx="114">
                  <c:v>729443.3142857143</c:v>
                </c:pt>
                <c:pt idx="115">
                  <c:v>1689612.0999999999</c:v>
                </c:pt>
                <c:pt idx="116">
                  <c:v>1689612.0999999999</c:v>
                </c:pt>
                <c:pt idx="117">
                  <c:v>490871.90909090912</c:v>
                </c:pt>
                <c:pt idx="118">
                  <c:v>1939000</c:v>
                </c:pt>
                <c:pt idx="119">
                  <c:v>236615.38461538462</c:v>
                </c:pt>
                <c:pt idx="120">
                  <c:v>10401016.666666668</c:v>
                </c:pt>
                <c:pt idx="121">
                  <c:v>373757.5</c:v>
                </c:pt>
                <c:pt idx="122">
                  <c:v>687229.85714285716</c:v>
                </c:pt>
                <c:pt idx="123">
                  <c:v>1156177.6470588236</c:v>
                </c:pt>
                <c:pt idx="124">
                  <c:v>1156177.6470588236</c:v>
                </c:pt>
                <c:pt idx="125">
                  <c:v>1156177.6470588236</c:v>
                </c:pt>
                <c:pt idx="126">
                  <c:v>1156177.6470588236</c:v>
                </c:pt>
                <c:pt idx="127">
                  <c:v>1156177.6470588236</c:v>
                </c:pt>
              </c:numCache>
            </c:numRef>
          </c:yVal>
          <c:smooth val="0"/>
        </c:ser>
        <c:dLbls>
          <c:showLegendKey val="0"/>
          <c:showVal val="0"/>
          <c:showCatName val="0"/>
          <c:showSerName val="0"/>
          <c:showPercent val="0"/>
          <c:showBubbleSize val="0"/>
        </c:dLbls>
        <c:axId val="44348544"/>
        <c:axId val="44350080"/>
      </c:scatterChart>
      <c:valAx>
        <c:axId val="44348544"/>
        <c:scaling>
          <c:orientation val="minMax"/>
        </c:scaling>
        <c:delete val="0"/>
        <c:axPos val="b"/>
        <c:numFmt formatCode="General" sourceLinked="1"/>
        <c:majorTickMark val="out"/>
        <c:minorTickMark val="none"/>
        <c:tickLblPos val="nextTo"/>
        <c:crossAx val="44350080"/>
        <c:crosses val="autoZero"/>
        <c:crossBetween val="midCat"/>
      </c:valAx>
      <c:valAx>
        <c:axId val="44350080"/>
        <c:scaling>
          <c:orientation val="minMax"/>
          <c:max val="4000000"/>
        </c:scaling>
        <c:delete val="0"/>
        <c:axPos val="l"/>
        <c:majorGridlines/>
        <c:numFmt formatCode="_(* #,##0_);_(* \(#,##0\);_(* &quot;-&quot;??_);_(@_)" sourceLinked="1"/>
        <c:majorTickMark val="out"/>
        <c:minorTickMark val="none"/>
        <c:tickLblPos val="nextTo"/>
        <c:crossAx val="44348544"/>
        <c:crosses val="autoZero"/>
        <c:crossBetween val="midCat"/>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$/km by project</a:t>
            </a:r>
          </a:p>
        </c:rich>
      </c:tx>
      <c:layout/>
      <c:overlay val="1"/>
    </c:title>
    <c:autoTitleDeleted val="0"/>
    <c:plotArea>
      <c:layout/>
      <c:scatterChart>
        <c:scatterStyle val="lineMarker"/>
        <c:varyColors val="0"/>
        <c:ser>
          <c:idx val="0"/>
          <c:order val="0"/>
          <c:tx>
            <c:v>477</c:v>
          </c:tx>
          <c:spPr>
            <a:ln w="28575">
              <a:noFill/>
            </a:ln>
          </c:spPr>
          <c:marker>
            <c:symbol val="diamond"/>
            <c:size val="4"/>
          </c:marker>
          <c:xVal>
            <c:numRef>
              <c:f>update!#REF!</c:f>
            </c:numRef>
          </c:xVal>
          <c:yVal>
            <c:numRef>
              <c:f>'2018UpdateData'!$Y$100:$Y$173</c:f>
              <c:numCache>
                <c:formatCode>_(* #,##0_);_(* \(#,##0\);_(* "-"??_);_(@_)</c:formatCode>
                <c:ptCount val="74"/>
                <c:pt idx="0">
                  <c:v>283770.49180327868</c:v>
                </c:pt>
                <c:pt idx="1">
                  <c:v>3313200</c:v>
                </c:pt>
                <c:pt idx="2">
                  <c:v>218362.21052631579</c:v>
                </c:pt>
                <c:pt idx="3">
                  <c:v>643657.63</c:v>
                </c:pt>
                <c:pt idx="4">
                  <c:v>219337.96428571429</c:v>
                </c:pt>
                <c:pt idx="5">
                  <c:v>139757.97515527951</c:v>
                </c:pt>
                <c:pt idx="6">
                  <c:v>532617.30000000005</c:v>
                </c:pt>
                <c:pt idx="7">
                  <c:v>369529.4117647059</c:v>
                </c:pt>
                <c:pt idx="8">
                  <c:v>955807.14285714296</c:v>
                </c:pt>
                <c:pt idx="9">
                  <c:v>917970.00000000012</c:v>
                </c:pt>
                <c:pt idx="10">
                  <c:v>811977.69230769225</c:v>
                </c:pt>
                <c:pt idx="11">
                  <c:v>789133.33333333337</c:v>
                </c:pt>
                <c:pt idx="12">
                  <c:v>778716</c:v>
                </c:pt>
                <c:pt idx="13">
                  <c:v>527190</c:v>
                </c:pt>
                <c:pt idx="14">
                  <c:v>346267.35294117645</c:v>
                </c:pt>
                <c:pt idx="15">
                  <c:v>1190650.8166666667</c:v>
                </c:pt>
                <c:pt idx="16">
                  <c:v>340993</c:v>
                </c:pt>
                <c:pt idx="17">
                  <c:v>624864.24</c:v>
                </c:pt>
                <c:pt idx="18">
                  <c:v>2577522.2000000002</c:v>
                </c:pt>
                <c:pt idx="19">
                  <c:v>575551.99679999996</c:v>
                </c:pt>
                <c:pt idx="20">
                  <c:v>325259.375</c:v>
                </c:pt>
                <c:pt idx="21">
                  <c:v>299457.5</c:v>
                </c:pt>
                <c:pt idx="22">
                  <c:v>1864322.9</c:v>
                </c:pt>
                <c:pt idx="23">
                  <c:v>429571.42857142858</c:v>
                </c:pt>
                <c:pt idx="24">
                  <c:v>511960.78431372554</c:v>
                </c:pt>
                <c:pt idx="25">
                  <c:v>536857.14285714284</c:v>
                </c:pt>
                <c:pt idx="26">
                  <c:v>783323.94366197183</c:v>
                </c:pt>
                <c:pt idx="27">
                  <c:v>236120.68965517243</c:v>
                </c:pt>
                <c:pt idx="28">
                  <c:v>265181.45161290321</c:v>
                </c:pt>
                <c:pt idx="29">
                  <c:v>438360.65573770495</c:v>
                </c:pt>
                <c:pt idx="30">
                  <c:v>203361.88436830833</c:v>
                </c:pt>
                <c:pt idx="31">
                  <c:v>1139306.6666666667</c:v>
                </c:pt>
                <c:pt idx="32">
                  <c:v>576876.5</c:v>
                </c:pt>
                <c:pt idx="33">
                  <c:v>629153.3600000001</c:v>
                </c:pt>
                <c:pt idx="34">
                  <c:v>772816</c:v>
                </c:pt>
                <c:pt idx="35">
                  <c:v>746000</c:v>
                </c:pt>
                <c:pt idx="36">
                  <c:v>988947.3684210527</c:v>
                </c:pt>
                <c:pt idx="37">
                  <c:v>1393293</c:v>
                </c:pt>
                <c:pt idx="38">
                  <c:v>14686080</c:v>
                </c:pt>
                <c:pt idx="39">
                  <c:v>6857230.769230769</c:v>
                </c:pt>
                <c:pt idx="40">
                  <c:v>6857230.769230769</c:v>
                </c:pt>
                <c:pt idx="41">
                  <c:v>1300870.625</c:v>
                </c:pt>
                <c:pt idx="42">
                  <c:v>702305.16666666663</c:v>
                </c:pt>
                <c:pt idx="43">
                  <c:v>1002219.6363636364</c:v>
                </c:pt>
                <c:pt idx="44">
                  <c:v>780233.09523809515</c:v>
                </c:pt>
                <c:pt idx="45">
                  <c:v>4152903.6363636367</c:v>
                </c:pt>
                <c:pt idx="46">
                  <c:v>1261280.3125</c:v>
                </c:pt>
                <c:pt idx="47">
                  <c:v>2135342.1212121211</c:v>
                </c:pt>
                <c:pt idx="48">
                  <c:v>1300870.625</c:v>
                </c:pt>
                <c:pt idx="49">
                  <c:v>4152903.6363636367</c:v>
                </c:pt>
                <c:pt idx="50">
                  <c:v>780233.09523809515</c:v>
                </c:pt>
                <c:pt idx="51">
                  <c:v>1728226.4102564103</c:v>
                </c:pt>
                <c:pt idx="52">
                  <c:v>741736.16666666663</c:v>
                </c:pt>
                <c:pt idx="53">
                  <c:v>1222273.8095238095</c:v>
                </c:pt>
                <c:pt idx="54">
                  <c:v>1056255.6363636365</c:v>
                </c:pt>
                <c:pt idx="55">
                  <c:v>1722817.9487179487</c:v>
                </c:pt>
                <c:pt idx="56">
                  <c:v>1728226.4102564103</c:v>
                </c:pt>
                <c:pt idx="57">
                  <c:v>822353.47826086963</c:v>
                </c:pt>
                <c:pt idx="58">
                  <c:v>601932.33333333337</c:v>
                </c:pt>
                <c:pt idx="59">
                  <c:v>822353.47826086963</c:v>
                </c:pt>
                <c:pt idx="60">
                  <c:v>741736.16666666663</c:v>
                </c:pt>
                <c:pt idx="61">
                  <c:v>601932.33333333337</c:v>
                </c:pt>
                <c:pt idx="62">
                  <c:v>1056255.6363636365</c:v>
                </c:pt>
                <c:pt idx="63">
                  <c:v>2183906.666666667</c:v>
                </c:pt>
                <c:pt idx="64">
                  <c:v>559386.51760000002</c:v>
                </c:pt>
                <c:pt idx="65">
                  <c:v>579228.55218855222</c:v>
                </c:pt>
                <c:pt idx="66">
                  <c:v>415786.83501683502</c:v>
                </c:pt>
                <c:pt idx="67">
                  <c:v>536949.1857142857</c:v>
                </c:pt>
                <c:pt idx="68">
                  <c:v>595311.72</c:v>
                </c:pt>
                <c:pt idx="69">
                  <c:v>595092.04</c:v>
                </c:pt>
                <c:pt idx="70">
                  <c:v>559593.01679999998</c:v>
                </c:pt>
                <c:pt idx="71">
                  <c:v>863851.84885714273</c:v>
                </c:pt>
                <c:pt idx="72">
                  <c:v>592949.36026936024</c:v>
                </c:pt>
                <c:pt idx="73">
                  <c:v>433181.38047138049</c:v>
                </c:pt>
              </c:numCache>
            </c:numRef>
          </c:yVal>
          <c:smooth val="0"/>
        </c:ser>
        <c:ser>
          <c:idx val="1"/>
          <c:order val="1"/>
          <c:tx>
            <c:v>266</c:v>
          </c:tx>
          <c:spPr>
            <a:ln w="28575">
              <a:noFill/>
            </a:ln>
          </c:spPr>
          <c:marker>
            <c:symbol val="circle"/>
            <c:size val="4"/>
          </c:marker>
          <c:xVal>
            <c:numRef>
              <c:f>update!#REF!</c:f>
            </c:numRef>
          </c:xVal>
          <c:yVal>
            <c:numRef>
              <c:f>'2018UpdateData'!$Y$177:$Y$304</c:f>
              <c:numCache>
                <c:formatCode>_(* #,##0_);_(* \(#,##0\);_(* "-"??_);_(@_)</c:formatCode>
                <c:ptCount val="128"/>
                <c:pt idx="0">
                  <c:v>693333.33333333337</c:v>
                </c:pt>
                <c:pt idx="1">
                  <c:v>229250</c:v>
                </c:pt>
                <c:pt idx="2">
                  <c:v>206615.38461538462</c:v>
                </c:pt>
                <c:pt idx="3">
                  <c:v>4060000</c:v>
                </c:pt>
                <c:pt idx="4">
                  <c:v>298650</c:v>
                </c:pt>
                <c:pt idx="5">
                  <c:v>5728800</c:v>
                </c:pt>
                <c:pt idx="6">
                  <c:v>258586.20689655171</c:v>
                </c:pt>
                <c:pt idx="7">
                  <c:v>126984</c:v>
                </c:pt>
                <c:pt idx="8">
                  <c:v>345219.04761904763</c:v>
                </c:pt>
                <c:pt idx="9">
                  <c:v>166400</c:v>
                </c:pt>
                <c:pt idx="10">
                  <c:v>288933.33333333331</c:v>
                </c:pt>
                <c:pt idx="11">
                  <c:v>524490.5660377359</c:v>
                </c:pt>
                <c:pt idx="12">
                  <c:v>1936605</c:v>
                </c:pt>
                <c:pt idx="13">
                  <c:v>1602114</c:v>
                </c:pt>
                <c:pt idx="14">
                  <c:v>732000</c:v>
                </c:pt>
                <c:pt idx="15">
                  <c:v>552500</c:v>
                </c:pt>
                <c:pt idx="16">
                  <c:v>804869.8562091504</c:v>
                </c:pt>
                <c:pt idx="17">
                  <c:v>162360</c:v>
                </c:pt>
                <c:pt idx="18">
                  <c:v>1437500</c:v>
                </c:pt>
                <c:pt idx="19">
                  <c:v>604462.39333333331</c:v>
                </c:pt>
                <c:pt idx="20">
                  <c:v>268906.25</c:v>
                </c:pt>
                <c:pt idx="21">
                  <c:v>225987.54347826086</c:v>
                </c:pt>
                <c:pt idx="22">
                  <c:v>909739.69230769225</c:v>
                </c:pt>
                <c:pt idx="23">
                  <c:v>3533200</c:v>
                </c:pt>
                <c:pt idx="24">
                  <c:v>474647.0588235294</c:v>
                </c:pt>
                <c:pt idx="25">
                  <c:v>284910.71428571432</c:v>
                </c:pt>
                <c:pt idx="26">
                  <c:v>202628.80434782611</c:v>
                </c:pt>
                <c:pt idx="27">
                  <c:v>285094.59999999998</c:v>
                </c:pt>
                <c:pt idx="28">
                  <c:v>237103.22580645161</c:v>
                </c:pt>
                <c:pt idx="29">
                  <c:v>751558.79333333333</c:v>
                </c:pt>
                <c:pt idx="30">
                  <c:v>974000</c:v>
                </c:pt>
                <c:pt idx="31">
                  <c:v>2860000</c:v>
                </c:pt>
                <c:pt idx="32">
                  <c:v>3840000</c:v>
                </c:pt>
                <c:pt idx="33">
                  <c:v>1500000</c:v>
                </c:pt>
                <c:pt idx="34">
                  <c:v>5245826.08</c:v>
                </c:pt>
                <c:pt idx="35">
                  <c:v>553353.48837209307</c:v>
                </c:pt>
                <c:pt idx="36">
                  <c:v>493526.4</c:v>
                </c:pt>
                <c:pt idx="37">
                  <c:v>1103000</c:v>
                </c:pt>
                <c:pt idx="38">
                  <c:v>2800000</c:v>
                </c:pt>
                <c:pt idx="39">
                  <c:v>2030000</c:v>
                </c:pt>
                <c:pt idx="40">
                  <c:v>506473.33333333326</c:v>
                </c:pt>
                <c:pt idx="41">
                  <c:v>489072.97297297296</c:v>
                </c:pt>
                <c:pt idx="42">
                  <c:v>1615690.9090909089</c:v>
                </c:pt>
                <c:pt idx="43">
                  <c:v>3104305.2631578948</c:v>
                </c:pt>
                <c:pt idx="44">
                  <c:v>4784210.5263157897</c:v>
                </c:pt>
                <c:pt idx="45">
                  <c:v>1689612.0999999999</c:v>
                </c:pt>
                <c:pt idx="46">
                  <c:v>490871.90909090912</c:v>
                </c:pt>
                <c:pt idx="47">
                  <c:v>729443.3142857143</c:v>
                </c:pt>
                <c:pt idx="48">
                  <c:v>1689612.0999999999</c:v>
                </c:pt>
                <c:pt idx="49">
                  <c:v>2022390</c:v>
                </c:pt>
                <c:pt idx="50">
                  <c:v>730447.77142857143</c:v>
                </c:pt>
                <c:pt idx="51">
                  <c:v>472934.8412698413</c:v>
                </c:pt>
                <c:pt idx="52">
                  <c:v>729443.3142857143</c:v>
                </c:pt>
                <c:pt idx="53">
                  <c:v>1689612.0999999999</c:v>
                </c:pt>
                <c:pt idx="54">
                  <c:v>472934.8412698413</c:v>
                </c:pt>
                <c:pt idx="55">
                  <c:v>472934.8412698413</c:v>
                </c:pt>
                <c:pt idx="56">
                  <c:v>730447.77142857143</c:v>
                </c:pt>
                <c:pt idx="57">
                  <c:v>729443.3142857143</c:v>
                </c:pt>
                <c:pt idx="58">
                  <c:v>1689612.0999999999</c:v>
                </c:pt>
                <c:pt idx="59">
                  <c:v>730447.77142857143</c:v>
                </c:pt>
                <c:pt idx="60">
                  <c:v>1689612.0999999999</c:v>
                </c:pt>
                <c:pt idx="61">
                  <c:v>729443.3142857143</c:v>
                </c:pt>
                <c:pt idx="62">
                  <c:v>1689612.0999999999</c:v>
                </c:pt>
                <c:pt idx="63">
                  <c:v>1726613.9000000001</c:v>
                </c:pt>
                <c:pt idx="64">
                  <c:v>1689612.0999999999</c:v>
                </c:pt>
                <c:pt idx="65">
                  <c:v>490871.90909090912</c:v>
                </c:pt>
                <c:pt idx="66">
                  <c:v>1689612.0999999999</c:v>
                </c:pt>
                <c:pt idx="67">
                  <c:v>472934.8412698413</c:v>
                </c:pt>
                <c:pt idx="68">
                  <c:v>1726613.3499999999</c:v>
                </c:pt>
                <c:pt idx="69">
                  <c:v>472934.8412698413</c:v>
                </c:pt>
                <c:pt idx="70">
                  <c:v>472934.8412698413</c:v>
                </c:pt>
                <c:pt idx="71">
                  <c:v>1726613.9000000001</c:v>
                </c:pt>
                <c:pt idx="72">
                  <c:v>472934.8412698413</c:v>
                </c:pt>
                <c:pt idx="73">
                  <c:v>729443.3142857143</c:v>
                </c:pt>
                <c:pt idx="74">
                  <c:v>1726613.9000000001</c:v>
                </c:pt>
                <c:pt idx="75">
                  <c:v>1689612.0999999999</c:v>
                </c:pt>
                <c:pt idx="76">
                  <c:v>490871.90909090912</c:v>
                </c:pt>
                <c:pt idx="77">
                  <c:v>1726613.3499999999</c:v>
                </c:pt>
                <c:pt idx="78">
                  <c:v>729443.3142857143</c:v>
                </c:pt>
                <c:pt idx="79">
                  <c:v>490871.90909090912</c:v>
                </c:pt>
                <c:pt idx="80">
                  <c:v>730447.77142857143</c:v>
                </c:pt>
                <c:pt idx="81">
                  <c:v>729443.3142857143</c:v>
                </c:pt>
                <c:pt idx="82">
                  <c:v>1689612.0999999999</c:v>
                </c:pt>
                <c:pt idx="83">
                  <c:v>729443.3142857143</c:v>
                </c:pt>
                <c:pt idx="84">
                  <c:v>730447.77142857143</c:v>
                </c:pt>
                <c:pt idx="85">
                  <c:v>730447.77142857143</c:v>
                </c:pt>
                <c:pt idx="86">
                  <c:v>729443.3142857143</c:v>
                </c:pt>
                <c:pt idx="87">
                  <c:v>472934.8412698413</c:v>
                </c:pt>
                <c:pt idx="88">
                  <c:v>729443.3142857143</c:v>
                </c:pt>
                <c:pt idx="89">
                  <c:v>1689612.0999999999</c:v>
                </c:pt>
                <c:pt idx="90">
                  <c:v>1726613.3499999999</c:v>
                </c:pt>
                <c:pt idx="91">
                  <c:v>729443.3142857143</c:v>
                </c:pt>
                <c:pt idx="92">
                  <c:v>1689612.0999999999</c:v>
                </c:pt>
                <c:pt idx="93">
                  <c:v>729443.3142857143</c:v>
                </c:pt>
                <c:pt idx="94">
                  <c:v>1689612.0999999999</c:v>
                </c:pt>
                <c:pt idx="95">
                  <c:v>1689612.0999999999</c:v>
                </c:pt>
                <c:pt idx="96">
                  <c:v>2339670</c:v>
                </c:pt>
                <c:pt idx="97">
                  <c:v>729443.3142857143</c:v>
                </c:pt>
                <c:pt idx="98">
                  <c:v>730447.77142857143</c:v>
                </c:pt>
                <c:pt idx="99">
                  <c:v>730447.77142857143</c:v>
                </c:pt>
                <c:pt idx="100">
                  <c:v>1726613.3499999999</c:v>
                </c:pt>
                <c:pt idx="101">
                  <c:v>1726613.9000000001</c:v>
                </c:pt>
                <c:pt idx="102">
                  <c:v>4574481.8181818184</c:v>
                </c:pt>
                <c:pt idx="103">
                  <c:v>5044870</c:v>
                </c:pt>
                <c:pt idx="104">
                  <c:v>2339670</c:v>
                </c:pt>
                <c:pt idx="105">
                  <c:v>490871.90909090912</c:v>
                </c:pt>
                <c:pt idx="106">
                  <c:v>729443.3142857143</c:v>
                </c:pt>
                <c:pt idx="107">
                  <c:v>729443.3142857143</c:v>
                </c:pt>
                <c:pt idx="108">
                  <c:v>1689612.0999999999</c:v>
                </c:pt>
                <c:pt idx="109">
                  <c:v>490871.90909090912</c:v>
                </c:pt>
                <c:pt idx="110">
                  <c:v>1689612.0999999999</c:v>
                </c:pt>
                <c:pt idx="111">
                  <c:v>729443.3142857143</c:v>
                </c:pt>
                <c:pt idx="112">
                  <c:v>490871.90909090912</c:v>
                </c:pt>
                <c:pt idx="113">
                  <c:v>729443.3142857143</c:v>
                </c:pt>
                <c:pt idx="114">
                  <c:v>729443.3142857143</c:v>
                </c:pt>
                <c:pt idx="115">
                  <c:v>1689612.0999999999</c:v>
                </c:pt>
                <c:pt idx="116">
                  <c:v>1689612.0999999999</c:v>
                </c:pt>
                <c:pt idx="117">
                  <c:v>490871.90909090912</c:v>
                </c:pt>
                <c:pt idx="118">
                  <c:v>1939000</c:v>
                </c:pt>
                <c:pt idx="119">
                  <c:v>236615.38461538462</c:v>
                </c:pt>
                <c:pt idx="120">
                  <c:v>10401016.666666668</c:v>
                </c:pt>
                <c:pt idx="121">
                  <c:v>373757.5</c:v>
                </c:pt>
                <c:pt idx="122">
                  <c:v>687229.85714285716</c:v>
                </c:pt>
                <c:pt idx="123">
                  <c:v>1156177.6470588236</c:v>
                </c:pt>
                <c:pt idx="124">
                  <c:v>1156177.6470588236</c:v>
                </c:pt>
                <c:pt idx="125">
                  <c:v>1156177.6470588236</c:v>
                </c:pt>
                <c:pt idx="126">
                  <c:v>1156177.6470588236</c:v>
                </c:pt>
                <c:pt idx="127">
                  <c:v>1156177.6470588236</c:v>
                </c:pt>
              </c:numCache>
            </c:numRef>
          </c:yVal>
          <c:smooth val="0"/>
        </c:ser>
        <c:dLbls>
          <c:showLegendKey val="0"/>
          <c:showVal val="0"/>
          <c:showCatName val="0"/>
          <c:showSerName val="0"/>
          <c:showPercent val="0"/>
          <c:showBubbleSize val="0"/>
        </c:dLbls>
        <c:axId val="44367232"/>
        <c:axId val="44446848"/>
      </c:scatterChart>
      <c:valAx>
        <c:axId val="44367232"/>
        <c:scaling>
          <c:orientation val="minMax"/>
        </c:scaling>
        <c:delete val="0"/>
        <c:axPos val="b"/>
        <c:numFmt formatCode="General" sourceLinked="1"/>
        <c:majorTickMark val="out"/>
        <c:minorTickMark val="none"/>
        <c:tickLblPos val="nextTo"/>
        <c:txPr>
          <a:bodyPr/>
          <a:lstStyle/>
          <a:p>
            <a:pPr>
              <a:defRPr sz="700"/>
            </a:pPr>
            <a:endParaRPr lang="en-US"/>
          </a:p>
        </c:txPr>
        <c:crossAx val="44446848"/>
        <c:crosses val="autoZero"/>
        <c:crossBetween val="midCat"/>
        <c:majorUnit val="100"/>
        <c:minorUnit val="50"/>
      </c:valAx>
      <c:valAx>
        <c:axId val="44446848"/>
        <c:scaling>
          <c:orientation val="minMax"/>
          <c:max val="4000000"/>
        </c:scaling>
        <c:delete val="0"/>
        <c:axPos val="l"/>
        <c:majorGridlines/>
        <c:numFmt formatCode="_(* #,##0_);_(* \(#,##0\);_(* &quot;-&quot;??_);_(@_)" sourceLinked="1"/>
        <c:majorTickMark val="out"/>
        <c:minorTickMark val="none"/>
        <c:tickLblPos val="nextTo"/>
        <c:crossAx val="44367232"/>
        <c:crosses val="autoZero"/>
        <c:crossBetween val="midCat"/>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Lbls>
            <c:showLegendKey val="0"/>
            <c:showVal val="1"/>
            <c:showCatName val="0"/>
            <c:showSerName val="0"/>
            <c:showPercent val="0"/>
            <c:showBubbleSize val="0"/>
            <c:showLeaderLines val="0"/>
          </c:dLbls>
          <c:cat>
            <c:multiLvlStrRef>
              <c:f>'2018UpdateClassification'!$B$8:$C$9</c:f>
              <c:multiLvlStrCache>
                <c:ptCount val="2"/>
                <c:lvl>
                  <c:pt idx="0">
                    <c:v>240 kV Line - 2 X 795</c:v>
                  </c:pt>
                  <c:pt idx="1">
                    <c:v>240 kV Line - 2 x 1033</c:v>
                  </c:pt>
                </c:lvl>
                <c:lvl>
                  <c:pt idx="0">
                    <c:v>Minimum System</c:v>
                  </c:pt>
                  <c:pt idx="1">
                    <c:v>Optimal System</c:v>
                  </c:pt>
                </c:lvl>
              </c:multiLvlStrCache>
            </c:multiLvlStrRef>
          </c:cat>
          <c:val>
            <c:numRef>
              <c:f>'2018UpdateClassification'!$D$8:$D$9</c:f>
              <c:numCache>
                <c:formatCode>_("$"* #,##0_);_("$"* \(#,##0\);_("$"* "-"??_);_(@_)</c:formatCode>
                <c:ptCount val="2"/>
                <c:pt idx="0">
                  <c:v>1341544.1285306152</c:v>
                </c:pt>
                <c:pt idx="1">
                  <c:v>2057306.5632175331</c:v>
                </c:pt>
              </c:numCache>
            </c:numRef>
          </c:val>
        </c:ser>
        <c:dLbls>
          <c:showLegendKey val="0"/>
          <c:showVal val="0"/>
          <c:showCatName val="0"/>
          <c:showSerName val="0"/>
          <c:showPercent val="0"/>
          <c:showBubbleSize val="0"/>
        </c:dLbls>
        <c:gapWidth val="150"/>
        <c:axId val="44484480"/>
        <c:axId val="44486016"/>
      </c:barChart>
      <c:catAx>
        <c:axId val="44484480"/>
        <c:scaling>
          <c:orientation val="minMax"/>
        </c:scaling>
        <c:delete val="0"/>
        <c:axPos val="b"/>
        <c:numFmt formatCode="General" sourceLinked="1"/>
        <c:majorTickMark val="out"/>
        <c:minorTickMark val="none"/>
        <c:tickLblPos val="nextTo"/>
        <c:crossAx val="44486016"/>
        <c:crosses val="autoZero"/>
        <c:auto val="1"/>
        <c:lblAlgn val="ctr"/>
        <c:lblOffset val="100"/>
        <c:noMultiLvlLbl val="0"/>
      </c:catAx>
      <c:valAx>
        <c:axId val="44486016"/>
        <c:scaling>
          <c:orientation val="minMax"/>
          <c:min val="0"/>
        </c:scaling>
        <c:delete val="0"/>
        <c:axPos val="l"/>
        <c:title>
          <c:tx>
            <c:rich>
              <a:bodyPr rot="-5400000" vert="horz"/>
              <a:lstStyle/>
              <a:p>
                <a:pPr>
                  <a:defRPr/>
                </a:pPr>
                <a:r>
                  <a:rPr lang="en-US"/>
                  <a:t>Cost of Conductor ($/km)</a:t>
                </a:r>
              </a:p>
            </c:rich>
          </c:tx>
          <c:layout/>
          <c:overlay val="0"/>
        </c:title>
        <c:numFmt formatCode="_(&quot;$&quot;* #,##0_);_(&quot;$&quot;* \(#,##0\);_(&quot;$&quot;* &quot;-&quot;??_);_(@_)" sourceLinked="1"/>
        <c:majorTickMark val="out"/>
        <c:minorTickMark val="none"/>
        <c:tickLblPos val="nextTo"/>
        <c:crossAx val="44484480"/>
        <c:crosses val="autoZero"/>
        <c:crossBetween val="between"/>
      </c:valAx>
    </c:plotArea>
    <c:plotVisOnly val="1"/>
    <c:dispBlanksAs val="gap"/>
    <c:showDLblsOverMax val="0"/>
  </c:chart>
  <c:spPr>
    <a:ln>
      <a:noFill/>
    </a:ln>
  </c:spPr>
  <c:txPr>
    <a:bodyPr/>
    <a:lstStyle/>
    <a:p>
      <a:pPr>
        <a:defRPr>
          <a:latin typeface="Book Antiqua" pitchFamily="18"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Lbls>
            <c:showLegendKey val="0"/>
            <c:showVal val="1"/>
            <c:showCatName val="0"/>
            <c:showSerName val="0"/>
            <c:showPercent val="0"/>
            <c:showBubbleSize val="0"/>
            <c:showLeaderLines val="0"/>
          </c:dLbls>
          <c:cat>
            <c:multiLvlStrRef>
              <c:f>'2018UpdateClassification'!$B$57:$C$58</c:f>
              <c:multiLvlStrCache>
                <c:ptCount val="2"/>
                <c:lvl>
                  <c:pt idx="0">
                    <c:v>138 kV Line - 266</c:v>
                  </c:pt>
                  <c:pt idx="1">
                    <c:v>138 kV Line - 477</c:v>
                  </c:pt>
                </c:lvl>
                <c:lvl>
                  <c:pt idx="0">
                    <c:v>Minimum System</c:v>
                  </c:pt>
                  <c:pt idx="1">
                    <c:v>Optimal Lines</c:v>
                  </c:pt>
                </c:lvl>
              </c:multiLvlStrCache>
            </c:multiLvlStrRef>
          </c:cat>
          <c:val>
            <c:numRef>
              <c:f>'2018UpdateClassification'!$D$57:$D$58</c:f>
              <c:numCache>
                <c:formatCode>_("$"* #,##0_);_("$"* \(#,##0\);_("$"* "-"??_);_(@_)</c:formatCode>
                <c:ptCount val="2"/>
                <c:pt idx="0">
                  <c:v>529855.61863023962</c:v>
                </c:pt>
                <c:pt idx="1">
                  <c:v>564417.27208950487</c:v>
                </c:pt>
              </c:numCache>
            </c:numRef>
          </c:val>
        </c:ser>
        <c:dLbls>
          <c:showLegendKey val="0"/>
          <c:showVal val="0"/>
          <c:showCatName val="0"/>
          <c:showSerName val="0"/>
          <c:showPercent val="0"/>
          <c:showBubbleSize val="0"/>
        </c:dLbls>
        <c:gapWidth val="150"/>
        <c:axId val="44371328"/>
        <c:axId val="44397696"/>
      </c:barChart>
      <c:catAx>
        <c:axId val="44371328"/>
        <c:scaling>
          <c:orientation val="minMax"/>
        </c:scaling>
        <c:delete val="0"/>
        <c:axPos val="b"/>
        <c:numFmt formatCode="General" sourceLinked="1"/>
        <c:majorTickMark val="out"/>
        <c:minorTickMark val="none"/>
        <c:tickLblPos val="nextTo"/>
        <c:crossAx val="44397696"/>
        <c:crosses val="autoZero"/>
        <c:auto val="1"/>
        <c:lblAlgn val="ctr"/>
        <c:lblOffset val="100"/>
        <c:noMultiLvlLbl val="0"/>
      </c:catAx>
      <c:valAx>
        <c:axId val="44397696"/>
        <c:scaling>
          <c:orientation val="minMax"/>
        </c:scaling>
        <c:delete val="0"/>
        <c:axPos val="l"/>
        <c:title>
          <c:tx>
            <c:rich>
              <a:bodyPr rot="-5400000" vert="horz"/>
              <a:lstStyle/>
              <a:p>
                <a:pPr>
                  <a:defRPr/>
                </a:pPr>
                <a:r>
                  <a:rPr lang="en-US"/>
                  <a:t>Cost of Conductor ($/km)</a:t>
                </a:r>
              </a:p>
            </c:rich>
          </c:tx>
          <c:overlay val="0"/>
        </c:title>
        <c:numFmt formatCode="_(&quot;$&quot;* #,##0_);_(&quot;$&quot;* \(#,##0\);_(&quot;$&quot;* &quot;-&quot;??_);_(@_)" sourceLinked="1"/>
        <c:majorTickMark val="out"/>
        <c:minorTickMark val="none"/>
        <c:tickLblPos val="nextTo"/>
        <c:crossAx val="44371328"/>
        <c:crosses val="autoZero"/>
        <c:crossBetween val="between"/>
      </c:valAx>
    </c:plotArea>
    <c:plotVisOnly val="1"/>
    <c:dispBlanksAs val="gap"/>
    <c:showDLblsOverMax val="0"/>
  </c:chart>
  <c:spPr>
    <a:ln>
      <a:noFill/>
    </a:ln>
  </c:spPr>
  <c:txPr>
    <a:bodyPr/>
    <a:lstStyle/>
    <a:p>
      <a:pPr>
        <a:defRPr>
          <a:latin typeface="Book Antiqua"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Lbls>
            <c:showLegendKey val="0"/>
            <c:showVal val="1"/>
            <c:showCatName val="0"/>
            <c:showSerName val="0"/>
            <c:showPercent val="0"/>
            <c:showBubbleSize val="0"/>
            <c:showLeaderLines val="0"/>
          </c:dLbls>
          <c:cat>
            <c:multiLvlStrRef>
              <c:f>'2014StudyClassification'!$B$57:$C$58</c:f>
              <c:multiLvlStrCache>
                <c:ptCount val="2"/>
                <c:lvl>
                  <c:pt idx="0">
                    <c:v>138 kV Line - 266</c:v>
                  </c:pt>
                  <c:pt idx="1">
                    <c:v>138 kV Line - 477</c:v>
                  </c:pt>
                </c:lvl>
                <c:lvl>
                  <c:pt idx="0">
                    <c:v>Minimum System</c:v>
                  </c:pt>
                  <c:pt idx="1">
                    <c:v>Optimal Lines</c:v>
                  </c:pt>
                </c:lvl>
              </c:multiLvlStrCache>
            </c:multiLvlStrRef>
          </c:cat>
          <c:val>
            <c:numRef>
              <c:f>'2014StudyClassification'!$D$57:$D$58</c:f>
              <c:numCache>
                <c:formatCode>_("$"* #,##0_);_("$"* \(#,##0\);_("$"* "-"??_);_(@_)</c:formatCode>
                <c:ptCount val="2"/>
                <c:pt idx="0">
                  <c:v>362335.66</c:v>
                </c:pt>
                <c:pt idx="1">
                  <c:v>442661.72</c:v>
                </c:pt>
              </c:numCache>
            </c:numRef>
          </c:val>
        </c:ser>
        <c:dLbls>
          <c:showLegendKey val="0"/>
          <c:showVal val="0"/>
          <c:showCatName val="0"/>
          <c:showSerName val="0"/>
          <c:showPercent val="0"/>
          <c:showBubbleSize val="0"/>
        </c:dLbls>
        <c:gapWidth val="150"/>
        <c:axId val="41170816"/>
        <c:axId val="41172352"/>
      </c:barChart>
      <c:catAx>
        <c:axId val="41170816"/>
        <c:scaling>
          <c:orientation val="minMax"/>
        </c:scaling>
        <c:delete val="0"/>
        <c:axPos val="b"/>
        <c:numFmt formatCode="General" sourceLinked="1"/>
        <c:majorTickMark val="out"/>
        <c:minorTickMark val="none"/>
        <c:tickLblPos val="nextTo"/>
        <c:crossAx val="41172352"/>
        <c:crosses val="autoZero"/>
        <c:auto val="1"/>
        <c:lblAlgn val="ctr"/>
        <c:lblOffset val="100"/>
        <c:noMultiLvlLbl val="0"/>
      </c:catAx>
      <c:valAx>
        <c:axId val="41172352"/>
        <c:scaling>
          <c:orientation val="minMax"/>
        </c:scaling>
        <c:delete val="0"/>
        <c:axPos val="l"/>
        <c:title>
          <c:tx>
            <c:rich>
              <a:bodyPr rot="-5400000" vert="horz"/>
              <a:lstStyle/>
              <a:p>
                <a:pPr>
                  <a:defRPr/>
                </a:pPr>
                <a:r>
                  <a:rPr lang="en-US"/>
                  <a:t>Cost of Conductor ($/km)</a:t>
                </a:r>
              </a:p>
            </c:rich>
          </c:tx>
          <c:overlay val="0"/>
        </c:title>
        <c:numFmt formatCode="_(&quot;$&quot;* #,##0_);_(&quot;$&quot;* \(#,##0\);_(&quot;$&quot;* &quot;-&quot;??_);_(@_)" sourceLinked="1"/>
        <c:majorTickMark val="out"/>
        <c:minorTickMark val="none"/>
        <c:tickLblPos val="nextTo"/>
        <c:crossAx val="41170816"/>
        <c:crosses val="autoZero"/>
        <c:crossBetween val="between"/>
      </c:valAx>
    </c:plotArea>
    <c:plotVisOnly val="1"/>
    <c:dispBlanksAs val="gap"/>
    <c:showDLblsOverMax val="0"/>
  </c:chart>
  <c:spPr>
    <a:ln>
      <a:noFill/>
    </a:ln>
  </c:spPr>
  <c:txPr>
    <a:bodyPr/>
    <a:lstStyle/>
    <a:p>
      <a:pPr>
        <a:defRPr>
          <a:latin typeface="Book Antiqua" pitchFamily="18"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Lbls>
            <c:showLegendKey val="0"/>
            <c:showVal val="1"/>
            <c:showCatName val="0"/>
            <c:showSerName val="0"/>
            <c:showPercent val="0"/>
            <c:showBubbleSize val="0"/>
            <c:showLeaderLines val="0"/>
          </c:dLbls>
          <c:cat>
            <c:strRef>
              <c:f>'2018UpdateClassification'!$B$84:$B$85</c:f>
              <c:strCache>
                <c:ptCount val="2"/>
                <c:pt idx="0">
                  <c:v>Minimum System - Basic Transformers</c:v>
                </c:pt>
                <c:pt idx="1">
                  <c:v>Optimized System - High Eff Transformers</c:v>
                </c:pt>
              </c:strCache>
            </c:strRef>
          </c:cat>
          <c:val>
            <c:numRef>
              <c:f>'2018UpdateClassification'!$C$84:$C$85</c:f>
              <c:numCache>
                <c:formatCode>_("$"* #,##0_);_("$"* \(#,##0\);_("$"* "-"??_);_(@_)</c:formatCode>
                <c:ptCount val="2"/>
                <c:pt idx="0">
                  <c:v>966840</c:v>
                </c:pt>
                <c:pt idx="1">
                  <c:v>995020</c:v>
                </c:pt>
              </c:numCache>
            </c:numRef>
          </c:val>
        </c:ser>
        <c:dLbls>
          <c:showLegendKey val="0"/>
          <c:showVal val="0"/>
          <c:showCatName val="0"/>
          <c:showSerName val="0"/>
          <c:showPercent val="0"/>
          <c:showBubbleSize val="0"/>
        </c:dLbls>
        <c:gapWidth val="150"/>
        <c:axId val="44831872"/>
        <c:axId val="44833408"/>
      </c:barChart>
      <c:catAx>
        <c:axId val="44831872"/>
        <c:scaling>
          <c:orientation val="minMax"/>
        </c:scaling>
        <c:delete val="0"/>
        <c:axPos val="b"/>
        <c:numFmt formatCode="General" sourceLinked="1"/>
        <c:majorTickMark val="out"/>
        <c:minorTickMark val="none"/>
        <c:tickLblPos val="nextTo"/>
        <c:crossAx val="44833408"/>
        <c:crosses val="autoZero"/>
        <c:auto val="1"/>
        <c:lblAlgn val="ctr"/>
        <c:lblOffset val="100"/>
        <c:noMultiLvlLbl val="0"/>
      </c:catAx>
      <c:valAx>
        <c:axId val="44833408"/>
        <c:scaling>
          <c:orientation val="minMax"/>
          <c:min val="0"/>
        </c:scaling>
        <c:delete val="0"/>
        <c:axPos val="l"/>
        <c:title>
          <c:tx>
            <c:rich>
              <a:bodyPr rot="-5400000" vert="horz"/>
              <a:lstStyle/>
              <a:p>
                <a:pPr>
                  <a:defRPr/>
                </a:pPr>
                <a:r>
                  <a:rPr lang="en-US"/>
                  <a:t>Cost of Conductor ($/km)</a:t>
                </a:r>
              </a:p>
            </c:rich>
          </c:tx>
          <c:overlay val="0"/>
        </c:title>
        <c:numFmt formatCode="_(&quot;$&quot;* #,##0_);_(&quot;$&quot;* \(#,##0\);_(&quot;$&quot;* &quot;-&quot;??_);_(@_)" sourceLinked="1"/>
        <c:majorTickMark val="out"/>
        <c:minorTickMark val="none"/>
        <c:tickLblPos val="nextTo"/>
        <c:crossAx val="44831872"/>
        <c:crosses val="autoZero"/>
        <c:crossBetween val="between"/>
      </c:valAx>
    </c:plotArea>
    <c:plotVisOnly val="1"/>
    <c:dispBlanksAs val="gap"/>
    <c:showDLblsOverMax val="0"/>
  </c:chart>
  <c:spPr>
    <a:ln>
      <a:noFill/>
    </a:ln>
  </c:spPr>
  <c:txPr>
    <a:bodyPr/>
    <a:lstStyle/>
    <a:p>
      <a:pPr>
        <a:defRPr>
          <a:latin typeface="Book Antiqua" pitchFamily="18"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percentStacked"/>
        <c:varyColors val="0"/>
        <c:ser>
          <c:idx val="0"/>
          <c:order val="0"/>
          <c:tx>
            <c:strRef>
              <c:f>'2018UpdateClassification'!$B$67</c:f>
              <c:strCache>
                <c:ptCount val="1"/>
                <c:pt idx="0">
                  <c:v>Demand Related Costs</c:v>
                </c:pt>
              </c:strCache>
            </c:strRef>
          </c:tx>
          <c:invertIfNegative val="0"/>
          <c:dLbls>
            <c:showLegendKey val="0"/>
            <c:showVal val="1"/>
            <c:showCatName val="0"/>
            <c:showSerName val="0"/>
            <c:showPercent val="0"/>
            <c:showBubbleSize val="0"/>
            <c:showLeaderLines val="0"/>
          </c:dLbls>
          <c:val>
            <c:numRef>
              <c:f>'2018UpdateClassification'!$C$67</c:f>
              <c:numCache>
                <c:formatCode>0.0%</c:formatCode>
                <c:ptCount val="1"/>
                <c:pt idx="0">
                  <c:v>0.97167896122691</c:v>
                </c:pt>
              </c:numCache>
            </c:numRef>
          </c:val>
        </c:ser>
        <c:ser>
          <c:idx val="1"/>
          <c:order val="1"/>
          <c:tx>
            <c:strRef>
              <c:f>'2018UpdateClassification'!$B$68</c:f>
              <c:strCache>
                <c:ptCount val="1"/>
                <c:pt idx="0">
                  <c:v>Energy Related Costs</c:v>
                </c:pt>
              </c:strCache>
            </c:strRef>
          </c:tx>
          <c:invertIfNegative val="0"/>
          <c:dLbls>
            <c:showLegendKey val="0"/>
            <c:showVal val="1"/>
            <c:showCatName val="0"/>
            <c:showSerName val="0"/>
            <c:showPercent val="0"/>
            <c:showBubbleSize val="0"/>
            <c:showLeaderLines val="0"/>
          </c:dLbls>
          <c:val>
            <c:numRef>
              <c:f>'2018UpdateClassification'!$C$68</c:f>
              <c:numCache>
                <c:formatCode>0.0%</c:formatCode>
                <c:ptCount val="1"/>
                <c:pt idx="0">
                  <c:v>2.8321038773090002E-2</c:v>
                </c:pt>
              </c:numCache>
            </c:numRef>
          </c:val>
        </c:ser>
        <c:dLbls>
          <c:showLegendKey val="0"/>
          <c:showVal val="0"/>
          <c:showCatName val="0"/>
          <c:showSerName val="0"/>
          <c:showPercent val="0"/>
          <c:showBubbleSize val="0"/>
        </c:dLbls>
        <c:gapWidth val="150"/>
        <c:overlap val="100"/>
        <c:axId val="44879872"/>
        <c:axId val="44881408"/>
      </c:barChart>
      <c:catAx>
        <c:axId val="44879872"/>
        <c:scaling>
          <c:orientation val="minMax"/>
        </c:scaling>
        <c:delete val="0"/>
        <c:axPos val="b"/>
        <c:numFmt formatCode="General" sourceLinked="1"/>
        <c:majorTickMark val="out"/>
        <c:minorTickMark val="none"/>
        <c:tickLblPos val="nextTo"/>
        <c:crossAx val="44881408"/>
        <c:crosses val="autoZero"/>
        <c:auto val="1"/>
        <c:lblAlgn val="ctr"/>
        <c:lblOffset val="100"/>
        <c:noMultiLvlLbl val="0"/>
      </c:catAx>
      <c:valAx>
        <c:axId val="44881408"/>
        <c:scaling>
          <c:orientation val="minMax"/>
          <c:max val="1"/>
          <c:min val="0"/>
        </c:scaling>
        <c:delete val="0"/>
        <c:axPos val="l"/>
        <c:title>
          <c:tx>
            <c:rich>
              <a:bodyPr rot="-5400000" vert="horz"/>
              <a:lstStyle/>
              <a:p>
                <a:pPr>
                  <a:defRPr/>
                </a:pPr>
                <a:r>
                  <a:rPr lang="en-US"/>
                  <a:t>Classification Percentage</a:t>
                </a:r>
              </a:p>
            </c:rich>
          </c:tx>
          <c:overlay val="0"/>
        </c:title>
        <c:numFmt formatCode="0%" sourceLinked="0"/>
        <c:majorTickMark val="out"/>
        <c:minorTickMark val="none"/>
        <c:tickLblPos val="nextTo"/>
        <c:crossAx val="44879872"/>
        <c:crosses val="autoZero"/>
        <c:crossBetween val="between"/>
      </c:valAx>
    </c:plotArea>
    <c:legend>
      <c:legendPos val="b"/>
      <c:overlay val="0"/>
    </c:legend>
    <c:plotVisOnly val="1"/>
    <c:dispBlanksAs val="gap"/>
    <c:showDLblsOverMax val="0"/>
  </c:chart>
  <c:spPr>
    <a:ln>
      <a:noFill/>
    </a:ln>
  </c:spPr>
  <c:txPr>
    <a:bodyPr/>
    <a:lstStyle/>
    <a:p>
      <a:pPr>
        <a:defRPr>
          <a:latin typeface="Book Antiqua" pitchFamily="18"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percentStacked"/>
        <c:varyColors val="0"/>
        <c:ser>
          <c:idx val="0"/>
          <c:order val="0"/>
          <c:tx>
            <c:strRef>
              <c:f>'2018UpdateClassification'!$B$94</c:f>
              <c:strCache>
                <c:ptCount val="1"/>
                <c:pt idx="0">
                  <c:v>Demand Related Costs</c:v>
                </c:pt>
              </c:strCache>
            </c:strRef>
          </c:tx>
          <c:invertIfNegative val="0"/>
          <c:dLbls>
            <c:showLegendKey val="0"/>
            <c:showVal val="1"/>
            <c:showCatName val="0"/>
            <c:showSerName val="0"/>
            <c:showPercent val="0"/>
            <c:showBubbleSize val="0"/>
            <c:showLeaderLines val="0"/>
          </c:dLbls>
          <c:cat>
            <c:strRef>
              <c:f>'2018UpdateClassification'!$C$93:$D$93</c:f>
              <c:strCache>
                <c:ptCount val="2"/>
                <c:pt idx="0">
                  <c:v>Bulk</c:v>
                </c:pt>
                <c:pt idx="1">
                  <c:v>Regional</c:v>
                </c:pt>
              </c:strCache>
            </c:strRef>
          </c:cat>
          <c:val>
            <c:numRef>
              <c:f>'2018UpdateClassification'!$C$94:$D$94</c:f>
              <c:numCache>
                <c:formatCode>0.0%</c:formatCode>
                <c:ptCount val="2"/>
                <c:pt idx="0">
                  <c:v>0.81050223130862831</c:v>
                </c:pt>
                <c:pt idx="1">
                  <c:v>0.95529272427924905</c:v>
                </c:pt>
              </c:numCache>
            </c:numRef>
          </c:val>
        </c:ser>
        <c:ser>
          <c:idx val="1"/>
          <c:order val="1"/>
          <c:tx>
            <c:strRef>
              <c:f>'2018UpdateClassification'!$B$95</c:f>
              <c:strCache>
                <c:ptCount val="1"/>
                <c:pt idx="0">
                  <c:v>Energy Related Costs</c:v>
                </c:pt>
              </c:strCache>
            </c:strRef>
          </c:tx>
          <c:invertIfNegative val="0"/>
          <c:dLbls>
            <c:showLegendKey val="0"/>
            <c:showVal val="1"/>
            <c:showCatName val="0"/>
            <c:showSerName val="0"/>
            <c:showPercent val="0"/>
            <c:showBubbleSize val="0"/>
            <c:showLeaderLines val="0"/>
          </c:dLbls>
          <c:cat>
            <c:strRef>
              <c:f>'2018UpdateClassification'!$C$93:$D$93</c:f>
              <c:strCache>
                <c:ptCount val="2"/>
                <c:pt idx="0">
                  <c:v>Bulk</c:v>
                </c:pt>
                <c:pt idx="1">
                  <c:v>Regional</c:v>
                </c:pt>
              </c:strCache>
            </c:strRef>
          </c:cat>
          <c:val>
            <c:numRef>
              <c:f>'2018UpdateClassification'!$C$95:$D$95</c:f>
              <c:numCache>
                <c:formatCode>0.0%</c:formatCode>
                <c:ptCount val="2"/>
                <c:pt idx="0">
                  <c:v>0.18949776869137183</c:v>
                </c:pt>
                <c:pt idx="1">
                  <c:v>4.470727572075113E-2</c:v>
                </c:pt>
              </c:numCache>
            </c:numRef>
          </c:val>
        </c:ser>
        <c:dLbls>
          <c:showLegendKey val="0"/>
          <c:showVal val="0"/>
          <c:showCatName val="0"/>
          <c:showSerName val="0"/>
          <c:showPercent val="0"/>
          <c:showBubbleSize val="0"/>
        </c:dLbls>
        <c:gapWidth val="150"/>
        <c:overlap val="100"/>
        <c:axId val="41495552"/>
        <c:axId val="41521920"/>
      </c:barChart>
      <c:catAx>
        <c:axId val="41495552"/>
        <c:scaling>
          <c:orientation val="minMax"/>
        </c:scaling>
        <c:delete val="0"/>
        <c:axPos val="b"/>
        <c:numFmt formatCode="General" sourceLinked="1"/>
        <c:majorTickMark val="out"/>
        <c:minorTickMark val="none"/>
        <c:tickLblPos val="nextTo"/>
        <c:crossAx val="41521920"/>
        <c:crosses val="autoZero"/>
        <c:auto val="1"/>
        <c:lblAlgn val="ctr"/>
        <c:lblOffset val="100"/>
        <c:noMultiLvlLbl val="0"/>
      </c:catAx>
      <c:valAx>
        <c:axId val="41521920"/>
        <c:scaling>
          <c:orientation val="minMax"/>
          <c:min val="0"/>
        </c:scaling>
        <c:delete val="0"/>
        <c:axPos val="l"/>
        <c:title>
          <c:tx>
            <c:rich>
              <a:bodyPr rot="-5400000" vert="horz"/>
              <a:lstStyle/>
              <a:p>
                <a:pPr>
                  <a:defRPr/>
                </a:pPr>
                <a:r>
                  <a:rPr lang="en-US"/>
                  <a:t>Classification Percentage</a:t>
                </a:r>
              </a:p>
            </c:rich>
          </c:tx>
          <c:overlay val="0"/>
        </c:title>
        <c:numFmt formatCode="0%" sourceLinked="0"/>
        <c:majorTickMark val="out"/>
        <c:minorTickMark val="none"/>
        <c:tickLblPos val="nextTo"/>
        <c:crossAx val="41495552"/>
        <c:crosses val="autoZero"/>
        <c:crossBetween val="between"/>
      </c:valAx>
    </c:plotArea>
    <c:legend>
      <c:legendPos val="b"/>
      <c:overlay val="0"/>
    </c:legend>
    <c:plotVisOnly val="1"/>
    <c:dispBlanksAs val="gap"/>
    <c:showDLblsOverMax val="0"/>
  </c:chart>
  <c:spPr>
    <a:ln>
      <a:noFill/>
    </a:ln>
  </c:spPr>
  <c:txPr>
    <a:bodyPr/>
    <a:lstStyle/>
    <a:p>
      <a:pPr>
        <a:defRPr>
          <a:latin typeface="Book Antiqua" pitchFamily="18"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Lbls>
            <c:showLegendKey val="0"/>
            <c:showVal val="1"/>
            <c:showCatName val="0"/>
            <c:showSerName val="0"/>
            <c:showPercent val="0"/>
            <c:showBubbleSize val="0"/>
            <c:showLeaderLines val="0"/>
          </c:dLbls>
          <c:cat>
            <c:multiLvlStrRef>
              <c:f>'2018UpdateClassification'!$B$17:$C$18</c:f>
              <c:multiLvlStrCache>
                <c:ptCount val="2"/>
                <c:lvl>
                  <c:pt idx="0">
                    <c:v>500 kV Line - 2 X 2156</c:v>
                  </c:pt>
                  <c:pt idx="1">
                    <c:v>500 kV Line - 3 X 1590</c:v>
                  </c:pt>
                </c:lvl>
                <c:lvl>
                  <c:pt idx="0">
                    <c:v>Minimum System</c:v>
                  </c:pt>
                  <c:pt idx="1">
                    <c:v>Optimal System</c:v>
                  </c:pt>
                </c:lvl>
              </c:multiLvlStrCache>
            </c:multiLvlStrRef>
          </c:cat>
          <c:val>
            <c:numRef>
              <c:f>'2018UpdateClassification'!$D$17:$D$18</c:f>
              <c:numCache>
                <c:formatCode>_("$"* #,##0_);_("$"* \(#,##0\);_("$"* "-"??_);_(@_)</c:formatCode>
                <c:ptCount val="2"/>
                <c:pt idx="0">
                  <c:v>1900000</c:v>
                </c:pt>
                <c:pt idx="1">
                  <c:v>2100000</c:v>
                </c:pt>
              </c:numCache>
            </c:numRef>
          </c:val>
        </c:ser>
        <c:dLbls>
          <c:showLegendKey val="0"/>
          <c:showVal val="0"/>
          <c:showCatName val="0"/>
          <c:showSerName val="0"/>
          <c:showPercent val="0"/>
          <c:showBubbleSize val="0"/>
        </c:dLbls>
        <c:gapWidth val="150"/>
        <c:axId val="44958848"/>
        <c:axId val="44960384"/>
      </c:barChart>
      <c:catAx>
        <c:axId val="44958848"/>
        <c:scaling>
          <c:orientation val="minMax"/>
        </c:scaling>
        <c:delete val="0"/>
        <c:axPos val="b"/>
        <c:numFmt formatCode="General" sourceLinked="1"/>
        <c:majorTickMark val="out"/>
        <c:minorTickMark val="none"/>
        <c:tickLblPos val="nextTo"/>
        <c:crossAx val="44960384"/>
        <c:crosses val="autoZero"/>
        <c:auto val="1"/>
        <c:lblAlgn val="ctr"/>
        <c:lblOffset val="100"/>
        <c:noMultiLvlLbl val="0"/>
      </c:catAx>
      <c:valAx>
        <c:axId val="44960384"/>
        <c:scaling>
          <c:orientation val="minMax"/>
          <c:min val="0"/>
        </c:scaling>
        <c:delete val="0"/>
        <c:axPos val="l"/>
        <c:title>
          <c:tx>
            <c:rich>
              <a:bodyPr rot="-5400000" vert="horz"/>
              <a:lstStyle/>
              <a:p>
                <a:pPr>
                  <a:defRPr/>
                </a:pPr>
                <a:r>
                  <a:rPr lang="en-US"/>
                  <a:t>Cost of Conductor ($/km)</a:t>
                </a:r>
              </a:p>
            </c:rich>
          </c:tx>
          <c:layout/>
          <c:overlay val="0"/>
        </c:title>
        <c:numFmt formatCode="_(&quot;$&quot;* #,##0_);_(&quot;$&quot;* \(#,##0\);_(&quot;$&quot;* &quot;-&quot;??_);_(@_)" sourceLinked="1"/>
        <c:majorTickMark val="out"/>
        <c:minorTickMark val="none"/>
        <c:tickLblPos val="nextTo"/>
        <c:crossAx val="44958848"/>
        <c:crosses val="autoZero"/>
        <c:crossBetween val="between"/>
      </c:valAx>
    </c:plotArea>
    <c:plotVisOnly val="1"/>
    <c:dispBlanksAs val="gap"/>
    <c:showDLblsOverMax val="0"/>
  </c:chart>
  <c:spPr>
    <a:ln>
      <a:noFill/>
    </a:ln>
  </c:spPr>
  <c:txPr>
    <a:bodyPr/>
    <a:lstStyle/>
    <a:p>
      <a:pPr>
        <a:defRPr>
          <a:latin typeface="Book Antiqua" pitchFamily="18"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Existing Assets (at end of 2014, Depreciated to 2020)</a:t>
            </a:r>
          </a:p>
        </c:rich>
      </c:tx>
      <c:overlay val="0"/>
    </c:title>
    <c:autoTitleDeleted val="0"/>
    <c:plotArea>
      <c:layout/>
      <c:pieChart>
        <c:varyColors val="1"/>
        <c:ser>
          <c:idx val="0"/>
          <c:order val="0"/>
          <c:dLbls>
            <c:dLbl>
              <c:idx val="5"/>
              <c:layout>
                <c:manualLayout>
                  <c:x val="0.17283763375731881"/>
                  <c:y val="9.4653594996467888E-3"/>
                </c:manualLayout>
              </c:layout>
              <c:showLegendKey val="0"/>
              <c:showVal val="1"/>
              <c:showCatName val="1"/>
              <c:showSerName val="0"/>
              <c:showPercent val="1"/>
              <c:showBubbleSize val="0"/>
            </c:dLbl>
            <c:showLegendKey val="0"/>
            <c:showVal val="1"/>
            <c:showCatName val="1"/>
            <c:showSerName val="0"/>
            <c:showPercent val="1"/>
            <c:showBubbleSize val="0"/>
            <c:showLeaderLines val="1"/>
          </c:dLbls>
          <c:cat>
            <c:strRef>
              <c:f>'Existing Asset Chart'!$A$4:$A$9</c:f>
              <c:strCache>
                <c:ptCount val="6"/>
                <c:pt idx="0">
                  <c:v>AltaLink Lines</c:v>
                </c:pt>
                <c:pt idx="1">
                  <c:v>AltaLink Substations</c:v>
                </c:pt>
                <c:pt idx="2">
                  <c:v>ATCO Lines</c:v>
                </c:pt>
                <c:pt idx="3">
                  <c:v>ATCO Substations</c:v>
                </c:pt>
                <c:pt idx="4">
                  <c:v>ENMAX</c:v>
                </c:pt>
                <c:pt idx="5">
                  <c:v>EPCOR</c:v>
                </c:pt>
              </c:strCache>
            </c:strRef>
          </c:cat>
          <c:val>
            <c:numRef>
              <c:f>'Existing Asset Chart'!$B$4:$B$9</c:f>
              <c:numCache>
                <c:formatCode>_("$"* #,##0_);_("$"* \(#,##0\);_("$"* "-"??_);_(@_)</c:formatCode>
                <c:ptCount val="6"/>
                <c:pt idx="0">
                  <c:v>1772609377.6009877</c:v>
                </c:pt>
                <c:pt idx="1">
                  <c:v>1587322843.5277793</c:v>
                </c:pt>
                <c:pt idx="2">
                  <c:v>1644709158.0117235</c:v>
                </c:pt>
                <c:pt idx="3">
                  <c:v>1198448601.1648526</c:v>
                </c:pt>
                <c:pt idx="4">
                  <c:v>223368930.08987236</c:v>
                </c:pt>
                <c:pt idx="5">
                  <c:v>334882598.05139667</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a:latin typeface="Book Antiqua" pitchFamily="18"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34951881014872"/>
          <c:y val="5.1400554097404488E-2"/>
          <c:w val="0.87849693788276462"/>
          <c:h val="0.89719889180519097"/>
        </c:manualLayout>
      </c:layout>
      <c:lineChart>
        <c:grouping val="standard"/>
        <c:varyColors val="0"/>
        <c:ser>
          <c:idx val="0"/>
          <c:order val="0"/>
          <c:tx>
            <c:strRef>
              <c:f>'Sum 1.0'!$A$4</c:f>
              <c:strCache>
                <c:ptCount val="1"/>
                <c:pt idx="0">
                  <c:v>AltaLink</c:v>
                </c:pt>
              </c:strCache>
            </c:strRef>
          </c:tx>
          <c:marker>
            <c:symbol val="none"/>
          </c:marker>
          <c:cat>
            <c:strRef>
              <c:f>'Sum 1.0'!$O$1:$Y$1</c:f>
              <c:strCache>
                <c:ptCount val="11"/>
                <c:pt idx="0">
                  <c:v>2006-07</c:v>
                </c:pt>
                <c:pt idx="1">
                  <c:v>2007-08</c:v>
                </c:pt>
                <c:pt idx="2">
                  <c:v>2008-09</c:v>
                </c:pt>
                <c:pt idx="3">
                  <c:v>2009-10</c:v>
                </c:pt>
                <c:pt idx="4">
                  <c:v>2010-11</c:v>
                </c:pt>
                <c:pt idx="5">
                  <c:v>2011-12</c:v>
                </c:pt>
                <c:pt idx="6">
                  <c:v>2012-13</c:v>
                </c:pt>
                <c:pt idx="7">
                  <c:v>2013-14</c:v>
                </c:pt>
                <c:pt idx="8">
                  <c:v>2014-15</c:v>
                </c:pt>
                <c:pt idx="9">
                  <c:v>2015-16</c:v>
                </c:pt>
                <c:pt idx="10">
                  <c:v>2016-17</c:v>
                </c:pt>
              </c:strCache>
            </c:strRef>
          </c:cat>
          <c:val>
            <c:numRef>
              <c:f>'Sum 1.0'!$O$4:$Y$4</c:f>
              <c:numCache>
                <c:formatCode>0%</c:formatCode>
                <c:ptCount val="11"/>
                <c:pt idx="0">
                  <c:v>0</c:v>
                </c:pt>
                <c:pt idx="1">
                  <c:v>0</c:v>
                </c:pt>
                <c:pt idx="2">
                  <c:v>0</c:v>
                </c:pt>
                <c:pt idx="3">
                  <c:v>0</c:v>
                </c:pt>
                <c:pt idx="4">
                  <c:v>0.24068053061611061</c:v>
                </c:pt>
                <c:pt idx="5">
                  <c:v>7.6138587060886165E-2</c:v>
                </c:pt>
                <c:pt idx="6">
                  <c:v>0.30327321277576336</c:v>
                </c:pt>
                <c:pt idx="7">
                  <c:v>9.9980656704751203E-2</c:v>
                </c:pt>
                <c:pt idx="8">
                  <c:v>0.3777057012372973</c:v>
                </c:pt>
                <c:pt idx="9">
                  <c:v>0.13072271814290093</c:v>
                </c:pt>
                <c:pt idx="10">
                  <c:v>5.3593127720560796E-2</c:v>
                </c:pt>
              </c:numCache>
            </c:numRef>
          </c:val>
          <c:smooth val="0"/>
        </c:ser>
        <c:ser>
          <c:idx val="1"/>
          <c:order val="1"/>
          <c:tx>
            <c:strRef>
              <c:f>'Sum 1.0'!$A$5</c:f>
              <c:strCache>
                <c:ptCount val="1"/>
                <c:pt idx="0">
                  <c:v>ATCO Electric</c:v>
                </c:pt>
              </c:strCache>
            </c:strRef>
          </c:tx>
          <c:marker>
            <c:symbol val="none"/>
          </c:marker>
          <c:cat>
            <c:strRef>
              <c:f>'Sum 1.0'!$O$1:$Y$1</c:f>
              <c:strCache>
                <c:ptCount val="11"/>
                <c:pt idx="0">
                  <c:v>2006-07</c:v>
                </c:pt>
                <c:pt idx="1">
                  <c:v>2007-08</c:v>
                </c:pt>
                <c:pt idx="2">
                  <c:v>2008-09</c:v>
                </c:pt>
                <c:pt idx="3">
                  <c:v>2009-10</c:v>
                </c:pt>
                <c:pt idx="4">
                  <c:v>2010-11</c:v>
                </c:pt>
                <c:pt idx="5">
                  <c:v>2011-12</c:v>
                </c:pt>
                <c:pt idx="6">
                  <c:v>2012-13</c:v>
                </c:pt>
                <c:pt idx="7">
                  <c:v>2013-14</c:v>
                </c:pt>
                <c:pt idx="8">
                  <c:v>2014-15</c:v>
                </c:pt>
                <c:pt idx="9">
                  <c:v>2015-16</c:v>
                </c:pt>
                <c:pt idx="10">
                  <c:v>2016-17</c:v>
                </c:pt>
              </c:strCache>
            </c:strRef>
          </c:cat>
          <c:val>
            <c:numRef>
              <c:f>'Sum 1.0'!$O$5:$Y$5</c:f>
              <c:numCache>
                <c:formatCode>0%</c:formatCode>
                <c:ptCount val="11"/>
                <c:pt idx="0">
                  <c:v>0</c:v>
                </c:pt>
                <c:pt idx="1">
                  <c:v>0</c:v>
                </c:pt>
                <c:pt idx="2">
                  <c:v>0</c:v>
                </c:pt>
                <c:pt idx="3">
                  <c:v>0</c:v>
                </c:pt>
                <c:pt idx="4">
                  <c:v>0.28253465314109349</c:v>
                </c:pt>
                <c:pt idx="5">
                  <c:v>0.28393367273655801</c:v>
                </c:pt>
                <c:pt idx="6">
                  <c:v>0.20961940975811477</c:v>
                </c:pt>
                <c:pt idx="7">
                  <c:v>0.15836604559065859</c:v>
                </c:pt>
                <c:pt idx="8">
                  <c:v>0.27933391435850918</c:v>
                </c:pt>
                <c:pt idx="9">
                  <c:v>0.17272718497236861</c:v>
                </c:pt>
                <c:pt idx="10">
                  <c:v>4.5897739317317665E-2</c:v>
                </c:pt>
              </c:numCache>
            </c:numRef>
          </c:val>
          <c:smooth val="0"/>
        </c:ser>
        <c:ser>
          <c:idx val="2"/>
          <c:order val="2"/>
          <c:tx>
            <c:strRef>
              <c:f>'Sum 1.0'!$A$6</c:f>
              <c:strCache>
                <c:ptCount val="1"/>
                <c:pt idx="0">
                  <c:v>ENMAX</c:v>
                </c:pt>
              </c:strCache>
            </c:strRef>
          </c:tx>
          <c:marker>
            <c:symbol val="none"/>
          </c:marker>
          <c:cat>
            <c:strRef>
              <c:f>'Sum 1.0'!$O$1:$Y$1</c:f>
              <c:strCache>
                <c:ptCount val="11"/>
                <c:pt idx="0">
                  <c:v>2006-07</c:v>
                </c:pt>
                <c:pt idx="1">
                  <c:v>2007-08</c:v>
                </c:pt>
                <c:pt idx="2">
                  <c:v>2008-09</c:v>
                </c:pt>
                <c:pt idx="3">
                  <c:v>2009-10</c:v>
                </c:pt>
                <c:pt idx="4">
                  <c:v>2010-11</c:v>
                </c:pt>
                <c:pt idx="5">
                  <c:v>2011-12</c:v>
                </c:pt>
                <c:pt idx="6">
                  <c:v>2012-13</c:v>
                </c:pt>
                <c:pt idx="7">
                  <c:v>2013-14</c:v>
                </c:pt>
                <c:pt idx="8">
                  <c:v>2014-15</c:v>
                </c:pt>
                <c:pt idx="9">
                  <c:v>2015-16</c:v>
                </c:pt>
                <c:pt idx="10">
                  <c:v>2016-17</c:v>
                </c:pt>
              </c:strCache>
            </c:strRef>
          </c:cat>
          <c:val>
            <c:numRef>
              <c:f>'Sum 1.0'!$O$6:$Y$6</c:f>
              <c:numCache>
                <c:formatCode>0%</c:formatCode>
                <c:ptCount val="11"/>
                <c:pt idx="0">
                  <c:v>0</c:v>
                </c:pt>
                <c:pt idx="1">
                  <c:v>0</c:v>
                </c:pt>
                <c:pt idx="2">
                  <c:v>0</c:v>
                </c:pt>
                <c:pt idx="3">
                  <c:v>0</c:v>
                </c:pt>
                <c:pt idx="4">
                  <c:v>6.9876595295854882E-2</c:v>
                </c:pt>
                <c:pt idx="5">
                  <c:v>4.083896091092809E-2</c:v>
                </c:pt>
                <c:pt idx="6">
                  <c:v>0.297127702398712</c:v>
                </c:pt>
                <c:pt idx="7">
                  <c:v>0.19038317603461175</c:v>
                </c:pt>
                <c:pt idx="8">
                  <c:v>0.13375659428290998</c:v>
                </c:pt>
                <c:pt idx="9">
                  <c:v>1.7075077573380115E-2</c:v>
                </c:pt>
                <c:pt idx="10">
                  <c:v>8.8644721604792531E-2</c:v>
                </c:pt>
              </c:numCache>
            </c:numRef>
          </c:val>
          <c:smooth val="0"/>
        </c:ser>
        <c:ser>
          <c:idx val="3"/>
          <c:order val="3"/>
          <c:tx>
            <c:strRef>
              <c:f>'Sum 1.0'!$A$7</c:f>
              <c:strCache>
                <c:ptCount val="1"/>
                <c:pt idx="0">
                  <c:v>EPCOR</c:v>
                </c:pt>
              </c:strCache>
            </c:strRef>
          </c:tx>
          <c:marker>
            <c:symbol val="none"/>
          </c:marker>
          <c:cat>
            <c:strRef>
              <c:f>'Sum 1.0'!$O$1:$Y$1</c:f>
              <c:strCache>
                <c:ptCount val="11"/>
                <c:pt idx="0">
                  <c:v>2006-07</c:v>
                </c:pt>
                <c:pt idx="1">
                  <c:v>2007-08</c:v>
                </c:pt>
                <c:pt idx="2">
                  <c:v>2008-09</c:v>
                </c:pt>
                <c:pt idx="3">
                  <c:v>2009-10</c:v>
                </c:pt>
                <c:pt idx="4">
                  <c:v>2010-11</c:v>
                </c:pt>
                <c:pt idx="5">
                  <c:v>2011-12</c:v>
                </c:pt>
                <c:pt idx="6">
                  <c:v>2012-13</c:v>
                </c:pt>
                <c:pt idx="7">
                  <c:v>2013-14</c:v>
                </c:pt>
                <c:pt idx="8">
                  <c:v>2014-15</c:v>
                </c:pt>
                <c:pt idx="9">
                  <c:v>2015-16</c:v>
                </c:pt>
                <c:pt idx="10">
                  <c:v>2016-17</c:v>
                </c:pt>
              </c:strCache>
            </c:strRef>
          </c:cat>
          <c:val>
            <c:numRef>
              <c:f>'Sum 1.0'!$O$7:$Y$7</c:f>
              <c:numCache>
                <c:formatCode>0%</c:formatCode>
                <c:ptCount val="11"/>
                <c:pt idx="0">
                  <c:v>0</c:v>
                </c:pt>
                <c:pt idx="1">
                  <c:v>0</c:v>
                </c:pt>
                <c:pt idx="2">
                  <c:v>0</c:v>
                </c:pt>
                <c:pt idx="3">
                  <c:v>0</c:v>
                </c:pt>
                <c:pt idx="4">
                  <c:v>6.390800090814186E-2</c:v>
                </c:pt>
                <c:pt idx="5">
                  <c:v>0.11570143096597674</c:v>
                </c:pt>
                <c:pt idx="6">
                  <c:v>8.3083506302460863E-2</c:v>
                </c:pt>
                <c:pt idx="7">
                  <c:v>0.33287512547437559</c:v>
                </c:pt>
                <c:pt idx="8">
                  <c:v>-6.4947204252968627E-3</c:v>
                </c:pt>
                <c:pt idx="9">
                  <c:v>6.3374882949320588E-2</c:v>
                </c:pt>
                <c:pt idx="10">
                  <c:v>-1.2270745217165646E-2</c:v>
                </c:pt>
              </c:numCache>
            </c:numRef>
          </c:val>
          <c:smooth val="0"/>
        </c:ser>
        <c:dLbls>
          <c:showLegendKey val="0"/>
          <c:showVal val="0"/>
          <c:showCatName val="0"/>
          <c:showSerName val="0"/>
          <c:showPercent val="0"/>
          <c:showBubbleSize val="0"/>
        </c:dLbls>
        <c:marker val="1"/>
        <c:smooth val="0"/>
        <c:axId val="42590592"/>
        <c:axId val="42592128"/>
      </c:lineChart>
      <c:catAx>
        <c:axId val="4259059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Book Antiqua"/>
                <a:ea typeface="Book Antiqua"/>
                <a:cs typeface="Book Antiqua"/>
              </a:defRPr>
            </a:pPr>
            <a:endParaRPr lang="en-US"/>
          </a:p>
        </c:txPr>
        <c:crossAx val="42592128"/>
        <c:crosses val="autoZero"/>
        <c:auto val="1"/>
        <c:lblAlgn val="ctr"/>
        <c:lblOffset val="100"/>
        <c:noMultiLvlLbl val="0"/>
      </c:catAx>
      <c:valAx>
        <c:axId val="42592128"/>
        <c:scaling>
          <c:orientation val="minMax"/>
        </c:scaling>
        <c:delete val="0"/>
        <c:axPos val="l"/>
        <c:numFmt formatCode="0%" sourceLinked="1"/>
        <c:majorTickMark val="out"/>
        <c:minorTickMark val="none"/>
        <c:tickLblPos val="nextTo"/>
        <c:txPr>
          <a:bodyPr rot="0" vert="horz"/>
          <a:lstStyle/>
          <a:p>
            <a:pPr>
              <a:defRPr sz="1000" b="0" i="0" u="none" strike="noStrike" baseline="0">
                <a:solidFill>
                  <a:srgbClr val="000000"/>
                </a:solidFill>
                <a:latin typeface="Book Antiqua"/>
                <a:ea typeface="Book Antiqua"/>
                <a:cs typeface="Book Antiqua"/>
              </a:defRPr>
            </a:pPr>
            <a:endParaRPr lang="en-US"/>
          </a:p>
        </c:txPr>
        <c:crossAx val="42590592"/>
        <c:crosses val="autoZero"/>
        <c:crossBetween val="between"/>
      </c:valAx>
    </c:plotArea>
    <c:legend>
      <c:legendPos val="r"/>
      <c:layout>
        <c:manualLayout>
          <c:xMode val="edge"/>
          <c:yMode val="edge"/>
          <c:x val="9.2735250704026675E-2"/>
          <c:y val="0.88349162123965275"/>
          <c:w val="0.88504239273353791"/>
          <c:h val="7.5609529578033463E-2"/>
        </c:manualLayout>
      </c:layout>
      <c:overlay val="0"/>
      <c:txPr>
        <a:bodyPr/>
        <a:lstStyle/>
        <a:p>
          <a:pPr>
            <a:defRPr sz="920" b="0" i="0" u="none" strike="noStrike" baseline="0">
              <a:solidFill>
                <a:srgbClr val="000000"/>
              </a:solidFill>
              <a:latin typeface="Book Antiqua"/>
              <a:ea typeface="Book Antiqua"/>
              <a:cs typeface="Book Antiqua"/>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Book Antiqua"/>
          <a:ea typeface="Book Antiqua"/>
          <a:cs typeface="Book Antiqua"/>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05074365704281E-2"/>
          <c:y val="5.6030183727034111E-2"/>
          <c:w val="0.88148447069116365"/>
          <c:h val="0.76780475357247013"/>
        </c:manualLayout>
      </c:layout>
      <c:barChart>
        <c:barDir val="col"/>
        <c:grouping val="clustered"/>
        <c:varyColors val="0"/>
        <c:ser>
          <c:idx val="1"/>
          <c:order val="0"/>
          <c:tx>
            <c:strRef>
              <c:f>'Sum 1.0'!$A$38</c:f>
              <c:strCache>
                <c:ptCount val="1"/>
                <c:pt idx="0">
                  <c:v>AltaLink</c:v>
                </c:pt>
              </c:strCache>
            </c:strRef>
          </c:tx>
          <c:invertIfNegative val="0"/>
          <c:dLbls>
            <c:dLbl>
              <c:idx val="0"/>
              <c:layout>
                <c:manualLayout>
                  <c:x val="1.6666666666666642E-2"/>
                  <c:y val="1.3888888888888888E-2"/>
                </c:manualLayout>
              </c:layout>
              <c:dLblPos val="outEnd"/>
              <c:showLegendKey val="0"/>
              <c:showVal val="1"/>
              <c:showCatName val="0"/>
              <c:showSerName val="0"/>
              <c:showPercent val="0"/>
              <c:showBubbleSize val="0"/>
            </c:dLbl>
            <c:dLbl>
              <c:idx val="1"/>
              <c:layout>
                <c:manualLayout>
                  <c:x val="1.6666666666666666E-2"/>
                  <c:y val="4.6296296296296294E-3"/>
                </c:manualLayout>
              </c:layout>
              <c:dLblPos val="outEnd"/>
              <c:showLegendKey val="0"/>
              <c:showVal val="1"/>
              <c:showCatName val="0"/>
              <c:showSerName val="0"/>
              <c:showPercent val="0"/>
              <c:showBubbleSize val="0"/>
            </c:dLbl>
            <c:dLbl>
              <c:idx val="2"/>
              <c:layout>
                <c:manualLayout>
                  <c:x val="1.3888888888888888E-2"/>
                  <c:y val="1.3888888888888888E-2"/>
                </c:manualLayout>
              </c:layout>
              <c:dLblPos val="outEnd"/>
              <c:showLegendKey val="0"/>
              <c:showVal val="1"/>
              <c:showCatName val="0"/>
              <c:showSerName val="0"/>
              <c:showPercent val="0"/>
              <c:showBubbleSize val="0"/>
            </c:dLbl>
            <c:dLbl>
              <c:idx val="3"/>
              <c:layout>
                <c:manualLayout>
                  <c:x val="1.1111111111111009E-2"/>
                  <c:y val="9.2592592592592587E-3"/>
                </c:manualLayout>
              </c:layout>
              <c:dLblPos val="outEnd"/>
              <c:showLegendKey val="0"/>
              <c:showVal val="1"/>
              <c:showCatName val="0"/>
              <c:showSerName val="0"/>
              <c:showPercent val="0"/>
              <c:showBubbleSize val="0"/>
            </c:dLbl>
            <c:dLbl>
              <c:idx val="4"/>
              <c:layout>
                <c:manualLayout>
                  <c:x val="1.1111111111111112E-2"/>
                  <c:y val="1.3888888888888888E-2"/>
                </c:manualLayout>
              </c:layout>
              <c:dLblPos val="outEnd"/>
              <c:showLegendKey val="0"/>
              <c:showVal val="1"/>
              <c:showCatName val="0"/>
              <c:showSerName val="0"/>
              <c:showPercent val="0"/>
              <c:showBubbleSize val="0"/>
            </c:dLbl>
            <c:dLbl>
              <c:idx val="5"/>
              <c:layout>
                <c:manualLayout>
                  <c:x val="1.9444444444444445E-2"/>
                  <c:y val="1.3888888888888888E-2"/>
                </c:manualLayout>
              </c:layout>
              <c:dLblPos val="outEnd"/>
              <c:showLegendKey val="0"/>
              <c:showVal val="1"/>
              <c:showCatName val="0"/>
              <c:showSerName val="0"/>
              <c:showPercent val="0"/>
              <c:showBubbleSize val="0"/>
            </c:dLbl>
            <c:txPr>
              <a:bodyPr/>
              <a:lstStyle/>
              <a:p>
                <a:pPr>
                  <a:defRPr sz="900" b="0" i="0" u="none" strike="noStrike" baseline="0">
                    <a:solidFill>
                      <a:srgbClr val="000000"/>
                    </a:solidFill>
                    <a:latin typeface="Book Antiqua"/>
                    <a:ea typeface="Book Antiqua"/>
                    <a:cs typeface="Book Antiqua"/>
                  </a:defRPr>
                </a:pPr>
                <a:endParaRPr lang="en-US"/>
              </a:p>
            </c:txPr>
            <c:dLblPos val="outEnd"/>
            <c:showLegendKey val="0"/>
            <c:showVal val="1"/>
            <c:showCatName val="0"/>
            <c:showSerName val="0"/>
            <c:showPercent val="0"/>
            <c:showBubbleSize val="0"/>
            <c:showLeaderLines val="0"/>
          </c:dLbls>
          <c:cat>
            <c:numRef>
              <c:f>'Sum 1.0'!$C$35:$J$35</c:f>
              <c:numCache>
                <c:formatCode>General</c:formatCode>
                <c:ptCount val="8"/>
                <c:pt idx="0">
                  <c:v>2010</c:v>
                </c:pt>
                <c:pt idx="1">
                  <c:v>2011</c:v>
                </c:pt>
                <c:pt idx="2">
                  <c:v>2012</c:v>
                </c:pt>
                <c:pt idx="3">
                  <c:v>2013</c:v>
                </c:pt>
                <c:pt idx="4">
                  <c:v>2014</c:v>
                </c:pt>
                <c:pt idx="5">
                  <c:v>2015</c:v>
                </c:pt>
                <c:pt idx="6">
                  <c:v>2016</c:v>
                </c:pt>
                <c:pt idx="7">
                  <c:v>2017</c:v>
                </c:pt>
              </c:numCache>
            </c:numRef>
          </c:cat>
          <c:val>
            <c:numRef>
              <c:f>'Sum 1.0'!$C$38:$J$38</c:f>
              <c:numCache>
                <c:formatCode>0%</c:formatCode>
                <c:ptCount val="8"/>
                <c:pt idx="0">
                  <c:v>0.45665426241365614</c:v>
                </c:pt>
                <c:pt idx="1">
                  <c:v>0.46023933609579909</c:v>
                </c:pt>
                <c:pt idx="2">
                  <c:v>0.4260555295195313</c:v>
                </c:pt>
                <c:pt idx="3">
                  <c:v>0.4462269502231519</c:v>
                </c:pt>
                <c:pt idx="4">
                  <c:v>0.42864908591504186</c:v>
                </c:pt>
                <c:pt idx="5">
                  <c:v>0.45684664107475897</c:v>
                </c:pt>
                <c:pt idx="6">
                  <c:v>0.45303605164939126</c:v>
                </c:pt>
                <c:pt idx="7">
                  <c:v>0.45545606066988997</c:v>
                </c:pt>
              </c:numCache>
            </c:numRef>
          </c:val>
        </c:ser>
        <c:ser>
          <c:idx val="2"/>
          <c:order val="1"/>
          <c:tx>
            <c:strRef>
              <c:f>'Sum 1.0'!$A$39</c:f>
              <c:strCache>
                <c:ptCount val="1"/>
                <c:pt idx="0">
                  <c:v>ATCO Electric</c:v>
                </c:pt>
              </c:strCache>
            </c:strRef>
          </c:tx>
          <c:invertIfNegative val="0"/>
          <c:dLbls>
            <c:txPr>
              <a:bodyPr/>
              <a:lstStyle/>
              <a:p>
                <a:pPr>
                  <a:defRPr sz="900" b="0" i="0" u="none" strike="noStrike" baseline="0">
                    <a:solidFill>
                      <a:srgbClr val="000000"/>
                    </a:solidFill>
                    <a:latin typeface="Book Antiqua"/>
                    <a:ea typeface="Book Antiqua"/>
                    <a:cs typeface="Book Antiqua"/>
                  </a:defRPr>
                </a:pPr>
                <a:endParaRPr lang="en-US"/>
              </a:p>
            </c:txPr>
            <c:dLblPos val="outEnd"/>
            <c:showLegendKey val="0"/>
            <c:showVal val="1"/>
            <c:showCatName val="0"/>
            <c:showSerName val="0"/>
            <c:showPercent val="0"/>
            <c:showBubbleSize val="0"/>
            <c:showLeaderLines val="0"/>
          </c:dLbls>
          <c:cat>
            <c:numRef>
              <c:f>'Sum 1.0'!$C$35:$J$35</c:f>
              <c:numCache>
                <c:formatCode>General</c:formatCode>
                <c:ptCount val="8"/>
                <c:pt idx="0">
                  <c:v>2010</c:v>
                </c:pt>
                <c:pt idx="1">
                  <c:v>2011</c:v>
                </c:pt>
                <c:pt idx="2">
                  <c:v>2012</c:v>
                </c:pt>
                <c:pt idx="3">
                  <c:v>2013</c:v>
                </c:pt>
                <c:pt idx="4">
                  <c:v>2014</c:v>
                </c:pt>
                <c:pt idx="5">
                  <c:v>2015</c:v>
                </c:pt>
                <c:pt idx="6">
                  <c:v>2016</c:v>
                </c:pt>
                <c:pt idx="7">
                  <c:v>2017</c:v>
                </c:pt>
              </c:numCache>
            </c:numRef>
          </c:cat>
          <c:val>
            <c:numRef>
              <c:f>'Sum 1.0'!$C$39:$J$39</c:f>
              <c:numCache>
                <c:formatCode>0%</c:formatCode>
                <c:ptCount val="8"/>
                <c:pt idx="0">
                  <c:v>0.39345445584410349</c:v>
                </c:pt>
                <c:pt idx="1">
                  <c:v>0.40992067953340322</c:v>
                </c:pt>
                <c:pt idx="2">
                  <c:v>0.45274814995176721</c:v>
                </c:pt>
                <c:pt idx="3">
                  <c:v>0.44010829345992097</c:v>
                </c:pt>
                <c:pt idx="4">
                  <c:v>0.4452115565132444</c:v>
                </c:pt>
                <c:pt idx="5">
                  <c:v>0.44061818830985983</c:v>
                </c:pt>
                <c:pt idx="6">
                  <c:v>0.45317466523677619</c:v>
                </c:pt>
                <c:pt idx="7">
                  <c:v>0.45226776991835965</c:v>
                </c:pt>
              </c:numCache>
            </c:numRef>
          </c:val>
        </c:ser>
        <c:ser>
          <c:idx val="3"/>
          <c:order val="2"/>
          <c:tx>
            <c:strRef>
              <c:f>'Sum 1.0'!$A$40</c:f>
              <c:strCache>
                <c:ptCount val="1"/>
                <c:pt idx="0">
                  <c:v>ENMAX</c:v>
                </c:pt>
              </c:strCache>
            </c:strRef>
          </c:tx>
          <c:invertIfNegative val="0"/>
          <c:dLbls>
            <c:dLbl>
              <c:idx val="0"/>
              <c:layout>
                <c:manualLayout>
                  <c:x val="8.3333333333333332E-3"/>
                  <c:y val="-8.4875562720133283E-17"/>
                </c:manualLayout>
              </c:layout>
              <c:dLblPos val="outEnd"/>
              <c:showLegendKey val="0"/>
              <c:showVal val="1"/>
              <c:showCatName val="0"/>
              <c:showSerName val="0"/>
              <c:showPercent val="0"/>
              <c:showBubbleSize val="0"/>
            </c:dLbl>
            <c:dLbl>
              <c:idx val="1"/>
              <c:layout>
                <c:manualLayout>
                  <c:x val="8.3333333333332829E-3"/>
                  <c:y val="0"/>
                </c:manualLayout>
              </c:layout>
              <c:dLblPos val="outEnd"/>
              <c:showLegendKey val="0"/>
              <c:showVal val="1"/>
              <c:showCatName val="0"/>
              <c:showSerName val="0"/>
              <c:showPercent val="0"/>
              <c:showBubbleSize val="0"/>
            </c:dLbl>
            <c:txPr>
              <a:bodyPr/>
              <a:lstStyle/>
              <a:p>
                <a:pPr>
                  <a:defRPr sz="900" b="0" i="0" u="none" strike="noStrike" baseline="0">
                    <a:solidFill>
                      <a:srgbClr val="000000"/>
                    </a:solidFill>
                    <a:latin typeface="Book Antiqua"/>
                    <a:ea typeface="Book Antiqua"/>
                    <a:cs typeface="Book Antiqua"/>
                  </a:defRPr>
                </a:pPr>
                <a:endParaRPr lang="en-US"/>
              </a:p>
            </c:txPr>
            <c:dLblPos val="outEnd"/>
            <c:showLegendKey val="0"/>
            <c:showVal val="1"/>
            <c:showCatName val="0"/>
            <c:showSerName val="0"/>
            <c:showPercent val="0"/>
            <c:showBubbleSize val="0"/>
            <c:showLeaderLines val="0"/>
          </c:dLbls>
          <c:cat>
            <c:numRef>
              <c:f>'Sum 1.0'!$C$35:$J$35</c:f>
              <c:numCache>
                <c:formatCode>General</c:formatCode>
                <c:ptCount val="8"/>
                <c:pt idx="0">
                  <c:v>2010</c:v>
                </c:pt>
                <c:pt idx="1">
                  <c:v>2011</c:v>
                </c:pt>
                <c:pt idx="2">
                  <c:v>2012</c:v>
                </c:pt>
                <c:pt idx="3">
                  <c:v>2013</c:v>
                </c:pt>
                <c:pt idx="4">
                  <c:v>2014</c:v>
                </c:pt>
                <c:pt idx="5">
                  <c:v>2015</c:v>
                </c:pt>
                <c:pt idx="6">
                  <c:v>2016</c:v>
                </c:pt>
                <c:pt idx="7">
                  <c:v>2017</c:v>
                </c:pt>
              </c:numCache>
            </c:numRef>
          </c:cat>
          <c:val>
            <c:numRef>
              <c:f>'Sum 1.0'!$C$40:$J$40</c:f>
              <c:numCache>
                <c:formatCode>0%</c:formatCode>
                <c:ptCount val="8"/>
                <c:pt idx="0">
                  <c:v>6.1083547365836391E-2</c:v>
                </c:pt>
                <c:pt idx="1">
                  <c:v>5.3087734088920355E-2</c:v>
                </c:pt>
                <c:pt idx="2">
                  <c:v>4.7532646664047447E-2</c:v>
                </c:pt>
                <c:pt idx="3">
                  <c:v>4.9548310748893314E-2</c:v>
                </c:pt>
                <c:pt idx="4">
                  <c:v>5.1508237612607304E-2</c:v>
                </c:pt>
                <c:pt idx="5">
                  <c:v>4.5176085339774498E-2</c:v>
                </c:pt>
                <c:pt idx="6">
                  <c:v>4.0296545511533631E-2</c:v>
                </c:pt>
                <c:pt idx="7">
                  <c:v>4.1859571761058707E-2</c:v>
                </c:pt>
              </c:numCache>
            </c:numRef>
          </c:val>
        </c:ser>
        <c:ser>
          <c:idx val="4"/>
          <c:order val="3"/>
          <c:tx>
            <c:strRef>
              <c:f>'Sum 1.0'!$A$41</c:f>
              <c:strCache>
                <c:ptCount val="1"/>
                <c:pt idx="0">
                  <c:v>EPCOR</c:v>
                </c:pt>
              </c:strCache>
            </c:strRef>
          </c:tx>
          <c:invertIfNegative val="0"/>
          <c:cat>
            <c:numRef>
              <c:f>'Sum 1.0'!$C$35:$J$35</c:f>
              <c:numCache>
                <c:formatCode>General</c:formatCode>
                <c:ptCount val="8"/>
                <c:pt idx="0">
                  <c:v>2010</c:v>
                </c:pt>
                <c:pt idx="1">
                  <c:v>2011</c:v>
                </c:pt>
                <c:pt idx="2">
                  <c:v>2012</c:v>
                </c:pt>
                <c:pt idx="3">
                  <c:v>2013</c:v>
                </c:pt>
                <c:pt idx="4">
                  <c:v>2014</c:v>
                </c:pt>
                <c:pt idx="5">
                  <c:v>2015</c:v>
                </c:pt>
                <c:pt idx="6">
                  <c:v>2016</c:v>
                </c:pt>
                <c:pt idx="7">
                  <c:v>2017</c:v>
                </c:pt>
              </c:numCache>
            </c:numRef>
          </c:cat>
          <c:val>
            <c:numRef>
              <c:f>'Sum 1.0'!$C$41:$J$41</c:f>
              <c:numCache>
                <c:formatCode>0%</c:formatCode>
                <c:ptCount val="8"/>
                <c:pt idx="0">
                  <c:v>8.8807734376404088E-2</c:v>
                </c:pt>
                <c:pt idx="1">
                  <c:v>7.6752250281877307E-2</c:v>
                </c:pt>
                <c:pt idx="2">
                  <c:v>7.3663673864654056E-2</c:v>
                </c:pt>
                <c:pt idx="3">
                  <c:v>6.4116445568033961E-2</c:v>
                </c:pt>
                <c:pt idx="4">
                  <c:v>7.4631119959106471E-2</c:v>
                </c:pt>
                <c:pt idx="5">
                  <c:v>5.7359085275606687E-2</c:v>
                </c:pt>
                <c:pt idx="6">
                  <c:v>5.3492737602298848E-2</c:v>
                </c:pt>
                <c:pt idx="7">
                  <c:v>5.0416597650691557E-2</c:v>
                </c:pt>
              </c:numCache>
            </c:numRef>
          </c:val>
        </c:ser>
        <c:dLbls>
          <c:showLegendKey val="0"/>
          <c:showVal val="0"/>
          <c:showCatName val="0"/>
          <c:showSerName val="0"/>
          <c:showPercent val="0"/>
          <c:showBubbleSize val="0"/>
        </c:dLbls>
        <c:gapWidth val="150"/>
        <c:axId val="141403264"/>
        <c:axId val="141404800"/>
      </c:barChart>
      <c:catAx>
        <c:axId val="141403264"/>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Book Antiqua"/>
                <a:ea typeface="Book Antiqua"/>
                <a:cs typeface="Book Antiqua"/>
              </a:defRPr>
            </a:pPr>
            <a:endParaRPr lang="en-US"/>
          </a:p>
        </c:txPr>
        <c:crossAx val="141404800"/>
        <c:crosses val="autoZero"/>
        <c:auto val="1"/>
        <c:lblAlgn val="ctr"/>
        <c:lblOffset val="100"/>
        <c:noMultiLvlLbl val="0"/>
      </c:catAx>
      <c:valAx>
        <c:axId val="141404800"/>
        <c:scaling>
          <c:orientation val="minMax"/>
        </c:scaling>
        <c:delete val="0"/>
        <c:axPos val="l"/>
        <c:numFmt formatCode="0%" sourceLinked="1"/>
        <c:majorTickMark val="out"/>
        <c:minorTickMark val="none"/>
        <c:tickLblPos val="nextTo"/>
        <c:txPr>
          <a:bodyPr rot="0" vert="horz"/>
          <a:lstStyle/>
          <a:p>
            <a:pPr>
              <a:defRPr sz="900" b="0" i="0" u="none" strike="noStrike" baseline="0">
                <a:solidFill>
                  <a:srgbClr val="000000"/>
                </a:solidFill>
                <a:latin typeface="Book Antiqua"/>
                <a:ea typeface="Book Antiqua"/>
                <a:cs typeface="Book Antiqua"/>
              </a:defRPr>
            </a:pPr>
            <a:endParaRPr lang="en-US"/>
          </a:p>
        </c:txPr>
        <c:crossAx val="141403264"/>
        <c:crosses val="autoZero"/>
        <c:crossBetween val="between"/>
      </c:valAx>
    </c:plotArea>
    <c:legend>
      <c:legendPos val="b"/>
      <c:overlay val="0"/>
      <c:txPr>
        <a:bodyPr/>
        <a:lstStyle/>
        <a:p>
          <a:pPr>
            <a:defRPr sz="825" b="0" i="0" u="none" strike="noStrike" baseline="0">
              <a:solidFill>
                <a:srgbClr val="000000"/>
              </a:solidFill>
              <a:latin typeface="Book Antiqua"/>
              <a:ea typeface="Book Antiqua"/>
              <a:cs typeface="Book Antiqua"/>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Book Antiqua"/>
          <a:ea typeface="Book Antiqua"/>
          <a:cs typeface="Book Antiqua"/>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93285214348207"/>
          <c:y val="5.104606751742239E-2"/>
          <c:w val="0.85212335958005259"/>
          <c:h val="0.83377391619151053"/>
        </c:manualLayout>
      </c:layout>
      <c:barChart>
        <c:barDir val="col"/>
        <c:grouping val="clustered"/>
        <c:varyColors val="0"/>
        <c:ser>
          <c:idx val="0"/>
          <c:order val="0"/>
          <c:tx>
            <c:strRef>
              <c:f>'Sum 1.0'!$A$45:$B$45</c:f>
              <c:strCache>
                <c:ptCount val="1"/>
                <c:pt idx="0">
                  <c:v>Altalink and ATCO</c:v>
                </c:pt>
              </c:strCache>
            </c:strRef>
          </c:tx>
          <c:invertIfNegative val="0"/>
          <c:dLbls>
            <c:txPr>
              <a:bodyPr/>
              <a:lstStyle/>
              <a:p>
                <a:pPr>
                  <a:defRPr sz="100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dLbls>
          <c:cat>
            <c:numRef>
              <c:f>'Sum 1.0'!$C$44:$J$44</c:f>
              <c:numCache>
                <c:formatCode>General</c:formatCode>
                <c:ptCount val="8"/>
                <c:pt idx="0">
                  <c:v>2010</c:v>
                </c:pt>
                <c:pt idx="1">
                  <c:v>2011</c:v>
                </c:pt>
                <c:pt idx="2">
                  <c:v>2012</c:v>
                </c:pt>
                <c:pt idx="3">
                  <c:v>2013</c:v>
                </c:pt>
                <c:pt idx="4">
                  <c:v>2014</c:v>
                </c:pt>
                <c:pt idx="5">
                  <c:v>2015</c:v>
                </c:pt>
                <c:pt idx="6">
                  <c:v>2016</c:v>
                </c:pt>
                <c:pt idx="7">
                  <c:v>2017</c:v>
                </c:pt>
              </c:numCache>
            </c:numRef>
          </c:cat>
          <c:val>
            <c:numRef>
              <c:f>'Sum 1.0'!$C$45:$J$45</c:f>
              <c:numCache>
                <c:formatCode>0%</c:formatCode>
                <c:ptCount val="8"/>
                <c:pt idx="0">
                  <c:v>0.85010871825775958</c:v>
                </c:pt>
                <c:pt idx="1">
                  <c:v>0.87016001562920231</c:v>
                </c:pt>
                <c:pt idx="2">
                  <c:v>0.87880367947129856</c:v>
                </c:pt>
                <c:pt idx="3">
                  <c:v>0.88633524368307293</c:v>
                </c:pt>
                <c:pt idx="4">
                  <c:v>0.87386064242828621</c:v>
                </c:pt>
                <c:pt idx="5">
                  <c:v>0.8974648293846188</c:v>
                </c:pt>
                <c:pt idx="6">
                  <c:v>0.9062107168861675</c:v>
                </c:pt>
                <c:pt idx="7">
                  <c:v>0.90772383058824957</c:v>
                </c:pt>
              </c:numCache>
            </c:numRef>
          </c:val>
        </c:ser>
        <c:ser>
          <c:idx val="1"/>
          <c:order val="1"/>
          <c:tx>
            <c:strRef>
              <c:f>'Sum 1.0'!$A$46:$B$46</c:f>
              <c:strCache>
                <c:ptCount val="1"/>
                <c:pt idx="0">
                  <c:v>ENMAX and EPCOR</c:v>
                </c:pt>
              </c:strCache>
            </c:strRef>
          </c:tx>
          <c:invertIfNegative val="0"/>
          <c:dLbls>
            <c:txPr>
              <a:bodyPr/>
              <a:lstStyle/>
              <a:p>
                <a:pPr>
                  <a:defRPr sz="100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dLbls>
          <c:cat>
            <c:numRef>
              <c:f>'Sum 1.0'!$C$44:$J$44</c:f>
              <c:numCache>
                <c:formatCode>General</c:formatCode>
                <c:ptCount val="8"/>
                <c:pt idx="0">
                  <c:v>2010</c:v>
                </c:pt>
                <c:pt idx="1">
                  <c:v>2011</c:v>
                </c:pt>
                <c:pt idx="2">
                  <c:v>2012</c:v>
                </c:pt>
                <c:pt idx="3">
                  <c:v>2013</c:v>
                </c:pt>
                <c:pt idx="4">
                  <c:v>2014</c:v>
                </c:pt>
                <c:pt idx="5">
                  <c:v>2015</c:v>
                </c:pt>
                <c:pt idx="6">
                  <c:v>2016</c:v>
                </c:pt>
                <c:pt idx="7">
                  <c:v>2017</c:v>
                </c:pt>
              </c:numCache>
            </c:numRef>
          </c:cat>
          <c:val>
            <c:numRef>
              <c:f>'Sum 1.0'!$C$46:$J$46</c:f>
              <c:numCache>
                <c:formatCode>0%</c:formatCode>
                <c:ptCount val="8"/>
                <c:pt idx="0">
                  <c:v>0.14989128174224048</c:v>
                </c:pt>
                <c:pt idx="1">
                  <c:v>0.12983998437079766</c:v>
                </c:pt>
                <c:pt idx="2">
                  <c:v>0.1211963205287015</c:v>
                </c:pt>
                <c:pt idx="3">
                  <c:v>0.11366475631692727</c:v>
                </c:pt>
                <c:pt idx="4">
                  <c:v>0.12613935757171377</c:v>
                </c:pt>
                <c:pt idx="5">
                  <c:v>0.10253517061538119</c:v>
                </c:pt>
                <c:pt idx="6">
                  <c:v>9.3789283113832472E-2</c:v>
                </c:pt>
                <c:pt idx="7">
                  <c:v>9.2276169411750264E-2</c:v>
                </c:pt>
              </c:numCache>
            </c:numRef>
          </c:val>
        </c:ser>
        <c:dLbls>
          <c:showLegendKey val="0"/>
          <c:showVal val="0"/>
          <c:showCatName val="0"/>
          <c:showSerName val="0"/>
          <c:showPercent val="0"/>
          <c:showBubbleSize val="0"/>
        </c:dLbls>
        <c:gapWidth val="150"/>
        <c:axId val="144236544"/>
        <c:axId val="144238080"/>
      </c:barChart>
      <c:catAx>
        <c:axId val="1442365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4238080"/>
        <c:crosses val="autoZero"/>
        <c:auto val="1"/>
        <c:lblAlgn val="ctr"/>
        <c:lblOffset val="100"/>
        <c:noMultiLvlLbl val="0"/>
      </c:catAx>
      <c:valAx>
        <c:axId val="144238080"/>
        <c:scaling>
          <c:orientation val="minMax"/>
        </c:scaling>
        <c:delete val="0"/>
        <c:axPos val="l"/>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4236544"/>
        <c:crosses val="autoZero"/>
        <c:crossBetween val="between"/>
      </c:valAx>
    </c:plotArea>
    <c:legend>
      <c:legendPos val="r"/>
      <c:layout>
        <c:manualLayout>
          <c:xMode val="edge"/>
          <c:yMode val="edge"/>
          <c:x val="0.15805621172353457"/>
          <c:y val="1.226246719160105E-2"/>
          <c:w val="0.71416601049868766"/>
          <c:h val="7.8923341478866857E-2"/>
        </c:manualLayout>
      </c:layou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724781164012527E-2"/>
          <c:y val="7.5057961504811893E-2"/>
          <c:w val="0.9132752188359875"/>
          <c:h val="0.83082932341790605"/>
        </c:manualLayout>
      </c:layout>
      <c:lineChart>
        <c:grouping val="standard"/>
        <c:varyColors val="0"/>
        <c:ser>
          <c:idx val="0"/>
          <c:order val="0"/>
          <c:marker>
            <c:symbol val="none"/>
          </c:marker>
          <c:cat>
            <c:strRef>
              <c:f>'Sum 1.0'!$C$20:$M$20</c:f>
              <c:strCache>
                <c:ptCount val="11"/>
                <c:pt idx="0">
                  <c:v>2010</c:v>
                </c:pt>
                <c:pt idx="1">
                  <c:v>2011</c:v>
                </c:pt>
                <c:pt idx="2">
                  <c:v>2012</c:v>
                </c:pt>
                <c:pt idx="3">
                  <c:v>2013</c:v>
                </c:pt>
                <c:pt idx="4">
                  <c:v>2014</c:v>
                </c:pt>
                <c:pt idx="5">
                  <c:v>2015</c:v>
                </c:pt>
                <c:pt idx="6">
                  <c:v>2016</c:v>
                </c:pt>
                <c:pt idx="7">
                  <c:v>2017</c:v>
                </c:pt>
                <c:pt idx="8">
                  <c:v>2018f</c:v>
                </c:pt>
                <c:pt idx="9">
                  <c:v>2019f</c:v>
                </c:pt>
                <c:pt idx="10">
                  <c:v>2020f</c:v>
                </c:pt>
              </c:strCache>
            </c:strRef>
          </c:cat>
          <c:val>
            <c:numRef>
              <c:f>'Sum 1.0'!$C$28:$M$28</c:f>
              <c:numCache>
                <c:formatCode>0.0%</c:formatCode>
                <c:ptCount val="11"/>
                <c:pt idx="0">
                  <c:v>0.26538349827261698</c:v>
                </c:pt>
                <c:pt idx="1">
                  <c:v>0.23301937700497746</c:v>
                </c:pt>
                <c:pt idx="2">
                  <c:v>0.2375884889248675</c:v>
                </c:pt>
                <c:pt idx="3" formatCode="0.00%">
                  <c:v>0.20311522553603087</c:v>
                </c:pt>
                <c:pt idx="4">
                  <c:v>0.19642168754973655</c:v>
                </c:pt>
                <c:pt idx="5">
                  <c:v>0.17353244694289444</c:v>
                </c:pt>
                <c:pt idx="6">
                  <c:v>0.16738164598183161</c:v>
                </c:pt>
                <c:pt idx="7">
                  <c:v>0.17253452603260688</c:v>
                </c:pt>
                <c:pt idx="8">
                  <c:v>0.17114953965244431</c:v>
                </c:pt>
                <c:pt idx="9">
                  <c:v>0.17114953965244431</c:v>
                </c:pt>
                <c:pt idx="10">
                  <c:v>0.17114953965244431</c:v>
                </c:pt>
              </c:numCache>
            </c:numRef>
          </c:val>
          <c:smooth val="0"/>
        </c:ser>
        <c:dLbls>
          <c:showLegendKey val="0"/>
          <c:showVal val="0"/>
          <c:showCatName val="0"/>
          <c:showSerName val="0"/>
          <c:showPercent val="0"/>
          <c:showBubbleSize val="0"/>
        </c:dLbls>
        <c:marker val="1"/>
        <c:smooth val="0"/>
        <c:axId val="48604288"/>
        <c:axId val="48605824"/>
      </c:lineChart>
      <c:catAx>
        <c:axId val="48604288"/>
        <c:scaling>
          <c:orientation val="minMax"/>
        </c:scaling>
        <c:delete val="0"/>
        <c:axPos val="b"/>
        <c:numFmt formatCode="General" sourceLinked="1"/>
        <c:majorTickMark val="out"/>
        <c:minorTickMark val="none"/>
        <c:tickLblPos val="nextTo"/>
        <c:crossAx val="48605824"/>
        <c:crosses val="autoZero"/>
        <c:auto val="1"/>
        <c:lblAlgn val="ctr"/>
        <c:lblOffset val="100"/>
        <c:noMultiLvlLbl val="0"/>
      </c:catAx>
      <c:valAx>
        <c:axId val="48605824"/>
        <c:scaling>
          <c:orientation val="minMax"/>
        </c:scaling>
        <c:delete val="0"/>
        <c:axPos val="l"/>
        <c:majorGridlines/>
        <c:numFmt formatCode="0%" sourceLinked="0"/>
        <c:majorTickMark val="out"/>
        <c:minorTickMark val="none"/>
        <c:tickLblPos val="nextTo"/>
        <c:crossAx val="48604288"/>
        <c:crosses val="autoZero"/>
        <c:crossBetween val="between"/>
      </c:valAx>
    </c:plotArea>
    <c:plotVisOnly val="1"/>
    <c:dispBlanksAs val="gap"/>
    <c:showDLblsOverMax val="0"/>
  </c:chart>
  <c:spPr>
    <a:noFill/>
    <a:ln>
      <a:noFill/>
    </a:ln>
  </c:spPr>
  <c:txPr>
    <a:bodyPr/>
    <a:lstStyle/>
    <a:p>
      <a:pPr>
        <a:defRPr>
          <a:latin typeface="Book Antiqua" pitchFamily="18" charset="0"/>
        </a:defRPr>
      </a:pPr>
      <a:endParaRPr lang="en-US"/>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'Sum 3.0'!$A$58</c:f>
              <c:strCache>
                <c:ptCount val="1"/>
                <c:pt idx="0">
                  <c:v>Bulk</c:v>
                </c:pt>
              </c:strCache>
            </c:strRef>
          </c:tx>
          <c:marker>
            <c:symbol val="none"/>
          </c:marker>
          <c:cat>
            <c:numRef>
              <c:f>'Sum 3.0'!$C$57:$J$57</c:f>
              <c:numCache>
                <c:formatCode>General</c:formatCode>
                <c:ptCount val="8"/>
                <c:pt idx="0">
                  <c:v>2010</c:v>
                </c:pt>
                <c:pt idx="1">
                  <c:v>2011</c:v>
                </c:pt>
                <c:pt idx="2">
                  <c:v>2012</c:v>
                </c:pt>
                <c:pt idx="3">
                  <c:v>2013</c:v>
                </c:pt>
                <c:pt idx="4">
                  <c:v>2014</c:v>
                </c:pt>
                <c:pt idx="5">
                  <c:v>2015</c:v>
                </c:pt>
                <c:pt idx="6">
                  <c:v>2016</c:v>
                </c:pt>
                <c:pt idx="7">
                  <c:v>2017</c:v>
                </c:pt>
              </c:numCache>
            </c:numRef>
          </c:cat>
          <c:val>
            <c:numRef>
              <c:f>'Sum 3.0'!$C$58:$J$58</c:f>
              <c:numCache>
                <c:formatCode>0.0%</c:formatCode>
                <c:ptCount val="8"/>
                <c:pt idx="0">
                  <c:v>0.23636916540002992</c:v>
                </c:pt>
                <c:pt idx="1">
                  <c:v>0.23794742880206893</c:v>
                </c:pt>
                <c:pt idx="2">
                  <c:v>0.23420062323346211</c:v>
                </c:pt>
                <c:pt idx="3">
                  <c:v>0.22905624559566021</c:v>
                </c:pt>
                <c:pt idx="4">
                  <c:v>0.21552405455280021</c:v>
                </c:pt>
                <c:pt idx="5">
                  <c:v>0.23717862257066902</c:v>
                </c:pt>
                <c:pt idx="6">
                  <c:v>0.23552869555964503</c:v>
                </c:pt>
                <c:pt idx="7">
                  <c:v>0.23487009426035477</c:v>
                </c:pt>
              </c:numCache>
            </c:numRef>
          </c:val>
          <c:smooth val="0"/>
        </c:ser>
        <c:ser>
          <c:idx val="1"/>
          <c:order val="1"/>
          <c:tx>
            <c:strRef>
              <c:f>'Sum 3.0'!$A$59</c:f>
              <c:strCache>
                <c:ptCount val="1"/>
                <c:pt idx="0">
                  <c:v>Regional</c:v>
                </c:pt>
              </c:strCache>
            </c:strRef>
          </c:tx>
          <c:marker>
            <c:symbol val="none"/>
          </c:marker>
          <c:cat>
            <c:numRef>
              <c:f>'Sum 3.0'!$C$57:$J$57</c:f>
              <c:numCache>
                <c:formatCode>General</c:formatCode>
                <c:ptCount val="8"/>
                <c:pt idx="0">
                  <c:v>2010</c:v>
                </c:pt>
                <c:pt idx="1">
                  <c:v>2011</c:v>
                </c:pt>
                <c:pt idx="2">
                  <c:v>2012</c:v>
                </c:pt>
                <c:pt idx="3">
                  <c:v>2013</c:v>
                </c:pt>
                <c:pt idx="4">
                  <c:v>2014</c:v>
                </c:pt>
                <c:pt idx="5">
                  <c:v>2015</c:v>
                </c:pt>
                <c:pt idx="6">
                  <c:v>2016</c:v>
                </c:pt>
                <c:pt idx="7">
                  <c:v>2017</c:v>
                </c:pt>
              </c:numCache>
            </c:numRef>
          </c:cat>
          <c:val>
            <c:numRef>
              <c:f>'Sum 3.0'!$C$59:$J$59</c:f>
              <c:numCache>
                <c:formatCode>0.0%</c:formatCode>
                <c:ptCount val="8"/>
                <c:pt idx="0">
                  <c:v>0.37708075351617498</c:v>
                </c:pt>
                <c:pt idx="1">
                  <c:v>0.37986487932195023</c:v>
                </c:pt>
                <c:pt idx="2">
                  <c:v>0.37544346480857765</c:v>
                </c:pt>
                <c:pt idx="3">
                  <c:v>0.37422164488413706</c:v>
                </c:pt>
                <c:pt idx="4">
                  <c:v>0.36310117073580761</c:v>
                </c:pt>
                <c:pt idx="5">
                  <c:v>0.37893524066736772</c:v>
                </c:pt>
                <c:pt idx="6">
                  <c:v>0.37030768495387201</c:v>
                </c:pt>
                <c:pt idx="7">
                  <c:v>0.3687672688822955</c:v>
                </c:pt>
              </c:numCache>
            </c:numRef>
          </c:val>
          <c:smooth val="0"/>
        </c:ser>
        <c:ser>
          <c:idx val="2"/>
          <c:order val="2"/>
          <c:tx>
            <c:strRef>
              <c:f>'Sum 3.0'!$A$60</c:f>
              <c:strCache>
                <c:ptCount val="1"/>
                <c:pt idx="0">
                  <c:v>POD</c:v>
                </c:pt>
              </c:strCache>
            </c:strRef>
          </c:tx>
          <c:marker>
            <c:symbol val="none"/>
          </c:marker>
          <c:cat>
            <c:numRef>
              <c:f>'Sum 3.0'!$C$57:$J$57</c:f>
              <c:numCache>
                <c:formatCode>General</c:formatCode>
                <c:ptCount val="8"/>
                <c:pt idx="0">
                  <c:v>2010</c:v>
                </c:pt>
                <c:pt idx="1">
                  <c:v>2011</c:v>
                </c:pt>
                <c:pt idx="2">
                  <c:v>2012</c:v>
                </c:pt>
                <c:pt idx="3">
                  <c:v>2013</c:v>
                </c:pt>
                <c:pt idx="4">
                  <c:v>2014</c:v>
                </c:pt>
                <c:pt idx="5">
                  <c:v>2015</c:v>
                </c:pt>
                <c:pt idx="6">
                  <c:v>2016</c:v>
                </c:pt>
                <c:pt idx="7">
                  <c:v>2017</c:v>
                </c:pt>
              </c:numCache>
            </c:numRef>
          </c:cat>
          <c:val>
            <c:numRef>
              <c:f>'Sum 3.0'!$C$60:$J$60</c:f>
              <c:numCache>
                <c:formatCode>0.0%</c:formatCode>
                <c:ptCount val="8"/>
                <c:pt idx="0">
                  <c:v>0.38655008108379502</c:v>
                </c:pt>
                <c:pt idx="1">
                  <c:v>0.38218769187598084</c:v>
                </c:pt>
                <c:pt idx="2">
                  <c:v>0.39035591195796021</c:v>
                </c:pt>
                <c:pt idx="3">
                  <c:v>0.39672210952020276</c:v>
                </c:pt>
                <c:pt idx="4">
                  <c:v>0.42137477471139217</c:v>
                </c:pt>
                <c:pt idx="5">
                  <c:v>0.3838861367619632</c:v>
                </c:pt>
                <c:pt idx="6">
                  <c:v>0.39416361948648304</c:v>
                </c:pt>
                <c:pt idx="7">
                  <c:v>0.39636263685734974</c:v>
                </c:pt>
              </c:numCache>
            </c:numRef>
          </c:val>
          <c:smooth val="0"/>
        </c:ser>
        <c:dLbls>
          <c:showLegendKey val="0"/>
          <c:showVal val="0"/>
          <c:showCatName val="0"/>
          <c:showSerName val="0"/>
          <c:showPercent val="0"/>
          <c:showBubbleSize val="0"/>
        </c:dLbls>
        <c:marker val="1"/>
        <c:smooth val="0"/>
        <c:axId val="142382976"/>
        <c:axId val="142384512"/>
      </c:lineChart>
      <c:catAx>
        <c:axId val="142382976"/>
        <c:scaling>
          <c:orientation val="minMax"/>
        </c:scaling>
        <c:delete val="0"/>
        <c:axPos val="b"/>
        <c:numFmt formatCode="General" sourceLinked="1"/>
        <c:majorTickMark val="out"/>
        <c:minorTickMark val="none"/>
        <c:tickLblPos val="nextTo"/>
        <c:crossAx val="142384512"/>
        <c:crosses val="autoZero"/>
        <c:auto val="1"/>
        <c:lblAlgn val="ctr"/>
        <c:lblOffset val="100"/>
        <c:noMultiLvlLbl val="0"/>
      </c:catAx>
      <c:valAx>
        <c:axId val="142384512"/>
        <c:scaling>
          <c:orientation val="minMax"/>
        </c:scaling>
        <c:delete val="0"/>
        <c:axPos val="l"/>
        <c:majorGridlines/>
        <c:title>
          <c:tx>
            <c:rich>
              <a:bodyPr rot="-5400000" vert="horz"/>
              <a:lstStyle/>
              <a:p>
                <a:pPr>
                  <a:defRPr/>
                </a:pPr>
                <a:r>
                  <a:rPr lang="en-US"/>
                  <a:t>Functionlization</a:t>
                </a:r>
              </a:p>
            </c:rich>
          </c:tx>
          <c:overlay val="0"/>
        </c:title>
        <c:numFmt formatCode="0.0%" sourceLinked="1"/>
        <c:majorTickMark val="out"/>
        <c:minorTickMark val="none"/>
        <c:tickLblPos val="nextTo"/>
        <c:crossAx val="14238297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Lbls>
            <c:showLegendKey val="0"/>
            <c:showVal val="1"/>
            <c:showCatName val="0"/>
            <c:showSerName val="0"/>
            <c:showPercent val="0"/>
            <c:showBubbleSize val="0"/>
            <c:showLeaderLines val="0"/>
          </c:dLbls>
          <c:cat>
            <c:strRef>
              <c:f>'2014StudyClassification'!$B$84:$B$85</c:f>
              <c:strCache>
                <c:ptCount val="2"/>
                <c:pt idx="0">
                  <c:v>Minimum System - Basic Transformers</c:v>
                </c:pt>
                <c:pt idx="1">
                  <c:v>Optimized System - High Eff Transformers</c:v>
                </c:pt>
              </c:strCache>
            </c:strRef>
          </c:cat>
          <c:val>
            <c:numRef>
              <c:f>'2014StudyClassification'!$C$84:$C$85</c:f>
              <c:numCache>
                <c:formatCode>_("$"* #,##0_);_("$"* \(#,##0\);_("$"* "-"??_);_(@_)</c:formatCode>
                <c:ptCount val="2"/>
                <c:pt idx="0">
                  <c:v>966840</c:v>
                </c:pt>
                <c:pt idx="1">
                  <c:v>995020</c:v>
                </c:pt>
              </c:numCache>
            </c:numRef>
          </c:val>
        </c:ser>
        <c:dLbls>
          <c:showLegendKey val="0"/>
          <c:showVal val="0"/>
          <c:showCatName val="0"/>
          <c:showSerName val="0"/>
          <c:showPercent val="0"/>
          <c:showBubbleSize val="0"/>
        </c:dLbls>
        <c:gapWidth val="150"/>
        <c:axId val="41201024"/>
        <c:axId val="41206912"/>
      </c:barChart>
      <c:catAx>
        <c:axId val="41201024"/>
        <c:scaling>
          <c:orientation val="minMax"/>
        </c:scaling>
        <c:delete val="0"/>
        <c:axPos val="b"/>
        <c:numFmt formatCode="General" sourceLinked="1"/>
        <c:majorTickMark val="out"/>
        <c:minorTickMark val="none"/>
        <c:tickLblPos val="nextTo"/>
        <c:crossAx val="41206912"/>
        <c:crosses val="autoZero"/>
        <c:auto val="1"/>
        <c:lblAlgn val="ctr"/>
        <c:lblOffset val="100"/>
        <c:noMultiLvlLbl val="0"/>
      </c:catAx>
      <c:valAx>
        <c:axId val="41206912"/>
        <c:scaling>
          <c:orientation val="minMax"/>
          <c:min val="0"/>
        </c:scaling>
        <c:delete val="0"/>
        <c:axPos val="l"/>
        <c:title>
          <c:tx>
            <c:rich>
              <a:bodyPr rot="-5400000" vert="horz"/>
              <a:lstStyle/>
              <a:p>
                <a:pPr>
                  <a:defRPr/>
                </a:pPr>
                <a:r>
                  <a:rPr lang="en-US"/>
                  <a:t>Cost of Conductor ($/km)</a:t>
                </a:r>
              </a:p>
            </c:rich>
          </c:tx>
          <c:overlay val="0"/>
        </c:title>
        <c:numFmt formatCode="_(&quot;$&quot;* #,##0_);_(&quot;$&quot;* \(#,##0\);_(&quot;$&quot;* &quot;-&quot;??_);_(@_)" sourceLinked="1"/>
        <c:majorTickMark val="out"/>
        <c:minorTickMark val="none"/>
        <c:tickLblPos val="nextTo"/>
        <c:crossAx val="41201024"/>
        <c:crosses val="autoZero"/>
        <c:crossBetween val="between"/>
      </c:valAx>
    </c:plotArea>
    <c:plotVisOnly val="1"/>
    <c:dispBlanksAs val="gap"/>
    <c:showDLblsOverMax val="0"/>
  </c:chart>
  <c:spPr>
    <a:ln>
      <a:noFill/>
    </a:ln>
  </c:spPr>
  <c:txPr>
    <a:bodyPr/>
    <a:lstStyle/>
    <a:p>
      <a:pPr>
        <a:defRPr>
          <a:latin typeface="Book Antiqua" pitchFamily="18"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percentStacked"/>
        <c:varyColors val="0"/>
        <c:ser>
          <c:idx val="0"/>
          <c:order val="0"/>
          <c:tx>
            <c:strRef>
              <c:f>'2014StudyClassification'!$B$67</c:f>
              <c:strCache>
                <c:ptCount val="1"/>
                <c:pt idx="0">
                  <c:v>Demand Related Costs</c:v>
                </c:pt>
              </c:strCache>
            </c:strRef>
          </c:tx>
          <c:invertIfNegative val="0"/>
          <c:dLbls>
            <c:showLegendKey val="0"/>
            <c:showVal val="1"/>
            <c:showCatName val="0"/>
            <c:showSerName val="0"/>
            <c:showPercent val="0"/>
            <c:showBubbleSize val="0"/>
            <c:showLeaderLines val="0"/>
          </c:dLbls>
          <c:val>
            <c:numRef>
              <c:f>'2014StudyClassification'!$C$67</c:f>
              <c:numCache>
                <c:formatCode>0.0%</c:formatCode>
                <c:ptCount val="1"/>
                <c:pt idx="0">
                  <c:v>0.97167896122691</c:v>
                </c:pt>
              </c:numCache>
            </c:numRef>
          </c:val>
        </c:ser>
        <c:ser>
          <c:idx val="1"/>
          <c:order val="1"/>
          <c:tx>
            <c:strRef>
              <c:f>'2014StudyClassification'!$B$68</c:f>
              <c:strCache>
                <c:ptCount val="1"/>
                <c:pt idx="0">
                  <c:v>Energy Related Costs</c:v>
                </c:pt>
              </c:strCache>
            </c:strRef>
          </c:tx>
          <c:invertIfNegative val="0"/>
          <c:dLbls>
            <c:showLegendKey val="0"/>
            <c:showVal val="1"/>
            <c:showCatName val="0"/>
            <c:showSerName val="0"/>
            <c:showPercent val="0"/>
            <c:showBubbleSize val="0"/>
            <c:showLeaderLines val="0"/>
          </c:dLbls>
          <c:val>
            <c:numRef>
              <c:f>'2014StudyClassification'!$C$68</c:f>
              <c:numCache>
                <c:formatCode>0.0%</c:formatCode>
                <c:ptCount val="1"/>
                <c:pt idx="0">
                  <c:v>2.8321038773090002E-2</c:v>
                </c:pt>
              </c:numCache>
            </c:numRef>
          </c:val>
        </c:ser>
        <c:dLbls>
          <c:showLegendKey val="0"/>
          <c:showVal val="0"/>
          <c:showCatName val="0"/>
          <c:showSerName val="0"/>
          <c:showPercent val="0"/>
          <c:showBubbleSize val="0"/>
        </c:dLbls>
        <c:gapWidth val="150"/>
        <c:overlap val="100"/>
        <c:axId val="43628800"/>
        <c:axId val="43638784"/>
      </c:barChart>
      <c:catAx>
        <c:axId val="43628800"/>
        <c:scaling>
          <c:orientation val="minMax"/>
        </c:scaling>
        <c:delete val="0"/>
        <c:axPos val="b"/>
        <c:numFmt formatCode="General" sourceLinked="1"/>
        <c:majorTickMark val="out"/>
        <c:minorTickMark val="none"/>
        <c:tickLblPos val="nextTo"/>
        <c:crossAx val="43638784"/>
        <c:crosses val="autoZero"/>
        <c:auto val="1"/>
        <c:lblAlgn val="ctr"/>
        <c:lblOffset val="100"/>
        <c:noMultiLvlLbl val="0"/>
      </c:catAx>
      <c:valAx>
        <c:axId val="43638784"/>
        <c:scaling>
          <c:orientation val="minMax"/>
          <c:max val="1"/>
          <c:min val="0"/>
        </c:scaling>
        <c:delete val="0"/>
        <c:axPos val="l"/>
        <c:title>
          <c:tx>
            <c:rich>
              <a:bodyPr rot="-5400000" vert="horz"/>
              <a:lstStyle/>
              <a:p>
                <a:pPr>
                  <a:defRPr/>
                </a:pPr>
                <a:r>
                  <a:rPr lang="en-US"/>
                  <a:t>Classification Percentage</a:t>
                </a:r>
              </a:p>
            </c:rich>
          </c:tx>
          <c:overlay val="0"/>
        </c:title>
        <c:numFmt formatCode="0%" sourceLinked="0"/>
        <c:majorTickMark val="out"/>
        <c:minorTickMark val="none"/>
        <c:tickLblPos val="nextTo"/>
        <c:crossAx val="43628800"/>
        <c:crosses val="autoZero"/>
        <c:crossBetween val="between"/>
      </c:valAx>
    </c:plotArea>
    <c:legend>
      <c:legendPos val="b"/>
      <c:overlay val="0"/>
    </c:legend>
    <c:plotVisOnly val="1"/>
    <c:dispBlanksAs val="gap"/>
    <c:showDLblsOverMax val="0"/>
  </c:chart>
  <c:spPr>
    <a:ln>
      <a:noFill/>
    </a:ln>
  </c:spPr>
  <c:txPr>
    <a:bodyPr/>
    <a:lstStyle/>
    <a:p>
      <a:pPr>
        <a:defRPr>
          <a:latin typeface="Book Antiqua" pitchFamily="18"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percentStacked"/>
        <c:varyColors val="0"/>
        <c:ser>
          <c:idx val="0"/>
          <c:order val="0"/>
          <c:tx>
            <c:strRef>
              <c:f>'2014StudyClassification'!$B$94</c:f>
              <c:strCache>
                <c:ptCount val="1"/>
                <c:pt idx="0">
                  <c:v>Demand Related Costs</c:v>
                </c:pt>
              </c:strCache>
            </c:strRef>
          </c:tx>
          <c:invertIfNegative val="0"/>
          <c:dLbls>
            <c:showLegendKey val="0"/>
            <c:showVal val="1"/>
            <c:showCatName val="0"/>
            <c:showSerName val="0"/>
            <c:showPercent val="0"/>
            <c:showBubbleSize val="0"/>
            <c:showLeaderLines val="0"/>
          </c:dLbls>
          <c:cat>
            <c:strRef>
              <c:f>'2014StudyClassification'!$C$93:$D$93</c:f>
              <c:strCache>
                <c:ptCount val="2"/>
                <c:pt idx="0">
                  <c:v>Bulk</c:v>
                </c:pt>
                <c:pt idx="1">
                  <c:v>Regional</c:v>
                </c:pt>
              </c:strCache>
            </c:strRef>
          </c:cat>
          <c:val>
            <c:numRef>
              <c:f>'2014StudyClassification'!$C$94:$D$94</c:f>
              <c:numCache>
                <c:formatCode>0.0%</c:formatCode>
                <c:ptCount val="2"/>
                <c:pt idx="0">
                  <c:v>0.93446310349533057</c:v>
                </c:pt>
                <c:pt idx="1">
                  <c:v>0.89543608452322854</c:v>
                </c:pt>
              </c:numCache>
            </c:numRef>
          </c:val>
        </c:ser>
        <c:ser>
          <c:idx val="1"/>
          <c:order val="1"/>
          <c:tx>
            <c:strRef>
              <c:f>'2014StudyClassification'!$B$95</c:f>
              <c:strCache>
                <c:ptCount val="1"/>
                <c:pt idx="0">
                  <c:v>Energy Related Costs</c:v>
                </c:pt>
              </c:strCache>
            </c:strRef>
          </c:tx>
          <c:invertIfNegative val="0"/>
          <c:dLbls>
            <c:showLegendKey val="0"/>
            <c:showVal val="1"/>
            <c:showCatName val="0"/>
            <c:showSerName val="0"/>
            <c:showPercent val="0"/>
            <c:showBubbleSize val="0"/>
            <c:showLeaderLines val="0"/>
          </c:dLbls>
          <c:cat>
            <c:strRef>
              <c:f>'2014StudyClassification'!$C$93:$D$93</c:f>
              <c:strCache>
                <c:ptCount val="2"/>
                <c:pt idx="0">
                  <c:v>Bulk</c:v>
                </c:pt>
                <c:pt idx="1">
                  <c:v>Regional</c:v>
                </c:pt>
              </c:strCache>
            </c:strRef>
          </c:cat>
          <c:val>
            <c:numRef>
              <c:f>'2014StudyClassification'!$C$95:$D$95</c:f>
              <c:numCache>
                <c:formatCode>0.0%</c:formatCode>
                <c:ptCount val="2"/>
                <c:pt idx="0">
                  <c:v>6.5536896504669442E-2</c:v>
                </c:pt>
                <c:pt idx="1">
                  <c:v>0.10456391547677155</c:v>
                </c:pt>
              </c:numCache>
            </c:numRef>
          </c:val>
        </c:ser>
        <c:dLbls>
          <c:showLegendKey val="0"/>
          <c:showVal val="0"/>
          <c:showCatName val="0"/>
          <c:showSerName val="0"/>
          <c:showPercent val="0"/>
          <c:showBubbleSize val="0"/>
        </c:dLbls>
        <c:gapWidth val="150"/>
        <c:overlap val="100"/>
        <c:axId val="43679104"/>
        <c:axId val="43680896"/>
      </c:barChart>
      <c:catAx>
        <c:axId val="43679104"/>
        <c:scaling>
          <c:orientation val="minMax"/>
        </c:scaling>
        <c:delete val="0"/>
        <c:axPos val="b"/>
        <c:numFmt formatCode="General" sourceLinked="1"/>
        <c:majorTickMark val="out"/>
        <c:minorTickMark val="none"/>
        <c:tickLblPos val="nextTo"/>
        <c:crossAx val="43680896"/>
        <c:crosses val="autoZero"/>
        <c:auto val="1"/>
        <c:lblAlgn val="ctr"/>
        <c:lblOffset val="100"/>
        <c:noMultiLvlLbl val="0"/>
      </c:catAx>
      <c:valAx>
        <c:axId val="43680896"/>
        <c:scaling>
          <c:orientation val="minMax"/>
          <c:min val="0"/>
        </c:scaling>
        <c:delete val="0"/>
        <c:axPos val="l"/>
        <c:title>
          <c:tx>
            <c:rich>
              <a:bodyPr rot="-5400000" vert="horz"/>
              <a:lstStyle/>
              <a:p>
                <a:pPr>
                  <a:defRPr/>
                </a:pPr>
                <a:r>
                  <a:rPr lang="en-US"/>
                  <a:t>Classification Percentage</a:t>
                </a:r>
              </a:p>
            </c:rich>
          </c:tx>
          <c:overlay val="0"/>
        </c:title>
        <c:numFmt formatCode="0%" sourceLinked="0"/>
        <c:majorTickMark val="out"/>
        <c:minorTickMark val="none"/>
        <c:tickLblPos val="nextTo"/>
        <c:crossAx val="43679104"/>
        <c:crosses val="autoZero"/>
        <c:crossBetween val="between"/>
      </c:valAx>
    </c:plotArea>
    <c:legend>
      <c:legendPos val="b"/>
      <c:overlay val="0"/>
    </c:legend>
    <c:plotVisOnly val="1"/>
    <c:dispBlanksAs val="gap"/>
    <c:showDLblsOverMax val="0"/>
  </c:chart>
  <c:spPr>
    <a:ln>
      <a:noFill/>
    </a:ln>
  </c:spPr>
  <c:txPr>
    <a:bodyPr/>
    <a:lstStyle/>
    <a:p>
      <a:pPr>
        <a:defRPr>
          <a:latin typeface="Book Antiqua" pitchFamily="18"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Lbls>
            <c:showLegendKey val="0"/>
            <c:showVal val="1"/>
            <c:showCatName val="0"/>
            <c:showSerName val="0"/>
            <c:showPercent val="0"/>
            <c:showBubbleSize val="0"/>
            <c:showLeaderLines val="0"/>
          </c:dLbls>
          <c:cat>
            <c:multiLvlStrRef>
              <c:f>'2014StudyClassification'!$B$17:$C$18</c:f>
              <c:multiLvlStrCache>
                <c:ptCount val="2"/>
                <c:lvl>
                  <c:pt idx="0">
                    <c:v>500 kV Line - 2 X 2156</c:v>
                  </c:pt>
                  <c:pt idx="1">
                    <c:v>500 kV Line - 3 X 1590</c:v>
                  </c:pt>
                </c:lvl>
                <c:lvl>
                  <c:pt idx="0">
                    <c:v>Minimum System</c:v>
                  </c:pt>
                  <c:pt idx="1">
                    <c:v>Optimal System</c:v>
                  </c:pt>
                </c:lvl>
              </c:multiLvlStrCache>
            </c:multiLvlStrRef>
          </c:cat>
          <c:val>
            <c:numRef>
              <c:f>'2014StudyClassification'!$D$17:$D$18</c:f>
              <c:numCache>
                <c:formatCode>_("$"* #,##0_);_("$"* \(#,##0\);_("$"* "-"??_);_(@_)</c:formatCode>
                <c:ptCount val="2"/>
                <c:pt idx="0">
                  <c:v>1900000</c:v>
                </c:pt>
                <c:pt idx="1">
                  <c:v>2100000</c:v>
                </c:pt>
              </c:numCache>
            </c:numRef>
          </c:val>
        </c:ser>
        <c:dLbls>
          <c:showLegendKey val="0"/>
          <c:showVal val="0"/>
          <c:showCatName val="0"/>
          <c:showSerName val="0"/>
          <c:showPercent val="0"/>
          <c:showBubbleSize val="0"/>
        </c:dLbls>
        <c:gapWidth val="150"/>
        <c:axId val="43718144"/>
        <c:axId val="43719680"/>
      </c:barChart>
      <c:catAx>
        <c:axId val="43718144"/>
        <c:scaling>
          <c:orientation val="minMax"/>
        </c:scaling>
        <c:delete val="0"/>
        <c:axPos val="b"/>
        <c:numFmt formatCode="General" sourceLinked="1"/>
        <c:majorTickMark val="out"/>
        <c:minorTickMark val="none"/>
        <c:tickLblPos val="nextTo"/>
        <c:crossAx val="43719680"/>
        <c:crosses val="autoZero"/>
        <c:auto val="1"/>
        <c:lblAlgn val="ctr"/>
        <c:lblOffset val="100"/>
        <c:noMultiLvlLbl val="0"/>
      </c:catAx>
      <c:valAx>
        <c:axId val="43719680"/>
        <c:scaling>
          <c:orientation val="minMax"/>
          <c:min val="0"/>
        </c:scaling>
        <c:delete val="0"/>
        <c:axPos val="l"/>
        <c:title>
          <c:tx>
            <c:rich>
              <a:bodyPr rot="-5400000" vert="horz"/>
              <a:lstStyle/>
              <a:p>
                <a:pPr>
                  <a:defRPr/>
                </a:pPr>
                <a:r>
                  <a:rPr lang="en-US"/>
                  <a:t>Cost of Conductor ($/km)</a:t>
                </a:r>
              </a:p>
            </c:rich>
          </c:tx>
          <c:layout/>
          <c:overlay val="0"/>
        </c:title>
        <c:numFmt formatCode="_(&quot;$&quot;* #,##0_);_(&quot;$&quot;* \(#,##0\);_(&quot;$&quot;* &quot;-&quot;??_);_(@_)" sourceLinked="1"/>
        <c:majorTickMark val="out"/>
        <c:minorTickMark val="none"/>
        <c:tickLblPos val="nextTo"/>
        <c:crossAx val="43718144"/>
        <c:crosses val="autoZero"/>
        <c:crossBetween val="between"/>
      </c:valAx>
    </c:plotArea>
    <c:plotVisOnly val="1"/>
    <c:dispBlanksAs val="gap"/>
    <c:showDLblsOverMax val="0"/>
  </c:chart>
  <c:spPr>
    <a:ln>
      <a:noFill/>
    </a:ln>
  </c:spPr>
  <c:txPr>
    <a:bodyPr/>
    <a:lstStyle/>
    <a:p>
      <a:pPr>
        <a:defRPr>
          <a:latin typeface="Book Antiqua" pitchFamily="18"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by kM</a:t>
            </a:r>
          </a:p>
        </c:rich>
      </c:tx>
      <c:layout/>
      <c:overlay val="1"/>
    </c:title>
    <c:autoTitleDeleted val="0"/>
    <c:plotArea>
      <c:layout/>
      <c:scatterChart>
        <c:scatterStyle val="lineMarker"/>
        <c:varyColors val="0"/>
        <c:ser>
          <c:idx val="0"/>
          <c:order val="0"/>
          <c:tx>
            <c:v>1033</c:v>
          </c:tx>
          <c:spPr>
            <a:ln w="28575">
              <a:noFill/>
            </a:ln>
          </c:spPr>
          <c:marker>
            <c:symbol val="diamond"/>
            <c:size val="4"/>
          </c:marker>
          <c:xVal>
            <c:numRef>
              <c:f>'2014StudyData'!$J$15:$J$34</c:f>
              <c:numCache>
                <c:formatCode>General</c:formatCode>
                <c:ptCount val="20"/>
                <c:pt idx="0">
                  <c:v>3</c:v>
                </c:pt>
                <c:pt idx="1">
                  <c:v>4</c:v>
                </c:pt>
                <c:pt idx="2">
                  <c:v>130</c:v>
                </c:pt>
                <c:pt idx="3">
                  <c:v>70</c:v>
                </c:pt>
                <c:pt idx="4">
                  <c:v>9</c:v>
                </c:pt>
                <c:pt idx="5">
                  <c:v>40</c:v>
                </c:pt>
                <c:pt idx="6">
                  <c:v>4.5</c:v>
                </c:pt>
                <c:pt idx="7">
                  <c:v>22</c:v>
                </c:pt>
                <c:pt idx="8">
                  <c:v>1</c:v>
                </c:pt>
                <c:pt idx="9">
                  <c:v>86</c:v>
                </c:pt>
                <c:pt idx="10">
                  <c:v>52</c:v>
                </c:pt>
                <c:pt idx="11">
                  <c:v>120</c:v>
                </c:pt>
                <c:pt idx="12">
                  <c:v>0.2</c:v>
                </c:pt>
                <c:pt idx="13">
                  <c:v>12</c:v>
                </c:pt>
                <c:pt idx="14">
                  <c:v>22</c:v>
                </c:pt>
                <c:pt idx="15">
                  <c:v>110</c:v>
                </c:pt>
                <c:pt idx="16">
                  <c:v>6</c:v>
                </c:pt>
                <c:pt idx="17">
                  <c:v>22</c:v>
                </c:pt>
                <c:pt idx="18">
                  <c:v>18</c:v>
                </c:pt>
                <c:pt idx="19">
                  <c:v>56</c:v>
                </c:pt>
              </c:numCache>
            </c:numRef>
          </c:xVal>
          <c:yVal>
            <c:numRef>
              <c:f>'2014StudyData'!$Q$15:$Q$34</c:f>
              <c:numCache>
                <c:formatCode>"$"#,##0</c:formatCode>
                <c:ptCount val="20"/>
                <c:pt idx="0">
                  <c:v>793260</c:v>
                </c:pt>
                <c:pt idx="1">
                  <c:v>3492750</c:v>
                </c:pt>
                <c:pt idx="2">
                  <c:v>1332092.3076923077</c:v>
                </c:pt>
                <c:pt idx="3">
                  <c:v>2174504</c:v>
                </c:pt>
                <c:pt idx="4">
                  <c:v>2571777.777777778</c:v>
                </c:pt>
                <c:pt idx="5">
                  <c:v>2103350</c:v>
                </c:pt>
                <c:pt idx="6">
                  <c:v>3543909.111111111</c:v>
                </c:pt>
                <c:pt idx="7">
                  <c:v>2137976.7245454546</c:v>
                </c:pt>
                <c:pt idx="8">
                  <c:v>3503000</c:v>
                </c:pt>
                <c:pt idx="9">
                  <c:v>1501953.4883720931</c:v>
                </c:pt>
                <c:pt idx="10">
                  <c:v>1787346.1538461538</c:v>
                </c:pt>
                <c:pt idx="11">
                  <c:v>1370341.6666666667</c:v>
                </c:pt>
                <c:pt idx="12">
                  <c:v>2988090</c:v>
                </c:pt>
                <c:pt idx="13">
                  <c:v>1846948.6849999998</c:v>
                </c:pt>
                <c:pt idx="14">
                  <c:v>2533268.3181818184</c:v>
                </c:pt>
                <c:pt idx="15">
                  <c:v>1443836.3636363635</c:v>
                </c:pt>
                <c:pt idx="16">
                  <c:v>1935000</c:v>
                </c:pt>
                <c:pt idx="17">
                  <c:v>2062104.7627272727</c:v>
                </c:pt>
                <c:pt idx="18">
                  <c:v>1651222.2222222222</c:v>
                </c:pt>
                <c:pt idx="19">
                  <c:v>2037008.6932142857</c:v>
                </c:pt>
              </c:numCache>
            </c:numRef>
          </c:yVal>
          <c:smooth val="0"/>
        </c:ser>
        <c:ser>
          <c:idx val="1"/>
          <c:order val="1"/>
          <c:tx>
            <c:v>795</c:v>
          </c:tx>
          <c:spPr>
            <a:ln w="28575">
              <a:noFill/>
            </a:ln>
          </c:spPr>
          <c:marker>
            <c:symbol val="circle"/>
            <c:size val="4"/>
          </c:marker>
          <c:xVal>
            <c:numRef>
              <c:f>'2014StudyData'!$J$43:$J$57</c:f>
              <c:numCache>
                <c:formatCode>General</c:formatCode>
                <c:ptCount val="15"/>
                <c:pt idx="0">
                  <c:v>68.7</c:v>
                </c:pt>
                <c:pt idx="1">
                  <c:v>44.7</c:v>
                </c:pt>
                <c:pt idx="2">
                  <c:v>9.1999999999999993</c:v>
                </c:pt>
                <c:pt idx="3">
                  <c:v>30</c:v>
                </c:pt>
                <c:pt idx="4">
                  <c:v>88.6</c:v>
                </c:pt>
                <c:pt idx="5">
                  <c:v>40</c:v>
                </c:pt>
                <c:pt idx="6">
                  <c:v>8.9</c:v>
                </c:pt>
                <c:pt idx="7">
                  <c:v>34</c:v>
                </c:pt>
                <c:pt idx="8">
                  <c:v>82</c:v>
                </c:pt>
                <c:pt idx="9">
                  <c:v>30</c:v>
                </c:pt>
                <c:pt idx="10">
                  <c:v>20</c:v>
                </c:pt>
                <c:pt idx="11">
                  <c:v>58</c:v>
                </c:pt>
                <c:pt idx="12">
                  <c:v>68.11</c:v>
                </c:pt>
                <c:pt idx="13">
                  <c:v>60</c:v>
                </c:pt>
                <c:pt idx="14">
                  <c:v>65.5</c:v>
                </c:pt>
              </c:numCache>
            </c:numRef>
          </c:xVal>
          <c:yVal>
            <c:numRef>
              <c:f>'2014StudyData'!$Q$43:$Q$57</c:f>
              <c:numCache>
                <c:formatCode>"$"#,##0</c:formatCode>
                <c:ptCount val="15"/>
                <c:pt idx="0">
                  <c:v>800098.39883551665</c:v>
                </c:pt>
                <c:pt idx="1">
                  <c:v>786693.06487695745</c:v>
                </c:pt>
                <c:pt idx="2">
                  <c:v>917173.91304347839</c:v>
                </c:pt>
                <c:pt idx="3">
                  <c:v>1980935.6593333331</c:v>
                </c:pt>
                <c:pt idx="4">
                  <c:v>775603.61173814908</c:v>
                </c:pt>
                <c:pt idx="5">
                  <c:v>921196.5</c:v>
                </c:pt>
                <c:pt idx="6">
                  <c:v>1315476.404494382</c:v>
                </c:pt>
                <c:pt idx="7">
                  <c:v>2318325.4541176469</c:v>
                </c:pt>
                <c:pt idx="8">
                  <c:v>2644061.3712195121</c:v>
                </c:pt>
                <c:pt idx="9">
                  <c:v>1925639.6006666666</c:v>
                </c:pt>
                <c:pt idx="10">
                  <c:v>2481422</c:v>
                </c:pt>
                <c:pt idx="11">
                  <c:v>1239325.4655172413</c:v>
                </c:pt>
                <c:pt idx="12">
                  <c:v>1849656.4897959186</c:v>
                </c:pt>
                <c:pt idx="13">
                  <c:v>1894314.6913333333</c:v>
                </c:pt>
                <c:pt idx="14">
                  <c:v>2106840.0610687025</c:v>
                </c:pt>
              </c:numCache>
            </c:numRef>
          </c:yVal>
          <c:smooth val="0"/>
        </c:ser>
        <c:dLbls>
          <c:showLegendKey val="0"/>
          <c:showVal val="0"/>
          <c:showCatName val="0"/>
          <c:showSerName val="0"/>
          <c:showPercent val="0"/>
          <c:showBubbleSize val="0"/>
        </c:dLbls>
        <c:axId val="43769856"/>
        <c:axId val="43771392"/>
      </c:scatterChart>
      <c:valAx>
        <c:axId val="43769856"/>
        <c:scaling>
          <c:orientation val="minMax"/>
        </c:scaling>
        <c:delete val="0"/>
        <c:axPos val="b"/>
        <c:numFmt formatCode="General" sourceLinked="1"/>
        <c:majorTickMark val="out"/>
        <c:minorTickMark val="none"/>
        <c:tickLblPos val="nextTo"/>
        <c:crossAx val="43771392"/>
        <c:crosses val="autoZero"/>
        <c:crossBetween val="midCat"/>
      </c:valAx>
      <c:valAx>
        <c:axId val="43771392"/>
        <c:scaling>
          <c:orientation val="minMax"/>
          <c:max val="4000000"/>
        </c:scaling>
        <c:delete val="0"/>
        <c:axPos val="l"/>
        <c:majorGridlines/>
        <c:numFmt formatCode="&quot;$&quot;#,##0" sourceLinked="1"/>
        <c:majorTickMark val="out"/>
        <c:minorTickMark val="none"/>
        <c:tickLblPos val="nextTo"/>
        <c:crossAx val="43769856"/>
        <c:crosses val="autoZero"/>
        <c:crossBetween val="midCat"/>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by Estimate Date</a:t>
            </a:r>
          </a:p>
        </c:rich>
      </c:tx>
      <c:layout/>
      <c:overlay val="1"/>
    </c:title>
    <c:autoTitleDeleted val="0"/>
    <c:plotArea>
      <c:layout/>
      <c:scatterChart>
        <c:scatterStyle val="lineMarker"/>
        <c:varyColors val="0"/>
        <c:ser>
          <c:idx val="0"/>
          <c:order val="0"/>
          <c:tx>
            <c:v>1033</c:v>
          </c:tx>
          <c:spPr>
            <a:ln w="28575">
              <a:noFill/>
            </a:ln>
          </c:spPr>
          <c:marker>
            <c:symbol val="diamond"/>
            <c:size val="4"/>
          </c:marker>
          <c:xVal>
            <c:numRef>
              <c:f>'2014StudyData'!$C$15:$C$34</c:f>
              <c:numCache>
                <c:formatCode>yyyy-mm-dd</c:formatCode>
                <c:ptCount val="20"/>
                <c:pt idx="0">
                  <c:v>40877</c:v>
                </c:pt>
                <c:pt idx="1">
                  <c:v>41452</c:v>
                </c:pt>
                <c:pt idx="2">
                  <c:v>40354</c:v>
                </c:pt>
                <c:pt idx="3">
                  <c:v>41467</c:v>
                </c:pt>
                <c:pt idx="4">
                  <c:v>41185</c:v>
                </c:pt>
                <c:pt idx="5">
                  <c:v>41344</c:v>
                </c:pt>
                <c:pt idx="6">
                  <c:v>41122</c:v>
                </c:pt>
                <c:pt idx="7">
                  <c:v>41249</c:v>
                </c:pt>
                <c:pt idx="8">
                  <c:v>39969</c:v>
                </c:pt>
                <c:pt idx="9">
                  <c:v>41467</c:v>
                </c:pt>
                <c:pt idx="10">
                  <c:v>40877</c:v>
                </c:pt>
                <c:pt idx="11">
                  <c:v>40820</c:v>
                </c:pt>
                <c:pt idx="12">
                  <c:v>41122</c:v>
                </c:pt>
                <c:pt idx="13">
                  <c:v>39994</c:v>
                </c:pt>
                <c:pt idx="14">
                  <c:v>41194</c:v>
                </c:pt>
                <c:pt idx="15">
                  <c:v>40354</c:v>
                </c:pt>
                <c:pt idx="16">
                  <c:v>40330</c:v>
                </c:pt>
                <c:pt idx="17">
                  <c:v>41262</c:v>
                </c:pt>
                <c:pt idx="18">
                  <c:v>40877</c:v>
                </c:pt>
                <c:pt idx="19">
                  <c:v>41262</c:v>
                </c:pt>
              </c:numCache>
            </c:numRef>
          </c:xVal>
          <c:yVal>
            <c:numRef>
              <c:f>'2014StudyData'!$Q$15:$Q$34</c:f>
              <c:numCache>
                <c:formatCode>"$"#,##0</c:formatCode>
                <c:ptCount val="20"/>
                <c:pt idx="0">
                  <c:v>793260</c:v>
                </c:pt>
                <c:pt idx="1">
                  <c:v>3492750</c:v>
                </c:pt>
                <c:pt idx="2">
                  <c:v>1332092.3076923077</c:v>
                </c:pt>
                <c:pt idx="3">
                  <c:v>2174504</c:v>
                </c:pt>
                <c:pt idx="4">
                  <c:v>2571777.777777778</c:v>
                </c:pt>
                <c:pt idx="5">
                  <c:v>2103350</c:v>
                </c:pt>
                <c:pt idx="6">
                  <c:v>3543909.111111111</c:v>
                </c:pt>
                <c:pt idx="7">
                  <c:v>2137976.7245454546</c:v>
                </c:pt>
                <c:pt idx="8">
                  <c:v>3503000</c:v>
                </c:pt>
                <c:pt idx="9">
                  <c:v>1501953.4883720931</c:v>
                </c:pt>
                <c:pt idx="10">
                  <c:v>1787346.1538461538</c:v>
                </c:pt>
                <c:pt idx="11">
                  <c:v>1370341.6666666667</c:v>
                </c:pt>
                <c:pt idx="12">
                  <c:v>2988090</c:v>
                </c:pt>
                <c:pt idx="13">
                  <c:v>1846948.6849999998</c:v>
                </c:pt>
                <c:pt idx="14">
                  <c:v>2533268.3181818184</c:v>
                </c:pt>
                <c:pt idx="15">
                  <c:v>1443836.3636363635</c:v>
                </c:pt>
                <c:pt idx="16">
                  <c:v>1935000</c:v>
                </c:pt>
                <c:pt idx="17">
                  <c:v>2062104.7627272727</c:v>
                </c:pt>
                <c:pt idx="18">
                  <c:v>1651222.2222222222</c:v>
                </c:pt>
                <c:pt idx="19">
                  <c:v>2037008.6932142857</c:v>
                </c:pt>
              </c:numCache>
            </c:numRef>
          </c:yVal>
          <c:smooth val="0"/>
        </c:ser>
        <c:ser>
          <c:idx val="1"/>
          <c:order val="1"/>
          <c:tx>
            <c:v>795</c:v>
          </c:tx>
          <c:spPr>
            <a:ln w="28575">
              <a:noFill/>
            </a:ln>
          </c:spPr>
          <c:marker>
            <c:symbol val="circle"/>
            <c:size val="4"/>
          </c:marker>
          <c:xVal>
            <c:numRef>
              <c:f>'2014StudyData'!$C$43:$C$57</c:f>
              <c:numCache>
                <c:formatCode>yyyy-mm-dd</c:formatCode>
                <c:ptCount val="15"/>
                <c:pt idx="0">
                  <c:v>40324</c:v>
                </c:pt>
                <c:pt idx="1">
                  <c:v>40324</c:v>
                </c:pt>
                <c:pt idx="2">
                  <c:v>40324</c:v>
                </c:pt>
                <c:pt idx="3">
                  <c:v>40822</c:v>
                </c:pt>
                <c:pt idx="4">
                  <c:v>40324</c:v>
                </c:pt>
                <c:pt idx="5">
                  <c:v>40324</c:v>
                </c:pt>
                <c:pt idx="6">
                  <c:v>39933</c:v>
                </c:pt>
                <c:pt idx="7">
                  <c:v>41075</c:v>
                </c:pt>
                <c:pt idx="8">
                  <c:v>41075</c:v>
                </c:pt>
                <c:pt idx="9">
                  <c:v>40822</c:v>
                </c:pt>
                <c:pt idx="10">
                  <c:v>41344</c:v>
                </c:pt>
                <c:pt idx="11">
                  <c:v>41296</c:v>
                </c:pt>
                <c:pt idx="12">
                  <c:v>41299</c:v>
                </c:pt>
                <c:pt idx="13">
                  <c:v>40822</c:v>
                </c:pt>
                <c:pt idx="14">
                  <c:v>41299</c:v>
                </c:pt>
              </c:numCache>
            </c:numRef>
          </c:xVal>
          <c:yVal>
            <c:numRef>
              <c:f>'2014StudyData'!$Q$43:$Q$57</c:f>
              <c:numCache>
                <c:formatCode>"$"#,##0</c:formatCode>
                <c:ptCount val="15"/>
                <c:pt idx="0">
                  <c:v>800098.39883551665</c:v>
                </c:pt>
                <c:pt idx="1">
                  <c:v>786693.06487695745</c:v>
                </c:pt>
                <c:pt idx="2">
                  <c:v>917173.91304347839</c:v>
                </c:pt>
                <c:pt idx="3">
                  <c:v>1980935.6593333331</c:v>
                </c:pt>
                <c:pt idx="4">
                  <c:v>775603.61173814908</c:v>
                </c:pt>
                <c:pt idx="5">
                  <c:v>921196.5</c:v>
                </c:pt>
                <c:pt idx="6">
                  <c:v>1315476.404494382</c:v>
                </c:pt>
                <c:pt idx="7">
                  <c:v>2318325.4541176469</c:v>
                </c:pt>
                <c:pt idx="8">
                  <c:v>2644061.3712195121</c:v>
                </c:pt>
                <c:pt idx="9">
                  <c:v>1925639.6006666666</c:v>
                </c:pt>
                <c:pt idx="10">
                  <c:v>2481422</c:v>
                </c:pt>
                <c:pt idx="11">
                  <c:v>1239325.4655172413</c:v>
                </c:pt>
                <c:pt idx="12">
                  <c:v>1849656.4897959186</c:v>
                </c:pt>
                <c:pt idx="13">
                  <c:v>1894314.6913333333</c:v>
                </c:pt>
                <c:pt idx="14">
                  <c:v>2106840.0610687025</c:v>
                </c:pt>
              </c:numCache>
            </c:numRef>
          </c:yVal>
          <c:smooth val="0"/>
        </c:ser>
        <c:dLbls>
          <c:showLegendKey val="0"/>
          <c:showVal val="0"/>
          <c:showCatName val="0"/>
          <c:showSerName val="0"/>
          <c:showPercent val="0"/>
          <c:showBubbleSize val="0"/>
        </c:dLbls>
        <c:axId val="43341696"/>
        <c:axId val="43343232"/>
      </c:scatterChart>
      <c:valAx>
        <c:axId val="43341696"/>
        <c:scaling>
          <c:orientation val="minMax"/>
        </c:scaling>
        <c:delete val="0"/>
        <c:axPos val="b"/>
        <c:numFmt formatCode="yyyy-mm-dd" sourceLinked="1"/>
        <c:majorTickMark val="out"/>
        <c:minorTickMark val="none"/>
        <c:tickLblPos val="nextTo"/>
        <c:crossAx val="43343232"/>
        <c:crosses val="autoZero"/>
        <c:crossBetween val="midCat"/>
      </c:valAx>
      <c:valAx>
        <c:axId val="43343232"/>
        <c:scaling>
          <c:orientation val="minMax"/>
          <c:max val="4000000"/>
        </c:scaling>
        <c:delete val="0"/>
        <c:axPos val="l"/>
        <c:majorGridlines/>
        <c:numFmt formatCode="&quot;$&quot;#,##0" sourceLinked="1"/>
        <c:majorTickMark val="out"/>
        <c:minorTickMark val="none"/>
        <c:tickLblPos val="nextTo"/>
        <c:crossAx val="43341696"/>
        <c:crosses val="autoZero"/>
        <c:crossBetween val="midCat"/>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by kM</a:t>
            </a:r>
          </a:p>
        </c:rich>
      </c:tx>
      <c:overlay val="1"/>
    </c:title>
    <c:autoTitleDeleted val="0"/>
    <c:plotArea>
      <c:layout/>
      <c:scatterChart>
        <c:scatterStyle val="lineMarker"/>
        <c:varyColors val="0"/>
        <c:ser>
          <c:idx val="0"/>
          <c:order val="0"/>
          <c:tx>
            <c:v>477</c:v>
          </c:tx>
          <c:spPr>
            <a:ln w="28575">
              <a:noFill/>
            </a:ln>
          </c:spPr>
          <c:marker>
            <c:symbol val="diamond"/>
            <c:size val="4"/>
          </c:marker>
          <c:xVal>
            <c:numRef>
              <c:f>'2014StudyData'!$J$66:$J$88</c:f>
              <c:numCache>
                <c:formatCode>General</c:formatCode>
                <c:ptCount val="23"/>
                <c:pt idx="0">
                  <c:v>0.7</c:v>
                </c:pt>
                <c:pt idx="1">
                  <c:v>24</c:v>
                </c:pt>
                <c:pt idx="2">
                  <c:v>14</c:v>
                </c:pt>
                <c:pt idx="3">
                  <c:v>10</c:v>
                </c:pt>
                <c:pt idx="4">
                  <c:v>6.5</c:v>
                </c:pt>
                <c:pt idx="5">
                  <c:v>51</c:v>
                </c:pt>
                <c:pt idx="6">
                  <c:v>4.3</c:v>
                </c:pt>
                <c:pt idx="7">
                  <c:v>7.1</c:v>
                </c:pt>
                <c:pt idx="8">
                  <c:v>17</c:v>
                </c:pt>
                <c:pt idx="9">
                  <c:v>0.4</c:v>
                </c:pt>
                <c:pt idx="10">
                  <c:v>2</c:v>
                </c:pt>
                <c:pt idx="11">
                  <c:v>7</c:v>
                </c:pt>
                <c:pt idx="12">
                  <c:v>8</c:v>
                </c:pt>
                <c:pt idx="13">
                  <c:v>1</c:v>
                </c:pt>
                <c:pt idx="14">
                  <c:v>1.6</c:v>
                </c:pt>
                <c:pt idx="15">
                  <c:v>12.2</c:v>
                </c:pt>
                <c:pt idx="16">
                  <c:v>3.5</c:v>
                </c:pt>
                <c:pt idx="17">
                  <c:v>0.5</c:v>
                </c:pt>
                <c:pt idx="18">
                  <c:v>5.0999999999999996</c:v>
                </c:pt>
                <c:pt idx="19">
                  <c:v>3</c:v>
                </c:pt>
                <c:pt idx="20">
                  <c:v>1</c:v>
                </c:pt>
                <c:pt idx="21">
                  <c:v>25</c:v>
                </c:pt>
                <c:pt idx="22">
                  <c:v>0.2</c:v>
                </c:pt>
              </c:numCache>
            </c:numRef>
          </c:xVal>
          <c:yVal>
            <c:numRef>
              <c:f>'2014StudyData'!$Q$66:$Q$88</c:f>
              <c:numCache>
                <c:formatCode>"$"#,##0</c:formatCode>
                <c:ptCount val="23"/>
                <c:pt idx="0">
                  <c:v>1682914.2857142859</c:v>
                </c:pt>
                <c:pt idx="1">
                  <c:v>131387.45833333334</c:v>
                </c:pt>
                <c:pt idx="2">
                  <c:v>429571.42857142858</c:v>
                </c:pt>
                <c:pt idx="3">
                  <c:v>532617.30000000005</c:v>
                </c:pt>
                <c:pt idx="4">
                  <c:v>765684.30769230775</c:v>
                </c:pt>
                <c:pt idx="5">
                  <c:v>369529.4117647059</c:v>
                </c:pt>
                <c:pt idx="6">
                  <c:v>469526.51162790699</c:v>
                </c:pt>
                <c:pt idx="7">
                  <c:v>783323.94366197183</c:v>
                </c:pt>
                <c:pt idx="8">
                  <c:v>346267.35294117645</c:v>
                </c:pt>
                <c:pt idx="9">
                  <c:v>299457.5</c:v>
                </c:pt>
                <c:pt idx="10">
                  <c:v>340993</c:v>
                </c:pt>
                <c:pt idx="11">
                  <c:v>629153.3600000001</c:v>
                </c:pt>
                <c:pt idx="12">
                  <c:v>325259.375</c:v>
                </c:pt>
                <c:pt idx="13">
                  <c:v>624864.24</c:v>
                </c:pt>
                <c:pt idx="14">
                  <c:v>550000</c:v>
                </c:pt>
                <c:pt idx="15">
                  <c:v>283770.49180327868</c:v>
                </c:pt>
                <c:pt idx="16">
                  <c:v>536857.14285714284</c:v>
                </c:pt>
                <c:pt idx="17">
                  <c:v>772816</c:v>
                </c:pt>
                <c:pt idx="18">
                  <c:v>511960.78431372554</c:v>
                </c:pt>
                <c:pt idx="19">
                  <c:v>1479573.3333333333</c:v>
                </c:pt>
                <c:pt idx="20">
                  <c:v>687000</c:v>
                </c:pt>
                <c:pt idx="21">
                  <c:v>575551.99679999996</c:v>
                </c:pt>
                <c:pt idx="22">
                  <c:v>3313200</c:v>
                </c:pt>
              </c:numCache>
            </c:numRef>
          </c:yVal>
          <c:smooth val="0"/>
        </c:ser>
        <c:ser>
          <c:idx val="1"/>
          <c:order val="1"/>
          <c:tx>
            <c:v>266</c:v>
          </c:tx>
          <c:spPr>
            <a:ln w="28575">
              <a:noFill/>
            </a:ln>
          </c:spPr>
          <c:marker>
            <c:symbol val="circle"/>
            <c:size val="4"/>
          </c:marker>
          <c:xVal>
            <c:numRef>
              <c:f>'2014StudyData'!$J$97:$J$139</c:f>
              <c:numCache>
                <c:formatCode>General</c:formatCode>
                <c:ptCount val="43"/>
                <c:pt idx="0">
                  <c:v>0.1</c:v>
                </c:pt>
                <c:pt idx="1">
                  <c:v>1.2</c:v>
                </c:pt>
                <c:pt idx="2">
                  <c:v>0.3</c:v>
                </c:pt>
                <c:pt idx="3">
                  <c:v>3</c:v>
                </c:pt>
                <c:pt idx="4">
                  <c:v>0.5</c:v>
                </c:pt>
                <c:pt idx="5">
                  <c:v>0.5</c:v>
                </c:pt>
                <c:pt idx="6">
                  <c:v>11.2</c:v>
                </c:pt>
                <c:pt idx="7">
                  <c:v>0.05</c:v>
                </c:pt>
                <c:pt idx="8">
                  <c:v>0.05</c:v>
                </c:pt>
                <c:pt idx="9">
                  <c:v>0.1</c:v>
                </c:pt>
                <c:pt idx="10">
                  <c:v>0.1</c:v>
                </c:pt>
                <c:pt idx="11">
                  <c:v>0.5</c:v>
                </c:pt>
                <c:pt idx="12">
                  <c:v>16</c:v>
                </c:pt>
                <c:pt idx="13">
                  <c:v>0.2</c:v>
                </c:pt>
                <c:pt idx="14">
                  <c:v>0.2</c:v>
                </c:pt>
                <c:pt idx="15">
                  <c:v>7</c:v>
                </c:pt>
                <c:pt idx="16">
                  <c:v>2</c:v>
                </c:pt>
                <c:pt idx="17">
                  <c:v>11</c:v>
                </c:pt>
                <c:pt idx="18">
                  <c:v>6.5</c:v>
                </c:pt>
                <c:pt idx="19">
                  <c:v>17</c:v>
                </c:pt>
                <c:pt idx="20">
                  <c:v>0.4</c:v>
                </c:pt>
                <c:pt idx="21">
                  <c:v>105</c:v>
                </c:pt>
                <c:pt idx="22">
                  <c:v>8</c:v>
                </c:pt>
                <c:pt idx="23">
                  <c:v>29</c:v>
                </c:pt>
                <c:pt idx="24">
                  <c:v>9.1999999999999993</c:v>
                </c:pt>
                <c:pt idx="25">
                  <c:v>0.76500000000000001</c:v>
                </c:pt>
                <c:pt idx="26">
                  <c:v>5</c:v>
                </c:pt>
                <c:pt idx="27">
                  <c:v>13</c:v>
                </c:pt>
                <c:pt idx="28">
                  <c:v>106</c:v>
                </c:pt>
                <c:pt idx="29">
                  <c:v>7.5</c:v>
                </c:pt>
                <c:pt idx="30">
                  <c:v>46</c:v>
                </c:pt>
                <c:pt idx="31">
                  <c:v>26</c:v>
                </c:pt>
                <c:pt idx="32">
                  <c:v>4</c:v>
                </c:pt>
                <c:pt idx="33">
                  <c:v>32</c:v>
                </c:pt>
                <c:pt idx="34">
                  <c:v>17</c:v>
                </c:pt>
                <c:pt idx="35">
                  <c:v>0.55000000000000004</c:v>
                </c:pt>
                <c:pt idx="36">
                  <c:v>25</c:v>
                </c:pt>
                <c:pt idx="37">
                  <c:v>5</c:v>
                </c:pt>
                <c:pt idx="38">
                  <c:v>7.5</c:v>
                </c:pt>
                <c:pt idx="39">
                  <c:v>12</c:v>
                </c:pt>
                <c:pt idx="40">
                  <c:v>11</c:v>
                </c:pt>
                <c:pt idx="41">
                  <c:v>21.5</c:v>
                </c:pt>
                <c:pt idx="42">
                  <c:v>4</c:v>
                </c:pt>
              </c:numCache>
            </c:numRef>
          </c:xVal>
          <c:yVal>
            <c:numRef>
              <c:f>'2014StudyData'!$Q$97:$Q$139</c:f>
              <c:numCache>
                <c:formatCode>"$"#,##0</c:formatCode>
                <c:ptCount val="43"/>
                <c:pt idx="0">
                  <c:v>5728800</c:v>
                </c:pt>
                <c:pt idx="1">
                  <c:v>552500</c:v>
                </c:pt>
                <c:pt idx="2">
                  <c:v>693333.33333333337</c:v>
                </c:pt>
                <c:pt idx="3">
                  <c:v>1103000</c:v>
                </c:pt>
                <c:pt idx="4">
                  <c:v>1602114</c:v>
                </c:pt>
                <c:pt idx="5">
                  <c:v>2215642.88</c:v>
                </c:pt>
                <c:pt idx="6">
                  <c:v>284910.71428571432</c:v>
                </c:pt>
                <c:pt idx="7">
                  <c:v>2860000</c:v>
                </c:pt>
                <c:pt idx="8">
                  <c:v>3840000</c:v>
                </c:pt>
                <c:pt idx="9">
                  <c:v>2800000</c:v>
                </c:pt>
                <c:pt idx="10">
                  <c:v>4740000</c:v>
                </c:pt>
                <c:pt idx="11">
                  <c:v>2030000</c:v>
                </c:pt>
                <c:pt idx="12">
                  <c:v>298650</c:v>
                </c:pt>
                <c:pt idx="13">
                  <c:v>1936605</c:v>
                </c:pt>
                <c:pt idx="14">
                  <c:v>1500000</c:v>
                </c:pt>
                <c:pt idx="15">
                  <c:v>211857.14285714287</c:v>
                </c:pt>
                <c:pt idx="16">
                  <c:v>732000</c:v>
                </c:pt>
                <c:pt idx="17">
                  <c:v>265454.54545454547</c:v>
                </c:pt>
                <c:pt idx="18">
                  <c:v>128886.15384615384</c:v>
                </c:pt>
                <c:pt idx="19">
                  <c:v>197721.70588235295</c:v>
                </c:pt>
                <c:pt idx="20">
                  <c:v>1437500</c:v>
                </c:pt>
                <c:pt idx="21">
                  <c:v>345219.04761904763</c:v>
                </c:pt>
                <c:pt idx="22">
                  <c:v>258586</c:v>
                </c:pt>
                <c:pt idx="23">
                  <c:v>258586.20689655171</c:v>
                </c:pt>
                <c:pt idx="24">
                  <c:v>202628.80434782611</c:v>
                </c:pt>
                <c:pt idx="25">
                  <c:v>804869.8562091504</c:v>
                </c:pt>
                <c:pt idx="26">
                  <c:v>285094.59999999998</c:v>
                </c:pt>
                <c:pt idx="27">
                  <c:v>909739.69230769225</c:v>
                </c:pt>
                <c:pt idx="28">
                  <c:v>524490.5660377359</c:v>
                </c:pt>
                <c:pt idx="29">
                  <c:v>288933.33333333331</c:v>
                </c:pt>
                <c:pt idx="30">
                  <c:v>225987.54347826086</c:v>
                </c:pt>
                <c:pt idx="31">
                  <c:v>206615.38461538462</c:v>
                </c:pt>
                <c:pt idx="32">
                  <c:v>229250</c:v>
                </c:pt>
                <c:pt idx="33">
                  <c:v>268906.25</c:v>
                </c:pt>
                <c:pt idx="34">
                  <c:v>191176.4705882353</c:v>
                </c:pt>
                <c:pt idx="35">
                  <c:v>1615690.9090909089</c:v>
                </c:pt>
                <c:pt idx="36">
                  <c:v>162360</c:v>
                </c:pt>
                <c:pt idx="37">
                  <c:v>493526.4</c:v>
                </c:pt>
                <c:pt idx="38">
                  <c:v>166400</c:v>
                </c:pt>
                <c:pt idx="39">
                  <c:v>604462.39333333331</c:v>
                </c:pt>
                <c:pt idx="40">
                  <c:v>203909.09090909091</c:v>
                </c:pt>
                <c:pt idx="41">
                  <c:v>553353.48837209307</c:v>
                </c:pt>
                <c:pt idx="42">
                  <c:v>404250</c:v>
                </c:pt>
              </c:numCache>
            </c:numRef>
          </c:yVal>
          <c:smooth val="0"/>
        </c:ser>
        <c:dLbls>
          <c:showLegendKey val="0"/>
          <c:showVal val="0"/>
          <c:showCatName val="0"/>
          <c:showSerName val="0"/>
          <c:showPercent val="0"/>
          <c:showBubbleSize val="0"/>
        </c:dLbls>
        <c:axId val="43376640"/>
        <c:axId val="43378176"/>
      </c:scatterChart>
      <c:valAx>
        <c:axId val="43376640"/>
        <c:scaling>
          <c:orientation val="minMax"/>
        </c:scaling>
        <c:delete val="0"/>
        <c:axPos val="b"/>
        <c:numFmt formatCode="General" sourceLinked="1"/>
        <c:majorTickMark val="out"/>
        <c:minorTickMark val="none"/>
        <c:tickLblPos val="nextTo"/>
        <c:crossAx val="43378176"/>
        <c:crosses val="autoZero"/>
        <c:crossBetween val="midCat"/>
      </c:valAx>
      <c:valAx>
        <c:axId val="43378176"/>
        <c:scaling>
          <c:orientation val="minMax"/>
          <c:max val="4000000"/>
        </c:scaling>
        <c:delete val="0"/>
        <c:axPos val="l"/>
        <c:majorGridlines/>
        <c:numFmt formatCode="&quot;$&quot;#,##0" sourceLinked="1"/>
        <c:majorTickMark val="out"/>
        <c:minorTickMark val="none"/>
        <c:tickLblPos val="nextTo"/>
        <c:crossAx val="4337664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1.xml"/><Relationship Id="rId4"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5</xdr:col>
      <xdr:colOff>91567</xdr:colOff>
      <xdr:row>5</xdr:row>
      <xdr:rowOff>32017</xdr:rowOff>
    </xdr:from>
    <xdr:to>
      <xdr:col>9</xdr:col>
      <xdr:colOff>1591235</xdr:colOff>
      <xdr:row>21</xdr:row>
      <xdr:rowOff>145679</xdr:rowOff>
    </xdr:to>
    <xdr:graphicFrame macro="">
      <xdr:nvGraphicFramePr>
        <xdr:cNvPr id="145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190500</xdr:colOff>
      <xdr:row>44</xdr:row>
      <xdr:rowOff>88448</xdr:rowOff>
    </xdr:from>
    <xdr:to>
      <xdr:col>9</xdr:col>
      <xdr:colOff>2212521</xdr:colOff>
      <xdr:row>59</xdr:row>
      <xdr:rowOff>70512</xdr:rowOff>
    </xdr:to>
    <xdr:graphicFrame macro="">
      <xdr:nvGraphicFramePr>
        <xdr:cNvPr id="145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1566662</xdr:colOff>
      <xdr:row>77</xdr:row>
      <xdr:rowOff>102553</xdr:rowOff>
    </xdr:from>
    <xdr:to>
      <xdr:col>9</xdr:col>
      <xdr:colOff>1879626</xdr:colOff>
      <xdr:row>90</xdr:row>
      <xdr:rowOff>133350</xdr:rowOff>
    </xdr:to>
    <xdr:graphicFrame macro="">
      <xdr:nvGraphicFramePr>
        <xdr:cNvPr id="1452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99652</xdr:colOff>
      <xdr:row>61</xdr:row>
      <xdr:rowOff>15288</xdr:rowOff>
    </xdr:from>
    <xdr:to>
      <xdr:col>9</xdr:col>
      <xdr:colOff>1890352</xdr:colOff>
      <xdr:row>76</xdr:row>
      <xdr:rowOff>164328</xdr:rowOff>
    </xdr:to>
    <xdr:graphicFrame macro="">
      <xdr:nvGraphicFramePr>
        <xdr:cNvPr id="1452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1807511</xdr:colOff>
      <xdr:row>93</xdr:row>
      <xdr:rowOff>37777</xdr:rowOff>
    </xdr:from>
    <xdr:to>
      <xdr:col>9</xdr:col>
      <xdr:colOff>1810790</xdr:colOff>
      <xdr:row>110</xdr:row>
      <xdr:rowOff>98451</xdr:rowOff>
    </xdr:to>
    <xdr:graphicFrame macro="">
      <xdr:nvGraphicFramePr>
        <xdr:cNvPr id="1452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122703</xdr:colOff>
      <xdr:row>23</xdr:row>
      <xdr:rowOff>25775</xdr:rowOff>
    </xdr:from>
    <xdr:to>
      <xdr:col>9</xdr:col>
      <xdr:colOff>1725465</xdr:colOff>
      <xdr:row>39</xdr:row>
      <xdr:rowOff>137833</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261257</xdr:colOff>
      <xdr:row>62</xdr:row>
      <xdr:rowOff>21771</xdr:rowOff>
    </xdr:from>
    <xdr:to>
      <xdr:col>12</xdr:col>
      <xdr:colOff>381001</xdr:colOff>
      <xdr:row>77</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18</xdr:col>
      <xdr:colOff>30480</xdr:colOff>
      <xdr:row>23</xdr:row>
      <xdr:rowOff>0</xdr:rowOff>
    </xdr:from>
    <xdr:to>
      <xdr:col>23</xdr:col>
      <xdr:colOff>411480</xdr:colOff>
      <xdr:row>37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38</xdr:row>
      <xdr:rowOff>0</xdr:rowOff>
    </xdr:from>
    <xdr:to>
      <xdr:col>23</xdr:col>
      <xdr:colOff>381000</xdr:colOff>
      <xdr:row>52</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30480</xdr:colOff>
      <xdr:row>79</xdr:row>
      <xdr:rowOff>0</xdr:rowOff>
    </xdr:from>
    <xdr:to>
      <xdr:col>23</xdr:col>
      <xdr:colOff>411480</xdr:colOff>
      <xdr:row>93</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94</xdr:row>
      <xdr:rowOff>0</xdr:rowOff>
    </xdr:from>
    <xdr:to>
      <xdr:col>23</xdr:col>
      <xdr:colOff>381000</xdr:colOff>
      <xdr:row>108</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0</xdr:colOff>
      <xdr:row>79</xdr:row>
      <xdr:rowOff>0</xdr:rowOff>
    </xdr:from>
    <xdr:to>
      <xdr:col>29</xdr:col>
      <xdr:colOff>381000</xdr:colOff>
      <xdr:row>93</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95249</xdr:colOff>
      <xdr:row>2</xdr:row>
      <xdr:rowOff>104775</xdr:rowOff>
    </xdr:from>
    <xdr:to>
      <xdr:col>9</xdr:col>
      <xdr:colOff>1266824</xdr:colOff>
      <xdr:row>14</xdr:row>
      <xdr:rowOff>152400</xdr:rowOff>
    </xdr:to>
    <xdr:sp macro="" textlink="">
      <xdr:nvSpPr>
        <xdr:cNvPr id="2" name="TextBox 1"/>
        <xdr:cNvSpPr txBox="1"/>
      </xdr:nvSpPr>
      <xdr:spPr>
        <a:xfrm>
          <a:off x="6336029" y="455295"/>
          <a:ext cx="7610475" cy="21507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Book Antiqua" pitchFamily="18" charset="0"/>
              <a:ea typeface="+mn-ea"/>
              <a:cs typeface="+mn-cs"/>
            </a:rPr>
            <a:t>A test case was analyzed for a 240 kV transmission line comparing the minimum system conductor to the optimal system conductor, in order to demonstrate that it is reasonable for a TFO to be comparing the minimum and optimal conductor sizes. The capital costs of both lines were added to the losses, and the two were compared. </a:t>
          </a:r>
        </a:p>
        <a:p>
          <a:endParaRPr lang="en-US" sz="1100">
            <a:latin typeface="Book Antiqua" pitchFamily="18" charset="0"/>
          </a:endParaRPr>
        </a:p>
        <a:p>
          <a:r>
            <a:rPr lang="en-US" sz="1100">
              <a:latin typeface="Book Antiqua" pitchFamily="18" charset="0"/>
            </a:rPr>
            <a:t>Assumption Sources: </a:t>
          </a:r>
          <a:r>
            <a:rPr lang="en-US" sz="1100">
              <a:solidFill>
                <a:schemeClr val="dk1"/>
              </a:solidFill>
              <a:effectLst/>
              <a:latin typeface="Book Antiqua" pitchFamily="18" charset="0"/>
              <a:ea typeface="+mn-ea"/>
              <a:cs typeface="+mn-cs"/>
            </a:rPr>
            <a:t> </a:t>
          </a:r>
        </a:p>
        <a:p>
          <a:r>
            <a:rPr lang="en-US" sz="1100">
              <a:solidFill>
                <a:schemeClr val="dk1"/>
              </a:solidFill>
              <a:effectLst/>
              <a:latin typeface="Book Antiqua" pitchFamily="18" charset="0"/>
              <a:ea typeface="+mn-ea"/>
              <a:cs typeface="+mn-cs"/>
            </a:rPr>
            <a:t>“AltaLink 2013-2014 General Tariff Application, Appendix 8 – Depreciation Study” dated July 30, 2012 was the basis for the life of the conductors.</a:t>
          </a:r>
          <a:endParaRPr lang="en-US">
            <a:effectLst/>
            <a:latin typeface="Book Antiqua" pitchFamily="18" charset="0"/>
          </a:endParaRPr>
        </a:p>
        <a:p>
          <a:r>
            <a:rPr lang="en-US" sz="1100">
              <a:solidFill>
                <a:schemeClr val="dk1"/>
              </a:solidFill>
              <a:effectLst/>
              <a:latin typeface="Book Antiqua" pitchFamily="18" charset="0"/>
              <a:ea typeface="+mn-ea"/>
              <a:cs typeface="+mn-cs"/>
            </a:rPr>
            <a:t>   “Chase Power Fundamental Report for the Alberta Energy Industry” dated June 10, 2013 was used as the basis for determining the average lifetime energy costs used in the test case. </a:t>
          </a:r>
          <a:endParaRPr lang="en-US">
            <a:effectLst/>
            <a:latin typeface="Book Antiqua" pitchFamily="18" charset="0"/>
          </a:endParaRPr>
        </a:p>
        <a:p>
          <a:r>
            <a:rPr lang="en-US" sz="1100">
              <a:solidFill>
                <a:schemeClr val="dk1"/>
              </a:solidFill>
              <a:effectLst/>
              <a:latin typeface="Book Antiqua" pitchFamily="18" charset="0"/>
              <a:ea typeface="+mn-ea"/>
              <a:cs typeface="+mn-cs"/>
            </a:rPr>
            <a:t>   AESO document “Information Document Discount Rates for 2011 Tariff ID No. 2011-115T” dated October 7, 2011 was used as the basis for the discount rate.</a:t>
          </a:r>
          <a:endParaRPr lang="en-US">
            <a:effectLst/>
            <a:latin typeface="Book Antiqua" pitchFamily="18" charset="0"/>
          </a:endParaRPr>
        </a:p>
        <a:p>
          <a:endParaRPr lang="en-US" sz="1100">
            <a:latin typeface="Book Antiqua"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99060</xdr:colOff>
      <xdr:row>23</xdr:row>
      <xdr:rowOff>95250</xdr:rowOff>
    </xdr:from>
    <xdr:to>
      <xdr:col>32</xdr:col>
      <xdr:colOff>403860</xdr:colOff>
      <xdr:row>39</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106680</xdr:colOff>
      <xdr:row>40</xdr:row>
      <xdr:rowOff>22860</xdr:rowOff>
    </xdr:from>
    <xdr:to>
      <xdr:col>32</xdr:col>
      <xdr:colOff>411480</xdr:colOff>
      <xdr:row>56</xdr:row>
      <xdr:rowOff>22860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68580</xdr:colOff>
      <xdr:row>56</xdr:row>
      <xdr:rowOff>160020</xdr:rowOff>
    </xdr:from>
    <xdr:to>
      <xdr:col>32</xdr:col>
      <xdr:colOff>373380</xdr:colOff>
      <xdr:row>72</xdr:row>
      <xdr:rowOff>160020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150223</xdr:colOff>
      <xdr:row>151</xdr:row>
      <xdr:rowOff>32658</xdr:rowOff>
    </xdr:from>
    <xdr:to>
      <xdr:col>32</xdr:col>
      <xdr:colOff>455023</xdr:colOff>
      <xdr:row>166</xdr:row>
      <xdr:rowOff>32658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125186</xdr:colOff>
      <xdr:row>167</xdr:row>
      <xdr:rowOff>10884</xdr:rowOff>
    </xdr:from>
    <xdr:to>
      <xdr:col>32</xdr:col>
      <xdr:colOff>429986</xdr:colOff>
      <xdr:row>180</xdr:row>
      <xdr:rowOff>23403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141514</xdr:colOff>
      <xdr:row>181</xdr:row>
      <xdr:rowOff>97426</xdr:rowOff>
    </xdr:from>
    <xdr:to>
      <xdr:col>32</xdr:col>
      <xdr:colOff>446314</xdr:colOff>
      <xdr:row>196</xdr:row>
      <xdr:rowOff>97426</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91567</xdr:colOff>
      <xdr:row>5</xdr:row>
      <xdr:rowOff>32017</xdr:rowOff>
    </xdr:from>
    <xdr:to>
      <xdr:col>9</xdr:col>
      <xdr:colOff>1591235</xdr:colOff>
      <xdr:row>21</xdr:row>
      <xdr:rowOff>145679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190500</xdr:colOff>
      <xdr:row>44</xdr:row>
      <xdr:rowOff>88448</xdr:rowOff>
    </xdr:from>
    <xdr:to>
      <xdr:col>9</xdr:col>
      <xdr:colOff>2212521</xdr:colOff>
      <xdr:row>59</xdr:row>
      <xdr:rowOff>70512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414137</xdr:colOff>
      <xdr:row>77</xdr:row>
      <xdr:rowOff>83503</xdr:rowOff>
    </xdr:from>
    <xdr:to>
      <xdr:col>10</xdr:col>
      <xdr:colOff>250851</xdr:colOff>
      <xdr:row>90</xdr:row>
      <xdr:rowOff>114300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99652</xdr:colOff>
      <xdr:row>61</xdr:row>
      <xdr:rowOff>15288</xdr:rowOff>
    </xdr:from>
    <xdr:to>
      <xdr:col>9</xdr:col>
      <xdr:colOff>1890352</xdr:colOff>
      <xdr:row>76</xdr:row>
      <xdr:rowOff>164328</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1807511</xdr:colOff>
      <xdr:row>93</xdr:row>
      <xdr:rowOff>37777</xdr:rowOff>
    </xdr:from>
    <xdr:to>
      <xdr:col>9</xdr:col>
      <xdr:colOff>1810790</xdr:colOff>
      <xdr:row>110</xdr:row>
      <xdr:rowOff>98451</xdr:rowOff>
    </xdr:to>
    <xdr:graphicFrame macro="">
      <xdr:nvGraphicFramePr>
        <xdr:cNvPr id="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122703</xdr:colOff>
      <xdr:row>23</xdr:row>
      <xdr:rowOff>25775</xdr:rowOff>
    </xdr:from>
    <xdr:to>
      <xdr:col>9</xdr:col>
      <xdr:colOff>1725465</xdr:colOff>
      <xdr:row>39</xdr:row>
      <xdr:rowOff>137833</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95249</xdr:colOff>
      <xdr:row>2</xdr:row>
      <xdr:rowOff>104775</xdr:rowOff>
    </xdr:from>
    <xdr:to>
      <xdr:col>9</xdr:col>
      <xdr:colOff>1266824</xdr:colOff>
      <xdr:row>14</xdr:row>
      <xdr:rowOff>152400</xdr:rowOff>
    </xdr:to>
    <xdr:sp macro="" textlink="">
      <xdr:nvSpPr>
        <xdr:cNvPr id="2" name="TextBox 1"/>
        <xdr:cNvSpPr txBox="1"/>
      </xdr:nvSpPr>
      <xdr:spPr>
        <a:xfrm>
          <a:off x="6336029" y="455295"/>
          <a:ext cx="7610475" cy="21507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Book Antiqua" pitchFamily="18" charset="0"/>
              <a:ea typeface="+mn-ea"/>
              <a:cs typeface="+mn-cs"/>
            </a:rPr>
            <a:t>A test case was analyzed for a 240 kV transmission line comparing the minimum system conductor to the optimal system conductor, in order to demonstrate that it is reasonable for a TFO to be comparing the minimum and optimal conductor sizes. The capital costs of both lines were added to the losses, and the two were compared. </a:t>
          </a:r>
        </a:p>
        <a:p>
          <a:endParaRPr lang="en-US" sz="1100">
            <a:latin typeface="Book Antiqua" pitchFamily="18" charset="0"/>
          </a:endParaRPr>
        </a:p>
        <a:p>
          <a:r>
            <a:rPr lang="en-US" sz="1100">
              <a:latin typeface="Book Antiqua" pitchFamily="18" charset="0"/>
            </a:rPr>
            <a:t>Assumption Sources: </a:t>
          </a:r>
          <a:r>
            <a:rPr lang="en-US" sz="1100">
              <a:solidFill>
                <a:schemeClr val="dk1"/>
              </a:solidFill>
              <a:effectLst/>
              <a:latin typeface="Book Antiqua" pitchFamily="18" charset="0"/>
              <a:ea typeface="+mn-ea"/>
              <a:cs typeface="+mn-cs"/>
            </a:rPr>
            <a:t> </a:t>
          </a:r>
        </a:p>
        <a:p>
          <a:r>
            <a:rPr lang="en-US" sz="1100">
              <a:solidFill>
                <a:schemeClr val="dk1"/>
              </a:solidFill>
              <a:effectLst/>
              <a:latin typeface="Book Antiqua" pitchFamily="18" charset="0"/>
              <a:ea typeface="+mn-ea"/>
              <a:cs typeface="+mn-cs"/>
            </a:rPr>
            <a:t>“AltaLink 2013-2014 General Tariff Application, Appendix 8 – Depreciation Study” dated July 30, 2012 was the basis for the life of the conductors.</a:t>
          </a:r>
          <a:endParaRPr lang="en-US">
            <a:effectLst/>
            <a:latin typeface="Book Antiqua" pitchFamily="18" charset="0"/>
          </a:endParaRPr>
        </a:p>
        <a:p>
          <a:r>
            <a:rPr lang="en-US" sz="1100">
              <a:solidFill>
                <a:schemeClr val="dk1"/>
              </a:solidFill>
              <a:effectLst/>
              <a:latin typeface="Book Antiqua" pitchFamily="18" charset="0"/>
              <a:ea typeface="+mn-ea"/>
              <a:cs typeface="+mn-cs"/>
            </a:rPr>
            <a:t>   “Chase Power Fundamental Report for the Alberta Energy Industry” dated June 10, 2013 was used as the basis for determining the average lifetime energy costs used in the test case. </a:t>
          </a:r>
          <a:endParaRPr lang="en-US">
            <a:effectLst/>
            <a:latin typeface="Book Antiqua" pitchFamily="18" charset="0"/>
          </a:endParaRPr>
        </a:p>
        <a:p>
          <a:r>
            <a:rPr lang="en-US" sz="1100">
              <a:solidFill>
                <a:schemeClr val="dk1"/>
              </a:solidFill>
              <a:effectLst/>
              <a:latin typeface="Book Antiqua" pitchFamily="18" charset="0"/>
              <a:ea typeface="+mn-ea"/>
              <a:cs typeface="+mn-cs"/>
            </a:rPr>
            <a:t>   AESO document “Information Document Discount Rates for 2011 Tariff ID No. 2011-115T” dated October 7, 2011 was used as the basis for the discount rate.</a:t>
          </a:r>
          <a:endParaRPr lang="en-US">
            <a:effectLst/>
            <a:latin typeface="Book Antiqua" pitchFamily="18" charset="0"/>
          </a:endParaRPr>
        </a:p>
        <a:p>
          <a:endParaRPr lang="en-US" sz="1100">
            <a:latin typeface="Book Antiqua"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361950</xdr:colOff>
      <xdr:row>3</xdr:row>
      <xdr:rowOff>9524</xdr:rowOff>
    </xdr:from>
    <xdr:to>
      <xdr:col>13</xdr:col>
      <xdr:colOff>457200</xdr:colOff>
      <xdr:row>29</xdr:row>
      <xdr:rowOff>85724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213179</xdr:colOff>
      <xdr:row>7</xdr:row>
      <xdr:rowOff>146957</xdr:rowOff>
    </xdr:from>
    <xdr:to>
      <xdr:col>21</xdr:col>
      <xdr:colOff>187326</xdr:colOff>
      <xdr:row>23</xdr:row>
      <xdr:rowOff>138792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261257</xdr:colOff>
      <xdr:row>38</xdr:row>
      <xdr:rowOff>63500</xdr:rowOff>
    </xdr:from>
    <xdr:to>
      <xdr:col>21</xdr:col>
      <xdr:colOff>553358</xdr:colOff>
      <xdr:row>48</xdr:row>
      <xdr:rowOff>87085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259442</xdr:colOff>
      <xdr:row>48</xdr:row>
      <xdr:rowOff>163285</xdr:rowOff>
    </xdr:from>
    <xdr:to>
      <xdr:col>22</xdr:col>
      <xdr:colOff>172356</xdr:colOff>
      <xdr:row>60</xdr:row>
      <xdr:rowOff>2721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250824</xdr:colOff>
      <xdr:row>25</xdr:row>
      <xdr:rowOff>39460</xdr:rowOff>
    </xdr:from>
    <xdr:to>
      <xdr:col>21</xdr:col>
      <xdr:colOff>263071</xdr:colOff>
      <xdr:row>37</xdr:row>
      <xdr:rowOff>83911</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73025</xdr:colOff>
      <xdr:row>32</xdr:row>
      <xdr:rowOff>150880</xdr:rowOff>
    </xdr:from>
    <xdr:to>
      <xdr:col>20</xdr:col>
      <xdr:colOff>227772</xdr:colOff>
      <xdr:row>34</xdr:row>
      <xdr:rowOff>21770</xdr:rowOff>
    </xdr:to>
    <xdr:sp macro="" textlink="">
      <xdr:nvSpPr>
        <xdr:cNvPr id="7" name="TextBox 6"/>
        <xdr:cNvSpPr txBox="1"/>
      </xdr:nvSpPr>
      <xdr:spPr>
        <a:xfrm>
          <a:off x="18513425" y="5071223"/>
          <a:ext cx="775233" cy="2192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latin typeface="Book Antiqua" pitchFamily="18" charset="0"/>
            </a:rPr>
            <a:t>Forecast</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0.70882</cdr:x>
      <cdr:y>0.11773</cdr:y>
    </cdr:from>
    <cdr:to>
      <cdr:x>0.71227</cdr:x>
      <cdr:y>0.89551</cdr:y>
    </cdr:to>
    <cdr:cxnSp macro="">
      <cdr:nvCxnSpPr>
        <cdr:cNvPr id="3" name="Straight Connector 2"/>
        <cdr:cNvCxnSpPr/>
      </cdr:nvCxnSpPr>
      <cdr:spPr>
        <a:xfrm xmlns:a="http://schemas.openxmlformats.org/drawingml/2006/main" flipV="1">
          <a:off x="3439728" y="309784"/>
          <a:ext cx="16742" cy="2046639"/>
        </a:xfrm>
        <a:prstGeom xmlns:a="http://schemas.openxmlformats.org/drawingml/2006/main" prst="line">
          <a:avLst/>
        </a:prstGeom>
        <a:ln xmlns:a="http://schemas.openxmlformats.org/drawingml/2006/main" w="15875">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0.9601</cdr:x>
      <cdr:y>0.11921</cdr:y>
    </cdr:from>
    <cdr:to>
      <cdr:x>0.96355</cdr:x>
      <cdr:y>0.89699</cdr:y>
    </cdr:to>
    <cdr:cxnSp macro="">
      <cdr:nvCxnSpPr>
        <cdr:cNvPr id="4" name="Straight Connector 3"/>
        <cdr:cNvCxnSpPr/>
      </cdr:nvCxnSpPr>
      <cdr:spPr>
        <a:xfrm xmlns:a="http://schemas.openxmlformats.org/drawingml/2006/main" flipV="1">
          <a:off x="4659164" y="313687"/>
          <a:ext cx="16743" cy="2046639"/>
        </a:xfrm>
        <a:prstGeom xmlns:a="http://schemas.openxmlformats.org/drawingml/2006/main" prst="line">
          <a:avLst/>
        </a:prstGeom>
        <a:ln xmlns:a="http://schemas.openxmlformats.org/drawingml/2006/main" w="15875">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My%20Documents/AESO/2004%20Cost%20of%20Service%20Study/Final%20Report/Alberta%20TA%20Physical%20Info%200311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y%20Documents/AESO/2004%20Cost%20of%20Service%20Study/2004%20Work/Cost%20of%20Service%20Study/040527%202002%20Alberta%20Electric%20Transmission%20Faciliti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verload POD"/>
      <sheetName val="Total AESO List"/>
      <sheetName val="POD"/>
      <sheetName val="Tertiary Tx"/>
      <sheetName val="System Tx"/>
      <sheetName val="POS"/>
      <sheetName val="Line Data"/>
      <sheetName val="Line Raw"/>
      <sheetName val="Sum"/>
      <sheetName val="Alberta"/>
    </sheetNames>
    <sheetDataSet>
      <sheetData sheetId="0"/>
      <sheetData sheetId="1"/>
      <sheetData sheetId="2"/>
      <sheetData sheetId="3">
        <row r="2">
          <cell r="A2" t="str">
            <v>107S</v>
          </cell>
          <cell r="B2" t="str">
            <v>0000010701</v>
          </cell>
          <cell r="C2">
            <v>15</v>
          </cell>
          <cell r="D2">
            <v>138</v>
          </cell>
          <cell r="E2">
            <v>25</v>
          </cell>
          <cell r="F2">
            <v>1</v>
          </cell>
          <cell r="G2">
            <v>13.33</v>
          </cell>
          <cell r="H2" t="str">
            <v>Summer</v>
          </cell>
          <cell r="J2">
            <v>1522760.7361963175</v>
          </cell>
          <cell r="K2">
            <v>0</v>
          </cell>
          <cell r="L2">
            <v>285000</v>
          </cell>
          <cell r="M2">
            <v>1807760.7361963175</v>
          </cell>
        </row>
        <row r="3">
          <cell r="A3" t="str">
            <v>111S</v>
          </cell>
          <cell r="B3" t="str">
            <v>LETH111S</v>
          </cell>
          <cell r="C3">
            <v>78</v>
          </cell>
          <cell r="D3">
            <v>138</v>
          </cell>
          <cell r="E3">
            <v>13.8</v>
          </cell>
          <cell r="F3">
            <v>3</v>
          </cell>
          <cell r="G3">
            <v>37.028400000000005</v>
          </cell>
          <cell r="H3" t="str">
            <v>Winter</v>
          </cell>
          <cell r="J3">
            <v>1522760.7361963175</v>
          </cell>
          <cell r="K3">
            <v>0</v>
          </cell>
          <cell r="L3">
            <v>1482000</v>
          </cell>
          <cell r="M3">
            <v>3004760.7361963177</v>
          </cell>
        </row>
        <row r="4">
          <cell r="A4" t="str">
            <v>115S</v>
          </cell>
          <cell r="B4" t="str">
            <v>0000011501</v>
          </cell>
          <cell r="C4">
            <v>12.1</v>
          </cell>
          <cell r="D4">
            <v>138</v>
          </cell>
          <cell r="E4">
            <v>25</v>
          </cell>
          <cell r="F4">
            <v>2</v>
          </cell>
          <cell r="G4">
            <v>6.6740000000000004</v>
          </cell>
          <cell r="H4" t="str">
            <v>Fall</v>
          </cell>
          <cell r="J4">
            <v>1522760.7361963175</v>
          </cell>
          <cell r="K4">
            <v>0</v>
          </cell>
          <cell r="L4">
            <v>229900</v>
          </cell>
          <cell r="M4">
            <v>1752660.7361963175</v>
          </cell>
        </row>
        <row r="5">
          <cell r="A5" t="str">
            <v>118S</v>
          </cell>
          <cell r="B5" t="str">
            <v>0000011801</v>
          </cell>
          <cell r="C5">
            <v>15</v>
          </cell>
          <cell r="D5">
            <v>138</v>
          </cell>
          <cell r="E5">
            <v>25</v>
          </cell>
          <cell r="F5">
            <v>1</v>
          </cell>
          <cell r="G5">
            <v>19.822400000000002</v>
          </cell>
          <cell r="H5" t="str">
            <v>Summer</v>
          </cell>
          <cell r="J5">
            <v>1522760.7361963175</v>
          </cell>
          <cell r="K5">
            <v>0</v>
          </cell>
          <cell r="L5">
            <v>285000</v>
          </cell>
          <cell r="M5">
            <v>1807760.7361963175</v>
          </cell>
        </row>
        <row r="6">
          <cell r="A6" t="str">
            <v>121S</v>
          </cell>
          <cell r="B6" t="str">
            <v>0000012101</v>
          </cell>
          <cell r="C6">
            <v>50</v>
          </cell>
          <cell r="D6">
            <v>138</v>
          </cell>
          <cell r="E6">
            <v>25</v>
          </cell>
          <cell r="F6">
            <v>2</v>
          </cell>
          <cell r="G6">
            <v>31.650400000000001</v>
          </cell>
          <cell r="H6" t="str">
            <v>Summer</v>
          </cell>
          <cell r="J6">
            <v>1522760.7361963175</v>
          </cell>
          <cell r="K6">
            <v>0</v>
          </cell>
          <cell r="L6">
            <v>950000</v>
          </cell>
          <cell r="M6">
            <v>2472760.7361963177</v>
          </cell>
        </row>
        <row r="7">
          <cell r="A7" t="str">
            <v>122S</v>
          </cell>
          <cell r="B7" t="str">
            <v>0000012201</v>
          </cell>
          <cell r="C7">
            <v>135</v>
          </cell>
          <cell r="D7">
            <v>240</v>
          </cell>
          <cell r="E7">
            <v>13.8</v>
          </cell>
          <cell r="F7">
            <v>3</v>
          </cell>
          <cell r="G7">
            <v>123.896</v>
          </cell>
          <cell r="H7" t="str">
            <v>Summer</v>
          </cell>
          <cell r="J7">
            <v>2257760.7361963177</v>
          </cell>
          <cell r="K7">
            <v>0</v>
          </cell>
          <cell r="L7">
            <v>2565000</v>
          </cell>
          <cell r="M7">
            <v>4822760.7361963177</v>
          </cell>
        </row>
        <row r="8">
          <cell r="A8" t="str">
            <v>123S</v>
          </cell>
          <cell r="B8" t="str">
            <v>0000012301</v>
          </cell>
          <cell r="C8">
            <v>20</v>
          </cell>
          <cell r="D8">
            <v>69</v>
          </cell>
          <cell r="E8">
            <v>25</v>
          </cell>
          <cell r="F8">
            <v>2</v>
          </cell>
          <cell r="G8">
            <v>20.100000000000001</v>
          </cell>
          <cell r="H8" t="str">
            <v>Winter</v>
          </cell>
          <cell r="J8">
            <v>787760.73619631748</v>
          </cell>
          <cell r="K8">
            <v>0</v>
          </cell>
          <cell r="L8">
            <v>380000</v>
          </cell>
          <cell r="M8">
            <v>1167760.7361963175</v>
          </cell>
        </row>
        <row r="9">
          <cell r="A9" t="str">
            <v>123S</v>
          </cell>
          <cell r="B9" t="str">
            <v>0000012301</v>
          </cell>
          <cell r="C9">
            <v>25</v>
          </cell>
          <cell r="D9">
            <v>138</v>
          </cell>
          <cell r="E9">
            <v>25</v>
          </cell>
          <cell r="F9">
            <v>1</v>
          </cell>
          <cell r="G9">
            <v>20.100000000000001</v>
          </cell>
          <cell r="H9" t="str">
            <v>Winter</v>
          </cell>
          <cell r="J9">
            <v>1522760.7361963175</v>
          </cell>
          <cell r="K9">
            <v>0</v>
          </cell>
          <cell r="L9">
            <v>475000</v>
          </cell>
          <cell r="M9">
            <v>1997760.7361963175</v>
          </cell>
        </row>
        <row r="10">
          <cell r="A10" t="str">
            <v>127S</v>
          </cell>
          <cell r="B10" t="str">
            <v>0000012701</v>
          </cell>
          <cell r="C10">
            <v>15</v>
          </cell>
          <cell r="D10">
            <v>138</v>
          </cell>
          <cell r="E10">
            <v>25</v>
          </cell>
          <cell r="F10">
            <v>1</v>
          </cell>
          <cell r="G10">
            <v>22.154</v>
          </cell>
          <cell r="H10" t="str">
            <v>Winter</v>
          </cell>
          <cell r="J10">
            <v>1522760.7361963175</v>
          </cell>
          <cell r="K10">
            <v>0</v>
          </cell>
          <cell r="L10">
            <v>285000</v>
          </cell>
          <cell r="M10">
            <v>1807760.7361963175</v>
          </cell>
        </row>
        <row r="11">
          <cell r="A11" t="str">
            <v>131S</v>
          </cell>
          <cell r="B11" t="str">
            <v>0000013101</v>
          </cell>
          <cell r="C11">
            <v>25</v>
          </cell>
          <cell r="D11">
            <v>69</v>
          </cell>
          <cell r="E11">
            <v>25</v>
          </cell>
          <cell r="F11">
            <v>2</v>
          </cell>
          <cell r="G11">
            <v>13.08</v>
          </cell>
          <cell r="H11" t="str">
            <v>Winter</v>
          </cell>
          <cell r="J11">
            <v>787760.73619631748</v>
          </cell>
          <cell r="K11">
            <v>0</v>
          </cell>
          <cell r="L11">
            <v>475000</v>
          </cell>
          <cell r="M11">
            <v>1262760.7361963175</v>
          </cell>
        </row>
        <row r="12">
          <cell r="A12" t="str">
            <v>133S</v>
          </cell>
          <cell r="B12" t="str">
            <v>0000013301</v>
          </cell>
          <cell r="C12">
            <v>72</v>
          </cell>
          <cell r="D12">
            <v>138</v>
          </cell>
          <cell r="E12">
            <v>34</v>
          </cell>
          <cell r="F12">
            <v>2</v>
          </cell>
          <cell r="G12">
            <v>438.16480000000001</v>
          </cell>
          <cell r="H12" t="str">
            <v>Summer</v>
          </cell>
          <cell r="J12">
            <v>1522760.7361963175</v>
          </cell>
          <cell r="K12">
            <v>0</v>
          </cell>
          <cell r="L12">
            <v>1368000</v>
          </cell>
          <cell r="M12">
            <v>2890760.7361963177</v>
          </cell>
        </row>
        <row r="13">
          <cell r="A13" t="str">
            <v>135S</v>
          </cell>
          <cell r="B13" t="str">
            <v>0000013501</v>
          </cell>
          <cell r="C13">
            <v>20</v>
          </cell>
          <cell r="D13">
            <v>138</v>
          </cell>
          <cell r="E13">
            <v>25</v>
          </cell>
          <cell r="F13">
            <v>1</v>
          </cell>
          <cell r="G13">
            <v>13.09</v>
          </cell>
          <cell r="H13" t="str">
            <v>Summer</v>
          </cell>
          <cell r="J13">
            <v>1522760.7361963175</v>
          </cell>
          <cell r="K13">
            <v>0</v>
          </cell>
          <cell r="L13">
            <v>380000</v>
          </cell>
          <cell r="M13">
            <v>1902760.7361963175</v>
          </cell>
        </row>
        <row r="14">
          <cell r="A14" t="str">
            <v>137S</v>
          </cell>
          <cell r="B14" t="str">
            <v>0000013701</v>
          </cell>
          <cell r="C14">
            <v>15</v>
          </cell>
          <cell r="D14">
            <v>138</v>
          </cell>
          <cell r="E14">
            <v>25</v>
          </cell>
          <cell r="F14">
            <v>1</v>
          </cell>
          <cell r="G14">
            <v>19.344000000000001</v>
          </cell>
          <cell r="H14" t="str">
            <v>Summer</v>
          </cell>
          <cell r="J14">
            <v>1522760.7361963175</v>
          </cell>
          <cell r="K14">
            <v>0</v>
          </cell>
          <cell r="L14">
            <v>285000</v>
          </cell>
          <cell r="M14">
            <v>1807760.7361963175</v>
          </cell>
        </row>
        <row r="15">
          <cell r="A15" t="str">
            <v>146S</v>
          </cell>
          <cell r="B15" t="str">
            <v>LETH146S</v>
          </cell>
          <cell r="C15">
            <v>36</v>
          </cell>
          <cell r="D15">
            <v>138</v>
          </cell>
          <cell r="E15">
            <v>13.8</v>
          </cell>
          <cell r="F15">
            <v>2</v>
          </cell>
          <cell r="G15">
            <v>27.512800000000002</v>
          </cell>
          <cell r="H15" t="str">
            <v>Summer</v>
          </cell>
          <cell r="J15">
            <v>1522760.7361963175</v>
          </cell>
          <cell r="K15">
            <v>0</v>
          </cell>
          <cell r="L15">
            <v>684000</v>
          </cell>
          <cell r="M15">
            <v>2206760.7361963177</v>
          </cell>
        </row>
        <row r="16">
          <cell r="A16" t="str">
            <v>149S</v>
          </cell>
          <cell r="B16" t="str">
            <v>0000014901</v>
          </cell>
          <cell r="C16">
            <v>50</v>
          </cell>
          <cell r="D16">
            <v>138</v>
          </cell>
          <cell r="E16">
            <v>25</v>
          </cell>
          <cell r="F16">
            <v>2</v>
          </cell>
          <cell r="G16">
            <v>59.126400000000004</v>
          </cell>
          <cell r="H16" t="str">
            <v>Winter</v>
          </cell>
          <cell r="J16">
            <v>1522760.7361963175</v>
          </cell>
          <cell r="K16">
            <v>0</v>
          </cell>
          <cell r="L16">
            <v>950000</v>
          </cell>
          <cell r="M16">
            <v>2472760.7361963177</v>
          </cell>
        </row>
        <row r="17">
          <cell r="A17" t="str">
            <v>14S</v>
          </cell>
          <cell r="B17" t="str">
            <v>0000001401</v>
          </cell>
          <cell r="C17">
            <v>15</v>
          </cell>
          <cell r="D17">
            <v>138</v>
          </cell>
          <cell r="E17">
            <v>25</v>
          </cell>
          <cell r="F17">
            <v>1</v>
          </cell>
          <cell r="G17">
            <v>16.193999999999999</v>
          </cell>
          <cell r="H17" t="str">
            <v>Winter</v>
          </cell>
          <cell r="J17">
            <v>1522760.7361963175</v>
          </cell>
          <cell r="K17">
            <v>0</v>
          </cell>
          <cell r="L17">
            <v>285000</v>
          </cell>
          <cell r="M17">
            <v>1807760.7361963175</v>
          </cell>
        </row>
        <row r="18">
          <cell r="A18" t="str">
            <v>150S</v>
          </cell>
          <cell r="B18" t="str">
            <v>0000015001</v>
          </cell>
          <cell r="C18">
            <v>15</v>
          </cell>
          <cell r="D18">
            <v>138</v>
          </cell>
          <cell r="E18">
            <v>25</v>
          </cell>
          <cell r="F18">
            <v>1</v>
          </cell>
          <cell r="G18">
            <v>9.6008000000000013</v>
          </cell>
          <cell r="H18" t="str">
            <v>Winter</v>
          </cell>
          <cell r="J18">
            <v>1522760.7361963175</v>
          </cell>
          <cell r="K18">
            <v>0</v>
          </cell>
          <cell r="L18">
            <v>285000</v>
          </cell>
          <cell r="M18">
            <v>1807760.7361963175</v>
          </cell>
        </row>
        <row r="19">
          <cell r="A19" t="str">
            <v>151S</v>
          </cell>
          <cell r="B19" t="str">
            <v>0000015101</v>
          </cell>
          <cell r="C19">
            <v>30</v>
          </cell>
          <cell r="D19">
            <v>138</v>
          </cell>
          <cell r="E19">
            <v>25</v>
          </cell>
          <cell r="F19">
            <v>2</v>
          </cell>
          <cell r="G19">
            <v>35.436</v>
          </cell>
          <cell r="H19" t="str">
            <v>Summer</v>
          </cell>
          <cell r="J19">
            <v>1522760.7361963175</v>
          </cell>
          <cell r="K19">
            <v>0</v>
          </cell>
          <cell r="L19">
            <v>570000</v>
          </cell>
          <cell r="M19">
            <v>2092760.7361963175</v>
          </cell>
        </row>
        <row r="20">
          <cell r="A20" t="str">
            <v>157S</v>
          </cell>
          <cell r="B20" t="str">
            <v>0000015701</v>
          </cell>
          <cell r="C20">
            <v>15</v>
          </cell>
          <cell r="D20">
            <v>138</v>
          </cell>
          <cell r="E20">
            <v>25</v>
          </cell>
          <cell r="F20">
            <v>1</v>
          </cell>
          <cell r="G20">
            <v>10.6632</v>
          </cell>
          <cell r="H20" t="str">
            <v>Winter</v>
          </cell>
          <cell r="J20">
            <v>1522760.7361963175</v>
          </cell>
          <cell r="K20">
            <v>0</v>
          </cell>
          <cell r="L20">
            <v>285000</v>
          </cell>
          <cell r="M20">
            <v>1807760.7361963175</v>
          </cell>
        </row>
        <row r="21">
          <cell r="A21" t="str">
            <v>158S</v>
          </cell>
          <cell r="B21" t="str">
            <v>0000015801</v>
          </cell>
          <cell r="C21">
            <v>25</v>
          </cell>
          <cell r="D21">
            <v>138</v>
          </cell>
          <cell r="E21">
            <v>25</v>
          </cell>
          <cell r="F21">
            <v>1</v>
          </cell>
          <cell r="G21">
            <v>32.022400000000005</v>
          </cell>
          <cell r="H21" t="str">
            <v>Summer</v>
          </cell>
          <cell r="J21">
            <v>1522760.7361963175</v>
          </cell>
          <cell r="K21">
            <v>0</v>
          </cell>
          <cell r="L21">
            <v>475000</v>
          </cell>
          <cell r="M21">
            <v>1997760.7361963175</v>
          </cell>
        </row>
        <row r="22">
          <cell r="A22" t="str">
            <v>159S</v>
          </cell>
          <cell r="B22" t="str">
            <v>0000015901</v>
          </cell>
          <cell r="C22">
            <v>40</v>
          </cell>
          <cell r="D22">
            <v>138</v>
          </cell>
          <cell r="E22">
            <v>25</v>
          </cell>
          <cell r="F22">
            <v>2</v>
          </cell>
          <cell r="G22">
            <v>15.284800000000001</v>
          </cell>
          <cell r="H22" t="str">
            <v>Winter</v>
          </cell>
          <cell r="J22">
            <v>1522760.7361963175</v>
          </cell>
          <cell r="K22">
            <v>0</v>
          </cell>
          <cell r="L22">
            <v>760000</v>
          </cell>
          <cell r="M22">
            <v>2282760.7361963177</v>
          </cell>
        </row>
        <row r="23">
          <cell r="A23" t="str">
            <v>15S</v>
          </cell>
          <cell r="B23" t="str">
            <v>0000001501</v>
          </cell>
          <cell r="C23">
            <v>15</v>
          </cell>
          <cell r="D23">
            <v>138</v>
          </cell>
          <cell r="E23">
            <v>25</v>
          </cell>
          <cell r="F23">
            <v>1</v>
          </cell>
          <cell r="G23">
            <v>16.54</v>
          </cell>
          <cell r="H23" t="str">
            <v>Summer</v>
          </cell>
          <cell r="J23">
            <v>1522760.7361963175</v>
          </cell>
          <cell r="K23">
            <v>0</v>
          </cell>
          <cell r="L23">
            <v>285000</v>
          </cell>
          <cell r="M23">
            <v>1807760.7361963175</v>
          </cell>
        </row>
        <row r="24">
          <cell r="A24" t="str">
            <v>15S</v>
          </cell>
          <cell r="B24" t="str">
            <v>TFM15S</v>
          </cell>
          <cell r="C24">
            <v>15</v>
          </cell>
          <cell r="D24">
            <v>138</v>
          </cell>
          <cell r="E24">
            <v>25</v>
          </cell>
          <cell r="F24">
            <v>1</v>
          </cell>
          <cell r="G24" t="str">
            <v/>
          </cell>
          <cell r="H24" t="str">
            <v/>
          </cell>
          <cell r="J24">
            <v>1522760.7361963175</v>
          </cell>
          <cell r="K24">
            <v>0</v>
          </cell>
          <cell r="L24">
            <v>285000</v>
          </cell>
          <cell r="M24">
            <v>1807760.7361963175</v>
          </cell>
        </row>
        <row r="25">
          <cell r="A25" t="str">
            <v>163S</v>
          </cell>
          <cell r="B25" t="str">
            <v>0000016301</v>
          </cell>
          <cell r="C25">
            <v>90</v>
          </cell>
          <cell r="D25">
            <v>240</v>
          </cell>
          <cell r="E25">
            <v>13.8</v>
          </cell>
          <cell r="F25">
            <v>2</v>
          </cell>
          <cell r="G25">
            <v>220.79840000000002</v>
          </cell>
          <cell r="H25" t="str">
            <v>Summer</v>
          </cell>
          <cell r="J25">
            <v>2257760.7361963177</v>
          </cell>
          <cell r="K25">
            <v>0</v>
          </cell>
          <cell r="L25">
            <v>1710000</v>
          </cell>
          <cell r="M25">
            <v>3967760.7361963177</v>
          </cell>
        </row>
        <row r="26">
          <cell r="A26" t="str">
            <v>163S</v>
          </cell>
          <cell r="B26" t="str">
            <v>FHPL1LOD</v>
          </cell>
          <cell r="C26">
            <v>45</v>
          </cell>
          <cell r="D26">
            <v>240</v>
          </cell>
          <cell r="E26">
            <v>13.8</v>
          </cell>
          <cell r="F26">
            <v>1</v>
          </cell>
          <cell r="G26">
            <v>17.296800000000001</v>
          </cell>
          <cell r="H26" t="str">
            <v>Summer</v>
          </cell>
          <cell r="J26">
            <v>2257760.7361963177</v>
          </cell>
          <cell r="K26">
            <v>0</v>
          </cell>
          <cell r="L26">
            <v>855000</v>
          </cell>
          <cell r="M26">
            <v>3112760.7361963177</v>
          </cell>
        </row>
        <row r="27">
          <cell r="A27" t="str">
            <v>164S</v>
          </cell>
          <cell r="B27" t="str">
            <v>0000016401</v>
          </cell>
          <cell r="C27">
            <v>30</v>
          </cell>
          <cell r="D27">
            <v>138</v>
          </cell>
          <cell r="E27">
            <v>6.9</v>
          </cell>
          <cell r="F27">
            <v>2</v>
          </cell>
          <cell r="G27">
            <v>29.5488</v>
          </cell>
          <cell r="H27" t="str">
            <v>Winter</v>
          </cell>
          <cell r="J27">
            <v>1522760.7361963175</v>
          </cell>
          <cell r="K27">
            <v>0</v>
          </cell>
          <cell r="L27">
            <v>570000</v>
          </cell>
          <cell r="M27">
            <v>2092760.7361963175</v>
          </cell>
        </row>
        <row r="28">
          <cell r="A28" t="str">
            <v>165S</v>
          </cell>
          <cell r="B28" t="str">
            <v>0000016501</v>
          </cell>
          <cell r="C28">
            <v>3</v>
          </cell>
          <cell r="D28">
            <v>69</v>
          </cell>
          <cell r="E28">
            <v>4.16</v>
          </cell>
          <cell r="F28">
            <v>1</v>
          </cell>
          <cell r="G28">
            <v>2.0504000000000002</v>
          </cell>
          <cell r="H28" t="str">
            <v/>
          </cell>
          <cell r="J28">
            <v>787760.73619631748</v>
          </cell>
          <cell r="K28">
            <v>0</v>
          </cell>
          <cell r="L28">
            <v>57000</v>
          </cell>
          <cell r="M28">
            <v>844760.73619631748</v>
          </cell>
        </row>
        <row r="29">
          <cell r="A29" t="str">
            <v>166S</v>
          </cell>
          <cell r="B29" t="str">
            <v>0000016601</v>
          </cell>
          <cell r="C29">
            <v>120</v>
          </cell>
          <cell r="D29">
            <v>138</v>
          </cell>
          <cell r="E29">
            <v>14.4</v>
          </cell>
          <cell r="F29">
            <v>3</v>
          </cell>
          <cell r="G29">
            <v>113.57</v>
          </cell>
          <cell r="H29" t="str">
            <v>Summer</v>
          </cell>
          <cell r="J29">
            <v>1522760.7361963175</v>
          </cell>
          <cell r="K29">
            <v>0</v>
          </cell>
          <cell r="L29">
            <v>2280000</v>
          </cell>
          <cell r="M29">
            <v>3802760.7361963177</v>
          </cell>
        </row>
        <row r="30">
          <cell r="A30" t="str">
            <v>171S</v>
          </cell>
          <cell r="B30" t="str">
            <v>0000017101</v>
          </cell>
          <cell r="C30">
            <v>50</v>
          </cell>
          <cell r="D30">
            <v>138</v>
          </cell>
          <cell r="E30">
            <v>25</v>
          </cell>
          <cell r="F30">
            <v>2</v>
          </cell>
          <cell r="G30">
            <v>54.779200000000003</v>
          </cell>
          <cell r="H30" t="str">
            <v>Winter</v>
          </cell>
          <cell r="J30">
            <v>1522760.7361963175</v>
          </cell>
          <cell r="K30">
            <v>0</v>
          </cell>
          <cell r="L30">
            <v>950000</v>
          </cell>
          <cell r="M30">
            <v>2472760.7361963177</v>
          </cell>
        </row>
        <row r="31">
          <cell r="A31" t="str">
            <v>172S</v>
          </cell>
          <cell r="B31" t="str">
            <v>0000017201</v>
          </cell>
          <cell r="C31">
            <v>24</v>
          </cell>
          <cell r="D31">
            <v>138</v>
          </cell>
          <cell r="E31">
            <v>4.16</v>
          </cell>
          <cell r="F31">
            <v>2</v>
          </cell>
          <cell r="G31">
            <v>47.458400000000005</v>
          </cell>
          <cell r="H31" t="str">
            <v>Winter</v>
          </cell>
          <cell r="J31">
            <v>1522760.7361963175</v>
          </cell>
          <cell r="K31">
            <v>0</v>
          </cell>
          <cell r="L31">
            <v>456000</v>
          </cell>
          <cell r="M31">
            <v>1978760.7361963175</v>
          </cell>
        </row>
        <row r="32">
          <cell r="A32" t="str">
            <v>172S</v>
          </cell>
          <cell r="B32" t="str">
            <v>0000017201</v>
          </cell>
          <cell r="C32">
            <v>45</v>
          </cell>
          <cell r="D32">
            <v>138</v>
          </cell>
          <cell r="E32">
            <v>13.8</v>
          </cell>
          <cell r="F32">
            <v>2</v>
          </cell>
          <cell r="G32">
            <v>47.458400000000005</v>
          </cell>
          <cell r="H32" t="str">
            <v>Winter</v>
          </cell>
          <cell r="J32">
            <v>1522760.7361963175</v>
          </cell>
          <cell r="K32">
            <v>0</v>
          </cell>
          <cell r="L32">
            <v>855000</v>
          </cell>
          <cell r="M32">
            <v>2377760.7361963177</v>
          </cell>
        </row>
        <row r="33">
          <cell r="A33" t="str">
            <v>172S</v>
          </cell>
          <cell r="B33" t="str">
            <v>0000017202</v>
          </cell>
          <cell r="C33">
            <v>45</v>
          </cell>
          <cell r="D33">
            <v>138</v>
          </cell>
          <cell r="E33">
            <v>13.8</v>
          </cell>
          <cell r="F33">
            <v>2</v>
          </cell>
          <cell r="G33">
            <v>11.3</v>
          </cell>
          <cell r="H33" t="str">
            <v>Summer</v>
          </cell>
          <cell r="J33">
            <v>1522760.7361963175</v>
          </cell>
          <cell r="K33">
            <v>0</v>
          </cell>
          <cell r="L33">
            <v>855000</v>
          </cell>
          <cell r="M33">
            <v>2377760.7361963177</v>
          </cell>
        </row>
        <row r="34">
          <cell r="A34" t="str">
            <v>178S</v>
          </cell>
          <cell r="B34" t="str">
            <v>0000017801</v>
          </cell>
          <cell r="C34">
            <v>25</v>
          </cell>
          <cell r="D34">
            <v>138</v>
          </cell>
          <cell r="E34">
            <v>25</v>
          </cell>
          <cell r="F34">
            <v>1</v>
          </cell>
          <cell r="G34">
            <v>5.44</v>
          </cell>
          <cell r="H34" t="str">
            <v>Winter</v>
          </cell>
          <cell r="J34">
            <v>1522760.7361963175</v>
          </cell>
          <cell r="K34">
            <v>0</v>
          </cell>
          <cell r="L34">
            <v>475000</v>
          </cell>
          <cell r="M34">
            <v>1997760.7361963175</v>
          </cell>
        </row>
        <row r="35">
          <cell r="A35" t="str">
            <v>179S</v>
          </cell>
          <cell r="B35" t="str">
            <v>0000017901</v>
          </cell>
          <cell r="C35">
            <v>15</v>
          </cell>
          <cell r="D35">
            <v>138</v>
          </cell>
          <cell r="E35">
            <v>25</v>
          </cell>
          <cell r="F35">
            <v>1</v>
          </cell>
          <cell r="G35">
            <v>15.316400000000002</v>
          </cell>
          <cell r="H35" t="str">
            <v>Summer</v>
          </cell>
          <cell r="J35">
            <v>1522760.7361963175</v>
          </cell>
          <cell r="K35">
            <v>0</v>
          </cell>
          <cell r="L35">
            <v>285000</v>
          </cell>
          <cell r="M35">
            <v>1807760.7361963175</v>
          </cell>
        </row>
        <row r="36">
          <cell r="A36" t="str">
            <v>17S</v>
          </cell>
          <cell r="B36" t="str">
            <v>0000001701</v>
          </cell>
          <cell r="C36">
            <v>15</v>
          </cell>
          <cell r="D36">
            <v>138</v>
          </cell>
          <cell r="E36">
            <v>25</v>
          </cell>
          <cell r="F36">
            <v>1</v>
          </cell>
          <cell r="G36">
            <v>16.6296</v>
          </cell>
          <cell r="H36" t="str">
            <v>Winter</v>
          </cell>
          <cell r="J36">
            <v>1522760.7361963175</v>
          </cell>
          <cell r="K36">
            <v>0</v>
          </cell>
          <cell r="L36">
            <v>285000</v>
          </cell>
          <cell r="M36">
            <v>1807760.7361963175</v>
          </cell>
        </row>
        <row r="37">
          <cell r="A37" t="str">
            <v>184S</v>
          </cell>
          <cell r="B37" t="str">
            <v>0000018401</v>
          </cell>
          <cell r="C37">
            <v>55</v>
          </cell>
          <cell r="D37">
            <v>138</v>
          </cell>
          <cell r="E37">
            <v>13.8</v>
          </cell>
          <cell r="F37">
            <v>3</v>
          </cell>
          <cell r="G37">
            <v>34.472000000000001</v>
          </cell>
          <cell r="H37" t="str">
            <v>Summer</v>
          </cell>
          <cell r="J37">
            <v>1522760.7361963175</v>
          </cell>
          <cell r="K37">
            <v>0</v>
          </cell>
          <cell r="L37">
            <v>1045000</v>
          </cell>
          <cell r="M37">
            <v>2567760.7361963177</v>
          </cell>
        </row>
        <row r="38">
          <cell r="A38" t="str">
            <v>191S</v>
          </cell>
          <cell r="B38" t="str">
            <v>0000019101</v>
          </cell>
          <cell r="C38">
            <v>15</v>
          </cell>
          <cell r="D38">
            <v>138</v>
          </cell>
          <cell r="E38">
            <v>25</v>
          </cell>
          <cell r="F38">
            <v>1</v>
          </cell>
          <cell r="G38">
            <v>16.163600000000002</v>
          </cell>
          <cell r="H38" t="str">
            <v>Winter</v>
          </cell>
          <cell r="J38">
            <v>1522760.7361963175</v>
          </cell>
          <cell r="K38">
            <v>0</v>
          </cell>
          <cell r="L38">
            <v>285000</v>
          </cell>
          <cell r="M38">
            <v>1807760.7361963175</v>
          </cell>
        </row>
        <row r="39">
          <cell r="A39" t="str">
            <v>198S</v>
          </cell>
          <cell r="B39" t="str">
            <v>0000019801</v>
          </cell>
          <cell r="C39">
            <v>15</v>
          </cell>
          <cell r="D39">
            <v>138</v>
          </cell>
          <cell r="E39">
            <v>25</v>
          </cell>
          <cell r="F39">
            <v>1</v>
          </cell>
          <cell r="G39">
            <v>17.03</v>
          </cell>
          <cell r="H39" t="str">
            <v>Winter</v>
          </cell>
          <cell r="J39">
            <v>1522760.7361963175</v>
          </cell>
          <cell r="K39">
            <v>0</v>
          </cell>
          <cell r="L39">
            <v>285000</v>
          </cell>
          <cell r="M39">
            <v>1807760.7361963175</v>
          </cell>
        </row>
        <row r="40">
          <cell r="A40" t="str">
            <v>199S</v>
          </cell>
          <cell r="B40" t="str">
            <v>0000019901</v>
          </cell>
          <cell r="C40">
            <v>33.299999999999997</v>
          </cell>
          <cell r="D40">
            <v>138</v>
          </cell>
          <cell r="E40">
            <v>25</v>
          </cell>
          <cell r="F40">
            <v>2</v>
          </cell>
          <cell r="G40">
            <v>40.35</v>
          </cell>
          <cell r="H40" t="str">
            <v>Winter</v>
          </cell>
          <cell r="J40">
            <v>1522760.7361963175</v>
          </cell>
          <cell r="K40">
            <v>0</v>
          </cell>
          <cell r="L40">
            <v>632700</v>
          </cell>
          <cell r="M40">
            <v>2155460.7361963177</v>
          </cell>
        </row>
        <row r="41">
          <cell r="A41" t="str">
            <v>19S</v>
          </cell>
          <cell r="B41" t="str">
            <v>0000001902</v>
          </cell>
          <cell r="C41">
            <v>7.5</v>
          </cell>
          <cell r="D41">
            <v>69</v>
          </cell>
          <cell r="E41">
            <v>2.2999999999999998</v>
          </cell>
          <cell r="F41">
            <v>1</v>
          </cell>
          <cell r="G41">
            <v>0</v>
          </cell>
          <cell r="H41" t="str">
            <v>Winter</v>
          </cell>
          <cell r="J41">
            <v>787760.73619631748</v>
          </cell>
          <cell r="K41">
            <v>0</v>
          </cell>
          <cell r="L41">
            <v>142500</v>
          </cell>
          <cell r="M41">
            <v>930260.73619631748</v>
          </cell>
        </row>
        <row r="42">
          <cell r="A42" t="str">
            <v>19S</v>
          </cell>
          <cell r="B42" t="str">
            <v>0000001902</v>
          </cell>
          <cell r="C42">
            <v>10.5</v>
          </cell>
          <cell r="D42">
            <v>138</v>
          </cell>
          <cell r="E42">
            <v>4.16</v>
          </cell>
          <cell r="F42">
            <v>1</v>
          </cell>
          <cell r="G42">
            <v>0</v>
          </cell>
          <cell r="H42" t="str">
            <v>Winter</v>
          </cell>
          <cell r="J42">
            <v>1522760.7361963175</v>
          </cell>
          <cell r="K42">
            <v>0</v>
          </cell>
          <cell r="L42">
            <v>199500</v>
          </cell>
          <cell r="M42">
            <v>1722260.7361963175</v>
          </cell>
        </row>
        <row r="43">
          <cell r="A43" t="str">
            <v>204S</v>
          </cell>
          <cell r="B43" t="str">
            <v>0000020401</v>
          </cell>
          <cell r="C43">
            <v>5</v>
          </cell>
          <cell r="D43">
            <v>138</v>
          </cell>
          <cell r="E43">
            <v>4.7</v>
          </cell>
          <cell r="F43">
            <v>1</v>
          </cell>
          <cell r="G43">
            <v>16.031200000000002</v>
          </cell>
          <cell r="H43" t="str">
            <v>Winter</v>
          </cell>
          <cell r="J43">
            <v>1522760.7361963175</v>
          </cell>
          <cell r="K43">
            <v>0</v>
          </cell>
          <cell r="L43">
            <v>95000</v>
          </cell>
          <cell r="M43">
            <v>1617760.7361963175</v>
          </cell>
        </row>
        <row r="44">
          <cell r="A44" t="str">
            <v>20S</v>
          </cell>
          <cell r="B44" t="str">
            <v>0000002001</v>
          </cell>
          <cell r="C44">
            <v>2.5</v>
          </cell>
          <cell r="D44">
            <v>138</v>
          </cell>
          <cell r="E44">
            <v>25</v>
          </cell>
          <cell r="F44">
            <v>1</v>
          </cell>
          <cell r="G44">
            <v>6.06</v>
          </cell>
          <cell r="H44" t="str">
            <v>Fall</v>
          </cell>
          <cell r="J44">
            <v>1522760.7361963175</v>
          </cell>
          <cell r="K44">
            <v>0</v>
          </cell>
          <cell r="L44">
            <v>47500</v>
          </cell>
          <cell r="M44">
            <v>1570260.7361963175</v>
          </cell>
        </row>
        <row r="45">
          <cell r="A45" t="str">
            <v>212S</v>
          </cell>
          <cell r="B45" t="str">
            <v>0000021201</v>
          </cell>
          <cell r="C45">
            <v>15</v>
          </cell>
          <cell r="D45">
            <v>138</v>
          </cell>
          <cell r="E45">
            <v>25</v>
          </cell>
          <cell r="F45">
            <v>1</v>
          </cell>
          <cell r="G45">
            <v>23.252000000000002</v>
          </cell>
          <cell r="H45" t="str">
            <v>Winter</v>
          </cell>
          <cell r="J45">
            <v>1522760.7361963175</v>
          </cell>
          <cell r="K45">
            <v>0</v>
          </cell>
          <cell r="L45">
            <v>285000</v>
          </cell>
          <cell r="M45">
            <v>1807760.7361963175</v>
          </cell>
        </row>
        <row r="46">
          <cell r="A46" t="str">
            <v>213S</v>
          </cell>
          <cell r="B46" t="str">
            <v>0000021301</v>
          </cell>
          <cell r="C46">
            <v>15</v>
          </cell>
          <cell r="D46">
            <v>138</v>
          </cell>
          <cell r="E46">
            <v>25</v>
          </cell>
          <cell r="F46">
            <v>1</v>
          </cell>
          <cell r="G46">
            <v>23.4572</v>
          </cell>
          <cell r="H46" t="str">
            <v>Summer</v>
          </cell>
          <cell r="J46">
            <v>1522760.7361963175</v>
          </cell>
          <cell r="K46">
            <v>0</v>
          </cell>
          <cell r="L46">
            <v>285000</v>
          </cell>
          <cell r="M46">
            <v>1807760.7361963175</v>
          </cell>
        </row>
        <row r="47">
          <cell r="A47" t="str">
            <v>214S</v>
          </cell>
          <cell r="B47" t="str">
            <v>0000021401</v>
          </cell>
          <cell r="C47">
            <v>50</v>
          </cell>
          <cell r="D47">
            <v>138</v>
          </cell>
          <cell r="E47">
            <v>25</v>
          </cell>
          <cell r="F47">
            <v>2</v>
          </cell>
          <cell r="G47">
            <v>36.999600000000001</v>
          </cell>
          <cell r="H47" t="str">
            <v>Winter</v>
          </cell>
          <cell r="J47">
            <v>1522760.7361963175</v>
          </cell>
          <cell r="K47">
            <v>0</v>
          </cell>
          <cell r="L47">
            <v>950000</v>
          </cell>
          <cell r="M47">
            <v>2472760.7361963177</v>
          </cell>
        </row>
        <row r="48">
          <cell r="A48" t="str">
            <v>216S</v>
          </cell>
          <cell r="B48" t="str">
            <v>ENB216S</v>
          </cell>
          <cell r="C48">
            <v>30</v>
          </cell>
          <cell r="D48">
            <v>138</v>
          </cell>
          <cell r="E48">
            <v>4.16</v>
          </cell>
          <cell r="F48">
            <v>2</v>
          </cell>
          <cell r="G48">
            <v>17.008400000000002</v>
          </cell>
          <cell r="H48" t="str">
            <v/>
          </cell>
          <cell r="J48">
            <v>1522760.7361963175</v>
          </cell>
          <cell r="K48">
            <v>0</v>
          </cell>
          <cell r="L48">
            <v>570000</v>
          </cell>
          <cell r="M48">
            <v>2092760.7361963175</v>
          </cell>
        </row>
        <row r="49">
          <cell r="A49" t="str">
            <v>217S</v>
          </cell>
          <cell r="B49" t="str">
            <v>0000021701</v>
          </cell>
          <cell r="C49">
            <v>15</v>
          </cell>
          <cell r="D49">
            <v>138</v>
          </cell>
          <cell r="E49">
            <v>25</v>
          </cell>
          <cell r="F49">
            <v>1</v>
          </cell>
          <cell r="G49">
            <v>12.198400000000001</v>
          </cell>
          <cell r="H49" t="str">
            <v>Winter</v>
          </cell>
          <cell r="J49">
            <v>1522760.7361963175</v>
          </cell>
          <cell r="K49">
            <v>0</v>
          </cell>
          <cell r="L49">
            <v>285000</v>
          </cell>
          <cell r="M49">
            <v>1807760.7361963175</v>
          </cell>
        </row>
        <row r="50">
          <cell r="A50" t="str">
            <v>21S</v>
          </cell>
          <cell r="B50" t="str">
            <v>0000002101</v>
          </cell>
          <cell r="C50">
            <v>20</v>
          </cell>
          <cell r="D50">
            <v>138</v>
          </cell>
          <cell r="E50">
            <v>25</v>
          </cell>
          <cell r="F50">
            <v>1</v>
          </cell>
          <cell r="G50">
            <v>8.4560000000000013</v>
          </cell>
          <cell r="H50" t="str">
            <v>Winter</v>
          </cell>
          <cell r="J50">
            <v>1522760.7361963175</v>
          </cell>
          <cell r="K50">
            <v>0</v>
          </cell>
          <cell r="L50">
            <v>380000</v>
          </cell>
          <cell r="M50">
            <v>1902760.7361963175</v>
          </cell>
        </row>
        <row r="51">
          <cell r="A51" t="str">
            <v>221S</v>
          </cell>
          <cell r="B51" t="str">
            <v>ENB221S</v>
          </cell>
          <cell r="C51">
            <v>30</v>
          </cell>
          <cell r="D51">
            <v>138</v>
          </cell>
          <cell r="E51">
            <v>4.16</v>
          </cell>
          <cell r="F51">
            <v>2</v>
          </cell>
          <cell r="G51">
            <v>17.97</v>
          </cell>
          <cell r="H51" t="str">
            <v/>
          </cell>
          <cell r="J51">
            <v>1522760.7361963175</v>
          </cell>
          <cell r="K51">
            <v>0</v>
          </cell>
          <cell r="L51">
            <v>570000</v>
          </cell>
          <cell r="M51">
            <v>2092760.7361963175</v>
          </cell>
        </row>
        <row r="52">
          <cell r="A52" t="str">
            <v>223S</v>
          </cell>
          <cell r="B52" t="str">
            <v>ENB223S</v>
          </cell>
          <cell r="C52">
            <v>30</v>
          </cell>
          <cell r="D52">
            <v>138</v>
          </cell>
          <cell r="E52">
            <v>4.16</v>
          </cell>
          <cell r="F52">
            <v>2</v>
          </cell>
          <cell r="G52">
            <v>18.727600000000002</v>
          </cell>
          <cell r="H52" t="str">
            <v/>
          </cell>
          <cell r="J52">
            <v>1522760.7361963175</v>
          </cell>
          <cell r="K52">
            <v>0</v>
          </cell>
          <cell r="L52">
            <v>570000</v>
          </cell>
          <cell r="M52">
            <v>2092760.7361963175</v>
          </cell>
        </row>
        <row r="53">
          <cell r="A53" t="str">
            <v>227S</v>
          </cell>
          <cell r="B53" t="str">
            <v>0000022701</v>
          </cell>
          <cell r="C53">
            <v>15</v>
          </cell>
          <cell r="D53">
            <v>138</v>
          </cell>
          <cell r="E53">
            <v>25</v>
          </cell>
          <cell r="F53">
            <v>1</v>
          </cell>
          <cell r="G53">
            <v>12.842000000000001</v>
          </cell>
          <cell r="H53" t="str">
            <v>Summer</v>
          </cell>
          <cell r="J53">
            <v>1522760.7361963175</v>
          </cell>
          <cell r="K53">
            <v>0</v>
          </cell>
          <cell r="L53">
            <v>285000</v>
          </cell>
          <cell r="M53">
            <v>1807760.7361963175</v>
          </cell>
        </row>
        <row r="54">
          <cell r="A54" t="str">
            <v>228S</v>
          </cell>
          <cell r="B54" t="str">
            <v>0000022801</v>
          </cell>
          <cell r="C54">
            <v>15</v>
          </cell>
          <cell r="D54">
            <v>138</v>
          </cell>
          <cell r="E54">
            <v>25</v>
          </cell>
          <cell r="F54">
            <v>1</v>
          </cell>
          <cell r="G54">
            <v>8.9656000000000002</v>
          </cell>
          <cell r="H54" t="str">
            <v>Winter</v>
          </cell>
          <cell r="J54">
            <v>1522760.7361963175</v>
          </cell>
          <cell r="K54">
            <v>0</v>
          </cell>
          <cell r="L54">
            <v>285000</v>
          </cell>
          <cell r="M54">
            <v>1807760.7361963175</v>
          </cell>
        </row>
        <row r="55">
          <cell r="A55" t="str">
            <v>233S</v>
          </cell>
          <cell r="B55" t="str">
            <v>0000023301</v>
          </cell>
          <cell r="C55">
            <v>54</v>
          </cell>
          <cell r="D55">
            <v>138</v>
          </cell>
          <cell r="E55">
            <v>13.8</v>
          </cell>
          <cell r="F55">
            <v>2</v>
          </cell>
          <cell r="G55">
            <v>67.3</v>
          </cell>
          <cell r="H55" t="str">
            <v/>
          </cell>
          <cell r="J55">
            <v>1522760.7361963175</v>
          </cell>
          <cell r="K55">
            <v>0</v>
          </cell>
          <cell r="L55">
            <v>1026000</v>
          </cell>
          <cell r="M55">
            <v>2548760.7361963177</v>
          </cell>
        </row>
        <row r="56">
          <cell r="A56" t="str">
            <v>234S</v>
          </cell>
          <cell r="B56" t="str">
            <v>0000023401</v>
          </cell>
          <cell r="C56">
            <v>6.5</v>
          </cell>
          <cell r="D56">
            <v>138</v>
          </cell>
          <cell r="E56">
            <v>25</v>
          </cell>
          <cell r="F56">
            <v>1</v>
          </cell>
          <cell r="G56">
            <v>2.9336000000000002</v>
          </cell>
          <cell r="H56" t="str">
            <v>Winter</v>
          </cell>
          <cell r="J56">
            <v>1522760.7361963175</v>
          </cell>
          <cell r="K56">
            <v>0</v>
          </cell>
          <cell r="L56">
            <v>123500</v>
          </cell>
          <cell r="M56">
            <v>1646260.7361963175</v>
          </cell>
        </row>
        <row r="57">
          <cell r="A57" t="str">
            <v>235S</v>
          </cell>
          <cell r="B57" t="str">
            <v>0000023501</v>
          </cell>
          <cell r="C57">
            <v>11</v>
          </cell>
          <cell r="D57">
            <v>69</v>
          </cell>
          <cell r="E57">
            <v>25</v>
          </cell>
          <cell r="F57">
            <v>2</v>
          </cell>
          <cell r="G57">
            <v>8.6959999999999997</v>
          </cell>
          <cell r="H57" t="str">
            <v>Winter</v>
          </cell>
          <cell r="J57">
            <v>787760.73619631748</v>
          </cell>
          <cell r="K57">
            <v>0</v>
          </cell>
          <cell r="L57">
            <v>209000</v>
          </cell>
          <cell r="M57">
            <v>996760.73619631748</v>
          </cell>
        </row>
        <row r="58">
          <cell r="A58" t="str">
            <v>236S</v>
          </cell>
          <cell r="B58" t="str">
            <v>0000023601</v>
          </cell>
          <cell r="C58">
            <v>11</v>
          </cell>
          <cell r="D58">
            <v>69</v>
          </cell>
          <cell r="E58">
            <v>25</v>
          </cell>
          <cell r="F58">
            <v>2</v>
          </cell>
          <cell r="G58">
            <v>9.0579999999999998</v>
          </cell>
          <cell r="H58" t="str">
            <v>Winter</v>
          </cell>
          <cell r="J58">
            <v>787760.73619631748</v>
          </cell>
          <cell r="K58">
            <v>0</v>
          </cell>
          <cell r="L58">
            <v>209000</v>
          </cell>
          <cell r="M58">
            <v>996760.73619631748</v>
          </cell>
        </row>
        <row r="59">
          <cell r="A59" t="str">
            <v>238S</v>
          </cell>
          <cell r="B59" t="str">
            <v>0000023801</v>
          </cell>
          <cell r="C59">
            <v>15</v>
          </cell>
          <cell r="D59">
            <v>138</v>
          </cell>
          <cell r="E59">
            <v>4.16</v>
          </cell>
          <cell r="F59">
            <v>1</v>
          </cell>
          <cell r="G59">
            <v>8.3428000000000004</v>
          </cell>
          <cell r="H59" t="str">
            <v>Summer</v>
          </cell>
          <cell r="J59">
            <v>1522760.7361963175</v>
          </cell>
          <cell r="K59">
            <v>0</v>
          </cell>
          <cell r="L59">
            <v>285000</v>
          </cell>
          <cell r="M59">
            <v>1807760.7361963175</v>
          </cell>
        </row>
        <row r="60">
          <cell r="A60" t="str">
            <v>241S</v>
          </cell>
          <cell r="B60" t="str">
            <v>LETH241S</v>
          </cell>
          <cell r="C60">
            <v>36</v>
          </cell>
          <cell r="D60">
            <v>138</v>
          </cell>
          <cell r="E60">
            <v>13.8</v>
          </cell>
          <cell r="F60">
            <v>2</v>
          </cell>
          <cell r="G60">
            <v>18.983599999999999</v>
          </cell>
          <cell r="H60" t="str">
            <v>Summer</v>
          </cell>
          <cell r="J60">
            <v>1522760.7361963175</v>
          </cell>
          <cell r="K60">
            <v>0</v>
          </cell>
          <cell r="L60">
            <v>684000</v>
          </cell>
          <cell r="M60">
            <v>2206760.7361963177</v>
          </cell>
        </row>
        <row r="61">
          <cell r="A61" t="str">
            <v>242S</v>
          </cell>
          <cell r="B61" t="str">
            <v>0000024201</v>
          </cell>
          <cell r="C61">
            <v>15</v>
          </cell>
          <cell r="D61">
            <v>138</v>
          </cell>
          <cell r="E61">
            <v>4.16</v>
          </cell>
          <cell r="F61">
            <v>1</v>
          </cell>
          <cell r="G61">
            <v>8</v>
          </cell>
          <cell r="H61" t="str">
            <v>Spring</v>
          </cell>
          <cell r="J61">
            <v>1522760.7361963175</v>
          </cell>
          <cell r="K61">
            <v>0</v>
          </cell>
          <cell r="L61">
            <v>285000</v>
          </cell>
          <cell r="M61">
            <v>1807760.7361963175</v>
          </cell>
        </row>
        <row r="62">
          <cell r="A62" t="str">
            <v>245S</v>
          </cell>
          <cell r="B62" t="str">
            <v>0000024501</v>
          </cell>
          <cell r="C62">
            <v>2.2000000000000002</v>
          </cell>
          <cell r="D62">
            <v>138</v>
          </cell>
          <cell r="E62">
            <v>25</v>
          </cell>
          <cell r="F62">
            <v>1</v>
          </cell>
          <cell r="G62">
            <v>6.2336</v>
          </cell>
          <cell r="H62" t="str">
            <v>Winter</v>
          </cell>
          <cell r="J62">
            <v>1522760.7361963175</v>
          </cell>
          <cell r="K62">
            <v>0</v>
          </cell>
          <cell r="L62">
            <v>41800</v>
          </cell>
          <cell r="M62">
            <v>1564560.7361963175</v>
          </cell>
        </row>
        <row r="63">
          <cell r="A63" t="str">
            <v>249S</v>
          </cell>
          <cell r="B63" t="str">
            <v>0000024901</v>
          </cell>
          <cell r="C63">
            <v>10</v>
          </cell>
          <cell r="D63">
            <v>69</v>
          </cell>
          <cell r="E63">
            <v>25</v>
          </cell>
          <cell r="F63">
            <v>1</v>
          </cell>
          <cell r="G63">
            <v>5.1680000000000001</v>
          </cell>
          <cell r="H63" t="str">
            <v>Winter</v>
          </cell>
          <cell r="J63">
            <v>787760.73619631748</v>
          </cell>
          <cell r="K63">
            <v>0</v>
          </cell>
          <cell r="L63">
            <v>190000</v>
          </cell>
          <cell r="M63">
            <v>977760.73619631748</v>
          </cell>
        </row>
        <row r="64">
          <cell r="A64" t="str">
            <v>250P</v>
          </cell>
          <cell r="B64" t="str">
            <v>0000025001</v>
          </cell>
          <cell r="C64">
            <v>7.5</v>
          </cell>
          <cell r="D64">
            <v>138</v>
          </cell>
          <cell r="E64">
            <v>25</v>
          </cell>
          <cell r="F64">
            <v>1</v>
          </cell>
          <cell r="G64">
            <v>2.6472000000000002</v>
          </cell>
          <cell r="H64" t="str">
            <v>Winter</v>
          </cell>
          <cell r="J64">
            <v>1522760.7361963175</v>
          </cell>
          <cell r="K64">
            <v>0</v>
          </cell>
          <cell r="L64">
            <v>142500</v>
          </cell>
          <cell r="M64">
            <v>1665260.7361963175</v>
          </cell>
        </row>
        <row r="65">
          <cell r="A65" t="str">
            <v>250P</v>
          </cell>
          <cell r="B65" t="str">
            <v>0000025003</v>
          </cell>
          <cell r="C65">
            <v>7.5</v>
          </cell>
          <cell r="D65">
            <v>138</v>
          </cell>
          <cell r="E65">
            <v>25</v>
          </cell>
          <cell r="F65">
            <v>1</v>
          </cell>
          <cell r="G65">
            <v>0</v>
          </cell>
          <cell r="H65" t="str">
            <v>Winter</v>
          </cell>
          <cell r="J65">
            <v>1522760.7361963175</v>
          </cell>
          <cell r="K65">
            <v>0</v>
          </cell>
          <cell r="L65">
            <v>142500</v>
          </cell>
          <cell r="M65">
            <v>1665260.7361963175</v>
          </cell>
        </row>
        <row r="66">
          <cell r="A66" t="str">
            <v>252S</v>
          </cell>
          <cell r="B66" t="str">
            <v>0000025201</v>
          </cell>
          <cell r="C66">
            <v>10</v>
          </cell>
          <cell r="D66">
            <v>138</v>
          </cell>
          <cell r="E66">
            <v>25</v>
          </cell>
          <cell r="F66">
            <v>1</v>
          </cell>
          <cell r="G66">
            <v>4.0179999999999998</v>
          </cell>
          <cell r="H66" t="str">
            <v>Winter</v>
          </cell>
          <cell r="J66">
            <v>1522760.7361963175</v>
          </cell>
          <cell r="K66">
            <v>0</v>
          </cell>
          <cell r="L66">
            <v>190000</v>
          </cell>
          <cell r="M66">
            <v>1712760.7361963175</v>
          </cell>
        </row>
        <row r="67">
          <cell r="A67" t="str">
            <v>254S</v>
          </cell>
          <cell r="B67" t="str">
            <v>0000025401</v>
          </cell>
          <cell r="C67">
            <v>25</v>
          </cell>
          <cell r="D67">
            <v>138</v>
          </cell>
          <cell r="E67">
            <v>25</v>
          </cell>
          <cell r="F67">
            <v>1</v>
          </cell>
          <cell r="G67">
            <v>26.05</v>
          </cell>
          <cell r="H67" t="str">
            <v>Summer</v>
          </cell>
          <cell r="J67">
            <v>1522760.7361963175</v>
          </cell>
          <cell r="K67">
            <v>0</v>
          </cell>
          <cell r="L67">
            <v>475000</v>
          </cell>
          <cell r="M67">
            <v>1997760.7361963175</v>
          </cell>
        </row>
        <row r="68">
          <cell r="A68" t="str">
            <v>255S</v>
          </cell>
          <cell r="B68" t="str">
            <v>0000025501</v>
          </cell>
          <cell r="C68">
            <v>15</v>
          </cell>
          <cell r="D68">
            <v>138</v>
          </cell>
          <cell r="E68">
            <v>25</v>
          </cell>
          <cell r="F68">
            <v>1</v>
          </cell>
          <cell r="G68">
            <v>10.5976</v>
          </cell>
          <cell r="H68" t="str">
            <v>Summer</v>
          </cell>
          <cell r="J68">
            <v>1522760.7361963175</v>
          </cell>
          <cell r="K68">
            <v>0</v>
          </cell>
          <cell r="L68">
            <v>285000</v>
          </cell>
          <cell r="M68">
            <v>1807760.7361963175</v>
          </cell>
        </row>
        <row r="69">
          <cell r="A69" t="str">
            <v>256S</v>
          </cell>
          <cell r="B69" t="str">
            <v>0000025601</v>
          </cell>
          <cell r="C69">
            <v>50</v>
          </cell>
          <cell r="D69">
            <v>138</v>
          </cell>
          <cell r="E69">
            <v>25</v>
          </cell>
          <cell r="F69">
            <v>2</v>
          </cell>
          <cell r="G69">
            <v>22.3812</v>
          </cell>
          <cell r="H69" t="str">
            <v>Winter</v>
          </cell>
          <cell r="J69">
            <v>1522760.7361963175</v>
          </cell>
          <cell r="K69">
            <v>0</v>
          </cell>
          <cell r="L69">
            <v>950000</v>
          </cell>
          <cell r="M69">
            <v>2472760.7361963177</v>
          </cell>
        </row>
        <row r="70">
          <cell r="A70" t="str">
            <v>258S</v>
          </cell>
          <cell r="B70" t="str">
            <v>0000025801</v>
          </cell>
          <cell r="C70">
            <v>75</v>
          </cell>
          <cell r="D70">
            <v>138</v>
          </cell>
          <cell r="E70">
            <v>34.5</v>
          </cell>
          <cell r="F70">
            <v>2</v>
          </cell>
          <cell r="G70">
            <v>41.322800000000001</v>
          </cell>
          <cell r="H70" t="str">
            <v>Winter</v>
          </cell>
          <cell r="J70">
            <v>1522760.7361963175</v>
          </cell>
          <cell r="K70">
            <v>0</v>
          </cell>
          <cell r="L70">
            <v>1425000</v>
          </cell>
          <cell r="M70">
            <v>2947760.7361963177</v>
          </cell>
        </row>
        <row r="71">
          <cell r="A71" t="str">
            <v>258S</v>
          </cell>
          <cell r="B71" t="str">
            <v>0000025801DUP</v>
          </cell>
          <cell r="C71">
            <v>75</v>
          </cell>
          <cell r="D71">
            <v>138</v>
          </cell>
          <cell r="E71">
            <v>34.5</v>
          </cell>
          <cell r="F71">
            <v>2</v>
          </cell>
          <cell r="G71" t="str">
            <v/>
          </cell>
          <cell r="H71" t="str">
            <v/>
          </cell>
          <cell r="J71">
            <v>1522760.7361963175</v>
          </cell>
          <cell r="K71">
            <v>0</v>
          </cell>
          <cell r="L71">
            <v>1425000</v>
          </cell>
          <cell r="M71">
            <v>2947760.7361963177</v>
          </cell>
        </row>
        <row r="72">
          <cell r="A72" t="str">
            <v>262S</v>
          </cell>
          <cell r="B72" t="str">
            <v>0000026201</v>
          </cell>
          <cell r="C72">
            <v>50</v>
          </cell>
          <cell r="D72">
            <v>138</v>
          </cell>
          <cell r="E72">
            <v>25</v>
          </cell>
          <cell r="F72">
            <v>2</v>
          </cell>
          <cell r="G72">
            <v>36.583200000000005</v>
          </cell>
          <cell r="H72" t="str">
            <v>Summer</v>
          </cell>
          <cell r="J72">
            <v>1522760.7361963175</v>
          </cell>
          <cell r="K72">
            <v>0</v>
          </cell>
          <cell r="L72">
            <v>950000</v>
          </cell>
          <cell r="M72">
            <v>2472760.7361963177</v>
          </cell>
        </row>
        <row r="73">
          <cell r="A73" t="str">
            <v>263S</v>
          </cell>
          <cell r="B73" t="str">
            <v>0000026301</v>
          </cell>
          <cell r="C73">
            <v>15</v>
          </cell>
          <cell r="D73">
            <v>138</v>
          </cell>
          <cell r="E73">
            <v>25</v>
          </cell>
          <cell r="F73">
            <v>1</v>
          </cell>
          <cell r="G73">
            <v>17.810400000000001</v>
          </cell>
          <cell r="H73" t="str">
            <v>Summer</v>
          </cell>
          <cell r="J73">
            <v>1522760.7361963175</v>
          </cell>
          <cell r="K73">
            <v>0</v>
          </cell>
          <cell r="L73">
            <v>285000</v>
          </cell>
          <cell r="M73">
            <v>1807760.7361963175</v>
          </cell>
        </row>
        <row r="74">
          <cell r="A74" t="str">
            <v>267S</v>
          </cell>
          <cell r="B74" t="str">
            <v>0000026701</v>
          </cell>
          <cell r="C74">
            <v>25</v>
          </cell>
          <cell r="D74">
            <v>138</v>
          </cell>
          <cell r="E74">
            <v>25</v>
          </cell>
          <cell r="F74">
            <v>1</v>
          </cell>
          <cell r="G74">
            <v>27.239600000000003</v>
          </cell>
          <cell r="H74" t="str">
            <v>Summer</v>
          </cell>
          <cell r="J74">
            <v>1522760.7361963175</v>
          </cell>
          <cell r="K74">
            <v>0</v>
          </cell>
          <cell r="L74">
            <v>475000</v>
          </cell>
          <cell r="M74">
            <v>1997760.7361963175</v>
          </cell>
        </row>
        <row r="75">
          <cell r="A75" t="str">
            <v>268S</v>
          </cell>
          <cell r="B75" t="str">
            <v>0000026801</v>
          </cell>
          <cell r="C75">
            <v>15</v>
          </cell>
          <cell r="D75">
            <v>138</v>
          </cell>
          <cell r="E75">
            <v>25</v>
          </cell>
          <cell r="F75">
            <v>1</v>
          </cell>
          <cell r="G75">
            <v>11.180800000000001</v>
          </cell>
          <cell r="H75" t="str">
            <v>Summer</v>
          </cell>
          <cell r="J75">
            <v>1522760.7361963175</v>
          </cell>
          <cell r="K75">
            <v>0</v>
          </cell>
          <cell r="L75">
            <v>285000</v>
          </cell>
          <cell r="M75">
            <v>1807760.7361963175</v>
          </cell>
        </row>
        <row r="76">
          <cell r="A76" t="str">
            <v>271S</v>
          </cell>
          <cell r="B76" t="str">
            <v>0000027101</v>
          </cell>
          <cell r="C76">
            <v>30</v>
          </cell>
          <cell r="D76">
            <v>138</v>
          </cell>
          <cell r="E76">
            <v>4.16</v>
          </cell>
          <cell r="F76">
            <v>2</v>
          </cell>
          <cell r="G76">
            <v>12.712</v>
          </cell>
          <cell r="H76" t="str">
            <v>Summer</v>
          </cell>
          <cell r="J76">
            <v>1522760.7361963175</v>
          </cell>
          <cell r="K76">
            <v>0</v>
          </cell>
          <cell r="L76">
            <v>570000</v>
          </cell>
          <cell r="M76">
            <v>2092760.7361963175</v>
          </cell>
        </row>
        <row r="77">
          <cell r="A77" t="str">
            <v>272S</v>
          </cell>
          <cell r="B77" t="str">
            <v>0000027201</v>
          </cell>
          <cell r="C77">
            <v>15</v>
          </cell>
          <cell r="D77">
            <v>138</v>
          </cell>
          <cell r="E77">
            <v>25</v>
          </cell>
          <cell r="F77">
            <v>1</v>
          </cell>
          <cell r="G77">
            <v>9.5460000000000012</v>
          </cell>
          <cell r="H77" t="str">
            <v>Winter</v>
          </cell>
          <cell r="J77">
            <v>1522760.7361963175</v>
          </cell>
          <cell r="K77">
            <v>0</v>
          </cell>
          <cell r="L77">
            <v>285000</v>
          </cell>
          <cell r="M77">
            <v>1807760.7361963175</v>
          </cell>
        </row>
        <row r="78">
          <cell r="A78" t="str">
            <v>2739S</v>
          </cell>
          <cell r="B78" t="str">
            <v>0000273901</v>
          </cell>
          <cell r="C78">
            <v>5</v>
          </cell>
          <cell r="D78">
            <v>69</v>
          </cell>
          <cell r="E78">
            <v>25</v>
          </cell>
          <cell r="F78">
            <v>1</v>
          </cell>
          <cell r="G78">
            <v>4.0132000000000003</v>
          </cell>
          <cell r="H78" t="str">
            <v>Winter</v>
          </cell>
          <cell r="J78">
            <v>787760.73619631748</v>
          </cell>
          <cell r="K78">
            <v>0</v>
          </cell>
          <cell r="L78">
            <v>95000</v>
          </cell>
          <cell r="M78">
            <v>882760.73619631748</v>
          </cell>
        </row>
        <row r="79">
          <cell r="A79" t="str">
            <v>275S</v>
          </cell>
          <cell r="B79" t="str">
            <v>0000027501</v>
          </cell>
          <cell r="C79">
            <v>50</v>
          </cell>
          <cell r="D79">
            <v>240</v>
          </cell>
          <cell r="E79">
            <v>25</v>
          </cell>
          <cell r="F79">
            <v>2</v>
          </cell>
          <cell r="G79">
            <v>72.981999999999999</v>
          </cell>
          <cell r="H79" t="str">
            <v>Summer</v>
          </cell>
          <cell r="J79">
            <v>2257760.7361963177</v>
          </cell>
          <cell r="K79">
            <v>0</v>
          </cell>
          <cell r="L79">
            <v>950000</v>
          </cell>
          <cell r="M79">
            <v>3207760.7361963177</v>
          </cell>
        </row>
        <row r="80">
          <cell r="A80" t="str">
            <v>276S</v>
          </cell>
          <cell r="B80" t="str">
            <v>0000027601</v>
          </cell>
          <cell r="C80">
            <v>97.5</v>
          </cell>
          <cell r="D80">
            <v>138</v>
          </cell>
          <cell r="E80">
            <v>13.8</v>
          </cell>
          <cell r="F80">
            <v>3</v>
          </cell>
          <cell r="G80">
            <v>108.56480000000001</v>
          </cell>
          <cell r="H80" t="str">
            <v>Winter</v>
          </cell>
          <cell r="J80">
            <v>1522760.7361963175</v>
          </cell>
          <cell r="K80">
            <v>0</v>
          </cell>
          <cell r="L80">
            <v>1852500</v>
          </cell>
          <cell r="M80">
            <v>3375260.7361963177</v>
          </cell>
        </row>
        <row r="81">
          <cell r="A81" t="str">
            <v>277S</v>
          </cell>
          <cell r="B81" t="str">
            <v>0000027701</v>
          </cell>
          <cell r="C81">
            <v>25</v>
          </cell>
          <cell r="D81">
            <v>138</v>
          </cell>
          <cell r="E81">
            <v>25</v>
          </cell>
          <cell r="F81">
            <v>1</v>
          </cell>
          <cell r="G81">
            <v>33.553200000000004</v>
          </cell>
          <cell r="H81" t="str">
            <v>Summer</v>
          </cell>
          <cell r="J81">
            <v>1522760.7361963175</v>
          </cell>
          <cell r="K81">
            <v>0</v>
          </cell>
          <cell r="L81">
            <v>475000</v>
          </cell>
          <cell r="M81">
            <v>1997760.7361963175</v>
          </cell>
        </row>
        <row r="82">
          <cell r="A82" t="str">
            <v>283S</v>
          </cell>
          <cell r="B82" t="str">
            <v>0000028301</v>
          </cell>
          <cell r="C82">
            <v>50</v>
          </cell>
          <cell r="D82">
            <v>138</v>
          </cell>
          <cell r="E82">
            <v>25</v>
          </cell>
          <cell r="F82">
            <v>2</v>
          </cell>
          <cell r="G82">
            <v>37.315200000000004</v>
          </cell>
          <cell r="H82" t="str">
            <v>Winter</v>
          </cell>
          <cell r="J82">
            <v>1522760.7361963175</v>
          </cell>
          <cell r="K82">
            <v>0</v>
          </cell>
          <cell r="L82">
            <v>950000</v>
          </cell>
          <cell r="M82">
            <v>2472760.7361963177</v>
          </cell>
        </row>
        <row r="83">
          <cell r="A83" t="str">
            <v>284S</v>
          </cell>
          <cell r="B83" t="str">
            <v>0000028401</v>
          </cell>
          <cell r="C83">
            <v>15</v>
          </cell>
          <cell r="D83">
            <v>138</v>
          </cell>
          <cell r="E83">
            <v>4.16</v>
          </cell>
          <cell r="F83">
            <v>1</v>
          </cell>
          <cell r="G83">
            <v>9.1552000000000007</v>
          </cell>
          <cell r="H83" t="str">
            <v>Summer</v>
          </cell>
          <cell r="J83">
            <v>1522760.7361963175</v>
          </cell>
          <cell r="K83">
            <v>0</v>
          </cell>
          <cell r="L83">
            <v>285000</v>
          </cell>
          <cell r="M83">
            <v>1807760.7361963175</v>
          </cell>
        </row>
        <row r="84">
          <cell r="A84" t="str">
            <v>285S</v>
          </cell>
          <cell r="B84" t="str">
            <v>0000028501</v>
          </cell>
          <cell r="C84">
            <v>40</v>
          </cell>
          <cell r="D84">
            <v>138</v>
          </cell>
          <cell r="E84">
            <v>25</v>
          </cell>
          <cell r="F84">
            <v>2</v>
          </cell>
          <cell r="G84">
            <v>31.408000000000001</v>
          </cell>
          <cell r="H84" t="str">
            <v>Winter</v>
          </cell>
          <cell r="J84">
            <v>1522760.7361963175</v>
          </cell>
          <cell r="K84">
            <v>0</v>
          </cell>
          <cell r="L84">
            <v>760000</v>
          </cell>
          <cell r="M84">
            <v>2282760.7361963177</v>
          </cell>
        </row>
        <row r="85">
          <cell r="A85" t="str">
            <v>28S</v>
          </cell>
          <cell r="B85" t="str">
            <v>0000002801</v>
          </cell>
          <cell r="C85">
            <v>15</v>
          </cell>
          <cell r="D85">
            <v>138</v>
          </cell>
          <cell r="E85">
            <v>25</v>
          </cell>
          <cell r="F85">
            <v>1</v>
          </cell>
          <cell r="G85">
            <v>9.282</v>
          </cell>
          <cell r="H85" t="str">
            <v>Summer</v>
          </cell>
          <cell r="J85">
            <v>1522760.7361963175</v>
          </cell>
          <cell r="K85">
            <v>0</v>
          </cell>
          <cell r="L85">
            <v>285000</v>
          </cell>
          <cell r="M85">
            <v>1807760.7361963175</v>
          </cell>
        </row>
        <row r="86">
          <cell r="A86" t="str">
            <v>291S</v>
          </cell>
          <cell r="B86" t="str">
            <v>0000029101</v>
          </cell>
          <cell r="C86">
            <v>15</v>
          </cell>
          <cell r="D86">
            <v>138</v>
          </cell>
          <cell r="E86">
            <v>25</v>
          </cell>
          <cell r="F86">
            <v>1</v>
          </cell>
          <cell r="G86">
            <v>21.204800000000002</v>
          </cell>
          <cell r="H86" t="str">
            <v>Winter</v>
          </cell>
          <cell r="J86">
            <v>1522760.7361963175</v>
          </cell>
          <cell r="K86">
            <v>0</v>
          </cell>
          <cell r="L86">
            <v>285000</v>
          </cell>
          <cell r="M86">
            <v>1807760.7361963175</v>
          </cell>
        </row>
        <row r="87">
          <cell r="A87" t="str">
            <v>292S</v>
          </cell>
          <cell r="B87" t="str">
            <v>0000029201</v>
          </cell>
          <cell r="C87">
            <v>10</v>
          </cell>
          <cell r="D87">
            <v>138</v>
          </cell>
          <cell r="E87">
            <v>25</v>
          </cell>
          <cell r="F87">
            <v>1</v>
          </cell>
          <cell r="G87">
            <v>3.9980000000000002</v>
          </cell>
          <cell r="H87" t="str">
            <v>Winter</v>
          </cell>
          <cell r="J87">
            <v>1522760.7361963175</v>
          </cell>
          <cell r="K87">
            <v>0</v>
          </cell>
          <cell r="L87">
            <v>190000</v>
          </cell>
          <cell r="M87">
            <v>1712760.7361963175</v>
          </cell>
        </row>
        <row r="88">
          <cell r="A88" t="str">
            <v>294S</v>
          </cell>
          <cell r="B88" t="str">
            <v>0000029401</v>
          </cell>
          <cell r="C88">
            <v>2.5</v>
          </cell>
          <cell r="D88">
            <v>138</v>
          </cell>
          <cell r="E88">
            <v>25</v>
          </cell>
          <cell r="F88">
            <v>1</v>
          </cell>
          <cell r="G88">
            <v>11.3492</v>
          </cell>
          <cell r="H88" t="str">
            <v>Summer</v>
          </cell>
          <cell r="J88">
            <v>1522760.7361963175</v>
          </cell>
          <cell r="K88">
            <v>0</v>
          </cell>
          <cell r="L88">
            <v>47500</v>
          </cell>
          <cell r="M88">
            <v>1570260.7361963175</v>
          </cell>
        </row>
        <row r="89">
          <cell r="A89" t="str">
            <v>296S</v>
          </cell>
          <cell r="B89" t="str">
            <v>ENB296S</v>
          </cell>
          <cell r="C89">
            <v>40</v>
          </cell>
          <cell r="D89">
            <v>138</v>
          </cell>
          <cell r="E89">
            <v>4.16</v>
          </cell>
          <cell r="F89">
            <v>2</v>
          </cell>
          <cell r="G89">
            <v>19.2364</v>
          </cell>
          <cell r="H89" t="str">
            <v/>
          </cell>
          <cell r="J89">
            <v>1522760.7361963175</v>
          </cell>
          <cell r="K89">
            <v>0</v>
          </cell>
          <cell r="L89">
            <v>760000</v>
          </cell>
          <cell r="M89">
            <v>2282760.7361963177</v>
          </cell>
        </row>
        <row r="90">
          <cell r="A90" t="str">
            <v>297S</v>
          </cell>
          <cell r="B90" t="str">
            <v>0000029701</v>
          </cell>
          <cell r="C90">
            <v>15</v>
          </cell>
          <cell r="D90">
            <v>138</v>
          </cell>
          <cell r="E90">
            <v>25</v>
          </cell>
          <cell r="F90">
            <v>1</v>
          </cell>
          <cell r="G90">
            <v>19.172800000000002</v>
          </cell>
          <cell r="H90" t="str">
            <v>Winter</v>
          </cell>
          <cell r="J90">
            <v>1522760.7361963175</v>
          </cell>
          <cell r="K90">
            <v>0</v>
          </cell>
          <cell r="L90">
            <v>285000</v>
          </cell>
          <cell r="M90">
            <v>1807760.7361963175</v>
          </cell>
        </row>
        <row r="91">
          <cell r="A91" t="str">
            <v>299S</v>
          </cell>
          <cell r="B91" t="str">
            <v>ENB299S</v>
          </cell>
          <cell r="C91">
            <v>15</v>
          </cell>
          <cell r="D91">
            <v>138</v>
          </cell>
          <cell r="E91">
            <v>4.16</v>
          </cell>
          <cell r="F91">
            <v>1</v>
          </cell>
          <cell r="G91">
            <v>12.554400000000001</v>
          </cell>
          <cell r="H91" t="str">
            <v/>
          </cell>
          <cell r="J91">
            <v>1522760.7361963175</v>
          </cell>
          <cell r="K91">
            <v>0</v>
          </cell>
          <cell r="L91">
            <v>285000</v>
          </cell>
          <cell r="M91">
            <v>1807760.7361963175</v>
          </cell>
        </row>
        <row r="92">
          <cell r="A92" t="str">
            <v>29EDD-1</v>
          </cell>
          <cell r="B92" t="str">
            <v>SCR</v>
          </cell>
          <cell r="C92">
            <v>91.8</v>
          </cell>
          <cell r="D92">
            <v>69</v>
          </cell>
          <cell r="E92">
            <v>25</v>
          </cell>
          <cell r="F92">
            <v>1</v>
          </cell>
          <cell r="G92">
            <v>30</v>
          </cell>
          <cell r="H92" t="str">
            <v>Summer</v>
          </cell>
          <cell r="J92">
            <v>787760.73619631748</v>
          </cell>
          <cell r="K92">
            <v>0</v>
          </cell>
          <cell r="L92">
            <v>1744200</v>
          </cell>
          <cell r="M92">
            <v>2531960.7361963177</v>
          </cell>
        </row>
        <row r="93">
          <cell r="A93" t="str">
            <v>304S</v>
          </cell>
          <cell r="B93" t="str">
            <v>0000030401</v>
          </cell>
          <cell r="C93">
            <v>15</v>
          </cell>
          <cell r="D93">
            <v>138</v>
          </cell>
          <cell r="E93">
            <v>25</v>
          </cell>
          <cell r="F93">
            <v>1</v>
          </cell>
          <cell r="G93">
            <v>5.726</v>
          </cell>
          <cell r="H93" t="str">
            <v>Summer</v>
          </cell>
          <cell r="J93">
            <v>1522760.7361963175</v>
          </cell>
          <cell r="K93">
            <v>0</v>
          </cell>
          <cell r="L93">
            <v>285000</v>
          </cell>
          <cell r="M93">
            <v>1807760.7361963175</v>
          </cell>
        </row>
        <row r="94">
          <cell r="A94" t="str">
            <v>304S</v>
          </cell>
          <cell r="B94" t="str">
            <v>0000030402</v>
          </cell>
          <cell r="C94">
            <v>20</v>
          </cell>
          <cell r="D94">
            <v>138</v>
          </cell>
          <cell r="E94">
            <v>13.8</v>
          </cell>
          <cell r="F94">
            <v>1</v>
          </cell>
          <cell r="G94">
            <v>15.246400000000001</v>
          </cell>
          <cell r="H94" t="str">
            <v>Summer</v>
          </cell>
          <cell r="J94">
            <v>1522760.7361963175</v>
          </cell>
          <cell r="K94">
            <v>0</v>
          </cell>
          <cell r="L94">
            <v>380000</v>
          </cell>
          <cell r="M94">
            <v>1902760.7361963175</v>
          </cell>
        </row>
        <row r="95">
          <cell r="A95" t="str">
            <v>305S</v>
          </cell>
          <cell r="B95" t="str">
            <v>0000030501</v>
          </cell>
          <cell r="C95">
            <v>25</v>
          </cell>
          <cell r="D95">
            <v>138</v>
          </cell>
          <cell r="E95">
            <v>25</v>
          </cell>
          <cell r="F95">
            <v>1</v>
          </cell>
          <cell r="G95">
            <v>26.008800000000001</v>
          </cell>
          <cell r="H95" t="str">
            <v>Summer</v>
          </cell>
          <cell r="J95">
            <v>1522760.7361963175</v>
          </cell>
          <cell r="K95">
            <v>0</v>
          </cell>
          <cell r="L95">
            <v>475000</v>
          </cell>
          <cell r="M95">
            <v>1997760.7361963175</v>
          </cell>
        </row>
        <row r="96">
          <cell r="A96" t="str">
            <v>3080S</v>
          </cell>
          <cell r="B96" t="str">
            <v>0000308001</v>
          </cell>
          <cell r="C96">
            <v>5</v>
          </cell>
          <cell r="D96">
            <v>69</v>
          </cell>
          <cell r="E96">
            <v>4.16</v>
          </cell>
          <cell r="F96">
            <v>1</v>
          </cell>
          <cell r="G96">
            <v>2.0388000000000002</v>
          </cell>
          <cell r="H96" t="str">
            <v>Summer</v>
          </cell>
          <cell r="J96">
            <v>787760.73619631748</v>
          </cell>
          <cell r="K96">
            <v>0</v>
          </cell>
          <cell r="L96">
            <v>95000</v>
          </cell>
          <cell r="M96">
            <v>882760.73619631748</v>
          </cell>
        </row>
        <row r="97">
          <cell r="A97" t="str">
            <v>308S</v>
          </cell>
          <cell r="B97" t="str">
            <v>0000030801</v>
          </cell>
          <cell r="C97">
            <v>60</v>
          </cell>
          <cell r="D97">
            <v>138</v>
          </cell>
          <cell r="E97">
            <v>13.8</v>
          </cell>
          <cell r="F97">
            <v>2</v>
          </cell>
          <cell r="G97">
            <v>72.366</v>
          </cell>
          <cell r="H97" t="str">
            <v>Summer</v>
          </cell>
          <cell r="J97">
            <v>1522760.7361963175</v>
          </cell>
          <cell r="K97">
            <v>0</v>
          </cell>
          <cell r="L97">
            <v>1140000</v>
          </cell>
          <cell r="M97">
            <v>2662760.7361963177</v>
          </cell>
        </row>
        <row r="98">
          <cell r="A98" t="str">
            <v>316S</v>
          </cell>
          <cell r="B98" t="str">
            <v>0000031601</v>
          </cell>
          <cell r="C98">
            <v>15</v>
          </cell>
          <cell r="D98">
            <v>138</v>
          </cell>
          <cell r="E98">
            <v>25</v>
          </cell>
          <cell r="F98">
            <v>1</v>
          </cell>
          <cell r="G98">
            <v>13.404</v>
          </cell>
          <cell r="H98" t="str">
            <v>Winter</v>
          </cell>
          <cell r="J98">
            <v>1522760.7361963175</v>
          </cell>
          <cell r="K98">
            <v>0</v>
          </cell>
          <cell r="L98">
            <v>285000</v>
          </cell>
          <cell r="M98">
            <v>1807760.7361963175</v>
          </cell>
        </row>
        <row r="99">
          <cell r="A99" t="str">
            <v>317S</v>
          </cell>
          <cell r="B99" t="str">
            <v>ENB317S</v>
          </cell>
          <cell r="C99">
            <v>9</v>
          </cell>
          <cell r="D99">
            <v>138</v>
          </cell>
          <cell r="E99">
            <v>4.16</v>
          </cell>
          <cell r="F99">
            <v>1</v>
          </cell>
          <cell r="G99">
            <v>7.5880000000000001</v>
          </cell>
          <cell r="H99" t="str">
            <v>Winter</v>
          </cell>
          <cell r="J99">
            <v>1522760.7361963175</v>
          </cell>
          <cell r="K99">
            <v>0</v>
          </cell>
          <cell r="L99">
            <v>171000</v>
          </cell>
          <cell r="M99">
            <v>1693760.7361963175</v>
          </cell>
        </row>
        <row r="100">
          <cell r="A100" t="str">
            <v>320P</v>
          </cell>
          <cell r="B100" t="str">
            <v>0000032001</v>
          </cell>
          <cell r="C100">
            <v>6</v>
          </cell>
          <cell r="D100">
            <v>69</v>
          </cell>
          <cell r="E100">
            <v>25</v>
          </cell>
          <cell r="F100">
            <v>1</v>
          </cell>
          <cell r="G100">
            <v>2.9812000000000003</v>
          </cell>
          <cell r="H100" t="str">
            <v>Winter</v>
          </cell>
          <cell r="J100">
            <v>787760.73619631748</v>
          </cell>
          <cell r="K100">
            <v>0</v>
          </cell>
          <cell r="L100">
            <v>114000</v>
          </cell>
          <cell r="M100">
            <v>901760.73619631748</v>
          </cell>
        </row>
        <row r="101">
          <cell r="A101" t="str">
            <v>320P</v>
          </cell>
          <cell r="B101" t="str">
            <v>0000032001</v>
          </cell>
          <cell r="C101">
            <v>2.5</v>
          </cell>
          <cell r="D101">
            <v>138</v>
          </cell>
          <cell r="E101">
            <v>25</v>
          </cell>
          <cell r="F101">
            <v>1</v>
          </cell>
          <cell r="G101">
            <v>2.9812000000000003</v>
          </cell>
          <cell r="H101" t="str">
            <v>Winter</v>
          </cell>
          <cell r="J101">
            <v>1522760.7361963175</v>
          </cell>
          <cell r="K101">
            <v>0</v>
          </cell>
          <cell r="L101">
            <v>47500</v>
          </cell>
          <cell r="M101">
            <v>1570260.7361963175</v>
          </cell>
        </row>
        <row r="102">
          <cell r="A102" t="str">
            <v>329S</v>
          </cell>
          <cell r="B102" t="str">
            <v>0000032901</v>
          </cell>
          <cell r="C102">
            <v>10</v>
          </cell>
          <cell r="D102">
            <v>138</v>
          </cell>
          <cell r="E102">
            <v>4.16</v>
          </cell>
          <cell r="F102">
            <v>1</v>
          </cell>
          <cell r="G102">
            <v>7.1036000000000001</v>
          </cell>
          <cell r="H102" t="str">
            <v>Summer</v>
          </cell>
          <cell r="J102">
            <v>1522760.7361963175</v>
          </cell>
          <cell r="K102">
            <v>0</v>
          </cell>
          <cell r="L102">
            <v>190000</v>
          </cell>
          <cell r="M102">
            <v>1712760.7361963175</v>
          </cell>
        </row>
        <row r="103">
          <cell r="A103" t="str">
            <v>331S</v>
          </cell>
          <cell r="B103" t="str">
            <v>0000033101</v>
          </cell>
          <cell r="C103">
            <v>30</v>
          </cell>
          <cell r="D103">
            <v>138</v>
          </cell>
          <cell r="E103">
            <v>25</v>
          </cell>
          <cell r="F103">
            <v>2</v>
          </cell>
          <cell r="G103">
            <v>21.9316</v>
          </cell>
          <cell r="H103" t="str">
            <v>Winter</v>
          </cell>
          <cell r="J103">
            <v>1522760.7361963175</v>
          </cell>
          <cell r="K103">
            <v>0</v>
          </cell>
          <cell r="L103">
            <v>570000</v>
          </cell>
          <cell r="M103">
            <v>2092760.7361963175</v>
          </cell>
        </row>
        <row r="104">
          <cell r="A104" t="str">
            <v>332S</v>
          </cell>
          <cell r="B104" t="str">
            <v>0000033201</v>
          </cell>
          <cell r="C104">
            <v>60</v>
          </cell>
          <cell r="D104">
            <v>138</v>
          </cell>
          <cell r="E104">
            <v>13.8</v>
          </cell>
          <cell r="F104">
            <v>2</v>
          </cell>
          <cell r="G104">
            <v>60</v>
          </cell>
          <cell r="H104" t="str">
            <v>Winter</v>
          </cell>
          <cell r="J104">
            <v>1522760.7361963175</v>
          </cell>
          <cell r="K104">
            <v>0</v>
          </cell>
          <cell r="L104">
            <v>1140000</v>
          </cell>
          <cell r="M104">
            <v>2662760.7361963177</v>
          </cell>
        </row>
        <row r="105">
          <cell r="A105" t="str">
            <v>336S</v>
          </cell>
          <cell r="B105" t="str">
            <v>0000033601</v>
          </cell>
          <cell r="C105">
            <v>15</v>
          </cell>
          <cell r="D105">
            <v>138</v>
          </cell>
          <cell r="E105">
            <v>25</v>
          </cell>
          <cell r="F105">
            <v>1</v>
          </cell>
          <cell r="G105">
            <v>15.23</v>
          </cell>
          <cell r="H105" t="str">
            <v>Summer</v>
          </cell>
          <cell r="J105">
            <v>1522760.7361963175</v>
          </cell>
          <cell r="K105">
            <v>0</v>
          </cell>
          <cell r="L105">
            <v>285000</v>
          </cell>
          <cell r="M105">
            <v>1807760.7361963175</v>
          </cell>
        </row>
        <row r="106">
          <cell r="A106" t="str">
            <v>337S</v>
          </cell>
          <cell r="B106" t="str">
            <v>0000033701</v>
          </cell>
          <cell r="C106">
            <v>10</v>
          </cell>
          <cell r="D106">
            <v>138</v>
          </cell>
          <cell r="E106">
            <v>4.16</v>
          </cell>
          <cell r="F106">
            <v>1</v>
          </cell>
          <cell r="G106">
            <v>8.3352000000000004</v>
          </cell>
          <cell r="H106" t="str">
            <v>Winter</v>
          </cell>
          <cell r="J106">
            <v>1522760.7361963175</v>
          </cell>
          <cell r="K106">
            <v>0</v>
          </cell>
          <cell r="L106">
            <v>190000</v>
          </cell>
          <cell r="M106">
            <v>1712760.7361963175</v>
          </cell>
        </row>
        <row r="107">
          <cell r="A107" t="str">
            <v>339S</v>
          </cell>
          <cell r="B107" t="str">
            <v>0000033901</v>
          </cell>
          <cell r="C107">
            <v>15</v>
          </cell>
          <cell r="D107">
            <v>138</v>
          </cell>
          <cell r="E107">
            <v>25</v>
          </cell>
          <cell r="F107">
            <v>1</v>
          </cell>
          <cell r="G107">
            <v>16.14</v>
          </cell>
          <cell r="H107" t="str">
            <v>Summer</v>
          </cell>
          <cell r="J107">
            <v>1522760.7361963175</v>
          </cell>
          <cell r="K107">
            <v>0</v>
          </cell>
          <cell r="L107">
            <v>285000</v>
          </cell>
          <cell r="M107">
            <v>1807760.7361963175</v>
          </cell>
        </row>
        <row r="108">
          <cell r="A108" t="str">
            <v>341S</v>
          </cell>
          <cell r="B108" t="str">
            <v>0000034101</v>
          </cell>
          <cell r="C108">
            <v>50</v>
          </cell>
          <cell r="D108">
            <v>138</v>
          </cell>
          <cell r="E108">
            <v>13.8</v>
          </cell>
          <cell r="F108">
            <v>1</v>
          </cell>
          <cell r="G108">
            <v>47.1404</v>
          </cell>
          <cell r="H108" t="str">
            <v>Summer</v>
          </cell>
          <cell r="J108">
            <v>1522760.7361963175</v>
          </cell>
          <cell r="K108">
            <v>0</v>
          </cell>
          <cell r="L108">
            <v>950000</v>
          </cell>
          <cell r="M108">
            <v>2472760.7361963177</v>
          </cell>
        </row>
        <row r="109">
          <cell r="A109" t="str">
            <v>344S</v>
          </cell>
          <cell r="B109" t="str">
            <v>0000034401</v>
          </cell>
          <cell r="C109">
            <v>7</v>
          </cell>
          <cell r="D109">
            <v>69</v>
          </cell>
          <cell r="E109">
            <v>25</v>
          </cell>
          <cell r="F109">
            <v>2</v>
          </cell>
          <cell r="G109">
            <v>5.8568000000000007</v>
          </cell>
          <cell r="H109" t="str">
            <v>Summer</v>
          </cell>
          <cell r="J109">
            <v>787760.73619631748</v>
          </cell>
          <cell r="K109">
            <v>0</v>
          </cell>
          <cell r="L109">
            <v>133000</v>
          </cell>
          <cell r="M109">
            <v>920760.73619631748</v>
          </cell>
        </row>
        <row r="110">
          <cell r="A110" t="str">
            <v>346S</v>
          </cell>
          <cell r="B110" t="str">
            <v>0000034601</v>
          </cell>
          <cell r="C110">
            <v>9</v>
          </cell>
          <cell r="D110">
            <v>138</v>
          </cell>
          <cell r="E110">
            <v>4.16</v>
          </cell>
          <cell r="F110">
            <v>1</v>
          </cell>
          <cell r="G110">
            <v>5.3848000000000003</v>
          </cell>
          <cell r="H110" t="str">
            <v>Summer</v>
          </cell>
          <cell r="J110">
            <v>1522760.7361963175</v>
          </cell>
          <cell r="K110">
            <v>0</v>
          </cell>
          <cell r="L110">
            <v>171000</v>
          </cell>
          <cell r="M110">
            <v>1693760.7361963175</v>
          </cell>
        </row>
        <row r="111">
          <cell r="A111" t="str">
            <v>349S</v>
          </cell>
          <cell r="B111" t="str">
            <v>0000034901</v>
          </cell>
          <cell r="C111">
            <v>4</v>
          </cell>
          <cell r="D111">
            <v>138</v>
          </cell>
          <cell r="E111">
            <v>25</v>
          </cell>
          <cell r="F111">
            <v>1</v>
          </cell>
          <cell r="G111">
            <v>12.967600000000001</v>
          </cell>
          <cell r="H111" t="str">
            <v>Winter</v>
          </cell>
          <cell r="J111">
            <v>1522760.7361963175</v>
          </cell>
          <cell r="K111">
            <v>0</v>
          </cell>
          <cell r="L111">
            <v>76000</v>
          </cell>
          <cell r="M111">
            <v>1598760.7361963175</v>
          </cell>
        </row>
        <row r="112">
          <cell r="A112" t="str">
            <v>352S</v>
          </cell>
          <cell r="B112" t="str">
            <v>0000035201</v>
          </cell>
          <cell r="C112">
            <v>8</v>
          </cell>
          <cell r="D112">
            <v>69</v>
          </cell>
          <cell r="E112">
            <v>25</v>
          </cell>
          <cell r="F112">
            <v>2</v>
          </cell>
          <cell r="G112">
            <v>10.95</v>
          </cell>
          <cell r="H112" t="str">
            <v>Winter</v>
          </cell>
          <cell r="J112">
            <v>787760.73619631748</v>
          </cell>
          <cell r="K112">
            <v>0</v>
          </cell>
          <cell r="L112">
            <v>152000</v>
          </cell>
          <cell r="M112">
            <v>939760.73619631748</v>
          </cell>
        </row>
        <row r="113">
          <cell r="A113" t="str">
            <v>353S</v>
          </cell>
          <cell r="B113" t="str">
            <v>0000035301</v>
          </cell>
          <cell r="C113">
            <v>15</v>
          </cell>
          <cell r="D113">
            <v>138</v>
          </cell>
          <cell r="E113">
            <v>25</v>
          </cell>
          <cell r="F113">
            <v>1</v>
          </cell>
          <cell r="G113">
            <v>11.535600000000001</v>
          </cell>
          <cell r="H113" t="str">
            <v>Summer</v>
          </cell>
          <cell r="J113">
            <v>1522760.7361963175</v>
          </cell>
          <cell r="K113">
            <v>0</v>
          </cell>
          <cell r="L113">
            <v>285000</v>
          </cell>
          <cell r="M113">
            <v>1807760.7361963175</v>
          </cell>
        </row>
        <row r="114">
          <cell r="A114" t="str">
            <v>355S</v>
          </cell>
          <cell r="B114" t="str">
            <v>0000035501</v>
          </cell>
          <cell r="C114">
            <v>30</v>
          </cell>
          <cell r="D114">
            <v>138</v>
          </cell>
          <cell r="E114">
            <v>4.16</v>
          </cell>
          <cell r="F114">
            <v>2</v>
          </cell>
          <cell r="G114">
            <v>17.304000000000002</v>
          </cell>
          <cell r="H114" t="str">
            <v>Winter</v>
          </cell>
          <cell r="J114">
            <v>1522760.7361963175</v>
          </cell>
          <cell r="K114">
            <v>0</v>
          </cell>
          <cell r="L114">
            <v>570000</v>
          </cell>
          <cell r="M114">
            <v>2092760.7361963175</v>
          </cell>
        </row>
        <row r="115">
          <cell r="A115" t="str">
            <v>358S</v>
          </cell>
          <cell r="B115" t="str">
            <v>0000035801</v>
          </cell>
          <cell r="C115">
            <v>15</v>
          </cell>
          <cell r="D115">
            <v>138</v>
          </cell>
          <cell r="E115">
            <v>25</v>
          </cell>
          <cell r="F115">
            <v>1</v>
          </cell>
          <cell r="G115">
            <v>16.564</v>
          </cell>
          <cell r="H115" t="str">
            <v>Summer</v>
          </cell>
          <cell r="J115">
            <v>1522760.7361963175</v>
          </cell>
          <cell r="K115">
            <v>0</v>
          </cell>
          <cell r="L115">
            <v>285000</v>
          </cell>
          <cell r="M115">
            <v>1807760.7361963175</v>
          </cell>
        </row>
        <row r="116">
          <cell r="A116" t="str">
            <v>359S</v>
          </cell>
          <cell r="B116" t="str">
            <v>0000035901</v>
          </cell>
          <cell r="C116">
            <v>10.6</v>
          </cell>
          <cell r="D116">
            <v>138</v>
          </cell>
          <cell r="E116">
            <v>25</v>
          </cell>
          <cell r="F116">
            <v>2</v>
          </cell>
          <cell r="G116">
            <v>15.744000000000002</v>
          </cell>
          <cell r="H116" t="str">
            <v>Fall</v>
          </cell>
          <cell r="J116">
            <v>1522760.7361963175</v>
          </cell>
          <cell r="K116">
            <v>0</v>
          </cell>
          <cell r="L116">
            <v>201400</v>
          </cell>
          <cell r="M116">
            <v>1724160.7361963175</v>
          </cell>
        </row>
        <row r="117">
          <cell r="A117" t="str">
            <v>364S</v>
          </cell>
          <cell r="B117" t="str">
            <v>0000036401</v>
          </cell>
          <cell r="C117">
            <v>15</v>
          </cell>
          <cell r="D117">
            <v>138</v>
          </cell>
          <cell r="E117">
            <v>25</v>
          </cell>
          <cell r="F117">
            <v>1</v>
          </cell>
          <cell r="G117">
            <v>16.504799999999999</v>
          </cell>
          <cell r="H117" t="str">
            <v>Winter</v>
          </cell>
          <cell r="J117">
            <v>1522760.7361963175</v>
          </cell>
          <cell r="K117">
            <v>0</v>
          </cell>
          <cell r="L117">
            <v>285000</v>
          </cell>
          <cell r="M117">
            <v>1807760.7361963175</v>
          </cell>
        </row>
        <row r="118">
          <cell r="A118" t="str">
            <v>365S</v>
          </cell>
          <cell r="B118" t="str">
            <v>0000036501</v>
          </cell>
          <cell r="C118">
            <v>50</v>
          </cell>
          <cell r="D118">
            <v>138</v>
          </cell>
          <cell r="E118">
            <v>13.8</v>
          </cell>
          <cell r="F118">
            <v>1</v>
          </cell>
          <cell r="G118">
            <v>60.43</v>
          </cell>
          <cell r="H118" t="str">
            <v>Winter</v>
          </cell>
          <cell r="J118">
            <v>1522760.7361963175</v>
          </cell>
          <cell r="K118">
            <v>0</v>
          </cell>
          <cell r="L118">
            <v>950000</v>
          </cell>
          <cell r="M118">
            <v>2472760.7361963177</v>
          </cell>
        </row>
        <row r="119">
          <cell r="A119" t="str">
            <v>368S</v>
          </cell>
          <cell r="B119" t="str">
            <v>0000036801</v>
          </cell>
          <cell r="C119">
            <v>25</v>
          </cell>
          <cell r="D119">
            <v>138</v>
          </cell>
          <cell r="E119">
            <v>25</v>
          </cell>
          <cell r="F119">
            <v>1</v>
          </cell>
          <cell r="G119">
            <v>21.79</v>
          </cell>
          <cell r="H119" t="str">
            <v>Summer</v>
          </cell>
          <cell r="J119">
            <v>1522760.7361963175</v>
          </cell>
          <cell r="K119">
            <v>0</v>
          </cell>
          <cell r="L119">
            <v>475000</v>
          </cell>
          <cell r="M119">
            <v>1997760.7361963175</v>
          </cell>
        </row>
        <row r="120">
          <cell r="A120" t="str">
            <v>370S</v>
          </cell>
          <cell r="B120" t="str">
            <v>0000037001</v>
          </cell>
          <cell r="C120">
            <v>40</v>
          </cell>
          <cell r="D120">
            <v>138</v>
          </cell>
          <cell r="E120">
            <v>25</v>
          </cell>
          <cell r="F120">
            <v>2</v>
          </cell>
          <cell r="G120">
            <v>18.0716</v>
          </cell>
          <cell r="H120" t="str">
            <v>Winter</v>
          </cell>
          <cell r="J120">
            <v>1522760.7361963175</v>
          </cell>
          <cell r="K120">
            <v>0</v>
          </cell>
          <cell r="L120">
            <v>760000</v>
          </cell>
          <cell r="M120">
            <v>2282760.7361963177</v>
          </cell>
        </row>
        <row r="121">
          <cell r="A121" t="str">
            <v>373S</v>
          </cell>
          <cell r="B121" t="str">
            <v>0000037301</v>
          </cell>
          <cell r="C121">
            <v>15</v>
          </cell>
          <cell r="D121">
            <v>138</v>
          </cell>
          <cell r="E121">
            <v>25</v>
          </cell>
          <cell r="F121">
            <v>1</v>
          </cell>
          <cell r="G121">
            <v>15.051200000000001</v>
          </cell>
          <cell r="H121" t="str">
            <v>Winter</v>
          </cell>
          <cell r="J121">
            <v>1522760.7361963175</v>
          </cell>
          <cell r="K121">
            <v>0</v>
          </cell>
          <cell r="L121">
            <v>285000</v>
          </cell>
          <cell r="M121">
            <v>1807760.7361963175</v>
          </cell>
        </row>
        <row r="122">
          <cell r="A122" t="str">
            <v>377S</v>
          </cell>
          <cell r="B122" t="str">
            <v>0000037701</v>
          </cell>
          <cell r="C122">
            <v>25</v>
          </cell>
          <cell r="D122">
            <v>138</v>
          </cell>
          <cell r="E122">
            <v>25</v>
          </cell>
          <cell r="F122">
            <v>1</v>
          </cell>
          <cell r="G122">
            <v>18.172800000000002</v>
          </cell>
          <cell r="H122" t="str">
            <v>Winter</v>
          </cell>
          <cell r="J122">
            <v>1522760.7361963175</v>
          </cell>
          <cell r="K122">
            <v>0</v>
          </cell>
          <cell r="L122">
            <v>475000</v>
          </cell>
          <cell r="M122">
            <v>1997760.7361963175</v>
          </cell>
        </row>
        <row r="123">
          <cell r="A123" t="str">
            <v>378S</v>
          </cell>
          <cell r="B123" t="str">
            <v>0000037801</v>
          </cell>
          <cell r="C123">
            <v>50</v>
          </cell>
          <cell r="D123">
            <v>138</v>
          </cell>
          <cell r="E123">
            <v>25</v>
          </cell>
          <cell r="F123">
            <v>2</v>
          </cell>
          <cell r="G123">
            <v>37.924800000000005</v>
          </cell>
          <cell r="H123" t="str">
            <v>Summer</v>
          </cell>
          <cell r="J123">
            <v>1522760.7361963175</v>
          </cell>
          <cell r="K123">
            <v>0</v>
          </cell>
          <cell r="L123">
            <v>950000</v>
          </cell>
          <cell r="M123">
            <v>2472760.7361963177</v>
          </cell>
        </row>
        <row r="124">
          <cell r="A124" t="str">
            <v>379S</v>
          </cell>
          <cell r="B124" t="str">
            <v>0000037901</v>
          </cell>
          <cell r="C124">
            <v>22.5</v>
          </cell>
          <cell r="D124">
            <v>69</v>
          </cell>
          <cell r="E124">
            <v>4.16</v>
          </cell>
          <cell r="F124">
            <v>2</v>
          </cell>
          <cell r="G124">
            <v>15.99</v>
          </cell>
          <cell r="H124" t="str">
            <v>Summer</v>
          </cell>
          <cell r="J124">
            <v>787760.73619631748</v>
          </cell>
          <cell r="K124">
            <v>0</v>
          </cell>
          <cell r="L124">
            <v>427500</v>
          </cell>
          <cell r="M124">
            <v>1215260.7361963175</v>
          </cell>
        </row>
        <row r="125">
          <cell r="A125" t="str">
            <v>37S</v>
          </cell>
          <cell r="B125" t="str">
            <v>0000003701</v>
          </cell>
          <cell r="C125">
            <v>50</v>
          </cell>
          <cell r="D125">
            <v>138</v>
          </cell>
          <cell r="E125">
            <v>25</v>
          </cell>
          <cell r="F125">
            <v>2</v>
          </cell>
          <cell r="G125">
            <v>59.99</v>
          </cell>
          <cell r="H125" t="str">
            <v>Winter</v>
          </cell>
          <cell r="J125">
            <v>1522760.7361963175</v>
          </cell>
          <cell r="K125">
            <v>0</v>
          </cell>
          <cell r="L125">
            <v>950000</v>
          </cell>
          <cell r="M125">
            <v>2472760.7361963177</v>
          </cell>
        </row>
        <row r="126">
          <cell r="A126" t="str">
            <v>384S</v>
          </cell>
          <cell r="B126" t="str">
            <v>0000038401</v>
          </cell>
          <cell r="C126">
            <v>15</v>
          </cell>
          <cell r="D126">
            <v>138</v>
          </cell>
          <cell r="E126">
            <v>25</v>
          </cell>
          <cell r="F126">
            <v>1</v>
          </cell>
          <cell r="G126">
            <v>18.614800000000002</v>
          </cell>
          <cell r="H126" t="str">
            <v>Winter</v>
          </cell>
          <cell r="J126">
            <v>1522760.7361963175</v>
          </cell>
          <cell r="K126">
            <v>0</v>
          </cell>
          <cell r="L126">
            <v>285000</v>
          </cell>
          <cell r="M126">
            <v>1807760.7361963175</v>
          </cell>
        </row>
        <row r="127">
          <cell r="A127" t="str">
            <v>385S</v>
          </cell>
          <cell r="B127" t="str">
            <v>0000038501</v>
          </cell>
          <cell r="C127">
            <v>12</v>
          </cell>
          <cell r="D127">
            <v>69</v>
          </cell>
          <cell r="E127">
            <v>25</v>
          </cell>
          <cell r="F127">
            <v>2</v>
          </cell>
          <cell r="G127">
            <v>8.782</v>
          </cell>
          <cell r="H127" t="str">
            <v>Winter</v>
          </cell>
          <cell r="J127">
            <v>787760.73619631748</v>
          </cell>
          <cell r="K127">
            <v>0</v>
          </cell>
          <cell r="L127">
            <v>228000</v>
          </cell>
          <cell r="M127">
            <v>1015760.7361963175</v>
          </cell>
        </row>
        <row r="128">
          <cell r="A128" t="str">
            <v>387S</v>
          </cell>
          <cell r="B128" t="str">
            <v>0000038701</v>
          </cell>
          <cell r="C128">
            <v>7.5</v>
          </cell>
          <cell r="D128">
            <v>138</v>
          </cell>
          <cell r="E128">
            <v>25</v>
          </cell>
          <cell r="F128">
            <v>1</v>
          </cell>
          <cell r="G128">
            <v>9.9112000000000009</v>
          </cell>
          <cell r="H128" t="str">
            <v>Winter</v>
          </cell>
          <cell r="J128">
            <v>1522760.7361963175</v>
          </cell>
          <cell r="K128">
            <v>0</v>
          </cell>
          <cell r="L128">
            <v>142500</v>
          </cell>
          <cell r="M128">
            <v>1665260.7361963175</v>
          </cell>
        </row>
        <row r="129">
          <cell r="A129" t="str">
            <v>388S</v>
          </cell>
          <cell r="B129" t="str">
            <v>0000038801</v>
          </cell>
          <cell r="C129">
            <v>15</v>
          </cell>
          <cell r="D129">
            <v>138</v>
          </cell>
          <cell r="E129">
            <v>4.16</v>
          </cell>
          <cell r="F129">
            <v>1</v>
          </cell>
          <cell r="G129">
            <v>18.064</v>
          </cell>
          <cell r="H129" t="str">
            <v>Winter</v>
          </cell>
          <cell r="J129">
            <v>1522760.7361963175</v>
          </cell>
          <cell r="K129">
            <v>0</v>
          </cell>
          <cell r="L129">
            <v>285000</v>
          </cell>
          <cell r="M129">
            <v>1807760.7361963175</v>
          </cell>
        </row>
        <row r="130">
          <cell r="A130" t="str">
            <v>38S</v>
          </cell>
          <cell r="B130" t="str">
            <v>0000003801</v>
          </cell>
          <cell r="C130">
            <v>50</v>
          </cell>
          <cell r="D130">
            <v>138</v>
          </cell>
          <cell r="E130">
            <v>25</v>
          </cell>
          <cell r="F130">
            <v>2</v>
          </cell>
          <cell r="G130">
            <v>72.214799999999997</v>
          </cell>
          <cell r="H130" t="str">
            <v>Summer</v>
          </cell>
          <cell r="J130">
            <v>1522760.7361963175</v>
          </cell>
          <cell r="K130">
            <v>0</v>
          </cell>
          <cell r="L130">
            <v>950000</v>
          </cell>
          <cell r="M130">
            <v>2472760.7361963177</v>
          </cell>
        </row>
        <row r="131">
          <cell r="A131" t="str">
            <v>391S</v>
          </cell>
          <cell r="B131" t="str">
            <v>0000039101</v>
          </cell>
          <cell r="C131">
            <v>15</v>
          </cell>
          <cell r="D131">
            <v>138</v>
          </cell>
          <cell r="E131">
            <v>25</v>
          </cell>
          <cell r="F131">
            <v>1</v>
          </cell>
          <cell r="G131">
            <v>9.4096000000000011</v>
          </cell>
          <cell r="H131" t="str">
            <v>Summer</v>
          </cell>
          <cell r="J131">
            <v>1522760.7361963175</v>
          </cell>
          <cell r="K131">
            <v>0</v>
          </cell>
          <cell r="L131">
            <v>285000</v>
          </cell>
          <cell r="M131">
            <v>1807760.7361963175</v>
          </cell>
        </row>
        <row r="132">
          <cell r="A132" t="str">
            <v>392S</v>
          </cell>
          <cell r="B132" t="str">
            <v>0000039201</v>
          </cell>
          <cell r="C132">
            <v>15</v>
          </cell>
          <cell r="D132">
            <v>69</v>
          </cell>
          <cell r="E132">
            <v>25</v>
          </cell>
          <cell r="F132">
            <v>1</v>
          </cell>
          <cell r="G132">
            <v>20.369600000000002</v>
          </cell>
          <cell r="H132" t="str">
            <v>Winter</v>
          </cell>
          <cell r="J132">
            <v>787760.73619631748</v>
          </cell>
          <cell r="K132">
            <v>0</v>
          </cell>
          <cell r="L132">
            <v>285000</v>
          </cell>
          <cell r="M132">
            <v>1072760.7361963175</v>
          </cell>
        </row>
        <row r="133">
          <cell r="A133" t="str">
            <v>392S</v>
          </cell>
          <cell r="B133" t="str">
            <v>0000039201</v>
          </cell>
          <cell r="C133">
            <v>15</v>
          </cell>
          <cell r="D133">
            <v>138</v>
          </cell>
          <cell r="E133">
            <v>25</v>
          </cell>
          <cell r="F133">
            <v>1</v>
          </cell>
          <cell r="G133">
            <v>20.369600000000002</v>
          </cell>
          <cell r="H133" t="str">
            <v>Winter</v>
          </cell>
          <cell r="J133">
            <v>1522760.7361963175</v>
          </cell>
          <cell r="K133">
            <v>0</v>
          </cell>
          <cell r="L133">
            <v>285000</v>
          </cell>
          <cell r="M133">
            <v>1807760.7361963175</v>
          </cell>
        </row>
        <row r="134">
          <cell r="A134" t="str">
            <v>394S</v>
          </cell>
          <cell r="B134" t="str">
            <v>0000039401</v>
          </cell>
          <cell r="C134">
            <v>22.5</v>
          </cell>
          <cell r="D134">
            <v>138</v>
          </cell>
          <cell r="E134">
            <v>25</v>
          </cell>
          <cell r="F134">
            <v>2</v>
          </cell>
          <cell r="G134">
            <v>51.845600000000005</v>
          </cell>
          <cell r="H134" t="str">
            <v>Summer</v>
          </cell>
          <cell r="J134">
            <v>1522760.7361963175</v>
          </cell>
          <cell r="K134">
            <v>0</v>
          </cell>
          <cell r="L134">
            <v>427500</v>
          </cell>
          <cell r="M134">
            <v>1950260.7361963175</v>
          </cell>
        </row>
        <row r="135">
          <cell r="A135" t="str">
            <v>395S</v>
          </cell>
          <cell r="B135" t="str">
            <v>0000039501</v>
          </cell>
          <cell r="C135">
            <v>15</v>
          </cell>
          <cell r="D135">
            <v>138</v>
          </cell>
          <cell r="E135">
            <v>25</v>
          </cell>
          <cell r="F135">
            <v>1</v>
          </cell>
          <cell r="G135">
            <v>8.1631999999999998</v>
          </cell>
          <cell r="H135" t="str">
            <v>Winter</v>
          </cell>
          <cell r="J135">
            <v>1522760.7361963175</v>
          </cell>
          <cell r="K135">
            <v>0</v>
          </cell>
          <cell r="L135">
            <v>285000</v>
          </cell>
          <cell r="M135">
            <v>1807760.7361963175</v>
          </cell>
        </row>
        <row r="136">
          <cell r="A136" t="str">
            <v>397S</v>
          </cell>
          <cell r="B136" t="str">
            <v>0000039701</v>
          </cell>
          <cell r="C136">
            <v>40</v>
          </cell>
          <cell r="D136">
            <v>138</v>
          </cell>
          <cell r="E136">
            <v>25</v>
          </cell>
          <cell r="F136">
            <v>2</v>
          </cell>
          <cell r="G136">
            <v>20.895200000000003</v>
          </cell>
          <cell r="H136" t="str">
            <v>Summer</v>
          </cell>
          <cell r="J136">
            <v>1522760.7361963175</v>
          </cell>
          <cell r="K136">
            <v>0</v>
          </cell>
          <cell r="L136">
            <v>760000</v>
          </cell>
          <cell r="M136">
            <v>2282760.7361963177</v>
          </cell>
        </row>
        <row r="137">
          <cell r="A137" t="str">
            <v>406S</v>
          </cell>
          <cell r="B137" t="str">
            <v>0000040601</v>
          </cell>
          <cell r="C137">
            <v>2.5</v>
          </cell>
          <cell r="D137">
            <v>138</v>
          </cell>
          <cell r="E137">
            <v>25</v>
          </cell>
          <cell r="F137">
            <v>1</v>
          </cell>
          <cell r="G137">
            <v>7.3788</v>
          </cell>
          <cell r="H137" t="str">
            <v>Summer</v>
          </cell>
          <cell r="J137">
            <v>1522760.7361963175</v>
          </cell>
          <cell r="K137">
            <v>0</v>
          </cell>
          <cell r="L137">
            <v>47500</v>
          </cell>
          <cell r="M137">
            <v>1570260.7361963175</v>
          </cell>
        </row>
        <row r="138">
          <cell r="A138" t="str">
            <v>408S</v>
          </cell>
          <cell r="B138" t="str">
            <v>ALSL</v>
          </cell>
          <cell r="C138">
            <v>160</v>
          </cell>
          <cell r="D138">
            <v>138</v>
          </cell>
          <cell r="E138">
            <v>13.8</v>
          </cell>
          <cell r="F138">
            <v>2</v>
          </cell>
          <cell r="G138">
            <v>10.633600000000001</v>
          </cell>
          <cell r="H138" t="str">
            <v>Summer</v>
          </cell>
          <cell r="J138">
            <v>1522760.7361963175</v>
          </cell>
          <cell r="K138">
            <v>0</v>
          </cell>
          <cell r="L138">
            <v>3040000</v>
          </cell>
          <cell r="M138">
            <v>4562760.7361963177</v>
          </cell>
        </row>
        <row r="139">
          <cell r="A139" t="str">
            <v>408S</v>
          </cell>
          <cell r="B139" t="str">
            <v>SCTLOD</v>
          </cell>
          <cell r="C139">
            <v>160</v>
          </cell>
          <cell r="D139">
            <v>138</v>
          </cell>
          <cell r="E139">
            <v>13.8</v>
          </cell>
          <cell r="F139">
            <v>2</v>
          </cell>
          <cell r="G139">
            <v>116.1688</v>
          </cell>
          <cell r="H139" t="str">
            <v>Winter</v>
          </cell>
          <cell r="J139">
            <v>1522760.7361963175</v>
          </cell>
          <cell r="K139">
            <v>0</v>
          </cell>
          <cell r="L139">
            <v>3040000</v>
          </cell>
          <cell r="M139">
            <v>4562760.7361963177</v>
          </cell>
        </row>
        <row r="140">
          <cell r="A140" t="str">
            <v>409S</v>
          </cell>
          <cell r="B140" t="str">
            <v>SCTLOD</v>
          </cell>
          <cell r="C140">
            <v>100</v>
          </cell>
          <cell r="D140">
            <v>138</v>
          </cell>
          <cell r="E140">
            <v>25</v>
          </cell>
          <cell r="F140">
            <v>2</v>
          </cell>
          <cell r="G140">
            <v>116.1688</v>
          </cell>
          <cell r="H140" t="str">
            <v>Winter</v>
          </cell>
          <cell r="J140">
            <v>1522760.7361963175</v>
          </cell>
          <cell r="K140">
            <v>0</v>
          </cell>
          <cell r="L140">
            <v>1900000</v>
          </cell>
          <cell r="M140">
            <v>3422760.7361963177</v>
          </cell>
        </row>
        <row r="141">
          <cell r="A141" t="str">
            <v>40S</v>
          </cell>
          <cell r="B141" t="str">
            <v>0000004001</v>
          </cell>
          <cell r="C141">
            <v>50</v>
          </cell>
          <cell r="D141">
            <v>138</v>
          </cell>
          <cell r="E141">
            <v>25</v>
          </cell>
          <cell r="F141">
            <v>2</v>
          </cell>
          <cell r="G141">
            <v>35.743600000000001</v>
          </cell>
          <cell r="H141" t="str">
            <v>Winter</v>
          </cell>
          <cell r="J141">
            <v>1522760.7361963175</v>
          </cell>
          <cell r="K141">
            <v>0</v>
          </cell>
          <cell r="L141">
            <v>950000</v>
          </cell>
          <cell r="M141">
            <v>2472760.7361963177</v>
          </cell>
        </row>
        <row r="142">
          <cell r="A142" t="str">
            <v>40S</v>
          </cell>
          <cell r="B142" t="str">
            <v>0000650001</v>
          </cell>
          <cell r="C142">
            <v>25</v>
          </cell>
          <cell r="D142">
            <v>138</v>
          </cell>
          <cell r="E142">
            <v>25</v>
          </cell>
          <cell r="F142">
            <v>1</v>
          </cell>
          <cell r="G142">
            <v>0.27679999999999999</v>
          </cell>
          <cell r="H142" t="str">
            <v>Fall</v>
          </cell>
          <cell r="J142">
            <v>1522760.7361963175</v>
          </cell>
          <cell r="K142">
            <v>0</v>
          </cell>
          <cell r="L142">
            <v>475000</v>
          </cell>
          <cell r="M142">
            <v>1997760.7361963175</v>
          </cell>
        </row>
        <row r="143">
          <cell r="A143" t="str">
            <v>411S</v>
          </cell>
          <cell r="B143" t="str">
            <v>0000041101</v>
          </cell>
          <cell r="C143">
            <v>25</v>
          </cell>
          <cell r="D143">
            <v>138</v>
          </cell>
          <cell r="E143">
            <v>25</v>
          </cell>
          <cell r="F143">
            <v>1</v>
          </cell>
          <cell r="G143">
            <v>7.1524000000000001</v>
          </cell>
          <cell r="H143" t="str">
            <v>Winter</v>
          </cell>
          <cell r="J143">
            <v>1522760.7361963175</v>
          </cell>
          <cell r="K143">
            <v>0</v>
          </cell>
          <cell r="L143">
            <v>475000</v>
          </cell>
          <cell r="M143">
            <v>1997760.7361963175</v>
          </cell>
        </row>
        <row r="144">
          <cell r="A144" t="str">
            <v>412S</v>
          </cell>
          <cell r="B144" t="str">
            <v>0000041201</v>
          </cell>
          <cell r="C144">
            <v>15</v>
          </cell>
          <cell r="D144">
            <v>138</v>
          </cell>
          <cell r="E144">
            <v>4.16</v>
          </cell>
          <cell r="F144">
            <v>1</v>
          </cell>
          <cell r="G144">
            <v>12.338000000000001</v>
          </cell>
          <cell r="H144" t="str">
            <v>Summer</v>
          </cell>
          <cell r="J144">
            <v>1522760.7361963175</v>
          </cell>
          <cell r="K144">
            <v>0</v>
          </cell>
          <cell r="L144">
            <v>285000</v>
          </cell>
          <cell r="M144">
            <v>1807760.7361963175</v>
          </cell>
        </row>
        <row r="145">
          <cell r="A145" t="str">
            <v>414S</v>
          </cell>
          <cell r="B145" t="str">
            <v>0000041401</v>
          </cell>
          <cell r="C145">
            <v>7.5</v>
          </cell>
          <cell r="D145">
            <v>138</v>
          </cell>
          <cell r="E145">
            <v>4.16</v>
          </cell>
          <cell r="F145">
            <v>1</v>
          </cell>
          <cell r="G145">
            <v>4.194</v>
          </cell>
          <cell r="H145" t="str">
            <v>Summer</v>
          </cell>
          <cell r="J145">
            <v>1522760.7361963175</v>
          </cell>
          <cell r="K145">
            <v>0</v>
          </cell>
          <cell r="L145">
            <v>142500</v>
          </cell>
          <cell r="M145">
            <v>1665260.7361963175</v>
          </cell>
        </row>
        <row r="146">
          <cell r="A146" t="str">
            <v>421S</v>
          </cell>
          <cell r="B146" t="str">
            <v>0000042101</v>
          </cell>
          <cell r="C146">
            <v>40</v>
          </cell>
          <cell r="D146">
            <v>138</v>
          </cell>
          <cell r="E146">
            <v>25</v>
          </cell>
          <cell r="F146">
            <v>2</v>
          </cell>
          <cell r="G146">
            <v>29.723200000000002</v>
          </cell>
          <cell r="H146" t="str">
            <v>Summer</v>
          </cell>
          <cell r="J146">
            <v>1522760.7361963175</v>
          </cell>
          <cell r="K146">
            <v>0</v>
          </cell>
          <cell r="L146">
            <v>760000</v>
          </cell>
          <cell r="M146">
            <v>2282760.7361963177</v>
          </cell>
        </row>
        <row r="147">
          <cell r="A147" t="str">
            <v>428S</v>
          </cell>
          <cell r="B147" t="str">
            <v>0000042801</v>
          </cell>
          <cell r="C147">
            <v>15</v>
          </cell>
          <cell r="D147">
            <v>138</v>
          </cell>
          <cell r="E147">
            <v>25</v>
          </cell>
          <cell r="F147">
            <v>1</v>
          </cell>
          <cell r="G147">
            <v>10.0868</v>
          </cell>
          <cell r="H147" t="str">
            <v>Winter</v>
          </cell>
          <cell r="J147">
            <v>1522760.7361963175</v>
          </cell>
          <cell r="K147">
            <v>0</v>
          </cell>
          <cell r="L147">
            <v>285000</v>
          </cell>
          <cell r="M147">
            <v>1807760.7361963175</v>
          </cell>
        </row>
        <row r="148">
          <cell r="A148" t="str">
            <v>429S</v>
          </cell>
          <cell r="B148" t="str">
            <v>0000042901</v>
          </cell>
          <cell r="C148">
            <v>15</v>
          </cell>
          <cell r="D148">
            <v>138</v>
          </cell>
          <cell r="E148">
            <v>25</v>
          </cell>
          <cell r="F148">
            <v>1</v>
          </cell>
          <cell r="G148">
            <v>7.7852000000000006</v>
          </cell>
          <cell r="H148" t="str">
            <v>Winter</v>
          </cell>
          <cell r="J148">
            <v>1522760.7361963175</v>
          </cell>
          <cell r="K148">
            <v>0</v>
          </cell>
          <cell r="L148">
            <v>285000</v>
          </cell>
          <cell r="M148">
            <v>1807760.7361963175</v>
          </cell>
        </row>
        <row r="149">
          <cell r="A149" t="str">
            <v>434S</v>
          </cell>
          <cell r="B149" t="str">
            <v>0000043401</v>
          </cell>
          <cell r="C149">
            <v>50</v>
          </cell>
          <cell r="D149">
            <v>138</v>
          </cell>
          <cell r="E149">
            <v>25</v>
          </cell>
          <cell r="F149">
            <v>2</v>
          </cell>
          <cell r="G149">
            <v>48.776400000000002</v>
          </cell>
          <cell r="H149" t="str">
            <v>Winter</v>
          </cell>
          <cell r="J149">
            <v>1522760.7361963175</v>
          </cell>
          <cell r="K149">
            <v>0</v>
          </cell>
          <cell r="L149">
            <v>950000</v>
          </cell>
          <cell r="M149">
            <v>2472760.7361963177</v>
          </cell>
        </row>
        <row r="150">
          <cell r="A150" t="str">
            <v>437S</v>
          </cell>
          <cell r="B150" t="str">
            <v>0000043701</v>
          </cell>
          <cell r="C150">
            <v>20</v>
          </cell>
          <cell r="D150">
            <v>138</v>
          </cell>
          <cell r="E150">
            <v>13.8</v>
          </cell>
          <cell r="F150">
            <v>2</v>
          </cell>
          <cell r="G150">
            <v>7.8344000000000005</v>
          </cell>
          <cell r="H150" t="str">
            <v>Winter</v>
          </cell>
          <cell r="J150">
            <v>1522760.7361963175</v>
          </cell>
          <cell r="K150">
            <v>0</v>
          </cell>
          <cell r="L150">
            <v>380000</v>
          </cell>
          <cell r="M150">
            <v>1902760.7361963175</v>
          </cell>
        </row>
        <row r="151">
          <cell r="A151" t="str">
            <v>438S</v>
          </cell>
          <cell r="B151" t="str">
            <v>0000043801</v>
          </cell>
          <cell r="C151">
            <v>15</v>
          </cell>
          <cell r="D151">
            <v>138</v>
          </cell>
          <cell r="E151">
            <v>25</v>
          </cell>
          <cell r="F151">
            <v>1</v>
          </cell>
          <cell r="G151">
            <v>14.912000000000001</v>
          </cell>
          <cell r="H151" t="str">
            <v>Summer</v>
          </cell>
          <cell r="J151">
            <v>1522760.7361963175</v>
          </cell>
          <cell r="K151">
            <v>0</v>
          </cell>
          <cell r="L151">
            <v>285000</v>
          </cell>
          <cell r="M151">
            <v>1807760.7361963175</v>
          </cell>
        </row>
        <row r="152">
          <cell r="A152" t="str">
            <v>43S</v>
          </cell>
          <cell r="B152" t="str">
            <v>0000004301</v>
          </cell>
          <cell r="C152">
            <v>15</v>
          </cell>
          <cell r="D152">
            <v>138</v>
          </cell>
          <cell r="E152">
            <v>4.16</v>
          </cell>
          <cell r="F152">
            <v>1</v>
          </cell>
          <cell r="G152">
            <v>11.529200000000001</v>
          </cell>
          <cell r="H152" t="str">
            <v>Winter</v>
          </cell>
          <cell r="J152">
            <v>1522760.7361963175</v>
          </cell>
          <cell r="K152">
            <v>0</v>
          </cell>
          <cell r="L152">
            <v>285000</v>
          </cell>
          <cell r="M152">
            <v>1807760.7361963175</v>
          </cell>
        </row>
        <row r="153">
          <cell r="A153" t="str">
            <v>442S</v>
          </cell>
          <cell r="B153" t="str">
            <v>0000044201</v>
          </cell>
          <cell r="C153">
            <v>5</v>
          </cell>
          <cell r="D153">
            <v>69</v>
          </cell>
          <cell r="E153">
            <v>4.16</v>
          </cell>
          <cell r="F153">
            <v>1</v>
          </cell>
          <cell r="G153">
            <v>1.6848000000000001</v>
          </cell>
          <cell r="H153" t="str">
            <v>Winter</v>
          </cell>
          <cell r="J153">
            <v>787760.73619631748</v>
          </cell>
          <cell r="K153">
            <v>0</v>
          </cell>
          <cell r="L153">
            <v>95000</v>
          </cell>
          <cell r="M153">
            <v>882760.73619631748</v>
          </cell>
        </row>
        <row r="154">
          <cell r="A154" t="str">
            <v>443S</v>
          </cell>
          <cell r="B154" t="str">
            <v>0000044301</v>
          </cell>
          <cell r="C154">
            <v>20</v>
          </cell>
          <cell r="D154">
            <v>138</v>
          </cell>
          <cell r="E154">
            <v>25</v>
          </cell>
          <cell r="F154">
            <v>1</v>
          </cell>
          <cell r="G154">
            <v>15.091200000000001</v>
          </cell>
          <cell r="H154" t="str">
            <v>Winter</v>
          </cell>
          <cell r="J154">
            <v>1522760.7361963175</v>
          </cell>
          <cell r="K154">
            <v>0</v>
          </cell>
          <cell r="L154">
            <v>380000</v>
          </cell>
          <cell r="M154">
            <v>1902760.7361963175</v>
          </cell>
        </row>
        <row r="155">
          <cell r="A155" t="str">
            <v>445S</v>
          </cell>
          <cell r="B155" t="str">
            <v>0000044501</v>
          </cell>
          <cell r="C155">
            <v>10</v>
          </cell>
          <cell r="D155">
            <v>138</v>
          </cell>
          <cell r="E155">
            <v>4.16</v>
          </cell>
          <cell r="F155">
            <v>1</v>
          </cell>
          <cell r="G155">
            <v>14.92</v>
          </cell>
          <cell r="H155" t="str">
            <v>Summer</v>
          </cell>
          <cell r="J155">
            <v>1522760.7361963175</v>
          </cell>
          <cell r="K155">
            <v>0</v>
          </cell>
          <cell r="L155">
            <v>190000</v>
          </cell>
          <cell r="M155">
            <v>1712760.7361963175</v>
          </cell>
        </row>
        <row r="156">
          <cell r="A156" t="str">
            <v>445S</v>
          </cell>
          <cell r="B156" t="str">
            <v>0000044502</v>
          </cell>
          <cell r="C156">
            <v>10</v>
          </cell>
          <cell r="D156">
            <v>138</v>
          </cell>
          <cell r="E156">
            <v>4.16</v>
          </cell>
          <cell r="F156">
            <v>1</v>
          </cell>
          <cell r="G156">
            <v>3.5576000000000003</v>
          </cell>
          <cell r="H156" t="str">
            <v>Summer</v>
          </cell>
          <cell r="J156">
            <v>1522760.7361963175</v>
          </cell>
          <cell r="K156">
            <v>0</v>
          </cell>
          <cell r="L156">
            <v>190000</v>
          </cell>
          <cell r="M156">
            <v>1712760.7361963175</v>
          </cell>
        </row>
        <row r="157">
          <cell r="A157" t="str">
            <v>447S</v>
          </cell>
          <cell r="B157" t="str">
            <v>0000044701</v>
          </cell>
          <cell r="C157">
            <v>25</v>
          </cell>
          <cell r="D157">
            <v>138</v>
          </cell>
          <cell r="E157">
            <v>25</v>
          </cell>
          <cell r="F157">
            <v>1</v>
          </cell>
          <cell r="G157">
            <v>20.95</v>
          </cell>
          <cell r="H157" t="str">
            <v>Summer</v>
          </cell>
          <cell r="J157">
            <v>1522760.7361963175</v>
          </cell>
          <cell r="K157">
            <v>0</v>
          </cell>
          <cell r="L157">
            <v>475000</v>
          </cell>
          <cell r="M157">
            <v>1997760.7361963175</v>
          </cell>
        </row>
        <row r="158">
          <cell r="A158" t="str">
            <v>449S</v>
          </cell>
          <cell r="B158" t="str">
            <v>0000044901</v>
          </cell>
          <cell r="C158">
            <v>10.4</v>
          </cell>
          <cell r="D158">
            <v>138</v>
          </cell>
          <cell r="E158">
            <v>25</v>
          </cell>
          <cell r="F158">
            <v>2</v>
          </cell>
          <cell r="G158">
            <v>25.41</v>
          </cell>
          <cell r="H158" t="str">
            <v>Summer</v>
          </cell>
          <cell r="J158">
            <v>1522760.7361963175</v>
          </cell>
          <cell r="K158">
            <v>0</v>
          </cell>
          <cell r="L158">
            <v>197600</v>
          </cell>
          <cell r="M158">
            <v>1720360.7361963175</v>
          </cell>
        </row>
        <row r="159">
          <cell r="A159" t="str">
            <v>452S</v>
          </cell>
          <cell r="B159" t="str">
            <v>0000045201</v>
          </cell>
          <cell r="C159">
            <v>7.5</v>
          </cell>
          <cell r="D159">
            <v>138</v>
          </cell>
          <cell r="E159">
            <v>13.8</v>
          </cell>
          <cell r="F159">
            <v>1</v>
          </cell>
          <cell r="G159">
            <v>6.3268000000000004</v>
          </cell>
          <cell r="H159" t="str">
            <v>Winter</v>
          </cell>
          <cell r="J159">
            <v>1522760.7361963175</v>
          </cell>
          <cell r="K159">
            <v>0</v>
          </cell>
          <cell r="L159">
            <v>142500</v>
          </cell>
          <cell r="M159">
            <v>1665260.7361963175</v>
          </cell>
        </row>
        <row r="160">
          <cell r="A160" t="str">
            <v>454S</v>
          </cell>
          <cell r="B160" t="str">
            <v>0000045401</v>
          </cell>
          <cell r="C160">
            <v>15</v>
          </cell>
          <cell r="D160">
            <v>138</v>
          </cell>
          <cell r="E160">
            <v>25</v>
          </cell>
          <cell r="F160">
            <v>1</v>
          </cell>
          <cell r="G160">
            <v>5.9119999999999999</v>
          </cell>
          <cell r="H160" t="str">
            <v>Winter</v>
          </cell>
          <cell r="J160">
            <v>1522760.7361963175</v>
          </cell>
          <cell r="K160">
            <v>0</v>
          </cell>
          <cell r="L160">
            <v>285000</v>
          </cell>
          <cell r="M160">
            <v>1807760.7361963175</v>
          </cell>
        </row>
        <row r="161">
          <cell r="A161" t="str">
            <v>476S</v>
          </cell>
          <cell r="B161" t="str">
            <v>0000047601</v>
          </cell>
          <cell r="C161">
            <v>15</v>
          </cell>
          <cell r="D161">
            <v>138</v>
          </cell>
          <cell r="E161">
            <v>25</v>
          </cell>
          <cell r="F161">
            <v>1</v>
          </cell>
          <cell r="G161">
            <v>8.85</v>
          </cell>
          <cell r="H161" t="str">
            <v>Summer</v>
          </cell>
          <cell r="J161">
            <v>1522760.7361963175</v>
          </cell>
          <cell r="K161">
            <v>0</v>
          </cell>
          <cell r="L161">
            <v>285000</v>
          </cell>
          <cell r="M161">
            <v>1807760.7361963175</v>
          </cell>
        </row>
        <row r="162">
          <cell r="A162" t="str">
            <v>477S</v>
          </cell>
          <cell r="B162" t="str">
            <v>0000047701</v>
          </cell>
          <cell r="C162">
            <v>7.5</v>
          </cell>
          <cell r="D162">
            <v>138</v>
          </cell>
          <cell r="E162">
            <v>4.16</v>
          </cell>
          <cell r="F162">
            <v>1</v>
          </cell>
          <cell r="G162">
            <v>7.3360000000000003</v>
          </cell>
          <cell r="H162" t="str">
            <v>Summer</v>
          </cell>
          <cell r="J162">
            <v>1522760.7361963175</v>
          </cell>
          <cell r="K162">
            <v>0</v>
          </cell>
          <cell r="L162">
            <v>142500</v>
          </cell>
          <cell r="M162">
            <v>1665260.7361963175</v>
          </cell>
        </row>
        <row r="163">
          <cell r="A163" t="str">
            <v>482S</v>
          </cell>
          <cell r="B163" t="str">
            <v>0000048201</v>
          </cell>
          <cell r="C163">
            <v>20</v>
          </cell>
          <cell r="D163">
            <v>138</v>
          </cell>
          <cell r="E163">
            <v>4.16</v>
          </cell>
          <cell r="F163">
            <v>1</v>
          </cell>
          <cell r="G163">
            <v>7.9528000000000008</v>
          </cell>
          <cell r="H163" t="str">
            <v>Summer</v>
          </cell>
          <cell r="J163">
            <v>1522760.7361963175</v>
          </cell>
          <cell r="K163">
            <v>0</v>
          </cell>
          <cell r="L163">
            <v>380000</v>
          </cell>
          <cell r="M163">
            <v>1902760.7361963175</v>
          </cell>
        </row>
        <row r="164">
          <cell r="A164" t="str">
            <v>484S</v>
          </cell>
          <cell r="B164" t="str">
            <v>0000048401</v>
          </cell>
          <cell r="C164">
            <v>112.5</v>
          </cell>
          <cell r="D164">
            <v>138</v>
          </cell>
          <cell r="E164">
            <v>13.8</v>
          </cell>
          <cell r="F164">
            <v>3</v>
          </cell>
          <cell r="G164">
            <v>115.68360000000001</v>
          </cell>
          <cell r="H164" t="str">
            <v>Summer</v>
          </cell>
          <cell r="J164">
            <v>1522760.7361963175</v>
          </cell>
          <cell r="K164">
            <v>0</v>
          </cell>
          <cell r="L164">
            <v>2137500</v>
          </cell>
          <cell r="M164">
            <v>3660260.7361963177</v>
          </cell>
        </row>
        <row r="165">
          <cell r="A165" t="str">
            <v>489S</v>
          </cell>
          <cell r="B165" t="str">
            <v>0000048901</v>
          </cell>
          <cell r="C165">
            <v>30</v>
          </cell>
          <cell r="D165">
            <v>138</v>
          </cell>
          <cell r="E165">
            <v>4.16</v>
          </cell>
          <cell r="F165">
            <v>2</v>
          </cell>
          <cell r="G165">
            <v>13.293200000000001</v>
          </cell>
          <cell r="H165" t="str">
            <v>Summer</v>
          </cell>
          <cell r="J165">
            <v>1522760.7361963175</v>
          </cell>
          <cell r="K165">
            <v>0</v>
          </cell>
          <cell r="L165">
            <v>570000</v>
          </cell>
          <cell r="M165">
            <v>2092760.7361963175</v>
          </cell>
        </row>
        <row r="166">
          <cell r="A166" t="str">
            <v>492S</v>
          </cell>
          <cell r="B166" t="str">
            <v>0000049201</v>
          </cell>
          <cell r="C166">
            <v>25</v>
          </cell>
          <cell r="D166">
            <v>138</v>
          </cell>
          <cell r="E166">
            <v>25</v>
          </cell>
          <cell r="F166">
            <v>1</v>
          </cell>
          <cell r="G166">
            <v>10.44</v>
          </cell>
          <cell r="H166" t="str">
            <v>Winter</v>
          </cell>
          <cell r="J166">
            <v>1522760.7361963175</v>
          </cell>
          <cell r="K166">
            <v>0</v>
          </cell>
          <cell r="L166">
            <v>475000</v>
          </cell>
          <cell r="M166">
            <v>1997760.7361963175</v>
          </cell>
        </row>
        <row r="167">
          <cell r="A167" t="str">
            <v>498S</v>
          </cell>
          <cell r="B167" t="str">
            <v>0000049801</v>
          </cell>
          <cell r="C167">
            <v>15</v>
          </cell>
          <cell r="D167">
            <v>138</v>
          </cell>
          <cell r="E167">
            <v>25</v>
          </cell>
          <cell r="F167">
            <v>1</v>
          </cell>
          <cell r="G167">
            <v>18.932000000000002</v>
          </cell>
          <cell r="H167" t="str">
            <v>Winter</v>
          </cell>
          <cell r="J167">
            <v>1522760.7361963175</v>
          </cell>
          <cell r="K167">
            <v>0</v>
          </cell>
          <cell r="L167">
            <v>285000</v>
          </cell>
          <cell r="M167">
            <v>1807760.7361963175</v>
          </cell>
        </row>
        <row r="168">
          <cell r="A168" t="str">
            <v>500S</v>
          </cell>
          <cell r="B168" t="str">
            <v>0000050001</v>
          </cell>
          <cell r="C168">
            <v>10</v>
          </cell>
          <cell r="D168">
            <v>138</v>
          </cell>
          <cell r="E168">
            <v>25</v>
          </cell>
          <cell r="F168">
            <v>1</v>
          </cell>
          <cell r="G168">
            <v>4.8588000000000005</v>
          </cell>
          <cell r="H168" t="str">
            <v>Winter</v>
          </cell>
          <cell r="J168">
            <v>1522760.7361963175</v>
          </cell>
          <cell r="K168">
            <v>0</v>
          </cell>
          <cell r="L168">
            <v>190000</v>
          </cell>
          <cell r="M168">
            <v>1712760.7361963175</v>
          </cell>
        </row>
        <row r="169">
          <cell r="A169" t="str">
            <v>500S</v>
          </cell>
          <cell r="B169" t="str">
            <v>0000050002</v>
          </cell>
          <cell r="C169">
            <v>10</v>
          </cell>
          <cell r="D169">
            <v>138</v>
          </cell>
          <cell r="E169">
            <v>25</v>
          </cell>
          <cell r="F169">
            <v>1</v>
          </cell>
          <cell r="G169">
            <v>1.4060000000000001</v>
          </cell>
          <cell r="H169" t="str">
            <v/>
          </cell>
          <cell r="J169">
            <v>1522760.7361963175</v>
          </cell>
          <cell r="K169">
            <v>0</v>
          </cell>
          <cell r="L169">
            <v>190000</v>
          </cell>
          <cell r="M169">
            <v>1712760.7361963175</v>
          </cell>
        </row>
        <row r="170">
          <cell r="A170" t="str">
            <v>502S</v>
          </cell>
          <cell r="B170" t="str">
            <v>0000050201</v>
          </cell>
          <cell r="C170">
            <v>20</v>
          </cell>
          <cell r="D170">
            <v>69</v>
          </cell>
          <cell r="E170">
            <v>25</v>
          </cell>
          <cell r="F170">
            <v>1</v>
          </cell>
          <cell r="G170">
            <v>14.301200000000001</v>
          </cell>
          <cell r="H170" t="str">
            <v>Winter</v>
          </cell>
          <cell r="J170">
            <v>787760.73619631748</v>
          </cell>
          <cell r="K170">
            <v>0</v>
          </cell>
          <cell r="L170">
            <v>380000</v>
          </cell>
          <cell r="M170">
            <v>1167760.7361963175</v>
          </cell>
        </row>
        <row r="171">
          <cell r="A171" t="str">
            <v>502S</v>
          </cell>
          <cell r="B171" t="str">
            <v>0000050202</v>
          </cell>
          <cell r="C171">
            <v>15</v>
          </cell>
          <cell r="D171">
            <v>69</v>
          </cell>
          <cell r="E171">
            <v>4.16</v>
          </cell>
          <cell r="F171">
            <v>1</v>
          </cell>
          <cell r="G171">
            <v>5.36</v>
          </cell>
          <cell r="H171" t="str">
            <v>Winter</v>
          </cell>
          <cell r="J171">
            <v>787760.73619631748</v>
          </cell>
          <cell r="K171">
            <v>0</v>
          </cell>
          <cell r="L171">
            <v>285000</v>
          </cell>
          <cell r="M171">
            <v>1072760.7361963175</v>
          </cell>
        </row>
        <row r="172">
          <cell r="A172" t="str">
            <v>512S</v>
          </cell>
          <cell r="B172" t="str">
            <v>0000051201</v>
          </cell>
          <cell r="C172">
            <v>7.5</v>
          </cell>
          <cell r="D172">
            <v>138</v>
          </cell>
          <cell r="E172">
            <v>4.16</v>
          </cell>
          <cell r="F172">
            <v>1</v>
          </cell>
          <cell r="G172">
            <v>3.6364000000000001</v>
          </cell>
          <cell r="H172" t="str">
            <v>Summer</v>
          </cell>
          <cell r="J172">
            <v>1522760.7361963175</v>
          </cell>
          <cell r="K172">
            <v>0</v>
          </cell>
          <cell r="L172">
            <v>142500</v>
          </cell>
          <cell r="M172">
            <v>1665260.7361963175</v>
          </cell>
        </row>
        <row r="173">
          <cell r="A173" t="str">
            <v>513S</v>
          </cell>
          <cell r="B173" t="str">
            <v>0000051301</v>
          </cell>
          <cell r="C173">
            <v>3</v>
          </cell>
          <cell r="D173">
            <v>69</v>
          </cell>
          <cell r="E173">
            <v>4.16</v>
          </cell>
          <cell r="F173">
            <v>1</v>
          </cell>
          <cell r="G173">
            <v>1.3432000000000002</v>
          </cell>
          <cell r="H173" t="str">
            <v>Summer</v>
          </cell>
          <cell r="J173">
            <v>787760.73619631748</v>
          </cell>
          <cell r="K173">
            <v>0</v>
          </cell>
          <cell r="L173">
            <v>57000</v>
          </cell>
          <cell r="M173">
            <v>844760.73619631748</v>
          </cell>
        </row>
        <row r="174">
          <cell r="A174" t="str">
            <v>515S</v>
          </cell>
          <cell r="B174" t="str">
            <v>0000051501</v>
          </cell>
          <cell r="C174">
            <v>7.5</v>
          </cell>
          <cell r="D174">
            <v>69</v>
          </cell>
          <cell r="E174">
            <v>2.4</v>
          </cell>
          <cell r="F174">
            <v>1</v>
          </cell>
          <cell r="G174">
            <v>4.2640000000000002</v>
          </cell>
          <cell r="H174" t="str">
            <v>Summer</v>
          </cell>
          <cell r="J174">
            <v>787760.73619631748</v>
          </cell>
          <cell r="K174">
            <v>0</v>
          </cell>
          <cell r="L174">
            <v>142500</v>
          </cell>
          <cell r="M174">
            <v>930260.73619631748</v>
          </cell>
        </row>
        <row r="175">
          <cell r="A175" t="str">
            <v>51S</v>
          </cell>
          <cell r="B175" t="str">
            <v>0000005101</v>
          </cell>
          <cell r="C175">
            <v>6.6</v>
          </cell>
          <cell r="D175">
            <v>69</v>
          </cell>
          <cell r="E175">
            <v>25</v>
          </cell>
          <cell r="F175">
            <v>2</v>
          </cell>
          <cell r="G175">
            <v>22.255600000000001</v>
          </cell>
          <cell r="H175" t="str">
            <v>Summer</v>
          </cell>
          <cell r="J175">
            <v>787760.73619631748</v>
          </cell>
          <cell r="K175">
            <v>0</v>
          </cell>
          <cell r="L175">
            <v>125400</v>
          </cell>
          <cell r="M175">
            <v>913160.73619631748</v>
          </cell>
        </row>
        <row r="176">
          <cell r="A176" t="str">
            <v>51S</v>
          </cell>
          <cell r="B176" t="str">
            <v>0000005101</v>
          </cell>
          <cell r="C176">
            <v>25</v>
          </cell>
          <cell r="D176">
            <v>138</v>
          </cell>
          <cell r="E176">
            <v>25</v>
          </cell>
          <cell r="F176">
            <v>1</v>
          </cell>
          <cell r="G176">
            <v>22.255600000000001</v>
          </cell>
          <cell r="H176" t="str">
            <v>Summer</v>
          </cell>
          <cell r="J176">
            <v>1522760.7361963175</v>
          </cell>
          <cell r="K176">
            <v>0</v>
          </cell>
          <cell r="L176">
            <v>475000</v>
          </cell>
          <cell r="M176">
            <v>1997760.7361963175</v>
          </cell>
        </row>
        <row r="177">
          <cell r="A177" t="str">
            <v>522S</v>
          </cell>
          <cell r="B177" t="str">
            <v>0000052201</v>
          </cell>
          <cell r="C177">
            <v>15</v>
          </cell>
          <cell r="D177">
            <v>138</v>
          </cell>
          <cell r="E177">
            <v>25</v>
          </cell>
          <cell r="F177">
            <v>1</v>
          </cell>
          <cell r="G177">
            <v>13.82</v>
          </cell>
          <cell r="H177" t="str">
            <v>Winter</v>
          </cell>
          <cell r="J177">
            <v>1522760.7361963175</v>
          </cell>
          <cell r="K177">
            <v>0</v>
          </cell>
          <cell r="L177">
            <v>285000</v>
          </cell>
          <cell r="M177">
            <v>1807760.7361963175</v>
          </cell>
        </row>
        <row r="178">
          <cell r="A178" t="str">
            <v>523S</v>
          </cell>
          <cell r="B178" t="str">
            <v>0000052301</v>
          </cell>
          <cell r="C178">
            <v>15</v>
          </cell>
          <cell r="D178">
            <v>138</v>
          </cell>
          <cell r="E178">
            <v>25</v>
          </cell>
          <cell r="F178">
            <v>1</v>
          </cell>
          <cell r="G178">
            <v>10.69</v>
          </cell>
          <cell r="H178" t="str">
            <v>Summer</v>
          </cell>
          <cell r="J178">
            <v>1522760.7361963175</v>
          </cell>
          <cell r="K178">
            <v>0</v>
          </cell>
          <cell r="L178">
            <v>285000</v>
          </cell>
          <cell r="M178">
            <v>1807760.7361963175</v>
          </cell>
        </row>
        <row r="179">
          <cell r="A179" t="str">
            <v>525S</v>
          </cell>
          <cell r="B179" t="str">
            <v>0000052501</v>
          </cell>
          <cell r="C179">
            <v>15</v>
          </cell>
          <cell r="D179">
            <v>138</v>
          </cell>
          <cell r="E179">
            <v>25</v>
          </cell>
          <cell r="F179">
            <v>1</v>
          </cell>
          <cell r="G179">
            <v>28.99</v>
          </cell>
          <cell r="H179" t="str">
            <v>Summer</v>
          </cell>
          <cell r="J179">
            <v>1522760.7361963175</v>
          </cell>
          <cell r="K179">
            <v>0</v>
          </cell>
          <cell r="L179">
            <v>285000</v>
          </cell>
          <cell r="M179">
            <v>1807760.7361963175</v>
          </cell>
        </row>
        <row r="180">
          <cell r="A180" t="str">
            <v>525S</v>
          </cell>
          <cell r="B180" t="str">
            <v>0000052502</v>
          </cell>
          <cell r="C180">
            <v>20</v>
          </cell>
          <cell r="D180">
            <v>138</v>
          </cell>
          <cell r="E180">
            <v>13.8</v>
          </cell>
          <cell r="F180">
            <v>1</v>
          </cell>
          <cell r="G180">
            <v>16.587199999999999</v>
          </cell>
          <cell r="H180" t="str">
            <v>Winter</v>
          </cell>
          <cell r="J180">
            <v>1522760.7361963175</v>
          </cell>
          <cell r="K180">
            <v>0</v>
          </cell>
          <cell r="L180">
            <v>380000</v>
          </cell>
          <cell r="M180">
            <v>1902760.7361963175</v>
          </cell>
        </row>
        <row r="181">
          <cell r="A181" t="str">
            <v>525S</v>
          </cell>
          <cell r="B181" t="str">
            <v>0000052503</v>
          </cell>
          <cell r="C181">
            <v>20</v>
          </cell>
          <cell r="D181">
            <v>138</v>
          </cell>
          <cell r="E181">
            <v>13.8</v>
          </cell>
          <cell r="F181">
            <v>1</v>
          </cell>
          <cell r="G181">
            <v>8.6636000000000006</v>
          </cell>
          <cell r="H181" t="str">
            <v>Fall</v>
          </cell>
          <cell r="J181">
            <v>1522760.7361963175</v>
          </cell>
          <cell r="K181">
            <v>0</v>
          </cell>
          <cell r="L181">
            <v>380000</v>
          </cell>
          <cell r="M181">
            <v>1902760.7361963175</v>
          </cell>
        </row>
        <row r="182">
          <cell r="A182" t="str">
            <v>526S</v>
          </cell>
          <cell r="B182" t="str">
            <v>0000052601</v>
          </cell>
          <cell r="C182">
            <v>15</v>
          </cell>
          <cell r="D182">
            <v>138</v>
          </cell>
          <cell r="E182">
            <v>25</v>
          </cell>
          <cell r="F182">
            <v>1</v>
          </cell>
          <cell r="G182">
            <v>12.956000000000001</v>
          </cell>
          <cell r="H182" t="str">
            <v>Winter</v>
          </cell>
          <cell r="J182">
            <v>1522760.7361963175</v>
          </cell>
          <cell r="K182">
            <v>0</v>
          </cell>
          <cell r="L182">
            <v>285000</v>
          </cell>
          <cell r="M182">
            <v>1807760.7361963175</v>
          </cell>
        </row>
        <row r="183">
          <cell r="A183" t="str">
            <v>527S</v>
          </cell>
          <cell r="B183" t="str">
            <v>0000052701</v>
          </cell>
          <cell r="C183">
            <v>20</v>
          </cell>
          <cell r="D183">
            <v>138</v>
          </cell>
          <cell r="E183">
            <v>13.8</v>
          </cell>
          <cell r="F183">
            <v>1</v>
          </cell>
          <cell r="G183">
            <v>10.8032</v>
          </cell>
          <cell r="H183" t="str">
            <v>Summer</v>
          </cell>
          <cell r="J183">
            <v>1522760.7361963175</v>
          </cell>
          <cell r="K183">
            <v>0</v>
          </cell>
          <cell r="L183">
            <v>380000</v>
          </cell>
          <cell r="M183">
            <v>1902760.7361963175</v>
          </cell>
        </row>
        <row r="184">
          <cell r="A184" t="str">
            <v>52S</v>
          </cell>
          <cell r="B184" t="str">
            <v>EASTINDUST</v>
          </cell>
          <cell r="C184">
            <v>37.5</v>
          </cell>
          <cell r="D184">
            <v>240</v>
          </cell>
          <cell r="E184">
            <v>25</v>
          </cell>
          <cell r="F184">
            <v>1</v>
          </cell>
          <cell r="G184">
            <v>30.0288</v>
          </cell>
          <cell r="H184" t="str">
            <v>Winter</v>
          </cell>
          <cell r="J184">
            <v>2257760.7361963177</v>
          </cell>
          <cell r="K184">
            <v>0</v>
          </cell>
          <cell r="L184">
            <v>712500</v>
          </cell>
          <cell r="M184">
            <v>2970260.7361963177</v>
          </cell>
        </row>
        <row r="185">
          <cell r="A185" t="str">
            <v>531S</v>
          </cell>
          <cell r="B185" t="str">
            <v>0000053101</v>
          </cell>
          <cell r="C185">
            <v>20</v>
          </cell>
          <cell r="D185">
            <v>138</v>
          </cell>
          <cell r="E185">
            <v>4.16</v>
          </cell>
          <cell r="F185">
            <v>1</v>
          </cell>
          <cell r="G185">
            <v>17.883200000000002</v>
          </cell>
          <cell r="H185" t="str">
            <v>Summer</v>
          </cell>
          <cell r="J185">
            <v>1522760.7361963175</v>
          </cell>
          <cell r="K185">
            <v>0</v>
          </cell>
          <cell r="L185">
            <v>380000</v>
          </cell>
          <cell r="M185">
            <v>1902760.7361963175</v>
          </cell>
        </row>
        <row r="186">
          <cell r="A186" t="str">
            <v>534S</v>
          </cell>
          <cell r="B186" t="str">
            <v>0000053401</v>
          </cell>
          <cell r="C186">
            <v>15</v>
          </cell>
          <cell r="D186">
            <v>138</v>
          </cell>
          <cell r="E186">
            <v>25</v>
          </cell>
          <cell r="F186">
            <v>1</v>
          </cell>
          <cell r="G186">
            <v>18.9284</v>
          </cell>
          <cell r="H186" t="str">
            <v>Winter</v>
          </cell>
          <cell r="J186">
            <v>1522760.7361963175</v>
          </cell>
          <cell r="K186">
            <v>0</v>
          </cell>
          <cell r="L186">
            <v>285000</v>
          </cell>
          <cell r="M186">
            <v>1807760.7361963175</v>
          </cell>
        </row>
        <row r="187">
          <cell r="A187" t="str">
            <v>535S</v>
          </cell>
          <cell r="B187" t="str">
            <v>0000053501</v>
          </cell>
          <cell r="C187">
            <v>30</v>
          </cell>
          <cell r="D187">
            <v>138</v>
          </cell>
          <cell r="E187">
            <v>13.8</v>
          </cell>
          <cell r="F187">
            <v>1</v>
          </cell>
          <cell r="G187">
            <v>145.10240000000002</v>
          </cell>
          <cell r="H187" t="str">
            <v>Winter</v>
          </cell>
          <cell r="J187">
            <v>1522760.7361963175</v>
          </cell>
          <cell r="K187">
            <v>0</v>
          </cell>
          <cell r="L187">
            <v>570000</v>
          </cell>
          <cell r="M187">
            <v>2092760.7361963175</v>
          </cell>
        </row>
        <row r="188">
          <cell r="A188" t="str">
            <v>535S</v>
          </cell>
          <cell r="B188" t="str">
            <v>0000053501</v>
          </cell>
          <cell r="C188">
            <v>15</v>
          </cell>
          <cell r="D188">
            <v>138</v>
          </cell>
          <cell r="E188">
            <v>25</v>
          </cell>
          <cell r="F188">
            <v>1</v>
          </cell>
          <cell r="G188">
            <v>145.10240000000002</v>
          </cell>
          <cell r="H188" t="str">
            <v>Winter</v>
          </cell>
          <cell r="J188">
            <v>1522760.7361963175</v>
          </cell>
          <cell r="K188">
            <v>0</v>
          </cell>
          <cell r="L188">
            <v>285000</v>
          </cell>
          <cell r="M188">
            <v>1807760.7361963175</v>
          </cell>
        </row>
        <row r="189">
          <cell r="A189" t="str">
            <v>535S</v>
          </cell>
          <cell r="B189" t="str">
            <v>0000053502</v>
          </cell>
          <cell r="C189">
            <v>120</v>
          </cell>
          <cell r="D189">
            <v>138</v>
          </cell>
          <cell r="E189">
            <v>13.8</v>
          </cell>
          <cell r="F189">
            <v>4</v>
          </cell>
          <cell r="G189">
            <v>72.694400000000002</v>
          </cell>
          <cell r="H189" t="str">
            <v>Spring</v>
          </cell>
          <cell r="J189">
            <v>1522760.7361963175</v>
          </cell>
          <cell r="K189">
            <v>0</v>
          </cell>
          <cell r="L189">
            <v>2280000</v>
          </cell>
          <cell r="M189">
            <v>3802760.7361963177</v>
          </cell>
        </row>
        <row r="190">
          <cell r="A190" t="str">
            <v>536S</v>
          </cell>
          <cell r="B190" t="str">
            <v>AGS536S</v>
          </cell>
          <cell r="C190">
            <v>15</v>
          </cell>
          <cell r="D190">
            <v>138</v>
          </cell>
          <cell r="E190">
            <v>4.16</v>
          </cell>
          <cell r="F190">
            <v>1</v>
          </cell>
          <cell r="G190">
            <v>12</v>
          </cell>
          <cell r="H190" t="str">
            <v>Summer</v>
          </cell>
          <cell r="J190">
            <v>1522760.7361963175</v>
          </cell>
          <cell r="K190">
            <v>0</v>
          </cell>
          <cell r="L190">
            <v>285000</v>
          </cell>
          <cell r="M190">
            <v>1807760.7361963175</v>
          </cell>
        </row>
        <row r="191">
          <cell r="A191" t="str">
            <v>538S</v>
          </cell>
          <cell r="B191" t="str">
            <v>0000053801</v>
          </cell>
          <cell r="C191">
            <v>15</v>
          </cell>
          <cell r="D191">
            <v>138</v>
          </cell>
          <cell r="E191">
            <v>25</v>
          </cell>
          <cell r="F191">
            <v>1</v>
          </cell>
          <cell r="G191">
            <v>12.699200000000001</v>
          </cell>
          <cell r="H191" t="str">
            <v>Winter</v>
          </cell>
          <cell r="J191">
            <v>1522760.7361963175</v>
          </cell>
          <cell r="K191">
            <v>0</v>
          </cell>
          <cell r="L191">
            <v>285000</v>
          </cell>
          <cell r="M191">
            <v>1807760.7361963175</v>
          </cell>
        </row>
        <row r="192">
          <cell r="A192" t="str">
            <v>542S</v>
          </cell>
          <cell r="B192" t="str">
            <v>0000054201</v>
          </cell>
          <cell r="C192">
            <v>5.3</v>
          </cell>
          <cell r="D192">
            <v>138</v>
          </cell>
          <cell r="E192">
            <v>25</v>
          </cell>
          <cell r="F192">
            <v>1</v>
          </cell>
          <cell r="G192">
            <v>18.423200000000001</v>
          </cell>
          <cell r="H192" t="str">
            <v>Winter</v>
          </cell>
          <cell r="J192">
            <v>1522760.7361963175</v>
          </cell>
          <cell r="K192">
            <v>0</v>
          </cell>
          <cell r="L192">
            <v>100700</v>
          </cell>
          <cell r="M192">
            <v>1623460.7361963175</v>
          </cell>
        </row>
        <row r="193">
          <cell r="A193" t="str">
            <v>545S</v>
          </cell>
          <cell r="B193" t="str">
            <v>0000054501</v>
          </cell>
          <cell r="C193">
            <v>25</v>
          </cell>
          <cell r="D193">
            <v>138</v>
          </cell>
          <cell r="E193">
            <v>25</v>
          </cell>
          <cell r="F193">
            <v>1</v>
          </cell>
          <cell r="G193">
            <v>48.295999999999999</v>
          </cell>
          <cell r="H193" t="str">
            <v>Summer</v>
          </cell>
          <cell r="J193">
            <v>1522760.7361963175</v>
          </cell>
          <cell r="K193">
            <v>0</v>
          </cell>
          <cell r="L193">
            <v>475000</v>
          </cell>
          <cell r="M193">
            <v>1997760.7361963175</v>
          </cell>
        </row>
        <row r="194">
          <cell r="A194" t="str">
            <v>54S</v>
          </cell>
          <cell r="B194" t="str">
            <v>0000005401</v>
          </cell>
          <cell r="C194">
            <v>50</v>
          </cell>
          <cell r="D194">
            <v>138</v>
          </cell>
          <cell r="E194">
            <v>25</v>
          </cell>
          <cell r="F194">
            <v>2</v>
          </cell>
          <cell r="G194">
            <v>74.271600000000007</v>
          </cell>
          <cell r="H194" t="str">
            <v>Winter</v>
          </cell>
          <cell r="J194">
            <v>1522760.7361963175</v>
          </cell>
          <cell r="K194">
            <v>0</v>
          </cell>
          <cell r="L194">
            <v>950000</v>
          </cell>
          <cell r="M194">
            <v>2472760.7361963177</v>
          </cell>
        </row>
        <row r="195">
          <cell r="A195" t="str">
            <v>551S</v>
          </cell>
          <cell r="B195" t="str">
            <v>0000055101</v>
          </cell>
          <cell r="C195">
            <v>18.8</v>
          </cell>
          <cell r="D195">
            <v>138</v>
          </cell>
          <cell r="E195">
            <v>13.8</v>
          </cell>
          <cell r="F195">
            <v>1</v>
          </cell>
          <cell r="G195">
            <v>7.524</v>
          </cell>
          <cell r="H195" t="str">
            <v>Summer</v>
          </cell>
          <cell r="J195">
            <v>1522760.7361963175</v>
          </cell>
          <cell r="K195">
            <v>0</v>
          </cell>
          <cell r="L195">
            <v>357200</v>
          </cell>
          <cell r="M195">
            <v>1879960.7361963175</v>
          </cell>
        </row>
        <row r="196">
          <cell r="A196" t="str">
            <v>55S</v>
          </cell>
          <cell r="B196" t="str">
            <v>0000005501</v>
          </cell>
          <cell r="C196">
            <v>50</v>
          </cell>
          <cell r="D196">
            <v>138</v>
          </cell>
          <cell r="E196">
            <v>25</v>
          </cell>
          <cell r="F196">
            <v>2</v>
          </cell>
          <cell r="G196">
            <v>29.028400000000001</v>
          </cell>
          <cell r="H196" t="str">
            <v>Winter</v>
          </cell>
          <cell r="J196">
            <v>1522760.7361963175</v>
          </cell>
          <cell r="K196">
            <v>0</v>
          </cell>
          <cell r="L196">
            <v>950000</v>
          </cell>
          <cell r="M196">
            <v>2472760.7361963177</v>
          </cell>
        </row>
        <row r="197">
          <cell r="A197" t="str">
            <v>56S</v>
          </cell>
          <cell r="B197" t="str">
            <v>0000005601</v>
          </cell>
          <cell r="C197">
            <v>15</v>
          </cell>
          <cell r="D197">
            <v>138</v>
          </cell>
          <cell r="E197">
            <v>25</v>
          </cell>
          <cell r="F197">
            <v>1</v>
          </cell>
          <cell r="G197">
            <v>10.883600000000001</v>
          </cell>
          <cell r="H197" t="str">
            <v>Winter</v>
          </cell>
          <cell r="J197">
            <v>1522760.7361963175</v>
          </cell>
          <cell r="K197">
            <v>0</v>
          </cell>
          <cell r="L197">
            <v>285000</v>
          </cell>
          <cell r="M197">
            <v>1807760.7361963175</v>
          </cell>
        </row>
        <row r="198">
          <cell r="A198" t="str">
            <v>575S</v>
          </cell>
          <cell r="B198" t="str">
            <v>0000057501</v>
          </cell>
          <cell r="C198">
            <v>40</v>
          </cell>
          <cell r="D198">
            <v>138</v>
          </cell>
          <cell r="E198">
            <v>25</v>
          </cell>
          <cell r="F198">
            <v>2</v>
          </cell>
          <cell r="G198">
            <v>63.531200000000005</v>
          </cell>
          <cell r="H198" t="str">
            <v>Winter</v>
          </cell>
          <cell r="J198">
            <v>1522760.7361963175</v>
          </cell>
          <cell r="K198">
            <v>0</v>
          </cell>
          <cell r="L198">
            <v>760000</v>
          </cell>
          <cell r="M198">
            <v>2282760.7361963177</v>
          </cell>
        </row>
        <row r="199">
          <cell r="A199" t="str">
            <v>581S</v>
          </cell>
          <cell r="B199" t="str">
            <v>0000058101</v>
          </cell>
          <cell r="C199">
            <v>12</v>
          </cell>
          <cell r="D199">
            <v>138</v>
          </cell>
          <cell r="E199">
            <v>4.16</v>
          </cell>
          <cell r="F199">
            <v>1</v>
          </cell>
          <cell r="G199">
            <v>4.9356</v>
          </cell>
          <cell r="H199" t="str">
            <v/>
          </cell>
          <cell r="J199">
            <v>1522760.7361963175</v>
          </cell>
          <cell r="K199">
            <v>0</v>
          </cell>
          <cell r="L199">
            <v>228000</v>
          </cell>
          <cell r="M199">
            <v>1750760.7361963175</v>
          </cell>
        </row>
        <row r="200">
          <cell r="A200" t="str">
            <v>58S</v>
          </cell>
          <cell r="B200" t="str">
            <v>0000005801</v>
          </cell>
          <cell r="C200">
            <v>50</v>
          </cell>
          <cell r="D200">
            <v>138</v>
          </cell>
          <cell r="E200">
            <v>25</v>
          </cell>
          <cell r="F200">
            <v>2</v>
          </cell>
          <cell r="G200">
            <v>46.3508</v>
          </cell>
          <cell r="H200" t="str">
            <v>Summer</v>
          </cell>
          <cell r="J200">
            <v>1522760.7361963175</v>
          </cell>
          <cell r="K200">
            <v>0</v>
          </cell>
          <cell r="L200">
            <v>950000</v>
          </cell>
          <cell r="M200">
            <v>2472760.7361963177</v>
          </cell>
        </row>
        <row r="201">
          <cell r="A201" t="str">
            <v>593S</v>
          </cell>
          <cell r="B201" t="str">
            <v>LETH593S</v>
          </cell>
          <cell r="C201">
            <v>36</v>
          </cell>
          <cell r="D201">
            <v>138</v>
          </cell>
          <cell r="E201">
            <v>13.8</v>
          </cell>
          <cell r="F201">
            <v>2</v>
          </cell>
          <cell r="G201">
            <v>17.975999999999999</v>
          </cell>
          <cell r="H201" t="str">
            <v>Winter</v>
          </cell>
          <cell r="J201">
            <v>1522760.7361963175</v>
          </cell>
          <cell r="K201">
            <v>0</v>
          </cell>
          <cell r="L201">
            <v>684000</v>
          </cell>
          <cell r="M201">
            <v>2206760.7361963177</v>
          </cell>
        </row>
        <row r="202">
          <cell r="A202" t="str">
            <v>602S</v>
          </cell>
          <cell r="B202" t="str">
            <v>0000060201</v>
          </cell>
          <cell r="C202">
            <v>15</v>
          </cell>
          <cell r="D202">
            <v>138</v>
          </cell>
          <cell r="E202">
            <v>25</v>
          </cell>
          <cell r="F202">
            <v>1</v>
          </cell>
          <cell r="G202">
            <v>27.768000000000001</v>
          </cell>
          <cell r="H202" t="str">
            <v>Winter</v>
          </cell>
          <cell r="J202">
            <v>1522760.7361963175</v>
          </cell>
          <cell r="K202">
            <v>0</v>
          </cell>
          <cell r="L202">
            <v>285000</v>
          </cell>
          <cell r="M202">
            <v>1807760.7361963175</v>
          </cell>
        </row>
        <row r="203">
          <cell r="A203" t="str">
            <v>618S</v>
          </cell>
          <cell r="B203" t="str">
            <v>0000061801</v>
          </cell>
          <cell r="C203">
            <v>15</v>
          </cell>
          <cell r="D203">
            <v>138</v>
          </cell>
          <cell r="E203">
            <v>25</v>
          </cell>
          <cell r="F203">
            <v>1</v>
          </cell>
          <cell r="G203">
            <v>8.57</v>
          </cell>
          <cell r="H203" t="str">
            <v>Summer</v>
          </cell>
          <cell r="J203">
            <v>1522760.7361963175</v>
          </cell>
          <cell r="K203">
            <v>0</v>
          </cell>
          <cell r="L203">
            <v>285000</v>
          </cell>
          <cell r="M203">
            <v>1807760.7361963175</v>
          </cell>
        </row>
        <row r="204">
          <cell r="A204" t="str">
            <v>61S</v>
          </cell>
          <cell r="B204" t="str">
            <v>0000006101</v>
          </cell>
          <cell r="C204">
            <v>15</v>
          </cell>
          <cell r="D204">
            <v>138</v>
          </cell>
          <cell r="E204">
            <v>25</v>
          </cell>
          <cell r="F204">
            <v>1</v>
          </cell>
          <cell r="G204">
            <v>10.123200000000001</v>
          </cell>
          <cell r="H204" t="str">
            <v>Winter</v>
          </cell>
          <cell r="J204">
            <v>1522760.7361963175</v>
          </cell>
          <cell r="K204">
            <v>0</v>
          </cell>
          <cell r="L204">
            <v>285000</v>
          </cell>
          <cell r="M204">
            <v>1807760.7361963175</v>
          </cell>
        </row>
        <row r="205">
          <cell r="A205" t="str">
            <v>62S</v>
          </cell>
          <cell r="B205" t="str">
            <v>0000006201</v>
          </cell>
          <cell r="C205">
            <v>3</v>
          </cell>
          <cell r="D205">
            <v>138</v>
          </cell>
          <cell r="E205">
            <v>4.16</v>
          </cell>
          <cell r="F205">
            <v>1</v>
          </cell>
          <cell r="G205">
            <v>16.7332</v>
          </cell>
          <cell r="H205" t="str">
            <v>Summer</v>
          </cell>
          <cell r="J205">
            <v>1522760.7361963175</v>
          </cell>
          <cell r="K205">
            <v>0</v>
          </cell>
          <cell r="L205">
            <v>57000</v>
          </cell>
          <cell r="M205">
            <v>1579760.7361963175</v>
          </cell>
        </row>
        <row r="206">
          <cell r="A206" t="str">
            <v>62S</v>
          </cell>
          <cell r="B206" t="str">
            <v>0000029403</v>
          </cell>
          <cell r="C206">
            <v>3</v>
          </cell>
          <cell r="D206">
            <v>138</v>
          </cell>
          <cell r="E206">
            <v>4.16</v>
          </cell>
          <cell r="F206">
            <v>1</v>
          </cell>
          <cell r="G206">
            <v>9.8628</v>
          </cell>
          <cell r="H206" t="str">
            <v>Winter</v>
          </cell>
          <cell r="J206">
            <v>1522760.7361963175</v>
          </cell>
          <cell r="K206">
            <v>0</v>
          </cell>
          <cell r="L206">
            <v>57000</v>
          </cell>
          <cell r="M206">
            <v>1579760.7361963175</v>
          </cell>
        </row>
        <row r="207">
          <cell r="A207" t="str">
            <v>634S</v>
          </cell>
          <cell r="B207" t="str">
            <v>0000063401</v>
          </cell>
          <cell r="C207">
            <v>10</v>
          </cell>
          <cell r="D207">
            <v>138</v>
          </cell>
          <cell r="E207">
            <v>4.16</v>
          </cell>
          <cell r="F207">
            <v>1</v>
          </cell>
          <cell r="G207">
            <v>8.3868000000000009</v>
          </cell>
          <cell r="H207" t="str">
            <v>Summer</v>
          </cell>
          <cell r="J207">
            <v>1522760.7361963175</v>
          </cell>
          <cell r="K207">
            <v>0</v>
          </cell>
          <cell r="L207">
            <v>190000</v>
          </cell>
          <cell r="M207">
            <v>1712760.7361963175</v>
          </cell>
        </row>
        <row r="208">
          <cell r="A208" t="str">
            <v>638S</v>
          </cell>
          <cell r="B208" t="str">
            <v>0000063801</v>
          </cell>
          <cell r="C208">
            <v>5</v>
          </cell>
          <cell r="D208">
            <v>69</v>
          </cell>
          <cell r="E208">
            <v>4.16</v>
          </cell>
          <cell r="F208">
            <v>1</v>
          </cell>
          <cell r="G208">
            <v>1.6140000000000001</v>
          </cell>
          <cell r="H208" t="str">
            <v>Summer</v>
          </cell>
          <cell r="J208">
            <v>787760.73619631748</v>
          </cell>
          <cell r="K208">
            <v>0</v>
          </cell>
          <cell r="L208">
            <v>95000</v>
          </cell>
          <cell r="M208">
            <v>882760.73619631748</v>
          </cell>
        </row>
        <row r="209">
          <cell r="A209" t="str">
            <v>63S</v>
          </cell>
          <cell r="B209" t="str">
            <v>0000006301</v>
          </cell>
          <cell r="C209">
            <v>15</v>
          </cell>
          <cell r="D209">
            <v>138</v>
          </cell>
          <cell r="E209">
            <v>25</v>
          </cell>
          <cell r="F209">
            <v>1</v>
          </cell>
          <cell r="G209">
            <v>8.7552000000000003</v>
          </cell>
          <cell r="H209" t="str">
            <v>Winter</v>
          </cell>
          <cell r="J209">
            <v>1522760.7361963175</v>
          </cell>
          <cell r="K209">
            <v>0</v>
          </cell>
          <cell r="L209">
            <v>285000</v>
          </cell>
          <cell r="M209">
            <v>1807760.7361963175</v>
          </cell>
        </row>
        <row r="210">
          <cell r="A210" t="str">
            <v>648S</v>
          </cell>
          <cell r="B210" t="str">
            <v>0000064801</v>
          </cell>
          <cell r="C210">
            <v>15</v>
          </cell>
          <cell r="D210">
            <v>138</v>
          </cell>
          <cell r="E210">
            <v>25</v>
          </cell>
          <cell r="F210">
            <v>1</v>
          </cell>
          <cell r="G210">
            <v>16.197200000000002</v>
          </cell>
          <cell r="H210" t="str">
            <v>Winter</v>
          </cell>
          <cell r="J210">
            <v>1522760.7361963175</v>
          </cell>
          <cell r="K210">
            <v>0</v>
          </cell>
          <cell r="L210">
            <v>285000</v>
          </cell>
          <cell r="M210">
            <v>1807760.7361963175</v>
          </cell>
        </row>
        <row r="211">
          <cell r="A211" t="str">
            <v>649S</v>
          </cell>
          <cell r="B211" t="str">
            <v>0000064901</v>
          </cell>
          <cell r="C211">
            <v>10</v>
          </cell>
          <cell r="D211">
            <v>138</v>
          </cell>
          <cell r="E211">
            <v>25</v>
          </cell>
          <cell r="F211">
            <v>1</v>
          </cell>
          <cell r="G211">
            <v>6.9084000000000003</v>
          </cell>
          <cell r="H211" t="str">
            <v>Winter</v>
          </cell>
          <cell r="J211">
            <v>1522760.7361963175</v>
          </cell>
          <cell r="K211">
            <v>0</v>
          </cell>
          <cell r="L211">
            <v>190000</v>
          </cell>
          <cell r="M211">
            <v>1712760.7361963175</v>
          </cell>
        </row>
        <row r="212">
          <cell r="A212" t="str">
            <v>64S</v>
          </cell>
          <cell r="B212" t="str">
            <v>0000006401</v>
          </cell>
          <cell r="C212">
            <v>15</v>
          </cell>
          <cell r="D212">
            <v>138</v>
          </cell>
          <cell r="E212">
            <v>25</v>
          </cell>
          <cell r="F212">
            <v>1</v>
          </cell>
          <cell r="G212">
            <v>13.55</v>
          </cell>
          <cell r="H212" t="str">
            <v>Winter</v>
          </cell>
          <cell r="J212">
            <v>1522760.7361963175</v>
          </cell>
          <cell r="K212">
            <v>0</v>
          </cell>
          <cell r="L212">
            <v>285000</v>
          </cell>
          <cell r="M212">
            <v>1807760.7361963175</v>
          </cell>
        </row>
        <row r="213">
          <cell r="A213" t="str">
            <v>659S</v>
          </cell>
          <cell r="B213" t="str">
            <v>0000065901</v>
          </cell>
          <cell r="C213">
            <v>10</v>
          </cell>
          <cell r="D213">
            <v>69</v>
          </cell>
          <cell r="E213">
            <v>25</v>
          </cell>
          <cell r="F213">
            <v>1</v>
          </cell>
          <cell r="G213">
            <v>9.9307999999999996</v>
          </cell>
          <cell r="H213" t="str">
            <v>Winter</v>
          </cell>
          <cell r="J213">
            <v>787760.73619631748</v>
          </cell>
          <cell r="K213">
            <v>0</v>
          </cell>
          <cell r="L213">
            <v>190000</v>
          </cell>
          <cell r="M213">
            <v>977760.73619631748</v>
          </cell>
        </row>
        <row r="214">
          <cell r="A214" t="str">
            <v>65S</v>
          </cell>
          <cell r="B214" t="str">
            <v>0000006501</v>
          </cell>
          <cell r="C214">
            <v>50</v>
          </cell>
          <cell r="D214">
            <v>138</v>
          </cell>
          <cell r="E214">
            <v>25</v>
          </cell>
          <cell r="F214">
            <v>2</v>
          </cell>
          <cell r="G214">
            <v>35.520000000000003</v>
          </cell>
          <cell r="H214" t="str">
            <v>Winter</v>
          </cell>
          <cell r="J214">
            <v>1522760.7361963175</v>
          </cell>
          <cell r="K214">
            <v>0</v>
          </cell>
          <cell r="L214">
            <v>950000</v>
          </cell>
          <cell r="M214">
            <v>2472760.7361963177</v>
          </cell>
        </row>
        <row r="215">
          <cell r="A215" t="str">
            <v>661S</v>
          </cell>
          <cell r="B215" t="str">
            <v>Project303</v>
          </cell>
          <cell r="C215">
            <v>2.5</v>
          </cell>
          <cell r="D215">
            <v>69</v>
          </cell>
          <cell r="E215">
            <v>25</v>
          </cell>
          <cell r="F215">
            <v>1</v>
          </cell>
          <cell r="G215">
            <v>6.7</v>
          </cell>
          <cell r="H215" t="str">
            <v>Summer</v>
          </cell>
          <cell r="J215">
            <v>787760.73619631748</v>
          </cell>
          <cell r="K215">
            <v>0</v>
          </cell>
          <cell r="L215">
            <v>47500</v>
          </cell>
          <cell r="M215">
            <v>835260.73619631748</v>
          </cell>
        </row>
        <row r="216">
          <cell r="A216" t="str">
            <v>678S</v>
          </cell>
          <cell r="B216" t="str">
            <v>0000067801</v>
          </cell>
          <cell r="C216">
            <v>40</v>
          </cell>
          <cell r="D216">
            <v>138</v>
          </cell>
          <cell r="E216">
            <v>25</v>
          </cell>
          <cell r="F216">
            <v>2</v>
          </cell>
          <cell r="G216">
            <v>23.3932</v>
          </cell>
          <cell r="H216" t="str">
            <v>Winter</v>
          </cell>
          <cell r="J216">
            <v>1522760.7361963175</v>
          </cell>
          <cell r="K216">
            <v>0</v>
          </cell>
          <cell r="L216">
            <v>760000</v>
          </cell>
          <cell r="M216">
            <v>2282760.7361963177</v>
          </cell>
        </row>
        <row r="217">
          <cell r="A217" t="str">
            <v>67S</v>
          </cell>
          <cell r="B217" t="str">
            <v>0000006701</v>
          </cell>
          <cell r="C217">
            <v>15</v>
          </cell>
          <cell r="D217">
            <v>69</v>
          </cell>
          <cell r="E217">
            <v>25</v>
          </cell>
          <cell r="F217">
            <v>1</v>
          </cell>
          <cell r="G217">
            <v>8.42</v>
          </cell>
          <cell r="H217" t="str">
            <v>Summer</v>
          </cell>
          <cell r="J217">
            <v>787760.73619631748</v>
          </cell>
          <cell r="K217">
            <v>0</v>
          </cell>
          <cell r="L217">
            <v>285000</v>
          </cell>
          <cell r="M217">
            <v>1072760.7361963175</v>
          </cell>
        </row>
        <row r="218">
          <cell r="A218" t="str">
            <v>68S</v>
          </cell>
          <cell r="B218" t="str">
            <v>0000006801</v>
          </cell>
          <cell r="C218">
            <v>25</v>
          </cell>
          <cell r="D218">
            <v>240</v>
          </cell>
          <cell r="E218">
            <v>25</v>
          </cell>
          <cell r="F218">
            <v>1</v>
          </cell>
          <cell r="G218">
            <v>13.403600000000001</v>
          </cell>
          <cell r="H218" t="str">
            <v>Summer</v>
          </cell>
          <cell r="J218">
            <v>2257760.7361963177</v>
          </cell>
          <cell r="K218">
            <v>0</v>
          </cell>
          <cell r="L218">
            <v>475000</v>
          </cell>
          <cell r="M218">
            <v>2732760.7361963177</v>
          </cell>
        </row>
        <row r="219">
          <cell r="A219" t="str">
            <v>68S</v>
          </cell>
          <cell r="B219" t="str">
            <v>0000006802</v>
          </cell>
          <cell r="C219">
            <v>25</v>
          </cell>
          <cell r="D219">
            <v>240</v>
          </cell>
          <cell r="E219">
            <v>25</v>
          </cell>
          <cell r="F219">
            <v>1</v>
          </cell>
          <cell r="G219">
            <v>3.3840000000000003</v>
          </cell>
          <cell r="H219" t="str">
            <v>Winter</v>
          </cell>
          <cell r="J219">
            <v>2257760.7361963177</v>
          </cell>
          <cell r="K219">
            <v>0</v>
          </cell>
          <cell r="L219">
            <v>475000</v>
          </cell>
          <cell r="M219">
            <v>2732760.7361963177</v>
          </cell>
        </row>
        <row r="220">
          <cell r="A220" t="str">
            <v>68S</v>
          </cell>
          <cell r="B220" t="str">
            <v>MEC1LOD</v>
          </cell>
          <cell r="C220">
            <v>25</v>
          </cell>
          <cell r="D220">
            <v>240</v>
          </cell>
          <cell r="E220">
            <v>25</v>
          </cell>
          <cell r="F220">
            <v>1</v>
          </cell>
          <cell r="G220" t="str">
            <v/>
          </cell>
          <cell r="H220" t="str">
            <v/>
          </cell>
          <cell r="J220">
            <v>2257760.7361963177</v>
          </cell>
          <cell r="K220">
            <v>0</v>
          </cell>
          <cell r="L220">
            <v>475000</v>
          </cell>
          <cell r="M220">
            <v>2732760.7361963177</v>
          </cell>
        </row>
        <row r="221">
          <cell r="A221" t="str">
            <v>69S</v>
          </cell>
          <cell r="B221" t="str">
            <v>0000006901</v>
          </cell>
          <cell r="C221">
            <v>30</v>
          </cell>
          <cell r="D221">
            <v>138</v>
          </cell>
          <cell r="E221">
            <v>25</v>
          </cell>
          <cell r="F221">
            <v>2</v>
          </cell>
          <cell r="G221">
            <v>15.6692</v>
          </cell>
          <cell r="H221" t="str">
            <v>Winter</v>
          </cell>
          <cell r="J221">
            <v>1522760.7361963175</v>
          </cell>
          <cell r="K221">
            <v>0</v>
          </cell>
          <cell r="L221">
            <v>570000</v>
          </cell>
          <cell r="M221">
            <v>2092760.7361963175</v>
          </cell>
        </row>
        <row r="222">
          <cell r="A222" t="str">
            <v>700S</v>
          </cell>
          <cell r="B222" t="str">
            <v>371S001</v>
          </cell>
          <cell r="C222">
            <v>5.0999999999999996</v>
          </cell>
          <cell r="D222">
            <v>69</v>
          </cell>
          <cell r="E222">
            <v>25</v>
          </cell>
          <cell r="F222">
            <v>2</v>
          </cell>
          <cell r="G222">
            <v>30.6204</v>
          </cell>
          <cell r="H222" t="str">
            <v>Winter</v>
          </cell>
          <cell r="J222">
            <v>787760.73619631748</v>
          </cell>
          <cell r="K222">
            <v>0</v>
          </cell>
          <cell r="L222">
            <v>96900</v>
          </cell>
          <cell r="M222">
            <v>884660.73619631748</v>
          </cell>
        </row>
        <row r="223">
          <cell r="A223" t="str">
            <v>700S</v>
          </cell>
          <cell r="B223" t="str">
            <v>371S001</v>
          </cell>
          <cell r="C223">
            <v>5</v>
          </cell>
          <cell r="D223">
            <v>138</v>
          </cell>
          <cell r="E223">
            <v>25</v>
          </cell>
          <cell r="F223">
            <v>1</v>
          </cell>
          <cell r="G223">
            <v>30.6204</v>
          </cell>
          <cell r="H223" t="str">
            <v>Winter</v>
          </cell>
          <cell r="J223">
            <v>1522760.7361963175</v>
          </cell>
          <cell r="K223">
            <v>0</v>
          </cell>
          <cell r="L223">
            <v>95000</v>
          </cell>
          <cell r="M223">
            <v>1617760.7361963175</v>
          </cell>
        </row>
        <row r="224">
          <cell r="A224" t="str">
            <v>701S</v>
          </cell>
          <cell r="B224" t="str">
            <v>0000070101</v>
          </cell>
          <cell r="C224">
            <v>15</v>
          </cell>
          <cell r="D224">
            <v>138</v>
          </cell>
          <cell r="E224">
            <v>13.8</v>
          </cell>
          <cell r="F224">
            <v>1</v>
          </cell>
          <cell r="G224">
            <v>20.6432</v>
          </cell>
          <cell r="H224" t="str">
            <v>Summer</v>
          </cell>
          <cell r="J224">
            <v>1522760.7361963175</v>
          </cell>
          <cell r="K224">
            <v>0</v>
          </cell>
          <cell r="L224">
            <v>285000</v>
          </cell>
          <cell r="M224">
            <v>1807760.7361963175</v>
          </cell>
        </row>
        <row r="225">
          <cell r="A225" t="str">
            <v>705S</v>
          </cell>
          <cell r="B225" t="str">
            <v>351S009</v>
          </cell>
          <cell r="C225">
            <v>6</v>
          </cell>
          <cell r="D225">
            <v>69</v>
          </cell>
          <cell r="E225">
            <v>25</v>
          </cell>
          <cell r="F225">
            <v>1</v>
          </cell>
          <cell r="G225">
            <v>8.1728000000000005</v>
          </cell>
          <cell r="H225" t="str">
            <v>Winter</v>
          </cell>
          <cell r="J225">
            <v>787760.73619631748</v>
          </cell>
          <cell r="K225">
            <v>0</v>
          </cell>
          <cell r="L225">
            <v>114000</v>
          </cell>
          <cell r="M225">
            <v>901760.73619631748</v>
          </cell>
        </row>
        <row r="226">
          <cell r="A226" t="str">
            <v>706S</v>
          </cell>
          <cell r="B226" t="str">
            <v>352S001</v>
          </cell>
          <cell r="C226">
            <v>25</v>
          </cell>
          <cell r="D226">
            <v>138</v>
          </cell>
          <cell r="E226">
            <v>25</v>
          </cell>
          <cell r="F226">
            <v>1</v>
          </cell>
          <cell r="G226">
            <v>24.4876</v>
          </cell>
          <cell r="H226" t="str">
            <v>Winter</v>
          </cell>
          <cell r="J226">
            <v>1522760.7361963175</v>
          </cell>
          <cell r="K226">
            <v>0</v>
          </cell>
          <cell r="L226">
            <v>475000</v>
          </cell>
          <cell r="M226">
            <v>1997760.7361963175</v>
          </cell>
        </row>
        <row r="227">
          <cell r="A227" t="str">
            <v>707S</v>
          </cell>
          <cell r="B227" t="str">
            <v>372S009</v>
          </cell>
          <cell r="C227">
            <v>9.5</v>
          </cell>
          <cell r="D227">
            <v>69</v>
          </cell>
          <cell r="E227">
            <v>25</v>
          </cell>
          <cell r="F227">
            <v>3</v>
          </cell>
          <cell r="G227">
            <v>24.9068</v>
          </cell>
          <cell r="H227" t="str">
            <v>Winter</v>
          </cell>
          <cell r="J227">
            <v>787760.73619631748</v>
          </cell>
          <cell r="K227">
            <v>0</v>
          </cell>
          <cell r="L227">
            <v>180500</v>
          </cell>
          <cell r="M227">
            <v>968260.73619631748</v>
          </cell>
        </row>
        <row r="228">
          <cell r="A228" t="str">
            <v>709S</v>
          </cell>
          <cell r="B228" t="str">
            <v>353S001</v>
          </cell>
          <cell r="C228">
            <v>15</v>
          </cell>
          <cell r="D228">
            <v>138</v>
          </cell>
          <cell r="E228">
            <v>25</v>
          </cell>
          <cell r="F228">
            <v>1</v>
          </cell>
          <cell r="G228">
            <v>20.4176</v>
          </cell>
          <cell r="H228" t="str">
            <v>Winter</v>
          </cell>
          <cell r="J228">
            <v>1522760.7361963175</v>
          </cell>
          <cell r="K228">
            <v>0</v>
          </cell>
          <cell r="L228">
            <v>285000</v>
          </cell>
          <cell r="M228">
            <v>1807760.7361963175</v>
          </cell>
        </row>
        <row r="229">
          <cell r="A229" t="str">
            <v>711S</v>
          </cell>
          <cell r="B229" t="str">
            <v>354S001</v>
          </cell>
          <cell r="C229">
            <v>4.2</v>
          </cell>
          <cell r="D229">
            <v>69</v>
          </cell>
          <cell r="E229">
            <v>25</v>
          </cell>
          <cell r="F229">
            <v>2</v>
          </cell>
          <cell r="G229">
            <v>7.8776000000000002</v>
          </cell>
          <cell r="H229" t="str">
            <v>Winter</v>
          </cell>
          <cell r="J229">
            <v>787760.73619631748</v>
          </cell>
          <cell r="K229">
            <v>0</v>
          </cell>
          <cell r="L229">
            <v>79800</v>
          </cell>
          <cell r="M229">
            <v>867560.73619631748</v>
          </cell>
        </row>
        <row r="230">
          <cell r="A230" t="str">
            <v>712S</v>
          </cell>
          <cell r="B230" t="str">
            <v>351S017</v>
          </cell>
          <cell r="C230">
            <v>6</v>
          </cell>
          <cell r="D230">
            <v>69</v>
          </cell>
          <cell r="E230">
            <v>25</v>
          </cell>
          <cell r="F230">
            <v>1</v>
          </cell>
          <cell r="G230">
            <v>9.5668000000000006</v>
          </cell>
          <cell r="H230" t="str">
            <v>Winter</v>
          </cell>
          <cell r="J230">
            <v>787760.73619631748</v>
          </cell>
          <cell r="K230">
            <v>0</v>
          </cell>
          <cell r="L230">
            <v>114000</v>
          </cell>
          <cell r="M230">
            <v>901760.73619631748</v>
          </cell>
        </row>
        <row r="231">
          <cell r="A231" t="str">
            <v>715S</v>
          </cell>
          <cell r="B231" t="str">
            <v>373S033</v>
          </cell>
          <cell r="C231">
            <v>60</v>
          </cell>
          <cell r="D231">
            <v>138</v>
          </cell>
          <cell r="E231">
            <v>25</v>
          </cell>
          <cell r="F231">
            <v>2</v>
          </cell>
          <cell r="G231">
            <v>65.954000000000008</v>
          </cell>
          <cell r="H231" t="str">
            <v>Winter</v>
          </cell>
          <cell r="J231">
            <v>1522760.7361963175</v>
          </cell>
          <cell r="K231">
            <v>0</v>
          </cell>
          <cell r="L231">
            <v>1140000</v>
          </cell>
          <cell r="M231">
            <v>2662760.7361963177</v>
          </cell>
        </row>
        <row r="232">
          <cell r="A232" t="str">
            <v>715S</v>
          </cell>
          <cell r="B232" t="str">
            <v>IOR1LOD</v>
          </cell>
          <cell r="C232">
            <v>60</v>
          </cell>
          <cell r="D232">
            <v>138</v>
          </cell>
          <cell r="E232">
            <v>25</v>
          </cell>
          <cell r="F232">
            <v>2</v>
          </cell>
          <cell r="G232">
            <v>99.181200000000004</v>
          </cell>
          <cell r="H232" t="str">
            <v>Winter</v>
          </cell>
          <cell r="J232">
            <v>1522760.7361963175</v>
          </cell>
          <cell r="K232">
            <v>0</v>
          </cell>
          <cell r="L232">
            <v>1140000</v>
          </cell>
          <cell r="M232">
            <v>2662760.7361963177</v>
          </cell>
        </row>
        <row r="233">
          <cell r="A233" t="str">
            <v>716S</v>
          </cell>
          <cell r="B233" t="str">
            <v>351S025</v>
          </cell>
          <cell r="C233">
            <v>30</v>
          </cell>
          <cell r="D233">
            <v>138</v>
          </cell>
          <cell r="E233">
            <v>25</v>
          </cell>
          <cell r="F233">
            <v>1</v>
          </cell>
          <cell r="G233">
            <v>12.2224</v>
          </cell>
          <cell r="H233" t="str">
            <v>Winter</v>
          </cell>
          <cell r="J233">
            <v>1522760.7361963175</v>
          </cell>
          <cell r="K233">
            <v>0</v>
          </cell>
          <cell r="L233">
            <v>570000</v>
          </cell>
          <cell r="M233">
            <v>2092760.7361963175</v>
          </cell>
        </row>
        <row r="234">
          <cell r="A234" t="str">
            <v>717S</v>
          </cell>
          <cell r="B234" t="str">
            <v>373S017</v>
          </cell>
          <cell r="C234">
            <v>4.2</v>
          </cell>
          <cell r="D234">
            <v>69</v>
          </cell>
          <cell r="E234">
            <v>25</v>
          </cell>
          <cell r="F234">
            <v>2</v>
          </cell>
          <cell r="G234">
            <v>8.1420000000000012</v>
          </cell>
          <cell r="H234" t="str">
            <v>Winter</v>
          </cell>
          <cell r="J234">
            <v>787760.73619631748</v>
          </cell>
          <cell r="K234">
            <v>0</v>
          </cell>
          <cell r="L234">
            <v>79800</v>
          </cell>
          <cell r="M234">
            <v>867560.73619631748</v>
          </cell>
        </row>
        <row r="235">
          <cell r="A235" t="str">
            <v>717S</v>
          </cell>
          <cell r="B235" t="str">
            <v>IOR1LOD</v>
          </cell>
          <cell r="C235">
            <v>4.2</v>
          </cell>
          <cell r="D235">
            <v>69</v>
          </cell>
          <cell r="E235">
            <v>25</v>
          </cell>
          <cell r="F235">
            <v>2</v>
          </cell>
          <cell r="G235">
            <v>99.181200000000004</v>
          </cell>
          <cell r="H235" t="str">
            <v>Winter</v>
          </cell>
          <cell r="J235">
            <v>787760.73619631748</v>
          </cell>
          <cell r="K235">
            <v>0</v>
          </cell>
          <cell r="L235">
            <v>79800</v>
          </cell>
          <cell r="M235">
            <v>867560.73619631748</v>
          </cell>
        </row>
        <row r="236">
          <cell r="A236" t="str">
            <v>718S</v>
          </cell>
          <cell r="B236" t="str">
            <v>341S016</v>
          </cell>
          <cell r="C236">
            <v>17.600000000000001</v>
          </cell>
          <cell r="D236">
            <v>138</v>
          </cell>
          <cell r="E236">
            <v>25</v>
          </cell>
          <cell r="F236">
            <v>2</v>
          </cell>
          <cell r="G236">
            <v>63.147600000000004</v>
          </cell>
          <cell r="H236" t="str">
            <v>Winter</v>
          </cell>
          <cell r="J236">
            <v>1522760.7361963175</v>
          </cell>
          <cell r="K236">
            <v>0</v>
          </cell>
          <cell r="L236">
            <v>334400</v>
          </cell>
          <cell r="M236">
            <v>1857160.7361963175</v>
          </cell>
        </row>
        <row r="237">
          <cell r="A237" t="str">
            <v>720S</v>
          </cell>
          <cell r="B237" t="str">
            <v>331S048</v>
          </cell>
          <cell r="C237">
            <v>7</v>
          </cell>
          <cell r="D237">
            <v>240</v>
          </cell>
          <cell r="E237">
            <v>25</v>
          </cell>
          <cell r="F237">
            <v>1</v>
          </cell>
          <cell r="G237">
            <v>33.167200000000001</v>
          </cell>
          <cell r="H237" t="str">
            <v>Summer</v>
          </cell>
          <cell r="J237">
            <v>2257760.7361963177</v>
          </cell>
          <cell r="K237">
            <v>0</v>
          </cell>
          <cell r="L237">
            <v>133000</v>
          </cell>
          <cell r="M237">
            <v>2390760.7361963177</v>
          </cell>
        </row>
        <row r="238">
          <cell r="A238" t="str">
            <v>721S</v>
          </cell>
          <cell r="B238" t="str">
            <v>371S017</v>
          </cell>
          <cell r="C238">
            <v>25</v>
          </cell>
          <cell r="D238">
            <v>138</v>
          </cell>
          <cell r="E238">
            <v>25</v>
          </cell>
          <cell r="F238">
            <v>1</v>
          </cell>
          <cell r="G238">
            <v>13.879200000000001</v>
          </cell>
          <cell r="H238" t="str">
            <v>Summer</v>
          </cell>
          <cell r="J238">
            <v>1522760.7361963175</v>
          </cell>
          <cell r="K238">
            <v>0</v>
          </cell>
          <cell r="L238">
            <v>475000</v>
          </cell>
          <cell r="M238">
            <v>1997760.7361963175</v>
          </cell>
        </row>
        <row r="239">
          <cell r="A239" t="str">
            <v>722S</v>
          </cell>
          <cell r="B239" t="str">
            <v>311S017</v>
          </cell>
          <cell r="C239">
            <v>10.4</v>
          </cell>
          <cell r="D239">
            <v>138</v>
          </cell>
          <cell r="E239">
            <v>25</v>
          </cell>
          <cell r="F239">
            <v>1</v>
          </cell>
          <cell r="G239">
            <v>49.21</v>
          </cell>
          <cell r="H239" t="str">
            <v>Winter</v>
          </cell>
          <cell r="J239">
            <v>1522760.7361963175</v>
          </cell>
          <cell r="K239">
            <v>0</v>
          </cell>
          <cell r="L239">
            <v>197600</v>
          </cell>
          <cell r="M239">
            <v>1720360.7361963175</v>
          </cell>
        </row>
        <row r="240">
          <cell r="A240" t="str">
            <v>724S</v>
          </cell>
          <cell r="B240" t="str">
            <v>314S025</v>
          </cell>
          <cell r="C240">
            <v>6</v>
          </cell>
          <cell r="D240">
            <v>69</v>
          </cell>
          <cell r="E240">
            <v>25</v>
          </cell>
          <cell r="F240">
            <v>1</v>
          </cell>
          <cell r="G240">
            <v>4.3812000000000006</v>
          </cell>
          <cell r="H240" t="str">
            <v>Summer</v>
          </cell>
          <cell r="J240">
            <v>787760.73619631748</v>
          </cell>
          <cell r="K240">
            <v>0</v>
          </cell>
          <cell r="L240">
            <v>114000</v>
          </cell>
          <cell r="M240">
            <v>901760.73619631748</v>
          </cell>
        </row>
        <row r="241">
          <cell r="A241" t="str">
            <v>725S</v>
          </cell>
          <cell r="B241" t="str">
            <v>335S009</v>
          </cell>
          <cell r="C241">
            <v>10</v>
          </cell>
          <cell r="D241">
            <v>138</v>
          </cell>
          <cell r="E241">
            <v>25</v>
          </cell>
          <cell r="F241">
            <v>1</v>
          </cell>
          <cell r="G241">
            <v>8.1568000000000005</v>
          </cell>
          <cell r="H241" t="str">
            <v>Fall</v>
          </cell>
          <cell r="J241">
            <v>1522760.7361963175</v>
          </cell>
          <cell r="K241">
            <v>0</v>
          </cell>
          <cell r="L241">
            <v>190000</v>
          </cell>
          <cell r="M241">
            <v>1712760.7361963175</v>
          </cell>
        </row>
        <row r="242">
          <cell r="A242" t="str">
            <v>727S</v>
          </cell>
          <cell r="B242" t="str">
            <v>331S009</v>
          </cell>
          <cell r="C242">
            <v>1</v>
          </cell>
          <cell r="D242">
            <v>69</v>
          </cell>
          <cell r="E242">
            <v>25</v>
          </cell>
          <cell r="F242">
            <v>1</v>
          </cell>
          <cell r="G242">
            <v>2.54</v>
          </cell>
          <cell r="H242" t="str">
            <v>Winter</v>
          </cell>
          <cell r="J242">
            <v>787760.73619631748</v>
          </cell>
          <cell r="K242">
            <v>0</v>
          </cell>
          <cell r="L242">
            <v>19000</v>
          </cell>
          <cell r="M242">
            <v>806760.73619631748</v>
          </cell>
        </row>
        <row r="243">
          <cell r="A243" t="str">
            <v>728S</v>
          </cell>
          <cell r="B243" t="str">
            <v>311S089</v>
          </cell>
          <cell r="C243">
            <v>10</v>
          </cell>
          <cell r="D243">
            <v>138</v>
          </cell>
          <cell r="E243">
            <v>25</v>
          </cell>
          <cell r="F243">
            <v>1</v>
          </cell>
          <cell r="G243">
            <v>11.456800000000001</v>
          </cell>
          <cell r="H243" t="str">
            <v>Winter</v>
          </cell>
          <cell r="J243">
            <v>1522760.7361963175</v>
          </cell>
          <cell r="K243">
            <v>0</v>
          </cell>
          <cell r="L243">
            <v>190000</v>
          </cell>
          <cell r="M243">
            <v>1712760.7361963175</v>
          </cell>
        </row>
        <row r="244">
          <cell r="A244" t="str">
            <v>729S</v>
          </cell>
          <cell r="B244" t="str">
            <v>331S033</v>
          </cell>
          <cell r="C244">
            <v>50</v>
          </cell>
          <cell r="D244">
            <v>138</v>
          </cell>
          <cell r="E244">
            <v>25</v>
          </cell>
          <cell r="F244">
            <v>2</v>
          </cell>
          <cell r="G244">
            <v>21.707599999999999</v>
          </cell>
          <cell r="H244" t="str">
            <v>Winter</v>
          </cell>
          <cell r="J244">
            <v>1522760.7361963175</v>
          </cell>
          <cell r="K244">
            <v>0</v>
          </cell>
          <cell r="L244">
            <v>950000</v>
          </cell>
          <cell r="M244">
            <v>2472760.7361963177</v>
          </cell>
        </row>
        <row r="245">
          <cell r="A245" t="str">
            <v>72S</v>
          </cell>
          <cell r="B245" t="str">
            <v>0000007201</v>
          </cell>
          <cell r="C245">
            <v>25</v>
          </cell>
          <cell r="D245">
            <v>240</v>
          </cell>
          <cell r="E245">
            <v>25</v>
          </cell>
          <cell r="F245">
            <v>1</v>
          </cell>
          <cell r="G245">
            <v>16.162400000000002</v>
          </cell>
          <cell r="H245" t="str">
            <v>Summer</v>
          </cell>
          <cell r="J245">
            <v>2257760.7361963177</v>
          </cell>
          <cell r="K245">
            <v>0</v>
          </cell>
          <cell r="L245">
            <v>475000</v>
          </cell>
          <cell r="M245">
            <v>2732760.7361963177</v>
          </cell>
        </row>
        <row r="246">
          <cell r="A246" t="str">
            <v>730S</v>
          </cell>
          <cell r="B246" t="str">
            <v>312S008</v>
          </cell>
          <cell r="C246">
            <v>15</v>
          </cell>
          <cell r="D246">
            <v>138</v>
          </cell>
          <cell r="E246">
            <v>25</v>
          </cell>
          <cell r="F246">
            <v>1</v>
          </cell>
          <cell r="G246">
            <v>14.947600000000001</v>
          </cell>
          <cell r="H246" t="str">
            <v>Winter</v>
          </cell>
          <cell r="J246">
            <v>1522760.7361963175</v>
          </cell>
          <cell r="K246">
            <v>0</v>
          </cell>
          <cell r="L246">
            <v>285000</v>
          </cell>
          <cell r="M246">
            <v>1807760.7361963175</v>
          </cell>
        </row>
        <row r="247">
          <cell r="A247" t="str">
            <v>731S</v>
          </cell>
          <cell r="B247" t="str">
            <v>311S033</v>
          </cell>
          <cell r="C247">
            <v>25</v>
          </cell>
          <cell r="D247">
            <v>138</v>
          </cell>
          <cell r="E247">
            <v>25</v>
          </cell>
          <cell r="F247">
            <v>1</v>
          </cell>
          <cell r="G247">
            <v>17.066400000000002</v>
          </cell>
          <cell r="H247" t="str">
            <v>Summer</v>
          </cell>
          <cell r="J247">
            <v>1522760.7361963175</v>
          </cell>
          <cell r="K247">
            <v>0</v>
          </cell>
          <cell r="L247">
            <v>475000</v>
          </cell>
          <cell r="M247">
            <v>1997760.7361963175</v>
          </cell>
        </row>
        <row r="248">
          <cell r="A248" t="str">
            <v>733S</v>
          </cell>
          <cell r="B248" t="str">
            <v>334S001</v>
          </cell>
          <cell r="C248">
            <v>10</v>
          </cell>
          <cell r="D248">
            <v>138</v>
          </cell>
          <cell r="E248">
            <v>25</v>
          </cell>
          <cell r="F248">
            <v>1</v>
          </cell>
          <cell r="G248">
            <v>10.0532</v>
          </cell>
          <cell r="H248" t="str">
            <v>Summer</v>
          </cell>
          <cell r="J248">
            <v>1522760.7361963175</v>
          </cell>
          <cell r="K248">
            <v>0</v>
          </cell>
          <cell r="L248">
            <v>190000</v>
          </cell>
          <cell r="M248">
            <v>1712760.7361963175</v>
          </cell>
        </row>
        <row r="249">
          <cell r="A249" t="str">
            <v>735S</v>
          </cell>
          <cell r="B249" t="str">
            <v>332S064</v>
          </cell>
          <cell r="C249">
            <v>4.2</v>
          </cell>
          <cell r="D249">
            <v>69</v>
          </cell>
          <cell r="E249">
            <v>25</v>
          </cell>
          <cell r="F249">
            <v>2</v>
          </cell>
          <cell r="G249">
            <v>12.6584</v>
          </cell>
          <cell r="H249" t="str">
            <v>Summer</v>
          </cell>
          <cell r="J249">
            <v>787760.73619631748</v>
          </cell>
          <cell r="K249">
            <v>0</v>
          </cell>
          <cell r="L249">
            <v>79800</v>
          </cell>
          <cell r="M249">
            <v>867560.73619631748</v>
          </cell>
        </row>
        <row r="250">
          <cell r="A250" t="str">
            <v>736S</v>
          </cell>
          <cell r="B250" t="str">
            <v>334S025</v>
          </cell>
          <cell r="C250">
            <v>3.8</v>
          </cell>
          <cell r="D250">
            <v>69</v>
          </cell>
          <cell r="E250">
            <v>2.4</v>
          </cell>
          <cell r="F250">
            <v>1</v>
          </cell>
          <cell r="G250">
            <v>1.5784</v>
          </cell>
          <cell r="H250" t="str">
            <v>Fall</v>
          </cell>
          <cell r="J250">
            <v>787760.73619631748</v>
          </cell>
          <cell r="K250">
            <v>0</v>
          </cell>
          <cell r="L250">
            <v>72200</v>
          </cell>
          <cell r="M250">
            <v>859960.73619631748</v>
          </cell>
        </row>
        <row r="251">
          <cell r="A251" t="str">
            <v>737S</v>
          </cell>
          <cell r="B251" t="str">
            <v>341S033</v>
          </cell>
          <cell r="C251">
            <v>10.6</v>
          </cell>
          <cell r="D251">
            <v>69</v>
          </cell>
          <cell r="E251">
            <v>13.8</v>
          </cell>
          <cell r="F251">
            <v>2</v>
          </cell>
          <cell r="G251">
            <v>160.12440000000001</v>
          </cell>
          <cell r="H251" t="str">
            <v>Winter</v>
          </cell>
          <cell r="J251">
            <v>787760.73619631748</v>
          </cell>
          <cell r="K251">
            <v>0</v>
          </cell>
          <cell r="L251">
            <v>201400</v>
          </cell>
          <cell r="M251">
            <v>989160.73619631748</v>
          </cell>
        </row>
        <row r="252">
          <cell r="A252" t="str">
            <v>737S</v>
          </cell>
          <cell r="B252" t="str">
            <v>SCR</v>
          </cell>
          <cell r="C252">
            <v>10.6</v>
          </cell>
          <cell r="D252">
            <v>69</v>
          </cell>
          <cell r="E252">
            <v>13.8</v>
          </cell>
          <cell r="F252">
            <v>2</v>
          </cell>
          <cell r="G252">
            <v>30</v>
          </cell>
          <cell r="H252" t="str">
            <v>Summer</v>
          </cell>
          <cell r="J252">
            <v>787760.73619631748</v>
          </cell>
          <cell r="K252">
            <v>0</v>
          </cell>
          <cell r="L252">
            <v>201400</v>
          </cell>
          <cell r="M252">
            <v>989160.73619631748</v>
          </cell>
        </row>
        <row r="253">
          <cell r="A253" t="str">
            <v>738S</v>
          </cell>
          <cell r="B253" t="str">
            <v>332S073</v>
          </cell>
          <cell r="C253">
            <v>25</v>
          </cell>
          <cell r="D253">
            <v>138</v>
          </cell>
          <cell r="E253">
            <v>25</v>
          </cell>
          <cell r="F253">
            <v>1</v>
          </cell>
          <cell r="G253">
            <v>36.914400000000001</v>
          </cell>
          <cell r="H253" t="str">
            <v>Summer</v>
          </cell>
          <cell r="J253">
            <v>1522760.7361963175</v>
          </cell>
          <cell r="K253">
            <v>0</v>
          </cell>
          <cell r="L253">
            <v>475000</v>
          </cell>
          <cell r="M253">
            <v>1997760.7361963175</v>
          </cell>
        </row>
        <row r="254">
          <cell r="A254" t="str">
            <v>739S</v>
          </cell>
          <cell r="B254" t="str">
            <v>332S009</v>
          </cell>
          <cell r="C254">
            <v>4.2</v>
          </cell>
          <cell r="D254">
            <v>69</v>
          </cell>
          <cell r="E254">
            <v>25</v>
          </cell>
          <cell r="F254">
            <v>2</v>
          </cell>
          <cell r="G254">
            <v>28.16</v>
          </cell>
          <cell r="H254" t="str">
            <v>Winter</v>
          </cell>
          <cell r="J254">
            <v>787760.73619631748</v>
          </cell>
          <cell r="K254">
            <v>0</v>
          </cell>
          <cell r="L254">
            <v>79800</v>
          </cell>
          <cell r="M254">
            <v>867560.73619631748</v>
          </cell>
        </row>
        <row r="255">
          <cell r="A255" t="str">
            <v>740S</v>
          </cell>
          <cell r="B255" t="str">
            <v>315S009</v>
          </cell>
          <cell r="C255">
            <v>15</v>
          </cell>
          <cell r="D255">
            <v>138</v>
          </cell>
          <cell r="E255">
            <v>25</v>
          </cell>
          <cell r="F255">
            <v>1</v>
          </cell>
          <cell r="G255">
            <v>19.461600000000001</v>
          </cell>
          <cell r="H255" t="str">
            <v>Winter</v>
          </cell>
          <cell r="J255">
            <v>1522760.7361963175</v>
          </cell>
          <cell r="K255">
            <v>0</v>
          </cell>
          <cell r="L255">
            <v>285000</v>
          </cell>
          <cell r="M255">
            <v>1807760.7361963175</v>
          </cell>
        </row>
        <row r="256">
          <cell r="A256" t="str">
            <v>740S</v>
          </cell>
          <cell r="B256" t="str">
            <v>315S017</v>
          </cell>
          <cell r="C256">
            <v>20</v>
          </cell>
          <cell r="D256">
            <v>138</v>
          </cell>
          <cell r="E256">
            <v>25</v>
          </cell>
          <cell r="F256">
            <v>1</v>
          </cell>
          <cell r="G256">
            <v>15.2</v>
          </cell>
          <cell r="H256" t="str">
            <v>Winter</v>
          </cell>
          <cell r="J256">
            <v>1522760.7361963175</v>
          </cell>
          <cell r="K256">
            <v>0</v>
          </cell>
          <cell r="L256">
            <v>380000</v>
          </cell>
          <cell r="M256">
            <v>1902760.7361963175</v>
          </cell>
        </row>
        <row r="257">
          <cell r="A257" t="str">
            <v>741S</v>
          </cell>
          <cell r="B257" t="str">
            <v>335S001</v>
          </cell>
          <cell r="C257">
            <v>50</v>
          </cell>
          <cell r="D257">
            <v>138</v>
          </cell>
          <cell r="E257">
            <v>25</v>
          </cell>
          <cell r="F257">
            <v>2</v>
          </cell>
          <cell r="G257">
            <v>30.309600000000003</v>
          </cell>
          <cell r="H257" t="str">
            <v>Summer</v>
          </cell>
          <cell r="J257">
            <v>1522760.7361963175</v>
          </cell>
          <cell r="K257">
            <v>0</v>
          </cell>
          <cell r="L257">
            <v>950000</v>
          </cell>
          <cell r="M257">
            <v>2472760.7361963177</v>
          </cell>
        </row>
        <row r="258">
          <cell r="A258" t="str">
            <v>742S</v>
          </cell>
          <cell r="B258" t="str">
            <v>332S097</v>
          </cell>
          <cell r="C258">
            <v>7.5</v>
          </cell>
          <cell r="D258">
            <v>69</v>
          </cell>
          <cell r="E258">
            <v>4.16</v>
          </cell>
          <cell r="F258">
            <v>1</v>
          </cell>
          <cell r="G258">
            <v>4.7252000000000001</v>
          </cell>
          <cell r="H258" t="str">
            <v>Summer</v>
          </cell>
          <cell r="J258">
            <v>787760.73619631748</v>
          </cell>
          <cell r="K258">
            <v>0</v>
          </cell>
          <cell r="L258">
            <v>142500</v>
          </cell>
          <cell r="M258">
            <v>930260.73619631748</v>
          </cell>
        </row>
        <row r="259">
          <cell r="A259" t="str">
            <v>743S</v>
          </cell>
          <cell r="B259" t="str">
            <v>332S040</v>
          </cell>
          <cell r="C259">
            <v>25</v>
          </cell>
          <cell r="D259">
            <v>138</v>
          </cell>
          <cell r="E259">
            <v>25</v>
          </cell>
          <cell r="F259">
            <v>1</v>
          </cell>
          <cell r="G259">
            <v>29.753600000000002</v>
          </cell>
          <cell r="H259" t="str">
            <v>Summer</v>
          </cell>
          <cell r="J259">
            <v>1522760.7361963175</v>
          </cell>
          <cell r="K259">
            <v>0</v>
          </cell>
          <cell r="L259">
            <v>475000</v>
          </cell>
          <cell r="M259">
            <v>1997760.7361963175</v>
          </cell>
        </row>
        <row r="260">
          <cell r="A260" t="str">
            <v>744S</v>
          </cell>
          <cell r="B260" t="str">
            <v>332S104</v>
          </cell>
          <cell r="C260">
            <v>3</v>
          </cell>
          <cell r="D260">
            <v>69</v>
          </cell>
          <cell r="E260">
            <v>2.4</v>
          </cell>
          <cell r="F260">
            <v>1</v>
          </cell>
          <cell r="G260">
            <v>0.14120000000000002</v>
          </cell>
          <cell r="H260" t="str">
            <v>Winter</v>
          </cell>
          <cell r="J260">
            <v>787760.73619631748</v>
          </cell>
          <cell r="K260">
            <v>0</v>
          </cell>
          <cell r="L260">
            <v>57000</v>
          </cell>
          <cell r="M260">
            <v>844760.73619631748</v>
          </cell>
        </row>
        <row r="261">
          <cell r="A261" t="str">
            <v>745S</v>
          </cell>
          <cell r="B261" t="str">
            <v>331S041</v>
          </cell>
          <cell r="C261">
            <v>15</v>
          </cell>
          <cell r="D261">
            <v>69</v>
          </cell>
          <cell r="E261">
            <v>25</v>
          </cell>
          <cell r="F261">
            <v>1</v>
          </cell>
          <cell r="G261">
            <v>16.815200000000001</v>
          </cell>
          <cell r="H261" t="str">
            <v>Summer</v>
          </cell>
          <cell r="J261">
            <v>787760.73619631748</v>
          </cell>
          <cell r="K261">
            <v>0</v>
          </cell>
          <cell r="L261">
            <v>285000</v>
          </cell>
          <cell r="M261">
            <v>1072760.7361963175</v>
          </cell>
        </row>
        <row r="262">
          <cell r="A262" t="str">
            <v>746S</v>
          </cell>
          <cell r="B262" t="str">
            <v>0000074601</v>
          </cell>
          <cell r="C262">
            <v>50</v>
          </cell>
          <cell r="D262">
            <v>138</v>
          </cell>
          <cell r="E262">
            <v>25</v>
          </cell>
          <cell r="F262">
            <v>2</v>
          </cell>
          <cell r="G262">
            <v>58.0976</v>
          </cell>
          <cell r="H262" t="str">
            <v>Winter</v>
          </cell>
          <cell r="J262">
            <v>1522760.7361963175</v>
          </cell>
          <cell r="K262">
            <v>0</v>
          </cell>
          <cell r="L262">
            <v>950000</v>
          </cell>
          <cell r="M262">
            <v>2472760.7361963177</v>
          </cell>
        </row>
        <row r="263">
          <cell r="A263" t="str">
            <v>749S</v>
          </cell>
          <cell r="B263" t="str">
            <v>311S001</v>
          </cell>
          <cell r="C263">
            <v>40.5</v>
          </cell>
          <cell r="D263">
            <v>138</v>
          </cell>
          <cell r="E263">
            <v>25</v>
          </cell>
          <cell r="F263">
            <v>2</v>
          </cell>
          <cell r="G263">
            <v>60.677600000000005</v>
          </cell>
          <cell r="H263" t="str">
            <v>Summer</v>
          </cell>
          <cell r="J263">
            <v>1522760.7361963175</v>
          </cell>
          <cell r="K263">
            <v>0</v>
          </cell>
          <cell r="L263">
            <v>769500</v>
          </cell>
          <cell r="M263">
            <v>2292260.7361963177</v>
          </cell>
        </row>
        <row r="264">
          <cell r="A264" t="str">
            <v>751S</v>
          </cell>
          <cell r="B264" t="str">
            <v>351S001</v>
          </cell>
          <cell r="C264">
            <v>16.899999999999999</v>
          </cell>
          <cell r="D264">
            <v>138</v>
          </cell>
          <cell r="E264">
            <v>25</v>
          </cell>
          <cell r="F264">
            <v>1</v>
          </cell>
          <cell r="G264">
            <v>56.115200000000002</v>
          </cell>
          <cell r="H264" t="str">
            <v>Winter</v>
          </cell>
          <cell r="J264">
            <v>1522760.7361963175</v>
          </cell>
          <cell r="K264">
            <v>0</v>
          </cell>
          <cell r="L264">
            <v>321100</v>
          </cell>
          <cell r="M264">
            <v>1843860.7361963175</v>
          </cell>
        </row>
        <row r="265">
          <cell r="A265" t="str">
            <v>752S</v>
          </cell>
          <cell r="B265" t="str">
            <v>311S096</v>
          </cell>
          <cell r="C265">
            <v>30</v>
          </cell>
          <cell r="D265">
            <v>138</v>
          </cell>
          <cell r="E265">
            <v>25</v>
          </cell>
          <cell r="F265">
            <v>1</v>
          </cell>
          <cell r="G265">
            <v>40.816400000000002</v>
          </cell>
          <cell r="H265" t="str">
            <v>Summer</v>
          </cell>
          <cell r="J265">
            <v>1522760.7361963175</v>
          </cell>
          <cell r="K265">
            <v>0</v>
          </cell>
          <cell r="L265">
            <v>570000</v>
          </cell>
          <cell r="M265">
            <v>2092760.7361963175</v>
          </cell>
        </row>
        <row r="266">
          <cell r="A266" t="str">
            <v>754S</v>
          </cell>
          <cell r="B266" t="str">
            <v>312S017</v>
          </cell>
          <cell r="C266">
            <v>25</v>
          </cell>
          <cell r="D266">
            <v>138</v>
          </cell>
          <cell r="E266">
            <v>25</v>
          </cell>
          <cell r="F266">
            <v>1</v>
          </cell>
          <cell r="G266">
            <v>23.63</v>
          </cell>
          <cell r="H266" t="str">
            <v>Winter</v>
          </cell>
          <cell r="J266">
            <v>1522760.7361963175</v>
          </cell>
          <cell r="K266">
            <v>0</v>
          </cell>
          <cell r="L266">
            <v>475000</v>
          </cell>
          <cell r="M266">
            <v>1997760.7361963175</v>
          </cell>
        </row>
        <row r="267">
          <cell r="A267" t="str">
            <v>756S</v>
          </cell>
          <cell r="B267" t="str">
            <v>368S033</v>
          </cell>
          <cell r="C267">
            <v>15</v>
          </cell>
          <cell r="D267">
            <v>69</v>
          </cell>
          <cell r="E267">
            <v>25</v>
          </cell>
          <cell r="F267">
            <v>1</v>
          </cell>
          <cell r="G267">
            <v>8.8760000000000012</v>
          </cell>
          <cell r="H267" t="str">
            <v>Summer</v>
          </cell>
          <cell r="J267">
            <v>787760.73619631748</v>
          </cell>
          <cell r="K267">
            <v>0</v>
          </cell>
          <cell r="L267">
            <v>285000</v>
          </cell>
          <cell r="M267">
            <v>1072760.7361963175</v>
          </cell>
        </row>
        <row r="268">
          <cell r="A268" t="str">
            <v>757S</v>
          </cell>
          <cell r="B268" t="str">
            <v>368S057</v>
          </cell>
          <cell r="C268">
            <v>50</v>
          </cell>
          <cell r="D268">
            <v>69</v>
          </cell>
          <cell r="E268">
            <v>14.4</v>
          </cell>
          <cell r="F268">
            <v>2</v>
          </cell>
          <cell r="G268">
            <v>0.89</v>
          </cell>
          <cell r="H268" t="str">
            <v>Spring</v>
          </cell>
          <cell r="J268">
            <v>787760.73619631748</v>
          </cell>
          <cell r="K268">
            <v>0</v>
          </cell>
          <cell r="L268">
            <v>950000</v>
          </cell>
          <cell r="M268">
            <v>1737760.7361963175</v>
          </cell>
        </row>
        <row r="269">
          <cell r="A269" t="str">
            <v>759S</v>
          </cell>
          <cell r="B269" t="str">
            <v>366S001</v>
          </cell>
          <cell r="C269">
            <v>6</v>
          </cell>
          <cell r="D269">
            <v>69</v>
          </cell>
          <cell r="E269">
            <v>25</v>
          </cell>
          <cell r="F269">
            <v>1</v>
          </cell>
          <cell r="G269">
            <v>4.226</v>
          </cell>
          <cell r="H269" t="str">
            <v>Winter</v>
          </cell>
          <cell r="J269">
            <v>787760.73619631748</v>
          </cell>
          <cell r="K269">
            <v>0</v>
          </cell>
          <cell r="L269">
            <v>114000</v>
          </cell>
          <cell r="M269">
            <v>901760.73619631748</v>
          </cell>
        </row>
        <row r="270">
          <cell r="A270" t="str">
            <v>760S</v>
          </cell>
          <cell r="B270" t="str">
            <v>363S012</v>
          </cell>
          <cell r="C270">
            <v>1.8</v>
          </cell>
          <cell r="D270">
            <v>69</v>
          </cell>
          <cell r="E270">
            <v>25</v>
          </cell>
          <cell r="F270">
            <v>1</v>
          </cell>
          <cell r="G270">
            <v>4.7027999999999999</v>
          </cell>
          <cell r="H270" t="str">
            <v>Winter</v>
          </cell>
          <cell r="J270">
            <v>787760.73619631748</v>
          </cell>
          <cell r="K270">
            <v>0</v>
          </cell>
          <cell r="L270">
            <v>34200</v>
          </cell>
          <cell r="M270">
            <v>821960.73619631748</v>
          </cell>
        </row>
        <row r="271">
          <cell r="A271" t="str">
            <v>763S</v>
          </cell>
          <cell r="B271" t="str">
            <v>364S017</v>
          </cell>
          <cell r="C271">
            <v>6</v>
          </cell>
          <cell r="D271">
            <v>69</v>
          </cell>
          <cell r="E271">
            <v>25</v>
          </cell>
          <cell r="F271">
            <v>1</v>
          </cell>
          <cell r="G271">
            <v>6.5272000000000006</v>
          </cell>
          <cell r="H271" t="str">
            <v>Winter</v>
          </cell>
          <cell r="J271">
            <v>787760.73619631748</v>
          </cell>
          <cell r="K271">
            <v>0</v>
          </cell>
          <cell r="L271">
            <v>114000</v>
          </cell>
          <cell r="M271">
            <v>901760.73619631748</v>
          </cell>
        </row>
        <row r="272">
          <cell r="A272" t="str">
            <v>764S</v>
          </cell>
          <cell r="B272" t="str">
            <v>368S025</v>
          </cell>
          <cell r="C272">
            <v>10</v>
          </cell>
          <cell r="D272">
            <v>69</v>
          </cell>
          <cell r="E272">
            <v>25</v>
          </cell>
          <cell r="F272">
            <v>1</v>
          </cell>
          <cell r="G272">
            <v>10.286800000000001</v>
          </cell>
          <cell r="H272" t="str">
            <v>Winter</v>
          </cell>
          <cell r="J272">
            <v>787760.73619631748</v>
          </cell>
          <cell r="K272">
            <v>0</v>
          </cell>
          <cell r="L272">
            <v>190000</v>
          </cell>
          <cell r="M272">
            <v>977760.73619631748</v>
          </cell>
        </row>
        <row r="273">
          <cell r="A273" t="str">
            <v>765S</v>
          </cell>
          <cell r="B273" t="str">
            <v>368S001</v>
          </cell>
          <cell r="C273">
            <v>6</v>
          </cell>
          <cell r="D273">
            <v>69</v>
          </cell>
          <cell r="E273">
            <v>25</v>
          </cell>
          <cell r="F273">
            <v>1</v>
          </cell>
          <cell r="G273">
            <v>0.94400000000000006</v>
          </cell>
          <cell r="H273" t="str">
            <v>Summer</v>
          </cell>
          <cell r="J273">
            <v>787760.73619631748</v>
          </cell>
          <cell r="K273">
            <v>0</v>
          </cell>
          <cell r="L273">
            <v>114000</v>
          </cell>
          <cell r="M273">
            <v>901760.73619631748</v>
          </cell>
        </row>
        <row r="274">
          <cell r="A274" t="str">
            <v>767S</v>
          </cell>
          <cell r="B274" t="str">
            <v>365S001</v>
          </cell>
          <cell r="C274">
            <v>1.8</v>
          </cell>
          <cell r="D274">
            <v>69</v>
          </cell>
          <cell r="E274">
            <v>25</v>
          </cell>
          <cell r="F274">
            <v>1</v>
          </cell>
          <cell r="G274">
            <v>8.3344000000000005</v>
          </cell>
          <cell r="H274" t="str">
            <v>Winter</v>
          </cell>
          <cell r="J274">
            <v>787760.73619631748</v>
          </cell>
          <cell r="K274">
            <v>0</v>
          </cell>
          <cell r="L274">
            <v>34200</v>
          </cell>
          <cell r="M274">
            <v>821960.73619631748</v>
          </cell>
        </row>
        <row r="275">
          <cell r="A275" t="str">
            <v>768S</v>
          </cell>
          <cell r="B275" t="str">
            <v>361S009</v>
          </cell>
          <cell r="C275">
            <v>2.1</v>
          </cell>
          <cell r="D275">
            <v>69</v>
          </cell>
          <cell r="E275">
            <v>25</v>
          </cell>
          <cell r="F275">
            <v>1</v>
          </cell>
          <cell r="G275">
            <v>6.6048</v>
          </cell>
          <cell r="H275" t="str">
            <v>Winter</v>
          </cell>
          <cell r="J275">
            <v>787760.73619631748</v>
          </cell>
          <cell r="K275">
            <v>0</v>
          </cell>
          <cell r="L275">
            <v>39900</v>
          </cell>
          <cell r="M275">
            <v>827660.73619631748</v>
          </cell>
        </row>
        <row r="276">
          <cell r="A276" t="str">
            <v>769S</v>
          </cell>
          <cell r="B276" t="str">
            <v>362S025</v>
          </cell>
          <cell r="C276">
            <v>4.2</v>
          </cell>
          <cell r="D276">
            <v>69</v>
          </cell>
          <cell r="E276">
            <v>25</v>
          </cell>
          <cell r="F276">
            <v>2</v>
          </cell>
          <cell r="G276">
            <v>56.830400000000004</v>
          </cell>
          <cell r="H276" t="str">
            <v>Summer</v>
          </cell>
          <cell r="J276">
            <v>787760.73619631748</v>
          </cell>
          <cell r="K276">
            <v>0</v>
          </cell>
          <cell r="L276">
            <v>79800</v>
          </cell>
          <cell r="M276">
            <v>867560.73619631748</v>
          </cell>
        </row>
        <row r="277">
          <cell r="A277" t="str">
            <v>770S</v>
          </cell>
          <cell r="B277" t="str">
            <v>363S009</v>
          </cell>
          <cell r="C277">
            <v>25</v>
          </cell>
          <cell r="D277">
            <v>138</v>
          </cell>
          <cell r="E277">
            <v>25</v>
          </cell>
          <cell r="F277">
            <v>1</v>
          </cell>
          <cell r="G277">
            <v>28.561600000000002</v>
          </cell>
          <cell r="H277" t="str">
            <v>Winter</v>
          </cell>
          <cell r="J277">
            <v>1522760.7361963175</v>
          </cell>
          <cell r="K277">
            <v>0</v>
          </cell>
          <cell r="L277">
            <v>475000</v>
          </cell>
          <cell r="M277">
            <v>1997760.7361963175</v>
          </cell>
        </row>
        <row r="278">
          <cell r="A278" t="str">
            <v>771S</v>
          </cell>
          <cell r="B278" t="str">
            <v>367S009</v>
          </cell>
          <cell r="C278">
            <v>10</v>
          </cell>
          <cell r="D278">
            <v>69</v>
          </cell>
          <cell r="E278">
            <v>25</v>
          </cell>
          <cell r="F278">
            <v>1</v>
          </cell>
          <cell r="G278">
            <v>9.2564000000000011</v>
          </cell>
          <cell r="H278" t="str">
            <v>Summer</v>
          </cell>
          <cell r="J278">
            <v>787760.73619631748</v>
          </cell>
          <cell r="K278">
            <v>0</v>
          </cell>
          <cell r="L278">
            <v>190000</v>
          </cell>
          <cell r="M278">
            <v>977760.73619631748</v>
          </cell>
        </row>
        <row r="279">
          <cell r="A279" t="str">
            <v>772S</v>
          </cell>
          <cell r="B279" t="str">
            <v>364S033</v>
          </cell>
          <cell r="C279">
            <v>6</v>
          </cell>
          <cell r="D279">
            <v>69</v>
          </cell>
          <cell r="E279">
            <v>25</v>
          </cell>
          <cell r="F279">
            <v>1</v>
          </cell>
          <cell r="G279">
            <v>2.5924</v>
          </cell>
          <cell r="H279" t="str">
            <v>Winter</v>
          </cell>
          <cell r="J279">
            <v>787760.73619631748</v>
          </cell>
          <cell r="K279">
            <v>0</v>
          </cell>
          <cell r="L279">
            <v>114000</v>
          </cell>
          <cell r="M279">
            <v>901760.73619631748</v>
          </cell>
        </row>
        <row r="280">
          <cell r="A280" t="str">
            <v>773S</v>
          </cell>
          <cell r="B280" t="str">
            <v>366S009</v>
          </cell>
          <cell r="C280">
            <v>10</v>
          </cell>
          <cell r="D280">
            <v>69</v>
          </cell>
          <cell r="E280">
            <v>25</v>
          </cell>
          <cell r="F280">
            <v>1</v>
          </cell>
          <cell r="G280">
            <v>7.8032000000000004</v>
          </cell>
          <cell r="H280" t="str">
            <v>Winter</v>
          </cell>
          <cell r="J280">
            <v>787760.73619631748</v>
          </cell>
          <cell r="K280">
            <v>0</v>
          </cell>
          <cell r="L280">
            <v>190000</v>
          </cell>
          <cell r="M280">
            <v>977760.73619631748</v>
          </cell>
        </row>
        <row r="281">
          <cell r="A281" t="str">
            <v>774S</v>
          </cell>
          <cell r="B281" t="str">
            <v>367S001</v>
          </cell>
          <cell r="C281">
            <v>12</v>
          </cell>
          <cell r="D281">
            <v>138</v>
          </cell>
          <cell r="E281">
            <v>25</v>
          </cell>
          <cell r="F281">
            <v>1</v>
          </cell>
          <cell r="G281">
            <v>16.7668</v>
          </cell>
          <cell r="H281" t="str">
            <v>Winter</v>
          </cell>
          <cell r="J281">
            <v>1522760.7361963175</v>
          </cell>
          <cell r="K281">
            <v>0</v>
          </cell>
          <cell r="L281">
            <v>228000</v>
          </cell>
          <cell r="M281">
            <v>1750760.7361963175</v>
          </cell>
        </row>
        <row r="282">
          <cell r="A282" t="str">
            <v>776S</v>
          </cell>
          <cell r="B282" t="str">
            <v>364S025</v>
          </cell>
          <cell r="C282">
            <v>6</v>
          </cell>
          <cell r="D282">
            <v>69</v>
          </cell>
          <cell r="E282">
            <v>25</v>
          </cell>
          <cell r="F282">
            <v>1</v>
          </cell>
          <cell r="G282">
            <v>1.7952000000000001</v>
          </cell>
          <cell r="H282" t="str">
            <v>Spring</v>
          </cell>
          <cell r="J282">
            <v>787760.73619631748</v>
          </cell>
          <cell r="K282">
            <v>0</v>
          </cell>
          <cell r="L282">
            <v>114000</v>
          </cell>
          <cell r="M282">
            <v>901760.73619631748</v>
          </cell>
        </row>
        <row r="283">
          <cell r="A283" t="str">
            <v>777S</v>
          </cell>
          <cell r="B283" t="str">
            <v>374S009</v>
          </cell>
          <cell r="C283">
            <v>25</v>
          </cell>
          <cell r="D283">
            <v>138</v>
          </cell>
          <cell r="E283">
            <v>25</v>
          </cell>
          <cell r="F283">
            <v>1</v>
          </cell>
          <cell r="G283">
            <v>11.9396</v>
          </cell>
          <cell r="H283" t="str">
            <v>Summer</v>
          </cell>
          <cell r="J283">
            <v>1522760.7361963175</v>
          </cell>
          <cell r="K283">
            <v>0</v>
          </cell>
          <cell r="L283">
            <v>475000</v>
          </cell>
          <cell r="M283">
            <v>1997760.7361963175</v>
          </cell>
        </row>
        <row r="284">
          <cell r="A284" t="str">
            <v>778S</v>
          </cell>
          <cell r="B284" t="str">
            <v>362S001</v>
          </cell>
          <cell r="C284">
            <v>6</v>
          </cell>
          <cell r="D284">
            <v>69</v>
          </cell>
          <cell r="E284">
            <v>25</v>
          </cell>
          <cell r="F284">
            <v>1</v>
          </cell>
          <cell r="G284">
            <v>6.5636000000000001</v>
          </cell>
          <cell r="H284" t="str">
            <v>Winter</v>
          </cell>
          <cell r="J284">
            <v>787760.73619631748</v>
          </cell>
          <cell r="K284">
            <v>0</v>
          </cell>
          <cell r="L284">
            <v>114000</v>
          </cell>
          <cell r="M284">
            <v>901760.73619631748</v>
          </cell>
        </row>
        <row r="285">
          <cell r="A285" t="str">
            <v>779S</v>
          </cell>
          <cell r="B285" t="str">
            <v>325S001</v>
          </cell>
          <cell r="C285">
            <v>7.5</v>
          </cell>
          <cell r="D285">
            <v>138</v>
          </cell>
          <cell r="E285">
            <v>4.16</v>
          </cell>
          <cell r="F285">
            <v>1</v>
          </cell>
          <cell r="G285">
            <v>0.65600000000000003</v>
          </cell>
          <cell r="H285" t="str">
            <v>Winter</v>
          </cell>
          <cell r="J285">
            <v>1522760.7361963175</v>
          </cell>
          <cell r="K285">
            <v>0</v>
          </cell>
          <cell r="L285">
            <v>142500</v>
          </cell>
          <cell r="M285">
            <v>1665260.7361963175</v>
          </cell>
        </row>
        <row r="286">
          <cell r="A286" t="str">
            <v>783S</v>
          </cell>
          <cell r="B286" t="str">
            <v>321S041</v>
          </cell>
          <cell r="C286">
            <v>7.5</v>
          </cell>
          <cell r="D286">
            <v>138</v>
          </cell>
          <cell r="E286">
            <v>25</v>
          </cell>
          <cell r="F286">
            <v>1</v>
          </cell>
          <cell r="G286">
            <v>2.5028000000000001</v>
          </cell>
          <cell r="H286" t="str">
            <v>Winter</v>
          </cell>
          <cell r="J286">
            <v>1522760.7361963175</v>
          </cell>
          <cell r="K286">
            <v>0</v>
          </cell>
          <cell r="L286">
            <v>142500</v>
          </cell>
          <cell r="M286">
            <v>1665260.7361963175</v>
          </cell>
        </row>
        <row r="287">
          <cell r="A287" t="str">
            <v>784S</v>
          </cell>
          <cell r="B287" t="str">
            <v>324S001</v>
          </cell>
          <cell r="C287">
            <v>25</v>
          </cell>
          <cell r="D287">
            <v>138</v>
          </cell>
          <cell r="E287">
            <v>25</v>
          </cell>
          <cell r="F287">
            <v>1</v>
          </cell>
          <cell r="G287">
            <v>23.235600000000002</v>
          </cell>
          <cell r="H287" t="str">
            <v>Winter</v>
          </cell>
          <cell r="J287">
            <v>1522760.7361963175</v>
          </cell>
          <cell r="K287">
            <v>0</v>
          </cell>
          <cell r="L287">
            <v>475000</v>
          </cell>
          <cell r="M287">
            <v>1997760.7361963175</v>
          </cell>
        </row>
        <row r="288">
          <cell r="A288" t="str">
            <v>785S</v>
          </cell>
          <cell r="B288" t="str">
            <v>332S090</v>
          </cell>
          <cell r="C288">
            <v>15</v>
          </cell>
          <cell r="D288">
            <v>138</v>
          </cell>
          <cell r="E288">
            <v>25</v>
          </cell>
          <cell r="F288">
            <v>1</v>
          </cell>
          <cell r="G288">
            <v>24.967600000000001</v>
          </cell>
          <cell r="H288" t="str">
            <v>Summer</v>
          </cell>
          <cell r="J288">
            <v>1522760.7361963175</v>
          </cell>
          <cell r="K288">
            <v>0</v>
          </cell>
          <cell r="L288">
            <v>285000</v>
          </cell>
          <cell r="M288">
            <v>1807760.7361963175</v>
          </cell>
        </row>
        <row r="289">
          <cell r="A289" t="str">
            <v>786S</v>
          </cell>
          <cell r="B289" t="str">
            <v>323S001</v>
          </cell>
          <cell r="C289">
            <v>6.6</v>
          </cell>
          <cell r="D289">
            <v>138</v>
          </cell>
          <cell r="E289">
            <v>25</v>
          </cell>
          <cell r="F289">
            <v>1</v>
          </cell>
          <cell r="G289">
            <v>22.6</v>
          </cell>
          <cell r="H289" t="str">
            <v>Winter</v>
          </cell>
          <cell r="J289">
            <v>1522760.7361963175</v>
          </cell>
          <cell r="K289">
            <v>0</v>
          </cell>
          <cell r="L289">
            <v>125400</v>
          </cell>
          <cell r="M289">
            <v>1648160.7361963175</v>
          </cell>
        </row>
        <row r="290">
          <cell r="A290" t="str">
            <v>787S</v>
          </cell>
          <cell r="B290" t="str">
            <v>333S001</v>
          </cell>
          <cell r="C290">
            <v>4.2</v>
          </cell>
          <cell r="D290">
            <v>69</v>
          </cell>
          <cell r="E290">
            <v>25</v>
          </cell>
          <cell r="F290">
            <v>2</v>
          </cell>
          <cell r="G290">
            <v>15.1684</v>
          </cell>
          <cell r="H290" t="str">
            <v>Winter</v>
          </cell>
          <cell r="J290">
            <v>787760.73619631748</v>
          </cell>
          <cell r="K290">
            <v>0</v>
          </cell>
          <cell r="L290">
            <v>79800</v>
          </cell>
          <cell r="M290">
            <v>867560.73619631748</v>
          </cell>
        </row>
        <row r="291">
          <cell r="A291" t="str">
            <v>788S</v>
          </cell>
          <cell r="B291" t="str">
            <v>325S009</v>
          </cell>
          <cell r="C291">
            <v>7.5</v>
          </cell>
          <cell r="D291">
            <v>138</v>
          </cell>
          <cell r="E291">
            <v>25</v>
          </cell>
          <cell r="F291">
            <v>1</v>
          </cell>
          <cell r="G291">
            <v>7.6820000000000004</v>
          </cell>
          <cell r="H291" t="str">
            <v>Winter</v>
          </cell>
          <cell r="J291">
            <v>1522760.7361963175</v>
          </cell>
          <cell r="K291">
            <v>0</v>
          </cell>
          <cell r="L291">
            <v>142500</v>
          </cell>
          <cell r="M291">
            <v>1665260.7361963175</v>
          </cell>
        </row>
        <row r="292">
          <cell r="A292" t="str">
            <v>790S</v>
          </cell>
          <cell r="B292" t="str">
            <v>311S072</v>
          </cell>
          <cell r="C292">
            <v>25</v>
          </cell>
          <cell r="D292">
            <v>138</v>
          </cell>
          <cell r="E292">
            <v>25</v>
          </cell>
          <cell r="F292">
            <v>1</v>
          </cell>
          <cell r="G292">
            <v>0.74680000000000002</v>
          </cell>
          <cell r="H292" t="str">
            <v>Summer</v>
          </cell>
          <cell r="J292">
            <v>1522760.7361963175</v>
          </cell>
          <cell r="K292">
            <v>0</v>
          </cell>
          <cell r="L292">
            <v>475000</v>
          </cell>
          <cell r="M292">
            <v>1997760.7361963175</v>
          </cell>
        </row>
        <row r="293">
          <cell r="A293" t="str">
            <v>790S</v>
          </cell>
          <cell r="B293" t="str">
            <v>311S081</v>
          </cell>
          <cell r="C293">
            <v>25</v>
          </cell>
          <cell r="D293">
            <v>138</v>
          </cell>
          <cell r="E293">
            <v>25</v>
          </cell>
          <cell r="F293">
            <v>1</v>
          </cell>
          <cell r="G293">
            <v>37.334000000000003</v>
          </cell>
          <cell r="H293" t="str">
            <v>Winter</v>
          </cell>
          <cell r="J293">
            <v>1522760.7361963175</v>
          </cell>
          <cell r="K293">
            <v>0</v>
          </cell>
          <cell r="L293">
            <v>475000</v>
          </cell>
          <cell r="M293">
            <v>1997760.7361963175</v>
          </cell>
        </row>
        <row r="294">
          <cell r="A294" t="str">
            <v>790S</v>
          </cell>
          <cell r="B294" t="str">
            <v>311S081</v>
          </cell>
          <cell r="C294">
            <v>25</v>
          </cell>
          <cell r="D294">
            <v>138</v>
          </cell>
          <cell r="E294">
            <v>25</v>
          </cell>
          <cell r="F294">
            <v>1</v>
          </cell>
          <cell r="G294">
            <v>37.334000000000003</v>
          </cell>
          <cell r="H294" t="str">
            <v>Winter</v>
          </cell>
          <cell r="J294">
            <v>1522760.7361963175</v>
          </cell>
          <cell r="K294">
            <v>0</v>
          </cell>
          <cell r="L294">
            <v>475000</v>
          </cell>
          <cell r="M294">
            <v>1997760.7361963175</v>
          </cell>
        </row>
        <row r="295">
          <cell r="A295" t="str">
            <v>794S</v>
          </cell>
          <cell r="B295" t="str">
            <v>334S017</v>
          </cell>
          <cell r="C295">
            <v>5</v>
          </cell>
          <cell r="D295">
            <v>138</v>
          </cell>
          <cell r="E295">
            <v>25</v>
          </cell>
          <cell r="F295">
            <v>1</v>
          </cell>
          <cell r="G295">
            <v>13.0556</v>
          </cell>
          <cell r="H295" t="str">
            <v>Winter</v>
          </cell>
          <cell r="J295">
            <v>1522760.7361963175</v>
          </cell>
          <cell r="K295">
            <v>0</v>
          </cell>
          <cell r="L295">
            <v>95000</v>
          </cell>
          <cell r="M295">
            <v>1617760.7361963175</v>
          </cell>
        </row>
        <row r="296">
          <cell r="A296" t="str">
            <v>795S</v>
          </cell>
          <cell r="B296" t="str">
            <v>326S009</v>
          </cell>
          <cell r="C296">
            <v>10</v>
          </cell>
          <cell r="D296">
            <v>138</v>
          </cell>
          <cell r="E296">
            <v>25</v>
          </cell>
          <cell r="F296">
            <v>2</v>
          </cell>
          <cell r="G296">
            <v>8.5332000000000008</v>
          </cell>
          <cell r="H296" t="str">
            <v>Winter</v>
          </cell>
          <cell r="J296">
            <v>1522760.7361963175</v>
          </cell>
          <cell r="K296">
            <v>0</v>
          </cell>
          <cell r="L296">
            <v>190000</v>
          </cell>
          <cell r="M296">
            <v>1712760.7361963175</v>
          </cell>
        </row>
        <row r="297">
          <cell r="A297" t="str">
            <v>796S</v>
          </cell>
          <cell r="B297" t="str">
            <v>331S025</v>
          </cell>
          <cell r="C297">
            <v>60</v>
          </cell>
          <cell r="D297">
            <v>138</v>
          </cell>
          <cell r="E297">
            <v>25</v>
          </cell>
          <cell r="F297">
            <v>2</v>
          </cell>
          <cell r="G297">
            <v>44.1556</v>
          </cell>
          <cell r="H297" t="str">
            <v>Summer</v>
          </cell>
          <cell r="J297">
            <v>1522760.7361963175</v>
          </cell>
          <cell r="K297">
            <v>0</v>
          </cell>
          <cell r="L297">
            <v>1140000</v>
          </cell>
          <cell r="M297">
            <v>2662760.7361963177</v>
          </cell>
        </row>
        <row r="298">
          <cell r="A298" t="str">
            <v>797S</v>
          </cell>
          <cell r="B298" t="str">
            <v>325S025</v>
          </cell>
          <cell r="C298">
            <v>7.5</v>
          </cell>
          <cell r="D298">
            <v>138</v>
          </cell>
          <cell r="E298">
            <v>25</v>
          </cell>
          <cell r="F298">
            <v>1</v>
          </cell>
          <cell r="G298">
            <v>1.8176000000000001</v>
          </cell>
          <cell r="H298" t="str">
            <v>Winter</v>
          </cell>
          <cell r="J298">
            <v>1522760.7361963175</v>
          </cell>
          <cell r="K298">
            <v>0</v>
          </cell>
          <cell r="L298">
            <v>142500</v>
          </cell>
          <cell r="M298">
            <v>1665260.7361963175</v>
          </cell>
        </row>
        <row r="299">
          <cell r="A299" t="str">
            <v>799S</v>
          </cell>
          <cell r="B299" t="str">
            <v>0000079901</v>
          </cell>
          <cell r="C299">
            <v>30</v>
          </cell>
          <cell r="D299">
            <v>138</v>
          </cell>
          <cell r="E299">
            <v>25</v>
          </cell>
          <cell r="F299">
            <v>2</v>
          </cell>
          <cell r="G299">
            <v>11.7768</v>
          </cell>
          <cell r="H299" t="str">
            <v>Winter</v>
          </cell>
          <cell r="J299">
            <v>1522760.7361963175</v>
          </cell>
          <cell r="K299">
            <v>0</v>
          </cell>
          <cell r="L299">
            <v>570000</v>
          </cell>
          <cell r="M299">
            <v>2092760.7361963175</v>
          </cell>
        </row>
        <row r="300">
          <cell r="A300" t="str">
            <v>801S</v>
          </cell>
          <cell r="B300" t="str">
            <v>364S001</v>
          </cell>
          <cell r="C300">
            <v>3.5</v>
          </cell>
          <cell r="D300">
            <v>138</v>
          </cell>
          <cell r="E300">
            <v>25</v>
          </cell>
          <cell r="F300">
            <v>1</v>
          </cell>
          <cell r="G300">
            <v>6.9628000000000005</v>
          </cell>
          <cell r="H300" t="str">
            <v>Summer</v>
          </cell>
          <cell r="J300">
            <v>1522760.7361963175</v>
          </cell>
          <cell r="K300">
            <v>0</v>
          </cell>
          <cell r="L300">
            <v>66500</v>
          </cell>
          <cell r="M300">
            <v>1589260.7361963175</v>
          </cell>
        </row>
        <row r="301">
          <cell r="A301" t="str">
            <v>802S</v>
          </cell>
          <cell r="B301" t="str">
            <v>361S001</v>
          </cell>
          <cell r="C301">
            <v>30</v>
          </cell>
          <cell r="D301">
            <v>138</v>
          </cell>
          <cell r="E301">
            <v>25</v>
          </cell>
          <cell r="F301">
            <v>1</v>
          </cell>
          <cell r="G301">
            <v>29.804400000000001</v>
          </cell>
          <cell r="H301" t="str">
            <v>Summer</v>
          </cell>
          <cell r="J301">
            <v>1522760.7361963175</v>
          </cell>
          <cell r="K301">
            <v>0</v>
          </cell>
          <cell r="L301">
            <v>570000</v>
          </cell>
          <cell r="M301">
            <v>2092760.7361963175</v>
          </cell>
        </row>
        <row r="302">
          <cell r="A302" t="str">
            <v>803S</v>
          </cell>
          <cell r="B302" t="str">
            <v>364S009</v>
          </cell>
          <cell r="C302">
            <v>5.2</v>
          </cell>
          <cell r="D302">
            <v>138</v>
          </cell>
          <cell r="E302">
            <v>25</v>
          </cell>
          <cell r="F302">
            <v>1</v>
          </cell>
          <cell r="G302">
            <v>16.5364</v>
          </cell>
          <cell r="H302" t="str">
            <v>Summer</v>
          </cell>
          <cell r="J302">
            <v>1522760.7361963175</v>
          </cell>
          <cell r="K302">
            <v>0</v>
          </cell>
          <cell r="L302">
            <v>98800</v>
          </cell>
          <cell r="M302">
            <v>1621560.7361963175</v>
          </cell>
        </row>
        <row r="303">
          <cell r="A303" t="str">
            <v>810S</v>
          </cell>
          <cell r="B303" t="str">
            <v>311S009</v>
          </cell>
          <cell r="C303">
            <v>8.5</v>
          </cell>
          <cell r="D303">
            <v>138</v>
          </cell>
          <cell r="E303">
            <v>25</v>
          </cell>
          <cell r="F303">
            <v>2</v>
          </cell>
          <cell r="G303">
            <v>9.9324000000000012</v>
          </cell>
          <cell r="H303" t="str">
            <v>Winter</v>
          </cell>
          <cell r="J303">
            <v>1522760.7361963175</v>
          </cell>
          <cell r="K303">
            <v>0</v>
          </cell>
          <cell r="L303">
            <v>161500</v>
          </cell>
          <cell r="M303">
            <v>1684260.7361963175</v>
          </cell>
        </row>
        <row r="304">
          <cell r="A304" t="str">
            <v>812S</v>
          </cell>
          <cell r="B304" t="str">
            <v>321S017</v>
          </cell>
          <cell r="C304">
            <v>3.5</v>
          </cell>
          <cell r="D304">
            <v>138</v>
          </cell>
          <cell r="E304">
            <v>25</v>
          </cell>
          <cell r="F304">
            <v>1</v>
          </cell>
          <cell r="G304">
            <v>10.1</v>
          </cell>
          <cell r="H304" t="str">
            <v>Winter</v>
          </cell>
          <cell r="J304">
            <v>1522760.7361963175</v>
          </cell>
          <cell r="K304">
            <v>0</v>
          </cell>
          <cell r="L304">
            <v>66500</v>
          </cell>
          <cell r="M304">
            <v>1589260.7361963175</v>
          </cell>
        </row>
        <row r="305">
          <cell r="A305" t="str">
            <v>815S</v>
          </cell>
          <cell r="B305" t="str">
            <v>311S065</v>
          </cell>
          <cell r="C305">
            <v>25</v>
          </cell>
          <cell r="D305">
            <v>138</v>
          </cell>
          <cell r="E305">
            <v>25</v>
          </cell>
          <cell r="F305">
            <v>1</v>
          </cell>
          <cell r="G305">
            <v>32.286000000000001</v>
          </cell>
          <cell r="H305" t="str">
            <v>Summer</v>
          </cell>
          <cell r="J305">
            <v>1522760.7361963175</v>
          </cell>
          <cell r="K305">
            <v>0</v>
          </cell>
          <cell r="L305">
            <v>475000</v>
          </cell>
          <cell r="M305">
            <v>1997760.7361963175</v>
          </cell>
        </row>
        <row r="306">
          <cell r="A306" t="str">
            <v>818S</v>
          </cell>
          <cell r="B306" t="str">
            <v>0000081801</v>
          </cell>
          <cell r="C306">
            <v>15</v>
          </cell>
          <cell r="D306">
            <v>138</v>
          </cell>
          <cell r="E306">
            <v>25</v>
          </cell>
          <cell r="F306">
            <v>1</v>
          </cell>
          <cell r="G306">
            <v>18.724399999999999</v>
          </cell>
          <cell r="H306" t="str">
            <v>Fall</v>
          </cell>
          <cell r="J306">
            <v>1522760.7361963175</v>
          </cell>
          <cell r="K306">
            <v>0</v>
          </cell>
          <cell r="L306">
            <v>285000</v>
          </cell>
          <cell r="M306">
            <v>1807760.7361963175</v>
          </cell>
        </row>
        <row r="307">
          <cell r="A307" t="str">
            <v>820S</v>
          </cell>
          <cell r="B307" t="str">
            <v>341S001</v>
          </cell>
          <cell r="C307">
            <v>25</v>
          </cell>
          <cell r="D307">
            <v>138</v>
          </cell>
          <cell r="E307">
            <v>25</v>
          </cell>
          <cell r="F307">
            <v>1</v>
          </cell>
          <cell r="G307">
            <v>30.326800000000002</v>
          </cell>
          <cell r="H307" t="str">
            <v>Summer</v>
          </cell>
          <cell r="J307">
            <v>1522760.7361963175</v>
          </cell>
          <cell r="K307">
            <v>0</v>
          </cell>
          <cell r="L307">
            <v>475000</v>
          </cell>
          <cell r="M307">
            <v>1997760.7361963175</v>
          </cell>
        </row>
        <row r="308">
          <cell r="A308" t="str">
            <v>821S</v>
          </cell>
          <cell r="B308" t="str">
            <v>0000082101</v>
          </cell>
          <cell r="C308">
            <v>6</v>
          </cell>
          <cell r="D308">
            <v>69</v>
          </cell>
          <cell r="E308">
            <v>25</v>
          </cell>
          <cell r="F308">
            <v>1</v>
          </cell>
          <cell r="G308">
            <v>3.75</v>
          </cell>
          <cell r="H308" t="str">
            <v>Summer</v>
          </cell>
          <cell r="J308">
            <v>787760.73619631748</v>
          </cell>
          <cell r="K308">
            <v>0</v>
          </cell>
          <cell r="L308">
            <v>114000</v>
          </cell>
          <cell r="M308">
            <v>901760.73619631748</v>
          </cell>
        </row>
        <row r="309">
          <cell r="A309" t="str">
            <v>822S</v>
          </cell>
          <cell r="B309" t="str">
            <v>373S009</v>
          </cell>
          <cell r="C309">
            <v>25</v>
          </cell>
          <cell r="D309">
            <v>138</v>
          </cell>
          <cell r="E309">
            <v>25</v>
          </cell>
          <cell r="F309">
            <v>1</v>
          </cell>
          <cell r="G309">
            <v>26.590800000000002</v>
          </cell>
          <cell r="H309" t="str">
            <v>Winter</v>
          </cell>
          <cell r="J309">
            <v>1522760.7361963175</v>
          </cell>
          <cell r="K309">
            <v>0</v>
          </cell>
          <cell r="L309">
            <v>475000</v>
          </cell>
          <cell r="M309">
            <v>1997760.7361963175</v>
          </cell>
        </row>
        <row r="310">
          <cell r="A310" t="str">
            <v>823S</v>
          </cell>
          <cell r="B310" t="str">
            <v>311S057</v>
          </cell>
          <cell r="C310">
            <v>6.7</v>
          </cell>
          <cell r="D310">
            <v>138</v>
          </cell>
          <cell r="E310">
            <v>25</v>
          </cell>
          <cell r="F310">
            <v>1</v>
          </cell>
          <cell r="G310">
            <v>9.2295999999999996</v>
          </cell>
          <cell r="H310" t="str">
            <v>Winter</v>
          </cell>
          <cell r="J310">
            <v>1522760.7361963175</v>
          </cell>
          <cell r="K310">
            <v>0</v>
          </cell>
          <cell r="L310">
            <v>127300</v>
          </cell>
          <cell r="M310">
            <v>1650060.7361963175</v>
          </cell>
        </row>
        <row r="311">
          <cell r="A311" t="str">
            <v>824S</v>
          </cell>
          <cell r="B311" t="str">
            <v>332S081</v>
          </cell>
          <cell r="C311">
            <v>11.7</v>
          </cell>
          <cell r="D311">
            <v>138</v>
          </cell>
          <cell r="E311">
            <v>25</v>
          </cell>
          <cell r="F311">
            <v>1</v>
          </cell>
          <cell r="G311">
            <v>10.8208</v>
          </cell>
          <cell r="H311" t="str">
            <v>Winter</v>
          </cell>
          <cell r="J311">
            <v>1522760.7361963175</v>
          </cell>
          <cell r="K311">
            <v>0</v>
          </cell>
          <cell r="L311">
            <v>222300</v>
          </cell>
          <cell r="M311">
            <v>1745060.7361963175</v>
          </cell>
        </row>
        <row r="312">
          <cell r="A312" t="str">
            <v>827S</v>
          </cell>
          <cell r="B312" t="str">
            <v>336S001</v>
          </cell>
          <cell r="C312">
            <v>10</v>
          </cell>
          <cell r="D312">
            <v>138</v>
          </cell>
          <cell r="E312">
            <v>25</v>
          </cell>
          <cell r="F312">
            <v>1</v>
          </cell>
          <cell r="G312">
            <v>9.8364000000000011</v>
          </cell>
          <cell r="H312" t="str">
            <v>Winter</v>
          </cell>
          <cell r="J312">
            <v>1522760.7361963175</v>
          </cell>
          <cell r="K312">
            <v>0</v>
          </cell>
          <cell r="L312">
            <v>190000</v>
          </cell>
          <cell r="M312">
            <v>1712760.7361963175</v>
          </cell>
        </row>
        <row r="313">
          <cell r="A313" t="str">
            <v>828S</v>
          </cell>
          <cell r="B313" t="str">
            <v>326S017</v>
          </cell>
          <cell r="C313">
            <v>25</v>
          </cell>
          <cell r="D313">
            <v>138</v>
          </cell>
          <cell r="E313">
            <v>25</v>
          </cell>
          <cell r="F313">
            <v>1</v>
          </cell>
          <cell r="G313">
            <v>15.564400000000001</v>
          </cell>
          <cell r="H313" t="str">
            <v>Summer</v>
          </cell>
          <cell r="J313">
            <v>1522760.7361963175</v>
          </cell>
          <cell r="K313">
            <v>0</v>
          </cell>
          <cell r="L313">
            <v>475000</v>
          </cell>
          <cell r="M313">
            <v>1997760.7361963175</v>
          </cell>
        </row>
        <row r="314">
          <cell r="A314" t="str">
            <v>830S</v>
          </cell>
          <cell r="B314" t="str">
            <v>321S009</v>
          </cell>
          <cell r="C314">
            <v>41.6</v>
          </cell>
          <cell r="D314">
            <v>138</v>
          </cell>
          <cell r="E314">
            <v>25</v>
          </cell>
          <cell r="F314">
            <v>1</v>
          </cell>
          <cell r="G314">
            <v>11.96</v>
          </cell>
          <cell r="H314" t="str">
            <v>Winter</v>
          </cell>
          <cell r="J314">
            <v>1522760.7361963175</v>
          </cell>
          <cell r="K314">
            <v>0</v>
          </cell>
          <cell r="L314">
            <v>790400</v>
          </cell>
          <cell r="M314">
            <v>2313160.7361963177</v>
          </cell>
        </row>
        <row r="315">
          <cell r="A315" t="str">
            <v>832S</v>
          </cell>
          <cell r="B315" t="str">
            <v>322S001</v>
          </cell>
          <cell r="C315">
            <v>5</v>
          </cell>
          <cell r="D315">
            <v>138</v>
          </cell>
          <cell r="E315">
            <v>25</v>
          </cell>
          <cell r="F315">
            <v>1</v>
          </cell>
          <cell r="G315">
            <v>15.901200000000001</v>
          </cell>
          <cell r="H315" t="str">
            <v>Winter</v>
          </cell>
          <cell r="J315">
            <v>1522760.7361963175</v>
          </cell>
          <cell r="K315">
            <v>0</v>
          </cell>
          <cell r="L315">
            <v>95000</v>
          </cell>
          <cell r="M315">
            <v>1617760.7361963175</v>
          </cell>
        </row>
        <row r="316">
          <cell r="A316" t="str">
            <v>833S</v>
          </cell>
          <cell r="B316" t="str">
            <v>341S048</v>
          </cell>
          <cell r="C316">
            <v>10</v>
          </cell>
          <cell r="D316">
            <v>138</v>
          </cell>
          <cell r="E316">
            <v>4.16</v>
          </cell>
          <cell r="F316">
            <v>1</v>
          </cell>
          <cell r="G316">
            <v>6</v>
          </cell>
          <cell r="H316" t="str">
            <v>Winter</v>
          </cell>
          <cell r="J316">
            <v>1522760.7361963175</v>
          </cell>
          <cell r="K316">
            <v>0</v>
          </cell>
          <cell r="L316">
            <v>190000</v>
          </cell>
          <cell r="M316">
            <v>1712760.7361963175</v>
          </cell>
        </row>
        <row r="317">
          <cell r="A317" t="str">
            <v>836S</v>
          </cell>
          <cell r="B317" t="str">
            <v>341S033</v>
          </cell>
          <cell r="C317">
            <v>60</v>
          </cell>
          <cell r="D317">
            <v>69</v>
          </cell>
          <cell r="E317">
            <v>13.8</v>
          </cell>
          <cell r="F317">
            <v>2</v>
          </cell>
          <cell r="G317">
            <v>160.12440000000001</v>
          </cell>
          <cell r="H317" t="str">
            <v>Winter</v>
          </cell>
          <cell r="J317">
            <v>787760.73619631748</v>
          </cell>
          <cell r="K317">
            <v>0</v>
          </cell>
          <cell r="L317">
            <v>1140000</v>
          </cell>
          <cell r="M317">
            <v>1927760.7361963175</v>
          </cell>
        </row>
        <row r="318">
          <cell r="A318" t="str">
            <v>836S</v>
          </cell>
          <cell r="B318" t="str">
            <v>SCR</v>
          </cell>
          <cell r="C318">
            <v>60</v>
          </cell>
          <cell r="D318">
            <v>69</v>
          </cell>
          <cell r="E318">
            <v>13.8</v>
          </cell>
          <cell r="F318">
            <v>2</v>
          </cell>
          <cell r="G318">
            <v>30</v>
          </cell>
          <cell r="H318" t="str">
            <v>Summer</v>
          </cell>
          <cell r="J318">
            <v>787760.73619631748</v>
          </cell>
          <cell r="K318">
            <v>0</v>
          </cell>
          <cell r="L318">
            <v>1140000</v>
          </cell>
          <cell r="M318">
            <v>1927760.7361963175</v>
          </cell>
        </row>
        <row r="319">
          <cell r="A319" t="str">
            <v>837S</v>
          </cell>
          <cell r="B319" t="str">
            <v>373S025</v>
          </cell>
          <cell r="C319">
            <v>50</v>
          </cell>
          <cell r="D319">
            <v>138</v>
          </cell>
          <cell r="E319">
            <v>25</v>
          </cell>
          <cell r="F319">
            <v>2</v>
          </cell>
          <cell r="G319">
            <v>54.845200000000006</v>
          </cell>
          <cell r="H319" t="str">
            <v>Summer</v>
          </cell>
          <cell r="J319">
            <v>1522760.7361963175</v>
          </cell>
          <cell r="K319">
            <v>0</v>
          </cell>
          <cell r="L319">
            <v>950000</v>
          </cell>
          <cell r="M319">
            <v>2472760.7361963177</v>
          </cell>
        </row>
        <row r="320">
          <cell r="A320" t="str">
            <v>837S</v>
          </cell>
          <cell r="B320" t="str">
            <v>IOR1LOD</v>
          </cell>
          <cell r="C320">
            <v>50</v>
          </cell>
          <cell r="D320">
            <v>138</v>
          </cell>
          <cell r="E320">
            <v>25</v>
          </cell>
          <cell r="F320">
            <v>2</v>
          </cell>
          <cell r="G320">
            <v>99.181200000000004</v>
          </cell>
          <cell r="H320" t="str">
            <v>Winter</v>
          </cell>
          <cell r="J320">
            <v>1522760.7361963175</v>
          </cell>
          <cell r="K320">
            <v>0</v>
          </cell>
          <cell r="L320">
            <v>950000</v>
          </cell>
          <cell r="M320">
            <v>2472760.7361963177</v>
          </cell>
        </row>
        <row r="321">
          <cell r="A321" t="str">
            <v>83S</v>
          </cell>
          <cell r="B321" t="str">
            <v>0000008301</v>
          </cell>
          <cell r="C321">
            <v>50</v>
          </cell>
          <cell r="D321">
            <v>138</v>
          </cell>
          <cell r="E321">
            <v>25</v>
          </cell>
          <cell r="F321">
            <v>2</v>
          </cell>
          <cell r="G321">
            <v>57.023600000000002</v>
          </cell>
          <cell r="H321" t="str">
            <v>Summer</v>
          </cell>
          <cell r="J321">
            <v>1522760.7361963175</v>
          </cell>
          <cell r="K321">
            <v>0</v>
          </cell>
          <cell r="L321">
            <v>950000</v>
          </cell>
          <cell r="M321">
            <v>2472760.7361963177</v>
          </cell>
        </row>
        <row r="322">
          <cell r="A322" t="str">
            <v>843S</v>
          </cell>
          <cell r="B322" t="str">
            <v>368S049</v>
          </cell>
          <cell r="C322">
            <v>5</v>
          </cell>
          <cell r="D322">
            <v>69</v>
          </cell>
          <cell r="E322">
            <v>4.16</v>
          </cell>
          <cell r="F322">
            <v>1</v>
          </cell>
          <cell r="G322">
            <v>2.12</v>
          </cell>
          <cell r="H322" t="str">
            <v>Summer</v>
          </cell>
          <cell r="J322">
            <v>787760.73619631748</v>
          </cell>
          <cell r="K322">
            <v>0</v>
          </cell>
          <cell r="L322">
            <v>95000</v>
          </cell>
          <cell r="M322">
            <v>882760.73619631748</v>
          </cell>
        </row>
        <row r="323">
          <cell r="A323" t="str">
            <v>844S</v>
          </cell>
          <cell r="B323" t="str">
            <v>331S056</v>
          </cell>
          <cell r="C323">
            <v>100</v>
          </cell>
          <cell r="D323">
            <v>138</v>
          </cell>
          <cell r="E323">
            <v>13.8</v>
          </cell>
          <cell r="F323">
            <v>2</v>
          </cell>
          <cell r="G323">
            <v>61.613600000000005</v>
          </cell>
          <cell r="H323" t="str">
            <v>Winter</v>
          </cell>
          <cell r="J323">
            <v>1522760.7361963175</v>
          </cell>
          <cell r="K323">
            <v>0</v>
          </cell>
          <cell r="L323">
            <v>1900000</v>
          </cell>
          <cell r="M323">
            <v>3422760.7361963177</v>
          </cell>
        </row>
        <row r="324">
          <cell r="A324" t="str">
            <v>846S</v>
          </cell>
          <cell r="B324" t="str">
            <v>373S001</v>
          </cell>
          <cell r="C324">
            <v>50</v>
          </cell>
          <cell r="D324">
            <v>138</v>
          </cell>
          <cell r="E324">
            <v>25</v>
          </cell>
          <cell r="F324">
            <v>2</v>
          </cell>
          <cell r="G324">
            <v>55.435600000000001</v>
          </cell>
          <cell r="H324" t="str">
            <v>Winter</v>
          </cell>
          <cell r="J324">
            <v>1522760.7361963175</v>
          </cell>
          <cell r="K324">
            <v>0</v>
          </cell>
          <cell r="L324">
            <v>950000</v>
          </cell>
          <cell r="M324">
            <v>2472760.7361963177</v>
          </cell>
        </row>
        <row r="325">
          <cell r="A325" t="str">
            <v>848S</v>
          </cell>
          <cell r="B325" t="str">
            <v>341S008</v>
          </cell>
          <cell r="C325">
            <v>25</v>
          </cell>
          <cell r="D325">
            <v>69</v>
          </cell>
          <cell r="E325">
            <v>25</v>
          </cell>
          <cell r="F325">
            <v>1</v>
          </cell>
          <cell r="G325">
            <v>112.42800000000001</v>
          </cell>
          <cell r="H325" t="str">
            <v>Summer</v>
          </cell>
          <cell r="J325">
            <v>787760.73619631748</v>
          </cell>
          <cell r="K325">
            <v>0</v>
          </cell>
          <cell r="L325">
            <v>475000</v>
          </cell>
          <cell r="M325">
            <v>1262760.7361963175</v>
          </cell>
        </row>
        <row r="326">
          <cell r="A326" t="str">
            <v>851S</v>
          </cell>
          <cell r="B326" t="str">
            <v>332S025</v>
          </cell>
          <cell r="C326">
            <v>25</v>
          </cell>
          <cell r="D326">
            <v>138</v>
          </cell>
          <cell r="E326">
            <v>25</v>
          </cell>
          <cell r="F326">
            <v>1</v>
          </cell>
          <cell r="G326">
            <v>13.844000000000001</v>
          </cell>
          <cell r="H326" t="str">
            <v>Fall</v>
          </cell>
          <cell r="J326">
            <v>1522760.7361963175</v>
          </cell>
          <cell r="K326">
            <v>0</v>
          </cell>
          <cell r="L326">
            <v>475000</v>
          </cell>
          <cell r="M326">
            <v>1997760.7361963175</v>
          </cell>
        </row>
        <row r="327">
          <cell r="A327" t="str">
            <v>853S</v>
          </cell>
          <cell r="B327" t="str">
            <v>325S017</v>
          </cell>
          <cell r="C327">
            <v>20</v>
          </cell>
          <cell r="D327">
            <v>138</v>
          </cell>
          <cell r="E327">
            <v>25</v>
          </cell>
          <cell r="F327">
            <v>2</v>
          </cell>
          <cell r="G327">
            <v>14.6424</v>
          </cell>
          <cell r="H327" t="str">
            <v>Summer</v>
          </cell>
          <cell r="J327">
            <v>1522760.7361963175</v>
          </cell>
          <cell r="K327">
            <v>0</v>
          </cell>
          <cell r="L327">
            <v>380000</v>
          </cell>
          <cell r="M327">
            <v>1902760.7361963175</v>
          </cell>
        </row>
        <row r="328">
          <cell r="A328" t="str">
            <v>854S</v>
          </cell>
          <cell r="B328" t="str">
            <v>332S052</v>
          </cell>
          <cell r="C328">
            <v>10</v>
          </cell>
          <cell r="D328">
            <v>69</v>
          </cell>
          <cell r="E328">
            <v>25</v>
          </cell>
          <cell r="F328">
            <v>1</v>
          </cell>
          <cell r="G328">
            <v>4.1500000000000004</v>
          </cell>
          <cell r="H328" t="str">
            <v>Summer</v>
          </cell>
          <cell r="J328">
            <v>787760.73619631748</v>
          </cell>
          <cell r="K328">
            <v>0</v>
          </cell>
          <cell r="L328">
            <v>190000</v>
          </cell>
          <cell r="M328">
            <v>977760.73619631748</v>
          </cell>
        </row>
        <row r="329">
          <cell r="A329" t="str">
            <v>855S</v>
          </cell>
          <cell r="B329" t="str">
            <v>325S033</v>
          </cell>
          <cell r="C329">
            <v>10</v>
          </cell>
          <cell r="D329">
            <v>138</v>
          </cell>
          <cell r="E329">
            <v>25</v>
          </cell>
          <cell r="F329">
            <v>1</v>
          </cell>
          <cell r="G329">
            <v>10.6944</v>
          </cell>
          <cell r="H329" t="str">
            <v>Winter</v>
          </cell>
          <cell r="J329">
            <v>1522760.7361963175</v>
          </cell>
          <cell r="K329">
            <v>0</v>
          </cell>
          <cell r="L329">
            <v>190000</v>
          </cell>
          <cell r="M329">
            <v>1712760.7361963175</v>
          </cell>
        </row>
        <row r="330">
          <cell r="A330" t="str">
            <v>860S</v>
          </cell>
          <cell r="B330" t="str">
            <v>341S081</v>
          </cell>
          <cell r="C330">
            <v>10</v>
          </cell>
          <cell r="D330">
            <v>138</v>
          </cell>
          <cell r="E330">
            <v>25</v>
          </cell>
          <cell r="F330">
            <v>1</v>
          </cell>
          <cell r="G330">
            <v>8</v>
          </cell>
          <cell r="H330" t="str">
            <v>Spring</v>
          </cell>
          <cell r="J330">
            <v>1522760.7361963175</v>
          </cell>
          <cell r="K330">
            <v>0</v>
          </cell>
          <cell r="L330">
            <v>190000</v>
          </cell>
          <cell r="M330">
            <v>1712760.7361963175</v>
          </cell>
        </row>
        <row r="331">
          <cell r="A331" t="str">
            <v>861S</v>
          </cell>
          <cell r="B331" t="str">
            <v>314S033</v>
          </cell>
          <cell r="C331">
            <v>6</v>
          </cell>
          <cell r="D331">
            <v>69</v>
          </cell>
          <cell r="E331">
            <v>25</v>
          </cell>
          <cell r="F331">
            <v>1</v>
          </cell>
          <cell r="G331">
            <v>3.8348</v>
          </cell>
          <cell r="H331" t="str">
            <v>Winter</v>
          </cell>
          <cell r="J331">
            <v>787760.73619631748</v>
          </cell>
          <cell r="K331">
            <v>0</v>
          </cell>
          <cell r="L331">
            <v>114000</v>
          </cell>
          <cell r="M331">
            <v>901760.73619631748</v>
          </cell>
        </row>
        <row r="332">
          <cell r="A332" t="str">
            <v>862S</v>
          </cell>
          <cell r="B332" t="str">
            <v>311S041</v>
          </cell>
          <cell r="C332">
            <v>10</v>
          </cell>
          <cell r="D332">
            <v>138</v>
          </cell>
          <cell r="E332">
            <v>25</v>
          </cell>
          <cell r="F332">
            <v>1</v>
          </cell>
          <cell r="G332">
            <v>4.7604000000000006</v>
          </cell>
          <cell r="H332" t="str">
            <v>Winter</v>
          </cell>
          <cell r="J332">
            <v>1522760.7361963175</v>
          </cell>
          <cell r="K332">
            <v>0</v>
          </cell>
          <cell r="L332">
            <v>190000</v>
          </cell>
          <cell r="M332">
            <v>1712760.7361963175</v>
          </cell>
        </row>
        <row r="333">
          <cell r="A333" t="str">
            <v>863S</v>
          </cell>
          <cell r="B333" t="str">
            <v>368S017</v>
          </cell>
          <cell r="C333">
            <v>50</v>
          </cell>
          <cell r="D333">
            <v>240</v>
          </cell>
          <cell r="E333">
            <v>25</v>
          </cell>
          <cell r="F333">
            <v>2</v>
          </cell>
          <cell r="G333">
            <v>32.244</v>
          </cell>
          <cell r="H333" t="str">
            <v>Winter</v>
          </cell>
          <cell r="J333">
            <v>2257760.7361963177</v>
          </cell>
          <cell r="K333">
            <v>0</v>
          </cell>
          <cell r="L333">
            <v>950000</v>
          </cell>
          <cell r="M333">
            <v>3207760.7361963177</v>
          </cell>
        </row>
        <row r="334">
          <cell r="A334" t="str">
            <v>865S</v>
          </cell>
          <cell r="B334" t="str">
            <v>311S104</v>
          </cell>
          <cell r="C334">
            <v>25</v>
          </cell>
          <cell r="D334">
            <v>138</v>
          </cell>
          <cell r="E334">
            <v>25</v>
          </cell>
          <cell r="F334">
            <v>1</v>
          </cell>
          <cell r="G334">
            <v>26.9604</v>
          </cell>
          <cell r="H334" t="str">
            <v>Winter</v>
          </cell>
          <cell r="J334">
            <v>1522760.7361963175</v>
          </cell>
          <cell r="K334">
            <v>0</v>
          </cell>
          <cell r="L334">
            <v>475000</v>
          </cell>
          <cell r="M334">
            <v>1997760.7361963175</v>
          </cell>
        </row>
        <row r="335">
          <cell r="A335" t="str">
            <v>866S</v>
          </cell>
          <cell r="B335" t="str">
            <v>0000086601</v>
          </cell>
          <cell r="C335">
            <v>5</v>
          </cell>
          <cell r="D335">
            <v>69</v>
          </cell>
          <cell r="E335">
            <v>4.16</v>
          </cell>
          <cell r="F335">
            <v>1</v>
          </cell>
          <cell r="G335">
            <v>6.0988000000000007</v>
          </cell>
          <cell r="H335" t="str">
            <v>Summer</v>
          </cell>
          <cell r="J335">
            <v>787760.73619631748</v>
          </cell>
          <cell r="K335">
            <v>0</v>
          </cell>
          <cell r="L335">
            <v>95000</v>
          </cell>
          <cell r="M335">
            <v>882760.73619631748</v>
          </cell>
        </row>
        <row r="336">
          <cell r="A336" t="str">
            <v>867S</v>
          </cell>
          <cell r="B336" t="str">
            <v>0000086701</v>
          </cell>
          <cell r="C336">
            <v>1</v>
          </cell>
          <cell r="D336">
            <v>69</v>
          </cell>
          <cell r="E336">
            <v>2.4</v>
          </cell>
          <cell r="F336">
            <v>1</v>
          </cell>
          <cell r="G336">
            <v>0.61480000000000001</v>
          </cell>
          <cell r="H336" t="str">
            <v>Winter</v>
          </cell>
          <cell r="J336">
            <v>787760.73619631748</v>
          </cell>
          <cell r="K336">
            <v>0</v>
          </cell>
          <cell r="L336">
            <v>19000</v>
          </cell>
          <cell r="M336">
            <v>806760.73619631748</v>
          </cell>
        </row>
        <row r="337">
          <cell r="A337" t="str">
            <v>868S</v>
          </cell>
          <cell r="B337" t="str">
            <v>0000086801</v>
          </cell>
          <cell r="C337">
            <v>5</v>
          </cell>
          <cell r="D337">
            <v>69</v>
          </cell>
          <cell r="E337">
            <v>4.16</v>
          </cell>
          <cell r="F337">
            <v>1</v>
          </cell>
          <cell r="G337">
            <v>1.4</v>
          </cell>
          <cell r="H337" t="str">
            <v>Winter</v>
          </cell>
          <cell r="J337">
            <v>787760.73619631748</v>
          </cell>
          <cell r="K337">
            <v>0</v>
          </cell>
          <cell r="L337">
            <v>95000</v>
          </cell>
          <cell r="M337">
            <v>882760.73619631748</v>
          </cell>
        </row>
        <row r="338">
          <cell r="A338" t="str">
            <v>869S</v>
          </cell>
          <cell r="B338" t="str">
            <v>321S049</v>
          </cell>
          <cell r="C338">
            <v>10</v>
          </cell>
          <cell r="D338">
            <v>138</v>
          </cell>
          <cell r="E338">
            <v>25</v>
          </cell>
          <cell r="F338">
            <v>1</v>
          </cell>
          <cell r="G338">
            <v>5.7675999999999998</v>
          </cell>
          <cell r="H338" t="str">
            <v>Fall</v>
          </cell>
          <cell r="J338">
            <v>1522760.7361963175</v>
          </cell>
          <cell r="K338">
            <v>0</v>
          </cell>
          <cell r="L338">
            <v>190000</v>
          </cell>
          <cell r="M338">
            <v>1712760.7361963175</v>
          </cell>
        </row>
        <row r="339">
          <cell r="A339" t="str">
            <v>873S</v>
          </cell>
          <cell r="B339" t="str">
            <v>362S034</v>
          </cell>
          <cell r="C339">
            <v>7.5</v>
          </cell>
          <cell r="D339">
            <v>69</v>
          </cell>
          <cell r="E339">
            <v>25</v>
          </cell>
          <cell r="F339">
            <v>1</v>
          </cell>
          <cell r="G339">
            <v>8.2620000000000005</v>
          </cell>
          <cell r="H339" t="str">
            <v>Winter</v>
          </cell>
          <cell r="J339">
            <v>787760.73619631748</v>
          </cell>
          <cell r="K339">
            <v>0</v>
          </cell>
          <cell r="L339">
            <v>142500</v>
          </cell>
          <cell r="M339">
            <v>930260.73619631748</v>
          </cell>
        </row>
        <row r="340">
          <cell r="A340" t="str">
            <v>874S</v>
          </cell>
          <cell r="B340" t="str">
            <v>TC03LOD</v>
          </cell>
          <cell r="C340">
            <v>25</v>
          </cell>
          <cell r="D340">
            <v>240</v>
          </cell>
          <cell r="E340">
            <v>25</v>
          </cell>
          <cell r="F340">
            <v>1</v>
          </cell>
          <cell r="G340">
            <v>12</v>
          </cell>
          <cell r="H340" t="str">
            <v>Winter</v>
          </cell>
          <cell r="J340">
            <v>2257760.7361963177</v>
          </cell>
          <cell r="K340">
            <v>0</v>
          </cell>
          <cell r="L340">
            <v>475000</v>
          </cell>
          <cell r="M340">
            <v>2732760.7361963177</v>
          </cell>
        </row>
        <row r="341">
          <cell r="A341" t="str">
            <v>874S</v>
          </cell>
          <cell r="B341" t="str">
            <v>TC05LOD</v>
          </cell>
          <cell r="C341">
            <v>25</v>
          </cell>
          <cell r="D341">
            <v>240</v>
          </cell>
          <cell r="E341">
            <v>25</v>
          </cell>
          <cell r="F341">
            <v>1</v>
          </cell>
          <cell r="G341" t="str">
            <v/>
          </cell>
          <cell r="H341" t="str">
            <v/>
          </cell>
          <cell r="J341">
            <v>2257760.7361963177</v>
          </cell>
          <cell r="K341">
            <v>0</v>
          </cell>
          <cell r="L341">
            <v>475000</v>
          </cell>
          <cell r="M341">
            <v>2732760.7361963177</v>
          </cell>
        </row>
        <row r="342">
          <cell r="A342" t="str">
            <v>875S</v>
          </cell>
          <cell r="B342" t="str">
            <v>341S057</v>
          </cell>
          <cell r="C342">
            <v>10</v>
          </cell>
          <cell r="D342">
            <v>138</v>
          </cell>
          <cell r="E342">
            <v>4.16</v>
          </cell>
          <cell r="F342">
            <v>1</v>
          </cell>
          <cell r="G342">
            <v>6</v>
          </cell>
          <cell r="H342" t="str">
            <v>Winter</v>
          </cell>
          <cell r="J342">
            <v>1522760.7361963175</v>
          </cell>
          <cell r="K342">
            <v>0</v>
          </cell>
          <cell r="L342">
            <v>190000</v>
          </cell>
          <cell r="M342">
            <v>1712760.7361963175</v>
          </cell>
        </row>
        <row r="343">
          <cell r="A343" t="str">
            <v>876S</v>
          </cell>
          <cell r="B343" t="str">
            <v>337S009</v>
          </cell>
          <cell r="C343">
            <v>28</v>
          </cell>
          <cell r="D343">
            <v>240</v>
          </cell>
          <cell r="E343">
            <v>25</v>
          </cell>
          <cell r="F343">
            <v>1</v>
          </cell>
          <cell r="G343">
            <v>18.02</v>
          </cell>
          <cell r="H343" t="str">
            <v>Winter</v>
          </cell>
          <cell r="J343">
            <v>2257760.7361963177</v>
          </cell>
          <cell r="K343">
            <v>0</v>
          </cell>
          <cell r="L343">
            <v>532000</v>
          </cell>
          <cell r="M343">
            <v>2789760.7361963177</v>
          </cell>
        </row>
        <row r="344">
          <cell r="A344" t="str">
            <v>877S</v>
          </cell>
          <cell r="B344" t="str">
            <v>0000087701</v>
          </cell>
          <cell r="C344">
            <v>10</v>
          </cell>
          <cell r="D344">
            <v>138</v>
          </cell>
          <cell r="E344">
            <v>25</v>
          </cell>
          <cell r="F344">
            <v>1</v>
          </cell>
          <cell r="G344">
            <v>17.852800000000002</v>
          </cell>
          <cell r="H344" t="str">
            <v>Summer</v>
          </cell>
          <cell r="J344">
            <v>1522760.7361963175</v>
          </cell>
          <cell r="K344">
            <v>0</v>
          </cell>
          <cell r="L344">
            <v>190000</v>
          </cell>
          <cell r="M344">
            <v>1712760.7361963175</v>
          </cell>
        </row>
        <row r="345">
          <cell r="A345" t="str">
            <v>877S</v>
          </cell>
          <cell r="B345" t="str">
            <v>EC01LOD</v>
          </cell>
          <cell r="C345">
            <v>10</v>
          </cell>
          <cell r="D345">
            <v>138</v>
          </cell>
          <cell r="E345">
            <v>25</v>
          </cell>
          <cell r="F345">
            <v>1</v>
          </cell>
          <cell r="G345">
            <v>0.88800000000000001</v>
          </cell>
          <cell r="H345" t="str">
            <v>Winter</v>
          </cell>
          <cell r="J345">
            <v>1522760.7361963175</v>
          </cell>
          <cell r="K345">
            <v>0</v>
          </cell>
          <cell r="L345">
            <v>190000</v>
          </cell>
          <cell r="M345">
            <v>1712760.7361963175</v>
          </cell>
        </row>
        <row r="346">
          <cell r="A346" t="str">
            <v>878S</v>
          </cell>
          <cell r="B346" t="str">
            <v>336S017</v>
          </cell>
          <cell r="C346">
            <v>10</v>
          </cell>
          <cell r="D346">
            <v>138</v>
          </cell>
          <cell r="E346">
            <v>25</v>
          </cell>
          <cell r="F346">
            <v>1</v>
          </cell>
          <cell r="G346">
            <v>9</v>
          </cell>
          <cell r="H346" t="str">
            <v>Winter</v>
          </cell>
          <cell r="J346">
            <v>1522760.7361963175</v>
          </cell>
          <cell r="K346">
            <v>0</v>
          </cell>
          <cell r="L346">
            <v>190000</v>
          </cell>
          <cell r="M346">
            <v>1712760.7361963175</v>
          </cell>
        </row>
        <row r="347">
          <cell r="A347" t="str">
            <v>882S</v>
          </cell>
          <cell r="B347" t="str">
            <v>333S009</v>
          </cell>
          <cell r="C347">
            <v>25</v>
          </cell>
          <cell r="D347">
            <v>138</v>
          </cell>
          <cell r="E347">
            <v>25</v>
          </cell>
          <cell r="F347">
            <v>1</v>
          </cell>
          <cell r="G347">
            <v>16.3184</v>
          </cell>
          <cell r="H347" t="str">
            <v>Winter</v>
          </cell>
          <cell r="J347">
            <v>1522760.7361963175</v>
          </cell>
          <cell r="K347">
            <v>0</v>
          </cell>
          <cell r="L347">
            <v>475000</v>
          </cell>
          <cell r="M347">
            <v>1997760.7361963175</v>
          </cell>
        </row>
        <row r="348">
          <cell r="A348" t="str">
            <v>883S</v>
          </cell>
          <cell r="B348" t="str">
            <v>341S073</v>
          </cell>
          <cell r="C348">
            <v>10</v>
          </cell>
          <cell r="D348">
            <v>138</v>
          </cell>
          <cell r="E348">
            <v>25</v>
          </cell>
          <cell r="F348">
            <v>1</v>
          </cell>
          <cell r="G348">
            <v>8.48E-2</v>
          </cell>
          <cell r="H348" t="str">
            <v>Winter</v>
          </cell>
          <cell r="J348">
            <v>1522760.7361963175</v>
          </cell>
          <cell r="K348">
            <v>0</v>
          </cell>
          <cell r="L348">
            <v>190000</v>
          </cell>
          <cell r="M348">
            <v>1712760.7361963175</v>
          </cell>
        </row>
        <row r="349">
          <cell r="A349" t="str">
            <v>887S</v>
          </cell>
          <cell r="B349" t="str">
            <v>0000088701</v>
          </cell>
          <cell r="C349">
            <v>5</v>
          </cell>
          <cell r="D349">
            <v>69</v>
          </cell>
          <cell r="E349">
            <v>2.4</v>
          </cell>
          <cell r="F349">
            <v>1</v>
          </cell>
          <cell r="G349">
            <v>2.8740000000000001</v>
          </cell>
          <cell r="H349" t="str">
            <v>Winter</v>
          </cell>
          <cell r="J349">
            <v>787760.73619631748</v>
          </cell>
          <cell r="K349">
            <v>0</v>
          </cell>
          <cell r="L349">
            <v>95000</v>
          </cell>
          <cell r="M349">
            <v>882760.73619631748</v>
          </cell>
        </row>
        <row r="350">
          <cell r="A350" t="str">
            <v>890S</v>
          </cell>
          <cell r="B350" t="str">
            <v>323S009</v>
          </cell>
          <cell r="C350">
            <v>15</v>
          </cell>
          <cell r="D350">
            <v>138</v>
          </cell>
          <cell r="E350">
            <v>25</v>
          </cell>
          <cell r="F350">
            <v>1</v>
          </cell>
          <cell r="G350">
            <v>12.5</v>
          </cell>
          <cell r="H350" t="str">
            <v>Winter</v>
          </cell>
          <cell r="J350">
            <v>1522760.7361963175</v>
          </cell>
          <cell r="K350">
            <v>0</v>
          </cell>
          <cell r="L350">
            <v>285000</v>
          </cell>
          <cell r="M350">
            <v>1807760.7361963175</v>
          </cell>
        </row>
        <row r="351">
          <cell r="A351" t="str">
            <v>895S</v>
          </cell>
          <cell r="B351" t="str">
            <v>0000089501</v>
          </cell>
          <cell r="C351">
            <v>21</v>
          </cell>
          <cell r="D351">
            <v>138</v>
          </cell>
          <cell r="E351">
            <v>25</v>
          </cell>
          <cell r="F351">
            <v>2</v>
          </cell>
          <cell r="G351">
            <v>17.526</v>
          </cell>
          <cell r="H351" t="str">
            <v>Winter</v>
          </cell>
          <cell r="J351">
            <v>1522760.7361963175</v>
          </cell>
          <cell r="K351">
            <v>0</v>
          </cell>
          <cell r="L351">
            <v>399000</v>
          </cell>
          <cell r="M351">
            <v>1921760.7361963175</v>
          </cell>
        </row>
        <row r="352">
          <cell r="A352" t="str">
            <v>899S</v>
          </cell>
          <cell r="B352" t="str">
            <v>0000089901</v>
          </cell>
          <cell r="C352">
            <v>1</v>
          </cell>
          <cell r="D352">
            <v>69</v>
          </cell>
          <cell r="E352">
            <v>25</v>
          </cell>
          <cell r="F352">
            <v>1</v>
          </cell>
          <cell r="G352">
            <v>6.7152000000000003</v>
          </cell>
          <cell r="H352" t="str">
            <v>Winter</v>
          </cell>
          <cell r="J352">
            <v>787760.73619631748</v>
          </cell>
          <cell r="K352">
            <v>0</v>
          </cell>
          <cell r="L352">
            <v>19000</v>
          </cell>
          <cell r="M352">
            <v>806760.73619631748</v>
          </cell>
        </row>
        <row r="353">
          <cell r="A353" t="str">
            <v>899S</v>
          </cell>
          <cell r="B353" t="str">
            <v>0000089901</v>
          </cell>
          <cell r="C353">
            <v>10</v>
          </cell>
          <cell r="D353">
            <v>138</v>
          </cell>
          <cell r="E353">
            <v>25</v>
          </cell>
          <cell r="F353">
            <v>1</v>
          </cell>
          <cell r="G353">
            <v>6.7152000000000003</v>
          </cell>
          <cell r="H353" t="str">
            <v>Winter</v>
          </cell>
          <cell r="J353">
            <v>1522760.7361963175</v>
          </cell>
          <cell r="K353">
            <v>0</v>
          </cell>
          <cell r="L353">
            <v>190000</v>
          </cell>
          <cell r="M353">
            <v>1712760.7361963175</v>
          </cell>
        </row>
        <row r="354">
          <cell r="A354" t="str">
            <v>906S</v>
          </cell>
          <cell r="B354" t="str">
            <v>0000090601</v>
          </cell>
          <cell r="C354">
            <v>25</v>
          </cell>
          <cell r="D354">
            <v>138</v>
          </cell>
          <cell r="E354">
            <v>13.8</v>
          </cell>
          <cell r="F354">
            <v>1</v>
          </cell>
          <cell r="G354">
            <v>28.341200000000001</v>
          </cell>
          <cell r="H354" t="str">
            <v>Winter</v>
          </cell>
          <cell r="J354">
            <v>1522760.7361963175</v>
          </cell>
          <cell r="K354">
            <v>0</v>
          </cell>
          <cell r="L354">
            <v>475000</v>
          </cell>
          <cell r="M354">
            <v>1997760.7361963175</v>
          </cell>
        </row>
        <row r="355">
          <cell r="A355" t="str">
            <v>906S</v>
          </cell>
          <cell r="B355" t="str">
            <v>0000090602</v>
          </cell>
          <cell r="C355">
            <v>30</v>
          </cell>
          <cell r="D355">
            <v>138</v>
          </cell>
          <cell r="E355">
            <v>13.8</v>
          </cell>
          <cell r="F355">
            <v>1</v>
          </cell>
          <cell r="G355">
            <v>14.647600000000001</v>
          </cell>
          <cell r="H355" t="str">
            <v>Summer</v>
          </cell>
          <cell r="J355">
            <v>1522760.7361963175</v>
          </cell>
          <cell r="K355">
            <v>0</v>
          </cell>
          <cell r="L355">
            <v>570000</v>
          </cell>
          <cell r="M355">
            <v>2092760.7361963175</v>
          </cell>
        </row>
        <row r="356">
          <cell r="A356" t="str">
            <v>945S</v>
          </cell>
          <cell r="B356" t="str">
            <v>0000094501</v>
          </cell>
          <cell r="C356">
            <v>12</v>
          </cell>
          <cell r="D356">
            <v>69</v>
          </cell>
          <cell r="E356">
            <v>25</v>
          </cell>
          <cell r="F356">
            <v>2</v>
          </cell>
          <cell r="G356">
            <v>2.81</v>
          </cell>
          <cell r="H356" t="str">
            <v>Winter</v>
          </cell>
          <cell r="J356">
            <v>787760.73619631748</v>
          </cell>
          <cell r="K356">
            <v>0</v>
          </cell>
          <cell r="L356">
            <v>228000</v>
          </cell>
          <cell r="M356">
            <v>1015760.7361963175</v>
          </cell>
        </row>
        <row r="357">
          <cell r="A357" t="str">
            <v>953S</v>
          </cell>
          <cell r="B357" t="str">
            <v>0000095301</v>
          </cell>
          <cell r="C357">
            <v>12</v>
          </cell>
          <cell r="D357">
            <v>69</v>
          </cell>
          <cell r="E357">
            <v>25</v>
          </cell>
          <cell r="F357">
            <v>2</v>
          </cell>
          <cell r="G357">
            <v>7.0072000000000001</v>
          </cell>
          <cell r="H357" t="str">
            <v>Winter</v>
          </cell>
          <cell r="J357">
            <v>787760.73619631748</v>
          </cell>
          <cell r="K357">
            <v>0</v>
          </cell>
          <cell r="L357">
            <v>228000</v>
          </cell>
          <cell r="M357">
            <v>1015760.7361963175</v>
          </cell>
        </row>
        <row r="358">
          <cell r="A358" t="str">
            <v>95S</v>
          </cell>
          <cell r="B358" t="str">
            <v>0000009501</v>
          </cell>
          <cell r="C358">
            <v>80</v>
          </cell>
          <cell r="D358">
            <v>138</v>
          </cell>
          <cell r="E358">
            <v>13.8</v>
          </cell>
          <cell r="F358">
            <v>2</v>
          </cell>
          <cell r="G358">
            <v>46.16</v>
          </cell>
          <cell r="H358" t="str">
            <v>Summer</v>
          </cell>
          <cell r="J358">
            <v>1522760.7361963175</v>
          </cell>
          <cell r="K358">
            <v>0</v>
          </cell>
          <cell r="L358">
            <v>1520000</v>
          </cell>
          <cell r="M358">
            <v>3042760.7361963177</v>
          </cell>
        </row>
        <row r="359">
          <cell r="A359" t="str">
            <v>964S</v>
          </cell>
          <cell r="B359" t="str">
            <v>0000096401</v>
          </cell>
          <cell r="C359">
            <v>15</v>
          </cell>
          <cell r="D359">
            <v>138</v>
          </cell>
          <cell r="E359">
            <v>25</v>
          </cell>
          <cell r="F359">
            <v>1</v>
          </cell>
          <cell r="G359">
            <v>14.805200000000001</v>
          </cell>
          <cell r="H359" t="str">
            <v>Winter</v>
          </cell>
          <cell r="J359">
            <v>1522760.7361963175</v>
          </cell>
          <cell r="K359">
            <v>0</v>
          </cell>
          <cell r="L359">
            <v>285000</v>
          </cell>
          <cell r="M359">
            <v>1807760.7361963175</v>
          </cell>
        </row>
        <row r="360">
          <cell r="A360" t="str">
            <v>968S</v>
          </cell>
          <cell r="B360" t="str">
            <v>0000096801</v>
          </cell>
          <cell r="C360">
            <v>3</v>
          </cell>
          <cell r="D360">
            <v>69</v>
          </cell>
          <cell r="E360">
            <v>4.16</v>
          </cell>
          <cell r="F360">
            <v>1</v>
          </cell>
          <cell r="G360">
            <v>2.2383999999999999</v>
          </cell>
          <cell r="H360" t="str">
            <v>Winter</v>
          </cell>
          <cell r="J360">
            <v>787760.73619631748</v>
          </cell>
          <cell r="K360">
            <v>0</v>
          </cell>
          <cell r="L360">
            <v>57000</v>
          </cell>
          <cell r="M360">
            <v>844760.73619631748</v>
          </cell>
        </row>
        <row r="361">
          <cell r="A361" t="str">
            <v>975S</v>
          </cell>
          <cell r="B361" t="str">
            <v>0000097501</v>
          </cell>
          <cell r="C361">
            <v>3</v>
          </cell>
          <cell r="D361">
            <v>138</v>
          </cell>
          <cell r="E361">
            <v>25</v>
          </cell>
          <cell r="F361">
            <v>1</v>
          </cell>
          <cell r="G361">
            <v>1.3740000000000001</v>
          </cell>
          <cell r="H361" t="str">
            <v>Fall</v>
          </cell>
          <cell r="J361">
            <v>1522760.7361963175</v>
          </cell>
          <cell r="K361">
            <v>0</v>
          </cell>
          <cell r="L361">
            <v>57000</v>
          </cell>
          <cell r="M361">
            <v>1579760.7361963175</v>
          </cell>
        </row>
        <row r="362">
          <cell r="A362" t="str">
            <v>983S</v>
          </cell>
          <cell r="B362" t="str">
            <v>0000098301</v>
          </cell>
          <cell r="C362">
            <v>2.5</v>
          </cell>
          <cell r="D362">
            <v>69</v>
          </cell>
          <cell r="E362">
            <v>25</v>
          </cell>
          <cell r="F362">
            <v>1</v>
          </cell>
          <cell r="G362">
            <v>0.49720000000000003</v>
          </cell>
          <cell r="H362" t="str">
            <v>Summer</v>
          </cell>
          <cell r="J362">
            <v>787760.73619631748</v>
          </cell>
          <cell r="K362">
            <v>0</v>
          </cell>
          <cell r="L362">
            <v>47500</v>
          </cell>
          <cell r="M362">
            <v>835260.73619631748</v>
          </cell>
        </row>
        <row r="363">
          <cell r="A363" t="str">
            <v>985S</v>
          </cell>
          <cell r="B363" t="str">
            <v>0000098501</v>
          </cell>
          <cell r="C363">
            <v>40</v>
          </cell>
          <cell r="D363">
            <v>138</v>
          </cell>
          <cell r="E363">
            <v>4.16</v>
          </cell>
          <cell r="F363">
            <v>2</v>
          </cell>
          <cell r="G363">
            <v>31.819200000000002</v>
          </cell>
          <cell r="H363" t="str">
            <v>Summer</v>
          </cell>
          <cell r="J363">
            <v>1522760.7361963175</v>
          </cell>
          <cell r="K363">
            <v>0</v>
          </cell>
          <cell r="L363">
            <v>760000</v>
          </cell>
          <cell r="M363">
            <v>2282760.7361963177</v>
          </cell>
        </row>
        <row r="364">
          <cell r="A364" t="str">
            <v>994S</v>
          </cell>
          <cell r="B364" t="str">
            <v>0000099401</v>
          </cell>
          <cell r="C364">
            <v>6</v>
          </cell>
          <cell r="D364">
            <v>69</v>
          </cell>
          <cell r="E364">
            <v>25</v>
          </cell>
          <cell r="F364">
            <v>1</v>
          </cell>
          <cell r="G364">
            <v>3.9984000000000002</v>
          </cell>
          <cell r="H364" t="str">
            <v>Winter</v>
          </cell>
          <cell r="J364">
            <v>787760.73619631748</v>
          </cell>
          <cell r="K364">
            <v>0</v>
          </cell>
          <cell r="L364">
            <v>114000</v>
          </cell>
          <cell r="M364">
            <v>901760.73619631748</v>
          </cell>
        </row>
        <row r="365">
          <cell r="A365" t="str">
            <v>995S</v>
          </cell>
          <cell r="B365" t="str">
            <v>0000099501</v>
          </cell>
          <cell r="C365">
            <v>5</v>
          </cell>
          <cell r="D365">
            <v>69</v>
          </cell>
          <cell r="E365">
            <v>2.4</v>
          </cell>
          <cell r="F365">
            <v>1</v>
          </cell>
          <cell r="G365">
            <v>2.4256000000000002</v>
          </cell>
          <cell r="H365" t="str">
            <v>Winter</v>
          </cell>
          <cell r="J365">
            <v>787760.73619631748</v>
          </cell>
          <cell r="K365">
            <v>0</v>
          </cell>
          <cell r="L365">
            <v>95000</v>
          </cell>
          <cell r="M365">
            <v>882760.73619631748</v>
          </cell>
        </row>
        <row r="366">
          <cell r="A366" t="str">
            <v>996S</v>
          </cell>
          <cell r="B366" t="str">
            <v>0000099601</v>
          </cell>
          <cell r="C366">
            <v>5</v>
          </cell>
          <cell r="D366">
            <v>69</v>
          </cell>
          <cell r="E366">
            <v>2.4</v>
          </cell>
          <cell r="F366">
            <v>1</v>
          </cell>
          <cell r="G366">
            <v>0.52239999999999998</v>
          </cell>
          <cell r="H366" t="str">
            <v>Summer</v>
          </cell>
          <cell r="J366">
            <v>787760.73619631748</v>
          </cell>
          <cell r="K366">
            <v>0</v>
          </cell>
          <cell r="L366">
            <v>95000</v>
          </cell>
          <cell r="M366">
            <v>882760.73619631748</v>
          </cell>
        </row>
        <row r="367">
          <cell r="A367" t="str">
            <v>99S</v>
          </cell>
          <cell r="B367" t="str">
            <v>0000009901</v>
          </cell>
          <cell r="C367">
            <v>25</v>
          </cell>
          <cell r="D367">
            <v>138</v>
          </cell>
          <cell r="E367">
            <v>25</v>
          </cell>
          <cell r="F367">
            <v>1</v>
          </cell>
          <cell r="G367">
            <v>39.212800000000001</v>
          </cell>
          <cell r="H367" t="str">
            <v>Summer</v>
          </cell>
          <cell r="J367">
            <v>1522760.7361963175</v>
          </cell>
          <cell r="K367">
            <v>0</v>
          </cell>
          <cell r="L367">
            <v>475000</v>
          </cell>
          <cell r="M367">
            <v>1997760.7361963175</v>
          </cell>
        </row>
        <row r="368">
          <cell r="A368" t="str">
            <v>A793S</v>
          </cell>
          <cell r="B368" t="str">
            <v>321S025</v>
          </cell>
          <cell r="C368">
            <v>33.700000000000003</v>
          </cell>
          <cell r="D368">
            <v>138</v>
          </cell>
          <cell r="E368">
            <v>25</v>
          </cell>
          <cell r="F368">
            <v>2</v>
          </cell>
          <cell r="G368">
            <v>24.123200000000001</v>
          </cell>
          <cell r="H368" t="str">
            <v>Winter</v>
          </cell>
          <cell r="J368">
            <v>1522760.7361963175</v>
          </cell>
          <cell r="K368">
            <v>0</v>
          </cell>
          <cell r="L368">
            <v>640300</v>
          </cell>
          <cell r="M368">
            <v>2163060.7361963177</v>
          </cell>
        </row>
        <row r="369">
          <cell r="A369" t="str">
            <v>AT Plastics 4RS</v>
          </cell>
          <cell r="B369" t="str">
            <v>MISC#2</v>
          </cell>
          <cell r="C369">
            <v>15</v>
          </cell>
          <cell r="D369">
            <v>138</v>
          </cell>
          <cell r="E369">
            <v>4.16</v>
          </cell>
          <cell r="F369">
            <v>1</v>
          </cell>
          <cell r="G369">
            <v>15.0412</v>
          </cell>
          <cell r="H369" t="str">
            <v>Winter</v>
          </cell>
          <cell r="J369">
            <v>1522760.7361963175</v>
          </cell>
          <cell r="K369">
            <v>0</v>
          </cell>
          <cell r="L369">
            <v>285000</v>
          </cell>
          <cell r="M369">
            <v>1807760.7361963175</v>
          </cell>
        </row>
        <row r="370">
          <cell r="A370" t="str">
            <v>AT Plastics 5RS</v>
          </cell>
          <cell r="B370" t="str">
            <v>MISC#6</v>
          </cell>
          <cell r="C370">
            <v>18</v>
          </cell>
          <cell r="D370">
            <v>138</v>
          </cell>
          <cell r="E370">
            <v>13.8</v>
          </cell>
          <cell r="F370">
            <v>1</v>
          </cell>
          <cell r="G370">
            <v>11</v>
          </cell>
          <cell r="H370" t="str">
            <v>Summer</v>
          </cell>
          <cell r="J370">
            <v>1522760.7361963175</v>
          </cell>
          <cell r="K370">
            <v>0</v>
          </cell>
          <cell r="L370">
            <v>342000</v>
          </cell>
          <cell r="M370">
            <v>1864760.7361963175</v>
          </cell>
        </row>
        <row r="371">
          <cell r="A371" t="str">
            <v>Castle Downs</v>
          </cell>
          <cell r="B371" t="str">
            <v>CASTLEDWNS</v>
          </cell>
          <cell r="C371">
            <v>100</v>
          </cell>
          <cell r="D371">
            <v>240</v>
          </cell>
          <cell r="E371">
            <v>14.4</v>
          </cell>
          <cell r="F371">
            <v>2</v>
          </cell>
          <cell r="G371">
            <v>68.98360000000001</v>
          </cell>
          <cell r="H371" t="str">
            <v>Winter</v>
          </cell>
          <cell r="J371">
            <v>2257760.7361963177</v>
          </cell>
          <cell r="K371">
            <v>0</v>
          </cell>
          <cell r="L371">
            <v>1900000</v>
          </cell>
          <cell r="M371">
            <v>4157760.7361963177</v>
          </cell>
        </row>
        <row r="372">
          <cell r="A372" t="str">
            <v>Celanese</v>
          </cell>
          <cell r="B372" t="str">
            <v>MISC#1</v>
          </cell>
          <cell r="C372">
            <v>20</v>
          </cell>
          <cell r="D372">
            <v>138</v>
          </cell>
          <cell r="E372">
            <v>13.8</v>
          </cell>
          <cell r="F372">
            <v>1</v>
          </cell>
          <cell r="G372">
            <v>13.6264</v>
          </cell>
          <cell r="H372" t="str">
            <v>Fall</v>
          </cell>
          <cell r="J372">
            <v>1522760.7361963175</v>
          </cell>
          <cell r="K372">
            <v>0</v>
          </cell>
          <cell r="L372">
            <v>380000</v>
          </cell>
          <cell r="M372">
            <v>1902760.7361963175</v>
          </cell>
        </row>
        <row r="373">
          <cell r="A373" t="str">
            <v>Dome</v>
          </cell>
          <cell r="B373" t="str">
            <v>DOME</v>
          </cell>
          <cell r="C373">
            <v>100</v>
          </cell>
          <cell r="D373">
            <v>240</v>
          </cell>
          <cell r="E373">
            <v>14.4</v>
          </cell>
          <cell r="F373">
            <v>2</v>
          </cell>
          <cell r="G373">
            <v>82.05040000000001</v>
          </cell>
          <cell r="H373" t="str">
            <v>Summer</v>
          </cell>
          <cell r="J373">
            <v>2257760.7361963177</v>
          </cell>
          <cell r="K373">
            <v>0</v>
          </cell>
          <cell r="L373">
            <v>1900000</v>
          </cell>
          <cell r="M373">
            <v>4157760.7361963177</v>
          </cell>
        </row>
        <row r="374">
          <cell r="A374" t="str">
            <v>Fiberglas</v>
          </cell>
          <cell r="B374" t="str">
            <v>MISC#4</v>
          </cell>
          <cell r="C374">
            <v>15</v>
          </cell>
          <cell r="D374">
            <v>138</v>
          </cell>
          <cell r="E374">
            <v>13.8</v>
          </cell>
          <cell r="F374">
            <v>1</v>
          </cell>
          <cell r="G374">
            <v>13.382800000000001</v>
          </cell>
          <cell r="H374" t="str">
            <v>Winter</v>
          </cell>
          <cell r="J374">
            <v>1522760.7361963175</v>
          </cell>
          <cell r="K374">
            <v>0</v>
          </cell>
          <cell r="L374">
            <v>285000</v>
          </cell>
          <cell r="M374">
            <v>1807760.7361963175</v>
          </cell>
        </row>
        <row r="375">
          <cell r="A375" t="str">
            <v>Garneau</v>
          </cell>
          <cell r="B375" t="str">
            <v>GARNEAU</v>
          </cell>
          <cell r="C375">
            <v>90</v>
          </cell>
          <cell r="D375">
            <v>69</v>
          </cell>
          <cell r="E375">
            <v>14.4</v>
          </cell>
          <cell r="F375">
            <v>3</v>
          </cell>
          <cell r="G375">
            <v>59.787200000000006</v>
          </cell>
          <cell r="H375" t="str">
            <v>Summer</v>
          </cell>
          <cell r="J375">
            <v>787760.73619631748</v>
          </cell>
          <cell r="K375">
            <v>0</v>
          </cell>
          <cell r="L375">
            <v>1710000</v>
          </cell>
          <cell r="M375">
            <v>2497760.7361963177</v>
          </cell>
        </row>
        <row r="376">
          <cell r="A376" t="str">
            <v>Genesee</v>
          </cell>
          <cell r="B376" t="str">
            <v>0000033001</v>
          </cell>
          <cell r="C376">
            <v>21</v>
          </cell>
          <cell r="D376">
            <v>138</v>
          </cell>
          <cell r="E376">
            <v>6.9</v>
          </cell>
          <cell r="F376">
            <v>1</v>
          </cell>
          <cell r="G376">
            <v>7.8</v>
          </cell>
          <cell r="H376" t="str">
            <v>Winter</v>
          </cell>
          <cell r="J376">
            <v>1522760.7361963175</v>
          </cell>
          <cell r="K376">
            <v>0</v>
          </cell>
          <cell r="L376">
            <v>399000</v>
          </cell>
          <cell r="M376">
            <v>1921760.7361963175</v>
          </cell>
        </row>
        <row r="377">
          <cell r="A377" t="str">
            <v>Genesee</v>
          </cell>
          <cell r="B377" t="str">
            <v>0000033002</v>
          </cell>
          <cell r="C377">
            <v>21</v>
          </cell>
          <cell r="D377">
            <v>138</v>
          </cell>
          <cell r="E377">
            <v>6.9</v>
          </cell>
          <cell r="F377">
            <v>1</v>
          </cell>
          <cell r="G377">
            <v>4.0000000000000002E-4</v>
          </cell>
          <cell r="H377" t="str">
            <v>Spring</v>
          </cell>
          <cell r="J377">
            <v>1522760.7361963175</v>
          </cell>
          <cell r="K377">
            <v>0</v>
          </cell>
          <cell r="L377">
            <v>399000</v>
          </cell>
          <cell r="M377">
            <v>1921760.7361963175</v>
          </cell>
        </row>
        <row r="378">
          <cell r="A378" t="str">
            <v>Hardisty</v>
          </cell>
          <cell r="B378" t="str">
            <v>HARDISTY</v>
          </cell>
          <cell r="C378">
            <v>120</v>
          </cell>
          <cell r="D378">
            <v>69</v>
          </cell>
          <cell r="E378">
            <v>14.4</v>
          </cell>
          <cell r="F378">
            <v>3</v>
          </cell>
          <cell r="G378">
            <v>64.095600000000005</v>
          </cell>
          <cell r="H378" t="str">
            <v>Winter</v>
          </cell>
          <cell r="J378">
            <v>787760.73619631748</v>
          </cell>
          <cell r="K378">
            <v>0</v>
          </cell>
          <cell r="L378">
            <v>2280000</v>
          </cell>
          <cell r="M378">
            <v>3067760.7361963177</v>
          </cell>
        </row>
        <row r="379">
          <cell r="A379" t="str">
            <v>Inland Cement</v>
          </cell>
          <cell r="B379" t="str">
            <v>MISC#3</v>
          </cell>
          <cell r="C379">
            <v>30</v>
          </cell>
          <cell r="D379">
            <v>138</v>
          </cell>
          <cell r="E379">
            <v>4.16</v>
          </cell>
          <cell r="F379">
            <v>2</v>
          </cell>
          <cell r="G379">
            <v>28.264000000000003</v>
          </cell>
          <cell r="H379" t="str">
            <v>Summer</v>
          </cell>
          <cell r="J379">
            <v>1522760.7361963175</v>
          </cell>
          <cell r="K379">
            <v>0</v>
          </cell>
          <cell r="L379">
            <v>570000</v>
          </cell>
          <cell r="M379">
            <v>2092760.7361963175</v>
          </cell>
        </row>
        <row r="380">
          <cell r="A380" t="str">
            <v>Jasper</v>
          </cell>
          <cell r="B380" t="str">
            <v>JASPER_SUB</v>
          </cell>
          <cell r="C380">
            <v>100</v>
          </cell>
          <cell r="D380">
            <v>240</v>
          </cell>
          <cell r="E380">
            <v>14.4</v>
          </cell>
          <cell r="F380">
            <v>2</v>
          </cell>
          <cell r="G380">
            <v>123.78120000000001</v>
          </cell>
          <cell r="H380" t="str">
            <v>Summer</v>
          </cell>
          <cell r="J380">
            <v>2257760.7361963177</v>
          </cell>
          <cell r="K380">
            <v>0</v>
          </cell>
          <cell r="L380">
            <v>1900000</v>
          </cell>
          <cell r="M380">
            <v>4157760.7361963177</v>
          </cell>
        </row>
        <row r="381">
          <cell r="A381" t="str">
            <v>Lambton</v>
          </cell>
          <cell r="B381" t="str">
            <v>LAMBTON</v>
          </cell>
          <cell r="C381">
            <v>50</v>
          </cell>
          <cell r="D381">
            <v>240</v>
          </cell>
          <cell r="E381">
            <v>14.4</v>
          </cell>
          <cell r="F381">
            <v>2</v>
          </cell>
          <cell r="G381">
            <v>70.023600000000002</v>
          </cell>
          <cell r="H381" t="str">
            <v>Winter</v>
          </cell>
          <cell r="J381">
            <v>2257760.7361963177</v>
          </cell>
          <cell r="K381">
            <v>0</v>
          </cell>
          <cell r="L381">
            <v>950000</v>
          </cell>
          <cell r="M381">
            <v>3207760.7361963177</v>
          </cell>
        </row>
        <row r="382">
          <cell r="A382" t="str">
            <v>Namao</v>
          </cell>
          <cell r="B382" t="str">
            <v>NAMAO</v>
          </cell>
          <cell r="C382">
            <v>120</v>
          </cell>
          <cell r="D382">
            <v>69</v>
          </cell>
          <cell r="E382">
            <v>14.4</v>
          </cell>
          <cell r="F382">
            <v>3</v>
          </cell>
          <cell r="G382">
            <v>50.989600000000003</v>
          </cell>
          <cell r="H382" t="str">
            <v>Winter</v>
          </cell>
          <cell r="J382">
            <v>787760.73619631748</v>
          </cell>
          <cell r="K382">
            <v>0</v>
          </cell>
          <cell r="L382">
            <v>2280000</v>
          </cell>
          <cell r="M382">
            <v>3067760.7361963177</v>
          </cell>
        </row>
        <row r="383">
          <cell r="A383" t="str">
            <v>Petrolia</v>
          </cell>
          <cell r="B383" t="str">
            <v>PETROLIA</v>
          </cell>
          <cell r="C383">
            <v>66.599999999999994</v>
          </cell>
          <cell r="D383">
            <v>240</v>
          </cell>
          <cell r="E383">
            <v>14.4</v>
          </cell>
          <cell r="F383">
            <v>2</v>
          </cell>
          <cell r="G383">
            <v>69.75200000000001</v>
          </cell>
          <cell r="H383" t="str">
            <v>Winter</v>
          </cell>
          <cell r="J383">
            <v>2257760.7361963177</v>
          </cell>
          <cell r="K383">
            <v>0</v>
          </cell>
          <cell r="L383">
            <v>1265400</v>
          </cell>
          <cell r="M383">
            <v>3523160.7361963177</v>
          </cell>
        </row>
        <row r="384">
          <cell r="A384" t="str">
            <v>RD14S</v>
          </cell>
          <cell r="B384" t="str">
            <v>RD14S</v>
          </cell>
          <cell r="C384">
            <v>66.400000000000006</v>
          </cell>
          <cell r="D384">
            <v>138</v>
          </cell>
          <cell r="E384">
            <v>25</v>
          </cell>
          <cell r="F384">
            <v>2</v>
          </cell>
          <cell r="G384">
            <v>36.421600000000005</v>
          </cell>
          <cell r="H384" t="str">
            <v>Winter</v>
          </cell>
          <cell r="J384">
            <v>1522760.7361963175</v>
          </cell>
          <cell r="K384">
            <v>0</v>
          </cell>
          <cell r="L384">
            <v>1261600</v>
          </cell>
          <cell r="M384">
            <v>2784360.7361963177</v>
          </cell>
        </row>
        <row r="385">
          <cell r="A385" t="str">
            <v>RD15S</v>
          </cell>
          <cell r="B385" t="str">
            <v>RD15S</v>
          </cell>
          <cell r="C385">
            <v>72</v>
          </cell>
          <cell r="D385">
            <v>138</v>
          </cell>
          <cell r="E385">
            <v>25</v>
          </cell>
          <cell r="F385">
            <v>2</v>
          </cell>
          <cell r="G385">
            <v>58.510800000000003</v>
          </cell>
          <cell r="H385" t="str">
            <v>Summer</v>
          </cell>
          <cell r="J385">
            <v>1522760.7361963175</v>
          </cell>
          <cell r="K385">
            <v>0</v>
          </cell>
          <cell r="L385">
            <v>1368000</v>
          </cell>
          <cell r="M385">
            <v>2890760.7361963177</v>
          </cell>
        </row>
        <row r="386">
          <cell r="A386" t="str">
            <v>RD17S</v>
          </cell>
          <cell r="B386" t="str">
            <v>RD17S</v>
          </cell>
          <cell r="C386">
            <v>36</v>
          </cell>
          <cell r="D386">
            <v>138</v>
          </cell>
          <cell r="E386">
            <v>25</v>
          </cell>
          <cell r="F386">
            <v>2</v>
          </cell>
          <cell r="G386">
            <v>20.306800000000003</v>
          </cell>
          <cell r="H386" t="str">
            <v>Winter</v>
          </cell>
          <cell r="J386">
            <v>1522760.7361963175</v>
          </cell>
          <cell r="K386">
            <v>0</v>
          </cell>
          <cell r="L386">
            <v>684000</v>
          </cell>
          <cell r="M386">
            <v>2206760.7361963177</v>
          </cell>
        </row>
        <row r="387">
          <cell r="A387" t="str">
            <v>Rossdale</v>
          </cell>
          <cell r="B387" t="str">
            <v>RGS_HIFEED</v>
          </cell>
          <cell r="C387">
            <v>60</v>
          </cell>
          <cell r="D387">
            <v>69</v>
          </cell>
          <cell r="E387">
            <v>14.4</v>
          </cell>
          <cell r="F387">
            <v>2</v>
          </cell>
          <cell r="G387">
            <v>8.0928000000000004</v>
          </cell>
          <cell r="H387" t="str">
            <v>Summer</v>
          </cell>
          <cell r="J387">
            <v>787760.73619631748</v>
          </cell>
          <cell r="K387">
            <v>0</v>
          </cell>
          <cell r="L387">
            <v>1140000</v>
          </cell>
          <cell r="M387">
            <v>1927760.7361963175</v>
          </cell>
        </row>
        <row r="388">
          <cell r="A388" t="str">
            <v>SS-1</v>
          </cell>
          <cell r="B388" t="str">
            <v>S01</v>
          </cell>
          <cell r="C388">
            <v>150</v>
          </cell>
          <cell r="D388">
            <v>138</v>
          </cell>
          <cell r="E388">
            <v>13.2</v>
          </cell>
          <cell r="F388">
            <v>4</v>
          </cell>
          <cell r="G388">
            <v>118.05</v>
          </cell>
          <cell r="H388" t="str">
            <v>Summer</v>
          </cell>
          <cell r="J388">
            <v>1522760.7361963175</v>
          </cell>
          <cell r="K388">
            <v>0</v>
          </cell>
          <cell r="L388">
            <v>2850000</v>
          </cell>
          <cell r="M388">
            <v>4372760.7361963177</v>
          </cell>
        </row>
        <row r="389">
          <cell r="A389" t="str">
            <v>SS-10</v>
          </cell>
          <cell r="B389" t="str">
            <v>S10</v>
          </cell>
          <cell r="C389">
            <v>56</v>
          </cell>
          <cell r="D389">
            <v>69</v>
          </cell>
          <cell r="E389">
            <v>13.2</v>
          </cell>
          <cell r="F389">
            <v>4</v>
          </cell>
          <cell r="G389">
            <v>36.952000000000005</v>
          </cell>
          <cell r="H389" t="str">
            <v>Winter</v>
          </cell>
          <cell r="J389">
            <v>787760.73619631748</v>
          </cell>
          <cell r="K389">
            <v>0</v>
          </cell>
          <cell r="L389">
            <v>1064000</v>
          </cell>
          <cell r="M389">
            <v>1851760.7361963175</v>
          </cell>
        </row>
        <row r="390">
          <cell r="A390" t="str">
            <v>SS-11</v>
          </cell>
          <cell r="B390" t="str">
            <v>S11</v>
          </cell>
          <cell r="C390">
            <v>108</v>
          </cell>
          <cell r="D390">
            <v>138</v>
          </cell>
          <cell r="E390">
            <v>25</v>
          </cell>
          <cell r="F390">
            <v>4</v>
          </cell>
          <cell r="G390">
            <v>77.505600000000001</v>
          </cell>
          <cell r="H390" t="str">
            <v>Winter</v>
          </cell>
          <cell r="J390">
            <v>1522760.7361963175</v>
          </cell>
          <cell r="K390">
            <v>0</v>
          </cell>
          <cell r="L390">
            <v>2052000</v>
          </cell>
          <cell r="M390">
            <v>3574760.7361963177</v>
          </cell>
        </row>
        <row r="391">
          <cell r="A391" t="str">
            <v>SS-12</v>
          </cell>
          <cell r="B391" t="str">
            <v>S12</v>
          </cell>
          <cell r="C391">
            <v>100</v>
          </cell>
          <cell r="D391">
            <v>138</v>
          </cell>
          <cell r="E391">
            <v>13.8</v>
          </cell>
          <cell r="F391">
            <v>2</v>
          </cell>
          <cell r="G391">
            <v>34.270400000000002</v>
          </cell>
          <cell r="H391" t="str">
            <v>Summer</v>
          </cell>
          <cell r="J391">
            <v>1522760.7361963175</v>
          </cell>
          <cell r="K391">
            <v>0</v>
          </cell>
          <cell r="L391">
            <v>1900000</v>
          </cell>
          <cell r="M391">
            <v>3422760.7361963177</v>
          </cell>
        </row>
        <row r="392">
          <cell r="A392" t="str">
            <v>SS-13</v>
          </cell>
          <cell r="B392" t="str">
            <v>S13</v>
          </cell>
          <cell r="C392">
            <v>54</v>
          </cell>
          <cell r="D392">
            <v>138</v>
          </cell>
          <cell r="E392">
            <v>13.2</v>
          </cell>
          <cell r="F392">
            <v>3</v>
          </cell>
          <cell r="G392">
            <v>45.067599999999999</v>
          </cell>
          <cell r="H392" t="str">
            <v>Summer</v>
          </cell>
          <cell r="J392">
            <v>1522760.7361963175</v>
          </cell>
          <cell r="K392">
            <v>0</v>
          </cell>
          <cell r="L392">
            <v>1026000</v>
          </cell>
          <cell r="M392">
            <v>2548760.7361963177</v>
          </cell>
        </row>
        <row r="393">
          <cell r="A393" t="str">
            <v>SS-14</v>
          </cell>
          <cell r="B393" t="str">
            <v>S14</v>
          </cell>
          <cell r="C393">
            <v>96</v>
          </cell>
          <cell r="D393">
            <v>138</v>
          </cell>
          <cell r="E393">
            <v>25</v>
          </cell>
          <cell r="F393">
            <v>4</v>
          </cell>
          <cell r="G393">
            <v>63.97</v>
          </cell>
          <cell r="H393" t="str">
            <v>Winter</v>
          </cell>
          <cell r="J393">
            <v>1522760.7361963175</v>
          </cell>
          <cell r="K393">
            <v>0</v>
          </cell>
          <cell r="L393">
            <v>1824000</v>
          </cell>
          <cell r="M393">
            <v>3346760.7361963177</v>
          </cell>
        </row>
        <row r="394">
          <cell r="A394" t="str">
            <v>SS-15</v>
          </cell>
          <cell r="B394" t="str">
            <v>S15</v>
          </cell>
          <cell r="C394">
            <v>36</v>
          </cell>
          <cell r="D394">
            <v>69</v>
          </cell>
          <cell r="E394">
            <v>13.2</v>
          </cell>
          <cell r="F394">
            <v>2</v>
          </cell>
          <cell r="G394">
            <v>21.083600000000001</v>
          </cell>
          <cell r="H394" t="str">
            <v>Winter</v>
          </cell>
          <cell r="J394">
            <v>787760.73619631748</v>
          </cell>
          <cell r="K394">
            <v>0</v>
          </cell>
          <cell r="L394">
            <v>684000</v>
          </cell>
          <cell r="M394">
            <v>1471760.7361963175</v>
          </cell>
        </row>
        <row r="395">
          <cell r="A395" t="str">
            <v>SS-16</v>
          </cell>
          <cell r="B395" t="str">
            <v>S16</v>
          </cell>
          <cell r="C395">
            <v>60</v>
          </cell>
          <cell r="D395">
            <v>69</v>
          </cell>
          <cell r="E395">
            <v>13.8</v>
          </cell>
          <cell r="F395">
            <v>2</v>
          </cell>
          <cell r="G395">
            <v>19.575600000000001</v>
          </cell>
          <cell r="H395" t="str">
            <v>Winter</v>
          </cell>
          <cell r="J395">
            <v>787760.73619631748</v>
          </cell>
          <cell r="K395">
            <v>0</v>
          </cell>
          <cell r="L395">
            <v>1140000</v>
          </cell>
          <cell r="M395">
            <v>1927760.7361963175</v>
          </cell>
        </row>
        <row r="396">
          <cell r="A396" t="str">
            <v>SS-2</v>
          </cell>
          <cell r="B396" t="str">
            <v>S02</v>
          </cell>
          <cell r="C396">
            <v>72</v>
          </cell>
          <cell r="D396">
            <v>138</v>
          </cell>
          <cell r="E396">
            <v>13.2</v>
          </cell>
          <cell r="F396">
            <v>4</v>
          </cell>
          <cell r="G396">
            <v>61.511200000000002</v>
          </cell>
          <cell r="H396" t="str">
            <v>Summer</v>
          </cell>
          <cell r="J396">
            <v>1522760.7361963175</v>
          </cell>
          <cell r="K396">
            <v>0</v>
          </cell>
          <cell r="L396">
            <v>1368000</v>
          </cell>
          <cell r="M396">
            <v>2890760.7361963177</v>
          </cell>
        </row>
        <row r="397">
          <cell r="A397" t="str">
            <v>SS-20</v>
          </cell>
          <cell r="B397" t="str">
            <v>S20</v>
          </cell>
          <cell r="C397">
            <v>75</v>
          </cell>
          <cell r="D397">
            <v>138</v>
          </cell>
          <cell r="E397">
            <v>13.8</v>
          </cell>
          <cell r="F397">
            <v>2</v>
          </cell>
          <cell r="G397">
            <v>49.028800000000004</v>
          </cell>
          <cell r="H397" t="str">
            <v>Winter</v>
          </cell>
          <cell r="J397">
            <v>1522760.7361963175</v>
          </cell>
          <cell r="K397">
            <v>0</v>
          </cell>
          <cell r="L397">
            <v>1425000</v>
          </cell>
          <cell r="M397">
            <v>2947760.7361963177</v>
          </cell>
        </row>
        <row r="398">
          <cell r="A398" t="str">
            <v>SS-21</v>
          </cell>
          <cell r="B398" t="str">
            <v>S21</v>
          </cell>
          <cell r="C398">
            <v>36</v>
          </cell>
          <cell r="D398">
            <v>138</v>
          </cell>
          <cell r="E398">
            <v>13.2</v>
          </cell>
          <cell r="F398">
            <v>2</v>
          </cell>
          <cell r="G398">
            <v>32.523200000000003</v>
          </cell>
          <cell r="H398" t="str">
            <v>Winter</v>
          </cell>
          <cell r="J398">
            <v>1522760.7361963175</v>
          </cell>
          <cell r="K398">
            <v>0</v>
          </cell>
          <cell r="L398">
            <v>684000</v>
          </cell>
          <cell r="M398">
            <v>2206760.7361963177</v>
          </cell>
        </row>
        <row r="399">
          <cell r="A399" t="str">
            <v>SS-22</v>
          </cell>
          <cell r="B399" t="str">
            <v>S22</v>
          </cell>
          <cell r="C399">
            <v>30</v>
          </cell>
          <cell r="D399">
            <v>138</v>
          </cell>
          <cell r="E399">
            <v>13.8</v>
          </cell>
          <cell r="F399">
            <v>1</v>
          </cell>
          <cell r="G399">
            <v>109.1024</v>
          </cell>
          <cell r="H399" t="str">
            <v>Winter</v>
          </cell>
          <cell r="J399">
            <v>1522760.7361963175</v>
          </cell>
          <cell r="K399">
            <v>0</v>
          </cell>
          <cell r="L399">
            <v>570000</v>
          </cell>
          <cell r="M399">
            <v>2092760.7361963175</v>
          </cell>
        </row>
        <row r="400">
          <cell r="A400" t="str">
            <v>SS-22</v>
          </cell>
          <cell r="B400" t="str">
            <v>S22</v>
          </cell>
          <cell r="C400">
            <v>50</v>
          </cell>
          <cell r="D400">
            <v>138</v>
          </cell>
          <cell r="E400">
            <v>13.8</v>
          </cell>
          <cell r="F400">
            <v>2</v>
          </cell>
          <cell r="G400">
            <v>109.1024</v>
          </cell>
          <cell r="H400" t="str">
            <v>Winter</v>
          </cell>
          <cell r="J400">
            <v>1522760.7361963175</v>
          </cell>
          <cell r="K400">
            <v>0</v>
          </cell>
          <cell r="L400">
            <v>950000</v>
          </cell>
          <cell r="M400">
            <v>2472760.7361963177</v>
          </cell>
        </row>
        <row r="401">
          <cell r="A401" t="str">
            <v>SS-23</v>
          </cell>
          <cell r="B401" t="str">
            <v>S23</v>
          </cell>
          <cell r="C401">
            <v>61</v>
          </cell>
          <cell r="D401">
            <v>69</v>
          </cell>
          <cell r="E401">
            <v>13.2</v>
          </cell>
          <cell r="F401">
            <v>4</v>
          </cell>
          <cell r="G401">
            <v>36.340000000000003</v>
          </cell>
          <cell r="H401" t="str">
            <v>Summer</v>
          </cell>
          <cell r="J401">
            <v>787760.73619631748</v>
          </cell>
          <cell r="K401">
            <v>0</v>
          </cell>
          <cell r="L401">
            <v>1159000</v>
          </cell>
          <cell r="M401">
            <v>1946760.7361963175</v>
          </cell>
        </row>
        <row r="402">
          <cell r="A402" t="str">
            <v>SS-24</v>
          </cell>
          <cell r="B402" t="str">
            <v>S24</v>
          </cell>
          <cell r="C402">
            <v>30</v>
          </cell>
          <cell r="D402">
            <v>138</v>
          </cell>
          <cell r="E402">
            <v>25</v>
          </cell>
          <cell r="F402">
            <v>1</v>
          </cell>
          <cell r="G402">
            <v>11.1456</v>
          </cell>
          <cell r="H402" t="str">
            <v>Winter</v>
          </cell>
          <cell r="J402">
            <v>1522760.7361963175</v>
          </cell>
          <cell r="K402">
            <v>0</v>
          </cell>
          <cell r="L402">
            <v>570000</v>
          </cell>
          <cell r="M402">
            <v>2092760.7361963175</v>
          </cell>
        </row>
        <row r="403">
          <cell r="A403" t="str">
            <v>SS-27</v>
          </cell>
          <cell r="B403" t="str">
            <v>S27</v>
          </cell>
          <cell r="C403">
            <v>36</v>
          </cell>
          <cell r="D403">
            <v>69</v>
          </cell>
          <cell r="E403">
            <v>13.2</v>
          </cell>
          <cell r="F403">
            <v>2</v>
          </cell>
          <cell r="G403">
            <v>30.06</v>
          </cell>
          <cell r="H403" t="str">
            <v>Winter</v>
          </cell>
          <cell r="J403">
            <v>787760.73619631748</v>
          </cell>
          <cell r="K403">
            <v>0</v>
          </cell>
          <cell r="L403">
            <v>684000</v>
          </cell>
          <cell r="M403">
            <v>1471760.7361963175</v>
          </cell>
        </row>
        <row r="404">
          <cell r="A404" t="str">
            <v>SS-28</v>
          </cell>
          <cell r="B404" t="str">
            <v>S28</v>
          </cell>
          <cell r="C404">
            <v>36</v>
          </cell>
          <cell r="D404">
            <v>138</v>
          </cell>
          <cell r="E404">
            <v>13.2</v>
          </cell>
          <cell r="F404">
            <v>2</v>
          </cell>
          <cell r="G404">
            <v>45.32</v>
          </cell>
          <cell r="H404" t="str">
            <v>Winter</v>
          </cell>
          <cell r="J404">
            <v>1522760.7361963175</v>
          </cell>
          <cell r="K404">
            <v>0</v>
          </cell>
          <cell r="L404">
            <v>684000</v>
          </cell>
          <cell r="M404">
            <v>2206760.7361963177</v>
          </cell>
        </row>
        <row r="405">
          <cell r="A405" t="str">
            <v>SS-3</v>
          </cell>
          <cell r="B405" t="str">
            <v>S03</v>
          </cell>
          <cell r="C405">
            <v>60</v>
          </cell>
          <cell r="D405">
            <v>138</v>
          </cell>
          <cell r="E405">
            <v>13.8</v>
          </cell>
          <cell r="F405">
            <v>2</v>
          </cell>
          <cell r="G405">
            <v>41.962400000000002</v>
          </cell>
          <cell r="H405" t="str">
            <v>Winter</v>
          </cell>
          <cell r="J405">
            <v>1522760.7361963175</v>
          </cell>
          <cell r="K405">
            <v>0</v>
          </cell>
          <cell r="L405">
            <v>1140000</v>
          </cell>
          <cell r="M405">
            <v>2662760.7361963177</v>
          </cell>
        </row>
        <row r="406">
          <cell r="A406" t="str">
            <v>SS-30</v>
          </cell>
          <cell r="B406" t="str">
            <v>S30</v>
          </cell>
          <cell r="C406">
            <v>36</v>
          </cell>
          <cell r="D406">
            <v>138</v>
          </cell>
          <cell r="E406">
            <v>14.9</v>
          </cell>
          <cell r="F406">
            <v>2</v>
          </cell>
          <cell r="G406">
            <v>33.498000000000005</v>
          </cell>
          <cell r="H406" t="str">
            <v>Winter</v>
          </cell>
          <cell r="J406">
            <v>1522760.7361963175</v>
          </cell>
          <cell r="K406">
            <v>0</v>
          </cell>
          <cell r="L406">
            <v>684000</v>
          </cell>
          <cell r="M406">
            <v>2206760.7361963177</v>
          </cell>
        </row>
        <row r="407">
          <cell r="A407" t="str">
            <v>SS-31</v>
          </cell>
          <cell r="B407" t="str">
            <v>S31</v>
          </cell>
          <cell r="C407">
            <v>78</v>
          </cell>
          <cell r="D407">
            <v>138</v>
          </cell>
          <cell r="E407">
            <v>13.8</v>
          </cell>
          <cell r="F407">
            <v>3</v>
          </cell>
          <cell r="G407">
            <v>74.2316</v>
          </cell>
          <cell r="H407" t="str">
            <v>Summer</v>
          </cell>
          <cell r="J407">
            <v>1522760.7361963175</v>
          </cell>
          <cell r="K407">
            <v>0</v>
          </cell>
          <cell r="L407">
            <v>1482000</v>
          </cell>
          <cell r="M407">
            <v>3004760.7361963177</v>
          </cell>
        </row>
        <row r="408">
          <cell r="A408" t="str">
            <v>SS-32</v>
          </cell>
          <cell r="B408" t="str">
            <v>S32</v>
          </cell>
          <cell r="C408">
            <v>36</v>
          </cell>
          <cell r="D408">
            <v>138</v>
          </cell>
          <cell r="E408">
            <v>14.9</v>
          </cell>
          <cell r="F408">
            <v>2</v>
          </cell>
          <cell r="G408">
            <v>37.261200000000002</v>
          </cell>
          <cell r="H408" t="str">
            <v>Winter</v>
          </cell>
          <cell r="J408">
            <v>1522760.7361963175</v>
          </cell>
          <cell r="K408">
            <v>0</v>
          </cell>
          <cell r="L408">
            <v>684000</v>
          </cell>
          <cell r="M408">
            <v>2206760.7361963177</v>
          </cell>
        </row>
        <row r="409">
          <cell r="A409" t="str">
            <v>SS-33</v>
          </cell>
          <cell r="B409" t="str">
            <v>S33</v>
          </cell>
          <cell r="C409">
            <v>60</v>
          </cell>
          <cell r="D409">
            <v>138</v>
          </cell>
          <cell r="E409">
            <v>13.8</v>
          </cell>
          <cell r="F409">
            <v>2</v>
          </cell>
          <cell r="G409">
            <v>51.743200000000002</v>
          </cell>
          <cell r="H409" t="str">
            <v>Winter</v>
          </cell>
          <cell r="J409">
            <v>1522760.7361963175</v>
          </cell>
          <cell r="K409">
            <v>0</v>
          </cell>
          <cell r="L409">
            <v>1140000</v>
          </cell>
          <cell r="M409">
            <v>2662760.7361963177</v>
          </cell>
        </row>
        <row r="410">
          <cell r="A410" t="str">
            <v>SS-34</v>
          </cell>
          <cell r="B410" t="str">
            <v>S34</v>
          </cell>
          <cell r="C410">
            <v>50</v>
          </cell>
          <cell r="D410">
            <v>69</v>
          </cell>
          <cell r="E410">
            <v>13.2</v>
          </cell>
          <cell r="F410">
            <v>4</v>
          </cell>
          <cell r="G410">
            <v>36.224800000000002</v>
          </cell>
          <cell r="H410" t="str">
            <v>Summer</v>
          </cell>
          <cell r="J410">
            <v>787760.73619631748</v>
          </cell>
          <cell r="K410">
            <v>0</v>
          </cell>
          <cell r="L410">
            <v>950000</v>
          </cell>
          <cell r="M410">
            <v>1737760.7361963175</v>
          </cell>
        </row>
        <row r="411">
          <cell r="A411" t="str">
            <v>SS-36</v>
          </cell>
          <cell r="B411" t="str">
            <v>S36</v>
          </cell>
          <cell r="C411">
            <v>36</v>
          </cell>
          <cell r="D411">
            <v>138</v>
          </cell>
          <cell r="E411">
            <v>14.9</v>
          </cell>
          <cell r="F411">
            <v>2</v>
          </cell>
          <cell r="G411">
            <v>38.4788</v>
          </cell>
          <cell r="H411" t="str">
            <v>Winter</v>
          </cell>
          <cell r="J411">
            <v>1522760.7361963175</v>
          </cell>
          <cell r="K411">
            <v>0</v>
          </cell>
          <cell r="L411">
            <v>684000</v>
          </cell>
          <cell r="M411">
            <v>2206760.7361963177</v>
          </cell>
        </row>
        <row r="412">
          <cell r="A412" t="str">
            <v>SS-37</v>
          </cell>
          <cell r="B412" t="str">
            <v>S37</v>
          </cell>
          <cell r="C412">
            <v>60</v>
          </cell>
          <cell r="D412">
            <v>138</v>
          </cell>
          <cell r="E412">
            <v>13.8</v>
          </cell>
          <cell r="F412">
            <v>2</v>
          </cell>
          <cell r="G412">
            <v>38.202000000000005</v>
          </cell>
          <cell r="H412" t="str">
            <v>Summer</v>
          </cell>
          <cell r="J412">
            <v>1522760.7361963175</v>
          </cell>
          <cell r="K412">
            <v>0</v>
          </cell>
          <cell r="L412">
            <v>1140000</v>
          </cell>
          <cell r="M412">
            <v>2662760.7361963177</v>
          </cell>
        </row>
        <row r="413">
          <cell r="A413" t="str">
            <v>SS-38</v>
          </cell>
          <cell r="B413" t="str">
            <v>S38</v>
          </cell>
          <cell r="C413">
            <v>54</v>
          </cell>
          <cell r="D413">
            <v>138</v>
          </cell>
          <cell r="E413">
            <v>13.8</v>
          </cell>
          <cell r="F413">
            <v>3</v>
          </cell>
          <cell r="G413">
            <v>43.665600000000005</v>
          </cell>
          <cell r="H413" t="str">
            <v>Winter</v>
          </cell>
          <cell r="J413">
            <v>1522760.7361963175</v>
          </cell>
          <cell r="K413">
            <v>0</v>
          </cell>
          <cell r="L413">
            <v>1026000</v>
          </cell>
          <cell r="M413">
            <v>2548760.7361963177</v>
          </cell>
        </row>
        <row r="414">
          <cell r="A414" t="str">
            <v>SS-39</v>
          </cell>
          <cell r="B414" t="str">
            <v>S39</v>
          </cell>
          <cell r="C414">
            <v>96</v>
          </cell>
          <cell r="D414">
            <v>138</v>
          </cell>
          <cell r="E414">
            <v>25</v>
          </cell>
          <cell r="F414">
            <v>4</v>
          </cell>
          <cell r="G414">
            <v>53.321200000000005</v>
          </cell>
          <cell r="H414" t="str">
            <v>Winter</v>
          </cell>
          <cell r="J414">
            <v>1522760.7361963175</v>
          </cell>
          <cell r="K414">
            <v>0</v>
          </cell>
          <cell r="L414">
            <v>1824000</v>
          </cell>
          <cell r="M414">
            <v>3346760.7361963177</v>
          </cell>
        </row>
        <row r="415">
          <cell r="A415" t="str">
            <v>SS-40</v>
          </cell>
          <cell r="B415" t="str">
            <v>S40</v>
          </cell>
          <cell r="C415">
            <v>36</v>
          </cell>
          <cell r="D415">
            <v>138</v>
          </cell>
          <cell r="E415">
            <v>14.9</v>
          </cell>
          <cell r="F415">
            <v>2</v>
          </cell>
          <cell r="G415">
            <v>43.758000000000003</v>
          </cell>
          <cell r="H415" t="str">
            <v>Winter</v>
          </cell>
          <cell r="J415">
            <v>1522760.7361963175</v>
          </cell>
          <cell r="K415">
            <v>0</v>
          </cell>
          <cell r="L415">
            <v>684000</v>
          </cell>
          <cell r="M415">
            <v>2206760.7361963177</v>
          </cell>
        </row>
        <row r="416">
          <cell r="A416" t="str">
            <v>SS-41</v>
          </cell>
          <cell r="B416" t="str">
            <v>S41</v>
          </cell>
          <cell r="C416">
            <v>36</v>
          </cell>
          <cell r="D416">
            <v>138</v>
          </cell>
          <cell r="E416">
            <v>13.8</v>
          </cell>
          <cell r="F416">
            <v>2</v>
          </cell>
          <cell r="G416">
            <v>47.485199999999999</v>
          </cell>
          <cell r="H416" t="str">
            <v>Winter</v>
          </cell>
          <cell r="J416">
            <v>1522760.7361963175</v>
          </cell>
          <cell r="K416">
            <v>0</v>
          </cell>
          <cell r="L416">
            <v>684000</v>
          </cell>
          <cell r="M416">
            <v>2206760.7361963177</v>
          </cell>
        </row>
        <row r="417">
          <cell r="A417" t="str">
            <v>SS-43</v>
          </cell>
          <cell r="B417" t="str">
            <v>S43</v>
          </cell>
          <cell r="C417">
            <v>37.6</v>
          </cell>
          <cell r="D417">
            <v>138</v>
          </cell>
          <cell r="E417">
            <v>13.8</v>
          </cell>
          <cell r="F417">
            <v>2</v>
          </cell>
          <cell r="G417">
            <v>50.7864</v>
          </cell>
          <cell r="H417" t="str">
            <v>Winter</v>
          </cell>
          <cell r="J417">
            <v>1522760.7361963175</v>
          </cell>
          <cell r="K417">
            <v>0</v>
          </cell>
          <cell r="L417">
            <v>714400</v>
          </cell>
          <cell r="M417">
            <v>2237160.7361963177</v>
          </cell>
        </row>
        <row r="418">
          <cell r="A418" t="str">
            <v>SS-5</v>
          </cell>
          <cell r="B418" t="str">
            <v>S05</v>
          </cell>
          <cell r="C418">
            <v>72</v>
          </cell>
          <cell r="D418">
            <v>138</v>
          </cell>
          <cell r="E418">
            <v>13.2</v>
          </cell>
          <cell r="F418">
            <v>4</v>
          </cell>
          <cell r="G418">
            <v>104.4696</v>
          </cell>
          <cell r="H418" t="str">
            <v>Summer</v>
          </cell>
          <cell r="J418">
            <v>1522760.7361963175</v>
          </cell>
          <cell r="K418">
            <v>0</v>
          </cell>
          <cell r="L418">
            <v>1368000</v>
          </cell>
          <cell r="M418">
            <v>2890760.7361963177</v>
          </cell>
        </row>
        <row r="419">
          <cell r="A419" t="str">
            <v>SS-5</v>
          </cell>
          <cell r="B419" t="str">
            <v>S05</v>
          </cell>
          <cell r="C419">
            <v>100</v>
          </cell>
          <cell r="D419">
            <v>138</v>
          </cell>
          <cell r="E419">
            <v>25</v>
          </cell>
          <cell r="F419">
            <v>2</v>
          </cell>
          <cell r="G419">
            <v>104.4696</v>
          </cell>
          <cell r="H419" t="str">
            <v>Summer</v>
          </cell>
          <cell r="J419">
            <v>1522760.7361963175</v>
          </cell>
          <cell r="K419">
            <v>0</v>
          </cell>
          <cell r="L419">
            <v>1900000</v>
          </cell>
          <cell r="M419">
            <v>3422760.7361963177</v>
          </cell>
        </row>
        <row r="420">
          <cell r="A420" t="str">
            <v>SS-8</v>
          </cell>
          <cell r="B420" t="str">
            <v>S08</v>
          </cell>
          <cell r="C420">
            <v>310</v>
          </cell>
          <cell r="D420">
            <v>138</v>
          </cell>
          <cell r="E420">
            <v>25</v>
          </cell>
          <cell r="F420">
            <v>5</v>
          </cell>
          <cell r="G420">
            <v>121.37880000000001</v>
          </cell>
          <cell r="H420" t="str">
            <v>Summer</v>
          </cell>
          <cell r="J420">
            <v>1522760.7361963175</v>
          </cell>
          <cell r="K420">
            <v>0</v>
          </cell>
          <cell r="L420">
            <v>5890000</v>
          </cell>
          <cell r="M420">
            <v>7412760.7361963177</v>
          </cell>
        </row>
        <row r="421">
          <cell r="A421" t="str">
            <v>SS-9</v>
          </cell>
          <cell r="B421" t="str">
            <v>S09</v>
          </cell>
          <cell r="C421">
            <v>54</v>
          </cell>
          <cell r="D421">
            <v>138</v>
          </cell>
          <cell r="E421">
            <v>13.8</v>
          </cell>
          <cell r="F421">
            <v>3</v>
          </cell>
          <cell r="G421">
            <v>58.187200000000004</v>
          </cell>
          <cell r="H421" t="str">
            <v>Summer</v>
          </cell>
          <cell r="J421">
            <v>1522760.7361963175</v>
          </cell>
          <cell r="K421">
            <v>0</v>
          </cell>
          <cell r="L421">
            <v>1026000</v>
          </cell>
          <cell r="M421">
            <v>2548760.7361963177</v>
          </cell>
        </row>
        <row r="422">
          <cell r="A422" t="str">
            <v>Strathcona</v>
          </cell>
          <cell r="B422" t="str">
            <v>STRATHCONA</v>
          </cell>
          <cell r="C422">
            <v>120</v>
          </cell>
          <cell r="D422">
            <v>69</v>
          </cell>
          <cell r="E422">
            <v>14.4</v>
          </cell>
          <cell r="F422">
            <v>3</v>
          </cell>
          <cell r="G422">
            <v>67.19080000000001</v>
          </cell>
          <cell r="H422" t="str">
            <v>Summer</v>
          </cell>
          <cell r="J422">
            <v>787760.73619631748</v>
          </cell>
          <cell r="K422">
            <v>0</v>
          </cell>
          <cell r="L422">
            <v>2280000</v>
          </cell>
          <cell r="M422">
            <v>3067760.7361963177</v>
          </cell>
        </row>
        <row r="423">
          <cell r="A423" t="str">
            <v>SYNCRUDE</v>
          </cell>
          <cell r="B423" t="str">
            <v>341S025</v>
          </cell>
          <cell r="C423">
            <v>461</v>
          </cell>
          <cell r="D423">
            <v>69</v>
          </cell>
          <cell r="E423">
            <v>13.8</v>
          </cell>
          <cell r="F423">
            <v>8</v>
          </cell>
          <cell r="G423">
            <v>65.554400000000001</v>
          </cell>
          <cell r="H423" t="str">
            <v>Winter</v>
          </cell>
          <cell r="J423">
            <v>787760.73619631748</v>
          </cell>
          <cell r="K423">
            <v>0</v>
          </cell>
          <cell r="L423">
            <v>8759000</v>
          </cell>
          <cell r="M423">
            <v>9546760.7361963168</v>
          </cell>
        </row>
        <row r="424">
          <cell r="A424" t="str">
            <v>T793S</v>
          </cell>
          <cell r="B424" t="str">
            <v>0000079301</v>
          </cell>
          <cell r="C424">
            <v>15</v>
          </cell>
          <cell r="D424">
            <v>138</v>
          </cell>
          <cell r="E424">
            <v>4.16</v>
          </cell>
          <cell r="F424">
            <v>1</v>
          </cell>
          <cell r="G424">
            <v>62.136000000000003</v>
          </cell>
          <cell r="H424" t="str">
            <v>Summer</v>
          </cell>
          <cell r="J424">
            <v>1522760.7361963175</v>
          </cell>
          <cell r="K424">
            <v>0</v>
          </cell>
          <cell r="L424">
            <v>285000</v>
          </cell>
          <cell r="M424">
            <v>1807760.7361963175</v>
          </cell>
        </row>
        <row r="425">
          <cell r="A425" t="str">
            <v>T793S</v>
          </cell>
          <cell r="B425" t="str">
            <v>0000079301</v>
          </cell>
          <cell r="C425">
            <v>30</v>
          </cell>
          <cell r="D425">
            <v>138</v>
          </cell>
          <cell r="E425">
            <v>13.8</v>
          </cell>
          <cell r="F425">
            <v>1</v>
          </cell>
          <cell r="G425">
            <v>62.136000000000003</v>
          </cell>
          <cell r="H425" t="str">
            <v>Summer</v>
          </cell>
          <cell r="J425">
            <v>1522760.7361963175</v>
          </cell>
          <cell r="K425">
            <v>0</v>
          </cell>
          <cell r="L425">
            <v>570000</v>
          </cell>
          <cell r="M425">
            <v>2092760.7361963175</v>
          </cell>
        </row>
        <row r="426">
          <cell r="A426" t="str">
            <v>T793S</v>
          </cell>
          <cell r="B426" t="str">
            <v>0000079302</v>
          </cell>
          <cell r="C426">
            <v>25</v>
          </cell>
          <cell r="D426">
            <v>138</v>
          </cell>
          <cell r="E426">
            <v>25</v>
          </cell>
          <cell r="F426">
            <v>1</v>
          </cell>
          <cell r="G426">
            <v>9.4443999999999999</v>
          </cell>
          <cell r="H426" t="str">
            <v>Winter</v>
          </cell>
          <cell r="J426">
            <v>1522760.7361963175</v>
          </cell>
          <cell r="K426">
            <v>0</v>
          </cell>
          <cell r="L426">
            <v>475000</v>
          </cell>
          <cell r="M426">
            <v>1997760.7361963175</v>
          </cell>
        </row>
        <row r="427">
          <cell r="A427" t="str">
            <v>T808S</v>
          </cell>
          <cell r="B427" t="str">
            <v>0000080801</v>
          </cell>
          <cell r="C427">
            <v>10</v>
          </cell>
          <cell r="D427">
            <v>138</v>
          </cell>
          <cell r="E427">
            <v>25</v>
          </cell>
          <cell r="F427">
            <v>1</v>
          </cell>
          <cell r="G427">
            <v>5.4016000000000002</v>
          </cell>
          <cell r="H427" t="str">
            <v>Summer</v>
          </cell>
          <cell r="J427">
            <v>1522760.7361963175</v>
          </cell>
          <cell r="K427">
            <v>0</v>
          </cell>
          <cell r="L427">
            <v>190000</v>
          </cell>
          <cell r="M427">
            <v>1712760.7361963175</v>
          </cell>
        </row>
        <row r="428">
          <cell r="A428" t="str">
            <v>Woodcroft</v>
          </cell>
          <cell r="B428" t="str">
            <v>WOODCROFT</v>
          </cell>
          <cell r="C428">
            <v>120</v>
          </cell>
          <cell r="D428">
            <v>69</v>
          </cell>
          <cell r="E428">
            <v>14.4</v>
          </cell>
          <cell r="F428">
            <v>3</v>
          </cell>
          <cell r="G428">
            <v>64.443600000000004</v>
          </cell>
          <cell r="H428" t="str">
            <v>Summer</v>
          </cell>
          <cell r="J428">
            <v>787760.73619631748</v>
          </cell>
          <cell r="K428">
            <v>0</v>
          </cell>
          <cell r="L428">
            <v>2280000</v>
          </cell>
          <cell r="M428">
            <v>3067760.7361963177</v>
          </cell>
        </row>
        <row r="429">
          <cell r="A429" t="str">
            <v>Youngstown Express</v>
          </cell>
          <cell r="B429" t="str">
            <v>364S041</v>
          </cell>
          <cell r="C429">
            <v>13</v>
          </cell>
          <cell r="D429">
            <v>69</v>
          </cell>
          <cell r="E429">
            <v>4.16</v>
          </cell>
          <cell r="F429">
            <v>1</v>
          </cell>
          <cell r="G429">
            <v>2.9572000000000003</v>
          </cell>
          <cell r="H429" t="str">
            <v>Fall</v>
          </cell>
          <cell r="J429">
            <v>787760.73619631748</v>
          </cell>
          <cell r="K429">
            <v>0</v>
          </cell>
          <cell r="L429">
            <v>247000</v>
          </cell>
          <cell r="M429">
            <v>1034760.7361963175</v>
          </cell>
        </row>
        <row r="453">
          <cell r="B453">
            <v>69</v>
          </cell>
          <cell r="C453">
            <v>787760.73619631748</v>
          </cell>
        </row>
        <row r="454">
          <cell r="B454">
            <v>72</v>
          </cell>
          <cell r="C454">
            <v>787760.73619631748</v>
          </cell>
        </row>
        <row r="455">
          <cell r="B455">
            <v>138</v>
          </cell>
          <cell r="C455">
            <v>1522760.7361963175</v>
          </cell>
        </row>
        <row r="456">
          <cell r="B456">
            <v>144</v>
          </cell>
          <cell r="C456">
            <v>1522760.7361963175</v>
          </cell>
        </row>
        <row r="457">
          <cell r="B457">
            <v>240</v>
          </cell>
          <cell r="C457">
            <v>2257760.7361963177</v>
          </cell>
        </row>
        <row r="458">
          <cell r="B458">
            <v>1</v>
          </cell>
          <cell r="C458">
            <v>0</v>
          </cell>
        </row>
        <row r="459">
          <cell r="B459">
            <v>2</v>
          </cell>
          <cell r="C459">
            <v>0</v>
          </cell>
        </row>
        <row r="460">
          <cell r="B460">
            <v>3</v>
          </cell>
          <cell r="C460">
            <v>0</v>
          </cell>
        </row>
      </sheetData>
      <sheetData sheetId="4"/>
      <sheetData sheetId="5"/>
      <sheetData sheetId="6"/>
      <sheetData sheetId="7">
        <row r="3">
          <cell r="Q3">
            <v>4</v>
          </cell>
          <cell r="R3">
            <v>690</v>
          </cell>
          <cell r="S3">
            <v>2070</v>
          </cell>
          <cell r="T3">
            <v>61081</v>
          </cell>
          <cell r="U3">
            <v>88376</v>
          </cell>
          <cell r="V3">
            <v>149626</v>
          </cell>
          <cell r="W3">
            <v>489996</v>
          </cell>
        </row>
        <row r="4">
          <cell r="Q4">
            <v>2</v>
          </cell>
          <cell r="R4">
            <v>849</v>
          </cell>
          <cell r="S4">
            <v>2547</v>
          </cell>
          <cell r="T4">
            <v>61558</v>
          </cell>
          <cell r="U4">
            <v>88853</v>
          </cell>
          <cell r="V4">
            <v>150580</v>
          </cell>
          <cell r="W4">
            <v>490473</v>
          </cell>
        </row>
        <row r="5">
          <cell r="Q5">
            <v>10</v>
          </cell>
          <cell r="R5">
            <v>1245</v>
          </cell>
          <cell r="S5">
            <v>3735</v>
          </cell>
          <cell r="T5">
            <v>62746</v>
          </cell>
          <cell r="U5">
            <v>90041</v>
          </cell>
          <cell r="V5">
            <v>152956</v>
          </cell>
          <cell r="W5">
            <v>491661</v>
          </cell>
        </row>
        <row r="6">
          <cell r="Q6">
            <v>20</v>
          </cell>
          <cell r="R6">
            <v>1629</v>
          </cell>
          <cell r="S6">
            <v>4887</v>
          </cell>
          <cell r="T6">
            <v>63898</v>
          </cell>
          <cell r="U6">
            <v>91193</v>
          </cell>
          <cell r="V6">
            <v>155260</v>
          </cell>
          <cell r="W6">
            <v>492813</v>
          </cell>
        </row>
        <row r="7">
          <cell r="Q7">
            <v>30</v>
          </cell>
          <cell r="R7">
            <v>2013</v>
          </cell>
          <cell r="S7">
            <v>6039</v>
          </cell>
          <cell r="T7">
            <v>65050</v>
          </cell>
          <cell r="U7">
            <v>92345</v>
          </cell>
          <cell r="V7">
            <v>157564</v>
          </cell>
          <cell r="W7">
            <v>493965</v>
          </cell>
        </row>
        <row r="8">
          <cell r="Q8">
            <v>40</v>
          </cell>
          <cell r="R8">
            <v>2783</v>
          </cell>
          <cell r="S8">
            <v>8349</v>
          </cell>
          <cell r="T8">
            <v>67360</v>
          </cell>
          <cell r="U8">
            <v>94655</v>
          </cell>
          <cell r="V8">
            <v>162184</v>
          </cell>
          <cell r="W8">
            <v>496275</v>
          </cell>
        </row>
        <row r="9">
          <cell r="Q9">
            <v>266.8</v>
          </cell>
          <cell r="R9">
            <v>3696</v>
          </cell>
          <cell r="S9">
            <v>11088</v>
          </cell>
          <cell r="T9">
            <v>70099</v>
          </cell>
          <cell r="U9">
            <v>97394</v>
          </cell>
          <cell r="V9">
            <v>167662</v>
          </cell>
          <cell r="W9">
            <v>499014</v>
          </cell>
        </row>
        <row r="10">
          <cell r="Q10">
            <v>336.4</v>
          </cell>
          <cell r="R10">
            <v>4355</v>
          </cell>
          <cell r="S10">
            <v>13065</v>
          </cell>
          <cell r="T10">
            <v>72076</v>
          </cell>
          <cell r="U10">
            <v>99371</v>
          </cell>
          <cell r="V10">
            <v>171616</v>
          </cell>
          <cell r="W10">
            <v>500991</v>
          </cell>
        </row>
        <row r="11">
          <cell r="Q11">
            <v>397.5</v>
          </cell>
          <cell r="R11">
            <v>5202</v>
          </cell>
          <cell r="S11">
            <v>15606</v>
          </cell>
          <cell r="T11">
            <v>74617</v>
          </cell>
          <cell r="U11">
            <v>101912</v>
          </cell>
          <cell r="V11">
            <v>176698</v>
          </cell>
          <cell r="W11">
            <v>503532</v>
          </cell>
        </row>
        <row r="12">
          <cell r="Q12">
            <v>477</v>
          </cell>
          <cell r="R12">
            <v>6109</v>
          </cell>
          <cell r="S12">
            <v>18327</v>
          </cell>
          <cell r="T12">
            <v>77338</v>
          </cell>
          <cell r="U12">
            <v>104633</v>
          </cell>
          <cell r="V12">
            <v>182140</v>
          </cell>
          <cell r="W12">
            <v>506253</v>
          </cell>
        </row>
        <row r="13">
          <cell r="Q13">
            <v>636</v>
          </cell>
          <cell r="R13">
            <v>8127</v>
          </cell>
          <cell r="S13">
            <v>24381</v>
          </cell>
          <cell r="T13">
            <v>83392</v>
          </cell>
          <cell r="U13">
            <v>110687</v>
          </cell>
          <cell r="V13">
            <v>194248</v>
          </cell>
          <cell r="W13">
            <v>512307</v>
          </cell>
        </row>
        <row r="14">
          <cell r="Q14">
            <v>795</v>
          </cell>
          <cell r="R14">
            <v>10255</v>
          </cell>
          <cell r="S14">
            <v>30765</v>
          </cell>
          <cell r="T14">
            <v>89776</v>
          </cell>
          <cell r="U14">
            <v>117071</v>
          </cell>
          <cell r="V14">
            <v>207016</v>
          </cell>
          <cell r="W14">
            <v>518691</v>
          </cell>
        </row>
        <row r="15">
          <cell r="Q15">
            <v>1590</v>
          </cell>
          <cell r="R15">
            <v>18722</v>
          </cell>
          <cell r="S15">
            <v>56166</v>
          </cell>
          <cell r="T15">
            <v>115177</v>
          </cell>
          <cell r="U15">
            <v>142472</v>
          </cell>
          <cell r="V15">
            <v>257818</v>
          </cell>
          <cell r="W15">
            <v>544092</v>
          </cell>
        </row>
        <row r="16">
          <cell r="Q16">
            <v>1843.2</v>
          </cell>
          <cell r="R16">
            <v>20401</v>
          </cell>
          <cell r="S16">
            <v>61203</v>
          </cell>
          <cell r="T16">
            <v>120214</v>
          </cell>
          <cell r="U16">
            <v>147509</v>
          </cell>
          <cell r="V16">
            <v>267892</v>
          </cell>
          <cell r="W16">
            <v>549129</v>
          </cell>
        </row>
        <row r="17">
          <cell r="Q17">
            <v>4666.8999999999996</v>
          </cell>
          <cell r="R17">
            <v>32508</v>
          </cell>
          <cell r="S17">
            <v>97524</v>
          </cell>
          <cell r="T17">
            <v>156535</v>
          </cell>
          <cell r="U17">
            <v>183830</v>
          </cell>
          <cell r="V17">
            <v>340534</v>
          </cell>
          <cell r="W17">
            <v>585450</v>
          </cell>
        </row>
        <row r="20">
          <cell r="P20">
            <v>266.8</v>
          </cell>
          <cell r="Q20">
            <v>266.8</v>
          </cell>
        </row>
        <row r="21">
          <cell r="P21">
            <v>397.5</v>
          </cell>
          <cell r="Q21">
            <v>397.5</v>
          </cell>
        </row>
        <row r="22">
          <cell r="P22">
            <v>666.9</v>
          </cell>
          <cell r="Q22">
            <v>4666.8999999999996</v>
          </cell>
        </row>
        <row r="23">
          <cell r="P23">
            <v>750</v>
          </cell>
          <cell r="Q23">
            <v>795</v>
          </cell>
        </row>
        <row r="24">
          <cell r="P24">
            <v>795</v>
          </cell>
          <cell r="Q24">
            <v>795</v>
          </cell>
        </row>
        <row r="25">
          <cell r="P25" t="str">
            <v>1/0 ACSR</v>
          </cell>
          <cell r="Q25">
            <v>10</v>
          </cell>
        </row>
        <row r="26">
          <cell r="P26" t="str">
            <v>1500 CU U/G</v>
          </cell>
          <cell r="Q26">
            <v>1843.2</v>
          </cell>
        </row>
        <row r="27">
          <cell r="P27" t="str">
            <v>1590 SDC TYPE 7</v>
          </cell>
          <cell r="Q27">
            <v>1590</v>
          </cell>
        </row>
        <row r="28">
          <cell r="P28" t="str">
            <v>1590 SDC TYPE 9</v>
          </cell>
          <cell r="Q28">
            <v>1590</v>
          </cell>
        </row>
        <row r="29">
          <cell r="P29" t="str">
            <v>1750 MCM PILC</v>
          </cell>
          <cell r="Q29">
            <v>4666.8999999999996</v>
          </cell>
        </row>
        <row r="30">
          <cell r="P30" t="str">
            <v>1750 PILC</v>
          </cell>
          <cell r="Q30">
            <v>1843.2</v>
          </cell>
        </row>
        <row r="31">
          <cell r="P31" t="str">
            <v>2/0 ACSR</v>
          </cell>
          <cell r="Q31">
            <v>20</v>
          </cell>
        </row>
        <row r="32">
          <cell r="P32" t="str">
            <v>2/O COPPER</v>
          </cell>
          <cell r="Q32">
            <v>20</v>
          </cell>
        </row>
        <row r="33">
          <cell r="P33" t="str">
            <v>2500 MCM U/G CABLE</v>
          </cell>
          <cell r="Q33">
            <v>4666.8999999999996</v>
          </cell>
        </row>
        <row r="34">
          <cell r="P34" t="str">
            <v>266.8 DESIGN 35</v>
          </cell>
          <cell r="Q34">
            <v>266.8</v>
          </cell>
        </row>
        <row r="35">
          <cell r="P35" t="str">
            <v>266.8 SDC</v>
          </cell>
          <cell r="Q35">
            <v>266.8</v>
          </cell>
        </row>
        <row r="36">
          <cell r="P36" t="str">
            <v>3/0 ACSR</v>
          </cell>
          <cell r="Q36">
            <v>30</v>
          </cell>
        </row>
        <row r="37">
          <cell r="P37" t="str">
            <v>3/O COPPER</v>
          </cell>
          <cell r="Q37">
            <v>30</v>
          </cell>
        </row>
        <row r="38">
          <cell r="P38" t="str">
            <v>397.5 SDC</v>
          </cell>
          <cell r="Q38">
            <v>397.5</v>
          </cell>
        </row>
        <row r="39">
          <cell r="P39" t="str">
            <v>4/0 ACSR</v>
          </cell>
          <cell r="Q39">
            <v>40</v>
          </cell>
        </row>
        <row r="40">
          <cell r="P40" t="str">
            <v>4/O COPPER</v>
          </cell>
          <cell r="Q40">
            <v>40</v>
          </cell>
        </row>
        <row r="41">
          <cell r="P41" t="str">
            <v>477 ACSR</v>
          </cell>
          <cell r="Q41">
            <v>477</v>
          </cell>
        </row>
        <row r="42">
          <cell r="P42" t="str">
            <v>500 MCM U/G</v>
          </cell>
          <cell r="Q42">
            <v>795</v>
          </cell>
        </row>
        <row r="43">
          <cell r="P43" t="str">
            <v>650 CU U/G</v>
          </cell>
          <cell r="Q43">
            <v>795</v>
          </cell>
        </row>
        <row r="44">
          <cell r="P44" t="str">
            <v>750 XLPE</v>
          </cell>
          <cell r="Q44">
            <v>1590</v>
          </cell>
        </row>
        <row r="45">
          <cell r="P45" t="str">
            <v>950 AL U/G</v>
          </cell>
          <cell r="Q45">
            <v>1590</v>
          </cell>
        </row>
        <row r="46">
          <cell r="P46" t="str">
            <v>CARDINAL/SD</v>
          </cell>
          <cell r="Q46">
            <v>795</v>
          </cell>
        </row>
        <row r="47">
          <cell r="P47" t="str">
            <v>COCHIN</v>
          </cell>
          <cell r="Q47">
            <v>30</v>
          </cell>
        </row>
        <row r="48">
          <cell r="P48" t="str">
            <v>COREOPSIS</v>
          </cell>
          <cell r="Q48">
            <v>1590</v>
          </cell>
        </row>
        <row r="49">
          <cell r="P49" t="str">
            <v>COSMOS</v>
          </cell>
          <cell r="Q49">
            <v>30</v>
          </cell>
        </row>
        <row r="50">
          <cell r="P50" t="str">
            <v>CROWSNEST</v>
          </cell>
          <cell r="Q50">
            <v>4666.8999999999996</v>
          </cell>
        </row>
        <row r="51">
          <cell r="P51" t="str">
            <v>CURLEW</v>
          </cell>
          <cell r="Q51">
            <v>397.5</v>
          </cell>
        </row>
        <row r="52">
          <cell r="P52" t="str">
            <v>DOVE</v>
          </cell>
          <cell r="Q52">
            <v>397.5</v>
          </cell>
        </row>
        <row r="53">
          <cell r="P53" t="str">
            <v>DRAKE</v>
          </cell>
          <cell r="Q53">
            <v>795</v>
          </cell>
        </row>
        <row r="54">
          <cell r="P54" t="str">
            <v>HADDOCK</v>
          </cell>
          <cell r="Q54">
            <v>397.5</v>
          </cell>
        </row>
        <row r="55">
          <cell r="P55" t="str">
            <v>HAWK</v>
          </cell>
          <cell r="Q55">
            <v>477</v>
          </cell>
        </row>
        <row r="56">
          <cell r="P56" t="str">
            <v>HORNBILL</v>
          </cell>
          <cell r="Q56">
            <v>795</v>
          </cell>
        </row>
        <row r="57">
          <cell r="P57" t="str">
            <v>IBIS</v>
          </cell>
          <cell r="Q57">
            <v>397.5</v>
          </cell>
        </row>
        <row r="58">
          <cell r="P58" t="str">
            <v>LINNET</v>
          </cell>
          <cell r="Q58">
            <v>397.5</v>
          </cell>
        </row>
        <row r="59">
          <cell r="P59" t="str">
            <v>MERLIN</v>
          </cell>
          <cell r="Q59">
            <v>397.5</v>
          </cell>
        </row>
        <row r="60">
          <cell r="P60" t="str">
            <v>OSPREY</v>
          </cell>
          <cell r="Q60">
            <v>397.5</v>
          </cell>
        </row>
        <row r="61">
          <cell r="P61" t="str">
            <v>PARTRIDGE</v>
          </cell>
          <cell r="Q61">
            <v>266.8</v>
          </cell>
        </row>
        <row r="62">
          <cell r="P62" t="str">
            <v>PENGUIN</v>
          </cell>
          <cell r="Q62">
            <v>40</v>
          </cell>
        </row>
        <row r="63">
          <cell r="P63" t="str">
            <v>PIGEON</v>
          </cell>
          <cell r="Q63">
            <v>30</v>
          </cell>
        </row>
        <row r="64">
          <cell r="P64" t="str">
            <v>RAVEN</v>
          </cell>
          <cell r="Q64">
            <v>10</v>
          </cell>
        </row>
        <row r="65">
          <cell r="P65" t="str">
            <v>SDC 5005</v>
          </cell>
          <cell r="Q65">
            <v>795</v>
          </cell>
        </row>
        <row r="66">
          <cell r="P66" t="str">
            <v>SDC 6101</v>
          </cell>
          <cell r="Q66">
            <v>795</v>
          </cell>
        </row>
        <row r="67">
          <cell r="P67" t="str">
            <v>SPARROW</v>
          </cell>
          <cell r="Q67">
            <v>2</v>
          </cell>
        </row>
        <row r="68">
          <cell r="P68" t="str">
            <v>TRILLIUM</v>
          </cell>
          <cell r="Q68">
            <v>1590</v>
          </cell>
        </row>
        <row r="69">
          <cell r="P69" t="str">
            <v>WAXWING</v>
          </cell>
          <cell r="Q69">
            <v>266.8</v>
          </cell>
        </row>
      </sheetData>
      <sheetData sheetId="8">
        <row r="24">
          <cell r="O24">
            <v>266.8</v>
          </cell>
          <cell r="P24">
            <v>266.8</v>
          </cell>
          <cell r="Q24">
            <v>266.8</v>
          </cell>
        </row>
        <row r="25">
          <cell r="O25">
            <v>397.5</v>
          </cell>
          <cell r="P25">
            <v>397.5</v>
          </cell>
          <cell r="Q25">
            <v>397.5</v>
          </cell>
        </row>
        <row r="26">
          <cell r="O26">
            <v>666.9</v>
          </cell>
          <cell r="P26">
            <v>795</v>
          </cell>
          <cell r="Q26">
            <v>795</v>
          </cell>
        </row>
        <row r="27">
          <cell r="O27">
            <v>795</v>
          </cell>
          <cell r="P27">
            <v>795</v>
          </cell>
          <cell r="Q27">
            <v>795</v>
          </cell>
        </row>
        <row r="28">
          <cell r="O28" t="str">
            <v>1/0 ACSR</v>
          </cell>
          <cell r="P28" t="str">
            <v>1/0</v>
          </cell>
          <cell r="Q28">
            <v>10</v>
          </cell>
        </row>
        <row r="29">
          <cell r="O29" t="str">
            <v>1500 CU U/G</v>
          </cell>
          <cell r="P29">
            <v>1590</v>
          </cell>
          <cell r="Q29">
            <v>1590</v>
          </cell>
        </row>
        <row r="30">
          <cell r="O30" t="str">
            <v>1590 SDC TYPE 7</v>
          </cell>
          <cell r="P30">
            <v>1590</v>
          </cell>
          <cell r="Q30">
            <v>1590</v>
          </cell>
        </row>
        <row r="31">
          <cell r="O31" t="str">
            <v>1590 SDC TYPE 9</v>
          </cell>
          <cell r="P31">
            <v>1590</v>
          </cell>
          <cell r="Q31">
            <v>1590</v>
          </cell>
        </row>
        <row r="32">
          <cell r="O32" t="str">
            <v>2/O COPPER</v>
          </cell>
          <cell r="P32" t="str">
            <v>4/0</v>
          </cell>
          <cell r="Q32">
            <v>40</v>
          </cell>
        </row>
        <row r="33">
          <cell r="O33" t="str">
            <v>266.8 SDC</v>
          </cell>
          <cell r="P33">
            <v>266.8</v>
          </cell>
          <cell r="Q33">
            <v>266.8</v>
          </cell>
        </row>
        <row r="34">
          <cell r="O34" t="str">
            <v>3/O COPPER</v>
          </cell>
          <cell r="P34">
            <v>266.8</v>
          </cell>
          <cell r="Q34">
            <v>266.8</v>
          </cell>
        </row>
        <row r="35">
          <cell r="O35" t="str">
            <v>477 ACSR</v>
          </cell>
          <cell r="P35">
            <v>477</v>
          </cell>
          <cell r="Q35">
            <v>477</v>
          </cell>
        </row>
        <row r="36">
          <cell r="O36" t="str">
            <v>500 MCM U/G</v>
          </cell>
          <cell r="P36">
            <v>477</v>
          </cell>
          <cell r="Q36">
            <v>477</v>
          </cell>
        </row>
        <row r="37">
          <cell r="O37" t="str">
            <v>CARDINAL/SD</v>
          </cell>
          <cell r="P37">
            <v>477</v>
          </cell>
          <cell r="Q37">
            <v>477</v>
          </cell>
        </row>
        <row r="38">
          <cell r="O38" t="str">
            <v>COCHIN</v>
          </cell>
          <cell r="P38">
            <v>477</v>
          </cell>
          <cell r="Q38">
            <v>477</v>
          </cell>
        </row>
        <row r="39">
          <cell r="O39" t="str">
            <v>CURLEW</v>
          </cell>
          <cell r="P39">
            <v>477</v>
          </cell>
          <cell r="Q39">
            <v>477</v>
          </cell>
        </row>
        <row r="40">
          <cell r="O40" t="str">
            <v>DRAKE</v>
          </cell>
          <cell r="P40">
            <v>795</v>
          </cell>
          <cell r="Q40">
            <v>795</v>
          </cell>
        </row>
        <row r="41">
          <cell r="O41" t="str">
            <v>FALCON</v>
          </cell>
          <cell r="P41">
            <v>1590</v>
          </cell>
          <cell r="Q41">
            <v>1590</v>
          </cell>
        </row>
        <row r="42">
          <cell r="O42" t="str">
            <v>GROSBEAK</v>
          </cell>
          <cell r="P42">
            <v>636</v>
          </cell>
          <cell r="Q42">
            <v>636</v>
          </cell>
        </row>
        <row r="43">
          <cell r="O43" t="str">
            <v>HAWK</v>
          </cell>
          <cell r="P43">
            <v>477</v>
          </cell>
          <cell r="Q43">
            <v>477</v>
          </cell>
        </row>
        <row r="44">
          <cell r="O44" t="str">
            <v>HORNBILL</v>
          </cell>
          <cell r="P44">
            <v>477</v>
          </cell>
          <cell r="Q44">
            <v>477</v>
          </cell>
        </row>
        <row r="45">
          <cell r="O45" t="str">
            <v>IBIS</v>
          </cell>
          <cell r="P45">
            <v>397.5</v>
          </cell>
          <cell r="Q45">
            <v>397.5</v>
          </cell>
        </row>
        <row r="46">
          <cell r="O46" t="str">
            <v>LINNET</v>
          </cell>
          <cell r="P46">
            <v>336.4</v>
          </cell>
          <cell r="Q46">
            <v>336.4</v>
          </cell>
        </row>
        <row r="47">
          <cell r="O47" t="str">
            <v>NELSON</v>
          </cell>
          <cell r="P47">
            <v>1843.2</v>
          </cell>
          <cell r="Q47">
            <v>1843.2</v>
          </cell>
        </row>
        <row r="48">
          <cell r="O48" t="str">
            <v>PARTRIDGE</v>
          </cell>
          <cell r="P48">
            <v>266.8</v>
          </cell>
          <cell r="Q48">
            <v>266.8</v>
          </cell>
        </row>
        <row r="49">
          <cell r="O49" t="str">
            <v>PENGUIN</v>
          </cell>
          <cell r="P49" t="str">
            <v>4/0</v>
          </cell>
          <cell r="Q49">
            <v>40</v>
          </cell>
        </row>
        <row r="50">
          <cell r="O50" t="str">
            <v>PIGEON</v>
          </cell>
          <cell r="P50" t="str">
            <v>3/0</v>
          </cell>
          <cell r="Q50">
            <v>30</v>
          </cell>
        </row>
        <row r="51">
          <cell r="O51" t="str">
            <v>QUAIL</v>
          </cell>
          <cell r="P51" t="str">
            <v>2/0</v>
          </cell>
          <cell r="Q51">
            <v>20</v>
          </cell>
        </row>
        <row r="52">
          <cell r="O52" t="str">
            <v>RAVEN</v>
          </cell>
          <cell r="P52" t="str">
            <v>1/0</v>
          </cell>
          <cell r="Q52">
            <v>10</v>
          </cell>
        </row>
        <row r="53">
          <cell r="O53" t="str">
            <v>SDC 5005</v>
          </cell>
          <cell r="P53">
            <v>477</v>
          </cell>
          <cell r="Q53">
            <v>477</v>
          </cell>
        </row>
        <row r="54">
          <cell r="O54" t="str">
            <v>SDC 6101</v>
          </cell>
          <cell r="P54">
            <v>477</v>
          </cell>
          <cell r="Q54">
            <v>477</v>
          </cell>
        </row>
        <row r="55">
          <cell r="O55" t="str">
            <v>SPARROW</v>
          </cell>
          <cell r="P55">
            <v>2</v>
          </cell>
          <cell r="Q55">
            <v>2</v>
          </cell>
        </row>
        <row r="56">
          <cell r="O56" t="str">
            <v>SPARROW</v>
          </cell>
          <cell r="P56">
            <v>2</v>
          </cell>
          <cell r="Q56">
            <v>2</v>
          </cell>
        </row>
        <row r="57">
          <cell r="O57" t="str">
            <v>SWAN</v>
          </cell>
          <cell r="P57">
            <v>4</v>
          </cell>
          <cell r="Q57">
            <v>4</v>
          </cell>
        </row>
        <row r="58">
          <cell r="O58" t="str">
            <v>Unknown</v>
          </cell>
          <cell r="P58">
            <v>477</v>
          </cell>
          <cell r="Q58">
            <v>477</v>
          </cell>
        </row>
      </sheetData>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SO Database"/>
      <sheetName val="AL Sub"/>
      <sheetName val="AL Lines"/>
      <sheetName val="AL General"/>
      <sheetName val="AL Sum"/>
      <sheetName val="AE Sub"/>
      <sheetName val="AE LV Lines"/>
      <sheetName val="AE MV Lines"/>
      <sheetName val="AE HV Lines"/>
      <sheetName val="AE Sum"/>
      <sheetName val="EP Sum"/>
      <sheetName val="EN Sub"/>
      <sheetName val="EN Lines"/>
      <sheetName val="En Sum"/>
      <sheetName val="Func Sum"/>
      <sheetName val="Min Sys"/>
      <sheetName val="Classification"/>
      <sheetName val="Min Sys Tables"/>
    </sheetNames>
    <sheetDataSet>
      <sheetData sheetId="0">
        <row r="1">
          <cell r="A1" t="str">
            <v>FACILITY_CODE</v>
          </cell>
          <cell r="B1" t="str">
            <v>Xfor Cap (MVA)</v>
          </cell>
          <cell r="C1" t="str">
            <v>H</v>
          </cell>
          <cell r="D1" t="str">
            <v>X</v>
          </cell>
          <cell r="E1" t="str">
            <v># Transformers</v>
          </cell>
          <cell r="F1" t="str">
            <v>Peak</v>
          </cell>
        </row>
        <row r="2">
          <cell r="A2">
            <v>14</v>
          </cell>
          <cell r="B2">
            <v>15</v>
          </cell>
          <cell r="C2">
            <v>138</v>
          </cell>
          <cell r="D2">
            <v>25</v>
          </cell>
          <cell r="E2">
            <v>1</v>
          </cell>
          <cell r="F2">
            <v>16.193999999999999</v>
          </cell>
        </row>
        <row r="3">
          <cell r="A3">
            <v>15</v>
          </cell>
          <cell r="B3">
            <v>15</v>
          </cell>
          <cell r="C3">
            <v>138</v>
          </cell>
          <cell r="D3">
            <v>25</v>
          </cell>
          <cell r="E3">
            <v>1</v>
          </cell>
          <cell r="F3">
            <v>16.54</v>
          </cell>
        </row>
        <row r="4">
          <cell r="A4">
            <v>15</v>
          </cell>
          <cell r="B4">
            <v>15</v>
          </cell>
          <cell r="C4">
            <v>138</v>
          </cell>
          <cell r="D4">
            <v>25</v>
          </cell>
          <cell r="E4">
            <v>1</v>
          </cell>
          <cell r="F4" t="str">
            <v/>
          </cell>
        </row>
        <row r="5">
          <cell r="A5">
            <v>17</v>
          </cell>
          <cell r="B5">
            <v>15</v>
          </cell>
          <cell r="C5">
            <v>138</v>
          </cell>
          <cell r="D5">
            <v>25</v>
          </cell>
          <cell r="E5">
            <v>1</v>
          </cell>
          <cell r="F5">
            <v>16.6296</v>
          </cell>
        </row>
        <row r="6">
          <cell r="A6">
            <v>19</v>
          </cell>
          <cell r="B6">
            <v>7.5</v>
          </cell>
          <cell r="C6">
            <v>69</v>
          </cell>
          <cell r="D6">
            <v>2.2999999999999998</v>
          </cell>
          <cell r="E6">
            <v>1</v>
          </cell>
          <cell r="F6">
            <v>0</v>
          </cell>
        </row>
        <row r="7">
          <cell r="A7">
            <v>19</v>
          </cell>
          <cell r="B7">
            <v>10.5</v>
          </cell>
          <cell r="C7">
            <v>138</v>
          </cell>
          <cell r="D7">
            <v>4.16</v>
          </cell>
          <cell r="E7">
            <v>1</v>
          </cell>
          <cell r="F7">
            <v>0</v>
          </cell>
        </row>
        <row r="8">
          <cell r="A8">
            <v>20</v>
          </cell>
          <cell r="B8">
            <v>2.5</v>
          </cell>
          <cell r="C8">
            <v>138</v>
          </cell>
          <cell r="D8">
            <v>25</v>
          </cell>
          <cell r="E8">
            <v>1</v>
          </cell>
          <cell r="F8">
            <v>6.06</v>
          </cell>
        </row>
        <row r="9">
          <cell r="A9">
            <v>21</v>
          </cell>
          <cell r="B9">
            <v>20</v>
          </cell>
          <cell r="C9">
            <v>138</v>
          </cell>
          <cell r="D9">
            <v>25</v>
          </cell>
          <cell r="E9">
            <v>1</v>
          </cell>
          <cell r="F9">
            <v>8.4560000000000013</v>
          </cell>
        </row>
        <row r="10">
          <cell r="A10">
            <v>28</v>
          </cell>
          <cell r="B10">
            <v>15</v>
          </cell>
          <cell r="C10">
            <v>138</v>
          </cell>
          <cell r="D10">
            <v>25</v>
          </cell>
          <cell r="E10">
            <v>1</v>
          </cell>
          <cell r="F10">
            <v>9.282</v>
          </cell>
        </row>
        <row r="11">
          <cell r="A11">
            <v>29</v>
          </cell>
          <cell r="B11">
            <v>91.8</v>
          </cell>
          <cell r="C11">
            <v>69</v>
          </cell>
          <cell r="D11">
            <v>25</v>
          </cell>
          <cell r="E11">
            <v>1</v>
          </cell>
          <cell r="F11">
            <v>30</v>
          </cell>
        </row>
        <row r="12">
          <cell r="A12">
            <v>37</v>
          </cell>
          <cell r="B12">
            <v>50</v>
          </cell>
          <cell r="C12">
            <v>138</v>
          </cell>
          <cell r="D12">
            <v>25</v>
          </cell>
          <cell r="E12">
            <v>2</v>
          </cell>
          <cell r="F12">
            <v>59.99</v>
          </cell>
        </row>
        <row r="13">
          <cell r="A13">
            <v>38</v>
          </cell>
          <cell r="B13">
            <v>50</v>
          </cell>
          <cell r="C13">
            <v>138</v>
          </cell>
          <cell r="D13">
            <v>25</v>
          </cell>
          <cell r="E13">
            <v>2</v>
          </cell>
          <cell r="F13">
            <v>72.214799999999997</v>
          </cell>
        </row>
        <row r="14">
          <cell r="A14">
            <v>40</v>
          </cell>
          <cell r="B14">
            <v>50</v>
          </cell>
          <cell r="C14">
            <v>138</v>
          </cell>
          <cell r="D14">
            <v>25</v>
          </cell>
          <cell r="E14">
            <v>2</v>
          </cell>
          <cell r="F14">
            <v>35.743600000000001</v>
          </cell>
        </row>
        <row r="15">
          <cell r="A15">
            <v>40</v>
          </cell>
          <cell r="B15">
            <v>25</v>
          </cell>
          <cell r="C15">
            <v>138</v>
          </cell>
          <cell r="D15">
            <v>25</v>
          </cell>
          <cell r="E15">
            <v>1</v>
          </cell>
          <cell r="F15">
            <v>0.27679999999999999</v>
          </cell>
        </row>
        <row r="16">
          <cell r="A16">
            <v>43</v>
          </cell>
          <cell r="B16">
            <v>15</v>
          </cell>
          <cell r="C16">
            <v>138</v>
          </cell>
          <cell r="D16">
            <v>4.16</v>
          </cell>
          <cell r="E16">
            <v>1</v>
          </cell>
          <cell r="F16">
            <v>11.529200000000001</v>
          </cell>
        </row>
        <row r="17">
          <cell r="A17">
            <v>51</v>
          </cell>
          <cell r="B17">
            <v>6.6</v>
          </cell>
          <cell r="C17">
            <v>69</v>
          </cell>
          <cell r="D17">
            <v>25</v>
          </cell>
          <cell r="E17">
            <v>2</v>
          </cell>
          <cell r="F17">
            <v>22.255600000000001</v>
          </cell>
        </row>
        <row r="18">
          <cell r="A18">
            <v>51</v>
          </cell>
          <cell r="B18">
            <v>25</v>
          </cell>
          <cell r="C18">
            <v>138</v>
          </cell>
          <cell r="D18">
            <v>25</v>
          </cell>
          <cell r="E18">
            <v>1</v>
          </cell>
          <cell r="F18">
            <v>22.255600000000001</v>
          </cell>
        </row>
        <row r="19">
          <cell r="A19">
            <v>52</v>
          </cell>
          <cell r="B19">
            <v>37.5</v>
          </cell>
          <cell r="C19">
            <v>240</v>
          </cell>
          <cell r="D19">
            <v>25</v>
          </cell>
          <cell r="E19">
            <v>1</v>
          </cell>
          <cell r="F19">
            <v>30.0288</v>
          </cell>
        </row>
        <row r="20">
          <cell r="A20">
            <v>54</v>
          </cell>
          <cell r="B20">
            <v>50</v>
          </cell>
          <cell r="C20">
            <v>138</v>
          </cell>
          <cell r="D20">
            <v>25</v>
          </cell>
          <cell r="E20">
            <v>2</v>
          </cell>
          <cell r="F20">
            <v>74.271600000000007</v>
          </cell>
        </row>
        <row r="21">
          <cell r="A21">
            <v>55</v>
          </cell>
          <cell r="B21">
            <v>50</v>
          </cell>
          <cell r="C21">
            <v>138</v>
          </cell>
          <cell r="D21">
            <v>25</v>
          </cell>
          <cell r="E21">
            <v>2</v>
          </cell>
          <cell r="F21">
            <v>29.028400000000001</v>
          </cell>
        </row>
        <row r="22">
          <cell r="A22">
            <v>56</v>
          </cell>
          <cell r="B22">
            <v>15</v>
          </cell>
          <cell r="C22">
            <v>138</v>
          </cell>
          <cell r="D22">
            <v>25</v>
          </cell>
          <cell r="E22">
            <v>1</v>
          </cell>
          <cell r="F22">
            <v>10.883600000000001</v>
          </cell>
        </row>
        <row r="23">
          <cell r="A23">
            <v>58</v>
          </cell>
          <cell r="B23">
            <v>50</v>
          </cell>
          <cell r="C23">
            <v>138</v>
          </cell>
          <cell r="D23">
            <v>25</v>
          </cell>
          <cell r="E23">
            <v>2</v>
          </cell>
          <cell r="F23">
            <v>46.3508</v>
          </cell>
        </row>
        <row r="24">
          <cell r="A24">
            <v>61</v>
          </cell>
          <cell r="B24">
            <v>15</v>
          </cell>
          <cell r="C24">
            <v>138</v>
          </cell>
          <cell r="D24">
            <v>25</v>
          </cell>
          <cell r="E24">
            <v>1</v>
          </cell>
          <cell r="F24">
            <v>10.123200000000001</v>
          </cell>
        </row>
        <row r="25">
          <cell r="A25">
            <v>62</v>
          </cell>
          <cell r="B25">
            <v>3</v>
          </cell>
          <cell r="C25">
            <v>138</v>
          </cell>
          <cell r="D25">
            <v>4.16</v>
          </cell>
          <cell r="E25">
            <v>1</v>
          </cell>
          <cell r="F25">
            <v>16.7332</v>
          </cell>
        </row>
        <row r="26">
          <cell r="A26">
            <v>62</v>
          </cell>
          <cell r="B26">
            <v>3</v>
          </cell>
          <cell r="C26">
            <v>138</v>
          </cell>
          <cell r="D26">
            <v>4.16</v>
          </cell>
          <cell r="E26">
            <v>1</v>
          </cell>
          <cell r="F26">
            <v>9.8628</v>
          </cell>
        </row>
        <row r="27">
          <cell r="A27">
            <v>63</v>
          </cell>
          <cell r="B27">
            <v>15</v>
          </cell>
          <cell r="C27">
            <v>138</v>
          </cell>
          <cell r="D27">
            <v>25</v>
          </cell>
          <cell r="E27">
            <v>1</v>
          </cell>
          <cell r="F27">
            <v>8.7552000000000003</v>
          </cell>
        </row>
        <row r="28">
          <cell r="A28">
            <v>64</v>
          </cell>
          <cell r="B28">
            <v>15</v>
          </cell>
          <cell r="C28">
            <v>138</v>
          </cell>
          <cell r="D28">
            <v>25</v>
          </cell>
          <cell r="E28">
            <v>1</v>
          </cell>
          <cell r="F28">
            <v>13.55</v>
          </cell>
        </row>
        <row r="29">
          <cell r="A29">
            <v>65</v>
          </cell>
          <cell r="B29">
            <v>50</v>
          </cell>
          <cell r="C29">
            <v>138</v>
          </cell>
          <cell r="D29">
            <v>25</v>
          </cell>
          <cell r="E29">
            <v>2</v>
          </cell>
          <cell r="F29">
            <v>35.520000000000003</v>
          </cell>
        </row>
        <row r="30">
          <cell r="A30">
            <v>67</v>
          </cell>
          <cell r="B30">
            <v>15</v>
          </cell>
          <cell r="C30">
            <v>69</v>
          </cell>
          <cell r="D30">
            <v>25</v>
          </cell>
          <cell r="E30">
            <v>1</v>
          </cell>
          <cell r="F30">
            <v>8.42</v>
          </cell>
        </row>
        <row r="31">
          <cell r="A31">
            <v>68</v>
          </cell>
          <cell r="B31">
            <v>25</v>
          </cell>
          <cell r="C31">
            <v>240</v>
          </cell>
          <cell r="D31">
            <v>25</v>
          </cell>
          <cell r="E31">
            <v>1</v>
          </cell>
          <cell r="F31">
            <v>13.403600000000001</v>
          </cell>
        </row>
        <row r="32">
          <cell r="A32">
            <v>68</v>
          </cell>
          <cell r="B32">
            <v>25</v>
          </cell>
          <cell r="C32">
            <v>240</v>
          </cell>
          <cell r="D32">
            <v>25</v>
          </cell>
          <cell r="E32">
            <v>1</v>
          </cell>
          <cell r="F32">
            <v>3.3840000000000003</v>
          </cell>
        </row>
        <row r="33">
          <cell r="A33">
            <v>68</v>
          </cell>
          <cell r="B33">
            <v>25</v>
          </cell>
          <cell r="C33">
            <v>240</v>
          </cell>
          <cell r="D33">
            <v>25</v>
          </cell>
          <cell r="E33">
            <v>1</v>
          </cell>
          <cell r="F33" t="str">
            <v/>
          </cell>
        </row>
        <row r="34">
          <cell r="A34">
            <v>69</v>
          </cell>
          <cell r="B34">
            <v>30</v>
          </cell>
          <cell r="C34">
            <v>138</v>
          </cell>
          <cell r="D34">
            <v>25</v>
          </cell>
          <cell r="E34">
            <v>2</v>
          </cell>
          <cell r="F34">
            <v>15.6692</v>
          </cell>
        </row>
        <row r="35">
          <cell r="A35">
            <v>72</v>
          </cell>
          <cell r="B35">
            <v>25</v>
          </cell>
          <cell r="C35">
            <v>240</v>
          </cell>
          <cell r="D35">
            <v>25</v>
          </cell>
          <cell r="E35">
            <v>1</v>
          </cell>
          <cell r="F35">
            <v>16.162400000000002</v>
          </cell>
        </row>
        <row r="36">
          <cell r="A36">
            <v>83</v>
          </cell>
          <cell r="B36">
            <v>50</v>
          </cell>
          <cell r="C36">
            <v>138</v>
          </cell>
          <cell r="D36">
            <v>25</v>
          </cell>
          <cell r="E36">
            <v>2</v>
          </cell>
          <cell r="F36">
            <v>57.023600000000002</v>
          </cell>
        </row>
        <row r="37">
          <cell r="A37">
            <v>95</v>
          </cell>
          <cell r="B37">
            <v>80</v>
          </cell>
          <cell r="C37">
            <v>138</v>
          </cell>
          <cell r="D37">
            <v>13.8</v>
          </cell>
          <cell r="E37">
            <v>2</v>
          </cell>
          <cell r="F37">
            <v>46.16</v>
          </cell>
        </row>
        <row r="38">
          <cell r="A38">
            <v>99</v>
          </cell>
          <cell r="B38">
            <v>25</v>
          </cell>
          <cell r="C38">
            <v>138</v>
          </cell>
          <cell r="D38">
            <v>25</v>
          </cell>
          <cell r="E38">
            <v>1</v>
          </cell>
          <cell r="F38">
            <v>39.212800000000001</v>
          </cell>
        </row>
        <row r="39">
          <cell r="A39">
            <v>107</v>
          </cell>
          <cell r="B39">
            <v>15</v>
          </cell>
          <cell r="C39">
            <v>138</v>
          </cell>
          <cell r="D39">
            <v>25</v>
          </cell>
          <cell r="E39">
            <v>1</v>
          </cell>
          <cell r="F39">
            <v>13.33</v>
          </cell>
        </row>
        <row r="40">
          <cell r="A40">
            <v>111</v>
          </cell>
          <cell r="B40">
            <v>78</v>
          </cell>
          <cell r="C40">
            <v>138</v>
          </cell>
          <cell r="D40">
            <v>13.8</v>
          </cell>
          <cell r="E40">
            <v>3</v>
          </cell>
          <cell r="F40">
            <v>37.028400000000005</v>
          </cell>
        </row>
        <row r="41">
          <cell r="A41">
            <v>115</v>
          </cell>
          <cell r="B41">
            <v>12.1</v>
          </cell>
          <cell r="C41">
            <v>138</v>
          </cell>
          <cell r="D41">
            <v>25</v>
          </cell>
          <cell r="E41">
            <v>2</v>
          </cell>
          <cell r="F41">
            <v>6.6740000000000004</v>
          </cell>
        </row>
        <row r="42">
          <cell r="A42">
            <v>118</v>
          </cell>
          <cell r="B42">
            <v>15</v>
          </cell>
          <cell r="C42">
            <v>138</v>
          </cell>
          <cell r="D42">
            <v>25</v>
          </cell>
          <cell r="E42">
            <v>1</v>
          </cell>
          <cell r="F42">
            <v>19.822400000000002</v>
          </cell>
        </row>
        <row r="43">
          <cell r="A43">
            <v>121</v>
          </cell>
          <cell r="B43">
            <v>50</v>
          </cell>
          <cell r="C43">
            <v>138</v>
          </cell>
          <cell r="D43">
            <v>25</v>
          </cell>
          <cell r="E43">
            <v>2</v>
          </cell>
          <cell r="F43">
            <v>31.650400000000001</v>
          </cell>
        </row>
        <row r="44">
          <cell r="A44">
            <v>122</v>
          </cell>
          <cell r="B44">
            <v>135</v>
          </cell>
          <cell r="C44">
            <v>240</v>
          </cell>
          <cell r="D44">
            <v>13.8</v>
          </cell>
          <cell r="E44">
            <v>3</v>
          </cell>
          <cell r="F44">
            <v>123.896</v>
          </cell>
        </row>
        <row r="45">
          <cell r="A45">
            <v>123</v>
          </cell>
          <cell r="B45">
            <v>20</v>
          </cell>
          <cell r="C45">
            <v>69</v>
          </cell>
          <cell r="D45">
            <v>25</v>
          </cell>
          <cell r="E45">
            <v>2</v>
          </cell>
          <cell r="F45">
            <v>20.100000000000001</v>
          </cell>
        </row>
        <row r="46">
          <cell r="A46">
            <v>123</v>
          </cell>
          <cell r="B46">
            <v>25</v>
          </cell>
          <cell r="C46">
            <v>138</v>
          </cell>
          <cell r="D46">
            <v>25</v>
          </cell>
          <cell r="E46">
            <v>1</v>
          </cell>
          <cell r="F46">
            <v>20.100000000000001</v>
          </cell>
        </row>
        <row r="47">
          <cell r="A47">
            <v>127</v>
          </cell>
          <cell r="B47">
            <v>15</v>
          </cell>
          <cell r="C47">
            <v>138</v>
          </cell>
          <cell r="D47">
            <v>25</v>
          </cell>
          <cell r="E47">
            <v>1</v>
          </cell>
          <cell r="F47">
            <v>22.154</v>
          </cell>
        </row>
        <row r="48">
          <cell r="A48">
            <v>131</v>
          </cell>
          <cell r="B48">
            <v>25</v>
          </cell>
          <cell r="C48">
            <v>69</v>
          </cell>
          <cell r="D48">
            <v>25</v>
          </cell>
          <cell r="E48">
            <v>2</v>
          </cell>
          <cell r="F48">
            <v>13.08</v>
          </cell>
        </row>
        <row r="49">
          <cell r="A49">
            <v>133</v>
          </cell>
          <cell r="B49">
            <v>72</v>
          </cell>
          <cell r="C49">
            <v>138</v>
          </cell>
          <cell r="D49">
            <v>34</v>
          </cell>
          <cell r="E49">
            <v>2</v>
          </cell>
          <cell r="F49">
            <v>438.16480000000001</v>
          </cell>
        </row>
        <row r="50">
          <cell r="A50">
            <v>135</v>
          </cell>
          <cell r="B50">
            <v>20</v>
          </cell>
          <cell r="C50">
            <v>138</v>
          </cell>
          <cell r="D50">
            <v>25</v>
          </cell>
          <cell r="E50">
            <v>1</v>
          </cell>
          <cell r="F50">
            <v>13.09</v>
          </cell>
        </row>
        <row r="51">
          <cell r="A51">
            <v>137</v>
          </cell>
          <cell r="B51">
            <v>15</v>
          </cell>
          <cell r="C51">
            <v>138</v>
          </cell>
          <cell r="D51">
            <v>25</v>
          </cell>
          <cell r="E51">
            <v>1</v>
          </cell>
          <cell r="F51">
            <v>19.344000000000001</v>
          </cell>
        </row>
        <row r="52">
          <cell r="A52">
            <v>146</v>
          </cell>
          <cell r="B52">
            <v>36</v>
          </cell>
          <cell r="C52">
            <v>138</v>
          </cell>
          <cell r="D52">
            <v>13.8</v>
          </cell>
          <cell r="E52">
            <v>2</v>
          </cell>
          <cell r="F52">
            <v>27.512800000000002</v>
          </cell>
        </row>
        <row r="53">
          <cell r="A53">
            <v>149</v>
          </cell>
          <cell r="B53">
            <v>50</v>
          </cell>
          <cell r="C53">
            <v>138</v>
          </cell>
          <cell r="D53">
            <v>25</v>
          </cell>
          <cell r="E53">
            <v>2</v>
          </cell>
          <cell r="F53">
            <v>59.126400000000004</v>
          </cell>
        </row>
        <row r="54">
          <cell r="A54">
            <v>150</v>
          </cell>
          <cell r="B54">
            <v>15</v>
          </cell>
          <cell r="C54">
            <v>138</v>
          </cell>
          <cell r="D54">
            <v>25</v>
          </cell>
          <cell r="E54">
            <v>1</v>
          </cell>
          <cell r="F54">
            <v>9.6008000000000013</v>
          </cell>
        </row>
        <row r="55">
          <cell r="A55">
            <v>151</v>
          </cell>
          <cell r="B55">
            <v>30</v>
          </cell>
          <cell r="C55">
            <v>138</v>
          </cell>
          <cell r="D55">
            <v>25</v>
          </cell>
          <cell r="E55">
            <v>2</v>
          </cell>
          <cell r="F55">
            <v>35.436</v>
          </cell>
        </row>
        <row r="56">
          <cell r="A56">
            <v>157</v>
          </cell>
          <cell r="B56">
            <v>15</v>
          </cell>
          <cell r="C56">
            <v>138</v>
          </cell>
          <cell r="D56">
            <v>25</v>
          </cell>
          <cell r="E56">
            <v>1</v>
          </cell>
          <cell r="F56">
            <v>10.6632</v>
          </cell>
        </row>
        <row r="57">
          <cell r="A57">
            <v>158</v>
          </cell>
          <cell r="B57">
            <v>25</v>
          </cell>
          <cell r="C57">
            <v>138</v>
          </cell>
          <cell r="D57">
            <v>25</v>
          </cell>
          <cell r="E57">
            <v>1</v>
          </cell>
          <cell r="F57">
            <v>32.022400000000005</v>
          </cell>
        </row>
        <row r="58">
          <cell r="A58">
            <v>159</v>
          </cell>
          <cell r="B58">
            <v>40</v>
          </cell>
          <cell r="C58">
            <v>138</v>
          </cell>
          <cell r="D58">
            <v>25</v>
          </cell>
          <cell r="E58">
            <v>2</v>
          </cell>
          <cell r="F58">
            <v>15.284800000000001</v>
          </cell>
        </row>
        <row r="59">
          <cell r="A59">
            <v>163</v>
          </cell>
          <cell r="B59">
            <v>90</v>
          </cell>
          <cell r="C59">
            <v>240</v>
          </cell>
          <cell r="D59">
            <v>13.8</v>
          </cell>
          <cell r="E59">
            <v>2</v>
          </cell>
          <cell r="F59">
            <v>220.79840000000002</v>
          </cell>
        </row>
        <row r="60">
          <cell r="A60">
            <v>163</v>
          </cell>
          <cell r="B60">
            <v>45</v>
          </cell>
          <cell r="C60">
            <v>240</v>
          </cell>
          <cell r="D60">
            <v>13.8</v>
          </cell>
          <cell r="E60">
            <v>1</v>
          </cell>
          <cell r="F60">
            <v>17.296800000000001</v>
          </cell>
        </row>
        <row r="61">
          <cell r="A61">
            <v>164</v>
          </cell>
          <cell r="B61">
            <v>30</v>
          </cell>
          <cell r="C61">
            <v>138</v>
          </cell>
          <cell r="D61">
            <v>6.9</v>
          </cell>
          <cell r="E61">
            <v>2</v>
          </cell>
          <cell r="F61">
            <v>29.5488</v>
          </cell>
        </row>
        <row r="62">
          <cell r="A62">
            <v>165</v>
          </cell>
          <cell r="B62">
            <v>3</v>
          </cell>
          <cell r="C62">
            <v>69</v>
          </cell>
          <cell r="D62">
            <v>4.16</v>
          </cell>
          <cell r="E62">
            <v>1</v>
          </cell>
          <cell r="F62">
            <v>2.0504000000000002</v>
          </cell>
        </row>
        <row r="63">
          <cell r="A63">
            <v>166</v>
          </cell>
          <cell r="B63">
            <v>120</v>
          </cell>
          <cell r="C63">
            <v>138</v>
          </cell>
          <cell r="D63">
            <v>14.4</v>
          </cell>
          <cell r="E63">
            <v>3</v>
          </cell>
          <cell r="F63">
            <v>113.57</v>
          </cell>
        </row>
        <row r="64">
          <cell r="A64">
            <v>171</v>
          </cell>
          <cell r="B64">
            <v>50</v>
          </cell>
          <cell r="C64">
            <v>138</v>
          </cell>
          <cell r="D64">
            <v>25</v>
          </cell>
          <cell r="E64">
            <v>2</v>
          </cell>
          <cell r="F64">
            <v>54.779200000000003</v>
          </cell>
        </row>
        <row r="65">
          <cell r="A65">
            <v>172</v>
          </cell>
          <cell r="B65">
            <v>24</v>
          </cell>
          <cell r="C65">
            <v>138</v>
          </cell>
          <cell r="D65">
            <v>4.16</v>
          </cell>
          <cell r="E65">
            <v>2</v>
          </cell>
          <cell r="F65">
            <v>47.458400000000005</v>
          </cell>
        </row>
        <row r="66">
          <cell r="A66">
            <v>172</v>
          </cell>
          <cell r="B66">
            <v>45</v>
          </cell>
          <cell r="C66">
            <v>138</v>
          </cell>
          <cell r="D66">
            <v>13.8</v>
          </cell>
          <cell r="E66">
            <v>2</v>
          </cell>
          <cell r="F66">
            <v>47.458400000000005</v>
          </cell>
        </row>
        <row r="67">
          <cell r="A67">
            <v>172</v>
          </cell>
          <cell r="B67">
            <v>45</v>
          </cell>
          <cell r="C67">
            <v>138</v>
          </cell>
          <cell r="D67">
            <v>13.8</v>
          </cell>
          <cell r="E67">
            <v>2</v>
          </cell>
          <cell r="F67">
            <v>11.3</v>
          </cell>
        </row>
        <row r="68">
          <cell r="A68">
            <v>178</v>
          </cell>
          <cell r="B68">
            <v>25</v>
          </cell>
          <cell r="C68">
            <v>138</v>
          </cell>
          <cell r="D68">
            <v>25</v>
          </cell>
          <cell r="E68">
            <v>1</v>
          </cell>
          <cell r="F68">
            <v>5.44</v>
          </cell>
        </row>
        <row r="69">
          <cell r="A69">
            <v>179</v>
          </cell>
          <cell r="B69">
            <v>15</v>
          </cell>
          <cell r="C69">
            <v>138</v>
          </cell>
          <cell r="D69">
            <v>25</v>
          </cell>
          <cell r="E69">
            <v>1</v>
          </cell>
          <cell r="F69">
            <v>15.316400000000002</v>
          </cell>
        </row>
        <row r="70">
          <cell r="A70">
            <v>184</v>
          </cell>
          <cell r="B70">
            <v>55</v>
          </cell>
          <cell r="C70">
            <v>138</v>
          </cell>
          <cell r="D70">
            <v>13.8</v>
          </cell>
          <cell r="E70">
            <v>3</v>
          </cell>
          <cell r="F70">
            <v>34.472000000000001</v>
          </cell>
        </row>
        <row r="71">
          <cell r="A71">
            <v>191</v>
          </cell>
          <cell r="B71">
            <v>15</v>
          </cell>
          <cell r="C71">
            <v>138</v>
          </cell>
          <cell r="D71">
            <v>25</v>
          </cell>
          <cell r="E71">
            <v>1</v>
          </cell>
          <cell r="F71">
            <v>16.163600000000002</v>
          </cell>
        </row>
        <row r="72">
          <cell r="A72">
            <v>198</v>
          </cell>
          <cell r="B72">
            <v>15</v>
          </cell>
          <cell r="C72">
            <v>138</v>
          </cell>
          <cell r="D72">
            <v>25</v>
          </cell>
          <cell r="E72">
            <v>1</v>
          </cell>
          <cell r="F72">
            <v>17.03</v>
          </cell>
        </row>
        <row r="73">
          <cell r="A73">
            <v>199</v>
          </cell>
          <cell r="B73">
            <v>33.299999999999997</v>
          </cell>
          <cell r="C73">
            <v>138</v>
          </cell>
          <cell r="D73">
            <v>25</v>
          </cell>
          <cell r="E73">
            <v>2</v>
          </cell>
          <cell r="F73">
            <v>40.35</v>
          </cell>
        </row>
        <row r="74">
          <cell r="A74">
            <v>204</v>
          </cell>
          <cell r="B74">
            <v>5</v>
          </cell>
          <cell r="C74">
            <v>138</v>
          </cell>
          <cell r="D74">
            <v>4.7</v>
          </cell>
          <cell r="E74">
            <v>1</v>
          </cell>
          <cell r="F74">
            <v>16.031200000000002</v>
          </cell>
        </row>
        <row r="75">
          <cell r="A75">
            <v>212</v>
          </cell>
          <cell r="B75">
            <v>15</v>
          </cell>
          <cell r="C75">
            <v>138</v>
          </cell>
          <cell r="D75">
            <v>25</v>
          </cell>
          <cell r="E75">
            <v>1</v>
          </cell>
          <cell r="F75">
            <v>23.252000000000002</v>
          </cell>
        </row>
        <row r="76">
          <cell r="A76">
            <v>213</v>
          </cell>
          <cell r="B76">
            <v>15</v>
          </cell>
          <cell r="C76">
            <v>138</v>
          </cell>
          <cell r="D76">
            <v>25</v>
          </cell>
          <cell r="E76">
            <v>1</v>
          </cell>
          <cell r="F76">
            <v>23.4572</v>
          </cell>
        </row>
        <row r="77">
          <cell r="A77">
            <v>214</v>
          </cell>
          <cell r="B77">
            <v>50</v>
          </cell>
          <cell r="C77">
            <v>138</v>
          </cell>
          <cell r="D77">
            <v>25</v>
          </cell>
          <cell r="E77">
            <v>2</v>
          </cell>
          <cell r="F77">
            <v>36.999600000000001</v>
          </cell>
        </row>
        <row r="78">
          <cell r="A78">
            <v>216</v>
          </cell>
          <cell r="B78">
            <v>30</v>
          </cell>
          <cell r="C78">
            <v>138</v>
          </cell>
          <cell r="D78">
            <v>4.16</v>
          </cell>
          <cell r="E78">
            <v>2</v>
          </cell>
          <cell r="F78">
            <v>17.008400000000002</v>
          </cell>
        </row>
        <row r="79">
          <cell r="A79">
            <v>217</v>
          </cell>
          <cell r="B79">
            <v>15</v>
          </cell>
          <cell r="C79">
            <v>138</v>
          </cell>
          <cell r="D79">
            <v>25</v>
          </cell>
          <cell r="E79">
            <v>1</v>
          </cell>
          <cell r="F79">
            <v>12.198400000000001</v>
          </cell>
        </row>
        <row r="80">
          <cell r="A80">
            <v>221</v>
          </cell>
          <cell r="B80">
            <v>30</v>
          </cell>
          <cell r="C80">
            <v>138</v>
          </cell>
          <cell r="D80">
            <v>4.16</v>
          </cell>
          <cell r="E80">
            <v>2</v>
          </cell>
          <cell r="F80">
            <v>17.97</v>
          </cell>
        </row>
        <row r="81">
          <cell r="A81">
            <v>223</v>
          </cell>
          <cell r="B81">
            <v>30</v>
          </cell>
          <cell r="C81">
            <v>138</v>
          </cell>
          <cell r="D81">
            <v>4.16</v>
          </cell>
          <cell r="E81">
            <v>2</v>
          </cell>
          <cell r="F81">
            <v>18.727600000000002</v>
          </cell>
        </row>
        <row r="82">
          <cell r="A82">
            <v>227</v>
          </cell>
          <cell r="B82">
            <v>15</v>
          </cell>
          <cell r="C82">
            <v>138</v>
          </cell>
          <cell r="D82">
            <v>25</v>
          </cell>
          <cell r="E82">
            <v>1</v>
          </cell>
          <cell r="F82">
            <v>12.842000000000001</v>
          </cell>
        </row>
        <row r="83">
          <cell r="A83">
            <v>228</v>
          </cell>
          <cell r="B83">
            <v>15</v>
          </cell>
          <cell r="C83">
            <v>138</v>
          </cell>
          <cell r="D83">
            <v>25</v>
          </cell>
          <cell r="E83">
            <v>1</v>
          </cell>
          <cell r="F83">
            <v>8.9656000000000002</v>
          </cell>
        </row>
        <row r="84">
          <cell r="A84">
            <v>233</v>
          </cell>
          <cell r="B84">
            <v>54</v>
          </cell>
          <cell r="C84">
            <v>138</v>
          </cell>
          <cell r="D84">
            <v>13.8</v>
          </cell>
          <cell r="E84">
            <v>2</v>
          </cell>
          <cell r="F84">
            <v>67.3</v>
          </cell>
        </row>
        <row r="85">
          <cell r="A85">
            <v>234</v>
          </cell>
          <cell r="B85">
            <v>6.5</v>
          </cell>
          <cell r="C85">
            <v>138</v>
          </cell>
          <cell r="D85">
            <v>25</v>
          </cell>
          <cell r="E85">
            <v>1</v>
          </cell>
          <cell r="F85">
            <v>2.9336000000000002</v>
          </cell>
        </row>
        <row r="86">
          <cell r="A86">
            <v>235</v>
          </cell>
          <cell r="B86">
            <v>11</v>
          </cell>
          <cell r="C86">
            <v>69</v>
          </cell>
          <cell r="D86">
            <v>25</v>
          </cell>
          <cell r="E86">
            <v>2</v>
          </cell>
          <cell r="F86">
            <v>8.6959999999999997</v>
          </cell>
        </row>
        <row r="87">
          <cell r="A87">
            <v>236</v>
          </cell>
          <cell r="B87">
            <v>11</v>
          </cell>
          <cell r="C87">
            <v>69</v>
          </cell>
          <cell r="D87">
            <v>25</v>
          </cell>
          <cell r="E87">
            <v>2</v>
          </cell>
          <cell r="F87">
            <v>9.0579999999999998</v>
          </cell>
        </row>
        <row r="88">
          <cell r="A88">
            <v>238</v>
          </cell>
          <cell r="B88">
            <v>15</v>
          </cell>
          <cell r="C88">
            <v>138</v>
          </cell>
          <cell r="D88">
            <v>4.16</v>
          </cell>
          <cell r="E88">
            <v>1</v>
          </cell>
          <cell r="F88">
            <v>8.3428000000000004</v>
          </cell>
        </row>
        <row r="89">
          <cell r="A89">
            <v>241</v>
          </cell>
          <cell r="B89">
            <v>36</v>
          </cell>
          <cell r="C89">
            <v>138</v>
          </cell>
          <cell r="D89">
            <v>13.8</v>
          </cell>
          <cell r="E89">
            <v>2</v>
          </cell>
          <cell r="F89">
            <v>18.983599999999999</v>
          </cell>
        </row>
        <row r="90">
          <cell r="A90">
            <v>242</v>
          </cell>
          <cell r="B90">
            <v>15</v>
          </cell>
          <cell r="C90">
            <v>138</v>
          </cell>
          <cell r="D90">
            <v>4.16</v>
          </cell>
          <cell r="E90">
            <v>1</v>
          </cell>
          <cell r="F90">
            <v>8</v>
          </cell>
        </row>
        <row r="91">
          <cell r="A91">
            <v>245</v>
          </cell>
          <cell r="B91">
            <v>2.2000000000000002</v>
          </cell>
          <cell r="C91">
            <v>138</v>
          </cell>
          <cell r="D91">
            <v>25</v>
          </cell>
          <cell r="E91">
            <v>1</v>
          </cell>
          <cell r="F91">
            <v>6.2336</v>
          </cell>
        </row>
        <row r="92">
          <cell r="A92">
            <v>249</v>
          </cell>
          <cell r="B92">
            <v>10</v>
          </cell>
          <cell r="C92">
            <v>69</v>
          </cell>
          <cell r="D92">
            <v>25</v>
          </cell>
          <cell r="E92">
            <v>1</v>
          </cell>
          <cell r="F92">
            <v>5.1680000000000001</v>
          </cell>
        </row>
        <row r="93">
          <cell r="A93">
            <v>250</v>
          </cell>
          <cell r="B93">
            <v>7.5</v>
          </cell>
          <cell r="C93">
            <v>138</v>
          </cell>
          <cell r="D93">
            <v>25</v>
          </cell>
          <cell r="E93">
            <v>1</v>
          </cell>
          <cell r="F93">
            <v>2.6472000000000002</v>
          </cell>
        </row>
        <row r="94">
          <cell r="A94">
            <v>250</v>
          </cell>
          <cell r="B94">
            <v>7.5</v>
          </cell>
          <cell r="C94">
            <v>138</v>
          </cell>
          <cell r="D94">
            <v>25</v>
          </cell>
          <cell r="E94">
            <v>1</v>
          </cell>
          <cell r="F94">
            <v>0</v>
          </cell>
        </row>
        <row r="95">
          <cell r="A95">
            <v>252</v>
          </cell>
          <cell r="B95">
            <v>10</v>
          </cell>
          <cell r="C95">
            <v>138</v>
          </cell>
          <cell r="D95">
            <v>25</v>
          </cell>
          <cell r="E95">
            <v>1</v>
          </cell>
          <cell r="F95">
            <v>4.0179999999999998</v>
          </cell>
        </row>
        <row r="96">
          <cell r="A96">
            <v>254</v>
          </cell>
          <cell r="B96">
            <v>25</v>
          </cell>
          <cell r="C96">
            <v>138</v>
          </cell>
          <cell r="D96">
            <v>25</v>
          </cell>
          <cell r="E96">
            <v>1</v>
          </cell>
          <cell r="F96">
            <v>26.05</v>
          </cell>
        </row>
        <row r="97">
          <cell r="A97">
            <v>255</v>
          </cell>
          <cell r="B97">
            <v>15</v>
          </cell>
          <cell r="C97">
            <v>138</v>
          </cell>
          <cell r="D97">
            <v>25</v>
          </cell>
          <cell r="E97">
            <v>1</v>
          </cell>
          <cell r="F97">
            <v>10.5976</v>
          </cell>
        </row>
        <row r="98">
          <cell r="A98">
            <v>256</v>
          </cell>
          <cell r="B98">
            <v>50</v>
          </cell>
          <cell r="C98">
            <v>138</v>
          </cell>
          <cell r="D98">
            <v>25</v>
          </cell>
          <cell r="E98">
            <v>2</v>
          </cell>
          <cell r="F98">
            <v>22.3812</v>
          </cell>
        </row>
        <row r="99">
          <cell r="A99">
            <v>258</v>
          </cell>
          <cell r="B99">
            <v>75</v>
          </cell>
          <cell r="C99">
            <v>138</v>
          </cell>
          <cell r="D99">
            <v>34.5</v>
          </cell>
          <cell r="E99">
            <v>2</v>
          </cell>
          <cell r="F99">
            <v>41.322800000000001</v>
          </cell>
        </row>
        <row r="100">
          <cell r="A100">
            <v>258</v>
          </cell>
          <cell r="B100">
            <v>75</v>
          </cell>
          <cell r="C100">
            <v>138</v>
          </cell>
          <cell r="D100">
            <v>34.5</v>
          </cell>
          <cell r="E100">
            <v>2</v>
          </cell>
          <cell r="F100" t="str">
            <v/>
          </cell>
        </row>
        <row r="101">
          <cell r="A101">
            <v>262</v>
          </cell>
          <cell r="B101">
            <v>50</v>
          </cell>
          <cell r="C101">
            <v>138</v>
          </cell>
          <cell r="D101">
            <v>25</v>
          </cell>
          <cell r="E101">
            <v>2</v>
          </cell>
          <cell r="F101">
            <v>36.583200000000005</v>
          </cell>
        </row>
        <row r="102">
          <cell r="A102">
            <v>263</v>
          </cell>
          <cell r="B102">
            <v>15</v>
          </cell>
          <cell r="C102">
            <v>138</v>
          </cell>
          <cell r="D102">
            <v>25</v>
          </cell>
          <cell r="E102">
            <v>1</v>
          </cell>
          <cell r="F102">
            <v>17.810400000000001</v>
          </cell>
        </row>
        <row r="103">
          <cell r="A103">
            <v>267</v>
          </cell>
          <cell r="B103">
            <v>25</v>
          </cell>
          <cell r="C103">
            <v>138</v>
          </cell>
          <cell r="D103">
            <v>25</v>
          </cell>
          <cell r="E103">
            <v>1</v>
          </cell>
          <cell r="F103">
            <v>27.239600000000003</v>
          </cell>
        </row>
        <row r="104">
          <cell r="A104">
            <v>268</v>
          </cell>
          <cell r="B104">
            <v>15</v>
          </cell>
          <cell r="C104">
            <v>138</v>
          </cell>
          <cell r="D104">
            <v>25</v>
          </cell>
          <cell r="E104">
            <v>1</v>
          </cell>
          <cell r="F104">
            <v>11.180800000000001</v>
          </cell>
        </row>
        <row r="105">
          <cell r="A105">
            <v>271</v>
          </cell>
          <cell r="B105">
            <v>30</v>
          </cell>
          <cell r="C105">
            <v>138</v>
          </cell>
          <cell r="D105">
            <v>4.16</v>
          </cell>
          <cell r="E105">
            <v>2</v>
          </cell>
          <cell r="F105">
            <v>12.712</v>
          </cell>
        </row>
        <row r="106">
          <cell r="A106">
            <v>272</v>
          </cell>
          <cell r="B106">
            <v>15</v>
          </cell>
          <cell r="C106">
            <v>138</v>
          </cell>
          <cell r="D106">
            <v>25</v>
          </cell>
          <cell r="E106">
            <v>1</v>
          </cell>
          <cell r="F106">
            <v>9.5460000000000012</v>
          </cell>
        </row>
        <row r="107">
          <cell r="A107">
            <v>275</v>
          </cell>
          <cell r="B107">
            <v>50</v>
          </cell>
          <cell r="C107">
            <v>240</v>
          </cell>
          <cell r="D107">
            <v>25</v>
          </cell>
          <cell r="E107">
            <v>2</v>
          </cell>
          <cell r="F107">
            <v>72.981999999999999</v>
          </cell>
        </row>
        <row r="108">
          <cell r="A108">
            <v>276</v>
          </cell>
          <cell r="B108">
            <v>97.5</v>
          </cell>
          <cell r="C108">
            <v>138</v>
          </cell>
          <cell r="D108">
            <v>13.8</v>
          </cell>
          <cell r="E108">
            <v>3</v>
          </cell>
          <cell r="F108">
            <v>108.56480000000001</v>
          </cell>
        </row>
        <row r="109">
          <cell r="A109">
            <v>277</v>
          </cell>
          <cell r="B109">
            <v>25</v>
          </cell>
          <cell r="C109">
            <v>138</v>
          </cell>
          <cell r="D109">
            <v>25</v>
          </cell>
          <cell r="E109">
            <v>1</v>
          </cell>
          <cell r="F109">
            <v>33.553200000000004</v>
          </cell>
        </row>
        <row r="110">
          <cell r="A110">
            <v>283</v>
          </cell>
          <cell r="B110">
            <v>50</v>
          </cell>
          <cell r="C110">
            <v>138</v>
          </cell>
          <cell r="D110">
            <v>25</v>
          </cell>
          <cell r="E110">
            <v>2</v>
          </cell>
          <cell r="F110">
            <v>37.315200000000004</v>
          </cell>
        </row>
        <row r="111">
          <cell r="A111">
            <v>284</v>
          </cell>
          <cell r="B111">
            <v>15</v>
          </cell>
          <cell r="C111">
            <v>138</v>
          </cell>
          <cell r="D111">
            <v>4.16</v>
          </cell>
          <cell r="E111">
            <v>1</v>
          </cell>
          <cell r="F111">
            <v>9.1552000000000007</v>
          </cell>
        </row>
        <row r="112">
          <cell r="A112">
            <v>285</v>
          </cell>
          <cell r="B112">
            <v>40</v>
          </cell>
          <cell r="C112">
            <v>138</v>
          </cell>
          <cell r="D112">
            <v>25</v>
          </cell>
          <cell r="E112">
            <v>2</v>
          </cell>
          <cell r="F112">
            <v>31.408000000000001</v>
          </cell>
        </row>
        <row r="113">
          <cell r="A113">
            <v>291</v>
          </cell>
          <cell r="B113">
            <v>15</v>
          </cell>
          <cell r="C113">
            <v>138</v>
          </cell>
          <cell r="D113">
            <v>25</v>
          </cell>
          <cell r="E113">
            <v>1</v>
          </cell>
          <cell r="F113">
            <v>21.204800000000002</v>
          </cell>
        </row>
        <row r="114">
          <cell r="A114">
            <v>292</v>
          </cell>
          <cell r="B114">
            <v>10</v>
          </cell>
          <cell r="C114">
            <v>138</v>
          </cell>
          <cell r="D114">
            <v>25</v>
          </cell>
          <cell r="E114">
            <v>1</v>
          </cell>
          <cell r="F114">
            <v>3.9980000000000002</v>
          </cell>
        </row>
        <row r="115">
          <cell r="A115">
            <v>294</v>
          </cell>
          <cell r="B115">
            <v>2.5</v>
          </cell>
          <cell r="C115">
            <v>138</v>
          </cell>
          <cell r="D115">
            <v>25</v>
          </cell>
          <cell r="E115">
            <v>1</v>
          </cell>
          <cell r="F115">
            <v>11.3492</v>
          </cell>
        </row>
        <row r="116">
          <cell r="A116">
            <v>296</v>
          </cell>
          <cell r="B116">
            <v>40</v>
          </cell>
          <cell r="C116">
            <v>138</v>
          </cell>
          <cell r="D116">
            <v>4.16</v>
          </cell>
          <cell r="E116">
            <v>2</v>
          </cell>
          <cell r="F116">
            <v>19.2364</v>
          </cell>
        </row>
        <row r="117">
          <cell r="A117">
            <v>297</v>
          </cell>
          <cell r="B117">
            <v>15</v>
          </cell>
          <cell r="C117">
            <v>138</v>
          </cell>
          <cell r="D117">
            <v>25</v>
          </cell>
          <cell r="E117">
            <v>1</v>
          </cell>
          <cell r="F117">
            <v>19.172800000000002</v>
          </cell>
        </row>
        <row r="118">
          <cell r="A118">
            <v>299</v>
          </cell>
          <cell r="B118">
            <v>15</v>
          </cell>
          <cell r="C118">
            <v>138</v>
          </cell>
          <cell r="D118">
            <v>4.16</v>
          </cell>
          <cell r="E118">
            <v>1</v>
          </cell>
          <cell r="F118">
            <v>12.554400000000001</v>
          </cell>
        </row>
        <row r="119">
          <cell r="A119">
            <v>304</v>
          </cell>
          <cell r="B119">
            <v>15</v>
          </cell>
          <cell r="C119">
            <v>138</v>
          </cell>
          <cell r="D119">
            <v>25</v>
          </cell>
          <cell r="E119">
            <v>1</v>
          </cell>
          <cell r="F119">
            <v>5.726</v>
          </cell>
        </row>
        <row r="120">
          <cell r="A120">
            <v>304</v>
          </cell>
          <cell r="B120">
            <v>20</v>
          </cell>
          <cell r="C120">
            <v>138</v>
          </cell>
          <cell r="D120">
            <v>13.8</v>
          </cell>
          <cell r="E120">
            <v>1</v>
          </cell>
          <cell r="F120">
            <v>15.246400000000001</v>
          </cell>
        </row>
        <row r="121">
          <cell r="A121">
            <v>305</v>
          </cell>
          <cell r="B121">
            <v>25</v>
          </cell>
          <cell r="C121">
            <v>138</v>
          </cell>
          <cell r="D121">
            <v>25</v>
          </cell>
          <cell r="E121">
            <v>1</v>
          </cell>
          <cell r="F121">
            <v>26.008800000000001</v>
          </cell>
        </row>
        <row r="122">
          <cell r="A122">
            <v>308</v>
          </cell>
          <cell r="B122">
            <v>60</v>
          </cell>
          <cell r="C122">
            <v>138</v>
          </cell>
          <cell r="D122">
            <v>13.8</v>
          </cell>
          <cell r="E122">
            <v>2</v>
          </cell>
          <cell r="F122">
            <v>72.366</v>
          </cell>
        </row>
        <row r="123">
          <cell r="A123">
            <v>316</v>
          </cell>
          <cell r="B123">
            <v>15</v>
          </cell>
          <cell r="C123">
            <v>138</v>
          </cell>
          <cell r="D123">
            <v>25</v>
          </cell>
          <cell r="E123">
            <v>1</v>
          </cell>
          <cell r="F123">
            <v>13.404</v>
          </cell>
        </row>
        <row r="124">
          <cell r="A124">
            <v>317</v>
          </cell>
          <cell r="B124">
            <v>9</v>
          </cell>
          <cell r="C124">
            <v>138</v>
          </cell>
          <cell r="D124">
            <v>4.16</v>
          </cell>
          <cell r="E124">
            <v>1</v>
          </cell>
          <cell r="F124">
            <v>7.5880000000000001</v>
          </cell>
        </row>
        <row r="125">
          <cell r="A125">
            <v>320</v>
          </cell>
          <cell r="B125">
            <v>6</v>
          </cell>
          <cell r="C125">
            <v>69</v>
          </cell>
          <cell r="D125">
            <v>25</v>
          </cell>
          <cell r="E125">
            <v>1</v>
          </cell>
          <cell r="F125">
            <v>2.9812000000000003</v>
          </cell>
        </row>
        <row r="126">
          <cell r="A126">
            <v>320</v>
          </cell>
          <cell r="B126">
            <v>2.5</v>
          </cell>
          <cell r="C126">
            <v>138</v>
          </cell>
          <cell r="D126">
            <v>25</v>
          </cell>
          <cell r="E126">
            <v>1</v>
          </cell>
          <cell r="F126">
            <v>2.9812000000000003</v>
          </cell>
        </row>
        <row r="127">
          <cell r="A127">
            <v>329</v>
          </cell>
          <cell r="B127">
            <v>10</v>
          </cell>
          <cell r="C127">
            <v>138</v>
          </cell>
          <cell r="D127">
            <v>4.16</v>
          </cell>
          <cell r="E127">
            <v>1</v>
          </cell>
          <cell r="F127">
            <v>7.1036000000000001</v>
          </cell>
        </row>
        <row r="128">
          <cell r="A128">
            <v>331</v>
          </cell>
          <cell r="B128">
            <v>30</v>
          </cell>
          <cell r="C128">
            <v>138</v>
          </cell>
          <cell r="D128">
            <v>25</v>
          </cell>
          <cell r="E128">
            <v>2</v>
          </cell>
          <cell r="F128">
            <v>21.9316</v>
          </cell>
        </row>
        <row r="129">
          <cell r="A129">
            <v>332</v>
          </cell>
          <cell r="B129">
            <v>60</v>
          </cell>
          <cell r="C129">
            <v>138</v>
          </cell>
          <cell r="D129">
            <v>13.8</v>
          </cell>
          <cell r="E129">
            <v>2</v>
          </cell>
          <cell r="F129">
            <v>60</v>
          </cell>
        </row>
        <row r="130">
          <cell r="A130">
            <v>336</v>
          </cell>
          <cell r="B130">
            <v>15</v>
          </cell>
          <cell r="C130">
            <v>138</v>
          </cell>
          <cell r="D130">
            <v>25</v>
          </cell>
          <cell r="E130">
            <v>1</v>
          </cell>
          <cell r="F130">
            <v>15.23</v>
          </cell>
        </row>
        <row r="131">
          <cell r="A131">
            <v>337</v>
          </cell>
          <cell r="B131">
            <v>10</v>
          </cell>
          <cell r="C131">
            <v>138</v>
          </cell>
          <cell r="D131">
            <v>4.16</v>
          </cell>
          <cell r="E131">
            <v>1</v>
          </cell>
          <cell r="F131">
            <v>8.3352000000000004</v>
          </cell>
        </row>
        <row r="132">
          <cell r="A132">
            <v>339</v>
          </cell>
          <cell r="B132">
            <v>15</v>
          </cell>
          <cell r="C132">
            <v>138</v>
          </cell>
          <cell r="D132">
            <v>25</v>
          </cell>
          <cell r="E132">
            <v>1</v>
          </cell>
          <cell r="F132">
            <v>16.14</v>
          </cell>
        </row>
        <row r="133">
          <cell r="A133">
            <v>341</v>
          </cell>
          <cell r="B133">
            <v>50</v>
          </cell>
          <cell r="C133">
            <v>138</v>
          </cell>
          <cell r="D133">
            <v>13.8</v>
          </cell>
          <cell r="E133">
            <v>1</v>
          </cell>
          <cell r="F133">
            <v>47.1404</v>
          </cell>
        </row>
        <row r="134">
          <cell r="A134">
            <v>344</v>
          </cell>
          <cell r="B134">
            <v>7</v>
          </cell>
          <cell r="C134">
            <v>69</v>
          </cell>
          <cell r="D134">
            <v>25</v>
          </cell>
          <cell r="E134">
            <v>2</v>
          </cell>
          <cell r="F134">
            <v>5.8568000000000007</v>
          </cell>
        </row>
        <row r="135">
          <cell r="A135">
            <v>346</v>
          </cell>
          <cell r="B135">
            <v>9</v>
          </cell>
          <cell r="C135">
            <v>138</v>
          </cell>
          <cell r="D135">
            <v>4.16</v>
          </cell>
          <cell r="E135">
            <v>1</v>
          </cell>
          <cell r="F135">
            <v>5.3848000000000003</v>
          </cell>
        </row>
        <row r="136">
          <cell r="A136">
            <v>349</v>
          </cell>
          <cell r="B136">
            <v>4</v>
          </cell>
          <cell r="C136">
            <v>138</v>
          </cell>
          <cell r="D136">
            <v>25</v>
          </cell>
          <cell r="E136">
            <v>1</v>
          </cell>
          <cell r="F136">
            <v>12.967600000000001</v>
          </cell>
        </row>
        <row r="137">
          <cell r="A137">
            <v>352</v>
          </cell>
          <cell r="B137">
            <v>8</v>
          </cell>
          <cell r="C137">
            <v>69</v>
          </cell>
          <cell r="D137">
            <v>25</v>
          </cell>
          <cell r="E137">
            <v>2</v>
          </cell>
          <cell r="F137">
            <v>10.95</v>
          </cell>
        </row>
        <row r="138">
          <cell r="A138">
            <v>353</v>
          </cell>
          <cell r="B138">
            <v>15</v>
          </cell>
          <cell r="C138">
            <v>138</v>
          </cell>
          <cell r="D138">
            <v>25</v>
          </cell>
          <cell r="E138">
            <v>1</v>
          </cell>
          <cell r="F138">
            <v>11.535600000000001</v>
          </cell>
        </row>
        <row r="139">
          <cell r="A139">
            <v>355</v>
          </cell>
          <cell r="B139">
            <v>30</v>
          </cell>
          <cell r="C139">
            <v>138</v>
          </cell>
          <cell r="D139">
            <v>4.16</v>
          </cell>
          <cell r="E139">
            <v>2</v>
          </cell>
          <cell r="F139">
            <v>17.304000000000002</v>
          </cell>
        </row>
        <row r="140">
          <cell r="A140">
            <v>358</v>
          </cell>
          <cell r="B140">
            <v>15</v>
          </cell>
          <cell r="C140">
            <v>138</v>
          </cell>
          <cell r="D140">
            <v>25</v>
          </cell>
          <cell r="E140">
            <v>1</v>
          </cell>
          <cell r="F140">
            <v>16.564</v>
          </cell>
        </row>
        <row r="141">
          <cell r="A141">
            <v>359</v>
          </cell>
          <cell r="B141">
            <v>10.6</v>
          </cell>
          <cell r="C141">
            <v>138</v>
          </cell>
          <cell r="D141">
            <v>25</v>
          </cell>
          <cell r="E141">
            <v>2</v>
          </cell>
          <cell r="F141">
            <v>15.744000000000002</v>
          </cell>
        </row>
        <row r="142">
          <cell r="A142">
            <v>364</v>
          </cell>
          <cell r="B142">
            <v>15</v>
          </cell>
          <cell r="C142">
            <v>138</v>
          </cell>
          <cell r="D142">
            <v>25</v>
          </cell>
          <cell r="E142">
            <v>1</v>
          </cell>
          <cell r="F142">
            <v>16.504799999999999</v>
          </cell>
        </row>
        <row r="143">
          <cell r="A143">
            <v>365</v>
          </cell>
          <cell r="B143">
            <v>50</v>
          </cell>
          <cell r="C143">
            <v>138</v>
          </cell>
          <cell r="D143">
            <v>13.8</v>
          </cell>
          <cell r="E143">
            <v>1</v>
          </cell>
          <cell r="F143">
            <v>60.43</v>
          </cell>
        </row>
        <row r="144">
          <cell r="A144">
            <v>368</v>
          </cell>
          <cell r="B144">
            <v>25</v>
          </cell>
          <cell r="C144">
            <v>1</v>
          </cell>
          <cell r="D144">
            <v>25</v>
          </cell>
          <cell r="E144">
            <v>1</v>
          </cell>
          <cell r="F144">
            <v>21.79</v>
          </cell>
        </row>
        <row r="145">
          <cell r="A145">
            <v>370</v>
          </cell>
          <cell r="B145">
            <v>40</v>
          </cell>
          <cell r="C145">
            <v>138</v>
          </cell>
          <cell r="D145">
            <v>25</v>
          </cell>
          <cell r="E145">
            <v>2</v>
          </cell>
          <cell r="F145">
            <v>18.0716</v>
          </cell>
        </row>
        <row r="146">
          <cell r="A146">
            <v>373</v>
          </cell>
          <cell r="B146">
            <v>15</v>
          </cell>
          <cell r="C146">
            <v>138</v>
          </cell>
          <cell r="D146">
            <v>25</v>
          </cell>
          <cell r="E146">
            <v>1</v>
          </cell>
          <cell r="F146">
            <v>15.051200000000001</v>
          </cell>
        </row>
        <row r="147">
          <cell r="A147">
            <v>377</v>
          </cell>
          <cell r="B147">
            <v>25</v>
          </cell>
          <cell r="C147">
            <v>138</v>
          </cell>
          <cell r="D147">
            <v>25</v>
          </cell>
          <cell r="E147">
            <v>1</v>
          </cell>
          <cell r="F147">
            <v>18.172800000000002</v>
          </cell>
        </row>
        <row r="148">
          <cell r="A148">
            <v>378</v>
          </cell>
          <cell r="B148">
            <v>50</v>
          </cell>
          <cell r="C148">
            <v>138</v>
          </cell>
          <cell r="D148">
            <v>25</v>
          </cell>
          <cell r="E148">
            <v>2</v>
          </cell>
          <cell r="F148">
            <v>37.924800000000005</v>
          </cell>
        </row>
        <row r="149">
          <cell r="A149">
            <v>379</v>
          </cell>
          <cell r="B149">
            <v>22.5</v>
          </cell>
          <cell r="C149">
            <v>69</v>
          </cell>
          <cell r="D149">
            <v>4.16</v>
          </cell>
          <cell r="E149">
            <v>2</v>
          </cell>
          <cell r="F149">
            <v>15.99</v>
          </cell>
        </row>
        <row r="150">
          <cell r="A150">
            <v>384</v>
          </cell>
          <cell r="B150">
            <v>15</v>
          </cell>
          <cell r="C150">
            <v>138</v>
          </cell>
          <cell r="D150">
            <v>25</v>
          </cell>
          <cell r="E150">
            <v>1</v>
          </cell>
          <cell r="F150">
            <v>18.614800000000002</v>
          </cell>
        </row>
        <row r="151">
          <cell r="A151">
            <v>385</v>
          </cell>
          <cell r="B151">
            <v>12</v>
          </cell>
          <cell r="C151">
            <v>69</v>
          </cell>
          <cell r="D151">
            <v>25</v>
          </cell>
          <cell r="E151">
            <v>2</v>
          </cell>
          <cell r="F151">
            <v>8.782</v>
          </cell>
        </row>
        <row r="152">
          <cell r="A152">
            <v>387</v>
          </cell>
          <cell r="B152">
            <v>7.5</v>
          </cell>
          <cell r="C152">
            <v>138</v>
          </cell>
          <cell r="D152">
            <v>25</v>
          </cell>
          <cell r="E152">
            <v>1</v>
          </cell>
          <cell r="F152">
            <v>9.9112000000000009</v>
          </cell>
        </row>
        <row r="153">
          <cell r="A153">
            <v>388</v>
          </cell>
          <cell r="B153">
            <v>15</v>
          </cell>
          <cell r="C153">
            <v>138</v>
          </cell>
          <cell r="D153">
            <v>4.16</v>
          </cell>
          <cell r="E153">
            <v>1</v>
          </cell>
          <cell r="F153">
            <v>18.064</v>
          </cell>
        </row>
        <row r="154">
          <cell r="A154">
            <v>391</v>
          </cell>
          <cell r="B154">
            <v>15</v>
          </cell>
          <cell r="C154">
            <v>138</v>
          </cell>
          <cell r="D154">
            <v>25</v>
          </cell>
          <cell r="E154">
            <v>1</v>
          </cell>
          <cell r="F154">
            <v>9.4096000000000011</v>
          </cell>
        </row>
        <row r="155">
          <cell r="A155">
            <v>392</v>
          </cell>
          <cell r="B155">
            <v>15</v>
          </cell>
          <cell r="C155">
            <v>69</v>
          </cell>
          <cell r="D155">
            <v>25</v>
          </cell>
          <cell r="E155">
            <v>1</v>
          </cell>
          <cell r="F155">
            <v>20.369600000000002</v>
          </cell>
        </row>
        <row r="156">
          <cell r="A156">
            <v>392</v>
          </cell>
          <cell r="B156">
            <v>15</v>
          </cell>
          <cell r="C156">
            <v>138</v>
          </cell>
          <cell r="D156">
            <v>25</v>
          </cell>
          <cell r="E156">
            <v>1</v>
          </cell>
          <cell r="F156">
            <v>20.369600000000002</v>
          </cell>
        </row>
        <row r="157">
          <cell r="A157">
            <v>394</v>
          </cell>
          <cell r="B157">
            <v>22.5</v>
          </cell>
          <cell r="C157">
            <v>138</v>
          </cell>
          <cell r="D157">
            <v>25</v>
          </cell>
          <cell r="E157">
            <v>2</v>
          </cell>
          <cell r="F157">
            <v>51.845600000000005</v>
          </cell>
        </row>
        <row r="158">
          <cell r="A158">
            <v>395</v>
          </cell>
          <cell r="B158">
            <v>15</v>
          </cell>
          <cell r="C158">
            <v>138</v>
          </cell>
          <cell r="D158">
            <v>25</v>
          </cell>
          <cell r="E158">
            <v>1</v>
          </cell>
          <cell r="F158">
            <v>8.1631999999999998</v>
          </cell>
        </row>
        <row r="159">
          <cell r="A159">
            <v>397</v>
          </cell>
          <cell r="B159">
            <v>40</v>
          </cell>
          <cell r="C159">
            <v>138</v>
          </cell>
          <cell r="D159">
            <v>25</v>
          </cell>
          <cell r="E159">
            <v>2</v>
          </cell>
          <cell r="F159">
            <v>20.895200000000003</v>
          </cell>
        </row>
        <row r="160">
          <cell r="A160">
            <v>406</v>
          </cell>
          <cell r="B160">
            <v>2.5</v>
          </cell>
          <cell r="C160">
            <v>138</v>
          </cell>
          <cell r="D160">
            <v>25</v>
          </cell>
          <cell r="E160">
            <v>1</v>
          </cell>
          <cell r="F160">
            <v>7.3788</v>
          </cell>
        </row>
        <row r="161">
          <cell r="A161">
            <v>408</v>
          </cell>
          <cell r="B161">
            <v>160</v>
          </cell>
          <cell r="C161">
            <v>138</v>
          </cell>
          <cell r="D161">
            <v>13.8</v>
          </cell>
          <cell r="E161">
            <v>2</v>
          </cell>
          <cell r="F161">
            <v>10.633600000000001</v>
          </cell>
        </row>
        <row r="162">
          <cell r="A162">
            <v>408</v>
          </cell>
          <cell r="B162">
            <v>160</v>
          </cell>
          <cell r="C162">
            <v>138</v>
          </cell>
          <cell r="D162">
            <v>13.8</v>
          </cell>
          <cell r="E162">
            <v>2</v>
          </cell>
          <cell r="F162">
            <v>116.1688</v>
          </cell>
        </row>
        <row r="163">
          <cell r="A163">
            <v>409</v>
          </cell>
          <cell r="B163">
            <v>100</v>
          </cell>
          <cell r="C163">
            <v>138</v>
          </cell>
          <cell r="D163">
            <v>25</v>
          </cell>
          <cell r="E163">
            <v>2</v>
          </cell>
          <cell r="F163">
            <v>116.1688</v>
          </cell>
        </row>
        <row r="164">
          <cell r="A164">
            <v>411</v>
          </cell>
          <cell r="B164">
            <v>25</v>
          </cell>
          <cell r="C164">
            <v>138</v>
          </cell>
          <cell r="D164">
            <v>25</v>
          </cell>
          <cell r="E164">
            <v>1</v>
          </cell>
          <cell r="F164">
            <v>7.1524000000000001</v>
          </cell>
        </row>
        <row r="165">
          <cell r="A165">
            <v>412</v>
          </cell>
          <cell r="B165">
            <v>15</v>
          </cell>
          <cell r="C165">
            <v>138</v>
          </cell>
          <cell r="D165">
            <v>4.16</v>
          </cell>
          <cell r="E165">
            <v>1</v>
          </cell>
          <cell r="F165">
            <v>12.338000000000001</v>
          </cell>
        </row>
        <row r="166">
          <cell r="A166">
            <v>414</v>
          </cell>
          <cell r="B166">
            <v>7.5</v>
          </cell>
          <cell r="C166">
            <v>138</v>
          </cell>
          <cell r="D166">
            <v>4.16</v>
          </cell>
          <cell r="E166">
            <v>1</v>
          </cell>
          <cell r="F166">
            <v>4.194</v>
          </cell>
        </row>
        <row r="167">
          <cell r="A167">
            <v>421</v>
          </cell>
          <cell r="B167">
            <v>40</v>
          </cell>
          <cell r="C167">
            <v>138</v>
          </cell>
          <cell r="D167">
            <v>25</v>
          </cell>
          <cell r="E167">
            <v>2</v>
          </cell>
          <cell r="F167">
            <v>29.723200000000002</v>
          </cell>
        </row>
        <row r="168">
          <cell r="A168">
            <v>428</v>
          </cell>
          <cell r="B168">
            <v>15</v>
          </cell>
          <cell r="C168">
            <v>138</v>
          </cell>
          <cell r="D168">
            <v>25</v>
          </cell>
          <cell r="E168">
            <v>1</v>
          </cell>
          <cell r="F168">
            <v>10.0868</v>
          </cell>
        </row>
        <row r="169">
          <cell r="A169">
            <v>429</v>
          </cell>
          <cell r="B169">
            <v>15</v>
          </cell>
          <cell r="C169">
            <v>138</v>
          </cell>
          <cell r="D169">
            <v>25</v>
          </cell>
          <cell r="E169">
            <v>1</v>
          </cell>
          <cell r="F169">
            <v>7.7852000000000006</v>
          </cell>
        </row>
        <row r="170">
          <cell r="A170">
            <v>434</v>
          </cell>
          <cell r="B170">
            <v>50</v>
          </cell>
          <cell r="C170">
            <v>138</v>
          </cell>
          <cell r="D170">
            <v>25</v>
          </cell>
          <cell r="E170">
            <v>2</v>
          </cell>
          <cell r="F170">
            <v>48.776400000000002</v>
          </cell>
        </row>
        <row r="171">
          <cell r="A171">
            <v>437</v>
          </cell>
          <cell r="B171">
            <v>20</v>
          </cell>
          <cell r="C171">
            <v>138</v>
          </cell>
          <cell r="D171">
            <v>13.8</v>
          </cell>
          <cell r="E171">
            <v>2</v>
          </cell>
          <cell r="F171">
            <v>7.8344000000000005</v>
          </cell>
        </row>
        <row r="172">
          <cell r="A172">
            <v>438</v>
          </cell>
          <cell r="B172">
            <v>15</v>
          </cell>
          <cell r="C172">
            <v>138</v>
          </cell>
          <cell r="D172">
            <v>25</v>
          </cell>
          <cell r="E172">
            <v>1</v>
          </cell>
          <cell r="F172">
            <v>14.912000000000001</v>
          </cell>
        </row>
        <row r="173">
          <cell r="A173">
            <v>442</v>
          </cell>
          <cell r="B173">
            <v>5</v>
          </cell>
          <cell r="C173">
            <v>69</v>
          </cell>
          <cell r="D173">
            <v>4.16</v>
          </cell>
          <cell r="E173">
            <v>1</v>
          </cell>
          <cell r="F173">
            <v>1.6848000000000001</v>
          </cell>
        </row>
        <row r="174">
          <cell r="A174">
            <v>443</v>
          </cell>
          <cell r="B174">
            <v>20</v>
          </cell>
          <cell r="C174">
            <v>138</v>
          </cell>
          <cell r="D174">
            <v>25</v>
          </cell>
          <cell r="E174">
            <v>1</v>
          </cell>
          <cell r="F174">
            <v>15.091200000000001</v>
          </cell>
        </row>
        <row r="175">
          <cell r="A175">
            <v>445</v>
          </cell>
          <cell r="B175">
            <v>10</v>
          </cell>
          <cell r="C175">
            <v>138</v>
          </cell>
          <cell r="D175">
            <v>4.16</v>
          </cell>
          <cell r="E175">
            <v>1</v>
          </cell>
          <cell r="F175">
            <v>14.92</v>
          </cell>
        </row>
        <row r="176">
          <cell r="A176">
            <v>445</v>
          </cell>
          <cell r="B176">
            <v>10</v>
          </cell>
          <cell r="C176">
            <v>138</v>
          </cell>
          <cell r="D176">
            <v>4.16</v>
          </cell>
          <cell r="E176">
            <v>1</v>
          </cell>
          <cell r="F176">
            <v>3.5576000000000003</v>
          </cell>
        </row>
        <row r="177">
          <cell r="A177">
            <v>447</v>
          </cell>
          <cell r="B177">
            <v>25</v>
          </cell>
          <cell r="C177">
            <v>138</v>
          </cell>
          <cell r="D177">
            <v>25</v>
          </cell>
          <cell r="E177">
            <v>1</v>
          </cell>
          <cell r="F177">
            <v>20.95</v>
          </cell>
        </row>
        <row r="178">
          <cell r="A178">
            <v>449</v>
          </cell>
          <cell r="B178">
            <v>10.4</v>
          </cell>
          <cell r="C178">
            <v>138</v>
          </cell>
          <cell r="D178">
            <v>25</v>
          </cell>
          <cell r="E178">
            <v>2</v>
          </cell>
          <cell r="F178">
            <v>25.41</v>
          </cell>
        </row>
        <row r="179">
          <cell r="A179">
            <v>452</v>
          </cell>
          <cell r="B179">
            <v>7.5</v>
          </cell>
          <cell r="C179">
            <v>138</v>
          </cell>
          <cell r="D179">
            <v>13.8</v>
          </cell>
          <cell r="E179">
            <v>1</v>
          </cell>
          <cell r="F179">
            <v>6.3268000000000004</v>
          </cell>
        </row>
        <row r="180">
          <cell r="A180">
            <v>454</v>
          </cell>
          <cell r="B180">
            <v>15</v>
          </cell>
          <cell r="C180">
            <v>138</v>
          </cell>
          <cell r="D180">
            <v>25</v>
          </cell>
          <cell r="E180">
            <v>1</v>
          </cell>
          <cell r="F180">
            <v>5.9119999999999999</v>
          </cell>
        </row>
        <row r="181">
          <cell r="A181">
            <v>476</v>
          </cell>
          <cell r="B181">
            <v>15</v>
          </cell>
          <cell r="C181">
            <v>138</v>
          </cell>
          <cell r="D181">
            <v>25</v>
          </cell>
          <cell r="E181">
            <v>1</v>
          </cell>
          <cell r="F181">
            <v>8.85</v>
          </cell>
        </row>
        <row r="182">
          <cell r="A182">
            <v>477</v>
          </cell>
          <cell r="B182">
            <v>7.5</v>
          </cell>
          <cell r="C182">
            <v>138</v>
          </cell>
          <cell r="D182">
            <v>4.16</v>
          </cell>
          <cell r="E182">
            <v>1</v>
          </cell>
          <cell r="F182">
            <v>7.3360000000000003</v>
          </cell>
        </row>
        <row r="183">
          <cell r="A183">
            <v>482</v>
          </cell>
          <cell r="B183">
            <v>20</v>
          </cell>
          <cell r="C183">
            <v>138</v>
          </cell>
          <cell r="D183">
            <v>4.16</v>
          </cell>
          <cell r="E183">
            <v>1</v>
          </cell>
          <cell r="F183">
            <v>7.9528000000000008</v>
          </cell>
        </row>
        <row r="184">
          <cell r="A184">
            <v>484</v>
          </cell>
          <cell r="B184">
            <v>112.5</v>
          </cell>
          <cell r="C184">
            <v>138</v>
          </cell>
          <cell r="D184">
            <v>13.8</v>
          </cell>
          <cell r="E184">
            <v>3</v>
          </cell>
          <cell r="F184">
            <v>115.68360000000001</v>
          </cell>
        </row>
        <row r="185">
          <cell r="A185">
            <v>489</v>
          </cell>
          <cell r="B185">
            <v>30</v>
          </cell>
          <cell r="C185">
            <v>138</v>
          </cell>
          <cell r="D185">
            <v>4.16</v>
          </cell>
          <cell r="E185">
            <v>2</v>
          </cell>
          <cell r="F185">
            <v>13.293200000000001</v>
          </cell>
        </row>
        <row r="186">
          <cell r="A186">
            <v>492</v>
          </cell>
          <cell r="B186">
            <v>25</v>
          </cell>
          <cell r="C186">
            <v>138</v>
          </cell>
          <cell r="D186">
            <v>25</v>
          </cell>
          <cell r="E186">
            <v>1</v>
          </cell>
          <cell r="F186">
            <v>10.44</v>
          </cell>
        </row>
        <row r="187">
          <cell r="A187">
            <v>498</v>
          </cell>
          <cell r="B187">
            <v>15</v>
          </cell>
          <cell r="C187">
            <v>138</v>
          </cell>
          <cell r="D187">
            <v>25</v>
          </cell>
          <cell r="E187">
            <v>1</v>
          </cell>
          <cell r="F187">
            <v>18.932000000000002</v>
          </cell>
        </row>
        <row r="188">
          <cell r="A188">
            <v>500</v>
          </cell>
          <cell r="B188">
            <v>10</v>
          </cell>
          <cell r="C188">
            <v>138</v>
          </cell>
          <cell r="D188">
            <v>25</v>
          </cell>
          <cell r="E188">
            <v>1</v>
          </cell>
          <cell r="F188">
            <v>4.8588000000000005</v>
          </cell>
        </row>
        <row r="189">
          <cell r="A189">
            <v>500</v>
          </cell>
          <cell r="B189">
            <v>10</v>
          </cell>
          <cell r="C189">
            <v>138</v>
          </cell>
          <cell r="D189">
            <v>25</v>
          </cell>
          <cell r="E189">
            <v>1</v>
          </cell>
          <cell r="F189">
            <v>1.4060000000000001</v>
          </cell>
        </row>
        <row r="190">
          <cell r="A190">
            <v>502</v>
          </cell>
          <cell r="B190">
            <v>20</v>
          </cell>
          <cell r="C190">
            <v>69</v>
          </cell>
          <cell r="D190">
            <v>25</v>
          </cell>
          <cell r="E190">
            <v>1</v>
          </cell>
          <cell r="F190">
            <v>14.301200000000001</v>
          </cell>
        </row>
        <row r="191">
          <cell r="A191">
            <v>502</v>
          </cell>
          <cell r="B191">
            <v>15</v>
          </cell>
          <cell r="C191">
            <v>69</v>
          </cell>
          <cell r="D191">
            <v>4.16</v>
          </cell>
          <cell r="E191">
            <v>1</v>
          </cell>
          <cell r="F191">
            <v>5.36</v>
          </cell>
        </row>
        <row r="192">
          <cell r="A192">
            <v>512</v>
          </cell>
          <cell r="B192">
            <v>7.5</v>
          </cell>
          <cell r="C192">
            <v>138</v>
          </cell>
          <cell r="D192">
            <v>4.16</v>
          </cell>
          <cell r="E192">
            <v>1</v>
          </cell>
          <cell r="F192">
            <v>3.6364000000000001</v>
          </cell>
        </row>
        <row r="193">
          <cell r="A193">
            <v>513</v>
          </cell>
          <cell r="B193">
            <v>3</v>
          </cell>
          <cell r="C193">
            <v>69</v>
          </cell>
          <cell r="D193">
            <v>4.16</v>
          </cell>
          <cell r="E193">
            <v>1</v>
          </cell>
          <cell r="F193">
            <v>1.3432000000000002</v>
          </cell>
        </row>
        <row r="194">
          <cell r="A194">
            <v>515</v>
          </cell>
          <cell r="B194">
            <v>7.5</v>
          </cell>
          <cell r="C194">
            <v>69</v>
          </cell>
          <cell r="D194">
            <v>2.4</v>
          </cell>
          <cell r="E194">
            <v>1</v>
          </cell>
          <cell r="F194">
            <v>4.2640000000000002</v>
          </cell>
        </row>
        <row r="195">
          <cell r="A195">
            <v>522</v>
          </cell>
          <cell r="B195">
            <v>15</v>
          </cell>
          <cell r="C195">
            <v>138</v>
          </cell>
          <cell r="D195">
            <v>25</v>
          </cell>
          <cell r="E195">
            <v>1</v>
          </cell>
          <cell r="F195">
            <v>13.82</v>
          </cell>
        </row>
        <row r="196">
          <cell r="A196">
            <v>523</v>
          </cell>
          <cell r="B196">
            <v>15</v>
          </cell>
          <cell r="C196">
            <v>138</v>
          </cell>
          <cell r="D196">
            <v>25</v>
          </cell>
          <cell r="E196">
            <v>1</v>
          </cell>
          <cell r="F196">
            <v>10.69</v>
          </cell>
        </row>
        <row r="197">
          <cell r="A197">
            <v>525</v>
          </cell>
          <cell r="B197">
            <v>15</v>
          </cell>
          <cell r="C197">
            <v>138</v>
          </cell>
          <cell r="D197">
            <v>25</v>
          </cell>
          <cell r="E197">
            <v>1</v>
          </cell>
          <cell r="F197">
            <v>28.99</v>
          </cell>
        </row>
        <row r="198">
          <cell r="A198">
            <v>525</v>
          </cell>
          <cell r="B198">
            <v>20</v>
          </cell>
          <cell r="C198">
            <v>138</v>
          </cell>
          <cell r="D198">
            <v>13.8</v>
          </cell>
          <cell r="E198">
            <v>1</v>
          </cell>
          <cell r="F198">
            <v>16.587199999999999</v>
          </cell>
        </row>
        <row r="199">
          <cell r="A199">
            <v>525</v>
          </cell>
          <cell r="B199">
            <v>20</v>
          </cell>
          <cell r="C199">
            <v>138</v>
          </cell>
          <cell r="D199">
            <v>13.8</v>
          </cell>
          <cell r="E199">
            <v>1</v>
          </cell>
          <cell r="F199">
            <v>8.6636000000000006</v>
          </cell>
        </row>
        <row r="200">
          <cell r="A200">
            <v>526</v>
          </cell>
          <cell r="B200">
            <v>15</v>
          </cell>
          <cell r="C200">
            <v>138</v>
          </cell>
          <cell r="D200">
            <v>25</v>
          </cell>
          <cell r="E200">
            <v>1</v>
          </cell>
          <cell r="F200">
            <v>12.956000000000001</v>
          </cell>
        </row>
        <row r="201">
          <cell r="A201">
            <v>527</v>
          </cell>
          <cell r="B201">
            <v>20</v>
          </cell>
          <cell r="C201">
            <v>138</v>
          </cell>
          <cell r="D201">
            <v>13.8</v>
          </cell>
          <cell r="E201">
            <v>1</v>
          </cell>
          <cell r="F201">
            <v>10.8032</v>
          </cell>
        </row>
        <row r="202">
          <cell r="A202">
            <v>531</v>
          </cell>
          <cell r="B202">
            <v>20</v>
          </cell>
          <cell r="C202">
            <v>138</v>
          </cell>
          <cell r="D202">
            <v>4.16</v>
          </cell>
          <cell r="E202">
            <v>1</v>
          </cell>
          <cell r="F202">
            <v>17.883200000000002</v>
          </cell>
        </row>
        <row r="203">
          <cell r="A203">
            <v>534</v>
          </cell>
          <cell r="B203">
            <v>15</v>
          </cell>
          <cell r="C203">
            <v>138</v>
          </cell>
          <cell r="D203">
            <v>25</v>
          </cell>
          <cell r="E203">
            <v>1</v>
          </cell>
          <cell r="F203">
            <v>18.9284</v>
          </cell>
        </row>
        <row r="204">
          <cell r="A204">
            <v>535</v>
          </cell>
          <cell r="B204">
            <v>30</v>
          </cell>
          <cell r="C204">
            <v>138</v>
          </cell>
          <cell r="D204">
            <v>13.8</v>
          </cell>
          <cell r="E204">
            <v>1</v>
          </cell>
          <cell r="F204">
            <v>145.10240000000002</v>
          </cell>
        </row>
        <row r="205">
          <cell r="A205">
            <v>535</v>
          </cell>
          <cell r="B205">
            <v>15</v>
          </cell>
          <cell r="C205">
            <v>138</v>
          </cell>
          <cell r="D205">
            <v>25</v>
          </cell>
          <cell r="E205">
            <v>1</v>
          </cell>
          <cell r="F205">
            <v>145.10240000000002</v>
          </cell>
        </row>
        <row r="206">
          <cell r="A206">
            <v>535</v>
          </cell>
          <cell r="B206">
            <v>120</v>
          </cell>
          <cell r="C206">
            <v>138</v>
          </cell>
          <cell r="D206">
            <v>13.8</v>
          </cell>
          <cell r="E206">
            <v>4</v>
          </cell>
          <cell r="F206">
            <v>72.694400000000002</v>
          </cell>
        </row>
        <row r="207">
          <cell r="A207">
            <v>536</v>
          </cell>
          <cell r="B207">
            <v>15</v>
          </cell>
          <cell r="C207">
            <v>138</v>
          </cell>
          <cell r="D207">
            <v>4.16</v>
          </cell>
          <cell r="E207">
            <v>1</v>
          </cell>
          <cell r="F207">
            <v>12</v>
          </cell>
        </row>
        <row r="208">
          <cell r="A208">
            <v>538</v>
          </cell>
          <cell r="B208">
            <v>15</v>
          </cell>
          <cell r="C208">
            <v>138</v>
          </cell>
          <cell r="D208">
            <v>25</v>
          </cell>
          <cell r="E208">
            <v>1</v>
          </cell>
          <cell r="F208">
            <v>12.699200000000001</v>
          </cell>
        </row>
        <row r="209">
          <cell r="A209">
            <v>542</v>
          </cell>
          <cell r="B209">
            <v>5.3</v>
          </cell>
          <cell r="C209">
            <v>138</v>
          </cell>
          <cell r="D209">
            <v>25</v>
          </cell>
          <cell r="E209">
            <v>1</v>
          </cell>
          <cell r="F209">
            <v>18.423200000000001</v>
          </cell>
        </row>
        <row r="210">
          <cell r="A210">
            <v>545</v>
          </cell>
          <cell r="B210">
            <v>25</v>
          </cell>
          <cell r="C210">
            <v>138</v>
          </cell>
          <cell r="D210">
            <v>25</v>
          </cell>
          <cell r="E210">
            <v>1</v>
          </cell>
          <cell r="F210">
            <v>48.295999999999999</v>
          </cell>
        </row>
        <row r="211">
          <cell r="A211">
            <v>551</v>
          </cell>
          <cell r="B211">
            <v>18.8</v>
          </cell>
          <cell r="C211">
            <v>138</v>
          </cell>
          <cell r="D211">
            <v>13.8</v>
          </cell>
          <cell r="E211">
            <v>1</v>
          </cell>
          <cell r="F211">
            <v>7.524</v>
          </cell>
        </row>
        <row r="212">
          <cell r="A212">
            <v>575</v>
          </cell>
          <cell r="B212">
            <v>40</v>
          </cell>
          <cell r="C212">
            <v>138</v>
          </cell>
          <cell r="D212">
            <v>25</v>
          </cell>
          <cell r="E212">
            <v>2</v>
          </cell>
          <cell r="F212">
            <v>63.531200000000005</v>
          </cell>
        </row>
        <row r="213">
          <cell r="A213">
            <v>581</v>
          </cell>
          <cell r="B213">
            <v>12</v>
          </cell>
          <cell r="C213">
            <v>138</v>
          </cell>
          <cell r="D213">
            <v>4.16</v>
          </cell>
          <cell r="E213">
            <v>1</v>
          </cell>
          <cell r="F213">
            <v>4.9356</v>
          </cell>
        </row>
        <row r="214">
          <cell r="A214">
            <v>593</v>
          </cell>
          <cell r="B214">
            <v>36</v>
          </cell>
          <cell r="C214">
            <v>138</v>
          </cell>
          <cell r="D214">
            <v>13.8</v>
          </cell>
          <cell r="E214">
            <v>2</v>
          </cell>
          <cell r="F214">
            <v>17.975999999999999</v>
          </cell>
        </row>
        <row r="215">
          <cell r="A215">
            <v>602</v>
          </cell>
          <cell r="B215">
            <v>15</v>
          </cell>
          <cell r="C215">
            <v>138</v>
          </cell>
          <cell r="D215">
            <v>25</v>
          </cell>
          <cell r="E215">
            <v>1</v>
          </cell>
          <cell r="F215">
            <v>27.768000000000001</v>
          </cell>
        </row>
        <row r="216">
          <cell r="A216">
            <v>618</v>
          </cell>
          <cell r="B216">
            <v>15</v>
          </cell>
          <cell r="C216">
            <v>138</v>
          </cell>
          <cell r="D216">
            <v>25</v>
          </cell>
          <cell r="E216">
            <v>1</v>
          </cell>
          <cell r="F216">
            <v>8.57</v>
          </cell>
        </row>
        <row r="217">
          <cell r="A217">
            <v>634</v>
          </cell>
          <cell r="B217">
            <v>10</v>
          </cell>
          <cell r="C217">
            <v>138</v>
          </cell>
          <cell r="D217">
            <v>4.16</v>
          </cell>
          <cell r="E217">
            <v>1</v>
          </cell>
          <cell r="F217">
            <v>8.3868000000000009</v>
          </cell>
        </row>
        <row r="218">
          <cell r="A218">
            <v>638</v>
          </cell>
          <cell r="B218">
            <v>5</v>
          </cell>
          <cell r="C218">
            <v>69</v>
          </cell>
          <cell r="D218">
            <v>4.16</v>
          </cell>
          <cell r="E218">
            <v>1</v>
          </cell>
          <cell r="F218">
            <v>1.6140000000000001</v>
          </cell>
        </row>
        <row r="219">
          <cell r="A219">
            <v>648</v>
          </cell>
          <cell r="B219">
            <v>15</v>
          </cell>
          <cell r="C219">
            <v>138</v>
          </cell>
          <cell r="D219">
            <v>25</v>
          </cell>
          <cell r="E219">
            <v>1</v>
          </cell>
          <cell r="F219">
            <v>16.197200000000002</v>
          </cell>
        </row>
        <row r="220">
          <cell r="A220">
            <v>649</v>
          </cell>
          <cell r="B220">
            <v>10</v>
          </cell>
          <cell r="C220">
            <v>138</v>
          </cell>
          <cell r="D220">
            <v>25</v>
          </cell>
          <cell r="E220">
            <v>1</v>
          </cell>
          <cell r="F220">
            <v>6.9084000000000003</v>
          </cell>
        </row>
        <row r="221">
          <cell r="A221">
            <v>659</v>
          </cell>
          <cell r="B221">
            <v>10</v>
          </cell>
          <cell r="C221">
            <v>69</v>
          </cell>
          <cell r="D221">
            <v>25</v>
          </cell>
          <cell r="E221">
            <v>1</v>
          </cell>
          <cell r="F221">
            <v>9.9307999999999996</v>
          </cell>
        </row>
        <row r="222">
          <cell r="A222">
            <v>661</v>
          </cell>
          <cell r="B222">
            <v>2.5</v>
          </cell>
          <cell r="C222">
            <v>69</v>
          </cell>
          <cell r="D222">
            <v>25</v>
          </cell>
          <cell r="E222">
            <v>1</v>
          </cell>
          <cell r="F222">
            <v>6.7</v>
          </cell>
        </row>
        <row r="223">
          <cell r="A223">
            <v>678</v>
          </cell>
          <cell r="B223">
            <v>40</v>
          </cell>
          <cell r="C223">
            <v>138</v>
          </cell>
          <cell r="D223">
            <v>25</v>
          </cell>
          <cell r="E223">
            <v>2</v>
          </cell>
          <cell r="F223">
            <v>23.3932</v>
          </cell>
        </row>
        <row r="224">
          <cell r="A224">
            <v>700</v>
          </cell>
          <cell r="B224">
            <v>5.0999999999999996</v>
          </cell>
          <cell r="C224">
            <v>69</v>
          </cell>
          <cell r="D224">
            <v>25</v>
          </cell>
          <cell r="E224">
            <v>2</v>
          </cell>
          <cell r="F224">
            <v>30.6204</v>
          </cell>
        </row>
        <row r="225">
          <cell r="A225">
            <v>700</v>
          </cell>
          <cell r="B225">
            <v>5</v>
          </cell>
          <cell r="C225">
            <v>138</v>
          </cell>
          <cell r="D225">
            <v>25</v>
          </cell>
          <cell r="E225">
            <v>1</v>
          </cell>
          <cell r="F225">
            <v>30.6204</v>
          </cell>
        </row>
        <row r="226">
          <cell r="A226">
            <v>701</v>
          </cell>
          <cell r="B226">
            <v>15</v>
          </cell>
          <cell r="C226">
            <v>138</v>
          </cell>
          <cell r="D226">
            <v>13.8</v>
          </cell>
          <cell r="E226">
            <v>1</v>
          </cell>
          <cell r="F226">
            <v>20.6432</v>
          </cell>
        </row>
        <row r="227">
          <cell r="A227">
            <v>705</v>
          </cell>
          <cell r="B227">
            <v>6</v>
          </cell>
          <cell r="C227">
            <v>69</v>
          </cell>
          <cell r="D227">
            <v>25</v>
          </cell>
          <cell r="E227">
            <v>1</v>
          </cell>
          <cell r="F227">
            <v>8.1728000000000005</v>
          </cell>
        </row>
        <row r="228">
          <cell r="A228">
            <v>706</v>
          </cell>
          <cell r="B228">
            <v>25</v>
          </cell>
          <cell r="C228">
            <v>138</v>
          </cell>
          <cell r="D228">
            <v>25</v>
          </cell>
          <cell r="E228">
            <v>1</v>
          </cell>
          <cell r="F228">
            <v>24.4876</v>
          </cell>
        </row>
        <row r="229">
          <cell r="A229">
            <v>707</v>
          </cell>
          <cell r="B229">
            <v>9.5</v>
          </cell>
          <cell r="C229">
            <v>69</v>
          </cell>
          <cell r="D229">
            <v>25</v>
          </cell>
          <cell r="E229">
            <v>3</v>
          </cell>
          <cell r="F229">
            <v>24.9068</v>
          </cell>
        </row>
        <row r="230">
          <cell r="A230">
            <v>709</v>
          </cell>
          <cell r="B230">
            <v>15</v>
          </cell>
          <cell r="C230">
            <v>138</v>
          </cell>
          <cell r="D230">
            <v>25</v>
          </cell>
          <cell r="E230">
            <v>1</v>
          </cell>
          <cell r="F230">
            <v>20.4176</v>
          </cell>
        </row>
        <row r="231">
          <cell r="A231">
            <v>711</v>
          </cell>
          <cell r="B231">
            <v>4.2</v>
          </cell>
          <cell r="C231">
            <v>69</v>
          </cell>
          <cell r="D231">
            <v>25</v>
          </cell>
          <cell r="E231">
            <v>2</v>
          </cell>
          <cell r="F231">
            <v>7.8776000000000002</v>
          </cell>
        </row>
        <row r="232">
          <cell r="A232">
            <v>712</v>
          </cell>
          <cell r="B232">
            <v>6</v>
          </cell>
          <cell r="C232">
            <v>69</v>
          </cell>
          <cell r="D232">
            <v>25</v>
          </cell>
          <cell r="E232">
            <v>1</v>
          </cell>
          <cell r="F232">
            <v>9.5668000000000006</v>
          </cell>
        </row>
        <row r="233">
          <cell r="A233">
            <v>715</v>
          </cell>
          <cell r="B233">
            <v>60</v>
          </cell>
          <cell r="C233">
            <v>138</v>
          </cell>
          <cell r="D233">
            <v>25</v>
          </cell>
          <cell r="E233">
            <v>2</v>
          </cell>
          <cell r="F233">
            <v>65.954000000000008</v>
          </cell>
        </row>
        <row r="234">
          <cell r="A234">
            <v>715</v>
          </cell>
          <cell r="B234">
            <v>60</v>
          </cell>
          <cell r="C234">
            <v>138</v>
          </cell>
          <cell r="D234">
            <v>25</v>
          </cell>
          <cell r="E234">
            <v>2</v>
          </cell>
          <cell r="F234">
            <v>99.181200000000004</v>
          </cell>
        </row>
        <row r="235">
          <cell r="A235">
            <v>716</v>
          </cell>
          <cell r="B235">
            <v>30</v>
          </cell>
          <cell r="C235">
            <v>138</v>
          </cell>
          <cell r="D235">
            <v>25</v>
          </cell>
          <cell r="E235">
            <v>1</v>
          </cell>
          <cell r="F235">
            <v>12.2224</v>
          </cell>
        </row>
        <row r="236">
          <cell r="A236">
            <v>717</v>
          </cell>
          <cell r="B236">
            <v>4.2</v>
          </cell>
          <cell r="C236">
            <v>69</v>
          </cell>
          <cell r="D236">
            <v>25</v>
          </cell>
          <cell r="E236">
            <v>2</v>
          </cell>
          <cell r="F236">
            <v>8.1420000000000012</v>
          </cell>
        </row>
        <row r="237">
          <cell r="A237">
            <v>717</v>
          </cell>
          <cell r="B237">
            <v>4.2</v>
          </cell>
          <cell r="C237">
            <v>69</v>
          </cell>
          <cell r="D237">
            <v>25</v>
          </cell>
          <cell r="E237">
            <v>2</v>
          </cell>
          <cell r="F237">
            <v>99.181200000000004</v>
          </cell>
        </row>
        <row r="238">
          <cell r="A238">
            <v>718</v>
          </cell>
          <cell r="B238">
            <v>17.600000000000001</v>
          </cell>
          <cell r="C238">
            <v>138</v>
          </cell>
          <cell r="D238">
            <v>25</v>
          </cell>
          <cell r="E238">
            <v>2</v>
          </cell>
          <cell r="F238">
            <v>63.147600000000004</v>
          </cell>
        </row>
        <row r="239">
          <cell r="A239">
            <v>720</v>
          </cell>
          <cell r="B239">
            <v>7</v>
          </cell>
          <cell r="C239">
            <v>240</v>
          </cell>
          <cell r="D239">
            <v>25</v>
          </cell>
          <cell r="E239">
            <v>1</v>
          </cell>
          <cell r="F239">
            <v>33.167200000000001</v>
          </cell>
        </row>
        <row r="240">
          <cell r="A240">
            <v>721</v>
          </cell>
          <cell r="B240">
            <v>25</v>
          </cell>
          <cell r="C240">
            <v>138</v>
          </cell>
          <cell r="D240">
            <v>25</v>
          </cell>
          <cell r="E240">
            <v>1</v>
          </cell>
          <cell r="F240">
            <v>13.879200000000001</v>
          </cell>
        </row>
        <row r="241">
          <cell r="A241">
            <v>722</v>
          </cell>
          <cell r="B241">
            <v>10.4</v>
          </cell>
          <cell r="C241">
            <v>138</v>
          </cell>
          <cell r="D241">
            <v>25</v>
          </cell>
          <cell r="E241">
            <v>1</v>
          </cell>
          <cell r="F241">
            <v>49.21</v>
          </cell>
        </row>
        <row r="242">
          <cell r="A242">
            <v>724</v>
          </cell>
          <cell r="B242">
            <v>6</v>
          </cell>
          <cell r="C242">
            <v>69</v>
          </cell>
          <cell r="D242">
            <v>25</v>
          </cell>
          <cell r="E242">
            <v>1</v>
          </cell>
          <cell r="F242">
            <v>4.3812000000000006</v>
          </cell>
        </row>
        <row r="243">
          <cell r="A243">
            <v>725</v>
          </cell>
          <cell r="B243">
            <v>10</v>
          </cell>
          <cell r="C243">
            <v>138</v>
          </cell>
          <cell r="D243">
            <v>25</v>
          </cell>
          <cell r="E243">
            <v>1</v>
          </cell>
          <cell r="F243">
            <v>8.1568000000000005</v>
          </cell>
        </row>
        <row r="244">
          <cell r="A244">
            <v>727</v>
          </cell>
          <cell r="B244">
            <v>1</v>
          </cell>
          <cell r="C244">
            <v>69</v>
          </cell>
          <cell r="D244">
            <v>25</v>
          </cell>
          <cell r="E244">
            <v>1</v>
          </cell>
          <cell r="F244">
            <v>2.54</v>
          </cell>
        </row>
        <row r="245">
          <cell r="A245">
            <v>728</v>
          </cell>
          <cell r="B245">
            <v>10</v>
          </cell>
          <cell r="C245">
            <v>138</v>
          </cell>
          <cell r="D245">
            <v>25</v>
          </cell>
          <cell r="E245">
            <v>1</v>
          </cell>
          <cell r="F245">
            <v>11.456800000000001</v>
          </cell>
        </row>
        <row r="246">
          <cell r="A246">
            <v>729</v>
          </cell>
          <cell r="B246">
            <v>50</v>
          </cell>
          <cell r="C246">
            <v>138</v>
          </cell>
          <cell r="D246">
            <v>25</v>
          </cell>
          <cell r="E246">
            <v>2</v>
          </cell>
          <cell r="F246">
            <v>21.707599999999999</v>
          </cell>
        </row>
        <row r="247">
          <cell r="A247">
            <v>730</v>
          </cell>
          <cell r="B247">
            <v>15</v>
          </cell>
          <cell r="C247">
            <v>138</v>
          </cell>
          <cell r="D247">
            <v>25</v>
          </cell>
          <cell r="E247">
            <v>1</v>
          </cell>
          <cell r="F247">
            <v>14.947600000000001</v>
          </cell>
        </row>
        <row r="248">
          <cell r="A248">
            <v>731</v>
          </cell>
          <cell r="B248">
            <v>25</v>
          </cell>
          <cell r="C248">
            <v>138</v>
          </cell>
          <cell r="D248">
            <v>25</v>
          </cell>
          <cell r="E248">
            <v>1</v>
          </cell>
          <cell r="F248">
            <v>17.066400000000002</v>
          </cell>
        </row>
        <row r="249">
          <cell r="A249">
            <v>733</v>
          </cell>
          <cell r="B249">
            <v>10</v>
          </cell>
          <cell r="C249">
            <v>138</v>
          </cell>
          <cell r="D249">
            <v>25</v>
          </cell>
          <cell r="E249">
            <v>1</v>
          </cell>
          <cell r="F249">
            <v>10.0532</v>
          </cell>
        </row>
        <row r="250">
          <cell r="A250">
            <v>735</v>
          </cell>
          <cell r="B250">
            <v>4.2</v>
          </cell>
          <cell r="C250">
            <v>69</v>
          </cell>
          <cell r="D250">
            <v>25</v>
          </cell>
          <cell r="E250">
            <v>2</v>
          </cell>
          <cell r="F250">
            <v>12.6584</v>
          </cell>
        </row>
        <row r="251">
          <cell r="A251">
            <v>736</v>
          </cell>
          <cell r="B251">
            <v>3.8</v>
          </cell>
          <cell r="C251">
            <v>69</v>
          </cell>
          <cell r="D251">
            <v>2.4</v>
          </cell>
          <cell r="E251">
            <v>1</v>
          </cell>
          <cell r="F251">
            <v>1.5784</v>
          </cell>
        </row>
        <row r="252">
          <cell r="A252">
            <v>737</v>
          </cell>
          <cell r="B252">
            <v>10.6</v>
          </cell>
          <cell r="C252">
            <v>69</v>
          </cell>
          <cell r="D252">
            <v>13.8</v>
          </cell>
          <cell r="E252">
            <v>2</v>
          </cell>
          <cell r="F252">
            <v>160.12440000000001</v>
          </cell>
        </row>
        <row r="253">
          <cell r="A253">
            <v>737</v>
          </cell>
          <cell r="B253">
            <v>10.6</v>
          </cell>
          <cell r="C253">
            <v>69</v>
          </cell>
          <cell r="D253">
            <v>13.8</v>
          </cell>
          <cell r="E253">
            <v>2</v>
          </cell>
          <cell r="F253">
            <v>30</v>
          </cell>
        </row>
        <row r="254">
          <cell r="A254">
            <v>738</v>
          </cell>
          <cell r="B254">
            <v>25</v>
          </cell>
          <cell r="C254">
            <v>138</v>
          </cell>
          <cell r="D254">
            <v>25</v>
          </cell>
          <cell r="E254">
            <v>1</v>
          </cell>
          <cell r="F254">
            <v>36.914400000000001</v>
          </cell>
        </row>
        <row r="255">
          <cell r="A255">
            <v>739</v>
          </cell>
          <cell r="B255">
            <v>4.2</v>
          </cell>
          <cell r="C255">
            <v>69</v>
          </cell>
          <cell r="D255">
            <v>25</v>
          </cell>
          <cell r="E255">
            <v>2</v>
          </cell>
          <cell r="F255">
            <v>28.16</v>
          </cell>
        </row>
        <row r="256">
          <cell r="A256">
            <v>740</v>
          </cell>
          <cell r="B256">
            <v>15</v>
          </cell>
          <cell r="C256">
            <v>138</v>
          </cell>
          <cell r="D256">
            <v>25</v>
          </cell>
          <cell r="E256">
            <v>1</v>
          </cell>
          <cell r="F256">
            <v>19.461600000000001</v>
          </cell>
        </row>
        <row r="257">
          <cell r="A257">
            <v>740</v>
          </cell>
          <cell r="B257">
            <v>20</v>
          </cell>
          <cell r="C257">
            <v>138</v>
          </cell>
          <cell r="D257">
            <v>25</v>
          </cell>
          <cell r="E257">
            <v>1</v>
          </cell>
          <cell r="F257">
            <v>15.2</v>
          </cell>
        </row>
        <row r="258">
          <cell r="A258">
            <v>741</v>
          </cell>
          <cell r="B258">
            <v>50</v>
          </cell>
          <cell r="C258">
            <v>138</v>
          </cell>
          <cell r="D258">
            <v>25</v>
          </cell>
          <cell r="E258">
            <v>2</v>
          </cell>
          <cell r="F258">
            <v>30.309600000000003</v>
          </cell>
        </row>
        <row r="259">
          <cell r="A259">
            <v>742</v>
          </cell>
          <cell r="B259">
            <v>7.5</v>
          </cell>
          <cell r="C259">
            <v>69</v>
          </cell>
          <cell r="D259">
            <v>4.16</v>
          </cell>
          <cell r="E259">
            <v>1</v>
          </cell>
          <cell r="F259">
            <v>4.7252000000000001</v>
          </cell>
        </row>
        <row r="260">
          <cell r="A260">
            <v>743</v>
          </cell>
          <cell r="B260">
            <v>25</v>
          </cell>
          <cell r="C260">
            <v>138</v>
          </cell>
          <cell r="D260">
            <v>25</v>
          </cell>
          <cell r="E260">
            <v>1</v>
          </cell>
          <cell r="F260">
            <v>29.753600000000002</v>
          </cell>
        </row>
        <row r="261">
          <cell r="A261">
            <v>744</v>
          </cell>
          <cell r="B261">
            <v>3</v>
          </cell>
          <cell r="C261">
            <v>69</v>
          </cell>
          <cell r="D261">
            <v>2.4</v>
          </cell>
          <cell r="E261">
            <v>1</v>
          </cell>
          <cell r="F261">
            <v>0.14120000000000002</v>
          </cell>
        </row>
        <row r="262">
          <cell r="A262">
            <v>745</v>
          </cell>
          <cell r="B262">
            <v>15</v>
          </cell>
          <cell r="C262">
            <v>69</v>
          </cell>
          <cell r="D262">
            <v>25</v>
          </cell>
          <cell r="E262">
            <v>1</v>
          </cell>
          <cell r="F262">
            <v>16.815200000000001</v>
          </cell>
        </row>
        <row r="263">
          <cell r="A263">
            <v>746</v>
          </cell>
          <cell r="B263">
            <v>50</v>
          </cell>
          <cell r="C263">
            <v>138</v>
          </cell>
          <cell r="D263">
            <v>25</v>
          </cell>
          <cell r="E263">
            <v>2</v>
          </cell>
          <cell r="F263">
            <v>58.0976</v>
          </cell>
        </row>
        <row r="264">
          <cell r="A264">
            <v>749</v>
          </cell>
          <cell r="B264">
            <v>40.5</v>
          </cell>
          <cell r="C264">
            <v>138</v>
          </cell>
          <cell r="D264">
            <v>25</v>
          </cell>
          <cell r="E264">
            <v>2</v>
          </cell>
          <cell r="F264">
            <v>60.677600000000005</v>
          </cell>
        </row>
        <row r="265">
          <cell r="A265">
            <v>751</v>
          </cell>
          <cell r="B265">
            <v>16.899999999999999</v>
          </cell>
          <cell r="C265">
            <v>138</v>
          </cell>
          <cell r="D265">
            <v>25</v>
          </cell>
          <cell r="E265">
            <v>1</v>
          </cell>
          <cell r="F265">
            <v>56.115200000000002</v>
          </cell>
        </row>
        <row r="266">
          <cell r="A266">
            <v>752</v>
          </cell>
          <cell r="B266">
            <v>30</v>
          </cell>
          <cell r="C266">
            <v>138</v>
          </cell>
          <cell r="D266">
            <v>25</v>
          </cell>
          <cell r="E266">
            <v>1</v>
          </cell>
          <cell r="F266">
            <v>40.816400000000002</v>
          </cell>
        </row>
        <row r="267">
          <cell r="A267">
            <v>754</v>
          </cell>
          <cell r="B267">
            <v>25</v>
          </cell>
          <cell r="C267">
            <v>138</v>
          </cell>
          <cell r="D267">
            <v>25</v>
          </cell>
          <cell r="E267">
            <v>1</v>
          </cell>
          <cell r="F267">
            <v>23.63</v>
          </cell>
        </row>
        <row r="268">
          <cell r="A268">
            <v>756</v>
          </cell>
          <cell r="B268">
            <v>15</v>
          </cell>
          <cell r="C268">
            <v>69</v>
          </cell>
          <cell r="D268">
            <v>25</v>
          </cell>
          <cell r="E268">
            <v>1</v>
          </cell>
          <cell r="F268">
            <v>8.8760000000000012</v>
          </cell>
        </row>
        <row r="269">
          <cell r="A269">
            <v>757</v>
          </cell>
          <cell r="B269">
            <v>50</v>
          </cell>
          <cell r="C269">
            <v>69</v>
          </cell>
          <cell r="D269">
            <v>14.4</v>
          </cell>
          <cell r="E269">
            <v>2</v>
          </cell>
          <cell r="F269">
            <v>0.89</v>
          </cell>
        </row>
        <row r="270">
          <cell r="A270">
            <v>759</v>
          </cell>
          <cell r="B270">
            <v>6</v>
          </cell>
          <cell r="C270">
            <v>69</v>
          </cell>
          <cell r="D270">
            <v>25</v>
          </cell>
          <cell r="E270">
            <v>1</v>
          </cell>
          <cell r="F270">
            <v>4.226</v>
          </cell>
        </row>
        <row r="271">
          <cell r="A271">
            <v>760</v>
          </cell>
          <cell r="B271">
            <v>1.8</v>
          </cell>
          <cell r="C271">
            <v>69</v>
          </cell>
          <cell r="D271">
            <v>25</v>
          </cell>
          <cell r="E271">
            <v>1</v>
          </cell>
          <cell r="F271">
            <v>4.7027999999999999</v>
          </cell>
        </row>
        <row r="272">
          <cell r="A272">
            <v>763</v>
          </cell>
          <cell r="B272">
            <v>6</v>
          </cell>
          <cell r="C272">
            <v>69</v>
          </cell>
          <cell r="D272">
            <v>25</v>
          </cell>
          <cell r="E272">
            <v>1</v>
          </cell>
          <cell r="F272">
            <v>6.5272000000000006</v>
          </cell>
        </row>
        <row r="273">
          <cell r="A273">
            <v>764</v>
          </cell>
          <cell r="B273">
            <v>10</v>
          </cell>
          <cell r="C273">
            <v>69</v>
          </cell>
          <cell r="D273">
            <v>25</v>
          </cell>
          <cell r="E273">
            <v>1</v>
          </cell>
          <cell r="F273">
            <v>10.286800000000001</v>
          </cell>
        </row>
        <row r="274">
          <cell r="A274">
            <v>765</v>
          </cell>
          <cell r="B274">
            <v>6</v>
          </cell>
          <cell r="C274">
            <v>69</v>
          </cell>
          <cell r="D274">
            <v>25</v>
          </cell>
          <cell r="E274">
            <v>1</v>
          </cell>
          <cell r="F274">
            <v>0.94400000000000006</v>
          </cell>
        </row>
        <row r="275">
          <cell r="A275">
            <v>767</v>
          </cell>
          <cell r="B275">
            <v>1.8</v>
          </cell>
          <cell r="C275">
            <v>69</v>
          </cell>
          <cell r="D275">
            <v>25</v>
          </cell>
          <cell r="E275">
            <v>1</v>
          </cell>
          <cell r="F275">
            <v>8.3344000000000005</v>
          </cell>
        </row>
        <row r="276">
          <cell r="A276">
            <v>768</v>
          </cell>
          <cell r="B276">
            <v>2.1</v>
          </cell>
          <cell r="C276">
            <v>69</v>
          </cell>
          <cell r="D276">
            <v>25</v>
          </cell>
          <cell r="E276">
            <v>1</v>
          </cell>
          <cell r="F276">
            <v>6.6048</v>
          </cell>
        </row>
        <row r="277">
          <cell r="A277">
            <v>769</v>
          </cell>
          <cell r="B277">
            <v>4.2</v>
          </cell>
          <cell r="C277">
            <v>69</v>
          </cell>
          <cell r="D277">
            <v>25</v>
          </cell>
          <cell r="E277">
            <v>2</v>
          </cell>
          <cell r="F277">
            <v>56.830400000000004</v>
          </cell>
        </row>
        <row r="278">
          <cell r="A278">
            <v>770</v>
          </cell>
          <cell r="B278">
            <v>25</v>
          </cell>
          <cell r="C278">
            <v>138</v>
          </cell>
          <cell r="D278">
            <v>25</v>
          </cell>
          <cell r="E278">
            <v>1</v>
          </cell>
          <cell r="F278">
            <v>28.561600000000002</v>
          </cell>
        </row>
        <row r="279">
          <cell r="A279">
            <v>771</v>
          </cell>
          <cell r="B279">
            <v>10</v>
          </cell>
          <cell r="C279">
            <v>69</v>
          </cell>
          <cell r="D279">
            <v>25</v>
          </cell>
          <cell r="E279">
            <v>1</v>
          </cell>
          <cell r="F279">
            <v>9.2564000000000011</v>
          </cell>
        </row>
        <row r="280">
          <cell r="A280">
            <v>772</v>
          </cell>
          <cell r="B280">
            <v>6</v>
          </cell>
          <cell r="C280">
            <v>69</v>
          </cell>
          <cell r="D280">
            <v>25</v>
          </cell>
          <cell r="E280">
            <v>1</v>
          </cell>
          <cell r="F280">
            <v>2.5924</v>
          </cell>
        </row>
        <row r="281">
          <cell r="A281">
            <v>773</v>
          </cell>
          <cell r="B281">
            <v>10</v>
          </cell>
          <cell r="C281">
            <v>69</v>
          </cell>
          <cell r="D281">
            <v>25</v>
          </cell>
          <cell r="E281">
            <v>1</v>
          </cell>
          <cell r="F281">
            <v>7.8032000000000004</v>
          </cell>
        </row>
        <row r="282">
          <cell r="A282">
            <v>774</v>
          </cell>
          <cell r="B282">
            <v>12</v>
          </cell>
          <cell r="C282">
            <v>138</v>
          </cell>
          <cell r="D282">
            <v>25</v>
          </cell>
          <cell r="E282">
            <v>1</v>
          </cell>
          <cell r="F282">
            <v>16.7668</v>
          </cell>
        </row>
        <row r="283">
          <cell r="A283">
            <v>776</v>
          </cell>
          <cell r="B283">
            <v>6</v>
          </cell>
          <cell r="C283">
            <v>69</v>
          </cell>
          <cell r="D283">
            <v>25</v>
          </cell>
          <cell r="E283">
            <v>1</v>
          </cell>
          <cell r="F283">
            <v>1.7952000000000001</v>
          </cell>
        </row>
        <row r="284">
          <cell r="A284">
            <v>777</v>
          </cell>
          <cell r="B284">
            <v>25</v>
          </cell>
          <cell r="C284">
            <v>138</v>
          </cell>
          <cell r="D284">
            <v>25</v>
          </cell>
          <cell r="E284">
            <v>1</v>
          </cell>
          <cell r="F284">
            <v>11.9396</v>
          </cell>
        </row>
        <row r="285">
          <cell r="A285">
            <v>778</v>
          </cell>
          <cell r="B285">
            <v>6</v>
          </cell>
          <cell r="C285">
            <v>69</v>
          </cell>
          <cell r="D285">
            <v>25</v>
          </cell>
          <cell r="E285">
            <v>1</v>
          </cell>
          <cell r="F285">
            <v>6.5636000000000001</v>
          </cell>
        </row>
        <row r="286">
          <cell r="A286">
            <v>779</v>
          </cell>
          <cell r="B286">
            <v>7.5</v>
          </cell>
          <cell r="C286">
            <v>138</v>
          </cell>
          <cell r="D286">
            <v>4.16</v>
          </cell>
          <cell r="E286">
            <v>1</v>
          </cell>
          <cell r="F286">
            <v>0.65600000000000003</v>
          </cell>
        </row>
        <row r="287">
          <cell r="A287">
            <v>783</v>
          </cell>
          <cell r="B287">
            <v>7.5</v>
          </cell>
          <cell r="C287">
            <v>138</v>
          </cell>
          <cell r="D287">
            <v>25</v>
          </cell>
          <cell r="E287">
            <v>1</v>
          </cell>
          <cell r="F287">
            <v>2.5028000000000001</v>
          </cell>
        </row>
        <row r="288">
          <cell r="A288">
            <v>784</v>
          </cell>
          <cell r="B288">
            <v>25</v>
          </cell>
          <cell r="C288">
            <v>138</v>
          </cell>
          <cell r="D288">
            <v>25</v>
          </cell>
          <cell r="E288">
            <v>1</v>
          </cell>
          <cell r="F288">
            <v>23.235600000000002</v>
          </cell>
        </row>
        <row r="289">
          <cell r="A289">
            <v>785</v>
          </cell>
          <cell r="B289">
            <v>15</v>
          </cell>
          <cell r="C289">
            <v>138</v>
          </cell>
          <cell r="D289">
            <v>25</v>
          </cell>
          <cell r="E289">
            <v>1</v>
          </cell>
          <cell r="F289">
            <v>24.967600000000001</v>
          </cell>
        </row>
        <row r="290">
          <cell r="A290">
            <v>786</v>
          </cell>
          <cell r="B290">
            <v>6.6</v>
          </cell>
          <cell r="C290">
            <v>138</v>
          </cell>
          <cell r="D290">
            <v>25</v>
          </cell>
          <cell r="E290">
            <v>1</v>
          </cell>
          <cell r="F290">
            <v>22.6</v>
          </cell>
        </row>
        <row r="291">
          <cell r="A291">
            <v>787</v>
          </cell>
          <cell r="B291">
            <v>4.2</v>
          </cell>
          <cell r="C291">
            <v>69</v>
          </cell>
          <cell r="D291">
            <v>25</v>
          </cell>
          <cell r="E291">
            <v>2</v>
          </cell>
          <cell r="F291">
            <v>15.1684</v>
          </cell>
        </row>
        <row r="292">
          <cell r="A292">
            <v>788</v>
          </cell>
          <cell r="B292">
            <v>7.5</v>
          </cell>
          <cell r="C292">
            <v>138</v>
          </cell>
          <cell r="D292">
            <v>25</v>
          </cell>
          <cell r="E292">
            <v>1</v>
          </cell>
          <cell r="F292">
            <v>7.6820000000000004</v>
          </cell>
        </row>
        <row r="293">
          <cell r="A293">
            <v>790</v>
          </cell>
          <cell r="B293">
            <v>25</v>
          </cell>
          <cell r="C293">
            <v>138</v>
          </cell>
          <cell r="D293">
            <v>25</v>
          </cell>
          <cell r="E293">
            <v>1</v>
          </cell>
          <cell r="F293">
            <v>0.74680000000000002</v>
          </cell>
        </row>
        <row r="294">
          <cell r="A294">
            <v>790</v>
          </cell>
          <cell r="B294">
            <v>25</v>
          </cell>
          <cell r="C294">
            <v>138</v>
          </cell>
          <cell r="D294">
            <v>25</v>
          </cell>
          <cell r="E294">
            <v>1</v>
          </cell>
          <cell r="F294">
            <v>37.334000000000003</v>
          </cell>
        </row>
        <row r="295">
          <cell r="A295">
            <v>790</v>
          </cell>
          <cell r="B295">
            <v>25</v>
          </cell>
          <cell r="C295">
            <v>138</v>
          </cell>
          <cell r="D295">
            <v>25</v>
          </cell>
          <cell r="E295">
            <v>1</v>
          </cell>
          <cell r="F295">
            <v>37.334000000000003</v>
          </cell>
        </row>
        <row r="296">
          <cell r="A296">
            <v>794</v>
          </cell>
          <cell r="B296">
            <v>5</v>
          </cell>
          <cell r="C296">
            <v>138</v>
          </cell>
          <cell r="D296">
            <v>25</v>
          </cell>
          <cell r="E296">
            <v>1</v>
          </cell>
          <cell r="F296">
            <v>13.0556</v>
          </cell>
        </row>
        <row r="297">
          <cell r="A297">
            <v>795</v>
          </cell>
          <cell r="B297">
            <v>10</v>
          </cell>
          <cell r="C297">
            <v>138</v>
          </cell>
          <cell r="D297">
            <v>25</v>
          </cell>
          <cell r="E297">
            <v>2</v>
          </cell>
          <cell r="F297">
            <v>8.5332000000000008</v>
          </cell>
        </row>
        <row r="298">
          <cell r="A298">
            <v>796</v>
          </cell>
          <cell r="B298">
            <v>60</v>
          </cell>
          <cell r="C298">
            <v>138</v>
          </cell>
          <cell r="D298">
            <v>25</v>
          </cell>
          <cell r="E298">
            <v>2</v>
          </cell>
          <cell r="F298">
            <v>44.1556</v>
          </cell>
        </row>
        <row r="299">
          <cell r="A299">
            <v>797</v>
          </cell>
          <cell r="B299">
            <v>7.5</v>
          </cell>
          <cell r="C299">
            <v>138</v>
          </cell>
          <cell r="D299">
            <v>25</v>
          </cell>
          <cell r="E299">
            <v>1</v>
          </cell>
          <cell r="F299">
            <v>1.8176000000000001</v>
          </cell>
        </row>
        <row r="300">
          <cell r="A300">
            <v>799</v>
          </cell>
          <cell r="B300">
            <v>30</v>
          </cell>
          <cell r="C300">
            <v>138</v>
          </cell>
          <cell r="D300">
            <v>25</v>
          </cell>
          <cell r="E300">
            <v>2</v>
          </cell>
          <cell r="F300">
            <v>11.7768</v>
          </cell>
        </row>
        <row r="301">
          <cell r="A301">
            <v>801</v>
          </cell>
          <cell r="B301">
            <v>3.5</v>
          </cell>
          <cell r="C301">
            <v>138</v>
          </cell>
          <cell r="D301">
            <v>25</v>
          </cell>
          <cell r="E301">
            <v>1</v>
          </cell>
          <cell r="F301">
            <v>6.9628000000000005</v>
          </cell>
        </row>
        <row r="302">
          <cell r="A302">
            <v>802</v>
          </cell>
          <cell r="B302">
            <v>30</v>
          </cell>
          <cell r="C302">
            <v>138</v>
          </cell>
          <cell r="D302">
            <v>25</v>
          </cell>
          <cell r="E302">
            <v>1</v>
          </cell>
          <cell r="F302">
            <v>29.804400000000001</v>
          </cell>
        </row>
        <row r="303">
          <cell r="A303">
            <v>803</v>
          </cell>
          <cell r="B303">
            <v>5.2</v>
          </cell>
          <cell r="C303">
            <v>138</v>
          </cell>
          <cell r="D303">
            <v>25</v>
          </cell>
          <cell r="E303">
            <v>1</v>
          </cell>
          <cell r="F303">
            <v>16.5364</v>
          </cell>
        </row>
        <row r="304">
          <cell r="A304">
            <v>810</v>
          </cell>
          <cell r="B304">
            <v>8.5</v>
          </cell>
          <cell r="C304">
            <v>138</v>
          </cell>
          <cell r="D304">
            <v>25</v>
          </cell>
          <cell r="E304">
            <v>2</v>
          </cell>
          <cell r="F304">
            <v>9.9324000000000012</v>
          </cell>
        </row>
        <row r="305">
          <cell r="A305">
            <v>812</v>
          </cell>
          <cell r="B305">
            <v>3.5</v>
          </cell>
          <cell r="C305">
            <v>138</v>
          </cell>
          <cell r="D305">
            <v>25</v>
          </cell>
          <cell r="E305">
            <v>1</v>
          </cell>
          <cell r="F305">
            <v>10.1</v>
          </cell>
        </row>
        <row r="306">
          <cell r="A306">
            <v>815</v>
          </cell>
          <cell r="B306">
            <v>25</v>
          </cell>
          <cell r="C306">
            <v>138</v>
          </cell>
          <cell r="D306">
            <v>25</v>
          </cell>
          <cell r="E306">
            <v>1</v>
          </cell>
          <cell r="F306">
            <v>32.286000000000001</v>
          </cell>
        </row>
        <row r="307">
          <cell r="A307">
            <v>818</v>
          </cell>
          <cell r="B307">
            <v>15</v>
          </cell>
          <cell r="C307">
            <v>138</v>
          </cell>
          <cell r="D307">
            <v>25</v>
          </cell>
          <cell r="E307">
            <v>1</v>
          </cell>
          <cell r="F307">
            <v>18.724399999999999</v>
          </cell>
        </row>
        <row r="308">
          <cell r="A308">
            <v>820</v>
          </cell>
          <cell r="B308">
            <v>25</v>
          </cell>
          <cell r="C308">
            <v>138</v>
          </cell>
          <cell r="D308">
            <v>25</v>
          </cell>
          <cell r="E308">
            <v>1</v>
          </cell>
          <cell r="F308">
            <v>30.326800000000002</v>
          </cell>
        </row>
        <row r="309">
          <cell r="A309">
            <v>821</v>
          </cell>
          <cell r="B309">
            <v>6</v>
          </cell>
          <cell r="C309">
            <v>69</v>
          </cell>
          <cell r="D309">
            <v>25</v>
          </cell>
          <cell r="E309">
            <v>1</v>
          </cell>
          <cell r="F309">
            <v>3.75</v>
          </cell>
        </row>
        <row r="310">
          <cell r="A310">
            <v>822</v>
          </cell>
          <cell r="B310">
            <v>25</v>
          </cell>
          <cell r="C310">
            <v>138</v>
          </cell>
          <cell r="D310">
            <v>25</v>
          </cell>
          <cell r="E310">
            <v>1</v>
          </cell>
          <cell r="F310">
            <v>26.590800000000002</v>
          </cell>
        </row>
        <row r="311">
          <cell r="A311">
            <v>823</v>
          </cell>
          <cell r="B311">
            <v>6.7</v>
          </cell>
          <cell r="C311">
            <v>138</v>
          </cell>
          <cell r="D311">
            <v>25</v>
          </cell>
          <cell r="E311">
            <v>1</v>
          </cell>
          <cell r="F311">
            <v>9.2295999999999996</v>
          </cell>
        </row>
        <row r="312">
          <cell r="A312">
            <v>824</v>
          </cell>
          <cell r="B312">
            <v>11.7</v>
          </cell>
          <cell r="C312">
            <v>138</v>
          </cell>
          <cell r="D312">
            <v>25</v>
          </cell>
          <cell r="E312">
            <v>1</v>
          </cell>
          <cell r="F312">
            <v>10.8208</v>
          </cell>
        </row>
        <row r="313">
          <cell r="A313">
            <v>827</v>
          </cell>
          <cell r="B313">
            <v>10</v>
          </cell>
          <cell r="C313">
            <v>138</v>
          </cell>
          <cell r="D313">
            <v>25</v>
          </cell>
          <cell r="E313">
            <v>1</v>
          </cell>
          <cell r="F313">
            <v>9.8364000000000011</v>
          </cell>
        </row>
        <row r="314">
          <cell r="A314">
            <v>828</v>
          </cell>
          <cell r="B314">
            <v>25</v>
          </cell>
          <cell r="C314">
            <v>138</v>
          </cell>
          <cell r="D314">
            <v>25</v>
          </cell>
          <cell r="E314">
            <v>1</v>
          </cell>
          <cell r="F314">
            <v>15.564400000000001</v>
          </cell>
        </row>
        <row r="315">
          <cell r="A315">
            <v>830</v>
          </cell>
          <cell r="B315">
            <v>41.6</v>
          </cell>
          <cell r="C315">
            <v>138</v>
          </cell>
          <cell r="D315">
            <v>25</v>
          </cell>
          <cell r="E315">
            <v>1</v>
          </cell>
          <cell r="F315">
            <v>11.96</v>
          </cell>
        </row>
        <row r="316">
          <cell r="A316">
            <v>832</v>
          </cell>
          <cell r="B316">
            <v>5</v>
          </cell>
          <cell r="C316">
            <v>138</v>
          </cell>
          <cell r="D316">
            <v>25</v>
          </cell>
          <cell r="E316">
            <v>1</v>
          </cell>
          <cell r="F316">
            <v>15.901200000000001</v>
          </cell>
        </row>
        <row r="317">
          <cell r="A317">
            <v>833</v>
          </cell>
          <cell r="B317">
            <v>10</v>
          </cell>
          <cell r="C317">
            <v>138</v>
          </cell>
          <cell r="D317">
            <v>4.16</v>
          </cell>
          <cell r="E317">
            <v>1</v>
          </cell>
          <cell r="F317">
            <v>6</v>
          </cell>
        </row>
        <row r="318">
          <cell r="A318">
            <v>836</v>
          </cell>
          <cell r="B318">
            <v>60</v>
          </cell>
          <cell r="C318">
            <v>69</v>
          </cell>
          <cell r="D318">
            <v>13.8</v>
          </cell>
          <cell r="E318">
            <v>2</v>
          </cell>
          <cell r="F318">
            <v>160.12440000000001</v>
          </cell>
        </row>
        <row r="319">
          <cell r="A319">
            <v>836</v>
          </cell>
          <cell r="B319">
            <v>60</v>
          </cell>
          <cell r="C319">
            <v>69</v>
          </cell>
          <cell r="D319">
            <v>13.8</v>
          </cell>
          <cell r="E319">
            <v>2</v>
          </cell>
          <cell r="F319">
            <v>30</v>
          </cell>
        </row>
        <row r="320">
          <cell r="A320">
            <v>837</v>
          </cell>
          <cell r="B320">
            <v>50</v>
          </cell>
          <cell r="C320">
            <v>138</v>
          </cell>
          <cell r="D320">
            <v>25</v>
          </cell>
          <cell r="E320">
            <v>2</v>
          </cell>
          <cell r="F320">
            <v>54.845200000000006</v>
          </cell>
        </row>
        <row r="321">
          <cell r="A321">
            <v>837</v>
          </cell>
          <cell r="B321">
            <v>50</v>
          </cell>
          <cell r="C321">
            <v>138</v>
          </cell>
          <cell r="D321">
            <v>25</v>
          </cell>
          <cell r="E321">
            <v>2</v>
          </cell>
          <cell r="F321">
            <v>99.181200000000004</v>
          </cell>
        </row>
        <row r="322">
          <cell r="A322">
            <v>843</v>
          </cell>
          <cell r="B322">
            <v>5</v>
          </cell>
          <cell r="C322">
            <v>69</v>
          </cell>
          <cell r="D322">
            <v>4.16</v>
          </cell>
          <cell r="E322">
            <v>1</v>
          </cell>
          <cell r="F322">
            <v>2.12</v>
          </cell>
        </row>
        <row r="323">
          <cell r="A323">
            <v>844</v>
          </cell>
          <cell r="B323">
            <v>100</v>
          </cell>
          <cell r="C323">
            <v>138</v>
          </cell>
          <cell r="D323">
            <v>13.8</v>
          </cell>
          <cell r="E323">
            <v>2</v>
          </cell>
          <cell r="F323">
            <v>61.613600000000005</v>
          </cell>
        </row>
        <row r="324">
          <cell r="A324">
            <v>846</v>
          </cell>
          <cell r="B324">
            <v>50</v>
          </cell>
          <cell r="C324">
            <v>138</v>
          </cell>
          <cell r="D324">
            <v>25</v>
          </cell>
          <cell r="E324">
            <v>2</v>
          </cell>
          <cell r="F324">
            <v>55.435600000000001</v>
          </cell>
        </row>
        <row r="325">
          <cell r="A325">
            <v>848</v>
          </cell>
          <cell r="B325">
            <v>25</v>
          </cell>
          <cell r="C325">
            <v>69</v>
          </cell>
          <cell r="D325">
            <v>25</v>
          </cell>
          <cell r="E325">
            <v>1</v>
          </cell>
          <cell r="F325">
            <v>112.42800000000001</v>
          </cell>
        </row>
        <row r="326">
          <cell r="A326">
            <v>851</v>
          </cell>
          <cell r="B326">
            <v>25</v>
          </cell>
          <cell r="C326">
            <v>138</v>
          </cell>
          <cell r="D326">
            <v>25</v>
          </cell>
          <cell r="E326">
            <v>1</v>
          </cell>
          <cell r="F326">
            <v>13.844000000000001</v>
          </cell>
        </row>
        <row r="327">
          <cell r="A327">
            <v>853</v>
          </cell>
          <cell r="B327">
            <v>20</v>
          </cell>
          <cell r="C327">
            <v>138</v>
          </cell>
          <cell r="D327">
            <v>25</v>
          </cell>
          <cell r="E327">
            <v>2</v>
          </cell>
          <cell r="F327">
            <v>14.6424</v>
          </cell>
        </row>
        <row r="328">
          <cell r="A328">
            <v>854</v>
          </cell>
          <cell r="B328">
            <v>10</v>
          </cell>
          <cell r="C328">
            <v>69</v>
          </cell>
          <cell r="D328">
            <v>25</v>
          </cell>
          <cell r="E328">
            <v>1</v>
          </cell>
          <cell r="F328">
            <v>4.1500000000000004</v>
          </cell>
        </row>
        <row r="329">
          <cell r="A329">
            <v>855</v>
          </cell>
          <cell r="B329">
            <v>10</v>
          </cell>
          <cell r="C329">
            <v>138</v>
          </cell>
          <cell r="D329">
            <v>25</v>
          </cell>
          <cell r="E329">
            <v>1</v>
          </cell>
          <cell r="F329">
            <v>10.6944</v>
          </cell>
        </row>
        <row r="330">
          <cell r="A330">
            <v>860</v>
          </cell>
          <cell r="B330">
            <v>10</v>
          </cell>
          <cell r="C330">
            <v>138</v>
          </cell>
          <cell r="D330">
            <v>25</v>
          </cell>
          <cell r="E330">
            <v>1</v>
          </cell>
          <cell r="F330">
            <v>8</v>
          </cell>
        </row>
        <row r="331">
          <cell r="A331">
            <v>861</v>
          </cell>
          <cell r="B331">
            <v>6</v>
          </cell>
          <cell r="C331">
            <v>69</v>
          </cell>
          <cell r="D331">
            <v>25</v>
          </cell>
          <cell r="E331">
            <v>1</v>
          </cell>
          <cell r="F331">
            <v>3.8348</v>
          </cell>
        </row>
        <row r="332">
          <cell r="A332">
            <v>862</v>
          </cell>
          <cell r="B332">
            <v>10</v>
          </cell>
          <cell r="C332">
            <v>138</v>
          </cell>
          <cell r="D332">
            <v>25</v>
          </cell>
          <cell r="E332">
            <v>1</v>
          </cell>
          <cell r="F332">
            <v>4.7604000000000006</v>
          </cell>
        </row>
        <row r="333">
          <cell r="A333">
            <v>863</v>
          </cell>
          <cell r="B333">
            <v>50</v>
          </cell>
          <cell r="C333">
            <v>240</v>
          </cell>
          <cell r="D333">
            <v>25</v>
          </cell>
          <cell r="E333">
            <v>2</v>
          </cell>
          <cell r="F333">
            <v>32.244</v>
          </cell>
        </row>
        <row r="334">
          <cell r="A334">
            <v>865</v>
          </cell>
          <cell r="B334">
            <v>25</v>
          </cell>
          <cell r="C334">
            <v>138</v>
          </cell>
          <cell r="D334">
            <v>25</v>
          </cell>
          <cell r="E334">
            <v>1</v>
          </cell>
          <cell r="F334">
            <v>26.9604</v>
          </cell>
        </row>
        <row r="335">
          <cell r="A335">
            <v>866</v>
          </cell>
          <cell r="B335">
            <v>5</v>
          </cell>
          <cell r="C335">
            <v>69</v>
          </cell>
          <cell r="D335">
            <v>4.16</v>
          </cell>
          <cell r="E335">
            <v>1</v>
          </cell>
          <cell r="F335">
            <v>6.0988000000000007</v>
          </cell>
        </row>
        <row r="336">
          <cell r="A336">
            <v>867</v>
          </cell>
          <cell r="B336">
            <v>1</v>
          </cell>
          <cell r="C336">
            <v>69</v>
          </cell>
          <cell r="D336">
            <v>2.4</v>
          </cell>
          <cell r="E336">
            <v>1</v>
          </cell>
          <cell r="F336">
            <v>0.61480000000000001</v>
          </cell>
        </row>
        <row r="337">
          <cell r="A337">
            <v>868</v>
          </cell>
          <cell r="B337">
            <v>5</v>
          </cell>
          <cell r="C337">
            <v>69</v>
          </cell>
          <cell r="D337">
            <v>4.16</v>
          </cell>
          <cell r="E337">
            <v>1</v>
          </cell>
          <cell r="F337">
            <v>1.4</v>
          </cell>
        </row>
        <row r="338">
          <cell r="A338">
            <v>869</v>
          </cell>
          <cell r="B338">
            <v>10</v>
          </cell>
          <cell r="C338">
            <v>138</v>
          </cell>
          <cell r="D338">
            <v>25</v>
          </cell>
          <cell r="E338">
            <v>1</v>
          </cell>
          <cell r="F338">
            <v>5.7675999999999998</v>
          </cell>
        </row>
        <row r="339">
          <cell r="A339">
            <v>873</v>
          </cell>
          <cell r="B339">
            <v>7.5</v>
          </cell>
          <cell r="C339">
            <v>69</v>
          </cell>
          <cell r="D339">
            <v>25</v>
          </cell>
          <cell r="E339">
            <v>1</v>
          </cell>
          <cell r="F339">
            <v>8.2620000000000005</v>
          </cell>
        </row>
        <row r="340">
          <cell r="A340">
            <v>874</v>
          </cell>
          <cell r="B340">
            <v>25</v>
          </cell>
          <cell r="C340">
            <v>240</v>
          </cell>
          <cell r="D340">
            <v>25</v>
          </cell>
          <cell r="E340">
            <v>1</v>
          </cell>
          <cell r="F340">
            <v>12</v>
          </cell>
        </row>
        <row r="341">
          <cell r="A341">
            <v>874</v>
          </cell>
          <cell r="B341">
            <v>25</v>
          </cell>
          <cell r="C341">
            <v>240</v>
          </cell>
          <cell r="D341">
            <v>25</v>
          </cell>
          <cell r="E341">
            <v>1</v>
          </cell>
          <cell r="F341" t="str">
            <v/>
          </cell>
        </row>
        <row r="342">
          <cell r="A342">
            <v>875</v>
          </cell>
          <cell r="B342">
            <v>10</v>
          </cell>
          <cell r="C342">
            <v>138</v>
          </cell>
          <cell r="D342">
            <v>4.16</v>
          </cell>
          <cell r="E342">
            <v>1</v>
          </cell>
          <cell r="F342">
            <v>6</v>
          </cell>
        </row>
        <row r="343">
          <cell r="A343">
            <v>876</v>
          </cell>
          <cell r="B343">
            <v>28</v>
          </cell>
          <cell r="C343">
            <v>240</v>
          </cell>
          <cell r="D343">
            <v>25</v>
          </cell>
          <cell r="E343">
            <v>1</v>
          </cell>
          <cell r="F343">
            <v>18.02</v>
          </cell>
        </row>
        <row r="344">
          <cell r="A344">
            <v>877</v>
          </cell>
          <cell r="B344">
            <v>10</v>
          </cell>
          <cell r="C344">
            <v>138</v>
          </cell>
          <cell r="D344">
            <v>25</v>
          </cell>
          <cell r="E344">
            <v>1</v>
          </cell>
          <cell r="F344">
            <v>17.852800000000002</v>
          </cell>
        </row>
        <row r="345">
          <cell r="A345">
            <v>877</v>
          </cell>
          <cell r="B345">
            <v>10</v>
          </cell>
          <cell r="C345">
            <v>138</v>
          </cell>
          <cell r="D345">
            <v>25</v>
          </cell>
          <cell r="E345">
            <v>1</v>
          </cell>
          <cell r="F345">
            <v>0.88800000000000001</v>
          </cell>
        </row>
        <row r="346">
          <cell r="A346">
            <v>878</v>
          </cell>
          <cell r="B346">
            <v>10</v>
          </cell>
          <cell r="C346">
            <v>138</v>
          </cell>
          <cell r="D346">
            <v>25</v>
          </cell>
          <cell r="E346">
            <v>1</v>
          </cell>
          <cell r="F346">
            <v>9</v>
          </cell>
        </row>
        <row r="347">
          <cell r="A347">
            <v>882</v>
          </cell>
          <cell r="B347">
            <v>25</v>
          </cell>
          <cell r="C347">
            <v>138</v>
          </cell>
          <cell r="D347">
            <v>25</v>
          </cell>
          <cell r="E347">
            <v>1</v>
          </cell>
          <cell r="F347">
            <v>16.3184</v>
          </cell>
        </row>
        <row r="348">
          <cell r="A348">
            <v>883</v>
          </cell>
          <cell r="B348">
            <v>10</v>
          </cell>
          <cell r="C348">
            <v>138</v>
          </cell>
          <cell r="D348">
            <v>25</v>
          </cell>
          <cell r="E348">
            <v>1</v>
          </cell>
          <cell r="F348">
            <v>8.48E-2</v>
          </cell>
        </row>
        <row r="349">
          <cell r="A349">
            <v>887</v>
          </cell>
          <cell r="B349">
            <v>5</v>
          </cell>
          <cell r="C349">
            <v>69</v>
          </cell>
          <cell r="D349">
            <v>2.4</v>
          </cell>
          <cell r="E349">
            <v>1</v>
          </cell>
          <cell r="F349">
            <v>2.8740000000000001</v>
          </cell>
        </row>
        <row r="350">
          <cell r="A350">
            <v>890</v>
          </cell>
          <cell r="B350">
            <v>15</v>
          </cell>
          <cell r="C350">
            <v>138</v>
          </cell>
          <cell r="D350">
            <v>25</v>
          </cell>
          <cell r="E350">
            <v>1</v>
          </cell>
          <cell r="F350">
            <v>12.5</v>
          </cell>
        </row>
        <row r="351">
          <cell r="A351">
            <v>895</v>
          </cell>
          <cell r="B351">
            <v>21</v>
          </cell>
          <cell r="C351">
            <v>138</v>
          </cell>
          <cell r="D351">
            <v>25</v>
          </cell>
          <cell r="E351">
            <v>2</v>
          </cell>
          <cell r="F351">
            <v>17.526</v>
          </cell>
        </row>
        <row r="352">
          <cell r="A352">
            <v>899</v>
          </cell>
          <cell r="B352">
            <v>1</v>
          </cell>
          <cell r="C352">
            <v>69</v>
          </cell>
          <cell r="D352">
            <v>25</v>
          </cell>
          <cell r="E352">
            <v>1</v>
          </cell>
          <cell r="F352">
            <v>6.7152000000000003</v>
          </cell>
        </row>
        <row r="353">
          <cell r="A353">
            <v>899</v>
          </cell>
          <cell r="B353">
            <v>10</v>
          </cell>
          <cell r="C353">
            <v>138</v>
          </cell>
          <cell r="D353">
            <v>25</v>
          </cell>
          <cell r="E353">
            <v>1</v>
          </cell>
          <cell r="F353">
            <v>6.7152000000000003</v>
          </cell>
        </row>
        <row r="354">
          <cell r="A354">
            <v>906</v>
          </cell>
          <cell r="B354">
            <v>25</v>
          </cell>
          <cell r="C354">
            <v>138</v>
          </cell>
          <cell r="D354">
            <v>13.8</v>
          </cell>
          <cell r="E354">
            <v>1</v>
          </cell>
          <cell r="F354">
            <v>28.341200000000001</v>
          </cell>
        </row>
        <row r="355">
          <cell r="A355">
            <v>906</v>
          </cell>
          <cell r="B355">
            <v>30</v>
          </cell>
          <cell r="C355">
            <v>138</v>
          </cell>
          <cell r="D355">
            <v>13.8</v>
          </cell>
          <cell r="E355">
            <v>1</v>
          </cell>
          <cell r="F355">
            <v>14.647600000000001</v>
          </cell>
        </row>
        <row r="356">
          <cell r="A356">
            <v>945</v>
          </cell>
          <cell r="B356">
            <v>12</v>
          </cell>
          <cell r="C356">
            <v>69</v>
          </cell>
          <cell r="D356">
            <v>25</v>
          </cell>
          <cell r="E356">
            <v>2</v>
          </cell>
          <cell r="F356">
            <v>2.81</v>
          </cell>
        </row>
        <row r="357">
          <cell r="A357">
            <v>953</v>
          </cell>
          <cell r="B357">
            <v>12</v>
          </cell>
          <cell r="C357">
            <v>69</v>
          </cell>
          <cell r="D357">
            <v>25</v>
          </cell>
          <cell r="E357">
            <v>2</v>
          </cell>
          <cell r="F357">
            <v>7.0072000000000001</v>
          </cell>
        </row>
        <row r="358">
          <cell r="A358">
            <v>964</v>
          </cell>
          <cell r="B358">
            <v>15</v>
          </cell>
          <cell r="C358">
            <v>138</v>
          </cell>
          <cell r="D358">
            <v>25</v>
          </cell>
          <cell r="E358">
            <v>1</v>
          </cell>
          <cell r="F358">
            <v>14.805200000000001</v>
          </cell>
        </row>
        <row r="359">
          <cell r="A359">
            <v>968</v>
          </cell>
          <cell r="B359">
            <v>3</v>
          </cell>
          <cell r="C359">
            <v>69</v>
          </cell>
          <cell r="D359">
            <v>4.16</v>
          </cell>
          <cell r="E359">
            <v>1</v>
          </cell>
          <cell r="F359">
            <v>2.2383999999999999</v>
          </cell>
        </row>
        <row r="360">
          <cell r="A360">
            <v>975</v>
          </cell>
          <cell r="B360">
            <v>3</v>
          </cell>
          <cell r="C360">
            <v>138</v>
          </cell>
          <cell r="D360">
            <v>25</v>
          </cell>
          <cell r="E360">
            <v>1</v>
          </cell>
          <cell r="F360">
            <v>1.3740000000000001</v>
          </cell>
        </row>
        <row r="361">
          <cell r="A361">
            <v>983</v>
          </cell>
          <cell r="B361">
            <v>2.5</v>
          </cell>
          <cell r="C361">
            <v>69</v>
          </cell>
          <cell r="D361">
            <v>25</v>
          </cell>
          <cell r="E361">
            <v>1</v>
          </cell>
          <cell r="F361">
            <v>0.49720000000000003</v>
          </cell>
        </row>
        <row r="362">
          <cell r="A362">
            <v>985</v>
          </cell>
          <cell r="B362">
            <v>40</v>
          </cell>
          <cell r="C362">
            <v>138</v>
          </cell>
          <cell r="D362">
            <v>4.16</v>
          </cell>
          <cell r="E362">
            <v>2</v>
          </cell>
          <cell r="F362">
            <v>31.819200000000002</v>
          </cell>
        </row>
        <row r="363">
          <cell r="A363">
            <v>994</v>
          </cell>
          <cell r="B363">
            <v>6</v>
          </cell>
          <cell r="C363">
            <v>69</v>
          </cell>
          <cell r="D363">
            <v>25</v>
          </cell>
          <cell r="E363">
            <v>1</v>
          </cell>
          <cell r="F363">
            <v>3.9984000000000002</v>
          </cell>
        </row>
        <row r="364">
          <cell r="A364">
            <v>995</v>
          </cell>
          <cell r="B364">
            <v>5</v>
          </cell>
          <cell r="C364">
            <v>69</v>
          </cell>
          <cell r="D364">
            <v>2.4</v>
          </cell>
          <cell r="E364">
            <v>1</v>
          </cell>
          <cell r="F364">
            <v>2.4256000000000002</v>
          </cell>
        </row>
        <row r="365">
          <cell r="A365">
            <v>996</v>
          </cell>
          <cell r="B365">
            <v>5</v>
          </cell>
          <cell r="C365">
            <v>69</v>
          </cell>
          <cell r="D365">
            <v>2.4</v>
          </cell>
          <cell r="E365">
            <v>1</v>
          </cell>
          <cell r="F365">
            <v>0.52239999999999998</v>
          </cell>
        </row>
        <row r="366">
          <cell r="A366">
            <v>2739</v>
          </cell>
          <cell r="B366">
            <v>5</v>
          </cell>
          <cell r="C366">
            <v>69</v>
          </cell>
          <cell r="D366">
            <v>25</v>
          </cell>
          <cell r="E366">
            <v>1</v>
          </cell>
          <cell r="F366">
            <v>4.0132000000000003</v>
          </cell>
        </row>
        <row r="367">
          <cell r="A367">
            <v>3080</v>
          </cell>
          <cell r="B367">
            <v>5</v>
          </cell>
          <cell r="C367">
            <v>69</v>
          </cell>
          <cell r="D367">
            <v>4.16</v>
          </cell>
          <cell r="E367">
            <v>1</v>
          </cell>
          <cell r="F367">
            <v>2.0388000000000002</v>
          </cell>
        </row>
      </sheetData>
      <sheetData sheetId="1"/>
      <sheetData sheetId="2">
        <row r="426">
          <cell r="E426" t="str">
            <v>1.80L</v>
          </cell>
          <cell r="F426">
            <v>11.47</v>
          </cell>
        </row>
        <row r="427">
          <cell r="E427" t="str">
            <v>1.81L</v>
          </cell>
          <cell r="F427">
            <v>3.63</v>
          </cell>
        </row>
        <row r="428">
          <cell r="E428" t="str">
            <v>1.82L</v>
          </cell>
          <cell r="F428">
            <v>1.88</v>
          </cell>
        </row>
        <row r="429">
          <cell r="E429" t="str">
            <v>1.83L</v>
          </cell>
          <cell r="F429">
            <v>0.93</v>
          </cell>
        </row>
        <row r="430">
          <cell r="E430" t="str">
            <v>1.84L</v>
          </cell>
          <cell r="F430">
            <v>1.88</v>
          </cell>
        </row>
        <row r="431">
          <cell r="E431" t="str">
            <v>1.85L</v>
          </cell>
          <cell r="F431">
            <v>0.64</v>
          </cell>
        </row>
        <row r="432">
          <cell r="E432" t="str">
            <v>10.60L</v>
          </cell>
          <cell r="F432">
            <v>4.63</v>
          </cell>
        </row>
        <row r="433">
          <cell r="E433" t="str">
            <v>100L</v>
          </cell>
          <cell r="F433">
            <v>107.26</v>
          </cell>
        </row>
        <row r="434">
          <cell r="E434" t="str">
            <v>104L</v>
          </cell>
          <cell r="F434">
            <v>81.28</v>
          </cell>
        </row>
        <row r="435">
          <cell r="E435" t="str">
            <v>11.81L</v>
          </cell>
          <cell r="F435">
            <v>5.0599999999999996</v>
          </cell>
        </row>
        <row r="436">
          <cell r="E436" t="str">
            <v>11.82L</v>
          </cell>
          <cell r="F436">
            <v>9.67</v>
          </cell>
        </row>
        <row r="437">
          <cell r="E437" t="str">
            <v>113L</v>
          </cell>
          <cell r="F437">
            <v>58.99</v>
          </cell>
        </row>
        <row r="438">
          <cell r="E438" t="str">
            <v>1201L</v>
          </cell>
          <cell r="F438">
            <v>319.02999999999997</v>
          </cell>
        </row>
        <row r="439">
          <cell r="E439" t="str">
            <v>1202L</v>
          </cell>
          <cell r="F439">
            <v>68.849999999999994</v>
          </cell>
        </row>
        <row r="440">
          <cell r="E440" t="str">
            <v>1203L</v>
          </cell>
          <cell r="F440">
            <v>18.260000000000002</v>
          </cell>
        </row>
        <row r="441">
          <cell r="E441" t="str">
            <v>1209L</v>
          </cell>
          <cell r="F441">
            <v>67.069999999999993</v>
          </cell>
        </row>
        <row r="442">
          <cell r="E442" t="str">
            <v>123L</v>
          </cell>
          <cell r="F442">
            <v>25.93</v>
          </cell>
        </row>
        <row r="443">
          <cell r="E443" t="str">
            <v>124L</v>
          </cell>
          <cell r="F443">
            <v>34.75</v>
          </cell>
        </row>
        <row r="444">
          <cell r="E444" t="str">
            <v>129L</v>
          </cell>
          <cell r="F444">
            <v>45.73</v>
          </cell>
        </row>
        <row r="445">
          <cell r="E445" t="str">
            <v>13.60L</v>
          </cell>
          <cell r="F445">
            <v>5.27</v>
          </cell>
        </row>
        <row r="446">
          <cell r="E446" t="str">
            <v>13.82L</v>
          </cell>
          <cell r="F446">
            <v>4.3</v>
          </cell>
        </row>
        <row r="447">
          <cell r="E447" t="str">
            <v>132L</v>
          </cell>
          <cell r="F447">
            <v>8</v>
          </cell>
        </row>
        <row r="448">
          <cell r="E448" t="str">
            <v>133L</v>
          </cell>
          <cell r="F448">
            <v>13.27</v>
          </cell>
        </row>
        <row r="449">
          <cell r="E449" t="str">
            <v>13L</v>
          </cell>
          <cell r="F449">
            <v>13.64</v>
          </cell>
        </row>
        <row r="450">
          <cell r="E450" t="str">
            <v>14.83L</v>
          </cell>
          <cell r="F450">
            <v>5.64</v>
          </cell>
        </row>
        <row r="451">
          <cell r="E451" t="str">
            <v>146L</v>
          </cell>
          <cell r="F451">
            <v>10.19</v>
          </cell>
        </row>
        <row r="452">
          <cell r="E452" t="str">
            <v>15.60L</v>
          </cell>
          <cell r="F452">
            <v>2.1800000000000002</v>
          </cell>
        </row>
        <row r="453">
          <cell r="E453" t="str">
            <v>15.62L</v>
          </cell>
          <cell r="F453">
            <v>3.79</v>
          </cell>
        </row>
        <row r="454">
          <cell r="E454" t="str">
            <v>150L</v>
          </cell>
          <cell r="F454">
            <v>45.23</v>
          </cell>
        </row>
        <row r="455">
          <cell r="E455" t="str">
            <v>156L</v>
          </cell>
          <cell r="F455">
            <v>34.4</v>
          </cell>
        </row>
        <row r="456">
          <cell r="E456" t="str">
            <v>158L</v>
          </cell>
          <cell r="F456">
            <v>17.37</v>
          </cell>
        </row>
        <row r="457">
          <cell r="E457" t="str">
            <v>16.60L</v>
          </cell>
          <cell r="F457">
            <v>4.25</v>
          </cell>
        </row>
        <row r="458">
          <cell r="E458" t="str">
            <v>16.61L</v>
          </cell>
          <cell r="F458">
            <v>5.36</v>
          </cell>
        </row>
        <row r="459">
          <cell r="E459" t="str">
            <v>16.63L</v>
          </cell>
          <cell r="F459">
            <v>5.23</v>
          </cell>
        </row>
        <row r="460">
          <cell r="E460" t="str">
            <v>161L</v>
          </cell>
          <cell r="F460">
            <v>45.96</v>
          </cell>
        </row>
        <row r="461">
          <cell r="E461" t="str">
            <v>162L</v>
          </cell>
          <cell r="F461">
            <v>24.7</v>
          </cell>
        </row>
        <row r="462">
          <cell r="E462" t="str">
            <v>164L</v>
          </cell>
          <cell r="F462">
            <v>30.93</v>
          </cell>
        </row>
        <row r="463">
          <cell r="E463" t="str">
            <v>166L</v>
          </cell>
          <cell r="F463">
            <v>25.35</v>
          </cell>
        </row>
        <row r="464">
          <cell r="E464" t="str">
            <v>166S</v>
          </cell>
          <cell r="F464">
            <v>0</v>
          </cell>
        </row>
        <row r="465">
          <cell r="E465" t="str">
            <v>166S</v>
          </cell>
          <cell r="F465">
            <v>0</v>
          </cell>
        </row>
        <row r="466">
          <cell r="E466" t="str">
            <v>170L</v>
          </cell>
          <cell r="F466">
            <v>115.29</v>
          </cell>
        </row>
        <row r="467">
          <cell r="E467" t="str">
            <v>172L</v>
          </cell>
          <cell r="F467">
            <v>217.14</v>
          </cell>
        </row>
        <row r="468">
          <cell r="E468" t="str">
            <v>174L</v>
          </cell>
          <cell r="F468">
            <v>62.8</v>
          </cell>
        </row>
        <row r="469">
          <cell r="E469" t="str">
            <v>180L</v>
          </cell>
          <cell r="F469">
            <v>115.9</v>
          </cell>
        </row>
        <row r="470">
          <cell r="E470" t="str">
            <v>185L</v>
          </cell>
          <cell r="F470">
            <v>44.89</v>
          </cell>
        </row>
        <row r="471">
          <cell r="E471" t="str">
            <v>189L</v>
          </cell>
          <cell r="F471">
            <v>11.96</v>
          </cell>
        </row>
        <row r="472">
          <cell r="E472" t="str">
            <v>190L</v>
          </cell>
          <cell r="F472">
            <v>145.13</v>
          </cell>
        </row>
        <row r="473">
          <cell r="E473" t="str">
            <v>197L</v>
          </cell>
          <cell r="F473">
            <v>16.239999999999998</v>
          </cell>
        </row>
        <row r="474">
          <cell r="E474" t="str">
            <v>199L</v>
          </cell>
          <cell r="F474">
            <v>63.76</v>
          </cell>
        </row>
        <row r="475">
          <cell r="E475" t="str">
            <v>2.80L</v>
          </cell>
          <cell r="F475">
            <v>4.24</v>
          </cell>
        </row>
        <row r="476">
          <cell r="E476" t="str">
            <v>2.81L</v>
          </cell>
          <cell r="F476">
            <v>3.69</v>
          </cell>
        </row>
        <row r="477">
          <cell r="E477" t="str">
            <v>2.82L</v>
          </cell>
          <cell r="F477">
            <v>3.03</v>
          </cell>
        </row>
        <row r="478">
          <cell r="E478" t="str">
            <v>2.83L</v>
          </cell>
          <cell r="F478">
            <v>10.01</v>
          </cell>
        </row>
        <row r="479">
          <cell r="E479" t="str">
            <v>20.82L</v>
          </cell>
          <cell r="F479">
            <v>4.24</v>
          </cell>
        </row>
        <row r="480">
          <cell r="E480" t="str">
            <v>201-PTL260</v>
          </cell>
          <cell r="F480">
            <v>38</v>
          </cell>
        </row>
        <row r="481">
          <cell r="E481" t="str">
            <v>202L</v>
          </cell>
          <cell r="F481">
            <v>109.98</v>
          </cell>
        </row>
        <row r="482">
          <cell r="E482" t="str">
            <v>2047L</v>
          </cell>
          <cell r="F482">
            <v>18.579999999999998</v>
          </cell>
        </row>
        <row r="483">
          <cell r="E483" t="str">
            <v>207L</v>
          </cell>
          <cell r="F483">
            <v>10.42</v>
          </cell>
        </row>
        <row r="484">
          <cell r="E484" t="str">
            <v>21.61L</v>
          </cell>
          <cell r="F484">
            <v>5.35</v>
          </cell>
        </row>
        <row r="485">
          <cell r="E485" t="str">
            <v>21.80L</v>
          </cell>
          <cell r="F485">
            <v>4.8899999999999997</v>
          </cell>
        </row>
        <row r="486">
          <cell r="E486" t="str">
            <v>215L</v>
          </cell>
          <cell r="F486">
            <v>4.22</v>
          </cell>
        </row>
        <row r="487">
          <cell r="E487" t="str">
            <v>22.81L</v>
          </cell>
          <cell r="F487">
            <v>7.22</v>
          </cell>
        </row>
        <row r="488">
          <cell r="E488" t="str">
            <v>223L</v>
          </cell>
          <cell r="F488">
            <v>62.49</v>
          </cell>
        </row>
        <row r="489">
          <cell r="E489" t="str">
            <v>225L</v>
          </cell>
          <cell r="F489">
            <v>81.7</v>
          </cell>
        </row>
        <row r="490">
          <cell r="E490" t="str">
            <v>23.80L</v>
          </cell>
          <cell r="F490">
            <v>7.87</v>
          </cell>
        </row>
        <row r="491">
          <cell r="E491" t="str">
            <v>233S</v>
          </cell>
          <cell r="F491">
            <v>0</v>
          </cell>
        </row>
        <row r="492">
          <cell r="E492" t="str">
            <v>234L</v>
          </cell>
          <cell r="F492">
            <v>12.93</v>
          </cell>
        </row>
        <row r="493">
          <cell r="E493" t="str">
            <v>24.81L</v>
          </cell>
          <cell r="F493">
            <v>5.05</v>
          </cell>
        </row>
        <row r="494">
          <cell r="E494" t="str">
            <v>24.82L</v>
          </cell>
          <cell r="F494">
            <v>17.75</v>
          </cell>
        </row>
        <row r="495">
          <cell r="E495" t="str">
            <v>24.83L</v>
          </cell>
          <cell r="F495">
            <v>7.97</v>
          </cell>
        </row>
        <row r="496">
          <cell r="E496" t="str">
            <v>240BA2</v>
          </cell>
          <cell r="F496">
            <v>4.71</v>
          </cell>
        </row>
        <row r="497">
          <cell r="E497" t="str">
            <v>240BA3</v>
          </cell>
          <cell r="F497">
            <v>4.63</v>
          </cell>
        </row>
        <row r="498">
          <cell r="E498" t="str">
            <v>28.80L</v>
          </cell>
          <cell r="F498">
            <v>0.42</v>
          </cell>
        </row>
        <row r="499">
          <cell r="E499" t="str">
            <v>29EDD-1</v>
          </cell>
          <cell r="F499">
            <v>0</v>
          </cell>
        </row>
        <row r="500">
          <cell r="E500" t="str">
            <v>29EDD-1</v>
          </cell>
          <cell r="F500">
            <v>0</v>
          </cell>
        </row>
        <row r="501">
          <cell r="E501" t="str">
            <v>29PL6-3</v>
          </cell>
          <cell r="F501">
            <v>0</v>
          </cell>
        </row>
        <row r="502">
          <cell r="E502" t="str">
            <v>29PL6-4</v>
          </cell>
          <cell r="F502">
            <v>0</v>
          </cell>
        </row>
        <row r="503">
          <cell r="E503" t="str">
            <v>29PL6-5</v>
          </cell>
          <cell r="F503">
            <v>0</v>
          </cell>
        </row>
        <row r="504">
          <cell r="E504" t="str">
            <v>29PL6-6</v>
          </cell>
          <cell r="F504">
            <v>0</v>
          </cell>
        </row>
        <row r="505">
          <cell r="E505" t="str">
            <v>29PL91</v>
          </cell>
          <cell r="F505">
            <v>4.5599999999999996</v>
          </cell>
        </row>
        <row r="506">
          <cell r="E506" t="str">
            <v>29PL92</v>
          </cell>
          <cell r="F506">
            <v>5</v>
          </cell>
        </row>
        <row r="507">
          <cell r="E507" t="str">
            <v>3.82L</v>
          </cell>
          <cell r="F507">
            <v>3.73</v>
          </cell>
        </row>
        <row r="508">
          <cell r="E508" t="str">
            <v>3.84L</v>
          </cell>
          <cell r="F508">
            <v>2.91</v>
          </cell>
        </row>
        <row r="509">
          <cell r="E509" t="str">
            <v>30.81L</v>
          </cell>
          <cell r="F509">
            <v>7.78</v>
          </cell>
        </row>
        <row r="510">
          <cell r="E510" t="str">
            <v>30.82L</v>
          </cell>
          <cell r="F510">
            <v>10.6</v>
          </cell>
        </row>
        <row r="511">
          <cell r="E511" t="str">
            <v>300L</v>
          </cell>
          <cell r="F511">
            <v>3.1</v>
          </cell>
        </row>
        <row r="512">
          <cell r="E512" t="str">
            <v>31.84L</v>
          </cell>
          <cell r="F512">
            <v>5.91</v>
          </cell>
        </row>
        <row r="513">
          <cell r="E513" t="str">
            <v>32.83L</v>
          </cell>
          <cell r="F513">
            <v>4.54</v>
          </cell>
        </row>
        <row r="514">
          <cell r="E514" t="str">
            <v>33.83L</v>
          </cell>
          <cell r="F514">
            <v>5.94</v>
          </cell>
        </row>
        <row r="515">
          <cell r="E515" t="str">
            <v>33.84L</v>
          </cell>
          <cell r="F515">
            <v>4.2699999999999996</v>
          </cell>
        </row>
        <row r="516">
          <cell r="E516" t="str">
            <v>36.81L</v>
          </cell>
          <cell r="F516">
            <v>3.27</v>
          </cell>
        </row>
        <row r="517">
          <cell r="E517" t="str">
            <v>36.82L</v>
          </cell>
          <cell r="F517">
            <v>14.82</v>
          </cell>
        </row>
        <row r="518">
          <cell r="E518" t="str">
            <v>37.81L</v>
          </cell>
          <cell r="F518">
            <v>4.83</v>
          </cell>
        </row>
        <row r="519">
          <cell r="E519" t="str">
            <v>37.82L</v>
          </cell>
          <cell r="F519">
            <v>3.36</v>
          </cell>
        </row>
        <row r="520">
          <cell r="E520" t="str">
            <v>38.83L</v>
          </cell>
          <cell r="F520">
            <v>4.96</v>
          </cell>
        </row>
        <row r="521">
          <cell r="E521" t="str">
            <v>39.82L</v>
          </cell>
          <cell r="F521">
            <v>13.97</v>
          </cell>
        </row>
        <row r="522">
          <cell r="E522" t="str">
            <v>3AL</v>
          </cell>
          <cell r="F522">
            <v>0.47</v>
          </cell>
        </row>
        <row r="523">
          <cell r="E523" t="str">
            <v>3L</v>
          </cell>
          <cell r="F523">
            <v>66.56</v>
          </cell>
        </row>
        <row r="524">
          <cell r="E524" t="str">
            <v>40.81L</v>
          </cell>
          <cell r="F524">
            <v>4.5199999999999996</v>
          </cell>
        </row>
        <row r="525">
          <cell r="E525" t="str">
            <v>4DL01</v>
          </cell>
          <cell r="F525">
            <v>0</v>
          </cell>
        </row>
        <row r="526">
          <cell r="E526" t="str">
            <v>4DL02</v>
          </cell>
          <cell r="F526">
            <v>0</v>
          </cell>
        </row>
        <row r="527">
          <cell r="E527" t="str">
            <v>501L</v>
          </cell>
          <cell r="F527">
            <v>6.13</v>
          </cell>
        </row>
        <row r="528">
          <cell r="E528" t="str">
            <v>503L</v>
          </cell>
          <cell r="F528">
            <v>1</v>
          </cell>
        </row>
        <row r="529">
          <cell r="E529" t="str">
            <v>505L</v>
          </cell>
          <cell r="F529">
            <v>0.02</v>
          </cell>
        </row>
        <row r="530">
          <cell r="E530" t="str">
            <v>508L</v>
          </cell>
          <cell r="F530">
            <v>34.950000000000003</v>
          </cell>
        </row>
        <row r="531">
          <cell r="E531" t="str">
            <v>50L</v>
          </cell>
          <cell r="F531">
            <v>10.06</v>
          </cell>
        </row>
        <row r="532">
          <cell r="E532" t="str">
            <v>512L</v>
          </cell>
          <cell r="F532">
            <v>1.1399999999999999</v>
          </cell>
        </row>
        <row r="533">
          <cell r="E533" t="str">
            <v>514L</v>
          </cell>
          <cell r="F533">
            <v>45.78</v>
          </cell>
        </row>
        <row r="534">
          <cell r="E534" t="str">
            <v>515L</v>
          </cell>
          <cell r="F534">
            <v>8.86</v>
          </cell>
        </row>
        <row r="535">
          <cell r="E535" t="str">
            <v>517L</v>
          </cell>
          <cell r="F535">
            <v>38.4</v>
          </cell>
        </row>
        <row r="536">
          <cell r="E536" t="str">
            <v>519L</v>
          </cell>
          <cell r="F536">
            <v>3.12</v>
          </cell>
        </row>
        <row r="537">
          <cell r="E537" t="str">
            <v>520L</v>
          </cell>
          <cell r="F537">
            <v>0.75</v>
          </cell>
        </row>
        <row r="538">
          <cell r="E538" t="str">
            <v>521L</v>
          </cell>
          <cell r="F538">
            <v>5.68</v>
          </cell>
        </row>
        <row r="539">
          <cell r="E539" t="str">
            <v>522L</v>
          </cell>
          <cell r="F539">
            <v>8.24</v>
          </cell>
        </row>
        <row r="540">
          <cell r="E540" t="str">
            <v>526L</v>
          </cell>
          <cell r="F540">
            <v>42.99</v>
          </cell>
        </row>
        <row r="541">
          <cell r="E541" t="str">
            <v>535S</v>
          </cell>
          <cell r="F541">
            <v>3</v>
          </cell>
        </row>
        <row r="542">
          <cell r="E542" t="str">
            <v>537L</v>
          </cell>
          <cell r="F542">
            <v>27.21</v>
          </cell>
        </row>
        <row r="543">
          <cell r="E543" t="str">
            <v>544L</v>
          </cell>
          <cell r="F543">
            <v>12.25</v>
          </cell>
        </row>
        <row r="544">
          <cell r="E544" t="str">
            <v>54L</v>
          </cell>
          <cell r="F544">
            <v>24.09</v>
          </cell>
        </row>
        <row r="545">
          <cell r="E545" t="str">
            <v>551L</v>
          </cell>
          <cell r="F545">
            <v>57.87</v>
          </cell>
        </row>
        <row r="546">
          <cell r="E546" t="str">
            <v>56L</v>
          </cell>
          <cell r="F546">
            <v>28.19</v>
          </cell>
        </row>
        <row r="547">
          <cell r="E547" t="str">
            <v>58L</v>
          </cell>
          <cell r="F547">
            <v>9.07</v>
          </cell>
        </row>
        <row r="548">
          <cell r="E548" t="str">
            <v>591L</v>
          </cell>
          <cell r="F548">
            <v>1.82</v>
          </cell>
        </row>
        <row r="549">
          <cell r="E549" t="str">
            <v>61L</v>
          </cell>
          <cell r="F549">
            <v>38.35</v>
          </cell>
        </row>
        <row r="550">
          <cell r="E550" t="str">
            <v>63S</v>
          </cell>
          <cell r="F550">
            <v>0</v>
          </cell>
        </row>
        <row r="551">
          <cell r="E551" t="str">
            <v>64L</v>
          </cell>
          <cell r="F551">
            <v>14.63</v>
          </cell>
        </row>
        <row r="552">
          <cell r="E552" t="str">
            <v>66L</v>
          </cell>
          <cell r="F552">
            <v>19</v>
          </cell>
        </row>
        <row r="553">
          <cell r="E553" t="str">
            <v>6L02</v>
          </cell>
          <cell r="F553">
            <v>57.5</v>
          </cell>
        </row>
        <row r="554">
          <cell r="E554" t="str">
            <v>6L03</v>
          </cell>
          <cell r="F554">
            <v>69.510000000000005</v>
          </cell>
        </row>
        <row r="555">
          <cell r="E555" t="str">
            <v>6L04</v>
          </cell>
          <cell r="F555">
            <v>134.01</v>
          </cell>
        </row>
        <row r="556">
          <cell r="E556" t="str">
            <v>6L05</v>
          </cell>
          <cell r="F556">
            <v>19</v>
          </cell>
        </row>
        <row r="557">
          <cell r="E557" t="str">
            <v>6L06</v>
          </cell>
          <cell r="F557">
            <v>62.4</v>
          </cell>
        </row>
        <row r="558">
          <cell r="E558" t="str">
            <v>6L08</v>
          </cell>
          <cell r="F558">
            <v>6.8</v>
          </cell>
        </row>
        <row r="559">
          <cell r="E559" t="str">
            <v>6L09</v>
          </cell>
          <cell r="F559">
            <v>110</v>
          </cell>
        </row>
        <row r="560">
          <cell r="E560" t="str">
            <v>6L11</v>
          </cell>
          <cell r="F560">
            <v>27.5</v>
          </cell>
        </row>
        <row r="561">
          <cell r="E561" t="str">
            <v>6L12</v>
          </cell>
          <cell r="F561">
            <v>92.01</v>
          </cell>
        </row>
        <row r="562">
          <cell r="E562" t="str">
            <v>6L126</v>
          </cell>
          <cell r="F562">
            <v>0</v>
          </cell>
        </row>
        <row r="563">
          <cell r="E563" t="str">
            <v>6L15</v>
          </cell>
          <cell r="F563">
            <v>41</v>
          </cell>
        </row>
        <row r="564">
          <cell r="E564" t="str">
            <v>6L16</v>
          </cell>
          <cell r="F564">
            <v>37.700000000000003</v>
          </cell>
        </row>
        <row r="565">
          <cell r="E565" t="str">
            <v>6L17</v>
          </cell>
          <cell r="F565">
            <v>0</v>
          </cell>
        </row>
        <row r="566">
          <cell r="E566" t="str">
            <v>6L18</v>
          </cell>
          <cell r="F566">
            <v>56</v>
          </cell>
        </row>
        <row r="567">
          <cell r="E567" t="str">
            <v>6L19</v>
          </cell>
          <cell r="F567">
            <v>35</v>
          </cell>
        </row>
        <row r="568">
          <cell r="E568" t="str">
            <v>6L21</v>
          </cell>
          <cell r="F568">
            <v>0</v>
          </cell>
        </row>
        <row r="569">
          <cell r="E569" t="str">
            <v>6L22</v>
          </cell>
          <cell r="F569">
            <v>32</v>
          </cell>
        </row>
        <row r="570">
          <cell r="E570" t="str">
            <v>6L25</v>
          </cell>
          <cell r="F570">
            <v>0</v>
          </cell>
        </row>
        <row r="571">
          <cell r="E571" t="str">
            <v>6L31</v>
          </cell>
          <cell r="F571">
            <v>102</v>
          </cell>
        </row>
        <row r="572">
          <cell r="E572" t="str">
            <v>6L32</v>
          </cell>
          <cell r="F572">
            <v>2.92</v>
          </cell>
        </row>
        <row r="573">
          <cell r="E573" t="str">
            <v>6L37</v>
          </cell>
          <cell r="F573">
            <v>34</v>
          </cell>
        </row>
        <row r="574">
          <cell r="E574" t="str">
            <v>6L44</v>
          </cell>
          <cell r="F574">
            <v>62</v>
          </cell>
        </row>
        <row r="575">
          <cell r="E575" t="str">
            <v>6L51</v>
          </cell>
          <cell r="F575">
            <v>2.92</v>
          </cell>
        </row>
        <row r="576">
          <cell r="E576" t="str">
            <v>6L54</v>
          </cell>
          <cell r="F576">
            <v>127</v>
          </cell>
        </row>
        <row r="577">
          <cell r="E577" t="str">
            <v>6L56</v>
          </cell>
          <cell r="F577">
            <v>60</v>
          </cell>
        </row>
        <row r="578">
          <cell r="E578" t="str">
            <v>6L57</v>
          </cell>
          <cell r="F578">
            <v>50</v>
          </cell>
        </row>
        <row r="579">
          <cell r="E579" t="str">
            <v>6L68</v>
          </cell>
          <cell r="F579">
            <v>83</v>
          </cell>
        </row>
        <row r="580">
          <cell r="E580" t="str">
            <v>6L78</v>
          </cell>
          <cell r="F580">
            <v>38</v>
          </cell>
        </row>
        <row r="581">
          <cell r="E581" t="str">
            <v>6L79</v>
          </cell>
          <cell r="F581">
            <v>108</v>
          </cell>
        </row>
        <row r="582">
          <cell r="E582" t="str">
            <v>6L82</v>
          </cell>
          <cell r="F582">
            <v>66</v>
          </cell>
        </row>
        <row r="583">
          <cell r="E583" t="str">
            <v>6L91</v>
          </cell>
          <cell r="F583">
            <v>78</v>
          </cell>
        </row>
        <row r="584">
          <cell r="E584" t="str">
            <v>6L96</v>
          </cell>
          <cell r="F584">
            <v>40</v>
          </cell>
        </row>
        <row r="585">
          <cell r="E585" t="str">
            <v>6L97</v>
          </cell>
          <cell r="F585">
            <v>15.13</v>
          </cell>
        </row>
        <row r="586">
          <cell r="E586" t="str">
            <v>6L99</v>
          </cell>
          <cell r="F586">
            <v>49</v>
          </cell>
        </row>
        <row r="587">
          <cell r="E587" t="str">
            <v>6LML1</v>
          </cell>
          <cell r="F587">
            <v>7.7</v>
          </cell>
        </row>
        <row r="588">
          <cell r="E588" t="str">
            <v>6LML2</v>
          </cell>
          <cell r="F588">
            <v>7.7</v>
          </cell>
        </row>
        <row r="589">
          <cell r="E589" t="str">
            <v>700L</v>
          </cell>
          <cell r="F589">
            <v>21.01</v>
          </cell>
        </row>
        <row r="590">
          <cell r="E590" t="str">
            <v>700S</v>
          </cell>
          <cell r="F590">
            <v>0</v>
          </cell>
        </row>
        <row r="591">
          <cell r="E591" t="str">
            <v>701L</v>
          </cell>
          <cell r="F591">
            <v>135.32</v>
          </cell>
        </row>
        <row r="592">
          <cell r="E592" t="str">
            <v>702L</v>
          </cell>
          <cell r="F592">
            <v>65.709999999999994</v>
          </cell>
        </row>
        <row r="593">
          <cell r="E593" t="str">
            <v>703L</v>
          </cell>
          <cell r="F593">
            <v>59.87</v>
          </cell>
        </row>
        <row r="594">
          <cell r="E594" t="str">
            <v>704L</v>
          </cell>
          <cell r="F594">
            <v>42.96</v>
          </cell>
        </row>
        <row r="595">
          <cell r="E595" t="str">
            <v>705L</v>
          </cell>
          <cell r="F595">
            <v>1.83</v>
          </cell>
        </row>
        <row r="596">
          <cell r="E596" t="str">
            <v>706L</v>
          </cell>
          <cell r="F596">
            <v>13.63</v>
          </cell>
        </row>
        <row r="597">
          <cell r="E597" t="str">
            <v>707L</v>
          </cell>
          <cell r="F597">
            <v>4.0199999999999996</v>
          </cell>
        </row>
        <row r="598">
          <cell r="E598" t="str">
            <v>708L</v>
          </cell>
          <cell r="F598">
            <v>14</v>
          </cell>
        </row>
        <row r="599">
          <cell r="E599" t="str">
            <v>709L</v>
          </cell>
          <cell r="F599">
            <v>1.28</v>
          </cell>
        </row>
        <row r="600">
          <cell r="E600" t="str">
            <v>710L</v>
          </cell>
          <cell r="F600">
            <v>34.56</v>
          </cell>
        </row>
        <row r="601">
          <cell r="E601" t="str">
            <v>711L</v>
          </cell>
          <cell r="F601">
            <v>3.32</v>
          </cell>
        </row>
        <row r="602">
          <cell r="E602" t="str">
            <v>712L</v>
          </cell>
          <cell r="F602">
            <v>27.02</v>
          </cell>
        </row>
        <row r="603">
          <cell r="E603" t="str">
            <v>714L</v>
          </cell>
          <cell r="F603">
            <v>2</v>
          </cell>
        </row>
        <row r="604">
          <cell r="E604" t="str">
            <v>715L</v>
          </cell>
          <cell r="F604">
            <v>21.5</v>
          </cell>
        </row>
        <row r="605">
          <cell r="E605" t="str">
            <v>716L</v>
          </cell>
          <cell r="F605">
            <v>40.06</v>
          </cell>
        </row>
        <row r="606">
          <cell r="E606" t="str">
            <v>717L</v>
          </cell>
          <cell r="F606">
            <v>85.75</v>
          </cell>
        </row>
        <row r="607">
          <cell r="E607" t="str">
            <v>718L</v>
          </cell>
          <cell r="F607">
            <v>90.46</v>
          </cell>
        </row>
        <row r="608">
          <cell r="E608" t="str">
            <v>719CL</v>
          </cell>
          <cell r="F608">
            <v>7.49</v>
          </cell>
        </row>
        <row r="609">
          <cell r="E609" t="str">
            <v>719L</v>
          </cell>
          <cell r="F609">
            <v>73.27</v>
          </cell>
        </row>
        <row r="610">
          <cell r="E610" t="str">
            <v>720L</v>
          </cell>
          <cell r="F610">
            <v>25.9</v>
          </cell>
        </row>
        <row r="611">
          <cell r="E611" t="str">
            <v>721L</v>
          </cell>
          <cell r="F611">
            <v>2</v>
          </cell>
        </row>
        <row r="612">
          <cell r="E612" t="str">
            <v>722L</v>
          </cell>
          <cell r="F612">
            <v>20.149999999999999</v>
          </cell>
        </row>
        <row r="613">
          <cell r="E613" t="str">
            <v>723L</v>
          </cell>
          <cell r="F613">
            <v>64.290000000000006</v>
          </cell>
        </row>
        <row r="614">
          <cell r="E614" t="str">
            <v>724L</v>
          </cell>
          <cell r="F614">
            <v>70.03</v>
          </cell>
        </row>
        <row r="615">
          <cell r="E615" t="str">
            <v>725L</v>
          </cell>
          <cell r="F615">
            <v>77.599999999999994</v>
          </cell>
        </row>
        <row r="616">
          <cell r="E616" t="str">
            <v>726L</v>
          </cell>
          <cell r="F616">
            <v>34.630000000000003</v>
          </cell>
        </row>
        <row r="617">
          <cell r="E617" t="str">
            <v>727L</v>
          </cell>
          <cell r="F617">
            <v>47.11</v>
          </cell>
        </row>
        <row r="618">
          <cell r="E618" t="str">
            <v>728L</v>
          </cell>
          <cell r="F618">
            <v>111.02</v>
          </cell>
        </row>
        <row r="619">
          <cell r="E619" t="str">
            <v>729L</v>
          </cell>
          <cell r="F619">
            <v>46.14</v>
          </cell>
        </row>
        <row r="620">
          <cell r="E620" t="str">
            <v>72CH11</v>
          </cell>
          <cell r="F620">
            <v>9.33</v>
          </cell>
        </row>
        <row r="621">
          <cell r="E621" t="str">
            <v>72CH9</v>
          </cell>
          <cell r="F621">
            <v>9.2200000000000006</v>
          </cell>
        </row>
        <row r="622">
          <cell r="E622" t="str">
            <v>72CK12</v>
          </cell>
          <cell r="F622">
            <v>3.95</v>
          </cell>
        </row>
        <row r="623">
          <cell r="E623" t="str">
            <v>72CK13</v>
          </cell>
          <cell r="F623">
            <v>3.98</v>
          </cell>
        </row>
        <row r="624">
          <cell r="E624" t="str">
            <v>72CN10</v>
          </cell>
          <cell r="F624">
            <v>9.18</v>
          </cell>
        </row>
        <row r="625">
          <cell r="E625" t="str">
            <v>72JM18</v>
          </cell>
          <cell r="F625">
            <v>6.2</v>
          </cell>
        </row>
        <row r="626">
          <cell r="E626" t="str">
            <v>72JW19</v>
          </cell>
          <cell r="F626">
            <v>6.38</v>
          </cell>
        </row>
        <row r="627">
          <cell r="E627" t="str">
            <v>72LH8</v>
          </cell>
          <cell r="F627">
            <v>4.9400000000000004</v>
          </cell>
        </row>
        <row r="628">
          <cell r="E628" t="str">
            <v>72LS24</v>
          </cell>
          <cell r="F628">
            <v>5.36</v>
          </cell>
        </row>
        <row r="629">
          <cell r="E629" t="str">
            <v>72MG16</v>
          </cell>
          <cell r="F629">
            <v>5.33</v>
          </cell>
        </row>
        <row r="630">
          <cell r="E630" t="str">
            <v>72NK23</v>
          </cell>
          <cell r="F630">
            <v>5.24</v>
          </cell>
        </row>
        <row r="631">
          <cell r="E631" t="str">
            <v>72NW15</v>
          </cell>
          <cell r="F631">
            <v>8.0500000000000007</v>
          </cell>
        </row>
        <row r="632">
          <cell r="E632" t="str">
            <v>72RG1</v>
          </cell>
          <cell r="F632">
            <v>1.95</v>
          </cell>
        </row>
        <row r="633">
          <cell r="E633" t="str">
            <v>72RG7</v>
          </cell>
          <cell r="F633">
            <v>2.2599999999999998</v>
          </cell>
        </row>
        <row r="634">
          <cell r="E634" t="str">
            <v>72RS5</v>
          </cell>
          <cell r="F634">
            <v>5.41</v>
          </cell>
        </row>
        <row r="635">
          <cell r="E635" t="str">
            <v>72RV2</v>
          </cell>
          <cell r="F635">
            <v>2.11</v>
          </cell>
        </row>
        <row r="636">
          <cell r="E636" t="str">
            <v>72RV4</v>
          </cell>
          <cell r="F636">
            <v>2.14</v>
          </cell>
        </row>
        <row r="637">
          <cell r="E637" t="str">
            <v>72RV6</v>
          </cell>
          <cell r="F637">
            <v>2.13</v>
          </cell>
        </row>
        <row r="638">
          <cell r="E638" t="str">
            <v>72RW3</v>
          </cell>
          <cell r="F638">
            <v>7.83</v>
          </cell>
        </row>
        <row r="639">
          <cell r="E639" t="str">
            <v>72VN21</v>
          </cell>
          <cell r="F639">
            <v>4.5</v>
          </cell>
        </row>
        <row r="640">
          <cell r="E640" t="str">
            <v>730L</v>
          </cell>
          <cell r="F640">
            <v>29.09</v>
          </cell>
        </row>
        <row r="641">
          <cell r="E641" t="str">
            <v>731L</v>
          </cell>
          <cell r="F641">
            <v>7.65</v>
          </cell>
        </row>
        <row r="642">
          <cell r="E642" t="str">
            <v>732L</v>
          </cell>
          <cell r="F642">
            <v>8.3800000000000008</v>
          </cell>
        </row>
        <row r="643">
          <cell r="E643" t="str">
            <v>733L</v>
          </cell>
          <cell r="F643">
            <v>83</v>
          </cell>
        </row>
        <row r="644">
          <cell r="E644" t="str">
            <v>734L</v>
          </cell>
          <cell r="F644">
            <v>4.68</v>
          </cell>
        </row>
        <row r="645">
          <cell r="E645" t="str">
            <v>735L</v>
          </cell>
          <cell r="F645">
            <v>12.27</v>
          </cell>
        </row>
        <row r="646">
          <cell r="E646" t="str">
            <v>737L</v>
          </cell>
          <cell r="F646">
            <v>4.03</v>
          </cell>
        </row>
        <row r="647">
          <cell r="E647" t="str">
            <v>738L</v>
          </cell>
          <cell r="F647">
            <v>3.67</v>
          </cell>
        </row>
        <row r="648">
          <cell r="E648" t="str">
            <v>739L</v>
          </cell>
          <cell r="F648">
            <v>99.98</v>
          </cell>
        </row>
        <row r="649">
          <cell r="E649" t="str">
            <v>740L</v>
          </cell>
          <cell r="F649">
            <v>63.76</v>
          </cell>
        </row>
        <row r="650">
          <cell r="E650" t="str">
            <v>741L</v>
          </cell>
          <cell r="F650">
            <v>0.23</v>
          </cell>
        </row>
        <row r="651">
          <cell r="E651" t="str">
            <v>742L</v>
          </cell>
          <cell r="F651">
            <v>0.59</v>
          </cell>
        </row>
        <row r="652">
          <cell r="E652" t="str">
            <v>743L</v>
          </cell>
          <cell r="F652">
            <v>23.01</v>
          </cell>
        </row>
        <row r="653">
          <cell r="E653" t="str">
            <v>744L</v>
          </cell>
          <cell r="F653">
            <v>106.29</v>
          </cell>
        </row>
        <row r="654">
          <cell r="E654" t="str">
            <v>745L</v>
          </cell>
          <cell r="F654">
            <v>83.51</v>
          </cell>
        </row>
        <row r="655">
          <cell r="E655" t="str">
            <v>746L</v>
          </cell>
          <cell r="F655">
            <v>10.32</v>
          </cell>
        </row>
        <row r="656">
          <cell r="E656" t="str">
            <v>747L</v>
          </cell>
          <cell r="F656">
            <v>11.76</v>
          </cell>
        </row>
        <row r="657">
          <cell r="E657" t="str">
            <v>748L</v>
          </cell>
          <cell r="F657">
            <v>0</v>
          </cell>
        </row>
        <row r="658">
          <cell r="E658" t="str">
            <v>749L</v>
          </cell>
          <cell r="F658">
            <v>136.25</v>
          </cell>
        </row>
        <row r="659">
          <cell r="E659" t="str">
            <v>751L</v>
          </cell>
          <cell r="F659">
            <v>0.04</v>
          </cell>
        </row>
        <row r="660">
          <cell r="E660" t="str">
            <v>752L</v>
          </cell>
          <cell r="F660">
            <v>42.26</v>
          </cell>
        </row>
        <row r="661">
          <cell r="E661" t="str">
            <v>753L</v>
          </cell>
          <cell r="F661">
            <v>40.99</v>
          </cell>
        </row>
        <row r="662">
          <cell r="E662" t="str">
            <v>754L</v>
          </cell>
          <cell r="F662">
            <v>18.97</v>
          </cell>
        </row>
        <row r="663">
          <cell r="E663" t="str">
            <v>755L</v>
          </cell>
          <cell r="F663">
            <v>28.5</v>
          </cell>
        </row>
        <row r="664">
          <cell r="E664" t="str">
            <v>756L</v>
          </cell>
          <cell r="F664">
            <v>13.38</v>
          </cell>
        </row>
        <row r="665">
          <cell r="E665" t="str">
            <v>757L</v>
          </cell>
          <cell r="F665">
            <v>42.57</v>
          </cell>
        </row>
        <row r="666">
          <cell r="E666" t="str">
            <v>758L</v>
          </cell>
          <cell r="F666">
            <v>5.54</v>
          </cell>
        </row>
        <row r="667">
          <cell r="E667" t="str">
            <v>759L</v>
          </cell>
          <cell r="F667">
            <v>18.440000000000001</v>
          </cell>
        </row>
        <row r="668">
          <cell r="E668" t="str">
            <v>760L</v>
          </cell>
          <cell r="F668">
            <v>100.44</v>
          </cell>
        </row>
        <row r="669">
          <cell r="E669" t="str">
            <v>761L</v>
          </cell>
          <cell r="F669">
            <v>4.5199999999999996</v>
          </cell>
        </row>
        <row r="670">
          <cell r="E670" t="str">
            <v>762L</v>
          </cell>
          <cell r="F670">
            <v>37.26</v>
          </cell>
        </row>
        <row r="671">
          <cell r="E671" t="str">
            <v>763L</v>
          </cell>
          <cell r="F671">
            <v>91.03</v>
          </cell>
        </row>
        <row r="672">
          <cell r="E672" t="str">
            <v>764L</v>
          </cell>
          <cell r="F672">
            <v>32.799999999999997</v>
          </cell>
        </row>
        <row r="673">
          <cell r="E673" t="str">
            <v>765L</v>
          </cell>
          <cell r="F673">
            <v>39.049999999999997</v>
          </cell>
        </row>
        <row r="674">
          <cell r="E674" t="str">
            <v>767L</v>
          </cell>
          <cell r="F674">
            <v>21.8</v>
          </cell>
        </row>
        <row r="675">
          <cell r="E675" t="str">
            <v>768L</v>
          </cell>
          <cell r="F675">
            <v>5.71</v>
          </cell>
        </row>
        <row r="676">
          <cell r="E676" t="str">
            <v>769L</v>
          </cell>
          <cell r="F676">
            <v>1.17</v>
          </cell>
        </row>
        <row r="677">
          <cell r="E677" t="str">
            <v>76L</v>
          </cell>
          <cell r="F677">
            <v>23.86</v>
          </cell>
        </row>
        <row r="678">
          <cell r="E678" t="str">
            <v>771L</v>
          </cell>
          <cell r="F678">
            <v>11.45</v>
          </cell>
        </row>
        <row r="679">
          <cell r="E679" t="str">
            <v>773L</v>
          </cell>
          <cell r="F679">
            <v>2.52</v>
          </cell>
        </row>
        <row r="680">
          <cell r="E680" t="str">
            <v>774L</v>
          </cell>
          <cell r="F680">
            <v>0.78</v>
          </cell>
        </row>
        <row r="681">
          <cell r="E681" t="str">
            <v>775L</v>
          </cell>
          <cell r="F681">
            <v>12</v>
          </cell>
        </row>
        <row r="682">
          <cell r="E682" t="str">
            <v>776L</v>
          </cell>
          <cell r="F682">
            <v>38.1</v>
          </cell>
        </row>
        <row r="683">
          <cell r="E683" t="str">
            <v>777L</v>
          </cell>
          <cell r="F683">
            <v>170.06</v>
          </cell>
        </row>
        <row r="684">
          <cell r="E684" t="str">
            <v>778L</v>
          </cell>
          <cell r="F684">
            <v>5.96</v>
          </cell>
        </row>
        <row r="685">
          <cell r="E685" t="str">
            <v>780L</v>
          </cell>
          <cell r="F685">
            <v>35.21</v>
          </cell>
        </row>
        <row r="686">
          <cell r="E686" t="str">
            <v>781L</v>
          </cell>
          <cell r="F686">
            <v>2.93</v>
          </cell>
        </row>
        <row r="687">
          <cell r="E687" t="str">
            <v>782L</v>
          </cell>
          <cell r="F687">
            <v>1.43</v>
          </cell>
        </row>
        <row r="688">
          <cell r="E688" t="str">
            <v>783L</v>
          </cell>
          <cell r="F688">
            <v>30.58</v>
          </cell>
        </row>
        <row r="689">
          <cell r="E689" t="str">
            <v>784L</v>
          </cell>
          <cell r="F689">
            <v>13.8</v>
          </cell>
        </row>
        <row r="690">
          <cell r="E690" t="str">
            <v>786L</v>
          </cell>
          <cell r="F690">
            <v>30.97</v>
          </cell>
        </row>
        <row r="691">
          <cell r="E691" t="str">
            <v>787L</v>
          </cell>
          <cell r="F691">
            <v>4.78</v>
          </cell>
        </row>
        <row r="692">
          <cell r="E692" t="str">
            <v>788L</v>
          </cell>
          <cell r="F692">
            <v>105.65</v>
          </cell>
        </row>
        <row r="693">
          <cell r="E693" t="str">
            <v>791S</v>
          </cell>
          <cell r="F693">
            <v>0.12</v>
          </cell>
        </row>
        <row r="694">
          <cell r="E694" t="str">
            <v>792L</v>
          </cell>
          <cell r="F694">
            <v>62.17</v>
          </cell>
        </row>
        <row r="695">
          <cell r="E695" t="str">
            <v>793L</v>
          </cell>
          <cell r="F695">
            <v>13.39</v>
          </cell>
        </row>
        <row r="696">
          <cell r="E696" t="str">
            <v>794L</v>
          </cell>
          <cell r="F696">
            <v>48.41</v>
          </cell>
        </row>
        <row r="697">
          <cell r="E697" t="str">
            <v>795L</v>
          </cell>
          <cell r="F697">
            <v>58.61</v>
          </cell>
        </row>
        <row r="698">
          <cell r="E698" t="str">
            <v>797L</v>
          </cell>
          <cell r="F698">
            <v>10.46</v>
          </cell>
        </row>
        <row r="699">
          <cell r="E699" t="str">
            <v>798L</v>
          </cell>
          <cell r="F699">
            <v>8.27</v>
          </cell>
        </row>
        <row r="700">
          <cell r="E700" t="str">
            <v>799L</v>
          </cell>
          <cell r="F700">
            <v>78.11</v>
          </cell>
        </row>
        <row r="701">
          <cell r="E701" t="str">
            <v>7L01</v>
          </cell>
          <cell r="F701">
            <v>0.35</v>
          </cell>
        </row>
        <row r="702">
          <cell r="E702" t="str">
            <v>7L03</v>
          </cell>
          <cell r="F702">
            <v>102</v>
          </cell>
        </row>
        <row r="703">
          <cell r="E703" t="str">
            <v>7L04</v>
          </cell>
          <cell r="F703">
            <v>26</v>
          </cell>
        </row>
        <row r="704">
          <cell r="E704" t="str">
            <v>7L06</v>
          </cell>
          <cell r="F704">
            <v>25.5</v>
          </cell>
        </row>
        <row r="705">
          <cell r="E705" t="str">
            <v>7L07</v>
          </cell>
          <cell r="F705">
            <v>55.1</v>
          </cell>
        </row>
        <row r="706">
          <cell r="E706" t="str">
            <v>7L08</v>
          </cell>
          <cell r="F706">
            <v>0</v>
          </cell>
        </row>
        <row r="707">
          <cell r="E707" t="str">
            <v>7L09</v>
          </cell>
          <cell r="F707">
            <v>21.5</v>
          </cell>
        </row>
        <row r="708">
          <cell r="E708" t="str">
            <v>7L10</v>
          </cell>
          <cell r="F708">
            <v>53</v>
          </cell>
        </row>
        <row r="709">
          <cell r="E709" t="str">
            <v>7L12</v>
          </cell>
          <cell r="F709">
            <v>110</v>
          </cell>
        </row>
        <row r="710">
          <cell r="E710" t="str">
            <v>7L13</v>
          </cell>
          <cell r="F710">
            <v>4.67</v>
          </cell>
        </row>
        <row r="711">
          <cell r="E711" t="str">
            <v>7L14</v>
          </cell>
          <cell r="F711">
            <v>58</v>
          </cell>
        </row>
        <row r="712">
          <cell r="E712" t="str">
            <v>7L16</v>
          </cell>
          <cell r="F712">
            <v>88</v>
          </cell>
        </row>
        <row r="713">
          <cell r="E713" t="str">
            <v>7L18</v>
          </cell>
          <cell r="F713">
            <v>4.67</v>
          </cell>
        </row>
        <row r="714">
          <cell r="E714" t="str">
            <v>7L19</v>
          </cell>
          <cell r="F714">
            <v>6.6</v>
          </cell>
        </row>
        <row r="715">
          <cell r="E715" t="str">
            <v>7L199</v>
          </cell>
          <cell r="F715">
            <v>90</v>
          </cell>
        </row>
        <row r="716">
          <cell r="E716" t="str">
            <v>7L20</v>
          </cell>
          <cell r="F716">
            <v>131.19999999999999</v>
          </cell>
        </row>
        <row r="717">
          <cell r="E717" t="str">
            <v>7L22</v>
          </cell>
          <cell r="F717">
            <v>45</v>
          </cell>
        </row>
        <row r="718">
          <cell r="E718" t="str">
            <v>7L224</v>
          </cell>
          <cell r="F718">
            <v>30</v>
          </cell>
        </row>
        <row r="719">
          <cell r="E719" t="str">
            <v>7L23</v>
          </cell>
          <cell r="F719">
            <v>86</v>
          </cell>
        </row>
        <row r="720">
          <cell r="E720" t="str">
            <v>7L230</v>
          </cell>
          <cell r="F720">
            <v>136</v>
          </cell>
        </row>
        <row r="721">
          <cell r="E721" t="str">
            <v>7L24</v>
          </cell>
          <cell r="F721">
            <v>45</v>
          </cell>
        </row>
        <row r="722">
          <cell r="E722" t="str">
            <v>7L27</v>
          </cell>
          <cell r="F722">
            <v>24</v>
          </cell>
        </row>
        <row r="723">
          <cell r="E723" t="str">
            <v>7L28</v>
          </cell>
          <cell r="F723">
            <v>28</v>
          </cell>
        </row>
        <row r="724">
          <cell r="E724" t="str">
            <v>7L29</v>
          </cell>
          <cell r="F724">
            <v>0.2</v>
          </cell>
        </row>
        <row r="725">
          <cell r="E725" t="str">
            <v>7L30</v>
          </cell>
          <cell r="F725">
            <v>5</v>
          </cell>
        </row>
        <row r="726">
          <cell r="E726" t="str">
            <v>7L31</v>
          </cell>
          <cell r="F726">
            <v>5</v>
          </cell>
        </row>
        <row r="727">
          <cell r="E727" t="str">
            <v>7L32</v>
          </cell>
          <cell r="F727">
            <v>115</v>
          </cell>
        </row>
        <row r="728">
          <cell r="E728" t="str">
            <v>7L33</v>
          </cell>
          <cell r="F728">
            <v>36.24</v>
          </cell>
        </row>
        <row r="729">
          <cell r="E729" t="str">
            <v>7L35</v>
          </cell>
          <cell r="F729">
            <v>0</v>
          </cell>
        </row>
        <row r="730">
          <cell r="E730" t="str">
            <v>7L36</v>
          </cell>
          <cell r="F730">
            <v>47.8</v>
          </cell>
        </row>
        <row r="731">
          <cell r="E731" t="str">
            <v>7L38</v>
          </cell>
          <cell r="F731">
            <v>41</v>
          </cell>
        </row>
        <row r="732">
          <cell r="E732" t="str">
            <v>7L39</v>
          </cell>
          <cell r="F732">
            <v>9.4</v>
          </cell>
        </row>
        <row r="733">
          <cell r="E733" t="str">
            <v>7L40</v>
          </cell>
          <cell r="F733">
            <v>87</v>
          </cell>
        </row>
        <row r="734">
          <cell r="E734" t="str">
            <v>7L42</v>
          </cell>
          <cell r="F734">
            <v>6.2</v>
          </cell>
        </row>
        <row r="735">
          <cell r="E735" t="str">
            <v>7L43</v>
          </cell>
          <cell r="F735">
            <v>30.2</v>
          </cell>
        </row>
        <row r="736">
          <cell r="E736" t="str">
            <v>7L44</v>
          </cell>
          <cell r="F736">
            <v>30.72</v>
          </cell>
        </row>
        <row r="737">
          <cell r="E737" t="str">
            <v>7L45</v>
          </cell>
          <cell r="F737">
            <v>110</v>
          </cell>
        </row>
        <row r="738">
          <cell r="E738" t="str">
            <v>7L46</v>
          </cell>
          <cell r="F738">
            <v>109.4</v>
          </cell>
        </row>
        <row r="739">
          <cell r="E739" t="str">
            <v>7L47</v>
          </cell>
          <cell r="F739">
            <v>27</v>
          </cell>
        </row>
        <row r="740">
          <cell r="E740" t="str">
            <v>7L48</v>
          </cell>
          <cell r="F740">
            <v>139.5</v>
          </cell>
        </row>
        <row r="741">
          <cell r="E741" t="str">
            <v>7L49</v>
          </cell>
          <cell r="F741">
            <v>0.4</v>
          </cell>
        </row>
        <row r="742">
          <cell r="E742" t="str">
            <v>7L50</v>
          </cell>
          <cell r="F742">
            <v>81</v>
          </cell>
        </row>
        <row r="743">
          <cell r="E743" t="str">
            <v>7L51</v>
          </cell>
          <cell r="F743">
            <v>116</v>
          </cell>
        </row>
        <row r="744">
          <cell r="E744" t="str">
            <v>7L53</v>
          </cell>
          <cell r="F744">
            <v>122</v>
          </cell>
        </row>
        <row r="745">
          <cell r="E745" t="str">
            <v>7L54</v>
          </cell>
          <cell r="F745">
            <v>13</v>
          </cell>
        </row>
        <row r="746">
          <cell r="E746" t="str">
            <v>7L55</v>
          </cell>
          <cell r="F746">
            <v>6.2</v>
          </cell>
        </row>
        <row r="747">
          <cell r="E747" t="str">
            <v>7L56</v>
          </cell>
          <cell r="F747">
            <v>42</v>
          </cell>
        </row>
        <row r="748">
          <cell r="E748" t="str">
            <v>7L57</v>
          </cell>
          <cell r="F748">
            <v>0.3</v>
          </cell>
        </row>
        <row r="749">
          <cell r="E749" t="str">
            <v>7L58</v>
          </cell>
          <cell r="F749">
            <v>84</v>
          </cell>
        </row>
        <row r="750">
          <cell r="E750" t="str">
            <v>7L59</v>
          </cell>
          <cell r="F750">
            <v>91.37</v>
          </cell>
        </row>
        <row r="751">
          <cell r="E751" t="str">
            <v>7L60</v>
          </cell>
          <cell r="F751">
            <v>20</v>
          </cell>
        </row>
        <row r="752">
          <cell r="E752" t="str">
            <v>7L61</v>
          </cell>
          <cell r="F752">
            <v>45</v>
          </cell>
        </row>
        <row r="753">
          <cell r="E753" t="str">
            <v>7L62</v>
          </cell>
          <cell r="F753">
            <v>84</v>
          </cell>
        </row>
        <row r="754">
          <cell r="E754" t="str">
            <v>7L63</v>
          </cell>
          <cell r="F754">
            <v>158</v>
          </cell>
        </row>
        <row r="755">
          <cell r="E755" t="str">
            <v>7L64</v>
          </cell>
          <cell r="F755">
            <v>132.80000000000001</v>
          </cell>
        </row>
        <row r="756">
          <cell r="E756" t="str">
            <v>7L65</v>
          </cell>
          <cell r="F756">
            <v>94</v>
          </cell>
        </row>
        <row r="757">
          <cell r="E757" t="str">
            <v>7L66</v>
          </cell>
          <cell r="F757">
            <v>8</v>
          </cell>
        </row>
        <row r="758">
          <cell r="E758" t="str">
            <v>7L67</v>
          </cell>
          <cell r="F758">
            <v>25.6</v>
          </cell>
        </row>
        <row r="759">
          <cell r="E759" t="str">
            <v>7L68</v>
          </cell>
          <cell r="F759">
            <v>58</v>
          </cell>
        </row>
        <row r="760">
          <cell r="E760" t="str">
            <v>7L70</v>
          </cell>
          <cell r="F760">
            <v>90</v>
          </cell>
        </row>
        <row r="761">
          <cell r="E761" t="str">
            <v>7L702</v>
          </cell>
          <cell r="F761">
            <v>75.42</v>
          </cell>
        </row>
        <row r="762">
          <cell r="E762" t="str">
            <v>7L71</v>
          </cell>
          <cell r="F762">
            <v>27</v>
          </cell>
        </row>
        <row r="763">
          <cell r="E763" t="str">
            <v>7L72</v>
          </cell>
          <cell r="F763">
            <v>85</v>
          </cell>
        </row>
        <row r="764">
          <cell r="E764" t="str">
            <v>7L73</v>
          </cell>
          <cell r="F764">
            <v>153.5</v>
          </cell>
        </row>
        <row r="765">
          <cell r="E765" t="str">
            <v>7L74</v>
          </cell>
          <cell r="F765">
            <v>20</v>
          </cell>
        </row>
        <row r="766">
          <cell r="E766" t="str">
            <v>7L749</v>
          </cell>
          <cell r="F766">
            <v>48.3</v>
          </cell>
        </row>
        <row r="767">
          <cell r="E767" t="str">
            <v>7L75</v>
          </cell>
          <cell r="F767">
            <v>80</v>
          </cell>
        </row>
        <row r="768">
          <cell r="E768" t="str">
            <v>7L76</v>
          </cell>
          <cell r="F768">
            <v>52</v>
          </cell>
        </row>
        <row r="769">
          <cell r="E769" t="str">
            <v>7L760</v>
          </cell>
          <cell r="F769">
            <v>77.260000000000005</v>
          </cell>
        </row>
        <row r="770">
          <cell r="E770" t="str">
            <v>7L77</v>
          </cell>
          <cell r="F770">
            <v>34</v>
          </cell>
        </row>
        <row r="771">
          <cell r="E771" t="str">
            <v>7L78</v>
          </cell>
          <cell r="F771">
            <v>0.62</v>
          </cell>
        </row>
        <row r="772">
          <cell r="E772" t="str">
            <v>7L794</v>
          </cell>
          <cell r="F772">
            <v>68</v>
          </cell>
        </row>
        <row r="773">
          <cell r="E773" t="str">
            <v>7L80</v>
          </cell>
          <cell r="F773">
            <v>102</v>
          </cell>
        </row>
        <row r="774">
          <cell r="E774" t="str">
            <v>7L81</v>
          </cell>
          <cell r="F774">
            <v>220</v>
          </cell>
        </row>
        <row r="775">
          <cell r="E775" t="str">
            <v>7L82</v>
          </cell>
          <cell r="F775">
            <v>143</v>
          </cell>
        </row>
        <row r="776">
          <cell r="E776" t="str">
            <v>7L83</v>
          </cell>
          <cell r="F776">
            <v>6.5</v>
          </cell>
        </row>
        <row r="777">
          <cell r="E777" t="str">
            <v>7L84</v>
          </cell>
          <cell r="F777">
            <v>7.2</v>
          </cell>
        </row>
        <row r="778">
          <cell r="E778" t="str">
            <v>7L85</v>
          </cell>
          <cell r="F778">
            <v>110.33</v>
          </cell>
        </row>
        <row r="779">
          <cell r="E779" t="str">
            <v>7L86</v>
          </cell>
          <cell r="F779">
            <v>58</v>
          </cell>
        </row>
        <row r="780">
          <cell r="E780" t="str">
            <v>7L87</v>
          </cell>
          <cell r="F780">
            <v>13</v>
          </cell>
        </row>
        <row r="781">
          <cell r="E781" t="str">
            <v>7L88</v>
          </cell>
          <cell r="F781">
            <v>0</v>
          </cell>
        </row>
        <row r="782">
          <cell r="E782" t="str">
            <v>7L89</v>
          </cell>
          <cell r="F782">
            <v>47</v>
          </cell>
        </row>
        <row r="783">
          <cell r="E783" t="str">
            <v>7L90</v>
          </cell>
          <cell r="F783">
            <v>71</v>
          </cell>
        </row>
        <row r="784">
          <cell r="E784" t="str">
            <v>7L91</v>
          </cell>
          <cell r="F784">
            <v>53</v>
          </cell>
        </row>
        <row r="785">
          <cell r="E785" t="str">
            <v>7L92</v>
          </cell>
          <cell r="F785">
            <v>88</v>
          </cell>
        </row>
        <row r="786">
          <cell r="E786" t="str">
            <v>7L94</v>
          </cell>
          <cell r="F786">
            <v>95</v>
          </cell>
        </row>
        <row r="787">
          <cell r="E787" t="str">
            <v>7L95</v>
          </cell>
          <cell r="F787">
            <v>6.8</v>
          </cell>
        </row>
        <row r="788">
          <cell r="E788" t="str">
            <v>7L97</v>
          </cell>
          <cell r="F788">
            <v>26</v>
          </cell>
        </row>
        <row r="789">
          <cell r="E789" t="str">
            <v>7LA13</v>
          </cell>
          <cell r="F789">
            <v>0.3</v>
          </cell>
        </row>
        <row r="790">
          <cell r="E790" t="str">
            <v>7LA33</v>
          </cell>
          <cell r="F790">
            <v>0.05</v>
          </cell>
        </row>
        <row r="791">
          <cell r="E791" t="str">
            <v>7LA36</v>
          </cell>
          <cell r="F791">
            <v>14</v>
          </cell>
        </row>
        <row r="792">
          <cell r="E792" t="str">
            <v>7LA38</v>
          </cell>
          <cell r="F792">
            <v>37</v>
          </cell>
        </row>
        <row r="793">
          <cell r="E793" t="str">
            <v>7LA59</v>
          </cell>
          <cell r="F793">
            <v>0.43</v>
          </cell>
        </row>
        <row r="794">
          <cell r="E794" t="str">
            <v>801L</v>
          </cell>
          <cell r="F794">
            <v>51.96</v>
          </cell>
        </row>
        <row r="795">
          <cell r="E795" t="str">
            <v>803L</v>
          </cell>
          <cell r="F795">
            <v>7</v>
          </cell>
        </row>
        <row r="796">
          <cell r="E796" t="str">
            <v>804L</v>
          </cell>
          <cell r="F796">
            <v>12.29</v>
          </cell>
        </row>
        <row r="797">
          <cell r="E797" t="str">
            <v>805L</v>
          </cell>
          <cell r="F797">
            <v>31.01</v>
          </cell>
        </row>
        <row r="798">
          <cell r="E798" t="str">
            <v>807L</v>
          </cell>
          <cell r="F798">
            <v>7.75</v>
          </cell>
        </row>
        <row r="799">
          <cell r="E799" t="str">
            <v>808L</v>
          </cell>
          <cell r="F799">
            <v>23.65</v>
          </cell>
        </row>
        <row r="800">
          <cell r="E800" t="str">
            <v>809L</v>
          </cell>
          <cell r="F800">
            <v>21.34</v>
          </cell>
        </row>
        <row r="801">
          <cell r="E801" t="str">
            <v>80AL</v>
          </cell>
          <cell r="F801">
            <v>9.81</v>
          </cell>
        </row>
        <row r="802">
          <cell r="E802" t="str">
            <v>80L</v>
          </cell>
          <cell r="F802">
            <v>211.16</v>
          </cell>
        </row>
        <row r="803">
          <cell r="E803" t="str">
            <v>812L</v>
          </cell>
          <cell r="F803">
            <v>34.68</v>
          </cell>
        </row>
        <row r="804">
          <cell r="E804" t="str">
            <v>813L</v>
          </cell>
          <cell r="F804">
            <v>11.3</v>
          </cell>
        </row>
        <row r="805">
          <cell r="E805" t="str">
            <v>814L</v>
          </cell>
          <cell r="F805">
            <v>8.7799999999999994</v>
          </cell>
        </row>
        <row r="806">
          <cell r="E806" t="str">
            <v>815L</v>
          </cell>
          <cell r="F806">
            <v>7.68</v>
          </cell>
        </row>
        <row r="807">
          <cell r="E807" t="str">
            <v>820L</v>
          </cell>
          <cell r="F807">
            <v>60.05</v>
          </cell>
        </row>
        <row r="808">
          <cell r="E808" t="str">
            <v>821L</v>
          </cell>
          <cell r="F808">
            <v>28.94</v>
          </cell>
        </row>
        <row r="809">
          <cell r="E809" t="str">
            <v>822L</v>
          </cell>
          <cell r="F809">
            <v>1.51</v>
          </cell>
        </row>
        <row r="810">
          <cell r="E810" t="str">
            <v>823L</v>
          </cell>
          <cell r="F810">
            <v>4.83</v>
          </cell>
        </row>
        <row r="811">
          <cell r="E811" t="str">
            <v>824L</v>
          </cell>
          <cell r="F811">
            <v>11.48</v>
          </cell>
        </row>
        <row r="812">
          <cell r="E812" t="str">
            <v>825L</v>
          </cell>
          <cell r="F812">
            <v>14.5</v>
          </cell>
        </row>
        <row r="813">
          <cell r="E813" t="str">
            <v>826L</v>
          </cell>
          <cell r="F813">
            <v>21.23</v>
          </cell>
        </row>
        <row r="814">
          <cell r="E814" t="str">
            <v>827L</v>
          </cell>
          <cell r="F814">
            <v>8.86</v>
          </cell>
        </row>
        <row r="815">
          <cell r="E815" t="str">
            <v>828L</v>
          </cell>
          <cell r="F815">
            <v>15.86</v>
          </cell>
        </row>
        <row r="816">
          <cell r="E816" t="str">
            <v>830L</v>
          </cell>
          <cell r="F816">
            <v>9</v>
          </cell>
        </row>
        <row r="817">
          <cell r="E817" t="str">
            <v>831L</v>
          </cell>
          <cell r="F817">
            <v>23.44</v>
          </cell>
        </row>
        <row r="818">
          <cell r="E818" t="str">
            <v>832L</v>
          </cell>
          <cell r="F818">
            <v>8.6</v>
          </cell>
        </row>
        <row r="819">
          <cell r="E819" t="str">
            <v>833L</v>
          </cell>
          <cell r="F819">
            <v>3.43</v>
          </cell>
        </row>
        <row r="820">
          <cell r="E820" t="str">
            <v>834L</v>
          </cell>
          <cell r="F820">
            <v>29.44</v>
          </cell>
        </row>
        <row r="821">
          <cell r="E821" t="str">
            <v>835L</v>
          </cell>
          <cell r="F821">
            <v>58.61</v>
          </cell>
        </row>
        <row r="822">
          <cell r="E822" t="str">
            <v>836L</v>
          </cell>
          <cell r="F822">
            <v>22.76</v>
          </cell>
        </row>
        <row r="823">
          <cell r="E823" t="str">
            <v>837L</v>
          </cell>
          <cell r="F823">
            <v>7.96</v>
          </cell>
        </row>
        <row r="824">
          <cell r="E824" t="str">
            <v>838L</v>
          </cell>
          <cell r="F824">
            <v>46.31</v>
          </cell>
        </row>
        <row r="825">
          <cell r="E825" t="str">
            <v>841L</v>
          </cell>
          <cell r="F825">
            <v>26.79</v>
          </cell>
        </row>
        <row r="826">
          <cell r="E826" t="str">
            <v>844L</v>
          </cell>
          <cell r="F826">
            <v>12.37</v>
          </cell>
        </row>
        <row r="827">
          <cell r="E827" t="str">
            <v>846L</v>
          </cell>
          <cell r="F827">
            <v>2.41</v>
          </cell>
        </row>
        <row r="828">
          <cell r="E828" t="str">
            <v>847L</v>
          </cell>
          <cell r="F828">
            <v>75.5</v>
          </cell>
        </row>
        <row r="829">
          <cell r="E829" t="str">
            <v>848L</v>
          </cell>
          <cell r="F829">
            <v>65.400000000000006</v>
          </cell>
        </row>
        <row r="830">
          <cell r="E830" t="str">
            <v>84L</v>
          </cell>
          <cell r="F830">
            <v>2.7</v>
          </cell>
        </row>
        <row r="831">
          <cell r="E831" t="str">
            <v>850L</v>
          </cell>
          <cell r="F831">
            <v>39.17</v>
          </cell>
        </row>
        <row r="832">
          <cell r="E832" t="str">
            <v>851L</v>
          </cell>
          <cell r="F832">
            <v>34.92</v>
          </cell>
        </row>
        <row r="833">
          <cell r="E833" t="str">
            <v>852L</v>
          </cell>
          <cell r="F833">
            <v>24.7</v>
          </cell>
        </row>
        <row r="834">
          <cell r="E834" t="str">
            <v>853L</v>
          </cell>
          <cell r="F834">
            <v>72.75</v>
          </cell>
        </row>
        <row r="835">
          <cell r="E835" t="str">
            <v>854L</v>
          </cell>
          <cell r="F835">
            <v>71.03</v>
          </cell>
        </row>
        <row r="836">
          <cell r="E836" t="str">
            <v>858L</v>
          </cell>
          <cell r="F836">
            <v>44.89</v>
          </cell>
        </row>
        <row r="837">
          <cell r="E837" t="str">
            <v>859L</v>
          </cell>
          <cell r="F837">
            <v>19.55</v>
          </cell>
        </row>
        <row r="838">
          <cell r="E838" t="str">
            <v>85L</v>
          </cell>
          <cell r="F838">
            <v>2.13</v>
          </cell>
        </row>
        <row r="839">
          <cell r="E839" t="str">
            <v>860L</v>
          </cell>
          <cell r="F839">
            <v>26.44</v>
          </cell>
        </row>
        <row r="840">
          <cell r="E840" t="str">
            <v>861L</v>
          </cell>
          <cell r="F840">
            <v>6.31</v>
          </cell>
        </row>
        <row r="841">
          <cell r="E841" t="str">
            <v>862L</v>
          </cell>
          <cell r="F841">
            <v>4.04</v>
          </cell>
        </row>
        <row r="842">
          <cell r="E842" t="str">
            <v>863L</v>
          </cell>
          <cell r="F842">
            <v>23.18</v>
          </cell>
        </row>
        <row r="843">
          <cell r="E843" t="str">
            <v>864L</v>
          </cell>
          <cell r="F843">
            <v>1.1599999999999999</v>
          </cell>
        </row>
        <row r="844">
          <cell r="E844" t="str">
            <v>865L</v>
          </cell>
          <cell r="F844">
            <v>1.18</v>
          </cell>
        </row>
        <row r="845">
          <cell r="E845" t="str">
            <v>869L</v>
          </cell>
          <cell r="F845">
            <v>0.77</v>
          </cell>
        </row>
        <row r="846">
          <cell r="E846" t="str">
            <v>870L</v>
          </cell>
          <cell r="F846">
            <v>40.98</v>
          </cell>
        </row>
        <row r="847">
          <cell r="E847" t="str">
            <v>871L</v>
          </cell>
          <cell r="F847">
            <v>0.59</v>
          </cell>
        </row>
        <row r="848">
          <cell r="E848" t="str">
            <v>874L</v>
          </cell>
          <cell r="F848">
            <v>34.79</v>
          </cell>
        </row>
        <row r="849">
          <cell r="E849" t="str">
            <v>876L</v>
          </cell>
          <cell r="F849">
            <v>56.18</v>
          </cell>
        </row>
        <row r="850">
          <cell r="E850" t="str">
            <v>87L</v>
          </cell>
          <cell r="F850">
            <v>2.79</v>
          </cell>
        </row>
        <row r="851">
          <cell r="E851" t="str">
            <v>883L</v>
          </cell>
          <cell r="F851">
            <v>17.899999999999999</v>
          </cell>
        </row>
        <row r="852">
          <cell r="E852" t="str">
            <v>889L</v>
          </cell>
          <cell r="F852">
            <v>2.57</v>
          </cell>
        </row>
        <row r="853">
          <cell r="E853" t="str">
            <v>899L</v>
          </cell>
          <cell r="F853">
            <v>0.9</v>
          </cell>
        </row>
        <row r="854">
          <cell r="E854" t="str">
            <v>9.61L</v>
          </cell>
          <cell r="F854">
            <v>8.3000000000000007</v>
          </cell>
        </row>
        <row r="855">
          <cell r="E855" t="str">
            <v>9.62L</v>
          </cell>
          <cell r="F855">
            <v>5.76</v>
          </cell>
        </row>
        <row r="856">
          <cell r="E856" t="str">
            <v>9.80L</v>
          </cell>
          <cell r="F856">
            <v>5.56</v>
          </cell>
        </row>
        <row r="857">
          <cell r="E857" t="str">
            <v>9.83L</v>
          </cell>
          <cell r="F857">
            <v>4.12</v>
          </cell>
        </row>
        <row r="858">
          <cell r="E858" t="str">
            <v>900L</v>
          </cell>
          <cell r="F858">
            <v>29.63</v>
          </cell>
        </row>
        <row r="859">
          <cell r="E859" t="str">
            <v>901L</v>
          </cell>
          <cell r="F859">
            <v>143.12</v>
          </cell>
        </row>
        <row r="860">
          <cell r="E860" t="str">
            <v>902L</v>
          </cell>
          <cell r="F860">
            <v>21.01</v>
          </cell>
        </row>
        <row r="861">
          <cell r="E861" t="str">
            <v>903L</v>
          </cell>
          <cell r="F861">
            <v>143.09</v>
          </cell>
        </row>
        <row r="862">
          <cell r="E862" t="str">
            <v>904L</v>
          </cell>
          <cell r="F862">
            <v>133.35</v>
          </cell>
        </row>
        <row r="863">
          <cell r="E863" t="str">
            <v>905L</v>
          </cell>
          <cell r="F863">
            <v>62.66</v>
          </cell>
        </row>
        <row r="864">
          <cell r="E864" t="str">
            <v>906L</v>
          </cell>
          <cell r="F864">
            <v>218.78</v>
          </cell>
        </row>
        <row r="865">
          <cell r="E865" t="str">
            <v>907L</v>
          </cell>
          <cell r="F865">
            <v>28.54</v>
          </cell>
        </row>
        <row r="866">
          <cell r="E866" t="str">
            <v>908L</v>
          </cell>
          <cell r="F866">
            <v>96.68</v>
          </cell>
        </row>
        <row r="867">
          <cell r="E867" t="str">
            <v>909L</v>
          </cell>
          <cell r="F867">
            <v>79.400000000000006</v>
          </cell>
        </row>
        <row r="868">
          <cell r="E868" t="str">
            <v>90L</v>
          </cell>
          <cell r="F868">
            <v>11.83</v>
          </cell>
        </row>
        <row r="869">
          <cell r="E869" t="str">
            <v>910L</v>
          </cell>
          <cell r="F869">
            <v>146.88999999999999</v>
          </cell>
        </row>
        <row r="870">
          <cell r="E870" t="str">
            <v>911L</v>
          </cell>
          <cell r="F870">
            <v>236.87</v>
          </cell>
        </row>
        <row r="871">
          <cell r="E871" t="str">
            <v>912L</v>
          </cell>
          <cell r="F871">
            <v>63.69</v>
          </cell>
        </row>
        <row r="872">
          <cell r="E872" t="str">
            <v>913L</v>
          </cell>
          <cell r="F872">
            <v>238.1</v>
          </cell>
        </row>
        <row r="873">
          <cell r="E873" t="str">
            <v>914L</v>
          </cell>
          <cell r="F873">
            <v>146.72</v>
          </cell>
        </row>
        <row r="874">
          <cell r="E874" t="str">
            <v>915L</v>
          </cell>
          <cell r="F874">
            <v>5.94</v>
          </cell>
        </row>
        <row r="875">
          <cell r="E875" t="str">
            <v>916L</v>
          </cell>
          <cell r="F875">
            <v>11.81</v>
          </cell>
        </row>
        <row r="876">
          <cell r="E876" t="str">
            <v>917L</v>
          </cell>
          <cell r="F876">
            <v>11.57</v>
          </cell>
        </row>
        <row r="877">
          <cell r="E877" t="str">
            <v>918L</v>
          </cell>
          <cell r="F877">
            <v>391.03</v>
          </cell>
        </row>
        <row r="878">
          <cell r="E878" t="str">
            <v>919L</v>
          </cell>
          <cell r="F878">
            <v>101.85</v>
          </cell>
        </row>
        <row r="879">
          <cell r="E879" t="str">
            <v>920L</v>
          </cell>
          <cell r="F879">
            <v>15.84</v>
          </cell>
        </row>
        <row r="880">
          <cell r="E880" t="str">
            <v>920L</v>
          </cell>
          <cell r="F880">
            <v>19.170000000000002</v>
          </cell>
        </row>
        <row r="881">
          <cell r="E881" t="str">
            <v>921L</v>
          </cell>
          <cell r="F881">
            <v>6.5</v>
          </cell>
        </row>
        <row r="882">
          <cell r="E882" t="str">
            <v>922L</v>
          </cell>
          <cell r="F882">
            <v>150.26</v>
          </cell>
        </row>
        <row r="883">
          <cell r="E883" t="str">
            <v>923L</v>
          </cell>
          <cell r="F883">
            <v>305.98</v>
          </cell>
        </row>
        <row r="884">
          <cell r="E884" t="str">
            <v>924L</v>
          </cell>
          <cell r="F884">
            <v>415.4</v>
          </cell>
        </row>
        <row r="885">
          <cell r="E885" t="str">
            <v>925L</v>
          </cell>
          <cell r="F885">
            <v>143.13</v>
          </cell>
        </row>
        <row r="886">
          <cell r="E886" t="str">
            <v>926L</v>
          </cell>
          <cell r="F886">
            <v>151.72</v>
          </cell>
        </row>
        <row r="887">
          <cell r="E887" t="str">
            <v>927L</v>
          </cell>
          <cell r="F887">
            <v>224.86</v>
          </cell>
        </row>
        <row r="888">
          <cell r="E888" t="str">
            <v>928L</v>
          </cell>
          <cell r="F888">
            <v>218.8</v>
          </cell>
        </row>
        <row r="889">
          <cell r="E889" t="str">
            <v>929L</v>
          </cell>
          <cell r="F889">
            <v>143.08000000000001</v>
          </cell>
        </row>
        <row r="890">
          <cell r="E890" t="str">
            <v>930L</v>
          </cell>
          <cell r="F890">
            <v>12.24</v>
          </cell>
        </row>
        <row r="891">
          <cell r="E891" t="str">
            <v>931L</v>
          </cell>
          <cell r="F891">
            <v>36.31</v>
          </cell>
        </row>
        <row r="892">
          <cell r="E892" t="str">
            <v>932L</v>
          </cell>
          <cell r="F892">
            <v>31.83</v>
          </cell>
        </row>
        <row r="893">
          <cell r="E893" t="str">
            <v>933L</v>
          </cell>
          <cell r="F893">
            <v>41.45</v>
          </cell>
        </row>
        <row r="894">
          <cell r="E894" t="str">
            <v>934L</v>
          </cell>
          <cell r="F894">
            <v>5.49</v>
          </cell>
        </row>
        <row r="895">
          <cell r="E895" t="str">
            <v>935L</v>
          </cell>
          <cell r="F895">
            <v>116.82</v>
          </cell>
        </row>
        <row r="896">
          <cell r="E896" t="str">
            <v>936L</v>
          </cell>
          <cell r="F896">
            <v>18</v>
          </cell>
        </row>
        <row r="897">
          <cell r="E897" t="str">
            <v>937L</v>
          </cell>
          <cell r="F897">
            <v>17.989999999999998</v>
          </cell>
        </row>
        <row r="898">
          <cell r="E898" t="str">
            <v>938L</v>
          </cell>
          <cell r="F898">
            <v>51.71</v>
          </cell>
        </row>
        <row r="899">
          <cell r="E899" t="str">
            <v>939L</v>
          </cell>
          <cell r="F899">
            <v>51.67</v>
          </cell>
        </row>
        <row r="900">
          <cell r="E900" t="str">
            <v>942L</v>
          </cell>
          <cell r="F900">
            <v>31.22</v>
          </cell>
        </row>
        <row r="901">
          <cell r="E901" t="str">
            <v>943L</v>
          </cell>
          <cell r="F901">
            <v>53.51</v>
          </cell>
        </row>
        <row r="902">
          <cell r="E902" t="str">
            <v>944L</v>
          </cell>
          <cell r="F902">
            <v>72.58</v>
          </cell>
        </row>
        <row r="903">
          <cell r="E903" t="str">
            <v>945L</v>
          </cell>
          <cell r="F903">
            <v>80.849999999999994</v>
          </cell>
        </row>
        <row r="904">
          <cell r="E904" t="str">
            <v>946L</v>
          </cell>
          <cell r="F904">
            <v>35</v>
          </cell>
        </row>
        <row r="905">
          <cell r="E905" t="str">
            <v>947L</v>
          </cell>
          <cell r="F905">
            <v>35.22</v>
          </cell>
        </row>
        <row r="906">
          <cell r="E906" t="str">
            <v>948L</v>
          </cell>
          <cell r="F906">
            <v>46.72</v>
          </cell>
        </row>
        <row r="907">
          <cell r="E907" t="str">
            <v>950L</v>
          </cell>
          <cell r="F907">
            <v>5.48</v>
          </cell>
        </row>
        <row r="908">
          <cell r="E908" t="str">
            <v>951L</v>
          </cell>
          <cell r="F908">
            <v>233.63</v>
          </cell>
        </row>
        <row r="909">
          <cell r="E909" t="str">
            <v>973L</v>
          </cell>
          <cell r="F909">
            <v>139.72</v>
          </cell>
        </row>
        <row r="910">
          <cell r="E910" t="str">
            <v>974L</v>
          </cell>
          <cell r="F910">
            <v>144.68</v>
          </cell>
        </row>
        <row r="911">
          <cell r="E911" t="str">
            <v>989L</v>
          </cell>
          <cell r="F911">
            <v>101.25</v>
          </cell>
        </row>
        <row r="912">
          <cell r="E912" t="str">
            <v>995L</v>
          </cell>
          <cell r="F912">
            <v>106.68</v>
          </cell>
        </row>
        <row r="913">
          <cell r="E913" t="str">
            <v>9L01</v>
          </cell>
          <cell r="F913">
            <v>40</v>
          </cell>
        </row>
        <row r="914">
          <cell r="E914" t="str">
            <v>9L02</v>
          </cell>
          <cell r="F914">
            <v>123.92</v>
          </cell>
        </row>
        <row r="915">
          <cell r="E915" t="str">
            <v>9L05</v>
          </cell>
          <cell r="F915">
            <v>150</v>
          </cell>
        </row>
        <row r="916">
          <cell r="E916" t="str">
            <v>9L09</v>
          </cell>
          <cell r="F916">
            <v>62.5</v>
          </cell>
        </row>
        <row r="917">
          <cell r="E917" t="str">
            <v>9L100</v>
          </cell>
          <cell r="F917">
            <v>1.7</v>
          </cell>
        </row>
        <row r="918">
          <cell r="E918" t="str">
            <v>9L11</v>
          </cell>
          <cell r="F918">
            <v>164</v>
          </cell>
        </row>
        <row r="919">
          <cell r="E919" t="str">
            <v>9L20</v>
          </cell>
          <cell r="F919">
            <v>65</v>
          </cell>
        </row>
        <row r="920">
          <cell r="E920" t="str">
            <v>9L27</v>
          </cell>
          <cell r="F920">
            <v>27.13</v>
          </cell>
        </row>
        <row r="921">
          <cell r="E921" t="str">
            <v>9L36</v>
          </cell>
          <cell r="F921">
            <v>70</v>
          </cell>
        </row>
        <row r="922">
          <cell r="E922" t="str">
            <v>9L37</v>
          </cell>
          <cell r="F922">
            <v>70</v>
          </cell>
        </row>
        <row r="923">
          <cell r="E923" t="str">
            <v>9L40</v>
          </cell>
          <cell r="F923">
            <v>102</v>
          </cell>
        </row>
        <row r="924">
          <cell r="E924" t="str">
            <v>9L56</v>
          </cell>
          <cell r="F924">
            <v>123.9</v>
          </cell>
        </row>
        <row r="925">
          <cell r="E925" t="str">
            <v>9L57</v>
          </cell>
          <cell r="F925">
            <v>154</v>
          </cell>
        </row>
        <row r="926">
          <cell r="E926" t="str">
            <v>9L59</v>
          </cell>
          <cell r="F926">
            <v>136</v>
          </cell>
        </row>
        <row r="927">
          <cell r="E927" t="str">
            <v>9L79</v>
          </cell>
          <cell r="F927">
            <v>0.32</v>
          </cell>
        </row>
        <row r="928">
          <cell r="E928" t="str">
            <v>9L80</v>
          </cell>
          <cell r="F928">
            <v>0.32</v>
          </cell>
        </row>
        <row r="929">
          <cell r="E929" t="str">
            <v>9L913</v>
          </cell>
          <cell r="F929">
            <v>101.11</v>
          </cell>
        </row>
        <row r="930">
          <cell r="E930" t="str">
            <v>9L933</v>
          </cell>
          <cell r="F930">
            <v>59</v>
          </cell>
        </row>
        <row r="931">
          <cell r="E931" t="str">
            <v>9L934</v>
          </cell>
          <cell r="F931">
            <v>51.3</v>
          </cell>
        </row>
        <row r="932">
          <cell r="E932" t="str">
            <v>9L938</v>
          </cell>
          <cell r="F932">
            <v>13.33</v>
          </cell>
        </row>
        <row r="933">
          <cell r="E933" t="str">
            <v>9L939</v>
          </cell>
          <cell r="F933">
            <v>13.33</v>
          </cell>
        </row>
        <row r="934">
          <cell r="E934" t="str">
            <v>9L948</v>
          </cell>
          <cell r="F934">
            <v>33.950000000000003</v>
          </cell>
        </row>
        <row r="935">
          <cell r="E935" t="str">
            <v>9L950</v>
          </cell>
          <cell r="F935">
            <v>51.3</v>
          </cell>
        </row>
        <row r="936">
          <cell r="E936" t="str">
            <v>9L960</v>
          </cell>
          <cell r="F936">
            <v>135</v>
          </cell>
        </row>
        <row r="937">
          <cell r="E937" t="str">
            <v>9L961</v>
          </cell>
          <cell r="F937">
            <v>135</v>
          </cell>
        </row>
        <row r="938">
          <cell r="E938" t="str">
            <v>9L99</v>
          </cell>
          <cell r="F938">
            <v>1.7</v>
          </cell>
        </row>
        <row r="939">
          <cell r="E939" t="str">
            <v>9L990</v>
          </cell>
          <cell r="F939">
            <v>318.8</v>
          </cell>
        </row>
        <row r="940">
          <cell r="E940" t="str">
            <v>ALC01L</v>
          </cell>
          <cell r="F940">
            <v>1.75</v>
          </cell>
        </row>
        <row r="941">
          <cell r="E941" t="str">
            <v>ALC02L</v>
          </cell>
          <cell r="F941">
            <v>2.5499999999999998</v>
          </cell>
        </row>
        <row r="942">
          <cell r="E942" t="str">
            <v>AT Plastics 5RS</v>
          </cell>
          <cell r="F942">
            <v>0</v>
          </cell>
        </row>
        <row r="943">
          <cell r="E943" t="str">
            <v>CHD-1</v>
          </cell>
          <cell r="F943">
            <v>10.35</v>
          </cell>
        </row>
        <row r="944">
          <cell r="E944" t="str">
            <v>East Mine Feeder</v>
          </cell>
          <cell r="F944">
            <v>0</v>
          </cell>
        </row>
        <row r="945">
          <cell r="E945" t="str">
            <v>Garneau</v>
          </cell>
          <cell r="F945">
            <v>0</v>
          </cell>
        </row>
        <row r="946">
          <cell r="E946" t="str">
            <v>Hardisty</v>
          </cell>
          <cell r="F946">
            <v>0</v>
          </cell>
        </row>
        <row r="947">
          <cell r="E947" t="str">
            <v>IPPFEED1</v>
          </cell>
          <cell r="F947">
            <v>0</v>
          </cell>
        </row>
        <row r="948">
          <cell r="E948" t="str">
            <v>IPPFEED3</v>
          </cell>
          <cell r="F948">
            <v>0</v>
          </cell>
        </row>
        <row r="949">
          <cell r="E949" t="str">
            <v>IPPFEED4</v>
          </cell>
          <cell r="F949">
            <v>0</v>
          </cell>
        </row>
        <row r="950">
          <cell r="E950" t="str">
            <v>IPPFEED5</v>
          </cell>
          <cell r="F950">
            <v>0</v>
          </cell>
        </row>
        <row r="951">
          <cell r="E951" t="str">
            <v>Kennedale</v>
          </cell>
          <cell r="F951">
            <v>0</v>
          </cell>
        </row>
        <row r="952">
          <cell r="E952" t="str">
            <v>LINECREEK_TAP</v>
          </cell>
          <cell r="F952">
            <v>0</v>
          </cell>
        </row>
        <row r="953">
          <cell r="E953" t="str">
            <v>Meadowlark</v>
          </cell>
          <cell r="F953">
            <v>0</v>
          </cell>
        </row>
        <row r="954">
          <cell r="E954" t="str">
            <v>MH-10L</v>
          </cell>
          <cell r="F954">
            <v>7</v>
          </cell>
        </row>
        <row r="955">
          <cell r="E955" t="str">
            <v>MH-20L</v>
          </cell>
          <cell r="F955">
            <v>11</v>
          </cell>
        </row>
        <row r="956">
          <cell r="E956" t="str">
            <v>MH-30L</v>
          </cell>
          <cell r="F956">
            <v>11</v>
          </cell>
        </row>
        <row r="957">
          <cell r="E957" t="str">
            <v>MH-40L</v>
          </cell>
          <cell r="F957">
            <v>11</v>
          </cell>
        </row>
        <row r="958">
          <cell r="E958" t="str">
            <v>MH-4L</v>
          </cell>
          <cell r="F958">
            <v>0</v>
          </cell>
        </row>
        <row r="959">
          <cell r="E959" t="str">
            <v>MH-50L</v>
          </cell>
          <cell r="F959">
            <v>6</v>
          </cell>
        </row>
        <row r="960">
          <cell r="E960" t="str">
            <v>MH-60L</v>
          </cell>
          <cell r="F960">
            <v>5</v>
          </cell>
        </row>
        <row r="961">
          <cell r="E961" t="str">
            <v>MH-6L</v>
          </cell>
          <cell r="F961">
            <v>0.09</v>
          </cell>
        </row>
        <row r="962">
          <cell r="E962" t="str">
            <v>MH-8L</v>
          </cell>
          <cell r="F962">
            <v>0</v>
          </cell>
        </row>
        <row r="963">
          <cell r="E963" t="str">
            <v>Namao</v>
          </cell>
          <cell r="F963">
            <v>0</v>
          </cell>
        </row>
        <row r="964">
          <cell r="E964" t="str">
            <v>PCES01L</v>
          </cell>
          <cell r="F964">
            <v>3.7</v>
          </cell>
        </row>
        <row r="965">
          <cell r="E965" t="str">
            <v>Rossdale</v>
          </cell>
          <cell r="F965">
            <v>0</v>
          </cell>
        </row>
        <row r="966">
          <cell r="E966" t="str">
            <v>Strathcona</v>
          </cell>
          <cell r="F966">
            <v>0</v>
          </cell>
        </row>
        <row r="967">
          <cell r="E967" t="str">
            <v>SYNCRUDE</v>
          </cell>
          <cell r="F967">
            <v>0</v>
          </cell>
        </row>
        <row r="968">
          <cell r="E968" t="str">
            <v>Victoria</v>
          </cell>
          <cell r="F968">
            <v>0</v>
          </cell>
        </row>
        <row r="969">
          <cell r="E969" t="str">
            <v>Woodcroft</v>
          </cell>
          <cell r="F969">
            <v>0</v>
          </cell>
        </row>
        <row r="970">
          <cell r="F97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1">
          <cell r="K11">
            <v>0.87199747155499363</v>
          </cell>
        </row>
      </sheetData>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42"/>
  <sheetViews>
    <sheetView showGridLines="0" tabSelected="1" topLeftCell="A15" workbookViewId="0">
      <selection activeCell="B38" sqref="B38"/>
    </sheetView>
  </sheetViews>
  <sheetFormatPr defaultColWidth="9.109375" defaultRowHeight="13.8"/>
  <cols>
    <col min="1" max="1" width="4" style="508" customWidth="1"/>
    <col min="2" max="2" width="50.6640625" style="508" bestFit="1" customWidth="1"/>
    <col min="3" max="3" width="6.44140625" style="508" bestFit="1" customWidth="1"/>
    <col min="4" max="4" width="19.6640625" style="508" bestFit="1" customWidth="1"/>
    <col min="5" max="5" width="11.88671875" style="508" bestFit="1" customWidth="1"/>
    <col min="6" max="6" width="15.44140625" style="508" bestFit="1" customWidth="1"/>
    <col min="7" max="7" width="6" style="508" bestFit="1" customWidth="1"/>
    <col min="8" max="12" width="9.109375" style="508"/>
    <col min="13" max="13" width="11.33203125" style="508" customWidth="1"/>
    <col min="14" max="16384" width="9.109375" style="508"/>
  </cols>
  <sheetData>
    <row r="1" spans="1:13" ht="31.2">
      <c r="A1" s="507" t="s">
        <v>3802</v>
      </c>
    </row>
    <row r="2" spans="1:13">
      <c r="A2" s="509"/>
    </row>
    <row r="3" spans="1:13">
      <c r="B3" s="510" t="s">
        <v>184</v>
      </c>
    </row>
    <row r="4" spans="1:13">
      <c r="C4" s="511"/>
    </row>
    <row r="5" spans="1:13">
      <c r="B5" s="960" t="s">
        <v>190</v>
      </c>
      <c r="C5" s="960"/>
      <c r="D5" s="512" t="s">
        <v>189</v>
      </c>
      <c r="E5" s="513" t="s">
        <v>167</v>
      </c>
      <c r="F5" s="514"/>
      <c r="G5" s="514"/>
      <c r="H5" s="514"/>
      <c r="I5" s="514"/>
      <c r="J5" s="514"/>
      <c r="K5" s="514"/>
      <c r="L5" s="514"/>
      <c r="M5" s="514"/>
    </row>
    <row r="6" spans="1:13">
      <c r="B6" s="791" t="s">
        <v>2101</v>
      </c>
      <c r="C6" s="518"/>
      <c r="D6" s="515" t="s">
        <v>51</v>
      </c>
      <c r="E6" s="516" t="s">
        <v>2127</v>
      </c>
      <c r="F6" s="517"/>
      <c r="G6" s="517"/>
      <c r="H6" s="517"/>
      <c r="I6" s="517"/>
      <c r="J6" s="517"/>
      <c r="K6" s="517"/>
      <c r="L6" s="517"/>
      <c r="M6" s="517"/>
    </row>
    <row r="7" spans="1:13">
      <c r="B7" s="966" t="s">
        <v>2100</v>
      </c>
      <c r="C7" s="967"/>
      <c r="D7" s="519" t="s">
        <v>3128</v>
      </c>
      <c r="E7" s="520" t="s">
        <v>3135</v>
      </c>
      <c r="F7" s="521"/>
      <c r="G7" s="521"/>
      <c r="H7" s="521"/>
      <c r="I7" s="521"/>
      <c r="J7" s="521"/>
      <c r="K7" s="521"/>
      <c r="L7" s="521"/>
      <c r="M7" s="521"/>
    </row>
    <row r="8" spans="1:13">
      <c r="B8" s="968"/>
      <c r="C8" s="969"/>
      <c r="D8" s="519" t="s">
        <v>3129</v>
      </c>
      <c r="E8" s="520" t="s">
        <v>3136</v>
      </c>
      <c r="F8" s="521"/>
      <c r="G8" s="521"/>
      <c r="H8" s="521"/>
      <c r="I8" s="521"/>
      <c r="J8" s="521"/>
      <c r="K8" s="521"/>
      <c r="L8" s="521"/>
      <c r="M8" s="521"/>
    </row>
    <row r="9" spans="1:13">
      <c r="B9" s="968"/>
      <c r="C9" s="969"/>
      <c r="D9" s="519" t="s">
        <v>3130</v>
      </c>
      <c r="E9" s="520" t="s">
        <v>2128</v>
      </c>
      <c r="F9" s="521"/>
      <c r="G9" s="521"/>
      <c r="H9" s="521"/>
      <c r="I9" s="521"/>
      <c r="J9" s="521"/>
      <c r="K9" s="521"/>
      <c r="L9" s="521"/>
      <c r="M9" s="521"/>
    </row>
    <row r="10" spans="1:13">
      <c r="B10" s="968"/>
      <c r="C10" s="969"/>
      <c r="D10" s="519" t="s">
        <v>3131</v>
      </c>
      <c r="E10" s="520" t="s">
        <v>3137</v>
      </c>
      <c r="F10" s="521"/>
      <c r="G10" s="521"/>
      <c r="H10" s="521"/>
      <c r="I10" s="521"/>
      <c r="J10" s="521"/>
      <c r="K10" s="521"/>
      <c r="L10" s="521"/>
      <c r="M10" s="521"/>
    </row>
    <row r="11" spans="1:13">
      <c r="B11" s="968"/>
      <c r="C11" s="969"/>
      <c r="D11" s="519" t="s">
        <v>3132</v>
      </c>
      <c r="E11" s="520" t="s">
        <v>3138</v>
      </c>
      <c r="F11" s="521"/>
      <c r="G11" s="521"/>
      <c r="H11" s="521"/>
      <c r="I11" s="521"/>
      <c r="J11" s="521"/>
      <c r="K11" s="521"/>
      <c r="L11" s="521"/>
      <c r="M11" s="521"/>
    </row>
    <row r="12" spans="1:13">
      <c r="B12" s="968"/>
      <c r="C12" s="969"/>
      <c r="D12" s="519" t="s">
        <v>3133</v>
      </c>
      <c r="E12" s="520" t="s">
        <v>3127</v>
      </c>
      <c r="F12" s="521"/>
      <c r="G12" s="521"/>
      <c r="H12" s="521"/>
      <c r="I12" s="521"/>
      <c r="J12" s="521"/>
      <c r="K12" s="521"/>
      <c r="L12" s="521"/>
      <c r="M12" s="521"/>
    </row>
    <row r="13" spans="1:13">
      <c r="B13" s="970"/>
      <c r="C13" s="971"/>
      <c r="D13" s="519" t="s">
        <v>3134</v>
      </c>
      <c r="E13" s="520" t="s">
        <v>2129</v>
      </c>
      <c r="F13" s="521"/>
      <c r="G13" s="521"/>
      <c r="H13" s="521"/>
      <c r="I13" s="521"/>
      <c r="J13" s="521"/>
      <c r="K13" s="521"/>
      <c r="L13" s="521"/>
      <c r="M13" s="521"/>
    </row>
    <row r="14" spans="1:13">
      <c r="B14" s="961" t="s">
        <v>193</v>
      </c>
      <c r="C14" s="961"/>
      <c r="D14" s="522" t="s">
        <v>186</v>
      </c>
      <c r="E14" s="516" t="s">
        <v>2096</v>
      </c>
      <c r="F14" s="517"/>
      <c r="G14" s="517"/>
      <c r="H14" s="517"/>
      <c r="I14" s="517"/>
      <c r="J14" s="517"/>
      <c r="K14" s="517"/>
      <c r="L14" s="517"/>
      <c r="M14" s="517"/>
    </row>
    <row r="15" spans="1:13" ht="13.5" customHeight="1">
      <c r="B15" s="961"/>
      <c r="C15" s="961"/>
      <c r="D15" s="522" t="s">
        <v>185</v>
      </c>
      <c r="E15" s="523" t="s">
        <v>197</v>
      </c>
      <c r="F15" s="524"/>
      <c r="G15" s="524"/>
      <c r="H15" s="524"/>
      <c r="I15" s="524"/>
      <c r="J15" s="524"/>
      <c r="K15" s="524"/>
      <c r="L15" s="524"/>
      <c r="M15" s="524"/>
    </row>
    <row r="16" spans="1:13">
      <c r="B16" s="961"/>
      <c r="C16" s="961"/>
      <c r="D16" s="522" t="s">
        <v>676</v>
      </c>
      <c r="E16" s="516" t="s">
        <v>2097</v>
      </c>
      <c r="F16" s="517"/>
      <c r="G16" s="517"/>
      <c r="H16" s="517"/>
      <c r="I16" s="517"/>
      <c r="J16" s="517"/>
      <c r="K16" s="517"/>
      <c r="L16" s="517"/>
      <c r="M16" s="517"/>
    </row>
    <row r="17" spans="2:13" ht="13.5" customHeight="1">
      <c r="B17" s="961"/>
      <c r="C17" s="961"/>
      <c r="D17" s="522" t="s">
        <v>677</v>
      </c>
      <c r="E17" s="523" t="s">
        <v>678</v>
      </c>
      <c r="F17" s="524"/>
      <c r="G17" s="524"/>
      <c r="H17" s="524"/>
      <c r="I17" s="524"/>
      <c r="J17" s="524"/>
      <c r="K17" s="524"/>
      <c r="L17" s="524"/>
      <c r="M17" s="524"/>
    </row>
    <row r="18" spans="2:13">
      <c r="B18" s="961"/>
      <c r="C18" s="961"/>
      <c r="D18" s="522" t="s">
        <v>187</v>
      </c>
      <c r="E18" s="516" t="s">
        <v>191</v>
      </c>
      <c r="F18" s="517"/>
      <c r="G18" s="517"/>
      <c r="H18" s="517"/>
      <c r="I18" s="517"/>
      <c r="J18" s="517"/>
      <c r="K18" s="517"/>
      <c r="L18" s="517"/>
      <c r="M18" s="517"/>
    </row>
    <row r="19" spans="2:13">
      <c r="B19" s="961"/>
      <c r="C19" s="961"/>
      <c r="D19" s="525" t="s">
        <v>188</v>
      </c>
      <c r="E19" s="523" t="s">
        <v>192</v>
      </c>
      <c r="F19" s="524"/>
      <c r="G19" s="524"/>
      <c r="H19" s="524"/>
      <c r="I19" s="524"/>
      <c r="J19" s="524"/>
      <c r="K19" s="524"/>
      <c r="L19" s="524"/>
      <c r="M19" s="524"/>
    </row>
    <row r="20" spans="2:13">
      <c r="B20" s="526" t="s">
        <v>194</v>
      </c>
      <c r="C20" s="527"/>
      <c r="D20" s="528" t="s">
        <v>195</v>
      </c>
      <c r="E20" s="516" t="s">
        <v>2098</v>
      </c>
      <c r="F20" s="517"/>
      <c r="G20" s="517"/>
      <c r="H20" s="517"/>
      <c r="I20" s="517"/>
      <c r="J20" s="517"/>
      <c r="K20" s="517"/>
      <c r="L20" s="517"/>
      <c r="M20" s="517"/>
    </row>
    <row r="21" spans="2:13" ht="13.5" customHeight="1">
      <c r="B21" s="529"/>
      <c r="C21" s="530"/>
      <c r="D21" s="531" t="s">
        <v>196</v>
      </c>
      <c r="E21" s="516" t="s">
        <v>198</v>
      </c>
      <c r="F21" s="517"/>
      <c r="G21" s="517"/>
      <c r="H21" s="517"/>
      <c r="I21" s="517"/>
      <c r="J21" s="517"/>
      <c r="K21" s="517"/>
      <c r="L21" s="517"/>
      <c r="M21" s="517"/>
    </row>
    <row r="22" spans="2:13">
      <c r="B22" s="962" t="s">
        <v>200</v>
      </c>
      <c r="C22" s="963"/>
      <c r="D22" s="532" t="s">
        <v>199</v>
      </c>
      <c r="E22" s="516" t="s">
        <v>2099</v>
      </c>
      <c r="F22" s="517"/>
      <c r="G22" s="517"/>
      <c r="H22" s="517"/>
      <c r="I22" s="517"/>
      <c r="J22" s="517"/>
      <c r="K22" s="517"/>
      <c r="L22" s="517"/>
      <c r="M22" s="517"/>
    </row>
    <row r="23" spans="2:13">
      <c r="B23" s="964"/>
      <c r="C23" s="965"/>
      <c r="D23" s="533" t="s">
        <v>700</v>
      </c>
      <c r="E23" s="516" t="s">
        <v>701</v>
      </c>
      <c r="F23" s="517"/>
      <c r="G23" s="517"/>
      <c r="H23" s="517"/>
      <c r="I23" s="517"/>
      <c r="J23" s="517"/>
      <c r="K23" s="517"/>
      <c r="L23" s="517"/>
      <c r="M23" s="517"/>
    </row>
    <row r="24" spans="2:13" ht="29.25" customHeight="1">
      <c r="B24" s="958" t="s">
        <v>674</v>
      </c>
      <c r="C24" s="959"/>
      <c r="D24" s="534" t="s">
        <v>675</v>
      </c>
      <c r="E24" s="516" t="s">
        <v>702</v>
      </c>
      <c r="F24" s="517"/>
      <c r="G24" s="517"/>
      <c r="H24" s="517"/>
      <c r="I24" s="517"/>
      <c r="J24" s="517"/>
      <c r="K24" s="517"/>
      <c r="L24" s="517"/>
      <c r="M24" s="517"/>
    </row>
    <row r="26" spans="2:13">
      <c r="B26" s="510" t="s">
        <v>703</v>
      </c>
    </row>
    <row r="28" spans="2:13">
      <c r="B28" s="214" t="str">
        <f>'Results for report'!B39</f>
        <v>Final Combined cost functionalization (net of RGUCC and FMW)</v>
      </c>
      <c r="C28" s="779">
        <v>2018</v>
      </c>
      <c r="D28" s="779">
        <v>2019</v>
      </c>
      <c r="E28" s="788">
        <v>2020</v>
      </c>
      <c r="F28" s="948"/>
      <c r="G28" s="535"/>
      <c r="H28" s="536"/>
    </row>
    <row r="29" spans="2:13">
      <c r="B29" s="4" t="str">
        <f>'Results for report'!B40</f>
        <v>Bulk</v>
      </c>
      <c r="C29" s="767">
        <f>'Results for report'!H40</f>
        <v>0.51405907142161578</v>
      </c>
      <c r="D29" s="767">
        <f>'Results for report'!I40</f>
        <v>0.52768821189714932</v>
      </c>
      <c r="E29" s="225">
        <f>'Results for report'!J40</f>
        <v>0.51692657133398034</v>
      </c>
      <c r="F29" s="949"/>
      <c r="G29" s="537"/>
      <c r="H29" s="536"/>
    </row>
    <row r="30" spans="2:13">
      <c r="B30" s="4" t="str">
        <f>'Results for report'!B41</f>
        <v>Regional</v>
      </c>
      <c r="C30" s="767">
        <f>'Results for report'!H41</f>
        <v>0.25758894447894976</v>
      </c>
      <c r="D30" s="767">
        <f>'Results for report'!I41</f>
        <v>0.24505664110307701</v>
      </c>
      <c r="E30" s="225">
        <f>'Results for report'!J41</f>
        <v>0.24584169603111261</v>
      </c>
      <c r="F30" s="949"/>
      <c r="G30" s="536"/>
      <c r="H30" s="536"/>
    </row>
    <row r="31" spans="2:13">
      <c r="B31" s="4" t="str">
        <f>'Results for report'!B42</f>
        <v>POD</v>
      </c>
      <c r="C31" s="767">
        <f>'Results for report'!H42</f>
        <v>0.22835198409943447</v>
      </c>
      <c r="D31" s="767">
        <f>'Results for report'!I42</f>
        <v>0.22725514699977375</v>
      </c>
      <c r="E31" s="225">
        <f>'Results for report'!J42</f>
        <v>0.23723173263490704</v>
      </c>
      <c r="F31" s="949"/>
      <c r="G31" s="536"/>
      <c r="H31" s="536"/>
    </row>
    <row r="32" spans="2:13">
      <c r="B32" s="4"/>
      <c r="C32" s="216"/>
      <c r="D32" s="216"/>
      <c r="E32" s="216"/>
      <c r="F32" s="216"/>
      <c r="G32" s="536"/>
      <c r="H32" s="536"/>
    </row>
    <row r="33" spans="2:6">
      <c r="B33" s="192" t="str">
        <f>'Results for report'!B45</f>
        <v>Classification results</v>
      </c>
      <c r="C33" s="224" t="str">
        <f>'Results for report'!D45</f>
        <v>Bulk</v>
      </c>
      <c r="D33" s="224" t="str">
        <f>'Results for report'!E45</f>
        <v>Regional</v>
      </c>
      <c r="E33" s="216"/>
      <c r="F33" s="216"/>
    </row>
    <row r="34" spans="2:6">
      <c r="B34" s="9" t="str">
        <f>'Results for report'!B46</f>
        <v>Demand</v>
      </c>
      <c r="C34" s="225">
        <f>'Results for report'!D46</f>
        <v>0.93446310349533057</v>
      </c>
      <c r="D34" s="225">
        <f>'Results for report'!E46</f>
        <v>0.89543608452322854</v>
      </c>
      <c r="E34" s="216"/>
      <c r="F34" s="216"/>
    </row>
    <row r="35" spans="2:6" ht="13.95" customHeight="1">
      <c r="B35" s="9" t="str">
        <f>'Results for report'!B47</f>
        <v>Energy</v>
      </c>
      <c r="C35" s="225">
        <f>'Results for report'!D47</f>
        <v>6.5536896504669442E-2</v>
      </c>
      <c r="D35" s="225">
        <f>'Results for report'!E47</f>
        <v>0.10456391547677155</v>
      </c>
      <c r="E35" s="216"/>
      <c r="F35" s="216"/>
    </row>
    <row r="40" spans="2:6">
      <c r="C40" s="538"/>
      <c r="D40" s="538"/>
      <c r="E40" s="538"/>
    </row>
    <row r="41" spans="2:6">
      <c r="C41" s="538"/>
      <c r="D41" s="538"/>
      <c r="E41" s="538"/>
    </row>
    <row r="42" spans="2:6">
      <c r="C42" s="538"/>
      <c r="D42" s="538"/>
      <c r="E42" s="538"/>
    </row>
  </sheetData>
  <mergeCells count="5">
    <mergeCell ref="B24:C24"/>
    <mergeCell ref="B5:C5"/>
    <mergeCell ref="B14:C19"/>
    <mergeCell ref="B22:C23"/>
    <mergeCell ref="B7:C13"/>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sheetPr>
  <dimension ref="A1:U28"/>
  <sheetViews>
    <sheetView showGridLines="0" zoomScaleNormal="100" workbookViewId="0">
      <selection activeCell="B11" sqref="B11"/>
    </sheetView>
  </sheetViews>
  <sheetFormatPr defaultColWidth="8.88671875" defaultRowHeight="13.8"/>
  <cols>
    <col min="1" max="1" width="25.109375" style="4" customWidth="1"/>
    <col min="2" max="2" width="17.6640625" style="4" bestFit="1" customWidth="1"/>
    <col min="3" max="16384" width="8.88671875" style="4"/>
  </cols>
  <sheetData>
    <row r="1" spans="1:3" ht="20.399999999999999">
      <c r="A1" s="950" t="s">
        <v>2134</v>
      </c>
    </row>
    <row r="3" spans="1:3">
      <c r="A3" s="358"/>
      <c r="B3" s="358" t="s">
        <v>2105</v>
      </c>
      <c r="C3" s="358" t="s">
        <v>2106</v>
      </c>
    </row>
    <row r="4" spans="1:3">
      <c r="A4" s="245" t="s">
        <v>35</v>
      </c>
      <c r="B4" s="251">
        <f>+'Func AL Lines'!N422</f>
        <v>1772609377.6009877</v>
      </c>
      <c r="C4" s="371">
        <f>+B4/SUM($B$4:$B$9)</f>
        <v>0.26216829535774133</v>
      </c>
    </row>
    <row r="5" spans="1:3">
      <c r="A5" s="245" t="s">
        <v>718</v>
      </c>
      <c r="B5" s="251">
        <f>+'Func AL Subs'!M348</f>
        <v>1587322843.5277793</v>
      </c>
      <c r="C5" s="371">
        <f t="shared" ref="C5:C9" si="0">+B5/SUM($B$4:$B$9)</f>
        <v>0.23476448298681774</v>
      </c>
    </row>
    <row r="6" spans="1:3">
      <c r="A6" s="245" t="s">
        <v>716</v>
      </c>
      <c r="B6" s="251">
        <f>+'Func ATCO Lines'!K436</f>
        <v>1644709158.0117235</v>
      </c>
      <c r="C6" s="371">
        <f t="shared" si="0"/>
        <v>0.24325189845196682</v>
      </c>
    </row>
    <row r="7" spans="1:3">
      <c r="A7" s="245" t="s">
        <v>717</v>
      </c>
      <c r="B7" s="251">
        <f>+'Func ATCO Subs'!K227</f>
        <v>1198448601.1648526</v>
      </c>
      <c r="C7" s="371">
        <f t="shared" si="0"/>
        <v>0.1772501210991472</v>
      </c>
    </row>
    <row r="8" spans="1:3">
      <c r="A8" s="245" t="s">
        <v>64</v>
      </c>
      <c r="B8" s="251">
        <f>'Func Enmax'!C23+'Func Enmax'!D23</f>
        <v>223368930.08987236</v>
      </c>
      <c r="C8" s="371">
        <f t="shared" si="0"/>
        <v>3.3036185172843069E-2</v>
      </c>
    </row>
    <row r="9" spans="1:3">
      <c r="A9" s="245" t="s">
        <v>38</v>
      </c>
      <c r="B9" s="251">
        <f>'Func EPCOR'!B26+'Func EPCOR'!C26+'Func EPCOR'!D26</f>
        <v>334882598.05139667</v>
      </c>
      <c r="C9" s="371">
        <f t="shared" si="0"/>
        <v>4.952901693148383E-2</v>
      </c>
    </row>
    <row r="13" spans="1:3">
      <c r="A13" s="11"/>
      <c r="B13" s="121"/>
    </row>
    <row r="28" spans="21:21">
      <c r="U28" s="77"/>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H368"/>
  <sheetViews>
    <sheetView showGridLines="0" zoomScale="70" zoomScaleNormal="70" workbookViewId="0">
      <selection activeCell="Y22" sqref="Y22"/>
    </sheetView>
  </sheetViews>
  <sheetFormatPr defaultColWidth="9.109375" defaultRowHeight="13.8"/>
  <cols>
    <col min="1" max="1" width="19.6640625" style="4" customWidth="1"/>
    <col min="2" max="2" width="8" style="4" bestFit="1" customWidth="1"/>
    <col min="3" max="3" width="19.6640625" style="4" bestFit="1" customWidth="1"/>
    <col min="4" max="5" width="18.5546875" style="101" customWidth="1"/>
    <col min="6" max="6" width="24" style="101" bestFit="1" customWidth="1"/>
    <col min="7" max="7" width="18.5546875" style="101" customWidth="1"/>
    <col min="8" max="8" width="23" style="101" bestFit="1" customWidth="1"/>
    <col min="9" max="10" width="23" style="4" bestFit="1" customWidth="1"/>
    <col min="11" max="11" width="25" style="4" bestFit="1" customWidth="1"/>
    <col min="12" max="13" width="25" style="4" customWidth="1"/>
    <col min="14" max="14" width="19.5546875" style="4" customWidth="1"/>
    <col min="15" max="15" width="16.44140625" style="4" customWidth="1"/>
    <col min="16" max="16" width="5.88671875" style="4" customWidth="1"/>
    <col min="17" max="17" width="14.33203125" style="4" customWidth="1"/>
    <col min="18" max="18" width="22.44140625" style="4" customWidth="1"/>
    <col min="19" max="19" width="15.33203125" style="4" customWidth="1"/>
    <col min="20" max="20" width="17.88671875" style="4" bestFit="1" customWidth="1"/>
    <col min="21" max="22" width="15.33203125" style="4" bestFit="1" customWidth="1"/>
    <col min="23" max="24" width="15.33203125" style="4" customWidth="1"/>
    <col min="25" max="25" width="20.109375" style="4" customWidth="1"/>
    <col min="26" max="26" width="22.44140625" style="4" customWidth="1"/>
    <col min="27" max="27" width="24.44140625" style="4" customWidth="1"/>
    <col min="28" max="28" width="22.33203125" style="4" customWidth="1"/>
    <col min="29" max="29" width="16" style="4" bestFit="1" customWidth="1"/>
    <col min="30" max="30" width="19.6640625" style="4" customWidth="1"/>
    <col min="31" max="31" width="18.6640625" style="4" customWidth="1"/>
    <col min="32" max="32" width="16.33203125" style="4" bestFit="1" customWidth="1"/>
    <col min="33" max="33" width="15.33203125" style="4" bestFit="1" customWidth="1"/>
    <col min="34" max="16384" width="9.109375" style="4"/>
  </cols>
  <sheetData>
    <row r="1" spans="1:34" ht="14.4" thickBot="1">
      <c r="A1" s="770" t="s">
        <v>2092</v>
      </c>
      <c r="B1" s="771"/>
      <c r="C1" s="771"/>
      <c r="D1" s="771"/>
      <c r="E1" s="771"/>
      <c r="F1" s="771"/>
      <c r="G1" s="772"/>
      <c r="H1" s="984" t="s">
        <v>51</v>
      </c>
      <c r="I1" s="985"/>
      <c r="J1" s="985"/>
      <c r="K1" s="985"/>
      <c r="L1" s="778"/>
      <c r="M1" s="778"/>
      <c r="N1" s="993" t="s">
        <v>101</v>
      </c>
      <c r="O1" s="994"/>
      <c r="P1" s="995"/>
      <c r="Q1" s="990" t="s">
        <v>103</v>
      </c>
      <c r="R1" s="991"/>
      <c r="S1" s="992"/>
      <c r="T1" s="987" t="s">
        <v>45</v>
      </c>
      <c r="U1" s="988"/>
      <c r="V1" s="989"/>
      <c r="W1" s="547"/>
      <c r="X1" s="550"/>
      <c r="Y1" s="986" t="s">
        <v>2137</v>
      </c>
      <c r="Z1" s="986"/>
      <c r="AA1" s="986"/>
      <c r="AB1" s="986"/>
    </row>
    <row r="2" spans="1:34" s="785" customFormat="1">
      <c r="A2" s="390" t="s">
        <v>2138</v>
      </c>
      <c r="B2" s="391"/>
      <c r="C2" s="391"/>
      <c r="D2" s="392"/>
      <c r="E2" s="392"/>
      <c r="F2" s="392"/>
      <c r="G2" s="393"/>
      <c r="H2" s="394" t="s">
        <v>214</v>
      </c>
      <c r="I2" s="394" t="s">
        <v>215</v>
      </c>
      <c r="J2" s="394" t="s">
        <v>1123</v>
      </c>
      <c r="K2" s="394" t="s">
        <v>1124</v>
      </c>
      <c r="L2" s="394" t="s">
        <v>1125</v>
      </c>
      <c r="M2" s="394" t="s">
        <v>1126</v>
      </c>
      <c r="N2" s="397"/>
      <c r="O2" s="398"/>
      <c r="P2" s="399"/>
      <c r="Q2" s="400"/>
      <c r="R2" s="401"/>
      <c r="S2" s="402"/>
      <c r="T2" s="404"/>
      <c r="U2" s="405"/>
      <c r="V2" s="406"/>
      <c r="W2" s="548"/>
      <c r="X2" s="551"/>
      <c r="Y2" s="407"/>
      <c r="Z2" s="407"/>
      <c r="AA2" s="407"/>
      <c r="AB2" s="407"/>
      <c r="AG2" s="457"/>
      <c r="AH2" s="457"/>
    </row>
    <row r="3" spans="1:34" s="785" customFormat="1">
      <c r="A3" s="408"/>
      <c r="B3" s="409"/>
      <c r="C3" s="409"/>
      <c r="D3" s="392"/>
      <c r="E3" s="392"/>
      <c r="F3" s="392"/>
      <c r="G3" s="393"/>
      <c r="H3" s="394">
        <f>+(1-Depreciation!E14)</f>
        <v>0.96533000000000002</v>
      </c>
      <c r="I3" s="395">
        <f>+(1-Depreciation!E14)*(1-Depreciation!F14)</f>
        <v>0.93093529209999992</v>
      </c>
      <c r="J3" s="395">
        <f>+(1-Depreciation!E14)*(1-Depreciation!F14)*(1-Depreciation!G14)</f>
        <v>0.89885827756423553</v>
      </c>
      <c r="K3" s="396">
        <f>+(1-Depreciation!E14)*(1-Depreciation!F14)*(1-Depreciation!G14)*(1-Depreciation!H14)</f>
        <v>0.86880577929116165</v>
      </c>
      <c r="L3" s="395">
        <f>+(1-Depreciation!E14)*(1-Depreciation!F14)*(1-Depreciation!G14)*(1-Depreciation!H14)*(1-Depreciation!I14)</f>
        <v>0.83975805860649744</v>
      </c>
      <c r="M3" s="395">
        <f>+(1-Depreciation!E14)*(1-Depreciation!F14)*(1-Depreciation!G14)*(1-Depreciation!H14)*(1-Depreciation!I14)*(1-Depreciation!J14)</f>
        <v>0.81168152169740926</v>
      </c>
      <c r="N3" s="410"/>
      <c r="O3" s="411"/>
      <c r="P3" s="412"/>
      <c r="Q3" s="413"/>
      <c r="R3" s="414"/>
      <c r="S3" s="415"/>
      <c r="T3" s="417"/>
      <c r="U3" s="418"/>
      <c r="V3" s="419"/>
      <c r="W3" s="549"/>
      <c r="X3" s="552"/>
      <c r="Y3" s="407"/>
      <c r="Z3" s="407"/>
      <c r="AA3" s="407"/>
      <c r="AB3" s="407"/>
      <c r="AG3" s="457"/>
      <c r="AH3" s="457"/>
    </row>
    <row r="4" spans="1:34" s="785" customFormat="1">
      <c r="A4" s="421" t="s">
        <v>1107</v>
      </c>
      <c r="B4" s="422"/>
      <c r="C4" s="422" t="s">
        <v>56</v>
      </c>
      <c r="D4" s="422" t="s">
        <v>57</v>
      </c>
      <c r="E4" s="422" t="s">
        <v>98</v>
      </c>
      <c r="F4" s="422" t="s">
        <v>209</v>
      </c>
      <c r="G4" s="423" t="s">
        <v>1121</v>
      </c>
      <c r="H4" s="424" t="s">
        <v>216</v>
      </c>
      <c r="I4" s="386" t="s">
        <v>1145</v>
      </c>
      <c r="J4" s="386" t="s">
        <v>1146</v>
      </c>
      <c r="K4" s="425" t="s">
        <v>1150</v>
      </c>
      <c r="L4" s="425" t="s">
        <v>1151</v>
      </c>
      <c r="M4" s="425" t="s">
        <v>1152</v>
      </c>
      <c r="N4" s="295" t="s">
        <v>99</v>
      </c>
      <c r="O4" s="296" t="s">
        <v>100</v>
      </c>
      <c r="P4" s="297" t="s">
        <v>102</v>
      </c>
      <c r="Q4" s="298" t="s">
        <v>53</v>
      </c>
      <c r="R4" s="299" t="s">
        <v>50</v>
      </c>
      <c r="S4" s="300" t="s">
        <v>102</v>
      </c>
      <c r="T4" s="302" t="s">
        <v>104</v>
      </c>
      <c r="U4" s="303" t="s">
        <v>74</v>
      </c>
      <c r="V4" s="458" t="s">
        <v>50</v>
      </c>
      <c r="W4" s="303" t="s">
        <v>726</v>
      </c>
      <c r="X4" s="552"/>
      <c r="Y4" s="598" t="s">
        <v>2093</v>
      </c>
      <c r="Z4" s="349" t="s">
        <v>49</v>
      </c>
      <c r="AA4" s="349" t="s">
        <v>74</v>
      </c>
      <c r="AB4" s="349" t="s">
        <v>50</v>
      </c>
      <c r="AG4" s="457"/>
      <c r="AH4" s="457"/>
    </row>
    <row r="5" spans="1:34">
      <c r="A5" s="459" t="s">
        <v>2155</v>
      </c>
      <c r="B5" s="460"/>
      <c r="C5" s="461">
        <v>411141.34</v>
      </c>
      <c r="D5" s="461">
        <v>-424363.86</v>
      </c>
      <c r="E5" s="429">
        <v>138</v>
      </c>
      <c r="F5" s="431">
        <v>240</v>
      </c>
      <c r="G5" s="450">
        <v>-13222.52</v>
      </c>
      <c r="H5" s="309">
        <f t="shared" ref="H5:M24" si="0">+$G5*(H$3)</f>
        <v>-12764.0952316</v>
      </c>
      <c r="I5" s="309">
        <f t="shared" si="0"/>
        <v>-12309.310518498092</v>
      </c>
      <c r="J5" s="309">
        <f t="shared" si="0"/>
        <v>-11885.171552258656</v>
      </c>
      <c r="K5" s="309">
        <f t="shared" si="0"/>
        <v>-11487.80179279297</v>
      </c>
      <c r="L5" s="309">
        <f t="shared" si="0"/>
        <v>-11103.717725085586</v>
      </c>
      <c r="M5" s="309">
        <f>+$G5*(M$3)</f>
        <v>-10732.475154274429</v>
      </c>
      <c r="N5" s="308">
        <v>0</v>
      </c>
      <c r="O5" s="462">
        <v>1</v>
      </c>
      <c r="P5" s="463">
        <v>0</v>
      </c>
      <c r="Q5" s="309">
        <f>IF(ISERROR(N5),0,N5*$M5)</f>
        <v>0</v>
      </c>
      <c r="R5" s="311">
        <f>IF(ISERROR(O5),0,O5*$M5)</f>
        <v>-10732.475154274429</v>
      </c>
      <c r="S5" s="312">
        <f>+P5*$M5</f>
        <v>0</v>
      </c>
      <c r="T5" s="309">
        <f>+Q5+IF(OR(ISERROR(F5),ISBLANK(F5),F5=0),0,IF((F5&gt;144),S5,0))</f>
        <v>0</v>
      </c>
      <c r="U5" s="311">
        <f>IF(OR(ISERROR(F5),ISBLANK(F5),F5=0),0,IF(AND(F5&lt;=144,F5&gt;=69),S5,0))</f>
        <v>0</v>
      </c>
      <c r="V5" s="464">
        <f>+R5+IF(OR(ISERROR(F5),,ISBLANK(F5),F5=0),0,IF(F5&lt;69,S5,0))</f>
        <v>-10732.475154274429</v>
      </c>
      <c r="W5" s="311">
        <f>IF(OR(ISERROR(F5),ISBLANK(F5),F5=0),M5,0)</f>
        <v>0</v>
      </c>
      <c r="X5" s="553"/>
      <c r="Y5" s="213" t="s">
        <v>52</v>
      </c>
      <c r="Z5" s="434">
        <f>SUM(T5:T347)</f>
        <v>334339118.6180371</v>
      </c>
      <c r="AA5" s="434">
        <f>SUM(U5:U347)</f>
        <v>413404551.97438008</v>
      </c>
      <c r="AB5" s="434">
        <f>SUM(V5:V347)</f>
        <v>835905884.83249378</v>
      </c>
      <c r="AG5" s="465"/>
      <c r="AH5" s="465"/>
    </row>
    <row r="6" spans="1:34">
      <c r="A6" s="459" t="s">
        <v>2156</v>
      </c>
      <c r="B6" s="460"/>
      <c r="C6" s="461">
        <v>31576353.050000001</v>
      </c>
      <c r="D6" s="461">
        <v>-3835759.21</v>
      </c>
      <c r="E6" s="429">
        <v>240</v>
      </c>
      <c r="F6" s="431">
        <v>240</v>
      </c>
      <c r="G6" s="450">
        <v>27740593.84</v>
      </c>
      <c r="H6" s="309">
        <f t="shared" si="0"/>
        <v>26778827.451567199</v>
      </c>
      <c r="I6" s="309">
        <f t="shared" si="0"/>
        <v>25824697.829467859</v>
      </c>
      <c r="J6" s="309">
        <f t="shared" si="0"/>
        <v>24934862.397631444</v>
      </c>
      <c r="K6" s="309">
        <f t="shared" si="0"/>
        <v>24101188.2491608</v>
      </c>
      <c r="L6" s="309">
        <f t="shared" si="0"/>
        <v>23295387.227669761</v>
      </c>
      <c r="M6" s="309">
        <f t="shared" si="0"/>
        <v>22516527.420840979</v>
      </c>
      <c r="N6" s="308">
        <v>0</v>
      </c>
      <c r="O6" s="462">
        <v>1</v>
      </c>
      <c r="P6" s="463">
        <v>0</v>
      </c>
      <c r="Q6" s="309">
        <f t="shared" ref="Q6:Q69" si="1">IF(ISERROR(N6),0,N6*$M6)</f>
        <v>0</v>
      </c>
      <c r="R6" s="311">
        <f t="shared" ref="R6:R69" si="2">IF(ISERROR(O6),0,O6*$M6)</f>
        <v>22516527.420840979</v>
      </c>
      <c r="S6" s="312">
        <f t="shared" ref="S6:S69" si="3">+P6*$M6</f>
        <v>0</v>
      </c>
      <c r="T6" s="309">
        <f t="shared" ref="T6:T69" si="4">+Q6+IF(OR(ISERROR(F6),ISBLANK(F6),F6=0),0,IF((F6&gt;144),S6,0))</f>
        <v>0</v>
      </c>
      <c r="U6" s="311">
        <f t="shared" ref="U6:U69" si="5">IF(OR(ISERROR(F6),ISBLANK(F6),F6=0),0,IF(AND(F6&lt;=144,F6&gt;=69),S6,0))</f>
        <v>0</v>
      </c>
      <c r="V6" s="464">
        <f t="shared" ref="V6:V69" si="6">+R6+IF(OR(ISERROR(F6),,ISBLANK(F6),F6=0),0,IF(F6&lt;69,S6,0))</f>
        <v>22516527.420840979</v>
      </c>
      <c r="W6" s="311">
        <f t="shared" ref="W6:W69" si="7">IF(OR(ISERROR(F6),ISBLANK(F6),F6=0),M6,0)</f>
        <v>0</v>
      </c>
      <c r="X6" s="553"/>
      <c r="Y6" s="213" t="s">
        <v>70</v>
      </c>
      <c r="Z6" s="435">
        <f>Z5/SUM(Z5:AB5)</f>
        <v>0.21111938400306635</v>
      </c>
      <c r="AA6" s="435">
        <f>AA5/SUM(Z5:AB5)</f>
        <v>0.2610454759755601</v>
      </c>
      <c r="AB6" s="435">
        <f>AB5/SUM(Z5:AB5)</f>
        <v>0.52783514002137344</v>
      </c>
      <c r="AG6" s="465"/>
      <c r="AH6" s="465"/>
    </row>
    <row r="7" spans="1:34">
      <c r="A7" s="459" t="s">
        <v>2157</v>
      </c>
      <c r="B7" s="460"/>
      <c r="C7" s="461">
        <v>32023.68</v>
      </c>
      <c r="D7" s="461">
        <v>-7311.02</v>
      </c>
      <c r="E7" s="429">
        <v>69</v>
      </c>
      <c r="F7" s="431">
        <v>25</v>
      </c>
      <c r="G7" s="450">
        <v>24712.66</v>
      </c>
      <c r="H7" s="309">
        <f t="shared" si="0"/>
        <v>23855.872077799999</v>
      </c>
      <c r="I7" s="309">
        <f t="shared" si="0"/>
        <v>23005.887355667983</v>
      </c>
      <c r="J7" s="309">
        <f t="shared" si="0"/>
        <v>22213.179001630582</v>
      </c>
      <c r="K7" s="309">
        <f t="shared" si="0"/>
        <v>21470.501829657518</v>
      </c>
      <c r="L7" s="309">
        <f t="shared" si="0"/>
        <v>20752.655384602444</v>
      </c>
      <c r="M7" s="309">
        <f t="shared" si="0"/>
        <v>20058.809473990699</v>
      </c>
      <c r="N7" s="308">
        <v>0</v>
      </c>
      <c r="O7" s="462">
        <v>1</v>
      </c>
      <c r="P7" s="463">
        <v>0</v>
      </c>
      <c r="Q7" s="309">
        <f t="shared" si="1"/>
        <v>0</v>
      </c>
      <c r="R7" s="311">
        <f t="shared" si="2"/>
        <v>20058.809473990699</v>
      </c>
      <c r="S7" s="312">
        <f t="shared" si="3"/>
        <v>0</v>
      </c>
      <c r="T7" s="309">
        <f t="shared" si="4"/>
        <v>0</v>
      </c>
      <c r="U7" s="311">
        <f t="shared" si="5"/>
        <v>0</v>
      </c>
      <c r="V7" s="464">
        <f t="shared" si="6"/>
        <v>20058.809473990699</v>
      </c>
      <c r="W7" s="311">
        <f t="shared" si="7"/>
        <v>0</v>
      </c>
      <c r="X7" s="546"/>
      <c r="Y7" s="321"/>
      <c r="Z7" s="321"/>
      <c r="AA7" s="321"/>
      <c r="AG7" s="465"/>
      <c r="AH7" s="465"/>
    </row>
    <row r="8" spans="1:34">
      <c r="A8" s="459" t="s">
        <v>2158</v>
      </c>
      <c r="B8" s="460"/>
      <c r="C8" s="461">
        <v>78844750.840000004</v>
      </c>
      <c r="D8" s="461">
        <v>-2018156.33</v>
      </c>
      <c r="E8" s="429">
        <v>240</v>
      </c>
      <c r="F8" s="431">
        <v>240</v>
      </c>
      <c r="G8" s="450">
        <v>76826594.510000005</v>
      </c>
      <c r="H8" s="309">
        <f t="shared" si="0"/>
        <v>74163016.478338301</v>
      </c>
      <c r="I8" s="309">
        <f t="shared" si="0"/>
        <v>71520588.201215103</v>
      </c>
      <c r="J8" s="309">
        <f t="shared" si="0"/>
        <v>69056220.412384555</v>
      </c>
      <c r="K8" s="309">
        <f t="shared" si="0"/>
        <v>66747389.313546635</v>
      </c>
      <c r="L8" s="309">
        <f t="shared" si="0"/>
        <v>64515751.855066195</v>
      </c>
      <c r="M8" s="309">
        <f t="shared" si="0"/>
        <v>62358727.138706632</v>
      </c>
      <c r="N8" s="308">
        <v>0</v>
      </c>
      <c r="O8" s="462">
        <v>1</v>
      </c>
      <c r="P8" s="463">
        <v>0</v>
      </c>
      <c r="Q8" s="309">
        <f t="shared" si="1"/>
        <v>0</v>
      </c>
      <c r="R8" s="311">
        <f t="shared" si="2"/>
        <v>62358727.138706632</v>
      </c>
      <c r="S8" s="312">
        <f t="shared" si="3"/>
        <v>0</v>
      </c>
      <c r="T8" s="309">
        <f t="shared" si="4"/>
        <v>0</v>
      </c>
      <c r="U8" s="311">
        <f t="shared" si="5"/>
        <v>0</v>
      </c>
      <c r="V8" s="464">
        <f t="shared" si="6"/>
        <v>62358727.138706632</v>
      </c>
      <c r="W8" s="311">
        <f t="shared" si="7"/>
        <v>0</v>
      </c>
      <c r="X8" s="546"/>
      <c r="Y8" s="986" t="s">
        <v>1110</v>
      </c>
      <c r="Z8" s="986"/>
      <c r="AA8" s="986"/>
      <c r="AB8" s="986"/>
    </row>
    <row r="9" spans="1:34">
      <c r="A9" s="459" t="s">
        <v>2159</v>
      </c>
      <c r="B9" s="460"/>
      <c r="C9" s="461">
        <v>12652750.01</v>
      </c>
      <c r="D9" s="461">
        <v>-8004724.4400000004</v>
      </c>
      <c r="E9" s="429">
        <v>240</v>
      </c>
      <c r="F9" s="431">
        <v>138</v>
      </c>
      <c r="G9" s="450">
        <v>4648025.57</v>
      </c>
      <c r="H9" s="309">
        <f t="shared" si="0"/>
        <v>4486878.5234881006</v>
      </c>
      <c r="I9" s="309">
        <f t="shared" si="0"/>
        <v>4327011.0416962188</v>
      </c>
      <c r="J9" s="309">
        <f t="shared" si="0"/>
        <v>4177916.2579247244</v>
      </c>
      <c r="K9" s="309">
        <f t="shared" si="0"/>
        <v>4038231.4775090963</v>
      </c>
      <c r="L9" s="309">
        <f t="shared" si="0"/>
        <v>3903216.9290165589</v>
      </c>
      <c r="M9" s="309">
        <f t="shared" si="0"/>
        <v>3772716.4675460681</v>
      </c>
      <c r="N9" s="308">
        <v>0</v>
      </c>
      <c r="O9" s="462">
        <v>1</v>
      </c>
      <c r="P9" s="463">
        <v>0</v>
      </c>
      <c r="Q9" s="309">
        <f t="shared" si="1"/>
        <v>0</v>
      </c>
      <c r="R9" s="311">
        <f t="shared" si="2"/>
        <v>3772716.4675460681</v>
      </c>
      <c r="S9" s="312">
        <f t="shared" si="3"/>
        <v>0</v>
      </c>
      <c r="T9" s="309">
        <f t="shared" si="4"/>
        <v>0</v>
      </c>
      <c r="U9" s="311">
        <f t="shared" si="5"/>
        <v>0</v>
      </c>
      <c r="V9" s="464">
        <f t="shared" si="6"/>
        <v>3772716.4675460681</v>
      </c>
      <c r="W9" s="311">
        <f t="shared" si="7"/>
        <v>0</v>
      </c>
      <c r="X9" s="321"/>
      <c r="Y9" s="986" t="s">
        <v>1185</v>
      </c>
      <c r="Z9" s="986"/>
      <c r="AA9" s="986"/>
      <c r="AB9" s="986"/>
    </row>
    <row r="10" spans="1:34">
      <c r="A10" s="459" t="s">
        <v>2160</v>
      </c>
      <c r="B10" s="460"/>
      <c r="C10" s="461">
        <v>4207101.04</v>
      </c>
      <c r="D10" s="461">
        <v>-1902811.09</v>
      </c>
      <c r="E10" s="429">
        <v>138</v>
      </c>
      <c r="F10" s="431">
        <v>25</v>
      </c>
      <c r="G10" s="450">
        <v>2304289.9500000002</v>
      </c>
      <c r="H10" s="309">
        <f t="shared" si="0"/>
        <v>2224400.2174335001</v>
      </c>
      <c r="I10" s="309">
        <f t="shared" si="0"/>
        <v>2145144.8376863445</v>
      </c>
      <c r="J10" s="309">
        <f t="shared" si="0"/>
        <v>2071230.0954655786</v>
      </c>
      <c r="K10" s="309">
        <f t="shared" si="0"/>
        <v>2001980.425722542</v>
      </c>
      <c r="L10" s="309">
        <f t="shared" si="0"/>
        <v>1935046.0548784633</v>
      </c>
      <c r="M10" s="309">
        <f t="shared" si="0"/>
        <v>1870349.5730480473</v>
      </c>
      <c r="N10" s="308">
        <v>0</v>
      </c>
      <c r="O10" s="462">
        <v>1</v>
      </c>
      <c r="P10" s="463">
        <v>0</v>
      </c>
      <c r="Q10" s="309">
        <f t="shared" si="1"/>
        <v>0</v>
      </c>
      <c r="R10" s="311">
        <f t="shared" si="2"/>
        <v>1870349.5730480473</v>
      </c>
      <c r="S10" s="312">
        <f t="shared" si="3"/>
        <v>0</v>
      </c>
      <c r="T10" s="309">
        <f t="shared" si="4"/>
        <v>0</v>
      </c>
      <c r="U10" s="311">
        <f t="shared" si="5"/>
        <v>0</v>
      </c>
      <c r="V10" s="464">
        <f t="shared" si="6"/>
        <v>1870349.5730480473</v>
      </c>
      <c r="W10" s="311">
        <f t="shared" si="7"/>
        <v>0</v>
      </c>
      <c r="X10" s="321"/>
      <c r="Y10" s="214" t="s">
        <v>1109</v>
      </c>
      <c r="Z10" s="407"/>
      <c r="AA10" s="407"/>
      <c r="AB10" s="420">
        <v>213.69367526411</v>
      </c>
    </row>
    <row r="11" spans="1:34">
      <c r="A11" s="459" t="s">
        <v>2161</v>
      </c>
      <c r="B11" s="460"/>
      <c r="C11" s="461">
        <v>4863301.37</v>
      </c>
      <c r="D11" s="461">
        <v>-2016432.54</v>
      </c>
      <c r="E11" s="429">
        <v>138</v>
      </c>
      <c r="F11" s="431">
        <v>25</v>
      </c>
      <c r="G11" s="450">
        <v>2846868.83</v>
      </c>
      <c r="H11" s="309">
        <f t="shared" si="0"/>
        <v>2748167.8876638999</v>
      </c>
      <c r="I11" s="309">
        <f t="shared" si="0"/>
        <v>2650250.6658264352</v>
      </c>
      <c r="J11" s="309">
        <f t="shared" si="0"/>
        <v>2558931.6129851104</v>
      </c>
      <c r="K11" s="309">
        <f t="shared" si="0"/>
        <v>2473376.0923878676</v>
      </c>
      <c r="L11" s="309">
        <f t="shared" si="0"/>
        <v>2390681.041788151</v>
      </c>
      <c r="M11" s="309">
        <f t="shared" si="0"/>
        <v>2310750.824007323</v>
      </c>
      <c r="N11" s="308">
        <v>0.16326530612244897</v>
      </c>
      <c r="O11" s="462">
        <v>0.83673469387755106</v>
      </c>
      <c r="P11" s="463">
        <v>0</v>
      </c>
      <c r="Q11" s="309">
        <f t="shared" si="1"/>
        <v>377265.44065425679</v>
      </c>
      <c r="R11" s="311">
        <f t="shared" si="2"/>
        <v>1933485.3833530664</v>
      </c>
      <c r="S11" s="312">
        <f t="shared" si="3"/>
        <v>0</v>
      </c>
      <c r="T11" s="309">
        <f t="shared" si="4"/>
        <v>377265.44065425679</v>
      </c>
      <c r="U11" s="311">
        <f t="shared" si="5"/>
        <v>0</v>
      </c>
      <c r="V11" s="464">
        <f t="shared" si="6"/>
        <v>1933485.3833530664</v>
      </c>
      <c r="W11" s="311">
        <f t="shared" si="7"/>
        <v>0</v>
      </c>
      <c r="X11" s="321"/>
      <c r="Y11" s="427"/>
      <c r="Z11" s="349" t="s">
        <v>49</v>
      </c>
      <c r="AA11" s="349" t="s">
        <v>74</v>
      </c>
      <c r="AB11" s="349" t="s">
        <v>50</v>
      </c>
      <c r="AG11" s="436"/>
    </row>
    <row r="12" spans="1:34">
      <c r="A12" s="459" t="s">
        <v>2162</v>
      </c>
      <c r="B12" s="460"/>
      <c r="C12" s="461">
        <v>35664322.659999996</v>
      </c>
      <c r="D12" s="461">
        <v>-13200420.449999999</v>
      </c>
      <c r="E12" s="429">
        <v>240</v>
      </c>
      <c r="F12" s="431">
        <v>25</v>
      </c>
      <c r="G12" s="450">
        <v>22463902.210000001</v>
      </c>
      <c r="H12" s="309">
        <f t="shared" si="0"/>
        <v>21685078.7203793</v>
      </c>
      <c r="I12" s="309">
        <f t="shared" si="0"/>
        <v>20912439.365572184</v>
      </c>
      <c r="J12" s="309">
        <f t="shared" si="0"/>
        <v>20191864.447852023</v>
      </c>
      <c r="K12" s="309">
        <f t="shared" si="0"/>
        <v>19516768.065479498</v>
      </c>
      <c r="L12" s="309">
        <f t="shared" si="0"/>
        <v>18864242.908595808</v>
      </c>
      <c r="M12" s="309">
        <f t="shared" si="0"/>
        <v>18233534.329074595</v>
      </c>
      <c r="N12" s="308">
        <v>0</v>
      </c>
      <c r="O12" s="462">
        <v>1</v>
      </c>
      <c r="P12" s="463">
        <v>0</v>
      </c>
      <c r="Q12" s="309">
        <f t="shared" si="1"/>
        <v>0</v>
      </c>
      <c r="R12" s="311">
        <f t="shared" si="2"/>
        <v>18233534.329074595</v>
      </c>
      <c r="S12" s="312">
        <f t="shared" si="3"/>
        <v>0</v>
      </c>
      <c r="T12" s="309">
        <f t="shared" si="4"/>
        <v>0</v>
      </c>
      <c r="U12" s="311">
        <f t="shared" si="5"/>
        <v>0</v>
      </c>
      <c r="V12" s="464">
        <f t="shared" si="6"/>
        <v>18233534.329074595</v>
      </c>
      <c r="W12" s="311">
        <f t="shared" si="7"/>
        <v>0</v>
      </c>
      <c r="X12" s="321"/>
      <c r="Y12" s="245" t="s">
        <v>52</v>
      </c>
      <c r="Z12" s="434">
        <f>Z5-SUM(Q5:Q347)</f>
        <v>273273958.33764434</v>
      </c>
      <c r="AA12" s="434">
        <f>AA5</f>
        <v>413404551.97438008</v>
      </c>
      <c r="AB12" s="434">
        <f>AB5-(AB10*10^6-SUM(Q5:Q347))</f>
        <v>683277369.84877658</v>
      </c>
      <c r="AD12" s="77"/>
      <c r="AE12" s="436"/>
      <c r="AF12" s="436"/>
      <c r="AG12" s="436"/>
    </row>
    <row r="13" spans="1:34">
      <c r="A13" s="459" t="s">
        <v>2163</v>
      </c>
      <c r="B13" s="460"/>
      <c r="C13" s="461">
        <v>13137453.67</v>
      </c>
      <c r="D13" s="461">
        <v>-8058326.7300000004</v>
      </c>
      <c r="E13" s="429">
        <v>240</v>
      </c>
      <c r="F13" s="431">
        <v>138</v>
      </c>
      <c r="G13" s="450">
        <v>5079126.9400000004</v>
      </c>
      <c r="H13" s="309">
        <f t="shared" si="0"/>
        <v>4903033.6089902008</v>
      </c>
      <c r="I13" s="309">
        <f t="shared" si="0"/>
        <v>4728338.5215018792</v>
      </c>
      <c r="J13" s="309">
        <f t="shared" si="0"/>
        <v>4565415.2928185062</v>
      </c>
      <c r="K13" s="309">
        <f t="shared" si="0"/>
        <v>4412774.8392254338</v>
      </c>
      <c r="L13" s="309">
        <f t="shared" si="0"/>
        <v>4265237.7785503604</v>
      </c>
      <c r="M13" s="309">
        <f t="shared" si="0"/>
        <v>4122633.4835535064</v>
      </c>
      <c r="N13" s="308">
        <v>0</v>
      </c>
      <c r="O13" s="462">
        <v>0</v>
      </c>
      <c r="P13" s="463">
        <v>1</v>
      </c>
      <c r="Q13" s="309">
        <f t="shared" si="1"/>
        <v>0</v>
      </c>
      <c r="R13" s="311">
        <f t="shared" si="2"/>
        <v>0</v>
      </c>
      <c r="S13" s="312">
        <f t="shared" si="3"/>
        <v>4122633.4835535064</v>
      </c>
      <c r="T13" s="309">
        <f t="shared" si="4"/>
        <v>0</v>
      </c>
      <c r="U13" s="311">
        <f t="shared" si="5"/>
        <v>4122633.4835535064</v>
      </c>
      <c r="V13" s="464">
        <f t="shared" si="6"/>
        <v>0</v>
      </c>
      <c r="W13" s="311">
        <f t="shared" si="7"/>
        <v>0</v>
      </c>
      <c r="X13" s="321"/>
      <c r="Y13" s="245" t="s">
        <v>70</v>
      </c>
      <c r="Z13" s="435">
        <f>Z12/SUM(Z12:AB12)</f>
        <v>0.19947646657465226</v>
      </c>
      <c r="AA13" s="435">
        <f>AA12/SUM(Z12:AB12)</f>
        <v>0.30176486554140414</v>
      </c>
      <c r="AB13" s="435">
        <f>AB12/SUM(Z12:AB12)</f>
        <v>0.49875866788394363</v>
      </c>
      <c r="AE13" s="466"/>
      <c r="AF13" s="466"/>
      <c r="AG13" s="436"/>
    </row>
    <row r="14" spans="1:34">
      <c r="A14" s="459" t="s">
        <v>2164</v>
      </c>
      <c r="B14" s="460"/>
      <c r="C14" s="461">
        <v>5475907.0099999998</v>
      </c>
      <c r="D14" s="461">
        <v>-2707987.9</v>
      </c>
      <c r="E14" s="429">
        <v>138</v>
      </c>
      <c r="F14" s="431">
        <v>25</v>
      </c>
      <c r="G14" s="450">
        <v>2767919.11</v>
      </c>
      <c r="H14" s="309">
        <f t="shared" si="0"/>
        <v>2671955.3544562999</v>
      </c>
      <c r="I14" s="309">
        <f t="shared" si="0"/>
        <v>2576753.5851770216</v>
      </c>
      <c r="J14" s="309">
        <f t="shared" si="0"/>
        <v>2487967.0036517316</v>
      </c>
      <c r="K14" s="309">
        <f t="shared" si="0"/>
        <v>2404784.1193784485</v>
      </c>
      <c r="L14" s="309">
        <f t="shared" si="0"/>
        <v>2324382.3781934241</v>
      </c>
      <c r="M14" s="309">
        <f t="shared" si="0"/>
        <v>2246668.7951401388</v>
      </c>
      <c r="N14" s="308">
        <v>0.99635876161663739</v>
      </c>
      <c r="O14" s="462">
        <v>3.6412383833626205E-3</v>
      </c>
      <c r="P14" s="463">
        <v>0</v>
      </c>
      <c r="Q14" s="309">
        <f t="shared" si="1"/>
        <v>2238488.1384885716</v>
      </c>
      <c r="R14" s="311">
        <f t="shared" si="2"/>
        <v>8180.6566515673258</v>
      </c>
      <c r="S14" s="312">
        <f t="shared" si="3"/>
        <v>0</v>
      </c>
      <c r="T14" s="309">
        <f t="shared" si="4"/>
        <v>2238488.1384885716</v>
      </c>
      <c r="U14" s="311">
        <f t="shared" si="5"/>
        <v>0</v>
      </c>
      <c r="V14" s="464">
        <f t="shared" si="6"/>
        <v>8180.6566515673258</v>
      </c>
      <c r="W14" s="311">
        <f t="shared" si="7"/>
        <v>0</v>
      </c>
      <c r="X14" s="321"/>
      <c r="AE14" s="436"/>
      <c r="AF14" s="436"/>
      <c r="AG14" s="436"/>
    </row>
    <row r="15" spans="1:34">
      <c r="A15" s="459" t="s">
        <v>2165</v>
      </c>
      <c r="B15" s="460"/>
      <c r="C15" s="461">
        <v>749784.44</v>
      </c>
      <c r="D15" s="461">
        <v>-492948</v>
      </c>
      <c r="E15" s="429">
        <v>138</v>
      </c>
      <c r="F15" s="431">
        <v>25</v>
      </c>
      <c r="G15" s="450">
        <v>256836.44</v>
      </c>
      <c r="H15" s="309">
        <f t="shared" si="0"/>
        <v>247931.9206252</v>
      </c>
      <c r="I15" s="309">
        <f t="shared" si="0"/>
        <v>239098.10629332412</v>
      </c>
      <c r="J15" s="309">
        <f t="shared" si="0"/>
        <v>230859.56007413013</v>
      </c>
      <c r="K15" s="309">
        <f t="shared" si="0"/>
        <v>223140.9834045677</v>
      </c>
      <c r="L15" s="309">
        <f t="shared" si="0"/>
        <v>215680.47023380417</v>
      </c>
      <c r="M15" s="309">
        <f t="shared" si="0"/>
        <v>208469.39244654536</v>
      </c>
      <c r="N15" s="308">
        <v>0</v>
      </c>
      <c r="O15" s="462">
        <v>1</v>
      </c>
      <c r="P15" s="463">
        <v>0</v>
      </c>
      <c r="Q15" s="309">
        <f t="shared" si="1"/>
        <v>0</v>
      </c>
      <c r="R15" s="311">
        <f t="shared" si="2"/>
        <v>208469.39244654536</v>
      </c>
      <c r="S15" s="312">
        <f t="shared" si="3"/>
        <v>0</v>
      </c>
      <c r="T15" s="309">
        <f t="shared" si="4"/>
        <v>0</v>
      </c>
      <c r="U15" s="311">
        <f t="shared" si="5"/>
        <v>0</v>
      </c>
      <c r="V15" s="464">
        <f t="shared" si="6"/>
        <v>208469.39244654536</v>
      </c>
      <c r="W15" s="311">
        <f t="shared" si="7"/>
        <v>0</v>
      </c>
      <c r="X15" s="321"/>
      <c r="AF15" s="467"/>
      <c r="AG15" s="121"/>
    </row>
    <row r="16" spans="1:34">
      <c r="A16" s="459" t="s">
        <v>2166</v>
      </c>
      <c r="B16" s="460"/>
      <c r="C16" s="461">
        <v>27376690.84</v>
      </c>
      <c r="D16" s="461">
        <v>-10599117</v>
      </c>
      <c r="E16" s="429">
        <v>240</v>
      </c>
      <c r="F16" s="431">
        <v>25</v>
      </c>
      <c r="G16" s="450">
        <v>16777573.84</v>
      </c>
      <c r="H16" s="309">
        <f t="shared" si="0"/>
        <v>16195895.354967201</v>
      </c>
      <c r="I16" s="309">
        <f t="shared" si="0"/>
        <v>15618835.603469716</v>
      </c>
      <c r="J16" s="309">
        <f t="shared" si="0"/>
        <v>15080661.123529177</v>
      </c>
      <c r="K16" s="309">
        <f t="shared" si="0"/>
        <v>14576453.114676207</v>
      </c>
      <c r="L16" s="309">
        <f t="shared" si="0"/>
        <v>14089102.836005557</v>
      </c>
      <c r="M16" s="309">
        <f t="shared" si="0"/>
        <v>13618046.664841846</v>
      </c>
      <c r="N16" s="308">
        <v>0</v>
      </c>
      <c r="O16" s="462">
        <v>1</v>
      </c>
      <c r="P16" s="463">
        <v>0</v>
      </c>
      <c r="Q16" s="309">
        <f t="shared" si="1"/>
        <v>0</v>
      </c>
      <c r="R16" s="311">
        <f t="shared" si="2"/>
        <v>13618046.664841846</v>
      </c>
      <c r="S16" s="312">
        <f t="shared" si="3"/>
        <v>0</v>
      </c>
      <c r="T16" s="309">
        <f t="shared" si="4"/>
        <v>0</v>
      </c>
      <c r="U16" s="311">
        <f t="shared" si="5"/>
        <v>0</v>
      </c>
      <c r="V16" s="464">
        <f t="shared" si="6"/>
        <v>13618046.664841846</v>
      </c>
      <c r="W16" s="311">
        <f t="shared" si="7"/>
        <v>0</v>
      </c>
      <c r="X16" s="321"/>
      <c r="Y16" s="245" t="s">
        <v>672</v>
      </c>
      <c r="Z16" s="388">
        <f>COUNTIF(T5:T347,"&gt;0")</f>
        <v>55</v>
      </c>
      <c r="AA16" s="388">
        <f>COUNTIF(U5:U347,"&gt;0")</f>
        <v>34</v>
      </c>
      <c r="AB16" s="388">
        <f>COUNTIF(V5:V347,"&gt;0")</f>
        <v>288</v>
      </c>
      <c r="AG16" s="121"/>
    </row>
    <row r="17" spans="1:33">
      <c r="A17" s="459" t="s">
        <v>2167</v>
      </c>
      <c r="B17" s="460"/>
      <c r="C17" s="461">
        <v>910050.87</v>
      </c>
      <c r="D17" s="461">
        <v>-899822.69</v>
      </c>
      <c r="E17" s="429">
        <v>138</v>
      </c>
      <c r="F17" s="431">
        <v>25</v>
      </c>
      <c r="G17" s="450">
        <v>10228.18</v>
      </c>
      <c r="H17" s="309">
        <f t="shared" si="0"/>
        <v>9873.5689994000004</v>
      </c>
      <c r="I17" s="309">
        <f t="shared" si="0"/>
        <v>9521.7737359513776</v>
      </c>
      <c r="J17" s="309">
        <f t="shared" si="0"/>
        <v>9193.6842574169623</v>
      </c>
      <c r="K17" s="309">
        <f t="shared" si="0"/>
        <v>8886.3018956302749</v>
      </c>
      <c r="L17" s="309">
        <f t="shared" si="0"/>
        <v>8589.1965798778056</v>
      </c>
      <c r="M17" s="309">
        <f t="shared" si="0"/>
        <v>8302.024706595008</v>
      </c>
      <c r="N17" s="308">
        <v>0.99853157121879599</v>
      </c>
      <c r="O17" s="462">
        <v>1.4684287812041117E-3</v>
      </c>
      <c r="P17" s="463">
        <v>0</v>
      </c>
      <c r="Q17" s="309">
        <f t="shared" si="1"/>
        <v>8289.8337745735771</v>
      </c>
      <c r="R17" s="311">
        <f t="shared" si="2"/>
        <v>12.190932021431731</v>
      </c>
      <c r="S17" s="312">
        <f t="shared" si="3"/>
        <v>0</v>
      </c>
      <c r="T17" s="309">
        <f t="shared" si="4"/>
        <v>8289.8337745735771</v>
      </c>
      <c r="U17" s="311">
        <f t="shared" si="5"/>
        <v>0</v>
      </c>
      <c r="V17" s="464">
        <f t="shared" si="6"/>
        <v>12.190932021431731</v>
      </c>
      <c r="W17" s="311">
        <f t="shared" si="7"/>
        <v>0</v>
      </c>
      <c r="X17" s="321"/>
      <c r="AG17" s="436"/>
    </row>
    <row r="18" spans="1:33">
      <c r="A18" s="459" t="s">
        <v>2168</v>
      </c>
      <c r="B18" s="460"/>
      <c r="C18" s="461">
        <v>4183115.37</v>
      </c>
      <c r="D18" s="461">
        <v>-69210.95</v>
      </c>
      <c r="E18" s="429">
        <v>138</v>
      </c>
      <c r="F18" s="431">
        <v>13</v>
      </c>
      <c r="G18" s="450">
        <v>4113904.42</v>
      </c>
      <c r="H18" s="309">
        <f t="shared" si="0"/>
        <v>3971275.3537586001</v>
      </c>
      <c r="I18" s="309">
        <f t="shared" si="0"/>
        <v>3829778.8129041805</v>
      </c>
      <c r="J18" s="309">
        <f t="shared" si="0"/>
        <v>3697817.0410250952</v>
      </c>
      <c r="K18" s="309">
        <f t="shared" si="0"/>
        <v>3574183.9355474543</v>
      </c>
      <c r="L18" s="309">
        <f t="shared" si="0"/>
        <v>3454684.3890318889</v>
      </c>
      <c r="M18" s="309">
        <f t="shared" si="0"/>
        <v>3339180.1997432979</v>
      </c>
      <c r="N18" s="308">
        <v>0.99173553719008267</v>
      </c>
      <c r="O18" s="462">
        <v>8.2644628099173556E-3</v>
      </c>
      <c r="P18" s="463">
        <v>0</v>
      </c>
      <c r="Q18" s="309">
        <f t="shared" si="1"/>
        <v>3311583.6691669072</v>
      </c>
      <c r="R18" s="311">
        <f t="shared" si="2"/>
        <v>27596.530576390891</v>
      </c>
      <c r="S18" s="312">
        <f t="shared" si="3"/>
        <v>0</v>
      </c>
      <c r="T18" s="309">
        <f t="shared" si="4"/>
        <v>3311583.6691669072</v>
      </c>
      <c r="U18" s="311">
        <f t="shared" si="5"/>
        <v>0</v>
      </c>
      <c r="V18" s="464">
        <f t="shared" si="6"/>
        <v>27596.530576390891</v>
      </c>
      <c r="W18" s="311">
        <f t="shared" si="7"/>
        <v>0</v>
      </c>
      <c r="X18" s="321"/>
      <c r="Y18" s="4" t="s">
        <v>1184</v>
      </c>
      <c r="Z18" s="4">
        <f>+COUNTIF(N5:N347,"&gt;=.95")</f>
        <v>16</v>
      </c>
      <c r="AA18" s="436"/>
      <c r="AB18" s="436"/>
      <c r="AG18" s="436"/>
    </row>
    <row r="19" spans="1:33">
      <c r="A19" s="459" t="s">
        <v>2169</v>
      </c>
      <c r="B19" s="460"/>
      <c r="C19" s="461">
        <v>6255365.5199999996</v>
      </c>
      <c r="D19" s="461">
        <v>-1475667.76</v>
      </c>
      <c r="E19" s="429">
        <v>138</v>
      </c>
      <c r="F19" s="431">
        <v>13.2</v>
      </c>
      <c r="G19" s="450">
        <v>4779697.76</v>
      </c>
      <c r="H19" s="309">
        <f t="shared" si="0"/>
        <v>4613985.6386607997</v>
      </c>
      <c r="I19" s="309">
        <f t="shared" si="0"/>
        <v>4449589.3303553155</v>
      </c>
      <c r="J19" s="309">
        <f t="shared" si="0"/>
        <v>4296270.8958312348</v>
      </c>
      <c r="K19" s="309">
        <f t="shared" si="0"/>
        <v>4152629.0371530196</v>
      </c>
      <c r="L19" s="309">
        <f t="shared" si="0"/>
        <v>4013789.7116634245</v>
      </c>
      <c r="M19" s="309">
        <f t="shared" si="0"/>
        <v>3879592.3510904983</v>
      </c>
      <c r="N19" s="308">
        <v>0.99732858414959935</v>
      </c>
      <c r="O19" s="462">
        <v>2.6714158504007124E-3</v>
      </c>
      <c r="P19" s="463">
        <v>0</v>
      </c>
      <c r="Q19" s="309">
        <f t="shared" si="1"/>
        <v>3869228.346590702</v>
      </c>
      <c r="R19" s="311">
        <f t="shared" si="2"/>
        <v>10364.004499796523</v>
      </c>
      <c r="S19" s="312">
        <f t="shared" si="3"/>
        <v>0</v>
      </c>
      <c r="T19" s="309">
        <f t="shared" si="4"/>
        <v>3869228.346590702</v>
      </c>
      <c r="U19" s="311">
        <f t="shared" si="5"/>
        <v>0</v>
      </c>
      <c r="V19" s="464">
        <f t="shared" si="6"/>
        <v>10364.004499796523</v>
      </c>
      <c r="W19" s="311">
        <f t="shared" si="7"/>
        <v>0</v>
      </c>
      <c r="X19" s="321"/>
      <c r="AG19" s="436"/>
    </row>
    <row r="20" spans="1:33">
      <c r="A20" s="459" t="s">
        <v>2170</v>
      </c>
      <c r="B20" s="460"/>
      <c r="C20" s="461">
        <v>2627349.06</v>
      </c>
      <c r="D20" s="461">
        <v>-1694431.68</v>
      </c>
      <c r="E20" s="429">
        <v>138</v>
      </c>
      <c r="F20" s="431">
        <v>13.8</v>
      </c>
      <c r="G20" s="450">
        <v>932917.38</v>
      </c>
      <c r="H20" s="309">
        <f t="shared" si="0"/>
        <v>900573.13443540002</v>
      </c>
      <c r="I20" s="309">
        <f t="shared" si="0"/>
        <v>868485.71365546668</v>
      </c>
      <c r="J20" s="309">
        <f t="shared" si="0"/>
        <v>838560.50929653936</v>
      </c>
      <c r="K20" s="309">
        <f t="shared" si="0"/>
        <v>810524.01134516881</v>
      </c>
      <c r="L20" s="309">
        <f t="shared" si="0"/>
        <v>783424.88786906004</v>
      </c>
      <c r="M20" s="309">
        <f t="shared" si="0"/>
        <v>757231.79861636017</v>
      </c>
      <c r="N20" s="308">
        <v>0.91417910447761197</v>
      </c>
      <c r="O20" s="462">
        <v>8.5820895522388058E-2</v>
      </c>
      <c r="P20" s="463">
        <v>0</v>
      </c>
      <c r="Q20" s="309">
        <f t="shared" si="1"/>
        <v>692245.48754107556</v>
      </c>
      <c r="R20" s="311">
        <f t="shared" si="2"/>
        <v>64986.311075284641</v>
      </c>
      <c r="S20" s="312">
        <f t="shared" si="3"/>
        <v>0</v>
      </c>
      <c r="T20" s="309">
        <f t="shared" si="4"/>
        <v>692245.48754107556</v>
      </c>
      <c r="U20" s="311">
        <f t="shared" si="5"/>
        <v>0</v>
      </c>
      <c r="V20" s="464">
        <f t="shared" si="6"/>
        <v>64986.311075284641</v>
      </c>
      <c r="W20" s="311">
        <f t="shared" si="7"/>
        <v>0</v>
      </c>
      <c r="X20" s="321"/>
      <c r="AG20" s="436"/>
    </row>
    <row r="21" spans="1:33">
      <c r="A21" s="459" t="s">
        <v>2171</v>
      </c>
      <c r="B21" s="460"/>
      <c r="C21" s="461">
        <v>247091.65</v>
      </c>
      <c r="D21" s="461">
        <v>-203881.78</v>
      </c>
      <c r="E21" s="429">
        <v>40</v>
      </c>
      <c r="F21" s="431">
        <v>240</v>
      </c>
      <c r="G21" s="450">
        <v>43209.87</v>
      </c>
      <c r="H21" s="309">
        <f t="shared" si="0"/>
        <v>41711.783807100001</v>
      </c>
      <c r="I21" s="309">
        <f t="shared" si="0"/>
        <v>40225.592950053026</v>
      </c>
      <c r="J21" s="309">
        <f t="shared" si="0"/>
        <v>38839.549321974533</v>
      </c>
      <c r="K21" s="309">
        <f t="shared" si="0"/>
        <v>37540.984778419792</v>
      </c>
      <c r="L21" s="309">
        <f t="shared" si="0"/>
        <v>36285.836543839141</v>
      </c>
      <c r="M21" s="309">
        <f t="shared" si="0"/>
        <v>35072.653033947237</v>
      </c>
      <c r="N21" s="308">
        <v>0</v>
      </c>
      <c r="O21" s="462">
        <v>1</v>
      </c>
      <c r="P21" s="463">
        <v>0</v>
      </c>
      <c r="Q21" s="309">
        <f t="shared" si="1"/>
        <v>0</v>
      </c>
      <c r="R21" s="311">
        <f t="shared" si="2"/>
        <v>35072.653033947237</v>
      </c>
      <c r="S21" s="312">
        <f t="shared" si="3"/>
        <v>0</v>
      </c>
      <c r="T21" s="309">
        <f t="shared" si="4"/>
        <v>0</v>
      </c>
      <c r="U21" s="311">
        <f t="shared" si="5"/>
        <v>0</v>
      </c>
      <c r="V21" s="464">
        <f t="shared" si="6"/>
        <v>35072.653033947237</v>
      </c>
      <c r="W21" s="311">
        <f t="shared" si="7"/>
        <v>0</v>
      </c>
      <c r="X21" s="321"/>
      <c r="AG21" s="436"/>
    </row>
    <row r="22" spans="1:33">
      <c r="A22" s="459" t="s">
        <v>2172</v>
      </c>
      <c r="B22" s="460"/>
      <c r="C22" s="461">
        <v>10632994.74</v>
      </c>
      <c r="D22" s="461">
        <v>-5495787.7300000004</v>
      </c>
      <c r="E22" s="429">
        <v>240</v>
      </c>
      <c r="F22" s="431">
        <v>25</v>
      </c>
      <c r="G22" s="450">
        <v>5137207.01</v>
      </c>
      <c r="H22" s="309">
        <f t="shared" si="0"/>
        <v>4959100.0429632999</v>
      </c>
      <c r="I22" s="309">
        <f t="shared" si="0"/>
        <v>4782407.3084325166</v>
      </c>
      <c r="J22" s="309">
        <f t="shared" si="0"/>
        <v>4617621.0444995165</v>
      </c>
      <c r="K22" s="309">
        <f t="shared" si="0"/>
        <v>4463235.139703068</v>
      </c>
      <c r="L22" s="309">
        <f t="shared" si="0"/>
        <v>4314010.9853772894</v>
      </c>
      <c r="M22" s="309">
        <f t="shared" si="0"/>
        <v>4169776.0031513977</v>
      </c>
      <c r="N22" s="308">
        <v>0</v>
      </c>
      <c r="O22" s="462">
        <v>1</v>
      </c>
      <c r="P22" s="463">
        <v>0</v>
      </c>
      <c r="Q22" s="309">
        <f t="shared" si="1"/>
        <v>0</v>
      </c>
      <c r="R22" s="311">
        <f t="shared" si="2"/>
        <v>4169776.0031513977</v>
      </c>
      <c r="S22" s="312">
        <f t="shared" si="3"/>
        <v>0</v>
      </c>
      <c r="T22" s="309">
        <f t="shared" si="4"/>
        <v>0</v>
      </c>
      <c r="U22" s="311">
        <f t="shared" si="5"/>
        <v>0</v>
      </c>
      <c r="V22" s="464">
        <f t="shared" si="6"/>
        <v>4169776.0031513977</v>
      </c>
      <c r="W22" s="311">
        <f t="shared" si="7"/>
        <v>0</v>
      </c>
      <c r="X22" s="321"/>
      <c r="AG22" s="436"/>
    </row>
    <row r="23" spans="1:33">
      <c r="A23" s="459" t="s">
        <v>2173</v>
      </c>
      <c r="B23" s="460"/>
      <c r="C23" s="461">
        <v>31450794.149999999</v>
      </c>
      <c r="D23" s="461">
        <v>-13964854.74</v>
      </c>
      <c r="E23" s="429">
        <v>138</v>
      </c>
      <c r="F23" s="431">
        <v>25</v>
      </c>
      <c r="G23" s="450">
        <v>17485939.41</v>
      </c>
      <c r="H23" s="309">
        <f t="shared" si="0"/>
        <v>16879701.890655302</v>
      </c>
      <c r="I23" s="309">
        <f t="shared" si="0"/>
        <v>16278278.11229125</v>
      </c>
      <c r="J23" s="309">
        <f t="shared" si="0"/>
        <v>15717381.379665185</v>
      </c>
      <c r="K23" s="309">
        <f t="shared" si="0"/>
        <v>15191885.215743085</v>
      </c>
      <c r="L23" s="309">
        <f t="shared" si="0"/>
        <v>14683958.531852443</v>
      </c>
      <c r="M23" s="309">
        <f t="shared" si="0"/>
        <v>14193013.908617498</v>
      </c>
      <c r="N23" s="308">
        <v>0</v>
      </c>
      <c r="O23" s="462">
        <v>1</v>
      </c>
      <c r="P23" s="463">
        <v>0</v>
      </c>
      <c r="Q23" s="309">
        <f t="shared" si="1"/>
        <v>0</v>
      </c>
      <c r="R23" s="311">
        <f t="shared" si="2"/>
        <v>14193013.908617498</v>
      </c>
      <c r="S23" s="312">
        <f t="shared" si="3"/>
        <v>0</v>
      </c>
      <c r="T23" s="309">
        <f t="shared" si="4"/>
        <v>0</v>
      </c>
      <c r="U23" s="311">
        <f t="shared" si="5"/>
        <v>0</v>
      </c>
      <c r="V23" s="464">
        <f t="shared" si="6"/>
        <v>14193013.908617498</v>
      </c>
      <c r="W23" s="311">
        <f t="shared" si="7"/>
        <v>0</v>
      </c>
      <c r="X23" s="321"/>
      <c r="AG23" s="436"/>
    </row>
    <row r="24" spans="1:33">
      <c r="A24" s="459" t="s">
        <v>2174</v>
      </c>
      <c r="B24" s="460"/>
      <c r="C24" s="461">
        <v>12249583.01</v>
      </c>
      <c r="D24" s="461">
        <v>-7131790.0199999996</v>
      </c>
      <c r="E24" s="429">
        <v>138</v>
      </c>
      <c r="F24" s="431">
        <v>138</v>
      </c>
      <c r="G24" s="450">
        <v>5117792.99</v>
      </c>
      <c r="H24" s="309">
        <f t="shared" si="0"/>
        <v>4940359.1070367005</v>
      </c>
      <c r="I24" s="309">
        <f t="shared" si="0"/>
        <v>4764334.1120529817</v>
      </c>
      <c r="J24" s="309">
        <f t="shared" si="0"/>
        <v>4600170.5919217188</v>
      </c>
      <c r="K24" s="309">
        <f t="shared" si="0"/>
        <v>4446368.1269277949</v>
      </c>
      <c r="L24" s="309">
        <f t="shared" si="0"/>
        <v>4297707.9056323422</v>
      </c>
      <c r="M24" s="309">
        <f t="shared" si="0"/>
        <v>4154018.001855534</v>
      </c>
      <c r="N24" s="308">
        <v>0</v>
      </c>
      <c r="O24" s="462">
        <v>1</v>
      </c>
      <c r="P24" s="463">
        <v>0</v>
      </c>
      <c r="Q24" s="309">
        <f t="shared" si="1"/>
        <v>0</v>
      </c>
      <c r="R24" s="311">
        <f t="shared" si="2"/>
        <v>4154018.001855534</v>
      </c>
      <c r="S24" s="312">
        <f t="shared" si="3"/>
        <v>0</v>
      </c>
      <c r="T24" s="309">
        <f t="shared" si="4"/>
        <v>0</v>
      </c>
      <c r="U24" s="311">
        <f t="shared" si="5"/>
        <v>0</v>
      </c>
      <c r="V24" s="464">
        <f t="shared" si="6"/>
        <v>4154018.001855534</v>
      </c>
      <c r="W24" s="311">
        <f t="shared" si="7"/>
        <v>0</v>
      </c>
      <c r="X24" s="321"/>
      <c r="AG24" s="436"/>
    </row>
    <row r="25" spans="1:33">
      <c r="A25" s="459" t="s">
        <v>2175</v>
      </c>
      <c r="B25" s="460"/>
      <c r="C25" s="461">
        <v>4997907.6399999997</v>
      </c>
      <c r="D25" s="461">
        <v>-2652445.19</v>
      </c>
      <c r="E25" s="429">
        <v>138</v>
      </c>
      <c r="F25" s="431">
        <v>25</v>
      </c>
      <c r="G25" s="450">
        <v>2345462.4500000002</v>
      </c>
      <c r="H25" s="309">
        <f t="shared" ref="H25:M67" si="8">+$G25*(H$3)</f>
        <v>2264145.2668585004</v>
      </c>
      <c r="I25" s="309">
        <f t="shared" si="8"/>
        <v>2183473.7710003317</v>
      </c>
      <c r="J25" s="309">
        <f t="shared" si="8"/>
        <v>2108238.337898592</v>
      </c>
      <c r="K25" s="309">
        <f t="shared" si="8"/>
        <v>2037751.3316704074</v>
      </c>
      <c r="L25" s="309">
        <f t="shared" si="8"/>
        <v>1969620.9935464393</v>
      </c>
      <c r="M25" s="309">
        <f t="shared" si="8"/>
        <v>1903768.5305001338</v>
      </c>
      <c r="N25" s="308">
        <v>0</v>
      </c>
      <c r="O25" s="462">
        <v>1</v>
      </c>
      <c r="P25" s="463">
        <v>0</v>
      </c>
      <c r="Q25" s="309">
        <f t="shared" si="1"/>
        <v>0</v>
      </c>
      <c r="R25" s="311">
        <f t="shared" si="2"/>
        <v>1903768.5305001338</v>
      </c>
      <c r="S25" s="312">
        <f t="shared" si="3"/>
        <v>0</v>
      </c>
      <c r="T25" s="309">
        <f t="shared" si="4"/>
        <v>0</v>
      </c>
      <c r="U25" s="311">
        <f t="shared" si="5"/>
        <v>0</v>
      </c>
      <c r="V25" s="464">
        <f t="shared" si="6"/>
        <v>1903768.5305001338</v>
      </c>
      <c r="W25" s="311">
        <f t="shared" si="7"/>
        <v>0</v>
      </c>
      <c r="X25" s="321"/>
      <c r="AG25" s="436"/>
    </row>
    <row r="26" spans="1:33">
      <c r="A26" s="459" t="s">
        <v>2176</v>
      </c>
      <c r="B26" s="460"/>
      <c r="C26" s="461">
        <v>2404571.4300000002</v>
      </c>
      <c r="D26" s="461">
        <v>-1648999.4</v>
      </c>
      <c r="E26" s="429">
        <v>138</v>
      </c>
      <c r="F26" s="431">
        <v>13</v>
      </c>
      <c r="G26" s="450">
        <v>755572.03</v>
      </c>
      <c r="H26" s="309">
        <f t="shared" si="8"/>
        <v>729376.34771990008</v>
      </c>
      <c r="I26" s="309">
        <f t="shared" si="8"/>
        <v>703388.66845063993</v>
      </c>
      <c r="J26" s="309">
        <f t="shared" si="8"/>
        <v>679152.1734615129</v>
      </c>
      <c r="K26" s="309">
        <f t="shared" si="8"/>
        <v>656445.34633475496</v>
      </c>
      <c r="L26" s="309">
        <f t="shared" si="8"/>
        <v>634497.70105017023</v>
      </c>
      <c r="M26" s="309">
        <f t="shared" si="8"/>
        <v>613283.85506240057</v>
      </c>
      <c r="N26" s="308">
        <v>0.796875</v>
      </c>
      <c r="O26" s="462">
        <v>0.203125</v>
      </c>
      <c r="P26" s="463">
        <v>0</v>
      </c>
      <c r="Q26" s="309">
        <f t="shared" si="1"/>
        <v>488710.57200285047</v>
      </c>
      <c r="R26" s="311">
        <f t="shared" si="2"/>
        <v>124573.28305955011</v>
      </c>
      <c r="S26" s="312">
        <f t="shared" si="3"/>
        <v>0</v>
      </c>
      <c r="T26" s="309">
        <f t="shared" si="4"/>
        <v>488710.57200285047</v>
      </c>
      <c r="U26" s="311">
        <f t="shared" si="5"/>
        <v>0</v>
      </c>
      <c r="V26" s="464">
        <f t="shared" si="6"/>
        <v>124573.28305955011</v>
      </c>
      <c r="W26" s="311">
        <f t="shared" si="7"/>
        <v>0</v>
      </c>
      <c r="X26" s="321"/>
      <c r="AG26" s="436"/>
    </row>
    <row r="27" spans="1:33">
      <c r="A27" s="459" t="s">
        <v>2177</v>
      </c>
      <c r="B27" s="460"/>
      <c r="C27" s="461">
        <v>16064801.41</v>
      </c>
      <c r="D27" s="461">
        <v>-7815610.3600000003</v>
      </c>
      <c r="E27" s="429">
        <v>240</v>
      </c>
      <c r="F27" s="431">
        <v>138</v>
      </c>
      <c r="G27" s="450">
        <v>8249191.0499999998</v>
      </c>
      <c r="H27" s="309">
        <f t="shared" si="8"/>
        <v>7963191.5962965004</v>
      </c>
      <c r="I27" s="309">
        <f t="shared" si="8"/>
        <v>7679463.0797204552</v>
      </c>
      <c r="J27" s="309">
        <f t="shared" si="8"/>
        <v>7414853.6585013075</v>
      </c>
      <c r="K27" s="309">
        <f t="shared" si="8"/>
        <v>7166944.8587169256</v>
      </c>
      <c r="L27" s="309">
        <f t="shared" si="8"/>
        <v>6927324.6612220937</v>
      </c>
      <c r="M27" s="309">
        <f t="shared" si="8"/>
        <v>6695715.9442366492</v>
      </c>
      <c r="N27" s="308">
        <v>0</v>
      </c>
      <c r="O27" s="462">
        <v>0</v>
      </c>
      <c r="P27" s="463">
        <v>1</v>
      </c>
      <c r="Q27" s="309">
        <f t="shared" si="1"/>
        <v>0</v>
      </c>
      <c r="R27" s="311">
        <f t="shared" si="2"/>
        <v>0</v>
      </c>
      <c r="S27" s="312">
        <f t="shared" si="3"/>
        <v>6695715.9442366492</v>
      </c>
      <c r="T27" s="309">
        <f t="shared" si="4"/>
        <v>0</v>
      </c>
      <c r="U27" s="311">
        <f t="shared" si="5"/>
        <v>6695715.9442366492</v>
      </c>
      <c r="V27" s="464">
        <f t="shared" si="6"/>
        <v>0</v>
      </c>
      <c r="W27" s="311">
        <f t="shared" si="7"/>
        <v>0</v>
      </c>
      <c r="X27" s="321"/>
      <c r="AG27" s="436"/>
    </row>
    <row r="28" spans="1:33">
      <c r="A28" s="459" t="s">
        <v>2178</v>
      </c>
      <c r="B28" s="460"/>
      <c r="C28" s="461">
        <v>1517484.76</v>
      </c>
      <c r="D28" s="461">
        <v>-517464.93</v>
      </c>
      <c r="E28" s="429">
        <v>138</v>
      </c>
      <c r="F28" s="431">
        <v>4.2</v>
      </c>
      <c r="G28" s="450">
        <v>1000019.83</v>
      </c>
      <c r="H28" s="309">
        <f t="shared" si="8"/>
        <v>965349.14249390003</v>
      </c>
      <c r="I28" s="309">
        <f t="shared" si="8"/>
        <v>930953.75254684221</v>
      </c>
      <c r="J28" s="309">
        <f t="shared" si="8"/>
        <v>898876.10192387959</v>
      </c>
      <c r="K28" s="309">
        <f t="shared" si="8"/>
        <v>868823.00770976499</v>
      </c>
      <c r="L28" s="309">
        <f t="shared" si="8"/>
        <v>839774.71100879961</v>
      </c>
      <c r="M28" s="309">
        <f t="shared" si="8"/>
        <v>811697.61734198453</v>
      </c>
      <c r="N28" s="308">
        <v>0</v>
      </c>
      <c r="O28" s="462">
        <v>1</v>
      </c>
      <c r="P28" s="463">
        <v>0</v>
      </c>
      <c r="Q28" s="309">
        <f t="shared" si="1"/>
        <v>0</v>
      </c>
      <c r="R28" s="311">
        <f t="shared" si="2"/>
        <v>811697.61734198453</v>
      </c>
      <c r="S28" s="312">
        <f t="shared" si="3"/>
        <v>0</v>
      </c>
      <c r="T28" s="309">
        <f t="shared" si="4"/>
        <v>0</v>
      </c>
      <c r="U28" s="311">
        <f t="shared" si="5"/>
        <v>0</v>
      </c>
      <c r="V28" s="464">
        <f t="shared" si="6"/>
        <v>811697.61734198453</v>
      </c>
      <c r="W28" s="311">
        <f t="shared" si="7"/>
        <v>0</v>
      </c>
      <c r="X28" s="321"/>
      <c r="Y28" s="321"/>
      <c r="Z28" s="321"/>
      <c r="AA28" s="321"/>
      <c r="AE28" s="436"/>
      <c r="AF28" s="436"/>
      <c r="AG28" s="436"/>
    </row>
    <row r="29" spans="1:33">
      <c r="A29" s="459" t="s">
        <v>2179</v>
      </c>
      <c r="B29" s="460"/>
      <c r="C29" s="461">
        <v>2253478.36</v>
      </c>
      <c r="D29" s="461">
        <v>-1271224.7</v>
      </c>
      <c r="E29" s="429">
        <v>138</v>
      </c>
      <c r="F29" s="431">
        <v>13.2</v>
      </c>
      <c r="G29" s="450">
        <v>982253.66</v>
      </c>
      <c r="H29" s="309">
        <f t="shared" si="8"/>
        <v>948198.92560780002</v>
      </c>
      <c r="I29" s="309">
        <f t="shared" si="8"/>
        <v>914414.59788839403</v>
      </c>
      <c r="J29" s="309">
        <f t="shared" si="8"/>
        <v>882906.83295876626</v>
      </c>
      <c r="K29" s="309">
        <f t="shared" si="8"/>
        <v>853387.65653789579</v>
      </c>
      <c r="L29" s="309">
        <f t="shared" si="8"/>
        <v>824855.42658072663</v>
      </c>
      <c r="M29" s="309">
        <f t="shared" si="8"/>
        <v>797277.14544164971</v>
      </c>
      <c r="N29" s="308">
        <v>0.87443161944735925</v>
      </c>
      <c r="O29" s="462">
        <v>0.1255683805526408</v>
      </c>
      <c r="P29" s="463">
        <v>0</v>
      </c>
      <c r="Q29" s="309">
        <f t="shared" si="1"/>
        <v>697164.34543690959</v>
      </c>
      <c r="R29" s="311">
        <f t="shared" si="2"/>
        <v>100112.80000474022</v>
      </c>
      <c r="S29" s="312">
        <f t="shared" si="3"/>
        <v>0</v>
      </c>
      <c r="T29" s="309">
        <f t="shared" si="4"/>
        <v>697164.34543690959</v>
      </c>
      <c r="U29" s="311">
        <f t="shared" si="5"/>
        <v>0</v>
      </c>
      <c r="V29" s="464">
        <f t="shared" si="6"/>
        <v>100112.80000474022</v>
      </c>
      <c r="W29" s="311">
        <f t="shared" si="7"/>
        <v>0</v>
      </c>
      <c r="X29" s="321"/>
      <c r="Y29" s="321"/>
      <c r="Z29" s="321"/>
      <c r="AA29" s="321"/>
      <c r="AE29" s="436"/>
      <c r="AF29" s="436"/>
      <c r="AG29" s="436"/>
    </row>
    <row r="30" spans="1:33">
      <c r="A30" s="459" t="s">
        <v>2180</v>
      </c>
      <c r="B30" s="460"/>
      <c r="C30" s="461">
        <v>4215538.68</v>
      </c>
      <c r="D30" s="461">
        <v>-1375484.94</v>
      </c>
      <c r="E30" s="429">
        <v>138</v>
      </c>
      <c r="F30" s="431">
        <v>25</v>
      </c>
      <c r="G30" s="450">
        <v>2840053.74</v>
      </c>
      <c r="H30" s="309">
        <f t="shared" si="8"/>
        <v>2741589.0768342004</v>
      </c>
      <c r="I30" s="309">
        <f t="shared" si="8"/>
        <v>2643906.2580265976</v>
      </c>
      <c r="J30" s="309">
        <f t="shared" si="8"/>
        <v>2552805.8129262654</v>
      </c>
      <c r="K30" s="309">
        <f t="shared" si="8"/>
        <v>2467455.1028094785</v>
      </c>
      <c r="L30" s="309">
        <f t="shared" si="8"/>
        <v>2384958.0150405224</v>
      </c>
      <c r="M30" s="309">
        <f t="shared" si="8"/>
        <v>2305219.1413856186</v>
      </c>
      <c r="N30" s="308">
        <v>0</v>
      </c>
      <c r="O30" s="462">
        <v>1</v>
      </c>
      <c r="P30" s="463">
        <v>0</v>
      </c>
      <c r="Q30" s="309">
        <f t="shared" si="1"/>
        <v>0</v>
      </c>
      <c r="R30" s="311">
        <f t="shared" si="2"/>
        <v>2305219.1413856186</v>
      </c>
      <c r="S30" s="312">
        <f t="shared" si="3"/>
        <v>0</v>
      </c>
      <c r="T30" s="309">
        <f t="shared" si="4"/>
        <v>0</v>
      </c>
      <c r="U30" s="311">
        <f t="shared" si="5"/>
        <v>0</v>
      </c>
      <c r="V30" s="464">
        <f t="shared" si="6"/>
        <v>2305219.1413856186</v>
      </c>
      <c r="W30" s="311">
        <f t="shared" si="7"/>
        <v>0</v>
      </c>
      <c r="X30" s="321"/>
      <c r="Y30" s="321"/>
      <c r="Z30" s="321"/>
      <c r="AA30" s="321"/>
      <c r="AE30" s="436"/>
      <c r="AF30" s="436"/>
      <c r="AG30" s="436"/>
    </row>
    <row r="31" spans="1:33">
      <c r="A31" s="459" t="s">
        <v>2181</v>
      </c>
      <c r="B31" s="460"/>
      <c r="C31" s="461">
        <v>13241.49</v>
      </c>
      <c r="D31" s="461">
        <v>-2104.0700000000002</v>
      </c>
      <c r="E31" s="429">
        <v>69</v>
      </c>
      <c r="F31" s="431">
        <v>25</v>
      </c>
      <c r="G31" s="450">
        <v>11137.42</v>
      </c>
      <c r="H31" s="309">
        <f t="shared" si="8"/>
        <v>10751.2856486</v>
      </c>
      <c r="I31" s="309">
        <f t="shared" si="8"/>
        <v>10368.21734094038</v>
      </c>
      <c r="J31" s="309">
        <f t="shared" si="8"/>
        <v>10010.962157709468</v>
      </c>
      <c r="K31" s="309">
        <f t="shared" si="8"/>
        <v>9676.2548623929688</v>
      </c>
      <c r="L31" s="309">
        <f t="shared" si="8"/>
        <v>9352.7381970851766</v>
      </c>
      <c r="M31" s="309">
        <f t="shared" si="8"/>
        <v>9040.0380133831604</v>
      </c>
      <c r="N31" s="308">
        <v>0</v>
      </c>
      <c r="O31" s="462">
        <v>0</v>
      </c>
      <c r="P31" s="463">
        <v>1</v>
      </c>
      <c r="Q31" s="309">
        <f t="shared" si="1"/>
        <v>0</v>
      </c>
      <c r="R31" s="311">
        <f t="shared" si="2"/>
        <v>0</v>
      </c>
      <c r="S31" s="312">
        <f t="shared" si="3"/>
        <v>9040.0380133831604</v>
      </c>
      <c r="T31" s="309">
        <f t="shared" si="4"/>
        <v>0</v>
      </c>
      <c r="U31" s="311">
        <f t="shared" si="5"/>
        <v>0</v>
      </c>
      <c r="V31" s="464">
        <f t="shared" si="6"/>
        <v>9040.0380133831604</v>
      </c>
      <c r="W31" s="311">
        <f t="shared" si="7"/>
        <v>0</v>
      </c>
      <c r="X31" s="321"/>
      <c r="Y31" s="321"/>
      <c r="Z31" s="321"/>
      <c r="AA31" s="321"/>
      <c r="AE31" s="436"/>
      <c r="AF31" s="436"/>
      <c r="AG31" s="436"/>
    </row>
    <row r="32" spans="1:33">
      <c r="A32" s="459" t="s">
        <v>2182</v>
      </c>
      <c r="B32" s="460"/>
      <c r="C32" s="461">
        <v>873347.27</v>
      </c>
      <c r="D32" s="461">
        <v>-59605.11</v>
      </c>
      <c r="E32" s="429">
        <v>138</v>
      </c>
      <c r="F32" s="431">
        <v>25</v>
      </c>
      <c r="G32" s="450">
        <v>813742.16</v>
      </c>
      <c r="H32" s="309">
        <f t="shared" si="8"/>
        <v>785529.71931280009</v>
      </c>
      <c r="I32" s="309">
        <f t="shared" si="8"/>
        <v>757541.29541368491</v>
      </c>
      <c r="J32" s="309">
        <f t="shared" si="8"/>
        <v>731438.87631900061</v>
      </c>
      <c r="K32" s="309">
        <f t="shared" si="8"/>
        <v>706983.89146087319</v>
      </c>
      <c r="L32" s="309">
        <f t="shared" si="8"/>
        <v>683346.53648785781</v>
      </c>
      <c r="M32" s="309">
        <f t="shared" si="8"/>
        <v>660499.47469813668</v>
      </c>
      <c r="N32" s="308">
        <v>0</v>
      </c>
      <c r="O32" s="462">
        <v>1</v>
      </c>
      <c r="P32" s="463">
        <v>0</v>
      </c>
      <c r="Q32" s="309">
        <f t="shared" si="1"/>
        <v>0</v>
      </c>
      <c r="R32" s="311">
        <f t="shared" si="2"/>
        <v>660499.47469813668</v>
      </c>
      <c r="S32" s="312">
        <f t="shared" si="3"/>
        <v>0</v>
      </c>
      <c r="T32" s="309">
        <f t="shared" si="4"/>
        <v>0</v>
      </c>
      <c r="U32" s="311">
        <f t="shared" si="5"/>
        <v>0</v>
      </c>
      <c r="V32" s="464">
        <f t="shared" si="6"/>
        <v>660499.47469813668</v>
      </c>
      <c r="W32" s="311">
        <f t="shared" si="7"/>
        <v>0</v>
      </c>
      <c r="X32" s="321"/>
      <c r="Y32" s="321"/>
      <c r="Z32" s="321"/>
      <c r="AA32" s="321"/>
      <c r="AE32" s="436"/>
      <c r="AF32" s="436"/>
      <c r="AG32" s="436"/>
    </row>
    <row r="33" spans="1:33">
      <c r="A33" s="459" t="s">
        <v>2183</v>
      </c>
      <c r="B33" s="460"/>
      <c r="C33" s="461">
        <v>2711480.27</v>
      </c>
      <c r="D33" s="461">
        <v>-1334607.96</v>
      </c>
      <c r="E33" s="429">
        <v>138</v>
      </c>
      <c r="F33" s="431">
        <v>25</v>
      </c>
      <c r="G33" s="450">
        <v>1376872.31</v>
      </c>
      <c r="H33" s="309">
        <f t="shared" si="8"/>
        <v>1329136.1470123001</v>
      </c>
      <c r="I33" s="309">
        <f t="shared" si="8"/>
        <v>1281779.0260942518</v>
      </c>
      <c r="J33" s="309">
        <f t="shared" si="8"/>
        <v>1237613.0729924901</v>
      </c>
      <c r="K33" s="309">
        <f t="shared" si="8"/>
        <v>1196234.6202739719</v>
      </c>
      <c r="L33" s="309">
        <f t="shared" si="8"/>
        <v>1156239.6179946435</v>
      </c>
      <c r="M33" s="309">
        <f t="shared" si="8"/>
        <v>1117581.811763827</v>
      </c>
      <c r="N33" s="308">
        <v>0.99196508282908447</v>
      </c>
      <c r="O33" s="462">
        <v>8.0349171709155846E-3</v>
      </c>
      <c r="P33" s="463">
        <v>0</v>
      </c>
      <c r="Q33" s="309">
        <f t="shared" si="1"/>
        <v>1108602.134474583</v>
      </c>
      <c r="R33" s="311">
        <f t="shared" si="2"/>
        <v>8979.6772892441222</v>
      </c>
      <c r="S33" s="312">
        <f t="shared" si="3"/>
        <v>0</v>
      </c>
      <c r="T33" s="309">
        <f t="shared" si="4"/>
        <v>1108602.134474583</v>
      </c>
      <c r="U33" s="311">
        <f t="shared" si="5"/>
        <v>0</v>
      </c>
      <c r="V33" s="464">
        <f t="shared" si="6"/>
        <v>8979.6772892441222</v>
      </c>
      <c r="W33" s="311">
        <f t="shared" si="7"/>
        <v>0</v>
      </c>
      <c r="X33" s="321"/>
      <c r="Y33" s="321"/>
      <c r="Z33" s="321"/>
      <c r="AA33" s="321"/>
      <c r="AE33" s="436"/>
      <c r="AF33" s="436"/>
      <c r="AG33" s="436"/>
    </row>
    <row r="34" spans="1:33">
      <c r="A34" s="459" t="s">
        <v>2184</v>
      </c>
      <c r="B34" s="460"/>
      <c r="C34" s="461">
        <v>9541057.8100000005</v>
      </c>
      <c r="D34" s="461">
        <v>-739938.43</v>
      </c>
      <c r="E34" s="429">
        <v>138</v>
      </c>
      <c r="F34" s="431">
        <v>25</v>
      </c>
      <c r="G34" s="450">
        <v>8801119.3800000008</v>
      </c>
      <c r="H34" s="309">
        <f t="shared" si="8"/>
        <v>8495984.5710954014</v>
      </c>
      <c r="I34" s="309">
        <f t="shared" si="8"/>
        <v>8193272.6408272712</v>
      </c>
      <c r="J34" s="309">
        <f t="shared" si="8"/>
        <v>7910959.0065440135</v>
      </c>
      <c r="K34" s="309">
        <f t="shared" si="8"/>
        <v>7646463.3815754466</v>
      </c>
      <c r="L34" s="309">
        <f t="shared" si="8"/>
        <v>7390810.924112821</v>
      </c>
      <c r="M34" s="309">
        <f t="shared" si="8"/>
        <v>7143705.9709989596</v>
      </c>
      <c r="N34" s="308">
        <v>0</v>
      </c>
      <c r="O34" s="462">
        <v>1</v>
      </c>
      <c r="P34" s="463">
        <v>0</v>
      </c>
      <c r="Q34" s="309">
        <f t="shared" si="1"/>
        <v>0</v>
      </c>
      <c r="R34" s="311">
        <f t="shared" si="2"/>
        <v>7143705.9709989596</v>
      </c>
      <c r="S34" s="312">
        <f t="shared" si="3"/>
        <v>0</v>
      </c>
      <c r="T34" s="309">
        <f t="shared" si="4"/>
        <v>0</v>
      </c>
      <c r="U34" s="311">
        <f t="shared" si="5"/>
        <v>0</v>
      </c>
      <c r="V34" s="464">
        <f t="shared" si="6"/>
        <v>7143705.9709989596</v>
      </c>
      <c r="W34" s="311">
        <f t="shared" si="7"/>
        <v>0</v>
      </c>
      <c r="X34" s="321"/>
      <c r="Y34" s="321"/>
      <c r="Z34" s="321"/>
      <c r="AA34" s="321"/>
      <c r="AE34" s="436"/>
      <c r="AF34" s="436"/>
      <c r="AG34" s="436"/>
    </row>
    <row r="35" spans="1:33">
      <c r="A35" s="459" t="s">
        <v>2185</v>
      </c>
      <c r="B35" s="460"/>
      <c r="C35" s="461">
        <v>7092236.3899999997</v>
      </c>
      <c r="D35" s="461">
        <v>-4096826.3</v>
      </c>
      <c r="E35" s="429">
        <v>138</v>
      </c>
      <c r="F35" s="431">
        <v>25</v>
      </c>
      <c r="G35" s="450">
        <v>2995410.09</v>
      </c>
      <c r="H35" s="309">
        <f t="shared" si="8"/>
        <v>2891559.2221796997</v>
      </c>
      <c r="I35" s="309">
        <f t="shared" si="8"/>
        <v>2788532.967093437</v>
      </c>
      <c r="J35" s="309">
        <f t="shared" si="8"/>
        <v>2692449.1540959314</v>
      </c>
      <c r="K35" s="309">
        <f t="shared" si="8"/>
        <v>2602429.5975390584</v>
      </c>
      <c r="L35" s="309">
        <f t="shared" si="8"/>
        <v>2515419.7619087137</v>
      </c>
      <c r="M35" s="309">
        <f t="shared" si="8"/>
        <v>2431319.0199589734</v>
      </c>
      <c r="N35" s="308">
        <v>0</v>
      </c>
      <c r="O35" s="462">
        <v>1</v>
      </c>
      <c r="P35" s="463">
        <v>0</v>
      </c>
      <c r="Q35" s="309">
        <f t="shared" si="1"/>
        <v>0</v>
      </c>
      <c r="R35" s="311">
        <f t="shared" si="2"/>
        <v>2431319.0199589734</v>
      </c>
      <c r="S35" s="312">
        <f t="shared" si="3"/>
        <v>0</v>
      </c>
      <c r="T35" s="309">
        <f t="shared" si="4"/>
        <v>0</v>
      </c>
      <c r="U35" s="311">
        <f t="shared" si="5"/>
        <v>0</v>
      </c>
      <c r="V35" s="464">
        <f t="shared" si="6"/>
        <v>2431319.0199589734</v>
      </c>
      <c r="W35" s="311">
        <f t="shared" si="7"/>
        <v>0</v>
      </c>
      <c r="X35" s="321"/>
      <c r="Y35" s="321"/>
      <c r="Z35" s="321"/>
      <c r="AA35" s="321"/>
      <c r="AE35" s="436"/>
      <c r="AF35" s="436"/>
      <c r="AG35" s="436"/>
    </row>
    <row r="36" spans="1:33">
      <c r="A36" s="459" t="s">
        <v>2186</v>
      </c>
      <c r="B36" s="460"/>
      <c r="C36" s="461">
        <v>3106289.02</v>
      </c>
      <c r="D36" s="461">
        <v>-2219549.63</v>
      </c>
      <c r="E36" s="429">
        <v>138</v>
      </c>
      <c r="F36" s="431">
        <v>25</v>
      </c>
      <c r="G36" s="450">
        <v>886739.39</v>
      </c>
      <c r="H36" s="309">
        <f t="shared" si="8"/>
        <v>855996.13534869999</v>
      </c>
      <c r="I36" s="309">
        <f t="shared" si="8"/>
        <v>825496.99304622575</v>
      </c>
      <c r="J36" s="309">
        <f t="shared" si="8"/>
        <v>797053.04074376088</v>
      </c>
      <c r="K36" s="309">
        <f t="shared" si="8"/>
        <v>770404.30675711937</v>
      </c>
      <c r="L36" s="309">
        <f t="shared" si="8"/>
        <v>744646.5486363098</v>
      </c>
      <c r="M36" s="309">
        <f t="shared" si="8"/>
        <v>719749.97742423241</v>
      </c>
      <c r="N36" s="308">
        <v>0</v>
      </c>
      <c r="O36" s="462">
        <v>1</v>
      </c>
      <c r="P36" s="463">
        <v>0</v>
      </c>
      <c r="Q36" s="309">
        <f t="shared" si="1"/>
        <v>0</v>
      </c>
      <c r="R36" s="311">
        <f t="shared" si="2"/>
        <v>719749.97742423241</v>
      </c>
      <c r="S36" s="312">
        <f t="shared" si="3"/>
        <v>0</v>
      </c>
      <c r="T36" s="309">
        <f t="shared" si="4"/>
        <v>0</v>
      </c>
      <c r="U36" s="311">
        <f t="shared" si="5"/>
        <v>0</v>
      </c>
      <c r="V36" s="464">
        <f t="shared" si="6"/>
        <v>719749.97742423241</v>
      </c>
      <c r="W36" s="311">
        <f t="shared" si="7"/>
        <v>0</v>
      </c>
      <c r="X36" s="321"/>
      <c r="Y36" s="321"/>
      <c r="Z36" s="321"/>
      <c r="AA36" s="321"/>
      <c r="AE36" s="436"/>
      <c r="AF36" s="436"/>
      <c r="AG36" s="436"/>
    </row>
    <row r="37" spans="1:33">
      <c r="A37" s="459" t="s">
        <v>2187</v>
      </c>
      <c r="B37" s="460"/>
      <c r="C37" s="461">
        <v>6877533.1600000001</v>
      </c>
      <c r="D37" s="461">
        <v>-1550102.78</v>
      </c>
      <c r="E37" s="429">
        <v>138</v>
      </c>
      <c r="F37" s="431">
        <v>25</v>
      </c>
      <c r="G37" s="450">
        <v>5327430.38</v>
      </c>
      <c r="H37" s="309">
        <f t="shared" si="8"/>
        <v>5142728.3687254004</v>
      </c>
      <c r="I37" s="309">
        <f t="shared" si="8"/>
        <v>4959492.9569477132</v>
      </c>
      <c r="J37" s="309">
        <f t="shared" si="8"/>
        <v>4788604.8952101804</v>
      </c>
      <c r="K37" s="309">
        <f t="shared" si="8"/>
        <v>4628502.3029153096</v>
      </c>
      <c r="L37" s="309">
        <f t="shared" si="8"/>
        <v>4473752.5932700746</v>
      </c>
      <c r="M37" s="309">
        <f t="shared" si="8"/>
        <v>4324176.7975754067</v>
      </c>
      <c r="N37" s="308">
        <v>0</v>
      </c>
      <c r="O37" s="462">
        <v>1</v>
      </c>
      <c r="P37" s="463">
        <v>0</v>
      </c>
      <c r="Q37" s="309">
        <f t="shared" si="1"/>
        <v>0</v>
      </c>
      <c r="R37" s="311">
        <f t="shared" si="2"/>
        <v>4324176.7975754067</v>
      </c>
      <c r="S37" s="312">
        <f t="shared" si="3"/>
        <v>0</v>
      </c>
      <c r="T37" s="309">
        <f t="shared" si="4"/>
        <v>0</v>
      </c>
      <c r="U37" s="311">
        <f t="shared" si="5"/>
        <v>0</v>
      </c>
      <c r="V37" s="464">
        <f t="shared" si="6"/>
        <v>4324176.7975754067</v>
      </c>
      <c r="W37" s="311">
        <f t="shared" si="7"/>
        <v>0</v>
      </c>
      <c r="X37" s="321"/>
      <c r="Y37" s="321"/>
      <c r="Z37" s="321"/>
      <c r="AA37" s="321"/>
      <c r="AE37" s="436"/>
      <c r="AF37" s="436"/>
      <c r="AG37" s="436"/>
    </row>
    <row r="38" spans="1:33">
      <c r="A38" s="459" t="s">
        <v>2188</v>
      </c>
      <c r="B38" s="460"/>
      <c r="C38" s="461">
        <v>333754.87</v>
      </c>
      <c r="D38" s="461">
        <v>-389974.12</v>
      </c>
      <c r="E38" s="429">
        <v>69</v>
      </c>
      <c r="F38" s="431">
        <v>4.0999999999999996</v>
      </c>
      <c r="G38" s="450">
        <v>-56219.25</v>
      </c>
      <c r="H38" s="309">
        <f t="shared" si="8"/>
        <v>-54270.128602500001</v>
      </c>
      <c r="I38" s="309">
        <f t="shared" si="8"/>
        <v>-52336.483920392922</v>
      </c>
      <c r="J38" s="309">
        <f t="shared" si="8"/>
        <v>-50533.138220953151</v>
      </c>
      <c r="K38" s="309">
        <f t="shared" si="8"/>
        <v>-48843.609307414641</v>
      </c>
      <c r="L38" s="309">
        <f t="shared" si="8"/>
        <v>-47210.568236313331</v>
      </c>
      <c r="M38" s="309">
        <f t="shared" si="8"/>
        <v>-45632.126388687073</v>
      </c>
      <c r="N38" s="308">
        <v>0</v>
      </c>
      <c r="O38" s="462">
        <v>0</v>
      </c>
      <c r="P38" s="463">
        <v>1</v>
      </c>
      <c r="Q38" s="309">
        <f t="shared" si="1"/>
        <v>0</v>
      </c>
      <c r="R38" s="311">
        <f t="shared" si="2"/>
        <v>0</v>
      </c>
      <c r="S38" s="312">
        <f t="shared" si="3"/>
        <v>-45632.126388687073</v>
      </c>
      <c r="T38" s="309">
        <f t="shared" si="4"/>
        <v>0</v>
      </c>
      <c r="U38" s="311">
        <f t="shared" si="5"/>
        <v>0</v>
      </c>
      <c r="V38" s="464">
        <f t="shared" si="6"/>
        <v>-45632.126388687073</v>
      </c>
      <c r="W38" s="311">
        <f t="shared" si="7"/>
        <v>0</v>
      </c>
      <c r="X38" s="321"/>
      <c r="Y38" s="321"/>
      <c r="Z38" s="321"/>
      <c r="AA38" s="321"/>
      <c r="AE38" s="436"/>
      <c r="AF38" s="436"/>
      <c r="AG38" s="436"/>
    </row>
    <row r="39" spans="1:33">
      <c r="A39" s="459" t="s">
        <v>2189</v>
      </c>
      <c r="B39" s="460"/>
      <c r="C39" s="461">
        <v>5737857.3600000003</v>
      </c>
      <c r="D39" s="461">
        <v>-2598159.2799999998</v>
      </c>
      <c r="E39" s="429">
        <v>138</v>
      </c>
      <c r="F39" s="431">
        <v>25</v>
      </c>
      <c r="G39" s="450">
        <v>3139698.08</v>
      </c>
      <c r="H39" s="309">
        <f t="shared" si="8"/>
        <v>3030844.7475664001</v>
      </c>
      <c r="I39" s="309">
        <f t="shared" si="8"/>
        <v>2922855.7492106091</v>
      </c>
      <c r="J39" s="309">
        <f t="shared" si="8"/>
        <v>2822143.6082605375</v>
      </c>
      <c r="K39" s="309">
        <f t="shared" si="8"/>
        <v>2727787.8371333643</v>
      </c>
      <c r="L39" s="309">
        <f t="shared" si="8"/>
        <v>2636586.7642713473</v>
      </c>
      <c r="M39" s="309">
        <f t="shared" si="8"/>
        <v>2548434.915244834</v>
      </c>
      <c r="N39" s="308">
        <v>0</v>
      </c>
      <c r="O39" s="462">
        <v>1</v>
      </c>
      <c r="P39" s="463">
        <v>0</v>
      </c>
      <c r="Q39" s="309">
        <f t="shared" si="1"/>
        <v>0</v>
      </c>
      <c r="R39" s="311">
        <f t="shared" si="2"/>
        <v>2548434.915244834</v>
      </c>
      <c r="S39" s="312">
        <f t="shared" si="3"/>
        <v>0</v>
      </c>
      <c r="T39" s="309">
        <f t="shared" si="4"/>
        <v>0</v>
      </c>
      <c r="U39" s="311">
        <f t="shared" si="5"/>
        <v>0</v>
      </c>
      <c r="V39" s="464">
        <f t="shared" si="6"/>
        <v>2548434.915244834</v>
      </c>
      <c r="W39" s="311">
        <f t="shared" si="7"/>
        <v>0</v>
      </c>
      <c r="X39" s="321"/>
      <c r="Y39" s="321"/>
      <c r="Z39" s="321"/>
      <c r="AA39" s="321"/>
      <c r="AE39" s="436"/>
      <c r="AF39" s="436"/>
      <c r="AG39" s="436"/>
    </row>
    <row r="40" spans="1:33">
      <c r="A40" s="459" t="s">
        <v>2190</v>
      </c>
      <c r="B40" s="460"/>
      <c r="C40" s="461">
        <v>15523462.119999999</v>
      </c>
      <c r="D40" s="461">
        <v>-2141742.61</v>
      </c>
      <c r="E40" s="429">
        <v>240</v>
      </c>
      <c r="F40" s="431">
        <v>138</v>
      </c>
      <c r="G40" s="450">
        <v>13381719.51</v>
      </c>
      <c r="H40" s="309">
        <f t="shared" si="8"/>
        <v>12917775.294588299</v>
      </c>
      <c r="I40" s="309">
        <f t="shared" si="8"/>
        <v>12457514.960842118</v>
      </c>
      <c r="J40" s="309">
        <f t="shared" si="8"/>
        <v>12028269.349606326</v>
      </c>
      <c r="K40" s="309">
        <f t="shared" si="8"/>
        <v>11626115.247141292</v>
      </c>
      <c r="L40" s="309">
        <f t="shared" si="8"/>
        <v>11237406.796534291</v>
      </c>
      <c r="M40" s="309">
        <f t="shared" si="8"/>
        <v>10861694.454804709</v>
      </c>
      <c r="N40" s="308">
        <v>0</v>
      </c>
      <c r="O40" s="462">
        <v>0</v>
      </c>
      <c r="P40" s="463">
        <v>1</v>
      </c>
      <c r="Q40" s="309">
        <f t="shared" si="1"/>
        <v>0</v>
      </c>
      <c r="R40" s="311">
        <f t="shared" si="2"/>
        <v>0</v>
      </c>
      <c r="S40" s="312">
        <f t="shared" si="3"/>
        <v>10861694.454804709</v>
      </c>
      <c r="T40" s="309">
        <f t="shared" si="4"/>
        <v>0</v>
      </c>
      <c r="U40" s="311">
        <f t="shared" si="5"/>
        <v>10861694.454804709</v>
      </c>
      <c r="V40" s="464">
        <f t="shared" si="6"/>
        <v>0</v>
      </c>
      <c r="W40" s="311">
        <f t="shared" si="7"/>
        <v>0</v>
      </c>
      <c r="X40" s="321"/>
      <c r="Y40" s="321"/>
      <c r="Z40" s="321"/>
      <c r="AA40" s="321"/>
      <c r="AE40" s="436"/>
      <c r="AF40" s="436"/>
      <c r="AG40" s="436"/>
    </row>
    <row r="41" spans="1:33">
      <c r="A41" s="459" t="s">
        <v>2191</v>
      </c>
      <c r="B41" s="460"/>
      <c r="C41" s="461">
        <v>479712.49</v>
      </c>
      <c r="D41" s="461">
        <v>-292228.95</v>
      </c>
      <c r="E41" s="429">
        <v>138</v>
      </c>
      <c r="F41" s="431">
        <v>0</v>
      </c>
      <c r="G41" s="450">
        <v>187483.54</v>
      </c>
      <c r="H41" s="309">
        <f t="shared" si="8"/>
        <v>180983.48566820001</v>
      </c>
      <c r="I41" s="309">
        <f t="shared" si="8"/>
        <v>174535.04407384203</v>
      </c>
      <c r="J41" s="309">
        <f t="shared" si="8"/>
        <v>168521.13183604548</v>
      </c>
      <c r="K41" s="309">
        <f t="shared" si="8"/>
        <v>162886.78307396569</v>
      </c>
      <c r="L41" s="309">
        <f t="shared" si="8"/>
        <v>157440.81357107361</v>
      </c>
      <c r="M41" s="309">
        <f t="shared" si="8"/>
        <v>152176.92504041709</v>
      </c>
      <c r="N41" s="308">
        <v>0</v>
      </c>
      <c r="O41" s="462">
        <v>0</v>
      </c>
      <c r="P41" s="463">
        <v>1</v>
      </c>
      <c r="Q41" s="309">
        <f t="shared" si="1"/>
        <v>0</v>
      </c>
      <c r="R41" s="311">
        <f t="shared" si="2"/>
        <v>0</v>
      </c>
      <c r="S41" s="312">
        <f t="shared" si="3"/>
        <v>152176.92504041709</v>
      </c>
      <c r="T41" s="309">
        <f t="shared" si="4"/>
        <v>0</v>
      </c>
      <c r="U41" s="311">
        <f t="shared" si="5"/>
        <v>0</v>
      </c>
      <c r="V41" s="464">
        <f t="shared" si="6"/>
        <v>0</v>
      </c>
      <c r="W41" s="311">
        <f t="shared" si="7"/>
        <v>152176.92504041709</v>
      </c>
      <c r="X41" s="321"/>
      <c r="Y41" s="321"/>
      <c r="Z41" s="321"/>
      <c r="AA41" s="321"/>
      <c r="AE41" s="436"/>
      <c r="AF41" s="436"/>
      <c r="AG41" s="436"/>
    </row>
    <row r="42" spans="1:33">
      <c r="A42" s="459" t="s">
        <v>2192</v>
      </c>
      <c r="B42" s="460"/>
      <c r="C42" s="461">
        <v>9775229.0700000003</v>
      </c>
      <c r="D42" s="461">
        <v>-2384535.42</v>
      </c>
      <c r="E42" s="429">
        <v>138</v>
      </c>
      <c r="F42" s="431">
        <v>25</v>
      </c>
      <c r="G42" s="450">
        <v>7390693.6500000004</v>
      </c>
      <c r="H42" s="309">
        <f t="shared" si="8"/>
        <v>7134458.3011545008</v>
      </c>
      <c r="I42" s="309">
        <f t="shared" si="8"/>
        <v>6880257.5518843653</v>
      </c>
      <c r="J42" s="309">
        <f t="shared" si="8"/>
        <v>6643186.1642439337</v>
      </c>
      <c r="K42" s="309">
        <f t="shared" si="8"/>
        <v>6421077.3560904898</v>
      </c>
      <c r="L42" s="309">
        <f t="shared" si="8"/>
        <v>6206394.5512793688</v>
      </c>
      <c r="M42" s="309">
        <f t="shared" si="8"/>
        <v>5998889.46823138</v>
      </c>
      <c r="N42" s="308">
        <v>0</v>
      </c>
      <c r="O42" s="462">
        <v>1</v>
      </c>
      <c r="P42" s="463">
        <v>0</v>
      </c>
      <c r="Q42" s="309">
        <f t="shared" si="1"/>
        <v>0</v>
      </c>
      <c r="R42" s="311">
        <f t="shared" si="2"/>
        <v>5998889.46823138</v>
      </c>
      <c r="S42" s="312">
        <f t="shared" si="3"/>
        <v>0</v>
      </c>
      <c r="T42" s="309">
        <f t="shared" si="4"/>
        <v>0</v>
      </c>
      <c r="U42" s="311">
        <f t="shared" si="5"/>
        <v>0</v>
      </c>
      <c r="V42" s="464">
        <f t="shared" si="6"/>
        <v>5998889.46823138</v>
      </c>
      <c r="W42" s="311">
        <f t="shared" si="7"/>
        <v>0</v>
      </c>
      <c r="X42" s="321"/>
      <c r="Y42" s="321"/>
      <c r="Z42" s="321"/>
      <c r="AA42" s="321"/>
      <c r="AE42" s="436"/>
      <c r="AF42" s="436"/>
      <c r="AG42" s="436"/>
    </row>
    <row r="43" spans="1:33">
      <c r="A43" s="459" t="s">
        <v>2193</v>
      </c>
      <c r="B43" s="460"/>
      <c r="C43" s="461">
        <v>11445701.17</v>
      </c>
      <c r="D43" s="461">
        <v>-5172927.49</v>
      </c>
      <c r="E43" s="429">
        <v>240</v>
      </c>
      <c r="F43" s="431">
        <v>4.2</v>
      </c>
      <c r="G43" s="450">
        <v>6272773.6799999997</v>
      </c>
      <c r="H43" s="309">
        <f t="shared" si="8"/>
        <v>6055296.6165143996</v>
      </c>
      <c r="I43" s="309">
        <f t="shared" si="8"/>
        <v>5839546.3980679912</v>
      </c>
      <c r="J43" s="309">
        <f t="shared" si="8"/>
        <v>5638334.545555071</v>
      </c>
      <c r="K43" s="309">
        <f t="shared" si="8"/>
        <v>5449822.0253694877</v>
      </c>
      <c r="L43" s="309">
        <f t="shared" si="8"/>
        <v>5267612.2475947347</v>
      </c>
      <c r="M43" s="309">
        <f t="shared" si="8"/>
        <v>5091494.4858458573</v>
      </c>
      <c r="N43" s="308">
        <v>0.93989939105109876</v>
      </c>
      <c r="O43" s="462">
        <v>6.0100608948901242E-2</v>
      </c>
      <c r="P43" s="463">
        <v>0</v>
      </c>
      <c r="Q43" s="309">
        <f t="shared" si="1"/>
        <v>4785492.5667865481</v>
      </c>
      <c r="R43" s="311">
        <f t="shared" si="2"/>
        <v>306001.91905930889</v>
      </c>
      <c r="S43" s="312">
        <f t="shared" si="3"/>
        <v>0</v>
      </c>
      <c r="T43" s="309">
        <f t="shared" si="4"/>
        <v>4785492.5667865481</v>
      </c>
      <c r="U43" s="311">
        <f t="shared" si="5"/>
        <v>0</v>
      </c>
      <c r="V43" s="464">
        <f t="shared" si="6"/>
        <v>306001.91905930889</v>
      </c>
      <c r="W43" s="311">
        <f t="shared" si="7"/>
        <v>0</v>
      </c>
      <c r="X43" s="321"/>
      <c r="Y43" s="321"/>
      <c r="Z43" s="321"/>
      <c r="AA43" s="321"/>
      <c r="AE43" s="436"/>
      <c r="AF43" s="436"/>
      <c r="AG43" s="436"/>
    </row>
    <row r="44" spans="1:33">
      <c r="A44" s="459" t="s">
        <v>2194</v>
      </c>
      <c r="B44" s="460"/>
      <c r="C44" s="461">
        <v>17841090.449999999</v>
      </c>
      <c r="D44" s="461">
        <v>-13246871.99</v>
      </c>
      <c r="E44" s="429">
        <v>240</v>
      </c>
      <c r="F44" s="431">
        <v>25</v>
      </c>
      <c r="G44" s="450">
        <v>4594218.46</v>
      </c>
      <c r="H44" s="309">
        <f t="shared" si="8"/>
        <v>4434936.9059918001</v>
      </c>
      <c r="I44" s="309">
        <f t="shared" si="8"/>
        <v>4276920.1040313113</v>
      </c>
      <c r="J44" s="309">
        <f t="shared" si="8"/>
        <v>4129551.2917094147</v>
      </c>
      <c r="K44" s="309">
        <f t="shared" si="8"/>
        <v>3991483.5493741403</v>
      </c>
      <c r="L44" s="309">
        <f t="shared" si="8"/>
        <v>3858031.9747837326</v>
      </c>
      <c r="M44" s="309">
        <f t="shared" si="8"/>
        <v>3729042.2306231279</v>
      </c>
      <c r="N44" s="308">
        <v>0</v>
      </c>
      <c r="O44" s="462">
        <v>1</v>
      </c>
      <c r="P44" s="463">
        <v>0</v>
      </c>
      <c r="Q44" s="309">
        <f t="shared" si="1"/>
        <v>0</v>
      </c>
      <c r="R44" s="311">
        <f t="shared" si="2"/>
        <v>3729042.2306231279</v>
      </c>
      <c r="S44" s="312">
        <f t="shared" si="3"/>
        <v>0</v>
      </c>
      <c r="T44" s="309">
        <f t="shared" si="4"/>
        <v>0</v>
      </c>
      <c r="U44" s="311">
        <f t="shared" si="5"/>
        <v>0</v>
      </c>
      <c r="V44" s="464">
        <f t="shared" si="6"/>
        <v>3729042.2306231279</v>
      </c>
      <c r="W44" s="311">
        <f t="shared" si="7"/>
        <v>0</v>
      </c>
      <c r="X44" s="321"/>
      <c r="Y44" s="321"/>
      <c r="Z44" s="321"/>
      <c r="AA44" s="321"/>
      <c r="AE44" s="436"/>
      <c r="AF44" s="436"/>
      <c r="AG44" s="436"/>
    </row>
    <row r="45" spans="1:33">
      <c r="A45" s="459" t="s">
        <v>2195</v>
      </c>
      <c r="B45" s="460"/>
      <c r="C45" s="461">
        <v>4315332.08</v>
      </c>
      <c r="D45" s="461">
        <v>-3252690.69</v>
      </c>
      <c r="E45" s="429">
        <v>240</v>
      </c>
      <c r="F45" s="431">
        <v>25</v>
      </c>
      <c r="G45" s="450">
        <v>1062641.3899999999</v>
      </c>
      <c r="H45" s="309">
        <f t="shared" si="8"/>
        <v>1025799.6130087</v>
      </c>
      <c r="I45" s="309">
        <f t="shared" si="8"/>
        <v>989250.37279719987</v>
      </c>
      <c r="J45" s="309">
        <f t="shared" si="8"/>
        <v>955164.009483865</v>
      </c>
      <c r="K45" s="309">
        <f t="shared" si="8"/>
        <v>923228.9809459931</v>
      </c>
      <c r="L45" s="309">
        <f t="shared" si="8"/>
        <v>892361.67066130985</v>
      </c>
      <c r="M45" s="309">
        <f t="shared" si="8"/>
        <v>862526.38045385003</v>
      </c>
      <c r="N45" s="308">
        <v>0</v>
      </c>
      <c r="O45" s="462">
        <v>1</v>
      </c>
      <c r="P45" s="463">
        <v>0</v>
      </c>
      <c r="Q45" s="309">
        <f t="shared" si="1"/>
        <v>0</v>
      </c>
      <c r="R45" s="311">
        <f t="shared" si="2"/>
        <v>862526.38045385003</v>
      </c>
      <c r="S45" s="312">
        <f t="shared" si="3"/>
        <v>0</v>
      </c>
      <c r="T45" s="309">
        <f t="shared" si="4"/>
        <v>0</v>
      </c>
      <c r="U45" s="311">
        <f t="shared" si="5"/>
        <v>0</v>
      </c>
      <c r="V45" s="464">
        <f t="shared" si="6"/>
        <v>862526.38045385003</v>
      </c>
      <c r="W45" s="311">
        <f t="shared" si="7"/>
        <v>0</v>
      </c>
      <c r="X45" s="321"/>
      <c r="Y45" s="321"/>
      <c r="Z45" s="321"/>
      <c r="AA45" s="321"/>
      <c r="AE45" s="436"/>
      <c r="AF45" s="436"/>
      <c r="AG45" s="436"/>
    </row>
    <row r="46" spans="1:33">
      <c r="A46" s="459" t="s">
        <v>2196</v>
      </c>
      <c r="B46" s="460"/>
      <c r="C46" s="461">
        <v>4504315.46</v>
      </c>
      <c r="D46" s="461">
        <v>-2580784.3199999998</v>
      </c>
      <c r="E46" s="429">
        <v>138</v>
      </c>
      <c r="F46" s="431">
        <v>4.2</v>
      </c>
      <c r="G46" s="450">
        <v>1923531.14</v>
      </c>
      <c r="H46" s="309">
        <f t="shared" si="8"/>
        <v>1856842.3153762</v>
      </c>
      <c r="I46" s="309">
        <f t="shared" si="8"/>
        <v>1790683.0236793458</v>
      </c>
      <c r="J46" s="309">
        <f t="shared" si="8"/>
        <v>1728981.8873415703</v>
      </c>
      <c r="K46" s="309">
        <f t="shared" si="8"/>
        <v>1671174.9710785164</v>
      </c>
      <c r="L46" s="309">
        <f t="shared" si="8"/>
        <v>1615300.7757955426</v>
      </c>
      <c r="M46" s="309">
        <f t="shared" si="8"/>
        <v>1561294.6827475522</v>
      </c>
      <c r="N46" s="308">
        <v>0</v>
      </c>
      <c r="O46" s="462">
        <v>1</v>
      </c>
      <c r="P46" s="463">
        <v>0</v>
      </c>
      <c r="Q46" s="309">
        <f t="shared" si="1"/>
        <v>0</v>
      </c>
      <c r="R46" s="311">
        <f t="shared" si="2"/>
        <v>1561294.6827475522</v>
      </c>
      <c r="S46" s="312">
        <f t="shared" si="3"/>
        <v>0</v>
      </c>
      <c r="T46" s="309">
        <f t="shared" si="4"/>
        <v>0</v>
      </c>
      <c r="U46" s="311">
        <f t="shared" si="5"/>
        <v>0</v>
      </c>
      <c r="V46" s="464">
        <f t="shared" si="6"/>
        <v>1561294.6827475522</v>
      </c>
      <c r="W46" s="311">
        <f t="shared" si="7"/>
        <v>0</v>
      </c>
      <c r="X46" s="321"/>
      <c r="Y46" s="321"/>
      <c r="Z46" s="321"/>
      <c r="AA46" s="321"/>
      <c r="AE46" s="436"/>
      <c r="AF46" s="436"/>
      <c r="AG46" s="436"/>
    </row>
    <row r="47" spans="1:33">
      <c r="A47" s="459" t="s">
        <v>2197</v>
      </c>
      <c r="B47" s="460"/>
      <c r="C47" s="461">
        <v>13376.96</v>
      </c>
      <c r="D47" s="461">
        <v>-9365.51</v>
      </c>
      <c r="E47" s="429">
        <v>240</v>
      </c>
      <c r="F47" s="431">
        <v>25</v>
      </c>
      <c r="G47" s="450">
        <v>4011.45</v>
      </c>
      <c r="H47" s="309">
        <f t="shared" si="8"/>
        <v>3872.3730284999997</v>
      </c>
      <c r="I47" s="309">
        <f t="shared" si="8"/>
        <v>3734.4003774945445</v>
      </c>
      <c r="J47" s="309">
        <f t="shared" si="8"/>
        <v>3605.7250375350523</v>
      </c>
      <c r="K47" s="309">
        <f t="shared" si="8"/>
        <v>3485.1709433375304</v>
      </c>
      <c r="L47" s="309">
        <f t="shared" si="8"/>
        <v>3368.647464197034</v>
      </c>
      <c r="M47" s="309">
        <f t="shared" si="8"/>
        <v>3256.0198402130723</v>
      </c>
      <c r="N47" s="308">
        <v>0</v>
      </c>
      <c r="O47" s="462">
        <v>0</v>
      </c>
      <c r="P47" s="463">
        <v>1</v>
      </c>
      <c r="Q47" s="309">
        <f t="shared" si="1"/>
        <v>0</v>
      </c>
      <c r="R47" s="311">
        <f t="shared" si="2"/>
        <v>0</v>
      </c>
      <c r="S47" s="312">
        <f t="shared" si="3"/>
        <v>3256.0198402130723</v>
      </c>
      <c r="T47" s="309">
        <f t="shared" si="4"/>
        <v>0</v>
      </c>
      <c r="U47" s="311">
        <f t="shared" si="5"/>
        <v>0</v>
      </c>
      <c r="V47" s="464">
        <f t="shared" si="6"/>
        <v>3256.0198402130723</v>
      </c>
      <c r="W47" s="311">
        <f t="shared" si="7"/>
        <v>0</v>
      </c>
      <c r="X47" s="321"/>
      <c r="Y47" s="321"/>
      <c r="Z47" s="321"/>
      <c r="AA47" s="321"/>
      <c r="AE47" s="436"/>
      <c r="AF47" s="436"/>
      <c r="AG47" s="436"/>
    </row>
    <row r="48" spans="1:33">
      <c r="A48" s="459" t="s">
        <v>2198</v>
      </c>
      <c r="B48" s="460"/>
      <c r="C48" s="461">
        <v>6046965.8600000003</v>
      </c>
      <c r="D48" s="461">
        <v>-1886092.41</v>
      </c>
      <c r="E48" s="429">
        <v>69</v>
      </c>
      <c r="F48" s="431">
        <v>25</v>
      </c>
      <c r="G48" s="450">
        <v>4160873.45</v>
      </c>
      <c r="H48" s="309">
        <f t="shared" si="8"/>
        <v>4016615.9674885003</v>
      </c>
      <c r="I48" s="309">
        <f t="shared" si="8"/>
        <v>3873503.9405668848</v>
      </c>
      <c r="J48" s="309">
        <f t="shared" si="8"/>
        <v>3740035.5424297582</v>
      </c>
      <c r="K48" s="309">
        <f t="shared" si="8"/>
        <v>3614990.9002591544</v>
      </c>
      <c r="L48" s="309">
        <f t="shared" si="8"/>
        <v>3494127.0104793194</v>
      </c>
      <c r="M48" s="309">
        <f t="shared" si="8"/>
        <v>3377304.0934863491</v>
      </c>
      <c r="N48" s="308">
        <v>0.35087719298245612</v>
      </c>
      <c r="O48" s="462">
        <v>0.64912280701754388</v>
      </c>
      <c r="P48" s="463">
        <v>0</v>
      </c>
      <c r="Q48" s="309">
        <f t="shared" si="1"/>
        <v>1185018.9801706488</v>
      </c>
      <c r="R48" s="311">
        <f t="shared" si="2"/>
        <v>2192285.1133157006</v>
      </c>
      <c r="S48" s="312">
        <f t="shared" si="3"/>
        <v>0</v>
      </c>
      <c r="T48" s="309">
        <f t="shared" si="4"/>
        <v>1185018.9801706488</v>
      </c>
      <c r="U48" s="311">
        <f t="shared" si="5"/>
        <v>0</v>
      </c>
      <c r="V48" s="464">
        <f t="shared" si="6"/>
        <v>2192285.1133157006</v>
      </c>
      <c r="W48" s="311">
        <f t="shared" si="7"/>
        <v>0</v>
      </c>
      <c r="X48" s="321"/>
      <c r="Y48" s="321"/>
      <c r="Z48" s="321"/>
      <c r="AA48" s="321"/>
      <c r="AE48" s="436"/>
      <c r="AF48" s="436"/>
      <c r="AG48" s="436"/>
    </row>
    <row r="49" spans="1:33">
      <c r="A49" s="459" t="s">
        <v>2199</v>
      </c>
      <c r="B49" s="460"/>
      <c r="C49" s="461">
        <v>8914948.5</v>
      </c>
      <c r="D49" s="461">
        <v>-2175940.7400000002</v>
      </c>
      <c r="E49" s="429">
        <v>240</v>
      </c>
      <c r="F49" s="431">
        <v>25</v>
      </c>
      <c r="G49" s="450">
        <v>6739007.7599999998</v>
      </c>
      <c r="H49" s="309">
        <f t="shared" si="8"/>
        <v>6505366.3609608002</v>
      </c>
      <c r="I49" s="309">
        <f t="shared" si="8"/>
        <v>6273580.1575197661</v>
      </c>
      <c r="J49" s="309">
        <f t="shared" si="8"/>
        <v>6057412.9076456167</v>
      </c>
      <c r="K49" s="309">
        <f t="shared" si="8"/>
        <v>5854888.8885759851</v>
      </c>
      <c r="L49" s="309">
        <f t="shared" si="8"/>
        <v>5659136.0734717213</v>
      </c>
      <c r="M49" s="309">
        <f t="shared" si="8"/>
        <v>5469928.0733674495</v>
      </c>
      <c r="N49" s="308">
        <v>0</v>
      </c>
      <c r="O49" s="462">
        <v>1</v>
      </c>
      <c r="P49" s="463">
        <v>0</v>
      </c>
      <c r="Q49" s="309">
        <f t="shared" si="1"/>
        <v>0</v>
      </c>
      <c r="R49" s="311">
        <f t="shared" si="2"/>
        <v>5469928.0733674495</v>
      </c>
      <c r="S49" s="312">
        <f t="shared" si="3"/>
        <v>0</v>
      </c>
      <c r="T49" s="309">
        <f t="shared" si="4"/>
        <v>0</v>
      </c>
      <c r="U49" s="311">
        <f t="shared" si="5"/>
        <v>0</v>
      </c>
      <c r="V49" s="464">
        <f t="shared" si="6"/>
        <v>5469928.0733674495</v>
      </c>
      <c r="W49" s="311">
        <f t="shared" si="7"/>
        <v>0</v>
      </c>
      <c r="X49" s="321"/>
      <c r="Y49" s="321"/>
      <c r="Z49" s="321"/>
      <c r="AA49" s="321"/>
      <c r="AE49" s="436"/>
      <c r="AF49" s="436"/>
      <c r="AG49" s="436"/>
    </row>
    <row r="50" spans="1:33">
      <c r="A50" s="459" t="s">
        <v>2200</v>
      </c>
      <c r="B50" s="460"/>
      <c r="C50" s="461">
        <v>6108673.9400000004</v>
      </c>
      <c r="D50" s="461">
        <v>-2906524.58</v>
      </c>
      <c r="E50" s="429">
        <v>240</v>
      </c>
      <c r="F50" s="431">
        <v>25</v>
      </c>
      <c r="G50" s="450">
        <v>3202149.36</v>
      </c>
      <c r="H50" s="309">
        <f t="shared" si="8"/>
        <v>3091130.8416888001</v>
      </c>
      <c r="I50" s="309">
        <f t="shared" si="8"/>
        <v>2980993.8497994277</v>
      </c>
      <c r="J50" s="309">
        <f t="shared" si="8"/>
        <v>2878278.4582330189</v>
      </c>
      <c r="K50" s="309">
        <f t="shared" si="8"/>
        <v>2782045.8701214944</v>
      </c>
      <c r="L50" s="309">
        <f t="shared" si="8"/>
        <v>2689030.729921638</v>
      </c>
      <c r="M50" s="309">
        <f t="shared" si="8"/>
        <v>2599125.4652271853</v>
      </c>
      <c r="N50" s="308">
        <v>0</v>
      </c>
      <c r="O50" s="462">
        <v>1</v>
      </c>
      <c r="P50" s="463">
        <v>0</v>
      </c>
      <c r="Q50" s="309">
        <f t="shared" si="1"/>
        <v>0</v>
      </c>
      <c r="R50" s="311">
        <f t="shared" si="2"/>
        <v>2599125.4652271853</v>
      </c>
      <c r="S50" s="312">
        <f t="shared" si="3"/>
        <v>0</v>
      </c>
      <c r="T50" s="309">
        <f t="shared" si="4"/>
        <v>0</v>
      </c>
      <c r="U50" s="311">
        <f t="shared" si="5"/>
        <v>0</v>
      </c>
      <c r="V50" s="464">
        <f t="shared" si="6"/>
        <v>2599125.4652271853</v>
      </c>
      <c r="W50" s="311">
        <f t="shared" si="7"/>
        <v>0</v>
      </c>
      <c r="X50" s="321"/>
      <c r="Y50" s="321"/>
      <c r="Z50" s="321"/>
      <c r="AA50" s="321"/>
      <c r="AE50" s="436"/>
      <c r="AF50" s="436"/>
      <c r="AG50" s="436"/>
    </row>
    <row r="51" spans="1:33">
      <c r="A51" s="459" t="s">
        <v>2201</v>
      </c>
      <c r="B51" s="460"/>
      <c r="C51" s="461">
        <v>13525763.189999999</v>
      </c>
      <c r="D51" s="461">
        <v>-11288407.5</v>
      </c>
      <c r="E51" s="429">
        <v>240</v>
      </c>
      <c r="F51" s="431">
        <v>138</v>
      </c>
      <c r="G51" s="450">
        <v>2237355.69</v>
      </c>
      <c r="H51" s="309">
        <f t="shared" si="8"/>
        <v>2159786.5682277</v>
      </c>
      <c r="I51" s="309">
        <f t="shared" si="8"/>
        <v>2082833.3728017467</v>
      </c>
      <c r="J51" s="309">
        <f t="shared" si="8"/>
        <v>2011065.6818119416</v>
      </c>
      <c r="K51" s="309">
        <f t="shared" si="8"/>
        <v>1943827.5538019647</v>
      </c>
      <c r="L51" s="309">
        <f t="shared" si="8"/>
        <v>1878837.4706466005</v>
      </c>
      <c r="M51" s="309">
        <f t="shared" si="8"/>
        <v>1816020.2710375569</v>
      </c>
      <c r="N51" s="308">
        <v>0</v>
      </c>
      <c r="O51" s="462">
        <v>0</v>
      </c>
      <c r="P51" s="463">
        <v>1</v>
      </c>
      <c r="Q51" s="309">
        <f t="shared" si="1"/>
        <v>0</v>
      </c>
      <c r="R51" s="311">
        <f t="shared" si="2"/>
        <v>0</v>
      </c>
      <c r="S51" s="312">
        <f t="shared" si="3"/>
        <v>1816020.2710375569</v>
      </c>
      <c r="T51" s="309">
        <f t="shared" si="4"/>
        <v>0</v>
      </c>
      <c r="U51" s="311">
        <f t="shared" si="5"/>
        <v>1816020.2710375569</v>
      </c>
      <c r="V51" s="464">
        <f t="shared" si="6"/>
        <v>0</v>
      </c>
      <c r="W51" s="311">
        <f t="shared" si="7"/>
        <v>0</v>
      </c>
      <c r="X51" s="321"/>
      <c r="Y51" s="321"/>
      <c r="Z51" s="321"/>
      <c r="AA51" s="321"/>
      <c r="AE51" s="436"/>
      <c r="AF51" s="436"/>
      <c r="AG51" s="436"/>
    </row>
    <row r="52" spans="1:33">
      <c r="A52" s="459" t="s">
        <v>2202</v>
      </c>
      <c r="B52" s="460"/>
      <c r="C52" s="461">
        <v>21589376.629999999</v>
      </c>
      <c r="D52" s="461">
        <v>-5109739.47</v>
      </c>
      <c r="E52" s="429">
        <v>240</v>
      </c>
      <c r="F52" s="431">
        <v>25</v>
      </c>
      <c r="G52" s="450">
        <v>16479637.16</v>
      </c>
      <c r="H52" s="309">
        <f t="shared" si="8"/>
        <v>15908288.1396628</v>
      </c>
      <c r="I52" s="309">
        <f t="shared" si="8"/>
        <v>15341475.833246613</v>
      </c>
      <c r="J52" s="309">
        <f t="shared" si="8"/>
        <v>14812858.27252117</v>
      </c>
      <c r="K52" s="309">
        <f t="shared" si="8"/>
        <v>14317604.005229386</v>
      </c>
      <c r="L52" s="309">
        <f t="shared" si="8"/>
        <v>13838908.108021094</v>
      </c>
      <c r="M52" s="309">
        <f t="shared" si="8"/>
        <v>13376216.967049971</v>
      </c>
      <c r="N52" s="308">
        <v>0</v>
      </c>
      <c r="O52" s="462">
        <v>1</v>
      </c>
      <c r="P52" s="463">
        <v>0</v>
      </c>
      <c r="Q52" s="309">
        <f t="shared" si="1"/>
        <v>0</v>
      </c>
      <c r="R52" s="311">
        <f t="shared" si="2"/>
        <v>13376216.967049971</v>
      </c>
      <c r="S52" s="312">
        <f t="shared" si="3"/>
        <v>0</v>
      </c>
      <c r="T52" s="309">
        <f t="shared" si="4"/>
        <v>0</v>
      </c>
      <c r="U52" s="311">
        <f t="shared" si="5"/>
        <v>0</v>
      </c>
      <c r="V52" s="464">
        <f t="shared" si="6"/>
        <v>13376216.967049971</v>
      </c>
      <c r="W52" s="311">
        <f t="shared" si="7"/>
        <v>0</v>
      </c>
      <c r="X52" s="321"/>
      <c r="Y52" s="321"/>
      <c r="Z52" s="321"/>
      <c r="AA52" s="321"/>
      <c r="AE52" s="436"/>
      <c r="AF52" s="436"/>
      <c r="AG52" s="436"/>
    </row>
    <row r="53" spans="1:33">
      <c r="A53" s="459" t="s">
        <v>2203</v>
      </c>
      <c r="B53" s="460"/>
      <c r="C53" s="461">
        <v>43166647.210000001</v>
      </c>
      <c r="D53" s="461">
        <v>-16650388.689999999</v>
      </c>
      <c r="E53" s="429">
        <v>240</v>
      </c>
      <c r="F53" s="431">
        <v>138</v>
      </c>
      <c r="G53" s="450">
        <v>26516258.52</v>
      </c>
      <c r="H53" s="309">
        <f t="shared" si="8"/>
        <v>25596939.8371116</v>
      </c>
      <c r="I53" s="309">
        <f t="shared" si="8"/>
        <v>24684920.870715313</v>
      </c>
      <c r="J53" s="309">
        <f t="shared" si="8"/>
        <v>23834358.460735183</v>
      </c>
      <c r="K53" s="309">
        <f t="shared" si="8"/>
        <v>23037478.647354506</v>
      </c>
      <c r="L53" s="309">
        <f t="shared" si="8"/>
        <v>22267241.776263196</v>
      </c>
      <c r="M53" s="309">
        <f t="shared" si="8"/>
        <v>21522757.065235492</v>
      </c>
      <c r="N53" s="308">
        <v>0</v>
      </c>
      <c r="O53" s="462">
        <v>0</v>
      </c>
      <c r="P53" s="463">
        <v>1</v>
      </c>
      <c r="Q53" s="309">
        <f t="shared" si="1"/>
        <v>0</v>
      </c>
      <c r="R53" s="311">
        <f t="shared" si="2"/>
        <v>0</v>
      </c>
      <c r="S53" s="312">
        <f t="shared" si="3"/>
        <v>21522757.065235492</v>
      </c>
      <c r="T53" s="309">
        <f t="shared" si="4"/>
        <v>0</v>
      </c>
      <c r="U53" s="311">
        <f t="shared" si="5"/>
        <v>21522757.065235492</v>
      </c>
      <c r="V53" s="464">
        <f t="shared" si="6"/>
        <v>0</v>
      </c>
      <c r="W53" s="311">
        <f t="shared" si="7"/>
        <v>0</v>
      </c>
      <c r="X53" s="321"/>
      <c r="Y53" s="321"/>
      <c r="Z53" s="321"/>
      <c r="AA53" s="321"/>
      <c r="AE53" s="436"/>
      <c r="AF53" s="436"/>
      <c r="AG53" s="436"/>
    </row>
    <row r="54" spans="1:33">
      <c r="A54" s="459" t="s">
        <v>2204</v>
      </c>
      <c r="B54" s="460"/>
      <c r="C54" s="461">
        <v>15386581.289999999</v>
      </c>
      <c r="D54" s="461">
        <v>-10987960.640000001</v>
      </c>
      <c r="E54" s="429">
        <v>240</v>
      </c>
      <c r="F54" s="431">
        <v>138</v>
      </c>
      <c r="G54" s="450">
        <v>4398620.6500000004</v>
      </c>
      <c r="H54" s="309">
        <f t="shared" si="8"/>
        <v>4246120.4720645007</v>
      </c>
      <c r="I54" s="309">
        <f t="shared" si="8"/>
        <v>4094831.1996448417</v>
      </c>
      <c r="J54" s="309">
        <f t="shared" si="8"/>
        <v>3953736.5811174787</v>
      </c>
      <c r="K54" s="309">
        <f t="shared" si="8"/>
        <v>3821547.0416294462</v>
      </c>
      <c r="L54" s="309">
        <f t="shared" si="8"/>
        <v>3693777.1375904502</v>
      </c>
      <c r="M54" s="309">
        <f t="shared" si="8"/>
        <v>3570279.1025616475</v>
      </c>
      <c r="N54" s="308">
        <v>0</v>
      </c>
      <c r="O54" s="462">
        <v>0</v>
      </c>
      <c r="P54" s="463">
        <v>1</v>
      </c>
      <c r="Q54" s="309">
        <f t="shared" si="1"/>
        <v>0</v>
      </c>
      <c r="R54" s="311">
        <f t="shared" si="2"/>
        <v>0</v>
      </c>
      <c r="S54" s="312">
        <f t="shared" si="3"/>
        <v>3570279.1025616475</v>
      </c>
      <c r="T54" s="309">
        <f t="shared" si="4"/>
        <v>0</v>
      </c>
      <c r="U54" s="311">
        <f t="shared" si="5"/>
        <v>3570279.1025616475</v>
      </c>
      <c r="V54" s="464">
        <f t="shared" si="6"/>
        <v>0</v>
      </c>
      <c r="W54" s="311">
        <f t="shared" si="7"/>
        <v>0</v>
      </c>
      <c r="X54" s="321"/>
      <c r="Y54" s="321"/>
      <c r="Z54" s="321"/>
      <c r="AA54" s="321"/>
      <c r="AE54" s="436"/>
      <c r="AF54" s="436"/>
      <c r="AG54" s="436"/>
    </row>
    <row r="55" spans="1:33">
      <c r="A55" s="459" t="s">
        <v>2205</v>
      </c>
      <c r="B55" s="460"/>
      <c r="C55" s="461">
        <v>7410699.3600000003</v>
      </c>
      <c r="D55" s="461">
        <v>-3631388.74</v>
      </c>
      <c r="E55" s="429">
        <v>138</v>
      </c>
      <c r="F55" s="431">
        <v>25</v>
      </c>
      <c r="G55" s="450">
        <v>3779310.62</v>
      </c>
      <c r="H55" s="309">
        <f t="shared" si="8"/>
        <v>3648281.9208046002</v>
      </c>
      <c r="I55" s="309">
        <f t="shared" si="8"/>
        <v>3518293.6359663317</v>
      </c>
      <c r="J55" s="309">
        <f t="shared" si="8"/>
        <v>3397064.6342734233</v>
      </c>
      <c r="K55" s="309">
        <f t="shared" si="8"/>
        <v>3283486.9083924633</v>
      </c>
      <c r="L55" s="309">
        <f t="shared" si="8"/>
        <v>3173706.5491221184</v>
      </c>
      <c r="M55" s="309">
        <f t="shared" si="8"/>
        <v>3067596.5950087793</v>
      </c>
      <c r="N55" s="308">
        <v>0</v>
      </c>
      <c r="O55" s="462">
        <v>1</v>
      </c>
      <c r="P55" s="463">
        <v>0</v>
      </c>
      <c r="Q55" s="309">
        <f t="shared" si="1"/>
        <v>0</v>
      </c>
      <c r="R55" s="311">
        <f t="shared" si="2"/>
        <v>3067596.5950087793</v>
      </c>
      <c r="S55" s="312">
        <f t="shared" si="3"/>
        <v>0</v>
      </c>
      <c r="T55" s="309">
        <f t="shared" si="4"/>
        <v>0</v>
      </c>
      <c r="U55" s="311">
        <f t="shared" si="5"/>
        <v>0</v>
      </c>
      <c r="V55" s="464">
        <f t="shared" si="6"/>
        <v>3067596.5950087793</v>
      </c>
      <c r="W55" s="311">
        <f t="shared" si="7"/>
        <v>0</v>
      </c>
      <c r="X55" s="321"/>
      <c r="Y55" s="321"/>
      <c r="Z55" s="321"/>
      <c r="AA55" s="321"/>
      <c r="AE55" s="436"/>
      <c r="AF55" s="436"/>
      <c r="AG55" s="436"/>
    </row>
    <row r="56" spans="1:33">
      <c r="A56" s="459" t="s">
        <v>2206</v>
      </c>
      <c r="B56" s="460"/>
      <c r="C56" s="461">
        <v>6202360</v>
      </c>
      <c r="D56" s="461">
        <v>-3281046.42</v>
      </c>
      <c r="E56" s="429">
        <v>240</v>
      </c>
      <c r="F56" s="431">
        <v>138</v>
      </c>
      <c r="G56" s="450">
        <v>2921313.58</v>
      </c>
      <c r="H56" s="309">
        <f t="shared" si="8"/>
        <v>2820031.6381814</v>
      </c>
      <c r="I56" s="309">
        <f t="shared" si="8"/>
        <v>2719553.9109129966</v>
      </c>
      <c r="J56" s="309">
        <f t="shared" si="8"/>
        <v>2625846.8927438105</v>
      </c>
      <c r="K56" s="309">
        <f t="shared" si="8"/>
        <v>2538054.1214257535</v>
      </c>
      <c r="L56" s="309">
        <f t="shared" si="8"/>
        <v>2453196.6205215971</v>
      </c>
      <c r="M56" s="309">
        <f t="shared" si="8"/>
        <v>2371176.2519697063</v>
      </c>
      <c r="N56" s="308">
        <v>0</v>
      </c>
      <c r="O56" s="462">
        <v>0</v>
      </c>
      <c r="P56" s="463">
        <v>1</v>
      </c>
      <c r="Q56" s="309">
        <f t="shared" si="1"/>
        <v>0</v>
      </c>
      <c r="R56" s="311">
        <f t="shared" si="2"/>
        <v>0</v>
      </c>
      <c r="S56" s="312">
        <f t="shared" si="3"/>
        <v>2371176.2519697063</v>
      </c>
      <c r="T56" s="309">
        <f t="shared" si="4"/>
        <v>0</v>
      </c>
      <c r="U56" s="311">
        <f t="shared" si="5"/>
        <v>2371176.2519697063</v>
      </c>
      <c r="V56" s="464">
        <f t="shared" si="6"/>
        <v>0</v>
      </c>
      <c r="W56" s="311">
        <f t="shared" si="7"/>
        <v>0</v>
      </c>
      <c r="X56" s="321"/>
      <c r="Y56" s="321"/>
      <c r="Z56" s="321"/>
      <c r="AA56" s="321"/>
      <c r="AE56" s="436"/>
      <c r="AF56" s="436"/>
      <c r="AG56" s="436"/>
    </row>
    <row r="57" spans="1:33">
      <c r="A57" s="459" t="s">
        <v>2207</v>
      </c>
      <c r="B57" s="460"/>
      <c r="C57" s="461">
        <v>11298568.369999999</v>
      </c>
      <c r="D57" s="461">
        <v>-5964900.7199999997</v>
      </c>
      <c r="E57" s="429">
        <v>240</v>
      </c>
      <c r="F57" s="431">
        <v>138</v>
      </c>
      <c r="G57" s="450">
        <v>5333667.6500000004</v>
      </c>
      <c r="H57" s="309">
        <f t="shared" si="8"/>
        <v>5148749.3925745003</v>
      </c>
      <c r="I57" s="309">
        <f t="shared" si="8"/>
        <v>4965299.4517170703</v>
      </c>
      <c r="J57" s="309">
        <f t="shared" si="8"/>
        <v>4794211.3169790842</v>
      </c>
      <c r="K57" s="309">
        <f t="shared" si="8"/>
        <v>4633921.2791383089</v>
      </c>
      <c r="L57" s="309">
        <f t="shared" si="8"/>
        <v>4478990.3910162793</v>
      </c>
      <c r="M57" s="309">
        <f t="shared" si="8"/>
        <v>4329239.4743802454</v>
      </c>
      <c r="N57" s="308">
        <v>0</v>
      </c>
      <c r="O57" s="462">
        <v>0</v>
      </c>
      <c r="P57" s="463">
        <v>1</v>
      </c>
      <c r="Q57" s="309">
        <f t="shared" si="1"/>
        <v>0</v>
      </c>
      <c r="R57" s="311">
        <f t="shared" si="2"/>
        <v>0</v>
      </c>
      <c r="S57" s="312">
        <f t="shared" si="3"/>
        <v>4329239.4743802454</v>
      </c>
      <c r="T57" s="309">
        <f t="shared" si="4"/>
        <v>0</v>
      </c>
      <c r="U57" s="311">
        <f t="shared" si="5"/>
        <v>4329239.4743802454</v>
      </c>
      <c r="V57" s="464">
        <f t="shared" si="6"/>
        <v>0</v>
      </c>
      <c r="W57" s="311">
        <f t="shared" si="7"/>
        <v>0</v>
      </c>
      <c r="X57" s="321"/>
      <c r="Y57" s="321"/>
      <c r="Z57" s="321"/>
      <c r="AA57" s="321"/>
      <c r="AE57" s="436"/>
      <c r="AF57" s="436"/>
      <c r="AG57" s="436"/>
    </row>
    <row r="58" spans="1:33">
      <c r="A58" s="459" t="s">
        <v>2208</v>
      </c>
      <c r="B58" s="460"/>
      <c r="C58" s="461">
        <v>82223994.609999999</v>
      </c>
      <c r="D58" s="461">
        <v>-20093739.030000001</v>
      </c>
      <c r="E58" s="429">
        <v>500</v>
      </c>
      <c r="F58" s="431">
        <v>240</v>
      </c>
      <c r="G58" s="450">
        <v>62130255.579999998</v>
      </c>
      <c r="H58" s="309">
        <f t="shared" si="8"/>
        <v>59976199.619041398</v>
      </c>
      <c r="I58" s="309">
        <f t="shared" si="8"/>
        <v>57839247.626614951</v>
      </c>
      <c r="J58" s="309">
        <f t="shared" si="8"/>
        <v>55846294.515264533</v>
      </c>
      <c r="K58" s="309">
        <f t="shared" si="8"/>
        <v>53979125.116740942</v>
      </c>
      <c r="L58" s="309">
        <f t="shared" si="8"/>
        <v>52174382.806586303</v>
      </c>
      <c r="M58" s="309">
        <f t="shared" si="8"/>
        <v>50429980.39262335</v>
      </c>
      <c r="N58" s="308">
        <v>0</v>
      </c>
      <c r="O58" s="462">
        <v>0</v>
      </c>
      <c r="P58" s="463">
        <v>1</v>
      </c>
      <c r="Q58" s="309">
        <f t="shared" si="1"/>
        <v>0</v>
      </c>
      <c r="R58" s="311">
        <f t="shared" si="2"/>
        <v>0</v>
      </c>
      <c r="S58" s="312">
        <f t="shared" si="3"/>
        <v>50429980.39262335</v>
      </c>
      <c r="T58" s="309">
        <f t="shared" si="4"/>
        <v>50429980.39262335</v>
      </c>
      <c r="U58" s="311">
        <f t="shared" si="5"/>
        <v>0</v>
      </c>
      <c r="V58" s="464">
        <f t="shared" si="6"/>
        <v>0</v>
      </c>
      <c r="W58" s="311">
        <f t="shared" si="7"/>
        <v>0</v>
      </c>
      <c r="X58" s="321"/>
      <c r="Y58" s="321"/>
      <c r="Z58" s="321"/>
      <c r="AA58" s="321"/>
      <c r="AE58" s="436"/>
      <c r="AF58" s="436"/>
      <c r="AG58" s="436"/>
    </row>
    <row r="59" spans="1:33">
      <c r="A59" s="459" t="s">
        <v>2209</v>
      </c>
      <c r="B59" s="460"/>
      <c r="C59" s="461">
        <v>4305513.75</v>
      </c>
      <c r="D59" s="461">
        <v>-1253459.8999999999</v>
      </c>
      <c r="E59" s="429">
        <v>138</v>
      </c>
      <c r="F59" s="431">
        <v>25</v>
      </c>
      <c r="G59" s="450">
        <v>3052053.85</v>
      </c>
      <c r="H59" s="309">
        <f t="shared" si="8"/>
        <v>2946239.1430205</v>
      </c>
      <c r="I59" s="309">
        <f t="shared" si="8"/>
        <v>2841264.6423546793</v>
      </c>
      <c r="J59" s="309">
        <f t="shared" si="8"/>
        <v>2743363.8666442935</v>
      </c>
      <c r="K59" s="309">
        <f t="shared" si="8"/>
        <v>2651642.0235878401</v>
      </c>
      <c r="L59" s="309">
        <f t="shared" si="8"/>
        <v>2562986.8158384864</v>
      </c>
      <c r="M59" s="309">
        <f t="shared" si="8"/>
        <v>2477295.7132704365</v>
      </c>
      <c r="N59" s="308">
        <v>0</v>
      </c>
      <c r="O59" s="462">
        <v>1</v>
      </c>
      <c r="P59" s="463">
        <v>0</v>
      </c>
      <c r="Q59" s="309">
        <f t="shared" si="1"/>
        <v>0</v>
      </c>
      <c r="R59" s="311">
        <f t="shared" si="2"/>
        <v>2477295.7132704365</v>
      </c>
      <c r="S59" s="312">
        <f t="shared" si="3"/>
        <v>0</v>
      </c>
      <c r="T59" s="309">
        <f t="shared" si="4"/>
        <v>0</v>
      </c>
      <c r="U59" s="311">
        <f t="shared" si="5"/>
        <v>0</v>
      </c>
      <c r="V59" s="464">
        <f t="shared" si="6"/>
        <v>2477295.7132704365</v>
      </c>
      <c r="W59" s="311">
        <f t="shared" si="7"/>
        <v>0</v>
      </c>
      <c r="X59" s="321"/>
      <c r="Y59" s="321"/>
      <c r="Z59" s="321"/>
      <c r="AA59" s="321"/>
      <c r="AE59" s="436"/>
      <c r="AF59" s="436"/>
      <c r="AG59" s="436"/>
    </row>
    <row r="60" spans="1:33">
      <c r="A60" s="459" t="s">
        <v>2210</v>
      </c>
      <c r="B60" s="460"/>
      <c r="C60" s="461">
        <v>1128567.52</v>
      </c>
      <c r="D60" s="461">
        <v>-740962.3</v>
      </c>
      <c r="E60" s="429">
        <v>138</v>
      </c>
      <c r="F60" s="431">
        <v>13</v>
      </c>
      <c r="G60" s="450">
        <v>387605.22</v>
      </c>
      <c r="H60" s="309">
        <f t="shared" si="8"/>
        <v>374166.94702259998</v>
      </c>
      <c r="I60" s="309">
        <f t="shared" si="8"/>
        <v>360835.37870018469</v>
      </c>
      <c r="J60" s="309">
        <f t="shared" si="8"/>
        <v>348402.16042410658</v>
      </c>
      <c r="K60" s="309">
        <f t="shared" si="8"/>
        <v>336753.65521942213</v>
      </c>
      <c r="L60" s="309">
        <f t="shared" si="8"/>
        <v>325494.60705294431</v>
      </c>
      <c r="M60" s="309">
        <f t="shared" si="8"/>
        <v>314611.99478745909</v>
      </c>
      <c r="N60" s="308">
        <v>0</v>
      </c>
      <c r="O60" s="462">
        <v>1</v>
      </c>
      <c r="P60" s="463">
        <v>0</v>
      </c>
      <c r="Q60" s="309">
        <f t="shared" si="1"/>
        <v>0</v>
      </c>
      <c r="R60" s="311">
        <f t="shared" si="2"/>
        <v>314611.99478745909</v>
      </c>
      <c r="S60" s="312">
        <f t="shared" si="3"/>
        <v>0</v>
      </c>
      <c r="T60" s="309">
        <f t="shared" si="4"/>
        <v>0</v>
      </c>
      <c r="U60" s="311">
        <f t="shared" si="5"/>
        <v>0</v>
      </c>
      <c r="V60" s="464">
        <f t="shared" si="6"/>
        <v>314611.99478745909</v>
      </c>
      <c r="W60" s="311">
        <f t="shared" si="7"/>
        <v>0</v>
      </c>
      <c r="X60" s="321"/>
      <c r="Y60" s="321"/>
      <c r="Z60" s="321"/>
      <c r="AA60" s="321"/>
      <c r="AE60" s="436"/>
      <c r="AF60" s="436"/>
      <c r="AG60" s="436"/>
    </row>
    <row r="61" spans="1:33">
      <c r="A61" s="459" t="s">
        <v>2211</v>
      </c>
      <c r="B61" s="460"/>
      <c r="C61" s="461">
        <v>4713029.8499999996</v>
      </c>
      <c r="D61" s="461">
        <v>-2153649.19</v>
      </c>
      <c r="E61" s="429">
        <v>138</v>
      </c>
      <c r="F61" s="431">
        <v>25</v>
      </c>
      <c r="G61" s="450">
        <v>2559380.66</v>
      </c>
      <c r="H61" s="309">
        <f t="shared" si="8"/>
        <v>2470646.9325178</v>
      </c>
      <c r="I61" s="309">
        <f t="shared" si="8"/>
        <v>2382617.7823121906</v>
      </c>
      <c r="J61" s="309">
        <f t="shared" si="8"/>
        <v>2300520.4916788163</v>
      </c>
      <c r="K61" s="309">
        <f t="shared" si="8"/>
        <v>2223604.7088140277</v>
      </c>
      <c r="L61" s="309">
        <f t="shared" si="8"/>
        <v>2149260.5342766163</v>
      </c>
      <c r="M61" s="309">
        <f t="shared" si="8"/>
        <v>2077401.9887117196</v>
      </c>
      <c r="N61" s="308">
        <v>0</v>
      </c>
      <c r="O61" s="462">
        <v>1</v>
      </c>
      <c r="P61" s="463">
        <v>0</v>
      </c>
      <c r="Q61" s="309">
        <f t="shared" si="1"/>
        <v>0</v>
      </c>
      <c r="R61" s="311">
        <f t="shared" si="2"/>
        <v>2077401.9887117196</v>
      </c>
      <c r="S61" s="312">
        <f t="shared" si="3"/>
        <v>0</v>
      </c>
      <c r="T61" s="309">
        <f t="shared" si="4"/>
        <v>0</v>
      </c>
      <c r="U61" s="311">
        <f t="shared" si="5"/>
        <v>0</v>
      </c>
      <c r="V61" s="464">
        <f t="shared" si="6"/>
        <v>2077401.9887117196</v>
      </c>
      <c r="W61" s="311">
        <f t="shared" si="7"/>
        <v>0</v>
      </c>
      <c r="X61" s="321"/>
      <c r="Y61" s="321"/>
      <c r="Z61" s="321"/>
      <c r="AA61" s="321"/>
      <c r="AE61" s="436"/>
      <c r="AF61" s="436"/>
      <c r="AG61" s="436"/>
    </row>
    <row r="62" spans="1:33">
      <c r="A62" s="459" t="s">
        <v>2212</v>
      </c>
      <c r="B62" s="460"/>
      <c r="C62" s="461">
        <v>89834222.189999998</v>
      </c>
      <c r="D62" s="461">
        <v>-7020816.6900000004</v>
      </c>
      <c r="E62" s="429">
        <v>500</v>
      </c>
      <c r="F62" s="431">
        <v>240</v>
      </c>
      <c r="G62" s="450">
        <v>82813405.5</v>
      </c>
      <c r="H62" s="309">
        <f t="shared" si="8"/>
        <v>79942264.731315002</v>
      </c>
      <c r="I62" s="309">
        <f t="shared" si="8"/>
        <v>77093921.838938236</v>
      </c>
      <c r="J62" s="309">
        <f t="shared" si="8"/>
        <v>74437515.026958585</v>
      </c>
      <c r="K62" s="309">
        <f t="shared" si="8"/>
        <v>71948765.301182479</v>
      </c>
      <c r="L62" s="309">
        <f t="shared" si="8"/>
        <v>69543224.62927264</v>
      </c>
      <c r="M62" s="309">
        <f t="shared" si="8"/>
        <v>67218110.993184596</v>
      </c>
      <c r="N62" s="308">
        <v>0</v>
      </c>
      <c r="O62" s="462">
        <v>0</v>
      </c>
      <c r="P62" s="463">
        <v>1</v>
      </c>
      <c r="Q62" s="309">
        <f t="shared" si="1"/>
        <v>0</v>
      </c>
      <c r="R62" s="311">
        <f t="shared" si="2"/>
        <v>0</v>
      </c>
      <c r="S62" s="312">
        <f t="shared" si="3"/>
        <v>67218110.993184596</v>
      </c>
      <c r="T62" s="309">
        <f t="shared" si="4"/>
        <v>67218110.993184596</v>
      </c>
      <c r="U62" s="311">
        <f t="shared" si="5"/>
        <v>0</v>
      </c>
      <c r="V62" s="464">
        <f t="shared" si="6"/>
        <v>0</v>
      </c>
      <c r="W62" s="311">
        <f t="shared" si="7"/>
        <v>0</v>
      </c>
      <c r="X62" s="321"/>
      <c r="Y62" s="321"/>
      <c r="Z62" s="321"/>
      <c r="AA62" s="321"/>
      <c r="AE62" s="436"/>
      <c r="AF62" s="436"/>
      <c r="AG62" s="436"/>
    </row>
    <row r="63" spans="1:33">
      <c r="A63" s="459" t="s">
        <v>2213</v>
      </c>
      <c r="B63" s="460"/>
      <c r="C63" s="461">
        <v>32540539</v>
      </c>
      <c r="D63" s="461">
        <v>-3871580.09</v>
      </c>
      <c r="E63" s="429">
        <v>240</v>
      </c>
      <c r="F63" s="431">
        <v>138</v>
      </c>
      <c r="G63" s="450">
        <v>28668958.91</v>
      </c>
      <c r="H63" s="309">
        <f t="shared" si="8"/>
        <v>27675006.1045903</v>
      </c>
      <c r="I63" s="309">
        <f t="shared" si="8"/>
        <v>26688945.637083746</v>
      </c>
      <c r="J63" s="309">
        <f t="shared" si="8"/>
        <v>25769331.025402442</v>
      </c>
      <c r="K63" s="309">
        <f t="shared" si="8"/>
        <v>24907757.187268842</v>
      </c>
      <c r="L63" s="309">
        <f t="shared" si="8"/>
        <v>24074989.276531048</v>
      </c>
      <c r="M63" s="309">
        <f t="shared" si="8"/>
        <v>23270064.193549298</v>
      </c>
      <c r="N63" s="308">
        <v>0</v>
      </c>
      <c r="O63" s="462">
        <v>0</v>
      </c>
      <c r="P63" s="463">
        <v>1</v>
      </c>
      <c r="Q63" s="309">
        <f t="shared" si="1"/>
        <v>0</v>
      </c>
      <c r="R63" s="311">
        <f t="shared" si="2"/>
        <v>0</v>
      </c>
      <c r="S63" s="312">
        <f t="shared" si="3"/>
        <v>23270064.193549298</v>
      </c>
      <c r="T63" s="309">
        <f t="shared" si="4"/>
        <v>0</v>
      </c>
      <c r="U63" s="311">
        <f t="shared" si="5"/>
        <v>23270064.193549298</v>
      </c>
      <c r="V63" s="464">
        <f t="shared" si="6"/>
        <v>0</v>
      </c>
      <c r="W63" s="311">
        <f t="shared" si="7"/>
        <v>0</v>
      </c>
      <c r="X63" s="321"/>
      <c r="Y63" s="321"/>
      <c r="Z63" s="321"/>
      <c r="AA63" s="321"/>
      <c r="AE63" s="436"/>
      <c r="AF63" s="436"/>
      <c r="AG63" s="436"/>
    </row>
    <row r="64" spans="1:33">
      <c r="A64" s="459" t="s">
        <v>2214</v>
      </c>
      <c r="B64" s="460"/>
      <c r="C64" s="461">
        <v>4926686.76</v>
      </c>
      <c r="D64" s="461">
        <v>-1360870.24</v>
      </c>
      <c r="E64" s="429">
        <v>138</v>
      </c>
      <c r="F64" s="431">
        <v>4.2</v>
      </c>
      <c r="G64" s="450">
        <v>3565816.52</v>
      </c>
      <c r="H64" s="309">
        <f t="shared" si="8"/>
        <v>3442189.6612515999</v>
      </c>
      <c r="I64" s="309">
        <f t="shared" si="8"/>
        <v>3319544.4436212052</v>
      </c>
      <c r="J64" s="309">
        <f t="shared" si="8"/>
        <v>3205163.6952772965</v>
      </c>
      <c r="K64" s="309">
        <f t="shared" si="8"/>
        <v>3098002.0004678983</v>
      </c>
      <c r="L64" s="309">
        <f t="shared" si="8"/>
        <v>2994423.1581821768</v>
      </c>
      <c r="M64" s="309">
        <f t="shared" si="8"/>
        <v>2894307.3790473603</v>
      </c>
      <c r="N64" s="308">
        <v>0</v>
      </c>
      <c r="O64" s="462">
        <v>1</v>
      </c>
      <c r="P64" s="463">
        <v>0</v>
      </c>
      <c r="Q64" s="309">
        <f t="shared" si="1"/>
        <v>0</v>
      </c>
      <c r="R64" s="311">
        <f t="shared" si="2"/>
        <v>2894307.3790473603</v>
      </c>
      <c r="S64" s="312">
        <f t="shared" si="3"/>
        <v>0</v>
      </c>
      <c r="T64" s="309">
        <f t="shared" si="4"/>
        <v>0</v>
      </c>
      <c r="U64" s="311">
        <f t="shared" si="5"/>
        <v>0</v>
      </c>
      <c r="V64" s="464">
        <f t="shared" si="6"/>
        <v>2894307.3790473603</v>
      </c>
      <c r="W64" s="311">
        <f t="shared" si="7"/>
        <v>0</v>
      </c>
      <c r="X64" s="321"/>
      <c r="Y64" s="321"/>
      <c r="Z64" s="321"/>
      <c r="AA64" s="321"/>
      <c r="AE64" s="436"/>
      <c r="AF64" s="436"/>
      <c r="AG64" s="436"/>
    </row>
    <row r="65" spans="1:33">
      <c r="A65" s="459" t="s">
        <v>2215</v>
      </c>
      <c r="B65" s="460"/>
      <c r="C65" s="461">
        <v>3631305.71</v>
      </c>
      <c r="D65" s="461">
        <v>-984531.59</v>
      </c>
      <c r="E65" s="429">
        <v>138</v>
      </c>
      <c r="F65" s="431">
        <v>4.2</v>
      </c>
      <c r="G65" s="450">
        <v>2646774.12</v>
      </c>
      <c r="H65" s="309">
        <f t="shared" si="8"/>
        <v>2555010.4612596002</v>
      </c>
      <c r="I65" s="309">
        <f t="shared" si="8"/>
        <v>2463975.4385249205</v>
      </c>
      <c r="J65" s="309">
        <f t="shared" si="8"/>
        <v>2379074.8266047952</v>
      </c>
      <c r="K65" s="309">
        <f t="shared" si="8"/>
        <v>2299532.6519342787</v>
      </c>
      <c r="L65" s="309">
        <f t="shared" si="8"/>
        <v>2222649.8965811208</v>
      </c>
      <c r="M65" s="309">
        <f t="shared" si="8"/>
        <v>2148337.6453109216</v>
      </c>
      <c r="N65" s="308">
        <v>0</v>
      </c>
      <c r="O65" s="462">
        <v>1</v>
      </c>
      <c r="P65" s="463">
        <v>0</v>
      </c>
      <c r="Q65" s="309">
        <f t="shared" si="1"/>
        <v>0</v>
      </c>
      <c r="R65" s="311">
        <f t="shared" si="2"/>
        <v>2148337.6453109216</v>
      </c>
      <c r="S65" s="312">
        <f t="shared" si="3"/>
        <v>0</v>
      </c>
      <c r="T65" s="309">
        <f t="shared" si="4"/>
        <v>0</v>
      </c>
      <c r="U65" s="311">
        <f t="shared" si="5"/>
        <v>0</v>
      </c>
      <c r="V65" s="464">
        <f t="shared" si="6"/>
        <v>2148337.6453109216</v>
      </c>
      <c r="W65" s="311">
        <f t="shared" si="7"/>
        <v>0</v>
      </c>
      <c r="X65" s="321"/>
      <c r="Y65" s="321"/>
      <c r="Z65" s="321"/>
      <c r="AA65" s="321"/>
      <c r="AE65" s="436"/>
      <c r="AF65" s="436"/>
      <c r="AG65" s="436"/>
    </row>
    <row r="66" spans="1:33">
      <c r="A66" s="459" t="s">
        <v>2216</v>
      </c>
      <c r="B66" s="460"/>
      <c r="C66" s="461">
        <v>2138068.67</v>
      </c>
      <c r="D66" s="461">
        <v>-1157264.33</v>
      </c>
      <c r="E66" s="429">
        <v>138</v>
      </c>
      <c r="F66" s="431">
        <v>25</v>
      </c>
      <c r="G66" s="450">
        <v>980804.34</v>
      </c>
      <c r="H66" s="309">
        <f t="shared" si="8"/>
        <v>946799.85353219998</v>
      </c>
      <c r="I66" s="309">
        <f t="shared" si="8"/>
        <v>913065.37475084758</v>
      </c>
      <c r="J66" s="309">
        <f t="shared" si="8"/>
        <v>881604.09967992676</v>
      </c>
      <c r="K66" s="309">
        <f t="shared" si="8"/>
        <v>852128.47894585342</v>
      </c>
      <c r="L66" s="309">
        <f t="shared" si="8"/>
        <v>823638.34843122703</v>
      </c>
      <c r="M66" s="309">
        <f t="shared" si="8"/>
        <v>796100.75917862309</v>
      </c>
      <c r="N66" s="308">
        <v>0</v>
      </c>
      <c r="O66" s="462">
        <v>1</v>
      </c>
      <c r="P66" s="463">
        <v>0</v>
      </c>
      <c r="Q66" s="309">
        <f t="shared" si="1"/>
        <v>0</v>
      </c>
      <c r="R66" s="311">
        <f t="shared" si="2"/>
        <v>796100.75917862309</v>
      </c>
      <c r="S66" s="312">
        <f t="shared" si="3"/>
        <v>0</v>
      </c>
      <c r="T66" s="309">
        <f t="shared" si="4"/>
        <v>0</v>
      </c>
      <c r="U66" s="311">
        <f t="shared" si="5"/>
        <v>0</v>
      </c>
      <c r="V66" s="464">
        <f t="shared" si="6"/>
        <v>796100.75917862309</v>
      </c>
      <c r="W66" s="311">
        <f t="shared" si="7"/>
        <v>0</v>
      </c>
      <c r="X66" s="321"/>
      <c r="Y66" s="321"/>
      <c r="Z66" s="321"/>
      <c r="AA66" s="321"/>
      <c r="AE66" s="436"/>
      <c r="AF66" s="436"/>
      <c r="AG66" s="436"/>
    </row>
    <row r="67" spans="1:33">
      <c r="A67" s="459" t="s">
        <v>2217</v>
      </c>
      <c r="B67" s="460"/>
      <c r="C67" s="461">
        <v>23227255.100000001</v>
      </c>
      <c r="D67" s="461">
        <v>-2310547.04</v>
      </c>
      <c r="E67" s="429">
        <v>240</v>
      </c>
      <c r="F67" s="431">
        <v>25</v>
      </c>
      <c r="G67" s="450">
        <v>20916708.059999999</v>
      </c>
      <c r="H67" s="309">
        <f t="shared" si="8"/>
        <v>20191525.791559801</v>
      </c>
      <c r="I67" s="309">
        <f t="shared" si="8"/>
        <v>19472101.72760652</v>
      </c>
      <c r="J67" s="309">
        <f t="shared" si="8"/>
        <v>18801156.179125562</v>
      </c>
      <c r="K67" s="309">
        <f t="shared" ref="H67:M109" si="9">+$G67*(K$3)</f>
        <v>18172556.846274022</v>
      </c>
      <c r="L67" s="309">
        <f t="shared" si="9"/>
        <v>17564974.152904477</v>
      </c>
      <c r="M67" s="309">
        <f t="shared" si="9"/>
        <v>16977705.427041262</v>
      </c>
      <c r="N67" s="308">
        <v>0</v>
      </c>
      <c r="O67" s="462">
        <v>1</v>
      </c>
      <c r="P67" s="463">
        <v>0</v>
      </c>
      <c r="Q67" s="309">
        <f t="shared" si="1"/>
        <v>0</v>
      </c>
      <c r="R67" s="311">
        <f t="shared" si="2"/>
        <v>16977705.427041262</v>
      </c>
      <c r="S67" s="312">
        <f t="shared" si="3"/>
        <v>0</v>
      </c>
      <c r="T67" s="309">
        <f t="shared" si="4"/>
        <v>0</v>
      </c>
      <c r="U67" s="311">
        <f t="shared" si="5"/>
        <v>0</v>
      </c>
      <c r="V67" s="464">
        <f t="shared" si="6"/>
        <v>16977705.427041262</v>
      </c>
      <c r="W67" s="311">
        <f t="shared" si="7"/>
        <v>0</v>
      </c>
      <c r="X67" s="321"/>
      <c r="Y67" s="321"/>
      <c r="Z67" s="321"/>
      <c r="AA67" s="321"/>
      <c r="AE67" s="436"/>
      <c r="AF67" s="436"/>
      <c r="AG67" s="436"/>
    </row>
    <row r="68" spans="1:33">
      <c r="A68" s="459" t="s">
        <v>2218</v>
      </c>
      <c r="B68" s="460"/>
      <c r="C68" s="461">
        <v>1308512.47</v>
      </c>
      <c r="D68" s="461">
        <v>-733626.8</v>
      </c>
      <c r="E68" s="429">
        <v>138</v>
      </c>
      <c r="F68" s="431">
        <v>25</v>
      </c>
      <c r="G68" s="450">
        <v>574885.67000000004</v>
      </c>
      <c r="H68" s="309">
        <f t="shared" si="9"/>
        <v>554954.3838211</v>
      </c>
      <c r="I68" s="309">
        <f t="shared" si="9"/>
        <v>535181.35912555421</v>
      </c>
      <c r="J68" s="309">
        <f t="shared" si="9"/>
        <v>516740.74313256156</v>
      </c>
      <c r="K68" s="309">
        <f t="shared" si="9"/>
        <v>499463.99252767162</v>
      </c>
      <c r="L68" s="309">
        <f t="shared" si="9"/>
        <v>482764.87415989558</v>
      </c>
      <c r="M68" s="309">
        <f t="shared" si="9"/>
        <v>466624.0754276347</v>
      </c>
      <c r="N68" s="308">
        <v>0</v>
      </c>
      <c r="O68" s="462">
        <v>1</v>
      </c>
      <c r="P68" s="463">
        <v>0</v>
      </c>
      <c r="Q68" s="309">
        <f t="shared" si="1"/>
        <v>0</v>
      </c>
      <c r="R68" s="311">
        <f t="shared" si="2"/>
        <v>466624.0754276347</v>
      </c>
      <c r="S68" s="312">
        <f t="shared" si="3"/>
        <v>0</v>
      </c>
      <c r="T68" s="309">
        <f t="shared" si="4"/>
        <v>0</v>
      </c>
      <c r="U68" s="311">
        <f t="shared" si="5"/>
        <v>0</v>
      </c>
      <c r="V68" s="464">
        <f t="shared" si="6"/>
        <v>466624.0754276347</v>
      </c>
      <c r="W68" s="311">
        <f t="shared" si="7"/>
        <v>0</v>
      </c>
      <c r="X68" s="321"/>
      <c r="Y68" s="321"/>
      <c r="Z68" s="321"/>
      <c r="AA68" s="321"/>
      <c r="AE68" s="436"/>
      <c r="AF68" s="436"/>
      <c r="AG68" s="436"/>
    </row>
    <row r="69" spans="1:33">
      <c r="A69" s="459" t="s">
        <v>2219</v>
      </c>
      <c r="B69" s="460"/>
      <c r="C69" s="461">
        <v>6235748.7800000003</v>
      </c>
      <c r="D69" s="461">
        <v>-2569359.58</v>
      </c>
      <c r="E69" s="429">
        <v>138</v>
      </c>
      <c r="F69" s="431">
        <v>25</v>
      </c>
      <c r="G69" s="450">
        <v>3666389.2</v>
      </c>
      <c r="H69" s="309">
        <f t="shared" si="9"/>
        <v>3539275.4864360001</v>
      </c>
      <c r="I69" s="309">
        <f t="shared" si="9"/>
        <v>3413171.1008542851</v>
      </c>
      <c r="J69" s="309">
        <f t="shared" si="9"/>
        <v>3295564.2811921155</v>
      </c>
      <c r="K69" s="309">
        <f t="shared" si="9"/>
        <v>3185380.1260906989</v>
      </c>
      <c r="L69" s="309">
        <f t="shared" si="9"/>
        <v>3078879.8766878294</v>
      </c>
      <c r="M69" s="309">
        <f t="shared" si="9"/>
        <v>2975940.3649909473</v>
      </c>
      <c r="N69" s="308">
        <v>0</v>
      </c>
      <c r="O69" s="462">
        <v>1</v>
      </c>
      <c r="P69" s="463">
        <v>0</v>
      </c>
      <c r="Q69" s="309">
        <f t="shared" si="1"/>
        <v>0</v>
      </c>
      <c r="R69" s="311">
        <f t="shared" si="2"/>
        <v>2975940.3649909473</v>
      </c>
      <c r="S69" s="312">
        <f t="shared" si="3"/>
        <v>0</v>
      </c>
      <c r="T69" s="309">
        <f t="shared" si="4"/>
        <v>0</v>
      </c>
      <c r="U69" s="311">
        <f t="shared" si="5"/>
        <v>0</v>
      </c>
      <c r="V69" s="464">
        <f t="shared" si="6"/>
        <v>2975940.3649909473</v>
      </c>
      <c r="W69" s="311">
        <f t="shared" si="7"/>
        <v>0</v>
      </c>
      <c r="X69" s="321"/>
      <c r="Y69" s="321"/>
      <c r="Z69" s="321"/>
      <c r="AA69" s="321"/>
      <c r="AE69" s="436"/>
      <c r="AF69" s="436"/>
      <c r="AG69" s="436"/>
    </row>
    <row r="70" spans="1:33">
      <c r="A70" s="459" t="s">
        <v>2220</v>
      </c>
      <c r="B70" s="460"/>
      <c r="C70" s="461">
        <v>9785149.5399999991</v>
      </c>
      <c r="D70" s="461">
        <v>-732952.57</v>
      </c>
      <c r="E70" s="429">
        <v>240</v>
      </c>
      <c r="F70" s="431">
        <v>230</v>
      </c>
      <c r="G70" s="450">
        <v>9052196.9700000007</v>
      </c>
      <c r="H70" s="309">
        <f t="shared" si="9"/>
        <v>8738357.3010501005</v>
      </c>
      <c r="I70" s="309">
        <f t="shared" si="9"/>
        <v>8427009.630413685</v>
      </c>
      <c r="J70" s="309">
        <f t="shared" si="9"/>
        <v>8136642.1766263926</v>
      </c>
      <c r="K70" s="309">
        <f t="shared" si="9"/>
        <v>7864601.0428179428</v>
      </c>
      <c r="L70" s="309">
        <f t="shared" si="9"/>
        <v>7601655.3536508195</v>
      </c>
      <c r="M70" s="309">
        <f t="shared" si="9"/>
        <v>7347501.0113142775</v>
      </c>
      <c r="N70" s="308">
        <v>0</v>
      </c>
      <c r="O70" s="462">
        <v>0</v>
      </c>
      <c r="P70" s="463">
        <v>1</v>
      </c>
      <c r="Q70" s="309">
        <f t="shared" ref="Q70:Q133" si="10">IF(ISERROR(N70),0,N70*$M70)</f>
        <v>0</v>
      </c>
      <c r="R70" s="311">
        <f t="shared" ref="R70:R133" si="11">IF(ISERROR(O70),0,O70*$M70)</f>
        <v>0</v>
      </c>
      <c r="S70" s="312">
        <f t="shared" ref="S70:S133" si="12">+P70*$M70</f>
        <v>7347501.0113142775</v>
      </c>
      <c r="T70" s="309">
        <f t="shared" ref="T70:T133" si="13">+Q70+IF(OR(ISERROR(F70),ISBLANK(F70),F70=0),0,IF((F70&gt;144),S70,0))</f>
        <v>7347501.0113142775</v>
      </c>
      <c r="U70" s="311">
        <f t="shared" ref="U70:U133" si="14">IF(OR(ISERROR(F70),ISBLANK(F70),F70=0),0,IF(AND(F70&lt;=144,F70&gt;=69),S70,0))</f>
        <v>0</v>
      </c>
      <c r="V70" s="464">
        <f t="shared" ref="V70:V133" si="15">+R70+IF(OR(ISERROR(F70),,ISBLANK(F70),F70=0),0,IF(F70&lt;69,S70,0))</f>
        <v>0</v>
      </c>
      <c r="W70" s="311">
        <f t="shared" ref="W70:W133" si="16">IF(OR(ISERROR(F70),ISBLANK(F70),F70=0),M70,0)</f>
        <v>0</v>
      </c>
      <c r="X70" s="321"/>
      <c r="Y70" s="321"/>
      <c r="Z70" s="321"/>
      <c r="AA70" s="321"/>
      <c r="AE70" s="436"/>
      <c r="AF70" s="436"/>
      <c r="AG70" s="436"/>
    </row>
    <row r="71" spans="1:33">
      <c r="A71" s="459" t="s">
        <v>2221</v>
      </c>
      <c r="B71" s="460"/>
      <c r="C71" s="461">
        <v>5991096.1100000003</v>
      </c>
      <c r="D71" s="461">
        <v>-3141997.76</v>
      </c>
      <c r="E71" s="429">
        <v>138</v>
      </c>
      <c r="F71" s="431">
        <v>25</v>
      </c>
      <c r="G71" s="450">
        <v>2849098.35</v>
      </c>
      <c r="H71" s="309">
        <f t="shared" si="9"/>
        <v>2750320.1102054999</v>
      </c>
      <c r="I71" s="309">
        <f t="shared" si="9"/>
        <v>2652326.2046788777</v>
      </c>
      <c r="J71" s="309">
        <f t="shared" si="9"/>
        <v>2560935.6354921055</v>
      </c>
      <c r="K71" s="309">
        <f t="shared" si="9"/>
        <v>2475313.1122489129</v>
      </c>
      <c r="L71" s="309">
        <f t="shared" si="9"/>
        <v>2392553.2991749751</v>
      </c>
      <c r="M71" s="309">
        <f t="shared" si="9"/>
        <v>2312560.4841935779</v>
      </c>
      <c r="N71" s="308">
        <v>0</v>
      </c>
      <c r="O71" s="462">
        <v>1</v>
      </c>
      <c r="P71" s="463">
        <v>0</v>
      </c>
      <c r="Q71" s="309">
        <f t="shared" si="10"/>
        <v>0</v>
      </c>
      <c r="R71" s="311">
        <f t="shared" si="11"/>
        <v>2312560.4841935779</v>
      </c>
      <c r="S71" s="312">
        <f t="shared" si="12"/>
        <v>0</v>
      </c>
      <c r="T71" s="309">
        <f t="shared" si="13"/>
        <v>0</v>
      </c>
      <c r="U71" s="311">
        <f t="shared" si="14"/>
        <v>0</v>
      </c>
      <c r="V71" s="464">
        <f t="shared" si="15"/>
        <v>2312560.4841935779</v>
      </c>
      <c r="W71" s="311">
        <f t="shared" si="16"/>
        <v>0</v>
      </c>
      <c r="X71" s="321"/>
      <c r="Y71" s="321"/>
      <c r="Z71" s="321"/>
      <c r="AA71" s="321"/>
      <c r="AE71" s="436"/>
      <c r="AF71" s="436"/>
      <c r="AG71" s="436"/>
    </row>
    <row r="72" spans="1:33">
      <c r="A72" s="459" t="s">
        <v>2222</v>
      </c>
      <c r="B72" s="460"/>
      <c r="C72" s="461">
        <v>6147766.9400000004</v>
      </c>
      <c r="D72" s="461">
        <v>-3492976.27</v>
      </c>
      <c r="E72" s="429">
        <v>240</v>
      </c>
      <c r="F72" s="431">
        <v>13.8</v>
      </c>
      <c r="G72" s="450">
        <v>2654790.67</v>
      </c>
      <c r="H72" s="309">
        <f t="shared" si="9"/>
        <v>2562749.0774710998</v>
      </c>
      <c r="I72" s="309">
        <f t="shared" si="9"/>
        <v>2471438.3278408046</v>
      </c>
      <c r="J72" s="309">
        <f t="shared" si="9"/>
        <v>2386280.5689298026</v>
      </c>
      <c r="K72" s="309">
        <f t="shared" si="9"/>
        <v>2306497.4769042549</v>
      </c>
      <c r="L72" s="309">
        <f t="shared" si="9"/>
        <v>2229381.8590458427</v>
      </c>
      <c r="M72" s="309">
        <f t="shared" si="9"/>
        <v>2154844.5308136847</v>
      </c>
      <c r="N72" s="308">
        <v>0.33912537949744848</v>
      </c>
      <c r="O72" s="462">
        <v>0.66087462050255152</v>
      </c>
      <c r="P72" s="463">
        <v>0</v>
      </c>
      <c r="Q72" s="309">
        <f t="shared" si="10"/>
        <v>730762.46927019209</v>
      </c>
      <c r="R72" s="311">
        <f t="shared" si="11"/>
        <v>1424082.0615434926</v>
      </c>
      <c r="S72" s="312">
        <f t="shared" si="12"/>
        <v>0</v>
      </c>
      <c r="T72" s="309">
        <f t="shared" si="13"/>
        <v>730762.46927019209</v>
      </c>
      <c r="U72" s="311">
        <f t="shared" si="14"/>
        <v>0</v>
      </c>
      <c r="V72" s="464">
        <f t="shared" si="15"/>
        <v>1424082.0615434926</v>
      </c>
      <c r="W72" s="311">
        <f t="shared" si="16"/>
        <v>0</v>
      </c>
      <c r="X72" s="321"/>
      <c r="Y72" s="321"/>
      <c r="Z72" s="321"/>
      <c r="AA72" s="321"/>
      <c r="AE72" s="436"/>
      <c r="AF72" s="436"/>
      <c r="AG72" s="436"/>
    </row>
    <row r="73" spans="1:33">
      <c r="A73" s="459" t="s">
        <v>2223</v>
      </c>
      <c r="B73" s="460"/>
      <c r="C73" s="461">
        <v>5995911.7400000002</v>
      </c>
      <c r="D73" s="461">
        <v>-3486870.35</v>
      </c>
      <c r="E73" s="429">
        <v>138</v>
      </c>
      <c r="F73" s="431">
        <v>25</v>
      </c>
      <c r="G73" s="450">
        <v>2509041.39</v>
      </c>
      <c r="H73" s="309">
        <f t="shared" si="9"/>
        <v>2422052.9250087002</v>
      </c>
      <c r="I73" s="309">
        <f t="shared" si="9"/>
        <v>2335755.1792906402</v>
      </c>
      <c r="J73" s="309">
        <f t="shared" si="9"/>
        <v>2255272.6221527755</v>
      </c>
      <c r="K73" s="309">
        <f t="shared" si="9"/>
        <v>2179869.6601127298</v>
      </c>
      <c r="L73" s="309">
        <f t="shared" si="9"/>
        <v>2106987.726629748</v>
      </c>
      <c r="M73" s="309">
        <f t="shared" si="9"/>
        <v>2036542.5334369829</v>
      </c>
      <c r="N73" s="308">
        <v>0</v>
      </c>
      <c r="O73" s="462">
        <v>1</v>
      </c>
      <c r="P73" s="463">
        <v>0</v>
      </c>
      <c r="Q73" s="309">
        <f t="shared" si="10"/>
        <v>0</v>
      </c>
      <c r="R73" s="311">
        <f t="shared" si="11"/>
        <v>2036542.5334369829</v>
      </c>
      <c r="S73" s="312">
        <f t="shared" si="12"/>
        <v>0</v>
      </c>
      <c r="T73" s="309">
        <f t="shared" si="13"/>
        <v>0</v>
      </c>
      <c r="U73" s="311">
        <f t="shared" si="14"/>
        <v>0</v>
      </c>
      <c r="V73" s="464">
        <f t="shared" si="15"/>
        <v>2036542.5334369829</v>
      </c>
      <c r="W73" s="311">
        <f t="shared" si="16"/>
        <v>0</v>
      </c>
      <c r="X73" s="321"/>
      <c r="Y73" s="321"/>
      <c r="Z73" s="321"/>
      <c r="AA73" s="321"/>
      <c r="AE73" s="436"/>
      <c r="AF73" s="436"/>
      <c r="AG73" s="436"/>
    </row>
    <row r="74" spans="1:33">
      <c r="A74" s="459" t="s">
        <v>2224</v>
      </c>
      <c r="B74" s="460"/>
      <c r="C74" s="461">
        <v>16965984.859999999</v>
      </c>
      <c r="D74" s="461">
        <v>-3120515.6</v>
      </c>
      <c r="E74" s="429">
        <v>138</v>
      </c>
      <c r="F74" s="431">
        <v>25</v>
      </c>
      <c r="G74" s="450">
        <v>13845469.26</v>
      </c>
      <c r="H74" s="309">
        <f t="shared" si="9"/>
        <v>13365446.8407558</v>
      </c>
      <c r="I74" s="309">
        <f t="shared" si="9"/>
        <v>12889235.969819669</v>
      </c>
      <c r="J74" s="309">
        <f t="shared" si="9"/>
        <v>12445114.651112171</v>
      </c>
      <c r="K74" s="309">
        <f t="shared" si="9"/>
        <v>12029023.710086122</v>
      </c>
      <c r="L74" s="309">
        <f t="shared" si="9"/>
        <v>11626844.386273539</v>
      </c>
      <c r="M74" s="309">
        <f t="shared" si="9"/>
        <v>11238111.557571502</v>
      </c>
      <c r="N74" s="308">
        <v>0</v>
      </c>
      <c r="O74" s="462">
        <v>1</v>
      </c>
      <c r="P74" s="463">
        <v>0</v>
      </c>
      <c r="Q74" s="309">
        <f t="shared" si="10"/>
        <v>0</v>
      </c>
      <c r="R74" s="311">
        <f t="shared" si="11"/>
        <v>11238111.557571502</v>
      </c>
      <c r="S74" s="312">
        <f t="shared" si="12"/>
        <v>0</v>
      </c>
      <c r="T74" s="309">
        <f t="shared" si="13"/>
        <v>0</v>
      </c>
      <c r="U74" s="311">
        <f t="shared" si="14"/>
        <v>0</v>
      </c>
      <c r="V74" s="464">
        <f t="shared" si="15"/>
        <v>11238111.557571502</v>
      </c>
      <c r="W74" s="311">
        <f t="shared" si="16"/>
        <v>0</v>
      </c>
      <c r="X74" s="321"/>
      <c r="Y74" s="321"/>
      <c r="Z74" s="321"/>
      <c r="AA74" s="321"/>
      <c r="AE74" s="436"/>
      <c r="AF74" s="436"/>
      <c r="AG74" s="436"/>
    </row>
    <row r="75" spans="1:33">
      <c r="A75" s="459" t="s">
        <v>2225</v>
      </c>
      <c r="B75" s="460"/>
      <c r="C75" s="461">
        <v>10552527.51</v>
      </c>
      <c r="D75" s="461">
        <v>-1507154.62</v>
      </c>
      <c r="E75" s="429">
        <v>69</v>
      </c>
      <c r="F75" s="431">
        <v>25</v>
      </c>
      <c r="G75" s="450">
        <v>9045372.8900000006</v>
      </c>
      <c r="H75" s="309">
        <f t="shared" si="9"/>
        <v>8731769.8119037002</v>
      </c>
      <c r="I75" s="309">
        <f t="shared" si="9"/>
        <v>8420656.8535055704</v>
      </c>
      <c r="J75" s="309">
        <f t="shared" si="9"/>
        <v>8130508.2958316319</v>
      </c>
      <c r="K75" s="309">
        <f t="shared" si="9"/>
        <v>7858672.2426755978</v>
      </c>
      <c r="L75" s="309">
        <f t="shared" si="9"/>
        <v>7595924.7774782432</v>
      </c>
      <c r="M75" s="309">
        <f t="shared" si="9"/>
        <v>7341962.0316756926</v>
      </c>
      <c r="N75" s="308">
        <v>0</v>
      </c>
      <c r="O75" s="462">
        <v>1</v>
      </c>
      <c r="P75" s="463">
        <v>0</v>
      </c>
      <c r="Q75" s="309">
        <f t="shared" si="10"/>
        <v>0</v>
      </c>
      <c r="R75" s="311">
        <f t="shared" si="11"/>
        <v>7341962.0316756926</v>
      </c>
      <c r="S75" s="312">
        <f t="shared" si="12"/>
        <v>0</v>
      </c>
      <c r="T75" s="309">
        <f t="shared" si="13"/>
        <v>0</v>
      </c>
      <c r="U75" s="311">
        <f t="shared" si="14"/>
        <v>0</v>
      </c>
      <c r="V75" s="464">
        <f t="shared" si="15"/>
        <v>7341962.0316756926</v>
      </c>
      <c r="W75" s="311">
        <f t="shared" si="16"/>
        <v>0</v>
      </c>
      <c r="X75" s="321"/>
      <c r="Y75" s="321"/>
      <c r="Z75" s="321"/>
      <c r="AA75" s="321"/>
      <c r="AE75" s="436"/>
      <c r="AF75" s="436"/>
      <c r="AG75" s="436"/>
    </row>
    <row r="76" spans="1:33">
      <c r="A76" s="459" t="s">
        <v>2226</v>
      </c>
      <c r="B76" s="460"/>
      <c r="C76" s="461">
        <v>25290742.850000001</v>
      </c>
      <c r="D76" s="461">
        <v>-4484652.74</v>
      </c>
      <c r="E76" s="429">
        <v>240</v>
      </c>
      <c r="F76" s="431">
        <v>240</v>
      </c>
      <c r="G76" s="450">
        <v>20806090.109999999</v>
      </c>
      <c r="H76" s="309">
        <f t="shared" si="9"/>
        <v>20084742.965886299</v>
      </c>
      <c r="I76" s="309">
        <f t="shared" si="9"/>
        <v>19369123.574011769</v>
      </c>
      <c r="J76" s="309">
        <f t="shared" si="9"/>
        <v>18701726.319120876</v>
      </c>
      <c r="K76" s="309">
        <f t="shared" si="9"/>
        <v>18076451.332020681</v>
      </c>
      <c r="L76" s="309">
        <f t="shared" si="9"/>
        <v>17472081.837965447</v>
      </c>
      <c r="M76" s="309">
        <f t="shared" si="9"/>
        <v>16887918.881058216</v>
      </c>
      <c r="N76" s="308">
        <v>0</v>
      </c>
      <c r="O76" s="462">
        <v>0</v>
      </c>
      <c r="P76" s="463">
        <v>1</v>
      </c>
      <c r="Q76" s="309">
        <f t="shared" si="10"/>
        <v>0</v>
      </c>
      <c r="R76" s="311">
        <f t="shared" si="11"/>
        <v>0</v>
      </c>
      <c r="S76" s="312">
        <f t="shared" si="12"/>
        <v>16887918.881058216</v>
      </c>
      <c r="T76" s="309">
        <f t="shared" si="13"/>
        <v>16887918.881058216</v>
      </c>
      <c r="U76" s="311">
        <f t="shared" si="14"/>
        <v>0</v>
      </c>
      <c r="V76" s="464">
        <f t="shared" si="15"/>
        <v>0</v>
      </c>
      <c r="W76" s="311">
        <f t="shared" si="16"/>
        <v>0</v>
      </c>
      <c r="X76" s="321"/>
      <c r="Y76" s="321"/>
      <c r="Z76" s="321"/>
      <c r="AA76" s="321"/>
      <c r="AE76" s="436"/>
      <c r="AF76" s="436"/>
      <c r="AG76" s="436"/>
    </row>
    <row r="77" spans="1:33">
      <c r="A77" s="459" t="s">
        <v>2227</v>
      </c>
      <c r="B77" s="460"/>
      <c r="C77" s="461">
        <v>1716026.92</v>
      </c>
      <c r="D77" s="461">
        <v>-1310826.51</v>
      </c>
      <c r="E77" s="429">
        <v>138</v>
      </c>
      <c r="F77" s="431">
        <v>34</v>
      </c>
      <c r="G77" s="450">
        <v>405200.41</v>
      </c>
      <c r="H77" s="309">
        <f t="shared" si="9"/>
        <v>391152.11178529996</v>
      </c>
      <c r="I77" s="309">
        <f t="shared" si="9"/>
        <v>377215.36204238969</v>
      </c>
      <c r="J77" s="309">
        <f t="shared" si="9"/>
        <v>364217.74260092201</v>
      </c>
      <c r="K77" s="309">
        <f t="shared" si="9"/>
        <v>352040.4579791482</v>
      </c>
      <c r="L77" s="309">
        <f t="shared" si="9"/>
        <v>340270.30964815675</v>
      </c>
      <c r="M77" s="309">
        <f t="shared" si="9"/>
        <v>328893.68538121413</v>
      </c>
      <c r="N77" s="308">
        <v>0</v>
      </c>
      <c r="O77" s="462">
        <v>1</v>
      </c>
      <c r="P77" s="463">
        <v>0</v>
      </c>
      <c r="Q77" s="309">
        <f t="shared" si="10"/>
        <v>0</v>
      </c>
      <c r="R77" s="311">
        <f t="shared" si="11"/>
        <v>328893.68538121413</v>
      </c>
      <c r="S77" s="312">
        <f t="shared" si="12"/>
        <v>0</v>
      </c>
      <c r="T77" s="309">
        <f t="shared" si="13"/>
        <v>0</v>
      </c>
      <c r="U77" s="311">
        <f t="shared" si="14"/>
        <v>0</v>
      </c>
      <c r="V77" s="464">
        <f t="shared" si="15"/>
        <v>328893.68538121413</v>
      </c>
      <c r="W77" s="311">
        <f t="shared" si="16"/>
        <v>0</v>
      </c>
      <c r="X77" s="321"/>
      <c r="Y77" s="321"/>
      <c r="Z77" s="321"/>
      <c r="AA77" s="321"/>
      <c r="AE77" s="436"/>
      <c r="AF77" s="436"/>
      <c r="AG77" s="436"/>
    </row>
    <row r="78" spans="1:33">
      <c r="A78" s="459" t="s">
        <v>2228</v>
      </c>
      <c r="B78" s="460"/>
      <c r="C78" s="461">
        <v>116148.49</v>
      </c>
      <c r="D78" s="461">
        <v>-47839.63</v>
      </c>
      <c r="E78" s="429">
        <v>138</v>
      </c>
      <c r="F78" s="431">
        <v>138</v>
      </c>
      <c r="G78" s="450">
        <v>68308.86</v>
      </c>
      <c r="H78" s="309">
        <f t="shared" si="9"/>
        <v>65940.591823800001</v>
      </c>
      <c r="I78" s="309">
        <f t="shared" si="9"/>
        <v>63591.128537117998</v>
      </c>
      <c r="J78" s="309">
        <f t="shared" si="9"/>
        <v>61399.984241976505</v>
      </c>
      <c r="K78" s="309">
        <f t="shared" si="9"/>
        <v>59347.132344790858</v>
      </c>
      <c r="L78" s="309">
        <f t="shared" si="9"/>
        <v>57362.915659223028</v>
      </c>
      <c r="M78" s="309">
        <f t="shared" si="9"/>
        <v>55445.039430215293</v>
      </c>
      <c r="N78" s="308">
        <v>0.99571865443425078</v>
      </c>
      <c r="O78" s="462">
        <v>4.2813455657492354E-3</v>
      </c>
      <c r="P78" s="463">
        <v>0</v>
      </c>
      <c r="Q78" s="309">
        <f t="shared" si="10"/>
        <v>55207.66005650795</v>
      </c>
      <c r="R78" s="311">
        <f t="shared" si="11"/>
        <v>237.37937370734375</v>
      </c>
      <c r="S78" s="312">
        <f t="shared" si="12"/>
        <v>0</v>
      </c>
      <c r="T78" s="309">
        <f t="shared" si="13"/>
        <v>55207.66005650795</v>
      </c>
      <c r="U78" s="311">
        <f t="shared" si="14"/>
        <v>0</v>
      </c>
      <c r="V78" s="464">
        <f t="shared" si="15"/>
        <v>237.37937370734375</v>
      </c>
      <c r="W78" s="311">
        <f t="shared" si="16"/>
        <v>0</v>
      </c>
      <c r="X78" s="321"/>
      <c r="Y78" s="321"/>
      <c r="Z78" s="321"/>
      <c r="AA78" s="321"/>
      <c r="AE78" s="436"/>
      <c r="AF78" s="436"/>
      <c r="AG78" s="436"/>
    </row>
    <row r="79" spans="1:33">
      <c r="A79" s="459" t="s">
        <v>2229</v>
      </c>
      <c r="B79" s="460"/>
      <c r="C79" s="461">
        <v>1854806.4</v>
      </c>
      <c r="D79" s="461">
        <v>-1001323.54</v>
      </c>
      <c r="E79" s="429">
        <v>138</v>
      </c>
      <c r="F79" s="431">
        <v>25</v>
      </c>
      <c r="G79" s="450">
        <v>853482.86</v>
      </c>
      <c r="H79" s="309">
        <f t="shared" si="9"/>
        <v>823892.60924380005</v>
      </c>
      <c r="I79" s="309">
        <f t="shared" si="9"/>
        <v>794537.31557644333</v>
      </c>
      <c r="J79" s="309">
        <f t="shared" si="9"/>
        <v>767160.13347019756</v>
      </c>
      <c r="K79" s="309">
        <f t="shared" si="9"/>
        <v>741510.8412939494</v>
      </c>
      <c r="L79" s="309">
        <f t="shared" si="9"/>
        <v>716719.10956752102</v>
      </c>
      <c r="M79" s="309">
        <f t="shared" si="9"/>
        <v>692756.26654745685</v>
      </c>
      <c r="N79" s="308">
        <v>0</v>
      </c>
      <c r="O79" s="462">
        <v>1</v>
      </c>
      <c r="P79" s="463">
        <v>0</v>
      </c>
      <c r="Q79" s="309">
        <f t="shared" si="10"/>
        <v>0</v>
      </c>
      <c r="R79" s="311">
        <f t="shared" si="11"/>
        <v>692756.26654745685</v>
      </c>
      <c r="S79" s="312">
        <f t="shared" si="12"/>
        <v>0</v>
      </c>
      <c r="T79" s="309">
        <f t="shared" si="13"/>
        <v>0</v>
      </c>
      <c r="U79" s="311">
        <f t="shared" si="14"/>
        <v>0</v>
      </c>
      <c r="V79" s="464">
        <f t="shared" si="15"/>
        <v>692756.26654745685</v>
      </c>
      <c r="W79" s="311">
        <f t="shared" si="16"/>
        <v>0</v>
      </c>
      <c r="X79" s="321"/>
      <c r="Y79" s="321"/>
      <c r="Z79" s="321"/>
      <c r="AA79" s="321"/>
      <c r="AE79" s="436"/>
      <c r="AF79" s="436"/>
      <c r="AG79" s="436"/>
    </row>
    <row r="80" spans="1:33">
      <c r="A80" s="459" t="s">
        <v>2230</v>
      </c>
      <c r="B80" s="460"/>
      <c r="C80" s="461">
        <v>1418307.41</v>
      </c>
      <c r="D80" s="461">
        <v>-792959.68</v>
      </c>
      <c r="E80" s="429">
        <v>138</v>
      </c>
      <c r="F80" s="431">
        <v>25</v>
      </c>
      <c r="G80" s="450">
        <v>625347.73</v>
      </c>
      <c r="H80" s="309">
        <f t="shared" si="9"/>
        <v>603666.92420090002</v>
      </c>
      <c r="I80" s="309">
        <f t="shared" si="9"/>
        <v>582158.27169162186</v>
      </c>
      <c r="J80" s="309">
        <f t="shared" si="9"/>
        <v>562098.98346650461</v>
      </c>
      <c r="K80" s="309">
        <f t="shared" si="9"/>
        <v>543305.7218906089</v>
      </c>
      <c r="L80" s="309">
        <f t="shared" si="9"/>
        <v>525140.7956987801</v>
      </c>
      <c r="M80" s="309">
        <f t="shared" si="9"/>
        <v>507583.19707642059</v>
      </c>
      <c r="N80" s="308">
        <v>0</v>
      </c>
      <c r="O80" s="462">
        <v>1</v>
      </c>
      <c r="P80" s="463">
        <v>0</v>
      </c>
      <c r="Q80" s="309">
        <f t="shared" si="10"/>
        <v>0</v>
      </c>
      <c r="R80" s="311">
        <f t="shared" si="11"/>
        <v>507583.19707642059</v>
      </c>
      <c r="S80" s="312">
        <f t="shared" si="12"/>
        <v>0</v>
      </c>
      <c r="T80" s="309">
        <f t="shared" si="13"/>
        <v>0</v>
      </c>
      <c r="U80" s="311">
        <f t="shared" si="14"/>
        <v>0</v>
      </c>
      <c r="V80" s="464">
        <f t="shared" si="15"/>
        <v>507583.19707642059</v>
      </c>
      <c r="W80" s="311">
        <f t="shared" si="16"/>
        <v>0</v>
      </c>
      <c r="X80" s="321"/>
      <c r="Y80" s="321"/>
      <c r="Z80" s="321"/>
      <c r="AA80" s="321"/>
      <c r="AE80" s="436"/>
      <c r="AF80" s="436"/>
      <c r="AG80" s="436"/>
    </row>
    <row r="81" spans="1:33">
      <c r="A81" s="459" t="s">
        <v>2231</v>
      </c>
      <c r="B81" s="460"/>
      <c r="C81" s="461">
        <v>1405000.42</v>
      </c>
      <c r="D81" s="461">
        <v>-622776.84</v>
      </c>
      <c r="E81" s="429">
        <v>138</v>
      </c>
      <c r="F81" s="431">
        <v>138</v>
      </c>
      <c r="G81" s="450">
        <v>782223.58</v>
      </c>
      <c r="H81" s="309">
        <f t="shared" si="9"/>
        <v>755103.88848139998</v>
      </c>
      <c r="I81" s="309">
        <f t="shared" si="9"/>
        <v>728199.53693480766</v>
      </c>
      <c r="J81" s="309">
        <f t="shared" si="9"/>
        <v>703108.13978892996</v>
      </c>
      <c r="K81" s="309">
        <f t="shared" si="9"/>
        <v>679600.36700182233</v>
      </c>
      <c r="L81" s="309">
        <f t="shared" si="9"/>
        <v>656878.55493702425</v>
      </c>
      <c r="M81" s="309">
        <f t="shared" si="9"/>
        <v>634916.42572199507</v>
      </c>
      <c r="N81" s="308">
        <v>0.99667774086378735</v>
      </c>
      <c r="O81" s="462">
        <v>3.3222591362126247E-3</v>
      </c>
      <c r="P81" s="463">
        <v>0</v>
      </c>
      <c r="Q81" s="309">
        <f t="shared" si="10"/>
        <v>632807.0688259087</v>
      </c>
      <c r="R81" s="311">
        <f t="shared" si="11"/>
        <v>2109.3568960863622</v>
      </c>
      <c r="S81" s="312">
        <f t="shared" si="12"/>
        <v>0</v>
      </c>
      <c r="T81" s="309">
        <f t="shared" si="13"/>
        <v>632807.0688259087</v>
      </c>
      <c r="U81" s="311">
        <f t="shared" si="14"/>
        <v>0</v>
      </c>
      <c r="V81" s="464">
        <f t="shared" si="15"/>
        <v>2109.3568960863622</v>
      </c>
      <c r="W81" s="311">
        <f t="shared" si="16"/>
        <v>0</v>
      </c>
      <c r="X81" s="321"/>
      <c r="Y81" s="321"/>
      <c r="Z81" s="321"/>
      <c r="AA81" s="321"/>
      <c r="AE81" s="436"/>
      <c r="AF81" s="436"/>
      <c r="AG81" s="436"/>
    </row>
    <row r="82" spans="1:33">
      <c r="A82" s="459" t="s">
        <v>2232</v>
      </c>
      <c r="B82" s="460"/>
      <c r="C82" s="461">
        <v>5959195.2000000002</v>
      </c>
      <c r="D82" s="461">
        <v>-501842.73</v>
      </c>
      <c r="E82" s="429">
        <v>138</v>
      </c>
      <c r="F82" s="431">
        <v>4.2</v>
      </c>
      <c r="G82" s="450">
        <v>5457352.4699999997</v>
      </c>
      <c r="H82" s="309">
        <f t="shared" si="9"/>
        <v>5268146.0598651003</v>
      </c>
      <c r="I82" s="309">
        <f t="shared" si="9"/>
        <v>5080442.015752106</v>
      </c>
      <c r="J82" s="309">
        <f t="shared" si="9"/>
        <v>4905386.4412451265</v>
      </c>
      <c r="K82" s="309">
        <f t="shared" si="9"/>
        <v>4741379.3655648958</v>
      </c>
      <c r="L82" s="309">
        <f t="shared" si="9"/>
        <v>4582855.7153385738</v>
      </c>
      <c r="M82" s="309">
        <f t="shared" si="9"/>
        <v>4429632.1572887152</v>
      </c>
      <c r="N82" s="308">
        <v>0</v>
      </c>
      <c r="O82" s="462">
        <v>1</v>
      </c>
      <c r="P82" s="463">
        <v>0</v>
      </c>
      <c r="Q82" s="309">
        <f t="shared" si="10"/>
        <v>0</v>
      </c>
      <c r="R82" s="311">
        <f t="shared" si="11"/>
        <v>4429632.1572887152</v>
      </c>
      <c r="S82" s="312">
        <f t="shared" si="12"/>
        <v>0</v>
      </c>
      <c r="T82" s="309">
        <f t="shared" si="13"/>
        <v>0</v>
      </c>
      <c r="U82" s="311">
        <f t="shared" si="14"/>
        <v>0</v>
      </c>
      <c r="V82" s="464">
        <f t="shared" si="15"/>
        <v>4429632.1572887152</v>
      </c>
      <c r="W82" s="311">
        <f t="shared" si="16"/>
        <v>0</v>
      </c>
      <c r="X82" s="321"/>
      <c r="Y82" s="321"/>
      <c r="Z82" s="321"/>
      <c r="AA82" s="321"/>
      <c r="AE82" s="436"/>
      <c r="AF82" s="436"/>
      <c r="AG82" s="436"/>
    </row>
    <row r="83" spans="1:33">
      <c r="A83" s="459" t="s">
        <v>2233</v>
      </c>
      <c r="B83" s="460"/>
      <c r="C83" s="461">
        <v>1553815.11</v>
      </c>
      <c r="D83" s="461">
        <v>-1126288.44</v>
      </c>
      <c r="E83" s="429">
        <v>138</v>
      </c>
      <c r="F83" s="431">
        <v>25</v>
      </c>
      <c r="G83" s="450">
        <v>427526.67</v>
      </c>
      <c r="H83" s="309">
        <f t="shared" si="9"/>
        <v>412704.3203511</v>
      </c>
      <c r="I83" s="309">
        <f t="shared" si="9"/>
        <v>397999.66541699023</v>
      </c>
      <c r="J83" s="309">
        <f t="shared" si="9"/>
        <v>384285.8862089733</v>
      </c>
      <c r="K83" s="309">
        <f t="shared" si="9"/>
        <v>371437.64169710531</v>
      </c>
      <c r="L83" s="309">
        <f t="shared" si="9"/>
        <v>359018.96640170069</v>
      </c>
      <c r="M83" s="309">
        <f t="shared" si="9"/>
        <v>347015.49807182612</v>
      </c>
      <c r="N83" s="308">
        <v>0</v>
      </c>
      <c r="O83" s="462">
        <v>0</v>
      </c>
      <c r="P83" s="463">
        <v>1</v>
      </c>
      <c r="Q83" s="309">
        <f t="shared" si="10"/>
        <v>0</v>
      </c>
      <c r="R83" s="311">
        <f t="shared" si="11"/>
        <v>0</v>
      </c>
      <c r="S83" s="312">
        <f t="shared" si="12"/>
        <v>347015.49807182612</v>
      </c>
      <c r="T83" s="309">
        <f t="shared" si="13"/>
        <v>0</v>
      </c>
      <c r="U83" s="311">
        <f t="shared" si="14"/>
        <v>0</v>
      </c>
      <c r="V83" s="464">
        <f t="shared" si="15"/>
        <v>347015.49807182612</v>
      </c>
      <c r="W83" s="311">
        <f t="shared" si="16"/>
        <v>0</v>
      </c>
      <c r="X83" s="321"/>
      <c r="Y83" s="321"/>
      <c r="Z83" s="321"/>
      <c r="AA83" s="321"/>
      <c r="AE83" s="436"/>
      <c r="AF83" s="436"/>
      <c r="AG83" s="436"/>
    </row>
    <row r="84" spans="1:33">
      <c r="A84" s="459" t="s">
        <v>2234</v>
      </c>
      <c r="B84" s="460"/>
      <c r="C84" s="461">
        <v>6581811.0099999998</v>
      </c>
      <c r="D84" s="461">
        <v>-2999588.81</v>
      </c>
      <c r="E84" s="429">
        <v>138</v>
      </c>
      <c r="F84" s="431">
        <v>25</v>
      </c>
      <c r="G84" s="450">
        <v>3582222.2</v>
      </c>
      <c r="H84" s="309">
        <f t="shared" si="9"/>
        <v>3458026.5563260005</v>
      </c>
      <c r="I84" s="309">
        <f t="shared" si="9"/>
        <v>3334817.0701241046</v>
      </c>
      <c r="J84" s="309">
        <f t="shared" si="9"/>
        <v>3219910.0765443668</v>
      </c>
      <c r="K84" s="309">
        <f t="shared" si="9"/>
        <v>3112255.3500650995</v>
      </c>
      <c r="L84" s="309">
        <f t="shared" si="9"/>
        <v>3008199.9601690965</v>
      </c>
      <c r="M84" s="309">
        <f t="shared" si="9"/>
        <v>2907623.5663542412</v>
      </c>
      <c r="N84" s="308">
        <v>0</v>
      </c>
      <c r="O84" s="462">
        <v>1</v>
      </c>
      <c r="P84" s="463">
        <v>0</v>
      </c>
      <c r="Q84" s="309">
        <f t="shared" si="10"/>
        <v>0</v>
      </c>
      <c r="R84" s="311">
        <f t="shared" si="11"/>
        <v>2907623.5663542412</v>
      </c>
      <c r="S84" s="312">
        <f t="shared" si="12"/>
        <v>0</v>
      </c>
      <c r="T84" s="309">
        <f t="shared" si="13"/>
        <v>0</v>
      </c>
      <c r="U84" s="311">
        <f t="shared" si="14"/>
        <v>0</v>
      </c>
      <c r="V84" s="464">
        <f t="shared" si="15"/>
        <v>2907623.5663542412</v>
      </c>
      <c r="W84" s="311">
        <f t="shared" si="16"/>
        <v>0</v>
      </c>
      <c r="X84" s="321"/>
      <c r="Y84" s="321"/>
      <c r="Z84" s="321"/>
      <c r="AA84" s="321"/>
      <c r="AE84" s="436"/>
      <c r="AF84" s="436"/>
      <c r="AG84" s="436"/>
    </row>
    <row r="85" spans="1:33">
      <c r="A85" s="459" t="s">
        <v>2235</v>
      </c>
      <c r="B85" s="460"/>
      <c r="C85" s="461">
        <v>2699288.08</v>
      </c>
      <c r="D85" s="461">
        <v>-1263124.25</v>
      </c>
      <c r="E85" s="429">
        <v>138</v>
      </c>
      <c r="F85" s="431">
        <v>25</v>
      </c>
      <c r="G85" s="450">
        <v>1436163.83</v>
      </c>
      <c r="H85" s="309">
        <f t="shared" si="9"/>
        <v>1386372.0300139</v>
      </c>
      <c r="I85" s="309">
        <f t="shared" si="9"/>
        <v>1336975.5945845046</v>
      </c>
      <c r="J85" s="309">
        <f t="shared" si="9"/>
        <v>1290907.7465338556</v>
      </c>
      <c r="K85" s="309">
        <f t="shared" si="9"/>
        <v>1247747.4355129295</v>
      </c>
      <c r="L85" s="309">
        <f t="shared" si="9"/>
        <v>1206030.1497216718</v>
      </c>
      <c r="M85" s="309">
        <f t="shared" si="9"/>
        <v>1165707.6429411795</v>
      </c>
      <c r="N85" s="308">
        <v>0</v>
      </c>
      <c r="O85" s="462">
        <v>1</v>
      </c>
      <c r="P85" s="463">
        <v>0</v>
      </c>
      <c r="Q85" s="309">
        <f t="shared" si="10"/>
        <v>0</v>
      </c>
      <c r="R85" s="311">
        <f t="shared" si="11"/>
        <v>1165707.6429411795</v>
      </c>
      <c r="S85" s="312">
        <f t="shared" si="12"/>
        <v>0</v>
      </c>
      <c r="T85" s="309">
        <f t="shared" si="13"/>
        <v>0</v>
      </c>
      <c r="U85" s="311">
        <f t="shared" si="14"/>
        <v>0</v>
      </c>
      <c r="V85" s="464">
        <f t="shared" si="15"/>
        <v>1165707.6429411795</v>
      </c>
      <c r="W85" s="311">
        <f t="shared" si="16"/>
        <v>0</v>
      </c>
      <c r="X85" s="321"/>
      <c r="Y85" s="321"/>
      <c r="Z85" s="321"/>
      <c r="AA85" s="321"/>
      <c r="AE85" s="436"/>
      <c r="AF85" s="436"/>
      <c r="AG85" s="436"/>
    </row>
    <row r="86" spans="1:33">
      <c r="A86" s="459" t="s">
        <v>2236</v>
      </c>
      <c r="B86" s="460"/>
      <c r="C86" s="461">
        <v>5292166.7699999996</v>
      </c>
      <c r="D86" s="461">
        <v>-2492376.48</v>
      </c>
      <c r="E86" s="429">
        <v>138</v>
      </c>
      <c r="F86" s="431">
        <v>25</v>
      </c>
      <c r="G86" s="450">
        <v>2799790.29</v>
      </c>
      <c r="H86" s="309">
        <f t="shared" si="9"/>
        <v>2702721.5606457</v>
      </c>
      <c r="I86" s="309">
        <f t="shared" si="9"/>
        <v>2606423.5914398935</v>
      </c>
      <c r="J86" s="309">
        <f t="shared" si="9"/>
        <v>2516614.6776104714</v>
      </c>
      <c r="K86" s="309">
        <f t="shared" si="9"/>
        <v>2432473.9847552776</v>
      </c>
      <c r="L86" s="309">
        <f t="shared" si="9"/>
        <v>2351146.4584357226</v>
      </c>
      <c r="M86" s="309">
        <f t="shared" si="9"/>
        <v>2272538.043020831</v>
      </c>
      <c r="N86" s="308">
        <v>0</v>
      </c>
      <c r="O86" s="462">
        <v>1</v>
      </c>
      <c r="P86" s="463">
        <v>0</v>
      </c>
      <c r="Q86" s="309">
        <f t="shared" si="10"/>
        <v>0</v>
      </c>
      <c r="R86" s="311">
        <f t="shared" si="11"/>
        <v>2272538.043020831</v>
      </c>
      <c r="S86" s="312">
        <f t="shared" si="12"/>
        <v>0</v>
      </c>
      <c r="T86" s="309">
        <f t="shared" si="13"/>
        <v>0</v>
      </c>
      <c r="U86" s="311">
        <f t="shared" si="14"/>
        <v>0</v>
      </c>
      <c r="V86" s="464">
        <f t="shared" si="15"/>
        <v>2272538.043020831</v>
      </c>
      <c r="W86" s="311">
        <f t="shared" si="16"/>
        <v>0</v>
      </c>
      <c r="X86" s="321"/>
      <c r="Y86" s="321"/>
      <c r="Z86" s="321"/>
      <c r="AA86" s="321"/>
      <c r="AE86" s="436"/>
      <c r="AF86" s="436"/>
      <c r="AG86" s="436"/>
    </row>
    <row r="87" spans="1:33">
      <c r="A87" s="459" t="s">
        <v>2237</v>
      </c>
      <c r="B87" s="460"/>
      <c r="C87" s="461">
        <v>619177.44999999995</v>
      </c>
      <c r="D87" s="461">
        <v>-289466.31</v>
      </c>
      <c r="E87" s="429">
        <v>138</v>
      </c>
      <c r="F87" s="431">
        <v>0</v>
      </c>
      <c r="G87" s="450">
        <v>329711.14</v>
      </c>
      <c r="H87" s="309">
        <f t="shared" si="9"/>
        <v>318280.05477620004</v>
      </c>
      <c r="I87" s="309">
        <f t="shared" si="9"/>
        <v>306939.73642452399</v>
      </c>
      <c r="J87" s="309">
        <f t="shared" si="9"/>
        <v>296363.58739414054</v>
      </c>
      <c r="K87" s="309">
        <f t="shared" si="9"/>
        <v>286454.9439286773</v>
      </c>
      <c r="L87" s="309">
        <f t="shared" si="9"/>
        <v>276877.58682733506</v>
      </c>
      <c r="M87" s="309">
        <f t="shared" si="9"/>
        <v>267620.43983578758</v>
      </c>
      <c r="N87" s="308">
        <v>0</v>
      </c>
      <c r="O87" s="462">
        <v>0</v>
      </c>
      <c r="P87" s="463">
        <v>1</v>
      </c>
      <c r="Q87" s="309">
        <f t="shared" si="10"/>
        <v>0</v>
      </c>
      <c r="R87" s="311">
        <f t="shared" si="11"/>
        <v>0</v>
      </c>
      <c r="S87" s="312">
        <f t="shared" si="12"/>
        <v>267620.43983578758</v>
      </c>
      <c r="T87" s="309">
        <f t="shared" si="13"/>
        <v>0</v>
      </c>
      <c r="U87" s="311">
        <f t="shared" si="14"/>
        <v>0</v>
      </c>
      <c r="V87" s="464">
        <f t="shared" si="15"/>
        <v>0</v>
      </c>
      <c r="W87" s="311">
        <f t="shared" si="16"/>
        <v>267620.43983578758</v>
      </c>
      <c r="X87" s="321"/>
      <c r="Y87" s="321"/>
      <c r="Z87" s="321"/>
      <c r="AA87" s="321"/>
      <c r="AE87" s="436"/>
      <c r="AF87" s="436"/>
      <c r="AG87" s="436"/>
    </row>
    <row r="88" spans="1:33">
      <c r="A88" s="459" t="s">
        <v>2238</v>
      </c>
      <c r="B88" s="460"/>
      <c r="C88" s="461">
        <v>26790355.539999999</v>
      </c>
      <c r="D88" s="461">
        <v>-1322822.8899999999</v>
      </c>
      <c r="E88" s="429">
        <v>240</v>
      </c>
      <c r="F88" s="431">
        <v>240</v>
      </c>
      <c r="G88" s="450">
        <v>25467532.649999999</v>
      </c>
      <c r="H88" s="309">
        <f t="shared" si="9"/>
        <v>24584573.293024499</v>
      </c>
      <c r="I88" s="309">
        <f t="shared" si="9"/>
        <v>23708624.946594033</v>
      </c>
      <c r="J88" s="309">
        <f t="shared" si="9"/>
        <v>22891702.531589929</v>
      </c>
      <c r="K88" s="309">
        <f t="shared" si="9"/>
        <v>22126339.550606351</v>
      </c>
      <c r="L88" s="309">
        <f t="shared" si="9"/>
        <v>21386565.775661584</v>
      </c>
      <c r="M88" s="309">
        <f t="shared" si="9"/>
        <v>20671525.655230451</v>
      </c>
      <c r="N88" s="308">
        <v>0</v>
      </c>
      <c r="O88" s="462">
        <v>0</v>
      </c>
      <c r="P88" s="463">
        <v>1</v>
      </c>
      <c r="Q88" s="309">
        <f t="shared" si="10"/>
        <v>0</v>
      </c>
      <c r="R88" s="311">
        <f t="shared" si="11"/>
        <v>0</v>
      </c>
      <c r="S88" s="312">
        <f t="shared" si="12"/>
        <v>20671525.655230451</v>
      </c>
      <c r="T88" s="309">
        <f t="shared" si="13"/>
        <v>20671525.655230451</v>
      </c>
      <c r="U88" s="311">
        <f t="shared" si="14"/>
        <v>0</v>
      </c>
      <c r="V88" s="464">
        <f t="shared" si="15"/>
        <v>0</v>
      </c>
      <c r="W88" s="311">
        <f t="shared" si="16"/>
        <v>0</v>
      </c>
      <c r="X88" s="321"/>
      <c r="Y88" s="321"/>
      <c r="Z88" s="321"/>
      <c r="AA88" s="321"/>
      <c r="AE88" s="436"/>
      <c r="AF88" s="436"/>
      <c r="AG88" s="436"/>
    </row>
    <row r="89" spans="1:33">
      <c r="A89" s="459" t="s">
        <v>2239</v>
      </c>
      <c r="B89" s="460"/>
      <c r="C89" s="461">
        <v>10695968.41</v>
      </c>
      <c r="D89" s="461">
        <v>-2074885.25</v>
      </c>
      <c r="E89" s="429">
        <v>138</v>
      </c>
      <c r="F89" s="431">
        <v>25</v>
      </c>
      <c r="G89" s="450">
        <v>8621083.1600000001</v>
      </c>
      <c r="H89" s="309">
        <f t="shared" si="9"/>
        <v>8322190.2068428006</v>
      </c>
      <c r="I89" s="309">
        <f t="shared" si="9"/>
        <v>8025670.5697729904</v>
      </c>
      <c r="J89" s="309">
        <f t="shared" si="9"/>
        <v>7749131.9599356372</v>
      </c>
      <c r="K89" s="309">
        <f t="shared" si="9"/>
        <v>7490046.8731577108</v>
      </c>
      <c r="L89" s="309">
        <f t="shared" si="9"/>
        <v>7239624.0575267682</v>
      </c>
      <c r="M89" s="309">
        <f t="shared" si="9"/>
        <v>6997573.8979887096</v>
      </c>
      <c r="N89" s="308">
        <v>0</v>
      </c>
      <c r="O89" s="462">
        <v>1</v>
      </c>
      <c r="P89" s="463">
        <v>0</v>
      </c>
      <c r="Q89" s="309">
        <f t="shared" si="10"/>
        <v>0</v>
      </c>
      <c r="R89" s="311">
        <f t="shared" si="11"/>
        <v>6997573.8979887096</v>
      </c>
      <c r="S89" s="312">
        <f t="shared" si="12"/>
        <v>0</v>
      </c>
      <c r="T89" s="309">
        <f t="shared" si="13"/>
        <v>0</v>
      </c>
      <c r="U89" s="311">
        <f t="shared" si="14"/>
        <v>0</v>
      </c>
      <c r="V89" s="464">
        <f t="shared" si="15"/>
        <v>6997573.8979887096</v>
      </c>
      <c r="W89" s="311">
        <f t="shared" si="16"/>
        <v>0</v>
      </c>
      <c r="X89" s="321"/>
      <c r="Y89" s="321"/>
      <c r="Z89" s="321"/>
      <c r="AA89" s="321"/>
      <c r="AE89" s="436"/>
      <c r="AF89" s="436"/>
      <c r="AG89" s="436"/>
    </row>
    <row r="90" spans="1:33">
      <c r="A90" s="459" t="s">
        <v>2240</v>
      </c>
      <c r="B90" s="460"/>
      <c r="C90" s="461">
        <v>3341666.23</v>
      </c>
      <c r="D90" s="461">
        <v>-2050817.26</v>
      </c>
      <c r="E90" s="429">
        <v>138</v>
      </c>
      <c r="F90" s="431">
        <v>25</v>
      </c>
      <c r="G90" s="450">
        <v>1290848.97</v>
      </c>
      <c r="H90" s="309">
        <f t="shared" si="9"/>
        <v>1246095.2362100999</v>
      </c>
      <c r="I90" s="309">
        <f t="shared" si="9"/>
        <v>1201696.862943934</v>
      </c>
      <c r="J90" s="309">
        <f t="shared" si="9"/>
        <v>1160290.2817697674</v>
      </c>
      <c r="K90" s="309">
        <f t="shared" si="9"/>
        <v>1121497.0453280434</v>
      </c>
      <c r="L90" s="309">
        <f t="shared" si="9"/>
        <v>1084000.8250013969</v>
      </c>
      <c r="M90" s="309">
        <f t="shared" si="9"/>
        <v>1047758.2562511334</v>
      </c>
      <c r="N90" s="308">
        <v>0</v>
      </c>
      <c r="O90" s="462">
        <v>1</v>
      </c>
      <c r="P90" s="463">
        <v>0</v>
      </c>
      <c r="Q90" s="309">
        <f t="shared" si="10"/>
        <v>0</v>
      </c>
      <c r="R90" s="311">
        <f t="shared" si="11"/>
        <v>1047758.2562511334</v>
      </c>
      <c r="S90" s="312">
        <f t="shared" si="12"/>
        <v>0</v>
      </c>
      <c r="T90" s="309">
        <f t="shared" si="13"/>
        <v>0</v>
      </c>
      <c r="U90" s="311">
        <f t="shared" si="14"/>
        <v>0</v>
      </c>
      <c r="V90" s="464">
        <f t="shared" si="15"/>
        <v>1047758.2562511334</v>
      </c>
      <c r="W90" s="311">
        <f t="shared" si="16"/>
        <v>0</v>
      </c>
      <c r="X90" s="321"/>
      <c r="Y90" s="321"/>
      <c r="Z90" s="321"/>
      <c r="AA90" s="321"/>
      <c r="AE90" s="436"/>
      <c r="AF90" s="436"/>
      <c r="AG90" s="436"/>
    </row>
    <row r="91" spans="1:33">
      <c r="A91" s="459" t="s">
        <v>2241</v>
      </c>
      <c r="B91" s="460"/>
      <c r="C91" s="461">
        <v>5033894.72</v>
      </c>
      <c r="D91" s="461">
        <v>-1904143.5</v>
      </c>
      <c r="E91" s="429">
        <v>138</v>
      </c>
      <c r="F91" s="431">
        <v>25</v>
      </c>
      <c r="G91" s="450">
        <v>3129751.22</v>
      </c>
      <c r="H91" s="309">
        <f t="shared" si="9"/>
        <v>3021242.7452026005</v>
      </c>
      <c r="I91" s="309">
        <f t="shared" si="9"/>
        <v>2913595.8661910314</v>
      </c>
      <c r="J91" s="309">
        <f t="shared" si="9"/>
        <v>2813202.790813765</v>
      </c>
      <c r="K91" s="309">
        <f t="shared" si="9"/>
        <v>2719145.9476795639</v>
      </c>
      <c r="L91" s="309">
        <f t="shared" si="9"/>
        <v>2628233.8084285171</v>
      </c>
      <c r="M91" s="309">
        <f t="shared" si="9"/>
        <v>2540361.2327839234</v>
      </c>
      <c r="N91" s="308">
        <v>0</v>
      </c>
      <c r="O91" s="462">
        <v>1</v>
      </c>
      <c r="P91" s="463">
        <v>0</v>
      </c>
      <c r="Q91" s="309">
        <f t="shared" si="10"/>
        <v>0</v>
      </c>
      <c r="R91" s="311">
        <f t="shared" si="11"/>
        <v>2540361.2327839234</v>
      </c>
      <c r="S91" s="312">
        <f t="shared" si="12"/>
        <v>0</v>
      </c>
      <c r="T91" s="309">
        <f t="shared" si="13"/>
        <v>0</v>
      </c>
      <c r="U91" s="311">
        <f t="shared" si="14"/>
        <v>0</v>
      </c>
      <c r="V91" s="464">
        <f t="shared" si="15"/>
        <v>2540361.2327839234</v>
      </c>
      <c r="W91" s="311">
        <f t="shared" si="16"/>
        <v>0</v>
      </c>
      <c r="X91" s="321"/>
      <c r="Y91" s="321"/>
      <c r="Z91" s="321"/>
      <c r="AA91" s="321"/>
      <c r="AE91" s="436"/>
      <c r="AF91" s="436"/>
      <c r="AG91" s="436"/>
    </row>
    <row r="92" spans="1:33">
      <c r="A92" s="459" t="s">
        <v>2242</v>
      </c>
      <c r="B92" s="460"/>
      <c r="C92" s="461">
        <v>3363819.25</v>
      </c>
      <c r="D92" s="461">
        <v>-2095801.46</v>
      </c>
      <c r="E92" s="429">
        <v>138</v>
      </c>
      <c r="F92" s="431">
        <v>25</v>
      </c>
      <c r="G92" s="450">
        <v>1268017.79</v>
      </c>
      <c r="H92" s="309">
        <f t="shared" si="9"/>
        <v>1224055.6132207001</v>
      </c>
      <c r="I92" s="309">
        <f t="shared" si="9"/>
        <v>1180442.5117216464</v>
      </c>
      <c r="J92" s="309">
        <f t="shared" si="9"/>
        <v>1139768.2866402084</v>
      </c>
      <c r="K92" s="309">
        <f t="shared" si="9"/>
        <v>1101661.1841960065</v>
      </c>
      <c r="L92" s="309">
        <f t="shared" si="9"/>
        <v>1064828.1576089014</v>
      </c>
      <c r="M92" s="309">
        <f t="shared" si="9"/>
        <v>1029226.609326586</v>
      </c>
      <c r="N92" s="308">
        <v>0</v>
      </c>
      <c r="O92" s="462">
        <v>1</v>
      </c>
      <c r="P92" s="463">
        <v>0</v>
      </c>
      <c r="Q92" s="309">
        <f t="shared" si="10"/>
        <v>0</v>
      </c>
      <c r="R92" s="311">
        <f t="shared" si="11"/>
        <v>1029226.609326586</v>
      </c>
      <c r="S92" s="312">
        <f t="shared" si="12"/>
        <v>0</v>
      </c>
      <c r="T92" s="309">
        <f t="shared" si="13"/>
        <v>0</v>
      </c>
      <c r="U92" s="311">
        <f t="shared" si="14"/>
        <v>0</v>
      </c>
      <c r="V92" s="464">
        <f t="shared" si="15"/>
        <v>1029226.609326586</v>
      </c>
      <c r="W92" s="311">
        <f t="shared" si="16"/>
        <v>0</v>
      </c>
      <c r="X92" s="321"/>
      <c r="Y92" s="321"/>
      <c r="Z92" s="321"/>
      <c r="AA92" s="321"/>
      <c r="AE92" s="436"/>
      <c r="AF92" s="436"/>
      <c r="AG92" s="436"/>
    </row>
    <row r="93" spans="1:33">
      <c r="A93" s="459" t="s">
        <v>2243</v>
      </c>
      <c r="B93" s="460"/>
      <c r="C93" s="461">
        <v>6435.3</v>
      </c>
      <c r="D93" s="461">
        <v>-1828.31</v>
      </c>
      <c r="E93" s="429">
        <v>69</v>
      </c>
      <c r="F93" s="431">
        <v>25</v>
      </c>
      <c r="G93" s="450">
        <v>4606.99</v>
      </c>
      <c r="H93" s="309">
        <f t="shared" si="9"/>
        <v>4447.2656566999995</v>
      </c>
      <c r="I93" s="309">
        <f t="shared" si="9"/>
        <v>4288.8095813517784</v>
      </c>
      <c r="J93" s="309">
        <f t="shared" si="9"/>
        <v>4141.031096155657</v>
      </c>
      <c r="K93" s="309">
        <f t="shared" si="9"/>
        <v>4002.5795371365884</v>
      </c>
      <c r="L93" s="309">
        <f t="shared" si="9"/>
        <v>3868.7569784195475</v>
      </c>
      <c r="M93" s="309">
        <f t="shared" si="9"/>
        <v>3739.4086536447471</v>
      </c>
      <c r="N93" s="308">
        <v>0</v>
      </c>
      <c r="O93" s="462">
        <v>0</v>
      </c>
      <c r="P93" s="463">
        <v>1</v>
      </c>
      <c r="Q93" s="309">
        <f t="shared" si="10"/>
        <v>0</v>
      </c>
      <c r="R93" s="311">
        <f t="shared" si="11"/>
        <v>0</v>
      </c>
      <c r="S93" s="312">
        <f t="shared" si="12"/>
        <v>3739.4086536447471</v>
      </c>
      <c r="T93" s="309">
        <f t="shared" si="13"/>
        <v>0</v>
      </c>
      <c r="U93" s="311">
        <f t="shared" si="14"/>
        <v>0</v>
      </c>
      <c r="V93" s="464">
        <f t="shared" si="15"/>
        <v>3739.4086536447471</v>
      </c>
      <c r="W93" s="311">
        <f t="shared" si="16"/>
        <v>0</v>
      </c>
      <c r="X93" s="321"/>
      <c r="Y93" s="321"/>
      <c r="Z93" s="321"/>
      <c r="AA93" s="321"/>
      <c r="AE93" s="436"/>
      <c r="AF93" s="436"/>
      <c r="AG93" s="436"/>
    </row>
    <row r="94" spans="1:33">
      <c r="A94" s="459" t="s">
        <v>2244</v>
      </c>
      <c r="B94" s="460"/>
      <c r="C94" s="461">
        <v>13588808.130000001</v>
      </c>
      <c r="D94" s="461">
        <v>-8503515.3100000005</v>
      </c>
      <c r="E94" s="429">
        <v>240</v>
      </c>
      <c r="F94" s="431">
        <v>13</v>
      </c>
      <c r="G94" s="450">
        <v>5085292.82</v>
      </c>
      <c r="H94" s="309">
        <f t="shared" si="9"/>
        <v>4908985.7179306</v>
      </c>
      <c r="I94" s="309">
        <f t="shared" si="9"/>
        <v>4734078.5568007324</v>
      </c>
      <c r="J94" s="309">
        <f t="shared" si="9"/>
        <v>4570957.5450949743</v>
      </c>
      <c r="K94" s="309">
        <f t="shared" si="9"/>
        <v>4418131.7914038496</v>
      </c>
      <c r="L94" s="309">
        <f t="shared" si="9"/>
        <v>4270415.6259687608</v>
      </c>
      <c r="M94" s="309">
        <f t="shared" si="9"/>
        <v>4127638.2144145099</v>
      </c>
      <c r="N94" s="308">
        <v>0</v>
      </c>
      <c r="O94" s="462">
        <v>1</v>
      </c>
      <c r="P94" s="463">
        <v>0</v>
      </c>
      <c r="Q94" s="309">
        <f t="shared" si="10"/>
        <v>0</v>
      </c>
      <c r="R94" s="311">
        <f t="shared" si="11"/>
        <v>4127638.2144145099</v>
      </c>
      <c r="S94" s="312">
        <f t="shared" si="12"/>
        <v>0</v>
      </c>
      <c r="T94" s="309">
        <f t="shared" si="13"/>
        <v>0</v>
      </c>
      <c r="U94" s="311">
        <f t="shared" si="14"/>
        <v>0</v>
      </c>
      <c r="V94" s="464">
        <f t="shared" si="15"/>
        <v>4127638.2144145099</v>
      </c>
      <c r="W94" s="311">
        <f t="shared" si="16"/>
        <v>0</v>
      </c>
      <c r="X94" s="321"/>
      <c r="Y94" s="321"/>
      <c r="Z94" s="321"/>
      <c r="AA94" s="321"/>
      <c r="AE94" s="436"/>
      <c r="AF94" s="436"/>
      <c r="AG94" s="436"/>
    </row>
    <row r="95" spans="1:33">
      <c r="A95" s="459" t="s">
        <v>2245</v>
      </c>
      <c r="B95" s="460"/>
      <c r="C95" s="461">
        <v>1812155.36</v>
      </c>
      <c r="D95" s="461">
        <v>-1636381</v>
      </c>
      <c r="E95" s="429">
        <v>138</v>
      </c>
      <c r="F95" s="431">
        <v>6.9</v>
      </c>
      <c r="G95" s="450">
        <v>175774.36</v>
      </c>
      <c r="H95" s="309">
        <f t="shared" si="9"/>
        <v>169680.26293879998</v>
      </c>
      <c r="I95" s="309">
        <f t="shared" si="9"/>
        <v>163634.55517029052</v>
      </c>
      <c r="J95" s="309">
        <f t="shared" si="9"/>
        <v>157996.23846955586</v>
      </c>
      <c r="K95" s="309">
        <f t="shared" si="9"/>
        <v>152713.77981920517</v>
      </c>
      <c r="L95" s="309">
        <f t="shared" si="9"/>
        <v>147607.93530639957</v>
      </c>
      <c r="M95" s="309">
        <f t="shared" si="9"/>
        <v>142672.8000001882</v>
      </c>
      <c r="N95" s="308">
        <v>0</v>
      </c>
      <c r="O95" s="462">
        <v>1</v>
      </c>
      <c r="P95" s="463">
        <v>0</v>
      </c>
      <c r="Q95" s="309">
        <f t="shared" si="10"/>
        <v>0</v>
      </c>
      <c r="R95" s="311">
        <f t="shared" si="11"/>
        <v>142672.8000001882</v>
      </c>
      <c r="S95" s="312">
        <f t="shared" si="12"/>
        <v>0</v>
      </c>
      <c r="T95" s="309">
        <f t="shared" si="13"/>
        <v>0</v>
      </c>
      <c r="U95" s="311">
        <f t="shared" si="14"/>
        <v>0</v>
      </c>
      <c r="V95" s="464">
        <f t="shared" si="15"/>
        <v>142672.8000001882</v>
      </c>
      <c r="W95" s="311">
        <f t="shared" si="16"/>
        <v>0</v>
      </c>
      <c r="X95" s="321"/>
      <c r="Y95" s="321"/>
      <c r="Z95" s="321"/>
      <c r="AA95" s="321"/>
      <c r="AE95" s="436"/>
      <c r="AF95" s="436"/>
      <c r="AG95" s="436"/>
    </row>
    <row r="96" spans="1:33">
      <c r="A96" s="459" t="s">
        <v>2246</v>
      </c>
      <c r="B96" s="460"/>
      <c r="C96" s="461">
        <v>1985941</v>
      </c>
      <c r="D96" s="461">
        <v>-556835.56999999995</v>
      </c>
      <c r="E96" s="429">
        <v>138</v>
      </c>
      <c r="F96" s="431">
        <v>7.5</v>
      </c>
      <c r="G96" s="450">
        <v>1429105.43</v>
      </c>
      <c r="H96" s="309">
        <f t="shared" si="9"/>
        <v>1379558.3447419</v>
      </c>
      <c r="I96" s="309">
        <f t="shared" si="9"/>
        <v>1330404.6809187459</v>
      </c>
      <c r="J96" s="309">
        <f t="shared" si="9"/>
        <v>1284563.2452674962</v>
      </c>
      <c r="K96" s="309">
        <f t="shared" si="9"/>
        <v>1241615.0568003806</v>
      </c>
      <c r="L96" s="309">
        <f t="shared" si="9"/>
        <v>1200102.8014408036</v>
      </c>
      <c r="M96" s="309">
        <f t="shared" si="9"/>
        <v>1159978.4700884304</v>
      </c>
      <c r="N96" s="308">
        <v>0</v>
      </c>
      <c r="O96" s="462">
        <v>1</v>
      </c>
      <c r="P96" s="463">
        <v>0</v>
      </c>
      <c r="Q96" s="309">
        <f t="shared" si="10"/>
        <v>0</v>
      </c>
      <c r="R96" s="311">
        <f t="shared" si="11"/>
        <v>1159978.4700884304</v>
      </c>
      <c r="S96" s="312">
        <f t="shared" si="12"/>
        <v>0</v>
      </c>
      <c r="T96" s="309">
        <f t="shared" si="13"/>
        <v>0</v>
      </c>
      <c r="U96" s="311">
        <f t="shared" si="14"/>
        <v>0</v>
      </c>
      <c r="V96" s="464">
        <f t="shared" si="15"/>
        <v>1159978.4700884304</v>
      </c>
      <c r="W96" s="311">
        <f t="shared" si="16"/>
        <v>0</v>
      </c>
      <c r="X96" s="321"/>
      <c r="Y96" s="321"/>
      <c r="Z96" s="321"/>
      <c r="AA96" s="321"/>
      <c r="AE96" s="436"/>
      <c r="AF96" s="436"/>
      <c r="AG96" s="436"/>
    </row>
    <row r="97" spans="1:33">
      <c r="A97" s="459" t="s">
        <v>2247</v>
      </c>
      <c r="B97" s="460"/>
      <c r="C97" s="461">
        <v>3875411.49</v>
      </c>
      <c r="D97" s="461">
        <v>-2385070.2999999998</v>
      </c>
      <c r="E97" s="429">
        <v>138</v>
      </c>
      <c r="F97" s="431">
        <v>14</v>
      </c>
      <c r="G97" s="450">
        <v>1490341.19</v>
      </c>
      <c r="H97" s="309">
        <f t="shared" si="9"/>
        <v>1438671.0609426999</v>
      </c>
      <c r="I97" s="309">
        <f t="shared" si="9"/>
        <v>1387411.2110413115</v>
      </c>
      <c r="J97" s="309">
        <f t="shared" si="9"/>
        <v>1339605.5150264329</v>
      </c>
      <c r="K97" s="309">
        <f t="shared" si="9"/>
        <v>1294817.0389876671</v>
      </c>
      <c r="L97" s="309">
        <f t="shared" si="9"/>
        <v>1251526.0243756971</v>
      </c>
      <c r="M97" s="309">
        <f t="shared" si="9"/>
        <v>1209682.4049475277</v>
      </c>
      <c r="N97" s="308">
        <v>0</v>
      </c>
      <c r="O97" s="462">
        <v>0</v>
      </c>
      <c r="P97" s="463">
        <v>1</v>
      </c>
      <c r="Q97" s="309">
        <f t="shared" si="10"/>
        <v>0</v>
      </c>
      <c r="R97" s="311">
        <f t="shared" si="11"/>
        <v>0</v>
      </c>
      <c r="S97" s="312">
        <f t="shared" si="12"/>
        <v>1209682.4049475277</v>
      </c>
      <c r="T97" s="309">
        <f t="shared" si="13"/>
        <v>0</v>
      </c>
      <c r="U97" s="311">
        <f t="shared" si="14"/>
        <v>0</v>
      </c>
      <c r="V97" s="464">
        <f t="shared" si="15"/>
        <v>1209682.4049475277</v>
      </c>
      <c r="W97" s="311">
        <f t="shared" si="16"/>
        <v>0</v>
      </c>
      <c r="X97" s="321"/>
      <c r="Y97" s="321"/>
      <c r="Z97" s="321"/>
      <c r="AA97" s="321"/>
      <c r="AE97" s="436"/>
      <c r="AF97" s="436"/>
      <c r="AG97" s="436"/>
    </row>
    <row r="98" spans="1:33">
      <c r="A98" s="459" t="s">
        <v>2248</v>
      </c>
      <c r="B98" s="460"/>
      <c r="C98" s="461">
        <v>56439166.5</v>
      </c>
      <c r="D98" s="461">
        <v>-830034.85</v>
      </c>
      <c r="E98" s="429">
        <v>240</v>
      </c>
      <c r="F98" s="431">
        <v>138</v>
      </c>
      <c r="G98" s="450">
        <v>55609131.649999999</v>
      </c>
      <c r="H98" s="309">
        <f t="shared" si="9"/>
        <v>53681163.055694498</v>
      </c>
      <c r="I98" s="309">
        <f t="shared" si="9"/>
        <v>51768503.2160201</v>
      </c>
      <c r="J98" s="309">
        <f t="shared" si="9"/>
        <v>49984728.291761816</v>
      </c>
      <c r="K98" s="309">
        <f t="shared" si="9"/>
        <v>48313534.958883047</v>
      </c>
      <c r="L98" s="309">
        <f t="shared" si="9"/>
        <v>46698216.43519713</v>
      </c>
      <c r="M98" s="309">
        <f t="shared" si="9"/>
        <v>45136904.597943559</v>
      </c>
      <c r="N98" s="308">
        <v>0</v>
      </c>
      <c r="O98" s="462">
        <v>0</v>
      </c>
      <c r="P98" s="463">
        <v>1</v>
      </c>
      <c r="Q98" s="309">
        <f t="shared" si="10"/>
        <v>0</v>
      </c>
      <c r="R98" s="311">
        <f t="shared" si="11"/>
        <v>0</v>
      </c>
      <c r="S98" s="312">
        <f t="shared" si="12"/>
        <v>45136904.597943559</v>
      </c>
      <c r="T98" s="309">
        <f t="shared" si="13"/>
        <v>0</v>
      </c>
      <c r="U98" s="311">
        <f t="shared" si="14"/>
        <v>45136904.597943559</v>
      </c>
      <c r="V98" s="464">
        <f t="shared" si="15"/>
        <v>0</v>
      </c>
      <c r="W98" s="311">
        <f t="shared" si="16"/>
        <v>0</v>
      </c>
      <c r="X98" s="321"/>
      <c r="Y98" s="321"/>
      <c r="Z98" s="321"/>
      <c r="AA98" s="321"/>
      <c r="AE98" s="436"/>
      <c r="AF98" s="436"/>
      <c r="AG98" s="436"/>
    </row>
    <row r="99" spans="1:33">
      <c r="A99" s="459" t="s">
        <v>2249</v>
      </c>
      <c r="B99" s="460"/>
      <c r="C99" s="461">
        <v>5331356.43</v>
      </c>
      <c r="D99" s="461">
        <v>-2305849.0499999998</v>
      </c>
      <c r="E99" s="429">
        <v>138</v>
      </c>
      <c r="F99" s="431">
        <v>25</v>
      </c>
      <c r="G99" s="450">
        <v>3025507.38</v>
      </c>
      <c r="H99" s="309">
        <f t="shared" si="9"/>
        <v>2920613.0391353997</v>
      </c>
      <c r="I99" s="309">
        <f t="shared" si="9"/>
        <v>2816551.5965510053</v>
      </c>
      <c r="J99" s="309">
        <f t="shared" si="9"/>
        <v>2719502.3523446829</v>
      </c>
      <c r="K99" s="309">
        <f t="shared" si="9"/>
        <v>2628578.2970320606</v>
      </c>
      <c r="L99" s="309">
        <f t="shared" si="9"/>
        <v>2540694.2037284304</v>
      </c>
      <c r="M99" s="309">
        <f t="shared" si="9"/>
        <v>2455748.4341051416</v>
      </c>
      <c r="N99" s="308">
        <v>0</v>
      </c>
      <c r="O99" s="462">
        <v>1</v>
      </c>
      <c r="P99" s="463">
        <v>0</v>
      </c>
      <c r="Q99" s="309">
        <f t="shared" si="10"/>
        <v>0</v>
      </c>
      <c r="R99" s="311">
        <f t="shared" si="11"/>
        <v>2455748.4341051416</v>
      </c>
      <c r="S99" s="312">
        <f t="shared" si="12"/>
        <v>0</v>
      </c>
      <c r="T99" s="309">
        <f t="shared" si="13"/>
        <v>0</v>
      </c>
      <c r="U99" s="311">
        <f t="shared" si="14"/>
        <v>0</v>
      </c>
      <c r="V99" s="464">
        <f t="shared" si="15"/>
        <v>2455748.4341051416</v>
      </c>
      <c r="W99" s="311">
        <f t="shared" si="16"/>
        <v>0</v>
      </c>
      <c r="X99" s="321"/>
      <c r="Y99" s="321"/>
      <c r="Z99" s="321"/>
      <c r="AA99" s="321"/>
      <c r="AE99" s="436"/>
      <c r="AF99" s="436"/>
      <c r="AG99" s="436"/>
    </row>
    <row r="100" spans="1:33">
      <c r="A100" s="459" t="s">
        <v>2250</v>
      </c>
      <c r="B100" s="460"/>
      <c r="C100" s="461">
        <v>5305475.09</v>
      </c>
      <c r="D100" s="461">
        <v>-2907105.89</v>
      </c>
      <c r="E100" s="429">
        <v>138</v>
      </c>
      <c r="F100" s="431">
        <v>13</v>
      </c>
      <c r="G100" s="450">
        <v>2398369.2000000002</v>
      </c>
      <c r="H100" s="309">
        <f t="shared" si="9"/>
        <v>2315217.7398360004</v>
      </c>
      <c r="I100" s="309">
        <f t="shared" si="9"/>
        <v>2232726.5317656435</v>
      </c>
      <c r="J100" s="309">
        <f t="shared" si="9"/>
        <v>2155794.0080751139</v>
      </c>
      <c r="K100" s="309">
        <f t="shared" si="9"/>
        <v>2083717.0218339202</v>
      </c>
      <c r="L100" s="309">
        <f t="shared" si="9"/>
        <v>2014049.8632136185</v>
      </c>
      <c r="M100" s="309">
        <f t="shared" si="9"/>
        <v>1946711.9618481982</v>
      </c>
      <c r="N100" s="308">
        <v>0</v>
      </c>
      <c r="O100" s="462">
        <v>1</v>
      </c>
      <c r="P100" s="463">
        <v>0</v>
      </c>
      <c r="Q100" s="309">
        <f t="shared" si="10"/>
        <v>0</v>
      </c>
      <c r="R100" s="311">
        <f t="shared" si="11"/>
        <v>1946711.9618481982</v>
      </c>
      <c r="S100" s="312">
        <f t="shared" si="12"/>
        <v>0</v>
      </c>
      <c r="T100" s="309">
        <f t="shared" si="13"/>
        <v>0</v>
      </c>
      <c r="U100" s="311">
        <f t="shared" si="14"/>
        <v>0</v>
      </c>
      <c r="V100" s="464">
        <f t="shared" si="15"/>
        <v>1946711.9618481982</v>
      </c>
      <c r="W100" s="311">
        <f t="shared" si="16"/>
        <v>0</v>
      </c>
      <c r="X100" s="321"/>
      <c r="Y100" s="321"/>
      <c r="Z100" s="321"/>
      <c r="AA100" s="321"/>
      <c r="AE100" s="436"/>
      <c r="AF100" s="436"/>
      <c r="AG100" s="436"/>
    </row>
    <row r="101" spans="1:33">
      <c r="A101" s="459" t="s">
        <v>2251</v>
      </c>
      <c r="B101" s="460"/>
      <c r="C101" s="461">
        <v>1035160.03</v>
      </c>
      <c r="D101" s="461">
        <v>-723586.91</v>
      </c>
      <c r="E101" s="429">
        <v>138</v>
      </c>
      <c r="F101" s="431">
        <v>25</v>
      </c>
      <c r="G101" s="450">
        <v>311573.12</v>
      </c>
      <c r="H101" s="309">
        <f t="shared" si="9"/>
        <v>300770.87992959999</v>
      </c>
      <c r="I101" s="309">
        <f t="shared" si="9"/>
        <v>290054.41347770829</v>
      </c>
      <c r="J101" s="309">
        <f t="shared" si="9"/>
        <v>280060.07797851483</v>
      </c>
      <c r="K101" s="309">
        <f t="shared" si="9"/>
        <v>270696.52732777863</v>
      </c>
      <c r="L101" s="309">
        <f t="shared" si="9"/>
        <v>261646.03836516925</v>
      </c>
      <c r="M101" s="309">
        <f t="shared" si="9"/>
        <v>252898.1441616095</v>
      </c>
      <c r="N101" s="308">
        <v>0</v>
      </c>
      <c r="O101" s="462">
        <v>0</v>
      </c>
      <c r="P101" s="463">
        <v>1</v>
      </c>
      <c r="Q101" s="309">
        <f t="shared" si="10"/>
        <v>0</v>
      </c>
      <c r="R101" s="311">
        <f t="shared" si="11"/>
        <v>0</v>
      </c>
      <c r="S101" s="312">
        <f t="shared" si="12"/>
        <v>252898.1441616095</v>
      </c>
      <c r="T101" s="309">
        <f t="shared" si="13"/>
        <v>0</v>
      </c>
      <c r="U101" s="311">
        <f t="shared" si="14"/>
        <v>0</v>
      </c>
      <c r="V101" s="464">
        <f t="shared" si="15"/>
        <v>252898.1441616095</v>
      </c>
      <c r="W101" s="311">
        <f t="shared" si="16"/>
        <v>0</v>
      </c>
      <c r="X101" s="321"/>
      <c r="Y101" s="321"/>
      <c r="Z101" s="321"/>
      <c r="AA101" s="321"/>
      <c r="AE101" s="436"/>
      <c r="AF101" s="436"/>
      <c r="AG101" s="436"/>
    </row>
    <row r="102" spans="1:33">
      <c r="A102" s="459" t="s">
        <v>2252</v>
      </c>
      <c r="B102" s="460"/>
      <c r="C102" s="461">
        <v>3943157.18</v>
      </c>
      <c r="D102" s="461">
        <v>-1716104.48</v>
      </c>
      <c r="E102" s="429">
        <v>138</v>
      </c>
      <c r="F102" s="431">
        <v>25</v>
      </c>
      <c r="G102" s="450">
        <v>2227052.7000000002</v>
      </c>
      <c r="H102" s="309">
        <f t="shared" si="9"/>
        <v>2149840.7828910002</v>
      </c>
      <c r="I102" s="309">
        <f t="shared" si="9"/>
        <v>2073241.9557965936</v>
      </c>
      <c r="J102" s="309">
        <f t="shared" si="9"/>
        <v>2001804.7539667804</v>
      </c>
      <c r="K102" s="309">
        <f t="shared" si="9"/>
        <v>1934876.2565459858</v>
      </c>
      <c r="L102" s="309">
        <f t="shared" si="9"/>
        <v>1870185.4517663585</v>
      </c>
      <c r="M102" s="309">
        <f t="shared" si="9"/>
        <v>1807657.5244363241</v>
      </c>
      <c r="N102" s="308">
        <v>0</v>
      </c>
      <c r="O102" s="462">
        <v>1</v>
      </c>
      <c r="P102" s="463">
        <v>0</v>
      </c>
      <c r="Q102" s="309">
        <f t="shared" si="10"/>
        <v>0</v>
      </c>
      <c r="R102" s="311">
        <f t="shared" si="11"/>
        <v>1807657.5244363241</v>
      </c>
      <c r="S102" s="312">
        <f t="shared" si="12"/>
        <v>0</v>
      </c>
      <c r="T102" s="309">
        <f t="shared" si="13"/>
        <v>0</v>
      </c>
      <c r="U102" s="311">
        <f t="shared" si="14"/>
        <v>0</v>
      </c>
      <c r="V102" s="464">
        <f t="shared" si="15"/>
        <v>1807657.5244363241</v>
      </c>
      <c r="W102" s="311">
        <f t="shared" si="16"/>
        <v>0</v>
      </c>
      <c r="X102" s="321"/>
      <c r="Y102" s="321"/>
      <c r="Z102" s="321"/>
      <c r="AA102" s="321"/>
      <c r="AE102" s="436"/>
      <c r="AF102" s="436"/>
      <c r="AG102" s="436"/>
    </row>
    <row r="103" spans="1:33">
      <c r="A103" s="459" t="s">
        <v>2253</v>
      </c>
      <c r="B103" s="460"/>
      <c r="C103" s="461">
        <v>69428.03</v>
      </c>
      <c r="D103" s="461">
        <v>-11688.94</v>
      </c>
      <c r="E103" s="429">
        <v>138</v>
      </c>
      <c r="F103" s="431">
        <v>25</v>
      </c>
      <c r="G103" s="450">
        <v>57739.09</v>
      </c>
      <c r="H103" s="309">
        <f t="shared" si="9"/>
        <v>55737.275749699998</v>
      </c>
      <c r="I103" s="309">
        <f t="shared" si="9"/>
        <v>53751.356614738179</v>
      </c>
      <c r="J103" s="309">
        <f t="shared" si="9"/>
        <v>51899.258985526372</v>
      </c>
      <c r="K103" s="309">
        <f t="shared" si="9"/>
        <v>50164.055083012514</v>
      </c>
      <c r="L103" s="309">
        <f t="shared" si="9"/>
        <v>48486.866124105829</v>
      </c>
      <c r="M103" s="309">
        <f t="shared" si="9"/>
        <v>46865.75243262366</v>
      </c>
      <c r="N103" s="308">
        <v>0</v>
      </c>
      <c r="O103" s="462">
        <v>1</v>
      </c>
      <c r="P103" s="463">
        <v>0</v>
      </c>
      <c r="Q103" s="309">
        <f t="shared" si="10"/>
        <v>0</v>
      </c>
      <c r="R103" s="311">
        <f t="shared" si="11"/>
        <v>46865.75243262366</v>
      </c>
      <c r="S103" s="312">
        <f t="shared" si="12"/>
        <v>0</v>
      </c>
      <c r="T103" s="309">
        <f t="shared" si="13"/>
        <v>0</v>
      </c>
      <c r="U103" s="311">
        <f t="shared" si="14"/>
        <v>0</v>
      </c>
      <c r="V103" s="464">
        <f t="shared" si="15"/>
        <v>46865.75243262366</v>
      </c>
      <c r="W103" s="311">
        <f t="shared" si="16"/>
        <v>0</v>
      </c>
      <c r="X103" s="321"/>
      <c r="Y103" s="321"/>
      <c r="Z103" s="321"/>
      <c r="AA103" s="321"/>
      <c r="AE103" s="436"/>
      <c r="AF103" s="436"/>
      <c r="AG103" s="436"/>
    </row>
    <row r="104" spans="1:33">
      <c r="A104" s="459" t="s">
        <v>2254</v>
      </c>
      <c r="B104" s="460"/>
      <c r="C104" s="461">
        <v>8845407.5600000005</v>
      </c>
      <c r="D104" s="461">
        <v>-409626.95</v>
      </c>
      <c r="E104" s="429">
        <v>138</v>
      </c>
      <c r="F104" s="431">
        <v>138</v>
      </c>
      <c r="G104" s="450">
        <v>8435780.6099999994</v>
      </c>
      <c r="H104" s="309">
        <f t="shared" si="9"/>
        <v>8143312.0962512996</v>
      </c>
      <c r="I104" s="309">
        <f t="shared" si="9"/>
        <v>7853165.8862618646</v>
      </c>
      <c r="J104" s="309">
        <f t="shared" si="9"/>
        <v>7582571.2290143752</v>
      </c>
      <c r="K104" s="309">
        <f t="shared" si="9"/>
        <v>7329054.9468003204</v>
      </c>
      <c r="L104" s="309">
        <f t="shared" si="9"/>
        <v>7084014.7478839345</v>
      </c>
      <c r="M104" s="309">
        <f t="shared" si="9"/>
        <v>6847167.2422302989</v>
      </c>
      <c r="N104" s="308">
        <v>0</v>
      </c>
      <c r="O104" s="462">
        <v>0</v>
      </c>
      <c r="P104" s="463">
        <v>1</v>
      </c>
      <c r="Q104" s="309">
        <f t="shared" si="10"/>
        <v>0</v>
      </c>
      <c r="R104" s="311">
        <f t="shared" si="11"/>
        <v>0</v>
      </c>
      <c r="S104" s="312">
        <f t="shared" si="12"/>
        <v>6847167.2422302989</v>
      </c>
      <c r="T104" s="309">
        <f t="shared" si="13"/>
        <v>0</v>
      </c>
      <c r="U104" s="311">
        <f t="shared" si="14"/>
        <v>6847167.2422302989</v>
      </c>
      <c r="V104" s="464">
        <f t="shared" si="15"/>
        <v>0</v>
      </c>
      <c r="W104" s="311">
        <f t="shared" si="16"/>
        <v>0</v>
      </c>
      <c r="X104" s="321"/>
      <c r="Y104" s="321"/>
      <c r="Z104" s="321"/>
      <c r="AA104" s="321"/>
      <c r="AE104" s="436"/>
      <c r="AF104" s="436"/>
      <c r="AG104" s="436"/>
    </row>
    <row r="105" spans="1:33">
      <c r="A105" s="459" t="s">
        <v>2255</v>
      </c>
      <c r="B105" s="460"/>
      <c r="C105" s="461">
        <v>9290688.8900000006</v>
      </c>
      <c r="D105" s="461">
        <v>-142611.92000000001</v>
      </c>
      <c r="E105" s="429">
        <v>138</v>
      </c>
      <c r="F105" s="431">
        <v>6.9</v>
      </c>
      <c r="G105" s="450">
        <v>9148076.9700000007</v>
      </c>
      <c r="H105" s="309">
        <f t="shared" si="9"/>
        <v>8830913.1414501015</v>
      </c>
      <c r="I105" s="309">
        <f t="shared" si="9"/>
        <v>8516267.706220232</v>
      </c>
      <c r="J105" s="309">
        <f t="shared" si="9"/>
        <v>8222824.7082792511</v>
      </c>
      <c r="K105" s="309">
        <f t="shared" si="9"/>
        <v>7947902.1409363793</v>
      </c>
      <c r="L105" s="309">
        <f t="shared" si="9"/>
        <v>7682171.35631001</v>
      </c>
      <c r="M105" s="309">
        <f t="shared" si="9"/>
        <v>7425325.0356146256</v>
      </c>
      <c r="N105" s="308">
        <v>0</v>
      </c>
      <c r="O105" s="462">
        <v>1</v>
      </c>
      <c r="P105" s="463">
        <v>0</v>
      </c>
      <c r="Q105" s="309">
        <f t="shared" si="10"/>
        <v>0</v>
      </c>
      <c r="R105" s="311">
        <f t="shared" si="11"/>
        <v>7425325.0356146256</v>
      </c>
      <c r="S105" s="312">
        <f t="shared" si="12"/>
        <v>0</v>
      </c>
      <c r="T105" s="309">
        <f t="shared" si="13"/>
        <v>0</v>
      </c>
      <c r="U105" s="311">
        <f t="shared" si="14"/>
        <v>0</v>
      </c>
      <c r="V105" s="464">
        <f t="shared" si="15"/>
        <v>7425325.0356146256</v>
      </c>
      <c r="W105" s="311">
        <f t="shared" si="16"/>
        <v>0</v>
      </c>
      <c r="X105" s="321"/>
      <c r="Y105" s="321"/>
      <c r="Z105" s="321"/>
      <c r="AA105" s="321"/>
      <c r="AE105" s="436"/>
      <c r="AF105" s="436"/>
      <c r="AG105" s="436"/>
    </row>
    <row r="106" spans="1:33">
      <c r="A106" s="459" t="s">
        <v>2256</v>
      </c>
      <c r="B106" s="460"/>
      <c r="C106" s="461">
        <v>4809581.8</v>
      </c>
      <c r="D106" s="461">
        <v>-3462535.41</v>
      </c>
      <c r="E106" s="429">
        <v>138</v>
      </c>
      <c r="F106" s="431">
        <v>13</v>
      </c>
      <c r="G106" s="450">
        <v>1347046.39</v>
      </c>
      <c r="H106" s="309">
        <f t="shared" si="9"/>
        <v>1300344.2916587</v>
      </c>
      <c r="I106" s="309">
        <f t="shared" si="9"/>
        <v>1254013.0245469003</v>
      </c>
      <c r="J106" s="309">
        <f t="shared" si="9"/>
        <v>1210803.7979145213</v>
      </c>
      <c r="K106" s="309">
        <f t="shared" si="9"/>
        <v>1170321.688605296</v>
      </c>
      <c r="L106" s="309">
        <f t="shared" si="9"/>
        <v>1131193.0613192907</v>
      </c>
      <c r="M106" s="309">
        <f t="shared" si="9"/>
        <v>1093372.6636322017</v>
      </c>
      <c r="N106" s="308">
        <v>0</v>
      </c>
      <c r="O106" s="462">
        <v>0</v>
      </c>
      <c r="P106" s="463">
        <v>1</v>
      </c>
      <c r="Q106" s="309">
        <f t="shared" si="10"/>
        <v>0</v>
      </c>
      <c r="R106" s="311">
        <f t="shared" si="11"/>
        <v>0</v>
      </c>
      <c r="S106" s="312">
        <f t="shared" si="12"/>
        <v>1093372.6636322017</v>
      </c>
      <c r="T106" s="309">
        <f t="shared" si="13"/>
        <v>0</v>
      </c>
      <c r="U106" s="311">
        <f t="shared" si="14"/>
        <v>0</v>
      </c>
      <c r="V106" s="464">
        <f t="shared" si="15"/>
        <v>1093372.6636322017</v>
      </c>
      <c r="W106" s="311">
        <f t="shared" si="16"/>
        <v>0</v>
      </c>
      <c r="X106" s="321"/>
      <c r="Y106" s="321"/>
      <c r="Z106" s="321"/>
      <c r="AA106" s="321"/>
      <c r="AE106" s="436"/>
      <c r="AF106" s="436"/>
      <c r="AG106" s="436"/>
    </row>
    <row r="107" spans="1:33">
      <c r="A107" s="459" t="s">
        <v>2257</v>
      </c>
      <c r="B107" s="460"/>
      <c r="C107" s="461">
        <v>5783387.8499999996</v>
      </c>
      <c r="D107" s="461">
        <v>-1640560.63</v>
      </c>
      <c r="E107" s="429">
        <v>138</v>
      </c>
      <c r="F107" s="431">
        <v>4.2</v>
      </c>
      <c r="G107" s="450">
        <v>4142827.22</v>
      </c>
      <c r="H107" s="309">
        <f t="shared" si="9"/>
        <v>3999195.4002826004</v>
      </c>
      <c r="I107" s="309">
        <f t="shared" si="9"/>
        <v>3856704.0681705307</v>
      </c>
      <c r="J107" s="309">
        <f t="shared" si="9"/>
        <v>3723814.5392154306</v>
      </c>
      <c r="K107" s="309">
        <f t="shared" si="9"/>
        <v>3599312.2313407371</v>
      </c>
      <c r="L107" s="309">
        <f t="shared" si="9"/>
        <v>3478972.5434093531</v>
      </c>
      <c r="M107" s="309">
        <f t="shared" si="9"/>
        <v>3362656.3020590479</v>
      </c>
      <c r="N107" s="308">
        <v>0</v>
      </c>
      <c r="O107" s="462">
        <v>1</v>
      </c>
      <c r="P107" s="463">
        <v>0</v>
      </c>
      <c r="Q107" s="309">
        <f t="shared" si="10"/>
        <v>0</v>
      </c>
      <c r="R107" s="311">
        <f t="shared" si="11"/>
        <v>3362656.3020590479</v>
      </c>
      <c r="S107" s="312">
        <f t="shared" si="12"/>
        <v>0</v>
      </c>
      <c r="T107" s="309">
        <f t="shared" si="13"/>
        <v>0</v>
      </c>
      <c r="U107" s="311">
        <f t="shared" si="14"/>
        <v>0</v>
      </c>
      <c r="V107" s="464">
        <f t="shared" si="15"/>
        <v>3362656.3020590479</v>
      </c>
      <c r="W107" s="311">
        <f t="shared" si="16"/>
        <v>0</v>
      </c>
      <c r="X107" s="321"/>
      <c r="Y107" s="321"/>
      <c r="Z107" s="321"/>
      <c r="AA107" s="321"/>
      <c r="AE107" s="436"/>
      <c r="AF107" s="436"/>
      <c r="AG107" s="436"/>
    </row>
    <row r="108" spans="1:33">
      <c r="A108" s="459" t="s">
        <v>2258</v>
      </c>
      <c r="B108" s="460"/>
      <c r="C108" s="461">
        <v>14166089.07</v>
      </c>
      <c r="D108" s="461">
        <v>-2169435.79</v>
      </c>
      <c r="E108" s="429">
        <v>138</v>
      </c>
      <c r="F108" s="431">
        <v>25</v>
      </c>
      <c r="G108" s="450">
        <v>11996653.279999999</v>
      </c>
      <c r="H108" s="309">
        <f t="shared" si="9"/>
        <v>11580729.310782399</v>
      </c>
      <c r="I108" s="309">
        <f t="shared" si="9"/>
        <v>11168107.925439222</v>
      </c>
      <c r="J108" s="309">
        <f t="shared" si="9"/>
        <v>10783291.103796136</v>
      </c>
      <c r="K108" s="309">
        <f t="shared" si="9"/>
        <v>10422761.70181627</v>
      </c>
      <c r="L108" s="309">
        <f t="shared" si="9"/>
        <v>10074286.268188069</v>
      </c>
      <c r="M108" s="309">
        <f t="shared" si="9"/>
        <v>9737461.7895866148</v>
      </c>
      <c r="N108" s="308">
        <v>0</v>
      </c>
      <c r="O108" s="462">
        <v>1</v>
      </c>
      <c r="P108" s="463">
        <v>0</v>
      </c>
      <c r="Q108" s="309">
        <f t="shared" si="10"/>
        <v>0</v>
      </c>
      <c r="R108" s="311">
        <f t="shared" si="11"/>
        <v>9737461.7895866148</v>
      </c>
      <c r="S108" s="312">
        <f t="shared" si="12"/>
        <v>0</v>
      </c>
      <c r="T108" s="309">
        <f t="shared" si="13"/>
        <v>0</v>
      </c>
      <c r="U108" s="311">
        <f t="shared" si="14"/>
        <v>0</v>
      </c>
      <c r="V108" s="464">
        <f t="shared" si="15"/>
        <v>9737461.7895866148</v>
      </c>
      <c r="W108" s="311">
        <f t="shared" si="16"/>
        <v>0</v>
      </c>
      <c r="X108" s="321"/>
      <c r="Y108" s="321"/>
      <c r="Z108" s="321"/>
      <c r="AA108" s="321"/>
      <c r="AE108" s="436"/>
      <c r="AF108" s="436"/>
      <c r="AG108" s="436"/>
    </row>
    <row r="109" spans="1:33">
      <c r="A109" s="459" t="s">
        <v>2259</v>
      </c>
      <c r="B109" s="460"/>
      <c r="C109" s="461">
        <v>7631348.7300000004</v>
      </c>
      <c r="D109" s="461">
        <v>-1939609.01</v>
      </c>
      <c r="E109" s="429">
        <v>138</v>
      </c>
      <c r="F109" s="431">
        <v>25</v>
      </c>
      <c r="G109" s="450">
        <v>5691739.7199999997</v>
      </c>
      <c r="H109" s="309">
        <f t="shared" si="9"/>
        <v>5494407.1039076</v>
      </c>
      <c r="I109" s="309">
        <f t="shared" si="9"/>
        <v>5298641.3787953714</v>
      </c>
      <c r="J109" s="309">
        <f t="shared" si="9"/>
        <v>5116067.3610631442</v>
      </c>
      <c r="K109" s="309">
        <f t="shared" si="9"/>
        <v>4945016.3629570575</v>
      </c>
      <c r="L109" s="309">
        <f t="shared" si="9"/>
        <v>4779684.2973606894</v>
      </c>
      <c r="M109" s="309">
        <f t="shared" si="9"/>
        <v>4619879.9570351858</v>
      </c>
      <c r="N109" s="308">
        <v>0</v>
      </c>
      <c r="O109" s="462">
        <v>1</v>
      </c>
      <c r="P109" s="463">
        <v>0</v>
      </c>
      <c r="Q109" s="309">
        <f t="shared" si="10"/>
        <v>0</v>
      </c>
      <c r="R109" s="311">
        <f t="shared" si="11"/>
        <v>4619879.9570351858</v>
      </c>
      <c r="S109" s="312">
        <f t="shared" si="12"/>
        <v>0</v>
      </c>
      <c r="T109" s="309">
        <f t="shared" si="13"/>
        <v>0</v>
      </c>
      <c r="U109" s="311">
        <f t="shared" si="14"/>
        <v>0</v>
      </c>
      <c r="V109" s="464">
        <f t="shared" si="15"/>
        <v>4619879.9570351858</v>
      </c>
      <c r="W109" s="311">
        <f t="shared" si="16"/>
        <v>0</v>
      </c>
      <c r="X109" s="321"/>
      <c r="Y109" s="321"/>
      <c r="Z109" s="321"/>
      <c r="AA109" s="321"/>
      <c r="AE109" s="436"/>
      <c r="AF109" s="436"/>
      <c r="AG109" s="436"/>
    </row>
    <row r="110" spans="1:33">
      <c r="A110" s="459" t="s">
        <v>2260</v>
      </c>
      <c r="B110" s="460"/>
      <c r="C110" s="461">
        <v>1861301.42</v>
      </c>
      <c r="D110" s="461">
        <v>-793754.32</v>
      </c>
      <c r="E110" s="429">
        <v>138</v>
      </c>
      <c r="F110" s="431">
        <v>138</v>
      </c>
      <c r="G110" s="450">
        <v>1067547.1000000001</v>
      </c>
      <c r="H110" s="309">
        <f t="shared" ref="H110:M152" si="17">+$G110*(H$3)</f>
        <v>1030535.2420430001</v>
      </c>
      <c r="I110" s="309">
        <f t="shared" si="17"/>
        <v>993817.27136900788</v>
      </c>
      <c r="J110" s="309">
        <f t="shared" si="17"/>
        <v>959573.54752469482</v>
      </c>
      <c r="K110" s="309">
        <f t="shared" si="17"/>
        <v>927491.0901455197</v>
      </c>
      <c r="L110" s="309">
        <f t="shared" si="17"/>
        <v>896481.28016699641</v>
      </c>
      <c r="M110" s="309">
        <f t="shared" si="17"/>
        <v>866508.25461165642</v>
      </c>
      <c r="N110" s="308">
        <v>0</v>
      </c>
      <c r="O110" s="462">
        <v>0</v>
      </c>
      <c r="P110" s="463">
        <v>1</v>
      </c>
      <c r="Q110" s="309">
        <f t="shared" si="10"/>
        <v>0</v>
      </c>
      <c r="R110" s="311">
        <f t="shared" si="11"/>
        <v>0</v>
      </c>
      <c r="S110" s="312">
        <f t="shared" si="12"/>
        <v>866508.25461165642</v>
      </c>
      <c r="T110" s="309">
        <f t="shared" si="13"/>
        <v>0</v>
      </c>
      <c r="U110" s="311">
        <f t="shared" si="14"/>
        <v>866508.25461165642</v>
      </c>
      <c r="V110" s="464">
        <f t="shared" si="15"/>
        <v>0</v>
      </c>
      <c r="W110" s="311">
        <f t="shared" si="16"/>
        <v>0</v>
      </c>
      <c r="X110" s="321"/>
      <c r="Y110" s="321"/>
      <c r="Z110" s="321"/>
      <c r="AA110" s="321"/>
      <c r="AE110" s="436"/>
      <c r="AF110" s="436"/>
      <c r="AG110" s="436"/>
    </row>
    <row r="111" spans="1:33">
      <c r="A111" s="459" t="s">
        <v>2261</v>
      </c>
      <c r="B111" s="460"/>
      <c r="C111" s="461">
        <v>1349013</v>
      </c>
      <c r="D111" s="461">
        <v>-518891.62</v>
      </c>
      <c r="E111" s="429">
        <v>138</v>
      </c>
      <c r="F111" s="431">
        <v>138</v>
      </c>
      <c r="G111" s="450">
        <v>830121.38</v>
      </c>
      <c r="H111" s="309">
        <f t="shared" si="17"/>
        <v>801341.07175540004</v>
      </c>
      <c r="I111" s="309">
        <f t="shared" si="17"/>
        <v>772789.28936875507</v>
      </c>
      <c r="J111" s="309">
        <f t="shared" si="17"/>
        <v>746161.47379604622</v>
      </c>
      <c r="K111" s="309">
        <f t="shared" si="17"/>
        <v>721214.25245715457</v>
      </c>
      <c r="L111" s="309">
        <f t="shared" si="17"/>
        <v>697101.11847654649</v>
      </c>
      <c r="M111" s="309">
        <f t="shared" si="17"/>
        <v>673794.18491195329</v>
      </c>
      <c r="N111" s="308">
        <v>0</v>
      </c>
      <c r="O111" s="462">
        <v>0</v>
      </c>
      <c r="P111" s="463">
        <v>1</v>
      </c>
      <c r="Q111" s="309">
        <f t="shared" si="10"/>
        <v>0</v>
      </c>
      <c r="R111" s="311">
        <f t="shared" si="11"/>
        <v>0</v>
      </c>
      <c r="S111" s="312">
        <f t="shared" si="12"/>
        <v>673794.18491195329</v>
      </c>
      <c r="T111" s="309">
        <f t="shared" si="13"/>
        <v>0</v>
      </c>
      <c r="U111" s="311">
        <f t="shared" si="14"/>
        <v>673794.18491195329</v>
      </c>
      <c r="V111" s="464">
        <f t="shared" si="15"/>
        <v>0</v>
      </c>
      <c r="W111" s="311">
        <f t="shared" si="16"/>
        <v>0</v>
      </c>
      <c r="X111" s="321"/>
      <c r="Y111" s="321"/>
      <c r="Z111" s="321"/>
      <c r="AA111" s="321"/>
      <c r="AE111" s="436"/>
      <c r="AF111" s="436"/>
      <c r="AG111" s="436"/>
    </row>
    <row r="112" spans="1:33">
      <c r="A112" s="459" t="s">
        <v>2262</v>
      </c>
      <c r="B112" s="460"/>
      <c r="C112" s="461">
        <v>8857694.8399999999</v>
      </c>
      <c r="D112" s="461">
        <v>-2725035.58</v>
      </c>
      <c r="E112" s="429">
        <v>138</v>
      </c>
      <c r="F112" s="431">
        <v>25</v>
      </c>
      <c r="G112" s="450">
        <v>6132659.2599999998</v>
      </c>
      <c r="H112" s="309">
        <f t="shared" si="17"/>
        <v>5920039.9634558</v>
      </c>
      <c r="I112" s="309">
        <f t="shared" si="17"/>
        <v>5709108.939557869</v>
      </c>
      <c r="J112" s="309">
        <f t="shared" si="17"/>
        <v>5512391.5393319586</v>
      </c>
      <c r="K112" s="309">
        <f t="shared" si="17"/>
        <v>5328089.8075114582</v>
      </c>
      <c r="L112" s="309">
        <f t="shared" si="17"/>
        <v>5149950.0342727592</v>
      </c>
      <c r="M112" s="309">
        <f t="shared" si="17"/>
        <v>4977766.2002085075</v>
      </c>
      <c r="N112" s="308">
        <v>0</v>
      </c>
      <c r="O112" s="462">
        <v>1</v>
      </c>
      <c r="P112" s="463">
        <v>0</v>
      </c>
      <c r="Q112" s="309">
        <f t="shared" si="10"/>
        <v>0</v>
      </c>
      <c r="R112" s="311">
        <f t="shared" si="11"/>
        <v>4977766.2002085075</v>
      </c>
      <c r="S112" s="312">
        <f t="shared" si="12"/>
        <v>0</v>
      </c>
      <c r="T112" s="309">
        <f t="shared" si="13"/>
        <v>0</v>
      </c>
      <c r="U112" s="311">
        <f t="shared" si="14"/>
        <v>0</v>
      </c>
      <c r="V112" s="464">
        <f t="shared" si="15"/>
        <v>4977766.2002085075</v>
      </c>
      <c r="W112" s="311">
        <f t="shared" si="16"/>
        <v>0</v>
      </c>
      <c r="X112" s="321"/>
      <c r="Y112" s="321"/>
      <c r="Z112" s="321"/>
      <c r="AA112" s="321"/>
      <c r="AE112" s="436"/>
      <c r="AF112" s="436"/>
      <c r="AG112" s="436"/>
    </row>
    <row r="113" spans="1:33">
      <c r="A113" s="459" t="s">
        <v>2263</v>
      </c>
      <c r="B113" s="460"/>
      <c r="C113" s="461">
        <v>7990066.8099999996</v>
      </c>
      <c r="D113" s="461">
        <v>-2507440.8199999998</v>
      </c>
      <c r="E113" s="429">
        <v>138</v>
      </c>
      <c r="F113" s="431">
        <v>25</v>
      </c>
      <c r="G113" s="450">
        <v>5482625.9900000002</v>
      </c>
      <c r="H113" s="309">
        <f t="shared" si="17"/>
        <v>5292543.3469267003</v>
      </c>
      <c r="I113" s="309">
        <f t="shared" si="17"/>
        <v>5103970.0274757016</v>
      </c>
      <c r="J113" s="309">
        <f t="shared" si="17"/>
        <v>4928103.7539003119</v>
      </c>
      <c r="K113" s="309">
        <f t="shared" si="17"/>
        <v>4763337.1458039265</v>
      </c>
      <c r="L113" s="309">
        <f t="shared" si="17"/>
        <v>4604079.3574279258</v>
      </c>
      <c r="M113" s="309">
        <f t="shared" si="17"/>
        <v>4450146.2064609649</v>
      </c>
      <c r="N113" s="308">
        <v>0</v>
      </c>
      <c r="O113" s="462">
        <v>1</v>
      </c>
      <c r="P113" s="463">
        <v>0</v>
      </c>
      <c r="Q113" s="309">
        <f t="shared" si="10"/>
        <v>0</v>
      </c>
      <c r="R113" s="311">
        <f t="shared" si="11"/>
        <v>4450146.2064609649</v>
      </c>
      <c r="S113" s="312">
        <f t="shared" si="12"/>
        <v>0</v>
      </c>
      <c r="T113" s="309">
        <f t="shared" si="13"/>
        <v>0</v>
      </c>
      <c r="U113" s="311">
        <f t="shared" si="14"/>
        <v>0</v>
      </c>
      <c r="V113" s="464">
        <f t="shared" si="15"/>
        <v>4450146.2064609649</v>
      </c>
      <c r="W113" s="311">
        <f t="shared" si="16"/>
        <v>0</v>
      </c>
      <c r="X113" s="321"/>
      <c r="Y113" s="321"/>
      <c r="Z113" s="321"/>
      <c r="AA113" s="321"/>
      <c r="AE113" s="436"/>
      <c r="AF113" s="436"/>
      <c r="AG113" s="436"/>
    </row>
    <row r="114" spans="1:33">
      <c r="A114" s="459" t="s">
        <v>2264</v>
      </c>
      <c r="B114" s="460"/>
      <c r="C114" s="461">
        <v>1460218.74</v>
      </c>
      <c r="D114" s="461">
        <v>-699205.44</v>
      </c>
      <c r="E114" s="429">
        <v>138</v>
      </c>
      <c r="F114" s="431">
        <v>25</v>
      </c>
      <c r="G114" s="450">
        <v>761013.3</v>
      </c>
      <c r="H114" s="309">
        <f t="shared" si="17"/>
        <v>734628.96888900001</v>
      </c>
      <c r="I114" s="309">
        <f t="shared" si="17"/>
        <v>708454.13872748497</v>
      </c>
      <c r="J114" s="309">
        <f t="shared" si="17"/>
        <v>684043.10404147487</v>
      </c>
      <c r="K114" s="309">
        <f t="shared" si="17"/>
        <v>661172.75315743859</v>
      </c>
      <c r="L114" s="309">
        <f t="shared" si="17"/>
        <v>639067.05138172407</v>
      </c>
      <c r="M114" s="309">
        <f t="shared" si="17"/>
        <v>617700.43337596708</v>
      </c>
      <c r="N114" s="308">
        <v>0</v>
      </c>
      <c r="O114" s="462">
        <v>1</v>
      </c>
      <c r="P114" s="463">
        <v>0</v>
      </c>
      <c r="Q114" s="309">
        <f t="shared" si="10"/>
        <v>0</v>
      </c>
      <c r="R114" s="311">
        <f t="shared" si="11"/>
        <v>617700.43337596708</v>
      </c>
      <c r="S114" s="312">
        <f t="shared" si="12"/>
        <v>0</v>
      </c>
      <c r="T114" s="309">
        <f t="shared" si="13"/>
        <v>0</v>
      </c>
      <c r="U114" s="311">
        <f t="shared" si="14"/>
        <v>0</v>
      </c>
      <c r="V114" s="464">
        <f t="shared" si="15"/>
        <v>617700.43337596708</v>
      </c>
      <c r="W114" s="311">
        <f t="shared" si="16"/>
        <v>0</v>
      </c>
      <c r="X114" s="321"/>
      <c r="Y114" s="321"/>
      <c r="Z114" s="321"/>
      <c r="AA114" s="321"/>
      <c r="AE114" s="436"/>
      <c r="AF114" s="436"/>
      <c r="AG114" s="436"/>
    </row>
    <row r="115" spans="1:33">
      <c r="A115" s="459" t="s">
        <v>2265</v>
      </c>
      <c r="B115" s="460"/>
      <c r="C115" s="461">
        <v>8531788.4399999995</v>
      </c>
      <c r="D115" s="461">
        <v>-602818.23</v>
      </c>
      <c r="E115" s="429">
        <v>240</v>
      </c>
      <c r="F115" s="431">
        <v>34.5</v>
      </c>
      <c r="G115" s="450">
        <v>7928970.21</v>
      </c>
      <c r="H115" s="309">
        <f t="shared" si="17"/>
        <v>7654072.8128193002</v>
      </c>
      <c r="I115" s="309">
        <f t="shared" si="17"/>
        <v>7381358.198498548</v>
      </c>
      <c r="J115" s="309">
        <f t="shared" si="17"/>
        <v>7127020.5058187349</v>
      </c>
      <c r="K115" s="309">
        <f t="shared" si="17"/>
        <v>6888735.1422754554</v>
      </c>
      <c r="L115" s="309">
        <f t="shared" si="17"/>
        <v>6658416.6302983519</v>
      </c>
      <c r="M115" s="309">
        <f t="shared" si="17"/>
        <v>6435798.6055462267</v>
      </c>
      <c r="N115" s="308">
        <v>0.99826388888888884</v>
      </c>
      <c r="O115" s="462">
        <v>1.7361111111111112E-3</v>
      </c>
      <c r="P115" s="463">
        <v>0</v>
      </c>
      <c r="Q115" s="309">
        <f t="shared" si="10"/>
        <v>6424625.3440782642</v>
      </c>
      <c r="R115" s="311">
        <f t="shared" si="11"/>
        <v>11173.2614679622</v>
      </c>
      <c r="S115" s="312">
        <f t="shared" si="12"/>
        <v>0</v>
      </c>
      <c r="T115" s="309">
        <f t="shared" si="13"/>
        <v>6424625.3440782642</v>
      </c>
      <c r="U115" s="311">
        <f t="shared" si="14"/>
        <v>0</v>
      </c>
      <c r="V115" s="464">
        <f t="shared" si="15"/>
        <v>11173.2614679622</v>
      </c>
      <c r="W115" s="311">
        <f t="shared" si="16"/>
        <v>0</v>
      </c>
      <c r="X115" s="321"/>
      <c r="Y115" s="321"/>
      <c r="Z115" s="321"/>
      <c r="AA115" s="321"/>
      <c r="AE115" s="436"/>
      <c r="AF115" s="436"/>
      <c r="AG115" s="436"/>
    </row>
    <row r="116" spans="1:33">
      <c r="A116" s="459" t="s">
        <v>2266</v>
      </c>
      <c r="B116" s="460"/>
      <c r="C116" s="461">
        <v>4408170.07</v>
      </c>
      <c r="D116" s="461">
        <v>-1567462.95</v>
      </c>
      <c r="E116" s="429">
        <v>138</v>
      </c>
      <c r="F116" s="431">
        <v>25</v>
      </c>
      <c r="G116" s="450">
        <v>2840707.12</v>
      </c>
      <c r="H116" s="309">
        <f t="shared" si="17"/>
        <v>2742219.8041496002</v>
      </c>
      <c r="I116" s="309">
        <f t="shared" si="17"/>
        <v>2644514.5125277494</v>
      </c>
      <c r="J116" s="309">
        <f t="shared" si="17"/>
        <v>2553393.1089476603</v>
      </c>
      <c r="K116" s="309">
        <f t="shared" si="17"/>
        <v>2468022.7631295514</v>
      </c>
      <c r="L116" s="309">
        <f t="shared" si="17"/>
        <v>2385506.6961608548</v>
      </c>
      <c r="M116" s="309">
        <f t="shared" si="17"/>
        <v>2305749.4778582649</v>
      </c>
      <c r="N116" s="308">
        <v>0</v>
      </c>
      <c r="O116" s="462">
        <v>1</v>
      </c>
      <c r="P116" s="463">
        <v>0</v>
      </c>
      <c r="Q116" s="309">
        <f t="shared" si="10"/>
        <v>0</v>
      </c>
      <c r="R116" s="311">
        <f t="shared" si="11"/>
        <v>2305749.4778582649</v>
      </c>
      <c r="S116" s="312">
        <f t="shared" si="12"/>
        <v>0</v>
      </c>
      <c r="T116" s="309">
        <f t="shared" si="13"/>
        <v>0</v>
      </c>
      <c r="U116" s="311">
        <f t="shared" si="14"/>
        <v>0</v>
      </c>
      <c r="V116" s="464">
        <f t="shared" si="15"/>
        <v>2305749.4778582649</v>
      </c>
      <c r="W116" s="311">
        <f t="shared" si="16"/>
        <v>0</v>
      </c>
      <c r="X116" s="321"/>
      <c r="Y116" s="321"/>
      <c r="Z116" s="321"/>
      <c r="AA116" s="321"/>
      <c r="AE116" s="436"/>
      <c r="AF116" s="436"/>
      <c r="AG116" s="436"/>
    </row>
    <row r="117" spans="1:33">
      <c r="A117" s="459" t="s">
        <v>2267</v>
      </c>
      <c r="B117" s="460"/>
      <c r="C117" s="461">
        <v>826840.23</v>
      </c>
      <c r="D117" s="461">
        <v>-390410.87</v>
      </c>
      <c r="E117" s="429">
        <v>138</v>
      </c>
      <c r="F117" s="431">
        <v>25</v>
      </c>
      <c r="G117" s="450">
        <v>436429.36</v>
      </c>
      <c r="H117" s="309">
        <f t="shared" si="17"/>
        <v>421298.35408879997</v>
      </c>
      <c r="I117" s="309">
        <f t="shared" si="17"/>
        <v>406287.49373261601</v>
      </c>
      <c r="J117" s="309">
        <f t="shared" si="17"/>
        <v>392288.14280806168</v>
      </c>
      <c r="K117" s="309">
        <f t="shared" si="17"/>
        <v>379172.35022034292</v>
      </c>
      <c r="L117" s="309">
        <f t="shared" si="17"/>
        <v>366495.07207247615</v>
      </c>
      <c r="M117" s="309">
        <f t="shared" si="17"/>
        <v>354241.64703822642</v>
      </c>
      <c r="N117" s="308">
        <v>0</v>
      </c>
      <c r="O117" s="462">
        <v>1</v>
      </c>
      <c r="P117" s="463">
        <v>0</v>
      </c>
      <c r="Q117" s="309">
        <f t="shared" si="10"/>
        <v>0</v>
      </c>
      <c r="R117" s="311">
        <f t="shared" si="11"/>
        <v>354241.64703822642</v>
      </c>
      <c r="S117" s="312">
        <f t="shared" si="12"/>
        <v>0</v>
      </c>
      <c r="T117" s="309">
        <f t="shared" si="13"/>
        <v>0</v>
      </c>
      <c r="U117" s="311">
        <f t="shared" si="14"/>
        <v>0</v>
      </c>
      <c r="V117" s="464">
        <f t="shared" si="15"/>
        <v>354241.64703822642</v>
      </c>
      <c r="W117" s="311">
        <f t="shared" si="16"/>
        <v>0</v>
      </c>
      <c r="X117" s="321"/>
      <c r="Y117" s="321"/>
      <c r="Z117" s="321"/>
      <c r="AA117" s="321"/>
      <c r="AE117" s="436"/>
      <c r="AF117" s="436"/>
      <c r="AG117" s="436"/>
    </row>
    <row r="118" spans="1:33">
      <c r="A118" s="459" t="s">
        <v>2268</v>
      </c>
      <c r="B118" s="460"/>
      <c r="C118" s="461">
        <v>2658448.2799999998</v>
      </c>
      <c r="D118" s="461">
        <v>-1297202.31</v>
      </c>
      <c r="E118" s="429">
        <v>138</v>
      </c>
      <c r="F118" s="431">
        <v>25</v>
      </c>
      <c r="G118" s="450">
        <v>1361245.97</v>
      </c>
      <c r="H118" s="309">
        <f t="shared" si="17"/>
        <v>1314051.5722201001</v>
      </c>
      <c r="I118" s="309">
        <f t="shared" si="17"/>
        <v>1267231.9147018977</v>
      </c>
      <c r="J118" s="309">
        <f t="shared" si="17"/>
        <v>1223567.2079354571</v>
      </c>
      <c r="K118" s="309">
        <f t="shared" si="17"/>
        <v>1182658.3657728033</v>
      </c>
      <c r="L118" s="309">
        <f t="shared" si="17"/>
        <v>1143117.2730531185</v>
      </c>
      <c r="M118" s="309">
        <f t="shared" si="17"/>
        <v>1104898.2003340658</v>
      </c>
      <c r="N118" s="308">
        <v>0</v>
      </c>
      <c r="O118" s="462">
        <v>1</v>
      </c>
      <c r="P118" s="463">
        <v>0</v>
      </c>
      <c r="Q118" s="309">
        <f t="shared" si="10"/>
        <v>0</v>
      </c>
      <c r="R118" s="311">
        <f t="shared" si="11"/>
        <v>1104898.2003340658</v>
      </c>
      <c r="S118" s="312">
        <f t="shared" si="12"/>
        <v>0</v>
      </c>
      <c r="T118" s="309">
        <f t="shared" si="13"/>
        <v>0</v>
      </c>
      <c r="U118" s="311">
        <f t="shared" si="14"/>
        <v>0</v>
      </c>
      <c r="V118" s="464">
        <f t="shared" si="15"/>
        <v>1104898.2003340658</v>
      </c>
      <c r="W118" s="311">
        <f t="shared" si="16"/>
        <v>0</v>
      </c>
      <c r="X118" s="321"/>
      <c r="Y118" s="321"/>
      <c r="Z118" s="321"/>
      <c r="AA118" s="321"/>
      <c r="AE118" s="436"/>
      <c r="AF118" s="436"/>
      <c r="AG118" s="436"/>
    </row>
    <row r="119" spans="1:33">
      <c r="A119" s="459" t="s">
        <v>2269</v>
      </c>
      <c r="B119" s="460"/>
      <c r="C119" s="461">
        <v>3708115.44</v>
      </c>
      <c r="D119" s="461">
        <v>-2190143.48</v>
      </c>
      <c r="E119" s="429">
        <v>138</v>
      </c>
      <c r="F119" s="431">
        <v>25</v>
      </c>
      <c r="G119" s="450">
        <v>1517971.96</v>
      </c>
      <c r="H119" s="309">
        <f t="shared" si="17"/>
        <v>1465343.8721467999</v>
      </c>
      <c r="I119" s="309">
        <f t="shared" si="17"/>
        <v>1413133.6699822093</v>
      </c>
      <c r="J119" s="309">
        <f t="shared" si="17"/>
        <v>1364441.6613564065</v>
      </c>
      <c r="K119" s="309">
        <f t="shared" si="17"/>
        <v>1318822.8116499321</v>
      </c>
      <c r="L119" s="309">
        <f t="shared" si="17"/>
        <v>1274729.1861486998</v>
      </c>
      <c r="M119" s="309">
        <f t="shared" si="17"/>
        <v>1232109.7903867988</v>
      </c>
      <c r="N119" s="308">
        <v>0</v>
      </c>
      <c r="O119" s="462">
        <v>1</v>
      </c>
      <c r="P119" s="463">
        <v>0</v>
      </c>
      <c r="Q119" s="309">
        <f t="shared" si="10"/>
        <v>0</v>
      </c>
      <c r="R119" s="311">
        <f t="shared" si="11"/>
        <v>1232109.7903867988</v>
      </c>
      <c r="S119" s="312">
        <f t="shared" si="12"/>
        <v>0</v>
      </c>
      <c r="T119" s="309">
        <f t="shared" si="13"/>
        <v>0</v>
      </c>
      <c r="U119" s="311">
        <f t="shared" si="14"/>
        <v>0</v>
      </c>
      <c r="V119" s="464">
        <f t="shared" si="15"/>
        <v>1232109.7903867988</v>
      </c>
      <c r="W119" s="311">
        <f t="shared" si="16"/>
        <v>0</v>
      </c>
      <c r="X119" s="321"/>
      <c r="Y119" s="321"/>
      <c r="Z119" s="321"/>
      <c r="AA119" s="321"/>
      <c r="AE119" s="436"/>
      <c r="AF119" s="436"/>
      <c r="AG119" s="436"/>
    </row>
    <row r="120" spans="1:33">
      <c r="A120" s="459" t="s">
        <v>2270</v>
      </c>
      <c r="B120" s="460"/>
      <c r="C120" s="461">
        <v>9299721.2400000002</v>
      </c>
      <c r="D120" s="461">
        <v>-1918424.09</v>
      </c>
      <c r="E120" s="429">
        <v>138</v>
      </c>
      <c r="F120" s="431">
        <v>4.2</v>
      </c>
      <c r="G120" s="450">
        <v>7381297.1500000004</v>
      </c>
      <c r="H120" s="309">
        <f t="shared" si="17"/>
        <v>7125387.5778095005</v>
      </c>
      <c r="I120" s="309">
        <f t="shared" si="17"/>
        <v>6871510.0184121476</v>
      </c>
      <c r="J120" s="309">
        <f t="shared" si="17"/>
        <v>6634740.0424388014</v>
      </c>
      <c r="K120" s="309">
        <f t="shared" si="17"/>
        <v>6412913.6225853804</v>
      </c>
      <c r="L120" s="309">
        <f t="shared" si="17"/>
        <v>6198503.7646816727</v>
      </c>
      <c r="M120" s="309">
        <f t="shared" si="17"/>
        <v>5991262.5028127506</v>
      </c>
      <c r="N120" s="308">
        <v>0</v>
      </c>
      <c r="O120" s="462">
        <v>0</v>
      </c>
      <c r="P120" s="463">
        <v>1</v>
      </c>
      <c r="Q120" s="309">
        <f t="shared" si="10"/>
        <v>0</v>
      </c>
      <c r="R120" s="311">
        <f t="shared" si="11"/>
        <v>0</v>
      </c>
      <c r="S120" s="312">
        <f t="shared" si="12"/>
        <v>5991262.5028127506</v>
      </c>
      <c r="T120" s="309">
        <f t="shared" si="13"/>
        <v>0</v>
      </c>
      <c r="U120" s="311">
        <f t="shared" si="14"/>
        <v>0</v>
      </c>
      <c r="V120" s="464">
        <f t="shared" si="15"/>
        <v>5991262.5028127506</v>
      </c>
      <c r="W120" s="311">
        <f t="shared" si="16"/>
        <v>0</v>
      </c>
      <c r="X120" s="321"/>
      <c r="Y120" s="321"/>
      <c r="Z120" s="321"/>
      <c r="AA120" s="321"/>
      <c r="AE120" s="436"/>
      <c r="AF120" s="436"/>
      <c r="AG120" s="436"/>
    </row>
    <row r="121" spans="1:33">
      <c r="A121" s="459" t="s">
        <v>2271</v>
      </c>
      <c r="B121" s="460"/>
      <c r="C121" s="461">
        <v>6605602.2400000002</v>
      </c>
      <c r="D121" s="461">
        <v>-2757892.86</v>
      </c>
      <c r="E121" s="429">
        <v>138</v>
      </c>
      <c r="F121" s="431">
        <v>25</v>
      </c>
      <c r="G121" s="450">
        <v>3847709.38</v>
      </c>
      <c r="H121" s="309">
        <f t="shared" si="17"/>
        <v>3714309.2957954002</v>
      </c>
      <c r="I121" s="309">
        <f t="shared" si="17"/>
        <v>3581968.4555862094</v>
      </c>
      <c r="J121" s="309">
        <f t="shared" si="17"/>
        <v>3458545.4258745527</v>
      </c>
      <c r="K121" s="309">
        <f t="shared" si="17"/>
        <v>3342912.1463768124</v>
      </c>
      <c r="L121" s="309">
        <f t="shared" si="17"/>
        <v>3231144.9590308098</v>
      </c>
      <c r="M121" s="309">
        <f t="shared" si="17"/>
        <v>3123114.6046077949</v>
      </c>
      <c r="N121" s="308">
        <v>0</v>
      </c>
      <c r="O121" s="462">
        <v>1</v>
      </c>
      <c r="P121" s="463">
        <v>0</v>
      </c>
      <c r="Q121" s="309">
        <f t="shared" si="10"/>
        <v>0</v>
      </c>
      <c r="R121" s="311">
        <f t="shared" si="11"/>
        <v>3123114.6046077949</v>
      </c>
      <c r="S121" s="312">
        <f t="shared" si="12"/>
        <v>0</v>
      </c>
      <c r="T121" s="309">
        <f t="shared" si="13"/>
        <v>0</v>
      </c>
      <c r="U121" s="311">
        <f t="shared" si="14"/>
        <v>0</v>
      </c>
      <c r="V121" s="464">
        <f t="shared" si="15"/>
        <v>3123114.6046077949</v>
      </c>
      <c r="W121" s="311">
        <f t="shared" si="16"/>
        <v>0</v>
      </c>
      <c r="X121" s="321"/>
      <c r="Y121" s="321"/>
      <c r="Z121" s="321"/>
      <c r="AA121" s="321"/>
      <c r="AE121" s="436"/>
      <c r="AF121" s="436"/>
      <c r="AG121" s="436"/>
    </row>
    <row r="122" spans="1:33">
      <c r="A122" s="459" t="s">
        <v>2272</v>
      </c>
      <c r="B122" s="460"/>
      <c r="C122" s="461">
        <v>8494352.8699999992</v>
      </c>
      <c r="D122" s="461">
        <v>-2007397.73</v>
      </c>
      <c r="E122" s="429">
        <v>138</v>
      </c>
      <c r="F122" s="431">
        <v>4.2</v>
      </c>
      <c r="G122" s="450">
        <v>6486955.1399999997</v>
      </c>
      <c r="H122" s="309">
        <f t="shared" si="17"/>
        <v>6262052.4052962</v>
      </c>
      <c r="I122" s="309">
        <f t="shared" si="17"/>
        <v>6038935.4780954951</v>
      </c>
      <c r="J122" s="309">
        <f t="shared" si="17"/>
        <v>5830853.3237768644</v>
      </c>
      <c r="K122" s="309">
        <f t="shared" si="17"/>
        <v>5635904.1156345066</v>
      </c>
      <c r="L122" s="309">
        <f t="shared" si="17"/>
        <v>5447472.8546338398</v>
      </c>
      <c r="M122" s="309">
        <f t="shared" si="17"/>
        <v>5265341.61921803</v>
      </c>
      <c r="N122" s="308">
        <v>0</v>
      </c>
      <c r="O122" s="462">
        <v>1</v>
      </c>
      <c r="P122" s="463">
        <v>0</v>
      </c>
      <c r="Q122" s="309">
        <f t="shared" si="10"/>
        <v>0</v>
      </c>
      <c r="R122" s="311">
        <f t="shared" si="11"/>
        <v>5265341.61921803</v>
      </c>
      <c r="S122" s="312">
        <f t="shared" si="12"/>
        <v>0</v>
      </c>
      <c r="T122" s="309">
        <f t="shared" si="13"/>
        <v>0</v>
      </c>
      <c r="U122" s="311">
        <f t="shared" si="14"/>
        <v>0</v>
      </c>
      <c r="V122" s="464">
        <f t="shared" si="15"/>
        <v>5265341.61921803</v>
      </c>
      <c r="W122" s="311">
        <f t="shared" si="16"/>
        <v>0</v>
      </c>
      <c r="X122" s="321"/>
      <c r="Y122" s="321"/>
      <c r="Z122" s="321"/>
      <c r="AA122" s="321"/>
      <c r="AE122" s="436"/>
      <c r="AF122" s="436"/>
      <c r="AG122" s="436"/>
    </row>
    <row r="123" spans="1:33">
      <c r="A123" s="459" t="s">
        <v>2273</v>
      </c>
      <c r="B123" s="460"/>
      <c r="C123" s="461">
        <v>10631643.73</v>
      </c>
      <c r="D123" s="461">
        <v>-2456027.2599999998</v>
      </c>
      <c r="E123" s="429">
        <v>138</v>
      </c>
      <c r="F123" s="431">
        <v>4.2</v>
      </c>
      <c r="G123" s="450">
        <v>8175616.4699999997</v>
      </c>
      <c r="H123" s="309">
        <f t="shared" si="17"/>
        <v>7892167.8469850998</v>
      </c>
      <c r="I123" s="309">
        <f t="shared" si="17"/>
        <v>7610969.9065970201</v>
      </c>
      <c r="J123" s="309">
        <f t="shared" si="17"/>
        <v>7348720.5382499956</v>
      </c>
      <c r="K123" s="309">
        <f t="shared" si="17"/>
        <v>7103022.8384040063</v>
      </c>
      <c r="L123" s="309">
        <f t="shared" si="17"/>
        <v>6865539.8147585057</v>
      </c>
      <c r="M123" s="309">
        <f t="shared" si="17"/>
        <v>6635996.8171840012</v>
      </c>
      <c r="N123" s="308">
        <v>0</v>
      </c>
      <c r="O123" s="462">
        <v>1</v>
      </c>
      <c r="P123" s="463">
        <v>0</v>
      </c>
      <c r="Q123" s="309">
        <f t="shared" si="10"/>
        <v>0</v>
      </c>
      <c r="R123" s="311">
        <f t="shared" si="11"/>
        <v>6635996.8171840012</v>
      </c>
      <c r="S123" s="312">
        <f t="shared" si="12"/>
        <v>0</v>
      </c>
      <c r="T123" s="309">
        <f t="shared" si="13"/>
        <v>0</v>
      </c>
      <c r="U123" s="311">
        <f t="shared" si="14"/>
        <v>0</v>
      </c>
      <c r="V123" s="464">
        <f t="shared" si="15"/>
        <v>6635996.8171840012</v>
      </c>
      <c r="W123" s="311">
        <f t="shared" si="16"/>
        <v>0</v>
      </c>
      <c r="X123" s="321"/>
      <c r="Y123" s="321"/>
      <c r="Z123" s="321"/>
      <c r="AA123" s="321"/>
      <c r="AE123" s="436"/>
      <c r="AF123" s="436"/>
      <c r="AG123" s="436"/>
    </row>
    <row r="124" spans="1:33">
      <c r="A124" s="459" t="s">
        <v>2274</v>
      </c>
      <c r="B124" s="460"/>
      <c r="C124" s="461">
        <v>5408505.5199999996</v>
      </c>
      <c r="D124" s="461">
        <v>-1241832.69</v>
      </c>
      <c r="E124" s="429">
        <v>138</v>
      </c>
      <c r="F124" s="431">
        <v>69</v>
      </c>
      <c r="G124" s="450">
        <v>4166672.83</v>
      </c>
      <c r="H124" s="309">
        <f t="shared" si="17"/>
        <v>4022214.2829839</v>
      </c>
      <c r="I124" s="309">
        <f t="shared" si="17"/>
        <v>3878902.7880811836</v>
      </c>
      <c r="J124" s="309">
        <f t="shared" si="17"/>
        <v>3745248.363147499</v>
      </c>
      <c r="K124" s="309">
        <f t="shared" si="17"/>
        <v>3620029.4351194599</v>
      </c>
      <c r="L124" s="309">
        <f t="shared" si="17"/>
        <v>3498997.0865692408</v>
      </c>
      <c r="M124" s="309">
        <f t="shared" si="17"/>
        <v>3382011.3430696507</v>
      </c>
      <c r="N124" s="308">
        <v>0</v>
      </c>
      <c r="O124" s="462">
        <v>0</v>
      </c>
      <c r="P124" s="463">
        <v>1</v>
      </c>
      <c r="Q124" s="309">
        <f t="shared" si="10"/>
        <v>0</v>
      </c>
      <c r="R124" s="311">
        <f t="shared" si="11"/>
        <v>0</v>
      </c>
      <c r="S124" s="312">
        <f t="shared" si="12"/>
        <v>3382011.3430696507</v>
      </c>
      <c r="T124" s="309">
        <f t="shared" si="13"/>
        <v>0</v>
      </c>
      <c r="U124" s="311">
        <f t="shared" si="14"/>
        <v>3382011.3430696507</v>
      </c>
      <c r="V124" s="464">
        <f t="shared" si="15"/>
        <v>0</v>
      </c>
      <c r="W124" s="311">
        <f t="shared" si="16"/>
        <v>0</v>
      </c>
      <c r="X124" s="321"/>
      <c r="Y124" s="321"/>
      <c r="Z124" s="321"/>
      <c r="AA124" s="321"/>
      <c r="AE124" s="436"/>
      <c r="AF124" s="436"/>
      <c r="AG124" s="436"/>
    </row>
    <row r="125" spans="1:33">
      <c r="A125" s="459" t="s">
        <v>2275</v>
      </c>
      <c r="B125" s="460"/>
      <c r="C125" s="461">
        <v>131920.73000000001</v>
      </c>
      <c r="D125" s="461">
        <v>-43068.79</v>
      </c>
      <c r="E125" s="429">
        <v>138</v>
      </c>
      <c r="F125" s="431">
        <v>25</v>
      </c>
      <c r="G125" s="450">
        <v>88851.94</v>
      </c>
      <c r="H125" s="309">
        <f t="shared" si="17"/>
        <v>85771.443240200009</v>
      </c>
      <c r="I125" s="309">
        <f t="shared" si="17"/>
        <v>82715.406717551668</v>
      </c>
      <c r="J125" s="309">
        <f t="shared" si="17"/>
        <v>79865.301746640806</v>
      </c>
      <c r="K125" s="309">
        <f t="shared" si="17"/>
        <v>77195.078973231546</v>
      </c>
      <c r="L125" s="309">
        <f t="shared" si="17"/>
        <v>74614.132637820992</v>
      </c>
      <c r="M125" s="309">
        <f t="shared" si="17"/>
        <v>72119.477864966902</v>
      </c>
      <c r="N125" s="308">
        <v>0.98586920801840294</v>
      </c>
      <c r="O125" s="462">
        <v>1.4130791981597108E-2</v>
      </c>
      <c r="P125" s="463">
        <v>0</v>
      </c>
      <c r="Q125" s="309">
        <f t="shared" si="10"/>
        <v>71100.372525435669</v>
      </c>
      <c r="R125" s="311">
        <f t="shared" si="11"/>
        <v>1019.1053395312443</v>
      </c>
      <c r="S125" s="312">
        <f t="shared" si="12"/>
        <v>0</v>
      </c>
      <c r="T125" s="309">
        <f t="shared" si="13"/>
        <v>71100.372525435669</v>
      </c>
      <c r="U125" s="311">
        <f t="shared" si="14"/>
        <v>0</v>
      </c>
      <c r="V125" s="464">
        <f t="shared" si="15"/>
        <v>1019.1053395312443</v>
      </c>
      <c r="W125" s="311">
        <f t="shared" si="16"/>
        <v>0</v>
      </c>
      <c r="X125" s="321"/>
      <c r="Y125" s="321"/>
      <c r="Z125" s="321"/>
      <c r="AA125" s="321"/>
      <c r="AE125" s="436"/>
      <c r="AF125" s="436"/>
      <c r="AG125" s="436"/>
    </row>
    <row r="126" spans="1:33">
      <c r="A126" s="459" t="s">
        <v>2276</v>
      </c>
      <c r="B126" s="460"/>
      <c r="C126" s="461">
        <v>873849.65</v>
      </c>
      <c r="D126" s="461">
        <v>-462525.39</v>
      </c>
      <c r="E126" s="429">
        <v>138</v>
      </c>
      <c r="F126" s="431">
        <v>25</v>
      </c>
      <c r="G126" s="450">
        <v>411324.26</v>
      </c>
      <c r="H126" s="309">
        <f t="shared" si="17"/>
        <v>397063.64790580003</v>
      </c>
      <c r="I126" s="309">
        <f t="shared" si="17"/>
        <v>382916.27013091632</v>
      </c>
      <c r="J126" s="309">
        <f t="shared" si="17"/>
        <v>369722.21586398379</v>
      </c>
      <c r="K126" s="309">
        <f t="shared" si="17"/>
        <v>357360.89425066038</v>
      </c>
      <c r="L126" s="309">
        <f t="shared" si="17"/>
        <v>345412.86203535419</v>
      </c>
      <c r="M126" s="309">
        <f t="shared" si="17"/>
        <v>333864.30126786081</v>
      </c>
      <c r="N126" s="308">
        <v>0</v>
      </c>
      <c r="O126" s="462">
        <v>1</v>
      </c>
      <c r="P126" s="463">
        <v>0</v>
      </c>
      <c r="Q126" s="309">
        <f t="shared" si="10"/>
        <v>0</v>
      </c>
      <c r="R126" s="311">
        <f t="shared" si="11"/>
        <v>333864.30126786081</v>
      </c>
      <c r="S126" s="312">
        <f t="shared" si="12"/>
        <v>0</v>
      </c>
      <c r="T126" s="309">
        <f t="shared" si="13"/>
        <v>0</v>
      </c>
      <c r="U126" s="311">
        <f t="shared" si="14"/>
        <v>0</v>
      </c>
      <c r="V126" s="464">
        <f t="shared" si="15"/>
        <v>333864.30126786081</v>
      </c>
      <c r="W126" s="311">
        <f t="shared" si="16"/>
        <v>0</v>
      </c>
      <c r="X126" s="321"/>
      <c r="Y126" s="321"/>
      <c r="Z126" s="321"/>
      <c r="AA126" s="321"/>
      <c r="AE126" s="436"/>
      <c r="AF126" s="436"/>
      <c r="AG126" s="436"/>
    </row>
    <row r="127" spans="1:33">
      <c r="A127" s="459" t="s">
        <v>2277</v>
      </c>
      <c r="B127" s="460"/>
      <c r="C127" s="461">
        <v>2670783.84</v>
      </c>
      <c r="D127" s="461">
        <v>-1631916.63</v>
      </c>
      <c r="E127" s="429">
        <v>138</v>
      </c>
      <c r="F127" s="431">
        <v>25</v>
      </c>
      <c r="G127" s="450">
        <v>1038867.21</v>
      </c>
      <c r="H127" s="309">
        <f t="shared" si="17"/>
        <v>1002849.6838293</v>
      </c>
      <c r="I127" s="309">
        <f t="shared" si="17"/>
        <v>967118.14959446189</v>
      </c>
      <c r="J127" s="309">
        <f t="shared" si="17"/>
        <v>933794.39099856291</v>
      </c>
      <c r="K127" s="309">
        <f t="shared" si="17"/>
        <v>902573.83596408484</v>
      </c>
      <c r="L127" s="309">
        <f t="shared" si="17"/>
        <v>872397.1114195484</v>
      </c>
      <c r="M127" s="309">
        <f t="shared" si="17"/>
        <v>843229.31785434193</v>
      </c>
      <c r="N127" s="308">
        <v>0</v>
      </c>
      <c r="O127" s="462">
        <v>1</v>
      </c>
      <c r="P127" s="463">
        <v>0</v>
      </c>
      <c r="Q127" s="309">
        <f t="shared" si="10"/>
        <v>0</v>
      </c>
      <c r="R127" s="311">
        <f t="shared" si="11"/>
        <v>843229.31785434193</v>
      </c>
      <c r="S127" s="312">
        <f t="shared" si="12"/>
        <v>0</v>
      </c>
      <c r="T127" s="309">
        <f t="shared" si="13"/>
        <v>0</v>
      </c>
      <c r="U127" s="311">
        <f t="shared" si="14"/>
        <v>0</v>
      </c>
      <c r="V127" s="464">
        <f t="shared" si="15"/>
        <v>843229.31785434193</v>
      </c>
      <c r="W127" s="311">
        <f t="shared" si="16"/>
        <v>0</v>
      </c>
      <c r="X127" s="321"/>
      <c r="Y127" s="321"/>
      <c r="Z127" s="321"/>
      <c r="AA127" s="321"/>
      <c r="AE127" s="436"/>
      <c r="AF127" s="436"/>
      <c r="AG127" s="436"/>
    </row>
    <row r="128" spans="1:33">
      <c r="A128" s="459" t="s">
        <v>2278</v>
      </c>
      <c r="B128" s="460"/>
      <c r="C128" s="461">
        <v>40172.76</v>
      </c>
      <c r="D128" s="461">
        <v>-6542.1</v>
      </c>
      <c r="E128" s="429">
        <v>69</v>
      </c>
      <c r="F128" s="431">
        <v>25</v>
      </c>
      <c r="G128" s="450">
        <v>33630.660000000003</v>
      </c>
      <c r="H128" s="309">
        <f t="shared" si="17"/>
        <v>32464.685017800006</v>
      </c>
      <c r="I128" s="309">
        <f t="shared" si="17"/>
        <v>31307.968290615787</v>
      </c>
      <c r="J128" s="309">
        <f t="shared" si="17"/>
        <v>30229.197120948436</v>
      </c>
      <c r="K128" s="309">
        <f t="shared" si="17"/>
        <v>29218.511769376102</v>
      </c>
      <c r="L128" s="309">
        <f t="shared" si="17"/>
        <v>28241.617751255191</v>
      </c>
      <c r="M128" s="309">
        <f t="shared" si="17"/>
        <v>27297.385284488195</v>
      </c>
      <c r="N128" s="308">
        <v>0.33333333333333331</v>
      </c>
      <c r="O128" s="462">
        <v>0.66666666666666663</v>
      </c>
      <c r="P128" s="463">
        <v>0</v>
      </c>
      <c r="Q128" s="309">
        <f t="shared" si="10"/>
        <v>9099.1284281627304</v>
      </c>
      <c r="R128" s="311">
        <f t="shared" si="11"/>
        <v>18198.256856325461</v>
      </c>
      <c r="S128" s="312">
        <f t="shared" si="12"/>
        <v>0</v>
      </c>
      <c r="T128" s="309">
        <f t="shared" si="13"/>
        <v>9099.1284281627304</v>
      </c>
      <c r="U128" s="311">
        <f t="shared" si="14"/>
        <v>0</v>
      </c>
      <c r="V128" s="464">
        <f t="shared" si="15"/>
        <v>18198.256856325461</v>
      </c>
      <c r="W128" s="311">
        <f t="shared" si="16"/>
        <v>0</v>
      </c>
      <c r="X128" s="321"/>
      <c r="Y128" s="321"/>
      <c r="Z128" s="321"/>
      <c r="AA128" s="321"/>
      <c r="AE128" s="436"/>
      <c r="AF128" s="436"/>
      <c r="AG128" s="436"/>
    </row>
    <row r="129" spans="1:33">
      <c r="A129" s="459" t="s">
        <v>2279</v>
      </c>
      <c r="B129" s="460"/>
      <c r="C129" s="461">
        <v>1281985.3400000001</v>
      </c>
      <c r="D129" s="461">
        <v>-319538.40999999997</v>
      </c>
      <c r="E129" s="429">
        <v>132</v>
      </c>
      <c r="F129" s="431">
        <v>4.2</v>
      </c>
      <c r="G129" s="450">
        <v>962446.93</v>
      </c>
      <c r="H129" s="309">
        <f t="shared" si="17"/>
        <v>929078.89493690012</v>
      </c>
      <c r="I129" s="309">
        <f t="shared" si="17"/>
        <v>895975.81391029828</v>
      </c>
      <c r="J129" s="309">
        <f t="shared" si="17"/>
        <v>865103.38974678644</v>
      </c>
      <c r="K129" s="309">
        <f t="shared" si="17"/>
        <v>836179.45504503616</v>
      </c>
      <c r="L129" s="309">
        <f t="shared" si="17"/>
        <v>808222.56544858357</v>
      </c>
      <c r="M129" s="309">
        <f t="shared" si="17"/>
        <v>781200.38869539998</v>
      </c>
      <c r="N129" s="308">
        <v>0</v>
      </c>
      <c r="O129" s="462">
        <v>1</v>
      </c>
      <c r="P129" s="463">
        <v>0</v>
      </c>
      <c r="Q129" s="309">
        <f t="shared" si="10"/>
        <v>0</v>
      </c>
      <c r="R129" s="311">
        <f t="shared" si="11"/>
        <v>781200.38869539998</v>
      </c>
      <c r="S129" s="312">
        <f t="shared" si="12"/>
        <v>0</v>
      </c>
      <c r="T129" s="309">
        <f t="shared" si="13"/>
        <v>0</v>
      </c>
      <c r="U129" s="311">
        <f t="shared" si="14"/>
        <v>0</v>
      </c>
      <c r="V129" s="464">
        <f t="shared" si="15"/>
        <v>781200.38869539998</v>
      </c>
      <c r="W129" s="311">
        <f t="shared" si="16"/>
        <v>0</v>
      </c>
      <c r="X129" s="321"/>
      <c r="Y129" s="321"/>
      <c r="Z129" s="321"/>
      <c r="AA129" s="321"/>
      <c r="AE129" s="436"/>
      <c r="AF129" s="436"/>
      <c r="AG129" s="436"/>
    </row>
    <row r="130" spans="1:33">
      <c r="A130" s="459" t="s">
        <v>2280</v>
      </c>
      <c r="B130" s="460"/>
      <c r="C130" s="461">
        <v>3933580.38</v>
      </c>
      <c r="D130" s="461">
        <v>-2594556.48</v>
      </c>
      <c r="E130" s="429">
        <v>138</v>
      </c>
      <c r="F130" s="431">
        <v>13</v>
      </c>
      <c r="G130" s="450">
        <v>1339023.8999999999</v>
      </c>
      <c r="H130" s="309">
        <f t="shared" si="17"/>
        <v>1292599.941387</v>
      </c>
      <c r="I130" s="309">
        <f t="shared" si="17"/>
        <v>1246544.605475381</v>
      </c>
      <c r="J130" s="309">
        <f t="shared" si="17"/>
        <v>1203592.7163713451</v>
      </c>
      <c r="K130" s="309">
        <f t="shared" si="17"/>
        <v>1163351.7029289904</v>
      </c>
      <c r="L130" s="309">
        <f t="shared" si="17"/>
        <v>1124456.1106917006</v>
      </c>
      <c r="M130" s="309">
        <f t="shared" si="17"/>
        <v>1086860.9567411996</v>
      </c>
      <c r="N130" s="308">
        <v>0</v>
      </c>
      <c r="O130" s="462">
        <v>1</v>
      </c>
      <c r="P130" s="463">
        <v>0</v>
      </c>
      <c r="Q130" s="309">
        <f t="shared" si="10"/>
        <v>0</v>
      </c>
      <c r="R130" s="311">
        <f t="shared" si="11"/>
        <v>1086860.9567411996</v>
      </c>
      <c r="S130" s="312">
        <f t="shared" si="12"/>
        <v>0</v>
      </c>
      <c r="T130" s="309">
        <f t="shared" si="13"/>
        <v>0</v>
      </c>
      <c r="U130" s="311">
        <f t="shared" si="14"/>
        <v>0</v>
      </c>
      <c r="V130" s="464">
        <f t="shared" si="15"/>
        <v>1086860.9567411996</v>
      </c>
      <c r="W130" s="311">
        <f t="shared" si="16"/>
        <v>0</v>
      </c>
      <c r="X130" s="321"/>
      <c r="Y130" s="321"/>
      <c r="Z130" s="321"/>
      <c r="AA130" s="321"/>
      <c r="AE130" s="436"/>
      <c r="AF130" s="436"/>
      <c r="AG130" s="436"/>
    </row>
    <row r="131" spans="1:33">
      <c r="A131" s="459" t="s">
        <v>2281</v>
      </c>
      <c r="B131" s="460"/>
      <c r="C131" s="461">
        <v>9434780.4000000004</v>
      </c>
      <c r="D131" s="461">
        <v>-1682905.14</v>
      </c>
      <c r="E131" s="429">
        <v>138</v>
      </c>
      <c r="F131" s="431">
        <v>25</v>
      </c>
      <c r="G131" s="450">
        <v>7751875.2599999998</v>
      </c>
      <c r="H131" s="309">
        <f t="shared" si="17"/>
        <v>7483117.7447357997</v>
      </c>
      <c r="I131" s="309">
        <f t="shared" si="17"/>
        <v>7216494.2594908625</v>
      </c>
      <c r="J131" s="309">
        <f t="shared" si="17"/>
        <v>6967837.2440964105</v>
      </c>
      <c r="K131" s="309">
        <f t="shared" si="17"/>
        <v>6734874.0262321765</v>
      </c>
      <c r="L131" s="309">
        <f t="shared" si="17"/>
        <v>6509699.7188973371</v>
      </c>
      <c r="M131" s="309">
        <f t="shared" si="17"/>
        <v>6292053.9070453001</v>
      </c>
      <c r="N131" s="308">
        <v>0</v>
      </c>
      <c r="O131" s="462">
        <v>1</v>
      </c>
      <c r="P131" s="463">
        <v>0</v>
      </c>
      <c r="Q131" s="309">
        <f t="shared" si="10"/>
        <v>0</v>
      </c>
      <c r="R131" s="311">
        <f t="shared" si="11"/>
        <v>6292053.9070453001</v>
      </c>
      <c r="S131" s="312">
        <f t="shared" si="12"/>
        <v>0</v>
      </c>
      <c r="T131" s="309">
        <f t="shared" si="13"/>
        <v>0</v>
      </c>
      <c r="U131" s="311">
        <f t="shared" si="14"/>
        <v>0</v>
      </c>
      <c r="V131" s="464">
        <f t="shared" si="15"/>
        <v>6292053.9070453001</v>
      </c>
      <c r="W131" s="311">
        <f t="shared" si="16"/>
        <v>0</v>
      </c>
      <c r="X131" s="321"/>
      <c r="Y131" s="321"/>
      <c r="Z131" s="321"/>
      <c r="AA131" s="321"/>
      <c r="AE131" s="436"/>
      <c r="AF131" s="436"/>
      <c r="AG131" s="436"/>
    </row>
    <row r="132" spans="1:33">
      <c r="A132" s="459" t="s">
        <v>2282</v>
      </c>
      <c r="B132" s="460"/>
      <c r="C132" s="461">
        <v>9897645.0399999991</v>
      </c>
      <c r="D132" s="461">
        <v>-1875800.34</v>
      </c>
      <c r="E132" s="429">
        <v>138</v>
      </c>
      <c r="F132" s="431">
        <v>25</v>
      </c>
      <c r="G132" s="450">
        <v>8021844.7000000002</v>
      </c>
      <c r="H132" s="309">
        <f t="shared" si="17"/>
        <v>7743727.3442510003</v>
      </c>
      <c r="I132" s="309">
        <f t="shared" si="17"/>
        <v>7467818.3389753364</v>
      </c>
      <c r="J132" s="309">
        <f t="shared" si="17"/>
        <v>7210501.509929792</v>
      </c>
      <c r="K132" s="309">
        <f t="shared" si="17"/>
        <v>6969425.0359361749</v>
      </c>
      <c r="L132" s="309">
        <f t="shared" si="17"/>
        <v>6736408.7317148214</v>
      </c>
      <c r="M132" s="309">
        <f t="shared" si="17"/>
        <v>6511183.1129162973</v>
      </c>
      <c r="N132" s="308">
        <v>0</v>
      </c>
      <c r="O132" s="462">
        <v>1</v>
      </c>
      <c r="P132" s="463">
        <v>0</v>
      </c>
      <c r="Q132" s="309">
        <f t="shared" si="10"/>
        <v>0</v>
      </c>
      <c r="R132" s="311">
        <f t="shared" si="11"/>
        <v>6511183.1129162973</v>
      </c>
      <c r="S132" s="312">
        <f t="shared" si="12"/>
        <v>0</v>
      </c>
      <c r="T132" s="309">
        <f t="shared" si="13"/>
        <v>0</v>
      </c>
      <c r="U132" s="311">
        <f t="shared" si="14"/>
        <v>0</v>
      </c>
      <c r="V132" s="464">
        <f t="shared" si="15"/>
        <v>6511183.1129162973</v>
      </c>
      <c r="W132" s="311">
        <f t="shared" si="16"/>
        <v>0</v>
      </c>
      <c r="X132" s="321"/>
      <c r="Y132" s="321"/>
      <c r="Z132" s="321"/>
      <c r="AA132" s="321"/>
      <c r="AE132" s="436"/>
      <c r="AF132" s="436"/>
      <c r="AG132" s="436"/>
    </row>
    <row r="133" spans="1:33">
      <c r="A133" s="459" t="s">
        <v>2283</v>
      </c>
      <c r="B133" s="460"/>
      <c r="C133" s="461">
        <v>43.57</v>
      </c>
      <c r="D133" s="461">
        <v>-43.52</v>
      </c>
      <c r="E133" s="429">
        <v>69</v>
      </c>
      <c r="F133" s="431">
        <v>25</v>
      </c>
      <c r="G133" s="450">
        <v>0.05</v>
      </c>
      <c r="H133" s="309">
        <f t="shared" si="17"/>
        <v>4.8266500000000004E-2</v>
      </c>
      <c r="I133" s="309">
        <f t="shared" si="17"/>
        <v>4.6546764604999999E-2</v>
      </c>
      <c r="J133" s="309">
        <f t="shared" si="17"/>
        <v>4.4942913878211782E-2</v>
      </c>
      <c r="K133" s="309">
        <f t="shared" si="17"/>
        <v>4.3440288964558087E-2</v>
      </c>
      <c r="L133" s="309">
        <f t="shared" si="17"/>
        <v>4.1987902930324873E-2</v>
      </c>
      <c r="M133" s="309">
        <f t="shared" si="17"/>
        <v>4.0584076084870468E-2</v>
      </c>
      <c r="N133" s="308">
        <v>0</v>
      </c>
      <c r="O133" s="462">
        <v>0</v>
      </c>
      <c r="P133" s="463">
        <v>1</v>
      </c>
      <c r="Q133" s="309">
        <f t="shared" si="10"/>
        <v>0</v>
      </c>
      <c r="R133" s="311">
        <f t="shared" si="11"/>
        <v>0</v>
      </c>
      <c r="S133" s="312">
        <f t="shared" si="12"/>
        <v>4.0584076084870468E-2</v>
      </c>
      <c r="T133" s="309">
        <f t="shared" si="13"/>
        <v>0</v>
      </c>
      <c r="U133" s="311">
        <f t="shared" si="14"/>
        <v>0</v>
      </c>
      <c r="V133" s="464">
        <f t="shared" si="15"/>
        <v>4.0584076084870468E-2</v>
      </c>
      <c r="W133" s="311">
        <f t="shared" si="16"/>
        <v>0</v>
      </c>
      <c r="X133" s="321"/>
      <c r="Y133" s="321"/>
      <c r="Z133" s="321"/>
      <c r="AA133" s="321"/>
      <c r="AE133" s="436"/>
      <c r="AF133" s="436"/>
      <c r="AG133" s="436"/>
    </row>
    <row r="134" spans="1:33">
      <c r="A134" s="459" t="s">
        <v>2284</v>
      </c>
      <c r="B134" s="460"/>
      <c r="C134" s="461">
        <v>1026608.31</v>
      </c>
      <c r="D134" s="461">
        <v>-895942.95</v>
      </c>
      <c r="E134" s="429">
        <v>138</v>
      </c>
      <c r="F134" s="431">
        <v>4.2</v>
      </c>
      <c r="G134" s="450">
        <v>130665.36</v>
      </c>
      <c r="H134" s="309">
        <f t="shared" si="17"/>
        <v>126135.19196880001</v>
      </c>
      <c r="I134" s="309">
        <f t="shared" si="17"/>
        <v>121640.99507895164</v>
      </c>
      <c r="J134" s="309">
        <f t="shared" si="17"/>
        <v>117449.64042691076</v>
      </c>
      <c r="K134" s="309">
        <f t="shared" si="17"/>
        <v>113522.81992116019</v>
      </c>
      <c r="L134" s="309">
        <f t="shared" si="17"/>
        <v>109727.28904071909</v>
      </c>
      <c r="M134" s="309">
        <f t="shared" si="17"/>
        <v>106058.65823793979</v>
      </c>
      <c r="N134" s="308">
        <v>0</v>
      </c>
      <c r="O134" s="462">
        <v>1</v>
      </c>
      <c r="P134" s="463">
        <v>0</v>
      </c>
      <c r="Q134" s="309">
        <f t="shared" ref="Q134:Q197" si="18">IF(ISERROR(N134),0,N134*$M134)</f>
        <v>0</v>
      </c>
      <c r="R134" s="311">
        <f t="shared" ref="R134:R197" si="19">IF(ISERROR(O134),0,O134*$M134)</f>
        <v>106058.65823793979</v>
      </c>
      <c r="S134" s="312">
        <f t="shared" ref="S134:S197" si="20">+P134*$M134</f>
        <v>0</v>
      </c>
      <c r="T134" s="309">
        <f t="shared" ref="T134:T197" si="21">+Q134+IF(OR(ISERROR(F134),ISBLANK(F134),F134=0),0,IF((F134&gt;144),S134,0))</f>
        <v>0</v>
      </c>
      <c r="U134" s="311">
        <f t="shared" ref="U134:U197" si="22">IF(OR(ISERROR(F134),ISBLANK(F134),F134=0),0,IF(AND(F134&lt;=144,F134&gt;=69),S134,0))</f>
        <v>0</v>
      </c>
      <c r="V134" s="464">
        <f t="shared" ref="V134:V197" si="23">+R134+IF(OR(ISERROR(F134),,ISBLANK(F134),F134=0),0,IF(F134&lt;69,S134,0))</f>
        <v>106058.65823793979</v>
      </c>
      <c r="W134" s="311">
        <f t="shared" ref="W134:W197" si="24">IF(OR(ISERROR(F134),ISBLANK(F134),F134=0),M134,0)</f>
        <v>0</v>
      </c>
      <c r="X134" s="321"/>
      <c r="Y134" s="321"/>
      <c r="Z134" s="321"/>
      <c r="AA134" s="321"/>
      <c r="AE134" s="436"/>
      <c r="AF134" s="436"/>
      <c r="AG134" s="436"/>
    </row>
    <row r="135" spans="1:33">
      <c r="A135" s="459" t="s">
        <v>2285</v>
      </c>
      <c r="B135" s="460"/>
      <c r="C135" s="461">
        <v>1727230.45</v>
      </c>
      <c r="D135" s="461">
        <v>-817370.64</v>
      </c>
      <c r="E135" s="429">
        <v>138</v>
      </c>
      <c r="F135" s="431">
        <v>4.0999999999999996</v>
      </c>
      <c r="G135" s="450">
        <v>909859.81</v>
      </c>
      <c r="H135" s="309">
        <f t="shared" si="17"/>
        <v>878314.97038730013</v>
      </c>
      <c r="I135" s="309">
        <f t="shared" si="17"/>
        <v>847020.60799240053</v>
      </c>
      <c r="J135" s="309">
        <f t="shared" si="17"/>
        <v>817835.02164152265</v>
      </c>
      <c r="K135" s="309">
        <f t="shared" si="17"/>
        <v>790491.46127275832</v>
      </c>
      <c r="L135" s="309">
        <f t="shared" si="17"/>
        <v>764062.10764967662</v>
      </c>
      <c r="M135" s="309">
        <f t="shared" si="17"/>
        <v>738516.39511211566</v>
      </c>
      <c r="N135" s="308">
        <v>0</v>
      </c>
      <c r="O135" s="462">
        <v>1</v>
      </c>
      <c r="P135" s="463">
        <v>0</v>
      </c>
      <c r="Q135" s="309">
        <f t="shared" si="18"/>
        <v>0</v>
      </c>
      <c r="R135" s="311">
        <f t="shared" si="19"/>
        <v>738516.39511211566</v>
      </c>
      <c r="S135" s="312">
        <f t="shared" si="20"/>
        <v>0</v>
      </c>
      <c r="T135" s="309">
        <f t="shared" si="21"/>
        <v>0</v>
      </c>
      <c r="U135" s="311">
        <f t="shared" si="22"/>
        <v>0</v>
      </c>
      <c r="V135" s="464">
        <f t="shared" si="23"/>
        <v>738516.39511211566</v>
      </c>
      <c r="W135" s="311">
        <f t="shared" si="24"/>
        <v>0</v>
      </c>
      <c r="X135" s="321"/>
      <c r="Y135" s="321"/>
      <c r="Z135" s="321"/>
      <c r="AA135" s="321"/>
      <c r="AE135" s="436"/>
      <c r="AF135" s="436"/>
      <c r="AG135" s="436"/>
    </row>
    <row r="136" spans="1:33">
      <c r="A136" s="459" t="s">
        <v>2286</v>
      </c>
      <c r="B136" s="460"/>
      <c r="C136" s="461">
        <v>258667.19</v>
      </c>
      <c r="D136" s="461">
        <v>-80259.66</v>
      </c>
      <c r="E136" s="429">
        <v>138</v>
      </c>
      <c r="F136" s="431">
        <v>25</v>
      </c>
      <c r="G136" s="450">
        <v>178407.53</v>
      </c>
      <c r="H136" s="309">
        <f t="shared" si="17"/>
        <v>172222.1409349</v>
      </c>
      <c r="I136" s="309">
        <f t="shared" si="17"/>
        <v>166085.8660533895</v>
      </c>
      <c r="J136" s="309">
        <f t="shared" si="17"/>
        <v>160363.08512028967</v>
      </c>
      <c r="K136" s="309">
        <f t="shared" si="17"/>
        <v>155001.4931330613</v>
      </c>
      <c r="L136" s="309">
        <f t="shared" si="17"/>
        <v>149819.16103358046</v>
      </c>
      <c r="M136" s="309">
        <f t="shared" si="17"/>
        <v>144810.0954326762</v>
      </c>
      <c r="N136" s="308">
        <v>0.98414985590778103</v>
      </c>
      <c r="O136" s="462">
        <v>1.5850144092219024E-2</v>
      </c>
      <c r="P136" s="463">
        <v>0</v>
      </c>
      <c r="Q136" s="309">
        <f t="shared" si="18"/>
        <v>142514.8345540603</v>
      </c>
      <c r="R136" s="311">
        <f t="shared" si="19"/>
        <v>2295.2608786159058</v>
      </c>
      <c r="S136" s="312">
        <f t="shared" si="20"/>
        <v>0</v>
      </c>
      <c r="T136" s="309">
        <f t="shared" si="21"/>
        <v>142514.8345540603</v>
      </c>
      <c r="U136" s="311">
        <f t="shared" si="22"/>
        <v>0</v>
      </c>
      <c r="V136" s="464">
        <f t="shared" si="23"/>
        <v>2295.2608786159058</v>
      </c>
      <c r="W136" s="311">
        <f t="shared" si="24"/>
        <v>0</v>
      </c>
      <c r="X136" s="321"/>
      <c r="Y136" s="321"/>
      <c r="Z136" s="321"/>
      <c r="AA136" s="321"/>
      <c r="AE136" s="436"/>
      <c r="AF136" s="436"/>
      <c r="AG136" s="436"/>
    </row>
    <row r="137" spans="1:33">
      <c r="A137" s="459" t="s">
        <v>2287</v>
      </c>
      <c r="B137" s="460"/>
      <c r="C137" s="461">
        <v>54427749.329999998</v>
      </c>
      <c r="D137" s="461">
        <v>-1771241.35</v>
      </c>
      <c r="E137" s="429">
        <v>240</v>
      </c>
      <c r="F137" s="431">
        <v>138</v>
      </c>
      <c r="G137" s="450">
        <v>52656507.979999997</v>
      </c>
      <c r="H137" s="309">
        <f t="shared" si="17"/>
        <v>50830906.848333396</v>
      </c>
      <c r="I137" s="309">
        <f t="shared" si="17"/>
        <v>49019801.637327276</v>
      </c>
      <c r="J137" s="309">
        <f t="shared" si="17"/>
        <v>47330738.065450221</v>
      </c>
      <c r="K137" s="309">
        <f t="shared" si="17"/>
        <v>45748278.45031517</v>
      </c>
      <c r="L137" s="309">
        <f t="shared" si="17"/>
        <v>44218726.914282337</v>
      </c>
      <c r="M137" s="309">
        <f t="shared" si="17"/>
        <v>42740314.524478175</v>
      </c>
      <c r="N137" s="308">
        <v>0</v>
      </c>
      <c r="O137" s="462">
        <v>0</v>
      </c>
      <c r="P137" s="463">
        <v>1</v>
      </c>
      <c r="Q137" s="309">
        <f t="shared" si="18"/>
        <v>0</v>
      </c>
      <c r="R137" s="311">
        <f t="shared" si="19"/>
        <v>0</v>
      </c>
      <c r="S137" s="312">
        <f t="shared" si="20"/>
        <v>42740314.524478175</v>
      </c>
      <c r="T137" s="309">
        <f t="shared" si="21"/>
        <v>0</v>
      </c>
      <c r="U137" s="311">
        <f t="shared" si="22"/>
        <v>42740314.524478175</v>
      </c>
      <c r="V137" s="464">
        <f t="shared" si="23"/>
        <v>0</v>
      </c>
      <c r="W137" s="311">
        <f t="shared" si="24"/>
        <v>0</v>
      </c>
      <c r="X137" s="321"/>
      <c r="Y137" s="321"/>
      <c r="Z137" s="321"/>
      <c r="AA137" s="321"/>
      <c r="AE137" s="436"/>
      <c r="AF137" s="436"/>
      <c r="AG137" s="436"/>
    </row>
    <row r="138" spans="1:33">
      <c r="A138" s="459" t="s">
        <v>2288</v>
      </c>
      <c r="B138" s="460"/>
      <c r="C138" s="461">
        <v>5059512.75</v>
      </c>
      <c r="D138" s="461">
        <v>-3182952.97</v>
      </c>
      <c r="E138" s="429">
        <v>138</v>
      </c>
      <c r="F138" s="431">
        <v>25</v>
      </c>
      <c r="G138" s="450">
        <v>1876559.78</v>
      </c>
      <c r="H138" s="309">
        <f t="shared" si="17"/>
        <v>1811499.4524274</v>
      </c>
      <c r="I138" s="309">
        <f t="shared" si="17"/>
        <v>1746955.7269374116</v>
      </c>
      <c r="J138" s="309">
        <f t="shared" si="17"/>
        <v>1686761.2915971207</v>
      </c>
      <c r="K138" s="309">
        <f t="shared" si="17"/>
        <v>1630365.9820493509</v>
      </c>
      <c r="L138" s="309">
        <f t="shared" si="17"/>
        <v>1575856.1977118358</v>
      </c>
      <c r="M138" s="309">
        <f t="shared" si="17"/>
        <v>1523168.8977865556</v>
      </c>
      <c r="N138" s="308">
        <v>0.8557457212713937</v>
      </c>
      <c r="O138" s="462">
        <v>0.14425427872860638</v>
      </c>
      <c r="P138" s="463">
        <v>0</v>
      </c>
      <c r="Q138" s="309">
        <f t="shared" si="18"/>
        <v>1303445.2670545098</v>
      </c>
      <c r="R138" s="311">
        <f t="shared" si="19"/>
        <v>219723.63073204595</v>
      </c>
      <c r="S138" s="312">
        <f t="shared" si="20"/>
        <v>0</v>
      </c>
      <c r="T138" s="309">
        <f t="shared" si="21"/>
        <v>1303445.2670545098</v>
      </c>
      <c r="U138" s="311">
        <f t="shared" si="22"/>
        <v>0</v>
      </c>
      <c r="V138" s="464">
        <f t="shared" si="23"/>
        <v>219723.63073204595</v>
      </c>
      <c r="W138" s="311">
        <f t="shared" si="24"/>
        <v>0</v>
      </c>
      <c r="X138" s="321"/>
      <c r="Y138" s="321"/>
      <c r="Z138" s="321"/>
      <c r="AA138" s="321"/>
      <c r="AE138" s="436"/>
      <c r="AF138" s="436"/>
      <c r="AG138" s="436"/>
    </row>
    <row r="139" spans="1:33">
      <c r="A139" s="459" t="s">
        <v>2289</v>
      </c>
      <c r="B139" s="460"/>
      <c r="C139" s="461">
        <v>1501924.17</v>
      </c>
      <c r="D139" s="461">
        <v>-1043235.86</v>
      </c>
      <c r="E139" s="429">
        <v>138</v>
      </c>
      <c r="F139" s="431">
        <v>25</v>
      </c>
      <c r="G139" s="450">
        <v>458688.31</v>
      </c>
      <c r="H139" s="309">
        <f t="shared" si="17"/>
        <v>442785.58629230002</v>
      </c>
      <c r="I139" s="309">
        <f t="shared" si="17"/>
        <v>427009.13585270534</v>
      </c>
      <c r="J139" s="309">
        <f t="shared" si="17"/>
        <v>412295.78426545009</v>
      </c>
      <c r="K139" s="309">
        <f t="shared" si="17"/>
        <v>398511.05462129595</v>
      </c>
      <c r="L139" s="309">
        <f t="shared" si="17"/>
        <v>385187.20471109526</v>
      </c>
      <c r="M139" s="309">
        <f t="shared" si="17"/>
        <v>372308.82544561301</v>
      </c>
      <c r="N139" s="308">
        <v>0</v>
      </c>
      <c r="O139" s="462">
        <v>0</v>
      </c>
      <c r="P139" s="463">
        <v>1</v>
      </c>
      <c r="Q139" s="309">
        <f t="shared" si="18"/>
        <v>0</v>
      </c>
      <c r="R139" s="311">
        <f t="shared" si="19"/>
        <v>0</v>
      </c>
      <c r="S139" s="312">
        <f t="shared" si="20"/>
        <v>372308.82544561301</v>
      </c>
      <c r="T139" s="309">
        <f t="shared" si="21"/>
        <v>0</v>
      </c>
      <c r="U139" s="311">
        <f t="shared" si="22"/>
        <v>0</v>
      </c>
      <c r="V139" s="464">
        <f t="shared" si="23"/>
        <v>372308.82544561301</v>
      </c>
      <c r="W139" s="311">
        <f t="shared" si="24"/>
        <v>0</v>
      </c>
      <c r="X139" s="321"/>
      <c r="Y139" s="321"/>
      <c r="Z139" s="321"/>
      <c r="AA139" s="321"/>
      <c r="AE139" s="436"/>
      <c r="AF139" s="436"/>
      <c r="AG139" s="436"/>
    </row>
    <row r="140" spans="1:33">
      <c r="A140" s="459" t="s">
        <v>2290</v>
      </c>
      <c r="B140" s="460"/>
      <c r="C140" s="461">
        <v>1029.77</v>
      </c>
      <c r="D140" s="461">
        <v>0</v>
      </c>
      <c r="E140" s="429">
        <v>69</v>
      </c>
      <c r="F140" s="431">
        <v>25</v>
      </c>
      <c r="G140" s="450">
        <v>1029.77</v>
      </c>
      <c r="H140" s="309">
        <f t="shared" si="17"/>
        <v>994.06787410000004</v>
      </c>
      <c r="I140" s="309">
        <f t="shared" si="17"/>
        <v>958.6492357458169</v>
      </c>
      <c r="J140" s="309">
        <f t="shared" si="17"/>
        <v>925.61728848732275</v>
      </c>
      <c r="K140" s="309">
        <f t="shared" si="17"/>
        <v>894.67012734065952</v>
      </c>
      <c r="L140" s="309">
        <f t="shared" si="17"/>
        <v>864.75765601121282</v>
      </c>
      <c r="M140" s="309">
        <f t="shared" si="17"/>
        <v>835.84528059834111</v>
      </c>
      <c r="N140" s="308">
        <v>0</v>
      </c>
      <c r="O140" s="462">
        <v>0</v>
      </c>
      <c r="P140" s="463">
        <v>1</v>
      </c>
      <c r="Q140" s="309">
        <f t="shared" si="18"/>
        <v>0</v>
      </c>
      <c r="R140" s="311">
        <f t="shared" si="19"/>
        <v>0</v>
      </c>
      <c r="S140" s="312">
        <f t="shared" si="20"/>
        <v>835.84528059834111</v>
      </c>
      <c r="T140" s="309">
        <f t="shared" si="21"/>
        <v>0</v>
      </c>
      <c r="U140" s="311">
        <f t="shared" si="22"/>
        <v>0</v>
      </c>
      <c r="V140" s="464">
        <f t="shared" si="23"/>
        <v>835.84528059834111</v>
      </c>
      <c r="W140" s="311">
        <f t="shared" si="24"/>
        <v>0</v>
      </c>
      <c r="X140" s="321"/>
      <c r="Y140" s="321"/>
      <c r="Z140" s="321"/>
      <c r="AA140" s="321"/>
      <c r="AE140" s="436"/>
      <c r="AF140" s="436"/>
      <c r="AG140" s="436"/>
    </row>
    <row r="141" spans="1:33">
      <c r="A141" s="459" t="s">
        <v>2291</v>
      </c>
      <c r="B141" s="460"/>
      <c r="C141" s="461">
        <v>1267769.07</v>
      </c>
      <c r="D141" s="461">
        <v>-640235.77</v>
      </c>
      <c r="E141" s="429">
        <v>138</v>
      </c>
      <c r="F141" s="431">
        <v>25</v>
      </c>
      <c r="G141" s="450">
        <v>627533.30000000005</v>
      </c>
      <c r="H141" s="309">
        <f t="shared" si="17"/>
        <v>605776.72048900009</v>
      </c>
      <c r="I141" s="309">
        <f t="shared" si="17"/>
        <v>584192.89593797689</v>
      </c>
      <c r="J141" s="309">
        <f t="shared" si="17"/>
        <v>564063.50115220074</v>
      </c>
      <c r="K141" s="309">
        <f t="shared" si="17"/>
        <v>545204.55773765442</v>
      </c>
      <c r="L141" s="309">
        <f t="shared" si="17"/>
        <v>526976.14571892878</v>
      </c>
      <c r="M141" s="309">
        <f t="shared" si="17"/>
        <v>509357.18385979685</v>
      </c>
      <c r="N141" s="308">
        <v>0</v>
      </c>
      <c r="O141" s="462">
        <v>0</v>
      </c>
      <c r="P141" s="463">
        <v>1</v>
      </c>
      <c r="Q141" s="309">
        <f t="shared" si="18"/>
        <v>0</v>
      </c>
      <c r="R141" s="311">
        <f t="shared" si="19"/>
        <v>0</v>
      </c>
      <c r="S141" s="312">
        <f t="shared" si="20"/>
        <v>509357.18385979685</v>
      </c>
      <c r="T141" s="309">
        <f t="shared" si="21"/>
        <v>0</v>
      </c>
      <c r="U141" s="311">
        <f t="shared" si="22"/>
        <v>0</v>
      </c>
      <c r="V141" s="464">
        <f t="shared" si="23"/>
        <v>509357.18385979685</v>
      </c>
      <c r="W141" s="311">
        <f t="shared" si="24"/>
        <v>0</v>
      </c>
      <c r="X141" s="321"/>
      <c r="Y141" s="321"/>
      <c r="Z141" s="321"/>
      <c r="AA141" s="321"/>
      <c r="AE141" s="436"/>
      <c r="AF141" s="436"/>
      <c r="AG141" s="436"/>
    </row>
    <row r="142" spans="1:33">
      <c r="A142" s="459" t="s">
        <v>2292</v>
      </c>
      <c r="B142" s="460"/>
      <c r="C142" s="461">
        <v>23998542.530000001</v>
      </c>
      <c r="D142" s="461">
        <v>-379425.14</v>
      </c>
      <c r="E142" s="429">
        <v>240</v>
      </c>
      <c r="F142" s="431">
        <v>240</v>
      </c>
      <c r="G142" s="450">
        <v>23619117.390000001</v>
      </c>
      <c r="H142" s="309">
        <f t="shared" si="17"/>
        <v>22800242.590088703</v>
      </c>
      <c r="I142" s="309">
        <f t="shared" si="17"/>
        <v>21987869.946603838</v>
      </c>
      <c r="J142" s="309">
        <f t="shared" si="17"/>
        <v>21230239.174762882</v>
      </c>
      <c r="K142" s="309">
        <f t="shared" si="17"/>
        <v>20520425.690188378</v>
      </c>
      <c r="L142" s="309">
        <f t="shared" si="17"/>
        <v>19834344.165425364</v>
      </c>
      <c r="M142" s="309">
        <f t="shared" si="17"/>
        <v>19171201.14426494</v>
      </c>
      <c r="N142" s="308">
        <v>0</v>
      </c>
      <c r="O142" s="462">
        <v>0</v>
      </c>
      <c r="P142" s="463">
        <v>1</v>
      </c>
      <c r="Q142" s="309">
        <f t="shared" si="18"/>
        <v>0</v>
      </c>
      <c r="R142" s="311">
        <f t="shared" si="19"/>
        <v>0</v>
      </c>
      <c r="S142" s="312">
        <f t="shared" si="20"/>
        <v>19171201.14426494</v>
      </c>
      <c r="T142" s="309">
        <f t="shared" si="21"/>
        <v>19171201.14426494</v>
      </c>
      <c r="U142" s="311">
        <f t="shared" si="22"/>
        <v>0</v>
      </c>
      <c r="V142" s="464">
        <f t="shared" si="23"/>
        <v>0</v>
      </c>
      <c r="W142" s="311">
        <f t="shared" si="24"/>
        <v>0</v>
      </c>
      <c r="X142" s="321"/>
      <c r="Y142" s="321"/>
      <c r="Z142" s="321"/>
      <c r="AA142" s="321"/>
      <c r="AE142" s="436"/>
      <c r="AF142" s="436"/>
      <c r="AG142" s="436"/>
    </row>
    <row r="143" spans="1:33">
      <c r="A143" s="459" t="s">
        <v>2293</v>
      </c>
      <c r="B143" s="460"/>
      <c r="C143" s="461">
        <v>2062803.34</v>
      </c>
      <c r="D143" s="461">
        <v>-1339678.21</v>
      </c>
      <c r="E143" s="429">
        <v>138</v>
      </c>
      <c r="F143" s="431">
        <v>25</v>
      </c>
      <c r="G143" s="450">
        <v>723125.13</v>
      </c>
      <c r="H143" s="309">
        <f t="shared" si="17"/>
        <v>698054.3817429</v>
      </c>
      <c r="I143" s="309">
        <f t="shared" si="17"/>
        <v>673182.70412140037</v>
      </c>
      <c r="J143" s="309">
        <f t="shared" si="17"/>
        <v>649987.00881521392</v>
      </c>
      <c r="K143" s="309">
        <f t="shared" si="17"/>
        <v>628255.29209467256</v>
      </c>
      <c r="L143" s="309">
        <f t="shared" si="17"/>
        <v>607250.1552983711</v>
      </c>
      <c r="M143" s="309">
        <f t="shared" si="17"/>
        <v>586947.30589603691</v>
      </c>
      <c r="N143" s="308">
        <v>0</v>
      </c>
      <c r="O143" s="462">
        <v>1</v>
      </c>
      <c r="P143" s="463">
        <v>0</v>
      </c>
      <c r="Q143" s="309">
        <f t="shared" si="18"/>
        <v>0</v>
      </c>
      <c r="R143" s="311">
        <f t="shared" si="19"/>
        <v>586947.30589603691</v>
      </c>
      <c r="S143" s="312">
        <f t="shared" si="20"/>
        <v>0</v>
      </c>
      <c r="T143" s="309">
        <f t="shared" si="21"/>
        <v>0</v>
      </c>
      <c r="U143" s="311">
        <f t="shared" si="22"/>
        <v>0</v>
      </c>
      <c r="V143" s="464">
        <f t="shared" si="23"/>
        <v>586947.30589603691</v>
      </c>
      <c r="W143" s="311">
        <f t="shared" si="24"/>
        <v>0</v>
      </c>
      <c r="X143" s="321"/>
      <c r="Y143" s="321"/>
      <c r="Z143" s="321"/>
      <c r="AA143" s="321"/>
      <c r="AE143" s="436"/>
      <c r="AF143" s="436"/>
      <c r="AG143" s="436"/>
    </row>
    <row r="144" spans="1:33">
      <c r="A144" s="459" t="s">
        <v>2294</v>
      </c>
      <c r="B144" s="460"/>
      <c r="C144" s="461">
        <v>3732892.97</v>
      </c>
      <c r="D144" s="461">
        <v>-908576.67</v>
      </c>
      <c r="E144" s="429">
        <v>138</v>
      </c>
      <c r="F144" s="431">
        <v>138</v>
      </c>
      <c r="G144" s="450">
        <v>2824316.3</v>
      </c>
      <c r="H144" s="309">
        <f t="shared" si="17"/>
        <v>2726397.253879</v>
      </c>
      <c r="I144" s="309">
        <f t="shared" si="17"/>
        <v>2629255.7197232908</v>
      </c>
      <c r="J144" s="309">
        <f t="shared" si="17"/>
        <v>2538660.0847145948</v>
      </c>
      <c r="K144" s="309">
        <f t="shared" si="17"/>
        <v>2453782.32398623</v>
      </c>
      <c r="L144" s="309">
        <f t="shared" si="17"/>
        <v>2371742.3729786859</v>
      </c>
      <c r="M144" s="309">
        <f t="shared" si="17"/>
        <v>2292445.3521387964</v>
      </c>
      <c r="N144" s="308">
        <v>0</v>
      </c>
      <c r="O144" s="462">
        <v>0</v>
      </c>
      <c r="P144" s="463">
        <v>1</v>
      </c>
      <c r="Q144" s="309">
        <f t="shared" si="18"/>
        <v>0</v>
      </c>
      <c r="R144" s="311">
        <f t="shared" si="19"/>
        <v>0</v>
      </c>
      <c r="S144" s="312">
        <f t="shared" si="20"/>
        <v>2292445.3521387964</v>
      </c>
      <c r="T144" s="309">
        <f t="shared" si="21"/>
        <v>0</v>
      </c>
      <c r="U144" s="311">
        <f t="shared" si="22"/>
        <v>2292445.3521387964</v>
      </c>
      <c r="V144" s="464">
        <f t="shared" si="23"/>
        <v>0</v>
      </c>
      <c r="W144" s="311">
        <f t="shared" si="24"/>
        <v>0</v>
      </c>
      <c r="X144" s="321"/>
      <c r="Y144" s="321"/>
      <c r="Z144" s="321"/>
      <c r="AA144" s="321"/>
      <c r="AE144" s="436"/>
      <c r="AF144" s="436"/>
      <c r="AG144" s="436"/>
    </row>
    <row r="145" spans="1:33">
      <c r="A145" s="459" t="s">
        <v>2295</v>
      </c>
      <c r="B145" s="460"/>
      <c r="C145" s="461">
        <v>7116373.7000000002</v>
      </c>
      <c r="D145" s="461">
        <v>-3136824.11</v>
      </c>
      <c r="E145" s="429">
        <v>138</v>
      </c>
      <c r="F145" s="431">
        <v>25</v>
      </c>
      <c r="G145" s="450">
        <v>3979549.59</v>
      </c>
      <c r="H145" s="309">
        <f t="shared" si="17"/>
        <v>3841578.6057146997</v>
      </c>
      <c r="I145" s="309">
        <f t="shared" si="17"/>
        <v>3704703.1599930846</v>
      </c>
      <c r="J145" s="309">
        <f t="shared" si="17"/>
        <v>3577051.0899488595</v>
      </c>
      <c r="K145" s="309">
        <f t="shared" si="17"/>
        <v>3457455.6827677726</v>
      </c>
      <c r="L145" s="309">
        <f t="shared" si="17"/>
        <v>3341858.8378266827</v>
      </c>
      <c r="M145" s="309">
        <f t="shared" si="17"/>
        <v>3230126.8668815009</v>
      </c>
      <c r="N145" s="308">
        <v>0</v>
      </c>
      <c r="O145" s="462">
        <v>1</v>
      </c>
      <c r="P145" s="463">
        <v>0</v>
      </c>
      <c r="Q145" s="309">
        <f t="shared" si="18"/>
        <v>0</v>
      </c>
      <c r="R145" s="311">
        <f t="shared" si="19"/>
        <v>3230126.8668815009</v>
      </c>
      <c r="S145" s="312">
        <f t="shared" si="20"/>
        <v>0</v>
      </c>
      <c r="T145" s="309">
        <f t="shared" si="21"/>
        <v>0</v>
      </c>
      <c r="U145" s="311">
        <f t="shared" si="22"/>
        <v>0</v>
      </c>
      <c r="V145" s="464">
        <f t="shared" si="23"/>
        <v>3230126.8668815009</v>
      </c>
      <c r="W145" s="311">
        <f t="shared" si="24"/>
        <v>0</v>
      </c>
      <c r="X145" s="321"/>
      <c r="Y145" s="321"/>
      <c r="Z145" s="321"/>
      <c r="AA145" s="321"/>
      <c r="AE145" s="436"/>
      <c r="AF145" s="436"/>
      <c r="AG145" s="436"/>
    </row>
    <row r="146" spans="1:33">
      <c r="A146" s="459" t="s">
        <v>2296</v>
      </c>
      <c r="B146" s="460"/>
      <c r="C146" s="461">
        <v>2778808.78</v>
      </c>
      <c r="D146" s="461">
        <v>-1443618.21</v>
      </c>
      <c r="E146" s="429">
        <v>138</v>
      </c>
      <c r="F146" s="431">
        <v>25</v>
      </c>
      <c r="G146" s="450">
        <v>1335190.57</v>
      </c>
      <c r="H146" s="309">
        <f t="shared" si="17"/>
        <v>1288899.5129381001</v>
      </c>
      <c r="I146" s="309">
        <f t="shared" si="17"/>
        <v>1242976.0232921154</v>
      </c>
      <c r="J146" s="309">
        <f t="shared" si="17"/>
        <v>1200147.0959702099</v>
      </c>
      <c r="K146" s="309">
        <f t="shared" si="17"/>
        <v>1160021.2836710603</v>
      </c>
      <c r="L146" s="309">
        <f t="shared" si="17"/>
        <v>1121237.0409329028</v>
      </c>
      <c r="M146" s="309">
        <f t="shared" si="17"/>
        <v>1083749.5136136313</v>
      </c>
      <c r="N146" s="308">
        <v>0</v>
      </c>
      <c r="O146" s="462">
        <v>1</v>
      </c>
      <c r="P146" s="463">
        <v>0</v>
      </c>
      <c r="Q146" s="309">
        <f t="shared" si="18"/>
        <v>0</v>
      </c>
      <c r="R146" s="311">
        <f t="shared" si="19"/>
        <v>1083749.5136136313</v>
      </c>
      <c r="S146" s="312">
        <f t="shared" si="20"/>
        <v>0</v>
      </c>
      <c r="T146" s="309">
        <f t="shared" si="21"/>
        <v>0</v>
      </c>
      <c r="U146" s="311">
        <f t="shared" si="22"/>
        <v>0</v>
      </c>
      <c r="V146" s="464">
        <f t="shared" si="23"/>
        <v>1083749.5136136313</v>
      </c>
      <c r="W146" s="311">
        <f t="shared" si="24"/>
        <v>0</v>
      </c>
      <c r="X146" s="321"/>
      <c r="Y146" s="321"/>
      <c r="Z146" s="321"/>
      <c r="AA146" s="321"/>
      <c r="AE146" s="436"/>
      <c r="AF146" s="436"/>
      <c r="AG146" s="436"/>
    </row>
    <row r="147" spans="1:33">
      <c r="A147" s="459" t="s">
        <v>2297</v>
      </c>
      <c r="B147" s="460"/>
      <c r="C147" s="461">
        <v>7357171.3600000003</v>
      </c>
      <c r="D147" s="461">
        <v>-2888378.83</v>
      </c>
      <c r="E147" s="429">
        <v>138</v>
      </c>
      <c r="F147" s="431">
        <v>25</v>
      </c>
      <c r="G147" s="450">
        <v>4468792.5299999993</v>
      </c>
      <c r="H147" s="309">
        <f t="shared" si="17"/>
        <v>4313859.4929848993</v>
      </c>
      <c r="I147" s="309">
        <f t="shared" si="17"/>
        <v>4160156.6792498468</v>
      </c>
      <c r="J147" s="309">
        <f t="shared" si="17"/>
        <v>4016811.1563077215</v>
      </c>
      <c r="K147" s="309">
        <f t="shared" si="17"/>
        <v>3882512.7765171714</v>
      </c>
      <c r="L147" s="309">
        <f t="shared" si="17"/>
        <v>3752704.5393080176</v>
      </c>
      <c r="M147" s="309">
        <f t="shared" si="17"/>
        <v>3627236.3209004151</v>
      </c>
      <c r="N147" s="308">
        <v>0.54510993176648981</v>
      </c>
      <c r="O147" s="462">
        <v>0.45489006823351025</v>
      </c>
      <c r="P147" s="463">
        <v>0</v>
      </c>
      <c r="Q147" s="309">
        <f t="shared" si="18"/>
        <v>1977242.5433869588</v>
      </c>
      <c r="R147" s="311">
        <f t="shared" si="19"/>
        <v>1649993.7775134565</v>
      </c>
      <c r="S147" s="312">
        <f t="shared" si="20"/>
        <v>0</v>
      </c>
      <c r="T147" s="309">
        <f t="shared" si="21"/>
        <v>1977242.5433869588</v>
      </c>
      <c r="U147" s="311">
        <f t="shared" si="22"/>
        <v>0</v>
      </c>
      <c r="V147" s="464">
        <f t="shared" si="23"/>
        <v>1649993.7775134565</v>
      </c>
      <c r="W147" s="311">
        <f t="shared" si="24"/>
        <v>0</v>
      </c>
      <c r="X147" s="321"/>
      <c r="Y147" s="321"/>
      <c r="Z147" s="321"/>
      <c r="AA147" s="321"/>
      <c r="AE147" s="436"/>
      <c r="AF147" s="436"/>
      <c r="AG147" s="436"/>
    </row>
    <row r="148" spans="1:33">
      <c r="A148" s="459" t="s">
        <v>2298</v>
      </c>
      <c r="B148" s="460"/>
      <c r="C148" s="461">
        <v>9387887.8900000006</v>
      </c>
      <c r="D148" s="461">
        <v>-140369.35</v>
      </c>
      <c r="E148" s="429">
        <v>138</v>
      </c>
      <c r="F148" s="431">
        <v>138</v>
      </c>
      <c r="G148" s="450">
        <v>9247518.5399999991</v>
      </c>
      <c r="H148" s="309">
        <f t="shared" si="17"/>
        <v>8926907.0722182002</v>
      </c>
      <c r="I148" s="309">
        <f t="shared" si="17"/>
        <v>8608841.3732350636</v>
      </c>
      <c r="J148" s="309">
        <f t="shared" si="17"/>
        <v>8312208.5866077337</v>
      </c>
      <c r="K148" s="309">
        <f t="shared" si="17"/>
        <v>8034297.5516541647</v>
      </c>
      <c r="L148" s="309">
        <f t="shared" si="17"/>
        <v>7765678.2160779908</v>
      </c>
      <c r="M148" s="309">
        <f t="shared" si="17"/>
        <v>7506039.9204722038</v>
      </c>
      <c r="N148" s="308">
        <v>0</v>
      </c>
      <c r="O148" s="462">
        <v>0</v>
      </c>
      <c r="P148" s="463">
        <v>1</v>
      </c>
      <c r="Q148" s="309">
        <f t="shared" si="18"/>
        <v>0</v>
      </c>
      <c r="R148" s="311">
        <f t="shared" si="19"/>
        <v>0</v>
      </c>
      <c r="S148" s="312">
        <f t="shared" si="20"/>
        <v>7506039.9204722038</v>
      </c>
      <c r="T148" s="309">
        <f t="shared" si="21"/>
        <v>0</v>
      </c>
      <c r="U148" s="311">
        <f t="shared" si="22"/>
        <v>7506039.9204722038</v>
      </c>
      <c r="V148" s="464">
        <f t="shared" si="23"/>
        <v>0</v>
      </c>
      <c r="W148" s="311">
        <f t="shared" si="24"/>
        <v>0</v>
      </c>
      <c r="X148" s="321"/>
      <c r="Y148" s="321"/>
      <c r="Z148" s="321"/>
      <c r="AA148" s="321"/>
      <c r="AE148" s="436"/>
      <c r="AF148" s="436"/>
      <c r="AG148" s="436"/>
    </row>
    <row r="149" spans="1:33">
      <c r="A149" s="459" t="s">
        <v>2299</v>
      </c>
      <c r="B149" s="460"/>
      <c r="C149" s="461">
        <v>5604283.8899999997</v>
      </c>
      <c r="D149" s="461">
        <v>-3741312.96</v>
      </c>
      <c r="E149" s="429">
        <v>138</v>
      </c>
      <c r="F149" s="431">
        <v>13</v>
      </c>
      <c r="G149" s="450">
        <v>1862970.93</v>
      </c>
      <c r="H149" s="309">
        <f t="shared" si="17"/>
        <v>1798381.7278569001</v>
      </c>
      <c r="I149" s="309">
        <f t="shared" si="17"/>
        <v>1734305.3868933585</v>
      </c>
      <c r="J149" s="309">
        <f t="shared" si="17"/>
        <v>1674546.8412920421</v>
      </c>
      <c r="K149" s="309">
        <f t="shared" si="17"/>
        <v>1618559.9106354301</v>
      </c>
      <c r="L149" s="309">
        <f t="shared" si="17"/>
        <v>1564444.851417141</v>
      </c>
      <c r="M149" s="309">
        <f t="shared" si="17"/>
        <v>1512139.0793404377</v>
      </c>
      <c r="N149" s="308">
        <v>0.77358490566037741</v>
      </c>
      <c r="O149" s="462">
        <v>0.22641509433962265</v>
      </c>
      <c r="P149" s="463">
        <v>0</v>
      </c>
      <c r="Q149" s="309">
        <f t="shared" si="18"/>
        <v>1169767.9670369425</v>
      </c>
      <c r="R149" s="311">
        <f t="shared" si="19"/>
        <v>342371.11230349535</v>
      </c>
      <c r="S149" s="312">
        <f t="shared" si="20"/>
        <v>0</v>
      </c>
      <c r="T149" s="309">
        <f t="shared" si="21"/>
        <v>1169767.9670369425</v>
      </c>
      <c r="U149" s="311">
        <f t="shared" si="22"/>
        <v>0</v>
      </c>
      <c r="V149" s="464">
        <f t="shared" si="23"/>
        <v>342371.11230349535</v>
      </c>
      <c r="W149" s="311">
        <f t="shared" si="24"/>
        <v>0</v>
      </c>
      <c r="X149" s="321"/>
      <c r="Y149" s="321"/>
      <c r="Z149" s="321"/>
      <c r="AA149" s="321"/>
      <c r="AE149" s="436"/>
      <c r="AF149" s="436"/>
      <c r="AG149" s="436"/>
    </row>
    <row r="150" spans="1:33">
      <c r="A150" s="459" t="s">
        <v>2300</v>
      </c>
      <c r="B150" s="460"/>
      <c r="C150" s="461">
        <v>3758881.6</v>
      </c>
      <c r="D150" s="461">
        <v>-2474409.21</v>
      </c>
      <c r="E150" s="429">
        <v>138</v>
      </c>
      <c r="F150" s="431">
        <v>25</v>
      </c>
      <c r="G150" s="450">
        <v>1284472.3899999999</v>
      </c>
      <c r="H150" s="309">
        <f t="shared" si="17"/>
        <v>1239939.7322386999</v>
      </c>
      <c r="I150" s="309">
        <f t="shared" si="17"/>
        <v>1195760.6795790349</v>
      </c>
      <c r="J150" s="309">
        <f t="shared" si="17"/>
        <v>1154558.6400542168</v>
      </c>
      <c r="K150" s="309">
        <f t="shared" si="17"/>
        <v>1115957.0357719308</v>
      </c>
      <c r="L150" s="309">
        <f t="shared" si="17"/>
        <v>1078646.0405600478</v>
      </c>
      <c r="M150" s="309">
        <f t="shared" si="17"/>
        <v>1042582.504093508</v>
      </c>
      <c r="N150" s="308">
        <v>0</v>
      </c>
      <c r="O150" s="462">
        <v>1</v>
      </c>
      <c r="P150" s="463">
        <v>0</v>
      </c>
      <c r="Q150" s="309">
        <f t="shared" si="18"/>
        <v>0</v>
      </c>
      <c r="R150" s="311">
        <f t="shared" si="19"/>
        <v>1042582.504093508</v>
      </c>
      <c r="S150" s="312">
        <f t="shared" si="20"/>
        <v>0</v>
      </c>
      <c r="T150" s="309">
        <f t="shared" si="21"/>
        <v>0</v>
      </c>
      <c r="U150" s="311">
        <f t="shared" si="22"/>
        <v>0</v>
      </c>
      <c r="V150" s="464">
        <f t="shared" si="23"/>
        <v>1042582.504093508</v>
      </c>
      <c r="W150" s="311">
        <f t="shared" si="24"/>
        <v>0</v>
      </c>
      <c r="X150" s="321"/>
      <c r="Y150" s="321"/>
      <c r="Z150" s="321"/>
      <c r="AA150" s="321"/>
      <c r="AE150" s="436"/>
      <c r="AF150" s="436"/>
      <c r="AG150" s="436"/>
    </row>
    <row r="151" spans="1:33">
      <c r="A151" s="459" t="s">
        <v>2301</v>
      </c>
      <c r="B151" s="460"/>
      <c r="C151" s="461">
        <v>4194512.4800000004</v>
      </c>
      <c r="D151" s="461">
        <v>-1950118.79</v>
      </c>
      <c r="E151" s="429">
        <v>138</v>
      </c>
      <c r="F151" s="431">
        <v>25</v>
      </c>
      <c r="G151" s="450">
        <v>2244393.69</v>
      </c>
      <c r="H151" s="309">
        <f t="shared" si="17"/>
        <v>2166580.5607677</v>
      </c>
      <c r="I151" s="309">
        <f t="shared" si="17"/>
        <v>2089385.2953875465</v>
      </c>
      <c r="J151" s="309">
        <f t="shared" si="17"/>
        <v>2017391.8463694388</v>
      </c>
      <c r="K151" s="309">
        <f t="shared" si="17"/>
        <v>1949942.2088766159</v>
      </c>
      <c r="L151" s="309">
        <f t="shared" si="17"/>
        <v>1884747.6878630731</v>
      </c>
      <c r="M151" s="309">
        <f t="shared" si="17"/>
        <v>1821732.8855872634</v>
      </c>
      <c r="N151" s="308">
        <v>0</v>
      </c>
      <c r="O151" s="462">
        <v>1</v>
      </c>
      <c r="P151" s="463">
        <v>0</v>
      </c>
      <c r="Q151" s="309">
        <f t="shared" si="18"/>
        <v>0</v>
      </c>
      <c r="R151" s="311">
        <f t="shared" si="19"/>
        <v>1821732.8855872634</v>
      </c>
      <c r="S151" s="312">
        <f t="shared" si="20"/>
        <v>0</v>
      </c>
      <c r="T151" s="309">
        <f t="shared" si="21"/>
        <v>0</v>
      </c>
      <c r="U151" s="311">
        <f t="shared" si="22"/>
        <v>0</v>
      </c>
      <c r="V151" s="464">
        <f t="shared" si="23"/>
        <v>1821732.8855872634</v>
      </c>
      <c r="W151" s="311">
        <f t="shared" si="24"/>
        <v>0</v>
      </c>
      <c r="X151" s="321"/>
      <c r="Y151" s="321"/>
      <c r="Z151" s="321"/>
      <c r="AA151" s="321"/>
      <c r="AE151" s="436"/>
      <c r="AF151" s="436"/>
      <c r="AG151" s="436"/>
    </row>
    <row r="152" spans="1:33">
      <c r="A152" s="459" t="s">
        <v>2302</v>
      </c>
      <c r="B152" s="460"/>
      <c r="C152" s="461">
        <v>4940719.0199999996</v>
      </c>
      <c r="D152" s="461">
        <v>-2830666.96</v>
      </c>
      <c r="E152" s="429">
        <v>138</v>
      </c>
      <c r="F152" s="431">
        <v>25</v>
      </c>
      <c r="G152" s="450">
        <v>2110052.06</v>
      </c>
      <c r="H152" s="309">
        <f t="shared" si="17"/>
        <v>2036896.5550798001</v>
      </c>
      <c r="I152" s="309">
        <f t="shared" si="17"/>
        <v>1964321.9308223065</v>
      </c>
      <c r="J152" s="309">
        <f t="shared" si="17"/>
        <v>1896637.7602224671</v>
      </c>
      <c r="K152" s="309">
        <f t="shared" ref="H152:M194" si="25">+$G152*(K$3)</f>
        <v>1833225.424333221</v>
      </c>
      <c r="L152" s="309">
        <f t="shared" si="25"/>
        <v>1771933.2214642407</v>
      </c>
      <c r="M152" s="309">
        <f t="shared" si="25"/>
        <v>1712690.2669215531</v>
      </c>
      <c r="N152" s="308">
        <v>0</v>
      </c>
      <c r="O152" s="462">
        <v>1</v>
      </c>
      <c r="P152" s="463">
        <v>0</v>
      </c>
      <c r="Q152" s="309">
        <f t="shared" si="18"/>
        <v>0</v>
      </c>
      <c r="R152" s="311">
        <f t="shared" si="19"/>
        <v>1712690.2669215531</v>
      </c>
      <c r="S152" s="312">
        <f t="shared" si="20"/>
        <v>0</v>
      </c>
      <c r="T152" s="309">
        <f t="shared" si="21"/>
        <v>0</v>
      </c>
      <c r="U152" s="311">
        <f t="shared" si="22"/>
        <v>0</v>
      </c>
      <c r="V152" s="464">
        <f t="shared" si="23"/>
        <v>1712690.2669215531</v>
      </c>
      <c r="W152" s="311">
        <f t="shared" si="24"/>
        <v>0</v>
      </c>
      <c r="X152" s="321"/>
      <c r="Y152" s="321"/>
      <c r="Z152" s="321"/>
      <c r="AA152" s="321"/>
      <c r="AE152" s="436"/>
      <c r="AF152" s="436"/>
      <c r="AG152" s="436"/>
    </row>
    <row r="153" spans="1:33">
      <c r="A153" s="459" t="s">
        <v>2303</v>
      </c>
      <c r="B153" s="460"/>
      <c r="C153" s="461">
        <v>5930321.2800000003</v>
      </c>
      <c r="D153" s="461">
        <v>-2320015.2200000002</v>
      </c>
      <c r="E153" s="429">
        <v>138</v>
      </c>
      <c r="F153" s="431">
        <v>25</v>
      </c>
      <c r="G153" s="450">
        <v>3610306.06</v>
      </c>
      <c r="H153" s="309">
        <f t="shared" si="25"/>
        <v>3485136.7488998002</v>
      </c>
      <c r="I153" s="309">
        <f t="shared" si="25"/>
        <v>3360961.3265364999</v>
      </c>
      <c r="J153" s="309">
        <f t="shared" si="25"/>
        <v>3245153.4865713217</v>
      </c>
      <c r="K153" s="309">
        <f t="shared" si="25"/>
        <v>3136654.7699379036</v>
      </c>
      <c r="L153" s="309">
        <f t="shared" si="25"/>
        <v>3031783.607920873</v>
      </c>
      <c r="M153" s="309">
        <f t="shared" si="25"/>
        <v>2930418.7165741781</v>
      </c>
      <c r="N153" s="308">
        <v>0</v>
      </c>
      <c r="O153" s="462">
        <v>1</v>
      </c>
      <c r="P153" s="463">
        <v>0</v>
      </c>
      <c r="Q153" s="309">
        <f t="shared" si="18"/>
        <v>0</v>
      </c>
      <c r="R153" s="311">
        <f t="shared" si="19"/>
        <v>2930418.7165741781</v>
      </c>
      <c r="S153" s="312">
        <f t="shared" si="20"/>
        <v>0</v>
      </c>
      <c r="T153" s="309">
        <f t="shared" si="21"/>
        <v>0</v>
      </c>
      <c r="U153" s="311">
        <f t="shared" si="22"/>
        <v>0</v>
      </c>
      <c r="V153" s="464">
        <f t="shared" si="23"/>
        <v>2930418.7165741781</v>
      </c>
      <c r="W153" s="311">
        <f t="shared" si="24"/>
        <v>0</v>
      </c>
      <c r="X153" s="321"/>
      <c r="Y153" s="321"/>
      <c r="Z153" s="321"/>
      <c r="AA153" s="321"/>
      <c r="AE153" s="436"/>
      <c r="AF153" s="436"/>
      <c r="AG153" s="436"/>
    </row>
    <row r="154" spans="1:33">
      <c r="A154" s="459" t="s">
        <v>2304</v>
      </c>
      <c r="B154" s="460"/>
      <c r="C154" s="461">
        <v>1530823.44</v>
      </c>
      <c r="D154" s="461">
        <v>-1225299.5900000001</v>
      </c>
      <c r="E154" s="429">
        <v>138</v>
      </c>
      <c r="F154" s="431">
        <v>4.2</v>
      </c>
      <c r="G154" s="450">
        <v>305523.84999999998</v>
      </c>
      <c r="H154" s="309">
        <f t="shared" si="25"/>
        <v>294931.33812049998</v>
      </c>
      <c r="I154" s="309">
        <f t="shared" si="25"/>
        <v>284422.93454326654</v>
      </c>
      <c r="J154" s="309">
        <f t="shared" si="25"/>
        <v>274622.64156579383</v>
      </c>
      <c r="K154" s="309">
        <f t="shared" si="25"/>
        <v>265440.88659128593</v>
      </c>
      <c r="L154" s="309">
        <f t="shared" si="25"/>
        <v>256566.1151339827</v>
      </c>
      <c r="M154" s="309">
        <f t="shared" si="25"/>
        <v>247988.06348285099</v>
      </c>
      <c r="N154" s="308">
        <v>0</v>
      </c>
      <c r="O154" s="462">
        <v>1</v>
      </c>
      <c r="P154" s="463">
        <v>0</v>
      </c>
      <c r="Q154" s="309">
        <f t="shared" si="18"/>
        <v>0</v>
      </c>
      <c r="R154" s="311">
        <f t="shared" si="19"/>
        <v>247988.06348285099</v>
      </c>
      <c r="S154" s="312">
        <f t="shared" si="20"/>
        <v>0</v>
      </c>
      <c r="T154" s="309">
        <f t="shared" si="21"/>
        <v>0</v>
      </c>
      <c r="U154" s="311">
        <f t="shared" si="22"/>
        <v>0</v>
      </c>
      <c r="V154" s="464">
        <f t="shared" si="23"/>
        <v>247988.06348285099</v>
      </c>
      <c r="W154" s="311">
        <f t="shared" si="24"/>
        <v>0</v>
      </c>
      <c r="X154" s="321"/>
      <c r="Y154" s="321"/>
      <c r="Z154" s="321"/>
      <c r="AA154" s="321"/>
      <c r="AE154" s="436"/>
      <c r="AF154" s="436"/>
      <c r="AG154" s="436"/>
    </row>
    <row r="155" spans="1:33">
      <c r="A155" s="459" t="s">
        <v>2305</v>
      </c>
      <c r="B155" s="460"/>
      <c r="C155" s="461">
        <v>2376502.0699999998</v>
      </c>
      <c r="D155" s="461">
        <v>-1464074.44</v>
      </c>
      <c r="E155" s="429">
        <v>138</v>
      </c>
      <c r="F155" s="431">
        <v>25</v>
      </c>
      <c r="G155" s="450">
        <v>912427.63</v>
      </c>
      <c r="H155" s="309">
        <f t="shared" si="25"/>
        <v>880793.76406790002</v>
      </c>
      <c r="I155" s="309">
        <f t="shared" si="25"/>
        <v>849411.08225416066</v>
      </c>
      <c r="J155" s="309">
        <f t="shared" si="25"/>
        <v>820143.12790381757</v>
      </c>
      <c r="K155" s="309">
        <f t="shared" si="25"/>
        <v>792722.3981289377</v>
      </c>
      <c r="L155" s="309">
        <f t="shared" si="25"/>
        <v>766218.45518772758</v>
      </c>
      <c r="M155" s="309">
        <f t="shared" si="25"/>
        <v>740600.64715716068</v>
      </c>
      <c r="N155" s="308">
        <v>0</v>
      </c>
      <c r="O155" s="462">
        <v>1</v>
      </c>
      <c r="P155" s="463">
        <v>0</v>
      </c>
      <c r="Q155" s="309">
        <f t="shared" si="18"/>
        <v>0</v>
      </c>
      <c r="R155" s="311">
        <f t="shared" si="19"/>
        <v>740600.64715716068</v>
      </c>
      <c r="S155" s="312">
        <f t="shared" si="20"/>
        <v>0</v>
      </c>
      <c r="T155" s="309">
        <f t="shared" si="21"/>
        <v>0</v>
      </c>
      <c r="U155" s="311">
        <f t="shared" si="22"/>
        <v>0</v>
      </c>
      <c r="V155" s="464">
        <f t="shared" si="23"/>
        <v>740600.64715716068</v>
      </c>
      <c r="W155" s="311">
        <f t="shared" si="24"/>
        <v>0</v>
      </c>
      <c r="X155" s="321"/>
      <c r="Y155" s="321"/>
      <c r="Z155" s="321"/>
      <c r="AA155" s="321"/>
      <c r="AE155" s="436"/>
      <c r="AF155" s="436"/>
      <c r="AG155" s="436"/>
    </row>
    <row r="156" spans="1:33">
      <c r="A156" s="459" t="s">
        <v>2306</v>
      </c>
      <c r="B156" s="460"/>
      <c r="C156" s="461">
        <v>16672919.310000001</v>
      </c>
      <c r="D156" s="461">
        <v>-7483903.9000000004</v>
      </c>
      <c r="E156" s="429">
        <v>240</v>
      </c>
      <c r="F156" s="431">
        <v>25</v>
      </c>
      <c r="G156" s="450">
        <v>9189015.4100000001</v>
      </c>
      <c r="H156" s="309">
        <f t="shared" si="25"/>
        <v>8870432.2457353007</v>
      </c>
      <c r="I156" s="309">
        <f t="shared" si="25"/>
        <v>8554378.744819751</v>
      </c>
      <c r="J156" s="309">
        <f t="shared" si="25"/>
        <v>8259622.5639438173</v>
      </c>
      <c r="K156" s="309">
        <f t="shared" si="25"/>
        <v>7983469.6942035435</v>
      </c>
      <c r="L156" s="309">
        <f t="shared" si="25"/>
        <v>7716549.7412067885</v>
      </c>
      <c r="M156" s="309">
        <f t="shared" si="25"/>
        <v>7458554.0108897435</v>
      </c>
      <c r="N156" s="308">
        <v>0</v>
      </c>
      <c r="O156" s="462">
        <v>1</v>
      </c>
      <c r="P156" s="463">
        <v>0</v>
      </c>
      <c r="Q156" s="309">
        <f t="shared" si="18"/>
        <v>0</v>
      </c>
      <c r="R156" s="311">
        <f t="shared" si="19"/>
        <v>7458554.0108897435</v>
      </c>
      <c r="S156" s="312">
        <f t="shared" si="20"/>
        <v>0</v>
      </c>
      <c r="T156" s="309">
        <f t="shared" si="21"/>
        <v>0</v>
      </c>
      <c r="U156" s="311">
        <f t="shared" si="22"/>
        <v>0</v>
      </c>
      <c r="V156" s="464">
        <f t="shared" si="23"/>
        <v>7458554.0108897435</v>
      </c>
      <c r="W156" s="311">
        <f t="shared" si="24"/>
        <v>0</v>
      </c>
      <c r="X156" s="321"/>
      <c r="Y156" s="321"/>
      <c r="Z156" s="321"/>
      <c r="AA156" s="321"/>
      <c r="AE156" s="436"/>
      <c r="AF156" s="436"/>
      <c r="AG156" s="436"/>
    </row>
    <row r="157" spans="1:33">
      <c r="A157" s="459" t="s">
        <v>2307</v>
      </c>
      <c r="B157" s="460"/>
      <c r="C157" s="461">
        <v>8750086.8000000007</v>
      </c>
      <c r="D157" s="461">
        <v>-3904485.8</v>
      </c>
      <c r="E157" s="429">
        <v>138</v>
      </c>
      <c r="F157" s="431">
        <v>13</v>
      </c>
      <c r="G157" s="450">
        <v>4845601</v>
      </c>
      <c r="H157" s="309">
        <f t="shared" si="25"/>
        <v>4677604.0133300005</v>
      </c>
      <c r="I157" s="309">
        <f t="shared" si="25"/>
        <v>4510940.9823350515</v>
      </c>
      <c r="J157" s="309">
        <f t="shared" si="25"/>
        <v>4355508.5686235372</v>
      </c>
      <c r="K157" s="309">
        <f t="shared" si="25"/>
        <v>4209886.1529390318</v>
      </c>
      <c r="L157" s="309">
        <f t="shared" si="25"/>
        <v>4069132.4885417027</v>
      </c>
      <c r="M157" s="309">
        <f t="shared" si="25"/>
        <v>3933084.7932184879</v>
      </c>
      <c r="N157" s="308">
        <v>0</v>
      </c>
      <c r="O157" s="462">
        <v>0</v>
      </c>
      <c r="P157" s="463">
        <v>1</v>
      </c>
      <c r="Q157" s="309">
        <f t="shared" si="18"/>
        <v>0</v>
      </c>
      <c r="R157" s="311">
        <f t="shared" si="19"/>
        <v>0</v>
      </c>
      <c r="S157" s="312">
        <f t="shared" si="20"/>
        <v>3933084.7932184879</v>
      </c>
      <c r="T157" s="309">
        <f t="shared" si="21"/>
        <v>0</v>
      </c>
      <c r="U157" s="311">
        <f t="shared" si="22"/>
        <v>0</v>
      </c>
      <c r="V157" s="464">
        <f t="shared" si="23"/>
        <v>3933084.7932184879</v>
      </c>
      <c r="W157" s="311">
        <f t="shared" si="24"/>
        <v>0</v>
      </c>
      <c r="X157" s="321"/>
      <c r="Y157" s="321"/>
      <c r="Z157" s="321"/>
      <c r="AA157" s="321"/>
      <c r="AE157" s="436"/>
      <c r="AF157" s="436"/>
      <c r="AG157" s="436"/>
    </row>
    <row r="158" spans="1:33">
      <c r="A158" s="459" t="s">
        <v>2308</v>
      </c>
      <c r="B158" s="460"/>
      <c r="C158" s="461">
        <v>2594391.33</v>
      </c>
      <c r="D158" s="461">
        <v>-1210210.1200000001</v>
      </c>
      <c r="E158" s="429">
        <v>138</v>
      </c>
      <c r="F158" s="431">
        <v>25</v>
      </c>
      <c r="G158" s="450">
        <v>1384181.21</v>
      </c>
      <c r="H158" s="309">
        <f t="shared" si="25"/>
        <v>1336191.6474492999</v>
      </c>
      <c r="I158" s="309">
        <f t="shared" si="25"/>
        <v>1288583.1390506814</v>
      </c>
      <c r="J158" s="309">
        <f t="shared" si="25"/>
        <v>1244182.7382573793</v>
      </c>
      <c r="K158" s="309">
        <f t="shared" si="25"/>
        <v>1202584.634834233</v>
      </c>
      <c r="L158" s="309">
        <f t="shared" si="25"/>
        <v>1162377.3256691925</v>
      </c>
      <c r="M158" s="309">
        <f t="shared" si="25"/>
        <v>1123514.3108377613</v>
      </c>
      <c r="N158" s="308">
        <v>0.2544529262086514</v>
      </c>
      <c r="O158" s="462">
        <v>0.74554707379134866</v>
      </c>
      <c r="P158" s="463">
        <v>0</v>
      </c>
      <c r="Q158" s="309">
        <f t="shared" si="18"/>
        <v>285881.50402996468</v>
      </c>
      <c r="R158" s="311">
        <f t="shared" si="19"/>
        <v>837632.80680779659</v>
      </c>
      <c r="S158" s="312">
        <f t="shared" si="20"/>
        <v>0</v>
      </c>
      <c r="T158" s="309">
        <f t="shared" si="21"/>
        <v>285881.50402996468</v>
      </c>
      <c r="U158" s="311">
        <f t="shared" si="22"/>
        <v>0</v>
      </c>
      <c r="V158" s="464">
        <f t="shared" si="23"/>
        <v>837632.80680779659</v>
      </c>
      <c r="W158" s="311">
        <f t="shared" si="24"/>
        <v>0</v>
      </c>
      <c r="X158" s="321"/>
      <c r="Y158" s="321"/>
      <c r="Z158" s="321"/>
      <c r="AA158" s="321"/>
      <c r="AE158" s="436"/>
      <c r="AF158" s="436"/>
      <c r="AG158" s="436"/>
    </row>
    <row r="159" spans="1:33">
      <c r="A159" s="459" t="s">
        <v>2309</v>
      </c>
      <c r="B159" s="460"/>
      <c r="C159" s="461">
        <v>721661.59</v>
      </c>
      <c r="D159" s="461">
        <v>-79612.38</v>
      </c>
      <c r="E159" s="429">
        <v>138</v>
      </c>
      <c r="F159" s="431">
        <v>25</v>
      </c>
      <c r="G159" s="450">
        <v>642049.21</v>
      </c>
      <c r="H159" s="309">
        <f t="shared" si="25"/>
        <v>619789.36388930003</v>
      </c>
      <c r="I159" s="309">
        <f t="shared" si="25"/>
        <v>597706.26885392412</v>
      </c>
      <c r="J159" s="309">
        <f t="shared" si="25"/>
        <v>577111.24701207806</v>
      </c>
      <c r="K159" s="309">
        <f t="shared" si="25"/>
        <v>557816.06423732464</v>
      </c>
      <c r="L159" s="309">
        <f t="shared" si="25"/>
        <v>539165.99811943539</v>
      </c>
      <c r="M159" s="309">
        <f t="shared" si="25"/>
        <v>521139.47977741942</v>
      </c>
      <c r="N159" s="308">
        <v>0.58823529411764708</v>
      </c>
      <c r="O159" s="462">
        <v>0.41176470588235292</v>
      </c>
      <c r="P159" s="463">
        <v>0</v>
      </c>
      <c r="Q159" s="309">
        <f t="shared" si="18"/>
        <v>306552.63516318792</v>
      </c>
      <c r="R159" s="311">
        <f t="shared" si="19"/>
        <v>214586.84461423152</v>
      </c>
      <c r="S159" s="312">
        <f t="shared" si="20"/>
        <v>0</v>
      </c>
      <c r="T159" s="309">
        <f t="shared" si="21"/>
        <v>306552.63516318792</v>
      </c>
      <c r="U159" s="311">
        <f t="shared" si="22"/>
        <v>0</v>
      </c>
      <c r="V159" s="464">
        <f t="shared" si="23"/>
        <v>214586.84461423152</v>
      </c>
      <c r="W159" s="311">
        <f t="shared" si="24"/>
        <v>0</v>
      </c>
      <c r="X159" s="321"/>
      <c r="Y159" s="321"/>
      <c r="Z159" s="321"/>
      <c r="AA159" s="321"/>
      <c r="AE159" s="436"/>
      <c r="AF159" s="436"/>
      <c r="AG159" s="436"/>
    </row>
    <row r="160" spans="1:33">
      <c r="A160" s="459" t="s">
        <v>2310</v>
      </c>
      <c r="B160" s="460"/>
      <c r="C160" s="461">
        <v>6675399.71</v>
      </c>
      <c r="D160" s="461">
        <v>-3657008.04</v>
      </c>
      <c r="E160" s="429">
        <v>138</v>
      </c>
      <c r="F160" s="431">
        <v>25</v>
      </c>
      <c r="G160" s="450">
        <v>3018391.67</v>
      </c>
      <c r="H160" s="309">
        <f t="shared" si="25"/>
        <v>2913744.0308011002</v>
      </c>
      <c r="I160" s="309">
        <f t="shared" si="25"/>
        <v>2809927.3309836565</v>
      </c>
      <c r="J160" s="309">
        <f t="shared" si="25"/>
        <v>2713106.3375104363</v>
      </c>
      <c r="K160" s="309">
        <f t="shared" si="25"/>
        <v>2622396.1270603007</v>
      </c>
      <c r="L160" s="309">
        <f t="shared" si="25"/>
        <v>2534718.7289132238</v>
      </c>
      <c r="M160" s="309">
        <f t="shared" si="25"/>
        <v>2449972.7437843843</v>
      </c>
      <c r="N160" s="308">
        <v>0</v>
      </c>
      <c r="O160" s="462">
        <v>1</v>
      </c>
      <c r="P160" s="463">
        <v>0</v>
      </c>
      <c r="Q160" s="309">
        <f t="shared" si="18"/>
        <v>0</v>
      </c>
      <c r="R160" s="311">
        <f t="shared" si="19"/>
        <v>2449972.7437843843</v>
      </c>
      <c r="S160" s="312">
        <f t="shared" si="20"/>
        <v>0</v>
      </c>
      <c r="T160" s="309">
        <f t="shared" si="21"/>
        <v>0</v>
      </c>
      <c r="U160" s="311">
        <f t="shared" si="22"/>
        <v>0</v>
      </c>
      <c r="V160" s="464">
        <f t="shared" si="23"/>
        <v>2449972.7437843843</v>
      </c>
      <c r="W160" s="311">
        <f t="shared" si="24"/>
        <v>0</v>
      </c>
      <c r="X160" s="321"/>
      <c r="Y160" s="321"/>
      <c r="Z160" s="321"/>
      <c r="AA160" s="321"/>
      <c r="AE160" s="436"/>
      <c r="AF160" s="436"/>
      <c r="AG160" s="436"/>
    </row>
    <row r="161" spans="1:33">
      <c r="A161" s="459" t="s">
        <v>2311</v>
      </c>
      <c r="B161" s="460"/>
      <c r="C161" s="461">
        <v>1012167.56</v>
      </c>
      <c r="D161" s="461">
        <v>-583618.75</v>
      </c>
      <c r="E161" s="429">
        <v>138</v>
      </c>
      <c r="F161" s="431">
        <v>4</v>
      </c>
      <c r="G161" s="450">
        <v>428548.81</v>
      </c>
      <c r="H161" s="309">
        <f t="shared" si="25"/>
        <v>413691.0227573</v>
      </c>
      <c r="I161" s="309">
        <f t="shared" si="25"/>
        <v>398951.21161645738</v>
      </c>
      <c r="J161" s="309">
        <f t="shared" si="25"/>
        <v>385204.64520880283</v>
      </c>
      <c r="K161" s="309">
        <f t="shared" si="25"/>
        <v>372325.68283635</v>
      </c>
      <c r="L161" s="309">
        <f t="shared" si="25"/>
        <v>359877.31670372473</v>
      </c>
      <c r="M161" s="309">
        <f t="shared" si="25"/>
        <v>347845.15022241394</v>
      </c>
      <c r="N161" s="308">
        <v>0</v>
      </c>
      <c r="O161" s="462">
        <v>1</v>
      </c>
      <c r="P161" s="463">
        <v>0</v>
      </c>
      <c r="Q161" s="309">
        <f t="shared" si="18"/>
        <v>0</v>
      </c>
      <c r="R161" s="311">
        <f t="shared" si="19"/>
        <v>347845.15022241394</v>
      </c>
      <c r="S161" s="312">
        <f t="shared" si="20"/>
        <v>0</v>
      </c>
      <c r="T161" s="309">
        <f t="shared" si="21"/>
        <v>0</v>
      </c>
      <c r="U161" s="311">
        <f t="shared" si="22"/>
        <v>0</v>
      </c>
      <c r="V161" s="464">
        <f t="shared" si="23"/>
        <v>347845.15022241394</v>
      </c>
      <c r="W161" s="311">
        <f t="shared" si="24"/>
        <v>0</v>
      </c>
      <c r="X161" s="321"/>
      <c r="Y161" s="321"/>
      <c r="Z161" s="321"/>
      <c r="AA161" s="321"/>
      <c r="AE161" s="436"/>
      <c r="AF161" s="436"/>
      <c r="AG161" s="436"/>
    </row>
    <row r="162" spans="1:33">
      <c r="A162" s="459" t="s">
        <v>2312</v>
      </c>
      <c r="B162" s="460"/>
      <c r="C162" s="461">
        <v>4454080.25</v>
      </c>
      <c r="D162" s="461">
        <v>-2316491.9300000002</v>
      </c>
      <c r="E162" s="429">
        <v>138</v>
      </c>
      <c r="F162" s="431">
        <v>25</v>
      </c>
      <c r="G162" s="450">
        <v>2137588.3199999998</v>
      </c>
      <c r="H162" s="309">
        <f t="shared" si="25"/>
        <v>2063478.1329456</v>
      </c>
      <c r="I162" s="309">
        <f t="shared" si="25"/>
        <v>1989956.407068748</v>
      </c>
      <c r="J162" s="309">
        <f t="shared" si="25"/>
        <v>1921388.9554566278</v>
      </c>
      <c r="K162" s="309">
        <f t="shared" si="25"/>
        <v>1857149.0861612849</v>
      </c>
      <c r="L162" s="309">
        <f t="shared" si="25"/>
        <v>1795057.0177031243</v>
      </c>
      <c r="M162" s="309">
        <f t="shared" si="25"/>
        <v>1735040.9403402084</v>
      </c>
      <c r="N162" s="308">
        <v>0</v>
      </c>
      <c r="O162" s="462">
        <v>1</v>
      </c>
      <c r="P162" s="463">
        <v>0</v>
      </c>
      <c r="Q162" s="309">
        <f t="shared" si="18"/>
        <v>0</v>
      </c>
      <c r="R162" s="311">
        <f t="shared" si="19"/>
        <v>1735040.9403402084</v>
      </c>
      <c r="S162" s="312">
        <f t="shared" si="20"/>
        <v>0</v>
      </c>
      <c r="T162" s="309">
        <f t="shared" si="21"/>
        <v>0</v>
      </c>
      <c r="U162" s="311">
        <f t="shared" si="22"/>
        <v>0</v>
      </c>
      <c r="V162" s="464">
        <f t="shared" si="23"/>
        <v>1735040.9403402084</v>
      </c>
      <c r="W162" s="311">
        <f t="shared" si="24"/>
        <v>0</v>
      </c>
      <c r="X162" s="321"/>
      <c r="Y162" s="321"/>
      <c r="Z162" s="321"/>
      <c r="AA162" s="321"/>
      <c r="AE162" s="436"/>
      <c r="AF162" s="436"/>
      <c r="AG162" s="436"/>
    </row>
    <row r="163" spans="1:33">
      <c r="A163" s="459" t="s">
        <v>2313</v>
      </c>
      <c r="B163" s="460"/>
      <c r="C163" s="461">
        <v>5090644.26</v>
      </c>
      <c r="D163" s="461">
        <v>-1564863.48</v>
      </c>
      <c r="E163" s="429">
        <v>138</v>
      </c>
      <c r="F163" s="431">
        <v>13</v>
      </c>
      <c r="G163" s="450">
        <v>3525780.78</v>
      </c>
      <c r="H163" s="309">
        <f t="shared" si="25"/>
        <v>3403541.9603573997</v>
      </c>
      <c r="I163" s="309">
        <f t="shared" si="25"/>
        <v>3282273.7603098652</v>
      </c>
      <c r="J163" s="309">
        <f t="shared" si="25"/>
        <v>3169177.2389798868</v>
      </c>
      <c r="K163" s="309">
        <f t="shared" si="25"/>
        <v>3063218.7181776995</v>
      </c>
      <c r="L163" s="309">
        <f t="shared" si="25"/>
        <v>2960802.8228849019</v>
      </c>
      <c r="M163" s="309">
        <f t="shared" si="25"/>
        <v>2861811.1086818785</v>
      </c>
      <c r="N163" s="308">
        <v>0</v>
      </c>
      <c r="O163" s="462">
        <v>1</v>
      </c>
      <c r="P163" s="463">
        <v>0</v>
      </c>
      <c r="Q163" s="309">
        <f t="shared" si="18"/>
        <v>0</v>
      </c>
      <c r="R163" s="311">
        <f t="shared" si="19"/>
        <v>2861811.1086818785</v>
      </c>
      <c r="S163" s="312">
        <f t="shared" si="20"/>
        <v>0</v>
      </c>
      <c r="T163" s="309">
        <f t="shared" si="21"/>
        <v>0</v>
      </c>
      <c r="U163" s="311">
        <f t="shared" si="22"/>
        <v>0</v>
      </c>
      <c r="V163" s="464">
        <f t="shared" si="23"/>
        <v>2861811.1086818785</v>
      </c>
      <c r="W163" s="311">
        <f t="shared" si="24"/>
        <v>0</v>
      </c>
      <c r="X163" s="321"/>
      <c r="Y163" s="321"/>
      <c r="Z163" s="321"/>
      <c r="AA163" s="321"/>
      <c r="AE163" s="436"/>
      <c r="AF163" s="436"/>
      <c r="AG163" s="436"/>
    </row>
    <row r="164" spans="1:33">
      <c r="A164" s="459" t="s">
        <v>2314</v>
      </c>
      <c r="B164" s="460"/>
      <c r="C164" s="461">
        <v>10017685.5</v>
      </c>
      <c r="D164" s="461">
        <v>-1960418.84</v>
      </c>
      <c r="E164" s="429">
        <v>138</v>
      </c>
      <c r="F164" s="431">
        <v>25</v>
      </c>
      <c r="G164" s="450">
        <v>8057266.6600000001</v>
      </c>
      <c r="H164" s="309">
        <f t="shared" si="25"/>
        <v>7777921.2248978</v>
      </c>
      <c r="I164" s="309">
        <f t="shared" si="25"/>
        <v>7500793.8916546907</v>
      </c>
      <c r="J164" s="309">
        <f t="shared" si="25"/>
        <v>7242340.8318833411</v>
      </c>
      <c r="K164" s="309">
        <f t="shared" si="25"/>
        <v>7000199.8394979956</v>
      </c>
      <c r="L164" s="309">
        <f t="shared" si="25"/>
        <v>6766154.6080764579</v>
      </c>
      <c r="M164" s="309">
        <f t="shared" si="25"/>
        <v>6539934.4633106021</v>
      </c>
      <c r="N164" s="308">
        <v>0</v>
      </c>
      <c r="O164" s="462">
        <v>1</v>
      </c>
      <c r="P164" s="463">
        <v>0</v>
      </c>
      <c r="Q164" s="309">
        <f t="shared" si="18"/>
        <v>0</v>
      </c>
      <c r="R164" s="311">
        <f t="shared" si="19"/>
        <v>6539934.4633106021</v>
      </c>
      <c r="S164" s="312">
        <f t="shared" si="20"/>
        <v>0</v>
      </c>
      <c r="T164" s="309">
        <f t="shared" si="21"/>
        <v>0</v>
      </c>
      <c r="U164" s="311">
        <f t="shared" si="22"/>
        <v>0</v>
      </c>
      <c r="V164" s="464">
        <f t="shared" si="23"/>
        <v>6539934.4633106021</v>
      </c>
      <c r="W164" s="311">
        <f t="shared" si="24"/>
        <v>0</v>
      </c>
      <c r="X164" s="321"/>
      <c r="Y164" s="321"/>
      <c r="Z164" s="321"/>
      <c r="AA164" s="321"/>
      <c r="AE164" s="436"/>
      <c r="AF164" s="436"/>
      <c r="AG164" s="436"/>
    </row>
    <row r="165" spans="1:33">
      <c r="A165" s="459" t="s">
        <v>2315</v>
      </c>
      <c r="B165" s="460"/>
      <c r="C165" s="461">
        <v>37.39</v>
      </c>
      <c r="D165" s="461">
        <v>0</v>
      </c>
      <c r="E165" s="429">
        <v>138</v>
      </c>
      <c r="F165" s="431">
        <v>25</v>
      </c>
      <c r="G165" s="450">
        <v>37.39</v>
      </c>
      <c r="H165" s="309">
        <f t="shared" si="25"/>
        <v>36.093688700000001</v>
      </c>
      <c r="I165" s="309">
        <f t="shared" si="25"/>
        <v>34.807670571618999</v>
      </c>
      <c r="J165" s="309">
        <f t="shared" si="25"/>
        <v>33.608310998126768</v>
      </c>
      <c r="K165" s="309">
        <f t="shared" si="25"/>
        <v>32.484648087696534</v>
      </c>
      <c r="L165" s="309">
        <f t="shared" si="25"/>
        <v>31.398553811296939</v>
      </c>
      <c r="M165" s="309">
        <f t="shared" si="25"/>
        <v>30.348772096266131</v>
      </c>
      <c r="N165" s="308">
        <v>0</v>
      </c>
      <c r="O165" s="462">
        <v>0</v>
      </c>
      <c r="P165" s="463">
        <v>1</v>
      </c>
      <c r="Q165" s="309">
        <f t="shared" si="18"/>
        <v>0</v>
      </c>
      <c r="R165" s="311">
        <f t="shared" si="19"/>
        <v>0</v>
      </c>
      <c r="S165" s="312">
        <f t="shared" si="20"/>
        <v>30.348772096266131</v>
      </c>
      <c r="T165" s="309">
        <f t="shared" si="21"/>
        <v>0</v>
      </c>
      <c r="U165" s="311">
        <f t="shared" si="22"/>
        <v>0</v>
      </c>
      <c r="V165" s="464">
        <f t="shared" si="23"/>
        <v>30.348772096266131</v>
      </c>
      <c r="W165" s="311">
        <f t="shared" si="24"/>
        <v>0</v>
      </c>
      <c r="X165" s="321"/>
      <c r="Y165" s="321"/>
      <c r="Z165" s="321"/>
      <c r="AA165" s="321"/>
      <c r="AE165" s="436"/>
      <c r="AF165" s="436"/>
      <c r="AG165" s="436"/>
    </row>
    <row r="166" spans="1:33">
      <c r="A166" s="459" t="s">
        <v>2316</v>
      </c>
      <c r="B166" s="460"/>
      <c r="C166" s="461">
        <v>7433728.8600000003</v>
      </c>
      <c r="D166" s="461">
        <v>-119347.66</v>
      </c>
      <c r="E166" s="429">
        <v>138</v>
      </c>
      <c r="F166" s="431">
        <v>6.9</v>
      </c>
      <c r="G166" s="450">
        <v>7314381.2000000002</v>
      </c>
      <c r="H166" s="309">
        <f t="shared" si="25"/>
        <v>7060791.6037960006</v>
      </c>
      <c r="I166" s="309">
        <f t="shared" si="25"/>
        <v>6809215.5989527479</v>
      </c>
      <c r="J166" s="309">
        <f t="shared" si="25"/>
        <v>6574592.0868802266</v>
      </c>
      <c r="K166" s="309">
        <f t="shared" si="25"/>
        <v>6354776.6584986225</v>
      </c>
      <c r="L166" s="309">
        <f t="shared" si="25"/>
        <v>6142310.5564198634</v>
      </c>
      <c r="M166" s="309">
        <f t="shared" si="25"/>
        <v>5936948.0626909221</v>
      </c>
      <c r="N166" s="308">
        <v>0</v>
      </c>
      <c r="O166" s="462">
        <v>0</v>
      </c>
      <c r="P166" s="463">
        <v>1</v>
      </c>
      <c r="Q166" s="309">
        <f t="shared" si="18"/>
        <v>0</v>
      </c>
      <c r="R166" s="311">
        <f t="shared" si="19"/>
        <v>0</v>
      </c>
      <c r="S166" s="312">
        <f t="shared" si="20"/>
        <v>5936948.0626909221</v>
      </c>
      <c r="T166" s="309">
        <f t="shared" si="21"/>
        <v>0</v>
      </c>
      <c r="U166" s="311">
        <f t="shared" si="22"/>
        <v>0</v>
      </c>
      <c r="V166" s="464">
        <f t="shared" si="23"/>
        <v>5936948.0626909221</v>
      </c>
      <c r="W166" s="311">
        <f t="shared" si="24"/>
        <v>0</v>
      </c>
      <c r="X166" s="321"/>
      <c r="Y166" s="321"/>
      <c r="Z166" s="321"/>
      <c r="AA166" s="321"/>
      <c r="AE166" s="436"/>
      <c r="AF166" s="436"/>
      <c r="AG166" s="436"/>
    </row>
    <row r="167" spans="1:33" ht="12.75" customHeight="1">
      <c r="A167" s="459" t="s">
        <v>2317</v>
      </c>
      <c r="B167" s="460"/>
      <c r="C167" s="461">
        <v>2404508.73</v>
      </c>
      <c r="D167" s="461">
        <v>-1656659.31</v>
      </c>
      <c r="E167" s="429">
        <v>138</v>
      </c>
      <c r="F167" s="431">
        <v>25</v>
      </c>
      <c r="G167" s="450">
        <v>747849.42</v>
      </c>
      <c r="H167" s="309">
        <f t="shared" si="25"/>
        <v>721921.48060860008</v>
      </c>
      <c r="I167" s="309">
        <f t="shared" si="25"/>
        <v>696199.41825451551</v>
      </c>
      <c r="J167" s="309">
        <f t="shared" si="25"/>
        <v>672210.64153861254</v>
      </c>
      <c r="K167" s="309">
        <f t="shared" si="25"/>
        <v>649735.89813554334</v>
      </c>
      <c r="L167" s="309">
        <f t="shared" si="25"/>
        <v>628012.5770691951</v>
      </c>
      <c r="M167" s="309">
        <f t="shared" si="25"/>
        <v>607015.55522612494</v>
      </c>
      <c r="N167" s="308">
        <v>0</v>
      </c>
      <c r="O167" s="462">
        <v>1</v>
      </c>
      <c r="P167" s="463">
        <v>0</v>
      </c>
      <c r="Q167" s="309">
        <f t="shared" si="18"/>
        <v>0</v>
      </c>
      <c r="R167" s="311">
        <f t="shared" si="19"/>
        <v>607015.55522612494</v>
      </c>
      <c r="S167" s="312">
        <f t="shared" si="20"/>
        <v>0</v>
      </c>
      <c r="T167" s="309">
        <f t="shared" si="21"/>
        <v>0</v>
      </c>
      <c r="U167" s="311">
        <f t="shared" si="22"/>
        <v>0</v>
      </c>
      <c r="V167" s="464">
        <f t="shared" si="23"/>
        <v>607015.55522612494</v>
      </c>
      <c r="W167" s="311">
        <f t="shared" si="24"/>
        <v>0</v>
      </c>
      <c r="X167" s="321"/>
      <c r="Y167" s="321"/>
      <c r="Z167" s="321"/>
      <c r="AA167" s="321"/>
      <c r="AE167" s="436"/>
      <c r="AF167" s="436"/>
      <c r="AG167" s="436"/>
    </row>
    <row r="168" spans="1:33">
      <c r="A168" s="459" t="s">
        <v>2318</v>
      </c>
      <c r="B168" s="460"/>
      <c r="C168" s="461">
        <v>6662547.0700000003</v>
      </c>
      <c r="D168" s="461">
        <v>-2276148.0499999998</v>
      </c>
      <c r="E168" s="429">
        <v>138</v>
      </c>
      <c r="F168" s="431">
        <v>4.2</v>
      </c>
      <c r="G168" s="450">
        <v>4386399.0199999996</v>
      </c>
      <c r="H168" s="309">
        <f t="shared" si="25"/>
        <v>4234322.5659765992</v>
      </c>
      <c r="I168" s="309">
        <f t="shared" si="25"/>
        <v>4083453.6529508531</v>
      </c>
      <c r="J168" s="309">
        <f t="shared" si="25"/>
        <v>3942751.0678266501</v>
      </c>
      <c r="K168" s="309">
        <f t="shared" si="25"/>
        <v>3810928.8188530873</v>
      </c>
      <c r="L168" s="309">
        <f t="shared" si="25"/>
        <v>3683513.9253086424</v>
      </c>
      <c r="M168" s="309">
        <f t="shared" si="25"/>
        <v>3560359.0313256243</v>
      </c>
      <c r="N168" s="308">
        <v>0</v>
      </c>
      <c r="O168" s="462">
        <v>0</v>
      </c>
      <c r="P168" s="463">
        <v>1</v>
      </c>
      <c r="Q168" s="309">
        <f t="shared" si="18"/>
        <v>0</v>
      </c>
      <c r="R168" s="311">
        <f t="shared" si="19"/>
        <v>0</v>
      </c>
      <c r="S168" s="312">
        <f t="shared" si="20"/>
        <v>3560359.0313256243</v>
      </c>
      <c r="T168" s="309">
        <f t="shared" si="21"/>
        <v>0</v>
      </c>
      <c r="U168" s="311">
        <f t="shared" si="22"/>
        <v>0</v>
      </c>
      <c r="V168" s="464">
        <f t="shared" si="23"/>
        <v>3560359.0313256243</v>
      </c>
      <c r="W168" s="311">
        <f t="shared" si="24"/>
        <v>0</v>
      </c>
      <c r="X168" s="321"/>
      <c r="Y168" s="321"/>
      <c r="Z168" s="321"/>
      <c r="AA168" s="321"/>
      <c r="AE168" s="436"/>
      <c r="AF168" s="436"/>
      <c r="AG168" s="436"/>
    </row>
    <row r="169" spans="1:33">
      <c r="A169" s="459" t="s">
        <v>2319</v>
      </c>
      <c r="B169" s="460"/>
      <c r="C169" s="461">
        <v>6192052.6699999999</v>
      </c>
      <c r="D169" s="461">
        <v>-903772.15</v>
      </c>
      <c r="E169" s="429">
        <v>138</v>
      </c>
      <c r="F169" s="431">
        <v>25</v>
      </c>
      <c r="G169" s="450">
        <v>5288280.5199999996</v>
      </c>
      <c r="H169" s="309">
        <f t="shared" si="25"/>
        <v>5104935.8343715994</v>
      </c>
      <c r="I169" s="309">
        <f t="shared" si="25"/>
        <v>4923046.9705929393</v>
      </c>
      <c r="J169" s="309">
        <f t="shared" si="25"/>
        <v>4753414.7194836996</v>
      </c>
      <c r="K169" s="309">
        <f t="shared" si="25"/>
        <v>4594488.6782888696</v>
      </c>
      <c r="L169" s="309">
        <f t="shared" si="25"/>
        <v>4440876.1828417582</v>
      </c>
      <c r="M169" s="309">
        <f t="shared" si="25"/>
        <v>4292399.5796363661</v>
      </c>
      <c r="N169" s="308">
        <v>0</v>
      </c>
      <c r="O169" s="462">
        <v>1</v>
      </c>
      <c r="P169" s="463">
        <v>0</v>
      </c>
      <c r="Q169" s="309">
        <f t="shared" si="18"/>
        <v>0</v>
      </c>
      <c r="R169" s="311">
        <f t="shared" si="19"/>
        <v>4292399.5796363661</v>
      </c>
      <c r="S169" s="312">
        <f t="shared" si="20"/>
        <v>0</v>
      </c>
      <c r="T169" s="309">
        <f t="shared" si="21"/>
        <v>0</v>
      </c>
      <c r="U169" s="311">
        <f t="shared" si="22"/>
        <v>0</v>
      </c>
      <c r="V169" s="464">
        <f t="shared" si="23"/>
        <v>4292399.5796363661</v>
      </c>
      <c r="W169" s="311">
        <f t="shared" si="24"/>
        <v>0</v>
      </c>
      <c r="X169" s="321"/>
      <c r="Y169" s="321"/>
      <c r="Z169" s="321"/>
      <c r="AA169" s="321"/>
      <c r="AE169" s="436"/>
      <c r="AF169" s="436"/>
      <c r="AG169" s="436"/>
    </row>
    <row r="170" spans="1:33">
      <c r="A170" s="459" t="s">
        <v>2320</v>
      </c>
      <c r="B170" s="460"/>
      <c r="C170" s="461">
        <v>1612976.44</v>
      </c>
      <c r="D170" s="461">
        <v>-777036.45</v>
      </c>
      <c r="E170" s="429">
        <v>138</v>
      </c>
      <c r="F170" s="431">
        <v>4.2</v>
      </c>
      <c r="G170" s="450">
        <v>835939.99</v>
      </c>
      <c r="H170" s="309">
        <f t="shared" si="25"/>
        <v>806957.95054670004</v>
      </c>
      <c r="I170" s="309">
        <f t="shared" si="25"/>
        <v>778206.03876872105</v>
      </c>
      <c r="J170" s="309">
        <f t="shared" si="25"/>
        <v>751391.57955846423</v>
      </c>
      <c r="K170" s="309">
        <f t="shared" si="25"/>
        <v>726269.49445259583</v>
      </c>
      <c r="L170" s="309">
        <f t="shared" si="25"/>
        <v>701987.34311393485</v>
      </c>
      <c r="M170" s="309">
        <f t="shared" si="25"/>
        <v>678517.04313091713</v>
      </c>
      <c r="N170" s="308">
        <v>0</v>
      </c>
      <c r="O170" s="462">
        <v>0</v>
      </c>
      <c r="P170" s="463">
        <v>1</v>
      </c>
      <c r="Q170" s="309">
        <f t="shared" si="18"/>
        <v>0</v>
      </c>
      <c r="R170" s="311">
        <f t="shared" si="19"/>
        <v>0</v>
      </c>
      <c r="S170" s="312">
        <f t="shared" si="20"/>
        <v>678517.04313091713</v>
      </c>
      <c r="T170" s="309">
        <f t="shared" si="21"/>
        <v>0</v>
      </c>
      <c r="U170" s="311">
        <f t="shared" si="22"/>
        <v>0</v>
      </c>
      <c r="V170" s="464">
        <f t="shared" si="23"/>
        <v>678517.04313091713</v>
      </c>
      <c r="W170" s="311">
        <f t="shared" si="24"/>
        <v>0</v>
      </c>
      <c r="X170" s="321"/>
      <c r="Y170" s="321"/>
      <c r="Z170" s="321"/>
      <c r="AA170" s="321"/>
      <c r="AE170" s="436"/>
      <c r="AF170" s="436"/>
      <c r="AG170" s="436"/>
    </row>
    <row r="171" spans="1:33">
      <c r="A171" s="459" t="s">
        <v>2321</v>
      </c>
      <c r="B171" s="460"/>
      <c r="C171" s="461">
        <v>67915.929999999993</v>
      </c>
      <c r="D171" s="461">
        <v>-64175.19</v>
      </c>
      <c r="E171" s="429">
        <v>69</v>
      </c>
      <c r="F171" s="431">
        <v>0</v>
      </c>
      <c r="G171" s="450">
        <v>3740.74</v>
      </c>
      <c r="H171" s="309">
        <f t="shared" si="25"/>
        <v>3611.0485441999999</v>
      </c>
      <c r="I171" s="309">
        <f t="shared" si="25"/>
        <v>3482.3868845701536</v>
      </c>
      <c r="J171" s="309">
        <f t="shared" si="25"/>
        <v>3362.395113215638</v>
      </c>
      <c r="K171" s="309">
        <f t="shared" si="25"/>
        <v>3249.9765308256196</v>
      </c>
      <c r="L171" s="309">
        <f t="shared" si="25"/>
        <v>3141.3165601516689</v>
      </c>
      <c r="M171" s="309">
        <f t="shared" si="25"/>
        <v>3036.2895354743664</v>
      </c>
      <c r="N171" s="308">
        <v>0</v>
      </c>
      <c r="O171" s="462">
        <v>0</v>
      </c>
      <c r="P171" s="463">
        <v>1</v>
      </c>
      <c r="Q171" s="309">
        <f t="shared" si="18"/>
        <v>0</v>
      </c>
      <c r="R171" s="311">
        <f t="shared" si="19"/>
        <v>0</v>
      </c>
      <c r="S171" s="312">
        <f t="shared" si="20"/>
        <v>3036.2895354743664</v>
      </c>
      <c r="T171" s="309">
        <f t="shared" si="21"/>
        <v>0</v>
      </c>
      <c r="U171" s="311">
        <f t="shared" si="22"/>
        <v>0</v>
      </c>
      <c r="V171" s="464">
        <f t="shared" si="23"/>
        <v>0</v>
      </c>
      <c r="W171" s="311">
        <f t="shared" si="24"/>
        <v>3036.2895354743664</v>
      </c>
      <c r="X171" s="321"/>
      <c r="Y171" s="321"/>
      <c r="Z171" s="321"/>
      <c r="AA171" s="321"/>
      <c r="AE171" s="436"/>
      <c r="AF171" s="436"/>
      <c r="AG171" s="436"/>
    </row>
    <row r="172" spans="1:33">
      <c r="A172" s="459" t="s">
        <v>2322</v>
      </c>
      <c r="B172" s="460"/>
      <c r="C172" s="461">
        <v>3855951.38</v>
      </c>
      <c r="D172" s="461">
        <v>-2245683.39</v>
      </c>
      <c r="E172" s="429">
        <v>138</v>
      </c>
      <c r="F172" s="431">
        <v>13.8</v>
      </c>
      <c r="G172" s="450">
        <v>1610267.99</v>
      </c>
      <c r="H172" s="309">
        <f t="shared" si="25"/>
        <v>1554439.9987867</v>
      </c>
      <c r="I172" s="309">
        <f t="shared" si="25"/>
        <v>1499055.3016299298</v>
      </c>
      <c r="J172" s="309">
        <f t="shared" si="25"/>
        <v>1447402.7119082236</v>
      </c>
      <c r="K172" s="309">
        <f t="shared" si="25"/>
        <v>1399010.1359195625</v>
      </c>
      <c r="L172" s="309">
        <f t="shared" si="25"/>
        <v>1352235.5211185869</v>
      </c>
      <c r="M172" s="309">
        <f t="shared" si="25"/>
        <v>1307024.7724638286</v>
      </c>
      <c r="N172" s="308">
        <v>0</v>
      </c>
      <c r="O172" s="462">
        <v>1</v>
      </c>
      <c r="P172" s="463">
        <v>0</v>
      </c>
      <c r="Q172" s="309">
        <f t="shared" si="18"/>
        <v>0</v>
      </c>
      <c r="R172" s="311">
        <f t="shared" si="19"/>
        <v>1307024.7724638286</v>
      </c>
      <c r="S172" s="312">
        <f t="shared" si="20"/>
        <v>0</v>
      </c>
      <c r="T172" s="309">
        <f t="shared" si="21"/>
        <v>0</v>
      </c>
      <c r="U172" s="311">
        <f t="shared" si="22"/>
        <v>0</v>
      </c>
      <c r="V172" s="464">
        <f t="shared" si="23"/>
        <v>1307024.7724638286</v>
      </c>
      <c r="W172" s="311">
        <f t="shared" si="24"/>
        <v>0</v>
      </c>
      <c r="X172" s="321"/>
      <c r="Y172" s="321"/>
      <c r="Z172" s="321"/>
      <c r="AA172" s="321"/>
      <c r="AE172" s="436"/>
      <c r="AF172" s="436"/>
      <c r="AG172" s="436"/>
    </row>
    <row r="173" spans="1:33">
      <c r="A173" s="459" t="s">
        <v>2323</v>
      </c>
      <c r="B173" s="460"/>
      <c r="C173" s="461">
        <v>12475879.689999999</v>
      </c>
      <c r="D173" s="461">
        <v>-3995806.88</v>
      </c>
      <c r="E173" s="429">
        <v>138</v>
      </c>
      <c r="F173" s="431">
        <v>25</v>
      </c>
      <c r="G173" s="450">
        <v>8480072.8100000005</v>
      </c>
      <c r="H173" s="309">
        <f t="shared" si="25"/>
        <v>8186068.6856773011</v>
      </c>
      <c r="I173" s="309">
        <f t="shared" si="25"/>
        <v>7894399.0584066175</v>
      </c>
      <c r="J173" s="309">
        <f t="shared" si="25"/>
        <v>7622383.6396159073</v>
      </c>
      <c r="K173" s="309">
        <f t="shared" si="25"/>
        <v>7367536.2661378412</v>
      </c>
      <c r="L173" s="309">
        <f t="shared" si="25"/>
        <v>7121209.4797673458</v>
      </c>
      <c r="M173" s="309">
        <f t="shared" si="25"/>
        <v>6883118.4025256261</v>
      </c>
      <c r="N173" s="308">
        <v>0</v>
      </c>
      <c r="O173" s="462">
        <v>1</v>
      </c>
      <c r="P173" s="463">
        <v>0</v>
      </c>
      <c r="Q173" s="309">
        <f t="shared" si="18"/>
        <v>0</v>
      </c>
      <c r="R173" s="311">
        <f t="shared" si="19"/>
        <v>6883118.4025256261</v>
      </c>
      <c r="S173" s="312">
        <f t="shared" si="20"/>
        <v>0</v>
      </c>
      <c r="T173" s="309">
        <f t="shared" si="21"/>
        <v>0</v>
      </c>
      <c r="U173" s="311">
        <f t="shared" si="22"/>
        <v>0</v>
      </c>
      <c r="V173" s="464">
        <f t="shared" si="23"/>
        <v>6883118.4025256261</v>
      </c>
      <c r="W173" s="311">
        <f t="shared" si="24"/>
        <v>0</v>
      </c>
      <c r="X173" s="321"/>
      <c r="Y173" s="321"/>
      <c r="Z173" s="321"/>
      <c r="AA173" s="321"/>
      <c r="AE173" s="436"/>
      <c r="AF173" s="436"/>
      <c r="AG173" s="436"/>
    </row>
    <row r="174" spans="1:33">
      <c r="A174" s="459" t="s">
        <v>2324</v>
      </c>
      <c r="B174" s="460"/>
      <c r="C174" s="461">
        <v>3038543.68</v>
      </c>
      <c r="D174" s="461">
        <v>-2271258.2200000002</v>
      </c>
      <c r="E174" s="429">
        <v>138</v>
      </c>
      <c r="F174" s="431">
        <v>13</v>
      </c>
      <c r="G174" s="450">
        <v>767285.46</v>
      </c>
      <c r="H174" s="309">
        <f t="shared" si="25"/>
        <v>740683.67310180003</v>
      </c>
      <c r="I174" s="309">
        <f t="shared" si="25"/>
        <v>714293.11382918281</v>
      </c>
      <c r="J174" s="309">
        <f t="shared" si="25"/>
        <v>689680.88697568211</v>
      </c>
      <c r="K174" s="309">
        <f t="shared" si="25"/>
        <v>666622.04201407742</v>
      </c>
      <c r="L174" s="309">
        <f t="shared" si="25"/>
        <v>644334.14828659326</v>
      </c>
      <c r="M174" s="309">
        <f t="shared" si="25"/>
        <v>622791.42974909663</v>
      </c>
      <c r="N174" s="308">
        <v>0</v>
      </c>
      <c r="O174" s="462">
        <v>0</v>
      </c>
      <c r="P174" s="463">
        <v>1</v>
      </c>
      <c r="Q174" s="309">
        <f t="shared" si="18"/>
        <v>0</v>
      </c>
      <c r="R174" s="311">
        <f t="shared" si="19"/>
        <v>0</v>
      </c>
      <c r="S174" s="312">
        <f t="shared" si="20"/>
        <v>622791.42974909663</v>
      </c>
      <c r="T174" s="309">
        <f t="shared" si="21"/>
        <v>0</v>
      </c>
      <c r="U174" s="311">
        <f t="shared" si="22"/>
        <v>0</v>
      </c>
      <c r="V174" s="464">
        <f t="shared" si="23"/>
        <v>622791.42974909663</v>
      </c>
      <c r="W174" s="311">
        <f t="shared" si="24"/>
        <v>0</v>
      </c>
      <c r="X174" s="321"/>
      <c r="Y174" s="321"/>
      <c r="Z174" s="321"/>
      <c r="AA174" s="321"/>
      <c r="AE174" s="436"/>
      <c r="AF174" s="436"/>
      <c r="AG174" s="436"/>
    </row>
    <row r="175" spans="1:33">
      <c r="A175" s="459" t="s">
        <v>2325</v>
      </c>
      <c r="B175" s="460"/>
      <c r="C175" s="461">
        <v>34372545.450000003</v>
      </c>
      <c r="D175" s="461">
        <v>-18836166.469999999</v>
      </c>
      <c r="E175" s="429">
        <v>240</v>
      </c>
      <c r="F175" s="431">
        <v>69</v>
      </c>
      <c r="G175" s="450">
        <v>15536378.98</v>
      </c>
      <c r="H175" s="309">
        <f t="shared" si="25"/>
        <v>14997732.7207634</v>
      </c>
      <c r="I175" s="309">
        <f t="shared" si="25"/>
        <v>14463363.503922598</v>
      </c>
      <c r="J175" s="309">
        <f t="shared" si="25"/>
        <v>13965002.849547995</v>
      </c>
      <c r="K175" s="309">
        <f t="shared" si="25"/>
        <v>13498095.847081723</v>
      </c>
      <c r="L175" s="309">
        <f t="shared" si="25"/>
        <v>13046799.450019596</v>
      </c>
      <c r="M175" s="309">
        <f t="shared" si="25"/>
        <v>12610591.732154043</v>
      </c>
      <c r="N175" s="308">
        <v>0</v>
      </c>
      <c r="O175" s="462">
        <v>0</v>
      </c>
      <c r="P175" s="463">
        <v>1</v>
      </c>
      <c r="Q175" s="309">
        <f t="shared" si="18"/>
        <v>0</v>
      </c>
      <c r="R175" s="311">
        <f t="shared" si="19"/>
        <v>0</v>
      </c>
      <c r="S175" s="312">
        <f t="shared" si="20"/>
        <v>12610591.732154043</v>
      </c>
      <c r="T175" s="309">
        <f t="shared" si="21"/>
        <v>0</v>
      </c>
      <c r="U175" s="311">
        <f t="shared" si="22"/>
        <v>12610591.732154043</v>
      </c>
      <c r="V175" s="464">
        <f t="shared" si="23"/>
        <v>0</v>
      </c>
      <c r="W175" s="311">
        <f t="shared" si="24"/>
        <v>0</v>
      </c>
      <c r="X175" s="321"/>
      <c r="Y175" s="321"/>
      <c r="Z175" s="321"/>
      <c r="AA175" s="321"/>
      <c r="AE175" s="436"/>
      <c r="AF175" s="436"/>
      <c r="AG175" s="436"/>
    </row>
    <row r="176" spans="1:33">
      <c r="A176" s="459" t="s">
        <v>2326</v>
      </c>
      <c r="B176" s="460"/>
      <c r="C176" s="461">
        <v>33364820.739999998</v>
      </c>
      <c r="D176" s="461">
        <v>-509683.61</v>
      </c>
      <c r="E176" s="429">
        <v>240</v>
      </c>
      <c r="F176" s="431">
        <v>138</v>
      </c>
      <c r="G176" s="450">
        <v>32855137.129999999</v>
      </c>
      <c r="H176" s="309">
        <f t="shared" si="25"/>
        <v>31716049.525702901</v>
      </c>
      <c r="I176" s="309">
        <f t="shared" si="25"/>
        <v>30586006.681102101</v>
      </c>
      <c r="J176" s="309">
        <f t="shared" si="25"/>
        <v>29532111.96980856</v>
      </c>
      <c r="K176" s="309">
        <f t="shared" si="25"/>
        <v>28544733.017947629</v>
      </c>
      <c r="L176" s="309">
        <f t="shared" si="25"/>
        <v>27590366.17153905</v>
      </c>
      <c r="M176" s="309">
        <f t="shared" si="25"/>
        <v>26667907.701255452</v>
      </c>
      <c r="N176" s="308">
        <v>0</v>
      </c>
      <c r="O176" s="462">
        <v>0</v>
      </c>
      <c r="P176" s="463">
        <v>1</v>
      </c>
      <c r="Q176" s="309">
        <f t="shared" si="18"/>
        <v>0</v>
      </c>
      <c r="R176" s="311">
        <f t="shared" si="19"/>
        <v>0</v>
      </c>
      <c r="S176" s="312">
        <f t="shared" si="20"/>
        <v>26667907.701255452</v>
      </c>
      <c r="T176" s="309">
        <f t="shared" si="21"/>
        <v>0</v>
      </c>
      <c r="U176" s="311">
        <f t="shared" si="22"/>
        <v>26667907.701255452</v>
      </c>
      <c r="V176" s="464">
        <f t="shared" si="23"/>
        <v>0</v>
      </c>
      <c r="W176" s="311">
        <f t="shared" si="24"/>
        <v>0</v>
      </c>
      <c r="X176" s="321"/>
      <c r="Y176" s="321"/>
      <c r="Z176" s="321"/>
      <c r="AA176" s="321"/>
      <c r="AE176" s="436"/>
      <c r="AF176" s="436"/>
      <c r="AG176" s="436"/>
    </row>
    <row r="177" spans="1:33">
      <c r="A177" s="459" t="s">
        <v>2327</v>
      </c>
      <c r="B177" s="460"/>
      <c r="C177" s="461">
        <v>245915.06</v>
      </c>
      <c r="D177" s="461">
        <v>-146327.97</v>
      </c>
      <c r="E177" s="429">
        <v>69</v>
      </c>
      <c r="F177" s="431">
        <v>13.8</v>
      </c>
      <c r="G177" s="450">
        <v>99587.09</v>
      </c>
      <c r="H177" s="309">
        <f t="shared" si="25"/>
        <v>96134.405589699993</v>
      </c>
      <c r="I177" s="309">
        <f t="shared" si="25"/>
        <v>92709.136718538983</v>
      </c>
      <c r="J177" s="309">
        <f t="shared" si="25"/>
        <v>89514.680185034507</v>
      </c>
      <c r="K177" s="309">
        <f t="shared" si="25"/>
        <v>86521.839334789052</v>
      </c>
      <c r="L177" s="309">
        <f t="shared" si="25"/>
        <v>83629.06136067053</v>
      </c>
      <c r="M177" s="309">
        <f t="shared" si="25"/>
        <v>80833.000752616848</v>
      </c>
      <c r="N177" s="308">
        <v>0.99651220727453915</v>
      </c>
      <c r="O177" s="462">
        <v>3.4877927254608871E-3</v>
      </c>
      <c r="P177" s="463">
        <v>0</v>
      </c>
      <c r="Q177" s="309">
        <f t="shared" si="18"/>
        <v>80551.072000614702</v>
      </c>
      <c r="R177" s="311">
        <f t="shared" si="19"/>
        <v>281.92875200215144</v>
      </c>
      <c r="S177" s="312">
        <f t="shared" si="20"/>
        <v>0</v>
      </c>
      <c r="T177" s="309">
        <f t="shared" si="21"/>
        <v>80551.072000614702</v>
      </c>
      <c r="U177" s="311">
        <f t="shared" si="22"/>
        <v>0</v>
      </c>
      <c r="V177" s="464">
        <f t="shared" si="23"/>
        <v>281.92875200215144</v>
      </c>
      <c r="W177" s="311">
        <f t="shared" si="24"/>
        <v>0</v>
      </c>
      <c r="X177" s="321"/>
      <c r="Y177" s="321"/>
      <c r="Z177" s="321"/>
      <c r="AA177" s="321"/>
      <c r="AE177" s="436"/>
      <c r="AF177" s="436"/>
      <c r="AG177" s="436"/>
    </row>
    <row r="178" spans="1:33">
      <c r="A178" s="459" t="s">
        <v>2328</v>
      </c>
      <c r="B178" s="460"/>
      <c r="C178" s="461">
        <v>125616.15</v>
      </c>
      <c r="D178" s="461">
        <v>-73971.34</v>
      </c>
      <c r="E178" s="429">
        <v>138</v>
      </c>
      <c r="F178" s="431">
        <v>13.8</v>
      </c>
      <c r="G178" s="450">
        <v>51644.81</v>
      </c>
      <c r="H178" s="309">
        <f t="shared" si="25"/>
        <v>49854.284437299997</v>
      </c>
      <c r="I178" s="309">
        <f t="shared" si="25"/>
        <v>48077.976282798998</v>
      </c>
      <c r="J178" s="309">
        <f t="shared" si="25"/>
        <v>46421.364961732208</v>
      </c>
      <c r="K178" s="309">
        <f t="shared" si="25"/>
        <v>44869.309398393976</v>
      </c>
      <c r="L178" s="309">
        <f t="shared" si="25"/>
        <v>43369.145382701427</v>
      </c>
      <c r="M178" s="309">
        <f t="shared" si="25"/>
        <v>41919.137968573574</v>
      </c>
      <c r="N178" s="308">
        <v>0.99493487698986982</v>
      </c>
      <c r="O178" s="462">
        <v>5.0651230101302468E-3</v>
      </c>
      <c r="P178" s="463">
        <v>0</v>
      </c>
      <c r="Q178" s="309">
        <f t="shared" si="18"/>
        <v>41706.812378284128</v>
      </c>
      <c r="R178" s="311">
        <f t="shared" si="19"/>
        <v>212.3255902894465</v>
      </c>
      <c r="S178" s="312">
        <f t="shared" si="20"/>
        <v>0</v>
      </c>
      <c r="T178" s="309">
        <f t="shared" si="21"/>
        <v>41706.812378284128</v>
      </c>
      <c r="U178" s="311">
        <f t="shared" si="22"/>
        <v>0</v>
      </c>
      <c r="V178" s="464">
        <f t="shared" si="23"/>
        <v>212.3255902894465</v>
      </c>
      <c r="W178" s="311">
        <f t="shared" si="24"/>
        <v>0</v>
      </c>
      <c r="X178" s="321"/>
      <c r="Y178" s="321"/>
      <c r="Z178" s="321"/>
      <c r="AA178" s="321"/>
      <c r="AE178" s="436"/>
      <c r="AF178" s="436"/>
      <c r="AG178" s="436"/>
    </row>
    <row r="179" spans="1:33">
      <c r="A179" s="459" t="s">
        <v>2329</v>
      </c>
      <c r="B179" s="460"/>
      <c r="C179" s="461">
        <v>1516836.24</v>
      </c>
      <c r="D179" s="461">
        <v>-533268.69999999995</v>
      </c>
      <c r="E179" s="429">
        <v>138</v>
      </c>
      <c r="F179" s="431">
        <v>25</v>
      </c>
      <c r="G179" s="450">
        <v>983567.54</v>
      </c>
      <c r="H179" s="309">
        <f t="shared" si="25"/>
        <v>949467.25338820007</v>
      </c>
      <c r="I179" s="309">
        <f t="shared" si="25"/>
        <v>915637.73514997843</v>
      </c>
      <c r="J179" s="309">
        <f t="shared" si="25"/>
        <v>884087.82487249235</v>
      </c>
      <c r="K179" s="309">
        <f t="shared" si="25"/>
        <v>854529.16307519085</v>
      </c>
      <c r="L179" s="309">
        <f t="shared" si="25"/>
        <v>825958.76789876854</v>
      </c>
      <c r="M179" s="309">
        <f t="shared" si="25"/>
        <v>798343.59755937743</v>
      </c>
      <c r="N179" s="308">
        <v>0</v>
      </c>
      <c r="O179" s="462">
        <v>1</v>
      </c>
      <c r="P179" s="463">
        <v>0</v>
      </c>
      <c r="Q179" s="309">
        <f t="shared" si="18"/>
        <v>0</v>
      </c>
      <c r="R179" s="311">
        <f t="shared" si="19"/>
        <v>798343.59755937743</v>
      </c>
      <c r="S179" s="312">
        <f t="shared" si="20"/>
        <v>0</v>
      </c>
      <c r="T179" s="309">
        <f t="shared" si="21"/>
        <v>0</v>
      </c>
      <c r="U179" s="311">
        <f t="shared" si="22"/>
        <v>0</v>
      </c>
      <c r="V179" s="464">
        <f t="shared" si="23"/>
        <v>798343.59755937743</v>
      </c>
      <c r="W179" s="311">
        <f t="shared" si="24"/>
        <v>0</v>
      </c>
      <c r="X179" s="321"/>
      <c r="Y179" s="321"/>
      <c r="Z179" s="321"/>
      <c r="AA179" s="321"/>
      <c r="AE179" s="436"/>
      <c r="AF179" s="436"/>
      <c r="AG179" s="436"/>
    </row>
    <row r="180" spans="1:33">
      <c r="A180" s="459" t="s">
        <v>2330</v>
      </c>
      <c r="B180" s="460"/>
      <c r="C180" s="461">
        <v>422202.26</v>
      </c>
      <c r="D180" s="461">
        <v>-233517.41</v>
      </c>
      <c r="E180" s="429">
        <v>138</v>
      </c>
      <c r="F180" s="431">
        <v>4.2</v>
      </c>
      <c r="G180" s="450">
        <v>188684.85</v>
      </c>
      <c r="H180" s="309">
        <f t="shared" si="25"/>
        <v>182143.14625050002</v>
      </c>
      <c r="I180" s="309">
        <f t="shared" si="25"/>
        <v>175653.38594959467</v>
      </c>
      <c r="J180" s="309">
        <f t="shared" si="25"/>
        <v>169600.93927346615</v>
      </c>
      <c r="K180" s="309">
        <f t="shared" si="25"/>
        <v>163930.48814468595</v>
      </c>
      <c r="L180" s="309">
        <f t="shared" si="25"/>
        <v>158449.6233244582</v>
      </c>
      <c r="M180" s="309">
        <f t="shared" si="25"/>
        <v>153152.00616924741</v>
      </c>
      <c r="N180" s="308">
        <v>0</v>
      </c>
      <c r="O180" s="462">
        <v>1</v>
      </c>
      <c r="P180" s="463">
        <v>0</v>
      </c>
      <c r="Q180" s="309">
        <f t="shared" si="18"/>
        <v>0</v>
      </c>
      <c r="R180" s="311">
        <f t="shared" si="19"/>
        <v>153152.00616924741</v>
      </c>
      <c r="S180" s="312">
        <f t="shared" si="20"/>
        <v>0</v>
      </c>
      <c r="T180" s="309">
        <f t="shared" si="21"/>
        <v>0</v>
      </c>
      <c r="U180" s="311">
        <f t="shared" si="22"/>
        <v>0</v>
      </c>
      <c r="V180" s="464">
        <f t="shared" si="23"/>
        <v>153152.00616924741</v>
      </c>
      <c r="W180" s="311">
        <f t="shared" si="24"/>
        <v>0</v>
      </c>
      <c r="X180" s="321"/>
      <c r="Y180" s="321"/>
      <c r="Z180" s="321"/>
      <c r="AA180" s="321"/>
      <c r="AE180" s="436"/>
      <c r="AF180" s="436"/>
      <c r="AG180" s="436"/>
    </row>
    <row r="181" spans="1:33">
      <c r="A181" s="459" t="s">
        <v>2331</v>
      </c>
      <c r="B181" s="460"/>
      <c r="C181" s="461">
        <v>163780.98000000001</v>
      </c>
      <c r="D181" s="461">
        <v>-145450.28</v>
      </c>
      <c r="E181" s="429">
        <v>25</v>
      </c>
      <c r="F181" s="431">
        <v>25</v>
      </c>
      <c r="G181" s="450">
        <v>18330.7</v>
      </c>
      <c r="H181" s="309">
        <f t="shared" si="25"/>
        <v>17695.174631000002</v>
      </c>
      <c r="I181" s="309">
        <f t="shared" si="25"/>
        <v>17064.695558897471</v>
      </c>
      <c r="J181" s="309">
        <f t="shared" si="25"/>
        <v>16476.701428546734</v>
      </c>
      <c r="K181" s="309">
        <f t="shared" si="25"/>
        <v>15925.818098452497</v>
      </c>
      <c r="L181" s="309">
        <f t="shared" si="25"/>
        <v>15393.353044898124</v>
      </c>
      <c r="M181" s="309">
        <f t="shared" si="25"/>
        <v>14878.690469778701</v>
      </c>
      <c r="N181" s="308">
        <v>0</v>
      </c>
      <c r="O181" s="462">
        <v>0</v>
      </c>
      <c r="P181" s="463">
        <v>1</v>
      </c>
      <c r="Q181" s="309">
        <f t="shared" si="18"/>
        <v>0</v>
      </c>
      <c r="R181" s="311">
        <f t="shared" si="19"/>
        <v>0</v>
      </c>
      <c r="S181" s="312">
        <f t="shared" si="20"/>
        <v>14878.690469778701</v>
      </c>
      <c r="T181" s="309">
        <f t="shared" si="21"/>
        <v>0</v>
      </c>
      <c r="U181" s="311">
        <f t="shared" si="22"/>
        <v>0</v>
      </c>
      <c r="V181" s="464">
        <f t="shared" si="23"/>
        <v>14878.690469778701</v>
      </c>
      <c r="W181" s="311">
        <f t="shared" si="24"/>
        <v>0</v>
      </c>
      <c r="X181" s="321"/>
      <c r="Y181" s="321"/>
      <c r="Z181" s="321"/>
      <c r="AA181" s="321"/>
      <c r="AE181" s="436"/>
      <c r="AF181" s="436"/>
      <c r="AG181" s="436"/>
    </row>
    <row r="182" spans="1:33">
      <c r="A182" s="459" t="s">
        <v>2332</v>
      </c>
      <c r="B182" s="460"/>
      <c r="C182" s="461">
        <v>99532287.069999993</v>
      </c>
      <c r="D182" s="461">
        <v>-25980250.600000001</v>
      </c>
      <c r="E182" s="429">
        <v>240</v>
      </c>
      <c r="F182" s="431">
        <v>138</v>
      </c>
      <c r="G182" s="450">
        <v>73552036.469999999</v>
      </c>
      <c r="H182" s="309">
        <f t="shared" si="25"/>
        <v>71001987.365585104</v>
      </c>
      <c r="I182" s="309">
        <f t="shared" si="25"/>
        <v>68472186.555749297</v>
      </c>
      <c r="J182" s="309">
        <f t="shared" si="25"/>
        <v>66112856.81276603</v>
      </c>
      <c r="K182" s="309">
        <f t="shared" si="25"/>
        <v>63902434.363770291</v>
      </c>
      <c r="L182" s="309">
        <f t="shared" si="25"/>
        <v>61765915.352601498</v>
      </c>
      <c r="M182" s="309">
        <f t="shared" si="25"/>
        <v>59700828.88591294</v>
      </c>
      <c r="N182" s="308">
        <v>0</v>
      </c>
      <c r="O182" s="462">
        <v>0</v>
      </c>
      <c r="P182" s="463">
        <v>1</v>
      </c>
      <c r="Q182" s="309">
        <f t="shared" si="18"/>
        <v>0</v>
      </c>
      <c r="R182" s="311">
        <f t="shared" si="19"/>
        <v>0</v>
      </c>
      <c r="S182" s="312">
        <f t="shared" si="20"/>
        <v>59700828.88591294</v>
      </c>
      <c r="T182" s="309">
        <f t="shared" si="21"/>
        <v>0</v>
      </c>
      <c r="U182" s="311">
        <f t="shared" si="22"/>
        <v>59700828.88591294</v>
      </c>
      <c r="V182" s="464">
        <f t="shared" si="23"/>
        <v>0</v>
      </c>
      <c r="W182" s="311">
        <f t="shared" si="24"/>
        <v>0</v>
      </c>
      <c r="X182" s="321"/>
      <c r="Y182" s="321"/>
      <c r="Z182" s="321"/>
      <c r="AA182" s="321"/>
      <c r="AE182" s="436"/>
      <c r="AF182" s="436"/>
      <c r="AG182" s="436"/>
    </row>
    <row r="183" spans="1:33">
      <c r="A183" s="459" t="s">
        <v>2333</v>
      </c>
      <c r="B183" s="460"/>
      <c r="C183" s="461">
        <v>18595.990000000002</v>
      </c>
      <c r="D183" s="461">
        <v>-11971.05</v>
      </c>
      <c r="E183" s="429">
        <v>138</v>
      </c>
      <c r="F183" s="431">
        <v>25</v>
      </c>
      <c r="G183" s="450">
        <v>6624.94</v>
      </c>
      <c r="H183" s="309">
        <f t="shared" si="25"/>
        <v>6395.2533302000002</v>
      </c>
      <c r="I183" s="309">
        <f t="shared" si="25"/>
        <v>6167.390454044973</v>
      </c>
      <c r="J183" s="309">
        <f t="shared" si="25"/>
        <v>5954.8821573664063</v>
      </c>
      <c r="K183" s="309">
        <f t="shared" si="25"/>
        <v>5755.7861594571878</v>
      </c>
      <c r="L183" s="309">
        <f t="shared" si="25"/>
        <v>5563.3467527845287</v>
      </c>
      <c r="M183" s="309">
        <f t="shared" si="25"/>
        <v>5377.3413803540343</v>
      </c>
      <c r="N183" s="308">
        <v>0.95413019106457075</v>
      </c>
      <c r="O183" s="462">
        <v>4.5869808935429225E-2</v>
      </c>
      <c r="P183" s="463">
        <v>0</v>
      </c>
      <c r="Q183" s="309">
        <f t="shared" si="18"/>
        <v>5130.6837586566171</v>
      </c>
      <c r="R183" s="311">
        <f t="shared" si="19"/>
        <v>246.6576216974168</v>
      </c>
      <c r="S183" s="312">
        <f t="shared" si="20"/>
        <v>0</v>
      </c>
      <c r="T183" s="309">
        <f t="shared" si="21"/>
        <v>5130.6837586566171</v>
      </c>
      <c r="U183" s="311">
        <f t="shared" si="22"/>
        <v>0</v>
      </c>
      <c r="V183" s="464">
        <f t="shared" si="23"/>
        <v>246.6576216974168</v>
      </c>
      <c r="W183" s="311">
        <f t="shared" si="24"/>
        <v>0</v>
      </c>
      <c r="X183" s="321"/>
      <c r="Y183" s="321"/>
      <c r="Z183" s="321"/>
      <c r="AA183" s="321"/>
      <c r="AE183" s="436"/>
      <c r="AF183" s="436"/>
      <c r="AG183" s="436"/>
    </row>
    <row r="184" spans="1:33">
      <c r="A184" s="459" t="s">
        <v>2334</v>
      </c>
      <c r="B184" s="460"/>
      <c r="C184" s="461">
        <v>19074.98</v>
      </c>
      <c r="D184" s="461">
        <v>-3671.94</v>
      </c>
      <c r="E184" s="429">
        <v>69</v>
      </c>
      <c r="F184" s="431">
        <v>12.5</v>
      </c>
      <c r="G184" s="450">
        <v>15403.04</v>
      </c>
      <c r="H184" s="309">
        <f t="shared" si="25"/>
        <v>14869.016603200002</v>
      </c>
      <c r="I184" s="309">
        <f t="shared" si="25"/>
        <v>14339.233541627984</v>
      </c>
      <c r="J184" s="309">
        <f t="shared" si="25"/>
        <v>13845.150003653023</v>
      </c>
      <c r="K184" s="309">
        <f t="shared" si="25"/>
        <v>13382.250170652935</v>
      </c>
      <c r="L184" s="309">
        <f t="shared" si="25"/>
        <v>12934.826967038225</v>
      </c>
      <c r="M184" s="309">
        <f t="shared" si="25"/>
        <v>12502.362945966064</v>
      </c>
      <c r="N184" s="308">
        <v>0.8928571428571429</v>
      </c>
      <c r="O184" s="462">
        <v>0.10714285714285714</v>
      </c>
      <c r="P184" s="463">
        <v>0</v>
      </c>
      <c r="Q184" s="309">
        <f t="shared" si="18"/>
        <v>11162.824058898272</v>
      </c>
      <c r="R184" s="311">
        <f t="shared" si="19"/>
        <v>1339.5388870677925</v>
      </c>
      <c r="S184" s="312">
        <f t="shared" si="20"/>
        <v>0</v>
      </c>
      <c r="T184" s="309">
        <f t="shared" si="21"/>
        <v>11162.824058898272</v>
      </c>
      <c r="U184" s="311">
        <f t="shared" si="22"/>
        <v>0</v>
      </c>
      <c r="V184" s="464">
        <f t="shared" si="23"/>
        <v>1339.5388870677925</v>
      </c>
      <c r="W184" s="311">
        <f t="shared" si="24"/>
        <v>0</v>
      </c>
      <c r="X184" s="321"/>
      <c r="Y184" s="321"/>
      <c r="Z184" s="321"/>
      <c r="AA184" s="321"/>
      <c r="AE184" s="436"/>
      <c r="AF184" s="436"/>
      <c r="AG184" s="436"/>
    </row>
    <row r="185" spans="1:33">
      <c r="A185" s="459" t="s">
        <v>2335</v>
      </c>
      <c r="B185" s="460"/>
      <c r="C185" s="461">
        <v>30510237.420000002</v>
      </c>
      <c r="D185" s="461">
        <v>-2156944.04</v>
      </c>
      <c r="E185" s="429">
        <v>240</v>
      </c>
      <c r="F185" s="431">
        <v>240</v>
      </c>
      <c r="G185" s="450">
        <v>28353293.379999999</v>
      </c>
      <c r="H185" s="309">
        <f t="shared" si="25"/>
        <v>27370284.6985154</v>
      </c>
      <c r="I185" s="309">
        <f t="shared" si="25"/>
        <v>26395081.454707295</v>
      </c>
      <c r="J185" s="309">
        <f t="shared" si="25"/>
        <v>25485592.450820241</v>
      </c>
      <c r="K185" s="309">
        <f t="shared" si="25"/>
        <v>24633505.150481835</v>
      </c>
      <c r="L185" s="309">
        <f t="shared" si="25"/>
        <v>23809906.603889257</v>
      </c>
      <c r="M185" s="309">
        <f t="shared" si="25"/>
        <v>23013844.315811478</v>
      </c>
      <c r="N185" s="308">
        <v>0</v>
      </c>
      <c r="O185" s="462">
        <v>0</v>
      </c>
      <c r="P185" s="463">
        <v>1</v>
      </c>
      <c r="Q185" s="309">
        <f t="shared" si="18"/>
        <v>0</v>
      </c>
      <c r="R185" s="311">
        <f t="shared" si="19"/>
        <v>0</v>
      </c>
      <c r="S185" s="312">
        <f t="shared" si="20"/>
        <v>23013844.315811478</v>
      </c>
      <c r="T185" s="309">
        <f t="shared" si="21"/>
        <v>23013844.315811478</v>
      </c>
      <c r="U185" s="311">
        <f t="shared" si="22"/>
        <v>0</v>
      </c>
      <c r="V185" s="464">
        <f t="shared" si="23"/>
        <v>0</v>
      </c>
      <c r="W185" s="311">
        <f t="shared" si="24"/>
        <v>0</v>
      </c>
      <c r="X185" s="321"/>
      <c r="Y185" s="321"/>
      <c r="Z185" s="321"/>
      <c r="AA185" s="321"/>
      <c r="AE185" s="436"/>
      <c r="AF185" s="436"/>
      <c r="AG185" s="436"/>
    </row>
    <row r="186" spans="1:33">
      <c r="A186" s="459" t="s">
        <v>2336</v>
      </c>
      <c r="B186" s="460"/>
      <c r="C186" s="461">
        <v>14822739.949999999</v>
      </c>
      <c r="D186" s="461">
        <v>-1038648.48</v>
      </c>
      <c r="E186" s="429">
        <v>138</v>
      </c>
      <c r="F186" s="431">
        <v>25</v>
      </c>
      <c r="G186" s="450">
        <v>13784091.470000001</v>
      </c>
      <c r="H186" s="309">
        <f t="shared" si="25"/>
        <v>13306197.018735101</v>
      </c>
      <c r="I186" s="309">
        <f t="shared" si="25"/>
        <v>12832097.218957568</v>
      </c>
      <c r="J186" s="309">
        <f t="shared" si="25"/>
        <v>12389944.716512073</v>
      </c>
      <c r="K186" s="309">
        <f t="shared" si="25"/>
        <v>11975698.331414005</v>
      </c>
      <c r="L186" s="309">
        <f t="shared" si="25"/>
        <v>11575301.892501581</v>
      </c>
      <c r="M186" s="309">
        <f t="shared" si="25"/>
        <v>11188292.33958588</v>
      </c>
      <c r="N186" s="308">
        <v>0</v>
      </c>
      <c r="O186" s="462">
        <v>1</v>
      </c>
      <c r="P186" s="463">
        <v>0</v>
      </c>
      <c r="Q186" s="309">
        <f t="shared" si="18"/>
        <v>0</v>
      </c>
      <c r="R186" s="311">
        <f t="shared" si="19"/>
        <v>11188292.33958588</v>
      </c>
      <c r="S186" s="312">
        <f t="shared" si="20"/>
        <v>0</v>
      </c>
      <c r="T186" s="309">
        <f t="shared" si="21"/>
        <v>0</v>
      </c>
      <c r="U186" s="311">
        <f t="shared" si="22"/>
        <v>0</v>
      </c>
      <c r="V186" s="464">
        <f t="shared" si="23"/>
        <v>11188292.33958588</v>
      </c>
      <c r="W186" s="311">
        <f t="shared" si="24"/>
        <v>0</v>
      </c>
      <c r="X186" s="321"/>
      <c r="Y186" s="321"/>
      <c r="Z186" s="321"/>
      <c r="AA186" s="321"/>
      <c r="AE186" s="436"/>
      <c r="AF186" s="436"/>
      <c r="AG186" s="436"/>
    </row>
    <row r="187" spans="1:33">
      <c r="A187" s="459" t="s">
        <v>2337</v>
      </c>
      <c r="B187" s="460"/>
      <c r="C187" s="461">
        <v>221839.62</v>
      </c>
      <c r="D187" s="461">
        <v>-20676.63</v>
      </c>
      <c r="E187" s="429">
        <v>138</v>
      </c>
      <c r="F187" s="431">
        <v>4.0999999999999996</v>
      </c>
      <c r="G187" s="450">
        <v>201162.99</v>
      </c>
      <c r="H187" s="309">
        <f t="shared" si="25"/>
        <v>194188.66913669999</v>
      </c>
      <c r="I187" s="309">
        <f t="shared" si="25"/>
        <v>187269.72685535936</v>
      </c>
      <c r="J187" s="309">
        <f t="shared" si="25"/>
        <v>180817.01870107153</v>
      </c>
      <c r="K187" s="309">
        <f t="shared" si="25"/>
        <v>174771.56829149014</v>
      </c>
      <c r="L187" s="309">
        <f t="shared" si="25"/>
        <v>168928.24194587825</v>
      </c>
      <c r="M187" s="309">
        <f t="shared" si="25"/>
        <v>163280.28183240071</v>
      </c>
      <c r="N187" s="308">
        <v>0</v>
      </c>
      <c r="O187" s="462">
        <v>1</v>
      </c>
      <c r="P187" s="463">
        <v>0</v>
      </c>
      <c r="Q187" s="309">
        <f t="shared" si="18"/>
        <v>0</v>
      </c>
      <c r="R187" s="311">
        <f t="shared" si="19"/>
        <v>163280.28183240071</v>
      </c>
      <c r="S187" s="312">
        <f t="shared" si="20"/>
        <v>0</v>
      </c>
      <c r="T187" s="309">
        <f t="shared" si="21"/>
        <v>0</v>
      </c>
      <c r="U187" s="311">
        <f t="shared" si="22"/>
        <v>0</v>
      </c>
      <c r="V187" s="464">
        <f t="shared" si="23"/>
        <v>163280.28183240071</v>
      </c>
      <c r="W187" s="311">
        <f t="shared" si="24"/>
        <v>0</v>
      </c>
      <c r="X187" s="321"/>
      <c r="Y187" s="321"/>
      <c r="Z187" s="321"/>
      <c r="AA187" s="321"/>
      <c r="AE187" s="436"/>
      <c r="AF187" s="436"/>
      <c r="AG187" s="436"/>
    </row>
    <row r="188" spans="1:33">
      <c r="A188" s="459" t="s">
        <v>2338</v>
      </c>
      <c r="B188" s="460"/>
      <c r="C188" s="461">
        <v>10745262.83</v>
      </c>
      <c r="D188" s="461">
        <v>-2483412.0099999998</v>
      </c>
      <c r="E188" s="429">
        <v>138</v>
      </c>
      <c r="F188" s="431">
        <v>25</v>
      </c>
      <c r="G188" s="450">
        <v>8261850.8200000003</v>
      </c>
      <c r="H188" s="309">
        <f t="shared" si="25"/>
        <v>7975412.4520706004</v>
      </c>
      <c r="I188" s="309">
        <f t="shared" si="25"/>
        <v>7691248.5064033242</v>
      </c>
      <c r="J188" s="309">
        <f t="shared" si="25"/>
        <v>7426232.9975578673</v>
      </c>
      <c r="K188" s="309">
        <f t="shared" si="25"/>
        <v>7177943.7400574228</v>
      </c>
      <c r="L188" s="309">
        <f t="shared" si="25"/>
        <v>6937955.8050996987</v>
      </c>
      <c r="M188" s="309">
        <f t="shared" si="25"/>
        <v>6705991.6456145886</v>
      </c>
      <c r="N188" s="308">
        <v>0</v>
      </c>
      <c r="O188" s="462">
        <v>1</v>
      </c>
      <c r="P188" s="463">
        <v>0</v>
      </c>
      <c r="Q188" s="309">
        <f t="shared" si="18"/>
        <v>0</v>
      </c>
      <c r="R188" s="311">
        <f t="shared" si="19"/>
        <v>6705991.6456145886</v>
      </c>
      <c r="S188" s="312">
        <f t="shared" si="20"/>
        <v>0</v>
      </c>
      <c r="T188" s="309">
        <f t="shared" si="21"/>
        <v>0</v>
      </c>
      <c r="U188" s="311">
        <f t="shared" si="22"/>
        <v>0</v>
      </c>
      <c r="V188" s="464">
        <f t="shared" si="23"/>
        <v>6705991.6456145886</v>
      </c>
      <c r="W188" s="311">
        <f t="shared" si="24"/>
        <v>0</v>
      </c>
      <c r="X188" s="321"/>
      <c r="Y188" s="321"/>
      <c r="Z188" s="321"/>
      <c r="AA188" s="321"/>
      <c r="AE188" s="436"/>
      <c r="AF188" s="436"/>
      <c r="AG188" s="436"/>
    </row>
    <row r="189" spans="1:33">
      <c r="A189" s="459" t="s">
        <v>2339</v>
      </c>
      <c r="B189" s="460"/>
      <c r="C189" s="461">
        <v>7102268.9900000002</v>
      </c>
      <c r="D189" s="461">
        <v>-2402205.61</v>
      </c>
      <c r="E189" s="429">
        <v>138</v>
      </c>
      <c r="F189" s="431">
        <v>13</v>
      </c>
      <c r="G189" s="450">
        <v>4700063.38</v>
      </c>
      <c r="H189" s="309">
        <f t="shared" si="25"/>
        <v>4537112.1826154003</v>
      </c>
      <c r="I189" s="309">
        <f t="shared" si="25"/>
        <v>4375454.8755488126</v>
      </c>
      <c r="J189" s="309">
        <f t="shared" si="25"/>
        <v>4224690.8741895389</v>
      </c>
      <c r="K189" s="309">
        <f t="shared" si="25"/>
        <v>4083442.2275787513</v>
      </c>
      <c r="L189" s="309">
        <f t="shared" si="25"/>
        <v>3946916.0993162924</v>
      </c>
      <c r="M189" s="309">
        <f t="shared" si="25"/>
        <v>3814954.5963526685</v>
      </c>
      <c r="N189" s="308">
        <v>0</v>
      </c>
      <c r="O189" s="462">
        <v>1</v>
      </c>
      <c r="P189" s="463">
        <v>0</v>
      </c>
      <c r="Q189" s="309">
        <f t="shared" si="18"/>
        <v>0</v>
      </c>
      <c r="R189" s="311">
        <f t="shared" si="19"/>
        <v>3814954.5963526685</v>
      </c>
      <c r="S189" s="312">
        <f t="shared" si="20"/>
        <v>0</v>
      </c>
      <c r="T189" s="309">
        <f t="shared" si="21"/>
        <v>0</v>
      </c>
      <c r="U189" s="311">
        <f t="shared" si="22"/>
        <v>0</v>
      </c>
      <c r="V189" s="464">
        <f t="shared" si="23"/>
        <v>3814954.5963526685</v>
      </c>
      <c r="W189" s="311">
        <f t="shared" si="24"/>
        <v>0</v>
      </c>
      <c r="X189" s="321"/>
      <c r="Y189" s="321"/>
      <c r="Z189" s="321"/>
      <c r="AA189" s="321"/>
      <c r="AE189" s="436"/>
      <c r="AF189" s="436"/>
      <c r="AG189" s="436"/>
    </row>
    <row r="190" spans="1:33">
      <c r="A190" s="459" t="s">
        <v>2340</v>
      </c>
      <c r="B190" s="460"/>
      <c r="C190" s="461">
        <v>4829094.97</v>
      </c>
      <c r="D190" s="461">
        <v>-1899238.58</v>
      </c>
      <c r="E190" s="429">
        <v>138</v>
      </c>
      <c r="F190" s="431">
        <v>25</v>
      </c>
      <c r="G190" s="450">
        <v>2929856.39</v>
      </c>
      <c r="H190" s="309">
        <f t="shared" si="25"/>
        <v>2828278.2689587004</v>
      </c>
      <c r="I190" s="309">
        <f t="shared" si="25"/>
        <v>2727506.7142357016</v>
      </c>
      <c r="J190" s="309">
        <f t="shared" si="25"/>
        <v>2633525.6682259692</v>
      </c>
      <c r="K190" s="309">
        <f t="shared" si="25"/>
        <v>2545476.1641251398</v>
      </c>
      <c r="L190" s="309">
        <f t="shared" si="25"/>
        <v>2460370.5140622412</v>
      </c>
      <c r="M190" s="309">
        <f t="shared" si="25"/>
        <v>2378110.2929900782</v>
      </c>
      <c r="N190" s="308">
        <v>0</v>
      </c>
      <c r="O190" s="462">
        <v>1</v>
      </c>
      <c r="P190" s="463">
        <v>0</v>
      </c>
      <c r="Q190" s="309">
        <f t="shared" si="18"/>
        <v>0</v>
      </c>
      <c r="R190" s="311">
        <f t="shared" si="19"/>
        <v>2378110.2929900782</v>
      </c>
      <c r="S190" s="312">
        <f t="shared" si="20"/>
        <v>0</v>
      </c>
      <c r="T190" s="309">
        <f t="shared" si="21"/>
        <v>0</v>
      </c>
      <c r="U190" s="311">
        <f t="shared" si="22"/>
        <v>0</v>
      </c>
      <c r="V190" s="464">
        <f t="shared" si="23"/>
        <v>2378110.2929900782</v>
      </c>
      <c r="W190" s="311">
        <f t="shared" si="24"/>
        <v>0</v>
      </c>
      <c r="X190" s="321"/>
      <c r="Y190" s="321"/>
      <c r="Z190" s="321"/>
      <c r="AA190" s="321"/>
      <c r="AE190" s="436"/>
      <c r="AF190" s="436"/>
      <c r="AG190" s="436"/>
    </row>
    <row r="191" spans="1:33">
      <c r="A191" s="459" t="s">
        <v>2341</v>
      </c>
      <c r="B191" s="460"/>
      <c r="C191" s="461">
        <v>3055837.33</v>
      </c>
      <c r="D191" s="461">
        <v>-1442387.95</v>
      </c>
      <c r="E191" s="429">
        <v>138</v>
      </c>
      <c r="F191" s="431">
        <v>4.2</v>
      </c>
      <c r="G191" s="450">
        <v>1613449.38</v>
      </c>
      <c r="H191" s="309">
        <f t="shared" si="25"/>
        <v>1557511.0899953998</v>
      </c>
      <c r="I191" s="309">
        <f t="shared" si="25"/>
        <v>1502016.9698588636</v>
      </c>
      <c r="J191" s="309">
        <f t="shared" si="25"/>
        <v>1450262.3306438837</v>
      </c>
      <c r="K191" s="309">
        <f t="shared" si="25"/>
        <v>1401774.1459377415</v>
      </c>
      <c r="L191" s="309">
        <f t="shared" si="25"/>
        <v>1354907.1190086568</v>
      </c>
      <c r="M191" s="309">
        <f t="shared" si="25"/>
        <v>1309607.0479401415</v>
      </c>
      <c r="N191" s="308">
        <v>0</v>
      </c>
      <c r="O191" s="462">
        <v>1</v>
      </c>
      <c r="P191" s="463">
        <v>0</v>
      </c>
      <c r="Q191" s="309">
        <f t="shared" si="18"/>
        <v>0</v>
      </c>
      <c r="R191" s="311">
        <f t="shared" si="19"/>
        <v>1309607.0479401415</v>
      </c>
      <c r="S191" s="312">
        <f t="shared" si="20"/>
        <v>0</v>
      </c>
      <c r="T191" s="309">
        <f t="shared" si="21"/>
        <v>0</v>
      </c>
      <c r="U191" s="311">
        <f t="shared" si="22"/>
        <v>0</v>
      </c>
      <c r="V191" s="464">
        <f t="shared" si="23"/>
        <v>1309607.0479401415</v>
      </c>
      <c r="W191" s="311">
        <f t="shared" si="24"/>
        <v>0</v>
      </c>
      <c r="X191" s="321"/>
      <c r="Y191" s="321"/>
      <c r="Z191" s="321"/>
      <c r="AA191" s="321"/>
      <c r="AE191" s="436"/>
      <c r="AF191" s="436"/>
      <c r="AG191" s="436"/>
    </row>
    <row r="192" spans="1:33">
      <c r="A192" s="459" t="s">
        <v>2342</v>
      </c>
      <c r="B192" s="460"/>
      <c r="C192" s="461">
        <v>27738227.199999999</v>
      </c>
      <c r="D192" s="461">
        <v>-1746369.61</v>
      </c>
      <c r="E192" s="429">
        <v>240</v>
      </c>
      <c r="F192" s="431">
        <v>25</v>
      </c>
      <c r="G192" s="450">
        <v>25991857.59</v>
      </c>
      <c r="H192" s="309">
        <f t="shared" si="25"/>
        <v>25090719.887354702</v>
      </c>
      <c r="I192" s="309">
        <f t="shared" si="25"/>
        <v>24196737.537768248</v>
      </c>
      <c r="J192" s="309">
        <f t="shared" si="25"/>
        <v>23362996.344042301</v>
      </c>
      <c r="K192" s="309">
        <f t="shared" si="25"/>
        <v>22581876.088704843</v>
      </c>
      <c r="L192" s="309">
        <f t="shared" si="25"/>
        <v>21826871.869354956</v>
      </c>
      <c r="M192" s="309">
        <f t="shared" si="25"/>
        <v>21097110.520393558</v>
      </c>
      <c r="N192" s="308">
        <v>0</v>
      </c>
      <c r="O192" s="462">
        <v>1</v>
      </c>
      <c r="P192" s="463">
        <v>0</v>
      </c>
      <c r="Q192" s="309">
        <f t="shared" si="18"/>
        <v>0</v>
      </c>
      <c r="R192" s="311">
        <f t="shared" si="19"/>
        <v>21097110.520393558</v>
      </c>
      <c r="S192" s="312">
        <f t="shared" si="20"/>
        <v>0</v>
      </c>
      <c r="T192" s="309">
        <f t="shared" si="21"/>
        <v>0</v>
      </c>
      <c r="U192" s="311">
        <f t="shared" si="22"/>
        <v>0</v>
      </c>
      <c r="V192" s="464">
        <f t="shared" si="23"/>
        <v>21097110.520393558</v>
      </c>
      <c r="W192" s="311">
        <f t="shared" si="24"/>
        <v>0</v>
      </c>
      <c r="X192" s="321"/>
      <c r="Y192" s="321"/>
      <c r="Z192" s="321"/>
      <c r="AA192" s="321"/>
      <c r="AE192" s="436"/>
      <c r="AF192" s="436"/>
      <c r="AG192" s="436"/>
    </row>
    <row r="193" spans="1:33">
      <c r="A193" s="459" t="s">
        <v>2343</v>
      </c>
      <c r="B193" s="460"/>
      <c r="C193" s="461">
        <v>1396774.96</v>
      </c>
      <c r="D193" s="461">
        <v>-586521.46</v>
      </c>
      <c r="E193" s="429">
        <v>138</v>
      </c>
      <c r="F193" s="431">
        <v>25</v>
      </c>
      <c r="G193" s="450">
        <v>810253.5</v>
      </c>
      <c r="H193" s="309">
        <f t="shared" si="25"/>
        <v>782162.01115500007</v>
      </c>
      <c r="I193" s="309">
        <f t="shared" si="25"/>
        <v>754293.57869754732</v>
      </c>
      <c r="J193" s="309">
        <f t="shared" si="25"/>
        <v>728303.06540039333</v>
      </c>
      <c r="K193" s="309">
        <f t="shared" si="25"/>
        <v>703952.92349089123</v>
      </c>
      <c r="L193" s="309">
        <f t="shared" si="25"/>
        <v>680416.90613911964</v>
      </c>
      <c r="M193" s="309">
        <f t="shared" si="25"/>
        <v>657667.79384065175</v>
      </c>
      <c r="N193" s="308">
        <v>0</v>
      </c>
      <c r="O193" s="462">
        <v>1</v>
      </c>
      <c r="P193" s="463">
        <v>0</v>
      </c>
      <c r="Q193" s="309">
        <f t="shared" si="18"/>
        <v>0</v>
      </c>
      <c r="R193" s="311">
        <f t="shared" si="19"/>
        <v>657667.79384065175</v>
      </c>
      <c r="S193" s="312">
        <f t="shared" si="20"/>
        <v>0</v>
      </c>
      <c r="T193" s="309">
        <f t="shared" si="21"/>
        <v>0</v>
      </c>
      <c r="U193" s="311">
        <f t="shared" si="22"/>
        <v>0</v>
      </c>
      <c r="V193" s="464">
        <f t="shared" si="23"/>
        <v>657667.79384065175</v>
      </c>
      <c r="W193" s="311">
        <f t="shared" si="24"/>
        <v>0</v>
      </c>
      <c r="X193" s="321"/>
      <c r="Y193" s="321"/>
      <c r="Z193" s="321"/>
      <c r="AA193" s="321"/>
      <c r="AE193" s="436"/>
      <c r="AF193" s="436"/>
      <c r="AG193" s="436"/>
    </row>
    <row r="194" spans="1:33">
      <c r="A194" s="459" t="s">
        <v>2344</v>
      </c>
      <c r="B194" s="460"/>
      <c r="C194" s="461">
        <v>2026451.52</v>
      </c>
      <c r="D194" s="461">
        <v>-1063613.1200000001</v>
      </c>
      <c r="E194" s="429">
        <v>138</v>
      </c>
      <c r="F194" s="431">
        <v>13</v>
      </c>
      <c r="G194" s="450">
        <v>962838.4</v>
      </c>
      <c r="H194" s="309">
        <f t="shared" si="25"/>
        <v>929456.79267200001</v>
      </c>
      <c r="I194" s="309">
        <f t="shared" si="25"/>
        <v>896340.24714909657</v>
      </c>
      <c r="J194" s="309">
        <f t="shared" si="25"/>
        <v>865455.26579670445</v>
      </c>
      <c r="K194" s="309">
        <f t="shared" si="25"/>
        <v>836519.56644345529</v>
      </c>
      <c r="L194" s="309">
        <f t="shared" si="25"/>
        <v>808551.3055357862</v>
      </c>
      <c r="M194" s="309">
        <f t="shared" si="25"/>
        <v>781518.13766069885</v>
      </c>
      <c r="N194" s="308">
        <v>0</v>
      </c>
      <c r="O194" s="462">
        <v>0</v>
      </c>
      <c r="P194" s="463">
        <v>1</v>
      </c>
      <c r="Q194" s="309">
        <f t="shared" si="18"/>
        <v>0</v>
      </c>
      <c r="R194" s="311">
        <f t="shared" si="19"/>
        <v>0</v>
      </c>
      <c r="S194" s="312">
        <f t="shared" si="20"/>
        <v>781518.13766069885</v>
      </c>
      <c r="T194" s="309">
        <f t="shared" si="21"/>
        <v>0</v>
      </c>
      <c r="U194" s="311">
        <f t="shared" si="22"/>
        <v>0</v>
      </c>
      <c r="V194" s="464">
        <f t="shared" si="23"/>
        <v>781518.13766069885</v>
      </c>
      <c r="W194" s="311">
        <f t="shared" si="24"/>
        <v>0</v>
      </c>
      <c r="X194" s="321"/>
      <c r="Y194" s="321"/>
      <c r="Z194" s="321"/>
      <c r="AA194" s="321"/>
      <c r="AE194" s="436"/>
      <c r="AF194" s="436"/>
      <c r="AG194" s="436"/>
    </row>
    <row r="195" spans="1:33">
      <c r="A195" s="459" t="s">
        <v>2345</v>
      </c>
      <c r="B195" s="460"/>
      <c r="C195" s="461">
        <v>1074562.81</v>
      </c>
      <c r="D195" s="461">
        <v>-599384.16</v>
      </c>
      <c r="E195" s="429">
        <v>69</v>
      </c>
      <c r="F195" s="431">
        <v>25</v>
      </c>
      <c r="G195" s="450">
        <v>475178.65</v>
      </c>
      <c r="H195" s="309">
        <f t="shared" ref="H195:M237" si="26">+$G195*(H$3)</f>
        <v>458704.20620450005</v>
      </c>
      <c r="I195" s="309">
        <f t="shared" si="26"/>
        <v>442360.57533743366</v>
      </c>
      <c r="J195" s="309">
        <f t="shared" si="26"/>
        <v>427118.26287429873</v>
      </c>
      <c r="K195" s="309">
        <f t="shared" si="26"/>
        <v>412837.95731577219</v>
      </c>
      <c r="L195" s="309">
        <f t="shared" si="26"/>
        <v>399035.10061525635</v>
      </c>
      <c r="M195" s="309">
        <f t="shared" si="26"/>
        <v>385693.72971012065</v>
      </c>
      <c r="N195" s="308">
        <v>0</v>
      </c>
      <c r="O195" s="462">
        <v>1</v>
      </c>
      <c r="P195" s="463">
        <v>0</v>
      </c>
      <c r="Q195" s="309">
        <f t="shared" si="18"/>
        <v>0</v>
      </c>
      <c r="R195" s="311">
        <f t="shared" si="19"/>
        <v>385693.72971012065</v>
      </c>
      <c r="S195" s="312">
        <f t="shared" si="20"/>
        <v>0</v>
      </c>
      <c r="T195" s="309">
        <f t="shared" si="21"/>
        <v>0</v>
      </c>
      <c r="U195" s="311">
        <f t="shared" si="22"/>
        <v>0</v>
      </c>
      <c r="V195" s="464">
        <f t="shared" si="23"/>
        <v>385693.72971012065</v>
      </c>
      <c r="W195" s="311">
        <f t="shared" si="24"/>
        <v>0</v>
      </c>
      <c r="X195" s="321"/>
      <c r="Y195" s="321"/>
      <c r="Z195" s="321"/>
      <c r="AA195" s="321"/>
      <c r="AE195" s="436"/>
      <c r="AF195" s="436"/>
      <c r="AG195" s="436"/>
    </row>
    <row r="196" spans="1:33">
      <c r="A196" s="459" t="s">
        <v>2346</v>
      </c>
      <c r="B196" s="460"/>
      <c r="C196" s="461">
        <v>510794.09</v>
      </c>
      <c r="D196" s="461">
        <v>-373090.8</v>
      </c>
      <c r="E196" s="429">
        <v>138</v>
      </c>
      <c r="F196" s="431">
        <v>4.2</v>
      </c>
      <c r="G196" s="450">
        <v>137703.29</v>
      </c>
      <c r="H196" s="309">
        <f t="shared" si="26"/>
        <v>132929.1169357</v>
      </c>
      <c r="I196" s="309">
        <f t="shared" si="26"/>
        <v>128192.85249928101</v>
      </c>
      <c r="J196" s="309">
        <f t="shared" si="26"/>
        <v>123775.74206432843</v>
      </c>
      <c r="K196" s="309">
        <f t="shared" si="26"/>
        <v>119637.41417940683</v>
      </c>
      <c r="L196" s="309">
        <f t="shared" si="26"/>
        <v>115637.44747412752</v>
      </c>
      <c r="M196" s="309">
        <f t="shared" si="26"/>
        <v>111771.21596993964</v>
      </c>
      <c r="N196" s="308">
        <v>0</v>
      </c>
      <c r="O196" s="462">
        <v>0</v>
      </c>
      <c r="P196" s="463">
        <v>1</v>
      </c>
      <c r="Q196" s="309">
        <f t="shared" si="18"/>
        <v>0</v>
      </c>
      <c r="R196" s="311">
        <f t="shared" si="19"/>
        <v>0</v>
      </c>
      <c r="S196" s="312">
        <f t="shared" si="20"/>
        <v>111771.21596993964</v>
      </c>
      <c r="T196" s="309">
        <f t="shared" si="21"/>
        <v>0</v>
      </c>
      <c r="U196" s="311">
        <f t="shared" si="22"/>
        <v>0</v>
      </c>
      <c r="V196" s="464">
        <f t="shared" si="23"/>
        <v>111771.21596993964</v>
      </c>
      <c r="W196" s="311">
        <f t="shared" si="24"/>
        <v>0</v>
      </c>
      <c r="X196" s="321"/>
      <c r="Y196" s="321"/>
      <c r="Z196" s="321"/>
      <c r="AA196" s="321"/>
      <c r="AE196" s="436"/>
      <c r="AF196" s="436"/>
      <c r="AG196" s="436"/>
    </row>
    <row r="197" spans="1:33">
      <c r="A197" s="459" t="s">
        <v>2347</v>
      </c>
      <c r="B197" s="460"/>
      <c r="C197" s="461">
        <v>1656542.4</v>
      </c>
      <c r="D197" s="461">
        <v>-988731.56</v>
      </c>
      <c r="E197" s="429">
        <v>138</v>
      </c>
      <c r="F197" s="431">
        <v>138</v>
      </c>
      <c r="G197" s="450">
        <v>667810.84</v>
      </c>
      <c r="H197" s="309">
        <f t="shared" si="26"/>
        <v>644657.83817719994</v>
      </c>
      <c r="I197" s="309">
        <f t="shared" si="26"/>
        <v>621688.67940294626</v>
      </c>
      <c r="J197" s="309">
        <f t="shared" si="26"/>
        <v>600267.30138112523</v>
      </c>
      <c r="K197" s="309">
        <f t="shared" si="26"/>
        <v>580197.91726528527</v>
      </c>
      <c r="L197" s="309">
        <f t="shared" si="26"/>
        <v>560799.53451477422</v>
      </c>
      <c r="M197" s="309">
        <f t="shared" si="26"/>
        <v>542049.71881722508</v>
      </c>
      <c r="N197" s="308">
        <v>0</v>
      </c>
      <c r="O197" s="462">
        <v>0</v>
      </c>
      <c r="P197" s="463">
        <v>1</v>
      </c>
      <c r="Q197" s="309">
        <f t="shared" si="18"/>
        <v>0</v>
      </c>
      <c r="R197" s="311">
        <f t="shared" si="19"/>
        <v>0</v>
      </c>
      <c r="S197" s="312">
        <f t="shared" si="20"/>
        <v>542049.71881722508</v>
      </c>
      <c r="T197" s="309">
        <f t="shared" si="21"/>
        <v>0</v>
      </c>
      <c r="U197" s="311">
        <f t="shared" si="22"/>
        <v>542049.71881722508</v>
      </c>
      <c r="V197" s="464">
        <f t="shared" si="23"/>
        <v>0</v>
      </c>
      <c r="W197" s="311">
        <f t="shared" si="24"/>
        <v>0</v>
      </c>
      <c r="X197" s="321"/>
      <c r="Y197" s="321"/>
      <c r="Z197" s="321"/>
      <c r="AA197" s="321"/>
      <c r="AE197" s="436"/>
      <c r="AF197" s="436"/>
      <c r="AG197" s="436"/>
    </row>
    <row r="198" spans="1:33">
      <c r="A198" s="459" t="s">
        <v>2348</v>
      </c>
      <c r="B198" s="460"/>
      <c r="C198" s="461">
        <v>4578234.8099999996</v>
      </c>
      <c r="D198" s="461">
        <v>-1241683.3400000001</v>
      </c>
      <c r="E198" s="429">
        <v>138</v>
      </c>
      <c r="F198" s="431">
        <v>4.2</v>
      </c>
      <c r="G198" s="450">
        <v>3336551.47</v>
      </c>
      <c r="H198" s="309">
        <f t="shared" si="26"/>
        <v>3220873.2305351002</v>
      </c>
      <c r="I198" s="309">
        <f t="shared" si="26"/>
        <v>3106113.5173311345</v>
      </c>
      <c r="J198" s="309">
        <f t="shared" si="26"/>
        <v>2999086.9073286182</v>
      </c>
      <c r="K198" s="309">
        <f t="shared" si="26"/>
        <v>2898815.200038421</v>
      </c>
      <c r="L198" s="309">
        <f t="shared" si="26"/>
        <v>2801895.9848878551</v>
      </c>
      <c r="M198" s="309">
        <f t="shared" si="26"/>
        <v>2708217.1743913279</v>
      </c>
      <c r="N198" s="308">
        <v>0</v>
      </c>
      <c r="O198" s="462">
        <v>1</v>
      </c>
      <c r="P198" s="463">
        <v>0</v>
      </c>
      <c r="Q198" s="309">
        <f t="shared" ref="Q198:Q261" si="27">IF(ISERROR(N198),0,N198*$M198)</f>
        <v>0</v>
      </c>
      <c r="R198" s="311">
        <f t="shared" ref="R198:R261" si="28">IF(ISERROR(O198),0,O198*$M198)</f>
        <v>2708217.1743913279</v>
      </c>
      <c r="S198" s="312">
        <f t="shared" ref="S198:S261" si="29">+P198*$M198</f>
        <v>0</v>
      </c>
      <c r="T198" s="309">
        <f t="shared" ref="T198:T261" si="30">+Q198+IF(OR(ISERROR(F198),ISBLANK(F198),F198=0),0,IF((F198&gt;144),S198,0))</f>
        <v>0</v>
      </c>
      <c r="U198" s="311">
        <f t="shared" ref="U198:U261" si="31">IF(OR(ISERROR(F198),ISBLANK(F198),F198=0),0,IF(AND(F198&lt;=144,F198&gt;=69),S198,0))</f>
        <v>0</v>
      </c>
      <c r="V198" s="464">
        <f t="shared" ref="V198:V261" si="32">+R198+IF(OR(ISERROR(F198),,ISBLANK(F198),F198=0),0,IF(F198&lt;69,S198,0))</f>
        <v>2708217.1743913279</v>
      </c>
      <c r="W198" s="311">
        <f t="shared" ref="W198:W261" si="33">IF(OR(ISERROR(F198),ISBLANK(F198),F198=0),M198,0)</f>
        <v>0</v>
      </c>
      <c r="X198" s="321"/>
      <c r="Y198" s="321"/>
      <c r="Z198" s="321"/>
      <c r="AA198" s="321"/>
      <c r="AE198" s="436"/>
      <c r="AF198" s="436"/>
      <c r="AG198" s="436"/>
    </row>
    <row r="199" spans="1:33">
      <c r="A199" s="459" t="s">
        <v>2349</v>
      </c>
      <c r="B199" s="460"/>
      <c r="C199" s="461">
        <v>4907894.25</v>
      </c>
      <c r="D199" s="461">
        <v>-1122992.06</v>
      </c>
      <c r="E199" s="429">
        <v>138</v>
      </c>
      <c r="F199" s="431">
        <v>25</v>
      </c>
      <c r="G199" s="450">
        <v>3784902.19</v>
      </c>
      <c r="H199" s="309">
        <f t="shared" si="26"/>
        <v>3653679.6310727</v>
      </c>
      <c r="I199" s="309">
        <f t="shared" si="26"/>
        <v>3523499.0258175791</v>
      </c>
      <c r="J199" s="309">
        <f t="shared" si="26"/>
        <v>3402090.6632525027</v>
      </c>
      <c r="K199" s="309">
        <f t="shared" si="26"/>
        <v>3288344.8967237743</v>
      </c>
      <c r="L199" s="309">
        <f t="shared" si="26"/>
        <v>3178402.1150898803</v>
      </c>
      <c r="M199" s="309">
        <f t="shared" si="26"/>
        <v>3072135.1690550568</v>
      </c>
      <c r="N199" s="308">
        <v>7.4829931972789129E-2</v>
      </c>
      <c r="O199" s="462">
        <v>0.92517006802721091</v>
      </c>
      <c r="P199" s="463">
        <v>0</v>
      </c>
      <c r="Q199" s="309">
        <f t="shared" si="27"/>
        <v>229887.66571160292</v>
      </c>
      <c r="R199" s="311">
        <f t="shared" si="28"/>
        <v>2842247.5033434541</v>
      </c>
      <c r="S199" s="312">
        <f t="shared" si="29"/>
        <v>0</v>
      </c>
      <c r="T199" s="309">
        <f t="shared" si="30"/>
        <v>229887.66571160292</v>
      </c>
      <c r="U199" s="311">
        <f t="shared" si="31"/>
        <v>0</v>
      </c>
      <c r="V199" s="464">
        <f t="shared" si="32"/>
        <v>2842247.5033434541</v>
      </c>
      <c r="W199" s="311">
        <f t="shared" si="33"/>
        <v>0</v>
      </c>
      <c r="X199" s="321"/>
      <c r="Y199" s="321"/>
      <c r="Z199" s="321"/>
      <c r="AA199" s="321"/>
      <c r="AE199" s="436"/>
      <c r="AF199" s="436"/>
      <c r="AG199" s="436"/>
    </row>
    <row r="200" spans="1:33">
      <c r="A200" s="459" t="s">
        <v>2350</v>
      </c>
      <c r="B200" s="460"/>
      <c r="C200" s="461">
        <v>3925522.62</v>
      </c>
      <c r="D200" s="461">
        <v>-797716.75</v>
      </c>
      <c r="E200" s="429">
        <v>69</v>
      </c>
      <c r="F200" s="431">
        <v>25</v>
      </c>
      <c r="G200" s="450">
        <v>3127805.87</v>
      </c>
      <c r="H200" s="309">
        <f t="shared" si="26"/>
        <v>3019364.8404871002</v>
      </c>
      <c r="I200" s="309">
        <f t="shared" si="26"/>
        <v>2911784.8712205444</v>
      </c>
      <c r="J200" s="309">
        <f t="shared" si="26"/>
        <v>2811454.1968635055</v>
      </c>
      <c r="K200" s="309">
        <f t="shared" si="26"/>
        <v>2717455.8163568201</v>
      </c>
      <c r="L200" s="309">
        <f t="shared" si="26"/>
        <v>2626600.1850892068</v>
      </c>
      <c r="M200" s="309">
        <f t="shared" si="26"/>
        <v>2538782.2281356892</v>
      </c>
      <c r="N200" s="308">
        <v>0</v>
      </c>
      <c r="O200" s="462">
        <v>1</v>
      </c>
      <c r="P200" s="463">
        <v>0</v>
      </c>
      <c r="Q200" s="309">
        <f t="shared" si="27"/>
        <v>0</v>
      </c>
      <c r="R200" s="311">
        <f t="shared" si="28"/>
        <v>2538782.2281356892</v>
      </c>
      <c r="S200" s="312">
        <f t="shared" si="29"/>
        <v>0</v>
      </c>
      <c r="T200" s="309">
        <f t="shared" si="30"/>
        <v>0</v>
      </c>
      <c r="U200" s="311">
        <f t="shared" si="31"/>
        <v>0</v>
      </c>
      <c r="V200" s="464">
        <f t="shared" si="32"/>
        <v>2538782.2281356892</v>
      </c>
      <c r="W200" s="311">
        <f t="shared" si="33"/>
        <v>0</v>
      </c>
      <c r="X200" s="321"/>
      <c r="Y200" s="321"/>
      <c r="Z200" s="321"/>
      <c r="AA200" s="321"/>
      <c r="AE200" s="436"/>
      <c r="AF200" s="436"/>
      <c r="AG200" s="436"/>
    </row>
    <row r="201" spans="1:33">
      <c r="A201" s="459" t="s">
        <v>2351</v>
      </c>
      <c r="B201" s="460"/>
      <c r="C201" s="461">
        <v>3168902.21</v>
      </c>
      <c r="D201" s="461">
        <v>-1705977.52</v>
      </c>
      <c r="E201" s="429">
        <v>138</v>
      </c>
      <c r="F201" s="431">
        <v>25</v>
      </c>
      <c r="G201" s="450">
        <v>1462924.69</v>
      </c>
      <c r="H201" s="309">
        <f t="shared" si="26"/>
        <v>1412205.0909976999</v>
      </c>
      <c r="I201" s="309">
        <f t="shared" si="26"/>
        <v>1361888.2236054519</v>
      </c>
      <c r="J201" s="309">
        <f t="shared" si="26"/>
        <v>1314961.9670595932</v>
      </c>
      <c r="K201" s="309">
        <f t="shared" si="26"/>
        <v>1270997.4253397309</v>
      </c>
      <c r="L201" s="309">
        <f t="shared" si="26"/>
        <v>1228502.7975619121</v>
      </c>
      <c r="M201" s="309">
        <f t="shared" si="26"/>
        <v>1187428.9385079106</v>
      </c>
      <c r="N201" s="308">
        <v>0</v>
      </c>
      <c r="O201" s="462">
        <v>1</v>
      </c>
      <c r="P201" s="463">
        <v>0</v>
      </c>
      <c r="Q201" s="309">
        <f t="shared" si="27"/>
        <v>0</v>
      </c>
      <c r="R201" s="311">
        <f t="shared" si="28"/>
        <v>1187428.9385079106</v>
      </c>
      <c r="S201" s="312">
        <f t="shared" si="29"/>
        <v>0</v>
      </c>
      <c r="T201" s="309">
        <f t="shared" si="30"/>
        <v>0</v>
      </c>
      <c r="U201" s="311">
        <f t="shared" si="31"/>
        <v>0</v>
      </c>
      <c r="V201" s="464">
        <f t="shared" si="32"/>
        <v>1187428.9385079106</v>
      </c>
      <c r="W201" s="311">
        <f t="shared" si="33"/>
        <v>0</v>
      </c>
      <c r="X201" s="321"/>
      <c r="Y201" s="321"/>
      <c r="Z201" s="321"/>
      <c r="AA201" s="321"/>
      <c r="AE201" s="436"/>
      <c r="AF201" s="436"/>
      <c r="AG201" s="436"/>
    </row>
    <row r="202" spans="1:33">
      <c r="A202" s="459" t="s">
        <v>2352</v>
      </c>
      <c r="B202" s="460"/>
      <c r="C202" s="461">
        <v>564667.81999999995</v>
      </c>
      <c r="D202" s="461">
        <v>-96899.98</v>
      </c>
      <c r="E202" s="429">
        <v>138</v>
      </c>
      <c r="F202" s="431">
        <v>1</v>
      </c>
      <c r="G202" s="450">
        <v>467767.84</v>
      </c>
      <c r="H202" s="309">
        <f t="shared" si="26"/>
        <v>451550.32898720005</v>
      </c>
      <c r="I202" s="309">
        <f t="shared" si="26"/>
        <v>435461.59076538606</v>
      </c>
      <c r="J202" s="309">
        <f t="shared" si="26"/>
        <v>420456.99496234296</v>
      </c>
      <c r="K202" s="309">
        <f t="shared" si="26"/>
        <v>406399.40275854344</v>
      </c>
      <c r="L202" s="309">
        <f t="shared" si="26"/>
        <v>392811.81319695472</v>
      </c>
      <c r="M202" s="309">
        <f t="shared" si="26"/>
        <v>379678.51217231026</v>
      </c>
      <c r="N202" s="308">
        <v>0.9882352941176471</v>
      </c>
      <c r="O202" s="462">
        <v>1.1764705882352941E-2</v>
      </c>
      <c r="P202" s="463">
        <v>0</v>
      </c>
      <c r="Q202" s="309">
        <f t="shared" si="27"/>
        <v>375211.70614675368</v>
      </c>
      <c r="R202" s="311">
        <f t="shared" si="28"/>
        <v>4466.8060255565915</v>
      </c>
      <c r="S202" s="312">
        <f t="shared" si="29"/>
        <v>0</v>
      </c>
      <c r="T202" s="309">
        <f t="shared" si="30"/>
        <v>375211.70614675368</v>
      </c>
      <c r="U202" s="311">
        <f t="shared" si="31"/>
        <v>0</v>
      </c>
      <c r="V202" s="464">
        <f t="shared" si="32"/>
        <v>4466.8060255565915</v>
      </c>
      <c r="W202" s="311">
        <f t="shared" si="33"/>
        <v>0</v>
      </c>
      <c r="X202" s="321"/>
      <c r="Y202" s="321"/>
      <c r="Z202" s="321"/>
      <c r="AA202" s="321"/>
      <c r="AE202" s="436"/>
      <c r="AF202" s="436"/>
      <c r="AG202" s="436"/>
    </row>
    <row r="203" spans="1:33">
      <c r="A203" s="459" t="s">
        <v>2353</v>
      </c>
      <c r="B203" s="460"/>
      <c r="C203" s="461">
        <v>1814838.2</v>
      </c>
      <c r="D203" s="461">
        <v>-1366819.22</v>
      </c>
      <c r="E203" s="429">
        <v>138</v>
      </c>
      <c r="F203" s="431">
        <v>4.2</v>
      </c>
      <c r="G203" s="450">
        <v>448018.98</v>
      </c>
      <c r="H203" s="309">
        <f t="shared" si="26"/>
        <v>432486.16196339997</v>
      </c>
      <c r="I203" s="309">
        <f t="shared" si="26"/>
        <v>417076.68001264398</v>
      </c>
      <c r="J203" s="309">
        <f t="shared" si="26"/>
        <v>402705.5686788857</v>
      </c>
      <c r="K203" s="309">
        <f t="shared" si="26"/>
        <v>389241.47905613133</v>
      </c>
      <c r="L203" s="309">
        <f t="shared" si="26"/>
        <v>376227.54886366316</v>
      </c>
      <c r="M203" s="309">
        <f t="shared" si="26"/>
        <v>363648.72743572114</v>
      </c>
      <c r="N203" s="308">
        <v>0</v>
      </c>
      <c r="O203" s="462">
        <v>0</v>
      </c>
      <c r="P203" s="463">
        <v>1</v>
      </c>
      <c r="Q203" s="309">
        <f t="shared" si="27"/>
        <v>0</v>
      </c>
      <c r="R203" s="311">
        <f t="shared" si="28"/>
        <v>0</v>
      </c>
      <c r="S203" s="312">
        <f t="shared" si="29"/>
        <v>363648.72743572114</v>
      </c>
      <c r="T203" s="309">
        <f t="shared" si="30"/>
        <v>0</v>
      </c>
      <c r="U203" s="311">
        <f t="shared" si="31"/>
        <v>0</v>
      </c>
      <c r="V203" s="464">
        <f t="shared" si="32"/>
        <v>363648.72743572114</v>
      </c>
      <c r="W203" s="311">
        <f t="shared" si="33"/>
        <v>0</v>
      </c>
      <c r="X203" s="321"/>
      <c r="Y203" s="321"/>
      <c r="Z203" s="321"/>
      <c r="AA203" s="321"/>
      <c r="AE203" s="436"/>
      <c r="AF203" s="436"/>
      <c r="AG203" s="436"/>
    </row>
    <row r="204" spans="1:33">
      <c r="A204" s="459" t="s">
        <v>2354</v>
      </c>
      <c r="B204" s="460"/>
      <c r="C204" s="461">
        <v>26894032.989999998</v>
      </c>
      <c r="D204" s="461">
        <v>-2655091.2999999998</v>
      </c>
      <c r="E204" s="429">
        <v>240</v>
      </c>
      <c r="F204" s="431">
        <v>240</v>
      </c>
      <c r="G204" s="450">
        <v>24238941.690000001</v>
      </c>
      <c r="H204" s="309">
        <f t="shared" si="26"/>
        <v>23398577.581607703</v>
      </c>
      <c r="I204" s="309">
        <f t="shared" si="26"/>
        <v>22564886.262375016</v>
      </c>
      <c r="J204" s="309">
        <f t="shared" si="26"/>
        <v>21787373.377453342</v>
      </c>
      <c r="K204" s="309">
        <f t="shared" si="26"/>
        <v>21058932.624173477</v>
      </c>
      <c r="L204" s="309">
        <f t="shared" si="26"/>
        <v>20354846.616270494</v>
      </c>
      <c r="M204" s="309">
        <f t="shared" si="26"/>
        <v>19674301.075273976</v>
      </c>
      <c r="N204" s="308">
        <v>0</v>
      </c>
      <c r="O204" s="462">
        <v>0</v>
      </c>
      <c r="P204" s="463">
        <v>1</v>
      </c>
      <c r="Q204" s="309">
        <f t="shared" si="27"/>
        <v>0</v>
      </c>
      <c r="R204" s="311">
        <f t="shared" si="28"/>
        <v>0</v>
      </c>
      <c r="S204" s="312">
        <f t="shared" si="29"/>
        <v>19674301.075273976</v>
      </c>
      <c r="T204" s="309">
        <f t="shared" si="30"/>
        <v>19674301.075273976</v>
      </c>
      <c r="U204" s="311">
        <f t="shared" si="31"/>
        <v>0</v>
      </c>
      <c r="V204" s="464">
        <f t="shared" si="32"/>
        <v>0</v>
      </c>
      <c r="W204" s="311">
        <f t="shared" si="33"/>
        <v>0</v>
      </c>
      <c r="X204" s="321"/>
      <c r="Y204" s="321"/>
      <c r="Z204" s="321"/>
      <c r="AA204" s="321"/>
      <c r="AE204" s="436"/>
      <c r="AF204" s="436"/>
      <c r="AG204" s="436"/>
    </row>
    <row r="205" spans="1:33">
      <c r="A205" s="459" t="s">
        <v>2355</v>
      </c>
      <c r="B205" s="460"/>
      <c r="C205" s="461">
        <v>2794460.37</v>
      </c>
      <c r="D205" s="461">
        <v>-1135554.49</v>
      </c>
      <c r="E205" s="429">
        <v>138</v>
      </c>
      <c r="F205" s="431">
        <v>25</v>
      </c>
      <c r="G205" s="450">
        <v>1658905.88</v>
      </c>
      <c r="H205" s="309">
        <f t="shared" si="26"/>
        <v>1601391.6131404</v>
      </c>
      <c r="I205" s="309">
        <f t="shared" si="26"/>
        <v>1544334.0299642072</v>
      </c>
      <c r="J205" s="309">
        <f t="shared" si="26"/>
        <v>1491121.2819379822</v>
      </c>
      <c r="K205" s="309">
        <f t="shared" si="26"/>
        <v>1441267.0158440901</v>
      </c>
      <c r="L205" s="309">
        <f t="shared" si="26"/>
        <v>1393079.581199703</v>
      </c>
      <c r="M205" s="309">
        <f t="shared" si="26"/>
        <v>1346503.2490311798</v>
      </c>
      <c r="N205" s="308">
        <v>0</v>
      </c>
      <c r="O205" s="462">
        <v>1</v>
      </c>
      <c r="P205" s="463">
        <v>0</v>
      </c>
      <c r="Q205" s="309">
        <f t="shared" si="27"/>
        <v>0</v>
      </c>
      <c r="R205" s="311">
        <f t="shared" si="28"/>
        <v>1346503.2490311798</v>
      </c>
      <c r="S205" s="312">
        <f t="shared" si="29"/>
        <v>0</v>
      </c>
      <c r="T205" s="309">
        <f t="shared" si="30"/>
        <v>0</v>
      </c>
      <c r="U205" s="311">
        <f t="shared" si="31"/>
        <v>0</v>
      </c>
      <c r="V205" s="464">
        <f t="shared" si="32"/>
        <v>1346503.2490311798</v>
      </c>
      <c r="W205" s="311">
        <f t="shared" si="33"/>
        <v>0</v>
      </c>
      <c r="X205" s="321"/>
      <c r="Y205" s="321"/>
      <c r="Z205" s="321"/>
      <c r="AA205" s="321"/>
      <c r="AE205" s="436"/>
      <c r="AF205" s="436"/>
      <c r="AG205" s="436"/>
    </row>
    <row r="206" spans="1:33">
      <c r="A206" s="459" t="s">
        <v>2356</v>
      </c>
      <c r="B206" s="460"/>
      <c r="C206" s="461">
        <v>2228403.5499999998</v>
      </c>
      <c r="D206" s="461">
        <v>-1359661.31</v>
      </c>
      <c r="E206" s="429">
        <v>138</v>
      </c>
      <c r="F206" s="431">
        <v>25</v>
      </c>
      <c r="G206" s="450">
        <v>868742.24</v>
      </c>
      <c r="H206" s="309">
        <f t="shared" si="26"/>
        <v>838622.94653920003</v>
      </c>
      <c r="I206" s="309">
        <f t="shared" si="26"/>
        <v>808742.81095400825</v>
      </c>
      <c r="J206" s="309">
        <f t="shared" si="26"/>
        <v>780876.15349369566</v>
      </c>
      <c r="K206" s="309">
        <f t="shared" si="26"/>
        <v>754768.27882634941</v>
      </c>
      <c r="L206" s="309">
        <f t="shared" si="26"/>
        <v>729533.29689185985</v>
      </c>
      <c r="M206" s="309">
        <f t="shared" si="26"/>
        <v>705142.02332601591</v>
      </c>
      <c r="N206" s="308">
        <v>0</v>
      </c>
      <c r="O206" s="462">
        <v>1</v>
      </c>
      <c r="P206" s="463">
        <v>0</v>
      </c>
      <c r="Q206" s="309">
        <f t="shared" si="27"/>
        <v>0</v>
      </c>
      <c r="R206" s="311">
        <f t="shared" si="28"/>
        <v>705142.02332601591</v>
      </c>
      <c r="S206" s="312">
        <f t="shared" si="29"/>
        <v>0</v>
      </c>
      <c r="T206" s="309">
        <f t="shared" si="30"/>
        <v>0</v>
      </c>
      <c r="U206" s="311">
        <f t="shared" si="31"/>
        <v>0</v>
      </c>
      <c r="V206" s="464">
        <f t="shared" si="32"/>
        <v>705142.02332601591</v>
      </c>
      <c r="W206" s="311">
        <f t="shared" si="33"/>
        <v>0</v>
      </c>
      <c r="X206" s="321"/>
      <c r="Y206" s="321"/>
      <c r="Z206" s="321"/>
      <c r="AA206" s="321"/>
      <c r="AE206" s="436"/>
      <c r="AF206" s="436"/>
      <c r="AG206" s="436"/>
    </row>
    <row r="207" spans="1:33">
      <c r="A207" s="459" t="s">
        <v>2357</v>
      </c>
      <c r="B207" s="460"/>
      <c r="C207" s="461">
        <v>13250079.939999999</v>
      </c>
      <c r="D207" s="461">
        <v>-1724194.6</v>
      </c>
      <c r="E207" s="429">
        <v>138</v>
      </c>
      <c r="F207" s="431">
        <v>25</v>
      </c>
      <c r="G207" s="450">
        <v>11525885.34</v>
      </c>
      <c r="H207" s="309">
        <f t="shared" si="26"/>
        <v>11126282.8952622</v>
      </c>
      <c r="I207" s="309">
        <f t="shared" si="26"/>
        <v>10729853.435704006</v>
      </c>
      <c r="J207" s="309">
        <f t="shared" si="26"/>
        <v>10360137.444115274</v>
      </c>
      <c r="K207" s="309">
        <f t="shared" si="26"/>
        <v>10013755.794839276</v>
      </c>
      <c r="L207" s="309">
        <f t="shared" si="26"/>
        <v>9678955.0968394894</v>
      </c>
      <c r="M207" s="309">
        <f t="shared" si="26"/>
        <v>9355348.1516810618</v>
      </c>
      <c r="N207" s="308">
        <v>0</v>
      </c>
      <c r="O207" s="462">
        <v>1</v>
      </c>
      <c r="P207" s="463">
        <v>0</v>
      </c>
      <c r="Q207" s="309">
        <f t="shared" si="27"/>
        <v>0</v>
      </c>
      <c r="R207" s="311">
        <f t="shared" si="28"/>
        <v>9355348.1516810618</v>
      </c>
      <c r="S207" s="312">
        <f t="shared" si="29"/>
        <v>0</v>
      </c>
      <c r="T207" s="309">
        <f t="shared" si="30"/>
        <v>0</v>
      </c>
      <c r="U207" s="311">
        <f t="shared" si="31"/>
        <v>0</v>
      </c>
      <c r="V207" s="464">
        <f t="shared" si="32"/>
        <v>9355348.1516810618</v>
      </c>
      <c r="W207" s="311">
        <f t="shared" si="33"/>
        <v>0</v>
      </c>
      <c r="X207" s="321"/>
      <c r="Y207" s="321"/>
      <c r="Z207" s="321"/>
      <c r="AA207" s="321"/>
      <c r="AE207" s="436"/>
      <c r="AF207" s="436"/>
      <c r="AG207" s="436"/>
    </row>
    <row r="208" spans="1:33">
      <c r="A208" s="459" t="s">
        <v>2358</v>
      </c>
      <c r="B208" s="460"/>
      <c r="C208" s="461">
        <v>1528674.34</v>
      </c>
      <c r="D208" s="461">
        <v>-1134777.9099999999</v>
      </c>
      <c r="E208" s="429">
        <v>138</v>
      </c>
      <c r="F208" s="431">
        <v>13</v>
      </c>
      <c r="G208" s="450">
        <v>393896.43</v>
      </c>
      <c r="H208" s="309">
        <f t="shared" si="26"/>
        <v>380240.04077189998</v>
      </c>
      <c r="I208" s="309">
        <f t="shared" si="26"/>
        <v>366692.08811919717</v>
      </c>
      <c r="J208" s="309">
        <f t="shared" si="26"/>
        <v>354057.06660850148</v>
      </c>
      <c r="K208" s="309">
        <f t="shared" si="26"/>
        <v>342219.49482615647</v>
      </c>
      <c r="L208" s="309">
        <f t="shared" si="26"/>
        <v>330777.70134883013</v>
      </c>
      <c r="M208" s="309">
        <f t="shared" si="26"/>
        <v>319718.45369357703</v>
      </c>
      <c r="N208" s="308">
        <v>0</v>
      </c>
      <c r="O208" s="462">
        <v>1</v>
      </c>
      <c r="P208" s="463">
        <v>0</v>
      </c>
      <c r="Q208" s="309">
        <f t="shared" si="27"/>
        <v>0</v>
      </c>
      <c r="R208" s="311">
        <f t="shared" si="28"/>
        <v>319718.45369357703</v>
      </c>
      <c r="S208" s="312">
        <f t="shared" si="29"/>
        <v>0</v>
      </c>
      <c r="T208" s="309">
        <f t="shared" si="30"/>
        <v>0</v>
      </c>
      <c r="U208" s="311">
        <f t="shared" si="31"/>
        <v>0</v>
      </c>
      <c r="V208" s="464">
        <f t="shared" si="32"/>
        <v>319718.45369357703</v>
      </c>
      <c r="W208" s="311">
        <f t="shared" si="33"/>
        <v>0</v>
      </c>
      <c r="X208" s="321"/>
      <c r="Y208" s="321"/>
      <c r="Z208" s="321"/>
      <c r="AA208" s="321"/>
      <c r="AE208" s="436"/>
      <c r="AF208" s="436"/>
      <c r="AG208" s="436"/>
    </row>
    <row r="209" spans="1:33">
      <c r="A209" s="459" t="s">
        <v>2359</v>
      </c>
      <c r="B209" s="460"/>
      <c r="C209" s="461">
        <v>10147695.050000001</v>
      </c>
      <c r="D209" s="461">
        <v>-4265325.84</v>
      </c>
      <c r="E209" s="429">
        <v>138</v>
      </c>
      <c r="F209" s="431">
        <v>25</v>
      </c>
      <c r="G209" s="450">
        <v>5882369.21</v>
      </c>
      <c r="H209" s="309">
        <f t="shared" si="26"/>
        <v>5678427.4694892997</v>
      </c>
      <c r="I209" s="309">
        <f t="shared" si="26"/>
        <v>5476105.0987513959</v>
      </c>
      <c r="J209" s="309">
        <f t="shared" si="26"/>
        <v>5287416.2560974928</v>
      </c>
      <c r="K209" s="309">
        <f t="shared" si="26"/>
        <v>5110636.3655723846</v>
      </c>
      <c r="L209" s="309">
        <f t="shared" si="26"/>
        <v>4939766.9477962358</v>
      </c>
      <c r="M209" s="309">
        <f t="shared" si="26"/>
        <v>4774610.3915587869</v>
      </c>
      <c r="N209" s="308">
        <v>0</v>
      </c>
      <c r="O209" s="462">
        <v>1</v>
      </c>
      <c r="P209" s="463">
        <v>0</v>
      </c>
      <c r="Q209" s="309">
        <f t="shared" si="27"/>
        <v>0</v>
      </c>
      <c r="R209" s="311">
        <f t="shared" si="28"/>
        <v>4774610.3915587869</v>
      </c>
      <c r="S209" s="312">
        <f t="shared" si="29"/>
        <v>0</v>
      </c>
      <c r="T209" s="309">
        <f t="shared" si="30"/>
        <v>0</v>
      </c>
      <c r="U209" s="311">
        <f t="shared" si="31"/>
        <v>0</v>
      </c>
      <c r="V209" s="464">
        <f t="shared" si="32"/>
        <v>4774610.3915587869</v>
      </c>
      <c r="W209" s="311">
        <f t="shared" si="33"/>
        <v>0</v>
      </c>
      <c r="X209" s="321"/>
      <c r="Y209" s="321"/>
      <c r="Z209" s="321"/>
      <c r="AA209" s="321"/>
      <c r="AE209" s="436"/>
      <c r="AF209" s="436"/>
      <c r="AG209" s="436"/>
    </row>
    <row r="210" spans="1:33">
      <c r="A210" s="459" t="s">
        <v>2360</v>
      </c>
      <c r="B210" s="460"/>
      <c r="C210" s="461">
        <v>27487992.440000001</v>
      </c>
      <c r="D210" s="461">
        <v>-9381075.7599999998</v>
      </c>
      <c r="E210" s="429">
        <v>138</v>
      </c>
      <c r="F210" s="431">
        <v>25</v>
      </c>
      <c r="G210" s="450">
        <v>18106916.68</v>
      </c>
      <c r="H210" s="309">
        <f t="shared" si="26"/>
        <v>17479149.878704399</v>
      </c>
      <c r="I210" s="309">
        <f t="shared" si="26"/>
        <v>16856367.768526159</v>
      </c>
      <c r="J210" s="309">
        <f t="shared" si="26"/>
        <v>16275551.938983927</v>
      </c>
      <c r="K210" s="309">
        <f t="shared" si="26"/>
        <v>15731393.856727533</v>
      </c>
      <c r="L210" s="309">
        <f t="shared" si="26"/>
        <v>15205429.198546406</v>
      </c>
      <c r="M210" s="309">
        <f t="shared" si="26"/>
        <v>14697049.684070602</v>
      </c>
      <c r="N210" s="308">
        <v>0</v>
      </c>
      <c r="O210" s="462">
        <v>1</v>
      </c>
      <c r="P210" s="463">
        <v>0</v>
      </c>
      <c r="Q210" s="309">
        <f t="shared" si="27"/>
        <v>0</v>
      </c>
      <c r="R210" s="311">
        <f t="shared" si="28"/>
        <v>14697049.684070602</v>
      </c>
      <c r="S210" s="312">
        <f t="shared" si="29"/>
        <v>0</v>
      </c>
      <c r="T210" s="309">
        <f t="shared" si="30"/>
        <v>0</v>
      </c>
      <c r="U210" s="311">
        <f t="shared" si="31"/>
        <v>0</v>
      </c>
      <c r="V210" s="464">
        <f t="shared" si="32"/>
        <v>14697049.684070602</v>
      </c>
      <c r="W210" s="311">
        <f t="shared" si="33"/>
        <v>0</v>
      </c>
      <c r="X210" s="321"/>
      <c r="Y210" s="321"/>
      <c r="Z210" s="321"/>
      <c r="AA210" s="321"/>
      <c r="AE210" s="436"/>
      <c r="AF210" s="436"/>
      <c r="AG210" s="436"/>
    </row>
    <row r="211" spans="1:33">
      <c r="A211" s="459" t="s">
        <v>2361</v>
      </c>
      <c r="B211" s="460"/>
      <c r="C211" s="461">
        <v>1446239.57</v>
      </c>
      <c r="D211" s="461">
        <v>-478317.71</v>
      </c>
      <c r="E211" s="429">
        <v>138</v>
      </c>
      <c r="F211" s="431">
        <v>25</v>
      </c>
      <c r="G211" s="450">
        <v>967921.86</v>
      </c>
      <c r="H211" s="309">
        <f t="shared" si="26"/>
        <v>934364.00911380001</v>
      </c>
      <c r="I211" s="309">
        <f t="shared" si="26"/>
        <v>901072.61946907523</v>
      </c>
      <c r="J211" s="309">
        <f t="shared" si="26"/>
        <v>870024.57589637116</v>
      </c>
      <c r="K211" s="309">
        <f t="shared" si="26"/>
        <v>840936.10587025061</v>
      </c>
      <c r="L211" s="309">
        <f t="shared" si="26"/>
        <v>812820.18203638995</v>
      </c>
      <c r="M211" s="309">
        <f t="shared" si="26"/>
        <v>785644.28820898675</v>
      </c>
      <c r="N211" s="308">
        <v>0</v>
      </c>
      <c r="O211" s="462">
        <v>1</v>
      </c>
      <c r="P211" s="463">
        <v>0</v>
      </c>
      <c r="Q211" s="309">
        <f t="shared" si="27"/>
        <v>0</v>
      </c>
      <c r="R211" s="311">
        <f t="shared" si="28"/>
        <v>785644.28820898675</v>
      </c>
      <c r="S211" s="312">
        <f t="shared" si="29"/>
        <v>0</v>
      </c>
      <c r="T211" s="309">
        <f t="shared" si="30"/>
        <v>0</v>
      </c>
      <c r="U211" s="311">
        <f t="shared" si="31"/>
        <v>0</v>
      </c>
      <c r="V211" s="464">
        <f t="shared" si="32"/>
        <v>785644.28820898675</v>
      </c>
      <c r="W211" s="311">
        <f t="shared" si="33"/>
        <v>0</v>
      </c>
      <c r="X211" s="321"/>
      <c r="Y211" s="321"/>
      <c r="Z211" s="321"/>
      <c r="AA211" s="321"/>
      <c r="AE211" s="436"/>
      <c r="AF211" s="436"/>
      <c r="AG211" s="436"/>
    </row>
    <row r="212" spans="1:33">
      <c r="A212" s="459" t="s">
        <v>2362</v>
      </c>
      <c r="B212" s="460"/>
      <c r="C212" s="461">
        <v>7259146.1600000001</v>
      </c>
      <c r="D212" s="461">
        <v>-2261968</v>
      </c>
      <c r="E212" s="429">
        <v>138</v>
      </c>
      <c r="F212" s="431">
        <v>25</v>
      </c>
      <c r="G212" s="450">
        <v>4997178.16</v>
      </c>
      <c r="H212" s="309">
        <f t="shared" si="26"/>
        <v>4823925.9931928003</v>
      </c>
      <c r="I212" s="309">
        <f t="shared" si="26"/>
        <v>4652049.5100553399</v>
      </c>
      <c r="J212" s="309">
        <f t="shared" si="26"/>
        <v>4491754.9535792163</v>
      </c>
      <c r="K212" s="309">
        <f t="shared" si="26"/>
        <v>4341577.2655555736</v>
      </c>
      <c r="L212" s="309">
        <f t="shared" si="26"/>
        <v>4196420.6301523894</v>
      </c>
      <c r="M212" s="309">
        <f t="shared" si="26"/>
        <v>4056117.1731018596</v>
      </c>
      <c r="N212" s="308">
        <v>0</v>
      </c>
      <c r="O212" s="462">
        <v>1</v>
      </c>
      <c r="P212" s="463">
        <v>0</v>
      </c>
      <c r="Q212" s="309">
        <f t="shared" si="27"/>
        <v>0</v>
      </c>
      <c r="R212" s="311">
        <f t="shared" si="28"/>
        <v>4056117.1731018596</v>
      </c>
      <c r="S212" s="312">
        <f t="shared" si="29"/>
        <v>0</v>
      </c>
      <c r="T212" s="309">
        <f t="shared" si="30"/>
        <v>0</v>
      </c>
      <c r="U212" s="311">
        <f t="shared" si="31"/>
        <v>0</v>
      </c>
      <c r="V212" s="464">
        <f t="shared" si="32"/>
        <v>4056117.1731018596</v>
      </c>
      <c r="W212" s="311">
        <f t="shared" si="33"/>
        <v>0</v>
      </c>
      <c r="X212" s="321"/>
      <c r="Y212" s="321"/>
      <c r="Z212" s="321"/>
      <c r="AA212" s="321"/>
      <c r="AE212" s="436"/>
      <c r="AF212" s="436"/>
      <c r="AG212" s="436"/>
    </row>
    <row r="213" spans="1:33">
      <c r="A213" s="459" t="s">
        <v>2363</v>
      </c>
      <c r="B213" s="460"/>
      <c r="C213" s="461">
        <v>5595999.6799999997</v>
      </c>
      <c r="D213" s="461">
        <v>-4117161.72</v>
      </c>
      <c r="E213" s="429">
        <v>138</v>
      </c>
      <c r="F213" s="431">
        <v>13.8</v>
      </c>
      <c r="G213" s="450">
        <v>1478837.96</v>
      </c>
      <c r="H213" s="309">
        <f t="shared" si="26"/>
        <v>1427566.6479268</v>
      </c>
      <c r="I213" s="309">
        <f t="shared" si="26"/>
        <v>1376702.4482611679</v>
      </c>
      <c r="J213" s="309">
        <f t="shared" si="26"/>
        <v>1329265.7415222079</v>
      </c>
      <c r="K213" s="309">
        <f t="shared" si="26"/>
        <v>1284822.9662831516</v>
      </c>
      <c r="L213" s="309">
        <f t="shared" si="26"/>
        <v>1241866.0942831931</v>
      </c>
      <c r="M213" s="309">
        <f t="shared" si="26"/>
        <v>1200345.4457166924</v>
      </c>
      <c r="N213" s="308">
        <v>0.31207004377736086</v>
      </c>
      <c r="O213" s="462">
        <v>0.68792995622263919</v>
      </c>
      <c r="P213" s="463">
        <v>0</v>
      </c>
      <c r="Q213" s="309">
        <f t="shared" si="27"/>
        <v>374591.85579276393</v>
      </c>
      <c r="R213" s="311">
        <f t="shared" si="28"/>
        <v>825753.58992392849</v>
      </c>
      <c r="S213" s="312">
        <f t="shared" si="29"/>
        <v>0</v>
      </c>
      <c r="T213" s="309">
        <f t="shared" si="30"/>
        <v>374591.85579276393</v>
      </c>
      <c r="U213" s="311">
        <f t="shared" si="31"/>
        <v>0</v>
      </c>
      <c r="V213" s="464">
        <f t="shared" si="32"/>
        <v>825753.58992392849</v>
      </c>
      <c r="W213" s="311">
        <f t="shared" si="33"/>
        <v>0</v>
      </c>
      <c r="X213" s="321"/>
      <c r="Y213" s="321"/>
      <c r="Z213" s="321"/>
      <c r="AA213" s="321"/>
      <c r="AE213" s="436"/>
      <c r="AF213" s="436"/>
      <c r="AG213" s="436"/>
    </row>
    <row r="214" spans="1:33">
      <c r="A214" s="459" t="s">
        <v>2364</v>
      </c>
      <c r="B214" s="460"/>
      <c r="C214" s="461">
        <v>2679296.87</v>
      </c>
      <c r="D214" s="461">
        <v>-1706281.02</v>
      </c>
      <c r="E214" s="429">
        <v>69</v>
      </c>
      <c r="F214" s="431">
        <v>4.2</v>
      </c>
      <c r="G214" s="450">
        <v>973015.85</v>
      </c>
      <c r="H214" s="309">
        <f t="shared" si="26"/>
        <v>939281.39048049995</v>
      </c>
      <c r="I214" s="309">
        <f t="shared" si="26"/>
        <v>905814.79453767964</v>
      </c>
      <c r="J214" s="309">
        <f t="shared" si="26"/>
        <v>874603.35097370052</v>
      </c>
      <c r="K214" s="309">
        <f t="shared" si="26"/>
        <v>845361.79382190201</v>
      </c>
      <c r="L214" s="309">
        <f t="shared" si="26"/>
        <v>817097.90118935087</v>
      </c>
      <c r="M214" s="309">
        <f t="shared" si="26"/>
        <v>789778.98576369812</v>
      </c>
      <c r="N214" s="308">
        <v>0</v>
      </c>
      <c r="O214" s="462">
        <v>0</v>
      </c>
      <c r="P214" s="463">
        <v>1</v>
      </c>
      <c r="Q214" s="309">
        <f t="shared" si="27"/>
        <v>0</v>
      </c>
      <c r="R214" s="311">
        <f t="shared" si="28"/>
        <v>0</v>
      </c>
      <c r="S214" s="312">
        <f t="shared" si="29"/>
        <v>789778.98576369812</v>
      </c>
      <c r="T214" s="309">
        <f t="shared" si="30"/>
        <v>0</v>
      </c>
      <c r="U214" s="311">
        <f t="shared" si="31"/>
        <v>0</v>
      </c>
      <c r="V214" s="464">
        <f t="shared" si="32"/>
        <v>789778.98576369812</v>
      </c>
      <c r="W214" s="311">
        <f t="shared" si="33"/>
        <v>0</v>
      </c>
      <c r="X214" s="321"/>
      <c r="Y214" s="321"/>
      <c r="Z214" s="321"/>
      <c r="AA214" s="321"/>
      <c r="AE214" s="436"/>
      <c r="AF214" s="436"/>
      <c r="AG214" s="436"/>
    </row>
    <row r="215" spans="1:33">
      <c r="A215" s="459" t="s">
        <v>2365</v>
      </c>
      <c r="B215" s="460"/>
      <c r="C215" s="461">
        <v>318220.26</v>
      </c>
      <c r="D215" s="461">
        <v>-151990.64000000001</v>
      </c>
      <c r="E215" s="429">
        <v>138</v>
      </c>
      <c r="F215" s="431">
        <v>34.5</v>
      </c>
      <c r="G215" s="450">
        <v>166229.62</v>
      </c>
      <c r="H215" s="309">
        <f t="shared" si="26"/>
        <v>160466.4390746</v>
      </c>
      <c r="I215" s="309">
        <f t="shared" si="26"/>
        <v>154749.01985037199</v>
      </c>
      <c r="J215" s="309">
        <f t="shared" si="26"/>
        <v>149416.8699133574</v>
      </c>
      <c r="K215" s="309">
        <f t="shared" si="26"/>
        <v>144421.25454537367</v>
      </c>
      <c r="L215" s="309">
        <f t="shared" si="26"/>
        <v>139592.66297409579</v>
      </c>
      <c r="M215" s="309">
        <f t="shared" si="26"/>
        <v>134925.51091278211</v>
      </c>
      <c r="N215" s="308">
        <v>0.99212598425196852</v>
      </c>
      <c r="O215" s="462">
        <v>7.874015748031496E-3</v>
      </c>
      <c r="P215" s="463">
        <v>0</v>
      </c>
      <c r="Q215" s="309">
        <f t="shared" si="27"/>
        <v>133863.10531504368</v>
      </c>
      <c r="R215" s="311">
        <f t="shared" si="28"/>
        <v>1062.4055977384417</v>
      </c>
      <c r="S215" s="312">
        <f t="shared" si="29"/>
        <v>0</v>
      </c>
      <c r="T215" s="309">
        <f t="shared" si="30"/>
        <v>133863.10531504368</v>
      </c>
      <c r="U215" s="311">
        <f t="shared" si="31"/>
        <v>0</v>
      </c>
      <c r="V215" s="464">
        <f t="shared" si="32"/>
        <v>1062.4055977384417</v>
      </c>
      <c r="W215" s="311">
        <f t="shared" si="33"/>
        <v>0</v>
      </c>
      <c r="X215" s="321"/>
      <c r="Y215" s="321"/>
      <c r="Z215" s="321"/>
      <c r="AA215" s="321"/>
      <c r="AE215" s="436"/>
      <c r="AF215" s="436"/>
      <c r="AG215" s="436"/>
    </row>
    <row r="216" spans="1:33">
      <c r="A216" s="459" t="s">
        <v>2366</v>
      </c>
      <c r="B216" s="460"/>
      <c r="C216" s="461">
        <v>13061072.449999999</v>
      </c>
      <c r="D216" s="461">
        <v>-1997072.81</v>
      </c>
      <c r="E216" s="429">
        <v>138</v>
      </c>
      <c r="F216" s="431">
        <v>25</v>
      </c>
      <c r="G216" s="450">
        <v>11063999.640000001</v>
      </c>
      <c r="H216" s="309">
        <f t="shared" si="26"/>
        <v>10680410.772481201</v>
      </c>
      <c r="I216" s="309">
        <f t="shared" si="26"/>
        <v>10299867.736657694</v>
      </c>
      <c r="J216" s="309">
        <f t="shared" si="26"/>
        <v>9944967.659381723</v>
      </c>
      <c r="K216" s="309">
        <f t="shared" si="26"/>
        <v>9612466.8293073326</v>
      </c>
      <c r="L216" s="309">
        <f t="shared" si="26"/>
        <v>9291082.8581093866</v>
      </c>
      <c r="M216" s="309">
        <f t="shared" si="26"/>
        <v>8980444.0638547894</v>
      </c>
      <c r="N216" s="308">
        <v>0</v>
      </c>
      <c r="O216" s="462">
        <v>1</v>
      </c>
      <c r="P216" s="463">
        <v>0</v>
      </c>
      <c r="Q216" s="309">
        <f t="shared" si="27"/>
        <v>0</v>
      </c>
      <c r="R216" s="311">
        <f t="shared" si="28"/>
        <v>8980444.0638547894</v>
      </c>
      <c r="S216" s="312">
        <f t="shared" si="29"/>
        <v>0</v>
      </c>
      <c r="T216" s="309">
        <f t="shared" si="30"/>
        <v>0</v>
      </c>
      <c r="U216" s="311">
        <f t="shared" si="31"/>
        <v>0</v>
      </c>
      <c r="V216" s="464">
        <f t="shared" si="32"/>
        <v>8980444.0638547894</v>
      </c>
      <c r="W216" s="311">
        <f t="shared" si="33"/>
        <v>0</v>
      </c>
      <c r="X216" s="321"/>
      <c r="Y216" s="321"/>
      <c r="Z216" s="321"/>
      <c r="AA216" s="321"/>
      <c r="AE216" s="436"/>
      <c r="AF216" s="436"/>
      <c r="AG216" s="436"/>
    </row>
    <row r="217" spans="1:33">
      <c r="A217" s="459" t="s">
        <v>2367</v>
      </c>
      <c r="B217" s="460"/>
      <c r="C217" s="461">
        <v>6961983.1500000004</v>
      </c>
      <c r="D217" s="461">
        <v>-1057569.68</v>
      </c>
      <c r="E217" s="429">
        <v>69</v>
      </c>
      <c r="F217" s="431">
        <v>25</v>
      </c>
      <c r="G217" s="450">
        <v>5904413.4699999997</v>
      </c>
      <c r="H217" s="309">
        <f t="shared" si="26"/>
        <v>5699707.4549950995</v>
      </c>
      <c r="I217" s="309">
        <f t="shared" si="26"/>
        <v>5496626.8783736238</v>
      </c>
      <c r="J217" s="309">
        <f t="shared" si="26"/>
        <v>5307230.9216712704</v>
      </c>
      <c r="K217" s="309">
        <f t="shared" si="26"/>
        <v>5129788.5460605817</v>
      </c>
      <c r="L217" s="309">
        <f t="shared" si="26"/>
        <v>4958278.7927772524</v>
      </c>
      <c r="M217" s="309">
        <f t="shared" si="26"/>
        <v>4792503.3100602804</v>
      </c>
      <c r="N217" s="308">
        <v>9.5238095238095233E-2</v>
      </c>
      <c r="O217" s="462">
        <v>0.90476190476190477</v>
      </c>
      <c r="P217" s="463">
        <v>0</v>
      </c>
      <c r="Q217" s="309">
        <f t="shared" si="27"/>
        <v>456428.88667240762</v>
      </c>
      <c r="R217" s="311">
        <f t="shared" si="28"/>
        <v>4336074.423387873</v>
      </c>
      <c r="S217" s="312">
        <f t="shared" si="29"/>
        <v>0</v>
      </c>
      <c r="T217" s="309">
        <f t="shared" si="30"/>
        <v>456428.88667240762</v>
      </c>
      <c r="U217" s="311">
        <f t="shared" si="31"/>
        <v>0</v>
      </c>
      <c r="V217" s="464">
        <f t="shared" si="32"/>
        <v>4336074.423387873</v>
      </c>
      <c r="W217" s="311">
        <f t="shared" si="33"/>
        <v>0</v>
      </c>
      <c r="X217" s="321"/>
      <c r="Y217" s="321"/>
      <c r="Z217" s="321"/>
      <c r="AA217" s="321"/>
      <c r="AE217" s="436"/>
      <c r="AF217" s="436"/>
      <c r="AG217" s="436"/>
    </row>
    <row r="218" spans="1:33">
      <c r="A218" s="459" t="s">
        <v>2368</v>
      </c>
      <c r="B218" s="460"/>
      <c r="C218" s="461">
        <v>14343.28</v>
      </c>
      <c r="D218" s="461">
        <v>-1000</v>
      </c>
      <c r="E218" s="429">
        <v>138</v>
      </c>
      <c r="F218" s="431">
        <v>25</v>
      </c>
      <c r="G218" s="450">
        <v>13343.28</v>
      </c>
      <c r="H218" s="309">
        <f t="shared" si="26"/>
        <v>12880.6684824</v>
      </c>
      <c r="I218" s="309">
        <f t="shared" si="26"/>
        <v>12421.730264372087</v>
      </c>
      <c r="J218" s="309">
        <f t="shared" si="26"/>
        <v>11993.717677857314</v>
      </c>
      <c r="K218" s="309">
        <f t="shared" si="26"/>
        <v>11592.718778700171</v>
      </c>
      <c r="L218" s="309">
        <f t="shared" si="26"/>
        <v>11205.126908242906</v>
      </c>
      <c r="M218" s="309">
        <f t="shared" si="26"/>
        <v>10830.493814834608</v>
      </c>
      <c r="N218" s="308">
        <v>0</v>
      </c>
      <c r="O218" s="462">
        <v>0</v>
      </c>
      <c r="P218" s="463">
        <v>1</v>
      </c>
      <c r="Q218" s="309">
        <f t="shared" si="27"/>
        <v>0</v>
      </c>
      <c r="R218" s="311">
        <f t="shared" si="28"/>
        <v>0</v>
      </c>
      <c r="S218" s="312">
        <f t="shared" si="29"/>
        <v>10830.493814834608</v>
      </c>
      <c r="T218" s="309">
        <f t="shared" si="30"/>
        <v>0</v>
      </c>
      <c r="U218" s="311">
        <f t="shared" si="31"/>
        <v>0</v>
      </c>
      <c r="V218" s="464">
        <f t="shared" si="32"/>
        <v>10830.493814834608</v>
      </c>
      <c r="W218" s="311">
        <f t="shared" si="33"/>
        <v>0</v>
      </c>
      <c r="X218" s="321"/>
      <c r="Y218" s="321"/>
      <c r="Z218" s="321"/>
      <c r="AA218" s="321"/>
      <c r="AE218" s="436"/>
      <c r="AF218" s="436"/>
      <c r="AG218" s="436"/>
    </row>
    <row r="219" spans="1:33">
      <c r="A219" s="459" t="s">
        <v>2369</v>
      </c>
      <c r="B219" s="460"/>
      <c r="C219" s="461">
        <v>613999.78</v>
      </c>
      <c r="D219" s="461">
        <v>-394761.53</v>
      </c>
      <c r="E219" s="429">
        <v>138</v>
      </c>
      <c r="F219" s="431">
        <v>4</v>
      </c>
      <c r="G219" s="450">
        <v>219238.25</v>
      </c>
      <c r="H219" s="309">
        <f t="shared" si="26"/>
        <v>211637.2598725</v>
      </c>
      <c r="I219" s="309">
        <f t="shared" si="26"/>
        <v>204096.6243032428</v>
      </c>
      <c r="J219" s="309">
        <f t="shared" si="26"/>
        <v>197064.11577119725</v>
      </c>
      <c r="K219" s="309">
        <f t="shared" si="26"/>
        <v>190475.45864168051</v>
      </c>
      <c r="L219" s="309">
        <f t="shared" si="26"/>
        <v>184107.08719228592</v>
      </c>
      <c r="M219" s="309">
        <f t="shared" si="26"/>
        <v>177951.63637427703</v>
      </c>
      <c r="N219" s="308">
        <v>0.43478260869565216</v>
      </c>
      <c r="O219" s="462">
        <v>0.56521739130434778</v>
      </c>
      <c r="P219" s="463">
        <v>0</v>
      </c>
      <c r="Q219" s="309">
        <f t="shared" si="27"/>
        <v>77370.276684468277</v>
      </c>
      <c r="R219" s="311">
        <f t="shared" si="28"/>
        <v>100581.35968980876</v>
      </c>
      <c r="S219" s="312">
        <f t="shared" si="29"/>
        <v>0</v>
      </c>
      <c r="T219" s="309">
        <f t="shared" si="30"/>
        <v>77370.276684468277</v>
      </c>
      <c r="U219" s="311">
        <f t="shared" si="31"/>
        <v>0</v>
      </c>
      <c r="V219" s="464">
        <f t="shared" si="32"/>
        <v>100581.35968980876</v>
      </c>
      <c r="W219" s="311">
        <f t="shared" si="33"/>
        <v>0</v>
      </c>
      <c r="X219" s="321"/>
      <c r="Y219" s="321"/>
      <c r="Z219" s="321"/>
      <c r="AA219" s="321"/>
      <c r="AE219" s="436"/>
      <c r="AF219" s="436"/>
      <c r="AG219" s="436"/>
    </row>
    <row r="220" spans="1:33">
      <c r="A220" s="459" t="s">
        <v>2370</v>
      </c>
      <c r="B220" s="460"/>
      <c r="C220" s="461">
        <v>13067022.93</v>
      </c>
      <c r="D220" s="461">
        <v>-3672302.34</v>
      </c>
      <c r="E220" s="429">
        <v>138</v>
      </c>
      <c r="F220" s="431">
        <v>25</v>
      </c>
      <c r="G220" s="450">
        <v>9394720.5899999999</v>
      </c>
      <c r="H220" s="309">
        <f t="shared" si="26"/>
        <v>9069005.6271446999</v>
      </c>
      <c r="I220" s="309">
        <f t="shared" si="26"/>
        <v>8745876.9566495344</v>
      </c>
      <c r="J220" s="309">
        <f t="shared" si="26"/>
        <v>8444522.3677246589</v>
      </c>
      <c r="K220" s="309">
        <f t="shared" si="26"/>
        <v>8162187.5434176717</v>
      </c>
      <c r="L220" s="309">
        <f t="shared" si="26"/>
        <v>7889292.323808888</v>
      </c>
      <c r="M220" s="309">
        <f t="shared" si="26"/>
        <v>7625521.1044131825</v>
      </c>
      <c r="N220" s="308">
        <v>0.74823943661971837</v>
      </c>
      <c r="O220" s="462">
        <v>0.25176056338028169</v>
      </c>
      <c r="P220" s="463">
        <v>0</v>
      </c>
      <c r="Q220" s="309">
        <f t="shared" si="27"/>
        <v>5705715.6150978925</v>
      </c>
      <c r="R220" s="311">
        <f t="shared" si="28"/>
        <v>1919805.4893152907</v>
      </c>
      <c r="S220" s="312">
        <f t="shared" si="29"/>
        <v>0</v>
      </c>
      <c r="T220" s="309">
        <f t="shared" si="30"/>
        <v>5705715.6150978925</v>
      </c>
      <c r="U220" s="311">
        <f t="shared" si="31"/>
        <v>0</v>
      </c>
      <c r="V220" s="464">
        <f t="shared" si="32"/>
        <v>1919805.4893152907</v>
      </c>
      <c r="W220" s="311">
        <f t="shared" si="33"/>
        <v>0</v>
      </c>
      <c r="X220" s="321"/>
      <c r="Y220" s="321"/>
      <c r="Z220" s="321"/>
      <c r="AA220" s="321"/>
      <c r="AE220" s="436"/>
      <c r="AF220" s="436"/>
      <c r="AG220" s="436"/>
    </row>
    <row r="221" spans="1:33">
      <c r="A221" s="459" t="s">
        <v>2371</v>
      </c>
      <c r="B221" s="460"/>
      <c r="C221" s="461">
        <v>2601674.31</v>
      </c>
      <c r="D221" s="461">
        <v>-1718070.86</v>
      </c>
      <c r="E221" s="429">
        <v>69</v>
      </c>
      <c r="F221" s="431">
        <v>25</v>
      </c>
      <c r="G221" s="450">
        <v>883603.45</v>
      </c>
      <c r="H221" s="309">
        <f t="shared" si="26"/>
        <v>852968.91838849999</v>
      </c>
      <c r="I221" s="309">
        <f t="shared" si="26"/>
        <v>822577.63582631759</v>
      </c>
      <c r="J221" s="309">
        <f t="shared" si="26"/>
        <v>794234.27511681605</v>
      </c>
      <c r="K221" s="309">
        <f t="shared" si="26"/>
        <v>767679.78396160901</v>
      </c>
      <c r="L221" s="309">
        <f t="shared" si="26"/>
        <v>742013.11775000324</v>
      </c>
      <c r="M221" s="309">
        <f t="shared" si="26"/>
        <v>717204.59287308063</v>
      </c>
      <c r="N221" s="308">
        <v>0</v>
      </c>
      <c r="O221" s="462">
        <v>1</v>
      </c>
      <c r="P221" s="463">
        <v>0</v>
      </c>
      <c r="Q221" s="309">
        <f t="shared" si="27"/>
        <v>0</v>
      </c>
      <c r="R221" s="311">
        <f t="shared" si="28"/>
        <v>717204.59287308063</v>
      </c>
      <c r="S221" s="312">
        <f t="shared" si="29"/>
        <v>0</v>
      </c>
      <c r="T221" s="309">
        <f t="shared" si="30"/>
        <v>0</v>
      </c>
      <c r="U221" s="311">
        <f t="shared" si="31"/>
        <v>0</v>
      </c>
      <c r="V221" s="464">
        <f t="shared" si="32"/>
        <v>717204.59287308063</v>
      </c>
      <c r="W221" s="311">
        <f t="shared" si="33"/>
        <v>0</v>
      </c>
      <c r="X221" s="321"/>
      <c r="Y221" s="321"/>
      <c r="Z221" s="321"/>
      <c r="AA221" s="321"/>
      <c r="AE221" s="436"/>
      <c r="AF221" s="436"/>
      <c r="AG221" s="436"/>
    </row>
    <row r="222" spans="1:33">
      <c r="A222" s="459" t="s">
        <v>2372</v>
      </c>
      <c r="B222" s="460"/>
      <c r="C222" s="461">
        <v>7059390.3099999996</v>
      </c>
      <c r="D222" s="461">
        <v>-3203048.22</v>
      </c>
      <c r="E222" s="429">
        <v>138</v>
      </c>
      <c r="F222" s="431">
        <v>13.8</v>
      </c>
      <c r="G222" s="450">
        <v>3856342.09</v>
      </c>
      <c r="H222" s="309">
        <f t="shared" si="26"/>
        <v>3722642.7097397</v>
      </c>
      <c r="I222" s="309">
        <f t="shared" si="26"/>
        <v>3590004.9499916742</v>
      </c>
      <c r="J222" s="309">
        <f t="shared" si="26"/>
        <v>3466305.0087158638</v>
      </c>
      <c r="K222" s="309">
        <f t="shared" si="26"/>
        <v>3350412.294715757</v>
      </c>
      <c r="L222" s="309">
        <f t="shared" si="26"/>
        <v>3238394.3468209226</v>
      </c>
      <c r="M222" s="309">
        <f t="shared" si="26"/>
        <v>3130121.6157969674</v>
      </c>
      <c r="N222" s="308">
        <v>0</v>
      </c>
      <c r="O222" s="462">
        <v>1</v>
      </c>
      <c r="P222" s="463">
        <v>0</v>
      </c>
      <c r="Q222" s="309">
        <f t="shared" si="27"/>
        <v>0</v>
      </c>
      <c r="R222" s="311">
        <f t="shared" si="28"/>
        <v>3130121.6157969674</v>
      </c>
      <c r="S222" s="312">
        <f t="shared" si="29"/>
        <v>0</v>
      </c>
      <c r="T222" s="309">
        <f t="shared" si="30"/>
        <v>0</v>
      </c>
      <c r="U222" s="311">
        <f t="shared" si="31"/>
        <v>0</v>
      </c>
      <c r="V222" s="464">
        <f t="shared" si="32"/>
        <v>3130121.6157969674</v>
      </c>
      <c r="W222" s="311">
        <f t="shared" si="33"/>
        <v>0</v>
      </c>
      <c r="X222" s="321"/>
      <c r="Y222" s="321"/>
      <c r="Z222" s="321"/>
      <c r="AA222" s="321"/>
      <c r="AE222" s="436"/>
      <c r="AF222" s="436"/>
      <c r="AG222" s="436"/>
    </row>
    <row r="223" spans="1:33">
      <c r="A223" s="459" t="s">
        <v>2373</v>
      </c>
      <c r="B223" s="460"/>
      <c r="C223" s="461">
        <v>2204784.62</v>
      </c>
      <c r="D223" s="461">
        <v>-770966.12</v>
      </c>
      <c r="E223" s="429">
        <v>138</v>
      </c>
      <c r="F223" s="431">
        <v>25</v>
      </c>
      <c r="G223" s="450">
        <v>1433818.5</v>
      </c>
      <c r="H223" s="309">
        <f t="shared" si="26"/>
        <v>1384108.0126050001</v>
      </c>
      <c r="I223" s="309">
        <f t="shared" si="26"/>
        <v>1334792.2441158837</v>
      </c>
      <c r="J223" s="309">
        <f t="shared" si="26"/>
        <v>1288799.6272497359</v>
      </c>
      <c r="K223" s="309">
        <f t="shared" si="26"/>
        <v>1245709.7992545844</v>
      </c>
      <c r="L223" s="309">
        <f t="shared" si="26"/>
        <v>1204060.6399540803</v>
      </c>
      <c r="M223" s="309">
        <f t="shared" si="26"/>
        <v>1163803.9819178968</v>
      </c>
      <c r="N223" s="308">
        <v>0</v>
      </c>
      <c r="O223" s="462">
        <v>1</v>
      </c>
      <c r="P223" s="463">
        <v>0</v>
      </c>
      <c r="Q223" s="309">
        <f t="shared" si="27"/>
        <v>0</v>
      </c>
      <c r="R223" s="311">
        <f t="shared" si="28"/>
        <v>1163803.9819178968</v>
      </c>
      <c r="S223" s="312">
        <f t="shared" si="29"/>
        <v>0</v>
      </c>
      <c r="T223" s="309">
        <f t="shared" si="30"/>
        <v>0</v>
      </c>
      <c r="U223" s="311">
        <f t="shared" si="31"/>
        <v>0</v>
      </c>
      <c r="V223" s="464">
        <f t="shared" si="32"/>
        <v>1163803.9819178968</v>
      </c>
      <c r="W223" s="311">
        <f t="shared" si="33"/>
        <v>0</v>
      </c>
      <c r="X223" s="321"/>
      <c r="Y223" s="321"/>
      <c r="Z223" s="321"/>
      <c r="AA223" s="321"/>
      <c r="AE223" s="436"/>
      <c r="AF223" s="436"/>
      <c r="AG223" s="436"/>
    </row>
    <row r="224" spans="1:33">
      <c r="A224" s="459" t="s">
        <v>2374</v>
      </c>
      <c r="B224" s="460"/>
      <c r="C224" s="461">
        <v>10369126.16</v>
      </c>
      <c r="D224" s="461">
        <v>-4023256</v>
      </c>
      <c r="E224" s="429">
        <v>138</v>
      </c>
      <c r="F224" s="431">
        <v>25</v>
      </c>
      <c r="G224" s="450">
        <v>6345870.1600000001</v>
      </c>
      <c r="H224" s="309">
        <f t="shared" si="26"/>
        <v>6125858.8415528005</v>
      </c>
      <c r="I224" s="309">
        <f t="shared" si="26"/>
        <v>5907594.4910282735</v>
      </c>
      <c r="J224" s="309">
        <f t="shared" si="26"/>
        <v>5704037.9216638794</v>
      </c>
      <c r="K224" s="309">
        <f t="shared" si="26"/>
        <v>5513328.6696393285</v>
      </c>
      <c r="L224" s="309">
        <f t="shared" si="26"/>
        <v>5328995.6057305038</v>
      </c>
      <c r="M224" s="309">
        <f t="shared" si="26"/>
        <v>5150825.5479629822</v>
      </c>
      <c r="N224" s="308">
        <v>0.3105590062111801</v>
      </c>
      <c r="O224" s="462">
        <v>0.68944099378881984</v>
      </c>
      <c r="P224" s="463">
        <v>0</v>
      </c>
      <c r="Q224" s="309">
        <f t="shared" si="27"/>
        <v>1599635.2633425409</v>
      </c>
      <c r="R224" s="311">
        <f t="shared" si="28"/>
        <v>3551190.284620441</v>
      </c>
      <c r="S224" s="312">
        <f t="shared" si="29"/>
        <v>0</v>
      </c>
      <c r="T224" s="309">
        <f t="shared" si="30"/>
        <v>1599635.2633425409</v>
      </c>
      <c r="U224" s="311">
        <f t="shared" si="31"/>
        <v>0</v>
      </c>
      <c r="V224" s="464">
        <f t="shared" si="32"/>
        <v>3551190.284620441</v>
      </c>
      <c r="W224" s="311">
        <f t="shared" si="33"/>
        <v>0</v>
      </c>
      <c r="X224" s="321"/>
      <c r="Y224" s="321"/>
      <c r="Z224" s="321"/>
      <c r="AA224" s="321"/>
      <c r="AE224" s="436"/>
      <c r="AF224" s="436"/>
      <c r="AG224" s="436"/>
    </row>
    <row r="225" spans="1:33">
      <c r="A225" s="459" t="s">
        <v>2375</v>
      </c>
      <c r="B225" s="460"/>
      <c r="C225" s="461">
        <v>8285067.0499999998</v>
      </c>
      <c r="D225" s="461">
        <v>-3478423.01</v>
      </c>
      <c r="E225" s="429">
        <v>138</v>
      </c>
      <c r="F225" s="431">
        <v>25</v>
      </c>
      <c r="G225" s="450">
        <v>4806644.04</v>
      </c>
      <c r="H225" s="309">
        <f t="shared" si="26"/>
        <v>4639997.6911332002</v>
      </c>
      <c r="I225" s="309">
        <f t="shared" si="26"/>
        <v>4474674.5733981235</v>
      </c>
      <c r="J225" s="309">
        <f t="shared" si="26"/>
        <v>4320491.7826587986</v>
      </c>
      <c r="K225" s="309">
        <f t="shared" si="26"/>
        <v>4176040.1209474178</v>
      </c>
      <c r="L225" s="309">
        <f t="shared" si="26"/>
        <v>4036418.0674428917</v>
      </c>
      <c r="M225" s="309">
        <f t="shared" si="26"/>
        <v>3901464.1486449828</v>
      </c>
      <c r="N225" s="308">
        <v>0</v>
      </c>
      <c r="O225" s="462">
        <v>1</v>
      </c>
      <c r="P225" s="463">
        <v>0</v>
      </c>
      <c r="Q225" s="309">
        <f t="shared" si="27"/>
        <v>0</v>
      </c>
      <c r="R225" s="311">
        <f t="shared" si="28"/>
        <v>3901464.1486449828</v>
      </c>
      <c r="S225" s="312">
        <f t="shared" si="29"/>
        <v>0</v>
      </c>
      <c r="T225" s="309">
        <f t="shared" si="30"/>
        <v>0</v>
      </c>
      <c r="U225" s="311">
        <f t="shared" si="31"/>
        <v>0</v>
      </c>
      <c r="V225" s="464">
        <f t="shared" si="32"/>
        <v>3901464.1486449828</v>
      </c>
      <c r="W225" s="311">
        <f t="shared" si="33"/>
        <v>0</v>
      </c>
      <c r="X225" s="321"/>
      <c r="Y225" s="321"/>
      <c r="Z225" s="321"/>
      <c r="AA225" s="321"/>
      <c r="AE225" s="436"/>
      <c r="AF225" s="436"/>
      <c r="AG225" s="436"/>
    </row>
    <row r="226" spans="1:33">
      <c r="A226" s="459" t="s">
        <v>2376</v>
      </c>
      <c r="B226" s="460"/>
      <c r="C226" s="461">
        <v>600027.18999999994</v>
      </c>
      <c r="D226" s="461">
        <v>-155206.43</v>
      </c>
      <c r="E226" s="429">
        <v>138</v>
      </c>
      <c r="F226" s="431">
        <v>13.8</v>
      </c>
      <c r="G226" s="450">
        <v>444820.76</v>
      </c>
      <c r="H226" s="309">
        <f t="shared" si="26"/>
        <v>429398.82425080001</v>
      </c>
      <c r="I226" s="309">
        <f t="shared" si="26"/>
        <v>414099.34414274397</v>
      </c>
      <c r="J226" s="309">
        <f t="shared" si="26"/>
        <v>399830.82215841423</v>
      </c>
      <c r="K226" s="309">
        <f t="shared" si="26"/>
        <v>386462.84703668678</v>
      </c>
      <c r="L226" s="309">
        <f t="shared" si="26"/>
        <v>373541.81784546672</v>
      </c>
      <c r="M226" s="309">
        <f t="shared" si="26"/>
        <v>361052.79135939811</v>
      </c>
      <c r="N226" s="308">
        <v>0</v>
      </c>
      <c r="O226" s="462">
        <v>1</v>
      </c>
      <c r="P226" s="463">
        <v>0</v>
      </c>
      <c r="Q226" s="309">
        <f t="shared" si="27"/>
        <v>0</v>
      </c>
      <c r="R226" s="311">
        <f t="shared" si="28"/>
        <v>361052.79135939811</v>
      </c>
      <c r="S226" s="312">
        <f t="shared" si="29"/>
        <v>0</v>
      </c>
      <c r="T226" s="309">
        <f t="shared" si="30"/>
        <v>0</v>
      </c>
      <c r="U226" s="311">
        <f t="shared" si="31"/>
        <v>0</v>
      </c>
      <c r="V226" s="464">
        <f t="shared" si="32"/>
        <v>361052.79135939811</v>
      </c>
      <c r="W226" s="311">
        <f t="shared" si="33"/>
        <v>0</v>
      </c>
      <c r="X226" s="321"/>
      <c r="Y226" s="321"/>
      <c r="Z226" s="321"/>
      <c r="AA226" s="321"/>
      <c r="AE226" s="436"/>
      <c r="AF226" s="436"/>
      <c r="AG226" s="436"/>
    </row>
    <row r="227" spans="1:33">
      <c r="A227" s="459" t="s">
        <v>2377</v>
      </c>
      <c r="B227" s="460"/>
      <c r="C227" s="461">
        <v>1955.36</v>
      </c>
      <c r="D227" s="461">
        <v>-1095.8900000000001</v>
      </c>
      <c r="E227" s="429">
        <v>138</v>
      </c>
      <c r="F227" s="431">
        <v>69</v>
      </c>
      <c r="G227" s="450">
        <v>859.47</v>
      </c>
      <c r="H227" s="309">
        <f t="shared" si="26"/>
        <v>829.6721751</v>
      </c>
      <c r="I227" s="309">
        <f t="shared" si="26"/>
        <v>800.11095550118694</v>
      </c>
      <c r="J227" s="309">
        <f t="shared" si="26"/>
        <v>772.54172381813351</v>
      </c>
      <c r="K227" s="309">
        <f t="shared" si="26"/>
        <v>746.7125031273747</v>
      </c>
      <c r="L227" s="309">
        <f t="shared" si="26"/>
        <v>721.74685863052639</v>
      </c>
      <c r="M227" s="309">
        <f t="shared" si="26"/>
        <v>697.61591745327235</v>
      </c>
      <c r="N227" s="308">
        <v>0</v>
      </c>
      <c r="O227" s="462">
        <v>0</v>
      </c>
      <c r="P227" s="463">
        <v>1</v>
      </c>
      <c r="Q227" s="309">
        <f t="shared" si="27"/>
        <v>0</v>
      </c>
      <c r="R227" s="311">
        <f t="shared" si="28"/>
        <v>0</v>
      </c>
      <c r="S227" s="312">
        <f t="shared" si="29"/>
        <v>697.61591745327235</v>
      </c>
      <c r="T227" s="309">
        <f t="shared" si="30"/>
        <v>0</v>
      </c>
      <c r="U227" s="311">
        <f t="shared" si="31"/>
        <v>697.61591745327235</v>
      </c>
      <c r="V227" s="464">
        <f t="shared" si="32"/>
        <v>0</v>
      </c>
      <c r="W227" s="311">
        <f t="shared" si="33"/>
        <v>0</v>
      </c>
      <c r="X227" s="321"/>
      <c r="Y227" s="321"/>
      <c r="Z227" s="321"/>
      <c r="AA227" s="321"/>
      <c r="AE227" s="436"/>
      <c r="AF227" s="436"/>
      <c r="AG227" s="436"/>
    </row>
    <row r="228" spans="1:33">
      <c r="A228" s="459" t="s">
        <v>2378</v>
      </c>
      <c r="B228" s="460"/>
      <c r="C228" s="461">
        <v>5814102.4699999997</v>
      </c>
      <c r="D228" s="461">
        <v>-1273871.3700000001</v>
      </c>
      <c r="E228" s="429">
        <v>138</v>
      </c>
      <c r="F228" s="431">
        <v>25</v>
      </c>
      <c r="G228" s="450">
        <v>4540231.0999999996</v>
      </c>
      <c r="H228" s="309">
        <f t="shared" si="26"/>
        <v>4382821.2877629995</v>
      </c>
      <c r="I228" s="309">
        <f t="shared" si="26"/>
        <v>4226661.3652800033</v>
      </c>
      <c r="J228" s="309">
        <f t="shared" si="26"/>
        <v>4081024.3062895741</v>
      </c>
      <c r="K228" s="309">
        <f t="shared" si="26"/>
        <v>3944579.0189974676</v>
      </c>
      <c r="L228" s="309">
        <f t="shared" si="26"/>
        <v>3812695.6541608418</v>
      </c>
      <c r="M228" s="309">
        <f t="shared" si="26"/>
        <v>3685221.6881059022</v>
      </c>
      <c r="N228" s="308">
        <v>0</v>
      </c>
      <c r="O228" s="462">
        <v>1</v>
      </c>
      <c r="P228" s="463">
        <v>0</v>
      </c>
      <c r="Q228" s="309">
        <f t="shared" si="27"/>
        <v>0</v>
      </c>
      <c r="R228" s="311">
        <f t="shared" si="28"/>
        <v>3685221.6881059022</v>
      </c>
      <c r="S228" s="312">
        <f t="shared" si="29"/>
        <v>0</v>
      </c>
      <c r="T228" s="309">
        <f t="shared" si="30"/>
        <v>0</v>
      </c>
      <c r="U228" s="311">
        <f t="shared" si="31"/>
        <v>0</v>
      </c>
      <c r="V228" s="464">
        <f t="shared" si="32"/>
        <v>3685221.6881059022</v>
      </c>
      <c r="W228" s="311">
        <f t="shared" si="33"/>
        <v>0</v>
      </c>
      <c r="X228" s="321"/>
      <c r="Y228" s="321"/>
      <c r="Z228" s="321"/>
      <c r="AA228" s="321"/>
      <c r="AE228" s="436"/>
      <c r="AF228" s="436"/>
      <c r="AG228" s="436"/>
    </row>
    <row r="229" spans="1:33">
      <c r="A229" s="459" t="s">
        <v>2379</v>
      </c>
      <c r="B229" s="460"/>
      <c r="C229" s="461">
        <v>12808437.6</v>
      </c>
      <c r="D229" s="461">
        <v>-2288694.77</v>
      </c>
      <c r="E229" s="429">
        <v>138</v>
      </c>
      <c r="F229" s="431">
        <v>25</v>
      </c>
      <c r="G229" s="450">
        <v>10519742.83</v>
      </c>
      <c r="H229" s="309">
        <f t="shared" si="26"/>
        <v>10155023.3460839</v>
      </c>
      <c r="I229" s="309">
        <f t="shared" si="26"/>
        <v>9793199.8642629292</v>
      </c>
      <c r="J229" s="309">
        <f t="shared" si="26"/>
        <v>9455757.9205925167</v>
      </c>
      <c r="K229" s="309">
        <f t="shared" si="26"/>
        <v>9139613.3673607595</v>
      </c>
      <c r="L229" s="309">
        <f t="shared" si="26"/>
        <v>8834038.8159604222</v>
      </c>
      <c r="M229" s="309">
        <f t="shared" si="26"/>
        <v>8538680.8681198098</v>
      </c>
      <c r="N229" s="308">
        <v>0</v>
      </c>
      <c r="O229" s="462">
        <v>1</v>
      </c>
      <c r="P229" s="463">
        <v>0</v>
      </c>
      <c r="Q229" s="309">
        <f t="shared" si="27"/>
        <v>0</v>
      </c>
      <c r="R229" s="311">
        <f t="shared" si="28"/>
        <v>8538680.8681198098</v>
      </c>
      <c r="S229" s="312">
        <f t="shared" si="29"/>
        <v>0</v>
      </c>
      <c r="T229" s="309">
        <f t="shared" si="30"/>
        <v>0</v>
      </c>
      <c r="U229" s="311">
        <f t="shared" si="31"/>
        <v>0</v>
      </c>
      <c r="V229" s="464">
        <f t="shared" si="32"/>
        <v>8538680.8681198098</v>
      </c>
      <c r="W229" s="311">
        <f t="shared" si="33"/>
        <v>0</v>
      </c>
      <c r="X229" s="321"/>
      <c r="Y229" s="321"/>
      <c r="Z229" s="321"/>
      <c r="AA229" s="321"/>
      <c r="AE229" s="436"/>
      <c r="AF229" s="436"/>
      <c r="AG229" s="436"/>
    </row>
    <row r="230" spans="1:33">
      <c r="A230" s="459" t="s">
        <v>2380</v>
      </c>
      <c r="B230" s="460"/>
      <c r="C230" s="461">
        <v>3282357.27</v>
      </c>
      <c r="D230" s="461">
        <v>-856405.88</v>
      </c>
      <c r="E230" s="429">
        <v>138</v>
      </c>
      <c r="F230" s="431">
        <v>25</v>
      </c>
      <c r="G230" s="450">
        <v>2425951.39</v>
      </c>
      <c r="H230" s="309">
        <f t="shared" si="26"/>
        <v>2341843.6553087002</v>
      </c>
      <c r="I230" s="309">
        <f t="shared" si="26"/>
        <v>2258403.765870051</v>
      </c>
      <c r="J230" s="309">
        <f t="shared" si="26"/>
        <v>2180586.487869963</v>
      </c>
      <c r="K230" s="309">
        <f t="shared" si="26"/>
        <v>2107680.587911427</v>
      </c>
      <c r="L230" s="309">
        <f t="shared" si="26"/>
        <v>2037212.2295401341</v>
      </c>
      <c r="M230" s="309">
        <f t="shared" si="26"/>
        <v>1969099.9157991454</v>
      </c>
      <c r="N230" s="308">
        <v>0</v>
      </c>
      <c r="O230" s="462">
        <v>1</v>
      </c>
      <c r="P230" s="463">
        <v>0</v>
      </c>
      <c r="Q230" s="309">
        <f t="shared" si="27"/>
        <v>0</v>
      </c>
      <c r="R230" s="311">
        <f t="shared" si="28"/>
        <v>1969099.9157991454</v>
      </c>
      <c r="S230" s="312">
        <f t="shared" si="29"/>
        <v>0</v>
      </c>
      <c r="T230" s="309">
        <f t="shared" si="30"/>
        <v>0</v>
      </c>
      <c r="U230" s="311">
        <f t="shared" si="31"/>
        <v>0</v>
      </c>
      <c r="V230" s="464">
        <f t="shared" si="32"/>
        <v>1969099.9157991454</v>
      </c>
      <c r="W230" s="311">
        <f t="shared" si="33"/>
        <v>0</v>
      </c>
      <c r="X230" s="321"/>
      <c r="Y230" s="321"/>
      <c r="Z230" s="321"/>
      <c r="AA230" s="321"/>
      <c r="AE230" s="436"/>
      <c r="AF230" s="436"/>
      <c r="AG230" s="436"/>
    </row>
    <row r="231" spans="1:33">
      <c r="A231" s="459" t="s">
        <v>2381</v>
      </c>
      <c r="B231" s="460"/>
      <c r="C231" s="461">
        <v>6719000.8499999996</v>
      </c>
      <c r="D231" s="461">
        <v>-4228903.87</v>
      </c>
      <c r="E231" s="429">
        <v>138</v>
      </c>
      <c r="F231" s="431">
        <v>25</v>
      </c>
      <c r="G231" s="450">
        <v>2490096.98</v>
      </c>
      <c r="H231" s="309">
        <f t="shared" si="26"/>
        <v>2403765.3177033998</v>
      </c>
      <c r="I231" s="309">
        <f t="shared" si="26"/>
        <v>2318119.1594336275</v>
      </c>
      <c r="J231" s="309">
        <f t="shared" si="26"/>
        <v>2238244.2824107045</v>
      </c>
      <c r="K231" s="309">
        <f t="shared" si="26"/>
        <v>2163410.6472194684</v>
      </c>
      <c r="L231" s="309">
        <f t="shared" si="26"/>
        <v>2091079.0056667023</v>
      </c>
      <c r="M231" s="309">
        <f t="shared" si="26"/>
        <v>2021165.7059005233</v>
      </c>
      <c r="N231" s="308">
        <v>0.29078014184397161</v>
      </c>
      <c r="O231" s="462">
        <v>0.70921985815602839</v>
      </c>
      <c r="P231" s="463">
        <v>0</v>
      </c>
      <c r="Q231" s="309">
        <f t="shared" si="27"/>
        <v>587714.8506519252</v>
      </c>
      <c r="R231" s="311">
        <f t="shared" si="28"/>
        <v>1433450.8552485981</v>
      </c>
      <c r="S231" s="312">
        <f t="shared" si="29"/>
        <v>0</v>
      </c>
      <c r="T231" s="309">
        <f t="shared" si="30"/>
        <v>587714.8506519252</v>
      </c>
      <c r="U231" s="311">
        <f t="shared" si="31"/>
        <v>0</v>
      </c>
      <c r="V231" s="464">
        <f t="shared" si="32"/>
        <v>1433450.8552485981</v>
      </c>
      <c r="W231" s="311">
        <f t="shared" si="33"/>
        <v>0</v>
      </c>
      <c r="X231" s="321"/>
      <c r="Y231" s="321"/>
      <c r="Z231" s="321"/>
      <c r="AA231" s="321"/>
      <c r="AE231" s="436"/>
      <c r="AF231" s="436"/>
      <c r="AG231" s="436"/>
    </row>
    <row r="232" spans="1:33">
      <c r="A232" s="459" t="s">
        <v>2382</v>
      </c>
      <c r="B232" s="460"/>
      <c r="C232" s="461">
        <v>14769842.25</v>
      </c>
      <c r="D232" s="461">
        <v>-5604123.9800000004</v>
      </c>
      <c r="E232" s="429">
        <v>240</v>
      </c>
      <c r="F232" s="431">
        <v>138</v>
      </c>
      <c r="G232" s="450">
        <v>9165718.2699999996</v>
      </c>
      <c r="H232" s="309">
        <f t="shared" si="26"/>
        <v>8847942.8175790999</v>
      </c>
      <c r="I232" s="309">
        <f t="shared" si="26"/>
        <v>8532690.6149887554</v>
      </c>
      <c r="J232" s="309">
        <f t="shared" si="26"/>
        <v>8238681.7368112439</v>
      </c>
      <c r="K232" s="309">
        <f t="shared" si="26"/>
        <v>7963229.0043305876</v>
      </c>
      <c r="L232" s="309">
        <f t="shared" si="26"/>
        <v>7696985.7801493043</v>
      </c>
      <c r="M232" s="309">
        <f t="shared" si="26"/>
        <v>7439644.152843345</v>
      </c>
      <c r="N232" s="308">
        <v>0</v>
      </c>
      <c r="O232" s="462">
        <v>0</v>
      </c>
      <c r="P232" s="463">
        <v>1</v>
      </c>
      <c r="Q232" s="309">
        <f t="shared" si="27"/>
        <v>0</v>
      </c>
      <c r="R232" s="311">
        <f t="shared" si="28"/>
        <v>0</v>
      </c>
      <c r="S232" s="312">
        <f t="shared" si="29"/>
        <v>7439644.152843345</v>
      </c>
      <c r="T232" s="309">
        <f t="shared" si="30"/>
        <v>0</v>
      </c>
      <c r="U232" s="311">
        <f t="shared" si="31"/>
        <v>7439644.152843345</v>
      </c>
      <c r="V232" s="464">
        <f t="shared" si="32"/>
        <v>0</v>
      </c>
      <c r="W232" s="311">
        <f t="shared" si="33"/>
        <v>0</v>
      </c>
      <c r="X232" s="321"/>
      <c r="Y232" s="321"/>
      <c r="Z232" s="321"/>
      <c r="AA232" s="321"/>
      <c r="AE232" s="436"/>
      <c r="AF232" s="436"/>
      <c r="AG232" s="436"/>
    </row>
    <row r="233" spans="1:33">
      <c r="A233" s="459" t="s">
        <v>2383</v>
      </c>
      <c r="B233" s="460"/>
      <c r="C233" s="461">
        <v>741313.83</v>
      </c>
      <c r="D233" s="461">
        <v>-585844.69999999995</v>
      </c>
      <c r="E233" s="429">
        <v>138</v>
      </c>
      <c r="F233" s="431">
        <v>25</v>
      </c>
      <c r="G233" s="450">
        <v>155469.13</v>
      </c>
      <c r="H233" s="309">
        <f t="shared" si="26"/>
        <v>150079.01526290001</v>
      </c>
      <c r="I233" s="309">
        <f t="shared" si="26"/>
        <v>144731.69994908286</v>
      </c>
      <c r="J233" s="309">
        <f t="shared" si="26"/>
        <v>139744.71440621023</v>
      </c>
      <c r="K233" s="309">
        <f t="shared" si="26"/>
        <v>135072.47864536892</v>
      </c>
      <c r="L233" s="309">
        <f t="shared" si="26"/>
        <v>130556.45478204117</v>
      </c>
      <c r="M233" s="309">
        <f t="shared" si="26"/>
        <v>126191.42001537235</v>
      </c>
      <c r="N233" s="308">
        <v>0</v>
      </c>
      <c r="O233" s="462">
        <v>1</v>
      </c>
      <c r="P233" s="463">
        <v>0</v>
      </c>
      <c r="Q233" s="309">
        <f t="shared" si="27"/>
        <v>0</v>
      </c>
      <c r="R233" s="311">
        <f t="shared" si="28"/>
        <v>126191.42001537235</v>
      </c>
      <c r="S233" s="312">
        <f t="shared" si="29"/>
        <v>0</v>
      </c>
      <c r="T233" s="309">
        <f t="shared" si="30"/>
        <v>0</v>
      </c>
      <c r="U233" s="311">
        <f t="shared" si="31"/>
        <v>0</v>
      </c>
      <c r="V233" s="464">
        <f t="shared" si="32"/>
        <v>126191.42001537235</v>
      </c>
      <c r="W233" s="311">
        <f t="shared" si="33"/>
        <v>0</v>
      </c>
      <c r="X233" s="321"/>
      <c r="Y233" s="321"/>
      <c r="Z233" s="321"/>
      <c r="AA233" s="321"/>
      <c r="AE233" s="436"/>
      <c r="AF233" s="436"/>
      <c r="AG233" s="436"/>
    </row>
    <row r="234" spans="1:33">
      <c r="A234" s="459" t="s">
        <v>2384</v>
      </c>
      <c r="B234" s="460"/>
      <c r="C234" s="461">
        <v>1271362.5</v>
      </c>
      <c r="D234" s="461">
        <v>-875031.39</v>
      </c>
      <c r="E234" s="429">
        <v>138</v>
      </c>
      <c r="F234" s="431">
        <v>4.2</v>
      </c>
      <c r="G234" s="450">
        <v>396331.11</v>
      </c>
      <c r="H234" s="309">
        <f t="shared" si="26"/>
        <v>382590.31041629997</v>
      </c>
      <c r="I234" s="309">
        <f t="shared" si="26"/>
        <v>368958.61765616719</v>
      </c>
      <c r="J234" s="309">
        <f t="shared" si="26"/>
        <v>356245.49887972156</v>
      </c>
      <c r="K234" s="309">
        <f t="shared" si="26"/>
        <v>344334.75888088113</v>
      </c>
      <c r="L234" s="309">
        <f t="shared" si="26"/>
        <v>332822.24349895818</v>
      </c>
      <c r="M234" s="309">
        <f t="shared" si="26"/>
        <v>321694.63846082328</v>
      </c>
      <c r="N234" s="308">
        <v>0</v>
      </c>
      <c r="O234" s="462">
        <v>1</v>
      </c>
      <c r="P234" s="463">
        <v>0</v>
      </c>
      <c r="Q234" s="309">
        <f t="shared" si="27"/>
        <v>0</v>
      </c>
      <c r="R234" s="311">
        <f t="shared" si="28"/>
        <v>321694.63846082328</v>
      </c>
      <c r="S234" s="312">
        <f t="shared" si="29"/>
        <v>0</v>
      </c>
      <c r="T234" s="309">
        <f t="shared" si="30"/>
        <v>0</v>
      </c>
      <c r="U234" s="311">
        <f t="shared" si="31"/>
        <v>0</v>
      </c>
      <c r="V234" s="464">
        <f t="shared" si="32"/>
        <v>321694.63846082328</v>
      </c>
      <c r="W234" s="311">
        <f t="shared" si="33"/>
        <v>0</v>
      </c>
      <c r="X234" s="321"/>
      <c r="Y234" s="321"/>
      <c r="Z234" s="321"/>
      <c r="AA234" s="321"/>
      <c r="AE234" s="436"/>
      <c r="AF234" s="436"/>
      <c r="AG234" s="436"/>
    </row>
    <row r="235" spans="1:33">
      <c r="A235" s="459" t="s">
        <v>2385</v>
      </c>
      <c r="B235" s="460"/>
      <c r="C235" s="461">
        <v>1254787.76</v>
      </c>
      <c r="D235" s="461">
        <v>-755331.44</v>
      </c>
      <c r="E235" s="429">
        <v>138</v>
      </c>
      <c r="F235" s="431">
        <v>4.2</v>
      </c>
      <c r="G235" s="450">
        <v>499456.32</v>
      </c>
      <c r="H235" s="309">
        <f t="shared" si="26"/>
        <v>482140.16938560002</v>
      </c>
      <c r="I235" s="309">
        <f t="shared" si="26"/>
        <v>464961.51515039103</v>
      </c>
      <c r="J235" s="309">
        <f t="shared" si="26"/>
        <v>448940.44751377165</v>
      </c>
      <c r="K235" s="309">
        <f t="shared" si="26"/>
        <v>433930.53731949581</v>
      </c>
      <c r="L235" s="309">
        <f t="shared" si="26"/>
        <v>419422.46964194556</v>
      </c>
      <c r="M235" s="309">
        <f t="shared" si="26"/>
        <v>405399.4658389882</v>
      </c>
      <c r="N235" s="308">
        <v>0</v>
      </c>
      <c r="O235" s="462">
        <v>1</v>
      </c>
      <c r="P235" s="463">
        <v>0</v>
      </c>
      <c r="Q235" s="309">
        <f t="shared" si="27"/>
        <v>0</v>
      </c>
      <c r="R235" s="311">
        <f t="shared" si="28"/>
        <v>405399.4658389882</v>
      </c>
      <c r="S235" s="312">
        <f t="shared" si="29"/>
        <v>0</v>
      </c>
      <c r="T235" s="309">
        <f t="shared" si="30"/>
        <v>0</v>
      </c>
      <c r="U235" s="311">
        <f t="shared" si="31"/>
        <v>0</v>
      </c>
      <c r="V235" s="464">
        <f t="shared" si="32"/>
        <v>405399.4658389882</v>
      </c>
      <c r="W235" s="311">
        <f t="shared" si="33"/>
        <v>0</v>
      </c>
      <c r="X235" s="321"/>
      <c r="Y235" s="321"/>
      <c r="Z235" s="321"/>
      <c r="AA235" s="321"/>
      <c r="AE235" s="436"/>
      <c r="AF235" s="436"/>
      <c r="AG235" s="436"/>
    </row>
    <row r="236" spans="1:33">
      <c r="A236" s="459" t="s">
        <v>2386</v>
      </c>
      <c r="B236" s="460"/>
      <c r="C236" s="461">
        <v>3414770.7</v>
      </c>
      <c r="D236" s="461">
        <v>-1182266.73</v>
      </c>
      <c r="E236" s="429">
        <v>138</v>
      </c>
      <c r="F236" s="431">
        <v>4.0999999999999996</v>
      </c>
      <c r="G236" s="450">
        <v>2232503.9700000002</v>
      </c>
      <c r="H236" s="309">
        <f t="shared" si="26"/>
        <v>2155103.0573601001</v>
      </c>
      <c r="I236" s="309">
        <f t="shared" si="26"/>
        <v>2078316.7354263596</v>
      </c>
      <c r="J236" s="309">
        <f t="shared" si="26"/>
        <v>2006704.6731295181</v>
      </c>
      <c r="K236" s="309">
        <f t="shared" si="26"/>
        <v>1939612.3514264624</v>
      </c>
      <c r="L236" s="309">
        <f t="shared" si="26"/>
        <v>1874763.1996784983</v>
      </c>
      <c r="M236" s="309">
        <f t="shared" si="26"/>
        <v>1812082.2195651075</v>
      </c>
      <c r="N236" s="308">
        <v>0.9419152276295133</v>
      </c>
      <c r="O236" s="462">
        <v>5.8084772370486655E-2</v>
      </c>
      <c r="P236" s="463">
        <v>0</v>
      </c>
      <c r="Q236" s="309">
        <f t="shared" si="27"/>
        <v>1706827.836325062</v>
      </c>
      <c r="R236" s="311">
        <f t="shared" si="28"/>
        <v>105254.38324004548</v>
      </c>
      <c r="S236" s="312">
        <f t="shared" si="29"/>
        <v>0</v>
      </c>
      <c r="T236" s="309">
        <f t="shared" si="30"/>
        <v>1706827.836325062</v>
      </c>
      <c r="U236" s="311">
        <f t="shared" si="31"/>
        <v>0</v>
      </c>
      <c r="V236" s="464">
        <f t="shared" si="32"/>
        <v>105254.38324004548</v>
      </c>
      <c r="W236" s="311">
        <f t="shared" si="33"/>
        <v>0</v>
      </c>
      <c r="X236" s="321"/>
      <c r="Y236" s="321"/>
      <c r="Z236" s="321"/>
      <c r="AA236" s="321"/>
      <c r="AE236" s="436"/>
      <c r="AF236" s="436"/>
      <c r="AG236" s="436"/>
    </row>
    <row r="237" spans="1:33">
      <c r="A237" s="459" t="s">
        <v>2387</v>
      </c>
      <c r="B237" s="460"/>
      <c r="C237" s="461">
        <v>7864408.2300000004</v>
      </c>
      <c r="D237" s="461">
        <v>-1559066.36</v>
      </c>
      <c r="E237" s="429">
        <v>138</v>
      </c>
      <c r="F237" s="431">
        <v>25</v>
      </c>
      <c r="G237" s="450">
        <v>6305341.8700000001</v>
      </c>
      <c r="H237" s="309">
        <f t="shared" si="26"/>
        <v>6086735.6673670998</v>
      </c>
      <c r="I237" s="309">
        <f t="shared" si="26"/>
        <v>5869865.2755388096</v>
      </c>
      <c r="J237" s="309">
        <f t="shared" si="26"/>
        <v>5667608.7327218559</v>
      </c>
      <c r="K237" s="309">
        <f t="shared" ref="H237:M279" si="34">+$G237*(K$3)</f>
        <v>5478117.4570625406</v>
      </c>
      <c r="L237" s="309">
        <f t="shared" si="34"/>
        <v>5294961.647601462</v>
      </c>
      <c r="M237" s="309">
        <f t="shared" si="34"/>
        <v>5117929.483863988</v>
      </c>
      <c r="N237" s="308">
        <v>0</v>
      </c>
      <c r="O237" s="462">
        <v>1</v>
      </c>
      <c r="P237" s="463">
        <v>0</v>
      </c>
      <c r="Q237" s="309">
        <f t="shared" si="27"/>
        <v>0</v>
      </c>
      <c r="R237" s="311">
        <f t="shared" si="28"/>
        <v>5117929.483863988</v>
      </c>
      <c r="S237" s="312">
        <f t="shared" si="29"/>
        <v>0</v>
      </c>
      <c r="T237" s="309">
        <f t="shared" si="30"/>
        <v>0</v>
      </c>
      <c r="U237" s="311">
        <f t="shared" si="31"/>
        <v>0</v>
      </c>
      <c r="V237" s="464">
        <f t="shared" si="32"/>
        <v>5117929.483863988</v>
      </c>
      <c r="W237" s="311">
        <f t="shared" si="33"/>
        <v>0</v>
      </c>
      <c r="X237" s="321"/>
      <c r="Y237" s="321"/>
      <c r="Z237" s="321"/>
      <c r="AA237" s="321"/>
      <c r="AE237" s="436"/>
      <c r="AF237" s="436"/>
      <c r="AG237" s="436"/>
    </row>
    <row r="238" spans="1:33">
      <c r="A238" s="459" t="s">
        <v>2388</v>
      </c>
      <c r="B238" s="460"/>
      <c r="C238" s="461">
        <v>8310470.4199999999</v>
      </c>
      <c r="D238" s="461">
        <v>-2256831.9700000002</v>
      </c>
      <c r="E238" s="429">
        <v>138</v>
      </c>
      <c r="F238" s="431">
        <v>25</v>
      </c>
      <c r="G238" s="450">
        <v>6053638.4500000002</v>
      </c>
      <c r="H238" s="309">
        <f t="shared" si="34"/>
        <v>5843758.8049385007</v>
      </c>
      <c r="I238" s="309">
        <f t="shared" si="34"/>
        <v>5635545.6787185408</v>
      </c>
      <c r="J238" s="309">
        <f t="shared" si="34"/>
        <v>5441363.030163629</v>
      </c>
      <c r="K238" s="309">
        <f t="shared" si="34"/>
        <v>5259436.07109919</v>
      </c>
      <c r="L238" s="309">
        <f t="shared" si="34"/>
        <v>5083591.6722776461</v>
      </c>
      <c r="M238" s="309">
        <f t="shared" si="34"/>
        <v>4913626.4689019462</v>
      </c>
      <c r="N238" s="308">
        <v>0</v>
      </c>
      <c r="O238" s="462">
        <v>1</v>
      </c>
      <c r="P238" s="463">
        <v>0</v>
      </c>
      <c r="Q238" s="309">
        <f t="shared" si="27"/>
        <v>0</v>
      </c>
      <c r="R238" s="311">
        <f t="shared" si="28"/>
        <v>4913626.4689019462</v>
      </c>
      <c r="S238" s="312">
        <f t="shared" si="29"/>
        <v>0</v>
      </c>
      <c r="T238" s="309">
        <f t="shared" si="30"/>
        <v>0</v>
      </c>
      <c r="U238" s="311">
        <f t="shared" si="31"/>
        <v>0</v>
      </c>
      <c r="V238" s="464">
        <f t="shared" si="32"/>
        <v>4913626.4689019462</v>
      </c>
      <c r="W238" s="311">
        <f t="shared" si="33"/>
        <v>0</v>
      </c>
      <c r="X238" s="321"/>
      <c r="Y238" s="321"/>
      <c r="Z238" s="321"/>
      <c r="AA238" s="321"/>
      <c r="AE238" s="436"/>
      <c r="AF238" s="436"/>
      <c r="AG238" s="436"/>
    </row>
    <row r="239" spans="1:33">
      <c r="A239" s="459" t="s">
        <v>2389</v>
      </c>
      <c r="B239" s="460"/>
      <c r="C239" s="461">
        <v>15711992.09</v>
      </c>
      <c r="D239" s="461">
        <v>-1010882.03</v>
      </c>
      <c r="E239" s="429">
        <v>138</v>
      </c>
      <c r="F239" s="431">
        <v>25</v>
      </c>
      <c r="G239" s="450">
        <v>14701110.060000001</v>
      </c>
      <c r="H239" s="309">
        <f t="shared" si="34"/>
        <v>14191422.574219801</v>
      </c>
      <c r="I239" s="309">
        <f t="shared" si="34"/>
        <v>13685782.187900348</v>
      </c>
      <c r="J239" s="309">
        <f t="shared" si="34"/>
        <v>13214214.466813855</v>
      </c>
      <c r="K239" s="309">
        <f t="shared" si="34"/>
        <v>12772409.382123437</v>
      </c>
      <c r="L239" s="309">
        <f t="shared" si="34"/>
        <v>12345375.643346049</v>
      </c>
      <c r="M239" s="309">
        <f t="shared" si="34"/>
        <v>11932619.384141892</v>
      </c>
      <c r="N239" s="308">
        <v>0</v>
      </c>
      <c r="O239" s="462">
        <v>1</v>
      </c>
      <c r="P239" s="463">
        <v>0</v>
      </c>
      <c r="Q239" s="309">
        <f t="shared" si="27"/>
        <v>0</v>
      </c>
      <c r="R239" s="311">
        <f t="shared" si="28"/>
        <v>11932619.384141892</v>
      </c>
      <c r="S239" s="312">
        <f t="shared" si="29"/>
        <v>0</v>
      </c>
      <c r="T239" s="309">
        <f t="shared" si="30"/>
        <v>0</v>
      </c>
      <c r="U239" s="311">
        <f t="shared" si="31"/>
        <v>0</v>
      </c>
      <c r="V239" s="464">
        <f t="shared" si="32"/>
        <v>11932619.384141892</v>
      </c>
      <c r="W239" s="311">
        <f t="shared" si="33"/>
        <v>0</v>
      </c>
      <c r="X239" s="321"/>
      <c r="Y239" s="321"/>
      <c r="Z239" s="321"/>
      <c r="AA239" s="321"/>
      <c r="AE239" s="436"/>
      <c r="AF239" s="436"/>
      <c r="AG239" s="436"/>
    </row>
    <row r="240" spans="1:33">
      <c r="A240" s="459" t="s">
        <v>2390</v>
      </c>
      <c r="B240" s="460"/>
      <c r="C240" s="461">
        <v>683643.74</v>
      </c>
      <c r="D240" s="461">
        <v>-513863.1</v>
      </c>
      <c r="E240" s="429">
        <v>138</v>
      </c>
      <c r="F240" s="431">
        <v>69</v>
      </c>
      <c r="G240" s="450">
        <v>169780.64</v>
      </c>
      <c r="H240" s="309">
        <f t="shared" si="34"/>
        <v>163894.34521120001</v>
      </c>
      <c r="I240" s="309">
        <f t="shared" si="34"/>
        <v>158054.78969132496</v>
      </c>
      <c r="J240" s="309">
        <f t="shared" si="34"/>
        <v>152608.73363415356</v>
      </c>
      <c r="K240" s="309">
        <f t="shared" si="34"/>
        <v>147506.40124375219</v>
      </c>
      <c r="L240" s="309">
        <f t="shared" si="34"/>
        <v>142574.66063536867</v>
      </c>
      <c r="M240" s="309">
        <f t="shared" si="34"/>
        <v>137807.80822996004</v>
      </c>
      <c r="N240" s="308">
        <v>0</v>
      </c>
      <c r="O240" s="462">
        <v>0</v>
      </c>
      <c r="P240" s="463">
        <v>1</v>
      </c>
      <c r="Q240" s="309">
        <f t="shared" si="27"/>
        <v>0</v>
      </c>
      <c r="R240" s="311">
        <f t="shared" si="28"/>
        <v>0</v>
      </c>
      <c r="S240" s="312">
        <f t="shared" si="29"/>
        <v>137807.80822996004</v>
      </c>
      <c r="T240" s="309">
        <f t="shared" si="30"/>
        <v>0</v>
      </c>
      <c r="U240" s="311">
        <f t="shared" si="31"/>
        <v>137807.80822996004</v>
      </c>
      <c r="V240" s="464">
        <f t="shared" si="32"/>
        <v>0</v>
      </c>
      <c r="W240" s="311">
        <f t="shared" si="33"/>
        <v>0</v>
      </c>
      <c r="X240" s="321"/>
      <c r="Y240" s="321"/>
      <c r="Z240" s="321"/>
      <c r="AA240" s="321"/>
      <c r="AE240" s="436"/>
      <c r="AF240" s="436"/>
      <c r="AG240" s="436"/>
    </row>
    <row r="241" spans="1:33">
      <c r="A241" s="459" t="s">
        <v>2391</v>
      </c>
      <c r="B241" s="460"/>
      <c r="C241" s="461">
        <v>8380515.8700000001</v>
      </c>
      <c r="D241" s="461">
        <v>-3280388.72</v>
      </c>
      <c r="E241" s="429">
        <v>138</v>
      </c>
      <c r="F241" s="431">
        <v>25</v>
      </c>
      <c r="G241" s="450">
        <v>5100127.1500000004</v>
      </c>
      <c r="H241" s="309">
        <f t="shared" si="34"/>
        <v>4923305.7417095006</v>
      </c>
      <c r="I241" s="309">
        <f t="shared" si="34"/>
        <v>4747888.3581323903</v>
      </c>
      <c r="J241" s="309">
        <f t="shared" si="34"/>
        <v>4584291.5054075941</v>
      </c>
      <c r="K241" s="309">
        <f t="shared" si="34"/>
        <v>4431019.9430397619</v>
      </c>
      <c r="L241" s="309">
        <f t="shared" si="34"/>
        <v>4282872.8741302891</v>
      </c>
      <c r="M241" s="309">
        <f t="shared" si="34"/>
        <v>4139678.9659622712</v>
      </c>
      <c r="N241" s="308">
        <v>0.82474226804123707</v>
      </c>
      <c r="O241" s="462">
        <v>0.17525773195876287</v>
      </c>
      <c r="P241" s="463">
        <v>0</v>
      </c>
      <c r="Q241" s="309">
        <f t="shared" si="27"/>
        <v>3414168.2193503268</v>
      </c>
      <c r="R241" s="311">
        <f t="shared" si="28"/>
        <v>725510.7466119444</v>
      </c>
      <c r="S241" s="312">
        <f t="shared" si="29"/>
        <v>0</v>
      </c>
      <c r="T241" s="309">
        <f t="shared" si="30"/>
        <v>3414168.2193503268</v>
      </c>
      <c r="U241" s="311">
        <f t="shared" si="31"/>
        <v>0</v>
      </c>
      <c r="V241" s="464">
        <f t="shared" si="32"/>
        <v>725510.7466119444</v>
      </c>
      <c r="W241" s="311">
        <f t="shared" si="33"/>
        <v>0</v>
      </c>
      <c r="X241" s="321"/>
      <c r="Y241" s="321"/>
      <c r="Z241" s="321"/>
      <c r="AA241" s="321"/>
      <c r="AE241" s="436"/>
      <c r="AF241" s="436"/>
      <c r="AG241" s="436"/>
    </row>
    <row r="242" spans="1:33">
      <c r="A242" s="459" t="s">
        <v>2392</v>
      </c>
      <c r="B242" s="460"/>
      <c r="C242" s="461">
        <v>1349635.68</v>
      </c>
      <c r="D242" s="461">
        <v>-640235.54</v>
      </c>
      <c r="E242" s="429">
        <v>138</v>
      </c>
      <c r="F242" s="431">
        <v>25</v>
      </c>
      <c r="G242" s="450">
        <v>709400.14</v>
      </c>
      <c r="H242" s="309">
        <f t="shared" si="34"/>
        <v>684805.23714620003</v>
      </c>
      <c r="I242" s="309">
        <f t="shared" si="34"/>
        <v>660405.62654668081</v>
      </c>
      <c r="J242" s="309">
        <f t="shared" si="34"/>
        <v>637650.1879442276</v>
      </c>
      <c r="K242" s="309">
        <f t="shared" si="34"/>
        <v>616330.94146195916</v>
      </c>
      <c r="L242" s="309">
        <f t="shared" si="34"/>
        <v>595724.48434157751</v>
      </c>
      <c r="M242" s="309">
        <f t="shared" si="34"/>
        <v>575806.98512755521</v>
      </c>
      <c r="N242" s="308">
        <v>0</v>
      </c>
      <c r="O242" s="462">
        <v>1</v>
      </c>
      <c r="P242" s="463">
        <v>0</v>
      </c>
      <c r="Q242" s="309">
        <f t="shared" si="27"/>
        <v>0</v>
      </c>
      <c r="R242" s="311">
        <f t="shared" si="28"/>
        <v>575806.98512755521</v>
      </c>
      <c r="S242" s="312">
        <f t="shared" si="29"/>
        <v>0</v>
      </c>
      <c r="T242" s="309">
        <f t="shared" si="30"/>
        <v>0</v>
      </c>
      <c r="U242" s="311">
        <f t="shared" si="31"/>
        <v>0</v>
      </c>
      <c r="V242" s="464">
        <f t="shared" si="32"/>
        <v>575806.98512755521</v>
      </c>
      <c r="W242" s="311">
        <f t="shared" si="33"/>
        <v>0</v>
      </c>
      <c r="X242" s="321"/>
      <c r="Y242" s="321"/>
      <c r="Z242" s="321"/>
      <c r="AA242" s="321"/>
      <c r="AE242" s="436"/>
      <c r="AF242" s="436"/>
      <c r="AG242" s="436"/>
    </row>
    <row r="243" spans="1:33">
      <c r="A243" s="459" t="s">
        <v>2393</v>
      </c>
      <c r="B243" s="460"/>
      <c r="C243" s="461">
        <v>4162431.89</v>
      </c>
      <c r="D243" s="461">
        <v>-1394884.67</v>
      </c>
      <c r="E243" s="429">
        <v>138</v>
      </c>
      <c r="F243" s="431">
        <v>25</v>
      </c>
      <c r="G243" s="450">
        <v>2767547.22</v>
      </c>
      <c r="H243" s="309">
        <f t="shared" si="34"/>
        <v>2671596.3578826003</v>
      </c>
      <c r="I243" s="309">
        <f t="shared" si="34"/>
        <v>2576407.3796512429</v>
      </c>
      <c r="J243" s="309">
        <f t="shared" si="34"/>
        <v>2487632.7272468884</v>
      </c>
      <c r="K243" s="309">
        <f t="shared" si="34"/>
        <v>2404461.0191971883</v>
      </c>
      <c r="L243" s="309">
        <f t="shared" si="34"/>
        <v>2324070.0805690093</v>
      </c>
      <c r="M243" s="309">
        <f t="shared" si="34"/>
        <v>2246366.9388990346</v>
      </c>
      <c r="N243" s="308">
        <v>0</v>
      </c>
      <c r="O243" s="462">
        <v>1</v>
      </c>
      <c r="P243" s="463">
        <v>0</v>
      </c>
      <c r="Q243" s="309">
        <f t="shared" si="27"/>
        <v>0</v>
      </c>
      <c r="R243" s="311">
        <f t="shared" si="28"/>
        <v>2246366.9388990346</v>
      </c>
      <c r="S243" s="312">
        <f t="shared" si="29"/>
        <v>0</v>
      </c>
      <c r="T243" s="309">
        <f t="shared" si="30"/>
        <v>0</v>
      </c>
      <c r="U243" s="311">
        <f t="shared" si="31"/>
        <v>0</v>
      </c>
      <c r="V243" s="464">
        <f t="shared" si="32"/>
        <v>2246366.9388990346</v>
      </c>
      <c r="W243" s="311">
        <f t="shared" si="33"/>
        <v>0</v>
      </c>
      <c r="X243" s="321"/>
      <c r="Y243" s="321"/>
      <c r="Z243" s="321"/>
      <c r="AA243" s="321"/>
      <c r="AE243" s="436"/>
      <c r="AF243" s="436"/>
      <c r="AG243" s="436"/>
    </row>
    <row r="244" spans="1:33">
      <c r="A244" s="459" t="s">
        <v>2394</v>
      </c>
      <c r="B244" s="460"/>
      <c r="C244" s="461">
        <v>4990259.87</v>
      </c>
      <c r="D244" s="461">
        <v>-1640994.76</v>
      </c>
      <c r="E244" s="429">
        <v>138</v>
      </c>
      <c r="F244" s="431">
        <v>25</v>
      </c>
      <c r="G244" s="450">
        <v>3349265.11</v>
      </c>
      <c r="H244" s="309">
        <f t="shared" si="34"/>
        <v>3233146.0886363001</v>
      </c>
      <c r="I244" s="309">
        <f t="shared" si="34"/>
        <v>3117949.0934981881</v>
      </c>
      <c r="J244" s="309">
        <f t="shared" si="34"/>
        <v>3010514.6678805896</v>
      </c>
      <c r="K244" s="309">
        <f t="shared" si="34"/>
        <v>2909860.8839462483</v>
      </c>
      <c r="L244" s="309">
        <f t="shared" si="34"/>
        <v>2812572.3665320771</v>
      </c>
      <c r="M244" s="309">
        <f t="shared" si="34"/>
        <v>2718536.6010528407</v>
      </c>
      <c r="N244" s="308">
        <v>0</v>
      </c>
      <c r="O244" s="462">
        <v>1</v>
      </c>
      <c r="P244" s="463">
        <v>0</v>
      </c>
      <c r="Q244" s="309">
        <f t="shared" si="27"/>
        <v>0</v>
      </c>
      <c r="R244" s="311">
        <f t="shared" si="28"/>
        <v>2718536.6010528407</v>
      </c>
      <c r="S244" s="312">
        <f t="shared" si="29"/>
        <v>0</v>
      </c>
      <c r="T244" s="309">
        <f t="shared" si="30"/>
        <v>0</v>
      </c>
      <c r="U244" s="311">
        <f t="shared" si="31"/>
        <v>0</v>
      </c>
      <c r="V244" s="464">
        <f t="shared" si="32"/>
        <v>2718536.6010528407</v>
      </c>
      <c r="W244" s="311">
        <f t="shared" si="33"/>
        <v>0</v>
      </c>
      <c r="X244" s="321"/>
      <c r="Y244" s="321"/>
      <c r="Z244" s="321"/>
      <c r="AA244" s="321"/>
      <c r="AE244" s="436"/>
      <c r="AF244" s="436"/>
      <c r="AG244" s="436"/>
    </row>
    <row r="245" spans="1:33">
      <c r="A245" s="459" t="s">
        <v>2395</v>
      </c>
      <c r="B245" s="460"/>
      <c r="C245" s="461">
        <v>3612889.55</v>
      </c>
      <c r="D245" s="461">
        <v>-2018752.22</v>
      </c>
      <c r="E245" s="429">
        <v>138</v>
      </c>
      <c r="F245" s="431">
        <v>25</v>
      </c>
      <c r="G245" s="450">
        <v>1594137.33</v>
      </c>
      <c r="H245" s="309">
        <f t="shared" si="34"/>
        <v>1538868.5887689001</v>
      </c>
      <c r="I245" s="309">
        <f t="shared" si="34"/>
        <v>1484038.700951064</v>
      </c>
      <c r="J245" s="309">
        <f t="shared" si="34"/>
        <v>1432903.5346446494</v>
      </c>
      <c r="K245" s="309">
        <f t="shared" si="34"/>
        <v>1384995.7252877818</v>
      </c>
      <c r="L245" s="309">
        <f t="shared" si="34"/>
        <v>1338689.6693929455</v>
      </c>
      <c r="M245" s="309">
        <f t="shared" si="34"/>
        <v>1293931.8138090451</v>
      </c>
      <c r="N245" s="308">
        <v>0</v>
      </c>
      <c r="O245" s="462">
        <v>1</v>
      </c>
      <c r="P245" s="463">
        <v>0</v>
      </c>
      <c r="Q245" s="309">
        <f t="shared" si="27"/>
        <v>0</v>
      </c>
      <c r="R245" s="311">
        <f t="shared" si="28"/>
        <v>1293931.8138090451</v>
      </c>
      <c r="S245" s="312">
        <f t="shared" si="29"/>
        <v>0</v>
      </c>
      <c r="T245" s="309">
        <f t="shared" si="30"/>
        <v>0</v>
      </c>
      <c r="U245" s="311">
        <f t="shared" si="31"/>
        <v>0</v>
      </c>
      <c r="V245" s="464">
        <f t="shared" si="32"/>
        <v>1293931.8138090451</v>
      </c>
      <c r="W245" s="311">
        <f t="shared" si="33"/>
        <v>0</v>
      </c>
      <c r="X245" s="321"/>
      <c r="Y245" s="321"/>
      <c r="Z245" s="321"/>
      <c r="AA245" s="321"/>
      <c r="AE245" s="436"/>
      <c r="AF245" s="436"/>
      <c r="AG245" s="436"/>
    </row>
    <row r="246" spans="1:33">
      <c r="A246" s="459" t="s">
        <v>2396</v>
      </c>
      <c r="B246" s="460"/>
      <c r="C246" s="461">
        <v>6069517.9199999999</v>
      </c>
      <c r="D246" s="461">
        <v>-1423554.06</v>
      </c>
      <c r="E246" s="429">
        <v>138</v>
      </c>
      <c r="F246" s="431">
        <v>25</v>
      </c>
      <c r="G246" s="450">
        <v>4645963.8600000003</v>
      </c>
      <c r="H246" s="309">
        <f t="shared" si="34"/>
        <v>4484888.2929738006</v>
      </c>
      <c r="I246" s="309">
        <f t="shared" si="34"/>
        <v>4325091.7230951432</v>
      </c>
      <c r="J246" s="309">
        <f t="shared" si="34"/>
        <v>4176063.0728252875</v>
      </c>
      <c r="K246" s="309">
        <f t="shared" si="34"/>
        <v>4036440.2519458737</v>
      </c>
      <c r="L246" s="309">
        <f t="shared" si="34"/>
        <v>3901485.5914295493</v>
      </c>
      <c r="M246" s="309">
        <f t="shared" si="34"/>
        <v>3771043.0156359696</v>
      </c>
      <c r="N246" s="308">
        <v>0</v>
      </c>
      <c r="O246" s="462">
        <v>1</v>
      </c>
      <c r="P246" s="463">
        <v>0</v>
      </c>
      <c r="Q246" s="309">
        <f t="shared" si="27"/>
        <v>0</v>
      </c>
      <c r="R246" s="311">
        <f t="shared" si="28"/>
        <v>3771043.0156359696</v>
      </c>
      <c r="S246" s="312">
        <f t="shared" si="29"/>
        <v>0</v>
      </c>
      <c r="T246" s="309">
        <f t="shared" si="30"/>
        <v>0</v>
      </c>
      <c r="U246" s="311">
        <f t="shared" si="31"/>
        <v>0</v>
      </c>
      <c r="V246" s="464">
        <f t="shared" si="32"/>
        <v>3771043.0156359696</v>
      </c>
      <c r="W246" s="311">
        <f t="shared" si="33"/>
        <v>0</v>
      </c>
      <c r="X246" s="321"/>
      <c r="Y246" s="321"/>
      <c r="Z246" s="321"/>
      <c r="AA246" s="321"/>
      <c r="AE246" s="436"/>
      <c r="AF246" s="436"/>
      <c r="AG246" s="436"/>
    </row>
    <row r="247" spans="1:33">
      <c r="A247" s="459" t="s">
        <v>2397</v>
      </c>
      <c r="B247" s="460"/>
      <c r="C247" s="461">
        <v>2062668.37</v>
      </c>
      <c r="D247" s="461">
        <v>-1476131.72</v>
      </c>
      <c r="E247" s="429">
        <v>138</v>
      </c>
      <c r="F247" s="431">
        <v>13</v>
      </c>
      <c r="G247" s="450">
        <v>586536.65</v>
      </c>
      <c r="H247" s="309">
        <f t="shared" si="34"/>
        <v>566201.42434450006</v>
      </c>
      <c r="I247" s="309">
        <f t="shared" si="34"/>
        <v>546027.66759510548</v>
      </c>
      <c r="J247" s="309">
        <f t="shared" si="34"/>
        <v>527213.3229472969</v>
      </c>
      <c r="K247" s="309">
        <f t="shared" si="34"/>
        <v>509586.43128607736</v>
      </c>
      <c r="L247" s="309">
        <f t="shared" si="34"/>
        <v>492548.87850555871</v>
      </c>
      <c r="M247" s="309">
        <f t="shared" si="34"/>
        <v>476080.96060330077</v>
      </c>
      <c r="N247" s="308">
        <v>0</v>
      </c>
      <c r="O247" s="462">
        <v>1</v>
      </c>
      <c r="P247" s="463">
        <v>0</v>
      </c>
      <c r="Q247" s="309">
        <f t="shared" si="27"/>
        <v>0</v>
      </c>
      <c r="R247" s="311">
        <f t="shared" si="28"/>
        <v>476080.96060330077</v>
      </c>
      <c r="S247" s="312">
        <f t="shared" si="29"/>
        <v>0</v>
      </c>
      <c r="T247" s="309">
        <f t="shared" si="30"/>
        <v>0</v>
      </c>
      <c r="U247" s="311">
        <f t="shared" si="31"/>
        <v>0</v>
      </c>
      <c r="V247" s="464">
        <f t="shared" si="32"/>
        <v>476080.96060330077</v>
      </c>
      <c r="W247" s="311">
        <f t="shared" si="33"/>
        <v>0</v>
      </c>
      <c r="X247" s="321"/>
      <c r="Y247" s="321"/>
      <c r="Z247" s="321"/>
      <c r="AA247" s="321"/>
      <c r="AE247" s="436"/>
      <c r="AF247" s="436"/>
      <c r="AG247" s="436"/>
    </row>
    <row r="248" spans="1:33">
      <c r="A248" s="459" t="s">
        <v>2398</v>
      </c>
      <c r="B248" s="460"/>
      <c r="C248" s="461">
        <v>2195165.4300000002</v>
      </c>
      <c r="D248" s="461">
        <v>-1411181.47</v>
      </c>
      <c r="E248" s="429">
        <v>138</v>
      </c>
      <c r="F248" s="431">
        <v>25</v>
      </c>
      <c r="G248" s="450">
        <v>783983.96</v>
      </c>
      <c r="H248" s="309">
        <f t="shared" si="34"/>
        <v>756803.23610680003</v>
      </c>
      <c r="I248" s="309">
        <f t="shared" si="34"/>
        <v>729838.33680431463</v>
      </c>
      <c r="J248" s="309">
        <f t="shared" si="34"/>
        <v>704690.47192358854</v>
      </c>
      <c r="K248" s="309">
        <f t="shared" si="34"/>
        <v>681129.79531957093</v>
      </c>
      <c r="L248" s="309">
        <f t="shared" si="34"/>
        <v>658356.84822823387</v>
      </c>
      <c r="M248" s="309">
        <f t="shared" si="34"/>
        <v>636345.29363916081</v>
      </c>
      <c r="N248" s="308">
        <v>0</v>
      </c>
      <c r="O248" s="462">
        <v>1</v>
      </c>
      <c r="P248" s="463">
        <v>0</v>
      </c>
      <c r="Q248" s="309">
        <f t="shared" si="27"/>
        <v>0</v>
      </c>
      <c r="R248" s="311">
        <f t="shared" si="28"/>
        <v>636345.29363916081</v>
      </c>
      <c r="S248" s="312">
        <f t="shared" si="29"/>
        <v>0</v>
      </c>
      <c r="T248" s="309">
        <f t="shared" si="30"/>
        <v>0</v>
      </c>
      <c r="U248" s="311">
        <f t="shared" si="31"/>
        <v>0</v>
      </c>
      <c r="V248" s="464">
        <f t="shared" si="32"/>
        <v>636345.29363916081</v>
      </c>
      <c r="W248" s="311">
        <f t="shared" si="33"/>
        <v>0</v>
      </c>
      <c r="X248" s="321"/>
      <c r="Y248" s="321"/>
      <c r="Z248" s="321"/>
      <c r="AA248" s="321"/>
      <c r="AE248" s="436"/>
      <c r="AF248" s="436"/>
      <c r="AG248" s="436"/>
    </row>
    <row r="249" spans="1:33">
      <c r="A249" s="459" t="s">
        <v>2399</v>
      </c>
      <c r="B249" s="460"/>
      <c r="C249" s="461">
        <v>1939162.79</v>
      </c>
      <c r="D249" s="461">
        <v>-1408315.91</v>
      </c>
      <c r="E249" s="429">
        <v>138</v>
      </c>
      <c r="F249" s="431">
        <v>25</v>
      </c>
      <c r="G249" s="450">
        <v>530846.88</v>
      </c>
      <c r="H249" s="309">
        <f t="shared" si="34"/>
        <v>512442.41867039999</v>
      </c>
      <c r="I249" s="309">
        <f t="shared" si="34"/>
        <v>494184.09529317362</v>
      </c>
      <c r="J249" s="309">
        <f t="shared" si="34"/>
        <v>477156.11220714846</v>
      </c>
      <c r="K249" s="309">
        <f t="shared" si="34"/>
        <v>461202.8372626818</v>
      </c>
      <c r="L249" s="309">
        <f t="shared" si="34"/>
        <v>445782.9453661163</v>
      </c>
      <c r="M249" s="309">
        <f t="shared" si="34"/>
        <v>430878.60334672203</v>
      </c>
      <c r="N249" s="308">
        <v>0</v>
      </c>
      <c r="O249" s="462">
        <v>1</v>
      </c>
      <c r="P249" s="463">
        <v>0</v>
      </c>
      <c r="Q249" s="309">
        <f t="shared" si="27"/>
        <v>0</v>
      </c>
      <c r="R249" s="311">
        <f t="shared" si="28"/>
        <v>430878.60334672203</v>
      </c>
      <c r="S249" s="312">
        <f t="shared" si="29"/>
        <v>0</v>
      </c>
      <c r="T249" s="309">
        <f t="shared" si="30"/>
        <v>0</v>
      </c>
      <c r="U249" s="311">
        <f t="shared" si="31"/>
        <v>0</v>
      </c>
      <c r="V249" s="464">
        <f t="shared" si="32"/>
        <v>430878.60334672203</v>
      </c>
      <c r="W249" s="311">
        <f t="shared" si="33"/>
        <v>0</v>
      </c>
      <c r="X249" s="321"/>
      <c r="Y249" s="321"/>
      <c r="Z249" s="321"/>
      <c r="AA249" s="321"/>
      <c r="AE249" s="436"/>
      <c r="AF249" s="436"/>
      <c r="AG249" s="436"/>
    </row>
    <row r="250" spans="1:33">
      <c r="A250" s="459" t="s">
        <v>2400</v>
      </c>
      <c r="B250" s="460"/>
      <c r="C250" s="461">
        <v>1844725.54</v>
      </c>
      <c r="D250" s="461">
        <v>-996003.57</v>
      </c>
      <c r="E250" s="429">
        <v>138</v>
      </c>
      <c r="F250" s="431">
        <v>4</v>
      </c>
      <c r="G250" s="450">
        <v>848721.97</v>
      </c>
      <c r="H250" s="309">
        <f t="shared" si="34"/>
        <v>819296.77930009994</v>
      </c>
      <c r="I250" s="309">
        <f t="shared" si="34"/>
        <v>790105.2350536373</v>
      </c>
      <c r="J250" s="309">
        <f t="shared" si="34"/>
        <v>762880.76808512479</v>
      </c>
      <c r="K250" s="309">
        <f t="shared" si="34"/>
        <v>737374.55254737986</v>
      </c>
      <c r="L250" s="309">
        <f t="shared" si="34"/>
        <v>712721.11382388195</v>
      </c>
      <c r="M250" s="309">
        <f t="shared" si="34"/>
        <v>688891.94010762288</v>
      </c>
      <c r="N250" s="308">
        <v>0</v>
      </c>
      <c r="O250" s="462">
        <v>1</v>
      </c>
      <c r="P250" s="463">
        <v>0</v>
      </c>
      <c r="Q250" s="309">
        <f t="shared" si="27"/>
        <v>0</v>
      </c>
      <c r="R250" s="311">
        <f t="shared" si="28"/>
        <v>688891.94010762288</v>
      </c>
      <c r="S250" s="312">
        <f t="shared" si="29"/>
        <v>0</v>
      </c>
      <c r="T250" s="309">
        <f t="shared" si="30"/>
        <v>0</v>
      </c>
      <c r="U250" s="311">
        <f t="shared" si="31"/>
        <v>0</v>
      </c>
      <c r="V250" s="464">
        <f t="shared" si="32"/>
        <v>688891.94010762288</v>
      </c>
      <c r="W250" s="311">
        <f t="shared" si="33"/>
        <v>0</v>
      </c>
      <c r="X250" s="321"/>
      <c r="Y250" s="321"/>
      <c r="Z250" s="321"/>
      <c r="AA250" s="321"/>
      <c r="AE250" s="436"/>
      <c r="AF250" s="436"/>
      <c r="AG250" s="436"/>
    </row>
    <row r="251" spans="1:33">
      <c r="A251" s="459" t="s">
        <v>2401</v>
      </c>
      <c r="B251" s="460"/>
      <c r="C251" s="461">
        <v>7344341.0499999998</v>
      </c>
      <c r="D251" s="461">
        <v>-1188739.67</v>
      </c>
      <c r="E251" s="429">
        <v>138</v>
      </c>
      <c r="F251" s="431">
        <v>25</v>
      </c>
      <c r="G251" s="450">
        <v>6155601.3799999999</v>
      </c>
      <c r="H251" s="309">
        <f t="shared" si="34"/>
        <v>5942186.6801554002</v>
      </c>
      <c r="I251" s="309">
        <f t="shared" si="34"/>
        <v>5730466.5687414622</v>
      </c>
      <c r="J251" s="309">
        <f t="shared" si="34"/>
        <v>5533013.2537988313</v>
      </c>
      <c r="K251" s="309">
        <f t="shared" si="34"/>
        <v>5348022.0539566502</v>
      </c>
      <c r="L251" s="309">
        <f t="shared" si="34"/>
        <v>5169215.8644242762</v>
      </c>
      <c r="M251" s="309">
        <f t="shared" si="34"/>
        <v>4996387.8950810721</v>
      </c>
      <c r="N251" s="308">
        <v>0</v>
      </c>
      <c r="O251" s="462">
        <v>1</v>
      </c>
      <c r="P251" s="463">
        <v>0</v>
      </c>
      <c r="Q251" s="309">
        <f t="shared" si="27"/>
        <v>0</v>
      </c>
      <c r="R251" s="311">
        <f t="shared" si="28"/>
        <v>4996387.8950810721</v>
      </c>
      <c r="S251" s="312">
        <f t="shared" si="29"/>
        <v>0</v>
      </c>
      <c r="T251" s="309">
        <f t="shared" si="30"/>
        <v>0</v>
      </c>
      <c r="U251" s="311">
        <f t="shared" si="31"/>
        <v>0</v>
      </c>
      <c r="V251" s="464">
        <f t="shared" si="32"/>
        <v>4996387.8950810721</v>
      </c>
      <c r="W251" s="311">
        <f t="shared" si="33"/>
        <v>0</v>
      </c>
      <c r="X251" s="321"/>
      <c r="Y251" s="321"/>
      <c r="Z251" s="321"/>
      <c r="AA251" s="321"/>
      <c r="AE251" s="436"/>
      <c r="AF251" s="436"/>
      <c r="AG251" s="436"/>
    </row>
    <row r="252" spans="1:33">
      <c r="A252" s="459" t="s">
        <v>2402</v>
      </c>
      <c r="B252" s="460"/>
      <c r="C252" s="461">
        <v>930404.65</v>
      </c>
      <c r="D252" s="461">
        <v>-572110.16</v>
      </c>
      <c r="E252" s="429">
        <v>138</v>
      </c>
      <c r="F252" s="431">
        <v>13</v>
      </c>
      <c r="G252" s="450">
        <v>358294.49</v>
      </c>
      <c r="H252" s="309">
        <f t="shared" si="34"/>
        <v>345872.42003169999</v>
      </c>
      <c r="I252" s="309">
        <f t="shared" si="34"/>
        <v>333548.9857059705</v>
      </c>
      <c r="J252" s="309">
        <f t="shared" si="34"/>
        <v>322055.9681421562</v>
      </c>
      <c r="K252" s="309">
        <f t="shared" si="34"/>
        <v>311288.32360017934</v>
      </c>
      <c r="L252" s="309">
        <f t="shared" si="34"/>
        <v>300880.68533180509</v>
      </c>
      <c r="M252" s="309">
        <f t="shared" si="34"/>
        <v>290821.01685899717</v>
      </c>
      <c r="N252" s="308">
        <v>0</v>
      </c>
      <c r="O252" s="462">
        <v>1</v>
      </c>
      <c r="P252" s="463">
        <v>0</v>
      </c>
      <c r="Q252" s="309">
        <f t="shared" si="27"/>
        <v>0</v>
      </c>
      <c r="R252" s="311">
        <f t="shared" si="28"/>
        <v>290821.01685899717</v>
      </c>
      <c r="S252" s="312">
        <f t="shared" si="29"/>
        <v>0</v>
      </c>
      <c r="T252" s="309">
        <f t="shared" si="30"/>
        <v>0</v>
      </c>
      <c r="U252" s="311">
        <f t="shared" si="31"/>
        <v>0</v>
      </c>
      <c r="V252" s="464">
        <f t="shared" si="32"/>
        <v>290821.01685899717</v>
      </c>
      <c r="W252" s="311">
        <f t="shared" si="33"/>
        <v>0</v>
      </c>
      <c r="X252" s="321"/>
      <c r="Y252" s="321"/>
      <c r="Z252" s="321"/>
      <c r="AA252" s="321"/>
      <c r="AE252" s="436"/>
      <c r="AF252" s="436"/>
      <c r="AG252" s="436"/>
    </row>
    <row r="253" spans="1:33">
      <c r="A253" s="459" t="s">
        <v>2403</v>
      </c>
      <c r="B253" s="460"/>
      <c r="C253" s="461">
        <v>14681068.33</v>
      </c>
      <c r="D253" s="461">
        <v>-571075</v>
      </c>
      <c r="E253" s="429">
        <v>138</v>
      </c>
      <c r="F253" s="431">
        <v>25</v>
      </c>
      <c r="G253" s="450">
        <v>14109993.33</v>
      </c>
      <c r="H253" s="309">
        <f t="shared" si="34"/>
        <v>13620799.861248901</v>
      </c>
      <c r="I253" s="309">
        <f t="shared" si="34"/>
        <v>13135490.762192601</v>
      </c>
      <c r="J253" s="309">
        <f t="shared" si="34"/>
        <v>12682884.301046653</v>
      </c>
      <c r="K253" s="309">
        <f t="shared" si="34"/>
        <v>12258843.750863744</v>
      </c>
      <c r="L253" s="309">
        <f t="shared" si="34"/>
        <v>11848980.605751429</v>
      </c>
      <c r="M253" s="309">
        <f t="shared" si="34"/>
        <v>11452820.857234694</v>
      </c>
      <c r="N253" s="308">
        <v>0.11235955056179775</v>
      </c>
      <c r="O253" s="462">
        <v>0.88764044943820231</v>
      </c>
      <c r="P253" s="463">
        <v>0</v>
      </c>
      <c r="Q253" s="309">
        <f t="shared" si="27"/>
        <v>1286833.8041836733</v>
      </c>
      <c r="R253" s="311">
        <f t="shared" si="28"/>
        <v>10165987.053051021</v>
      </c>
      <c r="S253" s="312">
        <f t="shared" si="29"/>
        <v>0</v>
      </c>
      <c r="T253" s="309">
        <f t="shared" si="30"/>
        <v>1286833.8041836733</v>
      </c>
      <c r="U253" s="311">
        <f t="shared" si="31"/>
        <v>0</v>
      </c>
      <c r="V253" s="464">
        <f t="shared" si="32"/>
        <v>10165987.053051021</v>
      </c>
      <c r="W253" s="311">
        <f t="shared" si="33"/>
        <v>0</v>
      </c>
      <c r="X253" s="321"/>
      <c r="Y253" s="321"/>
      <c r="Z253" s="321"/>
      <c r="AA253" s="321"/>
      <c r="AE253" s="436"/>
      <c r="AF253" s="436"/>
      <c r="AG253" s="436"/>
    </row>
    <row r="254" spans="1:33">
      <c r="A254" s="459" t="s">
        <v>2404</v>
      </c>
      <c r="B254" s="460"/>
      <c r="C254" s="461">
        <v>219085.57</v>
      </c>
      <c r="D254" s="461">
        <v>-261233.84</v>
      </c>
      <c r="E254" s="429">
        <v>138</v>
      </c>
      <c r="F254" s="431">
        <v>69</v>
      </c>
      <c r="G254" s="450">
        <v>-42148.27</v>
      </c>
      <c r="H254" s="309">
        <f t="shared" si="34"/>
        <v>-40686.989479099997</v>
      </c>
      <c r="I254" s="309">
        <f t="shared" si="34"/>
        <v>-39237.312043959661</v>
      </c>
      <c r="J254" s="309">
        <f t="shared" si="34"/>
        <v>-37885.321374512336</v>
      </c>
      <c r="K254" s="309">
        <f t="shared" si="34"/>
        <v>-36618.660563124286</v>
      </c>
      <c r="L254" s="309">
        <f t="shared" si="34"/>
        <v>-35394.349388822477</v>
      </c>
      <c r="M254" s="309">
        <f t="shared" si="34"/>
        <v>-34210.97193051326</v>
      </c>
      <c r="N254" s="308">
        <v>0</v>
      </c>
      <c r="O254" s="462">
        <v>0</v>
      </c>
      <c r="P254" s="463">
        <v>1</v>
      </c>
      <c r="Q254" s="309">
        <f t="shared" si="27"/>
        <v>0</v>
      </c>
      <c r="R254" s="311">
        <f t="shared" si="28"/>
        <v>0</v>
      </c>
      <c r="S254" s="312">
        <f t="shared" si="29"/>
        <v>-34210.97193051326</v>
      </c>
      <c r="T254" s="309">
        <f t="shared" si="30"/>
        <v>0</v>
      </c>
      <c r="U254" s="311">
        <f t="shared" si="31"/>
        <v>-34210.97193051326</v>
      </c>
      <c r="V254" s="464">
        <f t="shared" si="32"/>
        <v>0</v>
      </c>
      <c r="W254" s="311">
        <f t="shared" si="33"/>
        <v>0</v>
      </c>
      <c r="X254" s="321"/>
      <c r="Y254" s="321"/>
      <c r="Z254" s="321"/>
      <c r="AA254" s="321"/>
      <c r="AE254" s="436"/>
      <c r="AF254" s="436"/>
      <c r="AG254" s="436"/>
    </row>
    <row r="255" spans="1:33">
      <c r="A255" s="459" t="s">
        <v>2405</v>
      </c>
      <c r="B255" s="460"/>
      <c r="C255" s="461">
        <v>1041717.49</v>
      </c>
      <c r="D255" s="461">
        <v>-883208.04</v>
      </c>
      <c r="E255" s="429">
        <v>138</v>
      </c>
      <c r="F255" s="431">
        <v>69</v>
      </c>
      <c r="G255" s="450">
        <v>158509.45000000001</v>
      </c>
      <c r="H255" s="309">
        <f t="shared" si="34"/>
        <v>153013.92736850001</v>
      </c>
      <c r="I255" s="309">
        <f t="shared" si="34"/>
        <v>147562.04113636035</v>
      </c>
      <c r="J255" s="309">
        <f t="shared" si="34"/>
        <v>142477.53120465431</v>
      </c>
      <c r="K255" s="309">
        <f t="shared" si="34"/>
        <v>137713.92623226345</v>
      </c>
      <c r="L255" s="309">
        <f t="shared" si="34"/>
        <v>133109.58800278368</v>
      </c>
      <c r="M255" s="309">
        <f t="shared" si="34"/>
        <v>128659.19157941942</v>
      </c>
      <c r="N255" s="308">
        <v>0</v>
      </c>
      <c r="O255" s="462">
        <v>0</v>
      </c>
      <c r="P255" s="463">
        <v>1</v>
      </c>
      <c r="Q255" s="309">
        <f t="shared" si="27"/>
        <v>0</v>
      </c>
      <c r="R255" s="311">
        <f t="shared" si="28"/>
        <v>0</v>
      </c>
      <c r="S255" s="312">
        <f t="shared" si="29"/>
        <v>128659.19157941942</v>
      </c>
      <c r="T255" s="309">
        <f t="shared" si="30"/>
        <v>0</v>
      </c>
      <c r="U255" s="311">
        <f t="shared" si="31"/>
        <v>128659.19157941942</v>
      </c>
      <c r="V255" s="464">
        <f t="shared" si="32"/>
        <v>0</v>
      </c>
      <c r="W255" s="311">
        <f t="shared" si="33"/>
        <v>0</v>
      </c>
      <c r="X255" s="321"/>
      <c r="Y255" s="321"/>
      <c r="Z255" s="321"/>
      <c r="AA255" s="321"/>
      <c r="AE255" s="436"/>
      <c r="AF255" s="436"/>
      <c r="AG255" s="436"/>
    </row>
    <row r="256" spans="1:33">
      <c r="A256" s="459" t="s">
        <v>2406</v>
      </c>
      <c r="B256" s="460"/>
      <c r="C256" s="461">
        <v>547178.41</v>
      </c>
      <c r="D256" s="461">
        <v>-452502.48</v>
      </c>
      <c r="E256" s="429">
        <v>138</v>
      </c>
      <c r="F256" s="431">
        <v>138</v>
      </c>
      <c r="G256" s="450">
        <v>94675.93</v>
      </c>
      <c r="H256" s="309">
        <f t="shared" si="34"/>
        <v>91393.515506899988</v>
      </c>
      <c r="I256" s="309">
        <f t="shared" si="34"/>
        <v>88137.164549389141</v>
      </c>
      <c r="J256" s="309">
        <f t="shared" si="34"/>
        <v>85100.243366592127</v>
      </c>
      <c r="K256" s="309">
        <f t="shared" si="34"/>
        <v>82254.995143765467</v>
      </c>
      <c r="L256" s="309">
        <f t="shared" si="34"/>
        <v>79504.875173564636</v>
      </c>
      <c r="M256" s="309">
        <f t="shared" si="34"/>
        <v>76846.702930517393</v>
      </c>
      <c r="N256" s="308">
        <v>0</v>
      </c>
      <c r="O256" s="462">
        <v>0</v>
      </c>
      <c r="P256" s="463">
        <v>1</v>
      </c>
      <c r="Q256" s="309">
        <f t="shared" si="27"/>
        <v>0</v>
      </c>
      <c r="R256" s="311">
        <f t="shared" si="28"/>
        <v>0</v>
      </c>
      <c r="S256" s="312">
        <f t="shared" si="29"/>
        <v>76846.702930517393</v>
      </c>
      <c r="T256" s="309">
        <f t="shared" si="30"/>
        <v>0</v>
      </c>
      <c r="U256" s="311">
        <f t="shared" si="31"/>
        <v>76846.702930517393</v>
      </c>
      <c r="V256" s="464">
        <f t="shared" si="32"/>
        <v>0</v>
      </c>
      <c r="W256" s="311">
        <f t="shared" si="33"/>
        <v>0</v>
      </c>
      <c r="X256" s="321"/>
      <c r="Y256" s="321"/>
      <c r="Z256" s="321"/>
      <c r="AA256" s="321"/>
      <c r="AE256" s="436"/>
      <c r="AF256" s="436"/>
      <c r="AG256" s="436"/>
    </row>
    <row r="257" spans="1:33">
      <c r="A257" s="459" t="s">
        <v>2407</v>
      </c>
      <c r="B257" s="460"/>
      <c r="C257" s="461">
        <v>1883634.27</v>
      </c>
      <c r="D257" s="461">
        <v>-675987.46</v>
      </c>
      <c r="E257" s="429">
        <v>138</v>
      </c>
      <c r="F257" s="431">
        <v>69</v>
      </c>
      <c r="G257" s="450">
        <v>1207646.81</v>
      </c>
      <c r="H257" s="309">
        <f t="shared" si="34"/>
        <v>1165777.6950973</v>
      </c>
      <c r="I257" s="309">
        <f t="shared" si="34"/>
        <v>1124241.0358209831</v>
      </c>
      <c r="J257" s="309">
        <f t="shared" si="34"/>
        <v>1085503.3315425436</v>
      </c>
      <c r="K257" s="309">
        <f t="shared" si="34"/>
        <v>1049210.5278705354</v>
      </c>
      <c r="L257" s="309">
        <f t="shared" si="34"/>
        <v>1014131.1406479297</v>
      </c>
      <c r="M257" s="309">
        <f t="shared" si="34"/>
        <v>980224.6004138221</v>
      </c>
      <c r="N257" s="308">
        <v>0</v>
      </c>
      <c r="O257" s="462">
        <v>0</v>
      </c>
      <c r="P257" s="463">
        <v>1</v>
      </c>
      <c r="Q257" s="309">
        <f t="shared" si="27"/>
        <v>0</v>
      </c>
      <c r="R257" s="311">
        <f t="shared" si="28"/>
        <v>0</v>
      </c>
      <c r="S257" s="312">
        <f t="shared" si="29"/>
        <v>980224.6004138221</v>
      </c>
      <c r="T257" s="309">
        <f t="shared" si="30"/>
        <v>0</v>
      </c>
      <c r="U257" s="311">
        <f t="shared" si="31"/>
        <v>980224.6004138221</v>
      </c>
      <c r="V257" s="464">
        <f t="shared" si="32"/>
        <v>0</v>
      </c>
      <c r="W257" s="311">
        <f t="shared" si="33"/>
        <v>0</v>
      </c>
      <c r="X257" s="321"/>
      <c r="Y257" s="321"/>
      <c r="Z257" s="321"/>
      <c r="AA257" s="321"/>
      <c r="AE257" s="436"/>
      <c r="AF257" s="436"/>
      <c r="AG257" s="436"/>
    </row>
    <row r="258" spans="1:33">
      <c r="A258" s="459" t="s">
        <v>2408</v>
      </c>
      <c r="B258" s="460"/>
      <c r="C258" s="461">
        <v>3218960.3</v>
      </c>
      <c r="D258" s="461">
        <v>-329933.58</v>
      </c>
      <c r="E258" s="429">
        <v>138</v>
      </c>
      <c r="F258" s="431">
        <v>25</v>
      </c>
      <c r="G258" s="450">
        <v>2889026.72</v>
      </c>
      <c r="H258" s="309">
        <f t="shared" si="34"/>
        <v>2788864.1636176002</v>
      </c>
      <c r="I258" s="309">
        <f t="shared" si="34"/>
        <v>2689496.933467905</v>
      </c>
      <c r="J258" s="309">
        <f t="shared" si="34"/>
        <v>2596825.5813762532</v>
      </c>
      <c r="K258" s="309">
        <f t="shared" si="34"/>
        <v>2510003.110862589</v>
      </c>
      <c r="L258" s="309">
        <f t="shared" si="34"/>
        <v>2426083.4696494974</v>
      </c>
      <c r="M258" s="309">
        <f t="shared" si="34"/>
        <v>2344969.6043140753</v>
      </c>
      <c r="N258" s="308">
        <v>0</v>
      </c>
      <c r="O258" s="462">
        <v>0</v>
      </c>
      <c r="P258" s="463">
        <v>1</v>
      </c>
      <c r="Q258" s="309">
        <f t="shared" si="27"/>
        <v>0</v>
      </c>
      <c r="R258" s="311">
        <f t="shared" si="28"/>
        <v>0</v>
      </c>
      <c r="S258" s="312">
        <f t="shared" si="29"/>
        <v>2344969.6043140753</v>
      </c>
      <c r="T258" s="309">
        <f t="shared" si="30"/>
        <v>0</v>
      </c>
      <c r="U258" s="311">
        <f t="shared" si="31"/>
        <v>0</v>
      </c>
      <c r="V258" s="464">
        <f t="shared" si="32"/>
        <v>2344969.6043140753</v>
      </c>
      <c r="W258" s="311">
        <f t="shared" si="33"/>
        <v>0</v>
      </c>
      <c r="X258" s="321"/>
      <c r="Y258" s="321"/>
      <c r="Z258" s="321"/>
      <c r="AA258" s="321"/>
      <c r="AE258" s="436"/>
      <c r="AF258" s="436"/>
      <c r="AG258" s="436"/>
    </row>
    <row r="259" spans="1:33">
      <c r="A259" s="459" t="s">
        <v>2409</v>
      </c>
      <c r="B259" s="460"/>
      <c r="C259" s="461">
        <v>2564312.5699999998</v>
      </c>
      <c r="D259" s="461">
        <v>-1511524.8</v>
      </c>
      <c r="E259" s="429">
        <v>138</v>
      </c>
      <c r="F259" s="431">
        <v>4.2</v>
      </c>
      <c r="G259" s="450">
        <v>1052787.77</v>
      </c>
      <c r="H259" s="309">
        <f t="shared" si="34"/>
        <v>1016287.6180141</v>
      </c>
      <c r="I259" s="309">
        <f t="shared" si="34"/>
        <v>980077.29018425755</v>
      </c>
      <c r="J259" s="309">
        <f t="shared" si="34"/>
        <v>946307.00158289261</v>
      </c>
      <c r="K259" s="309">
        <f t="shared" si="34"/>
        <v>914668.09894305433</v>
      </c>
      <c r="L259" s="309">
        <f t="shared" si="34"/>
        <v>884087.01385986374</v>
      </c>
      <c r="M259" s="309">
        <f t="shared" si="34"/>
        <v>854528.37917802215</v>
      </c>
      <c r="N259" s="308">
        <v>0</v>
      </c>
      <c r="O259" s="462">
        <v>1</v>
      </c>
      <c r="P259" s="463">
        <v>0</v>
      </c>
      <c r="Q259" s="309">
        <f t="shared" si="27"/>
        <v>0</v>
      </c>
      <c r="R259" s="311">
        <f t="shared" si="28"/>
        <v>854528.37917802215</v>
      </c>
      <c r="S259" s="312">
        <f t="shared" si="29"/>
        <v>0</v>
      </c>
      <c r="T259" s="309">
        <f t="shared" si="30"/>
        <v>0</v>
      </c>
      <c r="U259" s="311">
        <f t="shared" si="31"/>
        <v>0</v>
      </c>
      <c r="V259" s="464">
        <f t="shared" si="32"/>
        <v>854528.37917802215</v>
      </c>
      <c r="W259" s="311">
        <f t="shared" si="33"/>
        <v>0</v>
      </c>
      <c r="X259" s="321"/>
      <c r="Y259" s="321"/>
      <c r="Z259" s="321"/>
      <c r="AA259" s="321"/>
      <c r="AE259" s="436"/>
      <c r="AF259" s="436"/>
      <c r="AG259" s="436"/>
    </row>
    <row r="260" spans="1:33">
      <c r="A260" s="459" t="s">
        <v>2410</v>
      </c>
      <c r="B260" s="460"/>
      <c r="C260" s="461">
        <v>17825316.140000001</v>
      </c>
      <c r="D260" s="461">
        <v>-2492781.91</v>
      </c>
      <c r="E260" s="429">
        <v>138</v>
      </c>
      <c r="F260" s="431">
        <v>25</v>
      </c>
      <c r="G260" s="450">
        <v>15332534.23</v>
      </c>
      <c r="H260" s="309">
        <f t="shared" si="34"/>
        <v>14800955.2682459</v>
      </c>
      <c r="I260" s="309">
        <f t="shared" si="34"/>
        <v>14273597.232038299</v>
      </c>
      <c r="J260" s="309">
        <f t="shared" si="34"/>
        <v>13781775.308672482</v>
      </c>
      <c r="K260" s="309">
        <f t="shared" si="34"/>
        <v>13320994.350203561</v>
      </c>
      <c r="L260" s="309">
        <f t="shared" si="34"/>
        <v>12875619.178502468</v>
      </c>
      <c r="M260" s="309">
        <f t="shared" si="34"/>
        <v>12445134.715284016</v>
      </c>
      <c r="N260" s="308">
        <v>0</v>
      </c>
      <c r="O260" s="462">
        <v>1</v>
      </c>
      <c r="P260" s="463">
        <v>0</v>
      </c>
      <c r="Q260" s="309">
        <f t="shared" si="27"/>
        <v>0</v>
      </c>
      <c r="R260" s="311">
        <f t="shared" si="28"/>
        <v>12445134.715284016</v>
      </c>
      <c r="S260" s="312">
        <f t="shared" si="29"/>
        <v>0</v>
      </c>
      <c r="T260" s="309">
        <f t="shared" si="30"/>
        <v>0</v>
      </c>
      <c r="U260" s="311">
        <f t="shared" si="31"/>
        <v>0</v>
      </c>
      <c r="V260" s="464">
        <f t="shared" si="32"/>
        <v>12445134.715284016</v>
      </c>
      <c r="W260" s="311">
        <f t="shared" si="33"/>
        <v>0</v>
      </c>
      <c r="X260" s="321"/>
      <c r="Y260" s="321"/>
      <c r="Z260" s="321"/>
      <c r="AA260" s="321"/>
      <c r="AE260" s="436"/>
      <c r="AF260" s="436"/>
      <c r="AG260" s="436"/>
    </row>
    <row r="261" spans="1:33">
      <c r="A261" s="459" t="s">
        <v>2411</v>
      </c>
      <c r="B261" s="460"/>
      <c r="C261" s="461">
        <v>1447832.75</v>
      </c>
      <c r="D261" s="461">
        <v>-628053.71</v>
      </c>
      <c r="E261" s="429">
        <v>138</v>
      </c>
      <c r="F261" s="431">
        <v>4.2</v>
      </c>
      <c r="G261" s="450">
        <v>819779.04</v>
      </c>
      <c r="H261" s="309">
        <f t="shared" si="34"/>
        <v>791357.30068320001</v>
      </c>
      <c r="I261" s="309">
        <f t="shared" si="34"/>
        <v>763161.24005985761</v>
      </c>
      <c r="J261" s="309">
        <f t="shared" si="34"/>
        <v>736865.17587766261</v>
      </c>
      <c r="K261" s="309">
        <f t="shared" si="34"/>
        <v>712228.76769376046</v>
      </c>
      <c r="L261" s="309">
        <f t="shared" si="34"/>
        <v>688416.05511669826</v>
      </c>
      <c r="M261" s="309">
        <f t="shared" si="34"/>
        <v>665399.49864284135</v>
      </c>
      <c r="N261" s="308">
        <v>0</v>
      </c>
      <c r="O261" s="462">
        <v>1</v>
      </c>
      <c r="P261" s="463">
        <v>0</v>
      </c>
      <c r="Q261" s="309">
        <f t="shared" si="27"/>
        <v>0</v>
      </c>
      <c r="R261" s="311">
        <f t="shared" si="28"/>
        <v>665399.49864284135</v>
      </c>
      <c r="S261" s="312">
        <f t="shared" si="29"/>
        <v>0</v>
      </c>
      <c r="T261" s="309">
        <f t="shared" si="30"/>
        <v>0</v>
      </c>
      <c r="U261" s="311">
        <f t="shared" si="31"/>
        <v>0</v>
      </c>
      <c r="V261" s="464">
        <f t="shared" si="32"/>
        <v>665399.49864284135</v>
      </c>
      <c r="W261" s="311">
        <f t="shared" si="33"/>
        <v>0</v>
      </c>
      <c r="X261" s="321"/>
      <c r="Y261" s="321"/>
      <c r="Z261" s="321"/>
      <c r="AA261" s="321"/>
      <c r="AE261" s="436"/>
      <c r="AF261" s="436"/>
      <c r="AG261" s="436"/>
    </row>
    <row r="262" spans="1:33">
      <c r="A262" s="459" t="s">
        <v>2412</v>
      </c>
      <c r="B262" s="460"/>
      <c r="C262" s="461">
        <v>2873421.56</v>
      </c>
      <c r="D262" s="461">
        <v>-2269894.61</v>
      </c>
      <c r="E262" s="429">
        <v>138</v>
      </c>
      <c r="F262" s="431">
        <v>13</v>
      </c>
      <c r="G262" s="450">
        <v>603526.94999999995</v>
      </c>
      <c r="H262" s="309">
        <f t="shared" si="34"/>
        <v>582602.67064349994</v>
      </c>
      <c r="I262" s="309">
        <f t="shared" si="34"/>
        <v>561844.53748847195</v>
      </c>
      <c r="J262" s="309">
        <f t="shared" si="34"/>
        <v>542485.19474059646</v>
      </c>
      <c r="K262" s="309">
        <f t="shared" si="34"/>
        <v>524347.70211796788</v>
      </c>
      <c r="L262" s="309">
        <f t="shared" si="34"/>
        <v>506816.61984870059</v>
      </c>
      <c r="M262" s="309">
        <f t="shared" si="34"/>
        <v>489871.67316139617</v>
      </c>
      <c r="N262" s="308">
        <v>0</v>
      </c>
      <c r="O262" s="462">
        <v>1</v>
      </c>
      <c r="P262" s="463">
        <v>0</v>
      </c>
      <c r="Q262" s="309">
        <f t="shared" ref="Q262:Q325" si="35">IF(ISERROR(N262),0,N262*$M262)</f>
        <v>0</v>
      </c>
      <c r="R262" s="311">
        <f t="shared" ref="R262:R325" si="36">IF(ISERROR(O262),0,O262*$M262)</f>
        <v>489871.67316139617</v>
      </c>
      <c r="S262" s="312">
        <f t="shared" ref="S262:S325" si="37">+P262*$M262</f>
        <v>0</v>
      </c>
      <c r="T262" s="309">
        <f t="shared" ref="T262:T325" si="38">+Q262+IF(OR(ISERROR(F262),ISBLANK(F262),F262=0),0,IF((F262&gt;144),S262,0))</f>
        <v>0</v>
      </c>
      <c r="U262" s="311">
        <f t="shared" ref="U262:U325" si="39">IF(OR(ISERROR(F262),ISBLANK(F262),F262=0),0,IF(AND(F262&lt;=144,F262&gt;=69),S262,0))</f>
        <v>0</v>
      </c>
      <c r="V262" s="464">
        <f t="shared" ref="V262:V325" si="40">+R262+IF(OR(ISERROR(F262),,ISBLANK(F262),F262=0),0,IF(F262&lt;69,S262,0))</f>
        <v>489871.67316139617</v>
      </c>
      <c r="W262" s="311">
        <f t="shared" ref="W262:W325" si="41">IF(OR(ISERROR(F262),ISBLANK(F262),F262=0),M262,0)</f>
        <v>0</v>
      </c>
      <c r="X262" s="321"/>
      <c r="Y262" s="321"/>
      <c r="Z262" s="321"/>
      <c r="AA262" s="321"/>
      <c r="AE262" s="436"/>
      <c r="AF262" s="436"/>
      <c r="AG262" s="436"/>
    </row>
    <row r="263" spans="1:33">
      <c r="A263" s="459" t="s">
        <v>2413</v>
      </c>
      <c r="B263" s="460"/>
      <c r="C263" s="461">
        <v>2086041.5</v>
      </c>
      <c r="D263" s="461">
        <v>-1485925.32</v>
      </c>
      <c r="E263" s="429">
        <v>138</v>
      </c>
      <c r="F263" s="431">
        <v>4.2</v>
      </c>
      <c r="G263" s="450">
        <v>600116.18000000005</v>
      </c>
      <c r="H263" s="309">
        <f t="shared" si="34"/>
        <v>579310.15203940007</v>
      </c>
      <c r="I263" s="309">
        <f t="shared" si="34"/>
        <v>558669.33132223622</v>
      </c>
      <c r="J263" s="309">
        <f t="shared" si="34"/>
        <v>539419.39589322882</v>
      </c>
      <c r="K263" s="309">
        <f t="shared" si="34"/>
        <v>521384.40543013508</v>
      </c>
      <c r="L263" s="309">
        <f t="shared" si="34"/>
        <v>503952.39825514739</v>
      </c>
      <c r="M263" s="309">
        <f t="shared" si="34"/>
        <v>487103.21417763643</v>
      </c>
      <c r="N263" s="308">
        <v>0</v>
      </c>
      <c r="O263" s="462">
        <v>1</v>
      </c>
      <c r="P263" s="463">
        <v>0</v>
      </c>
      <c r="Q263" s="309">
        <f t="shared" si="35"/>
        <v>0</v>
      </c>
      <c r="R263" s="311">
        <f t="shared" si="36"/>
        <v>487103.21417763643</v>
      </c>
      <c r="S263" s="312">
        <f t="shared" si="37"/>
        <v>0</v>
      </c>
      <c r="T263" s="309">
        <f t="shared" si="38"/>
        <v>0</v>
      </c>
      <c r="U263" s="311">
        <f t="shared" si="39"/>
        <v>0</v>
      </c>
      <c r="V263" s="464">
        <f t="shared" si="40"/>
        <v>487103.21417763643</v>
      </c>
      <c r="W263" s="311">
        <f t="shared" si="41"/>
        <v>0</v>
      </c>
      <c r="X263" s="321"/>
      <c r="Y263" s="321"/>
      <c r="Z263" s="321"/>
      <c r="AA263" s="321"/>
      <c r="AE263" s="436"/>
      <c r="AF263" s="436"/>
      <c r="AG263" s="436"/>
    </row>
    <row r="264" spans="1:33">
      <c r="A264" s="459" t="s">
        <v>2414</v>
      </c>
      <c r="B264" s="460"/>
      <c r="C264" s="461">
        <v>1884384.05</v>
      </c>
      <c r="D264" s="461">
        <v>-986309.59</v>
      </c>
      <c r="E264" s="429">
        <v>138</v>
      </c>
      <c r="F264" s="431">
        <v>25</v>
      </c>
      <c r="G264" s="450">
        <v>898074.46</v>
      </c>
      <c r="H264" s="309">
        <f t="shared" si="34"/>
        <v>866938.21847179998</v>
      </c>
      <c r="I264" s="309">
        <f t="shared" si="34"/>
        <v>836049.20974764961</v>
      </c>
      <c r="J264" s="309">
        <f t="shared" si="34"/>
        <v>807241.66224003094</v>
      </c>
      <c r="K264" s="309">
        <f t="shared" si="34"/>
        <v>780252.28108178917</v>
      </c>
      <c r="L264" s="309">
        <f t="shared" si="34"/>
        <v>754165.26501367847</v>
      </c>
      <c r="M264" s="309">
        <f t="shared" si="34"/>
        <v>728950.44429037906</v>
      </c>
      <c r="N264" s="308">
        <v>0</v>
      </c>
      <c r="O264" s="462">
        <v>1</v>
      </c>
      <c r="P264" s="463">
        <v>0</v>
      </c>
      <c r="Q264" s="309">
        <f t="shared" si="35"/>
        <v>0</v>
      </c>
      <c r="R264" s="311">
        <f t="shared" si="36"/>
        <v>728950.44429037906</v>
      </c>
      <c r="S264" s="312">
        <f t="shared" si="37"/>
        <v>0</v>
      </c>
      <c r="T264" s="309">
        <f t="shared" si="38"/>
        <v>0</v>
      </c>
      <c r="U264" s="311">
        <f t="shared" si="39"/>
        <v>0</v>
      </c>
      <c r="V264" s="464">
        <f t="shared" si="40"/>
        <v>728950.44429037906</v>
      </c>
      <c r="W264" s="311">
        <f t="shared" si="41"/>
        <v>0</v>
      </c>
      <c r="X264" s="321"/>
      <c r="Y264" s="321"/>
      <c r="Z264" s="321"/>
      <c r="AA264" s="321"/>
      <c r="AE264" s="436"/>
      <c r="AF264" s="436"/>
      <c r="AG264" s="436"/>
    </row>
    <row r="265" spans="1:33">
      <c r="A265" s="459" t="s">
        <v>2415</v>
      </c>
      <c r="B265" s="460"/>
      <c r="C265" s="461">
        <v>15000569.08</v>
      </c>
      <c r="D265" s="461">
        <v>-2437538.19</v>
      </c>
      <c r="E265" s="429">
        <v>138</v>
      </c>
      <c r="F265" s="431">
        <v>25</v>
      </c>
      <c r="G265" s="450">
        <v>12563030.890000001</v>
      </c>
      <c r="H265" s="309">
        <f t="shared" si="34"/>
        <v>12127470.609043701</v>
      </c>
      <c r="I265" s="309">
        <f t="shared" si="34"/>
        <v>11695368.831243472</v>
      </c>
      <c r="J265" s="309">
        <f t="shared" si="34"/>
        <v>11292384.306771686</v>
      </c>
      <c r="K265" s="309">
        <f t="shared" si="34"/>
        <v>10914833.842645386</v>
      </c>
      <c r="L265" s="309">
        <f t="shared" si="34"/>
        <v>10549906.430399857</v>
      </c>
      <c r="M265" s="309">
        <f t="shared" si="34"/>
        <v>10197180.029926758</v>
      </c>
      <c r="N265" s="308">
        <v>0</v>
      </c>
      <c r="O265" s="462">
        <v>1</v>
      </c>
      <c r="P265" s="463">
        <v>0</v>
      </c>
      <c r="Q265" s="309">
        <f t="shared" si="35"/>
        <v>0</v>
      </c>
      <c r="R265" s="311">
        <f t="shared" si="36"/>
        <v>10197180.029926758</v>
      </c>
      <c r="S265" s="312">
        <f t="shared" si="37"/>
        <v>0</v>
      </c>
      <c r="T265" s="309">
        <f t="shared" si="38"/>
        <v>0</v>
      </c>
      <c r="U265" s="311">
        <f t="shared" si="39"/>
        <v>0</v>
      </c>
      <c r="V265" s="464">
        <f t="shared" si="40"/>
        <v>10197180.029926758</v>
      </c>
      <c r="W265" s="311">
        <f t="shared" si="41"/>
        <v>0</v>
      </c>
      <c r="X265" s="321"/>
      <c r="Y265" s="321"/>
      <c r="Z265" s="321"/>
      <c r="AA265" s="321"/>
      <c r="AE265" s="436"/>
      <c r="AF265" s="436"/>
      <c r="AG265" s="436"/>
    </row>
    <row r="266" spans="1:33">
      <c r="A266" s="459" t="s">
        <v>2416</v>
      </c>
      <c r="B266" s="460"/>
      <c r="C266" s="461">
        <v>989840.05</v>
      </c>
      <c r="D266" s="461">
        <v>-379895.63</v>
      </c>
      <c r="E266" s="429">
        <v>138</v>
      </c>
      <c r="F266" s="431">
        <v>25</v>
      </c>
      <c r="G266" s="450">
        <v>609944.42000000004</v>
      </c>
      <c r="H266" s="309">
        <f t="shared" si="34"/>
        <v>588797.64695860003</v>
      </c>
      <c r="I266" s="309">
        <f t="shared" si="34"/>
        <v>567818.78679746506</v>
      </c>
      <c r="J266" s="309">
        <f t="shared" si="34"/>
        <v>548253.59077111667</v>
      </c>
      <c r="K266" s="309">
        <f t="shared" si="34"/>
        <v>529923.23714239569</v>
      </c>
      <c r="L266" s="309">
        <f t="shared" si="34"/>
        <v>512205.74199706613</v>
      </c>
      <c r="M266" s="309">
        <f t="shared" si="34"/>
        <v>495080.61497644376</v>
      </c>
      <c r="N266" s="308">
        <v>0</v>
      </c>
      <c r="O266" s="462">
        <v>1</v>
      </c>
      <c r="P266" s="463">
        <v>0</v>
      </c>
      <c r="Q266" s="309">
        <f t="shared" si="35"/>
        <v>0</v>
      </c>
      <c r="R266" s="311">
        <f t="shared" si="36"/>
        <v>495080.61497644376</v>
      </c>
      <c r="S266" s="312">
        <f t="shared" si="37"/>
        <v>0</v>
      </c>
      <c r="T266" s="309">
        <f t="shared" si="38"/>
        <v>0</v>
      </c>
      <c r="U266" s="311">
        <f t="shared" si="39"/>
        <v>0</v>
      </c>
      <c r="V266" s="464">
        <f t="shared" si="40"/>
        <v>495080.61497644376</v>
      </c>
      <c r="W266" s="311">
        <f t="shared" si="41"/>
        <v>0</v>
      </c>
      <c r="X266" s="321"/>
      <c r="Y266" s="321"/>
      <c r="Z266" s="321"/>
      <c r="AA266" s="321"/>
      <c r="AE266" s="436"/>
      <c r="AF266" s="436"/>
      <c r="AG266" s="436"/>
    </row>
    <row r="267" spans="1:33">
      <c r="A267" s="459" t="s">
        <v>2417</v>
      </c>
      <c r="B267" s="460"/>
      <c r="C267" s="461">
        <v>2008242.16</v>
      </c>
      <c r="D267" s="461">
        <v>-1602943.65</v>
      </c>
      <c r="E267" s="429">
        <v>69</v>
      </c>
      <c r="F267" s="431">
        <v>25</v>
      </c>
      <c r="G267" s="450">
        <v>405298.51</v>
      </c>
      <c r="H267" s="309">
        <f t="shared" si="34"/>
        <v>391246.8106583</v>
      </c>
      <c r="I267" s="309">
        <f t="shared" si="34"/>
        <v>377306.68679454474</v>
      </c>
      <c r="J267" s="309">
        <f t="shared" si="34"/>
        <v>364305.9205979511</v>
      </c>
      <c r="K267" s="309">
        <f t="shared" si="34"/>
        <v>352125.68782609666</v>
      </c>
      <c r="L267" s="309">
        <f t="shared" si="34"/>
        <v>340352.6899137061</v>
      </c>
      <c r="M267" s="309">
        <f t="shared" si="34"/>
        <v>328973.31133849267</v>
      </c>
      <c r="N267" s="308">
        <v>0</v>
      </c>
      <c r="O267" s="462">
        <v>1</v>
      </c>
      <c r="P267" s="463">
        <v>0</v>
      </c>
      <c r="Q267" s="309">
        <f t="shared" si="35"/>
        <v>0</v>
      </c>
      <c r="R267" s="311">
        <f t="shared" si="36"/>
        <v>328973.31133849267</v>
      </c>
      <c r="S267" s="312">
        <f t="shared" si="37"/>
        <v>0</v>
      </c>
      <c r="T267" s="309">
        <f t="shared" si="38"/>
        <v>0</v>
      </c>
      <c r="U267" s="311">
        <f t="shared" si="39"/>
        <v>0</v>
      </c>
      <c r="V267" s="464">
        <f t="shared" si="40"/>
        <v>328973.31133849267</v>
      </c>
      <c r="W267" s="311">
        <f t="shared" si="41"/>
        <v>0</v>
      </c>
      <c r="X267" s="321"/>
      <c r="Y267" s="321"/>
      <c r="Z267" s="321"/>
      <c r="AA267" s="321"/>
      <c r="AE267" s="436"/>
      <c r="AF267" s="436"/>
      <c r="AG267" s="436"/>
    </row>
    <row r="268" spans="1:33">
      <c r="A268" s="459" t="s">
        <v>2418</v>
      </c>
      <c r="B268" s="460"/>
      <c r="C268" s="461">
        <v>1140987.03</v>
      </c>
      <c r="D268" s="461">
        <v>-830581.54</v>
      </c>
      <c r="E268" s="429">
        <v>138</v>
      </c>
      <c r="F268" s="431">
        <v>138</v>
      </c>
      <c r="G268" s="450">
        <v>310405.49</v>
      </c>
      <c r="H268" s="309">
        <f t="shared" si="34"/>
        <v>299643.7316617</v>
      </c>
      <c r="I268" s="309">
        <f t="shared" si="34"/>
        <v>288967.42550259357</v>
      </c>
      <c r="J268" s="309">
        <f t="shared" si="34"/>
        <v>279010.5440878825</v>
      </c>
      <c r="K268" s="309">
        <f t="shared" si="34"/>
        <v>269682.08363570488</v>
      </c>
      <c r="L268" s="309">
        <f t="shared" si="34"/>
        <v>260665.51166319856</v>
      </c>
      <c r="M268" s="309">
        <f t="shared" si="34"/>
        <v>251950.40046642994</v>
      </c>
      <c r="N268" s="308">
        <v>0</v>
      </c>
      <c r="O268" s="462">
        <v>0</v>
      </c>
      <c r="P268" s="463">
        <v>1</v>
      </c>
      <c r="Q268" s="309">
        <f t="shared" si="35"/>
        <v>0</v>
      </c>
      <c r="R268" s="311">
        <f t="shared" si="36"/>
        <v>0</v>
      </c>
      <c r="S268" s="312">
        <f t="shared" si="37"/>
        <v>251950.40046642994</v>
      </c>
      <c r="T268" s="309">
        <f t="shared" si="38"/>
        <v>0</v>
      </c>
      <c r="U268" s="311">
        <f t="shared" si="39"/>
        <v>251950.40046642994</v>
      </c>
      <c r="V268" s="464">
        <f t="shared" si="40"/>
        <v>0</v>
      </c>
      <c r="W268" s="311">
        <f t="shared" si="41"/>
        <v>0</v>
      </c>
      <c r="X268" s="321"/>
      <c r="Y268" s="321"/>
      <c r="Z268" s="321"/>
      <c r="AA268" s="321"/>
      <c r="AE268" s="436"/>
      <c r="AF268" s="436"/>
      <c r="AG268" s="436"/>
    </row>
    <row r="269" spans="1:33">
      <c r="A269" s="459" t="s">
        <v>2419</v>
      </c>
      <c r="B269" s="460"/>
      <c r="C269" s="461">
        <v>5624579.7699999996</v>
      </c>
      <c r="D269" s="461">
        <v>-732024.17</v>
      </c>
      <c r="E269" s="429">
        <v>138</v>
      </c>
      <c r="F269" s="431">
        <v>4.2</v>
      </c>
      <c r="G269" s="450">
        <v>4892555.5999999996</v>
      </c>
      <c r="H269" s="309">
        <f t="shared" si="34"/>
        <v>4722930.6973479996</v>
      </c>
      <c r="I269" s="309">
        <f t="shared" si="34"/>
        <v>4554652.67660149</v>
      </c>
      <c r="J269" s="309">
        <f t="shared" si="34"/>
        <v>4397714.0995032545</v>
      </c>
      <c r="K269" s="309">
        <f t="shared" si="34"/>
        <v>4250680.5807833364</v>
      </c>
      <c r="L269" s="309">
        <f t="shared" si="34"/>
        <v>4108562.9922803468</v>
      </c>
      <c r="M269" s="309">
        <f t="shared" si="34"/>
        <v>3971196.9743971811</v>
      </c>
      <c r="N269" s="308">
        <v>0</v>
      </c>
      <c r="O269" s="462">
        <v>1</v>
      </c>
      <c r="P269" s="463">
        <v>0</v>
      </c>
      <c r="Q269" s="309">
        <f t="shared" si="35"/>
        <v>0</v>
      </c>
      <c r="R269" s="311">
        <f t="shared" si="36"/>
        <v>3971196.9743971811</v>
      </c>
      <c r="S269" s="312">
        <f t="shared" si="37"/>
        <v>0</v>
      </c>
      <c r="T269" s="309">
        <f t="shared" si="38"/>
        <v>0</v>
      </c>
      <c r="U269" s="311">
        <f t="shared" si="39"/>
        <v>0</v>
      </c>
      <c r="V269" s="464">
        <f t="shared" si="40"/>
        <v>3971196.9743971811</v>
      </c>
      <c r="W269" s="311">
        <f t="shared" si="41"/>
        <v>0</v>
      </c>
      <c r="X269" s="321"/>
      <c r="Y269" s="321"/>
      <c r="Z269" s="321"/>
      <c r="AA269" s="321"/>
      <c r="AE269" s="436"/>
      <c r="AF269" s="436"/>
      <c r="AG269" s="436"/>
    </row>
    <row r="270" spans="1:33">
      <c r="A270" s="459" t="s">
        <v>2420</v>
      </c>
      <c r="B270" s="460"/>
      <c r="C270" s="461">
        <v>53424395.43</v>
      </c>
      <c r="D270" s="461">
        <v>-861708.76</v>
      </c>
      <c r="E270" s="429">
        <v>138</v>
      </c>
      <c r="F270" s="431">
        <v>138</v>
      </c>
      <c r="G270" s="450">
        <v>52562686.670000002</v>
      </c>
      <c r="H270" s="309">
        <f t="shared" si="34"/>
        <v>50740338.323151104</v>
      </c>
      <c r="I270" s="309">
        <f t="shared" si="34"/>
        <v>48932460.068697222</v>
      </c>
      <c r="J270" s="309">
        <f t="shared" si="34"/>
        <v>47246406.004344806</v>
      </c>
      <c r="K270" s="309">
        <f t="shared" si="34"/>
        <v>45666765.953966506</v>
      </c>
      <c r="L270" s="309">
        <f t="shared" si="34"/>
        <v>44139939.713140823</v>
      </c>
      <c r="M270" s="309">
        <f t="shared" si="34"/>
        <v>42664161.500809729</v>
      </c>
      <c r="N270" s="308">
        <v>0</v>
      </c>
      <c r="O270" s="462">
        <v>0</v>
      </c>
      <c r="P270" s="463">
        <v>1</v>
      </c>
      <c r="Q270" s="309">
        <f t="shared" si="35"/>
        <v>0</v>
      </c>
      <c r="R270" s="311">
        <f t="shared" si="36"/>
        <v>0</v>
      </c>
      <c r="S270" s="312">
        <f t="shared" si="37"/>
        <v>42664161.500809729</v>
      </c>
      <c r="T270" s="309">
        <f t="shared" si="38"/>
        <v>0</v>
      </c>
      <c r="U270" s="311">
        <f t="shared" si="39"/>
        <v>42664161.500809729</v>
      </c>
      <c r="V270" s="464">
        <f t="shared" si="40"/>
        <v>0</v>
      </c>
      <c r="W270" s="311">
        <f t="shared" si="41"/>
        <v>0</v>
      </c>
      <c r="X270" s="321"/>
      <c r="Y270" s="321"/>
      <c r="Z270" s="321"/>
      <c r="AA270" s="321"/>
      <c r="AE270" s="436"/>
      <c r="AF270" s="436"/>
      <c r="AG270" s="436"/>
    </row>
    <row r="271" spans="1:33">
      <c r="A271" s="459" t="s">
        <v>2421</v>
      </c>
      <c r="B271" s="460"/>
      <c r="C271" s="461">
        <v>718861.91</v>
      </c>
      <c r="D271" s="461">
        <v>-189204.72</v>
      </c>
      <c r="E271" s="429">
        <v>138</v>
      </c>
      <c r="F271" s="431">
        <v>4.2</v>
      </c>
      <c r="G271" s="450">
        <v>529657.18999999994</v>
      </c>
      <c r="H271" s="309">
        <f t="shared" si="34"/>
        <v>511293.97522269998</v>
      </c>
      <c r="I271" s="309">
        <f t="shared" si="34"/>
        <v>493076.57088551513</v>
      </c>
      <c r="J271" s="309">
        <f t="shared" si="34"/>
        <v>476086.74950291298</v>
      </c>
      <c r="K271" s="309">
        <f t="shared" si="34"/>
        <v>460169.22771511681</v>
      </c>
      <c r="L271" s="309">
        <f t="shared" si="34"/>
        <v>444783.89360137272</v>
      </c>
      <c r="M271" s="309">
        <f t="shared" si="34"/>
        <v>429912.9539571738</v>
      </c>
      <c r="N271" s="308">
        <v>0</v>
      </c>
      <c r="O271" s="462">
        <v>1</v>
      </c>
      <c r="P271" s="463">
        <v>0</v>
      </c>
      <c r="Q271" s="309">
        <f t="shared" si="35"/>
        <v>0</v>
      </c>
      <c r="R271" s="311">
        <f t="shared" si="36"/>
        <v>429912.9539571738</v>
      </c>
      <c r="S271" s="312">
        <f t="shared" si="37"/>
        <v>0</v>
      </c>
      <c r="T271" s="309">
        <f t="shared" si="38"/>
        <v>0</v>
      </c>
      <c r="U271" s="311">
        <f t="shared" si="39"/>
        <v>0</v>
      </c>
      <c r="V271" s="464">
        <f t="shared" si="40"/>
        <v>429912.9539571738</v>
      </c>
      <c r="W271" s="311">
        <f t="shared" si="41"/>
        <v>0</v>
      </c>
      <c r="X271" s="321"/>
      <c r="Y271" s="321"/>
      <c r="Z271" s="321"/>
      <c r="AA271" s="321"/>
      <c r="AE271" s="436"/>
      <c r="AF271" s="436"/>
      <c r="AG271" s="436"/>
    </row>
    <row r="272" spans="1:33">
      <c r="A272" s="459" t="s">
        <v>2422</v>
      </c>
      <c r="B272" s="460"/>
      <c r="C272" s="461">
        <v>273816.46000000002</v>
      </c>
      <c r="D272" s="461">
        <v>-71034.58</v>
      </c>
      <c r="E272" s="429">
        <v>69</v>
      </c>
      <c r="F272" s="431">
        <v>4.2</v>
      </c>
      <c r="G272" s="450">
        <v>202781.88</v>
      </c>
      <c r="H272" s="309">
        <f t="shared" si="34"/>
        <v>195751.43222040002</v>
      </c>
      <c r="I272" s="309">
        <f t="shared" si="34"/>
        <v>188776.80869038714</v>
      </c>
      <c r="J272" s="309">
        <f t="shared" si="34"/>
        <v>182272.17137803751</v>
      </c>
      <c r="K272" s="309">
        <f t="shared" si="34"/>
        <v>176178.06927952683</v>
      </c>
      <c r="L272" s="309">
        <f t="shared" si="34"/>
        <v>170287.71786937575</v>
      </c>
      <c r="M272" s="309">
        <f t="shared" si="34"/>
        <v>164594.30493106146</v>
      </c>
      <c r="N272" s="308">
        <v>0</v>
      </c>
      <c r="O272" s="462">
        <v>1</v>
      </c>
      <c r="P272" s="463">
        <v>0</v>
      </c>
      <c r="Q272" s="309">
        <f t="shared" si="35"/>
        <v>0</v>
      </c>
      <c r="R272" s="311">
        <f t="shared" si="36"/>
        <v>164594.30493106146</v>
      </c>
      <c r="S272" s="312">
        <f t="shared" si="37"/>
        <v>0</v>
      </c>
      <c r="T272" s="309">
        <f t="shared" si="38"/>
        <v>0</v>
      </c>
      <c r="U272" s="311">
        <f t="shared" si="39"/>
        <v>0</v>
      </c>
      <c r="V272" s="464">
        <f t="shared" si="40"/>
        <v>164594.30493106146</v>
      </c>
      <c r="W272" s="311">
        <f t="shared" si="41"/>
        <v>0</v>
      </c>
      <c r="X272" s="321"/>
      <c r="Y272" s="321"/>
      <c r="Z272" s="321"/>
      <c r="AA272" s="321"/>
      <c r="AE272" s="436"/>
      <c r="AF272" s="436"/>
      <c r="AG272" s="436"/>
    </row>
    <row r="273" spans="1:33">
      <c r="A273" s="459" t="s">
        <v>2423</v>
      </c>
      <c r="B273" s="460"/>
      <c r="C273" s="461">
        <v>1795319.12</v>
      </c>
      <c r="D273" s="461">
        <v>-239430.95</v>
      </c>
      <c r="E273" s="429">
        <v>69</v>
      </c>
      <c r="F273" s="431">
        <v>2.4</v>
      </c>
      <c r="G273" s="450">
        <v>1555888.17</v>
      </c>
      <c r="H273" s="309">
        <f t="shared" si="34"/>
        <v>1501945.5271461001</v>
      </c>
      <c r="I273" s="309">
        <f t="shared" si="34"/>
        <v>1448431.2080138843</v>
      </c>
      <c r="J273" s="309">
        <f t="shared" si="34"/>
        <v>1398522.9605687703</v>
      </c>
      <c r="K273" s="309">
        <f t="shared" si="34"/>
        <v>1351764.6340267493</v>
      </c>
      <c r="L273" s="309">
        <f t="shared" si="34"/>
        <v>1306569.6290480159</v>
      </c>
      <c r="M273" s="309">
        <f t="shared" si="34"/>
        <v>1262885.6774165973</v>
      </c>
      <c r="N273" s="308">
        <v>0</v>
      </c>
      <c r="O273" s="462">
        <v>1</v>
      </c>
      <c r="P273" s="463">
        <v>0</v>
      </c>
      <c r="Q273" s="309">
        <f t="shared" si="35"/>
        <v>0</v>
      </c>
      <c r="R273" s="311">
        <f t="shared" si="36"/>
        <v>1262885.6774165973</v>
      </c>
      <c r="S273" s="312">
        <f t="shared" si="37"/>
        <v>0</v>
      </c>
      <c r="T273" s="309">
        <f t="shared" si="38"/>
        <v>0</v>
      </c>
      <c r="U273" s="311">
        <f t="shared" si="39"/>
        <v>0</v>
      </c>
      <c r="V273" s="464">
        <f t="shared" si="40"/>
        <v>1262885.6774165973</v>
      </c>
      <c r="W273" s="311">
        <f t="shared" si="41"/>
        <v>0</v>
      </c>
      <c r="X273" s="321"/>
      <c r="Y273" s="321"/>
      <c r="Z273" s="321"/>
      <c r="AA273" s="321"/>
      <c r="AE273" s="436"/>
      <c r="AF273" s="436"/>
      <c r="AG273" s="436"/>
    </row>
    <row r="274" spans="1:33">
      <c r="A274" s="459" t="s">
        <v>2424</v>
      </c>
      <c r="B274" s="460"/>
      <c r="C274" s="461">
        <v>55334952.079999998</v>
      </c>
      <c r="D274" s="461">
        <v>-6774429.9100000001</v>
      </c>
      <c r="E274" s="429">
        <v>500</v>
      </c>
      <c r="F274" s="431">
        <v>240</v>
      </c>
      <c r="G274" s="450">
        <v>48560522.170000002</v>
      </c>
      <c r="H274" s="309">
        <f t="shared" si="34"/>
        <v>46876928.866366103</v>
      </c>
      <c r="I274" s="309">
        <f t="shared" si="34"/>
        <v>45206703.890857473</v>
      </c>
      <c r="J274" s="309">
        <f t="shared" si="34"/>
        <v>43649027.315346077</v>
      </c>
      <c r="K274" s="309">
        <f t="shared" si="34"/>
        <v>42189662.306692585</v>
      </c>
      <c r="L274" s="309">
        <f t="shared" si="34"/>
        <v>40779089.822396979</v>
      </c>
      <c r="M274" s="309">
        <f t="shared" si="34"/>
        <v>39415678.529366381</v>
      </c>
      <c r="N274" s="308">
        <v>0</v>
      </c>
      <c r="O274" s="462">
        <v>0</v>
      </c>
      <c r="P274" s="463">
        <v>1</v>
      </c>
      <c r="Q274" s="309">
        <f t="shared" si="35"/>
        <v>0</v>
      </c>
      <c r="R274" s="311">
        <f t="shared" si="36"/>
        <v>0</v>
      </c>
      <c r="S274" s="312">
        <f t="shared" si="37"/>
        <v>39415678.529366381</v>
      </c>
      <c r="T274" s="309">
        <f t="shared" si="38"/>
        <v>39415678.529366381</v>
      </c>
      <c r="U274" s="311">
        <f t="shared" si="39"/>
        <v>0</v>
      </c>
      <c r="V274" s="464">
        <f t="shared" si="40"/>
        <v>0</v>
      </c>
      <c r="W274" s="311">
        <f t="shared" si="41"/>
        <v>0</v>
      </c>
      <c r="X274" s="321"/>
      <c r="Y274" s="321"/>
      <c r="Z274" s="321"/>
      <c r="AA274" s="321"/>
      <c r="AE274" s="436"/>
      <c r="AF274" s="436"/>
      <c r="AG274" s="436"/>
    </row>
    <row r="275" spans="1:33">
      <c r="A275" s="459" t="s">
        <v>2425</v>
      </c>
      <c r="B275" s="460"/>
      <c r="C275" s="461">
        <v>1140843.58</v>
      </c>
      <c r="D275" s="461">
        <v>-788425.46</v>
      </c>
      <c r="E275" s="429">
        <v>138</v>
      </c>
      <c r="F275" s="431">
        <v>25</v>
      </c>
      <c r="G275" s="450">
        <v>352418.12</v>
      </c>
      <c r="H275" s="309">
        <f t="shared" si="34"/>
        <v>340199.78377959999</v>
      </c>
      <c r="I275" s="309">
        <f t="shared" si="34"/>
        <v>328078.46548353281</v>
      </c>
      <c r="J275" s="309">
        <f t="shared" si="34"/>
        <v>316773.94432562607</v>
      </c>
      <c r="K275" s="309">
        <f t="shared" si="34"/>
        <v>306182.89938292612</v>
      </c>
      <c r="L275" s="309">
        <f t="shared" si="34"/>
        <v>295945.95626895165</v>
      </c>
      <c r="M275" s="309">
        <f t="shared" si="34"/>
        <v>286051.27591534017</v>
      </c>
      <c r="N275" s="308">
        <v>0</v>
      </c>
      <c r="O275" s="462">
        <v>1</v>
      </c>
      <c r="P275" s="463">
        <v>0</v>
      </c>
      <c r="Q275" s="309">
        <f t="shared" si="35"/>
        <v>0</v>
      </c>
      <c r="R275" s="311">
        <f t="shared" si="36"/>
        <v>286051.27591534017</v>
      </c>
      <c r="S275" s="312">
        <f t="shared" si="37"/>
        <v>0</v>
      </c>
      <c r="T275" s="309">
        <f t="shared" si="38"/>
        <v>0</v>
      </c>
      <c r="U275" s="311">
        <f t="shared" si="39"/>
        <v>0</v>
      </c>
      <c r="V275" s="464">
        <f t="shared" si="40"/>
        <v>286051.27591534017</v>
      </c>
      <c r="W275" s="311">
        <f t="shared" si="41"/>
        <v>0</v>
      </c>
      <c r="X275" s="321"/>
      <c r="Y275" s="321"/>
      <c r="Z275" s="321"/>
      <c r="AA275" s="321"/>
      <c r="AE275" s="436"/>
      <c r="AF275" s="436"/>
      <c r="AG275" s="436"/>
    </row>
    <row r="276" spans="1:33">
      <c r="A276" s="459" t="s">
        <v>2426</v>
      </c>
      <c r="B276" s="460"/>
      <c r="C276" s="461">
        <v>3710491.88</v>
      </c>
      <c r="D276" s="461">
        <v>-1593002.3</v>
      </c>
      <c r="E276" s="429">
        <v>138</v>
      </c>
      <c r="F276" s="431">
        <v>25</v>
      </c>
      <c r="G276" s="450">
        <v>2117489.58</v>
      </c>
      <c r="H276" s="309">
        <f t="shared" si="34"/>
        <v>2044076.2162614001</v>
      </c>
      <c r="I276" s="309">
        <f t="shared" si="34"/>
        <v>1971245.7806760063</v>
      </c>
      <c r="J276" s="309">
        <f t="shared" si="34"/>
        <v>1903323.0366390166</v>
      </c>
      <c r="K276" s="309">
        <f t="shared" si="34"/>
        <v>1839687.1846928147</v>
      </c>
      <c r="L276" s="309">
        <f t="shared" si="34"/>
        <v>1778178.9388202878</v>
      </c>
      <c r="M276" s="309">
        <f t="shared" si="34"/>
        <v>1718727.1644728081</v>
      </c>
      <c r="N276" s="308">
        <v>0</v>
      </c>
      <c r="O276" s="462">
        <v>1</v>
      </c>
      <c r="P276" s="463">
        <v>0</v>
      </c>
      <c r="Q276" s="309">
        <f t="shared" si="35"/>
        <v>0</v>
      </c>
      <c r="R276" s="311">
        <f t="shared" si="36"/>
        <v>1718727.1644728081</v>
      </c>
      <c r="S276" s="312">
        <f t="shared" si="37"/>
        <v>0</v>
      </c>
      <c r="T276" s="309">
        <f t="shared" si="38"/>
        <v>0</v>
      </c>
      <c r="U276" s="311">
        <f t="shared" si="39"/>
        <v>0</v>
      </c>
      <c r="V276" s="464">
        <f t="shared" si="40"/>
        <v>1718727.1644728081</v>
      </c>
      <c r="W276" s="311">
        <f t="shared" si="41"/>
        <v>0</v>
      </c>
      <c r="X276" s="321"/>
      <c r="Y276" s="321"/>
      <c r="Z276" s="321"/>
      <c r="AA276" s="321"/>
      <c r="AE276" s="436"/>
      <c r="AF276" s="436"/>
      <c r="AG276" s="436"/>
    </row>
    <row r="277" spans="1:33">
      <c r="A277" s="459" t="s">
        <v>2427</v>
      </c>
      <c r="B277" s="460"/>
      <c r="C277" s="461">
        <v>4513972.4800000004</v>
      </c>
      <c r="D277" s="461">
        <v>-2220341.52</v>
      </c>
      <c r="E277" s="429">
        <v>138</v>
      </c>
      <c r="F277" s="431">
        <v>25</v>
      </c>
      <c r="G277" s="450">
        <v>2293630.96</v>
      </c>
      <c r="H277" s="309">
        <f t="shared" si="34"/>
        <v>2214110.7746167998</v>
      </c>
      <c r="I277" s="309">
        <f t="shared" si="34"/>
        <v>2135222.0077172033</v>
      </c>
      <c r="J277" s="309">
        <f t="shared" si="34"/>
        <v>2061649.1740736039</v>
      </c>
      <c r="K277" s="309">
        <f t="shared" si="34"/>
        <v>1992719.8336091351</v>
      </c>
      <c r="L277" s="309">
        <f t="shared" si="34"/>
        <v>1926095.0821293569</v>
      </c>
      <c r="M277" s="309">
        <f t="shared" si="34"/>
        <v>1861697.8678250895</v>
      </c>
      <c r="N277" s="308">
        <v>0.7346189164370982</v>
      </c>
      <c r="O277" s="462">
        <v>0.26538108356290174</v>
      </c>
      <c r="P277" s="463">
        <v>0</v>
      </c>
      <c r="Q277" s="309">
        <f t="shared" si="35"/>
        <v>1367638.4703949234</v>
      </c>
      <c r="R277" s="311">
        <f t="shared" si="36"/>
        <v>494059.39743016608</v>
      </c>
      <c r="S277" s="312">
        <f t="shared" si="37"/>
        <v>0</v>
      </c>
      <c r="T277" s="309">
        <f t="shared" si="38"/>
        <v>1367638.4703949234</v>
      </c>
      <c r="U277" s="311">
        <f t="shared" si="39"/>
        <v>0</v>
      </c>
      <c r="V277" s="464">
        <f t="shared" si="40"/>
        <v>494059.39743016608</v>
      </c>
      <c r="W277" s="311">
        <f t="shared" si="41"/>
        <v>0</v>
      </c>
      <c r="X277" s="321"/>
      <c r="Y277" s="321"/>
      <c r="Z277" s="321"/>
      <c r="AA277" s="321"/>
      <c r="AE277" s="436"/>
      <c r="AF277" s="436"/>
      <c r="AG277" s="436"/>
    </row>
    <row r="278" spans="1:33">
      <c r="A278" s="459" t="s">
        <v>2428</v>
      </c>
      <c r="B278" s="460"/>
      <c r="C278" s="461">
        <v>10535752.59</v>
      </c>
      <c r="D278" s="461">
        <v>-2023062.83</v>
      </c>
      <c r="E278" s="429">
        <v>138</v>
      </c>
      <c r="F278" s="431">
        <v>25</v>
      </c>
      <c r="G278" s="450">
        <v>8512689.7599999998</v>
      </c>
      <c r="H278" s="309">
        <f t="shared" si="34"/>
        <v>8217554.8060208</v>
      </c>
      <c r="I278" s="309">
        <f t="shared" si="34"/>
        <v>7924763.328282278</v>
      </c>
      <c r="J278" s="309">
        <f t="shared" si="34"/>
        <v>7651701.6551123057</v>
      </c>
      <c r="K278" s="309">
        <f t="shared" si="34"/>
        <v>7395874.0608006921</v>
      </c>
      <c r="L278" s="309">
        <f t="shared" si="34"/>
        <v>7148599.82637701</v>
      </c>
      <c r="M278" s="309">
        <f t="shared" si="34"/>
        <v>6909592.9781347532</v>
      </c>
      <c r="N278" s="308">
        <v>0</v>
      </c>
      <c r="O278" s="462">
        <v>1</v>
      </c>
      <c r="P278" s="463">
        <v>0</v>
      </c>
      <c r="Q278" s="309">
        <f t="shared" si="35"/>
        <v>0</v>
      </c>
      <c r="R278" s="311">
        <f t="shared" si="36"/>
        <v>6909592.9781347532</v>
      </c>
      <c r="S278" s="312">
        <f t="shared" si="37"/>
        <v>0</v>
      </c>
      <c r="T278" s="309">
        <f t="shared" si="38"/>
        <v>0</v>
      </c>
      <c r="U278" s="311">
        <f t="shared" si="39"/>
        <v>0</v>
      </c>
      <c r="V278" s="464">
        <f t="shared" si="40"/>
        <v>6909592.9781347532</v>
      </c>
      <c r="W278" s="311">
        <f t="shared" si="41"/>
        <v>0</v>
      </c>
      <c r="X278" s="321"/>
      <c r="Y278" s="321"/>
      <c r="Z278" s="321"/>
      <c r="AA278" s="321"/>
      <c r="AE278" s="436"/>
      <c r="AF278" s="436"/>
      <c r="AG278" s="436"/>
    </row>
    <row r="279" spans="1:33">
      <c r="A279" s="459" t="s">
        <v>2429</v>
      </c>
      <c r="B279" s="460"/>
      <c r="C279" s="461">
        <v>840379.67</v>
      </c>
      <c r="D279" s="461">
        <v>-678538.33</v>
      </c>
      <c r="E279" s="429">
        <v>138</v>
      </c>
      <c r="F279" s="431">
        <v>13</v>
      </c>
      <c r="G279" s="450">
        <v>161841.34</v>
      </c>
      <c r="H279" s="309">
        <f t="shared" si="34"/>
        <v>156230.30074219999</v>
      </c>
      <c r="I279" s="309">
        <f t="shared" si="34"/>
        <v>150663.81512675539</v>
      </c>
      <c r="J279" s="309">
        <f t="shared" si="34"/>
        <v>145472.42811108782</v>
      </c>
      <c r="K279" s="309">
        <f t="shared" si="34"/>
        <v>140608.69152022584</v>
      </c>
      <c r="L279" s="309">
        <f t="shared" si="34"/>
        <v>135907.56948067408</v>
      </c>
      <c r="M279" s="309">
        <f t="shared" si="34"/>
        <v>131363.62512474778</v>
      </c>
      <c r="N279" s="308">
        <v>0</v>
      </c>
      <c r="O279" s="462">
        <v>1</v>
      </c>
      <c r="P279" s="463">
        <v>0</v>
      </c>
      <c r="Q279" s="309">
        <f t="shared" si="35"/>
        <v>0</v>
      </c>
      <c r="R279" s="311">
        <f t="shared" si="36"/>
        <v>131363.62512474778</v>
      </c>
      <c r="S279" s="312">
        <f t="shared" si="37"/>
        <v>0</v>
      </c>
      <c r="T279" s="309">
        <f t="shared" si="38"/>
        <v>0</v>
      </c>
      <c r="U279" s="311">
        <f t="shared" si="39"/>
        <v>0</v>
      </c>
      <c r="V279" s="464">
        <f t="shared" si="40"/>
        <v>131363.62512474778</v>
      </c>
      <c r="W279" s="311">
        <f t="shared" si="41"/>
        <v>0</v>
      </c>
      <c r="X279" s="321"/>
      <c r="Y279" s="321"/>
      <c r="Z279" s="321"/>
      <c r="AA279" s="321"/>
      <c r="AE279" s="436"/>
      <c r="AF279" s="436"/>
      <c r="AG279" s="436"/>
    </row>
    <row r="280" spans="1:33">
      <c r="A280" s="459" t="s">
        <v>2430</v>
      </c>
      <c r="B280" s="460"/>
      <c r="C280" s="461">
        <v>1410132.99</v>
      </c>
      <c r="D280" s="461">
        <v>-999966.59</v>
      </c>
      <c r="E280" s="429">
        <v>138</v>
      </c>
      <c r="F280" s="431">
        <v>4.2</v>
      </c>
      <c r="G280" s="450">
        <v>410166.4</v>
      </c>
      <c r="H280" s="309">
        <f t="shared" ref="H280:M322" si="42">+$G280*(H$3)</f>
        <v>395945.93091200001</v>
      </c>
      <c r="I280" s="309">
        <f t="shared" si="42"/>
        <v>381838.37739360542</v>
      </c>
      <c r="J280" s="309">
        <f t="shared" si="42"/>
        <v>368681.46381872328</v>
      </c>
      <c r="K280" s="309">
        <f t="shared" si="42"/>
        <v>356354.93879105034</v>
      </c>
      <c r="L280" s="309">
        <f t="shared" si="42"/>
        <v>344440.53976961609</v>
      </c>
      <c r="M280" s="309">
        <f t="shared" si="42"/>
        <v>332924.48770114826</v>
      </c>
      <c r="N280" s="308">
        <v>0</v>
      </c>
      <c r="O280" s="462">
        <v>1</v>
      </c>
      <c r="P280" s="463">
        <v>0</v>
      </c>
      <c r="Q280" s="309">
        <f t="shared" si="35"/>
        <v>0</v>
      </c>
      <c r="R280" s="311">
        <f t="shared" si="36"/>
        <v>332924.48770114826</v>
      </c>
      <c r="S280" s="312">
        <f t="shared" si="37"/>
        <v>0</v>
      </c>
      <c r="T280" s="309">
        <f t="shared" si="38"/>
        <v>0</v>
      </c>
      <c r="U280" s="311">
        <f t="shared" si="39"/>
        <v>0</v>
      </c>
      <c r="V280" s="464">
        <f t="shared" si="40"/>
        <v>332924.48770114826</v>
      </c>
      <c r="W280" s="311">
        <f t="shared" si="41"/>
        <v>0</v>
      </c>
      <c r="X280" s="321"/>
      <c r="Y280" s="321"/>
      <c r="Z280" s="321"/>
      <c r="AA280" s="321"/>
      <c r="AE280" s="436"/>
      <c r="AF280" s="436"/>
      <c r="AG280" s="436"/>
    </row>
    <row r="281" spans="1:33">
      <c r="A281" s="459" t="s">
        <v>2431</v>
      </c>
      <c r="B281" s="460"/>
      <c r="C281" s="461">
        <v>1770368.47</v>
      </c>
      <c r="D281" s="461">
        <v>-1118812.1599999999</v>
      </c>
      <c r="E281" s="429">
        <v>138</v>
      </c>
      <c r="F281" s="431">
        <v>25</v>
      </c>
      <c r="G281" s="450">
        <v>651556.31000000006</v>
      </c>
      <c r="H281" s="309">
        <f t="shared" si="42"/>
        <v>628966.85273230006</v>
      </c>
      <c r="I281" s="309">
        <f t="shared" si="42"/>
        <v>606556.76376944815</v>
      </c>
      <c r="J281" s="309">
        <f t="shared" si="42"/>
        <v>585656.78254270914</v>
      </c>
      <c r="K281" s="309">
        <f t="shared" si="42"/>
        <v>566075.88766162377</v>
      </c>
      <c r="L281" s="309">
        <f t="shared" si="42"/>
        <v>547149.66195841332</v>
      </c>
      <c r="M281" s="309">
        <f t="shared" si="42"/>
        <v>528856.21717234899</v>
      </c>
      <c r="N281" s="308">
        <v>0</v>
      </c>
      <c r="O281" s="462">
        <v>1</v>
      </c>
      <c r="P281" s="463">
        <v>0</v>
      </c>
      <c r="Q281" s="309">
        <f t="shared" si="35"/>
        <v>0</v>
      </c>
      <c r="R281" s="311">
        <f t="shared" si="36"/>
        <v>528856.21717234899</v>
      </c>
      <c r="S281" s="312">
        <f t="shared" si="37"/>
        <v>0</v>
      </c>
      <c r="T281" s="309">
        <f t="shared" si="38"/>
        <v>0</v>
      </c>
      <c r="U281" s="311">
        <f t="shared" si="39"/>
        <v>0</v>
      </c>
      <c r="V281" s="464">
        <f t="shared" si="40"/>
        <v>528856.21717234899</v>
      </c>
      <c r="W281" s="311">
        <f t="shared" si="41"/>
        <v>0</v>
      </c>
      <c r="X281" s="321"/>
      <c r="Y281" s="321"/>
      <c r="Z281" s="321"/>
      <c r="AA281" s="321"/>
      <c r="AE281" s="436"/>
      <c r="AF281" s="436"/>
      <c r="AG281" s="436"/>
    </row>
    <row r="282" spans="1:33">
      <c r="A282" s="459" t="s">
        <v>2432</v>
      </c>
      <c r="B282" s="460"/>
      <c r="C282" s="461">
        <v>21593613.539999999</v>
      </c>
      <c r="D282" s="461">
        <v>-8890289.8699999992</v>
      </c>
      <c r="E282" s="429">
        <v>138</v>
      </c>
      <c r="F282" s="431">
        <v>25</v>
      </c>
      <c r="G282" s="450">
        <v>12703323.67</v>
      </c>
      <c r="H282" s="309">
        <f t="shared" si="42"/>
        <v>12262899.438361101</v>
      </c>
      <c r="I282" s="309">
        <f t="shared" si="42"/>
        <v>11825972.331372293</v>
      </c>
      <c r="J282" s="309">
        <f t="shared" si="42"/>
        <v>11418487.633357184</v>
      </c>
      <c r="K282" s="309">
        <f t="shared" si="42"/>
        <v>11036721.020702209</v>
      </c>
      <c r="L282" s="309">
        <f t="shared" si="42"/>
        <v>10667718.422969166</v>
      </c>
      <c r="M282" s="309">
        <f t="shared" si="42"/>
        <v>10311053.087080318</v>
      </c>
      <c r="N282" s="308">
        <v>0.7403207006269098</v>
      </c>
      <c r="O282" s="462">
        <v>0.25967929937309009</v>
      </c>
      <c r="P282" s="463">
        <v>0</v>
      </c>
      <c r="Q282" s="309">
        <f t="shared" si="35"/>
        <v>7633486.0456285626</v>
      </c>
      <c r="R282" s="311">
        <f t="shared" si="36"/>
        <v>2677567.041451755</v>
      </c>
      <c r="S282" s="312">
        <f t="shared" si="37"/>
        <v>0</v>
      </c>
      <c r="T282" s="309">
        <f t="shared" si="38"/>
        <v>7633486.0456285626</v>
      </c>
      <c r="U282" s="311">
        <f t="shared" si="39"/>
        <v>0</v>
      </c>
      <c r="V282" s="464">
        <f t="shared" si="40"/>
        <v>2677567.041451755</v>
      </c>
      <c r="W282" s="311">
        <f t="shared" si="41"/>
        <v>0</v>
      </c>
      <c r="X282" s="321"/>
      <c r="Y282" s="321"/>
      <c r="Z282" s="321"/>
      <c r="AA282" s="321"/>
      <c r="AE282" s="436"/>
      <c r="AF282" s="436"/>
      <c r="AG282" s="436"/>
    </row>
    <row r="283" spans="1:33">
      <c r="A283" s="459" t="s">
        <v>2433</v>
      </c>
      <c r="B283" s="460"/>
      <c r="C283" s="461">
        <v>1462872.51</v>
      </c>
      <c r="D283" s="461">
        <v>-536818.73</v>
      </c>
      <c r="E283" s="429">
        <v>138</v>
      </c>
      <c r="F283" s="431">
        <v>4.2</v>
      </c>
      <c r="G283" s="450">
        <v>926053.78</v>
      </c>
      <c r="H283" s="309">
        <f t="shared" si="42"/>
        <v>893947.49544740003</v>
      </c>
      <c r="I283" s="309">
        <f t="shared" si="42"/>
        <v>862096.14618460904</v>
      </c>
      <c r="J283" s="309">
        <f t="shared" si="42"/>
        <v>832391.10562264954</v>
      </c>
      <c r="K283" s="309">
        <f t="shared" si="42"/>
        <v>804560.875998426</v>
      </c>
      <c r="L283" s="309">
        <f t="shared" si="42"/>
        <v>777661.12445800856</v>
      </c>
      <c r="M283" s="309">
        <f t="shared" si="42"/>
        <v>751660.7413240379</v>
      </c>
      <c r="N283" s="308">
        <v>0</v>
      </c>
      <c r="O283" s="462">
        <v>1</v>
      </c>
      <c r="P283" s="463">
        <v>0</v>
      </c>
      <c r="Q283" s="309">
        <f t="shared" si="35"/>
        <v>0</v>
      </c>
      <c r="R283" s="311">
        <f t="shared" si="36"/>
        <v>751660.7413240379</v>
      </c>
      <c r="S283" s="312">
        <f t="shared" si="37"/>
        <v>0</v>
      </c>
      <c r="T283" s="309">
        <f t="shared" si="38"/>
        <v>0</v>
      </c>
      <c r="U283" s="311">
        <f t="shared" si="39"/>
        <v>0</v>
      </c>
      <c r="V283" s="464">
        <f t="shared" si="40"/>
        <v>751660.7413240379</v>
      </c>
      <c r="W283" s="311">
        <f t="shared" si="41"/>
        <v>0</v>
      </c>
      <c r="X283" s="321"/>
      <c r="Y283" s="321"/>
      <c r="Z283" s="321"/>
      <c r="AA283" s="321"/>
      <c r="AE283" s="436"/>
      <c r="AF283" s="436"/>
      <c r="AG283" s="436"/>
    </row>
    <row r="284" spans="1:33">
      <c r="A284" s="459" t="s">
        <v>2434</v>
      </c>
      <c r="B284" s="460"/>
      <c r="C284" s="461">
        <v>2942328.21</v>
      </c>
      <c r="D284" s="461">
        <v>-1210061.82</v>
      </c>
      <c r="E284" s="429">
        <v>138</v>
      </c>
      <c r="F284" s="431">
        <v>25</v>
      </c>
      <c r="G284" s="450">
        <v>1732266.39</v>
      </c>
      <c r="H284" s="309">
        <f t="shared" si="42"/>
        <v>1672208.7142586999</v>
      </c>
      <c r="I284" s="309">
        <f t="shared" si="42"/>
        <v>1612627.9177696623</v>
      </c>
      <c r="J284" s="309">
        <f t="shared" si="42"/>
        <v>1557061.9835978162</v>
      </c>
      <c r="K284" s="309">
        <f t="shared" si="42"/>
        <v>1505003.0509038372</v>
      </c>
      <c r="L284" s="309">
        <f t="shared" si="42"/>
        <v>1454684.6606556857</v>
      </c>
      <c r="M284" s="309">
        <f t="shared" si="42"/>
        <v>1406048.6194204777</v>
      </c>
      <c r="N284" s="308">
        <v>0</v>
      </c>
      <c r="O284" s="462">
        <v>1</v>
      </c>
      <c r="P284" s="463">
        <v>0</v>
      </c>
      <c r="Q284" s="309">
        <f t="shared" si="35"/>
        <v>0</v>
      </c>
      <c r="R284" s="311">
        <f t="shared" si="36"/>
        <v>1406048.6194204777</v>
      </c>
      <c r="S284" s="312">
        <f t="shared" si="37"/>
        <v>0</v>
      </c>
      <c r="T284" s="309">
        <f t="shared" si="38"/>
        <v>0</v>
      </c>
      <c r="U284" s="311">
        <f t="shared" si="39"/>
        <v>0</v>
      </c>
      <c r="V284" s="464">
        <f t="shared" si="40"/>
        <v>1406048.6194204777</v>
      </c>
      <c r="W284" s="311">
        <f t="shared" si="41"/>
        <v>0</v>
      </c>
      <c r="X284" s="321"/>
      <c r="Y284" s="321"/>
      <c r="Z284" s="321"/>
      <c r="AA284" s="321"/>
      <c r="AE284" s="436"/>
      <c r="AF284" s="436"/>
      <c r="AG284" s="436"/>
    </row>
    <row r="285" spans="1:33">
      <c r="A285" s="459" t="s">
        <v>2435</v>
      </c>
      <c r="B285" s="460"/>
      <c r="C285" s="461">
        <v>2116841.36</v>
      </c>
      <c r="D285" s="461">
        <v>-1270559.51</v>
      </c>
      <c r="E285" s="429">
        <v>138</v>
      </c>
      <c r="F285" s="431">
        <v>25</v>
      </c>
      <c r="G285" s="450">
        <v>846281.85</v>
      </c>
      <c r="H285" s="309">
        <f t="shared" si="42"/>
        <v>816941.25826050004</v>
      </c>
      <c r="I285" s="309">
        <f t="shared" si="42"/>
        <v>787833.64122867829</v>
      </c>
      <c r="J285" s="309">
        <f t="shared" si="42"/>
        <v>760687.44602487469</v>
      </c>
      <c r="K285" s="309">
        <f t="shared" si="42"/>
        <v>735254.56218921591</v>
      </c>
      <c r="L285" s="309">
        <f t="shared" si="42"/>
        <v>710672.0033899151</v>
      </c>
      <c r="M285" s="309">
        <f t="shared" si="42"/>
        <v>686911.33979289862</v>
      </c>
      <c r="N285" s="308">
        <v>0</v>
      </c>
      <c r="O285" s="462">
        <v>1</v>
      </c>
      <c r="P285" s="463">
        <v>0</v>
      </c>
      <c r="Q285" s="309">
        <f t="shared" si="35"/>
        <v>0</v>
      </c>
      <c r="R285" s="311">
        <f t="shared" si="36"/>
        <v>686911.33979289862</v>
      </c>
      <c r="S285" s="312">
        <f t="shared" si="37"/>
        <v>0</v>
      </c>
      <c r="T285" s="309">
        <f t="shared" si="38"/>
        <v>0</v>
      </c>
      <c r="U285" s="311">
        <f t="shared" si="39"/>
        <v>0</v>
      </c>
      <c r="V285" s="464">
        <f t="shared" si="40"/>
        <v>686911.33979289862</v>
      </c>
      <c r="W285" s="311">
        <f t="shared" si="41"/>
        <v>0</v>
      </c>
      <c r="X285" s="321"/>
      <c r="Y285" s="321"/>
      <c r="Z285" s="321"/>
      <c r="AA285" s="321"/>
      <c r="AE285" s="436"/>
      <c r="AF285" s="436"/>
      <c r="AG285" s="436"/>
    </row>
    <row r="286" spans="1:33">
      <c r="A286" s="459" t="s">
        <v>2436</v>
      </c>
      <c r="B286" s="460"/>
      <c r="C286" s="461">
        <v>1958422.54</v>
      </c>
      <c r="D286" s="461">
        <v>-1178276.8999999999</v>
      </c>
      <c r="E286" s="429">
        <v>138</v>
      </c>
      <c r="F286" s="431">
        <v>25</v>
      </c>
      <c r="G286" s="450">
        <v>780145.64</v>
      </c>
      <c r="H286" s="309">
        <f t="shared" si="42"/>
        <v>753097.99066120002</v>
      </c>
      <c r="I286" s="309">
        <f t="shared" si="42"/>
        <v>726265.10925394145</v>
      </c>
      <c r="J286" s="309">
        <f t="shared" si="42"/>
        <v>701240.36621964816</v>
      </c>
      <c r="K286" s="309">
        <f t="shared" si="42"/>
        <v>677795.04072080203</v>
      </c>
      <c r="L286" s="309">
        <f t="shared" si="42"/>
        <v>655133.58807672351</v>
      </c>
      <c r="M286" s="309">
        <f t="shared" si="42"/>
        <v>633229.80022079928</v>
      </c>
      <c r="N286" s="308">
        <v>0</v>
      </c>
      <c r="O286" s="462">
        <v>1</v>
      </c>
      <c r="P286" s="463">
        <v>0</v>
      </c>
      <c r="Q286" s="309">
        <f t="shared" si="35"/>
        <v>0</v>
      </c>
      <c r="R286" s="311">
        <f t="shared" si="36"/>
        <v>633229.80022079928</v>
      </c>
      <c r="S286" s="312">
        <f t="shared" si="37"/>
        <v>0</v>
      </c>
      <c r="T286" s="309">
        <f t="shared" si="38"/>
        <v>0</v>
      </c>
      <c r="U286" s="311">
        <f t="shared" si="39"/>
        <v>0</v>
      </c>
      <c r="V286" s="464">
        <f t="shared" si="40"/>
        <v>633229.80022079928</v>
      </c>
      <c r="W286" s="311">
        <f t="shared" si="41"/>
        <v>0</v>
      </c>
      <c r="X286" s="321"/>
      <c r="Y286" s="321"/>
      <c r="Z286" s="321"/>
      <c r="AA286" s="321"/>
      <c r="AE286" s="436"/>
      <c r="AF286" s="436"/>
      <c r="AG286" s="436"/>
    </row>
    <row r="287" spans="1:33">
      <c r="A287" s="459" t="s">
        <v>2437</v>
      </c>
      <c r="B287" s="460"/>
      <c r="C287" s="461">
        <v>1039143.17</v>
      </c>
      <c r="D287" s="461">
        <v>-668524.61</v>
      </c>
      <c r="E287" s="429">
        <v>138</v>
      </c>
      <c r="F287" s="431">
        <v>13</v>
      </c>
      <c r="G287" s="450">
        <v>370618.56</v>
      </c>
      <c r="H287" s="309">
        <f t="shared" si="42"/>
        <v>357769.21452480002</v>
      </c>
      <c r="I287" s="309">
        <f t="shared" si="42"/>
        <v>345021.89741128136</v>
      </c>
      <c r="J287" s="309">
        <f t="shared" si="42"/>
        <v>333133.56047493726</v>
      </c>
      <c r="K287" s="309">
        <f t="shared" si="42"/>
        <v>321995.54684056813</v>
      </c>
      <c r="L287" s="309">
        <f t="shared" si="42"/>
        <v>311229.92242913571</v>
      </c>
      <c r="M287" s="309">
        <f t="shared" si="42"/>
        <v>300824.2367501026</v>
      </c>
      <c r="N287" s="308">
        <v>0</v>
      </c>
      <c r="O287" s="462">
        <v>1</v>
      </c>
      <c r="P287" s="463">
        <v>0</v>
      </c>
      <c r="Q287" s="309">
        <f t="shared" si="35"/>
        <v>0</v>
      </c>
      <c r="R287" s="311">
        <f t="shared" si="36"/>
        <v>300824.2367501026</v>
      </c>
      <c r="S287" s="312">
        <f t="shared" si="37"/>
        <v>0</v>
      </c>
      <c r="T287" s="309">
        <f t="shared" si="38"/>
        <v>0</v>
      </c>
      <c r="U287" s="311">
        <f t="shared" si="39"/>
        <v>0</v>
      </c>
      <c r="V287" s="464">
        <f t="shared" si="40"/>
        <v>300824.2367501026</v>
      </c>
      <c r="W287" s="311">
        <f t="shared" si="41"/>
        <v>0</v>
      </c>
      <c r="X287" s="321"/>
      <c r="Y287" s="321"/>
      <c r="Z287" s="321"/>
      <c r="AA287" s="321"/>
      <c r="AE287" s="436"/>
      <c r="AF287" s="436"/>
      <c r="AG287" s="436"/>
    </row>
    <row r="288" spans="1:33">
      <c r="A288" s="459" t="s">
        <v>2438</v>
      </c>
      <c r="B288" s="460"/>
      <c r="C288" s="461">
        <v>116979.04</v>
      </c>
      <c r="D288" s="461">
        <v>-164476.74</v>
      </c>
      <c r="E288" s="429">
        <v>25</v>
      </c>
      <c r="F288" s="431">
        <v>25</v>
      </c>
      <c r="G288" s="450">
        <v>-47497.7</v>
      </c>
      <c r="H288" s="309">
        <f t="shared" si="42"/>
        <v>-45850.954741000001</v>
      </c>
      <c r="I288" s="309">
        <f t="shared" si="42"/>
        <v>-44217.285223578161</v>
      </c>
      <c r="J288" s="309">
        <f t="shared" si="42"/>
        <v>-42693.700810262788</v>
      </c>
      <c r="K288" s="309">
        <f t="shared" si="42"/>
        <v>-41266.276263037806</v>
      </c>
      <c r="L288" s="309">
        <f t="shared" si="42"/>
        <v>-39886.57634027383</v>
      </c>
      <c r="M288" s="309">
        <f t="shared" si="42"/>
        <v>-38553.00541312703</v>
      </c>
      <c r="N288" s="308">
        <v>0</v>
      </c>
      <c r="O288" s="462">
        <v>0</v>
      </c>
      <c r="P288" s="463">
        <v>1</v>
      </c>
      <c r="Q288" s="309">
        <f t="shared" si="35"/>
        <v>0</v>
      </c>
      <c r="R288" s="311">
        <f t="shared" si="36"/>
        <v>0</v>
      </c>
      <c r="S288" s="312">
        <f t="shared" si="37"/>
        <v>-38553.00541312703</v>
      </c>
      <c r="T288" s="309">
        <f t="shared" si="38"/>
        <v>0</v>
      </c>
      <c r="U288" s="311">
        <f t="shared" si="39"/>
        <v>0</v>
      </c>
      <c r="V288" s="464">
        <f t="shared" si="40"/>
        <v>-38553.00541312703</v>
      </c>
      <c r="W288" s="311">
        <f t="shared" si="41"/>
        <v>0</v>
      </c>
      <c r="X288" s="321"/>
      <c r="Y288" s="321"/>
      <c r="Z288" s="321"/>
      <c r="AA288" s="321"/>
      <c r="AE288" s="436"/>
      <c r="AF288" s="436"/>
      <c r="AG288" s="436"/>
    </row>
    <row r="289" spans="1:33">
      <c r="A289" s="459" t="s">
        <v>2439</v>
      </c>
      <c r="B289" s="460"/>
      <c r="C289" s="461">
        <v>40319.769999999997</v>
      </c>
      <c r="D289" s="461">
        <v>-5277.85</v>
      </c>
      <c r="E289" s="429">
        <v>25</v>
      </c>
      <c r="F289" s="431">
        <v>13.8</v>
      </c>
      <c r="G289" s="450">
        <v>35041.919999999998</v>
      </c>
      <c r="H289" s="309">
        <f t="shared" si="42"/>
        <v>33827.016633599997</v>
      </c>
      <c r="I289" s="309">
        <f t="shared" si="42"/>
        <v>32621.760030944828</v>
      </c>
      <c r="J289" s="309">
        <f t="shared" si="42"/>
        <v>31497.719853743736</v>
      </c>
      <c r="K289" s="309">
        <f t="shared" si="42"/>
        <v>30444.622613458541</v>
      </c>
      <c r="L289" s="309">
        <f t="shared" si="42"/>
        <v>29426.734709044194</v>
      </c>
      <c r="M289" s="309">
        <f t="shared" si="42"/>
        <v>28442.87894879888</v>
      </c>
      <c r="N289" s="308">
        <v>0</v>
      </c>
      <c r="O289" s="462">
        <v>0</v>
      </c>
      <c r="P289" s="463">
        <v>1</v>
      </c>
      <c r="Q289" s="309">
        <f t="shared" si="35"/>
        <v>0</v>
      </c>
      <c r="R289" s="311">
        <f t="shared" si="36"/>
        <v>0</v>
      </c>
      <c r="S289" s="312">
        <f t="shared" si="37"/>
        <v>28442.87894879888</v>
      </c>
      <c r="T289" s="309">
        <f t="shared" si="38"/>
        <v>0</v>
      </c>
      <c r="U289" s="311">
        <f t="shared" si="39"/>
        <v>0</v>
      </c>
      <c r="V289" s="464">
        <f t="shared" si="40"/>
        <v>28442.87894879888</v>
      </c>
      <c r="W289" s="311">
        <f t="shared" si="41"/>
        <v>0</v>
      </c>
      <c r="X289" s="321"/>
      <c r="Y289" s="321"/>
      <c r="Z289" s="321"/>
      <c r="AA289" s="321"/>
      <c r="AE289" s="436"/>
      <c r="AF289" s="436"/>
      <c r="AG289" s="436"/>
    </row>
    <row r="290" spans="1:33">
      <c r="A290" s="459" t="s">
        <v>2440</v>
      </c>
      <c r="B290" s="460"/>
      <c r="C290" s="461">
        <v>11816590.279999999</v>
      </c>
      <c r="D290" s="461">
        <v>-181612.66</v>
      </c>
      <c r="E290" s="429">
        <v>240</v>
      </c>
      <c r="F290" s="431">
        <v>240</v>
      </c>
      <c r="G290" s="450">
        <v>11634977.619999999</v>
      </c>
      <c r="H290" s="309">
        <f t="shared" si="42"/>
        <v>11231592.9459146</v>
      </c>
      <c r="I290" s="309">
        <f t="shared" si="42"/>
        <v>10831411.289251661</v>
      </c>
      <c r="J290" s="309">
        <f t="shared" si="42"/>
        <v>10458195.943011628</v>
      </c>
      <c r="K290" s="309">
        <f t="shared" si="42"/>
        <v>10108535.798179325</v>
      </c>
      <c r="L290" s="309">
        <f t="shared" si="42"/>
        <v>9770566.2181012463</v>
      </c>
      <c r="M290" s="309">
        <f t="shared" si="42"/>
        <v>9443896.3395169005</v>
      </c>
      <c r="N290" s="308">
        <v>0</v>
      </c>
      <c r="O290" s="462">
        <v>0</v>
      </c>
      <c r="P290" s="463">
        <v>1</v>
      </c>
      <c r="Q290" s="309">
        <f t="shared" si="35"/>
        <v>0</v>
      </c>
      <c r="R290" s="311">
        <f t="shared" si="36"/>
        <v>0</v>
      </c>
      <c r="S290" s="312">
        <f t="shared" si="37"/>
        <v>9443896.3395169005</v>
      </c>
      <c r="T290" s="309">
        <f t="shared" si="38"/>
        <v>9443896.3395169005</v>
      </c>
      <c r="U290" s="311">
        <f t="shared" si="39"/>
        <v>0</v>
      </c>
      <c r="V290" s="464">
        <f t="shared" si="40"/>
        <v>0</v>
      </c>
      <c r="W290" s="311">
        <f t="shared" si="41"/>
        <v>0</v>
      </c>
      <c r="X290" s="321"/>
      <c r="Y290" s="321"/>
      <c r="Z290" s="321"/>
      <c r="AA290" s="321"/>
      <c r="AE290" s="436"/>
      <c r="AF290" s="436"/>
      <c r="AG290" s="436"/>
    </row>
    <row r="291" spans="1:33">
      <c r="A291" s="459" t="s">
        <v>2441</v>
      </c>
      <c r="B291" s="460"/>
      <c r="C291" s="461">
        <v>28798619.620000001</v>
      </c>
      <c r="D291" s="461">
        <v>-4094921.8</v>
      </c>
      <c r="E291" s="429">
        <v>240</v>
      </c>
      <c r="F291" s="431">
        <v>138</v>
      </c>
      <c r="G291" s="450">
        <v>24703697.82</v>
      </c>
      <c r="H291" s="309">
        <f t="shared" si="42"/>
        <v>23847220.616580602</v>
      </c>
      <c r="I291" s="309">
        <f t="shared" si="42"/>
        <v>22997544.146011833</v>
      </c>
      <c r="J291" s="309">
        <f t="shared" si="42"/>
        <v>22205123.271952562</v>
      </c>
      <c r="K291" s="309">
        <f t="shared" si="42"/>
        <v>21462715.435878471</v>
      </c>
      <c r="L291" s="309">
        <f t="shared" si="42"/>
        <v>20745129.321724765</v>
      </c>
      <c r="M291" s="309">
        <f t="shared" si="42"/>
        <v>20051535.038090572</v>
      </c>
      <c r="N291" s="308">
        <v>0</v>
      </c>
      <c r="O291" s="462">
        <v>0</v>
      </c>
      <c r="P291" s="463">
        <v>1</v>
      </c>
      <c r="Q291" s="309">
        <f t="shared" si="35"/>
        <v>0</v>
      </c>
      <c r="R291" s="311">
        <f t="shared" si="36"/>
        <v>0</v>
      </c>
      <c r="S291" s="312">
        <f t="shared" si="37"/>
        <v>20051535.038090572</v>
      </c>
      <c r="T291" s="309">
        <f t="shared" si="38"/>
        <v>0</v>
      </c>
      <c r="U291" s="311">
        <f t="shared" si="39"/>
        <v>20051535.038090572</v>
      </c>
      <c r="V291" s="464">
        <f t="shared" si="40"/>
        <v>0</v>
      </c>
      <c r="W291" s="311">
        <f t="shared" si="41"/>
        <v>0</v>
      </c>
      <c r="X291" s="321"/>
      <c r="Y291" s="321"/>
      <c r="Z291" s="321"/>
      <c r="AA291" s="321"/>
      <c r="AE291" s="436"/>
      <c r="AF291" s="436"/>
      <c r="AG291" s="436"/>
    </row>
    <row r="292" spans="1:33">
      <c r="A292" s="459" t="s">
        <v>2442</v>
      </c>
      <c r="B292" s="460"/>
      <c r="C292" s="461">
        <v>33374910.559999999</v>
      </c>
      <c r="D292" s="461">
        <v>-1296338.54</v>
      </c>
      <c r="E292" s="429">
        <v>240</v>
      </c>
      <c r="F292" s="431">
        <v>138</v>
      </c>
      <c r="G292" s="450">
        <v>32078572.02</v>
      </c>
      <c r="H292" s="309">
        <f t="shared" si="42"/>
        <v>30966407.9280666</v>
      </c>
      <c r="I292" s="309">
        <f t="shared" si="42"/>
        <v>29863074.813589584</v>
      </c>
      <c r="J292" s="309">
        <f t="shared" si="42"/>
        <v>28834089.99261748</v>
      </c>
      <c r="K292" s="309">
        <f t="shared" si="42"/>
        <v>27870048.762383752</v>
      </c>
      <c r="L292" s="309">
        <f t="shared" si="42"/>
        <v>26938239.36238391</v>
      </c>
      <c r="M292" s="309">
        <f t="shared" si="42"/>
        <v>26037584.151073534</v>
      </c>
      <c r="N292" s="308">
        <v>0</v>
      </c>
      <c r="O292" s="462">
        <v>1</v>
      </c>
      <c r="P292" s="463">
        <v>0</v>
      </c>
      <c r="Q292" s="309">
        <f t="shared" si="35"/>
        <v>0</v>
      </c>
      <c r="R292" s="311">
        <f t="shared" si="36"/>
        <v>26037584.151073534</v>
      </c>
      <c r="S292" s="312">
        <f t="shared" si="37"/>
        <v>0</v>
      </c>
      <c r="T292" s="309">
        <f t="shared" si="38"/>
        <v>0</v>
      </c>
      <c r="U292" s="311">
        <f t="shared" si="39"/>
        <v>0</v>
      </c>
      <c r="V292" s="464">
        <f t="shared" si="40"/>
        <v>26037584.151073534</v>
      </c>
      <c r="W292" s="311">
        <f t="shared" si="41"/>
        <v>0</v>
      </c>
      <c r="X292" s="321"/>
      <c r="Y292" s="321"/>
      <c r="Z292" s="321"/>
      <c r="AA292" s="321"/>
      <c r="AE292" s="436"/>
      <c r="AF292" s="436"/>
      <c r="AG292" s="436"/>
    </row>
    <row r="293" spans="1:33">
      <c r="A293" s="459" t="s">
        <v>2443</v>
      </c>
      <c r="B293" s="460"/>
      <c r="C293" s="461">
        <v>4322650.88</v>
      </c>
      <c r="D293" s="461">
        <v>-2420639.62</v>
      </c>
      <c r="E293" s="429">
        <v>138</v>
      </c>
      <c r="F293" s="431">
        <v>25</v>
      </c>
      <c r="G293" s="450">
        <v>1902011.26</v>
      </c>
      <c r="H293" s="309">
        <f t="shared" si="42"/>
        <v>1836068.5296158001</v>
      </c>
      <c r="I293" s="309">
        <f t="shared" si="42"/>
        <v>1770649.4079055889</v>
      </c>
      <c r="J293" s="309">
        <f t="shared" si="42"/>
        <v>1709638.5650713814</v>
      </c>
      <c r="K293" s="309">
        <f t="shared" si="42"/>
        <v>1652478.3749648642</v>
      </c>
      <c r="L293" s="309">
        <f t="shared" si="42"/>
        <v>1597229.283145298</v>
      </c>
      <c r="M293" s="309">
        <f t="shared" si="42"/>
        <v>1543827.3938024067</v>
      </c>
      <c r="N293" s="308">
        <v>0</v>
      </c>
      <c r="O293" s="462">
        <v>1</v>
      </c>
      <c r="P293" s="463">
        <v>0</v>
      </c>
      <c r="Q293" s="309">
        <f t="shared" si="35"/>
        <v>0</v>
      </c>
      <c r="R293" s="311">
        <f t="shared" si="36"/>
        <v>1543827.3938024067</v>
      </c>
      <c r="S293" s="312">
        <f t="shared" si="37"/>
        <v>0</v>
      </c>
      <c r="T293" s="309">
        <f t="shared" si="38"/>
        <v>0</v>
      </c>
      <c r="U293" s="311">
        <f t="shared" si="39"/>
        <v>0</v>
      </c>
      <c r="V293" s="464">
        <f t="shared" si="40"/>
        <v>1543827.3938024067</v>
      </c>
      <c r="W293" s="311">
        <f t="shared" si="41"/>
        <v>0</v>
      </c>
      <c r="X293" s="321"/>
      <c r="Y293" s="321"/>
      <c r="Z293" s="321"/>
      <c r="AA293" s="321"/>
      <c r="AE293" s="436"/>
      <c r="AF293" s="436"/>
      <c r="AG293" s="436"/>
    </row>
    <row r="294" spans="1:33">
      <c r="A294" s="459" t="s">
        <v>2444</v>
      </c>
      <c r="B294" s="460"/>
      <c r="C294" s="461">
        <v>11431216.27</v>
      </c>
      <c r="D294" s="461">
        <v>-1513996.51</v>
      </c>
      <c r="E294" s="429">
        <v>138</v>
      </c>
      <c r="F294" s="431">
        <v>25</v>
      </c>
      <c r="G294" s="450">
        <v>9917219.7599999998</v>
      </c>
      <c r="H294" s="309">
        <f t="shared" si="42"/>
        <v>9573389.7509208005</v>
      </c>
      <c r="I294" s="309">
        <f t="shared" si="42"/>
        <v>9232289.8740954902</v>
      </c>
      <c r="J294" s="309">
        <f t="shared" si="42"/>
        <v>8914175.0716996007</v>
      </c>
      <c r="K294" s="309">
        <f t="shared" si="42"/>
        <v>8616137.8419885077</v>
      </c>
      <c r="L294" s="309">
        <f t="shared" si="42"/>
        <v>8328065.2124315938</v>
      </c>
      <c r="M294" s="309">
        <f t="shared" si="42"/>
        <v>8049624.0258044153</v>
      </c>
      <c r="N294" s="308">
        <v>0</v>
      </c>
      <c r="O294" s="462">
        <v>1</v>
      </c>
      <c r="P294" s="463">
        <v>0</v>
      </c>
      <c r="Q294" s="309">
        <f t="shared" si="35"/>
        <v>0</v>
      </c>
      <c r="R294" s="311">
        <f t="shared" si="36"/>
        <v>8049624.0258044153</v>
      </c>
      <c r="S294" s="312">
        <f t="shared" si="37"/>
        <v>0</v>
      </c>
      <c r="T294" s="309">
        <f t="shared" si="38"/>
        <v>0</v>
      </c>
      <c r="U294" s="311">
        <f t="shared" si="39"/>
        <v>0</v>
      </c>
      <c r="V294" s="464">
        <f t="shared" si="40"/>
        <v>8049624.0258044153</v>
      </c>
      <c r="W294" s="311">
        <f t="shared" si="41"/>
        <v>0</v>
      </c>
      <c r="X294" s="321"/>
      <c r="Y294" s="321"/>
      <c r="Z294" s="321"/>
      <c r="AA294" s="321"/>
      <c r="AE294" s="436"/>
      <c r="AF294" s="436"/>
      <c r="AG294" s="436"/>
    </row>
    <row r="295" spans="1:33">
      <c r="A295" s="459" t="s">
        <v>2445</v>
      </c>
      <c r="B295" s="460"/>
      <c r="C295" s="461">
        <v>1285603.8</v>
      </c>
      <c r="D295" s="461">
        <v>-989548.41</v>
      </c>
      <c r="E295" s="429">
        <v>138</v>
      </c>
      <c r="F295" s="431">
        <v>4.2</v>
      </c>
      <c r="G295" s="450">
        <v>296055.39</v>
      </c>
      <c r="H295" s="309">
        <f t="shared" si="42"/>
        <v>285791.14962870005</v>
      </c>
      <c r="I295" s="309">
        <f t="shared" si="42"/>
        <v>275608.4109674294</v>
      </c>
      <c r="J295" s="309">
        <f t="shared" si="42"/>
        <v>266111.83791900799</v>
      </c>
      <c r="K295" s="309">
        <f t="shared" si="42"/>
        <v>257214.63382229881</v>
      </c>
      <c r="L295" s="309">
        <f t="shared" si="42"/>
        <v>248614.89954638947</v>
      </c>
      <c r="M295" s="309">
        <f t="shared" si="42"/>
        <v>240302.68946191997</v>
      </c>
      <c r="N295" s="308">
        <v>0</v>
      </c>
      <c r="O295" s="462">
        <v>1</v>
      </c>
      <c r="P295" s="463">
        <v>0</v>
      </c>
      <c r="Q295" s="309">
        <f t="shared" si="35"/>
        <v>0</v>
      </c>
      <c r="R295" s="311">
        <f t="shared" si="36"/>
        <v>240302.68946191997</v>
      </c>
      <c r="S295" s="312">
        <f t="shared" si="37"/>
        <v>0</v>
      </c>
      <c r="T295" s="309">
        <f t="shared" si="38"/>
        <v>0</v>
      </c>
      <c r="U295" s="311">
        <f t="shared" si="39"/>
        <v>0</v>
      </c>
      <c r="V295" s="464">
        <f t="shared" si="40"/>
        <v>240302.68946191997</v>
      </c>
      <c r="W295" s="311">
        <f t="shared" si="41"/>
        <v>0</v>
      </c>
      <c r="X295" s="321"/>
      <c r="Y295" s="321"/>
      <c r="Z295" s="321"/>
      <c r="AA295" s="321"/>
      <c r="AE295" s="436"/>
      <c r="AF295" s="436"/>
      <c r="AG295" s="436"/>
    </row>
    <row r="296" spans="1:33">
      <c r="A296" s="459" t="s">
        <v>2446</v>
      </c>
      <c r="B296" s="460"/>
      <c r="C296" s="461">
        <v>14543289.439999999</v>
      </c>
      <c r="D296" s="461">
        <v>-4556028.62</v>
      </c>
      <c r="E296" s="429">
        <v>138</v>
      </c>
      <c r="F296" s="431">
        <v>25</v>
      </c>
      <c r="G296" s="450">
        <v>9987260.8200000003</v>
      </c>
      <c r="H296" s="309">
        <f t="shared" si="42"/>
        <v>9641002.4873706009</v>
      </c>
      <c r="I296" s="309">
        <f t="shared" si="42"/>
        <v>9297493.5687455852</v>
      </c>
      <c r="J296" s="309">
        <f t="shared" si="42"/>
        <v>8977132.0582499746</v>
      </c>
      <c r="K296" s="309">
        <f t="shared" si="42"/>
        <v>8676989.9197041858</v>
      </c>
      <c r="L296" s="309">
        <f t="shared" si="42"/>
        <v>8386882.756999936</v>
      </c>
      <c r="M296" s="309">
        <f t="shared" si="42"/>
        <v>8106475.0599665157</v>
      </c>
      <c r="N296" s="308">
        <v>0</v>
      </c>
      <c r="O296" s="462">
        <v>1</v>
      </c>
      <c r="P296" s="463">
        <v>0</v>
      </c>
      <c r="Q296" s="309">
        <f t="shared" si="35"/>
        <v>0</v>
      </c>
      <c r="R296" s="311">
        <f t="shared" si="36"/>
        <v>8106475.0599665157</v>
      </c>
      <c r="S296" s="312">
        <f t="shared" si="37"/>
        <v>0</v>
      </c>
      <c r="T296" s="309">
        <f t="shared" si="38"/>
        <v>0</v>
      </c>
      <c r="U296" s="311">
        <f t="shared" si="39"/>
        <v>0</v>
      </c>
      <c r="V296" s="464">
        <f t="shared" si="40"/>
        <v>8106475.0599665157</v>
      </c>
      <c r="W296" s="311">
        <f t="shared" si="41"/>
        <v>0</v>
      </c>
      <c r="X296" s="321"/>
      <c r="Y296" s="321"/>
      <c r="Z296" s="321"/>
      <c r="AA296" s="321"/>
      <c r="AE296" s="436"/>
      <c r="AF296" s="436"/>
      <c r="AG296" s="436"/>
    </row>
    <row r="297" spans="1:33">
      <c r="A297" s="459" t="s">
        <v>2447</v>
      </c>
      <c r="B297" s="460"/>
      <c r="C297" s="461">
        <v>3493996.97</v>
      </c>
      <c r="D297" s="461">
        <v>-2213622.5499999998</v>
      </c>
      <c r="E297" s="429">
        <v>138</v>
      </c>
      <c r="F297" s="431">
        <v>25</v>
      </c>
      <c r="G297" s="450">
        <v>1280374.42</v>
      </c>
      <c r="H297" s="309">
        <f t="shared" si="42"/>
        <v>1235983.8388586</v>
      </c>
      <c r="I297" s="309">
        <f t="shared" si="42"/>
        <v>1191945.734680068</v>
      </c>
      <c r="J297" s="309">
        <f t="shared" si="42"/>
        <v>1150875.1457985069</v>
      </c>
      <c r="K297" s="309">
        <f t="shared" si="42"/>
        <v>1112396.695752569</v>
      </c>
      <c r="L297" s="309">
        <f t="shared" si="42"/>
        <v>1075204.7372286201</v>
      </c>
      <c r="M297" s="309">
        <f t="shared" si="42"/>
        <v>1039256.2575680377</v>
      </c>
      <c r="N297" s="308">
        <v>0</v>
      </c>
      <c r="O297" s="462">
        <v>1</v>
      </c>
      <c r="P297" s="463">
        <v>0</v>
      </c>
      <c r="Q297" s="309">
        <f t="shared" si="35"/>
        <v>0</v>
      </c>
      <c r="R297" s="311">
        <f t="shared" si="36"/>
        <v>1039256.2575680377</v>
      </c>
      <c r="S297" s="312">
        <f t="shared" si="37"/>
        <v>0</v>
      </c>
      <c r="T297" s="309">
        <f t="shared" si="38"/>
        <v>0</v>
      </c>
      <c r="U297" s="311">
        <f t="shared" si="39"/>
        <v>0</v>
      </c>
      <c r="V297" s="464">
        <f t="shared" si="40"/>
        <v>1039256.2575680377</v>
      </c>
      <c r="W297" s="311">
        <f t="shared" si="41"/>
        <v>0</v>
      </c>
      <c r="X297" s="321"/>
      <c r="Y297" s="321"/>
      <c r="Z297" s="321"/>
      <c r="AA297" s="321"/>
      <c r="AE297" s="436"/>
      <c r="AF297" s="436"/>
      <c r="AG297" s="436"/>
    </row>
    <row r="298" spans="1:33">
      <c r="A298" s="459" t="s">
        <v>2448</v>
      </c>
      <c r="B298" s="460"/>
      <c r="C298" s="461">
        <v>13576702.01</v>
      </c>
      <c r="D298" s="461">
        <v>-1291650.29</v>
      </c>
      <c r="E298" s="429">
        <v>138</v>
      </c>
      <c r="F298" s="431">
        <v>138</v>
      </c>
      <c r="G298" s="450">
        <v>12285051.720000001</v>
      </c>
      <c r="H298" s="309">
        <f t="shared" si="42"/>
        <v>11859128.976867601</v>
      </c>
      <c r="I298" s="309">
        <f t="shared" si="42"/>
        <v>11436588.211421806</v>
      </c>
      <c r="J298" s="309">
        <f t="shared" si="42"/>
        <v>11042520.428826749</v>
      </c>
      <c r="K298" s="309">
        <f t="shared" si="42"/>
        <v>10673323.933226826</v>
      </c>
      <c r="L298" s="309">
        <f t="shared" si="42"/>
        <v>10316471.182267612</v>
      </c>
      <c r="M298" s="309">
        <f t="shared" si="42"/>
        <v>9971549.4742209762</v>
      </c>
      <c r="N298" s="308">
        <v>0</v>
      </c>
      <c r="O298" s="462">
        <v>0</v>
      </c>
      <c r="P298" s="463">
        <v>1</v>
      </c>
      <c r="Q298" s="309">
        <f t="shared" si="35"/>
        <v>0</v>
      </c>
      <c r="R298" s="311">
        <f t="shared" si="36"/>
        <v>0</v>
      </c>
      <c r="S298" s="312">
        <f t="shared" si="37"/>
        <v>9971549.4742209762</v>
      </c>
      <c r="T298" s="309">
        <f t="shared" si="38"/>
        <v>0</v>
      </c>
      <c r="U298" s="311">
        <f t="shared" si="39"/>
        <v>9971549.4742209762</v>
      </c>
      <c r="V298" s="464">
        <f t="shared" si="40"/>
        <v>0</v>
      </c>
      <c r="W298" s="311">
        <f t="shared" si="41"/>
        <v>0</v>
      </c>
      <c r="X298" s="321"/>
      <c r="Y298" s="321"/>
      <c r="Z298" s="321"/>
      <c r="AA298" s="321"/>
      <c r="AE298" s="436"/>
      <c r="AF298" s="436"/>
      <c r="AG298" s="436"/>
    </row>
    <row r="299" spans="1:33">
      <c r="A299" s="459" t="s">
        <v>2449</v>
      </c>
      <c r="B299" s="460"/>
      <c r="C299" s="461">
        <v>1510696.92</v>
      </c>
      <c r="D299" s="461">
        <v>-892689.06</v>
      </c>
      <c r="E299" s="429">
        <v>138</v>
      </c>
      <c r="F299" s="431">
        <v>4.2</v>
      </c>
      <c r="G299" s="450">
        <v>618007.86</v>
      </c>
      <c r="H299" s="309">
        <f t="shared" si="42"/>
        <v>596581.52749380004</v>
      </c>
      <c r="I299" s="309">
        <f t="shared" si="42"/>
        <v>575325.32766919583</v>
      </c>
      <c r="J299" s="309">
        <f t="shared" si="42"/>
        <v>555501.4805607592</v>
      </c>
      <c r="K299" s="309">
        <f t="shared" si="42"/>
        <v>536928.80041536316</v>
      </c>
      <c r="L299" s="309">
        <f t="shared" si="42"/>
        <v>518977.08071715606</v>
      </c>
      <c r="M299" s="309">
        <f t="shared" si="42"/>
        <v>501625.56022575946</v>
      </c>
      <c r="N299" s="308">
        <v>0</v>
      </c>
      <c r="O299" s="462">
        <v>1</v>
      </c>
      <c r="P299" s="463">
        <v>0</v>
      </c>
      <c r="Q299" s="309">
        <f t="shared" si="35"/>
        <v>0</v>
      </c>
      <c r="R299" s="311">
        <f t="shared" si="36"/>
        <v>501625.56022575946</v>
      </c>
      <c r="S299" s="312">
        <f t="shared" si="37"/>
        <v>0</v>
      </c>
      <c r="T299" s="309">
        <f t="shared" si="38"/>
        <v>0</v>
      </c>
      <c r="U299" s="311">
        <f t="shared" si="39"/>
        <v>0</v>
      </c>
      <c r="V299" s="464">
        <f t="shared" si="40"/>
        <v>501625.56022575946</v>
      </c>
      <c r="W299" s="311">
        <f t="shared" si="41"/>
        <v>0</v>
      </c>
      <c r="X299" s="321"/>
      <c r="Y299" s="321"/>
      <c r="Z299" s="321"/>
      <c r="AA299" s="321"/>
      <c r="AE299" s="436"/>
      <c r="AF299" s="436"/>
      <c r="AG299" s="436"/>
    </row>
    <row r="300" spans="1:33">
      <c r="A300" s="459" t="s">
        <v>2450</v>
      </c>
      <c r="B300" s="460"/>
      <c r="C300" s="461">
        <v>4827678.7699999996</v>
      </c>
      <c r="D300" s="461">
        <v>-849033.86</v>
      </c>
      <c r="E300" s="429">
        <v>138</v>
      </c>
      <c r="F300" s="431">
        <v>25</v>
      </c>
      <c r="G300" s="450">
        <v>3978644.91</v>
      </c>
      <c r="H300" s="309">
        <f t="shared" si="42"/>
        <v>3840705.2909703003</v>
      </c>
      <c r="I300" s="309">
        <f t="shared" si="42"/>
        <v>3703860.961453028</v>
      </c>
      <c r="J300" s="309">
        <f t="shared" si="42"/>
        <v>3576237.910842313</v>
      </c>
      <c r="K300" s="309">
        <f t="shared" si="42"/>
        <v>3456669.6915553641</v>
      </c>
      <c r="L300" s="309">
        <f t="shared" si="42"/>
        <v>3341099.1255062227</v>
      </c>
      <c r="M300" s="309">
        <f t="shared" si="42"/>
        <v>3229392.5548424521</v>
      </c>
      <c r="N300" s="308">
        <v>0</v>
      </c>
      <c r="O300" s="462">
        <v>1</v>
      </c>
      <c r="P300" s="463">
        <v>0</v>
      </c>
      <c r="Q300" s="309">
        <f t="shared" si="35"/>
        <v>0</v>
      </c>
      <c r="R300" s="311">
        <f t="shared" si="36"/>
        <v>3229392.5548424521</v>
      </c>
      <c r="S300" s="312">
        <f t="shared" si="37"/>
        <v>0</v>
      </c>
      <c r="T300" s="309">
        <f t="shared" si="38"/>
        <v>0</v>
      </c>
      <c r="U300" s="311">
        <f t="shared" si="39"/>
        <v>0</v>
      </c>
      <c r="V300" s="464">
        <f t="shared" si="40"/>
        <v>3229392.5548424521</v>
      </c>
      <c r="W300" s="311">
        <f t="shared" si="41"/>
        <v>0</v>
      </c>
      <c r="X300" s="321"/>
      <c r="Y300" s="321"/>
      <c r="Z300" s="321"/>
      <c r="AA300" s="321"/>
      <c r="AE300" s="436"/>
      <c r="AF300" s="436"/>
      <c r="AG300" s="436"/>
    </row>
    <row r="301" spans="1:33">
      <c r="A301" s="459" t="s">
        <v>2451</v>
      </c>
      <c r="B301" s="460"/>
      <c r="C301" s="461">
        <v>1482179.29</v>
      </c>
      <c r="D301" s="461">
        <v>-332991.78000000003</v>
      </c>
      <c r="E301" s="429">
        <v>69</v>
      </c>
      <c r="F301" s="431">
        <v>4.2</v>
      </c>
      <c r="G301" s="450">
        <v>1149187.51</v>
      </c>
      <c r="H301" s="309">
        <f t="shared" si="42"/>
        <v>1109345.1790283001</v>
      </c>
      <c r="I301" s="309">
        <f t="shared" si="42"/>
        <v>1069819.2102995217</v>
      </c>
      <c r="J301" s="309">
        <f t="shared" si="42"/>
        <v>1032956.7058369328</v>
      </c>
      <c r="K301" s="309">
        <f t="shared" si="42"/>
        <v>998420.75017721963</v>
      </c>
      <c r="L301" s="309">
        <f t="shared" si="42"/>
        <v>965039.47237243492</v>
      </c>
      <c r="M301" s="309">
        <f t="shared" si="42"/>
        <v>932774.26683245669</v>
      </c>
      <c r="N301" s="308">
        <v>0</v>
      </c>
      <c r="O301" s="462">
        <v>1</v>
      </c>
      <c r="P301" s="463">
        <v>0</v>
      </c>
      <c r="Q301" s="309">
        <f t="shared" si="35"/>
        <v>0</v>
      </c>
      <c r="R301" s="311">
        <f t="shared" si="36"/>
        <v>932774.26683245669</v>
      </c>
      <c r="S301" s="312">
        <f t="shared" si="37"/>
        <v>0</v>
      </c>
      <c r="T301" s="309">
        <f t="shared" si="38"/>
        <v>0</v>
      </c>
      <c r="U301" s="311">
        <f t="shared" si="39"/>
        <v>0</v>
      </c>
      <c r="V301" s="464">
        <f t="shared" si="40"/>
        <v>932774.26683245669</v>
      </c>
      <c r="W301" s="311">
        <f t="shared" si="41"/>
        <v>0</v>
      </c>
      <c r="X301" s="321"/>
      <c r="Y301" s="321"/>
      <c r="Z301" s="321"/>
      <c r="AA301" s="321"/>
      <c r="AE301" s="436"/>
      <c r="AF301" s="436"/>
      <c r="AG301" s="436"/>
    </row>
    <row r="302" spans="1:33">
      <c r="A302" s="459" t="s">
        <v>2452</v>
      </c>
      <c r="B302" s="460"/>
      <c r="C302" s="461">
        <v>6028361.3200000003</v>
      </c>
      <c r="D302" s="461">
        <v>-4083400.55</v>
      </c>
      <c r="E302" s="429">
        <v>240</v>
      </c>
      <c r="F302" s="431">
        <v>25</v>
      </c>
      <c r="G302" s="450">
        <v>1944960.77</v>
      </c>
      <c r="H302" s="309">
        <f t="shared" si="42"/>
        <v>1877528.9801041</v>
      </c>
      <c r="I302" s="309">
        <f t="shared" si="42"/>
        <v>1810632.6225429908</v>
      </c>
      <c r="J302" s="309">
        <f t="shared" si="42"/>
        <v>1748244.0876522092</v>
      </c>
      <c r="K302" s="309">
        <f t="shared" si="42"/>
        <v>1689793.1574705879</v>
      </c>
      <c r="L302" s="309">
        <f t="shared" si="42"/>
        <v>1633296.4802809984</v>
      </c>
      <c r="M302" s="309">
        <f t="shared" si="42"/>
        <v>1578688.7174353648</v>
      </c>
      <c r="N302" s="308">
        <v>0</v>
      </c>
      <c r="O302" s="462">
        <v>1</v>
      </c>
      <c r="P302" s="463">
        <v>0</v>
      </c>
      <c r="Q302" s="309">
        <f t="shared" si="35"/>
        <v>0</v>
      </c>
      <c r="R302" s="311">
        <f t="shared" si="36"/>
        <v>1578688.7174353648</v>
      </c>
      <c r="S302" s="312">
        <f t="shared" si="37"/>
        <v>0</v>
      </c>
      <c r="T302" s="309">
        <f t="shared" si="38"/>
        <v>0</v>
      </c>
      <c r="U302" s="311">
        <f t="shared" si="39"/>
        <v>0</v>
      </c>
      <c r="V302" s="464">
        <f t="shared" si="40"/>
        <v>1578688.7174353648</v>
      </c>
      <c r="W302" s="311">
        <f t="shared" si="41"/>
        <v>0</v>
      </c>
      <c r="X302" s="321"/>
      <c r="Y302" s="321"/>
      <c r="Z302" s="321"/>
      <c r="AA302" s="321"/>
      <c r="AE302" s="436"/>
      <c r="AF302" s="436"/>
      <c r="AG302" s="436"/>
    </row>
    <row r="303" spans="1:33">
      <c r="A303" s="459" t="s">
        <v>2453</v>
      </c>
      <c r="B303" s="460"/>
      <c r="C303" s="461">
        <v>2419657.06</v>
      </c>
      <c r="D303" s="461">
        <v>-1423225.96</v>
      </c>
      <c r="E303" s="429">
        <v>138</v>
      </c>
      <c r="F303" s="431">
        <v>25</v>
      </c>
      <c r="G303" s="450">
        <v>996431.1</v>
      </c>
      <c r="H303" s="309">
        <f t="shared" si="42"/>
        <v>961884.83376299997</v>
      </c>
      <c r="I303" s="309">
        <f t="shared" si="42"/>
        <v>927612.87713602418</v>
      </c>
      <c r="J303" s="309">
        <f t="shared" si="42"/>
        <v>895650.34225743648</v>
      </c>
      <c r="K303" s="309">
        <f t="shared" si="42"/>
        <v>865705.09834544943</v>
      </c>
      <c r="L303" s="309">
        <f t="shared" si="42"/>
        <v>836761.04607113672</v>
      </c>
      <c r="M303" s="309">
        <f t="shared" si="42"/>
        <v>808784.71151462337</v>
      </c>
      <c r="N303" s="308">
        <v>0</v>
      </c>
      <c r="O303" s="462">
        <v>1</v>
      </c>
      <c r="P303" s="463">
        <v>0</v>
      </c>
      <c r="Q303" s="309">
        <f t="shared" si="35"/>
        <v>0</v>
      </c>
      <c r="R303" s="311">
        <f t="shared" si="36"/>
        <v>808784.71151462337</v>
      </c>
      <c r="S303" s="312">
        <f t="shared" si="37"/>
        <v>0</v>
      </c>
      <c r="T303" s="309">
        <f t="shared" si="38"/>
        <v>0</v>
      </c>
      <c r="U303" s="311">
        <f t="shared" si="39"/>
        <v>0</v>
      </c>
      <c r="V303" s="464">
        <f t="shared" si="40"/>
        <v>808784.71151462337</v>
      </c>
      <c r="W303" s="311">
        <f t="shared" si="41"/>
        <v>0</v>
      </c>
      <c r="X303" s="321"/>
      <c r="Y303" s="321"/>
      <c r="Z303" s="321"/>
      <c r="AA303" s="321"/>
      <c r="AE303" s="436"/>
      <c r="AF303" s="436"/>
      <c r="AG303" s="436"/>
    </row>
    <row r="304" spans="1:33" ht="12.75" customHeight="1">
      <c r="A304" s="459" t="s">
        <v>2454</v>
      </c>
      <c r="B304" s="460"/>
      <c r="C304" s="461">
        <v>59951234.090000004</v>
      </c>
      <c r="D304" s="461">
        <v>-5850034.0999999996</v>
      </c>
      <c r="E304" s="429">
        <v>240</v>
      </c>
      <c r="F304" s="431">
        <v>138</v>
      </c>
      <c r="G304" s="450">
        <v>54101199.990000002</v>
      </c>
      <c r="H304" s="309">
        <f t="shared" si="42"/>
        <v>52225511.386346705</v>
      </c>
      <c r="I304" s="309">
        <f t="shared" si="42"/>
        <v>50364716.415651165</v>
      </c>
      <c r="J304" s="309">
        <f t="shared" si="42"/>
        <v>48629311.437169641</v>
      </c>
      <c r="K304" s="309">
        <f t="shared" si="42"/>
        <v>47003435.217898935</v>
      </c>
      <c r="L304" s="309">
        <f t="shared" si="42"/>
        <v>45431918.671884261</v>
      </c>
      <c r="M304" s="309">
        <f t="shared" si="42"/>
        <v>43912944.333539061</v>
      </c>
      <c r="N304" s="308">
        <v>0</v>
      </c>
      <c r="O304" s="462">
        <v>0</v>
      </c>
      <c r="P304" s="463">
        <v>1</v>
      </c>
      <c r="Q304" s="309">
        <f t="shared" si="35"/>
        <v>0</v>
      </c>
      <c r="R304" s="311">
        <f t="shared" si="36"/>
        <v>0</v>
      </c>
      <c r="S304" s="312">
        <f t="shared" si="37"/>
        <v>43912944.333539061</v>
      </c>
      <c r="T304" s="309">
        <f t="shared" si="38"/>
        <v>0</v>
      </c>
      <c r="U304" s="311">
        <f t="shared" si="39"/>
        <v>43912944.333539061</v>
      </c>
      <c r="V304" s="464">
        <f t="shared" si="40"/>
        <v>0</v>
      </c>
      <c r="W304" s="311">
        <f t="shared" si="41"/>
        <v>0</v>
      </c>
      <c r="X304" s="321"/>
      <c r="Y304" s="321"/>
      <c r="Z304" s="321"/>
      <c r="AA304" s="321"/>
      <c r="AE304" s="436"/>
      <c r="AF304" s="436"/>
      <c r="AG304" s="436"/>
    </row>
    <row r="305" spans="1:33">
      <c r="A305" s="459" t="s">
        <v>2455</v>
      </c>
      <c r="B305" s="460"/>
      <c r="C305" s="461">
        <v>9954520.0500000007</v>
      </c>
      <c r="D305" s="461">
        <v>-644350.17000000004</v>
      </c>
      <c r="E305" s="429">
        <v>138</v>
      </c>
      <c r="F305" s="431">
        <v>13</v>
      </c>
      <c r="G305" s="450">
        <v>9310169.8800000008</v>
      </c>
      <c r="H305" s="309">
        <f t="shared" si="42"/>
        <v>8987386.2902604006</v>
      </c>
      <c r="I305" s="309">
        <f t="shared" si="42"/>
        <v>8667165.7167384215</v>
      </c>
      <c r="J305" s="309">
        <f t="shared" si="42"/>
        <v>8368523.2621672265</v>
      </c>
      <c r="K305" s="309">
        <f t="shared" si="42"/>
        <v>8088729.3979265019</v>
      </c>
      <c r="L305" s="309">
        <f t="shared" si="42"/>
        <v>7818290.1837254874</v>
      </c>
      <c r="M305" s="309">
        <f t="shared" si="42"/>
        <v>7556892.855459787</v>
      </c>
      <c r="N305" s="308">
        <v>0</v>
      </c>
      <c r="O305" s="462">
        <v>1</v>
      </c>
      <c r="P305" s="463">
        <v>0</v>
      </c>
      <c r="Q305" s="309">
        <f t="shared" si="35"/>
        <v>0</v>
      </c>
      <c r="R305" s="311">
        <f t="shared" si="36"/>
        <v>7556892.855459787</v>
      </c>
      <c r="S305" s="312">
        <f t="shared" si="37"/>
        <v>0</v>
      </c>
      <c r="T305" s="309">
        <f t="shared" si="38"/>
        <v>0</v>
      </c>
      <c r="U305" s="311">
        <f t="shared" si="39"/>
        <v>0</v>
      </c>
      <c r="V305" s="464">
        <f t="shared" si="40"/>
        <v>7556892.855459787</v>
      </c>
      <c r="W305" s="311">
        <f t="shared" si="41"/>
        <v>0</v>
      </c>
      <c r="X305" s="321"/>
      <c r="Y305" s="321"/>
      <c r="Z305" s="321"/>
      <c r="AA305" s="321"/>
      <c r="AE305" s="436"/>
      <c r="AF305" s="436"/>
      <c r="AG305" s="436"/>
    </row>
    <row r="306" spans="1:33">
      <c r="A306" s="459" t="s">
        <v>2456</v>
      </c>
      <c r="B306" s="460"/>
      <c r="C306" s="461">
        <v>4176678.13</v>
      </c>
      <c r="D306" s="461">
        <v>-718777.72</v>
      </c>
      <c r="E306" s="429">
        <v>138</v>
      </c>
      <c r="F306" s="431">
        <v>13.8</v>
      </c>
      <c r="G306" s="450">
        <v>3457900.41</v>
      </c>
      <c r="H306" s="309">
        <f t="shared" si="42"/>
        <v>3338015.0027853004</v>
      </c>
      <c r="I306" s="309">
        <f t="shared" si="42"/>
        <v>3219081.5282360595</v>
      </c>
      <c r="J306" s="309">
        <f t="shared" si="42"/>
        <v>3108162.406521264</v>
      </c>
      <c r="K306" s="309">
        <f t="shared" si="42"/>
        <v>3004243.8604212776</v>
      </c>
      <c r="L306" s="309">
        <f t="shared" si="42"/>
        <v>2903799.7351562115</v>
      </c>
      <c r="M306" s="309">
        <f t="shared" si="42"/>
        <v>2806713.8666668953</v>
      </c>
      <c r="N306" s="308">
        <v>0.99447513812154686</v>
      </c>
      <c r="O306" s="462">
        <v>5.5248618784530384E-3</v>
      </c>
      <c r="P306" s="463">
        <v>0</v>
      </c>
      <c r="Q306" s="309">
        <f t="shared" si="35"/>
        <v>2791207.1602212214</v>
      </c>
      <c r="R306" s="311">
        <f t="shared" si="36"/>
        <v>15506.706445673455</v>
      </c>
      <c r="S306" s="312">
        <f t="shared" si="37"/>
        <v>0</v>
      </c>
      <c r="T306" s="309">
        <f t="shared" si="38"/>
        <v>2791207.1602212214</v>
      </c>
      <c r="U306" s="311">
        <f t="shared" si="39"/>
        <v>0</v>
      </c>
      <c r="V306" s="464">
        <f t="shared" si="40"/>
        <v>15506.706445673455</v>
      </c>
      <c r="W306" s="311">
        <f t="shared" si="41"/>
        <v>0</v>
      </c>
      <c r="X306" s="321"/>
      <c r="Y306" s="321"/>
      <c r="Z306" s="321"/>
      <c r="AA306" s="321"/>
      <c r="AE306" s="436"/>
      <c r="AF306" s="436"/>
      <c r="AG306" s="436"/>
    </row>
    <row r="307" spans="1:33">
      <c r="A307" s="459" t="s">
        <v>2457</v>
      </c>
      <c r="B307" s="460"/>
      <c r="C307" s="461">
        <v>1570902.91</v>
      </c>
      <c r="D307" s="461">
        <v>-875519.11</v>
      </c>
      <c r="E307" s="429">
        <v>69</v>
      </c>
      <c r="F307" s="431">
        <v>25</v>
      </c>
      <c r="G307" s="450">
        <v>695383.8</v>
      </c>
      <c r="H307" s="309">
        <f t="shared" si="42"/>
        <v>671274.84365400008</v>
      </c>
      <c r="I307" s="309">
        <f t="shared" si="42"/>
        <v>647357.32097460795</v>
      </c>
      <c r="J307" s="309">
        <f t="shared" si="42"/>
        <v>625051.4847140729</v>
      </c>
      <c r="K307" s="309">
        <f t="shared" si="42"/>
        <v>604153.46426544932</v>
      </c>
      <c r="L307" s="309">
        <f t="shared" si="42"/>
        <v>583954.14987440896</v>
      </c>
      <c r="M307" s="309">
        <f t="shared" si="42"/>
        <v>564430.18094772694</v>
      </c>
      <c r="N307" s="308">
        <v>0.54090909090909089</v>
      </c>
      <c r="O307" s="462">
        <v>0.45909090909090905</v>
      </c>
      <c r="P307" s="463">
        <v>0</v>
      </c>
      <c r="Q307" s="309">
        <f t="shared" si="35"/>
        <v>305305.41605808865</v>
      </c>
      <c r="R307" s="311">
        <f t="shared" si="36"/>
        <v>259124.76488963826</v>
      </c>
      <c r="S307" s="312">
        <f t="shared" si="37"/>
        <v>0</v>
      </c>
      <c r="T307" s="309">
        <f t="shared" si="38"/>
        <v>305305.41605808865</v>
      </c>
      <c r="U307" s="311">
        <f t="shared" si="39"/>
        <v>0</v>
      </c>
      <c r="V307" s="464">
        <f t="shared" si="40"/>
        <v>259124.76488963826</v>
      </c>
      <c r="W307" s="311">
        <f t="shared" si="41"/>
        <v>0</v>
      </c>
      <c r="X307" s="321"/>
      <c r="Y307" s="321"/>
      <c r="Z307" s="321"/>
      <c r="AA307" s="321"/>
      <c r="AE307" s="436"/>
      <c r="AF307" s="436"/>
      <c r="AG307" s="436"/>
    </row>
    <row r="308" spans="1:33">
      <c r="A308" s="459" t="s">
        <v>2458</v>
      </c>
      <c r="B308" s="460"/>
      <c r="C308" s="461">
        <v>584861</v>
      </c>
      <c r="D308" s="461">
        <v>-207951.6</v>
      </c>
      <c r="E308" s="429">
        <v>69</v>
      </c>
      <c r="F308" s="431">
        <v>25</v>
      </c>
      <c r="G308" s="450">
        <v>376909.4</v>
      </c>
      <c r="H308" s="309">
        <f t="shared" si="42"/>
        <v>363841.95110200002</v>
      </c>
      <c r="I308" s="309">
        <f t="shared" si="42"/>
        <v>350878.26238423574</v>
      </c>
      <c r="J308" s="309">
        <f t="shared" si="42"/>
        <v>338788.1340817695</v>
      </c>
      <c r="K308" s="309">
        <f t="shared" si="42"/>
        <v>327461.06498916418</v>
      </c>
      <c r="L308" s="309">
        <f t="shared" si="42"/>
        <v>316512.70601453981</v>
      </c>
      <c r="M308" s="309">
        <f t="shared" si="42"/>
        <v>305930.39533405751</v>
      </c>
      <c r="N308" s="308">
        <v>0</v>
      </c>
      <c r="O308" s="462">
        <v>1</v>
      </c>
      <c r="P308" s="463">
        <v>0</v>
      </c>
      <c r="Q308" s="309">
        <f t="shared" si="35"/>
        <v>0</v>
      </c>
      <c r="R308" s="311">
        <f t="shared" si="36"/>
        <v>305930.39533405751</v>
      </c>
      <c r="S308" s="312">
        <f t="shared" si="37"/>
        <v>0</v>
      </c>
      <c r="T308" s="309">
        <f t="shared" si="38"/>
        <v>0</v>
      </c>
      <c r="U308" s="311">
        <f t="shared" si="39"/>
        <v>0</v>
      </c>
      <c r="V308" s="464">
        <f t="shared" si="40"/>
        <v>305930.39533405751</v>
      </c>
      <c r="W308" s="311">
        <f t="shared" si="41"/>
        <v>0</v>
      </c>
      <c r="X308" s="321"/>
      <c r="Y308" s="321"/>
      <c r="Z308" s="321"/>
      <c r="AA308" s="321"/>
      <c r="AE308" s="436"/>
      <c r="AF308" s="436"/>
      <c r="AG308" s="436"/>
    </row>
    <row r="309" spans="1:33">
      <c r="A309" s="459" t="s">
        <v>2459</v>
      </c>
      <c r="B309" s="460"/>
      <c r="C309" s="461">
        <v>3793567.78</v>
      </c>
      <c r="D309" s="461">
        <v>-1871621.68</v>
      </c>
      <c r="E309" s="429">
        <v>138</v>
      </c>
      <c r="F309" s="431">
        <v>25</v>
      </c>
      <c r="G309" s="450">
        <v>1921946.1</v>
      </c>
      <c r="H309" s="309">
        <f t="shared" si="42"/>
        <v>1855312.2287130002</v>
      </c>
      <c r="I309" s="309">
        <f t="shared" si="42"/>
        <v>1789207.4540039557</v>
      </c>
      <c r="J309" s="309">
        <f t="shared" si="42"/>
        <v>1727557.1610173001</v>
      </c>
      <c r="K309" s="309">
        <f t="shared" si="42"/>
        <v>1669797.879166109</v>
      </c>
      <c r="L309" s="309">
        <f t="shared" si="42"/>
        <v>1613969.7256823292</v>
      </c>
      <c r="M309" s="309">
        <f t="shared" si="42"/>
        <v>1560008.1350684012</v>
      </c>
      <c r="N309" s="308">
        <v>0</v>
      </c>
      <c r="O309" s="462">
        <v>1</v>
      </c>
      <c r="P309" s="463">
        <v>0</v>
      </c>
      <c r="Q309" s="309">
        <f t="shared" si="35"/>
        <v>0</v>
      </c>
      <c r="R309" s="311">
        <f t="shared" si="36"/>
        <v>1560008.1350684012</v>
      </c>
      <c r="S309" s="312">
        <f t="shared" si="37"/>
        <v>0</v>
      </c>
      <c r="T309" s="309">
        <f t="shared" si="38"/>
        <v>0</v>
      </c>
      <c r="U309" s="311">
        <f t="shared" si="39"/>
        <v>0</v>
      </c>
      <c r="V309" s="464">
        <f t="shared" si="40"/>
        <v>1560008.1350684012</v>
      </c>
      <c r="W309" s="311">
        <f t="shared" si="41"/>
        <v>0</v>
      </c>
      <c r="X309" s="321"/>
      <c r="Y309" s="321"/>
      <c r="Z309" s="321"/>
      <c r="AA309" s="321"/>
      <c r="AE309" s="436"/>
      <c r="AF309" s="436"/>
      <c r="AG309" s="436"/>
    </row>
    <row r="310" spans="1:33">
      <c r="A310" s="459" t="s">
        <v>2460</v>
      </c>
      <c r="B310" s="460"/>
      <c r="C310" s="461">
        <v>416255.1</v>
      </c>
      <c r="D310" s="461">
        <v>-16656.400000000001</v>
      </c>
      <c r="E310" s="429">
        <v>240</v>
      </c>
      <c r="F310" s="431">
        <v>25</v>
      </c>
      <c r="G310" s="450">
        <v>399598.7</v>
      </c>
      <c r="H310" s="309">
        <f t="shared" si="42"/>
        <v>385744.61307100003</v>
      </c>
      <c r="I310" s="309">
        <f t="shared" si="42"/>
        <v>372000.53250728024</v>
      </c>
      <c r="J310" s="309">
        <f t="shared" si="42"/>
        <v>359182.59919890767</v>
      </c>
      <c r="K310" s="309">
        <f t="shared" si="42"/>
        <v>347173.65995723516</v>
      </c>
      <c r="L310" s="309">
        <f t="shared" si="42"/>
        <v>335566.2285336802</v>
      </c>
      <c r="M310" s="309">
        <f t="shared" si="42"/>
        <v>324346.88088430656</v>
      </c>
      <c r="N310" s="308">
        <v>0</v>
      </c>
      <c r="O310" s="462">
        <v>1</v>
      </c>
      <c r="P310" s="463">
        <v>0</v>
      </c>
      <c r="Q310" s="309">
        <f t="shared" si="35"/>
        <v>0</v>
      </c>
      <c r="R310" s="311">
        <f t="shared" si="36"/>
        <v>324346.88088430656</v>
      </c>
      <c r="S310" s="312">
        <f t="shared" si="37"/>
        <v>0</v>
      </c>
      <c r="T310" s="309">
        <f t="shared" si="38"/>
        <v>0</v>
      </c>
      <c r="U310" s="311">
        <f t="shared" si="39"/>
        <v>0</v>
      </c>
      <c r="V310" s="464">
        <f t="shared" si="40"/>
        <v>324346.88088430656</v>
      </c>
      <c r="W310" s="311">
        <f t="shared" si="41"/>
        <v>0</v>
      </c>
      <c r="X310" s="321"/>
      <c r="Y310" s="321"/>
      <c r="Z310" s="321"/>
      <c r="AA310" s="321"/>
      <c r="AE310" s="436"/>
      <c r="AF310" s="436"/>
      <c r="AG310" s="436"/>
    </row>
    <row r="311" spans="1:33">
      <c r="A311" s="459" t="s">
        <v>2461</v>
      </c>
      <c r="B311" s="460"/>
      <c r="C311" s="461">
        <v>25301434.379999999</v>
      </c>
      <c r="D311" s="461">
        <v>-1204582.6399999999</v>
      </c>
      <c r="E311" s="429">
        <v>240</v>
      </c>
      <c r="F311" s="431">
        <v>25</v>
      </c>
      <c r="G311" s="450">
        <v>24096851.739999998</v>
      </c>
      <c r="H311" s="309">
        <f t="shared" si="42"/>
        <v>23261413.890174199</v>
      </c>
      <c r="I311" s="309">
        <f t="shared" si="42"/>
        <v>22432609.713267289</v>
      </c>
      <c r="J311" s="309">
        <f t="shared" si="42"/>
        <v>21659654.649737149</v>
      </c>
      <c r="K311" s="309">
        <f t="shared" si="42"/>
        <v>20935484.054434285</v>
      </c>
      <c r="L311" s="309">
        <f t="shared" si="42"/>
        <v>20235525.435711</v>
      </c>
      <c r="M311" s="309">
        <f t="shared" si="42"/>
        <v>19558969.288440064</v>
      </c>
      <c r="N311" s="308">
        <v>0</v>
      </c>
      <c r="O311" s="462">
        <v>1</v>
      </c>
      <c r="P311" s="463">
        <v>0</v>
      </c>
      <c r="Q311" s="309">
        <f t="shared" si="35"/>
        <v>0</v>
      </c>
      <c r="R311" s="311">
        <f t="shared" si="36"/>
        <v>19558969.288440064</v>
      </c>
      <c r="S311" s="312">
        <f t="shared" si="37"/>
        <v>0</v>
      </c>
      <c r="T311" s="309">
        <f t="shared" si="38"/>
        <v>0</v>
      </c>
      <c r="U311" s="311">
        <f t="shared" si="39"/>
        <v>0</v>
      </c>
      <c r="V311" s="464">
        <f t="shared" si="40"/>
        <v>19558969.288440064</v>
      </c>
      <c r="W311" s="311">
        <f t="shared" si="41"/>
        <v>0</v>
      </c>
      <c r="X311" s="321"/>
      <c r="Y311" s="321"/>
      <c r="Z311" s="321"/>
      <c r="AA311" s="321"/>
      <c r="AE311" s="436"/>
      <c r="AF311" s="436"/>
      <c r="AG311" s="436"/>
    </row>
    <row r="312" spans="1:33">
      <c r="A312" s="459" t="s">
        <v>2462</v>
      </c>
      <c r="B312" s="460"/>
      <c r="C312" s="461">
        <v>2687624.56</v>
      </c>
      <c r="D312" s="461">
        <v>-1016782.32</v>
      </c>
      <c r="E312" s="429">
        <v>138</v>
      </c>
      <c r="F312" s="431">
        <v>13</v>
      </c>
      <c r="G312" s="450">
        <v>1670842.24</v>
      </c>
      <c r="H312" s="309">
        <f t="shared" si="42"/>
        <v>1612914.1395392001</v>
      </c>
      <c r="I312" s="309">
        <f t="shared" si="42"/>
        <v>1555446.0087474182</v>
      </c>
      <c r="J312" s="309">
        <f t="shared" si="42"/>
        <v>1501850.377927969</v>
      </c>
      <c r="K312" s="309">
        <f t="shared" si="42"/>
        <v>1451637.3943957901</v>
      </c>
      <c r="L312" s="309">
        <f t="shared" si="42"/>
        <v>1403103.2357001314</v>
      </c>
      <c r="M312" s="309">
        <f t="shared" si="42"/>
        <v>1356191.7718795079</v>
      </c>
      <c r="N312" s="308">
        <v>0</v>
      </c>
      <c r="O312" s="462">
        <v>1</v>
      </c>
      <c r="P312" s="463">
        <v>0</v>
      </c>
      <c r="Q312" s="309">
        <f t="shared" si="35"/>
        <v>0</v>
      </c>
      <c r="R312" s="311">
        <f t="shared" si="36"/>
        <v>1356191.7718795079</v>
      </c>
      <c r="S312" s="312">
        <f t="shared" si="37"/>
        <v>0</v>
      </c>
      <c r="T312" s="309">
        <f t="shared" si="38"/>
        <v>0</v>
      </c>
      <c r="U312" s="311">
        <f t="shared" si="39"/>
        <v>0</v>
      </c>
      <c r="V312" s="464">
        <f t="shared" si="40"/>
        <v>1356191.7718795079</v>
      </c>
      <c r="W312" s="311">
        <f t="shared" si="41"/>
        <v>0</v>
      </c>
      <c r="X312" s="321"/>
      <c r="Y312" s="321"/>
      <c r="Z312" s="321"/>
      <c r="AA312" s="321"/>
      <c r="AE312" s="436"/>
      <c r="AF312" s="436"/>
      <c r="AG312" s="436"/>
    </row>
    <row r="313" spans="1:33">
      <c r="A313" s="459" t="s">
        <v>2463</v>
      </c>
      <c r="B313" s="460"/>
      <c r="C313" s="461">
        <v>19894161.789999999</v>
      </c>
      <c r="D313" s="461">
        <v>-3677979.36</v>
      </c>
      <c r="E313" s="429">
        <v>260</v>
      </c>
      <c r="F313" s="431">
        <v>25</v>
      </c>
      <c r="G313" s="450">
        <v>16216182.43</v>
      </c>
      <c r="H313" s="309">
        <f t="shared" si="42"/>
        <v>15653967.3851519</v>
      </c>
      <c r="I313" s="309">
        <f t="shared" si="42"/>
        <v>15096216.527218936</v>
      </c>
      <c r="J313" s="309">
        <f t="shared" si="42"/>
        <v>14576049.80769722</v>
      </c>
      <c r="K313" s="309">
        <f t="shared" si="42"/>
        <v>14088713.013223793</v>
      </c>
      <c r="L313" s="309">
        <f t="shared" si="42"/>
        <v>13617669.875425594</v>
      </c>
      <c r="M313" s="309">
        <f t="shared" si="42"/>
        <v>13162375.630905192</v>
      </c>
      <c r="N313" s="308">
        <v>0</v>
      </c>
      <c r="O313" s="462">
        <v>1</v>
      </c>
      <c r="P313" s="463">
        <v>0</v>
      </c>
      <c r="Q313" s="309">
        <f t="shared" si="35"/>
        <v>0</v>
      </c>
      <c r="R313" s="311">
        <f t="shared" si="36"/>
        <v>13162375.630905192</v>
      </c>
      <c r="S313" s="312">
        <f t="shared" si="37"/>
        <v>0</v>
      </c>
      <c r="T313" s="309">
        <f t="shared" si="38"/>
        <v>0</v>
      </c>
      <c r="U313" s="311">
        <f t="shared" si="39"/>
        <v>0</v>
      </c>
      <c r="V313" s="464">
        <f t="shared" si="40"/>
        <v>13162375.630905192</v>
      </c>
      <c r="W313" s="311">
        <f t="shared" si="41"/>
        <v>0</v>
      </c>
      <c r="X313" s="321"/>
      <c r="Y313" s="321"/>
      <c r="Z313" s="321"/>
      <c r="AA313" s="321"/>
      <c r="AE313" s="436"/>
      <c r="AF313" s="436"/>
      <c r="AG313" s="436"/>
    </row>
    <row r="314" spans="1:33">
      <c r="A314" s="459" t="s">
        <v>2464</v>
      </c>
      <c r="B314" s="460"/>
      <c r="C314" s="461">
        <v>4461957.01</v>
      </c>
      <c r="D314" s="461">
        <v>-2406941.15</v>
      </c>
      <c r="E314" s="429">
        <v>138</v>
      </c>
      <c r="F314" s="431">
        <v>25</v>
      </c>
      <c r="G314" s="450">
        <v>2055015.86</v>
      </c>
      <c r="H314" s="309">
        <f t="shared" si="42"/>
        <v>1983768.4601338001</v>
      </c>
      <c r="I314" s="309">
        <f t="shared" si="42"/>
        <v>1913086.7898992326</v>
      </c>
      <c r="J314" s="309">
        <f t="shared" si="42"/>
        <v>1847168.0162867862</v>
      </c>
      <c r="K314" s="309">
        <f t="shared" si="42"/>
        <v>1785409.6557029968</v>
      </c>
      <c r="L314" s="309">
        <f t="shared" si="42"/>
        <v>1725716.1289991618</v>
      </c>
      <c r="M314" s="309">
        <f t="shared" si="42"/>
        <v>1668018.4003571102</v>
      </c>
      <c r="N314" s="308">
        <v>0</v>
      </c>
      <c r="O314" s="462">
        <v>1</v>
      </c>
      <c r="P314" s="463">
        <v>0</v>
      </c>
      <c r="Q314" s="309">
        <f t="shared" si="35"/>
        <v>0</v>
      </c>
      <c r="R314" s="311">
        <f t="shared" si="36"/>
        <v>1668018.4003571102</v>
      </c>
      <c r="S314" s="312">
        <f t="shared" si="37"/>
        <v>0</v>
      </c>
      <c r="T314" s="309">
        <f t="shared" si="38"/>
        <v>0</v>
      </c>
      <c r="U314" s="311">
        <f t="shared" si="39"/>
        <v>0</v>
      </c>
      <c r="V314" s="464">
        <f t="shared" si="40"/>
        <v>1668018.4003571102</v>
      </c>
      <c r="W314" s="311">
        <f t="shared" si="41"/>
        <v>0</v>
      </c>
      <c r="X314" s="321"/>
      <c r="Y314" s="321"/>
      <c r="Z314" s="321"/>
      <c r="AA314" s="321"/>
      <c r="AE314" s="436"/>
      <c r="AF314" s="436"/>
      <c r="AG314" s="436"/>
    </row>
    <row r="315" spans="1:33">
      <c r="A315" s="459" t="s">
        <v>2465</v>
      </c>
      <c r="B315" s="460"/>
      <c r="C315" s="461">
        <v>602464.98</v>
      </c>
      <c r="D315" s="461">
        <v>-198799.02</v>
      </c>
      <c r="E315" s="429">
        <v>260</v>
      </c>
      <c r="F315" s="431">
        <v>25</v>
      </c>
      <c r="G315" s="450">
        <v>403665.96</v>
      </c>
      <c r="H315" s="309">
        <f t="shared" si="42"/>
        <v>389670.86116680002</v>
      </c>
      <c r="I315" s="309">
        <f t="shared" si="42"/>
        <v>375786.88838342688</v>
      </c>
      <c r="J315" s="309">
        <f t="shared" si="42"/>
        <v>362838.4895169136</v>
      </c>
      <c r="K315" s="309">
        <f t="shared" si="42"/>
        <v>350707.3189511149</v>
      </c>
      <c r="L315" s="309">
        <f t="shared" si="42"/>
        <v>338981.74289512809</v>
      </c>
      <c r="M315" s="309">
        <f t="shared" si="42"/>
        <v>327648.20067024557</v>
      </c>
      <c r="N315" s="308">
        <v>0.92307692307692313</v>
      </c>
      <c r="O315" s="462">
        <v>7.6923076923076927E-2</v>
      </c>
      <c r="P315" s="463">
        <v>0</v>
      </c>
      <c r="Q315" s="309">
        <f t="shared" si="35"/>
        <v>302444.49292638054</v>
      </c>
      <c r="R315" s="311">
        <f t="shared" si="36"/>
        <v>25203.707743865045</v>
      </c>
      <c r="S315" s="312">
        <f t="shared" si="37"/>
        <v>0</v>
      </c>
      <c r="T315" s="309">
        <f t="shared" si="38"/>
        <v>302444.49292638054</v>
      </c>
      <c r="U315" s="311">
        <f t="shared" si="39"/>
        <v>0</v>
      </c>
      <c r="V315" s="464">
        <f t="shared" si="40"/>
        <v>25203.707743865045</v>
      </c>
      <c r="W315" s="311">
        <f t="shared" si="41"/>
        <v>0</v>
      </c>
      <c r="X315" s="321"/>
      <c r="Y315" s="321"/>
      <c r="Z315" s="321"/>
      <c r="AA315" s="321"/>
      <c r="AE315" s="436"/>
      <c r="AF315" s="436"/>
      <c r="AG315" s="436"/>
    </row>
    <row r="316" spans="1:33">
      <c r="A316" s="459" t="s">
        <v>2466</v>
      </c>
      <c r="B316" s="460"/>
      <c r="C316" s="461">
        <v>4671136.83</v>
      </c>
      <c r="D316" s="461">
        <v>-3324815.6</v>
      </c>
      <c r="E316" s="429">
        <v>138</v>
      </c>
      <c r="F316" s="431">
        <v>13</v>
      </c>
      <c r="G316" s="450">
        <v>1346321.23</v>
      </c>
      <c r="H316" s="309">
        <f t="shared" si="42"/>
        <v>1299644.2729559001</v>
      </c>
      <c r="I316" s="309">
        <f t="shared" si="42"/>
        <v>1253337.9475104811</v>
      </c>
      <c r="J316" s="309">
        <f t="shared" si="42"/>
        <v>1210151.981845963</v>
      </c>
      <c r="K316" s="309">
        <f t="shared" si="42"/>
        <v>1169691.6654063852</v>
      </c>
      <c r="L316" s="309">
        <f t="shared" si="42"/>
        <v>1130584.1023655117</v>
      </c>
      <c r="M316" s="309">
        <f t="shared" si="42"/>
        <v>1092784.0646599277</v>
      </c>
      <c r="N316" s="308">
        <v>0</v>
      </c>
      <c r="O316" s="462">
        <v>0</v>
      </c>
      <c r="P316" s="463">
        <v>1</v>
      </c>
      <c r="Q316" s="309">
        <f t="shared" si="35"/>
        <v>0</v>
      </c>
      <c r="R316" s="311">
        <f t="shared" si="36"/>
        <v>0</v>
      </c>
      <c r="S316" s="312">
        <f t="shared" si="37"/>
        <v>1092784.0646599277</v>
      </c>
      <c r="T316" s="309">
        <f t="shared" si="38"/>
        <v>0</v>
      </c>
      <c r="U316" s="311">
        <f t="shared" si="39"/>
        <v>0</v>
      </c>
      <c r="V316" s="464">
        <f t="shared" si="40"/>
        <v>1092784.0646599277</v>
      </c>
      <c r="W316" s="311">
        <f t="shared" si="41"/>
        <v>0</v>
      </c>
      <c r="X316" s="321"/>
      <c r="Y316" s="321"/>
      <c r="Z316" s="321"/>
      <c r="AA316" s="321"/>
      <c r="AE316" s="436"/>
      <c r="AF316" s="436"/>
      <c r="AG316" s="436"/>
    </row>
    <row r="317" spans="1:33">
      <c r="A317" s="459" t="s">
        <v>2467</v>
      </c>
      <c r="B317" s="460"/>
      <c r="C317" s="461">
        <v>2562626.19</v>
      </c>
      <c r="D317" s="461">
        <v>-1113435.95</v>
      </c>
      <c r="E317" s="429">
        <v>138</v>
      </c>
      <c r="F317" s="431">
        <v>25</v>
      </c>
      <c r="G317" s="450">
        <v>1449190.24</v>
      </c>
      <c r="H317" s="309">
        <f t="shared" si="42"/>
        <v>1398946.8143792001</v>
      </c>
      <c r="I317" s="309">
        <f t="shared" si="42"/>
        <v>1349102.339382869</v>
      </c>
      <c r="J317" s="309">
        <f t="shared" si="42"/>
        <v>1302616.6429893011</v>
      </c>
      <c r="K317" s="309">
        <f t="shared" si="42"/>
        <v>1259064.8558043456</v>
      </c>
      <c r="L317" s="309">
        <f t="shared" si="42"/>
        <v>1216969.1824938841</v>
      </c>
      <c r="M317" s="309">
        <f t="shared" si="42"/>
        <v>1176280.9392322337</v>
      </c>
      <c r="N317" s="308">
        <v>0</v>
      </c>
      <c r="O317" s="462">
        <v>1</v>
      </c>
      <c r="P317" s="463">
        <v>0</v>
      </c>
      <c r="Q317" s="309">
        <f t="shared" si="35"/>
        <v>0</v>
      </c>
      <c r="R317" s="311">
        <f t="shared" si="36"/>
        <v>1176280.9392322337</v>
      </c>
      <c r="S317" s="312">
        <f t="shared" si="37"/>
        <v>0</v>
      </c>
      <c r="T317" s="309">
        <f t="shared" si="38"/>
        <v>0</v>
      </c>
      <c r="U317" s="311">
        <f t="shared" si="39"/>
        <v>0</v>
      </c>
      <c r="V317" s="464">
        <f t="shared" si="40"/>
        <v>1176280.9392322337</v>
      </c>
      <c r="W317" s="311">
        <f t="shared" si="41"/>
        <v>0</v>
      </c>
      <c r="X317" s="321"/>
      <c r="Y317" s="321"/>
      <c r="Z317" s="321"/>
      <c r="AA317" s="321"/>
      <c r="AE317" s="436"/>
      <c r="AF317" s="436"/>
      <c r="AG317" s="436"/>
    </row>
    <row r="318" spans="1:33">
      <c r="A318" s="459" t="s">
        <v>2468</v>
      </c>
      <c r="B318" s="460"/>
      <c r="C318" s="461">
        <v>87761.23</v>
      </c>
      <c r="D318" s="461">
        <v>-106439.84</v>
      </c>
      <c r="E318" s="429">
        <v>240</v>
      </c>
      <c r="F318" s="431">
        <v>69</v>
      </c>
      <c r="G318" s="450">
        <v>-18678.61</v>
      </c>
      <c r="H318" s="309">
        <f t="shared" si="42"/>
        <v>-18031.022591299999</v>
      </c>
      <c r="I318" s="309">
        <f t="shared" si="42"/>
        <v>-17388.57725637198</v>
      </c>
      <c r="J318" s="309">
        <f t="shared" si="42"/>
        <v>-16789.423211894107</v>
      </c>
      <c r="K318" s="309">
        <f t="shared" si="42"/>
        <v>-16228.084317125686</v>
      </c>
      <c r="L318" s="309">
        <f t="shared" si="42"/>
        <v>-15685.51327106791</v>
      </c>
      <c r="M318" s="309">
        <f t="shared" si="42"/>
        <v>-15161.082587992447</v>
      </c>
      <c r="N318" s="308">
        <v>0</v>
      </c>
      <c r="O318" s="462">
        <v>0</v>
      </c>
      <c r="P318" s="463">
        <v>1</v>
      </c>
      <c r="Q318" s="309">
        <f t="shared" si="35"/>
        <v>0</v>
      </c>
      <c r="R318" s="311">
        <f t="shared" si="36"/>
        <v>0</v>
      </c>
      <c r="S318" s="312">
        <f t="shared" si="37"/>
        <v>-15161.082587992447</v>
      </c>
      <c r="T318" s="309">
        <f t="shared" si="38"/>
        <v>0</v>
      </c>
      <c r="U318" s="311">
        <f t="shared" si="39"/>
        <v>-15161.082587992447</v>
      </c>
      <c r="V318" s="464">
        <f t="shared" si="40"/>
        <v>0</v>
      </c>
      <c r="W318" s="311">
        <f t="shared" si="41"/>
        <v>0</v>
      </c>
      <c r="X318" s="321"/>
      <c r="Y318" s="321"/>
      <c r="Z318" s="321"/>
      <c r="AA318" s="321"/>
      <c r="AE318" s="436"/>
      <c r="AF318" s="436"/>
      <c r="AG318" s="436"/>
    </row>
    <row r="319" spans="1:33">
      <c r="A319" s="459" t="s">
        <v>2469</v>
      </c>
      <c r="B319" s="460"/>
      <c r="C319" s="461">
        <v>391199.1</v>
      </c>
      <c r="D319" s="461">
        <v>-337754.08</v>
      </c>
      <c r="E319" s="429">
        <v>138</v>
      </c>
      <c r="F319" s="431">
        <v>25</v>
      </c>
      <c r="G319" s="450">
        <v>53445.02</v>
      </c>
      <c r="H319" s="309">
        <f t="shared" si="42"/>
        <v>51592.081156599997</v>
      </c>
      <c r="I319" s="309">
        <f t="shared" si="42"/>
        <v>49753.855304990335</v>
      </c>
      <c r="J319" s="309">
        <f t="shared" si="42"/>
        <v>48039.498621586114</v>
      </c>
      <c r="K319" s="309">
        <f t="shared" si="42"/>
        <v>46433.34225033172</v>
      </c>
      <c r="L319" s="309">
        <f t="shared" si="42"/>
        <v>44880.886237385428</v>
      </c>
      <c r="M319" s="309">
        <f t="shared" si="42"/>
        <v>43380.335160748466</v>
      </c>
      <c r="N319" s="308">
        <v>0</v>
      </c>
      <c r="O319" s="462">
        <v>0</v>
      </c>
      <c r="P319" s="463">
        <v>1</v>
      </c>
      <c r="Q319" s="309">
        <f t="shared" si="35"/>
        <v>0</v>
      </c>
      <c r="R319" s="311">
        <f t="shared" si="36"/>
        <v>0</v>
      </c>
      <c r="S319" s="312">
        <f t="shared" si="37"/>
        <v>43380.335160748466</v>
      </c>
      <c r="T319" s="309">
        <f t="shared" si="38"/>
        <v>0</v>
      </c>
      <c r="U319" s="311">
        <f t="shared" si="39"/>
        <v>0</v>
      </c>
      <c r="V319" s="464">
        <f t="shared" si="40"/>
        <v>43380.335160748466</v>
      </c>
      <c r="W319" s="311">
        <f t="shared" si="41"/>
        <v>0</v>
      </c>
      <c r="X319" s="321"/>
      <c r="Y319" s="321"/>
      <c r="Z319" s="321"/>
      <c r="AA319" s="321"/>
      <c r="AE319" s="436"/>
      <c r="AF319" s="436"/>
      <c r="AG319" s="436"/>
    </row>
    <row r="320" spans="1:33">
      <c r="A320" s="459" t="s">
        <v>2470</v>
      </c>
      <c r="B320" s="460"/>
      <c r="C320" s="461">
        <v>14469571.130000001</v>
      </c>
      <c r="D320" s="461">
        <v>-2758556.97</v>
      </c>
      <c r="E320" s="429">
        <v>138</v>
      </c>
      <c r="F320" s="431">
        <v>25</v>
      </c>
      <c r="G320" s="450">
        <v>11711014.16</v>
      </c>
      <c r="H320" s="309">
        <f t="shared" si="42"/>
        <v>11304993.2990728</v>
      </c>
      <c r="I320" s="309">
        <f t="shared" si="42"/>
        <v>10902196.387826836</v>
      </c>
      <c r="J320" s="309">
        <f t="shared" si="42"/>
        <v>10526542.016387973</v>
      </c>
      <c r="K320" s="309">
        <f t="shared" si="42"/>
        <v>10174596.783568628</v>
      </c>
      <c r="L320" s="309">
        <f t="shared" si="42"/>
        <v>9834418.5153148007</v>
      </c>
      <c r="M320" s="309">
        <f t="shared" si="42"/>
        <v>9505613.7940087076</v>
      </c>
      <c r="N320" s="308">
        <v>0</v>
      </c>
      <c r="O320" s="462">
        <v>1</v>
      </c>
      <c r="P320" s="463">
        <v>0</v>
      </c>
      <c r="Q320" s="309">
        <f t="shared" si="35"/>
        <v>0</v>
      </c>
      <c r="R320" s="311">
        <f t="shared" si="36"/>
        <v>9505613.7940087076</v>
      </c>
      <c r="S320" s="312">
        <f t="shared" si="37"/>
        <v>0</v>
      </c>
      <c r="T320" s="309">
        <f t="shared" si="38"/>
        <v>0</v>
      </c>
      <c r="U320" s="311">
        <f t="shared" si="39"/>
        <v>0</v>
      </c>
      <c r="V320" s="464">
        <f t="shared" si="40"/>
        <v>9505613.7940087076</v>
      </c>
      <c r="W320" s="311">
        <f t="shared" si="41"/>
        <v>0</v>
      </c>
      <c r="X320" s="321"/>
      <c r="Y320" s="321"/>
      <c r="Z320" s="321"/>
      <c r="AA320" s="321"/>
      <c r="AE320" s="436"/>
      <c r="AF320" s="436"/>
      <c r="AG320" s="436"/>
    </row>
    <row r="321" spans="1:33">
      <c r="A321" s="459" t="s">
        <v>2471</v>
      </c>
      <c r="B321" s="460"/>
      <c r="C321" s="461">
        <v>299136.17</v>
      </c>
      <c r="D321" s="461">
        <v>-135618.13</v>
      </c>
      <c r="E321" s="429">
        <v>69</v>
      </c>
      <c r="F321" s="431">
        <v>25</v>
      </c>
      <c r="G321" s="450">
        <v>163518.04</v>
      </c>
      <c r="H321" s="309">
        <f t="shared" si="42"/>
        <v>157848.8695532</v>
      </c>
      <c r="I321" s="309">
        <f t="shared" si="42"/>
        <v>152224.71433101947</v>
      </c>
      <c r="J321" s="309">
        <f t="shared" si="42"/>
        <v>146979.54378507979</v>
      </c>
      <c r="K321" s="309">
        <f t="shared" si="42"/>
        <v>142065.41817036335</v>
      </c>
      <c r="L321" s="309">
        <f t="shared" si="42"/>
        <v>137315.59181753959</v>
      </c>
      <c r="M321" s="309">
        <f t="shared" si="42"/>
        <v>132724.57153217786</v>
      </c>
      <c r="N321" s="308">
        <v>0</v>
      </c>
      <c r="O321" s="462">
        <v>1</v>
      </c>
      <c r="P321" s="463">
        <v>0</v>
      </c>
      <c r="Q321" s="309">
        <f t="shared" si="35"/>
        <v>0</v>
      </c>
      <c r="R321" s="311">
        <f t="shared" si="36"/>
        <v>132724.57153217786</v>
      </c>
      <c r="S321" s="312">
        <f t="shared" si="37"/>
        <v>0</v>
      </c>
      <c r="T321" s="309">
        <f t="shared" si="38"/>
        <v>0</v>
      </c>
      <c r="U321" s="311">
        <f t="shared" si="39"/>
        <v>0</v>
      </c>
      <c r="V321" s="464">
        <f t="shared" si="40"/>
        <v>132724.57153217786</v>
      </c>
      <c r="W321" s="311">
        <f t="shared" si="41"/>
        <v>0</v>
      </c>
      <c r="X321" s="321"/>
      <c r="Y321" s="321"/>
      <c r="Z321" s="321"/>
      <c r="AA321" s="321"/>
      <c r="AE321" s="436"/>
      <c r="AF321" s="436"/>
      <c r="AG321" s="436"/>
    </row>
    <row r="322" spans="1:33">
      <c r="A322" s="459" t="s">
        <v>2472</v>
      </c>
      <c r="B322" s="460"/>
      <c r="C322" s="461">
        <v>20703926.98</v>
      </c>
      <c r="D322" s="461">
        <v>-1612718.95</v>
      </c>
      <c r="E322" s="429">
        <v>240</v>
      </c>
      <c r="F322" s="431">
        <v>25</v>
      </c>
      <c r="G322" s="450">
        <v>19091208.030000001</v>
      </c>
      <c r="H322" s="309">
        <f t="shared" si="42"/>
        <v>18429315.847599901</v>
      </c>
      <c r="I322" s="309">
        <f t="shared" si="42"/>
        <v>17772679.323949914</v>
      </c>
      <c r="J322" s="309">
        <f t="shared" si="42"/>
        <v>17160290.366466302</v>
      </c>
      <c r="K322" s="309">
        <f t="shared" ref="H322:M347" si="43">+$G322*(K$3)</f>
        <v>16586551.870113835</v>
      </c>
      <c r="L322" s="309">
        <f t="shared" si="43"/>
        <v>16031995.791725576</v>
      </c>
      <c r="M322" s="309">
        <f t="shared" si="43"/>
        <v>15495980.7848322</v>
      </c>
      <c r="N322" s="308">
        <v>0</v>
      </c>
      <c r="O322" s="462">
        <v>1</v>
      </c>
      <c r="P322" s="463">
        <v>0</v>
      </c>
      <c r="Q322" s="309">
        <f t="shared" si="35"/>
        <v>0</v>
      </c>
      <c r="R322" s="311">
        <f t="shared" si="36"/>
        <v>15495980.7848322</v>
      </c>
      <c r="S322" s="312">
        <f t="shared" si="37"/>
        <v>0</v>
      </c>
      <c r="T322" s="309">
        <f t="shared" si="38"/>
        <v>0</v>
      </c>
      <c r="U322" s="311">
        <f t="shared" si="39"/>
        <v>0</v>
      </c>
      <c r="V322" s="464">
        <f t="shared" si="40"/>
        <v>15495980.7848322</v>
      </c>
      <c r="W322" s="311">
        <f t="shared" si="41"/>
        <v>0</v>
      </c>
      <c r="X322" s="321"/>
      <c r="Y322" s="321"/>
      <c r="Z322" s="321"/>
      <c r="AA322" s="321"/>
      <c r="AE322" s="436"/>
      <c r="AF322" s="436"/>
      <c r="AG322" s="436"/>
    </row>
    <row r="323" spans="1:33">
      <c r="A323" s="459" t="s">
        <v>2473</v>
      </c>
      <c r="B323" s="460"/>
      <c r="C323" s="461">
        <v>23139.96</v>
      </c>
      <c r="D323" s="461">
        <v>-5572.99</v>
      </c>
      <c r="E323" s="429">
        <v>69</v>
      </c>
      <c r="F323" s="431">
        <v>4.2</v>
      </c>
      <c r="G323" s="450">
        <v>17566.97</v>
      </c>
      <c r="H323" s="309">
        <f t="shared" si="43"/>
        <v>16957.923150100003</v>
      </c>
      <c r="I323" s="309">
        <f t="shared" si="43"/>
        <v>16353.712348261937</v>
      </c>
      <c r="J323" s="309">
        <f t="shared" si="43"/>
        <v>15790.2163962226</v>
      </c>
      <c r="K323" s="309">
        <f t="shared" si="43"/>
        <v>15262.285060634458</v>
      </c>
      <c r="L323" s="309">
        <f t="shared" si="43"/>
        <v>14752.004622798584</v>
      </c>
      <c r="M323" s="309">
        <f t="shared" si="43"/>
        <v>14258.784941212738</v>
      </c>
      <c r="N323" s="308">
        <v>0</v>
      </c>
      <c r="O323" s="462">
        <v>1</v>
      </c>
      <c r="P323" s="463">
        <v>0</v>
      </c>
      <c r="Q323" s="309">
        <f t="shared" si="35"/>
        <v>0</v>
      </c>
      <c r="R323" s="311">
        <f t="shared" si="36"/>
        <v>14258.784941212738</v>
      </c>
      <c r="S323" s="312">
        <f t="shared" si="37"/>
        <v>0</v>
      </c>
      <c r="T323" s="309">
        <f t="shared" si="38"/>
        <v>0</v>
      </c>
      <c r="U323" s="311">
        <f t="shared" si="39"/>
        <v>0</v>
      </c>
      <c r="V323" s="464">
        <f t="shared" si="40"/>
        <v>14258.784941212738</v>
      </c>
      <c r="W323" s="311">
        <f t="shared" si="41"/>
        <v>0</v>
      </c>
      <c r="X323" s="321"/>
      <c r="Y323" s="321"/>
      <c r="Z323" s="321"/>
      <c r="AA323" s="321"/>
      <c r="AE323" s="436"/>
      <c r="AF323" s="436"/>
      <c r="AG323" s="436"/>
    </row>
    <row r="324" spans="1:33">
      <c r="A324" s="459" t="s">
        <v>2474</v>
      </c>
      <c r="B324" s="460"/>
      <c r="C324" s="461">
        <v>23431.279999999999</v>
      </c>
      <c r="D324" s="461">
        <v>-3896.81</v>
      </c>
      <c r="E324" s="429">
        <v>69</v>
      </c>
      <c r="F324" s="431">
        <v>2.4</v>
      </c>
      <c r="G324" s="450">
        <v>19534.47</v>
      </c>
      <c r="H324" s="309">
        <f t="shared" si="43"/>
        <v>18857.2099251</v>
      </c>
      <c r="I324" s="309">
        <f t="shared" si="43"/>
        <v>18185.327535468685</v>
      </c>
      <c r="J324" s="309">
        <f t="shared" si="43"/>
        <v>17558.720057330233</v>
      </c>
      <c r="K324" s="309">
        <f t="shared" si="43"/>
        <v>16971.660431389821</v>
      </c>
      <c r="L324" s="309">
        <f t="shared" si="43"/>
        <v>16404.228603106865</v>
      </c>
      <c r="M324" s="309">
        <f t="shared" si="43"/>
        <v>15855.768335152392</v>
      </c>
      <c r="N324" s="308">
        <v>0</v>
      </c>
      <c r="O324" s="462">
        <v>1</v>
      </c>
      <c r="P324" s="463">
        <v>0</v>
      </c>
      <c r="Q324" s="309">
        <f t="shared" si="35"/>
        <v>0</v>
      </c>
      <c r="R324" s="311">
        <f t="shared" si="36"/>
        <v>15855.768335152392</v>
      </c>
      <c r="S324" s="312">
        <f t="shared" si="37"/>
        <v>0</v>
      </c>
      <c r="T324" s="309">
        <f t="shared" si="38"/>
        <v>0</v>
      </c>
      <c r="U324" s="311">
        <f t="shared" si="39"/>
        <v>0</v>
      </c>
      <c r="V324" s="464">
        <f t="shared" si="40"/>
        <v>15855.768335152392</v>
      </c>
      <c r="W324" s="311">
        <f t="shared" si="41"/>
        <v>0</v>
      </c>
      <c r="X324" s="321"/>
      <c r="Y324" s="321"/>
      <c r="Z324" s="321"/>
      <c r="AA324" s="321"/>
      <c r="AE324" s="436"/>
      <c r="AF324" s="436"/>
      <c r="AG324" s="436"/>
    </row>
    <row r="325" spans="1:33">
      <c r="A325" s="459" t="s">
        <v>2475</v>
      </c>
      <c r="B325" s="460"/>
      <c r="C325" s="461">
        <v>389890.78</v>
      </c>
      <c r="D325" s="461">
        <v>-135320.5</v>
      </c>
      <c r="E325" s="429">
        <v>69</v>
      </c>
      <c r="F325" s="431">
        <v>4.2</v>
      </c>
      <c r="G325" s="450">
        <v>254570.28</v>
      </c>
      <c r="H325" s="309">
        <f t="shared" si="43"/>
        <v>245744.3283924</v>
      </c>
      <c r="I325" s="309">
        <f t="shared" si="43"/>
        <v>236988.45797177876</v>
      </c>
      <c r="J325" s="309">
        <f t="shared" si="43"/>
        <v>228822.60339984516</v>
      </c>
      <c r="K325" s="309">
        <f t="shared" si="43"/>
        <v>221172.13049976924</v>
      </c>
      <c r="L325" s="309">
        <f t="shared" si="43"/>
        <v>213777.44411171245</v>
      </c>
      <c r="M325" s="309">
        <f t="shared" si="43"/>
        <v>206629.99224933554</v>
      </c>
      <c r="N325" s="308">
        <v>0</v>
      </c>
      <c r="O325" s="462">
        <v>1</v>
      </c>
      <c r="P325" s="463">
        <v>0</v>
      </c>
      <c r="Q325" s="309">
        <f t="shared" si="35"/>
        <v>0</v>
      </c>
      <c r="R325" s="311">
        <f t="shared" si="36"/>
        <v>206629.99224933554</v>
      </c>
      <c r="S325" s="312">
        <f t="shared" si="37"/>
        <v>0</v>
      </c>
      <c r="T325" s="309">
        <f t="shared" si="38"/>
        <v>0</v>
      </c>
      <c r="U325" s="311">
        <f t="shared" si="39"/>
        <v>0</v>
      </c>
      <c r="V325" s="464">
        <f t="shared" si="40"/>
        <v>206629.99224933554</v>
      </c>
      <c r="W325" s="311">
        <f t="shared" si="41"/>
        <v>0</v>
      </c>
      <c r="X325" s="321"/>
      <c r="Y325" s="321"/>
      <c r="Z325" s="321"/>
      <c r="AA325" s="321"/>
      <c r="AE325" s="436"/>
      <c r="AF325" s="436"/>
      <c r="AG325" s="436"/>
    </row>
    <row r="326" spans="1:33">
      <c r="A326" s="459" t="s">
        <v>2476</v>
      </c>
      <c r="B326" s="460"/>
      <c r="C326" s="461">
        <v>1106284.53</v>
      </c>
      <c r="D326" s="461">
        <v>-198836.29</v>
      </c>
      <c r="E326" s="429">
        <v>69</v>
      </c>
      <c r="F326" s="431">
        <v>2.4</v>
      </c>
      <c r="G326" s="450">
        <v>907448.24</v>
      </c>
      <c r="H326" s="309">
        <f t="shared" si="43"/>
        <v>875987.00951919996</v>
      </c>
      <c r="I326" s="309">
        <f t="shared" si="43"/>
        <v>844775.59237003082</v>
      </c>
      <c r="J326" s="309">
        <f t="shared" si="43"/>
        <v>815667.36198509706</v>
      </c>
      <c r="K326" s="309">
        <f t="shared" si="43"/>
        <v>788396.27531959303</v>
      </c>
      <c r="L326" s="309">
        <f t="shared" si="43"/>
        <v>762036.97230828297</v>
      </c>
      <c r="M326" s="309">
        <f t="shared" si="43"/>
        <v>736558.96830483584</v>
      </c>
      <c r="N326" s="308">
        <v>0</v>
      </c>
      <c r="O326" s="462">
        <v>1</v>
      </c>
      <c r="P326" s="463">
        <v>0</v>
      </c>
      <c r="Q326" s="309">
        <f t="shared" ref="Q326:Q347" si="44">IF(ISERROR(N326),0,N326*$M326)</f>
        <v>0</v>
      </c>
      <c r="R326" s="311">
        <f t="shared" ref="R326:R347" si="45">IF(ISERROR(O326),0,O326*$M326)</f>
        <v>736558.96830483584</v>
      </c>
      <c r="S326" s="312">
        <f t="shared" ref="S326:S347" si="46">+P326*$M326</f>
        <v>0</v>
      </c>
      <c r="T326" s="309">
        <f t="shared" ref="T326:T347" si="47">+Q326+IF(OR(ISERROR(F326),ISBLANK(F326),F326=0),0,IF((F326&gt;144),S326,0))</f>
        <v>0</v>
      </c>
      <c r="U326" s="311">
        <f t="shared" ref="U326:U347" si="48">IF(OR(ISERROR(F326),ISBLANK(F326),F326=0),0,IF(AND(F326&lt;=144,F326&gt;=69),S326,0))</f>
        <v>0</v>
      </c>
      <c r="V326" s="464">
        <f t="shared" ref="V326:V347" si="49">+R326+IF(OR(ISERROR(F326),,ISBLANK(F326),F326=0),0,IF(F326&lt;69,S326,0))</f>
        <v>736558.96830483584</v>
      </c>
      <c r="W326" s="311">
        <f t="shared" ref="W326:W347" si="50">IF(OR(ISERROR(F326),ISBLANK(F326),F326=0),M326,0)</f>
        <v>0</v>
      </c>
      <c r="X326" s="321"/>
      <c r="Y326" s="321"/>
      <c r="Z326" s="321"/>
      <c r="AA326" s="321"/>
      <c r="AE326" s="436"/>
      <c r="AF326" s="436"/>
      <c r="AG326" s="436"/>
    </row>
    <row r="327" spans="1:33">
      <c r="A327" s="459" t="s">
        <v>2477</v>
      </c>
      <c r="B327" s="460"/>
      <c r="C327" s="461">
        <v>6313821.0499999998</v>
      </c>
      <c r="D327" s="461">
        <v>-2587026.08</v>
      </c>
      <c r="E327" s="429">
        <v>138</v>
      </c>
      <c r="F327" s="431">
        <v>25</v>
      </c>
      <c r="G327" s="450">
        <v>3726794.97</v>
      </c>
      <c r="H327" s="309">
        <f t="shared" si="43"/>
        <v>3597586.9883901002</v>
      </c>
      <c r="I327" s="309">
        <f t="shared" si="43"/>
        <v>3469404.9639937608</v>
      </c>
      <c r="J327" s="309">
        <f t="shared" si="43"/>
        <v>3349860.5075692572</v>
      </c>
      <c r="K327" s="309">
        <f t="shared" si="43"/>
        <v>3237861.0081692315</v>
      </c>
      <c r="L327" s="309">
        <f t="shared" si="43"/>
        <v>3129606.1088316599</v>
      </c>
      <c r="M327" s="309">
        <f t="shared" si="43"/>
        <v>3024970.6123038507</v>
      </c>
      <c r="N327" s="308">
        <v>0.23378141437755698</v>
      </c>
      <c r="O327" s="462">
        <v>0.76621858562244305</v>
      </c>
      <c r="P327" s="463">
        <v>0</v>
      </c>
      <c r="Q327" s="309">
        <f t="shared" si="44"/>
        <v>707181.90819493879</v>
      </c>
      <c r="R327" s="311">
        <f t="shared" si="45"/>
        <v>2317788.704108912</v>
      </c>
      <c r="S327" s="312">
        <f t="shared" si="46"/>
        <v>0</v>
      </c>
      <c r="T327" s="309">
        <f t="shared" si="47"/>
        <v>707181.90819493879</v>
      </c>
      <c r="U327" s="311">
        <f t="shared" si="48"/>
        <v>0</v>
      </c>
      <c r="V327" s="464">
        <f t="shared" si="49"/>
        <v>2317788.704108912</v>
      </c>
      <c r="W327" s="311">
        <f t="shared" si="50"/>
        <v>0</v>
      </c>
      <c r="X327" s="321"/>
      <c r="Y327" s="321"/>
      <c r="Z327" s="321"/>
      <c r="AA327" s="321"/>
      <c r="AE327" s="436"/>
      <c r="AF327" s="436"/>
      <c r="AG327" s="436"/>
    </row>
    <row r="328" spans="1:33">
      <c r="A328" s="459" t="s">
        <v>2478</v>
      </c>
      <c r="B328" s="460"/>
      <c r="C328" s="461">
        <v>4327543.67</v>
      </c>
      <c r="D328" s="461">
        <v>-1439969.85</v>
      </c>
      <c r="E328" s="429">
        <v>138</v>
      </c>
      <c r="F328" s="431">
        <v>25</v>
      </c>
      <c r="G328" s="450">
        <v>2887573.82</v>
      </c>
      <c r="H328" s="309">
        <f t="shared" si="43"/>
        <v>2787461.6356605999</v>
      </c>
      <c r="I328" s="309">
        <f t="shared" si="43"/>
        <v>2688144.3775820122</v>
      </c>
      <c r="J328" s="309">
        <f t="shared" si="43"/>
        <v>2595519.6301847799</v>
      </c>
      <c r="K328" s="309">
        <f t="shared" si="43"/>
        <v>2508740.8229458565</v>
      </c>
      <c r="L328" s="309">
        <f t="shared" si="43"/>
        <v>2424863.3851661477</v>
      </c>
      <c r="M328" s="309">
        <f t="shared" si="43"/>
        <v>2343790.3122312007</v>
      </c>
      <c r="N328" s="308">
        <v>0</v>
      </c>
      <c r="O328" s="462">
        <v>1</v>
      </c>
      <c r="P328" s="463">
        <v>0</v>
      </c>
      <c r="Q328" s="309">
        <f t="shared" si="44"/>
        <v>0</v>
      </c>
      <c r="R328" s="311">
        <f t="shared" si="45"/>
        <v>2343790.3122312007</v>
      </c>
      <c r="S328" s="312">
        <f t="shared" si="46"/>
        <v>0</v>
      </c>
      <c r="T328" s="309">
        <f t="shared" si="47"/>
        <v>0</v>
      </c>
      <c r="U328" s="311">
        <f t="shared" si="48"/>
        <v>0</v>
      </c>
      <c r="V328" s="464">
        <f t="shared" si="49"/>
        <v>2343790.3122312007</v>
      </c>
      <c r="W328" s="311">
        <f t="shared" si="50"/>
        <v>0</v>
      </c>
      <c r="X328" s="321"/>
      <c r="Y328" s="321"/>
      <c r="Z328" s="321"/>
      <c r="AA328" s="321"/>
      <c r="AE328" s="436"/>
      <c r="AF328" s="436"/>
      <c r="AG328" s="436"/>
    </row>
    <row r="329" spans="1:33">
      <c r="A329" s="459" t="s">
        <v>2479</v>
      </c>
      <c r="B329" s="460"/>
      <c r="C329" s="461">
        <v>4360404.13</v>
      </c>
      <c r="D329" s="461">
        <v>-1691344.47</v>
      </c>
      <c r="E329" s="429">
        <v>138</v>
      </c>
      <c r="F329" s="431">
        <v>13</v>
      </c>
      <c r="G329" s="450">
        <v>2669059.66</v>
      </c>
      <c r="H329" s="309">
        <f t="shared" si="43"/>
        <v>2576523.3615878001</v>
      </c>
      <c r="I329" s="309">
        <f t="shared" si="43"/>
        <v>2484721.8342144266</v>
      </c>
      <c r="J329" s="309">
        <f t="shared" si="43"/>
        <v>2399106.3687037844</v>
      </c>
      <c r="K329" s="309">
        <f t="shared" si="43"/>
        <v>2318894.457880903</v>
      </c>
      <c r="L329" s="309">
        <f t="shared" si="43"/>
        <v>2241364.3583865184</v>
      </c>
      <c r="M329" s="309">
        <f t="shared" si="43"/>
        <v>2166426.4063299699</v>
      </c>
      <c r="N329" s="308">
        <v>0</v>
      </c>
      <c r="O329" s="462">
        <v>0</v>
      </c>
      <c r="P329" s="463">
        <v>1</v>
      </c>
      <c r="Q329" s="309">
        <f t="shared" si="44"/>
        <v>0</v>
      </c>
      <c r="R329" s="311">
        <f t="shared" si="45"/>
        <v>0</v>
      </c>
      <c r="S329" s="312">
        <f t="shared" si="46"/>
        <v>2166426.4063299699</v>
      </c>
      <c r="T329" s="309">
        <f t="shared" si="47"/>
        <v>0</v>
      </c>
      <c r="U329" s="311">
        <f t="shared" si="48"/>
        <v>0</v>
      </c>
      <c r="V329" s="464">
        <f t="shared" si="49"/>
        <v>2166426.4063299699</v>
      </c>
      <c r="W329" s="311">
        <f t="shared" si="50"/>
        <v>0</v>
      </c>
      <c r="X329" s="321"/>
      <c r="Y329" s="321"/>
      <c r="Z329" s="321"/>
      <c r="AA329" s="321"/>
      <c r="AE329" s="436"/>
      <c r="AF329" s="436"/>
      <c r="AG329" s="436"/>
    </row>
    <row r="330" spans="1:33">
      <c r="A330" s="459" t="s">
        <v>2480</v>
      </c>
      <c r="B330" s="460"/>
      <c r="C330" s="461">
        <v>534855.18999999994</v>
      </c>
      <c r="D330" s="461">
        <v>-186450.76</v>
      </c>
      <c r="E330" s="429">
        <v>138</v>
      </c>
      <c r="F330" s="431">
        <v>138</v>
      </c>
      <c r="G330" s="450">
        <v>348404.43</v>
      </c>
      <c r="H330" s="309">
        <f t="shared" si="43"/>
        <v>336325.24841190001</v>
      </c>
      <c r="I330" s="309">
        <f t="shared" si="43"/>
        <v>324341.97981098399</v>
      </c>
      <c r="J330" s="309">
        <f t="shared" si="43"/>
        <v>313166.20584554924</v>
      </c>
      <c r="K330" s="309">
        <f t="shared" si="43"/>
        <v>302695.78231464297</v>
      </c>
      <c r="L330" s="309">
        <f t="shared" si="43"/>
        <v>292575.42774670332</v>
      </c>
      <c r="M330" s="309">
        <f t="shared" si="43"/>
        <v>282793.43790851848</v>
      </c>
      <c r="N330" s="308">
        <v>0</v>
      </c>
      <c r="O330" s="462">
        <v>0</v>
      </c>
      <c r="P330" s="463">
        <v>1</v>
      </c>
      <c r="Q330" s="309">
        <f t="shared" si="44"/>
        <v>0</v>
      </c>
      <c r="R330" s="311">
        <f t="shared" si="45"/>
        <v>0</v>
      </c>
      <c r="S330" s="312">
        <f t="shared" si="46"/>
        <v>282793.43790851848</v>
      </c>
      <c r="T330" s="309">
        <f t="shared" si="47"/>
        <v>0</v>
      </c>
      <c r="U330" s="311">
        <f t="shared" si="48"/>
        <v>282793.43790851848</v>
      </c>
      <c r="V330" s="464">
        <f t="shared" si="49"/>
        <v>0</v>
      </c>
      <c r="W330" s="311">
        <f t="shared" si="50"/>
        <v>0</v>
      </c>
      <c r="X330" s="321"/>
      <c r="Y330" s="321"/>
      <c r="Z330" s="321"/>
      <c r="AA330" s="321"/>
      <c r="AE330" s="436"/>
      <c r="AF330" s="436"/>
      <c r="AG330" s="436"/>
    </row>
    <row r="331" spans="1:33">
      <c r="A331" s="459" t="s">
        <v>2481</v>
      </c>
      <c r="B331" s="460"/>
      <c r="C331" s="461">
        <v>1745311.97</v>
      </c>
      <c r="D331" s="461">
        <v>-1129497.8999999999</v>
      </c>
      <c r="E331" s="429">
        <v>69</v>
      </c>
      <c r="F331" s="431">
        <v>25</v>
      </c>
      <c r="G331" s="450">
        <v>615814.06999999995</v>
      </c>
      <c r="H331" s="309">
        <f t="shared" si="43"/>
        <v>594463.79619309993</v>
      </c>
      <c r="I331" s="309">
        <f t="shared" si="43"/>
        <v>573283.05113473977</v>
      </c>
      <c r="J331" s="309">
        <f t="shared" si="43"/>
        <v>553529.57426002156</v>
      </c>
      <c r="K331" s="309">
        <f t="shared" si="43"/>
        <v>535022.82298481197</v>
      </c>
      <c r="L331" s="309">
        <f t="shared" si="43"/>
        <v>517134.8278857657</v>
      </c>
      <c r="M331" s="309">
        <f t="shared" si="43"/>
        <v>499844.90142027487</v>
      </c>
      <c r="N331" s="308">
        <v>0</v>
      </c>
      <c r="O331" s="462">
        <v>1</v>
      </c>
      <c r="P331" s="463">
        <v>0</v>
      </c>
      <c r="Q331" s="309">
        <f t="shared" si="44"/>
        <v>0</v>
      </c>
      <c r="R331" s="311">
        <f t="shared" si="45"/>
        <v>499844.90142027487</v>
      </c>
      <c r="S331" s="312">
        <f t="shared" si="46"/>
        <v>0</v>
      </c>
      <c r="T331" s="309">
        <f t="shared" si="47"/>
        <v>0</v>
      </c>
      <c r="U331" s="311">
        <f t="shared" si="48"/>
        <v>0</v>
      </c>
      <c r="V331" s="464">
        <f t="shared" si="49"/>
        <v>499844.90142027487</v>
      </c>
      <c r="W331" s="311">
        <f t="shared" si="50"/>
        <v>0</v>
      </c>
      <c r="X331" s="321"/>
      <c r="Y331" s="321"/>
      <c r="Z331" s="321"/>
      <c r="AA331" s="321"/>
      <c r="AE331" s="436"/>
      <c r="AF331" s="436"/>
      <c r="AG331" s="436"/>
    </row>
    <row r="332" spans="1:33">
      <c r="A332" s="459" t="s">
        <v>2482</v>
      </c>
      <c r="B332" s="460"/>
      <c r="C332" s="461">
        <v>3230307.86</v>
      </c>
      <c r="D332" s="461">
        <v>-846180.18</v>
      </c>
      <c r="E332" s="429">
        <v>69</v>
      </c>
      <c r="F332" s="431">
        <v>25</v>
      </c>
      <c r="G332" s="450">
        <v>2384127.6800000002</v>
      </c>
      <c r="H332" s="309">
        <f t="shared" si="43"/>
        <v>2301469.9733344</v>
      </c>
      <c r="I332" s="309">
        <f t="shared" si="43"/>
        <v>2219468.5981844952</v>
      </c>
      <c r="J332" s="309">
        <f t="shared" si="43"/>
        <v>2142992.8999380171</v>
      </c>
      <c r="K332" s="309">
        <f t="shared" si="43"/>
        <v>2071343.9069520293</v>
      </c>
      <c r="L332" s="309">
        <f t="shared" si="43"/>
        <v>2002090.4320268128</v>
      </c>
      <c r="M332" s="309">
        <f t="shared" si="43"/>
        <v>1935152.3832233141</v>
      </c>
      <c r="N332" s="308">
        <v>0</v>
      </c>
      <c r="O332" s="462">
        <v>1</v>
      </c>
      <c r="P332" s="463">
        <v>0</v>
      </c>
      <c r="Q332" s="309">
        <f t="shared" si="44"/>
        <v>0</v>
      </c>
      <c r="R332" s="311">
        <f t="shared" si="45"/>
        <v>1935152.3832233141</v>
      </c>
      <c r="S332" s="312">
        <f t="shared" si="46"/>
        <v>0</v>
      </c>
      <c r="T332" s="309">
        <f t="shared" si="47"/>
        <v>0</v>
      </c>
      <c r="U332" s="311">
        <f t="shared" si="48"/>
        <v>0</v>
      </c>
      <c r="V332" s="464">
        <f t="shared" si="49"/>
        <v>1935152.3832233141</v>
      </c>
      <c r="W332" s="311">
        <f t="shared" si="50"/>
        <v>0</v>
      </c>
      <c r="X332" s="321"/>
      <c r="Y332" s="321"/>
      <c r="Z332" s="321"/>
      <c r="AA332" s="321"/>
      <c r="AE332" s="436"/>
      <c r="AF332" s="436"/>
      <c r="AG332" s="436"/>
    </row>
    <row r="333" spans="1:33">
      <c r="A333" s="459" t="s">
        <v>2483</v>
      </c>
      <c r="B333" s="460"/>
      <c r="C333" s="461">
        <v>522.04999999999995</v>
      </c>
      <c r="D333" s="461">
        <v>-130.83000000000001</v>
      </c>
      <c r="E333" s="429">
        <v>69</v>
      </c>
      <c r="F333" s="431">
        <v>25</v>
      </c>
      <c r="G333" s="450">
        <v>391.22</v>
      </c>
      <c r="H333" s="309">
        <f t="shared" si="43"/>
        <v>377.65640260000004</v>
      </c>
      <c r="I333" s="309">
        <f t="shared" si="43"/>
        <v>364.20050497536198</v>
      </c>
      <c r="J333" s="309">
        <f t="shared" si="43"/>
        <v>351.65133534868028</v>
      </c>
      <c r="K333" s="309">
        <f t="shared" si="43"/>
        <v>339.89419697428826</v>
      </c>
      <c r="L333" s="309">
        <f t="shared" si="43"/>
        <v>328.53014768803394</v>
      </c>
      <c r="M333" s="309">
        <f t="shared" si="43"/>
        <v>317.5460449184605</v>
      </c>
      <c r="N333" s="308">
        <v>0</v>
      </c>
      <c r="O333" s="462">
        <v>0</v>
      </c>
      <c r="P333" s="463">
        <v>1</v>
      </c>
      <c r="Q333" s="309">
        <f t="shared" si="44"/>
        <v>0</v>
      </c>
      <c r="R333" s="311">
        <f t="shared" si="45"/>
        <v>0</v>
      </c>
      <c r="S333" s="312">
        <f t="shared" si="46"/>
        <v>317.5460449184605</v>
      </c>
      <c r="T333" s="309">
        <f t="shared" si="47"/>
        <v>0</v>
      </c>
      <c r="U333" s="311">
        <f t="shared" si="48"/>
        <v>0</v>
      </c>
      <c r="V333" s="464">
        <f t="shared" si="49"/>
        <v>317.5460449184605</v>
      </c>
      <c r="W333" s="311">
        <f t="shared" si="50"/>
        <v>0</v>
      </c>
      <c r="X333" s="321"/>
      <c r="Y333" s="321"/>
      <c r="Z333" s="321"/>
      <c r="AA333" s="321"/>
      <c r="AE333" s="436"/>
      <c r="AF333" s="436"/>
      <c r="AG333" s="436"/>
    </row>
    <row r="334" spans="1:33">
      <c r="A334" s="459" t="s">
        <v>2484</v>
      </c>
      <c r="B334" s="460"/>
      <c r="C334" s="461">
        <v>164611.37</v>
      </c>
      <c r="D334" s="461">
        <v>-115235.89</v>
      </c>
      <c r="E334" s="429">
        <v>138</v>
      </c>
      <c r="F334" s="431">
        <v>138</v>
      </c>
      <c r="G334" s="450">
        <v>49375.48</v>
      </c>
      <c r="H334" s="309">
        <f t="shared" si="43"/>
        <v>47663.632108400001</v>
      </c>
      <c r="I334" s="309">
        <f t="shared" si="43"/>
        <v>45965.376896377704</v>
      </c>
      <c r="J334" s="309">
        <f t="shared" si="43"/>
        <v>44381.55890670736</v>
      </c>
      <c r="K334" s="309">
        <f t="shared" si="43"/>
        <v>42897.702379275172</v>
      </c>
      <c r="L334" s="309">
        <f t="shared" si="43"/>
        <v>41463.457227563944</v>
      </c>
      <c r="M334" s="309">
        <f t="shared" si="43"/>
        <v>40077.164740940003</v>
      </c>
      <c r="N334" s="308">
        <v>0</v>
      </c>
      <c r="O334" s="462">
        <v>0</v>
      </c>
      <c r="P334" s="463">
        <v>1</v>
      </c>
      <c r="Q334" s="309">
        <f t="shared" si="44"/>
        <v>0</v>
      </c>
      <c r="R334" s="311">
        <f t="shared" si="45"/>
        <v>0</v>
      </c>
      <c r="S334" s="312">
        <f t="shared" si="46"/>
        <v>40077.164740940003</v>
      </c>
      <c r="T334" s="309">
        <f t="shared" si="47"/>
        <v>0</v>
      </c>
      <c r="U334" s="311">
        <f t="shared" si="48"/>
        <v>40077.164740940003</v>
      </c>
      <c r="V334" s="464">
        <f t="shared" si="49"/>
        <v>0</v>
      </c>
      <c r="W334" s="311">
        <f t="shared" si="50"/>
        <v>0</v>
      </c>
      <c r="X334" s="321"/>
      <c r="Y334" s="321"/>
      <c r="Z334" s="321"/>
      <c r="AA334" s="321"/>
      <c r="AE334" s="436"/>
      <c r="AF334" s="436"/>
      <c r="AG334" s="436"/>
    </row>
    <row r="335" spans="1:33">
      <c r="A335" s="459" t="s">
        <v>2485</v>
      </c>
      <c r="B335" s="460"/>
      <c r="C335" s="461">
        <v>2606997.66</v>
      </c>
      <c r="D335" s="461">
        <v>-1230440.32</v>
      </c>
      <c r="E335" s="429">
        <v>138</v>
      </c>
      <c r="F335" s="431">
        <v>25</v>
      </c>
      <c r="G335" s="450">
        <v>1376557.34</v>
      </c>
      <c r="H335" s="309">
        <f t="shared" si="43"/>
        <v>1328832.0970222</v>
      </c>
      <c r="I335" s="309">
        <f t="shared" si="43"/>
        <v>1281485.8094052989</v>
      </c>
      <c r="J335" s="309">
        <f t="shared" si="43"/>
        <v>1237329.9596008058</v>
      </c>
      <c r="K335" s="309">
        <f t="shared" si="43"/>
        <v>1195960.9725176687</v>
      </c>
      <c r="L335" s="309">
        <f t="shared" si="43"/>
        <v>1155975.1193989243</v>
      </c>
      <c r="M335" s="309">
        <f t="shared" si="43"/>
        <v>1117326.1564349381</v>
      </c>
      <c r="N335" s="308">
        <v>0</v>
      </c>
      <c r="O335" s="462">
        <v>1</v>
      </c>
      <c r="P335" s="463">
        <v>0</v>
      </c>
      <c r="Q335" s="309">
        <f t="shared" si="44"/>
        <v>0</v>
      </c>
      <c r="R335" s="311">
        <f t="shared" si="45"/>
        <v>1117326.1564349381</v>
      </c>
      <c r="S335" s="312">
        <f t="shared" si="46"/>
        <v>0</v>
      </c>
      <c r="T335" s="309">
        <f t="shared" si="47"/>
        <v>0</v>
      </c>
      <c r="U335" s="311">
        <f t="shared" si="48"/>
        <v>0</v>
      </c>
      <c r="V335" s="464">
        <f t="shared" si="49"/>
        <v>1117326.1564349381</v>
      </c>
      <c r="W335" s="311">
        <f t="shared" si="50"/>
        <v>0</v>
      </c>
      <c r="X335" s="321"/>
      <c r="Y335" s="321"/>
      <c r="Z335" s="321"/>
      <c r="AA335" s="321"/>
      <c r="AE335" s="436"/>
      <c r="AF335" s="436"/>
      <c r="AG335" s="436"/>
    </row>
    <row r="336" spans="1:33">
      <c r="A336" s="459" t="s">
        <v>2486</v>
      </c>
      <c r="B336" s="460"/>
      <c r="C336" s="461">
        <v>43768.46</v>
      </c>
      <c r="D336" s="461">
        <v>-21713.65</v>
      </c>
      <c r="E336" s="429">
        <v>69</v>
      </c>
      <c r="F336" s="431">
        <v>2.4</v>
      </c>
      <c r="G336" s="450">
        <v>22054.81</v>
      </c>
      <c r="H336" s="309">
        <f t="shared" si="43"/>
        <v>21290.169737300002</v>
      </c>
      <c r="I336" s="309">
        <f t="shared" si="43"/>
        <v>20531.60098956</v>
      </c>
      <c r="J336" s="309">
        <f t="shared" si="43"/>
        <v>19824.148528606478</v>
      </c>
      <c r="K336" s="309">
        <f t="shared" si="43"/>
        <v>19161.346389168506</v>
      </c>
      <c r="L336" s="309">
        <f t="shared" si="43"/>
        <v>18520.704428535166</v>
      </c>
      <c r="M336" s="309">
        <f t="shared" si="43"/>
        <v>17901.481741547239</v>
      </c>
      <c r="N336" s="308">
        <v>0</v>
      </c>
      <c r="O336" s="462">
        <v>0</v>
      </c>
      <c r="P336" s="463">
        <v>1</v>
      </c>
      <c r="Q336" s="309">
        <f t="shared" si="44"/>
        <v>0</v>
      </c>
      <c r="R336" s="311">
        <f t="shared" si="45"/>
        <v>0</v>
      </c>
      <c r="S336" s="312">
        <f t="shared" si="46"/>
        <v>17901.481741547239</v>
      </c>
      <c r="T336" s="309">
        <f t="shared" si="47"/>
        <v>0</v>
      </c>
      <c r="U336" s="311">
        <f t="shared" si="48"/>
        <v>0</v>
      </c>
      <c r="V336" s="464">
        <f t="shared" si="49"/>
        <v>17901.481741547239</v>
      </c>
      <c r="W336" s="311">
        <f t="shared" si="50"/>
        <v>0</v>
      </c>
      <c r="X336" s="321"/>
      <c r="Y336" s="321"/>
      <c r="Z336" s="321"/>
      <c r="AA336" s="321"/>
      <c r="AE336" s="436"/>
      <c r="AF336" s="436"/>
      <c r="AG336" s="436"/>
    </row>
    <row r="337" spans="1:33">
      <c r="A337" s="459" t="s">
        <v>2487</v>
      </c>
      <c r="B337" s="460"/>
      <c r="C337" s="461">
        <v>1743158.99</v>
      </c>
      <c r="D337" s="461">
        <v>-327693.31</v>
      </c>
      <c r="E337" s="429">
        <v>138</v>
      </c>
      <c r="F337" s="431">
        <v>25</v>
      </c>
      <c r="G337" s="450">
        <v>1415465.68</v>
      </c>
      <c r="H337" s="309">
        <f t="shared" si="43"/>
        <v>1366391.4848744001</v>
      </c>
      <c r="I337" s="309">
        <f t="shared" si="43"/>
        <v>1317706.956268325</v>
      </c>
      <c r="J337" s="309">
        <f t="shared" si="43"/>
        <v>1272303.0430760894</v>
      </c>
      <c r="K337" s="309">
        <f t="shared" si="43"/>
        <v>1229764.763172294</v>
      </c>
      <c r="L337" s="309">
        <f t="shared" si="43"/>
        <v>1188648.7114609256</v>
      </c>
      <c r="M337" s="309">
        <f t="shared" si="43"/>
        <v>1148907.3370528582</v>
      </c>
      <c r="N337" s="308">
        <v>0</v>
      </c>
      <c r="O337" s="462">
        <v>1</v>
      </c>
      <c r="P337" s="463">
        <v>0</v>
      </c>
      <c r="Q337" s="309">
        <f t="shared" si="44"/>
        <v>0</v>
      </c>
      <c r="R337" s="311">
        <f t="shared" si="45"/>
        <v>1148907.3370528582</v>
      </c>
      <c r="S337" s="312">
        <f t="shared" si="46"/>
        <v>0</v>
      </c>
      <c r="T337" s="309">
        <f t="shared" si="47"/>
        <v>0</v>
      </c>
      <c r="U337" s="311">
        <f t="shared" si="48"/>
        <v>0</v>
      </c>
      <c r="V337" s="464">
        <f t="shared" si="49"/>
        <v>1148907.3370528582</v>
      </c>
      <c r="W337" s="311">
        <f t="shared" si="50"/>
        <v>0</v>
      </c>
      <c r="X337" s="321"/>
      <c r="Y337" s="321"/>
      <c r="Z337" s="321"/>
      <c r="AA337" s="321"/>
      <c r="AE337" s="436"/>
      <c r="AF337" s="436"/>
      <c r="AG337" s="436"/>
    </row>
    <row r="338" spans="1:33">
      <c r="A338" s="459" t="s">
        <v>2488</v>
      </c>
      <c r="B338" s="460"/>
      <c r="C338" s="461">
        <v>605827.83999999997</v>
      </c>
      <c r="D338" s="461">
        <v>-296214.11</v>
      </c>
      <c r="E338" s="429">
        <v>69</v>
      </c>
      <c r="F338" s="431">
        <v>25</v>
      </c>
      <c r="G338" s="450">
        <v>309613.73</v>
      </c>
      <c r="H338" s="309">
        <f t="shared" si="43"/>
        <v>298879.42198089999</v>
      </c>
      <c r="I338" s="309">
        <f t="shared" si="43"/>
        <v>288230.34817572049</v>
      </c>
      <c r="J338" s="309">
        <f t="shared" si="43"/>
        <v>278298.86405803828</v>
      </c>
      <c r="K338" s="309">
        <f t="shared" si="43"/>
        <v>268994.1979718933</v>
      </c>
      <c r="L338" s="309">
        <f t="shared" si="43"/>
        <v>260000.62482271626</v>
      </c>
      <c r="M338" s="309">
        <f t="shared" si="43"/>
        <v>251307.74350481079</v>
      </c>
      <c r="N338" s="308">
        <v>0</v>
      </c>
      <c r="O338" s="462">
        <v>1</v>
      </c>
      <c r="P338" s="463">
        <v>0</v>
      </c>
      <c r="Q338" s="309">
        <f t="shared" si="44"/>
        <v>0</v>
      </c>
      <c r="R338" s="311">
        <f t="shared" si="45"/>
        <v>251307.74350481079</v>
      </c>
      <c r="S338" s="312">
        <f t="shared" si="46"/>
        <v>0</v>
      </c>
      <c r="T338" s="309">
        <f t="shared" si="47"/>
        <v>0</v>
      </c>
      <c r="U338" s="311">
        <f t="shared" si="48"/>
        <v>0</v>
      </c>
      <c r="V338" s="464">
        <f t="shared" si="49"/>
        <v>251307.74350481079</v>
      </c>
      <c r="W338" s="311">
        <f t="shared" si="50"/>
        <v>0</v>
      </c>
      <c r="X338" s="321"/>
      <c r="Y338" s="321"/>
      <c r="Z338" s="321"/>
      <c r="AA338" s="321"/>
      <c r="AE338" s="436"/>
      <c r="AF338" s="436"/>
      <c r="AG338" s="436"/>
    </row>
    <row r="339" spans="1:33">
      <c r="A339" s="459" t="s">
        <v>2489</v>
      </c>
      <c r="B339" s="460"/>
      <c r="C339" s="461">
        <v>82597.23</v>
      </c>
      <c r="D339" s="461">
        <v>-90131.45</v>
      </c>
      <c r="E339" s="429">
        <v>138</v>
      </c>
      <c r="F339" s="431">
        <v>4.2</v>
      </c>
      <c r="G339" s="450">
        <v>-7534.22</v>
      </c>
      <c r="H339" s="309">
        <f t="shared" si="43"/>
        <v>-7273.0085926000002</v>
      </c>
      <c r="I339" s="309">
        <f t="shared" si="43"/>
        <v>-7013.8712964456618</v>
      </c>
      <c r="J339" s="309">
        <f t="shared" si="43"/>
        <v>-6772.196011990015</v>
      </c>
      <c r="K339" s="309">
        <f t="shared" si="43"/>
        <v>-6545.7738784510566</v>
      </c>
      <c r="L339" s="309">
        <f t="shared" si="43"/>
        <v>-6326.9219603142456</v>
      </c>
      <c r="M339" s="309">
        <f t="shared" si="43"/>
        <v>-6115.3871544030553</v>
      </c>
      <c r="N339" s="308">
        <v>0</v>
      </c>
      <c r="O339" s="462">
        <v>1</v>
      </c>
      <c r="P339" s="463">
        <v>0</v>
      </c>
      <c r="Q339" s="309">
        <f t="shared" si="44"/>
        <v>0</v>
      </c>
      <c r="R339" s="311">
        <f t="shared" si="45"/>
        <v>-6115.3871544030553</v>
      </c>
      <c r="S339" s="312">
        <f t="shared" si="46"/>
        <v>0</v>
      </c>
      <c r="T339" s="309">
        <f t="shared" si="47"/>
        <v>0</v>
      </c>
      <c r="U339" s="311">
        <f t="shared" si="48"/>
        <v>0</v>
      </c>
      <c r="V339" s="464">
        <f t="shared" si="49"/>
        <v>-6115.3871544030553</v>
      </c>
      <c r="W339" s="311">
        <f t="shared" si="50"/>
        <v>0</v>
      </c>
      <c r="X339" s="321"/>
      <c r="Y339" s="321"/>
      <c r="Z339" s="321"/>
      <c r="AA339" s="321"/>
      <c r="AE339" s="436"/>
      <c r="AF339" s="436"/>
      <c r="AG339" s="436"/>
    </row>
    <row r="340" spans="1:33">
      <c r="A340" s="459" t="s">
        <v>2490</v>
      </c>
      <c r="B340" s="460"/>
      <c r="C340" s="461">
        <v>113714.02</v>
      </c>
      <c r="D340" s="461">
        <v>-127403</v>
      </c>
      <c r="E340" s="429">
        <v>240</v>
      </c>
      <c r="F340" s="431">
        <v>69</v>
      </c>
      <c r="G340" s="450">
        <v>-13688.98</v>
      </c>
      <c r="H340" s="309">
        <f t="shared" si="43"/>
        <v>-13214.383063400001</v>
      </c>
      <c r="I340" s="309">
        <f t="shared" si="43"/>
        <v>-12743.554594851057</v>
      </c>
      <c r="J340" s="309">
        <f t="shared" si="43"/>
        <v>-12304.452984411268</v>
      </c>
      <c r="K340" s="309">
        <f t="shared" si="43"/>
        <v>-11893.064936601126</v>
      </c>
      <c r="L340" s="309">
        <f t="shared" si="43"/>
        <v>-11495.43126910317</v>
      </c>
      <c r="M340" s="309">
        <f t="shared" si="43"/>
        <v>-11111.0921168854</v>
      </c>
      <c r="N340" s="308">
        <v>0</v>
      </c>
      <c r="O340" s="462">
        <v>0</v>
      </c>
      <c r="P340" s="463">
        <v>1</v>
      </c>
      <c r="Q340" s="309">
        <f t="shared" si="44"/>
        <v>0</v>
      </c>
      <c r="R340" s="311">
        <f t="shared" si="45"/>
        <v>0</v>
      </c>
      <c r="S340" s="312">
        <f t="shared" si="46"/>
        <v>-11111.0921168854</v>
      </c>
      <c r="T340" s="309">
        <f t="shared" si="47"/>
        <v>0</v>
      </c>
      <c r="U340" s="311">
        <f t="shared" si="48"/>
        <v>-11111.0921168854</v>
      </c>
      <c r="V340" s="464">
        <f t="shared" si="49"/>
        <v>0</v>
      </c>
      <c r="W340" s="311">
        <f t="shared" si="50"/>
        <v>0</v>
      </c>
      <c r="X340" s="321"/>
      <c r="Y340" s="321"/>
      <c r="Z340" s="321"/>
      <c r="AA340" s="321"/>
      <c r="AE340" s="436"/>
      <c r="AF340" s="436"/>
      <c r="AG340" s="436"/>
    </row>
    <row r="341" spans="1:33">
      <c r="A341" s="459" t="s">
        <v>2491</v>
      </c>
      <c r="B341" s="460"/>
      <c r="C341" s="461">
        <v>6454898.8700000001</v>
      </c>
      <c r="D341" s="461">
        <v>-302251.8</v>
      </c>
      <c r="E341" s="429">
        <v>138</v>
      </c>
      <c r="F341" s="431">
        <v>4.2</v>
      </c>
      <c r="G341" s="450">
        <v>6152647.0700000003</v>
      </c>
      <c r="H341" s="309">
        <f t="shared" si="43"/>
        <v>5939334.7960831001</v>
      </c>
      <c r="I341" s="309">
        <f t="shared" si="43"/>
        <v>5727716.2972986586</v>
      </c>
      <c r="J341" s="309">
        <f t="shared" si="43"/>
        <v>5530357.747800841</v>
      </c>
      <c r="K341" s="309">
        <f t="shared" si="43"/>
        <v>5345455.3323548324</v>
      </c>
      <c r="L341" s="309">
        <f t="shared" si="43"/>
        <v>5166734.9587941552</v>
      </c>
      <c r="M341" s="309">
        <f t="shared" si="43"/>
        <v>4993989.9362447066</v>
      </c>
      <c r="N341" s="308">
        <v>0</v>
      </c>
      <c r="O341" s="462">
        <v>1</v>
      </c>
      <c r="P341" s="463">
        <v>0</v>
      </c>
      <c r="Q341" s="309">
        <f t="shared" si="44"/>
        <v>0</v>
      </c>
      <c r="R341" s="311">
        <f t="shared" si="45"/>
        <v>4993989.9362447066</v>
      </c>
      <c r="S341" s="312">
        <f t="shared" si="46"/>
        <v>0</v>
      </c>
      <c r="T341" s="309">
        <f t="shared" si="47"/>
        <v>0</v>
      </c>
      <c r="U341" s="311">
        <f t="shared" si="48"/>
        <v>0</v>
      </c>
      <c r="V341" s="464">
        <f t="shared" si="49"/>
        <v>4993989.9362447066</v>
      </c>
      <c r="W341" s="311">
        <f t="shared" si="50"/>
        <v>0</v>
      </c>
      <c r="X341" s="321"/>
    </row>
    <row r="342" spans="1:33">
      <c r="A342" s="459" t="s">
        <v>2492</v>
      </c>
      <c r="B342" s="460"/>
      <c r="C342" s="461">
        <v>13281.62</v>
      </c>
      <c r="D342" s="461">
        <v>-401.67</v>
      </c>
      <c r="E342" s="429">
        <v>69</v>
      </c>
      <c r="F342" s="431">
        <v>25</v>
      </c>
      <c r="G342" s="450">
        <v>12879.95</v>
      </c>
      <c r="H342" s="309">
        <f t="shared" si="43"/>
        <v>12433.402133500002</v>
      </c>
      <c r="I342" s="309">
        <f t="shared" si="43"/>
        <v>11990.400015483394</v>
      </c>
      <c r="J342" s="309">
        <f t="shared" si="43"/>
        <v>11577.249672113476</v>
      </c>
      <c r="K342" s="309">
        <f t="shared" si="43"/>
        <v>11190.174996981199</v>
      </c>
      <c r="L342" s="309">
        <f t="shared" si="43"/>
        <v>10816.041806948757</v>
      </c>
      <c r="M342" s="309">
        <f t="shared" si="43"/>
        <v>10454.417415386548</v>
      </c>
      <c r="N342" s="308">
        <v>0</v>
      </c>
      <c r="O342" s="462">
        <v>0</v>
      </c>
      <c r="P342" s="463">
        <v>1</v>
      </c>
      <c r="Q342" s="309">
        <f t="shared" si="44"/>
        <v>0</v>
      </c>
      <c r="R342" s="311">
        <f t="shared" si="45"/>
        <v>0</v>
      </c>
      <c r="S342" s="312">
        <f t="shared" si="46"/>
        <v>10454.417415386548</v>
      </c>
      <c r="T342" s="309">
        <f t="shared" si="47"/>
        <v>0</v>
      </c>
      <c r="U342" s="311">
        <f t="shared" si="48"/>
        <v>0</v>
      </c>
      <c r="V342" s="464">
        <f t="shared" si="49"/>
        <v>10454.417415386548</v>
      </c>
      <c r="W342" s="311">
        <f t="shared" si="50"/>
        <v>0</v>
      </c>
      <c r="X342" s="321"/>
    </row>
    <row r="343" spans="1:33" s="77" customFormat="1">
      <c r="A343" s="459" t="s">
        <v>2493</v>
      </c>
      <c r="B343" s="460"/>
      <c r="C343" s="461">
        <v>225909.32</v>
      </c>
      <c r="D343" s="461">
        <v>-120661.69</v>
      </c>
      <c r="E343" s="429">
        <v>69</v>
      </c>
      <c r="F343" s="431">
        <v>2.2999999999999998</v>
      </c>
      <c r="G343" s="450">
        <v>105247.63</v>
      </c>
      <c r="H343" s="309">
        <f t="shared" si="43"/>
        <v>101598.69466790001</v>
      </c>
      <c r="I343" s="309">
        <f t="shared" si="43"/>
        <v>97978.733176882713</v>
      </c>
      <c r="J343" s="309">
        <f t="shared" si="43"/>
        <v>94602.703419517973</v>
      </c>
      <c r="K343" s="309">
        <f t="shared" si="43"/>
        <v>91439.749200697843</v>
      </c>
      <c r="L343" s="309">
        <f t="shared" si="43"/>
        <v>88382.545441734968</v>
      </c>
      <c r="M343" s="309">
        <f t="shared" si="43"/>
        <v>85427.556473445904</v>
      </c>
      <c r="N343" s="308">
        <v>0</v>
      </c>
      <c r="O343" s="462">
        <v>1</v>
      </c>
      <c r="P343" s="463">
        <v>0</v>
      </c>
      <c r="Q343" s="309">
        <f t="shared" si="44"/>
        <v>0</v>
      </c>
      <c r="R343" s="311">
        <f t="shared" si="45"/>
        <v>85427.556473445904</v>
      </c>
      <c r="S343" s="312">
        <f t="shared" si="46"/>
        <v>0</v>
      </c>
      <c r="T343" s="309">
        <f t="shared" si="47"/>
        <v>0</v>
      </c>
      <c r="U343" s="311">
        <f t="shared" si="48"/>
        <v>0</v>
      </c>
      <c r="V343" s="464">
        <f t="shared" si="49"/>
        <v>85427.556473445904</v>
      </c>
      <c r="W343" s="311">
        <f t="shared" si="50"/>
        <v>0</v>
      </c>
      <c r="X343" s="321"/>
      <c r="Y343" s="468"/>
      <c r="Z343" s="468"/>
      <c r="AA343" s="468"/>
    </row>
    <row r="344" spans="1:33">
      <c r="A344" s="459" t="s">
        <v>2494</v>
      </c>
      <c r="B344" s="460"/>
      <c r="C344" s="461">
        <v>302242.45</v>
      </c>
      <c r="D344" s="461">
        <v>-89199.47</v>
      </c>
      <c r="E344" s="429">
        <v>69</v>
      </c>
      <c r="F344" s="431">
        <v>2.4</v>
      </c>
      <c r="G344" s="450">
        <v>213042.98</v>
      </c>
      <c r="H344" s="309">
        <f t="shared" si="43"/>
        <v>205656.77988340001</v>
      </c>
      <c r="I344" s="309">
        <f t="shared" si="43"/>
        <v>198329.22881615444</v>
      </c>
      <c r="J344" s="309">
        <f t="shared" si="43"/>
        <v>191495.44604995189</v>
      </c>
      <c r="K344" s="309">
        <f t="shared" si="43"/>
        <v>185092.97226141137</v>
      </c>
      <c r="L344" s="309">
        <f t="shared" si="43"/>
        <v>178904.55928454286</v>
      </c>
      <c r="M344" s="309">
        <f t="shared" si="43"/>
        <v>172923.05019335073</v>
      </c>
      <c r="N344" s="308">
        <v>0</v>
      </c>
      <c r="O344" s="462">
        <v>1</v>
      </c>
      <c r="P344" s="463">
        <v>0</v>
      </c>
      <c r="Q344" s="309">
        <f t="shared" si="44"/>
        <v>0</v>
      </c>
      <c r="R344" s="311">
        <f t="shared" si="45"/>
        <v>172923.05019335073</v>
      </c>
      <c r="S344" s="312">
        <f t="shared" si="46"/>
        <v>0</v>
      </c>
      <c r="T344" s="309">
        <f t="shared" si="47"/>
        <v>0</v>
      </c>
      <c r="U344" s="311">
        <f t="shared" si="48"/>
        <v>0</v>
      </c>
      <c r="V344" s="464">
        <f t="shared" si="49"/>
        <v>172923.05019335073</v>
      </c>
      <c r="W344" s="311">
        <f t="shared" si="50"/>
        <v>0</v>
      </c>
      <c r="X344" s="321"/>
    </row>
    <row r="345" spans="1:33">
      <c r="A345" s="459" t="s">
        <v>2495</v>
      </c>
      <c r="B345" s="460"/>
      <c r="C345" s="461">
        <v>4067022.84</v>
      </c>
      <c r="D345" s="461">
        <v>-62429.46</v>
      </c>
      <c r="E345" s="429">
        <v>138</v>
      </c>
      <c r="F345" s="431">
        <v>0</v>
      </c>
      <c r="G345" s="450">
        <v>4004593.38</v>
      </c>
      <c r="H345" s="309">
        <f t="shared" si="43"/>
        <v>3865754.1275153998</v>
      </c>
      <c r="I345" s="309">
        <f t="shared" si="43"/>
        <v>3728017.3079520259</v>
      </c>
      <c r="J345" s="309">
        <f t="shared" si="43"/>
        <v>3599561.9078919399</v>
      </c>
      <c r="K345" s="309">
        <f t="shared" si="43"/>
        <v>3479213.8722551269</v>
      </c>
      <c r="L345" s="309">
        <f t="shared" si="43"/>
        <v>3362889.5622972315</v>
      </c>
      <c r="M345" s="309">
        <f t="shared" si="43"/>
        <v>3250454.4484577714</v>
      </c>
      <c r="N345" s="308">
        <v>0</v>
      </c>
      <c r="O345" s="462">
        <v>0</v>
      </c>
      <c r="P345" s="463">
        <v>1</v>
      </c>
      <c r="Q345" s="309">
        <f t="shared" si="44"/>
        <v>0</v>
      </c>
      <c r="R345" s="311">
        <f t="shared" si="45"/>
        <v>0</v>
      </c>
      <c r="S345" s="312">
        <f t="shared" si="46"/>
        <v>3250454.4484577714</v>
      </c>
      <c r="T345" s="309">
        <f t="shared" si="47"/>
        <v>0</v>
      </c>
      <c r="U345" s="311">
        <f t="shared" si="48"/>
        <v>0</v>
      </c>
      <c r="V345" s="464">
        <f t="shared" si="49"/>
        <v>0</v>
      </c>
      <c r="W345" s="311">
        <f t="shared" si="50"/>
        <v>3250454.4484577714</v>
      </c>
      <c r="X345" s="321"/>
      <c r="Y345" s="216"/>
      <c r="Z345" s="216"/>
      <c r="AA345" s="216"/>
    </row>
    <row r="346" spans="1:33">
      <c r="A346" s="459" t="s">
        <v>2496</v>
      </c>
      <c r="B346" s="460"/>
      <c r="C346" s="461">
        <v>548221.02</v>
      </c>
      <c r="D346" s="461">
        <v>-336169.32</v>
      </c>
      <c r="E346" s="429">
        <v>69</v>
      </c>
      <c r="F346" s="431">
        <v>25</v>
      </c>
      <c r="G346" s="450">
        <v>212051.7</v>
      </c>
      <c r="H346" s="309">
        <f t="shared" si="43"/>
        <v>204699.86756100002</v>
      </c>
      <c r="I346" s="309">
        <f t="shared" si="43"/>
        <v>197406.41127980157</v>
      </c>
      <c r="J346" s="309">
        <f t="shared" si="43"/>
        <v>190604.42581656802</v>
      </c>
      <c r="K346" s="309">
        <f t="shared" si="43"/>
        <v>184231.74246851564</v>
      </c>
      <c r="L346" s="309">
        <f t="shared" si="43"/>
        <v>178072.12391620743</v>
      </c>
      <c r="M346" s="309">
        <f t="shared" si="43"/>
        <v>172118.44653452252</v>
      </c>
      <c r="N346" s="308">
        <v>0</v>
      </c>
      <c r="O346" s="462">
        <v>1</v>
      </c>
      <c r="P346" s="463">
        <v>0</v>
      </c>
      <c r="Q346" s="309">
        <f t="shared" si="44"/>
        <v>0</v>
      </c>
      <c r="R346" s="311">
        <f t="shared" si="45"/>
        <v>172118.44653452252</v>
      </c>
      <c r="S346" s="312">
        <f t="shared" si="46"/>
        <v>0</v>
      </c>
      <c r="T346" s="309">
        <f t="shared" si="47"/>
        <v>0</v>
      </c>
      <c r="U346" s="311">
        <f t="shared" si="48"/>
        <v>0</v>
      </c>
      <c r="V346" s="464">
        <f t="shared" si="49"/>
        <v>172118.44653452252</v>
      </c>
      <c r="W346" s="311">
        <f t="shared" si="50"/>
        <v>0</v>
      </c>
      <c r="X346" s="321"/>
    </row>
    <row r="347" spans="1:33">
      <c r="A347" s="459" t="s">
        <v>2497</v>
      </c>
      <c r="B347" s="460"/>
      <c r="C347" s="461">
        <v>860.56</v>
      </c>
      <c r="D347" s="461">
        <v>-139.15</v>
      </c>
      <c r="E347" s="429">
        <v>138</v>
      </c>
      <c r="F347" s="431">
        <v>25</v>
      </c>
      <c r="G347" s="450">
        <v>721.41</v>
      </c>
      <c r="H347" s="309">
        <f t="shared" si="43"/>
        <v>696.39871529999994</v>
      </c>
      <c r="I347" s="309">
        <f t="shared" si="43"/>
        <v>671.58602907386091</v>
      </c>
      <c r="J347" s="309">
        <f t="shared" si="43"/>
        <v>648.44535001761517</v>
      </c>
      <c r="K347" s="309">
        <f t="shared" si="43"/>
        <v>626.76517723843688</v>
      </c>
      <c r="L347" s="309">
        <f t="shared" si="43"/>
        <v>605.80986105931333</v>
      </c>
      <c r="M347" s="309">
        <f t="shared" si="43"/>
        <v>585.55516656772795</v>
      </c>
      <c r="N347" s="308">
        <v>0</v>
      </c>
      <c r="O347" s="462">
        <v>1</v>
      </c>
      <c r="P347" s="463">
        <v>0</v>
      </c>
      <c r="Q347" s="309">
        <f t="shared" si="44"/>
        <v>0</v>
      </c>
      <c r="R347" s="311">
        <f t="shared" si="45"/>
        <v>585.55516656772795</v>
      </c>
      <c r="S347" s="312">
        <f t="shared" si="46"/>
        <v>0</v>
      </c>
      <c r="T347" s="309">
        <f t="shared" si="47"/>
        <v>0</v>
      </c>
      <c r="U347" s="311">
        <f t="shared" si="48"/>
        <v>0</v>
      </c>
      <c r="V347" s="464">
        <f t="shared" si="49"/>
        <v>585.55516656772795</v>
      </c>
      <c r="W347" s="311">
        <f t="shared" si="50"/>
        <v>0</v>
      </c>
      <c r="X347" s="321"/>
    </row>
    <row r="348" spans="1:33" s="777" customFormat="1">
      <c r="A348" s="469" t="s">
        <v>54</v>
      </c>
      <c r="B348" s="105"/>
      <c r="C348" s="164">
        <f>SUM(C5:C347)</f>
        <v>2659000856.5200005</v>
      </c>
      <c r="D348" s="164">
        <f t="shared" ref="D348:G348" si="51">SUM(D5:D347)</f>
        <v>-703402754.19000053</v>
      </c>
      <c r="E348" s="164"/>
      <c r="F348" s="164"/>
      <c r="G348" s="164">
        <f t="shared" si="51"/>
        <v>1955598102.3300016</v>
      </c>
      <c r="H348" s="164">
        <f t="shared" ref="H348" si="52">SUM(H5:H347)</f>
        <v>1887797516.1222186</v>
      </c>
      <c r="I348" s="164">
        <f t="shared" ref="I348" si="53">SUM(I5:I347)</f>
        <v>1820535290.6227837</v>
      </c>
      <c r="J348" s="164">
        <f t="shared" ref="J348" si="54">SUM(J5:J347)</f>
        <v>1757805541.8682313</v>
      </c>
      <c r="K348" s="164">
        <f t="shared" ref="K348" si="55">SUM(K5:K347)</f>
        <v>1699034933.2751324</v>
      </c>
      <c r="L348" s="164">
        <f t="shared" ref="L348" si="56">SUM(L5:L347)</f>
        <v>1642229265.8271914</v>
      </c>
      <c r="M348" s="164">
        <f t="shared" ref="M348" si="57">SUM(M5:M347)</f>
        <v>1587322843.5277793</v>
      </c>
      <c r="N348" s="164"/>
      <c r="O348" s="164"/>
      <c r="P348" s="164"/>
      <c r="Q348" s="164">
        <f t="shared" ref="Q348" si="58">SUM(Q5:Q347)</f>
        <v>61065160.280392773</v>
      </c>
      <c r="R348" s="164">
        <f t="shared" ref="R348" si="59">SUM(R5:R347)</f>
        <v>803688467.69437516</v>
      </c>
      <c r="S348" s="164">
        <f t="shared" ref="S348" si="60">SUM(S5:S347)</f>
        <v>722569215.55301285</v>
      </c>
      <c r="T348" s="164">
        <f t="shared" ref="T348" si="61">SUM(T5:T347)</f>
        <v>334339118.6180371</v>
      </c>
      <c r="U348" s="164">
        <f t="shared" ref="U348" si="62">SUM(U5:U347)</f>
        <v>413404551.97438008</v>
      </c>
      <c r="V348" s="164">
        <f t="shared" ref="V348:W348" si="63">SUM(V5:V347)</f>
        <v>835905884.83249378</v>
      </c>
      <c r="W348" s="164">
        <f t="shared" si="63"/>
        <v>3673288.1028694506</v>
      </c>
      <c r="X348" s="164"/>
      <c r="Y348" s="470"/>
      <c r="Z348" s="470"/>
      <c r="AA348" s="470"/>
    </row>
    <row r="349" spans="1:33">
      <c r="A349" s="101"/>
      <c r="B349" s="9"/>
    </row>
    <row r="350" spans="1:33">
      <c r="A350" s="101"/>
      <c r="B350" s="9"/>
      <c r="E350" s="101" t="s">
        <v>2048</v>
      </c>
      <c r="F350" s="101">
        <f>COUNTIF(F5:F347,"&gt;=240")</f>
        <v>13</v>
      </c>
      <c r="S350" s="30"/>
      <c r="V350" s="30"/>
    </row>
    <row r="351" spans="1:33">
      <c r="A351" s="101"/>
      <c r="B351" s="9"/>
      <c r="E351" s="101" t="s">
        <v>2049</v>
      </c>
      <c r="F351" s="101">
        <f>COUNTIF(F5:F347,"&gt;=69")</f>
        <v>56</v>
      </c>
    </row>
    <row r="352" spans="1:33">
      <c r="A352" s="101"/>
      <c r="B352" s="9"/>
      <c r="E352" s="101" t="s">
        <v>2050</v>
      </c>
      <c r="F352" s="101">
        <f>F351-F350</f>
        <v>43</v>
      </c>
      <c r="S352" s="30"/>
    </row>
    <row r="353" spans="1:6">
      <c r="A353" s="101"/>
      <c r="B353" s="9"/>
      <c r="E353" s="101" t="s">
        <v>50</v>
      </c>
      <c r="F353" s="101">
        <f>343-F351</f>
        <v>287</v>
      </c>
    </row>
    <row r="354" spans="1:6">
      <c r="A354" s="9"/>
    </row>
    <row r="355" spans="1:6">
      <c r="A355" s="9"/>
    </row>
    <row r="356" spans="1:6">
      <c r="A356" s="471" t="s">
        <v>16</v>
      </c>
    </row>
    <row r="357" spans="1:6">
      <c r="A357" s="11" t="s">
        <v>111</v>
      </c>
    </row>
    <row r="358" spans="1:6">
      <c r="A358" s="11" t="s">
        <v>110</v>
      </c>
    </row>
    <row r="359" spans="1:6">
      <c r="A359" s="11" t="s">
        <v>202</v>
      </c>
    </row>
    <row r="360" spans="1:6">
      <c r="A360" s="11" t="s">
        <v>203</v>
      </c>
    </row>
    <row r="361" spans="1:6">
      <c r="A361" s="11"/>
    </row>
    <row r="362" spans="1:6">
      <c r="A362" s="11" t="s">
        <v>112</v>
      </c>
    </row>
    <row r="363" spans="1:6">
      <c r="A363" s="4" t="s">
        <v>117</v>
      </c>
    </row>
    <row r="364" spans="1:6">
      <c r="A364" s="4" t="s">
        <v>118</v>
      </c>
    </row>
    <row r="365" spans="1:6">
      <c r="A365" s="77" t="s">
        <v>116</v>
      </c>
    </row>
    <row r="366" spans="1:6">
      <c r="A366" s="77" t="s">
        <v>113</v>
      </c>
    </row>
    <row r="367" spans="1:6">
      <c r="A367" s="4" t="s">
        <v>114</v>
      </c>
    </row>
    <row r="368" spans="1:6">
      <c r="A368" s="77" t="s">
        <v>115</v>
      </c>
    </row>
  </sheetData>
  <mergeCells count="7">
    <mergeCell ref="H1:K1"/>
    <mergeCell ref="Y1:AB1"/>
    <mergeCell ref="Y9:AB9"/>
    <mergeCell ref="Y8:AB8"/>
    <mergeCell ref="T1:V1"/>
    <mergeCell ref="Q1:S1"/>
    <mergeCell ref="N1:P1"/>
  </mergeCells>
  <phoneticPr fontId="0" type="noConversion"/>
  <pageMargins left="0.7" right="0.7" top="0.75" bottom="0.75" header="0.3" footer="0.3"/>
  <pageSetup fitToHeight="0" orientation="portrait" r:id="rId1"/>
  <headerFooter>
    <oddHeader>&amp;LAlberta Electric System Operator&amp;CConfidentiality: Public&amp;R&amp;D</oddHeader>
    <oddFooter>&amp;L&amp;F&amp;CPage &amp;P of &amp;N&amp;RTab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A1:AK422"/>
  <sheetViews>
    <sheetView showGridLines="0" zoomScale="70" zoomScaleNormal="70" workbookViewId="0">
      <pane xSplit="1" ySplit="4" topLeftCell="B5" activePane="bottomRight" state="frozenSplit"/>
      <selection activeCell="O24" sqref="A1:XFD1048576"/>
      <selection pane="topRight" activeCell="O24" sqref="A1:XFD1048576"/>
      <selection pane="bottomLeft" activeCell="O24" sqref="A1:XFD1048576"/>
      <selection pane="bottomRight" activeCell="T22" sqref="T22"/>
    </sheetView>
  </sheetViews>
  <sheetFormatPr defaultColWidth="8.88671875" defaultRowHeight="13.8"/>
  <cols>
    <col min="1" max="1" width="21.44140625" style="456" bestFit="1" customWidth="1"/>
    <col min="2" max="2" width="14.88671875" style="456" customWidth="1"/>
    <col min="3" max="3" width="19" style="4" customWidth="1"/>
    <col min="4" max="4" width="27.5546875" style="101" bestFit="1" customWidth="1"/>
    <col min="5" max="5" width="11.6640625" style="4" bestFit="1" customWidth="1"/>
    <col min="6" max="6" width="13.5546875" style="786" bestFit="1" customWidth="1"/>
    <col min="7" max="7" width="26.33203125" style="451" bestFit="1" customWidth="1"/>
    <col min="8" max="8" width="18.88671875" style="9" bestFit="1" customWidth="1"/>
    <col min="9" max="12" width="23.109375" style="9" bestFit="1" customWidth="1"/>
    <col min="13" max="14" width="23.109375" style="9" customWidth="1"/>
    <col min="15" max="15" width="17.5546875" style="451" bestFit="1" customWidth="1"/>
    <col min="16" max="16" width="22.109375" style="4" bestFit="1" customWidth="1"/>
    <col min="17" max="17" width="17.44140625" style="4" bestFit="1" customWidth="1"/>
    <col min="18" max="18" width="16.33203125" style="4" bestFit="1" customWidth="1"/>
    <col min="19" max="19" width="20" style="4" bestFit="1" customWidth="1"/>
    <col min="20" max="20" width="8.88671875" style="4"/>
    <col min="21" max="21" width="17" style="4" customWidth="1"/>
    <col min="22" max="22" width="15.6640625" style="4" bestFit="1" customWidth="1"/>
    <col min="23" max="23" width="15.88671875" style="4" bestFit="1" customWidth="1"/>
    <col min="24" max="24" width="14.88671875" style="4" bestFit="1" customWidth="1"/>
    <col min="25" max="34" width="8.88671875" style="4"/>
    <col min="35" max="35" width="36.44140625" style="4" bestFit="1" customWidth="1"/>
    <col min="36" max="36" width="12.5546875" style="4" customWidth="1"/>
    <col min="37" max="37" width="12.5546875" style="4" bestFit="1" customWidth="1"/>
    <col min="38" max="16384" width="8.88671875" style="4"/>
  </cols>
  <sheetData>
    <row r="1" spans="1:24" ht="14.4" thickBot="1">
      <c r="A1" s="998" t="s">
        <v>2092</v>
      </c>
      <c r="B1" s="999"/>
      <c r="C1" s="999"/>
      <c r="D1" s="999"/>
      <c r="E1" s="999"/>
      <c r="F1" s="999"/>
      <c r="G1" s="999"/>
      <c r="H1" s="1000"/>
      <c r="I1" s="984" t="s">
        <v>51</v>
      </c>
      <c r="J1" s="985"/>
      <c r="K1" s="985"/>
      <c r="L1" s="985"/>
      <c r="M1" s="778"/>
      <c r="N1" s="778"/>
      <c r="O1" s="990" t="s">
        <v>2064</v>
      </c>
      <c r="P1" s="991"/>
      <c r="Q1" s="991"/>
      <c r="R1" s="991"/>
      <c r="S1" s="992"/>
      <c r="U1" s="986" t="s">
        <v>2135</v>
      </c>
      <c r="V1" s="986"/>
      <c r="W1" s="986"/>
      <c r="X1" s="986"/>
    </row>
    <row r="2" spans="1:24">
      <c r="A2" s="390" t="s">
        <v>2136</v>
      </c>
      <c r="B2" s="439"/>
      <c r="C2" s="439"/>
      <c r="D2" s="439"/>
      <c r="E2" s="439"/>
      <c r="F2" s="439"/>
      <c r="G2" s="439"/>
      <c r="H2" s="440"/>
      <c r="I2" s="394" t="s">
        <v>214</v>
      </c>
      <c r="J2" s="394" t="s">
        <v>215</v>
      </c>
      <c r="K2" s="394" t="s">
        <v>1123</v>
      </c>
      <c r="L2" s="394" t="s">
        <v>1124</v>
      </c>
      <c r="M2" s="394" t="s">
        <v>1125</v>
      </c>
      <c r="N2" s="394" t="s">
        <v>1126</v>
      </c>
      <c r="O2" s="472"/>
      <c r="P2" s="414"/>
      <c r="Q2" s="414"/>
      <c r="R2" s="414"/>
      <c r="S2" s="415"/>
      <c r="U2" s="349"/>
      <c r="V2" s="349"/>
      <c r="W2" s="349"/>
      <c r="X2" s="349"/>
    </row>
    <row r="3" spans="1:24">
      <c r="A3" s="408"/>
      <c r="B3" s="442"/>
      <c r="C3" s="439"/>
      <c r="D3" s="439"/>
      <c r="E3" s="439"/>
      <c r="F3" s="439"/>
      <c r="G3" s="439"/>
      <c r="H3" s="440"/>
      <c r="I3" s="394">
        <f>+(1-Depreciation!E6)</f>
        <v>0.97291408520456379</v>
      </c>
      <c r="J3" s="395">
        <f>+(1-Depreciation!E6)*(1-Depreciation!F6)</f>
        <v>0.94528775683694444</v>
      </c>
      <c r="K3" s="395">
        <f>+(1-Depreciation!E6)*(1-Depreciation!F6)*(1-Depreciation!G6)</f>
        <v>0.91513268407767112</v>
      </c>
      <c r="L3" s="395">
        <f>+(1-Depreciation!E6)*(1-Depreciation!F6)*(1-Depreciation!G6)*(1-Depreciation!H6)</f>
        <v>0.88705974104899432</v>
      </c>
      <c r="M3" s="395">
        <f>+(1-Depreciation!E6)*(1-Depreciation!F6)*(1-Depreciation!G6)*(1-Depreciation!H6)*(1-Depreciation!I6)</f>
        <v>0.85984797383012446</v>
      </c>
      <c r="N3" s="395">
        <f>+(1-Depreciation!E6)*(1-Depreciation!F6)*(1-Depreciation!G6)*(1-Depreciation!H6)*(1-Depreciation!I6)*(1-Depreciation!J6)</f>
        <v>0.83347096467873072</v>
      </c>
      <c r="O3" s="997" t="s">
        <v>49</v>
      </c>
      <c r="P3" s="997"/>
      <c r="Q3" s="997" t="s">
        <v>74</v>
      </c>
      <c r="R3" s="997"/>
      <c r="S3" s="415"/>
      <c r="U3" s="349"/>
      <c r="V3" s="349"/>
      <c r="W3" s="349"/>
      <c r="X3" s="349"/>
    </row>
    <row r="4" spans="1:24">
      <c r="A4" s="443" t="s">
        <v>1107</v>
      </c>
      <c r="B4" s="444"/>
      <c r="C4" s="422" t="s">
        <v>56</v>
      </c>
      <c r="D4" s="422" t="s">
        <v>57</v>
      </c>
      <c r="E4" s="422" t="s">
        <v>58</v>
      </c>
      <c r="F4" s="422" t="s">
        <v>59</v>
      </c>
      <c r="G4" s="422" t="s">
        <v>1178</v>
      </c>
      <c r="H4" s="423" t="s">
        <v>1121</v>
      </c>
      <c r="I4" s="424" t="s">
        <v>216</v>
      </c>
      <c r="J4" s="386" t="s">
        <v>1145</v>
      </c>
      <c r="K4" s="386" t="s">
        <v>1146</v>
      </c>
      <c r="L4" s="425" t="s">
        <v>1150</v>
      </c>
      <c r="M4" s="426" t="s">
        <v>1151</v>
      </c>
      <c r="N4" s="426" t="s">
        <v>1152</v>
      </c>
      <c r="O4" s="473" t="s">
        <v>15</v>
      </c>
      <c r="P4" s="781" t="s">
        <v>106</v>
      </c>
      <c r="Q4" s="781" t="s">
        <v>0</v>
      </c>
      <c r="R4" s="781" t="s">
        <v>1</v>
      </c>
      <c r="S4" s="445" t="s">
        <v>107</v>
      </c>
      <c r="T4" s="135"/>
      <c r="U4" s="358" t="s">
        <v>2093</v>
      </c>
      <c r="V4" s="358" t="s">
        <v>49</v>
      </c>
      <c r="W4" s="358" t="s">
        <v>74</v>
      </c>
      <c r="X4" s="358" t="s">
        <v>50</v>
      </c>
    </row>
    <row r="5" spans="1:24">
      <c r="A5" s="474" t="s">
        <v>728</v>
      </c>
      <c r="B5" s="475"/>
      <c r="C5" s="476">
        <v>6733609.1799999997</v>
      </c>
      <c r="D5" s="476">
        <v>-1509529.11</v>
      </c>
      <c r="E5" s="475">
        <v>138</v>
      </c>
      <c r="F5" s="477" t="s">
        <v>2498</v>
      </c>
      <c r="G5" s="544">
        <v>44.0813465876953</v>
      </c>
      <c r="H5" s="478">
        <v>5224080.07</v>
      </c>
      <c r="I5" s="447">
        <f t="shared" ref="I5:N24" si="0">+$H5*(I$3)</f>
        <v>5082581.0823394442</v>
      </c>
      <c r="J5" s="251">
        <f t="shared" si="0"/>
        <v>4938258.9309068881</v>
      </c>
      <c r="K5" s="251">
        <f t="shared" si="0"/>
        <v>4780726.4162957687</v>
      </c>
      <c r="L5" s="450">
        <f t="shared" si="0"/>
        <v>4634071.1141134128</v>
      </c>
      <c r="M5" s="450">
        <f t="shared" si="0"/>
        <v>4491914.6633158354</v>
      </c>
      <c r="N5" s="450">
        <f t="shared" si="0"/>
        <v>4354119.0555018317</v>
      </c>
      <c r="O5" s="447" t="str">
        <f>IF(AND(F5="n",$E5=500),$N5,"")</f>
        <v/>
      </c>
      <c r="P5" s="251" t="str">
        <f>IF(AND(F5="n",OR($E5=240,$E5=260)),$N5,"")</f>
        <v/>
      </c>
      <c r="Q5" s="251">
        <f>IF(AND(F5="n",OR($E5=138,$E5=144)),$N5,"")</f>
        <v>4354119.0555018317</v>
      </c>
      <c r="R5" s="251" t="str">
        <f>IF(AND(F5="n",$E5=69),$N5,"")</f>
        <v/>
      </c>
      <c r="S5" s="450" t="str">
        <f>IF(OR(E5=25,F5="y"),$N5,"")</f>
        <v/>
      </c>
      <c r="T5" s="219"/>
      <c r="U5" s="364" t="s">
        <v>86</v>
      </c>
      <c r="V5" s="373">
        <f>+V14</f>
        <v>0.72652949826684388</v>
      </c>
      <c r="W5" s="373">
        <f>+W14</f>
        <v>0.19072171857957582</v>
      </c>
      <c r="X5" s="373">
        <f>+X14</f>
        <v>8.274878315358028E-2</v>
      </c>
    </row>
    <row r="6" spans="1:24">
      <c r="A6" s="474" t="s">
        <v>729</v>
      </c>
      <c r="B6" s="475"/>
      <c r="C6" s="476">
        <v>743168.85</v>
      </c>
      <c r="D6" s="476">
        <v>-430038.31</v>
      </c>
      <c r="E6" s="475">
        <v>69</v>
      </c>
      <c r="F6" s="477" t="s">
        <v>2498</v>
      </c>
      <c r="G6" s="544">
        <v>13.6206759253537</v>
      </c>
      <c r="H6" s="478">
        <v>313130.53999999998</v>
      </c>
      <c r="I6" s="447">
        <f t="shared" si="0"/>
        <v>304649.11287371104</v>
      </c>
      <c r="J6" s="251">
        <f t="shared" si="0"/>
        <v>295998.4657537411</v>
      </c>
      <c r="K6" s="251">
        <f t="shared" si="0"/>
        <v>286555.99153689056</v>
      </c>
      <c r="L6" s="450">
        <f t="shared" si="0"/>
        <v>277765.49572693172</v>
      </c>
      <c r="M6" s="450">
        <f t="shared" si="0"/>
        <v>269244.66036333272</v>
      </c>
      <c r="N6" s="450">
        <f t="shared" si="0"/>
        <v>260985.21324417187</v>
      </c>
      <c r="O6" s="447" t="str">
        <f t="shared" ref="O6:O69" si="1">IF(AND(F6="n",$E6=500),$N6,"")</f>
        <v/>
      </c>
      <c r="P6" s="251" t="str">
        <f t="shared" ref="P6:P69" si="2">IF(AND(F6="n",OR($E6=240,$E6=260)),$N6,"")</f>
        <v/>
      </c>
      <c r="Q6" s="251" t="str">
        <f t="shared" ref="Q6:Q69" si="3">IF(AND(F6="n",OR($E6=138,$E6=144)),$N6,"")</f>
        <v/>
      </c>
      <c r="R6" s="251">
        <f t="shared" ref="R6:R69" si="4">IF(AND(F6="n",$E6=69),$N6,"")</f>
        <v>260985.21324417187</v>
      </c>
      <c r="S6" s="450" t="str">
        <f t="shared" ref="S6:S69" si="5">IF(OR(E6=25,F6="y"),$N6,"")</f>
        <v/>
      </c>
      <c r="T6" s="219"/>
    </row>
    <row r="7" spans="1:24">
      <c r="A7" s="474" t="s">
        <v>730</v>
      </c>
      <c r="B7" s="475"/>
      <c r="C7" s="476">
        <v>6188565.1900000004</v>
      </c>
      <c r="D7" s="476">
        <v>-2105101.41</v>
      </c>
      <c r="E7" s="475">
        <v>138</v>
      </c>
      <c r="F7" s="477" t="s">
        <v>2498</v>
      </c>
      <c r="G7" s="544">
        <v>10.751068256595001</v>
      </c>
      <c r="H7" s="478">
        <v>4083463.78</v>
      </c>
      <c r="I7" s="447">
        <f t="shared" si="0"/>
        <v>3972859.4279846698</v>
      </c>
      <c r="J7" s="251">
        <f t="shared" si="0"/>
        <v>3860048.3167211097</v>
      </c>
      <c r="K7" s="251">
        <f t="shared" si="0"/>
        <v>3736911.1693253526</v>
      </c>
      <c r="L7" s="450">
        <f t="shared" si="0"/>
        <v>3622276.3232697472</v>
      </c>
      <c r="M7" s="450">
        <f t="shared" si="0"/>
        <v>3511158.0574417007</v>
      </c>
      <c r="N7" s="450">
        <f t="shared" si="0"/>
        <v>3403448.4959472562</v>
      </c>
      <c r="O7" s="447" t="str">
        <f t="shared" si="1"/>
        <v/>
      </c>
      <c r="P7" s="251" t="str">
        <f t="shared" si="2"/>
        <v/>
      </c>
      <c r="Q7" s="251">
        <f t="shared" si="3"/>
        <v>3403448.4959472562</v>
      </c>
      <c r="R7" s="251" t="str">
        <f t="shared" si="4"/>
        <v/>
      </c>
      <c r="S7" s="450" t="str">
        <f t="shared" si="5"/>
        <v/>
      </c>
      <c r="T7" s="219"/>
    </row>
    <row r="8" spans="1:24">
      <c r="A8" s="474" t="s">
        <v>731</v>
      </c>
      <c r="B8" s="475"/>
      <c r="C8" s="476">
        <v>4349393.04</v>
      </c>
      <c r="D8" s="476">
        <v>-2524429.9300000002</v>
      </c>
      <c r="E8" s="475">
        <v>138</v>
      </c>
      <c r="F8" s="477" t="s">
        <v>2498</v>
      </c>
      <c r="G8" s="544">
        <v>23.955677949586999</v>
      </c>
      <c r="H8" s="478">
        <v>1824963.11</v>
      </c>
      <c r="I8" s="447">
        <f t="shared" si="0"/>
        <v>1775532.3146977259</v>
      </c>
      <c r="J8" s="251">
        <f t="shared" si="0"/>
        <v>1725115.2845620739</v>
      </c>
      <c r="K8" s="251">
        <f t="shared" si="0"/>
        <v>1670083.3891970343</v>
      </c>
      <c r="L8" s="450">
        <f t="shared" si="0"/>
        <v>1618851.3037805674</v>
      </c>
      <c r="M8" s="450">
        <f t="shared" si="0"/>
        <v>1569190.8324482227</v>
      </c>
      <c r="N8" s="450">
        <f t="shared" si="0"/>
        <v>1521053.7637947965</v>
      </c>
      <c r="O8" s="447" t="str">
        <f t="shared" si="1"/>
        <v/>
      </c>
      <c r="P8" s="251" t="str">
        <f t="shared" si="2"/>
        <v/>
      </c>
      <c r="Q8" s="251">
        <f t="shared" si="3"/>
        <v>1521053.7637947965</v>
      </c>
      <c r="R8" s="251" t="str">
        <f t="shared" si="4"/>
        <v/>
      </c>
      <c r="S8" s="450" t="str">
        <f t="shared" si="5"/>
        <v/>
      </c>
      <c r="T8" s="219"/>
      <c r="U8" s="245" t="s">
        <v>672</v>
      </c>
      <c r="V8" s="388">
        <f>ROWS(O5:P421)*COLUMNS(O5:P421)-COUNTBLANK(O5:P421)</f>
        <v>97</v>
      </c>
      <c r="W8" s="388">
        <f>ROWS(Q5:R421)*COLUMNS(Q5:R421)-COUNTBLANK(Q5:R421)</f>
        <v>215</v>
      </c>
      <c r="X8" s="388">
        <f>ROWS(S5:S421)*COLUMNS(S5:S421)-COUNTBLANK(S5:S421)</f>
        <v>105</v>
      </c>
    </row>
    <row r="9" spans="1:24">
      <c r="A9" s="474" t="s">
        <v>732</v>
      </c>
      <c r="B9" s="475"/>
      <c r="C9" s="476">
        <v>407945.9</v>
      </c>
      <c r="D9" s="476">
        <v>-71951.509999999995</v>
      </c>
      <c r="E9" s="475">
        <v>138</v>
      </c>
      <c r="F9" s="477" t="s">
        <v>2498</v>
      </c>
      <c r="G9" s="544">
        <v>8.9222456165900006</v>
      </c>
      <c r="H9" s="478">
        <v>335994.39</v>
      </c>
      <c r="I9" s="447">
        <f t="shared" si="0"/>
        <v>326893.67458071542</v>
      </c>
      <c r="J9" s="251">
        <f t="shared" si="0"/>
        <v>317611.3832328975</v>
      </c>
      <c r="K9" s="251">
        <f t="shared" si="0"/>
        <v>307479.44795573986</v>
      </c>
      <c r="L9" s="450">
        <f t="shared" si="0"/>
        <v>298047.09658731479</v>
      </c>
      <c r="M9" s="450">
        <f t="shared" si="0"/>
        <v>288904.09545978863</v>
      </c>
      <c r="N9" s="450">
        <f t="shared" si="0"/>
        <v>280041.56835994171</v>
      </c>
      <c r="O9" s="447" t="str">
        <f t="shared" si="1"/>
        <v/>
      </c>
      <c r="P9" s="251" t="str">
        <f t="shared" si="2"/>
        <v/>
      </c>
      <c r="Q9" s="251">
        <f t="shared" si="3"/>
        <v>280041.56835994171</v>
      </c>
      <c r="R9" s="251" t="str">
        <f t="shared" si="4"/>
        <v/>
      </c>
      <c r="S9" s="450" t="str">
        <f t="shared" si="5"/>
        <v/>
      </c>
      <c r="T9" s="219"/>
    </row>
    <row r="10" spans="1:24">
      <c r="A10" s="474" t="s">
        <v>733</v>
      </c>
      <c r="B10" s="475"/>
      <c r="C10" s="476">
        <v>1067524.96</v>
      </c>
      <c r="D10" s="476">
        <v>-237975.97</v>
      </c>
      <c r="E10" s="475">
        <v>138</v>
      </c>
      <c r="F10" s="477" t="s">
        <v>2498</v>
      </c>
      <c r="G10" s="544">
        <v>6.2351154342000008</v>
      </c>
      <c r="H10" s="478">
        <v>829548.99</v>
      </c>
      <c r="I10" s="447">
        <f t="shared" si="0"/>
        <v>807079.89673821977</v>
      </c>
      <c r="J10" s="251">
        <f t="shared" si="0"/>
        <v>784162.50394345284</v>
      </c>
      <c r="K10" s="251">
        <f t="shared" si="0"/>
        <v>759147.39379262121</v>
      </c>
      <c r="L10" s="450">
        <f t="shared" si="0"/>
        <v>735859.5122568548</v>
      </c>
      <c r="M10" s="450">
        <f t="shared" si="0"/>
        <v>713286.01824432611</v>
      </c>
      <c r="N10" s="450">
        <f t="shared" si="0"/>
        <v>691404.99694356672</v>
      </c>
      <c r="O10" s="447" t="str">
        <f t="shared" si="1"/>
        <v/>
      </c>
      <c r="P10" s="251" t="str">
        <f t="shared" si="2"/>
        <v/>
      </c>
      <c r="Q10" s="251">
        <f t="shared" si="3"/>
        <v>691404.99694356672</v>
      </c>
      <c r="R10" s="251" t="str">
        <f t="shared" si="4"/>
        <v/>
      </c>
      <c r="S10" s="450" t="str">
        <f t="shared" si="5"/>
        <v/>
      </c>
      <c r="T10" s="219"/>
    </row>
    <row r="11" spans="1:24">
      <c r="A11" s="474" t="s">
        <v>734</v>
      </c>
      <c r="B11" s="475"/>
      <c r="C11" s="476">
        <v>1639590.56</v>
      </c>
      <c r="D11" s="476">
        <v>-1151461.79</v>
      </c>
      <c r="E11" s="475">
        <v>69</v>
      </c>
      <c r="F11" s="477" t="s">
        <v>2499</v>
      </c>
      <c r="G11" s="544">
        <v>38.361308559539999</v>
      </c>
      <c r="H11" s="478">
        <v>488128.77</v>
      </c>
      <c r="I11" s="447">
        <f t="shared" si="0"/>
        <v>474907.35572657891</v>
      </c>
      <c r="J11" s="251">
        <f t="shared" si="0"/>
        <v>461422.15004087682</v>
      </c>
      <c r="K11" s="251">
        <f t="shared" si="0"/>
        <v>446702.5914656322</v>
      </c>
      <c r="L11" s="450">
        <f t="shared" si="0"/>
        <v>432999.3803147641</v>
      </c>
      <c r="M11" s="450">
        <f t="shared" si="0"/>
        <v>419716.53385269083</v>
      </c>
      <c r="N11" s="450">
        <f t="shared" si="0"/>
        <v>406841.15681934229</v>
      </c>
      <c r="O11" s="447" t="str">
        <f t="shared" si="1"/>
        <v/>
      </c>
      <c r="P11" s="251" t="str">
        <f t="shared" si="2"/>
        <v/>
      </c>
      <c r="Q11" s="251" t="str">
        <f t="shared" si="3"/>
        <v/>
      </c>
      <c r="R11" s="251" t="str">
        <f t="shared" si="4"/>
        <v/>
      </c>
      <c r="S11" s="450">
        <f t="shared" si="5"/>
        <v>406841.15681934229</v>
      </c>
      <c r="T11" s="219"/>
      <c r="U11" s="216"/>
      <c r="V11" s="996" t="s">
        <v>60</v>
      </c>
      <c r="W11" s="996"/>
      <c r="X11" s="996"/>
    </row>
    <row r="12" spans="1:24">
      <c r="A12" s="474" t="s">
        <v>735</v>
      </c>
      <c r="B12" s="475"/>
      <c r="C12" s="476">
        <v>9919876.1600000001</v>
      </c>
      <c r="D12" s="476">
        <v>-2477477.4300000002</v>
      </c>
      <c r="E12" s="475">
        <v>138</v>
      </c>
      <c r="F12" s="477" t="s">
        <v>2498</v>
      </c>
      <c r="G12" s="544">
        <v>23.967538248737405</v>
      </c>
      <c r="H12" s="478">
        <v>7442398.7300000004</v>
      </c>
      <c r="I12" s="447">
        <f t="shared" si="0"/>
        <v>7240814.5521255583</v>
      </c>
      <c r="J12" s="251">
        <f t="shared" si="0"/>
        <v>7035208.4009678243</v>
      </c>
      <c r="K12" s="251">
        <f t="shared" si="0"/>
        <v>6810782.3257611515</v>
      </c>
      <c r="L12" s="450">
        <f t="shared" si="0"/>
        <v>6601852.2902171649</v>
      </c>
      <c r="M12" s="450">
        <f t="shared" si="0"/>
        <v>6399331.4684263915</v>
      </c>
      <c r="N12" s="450">
        <f t="shared" si="0"/>
        <v>6203023.2490168605</v>
      </c>
      <c r="O12" s="447" t="str">
        <f t="shared" si="1"/>
        <v/>
      </c>
      <c r="P12" s="251" t="str">
        <f t="shared" si="2"/>
        <v/>
      </c>
      <c r="Q12" s="251">
        <f t="shared" si="3"/>
        <v>6203023.2490168605</v>
      </c>
      <c r="R12" s="251" t="str">
        <f t="shared" si="4"/>
        <v/>
      </c>
      <c r="S12" s="450" t="str">
        <f t="shared" si="5"/>
        <v/>
      </c>
      <c r="T12" s="219"/>
      <c r="U12" s="451"/>
      <c r="V12" s="246" t="s">
        <v>49</v>
      </c>
      <c r="W12" s="246" t="s">
        <v>74</v>
      </c>
      <c r="X12" s="780" t="s">
        <v>50</v>
      </c>
    </row>
    <row r="13" spans="1:24">
      <c r="A13" s="474" t="s">
        <v>736</v>
      </c>
      <c r="B13" s="475"/>
      <c r="C13" s="476">
        <v>15296062.779999999</v>
      </c>
      <c r="D13" s="476">
        <v>-7991218.0499999998</v>
      </c>
      <c r="E13" s="475">
        <v>138</v>
      </c>
      <c r="F13" s="477" t="s">
        <v>2498</v>
      </c>
      <c r="G13" s="544">
        <v>189.39247421360508</v>
      </c>
      <c r="H13" s="478">
        <v>7304844.7300000004</v>
      </c>
      <c r="I13" s="447">
        <f t="shared" si="0"/>
        <v>7106986.3280493291</v>
      </c>
      <c r="J13" s="251">
        <f t="shared" si="0"/>
        <v>6905180.2888638759</v>
      </c>
      <c r="K13" s="251">
        <f t="shared" si="0"/>
        <v>6684902.1645355308</v>
      </c>
      <c r="L13" s="450">
        <f t="shared" si="0"/>
        <v>6479833.6745969113</v>
      </c>
      <c r="M13" s="450">
        <f t="shared" si="0"/>
        <v>6281055.9402341628</v>
      </c>
      <c r="N13" s="450">
        <f t="shared" si="0"/>
        <v>6088375.9839414423</v>
      </c>
      <c r="O13" s="447" t="str">
        <f t="shared" si="1"/>
        <v/>
      </c>
      <c r="P13" s="251" t="str">
        <f t="shared" si="2"/>
        <v/>
      </c>
      <c r="Q13" s="251">
        <f t="shared" si="3"/>
        <v>6088375.9839414423</v>
      </c>
      <c r="R13" s="251" t="str">
        <f t="shared" si="4"/>
        <v/>
      </c>
      <c r="S13" s="450" t="str">
        <f t="shared" si="5"/>
        <v/>
      </c>
      <c r="T13" s="219"/>
      <c r="U13" s="433" t="s">
        <v>108</v>
      </c>
      <c r="V13" s="389">
        <f>SUM(O422:P422)</f>
        <v>1287853001.7315488</v>
      </c>
      <c r="W13" s="389">
        <f>SUM(Q422:R422)</f>
        <v>338075106.86633283</v>
      </c>
      <c r="X13" s="389">
        <f>S422</f>
        <v>146681269.00310713</v>
      </c>
    </row>
    <row r="14" spans="1:24">
      <c r="A14" s="474" t="s">
        <v>737</v>
      </c>
      <c r="B14" s="475"/>
      <c r="C14" s="476">
        <v>635968.89</v>
      </c>
      <c r="D14" s="476">
        <v>-164604.4</v>
      </c>
      <c r="E14" s="475">
        <v>138</v>
      </c>
      <c r="F14" s="477" t="s">
        <v>2498</v>
      </c>
      <c r="G14" s="544">
        <v>2.6731952705799999</v>
      </c>
      <c r="H14" s="478">
        <v>471364.49</v>
      </c>
      <c r="I14" s="447">
        <f t="shared" si="0"/>
        <v>458597.15158626577</v>
      </c>
      <c r="J14" s="251">
        <f t="shared" si="0"/>
        <v>445575.08140469034</v>
      </c>
      <c r="K14" s="251">
        <f t="shared" si="0"/>
        <v>431361.05091260257</v>
      </c>
      <c r="L14" s="450">
        <f t="shared" si="0"/>
        <v>418128.46243909129</v>
      </c>
      <c r="M14" s="450">
        <f t="shared" si="0"/>
        <v>405301.80166196998</v>
      </c>
      <c r="N14" s="450">
        <f t="shared" si="0"/>
        <v>392868.61619559792</v>
      </c>
      <c r="O14" s="447" t="str">
        <f t="shared" si="1"/>
        <v/>
      </c>
      <c r="P14" s="251" t="str">
        <f t="shared" si="2"/>
        <v/>
      </c>
      <c r="Q14" s="251">
        <f t="shared" si="3"/>
        <v>392868.61619559792</v>
      </c>
      <c r="R14" s="251" t="str">
        <f t="shared" si="4"/>
        <v/>
      </c>
      <c r="S14" s="450" t="str">
        <f t="shared" si="5"/>
        <v/>
      </c>
      <c r="T14" s="219"/>
      <c r="U14" s="433" t="s">
        <v>109</v>
      </c>
      <c r="V14" s="453">
        <f>V13/SUM($O$422:$S$422)</f>
        <v>0.72652949826684388</v>
      </c>
      <c r="W14" s="453">
        <f>W13/SUM($O$422:$S$422)</f>
        <v>0.19072171857957582</v>
      </c>
      <c r="X14" s="453">
        <f>X13/SUM($O$422:$S$422)</f>
        <v>8.274878315358028E-2</v>
      </c>
    </row>
    <row r="15" spans="1:24">
      <c r="A15" s="474" t="s">
        <v>738</v>
      </c>
      <c r="B15" s="475"/>
      <c r="C15" s="476">
        <v>583686.93000000005</v>
      </c>
      <c r="D15" s="476">
        <v>-176925.74</v>
      </c>
      <c r="E15" s="475">
        <v>138</v>
      </c>
      <c r="F15" s="477" t="s">
        <v>2498</v>
      </c>
      <c r="G15" s="544">
        <v>2.06934797106</v>
      </c>
      <c r="H15" s="478">
        <v>406761.19</v>
      </c>
      <c r="I15" s="447">
        <f t="shared" si="0"/>
        <v>395743.69106556976</v>
      </c>
      <c r="J15" s="251">
        <f t="shared" si="0"/>
        <v>384506.37286342616</v>
      </c>
      <c r="K15" s="251">
        <f t="shared" si="0"/>
        <v>372240.45958332758</v>
      </c>
      <c r="L15" s="450">
        <f t="shared" si="0"/>
        <v>360821.47587018076</v>
      </c>
      <c r="M15" s="450">
        <f t="shared" si="0"/>
        <v>349752.78505423031</v>
      </c>
      <c r="N15" s="450">
        <f t="shared" si="0"/>
        <v>339023.64142316848</v>
      </c>
      <c r="O15" s="447" t="str">
        <f t="shared" si="1"/>
        <v/>
      </c>
      <c r="P15" s="251" t="str">
        <f t="shared" si="2"/>
        <v/>
      </c>
      <c r="Q15" s="251">
        <f t="shared" si="3"/>
        <v>339023.64142316848</v>
      </c>
      <c r="R15" s="251" t="str">
        <f t="shared" si="4"/>
        <v/>
      </c>
      <c r="S15" s="450" t="str">
        <f t="shared" si="5"/>
        <v/>
      </c>
      <c r="T15" s="219"/>
    </row>
    <row r="16" spans="1:24">
      <c r="A16" s="474" t="s">
        <v>739</v>
      </c>
      <c r="B16" s="475"/>
      <c r="C16" s="476">
        <v>57212.92</v>
      </c>
      <c r="D16" s="476">
        <v>-49842.27</v>
      </c>
      <c r="E16" s="475">
        <v>138</v>
      </c>
      <c r="F16" s="477" t="s">
        <v>2499</v>
      </c>
      <c r="G16" s="544">
        <v>1.7372645804010001</v>
      </c>
      <c r="H16" s="478">
        <v>7370.65</v>
      </c>
      <c r="I16" s="447">
        <f t="shared" si="0"/>
        <v>7171.0092021130176</v>
      </c>
      <c r="J16" s="251">
        <f t="shared" si="0"/>
        <v>6967.3852049302241</v>
      </c>
      <c r="K16" s="251">
        <f t="shared" si="0"/>
        <v>6745.1227178970867</v>
      </c>
      <c r="L16" s="450">
        <f t="shared" si="0"/>
        <v>6538.2068803627699</v>
      </c>
      <c r="M16" s="450">
        <f t="shared" si="0"/>
        <v>6337.6384683110064</v>
      </c>
      <c r="N16" s="450">
        <f t="shared" si="0"/>
        <v>6143.2227658092861</v>
      </c>
      <c r="O16" s="447" t="str">
        <f t="shared" si="1"/>
        <v/>
      </c>
      <c r="P16" s="251" t="str">
        <f t="shared" si="2"/>
        <v/>
      </c>
      <c r="Q16" s="251" t="str">
        <f t="shared" si="3"/>
        <v/>
      </c>
      <c r="R16" s="251" t="str">
        <f t="shared" si="4"/>
        <v/>
      </c>
      <c r="S16" s="450">
        <f t="shared" si="5"/>
        <v>6143.2227658092861</v>
      </c>
      <c r="T16" s="219"/>
    </row>
    <row r="17" spans="1:21">
      <c r="A17" s="474" t="s">
        <v>740</v>
      </c>
      <c r="B17" s="475"/>
      <c r="C17" s="476">
        <v>3001995.45</v>
      </c>
      <c r="D17" s="476">
        <v>-450481.81</v>
      </c>
      <c r="E17" s="475">
        <v>138</v>
      </c>
      <c r="F17" s="477" t="s">
        <v>2498</v>
      </c>
      <c r="G17" s="544">
        <v>12.908053852998</v>
      </c>
      <c r="H17" s="478">
        <v>2551513.64</v>
      </c>
      <c r="I17" s="447">
        <f t="shared" si="0"/>
        <v>2482403.5589475669</v>
      </c>
      <c r="J17" s="251">
        <f t="shared" si="0"/>
        <v>2411914.6052944669</v>
      </c>
      <c r="K17" s="251">
        <f t="shared" si="0"/>
        <v>2334973.525833989</v>
      </c>
      <c r="L17" s="450">
        <f t="shared" si="0"/>
        <v>2263345.0287813772</v>
      </c>
      <c r="M17" s="450">
        <f t="shared" si="0"/>
        <v>2193913.8335539256</v>
      </c>
      <c r="N17" s="450">
        <f t="shared" si="0"/>
        <v>2126612.5349217397</v>
      </c>
      <c r="O17" s="447" t="str">
        <f t="shared" si="1"/>
        <v/>
      </c>
      <c r="P17" s="251" t="str">
        <f t="shared" si="2"/>
        <v/>
      </c>
      <c r="Q17" s="251">
        <f t="shared" si="3"/>
        <v>2126612.5349217397</v>
      </c>
      <c r="R17" s="251" t="str">
        <f t="shared" si="4"/>
        <v/>
      </c>
      <c r="S17" s="450" t="str">
        <f t="shared" si="5"/>
        <v/>
      </c>
      <c r="T17" s="219"/>
    </row>
    <row r="18" spans="1:21">
      <c r="A18" s="474" t="s">
        <v>741</v>
      </c>
      <c r="B18" s="475"/>
      <c r="C18" s="476">
        <v>5831990.2199999997</v>
      </c>
      <c r="D18" s="476">
        <v>-2006423.58</v>
      </c>
      <c r="E18" s="475">
        <v>138</v>
      </c>
      <c r="F18" s="477" t="s">
        <v>2498</v>
      </c>
      <c r="G18" s="544">
        <v>44.988155862261991</v>
      </c>
      <c r="H18" s="478">
        <v>3825566.64</v>
      </c>
      <c r="I18" s="447">
        <f t="shared" si="0"/>
        <v>3721947.6679446967</v>
      </c>
      <c r="J18" s="251">
        <f t="shared" si="0"/>
        <v>3616261.3077558465</v>
      </c>
      <c r="K18" s="251">
        <f t="shared" si="0"/>
        <v>3500901.0673811981</v>
      </c>
      <c r="L18" s="450">
        <f t="shared" si="0"/>
        <v>3393506.1530440715</v>
      </c>
      <c r="M18" s="450">
        <f t="shared" si="0"/>
        <v>3289405.7241561171</v>
      </c>
      <c r="N18" s="450">
        <f t="shared" si="0"/>
        <v>3188498.7178835706</v>
      </c>
      <c r="O18" s="447" t="str">
        <f t="shared" si="1"/>
        <v/>
      </c>
      <c r="P18" s="251" t="str">
        <f t="shared" si="2"/>
        <v/>
      </c>
      <c r="Q18" s="251">
        <f t="shared" si="3"/>
        <v>3188498.7178835706</v>
      </c>
      <c r="R18" s="251" t="str">
        <f t="shared" si="4"/>
        <v/>
      </c>
      <c r="S18" s="450" t="str">
        <f t="shared" si="5"/>
        <v/>
      </c>
      <c r="T18" s="219"/>
    </row>
    <row r="19" spans="1:21">
      <c r="A19" s="474" t="s">
        <v>742</v>
      </c>
      <c r="B19" s="475"/>
      <c r="C19" s="476">
        <v>9484258.9299999997</v>
      </c>
      <c r="D19" s="476">
        <v>-2611048.5699999998</v>
      </c>
      <c r="E19" s="475">
        <v>138</v>
      </c>
      <c r="F19" s="477" t="s">
        <v>2498</v>
      </c>
      <c r="G19" s="544">
        <v>29.507001040888298</v>
      </c>
      <c r="H19" s="478">
        <v>6873210.3600000003</v>
      </c>
      <c r="I19" s="447">
        <f t="shared" si="0"/>
        <v>6687043.169817931</v>
      </c>
      <c r="J19" s="251">
        <f t="shared" si="0"/>
        <v>6497161.6034728475</v>
      </c>
      <c r="K19" s="251">
        <f t="shared" si="0"/>
        <v>6289899.4449772565</v>
      </c>
      <c r="L19" s="450">
        <f t="shared" si="0"/>
        <v>6096948.2021168657</v>
      </c>
      <c r="M19" s="450">
        <f t="shared" si="0"/>
        <v>5909916.0017542206</v>
      </c>
      <c r="N19" s="450">
        <f t="shared" si="0"/>
        <v>5728621.2691890467</v>
      </c>
      <c r="O19" s="447" t="str">
        <f t="shared" si="1"/>
        <v/>
      </c>
      <c r="P19" s="251" t="str">
        <f t="shared" si="2"/>
        <v/>
      </c>
      <c r="Q19" s="251">
        <f t="shared" si="3"/>
        <v>5728621.2691890467</v>
      </c>
      <c r="R19" s="251" t="str">
        <f t="shared" si="4"/>
        <v/>
      </c>
      <c r="S19" s="450" t="str">
        <f t="shared" si="5"/>
        <v/>
      </c>
      <c r="T19" s="219"/>
    </row>
    <row r="20" spans="1:21">
      <c r="A20" s="474" t="s">
        <v>743</v>
      </c>
      <c r="B20" s="475"/>
      <c r="C20" s="476">
        <v>5969762.1799999997</v>
      </c>
      <c r="D20" s="476">
        <v>-1803166.48</v>
      </c>
      <c r="E20" s="475">
        <v>69</v>
      </c>
      <c r="F20" s="477" t="s">
        <v>2498</v>
      </c>
      <c r="G20" s="544">
        <v>43.147669493430001</v>
      </c>
      <c r="H20" s="478">
        <v>4166595.7</v>
      </c>
      <c r="I20" s="447">
        <f t="shared" si="0"/>
        <v>4053739.6438827692</v>
      </c>
      <c r="J20" s="251">
        <f t="shared" si="0"/>
        <v>3938631.9028994585</v>
      </c>
      <c r="K20" s="251">
        <f t="shared" si="0"/>
        <v>3812987.9064074829</v>
      </c>
      <c r="L20" s="450">
        <f t="shared" si="0"/>
        <v>3696019.3026978532</v>
      </c>
      <c r="M20" s="450">
        <f t="shared" si="0"/>
        <v>3582638.8704143092</v>
      </c>
      <c r="N20" s="450">
        <f t="shared" si="0"/>
        <v>3472736.5375052514</v>
      </c>
      <c r="O20" s="447" t="str">
        <f t="shared" si="1"/>
        <v/>
      </c>
      <c r="P20" s="251" t="str">
        <f t="shared" si="2"/>
        <v/>
      </c>
      <c r="Q20" s="251" t="str">
        <f t="shared" si="3"/>
        <v/>
      </c>
      <c r="R20" s="251">
        <f t="shared" si="4"/>
        <v>3472736.5375052514</v>
      </c>
      <c r="S20" s="450" t="str">
        <f t="shared" si="5"/>
        <v/>
      </c>
      <c r="T20" s="219"/>
    </row>
    <row r="21" spans="1:21">
      <c r="A21" s="474" t="s">
        <v>744</v>
      </c>
      <c r="B21" s="475"/>
      <c r="C21" s="476">
        <v>123693.27</v>
      </c>
      <c r="D21" s="476">
        <v>-30588.15</v>
      </c>
      <c r="E21" s="475">
        <v>69</v>
      </c>
      <c r="F21" s="477" t="s">
        <v>2498</v>
      </c>
      <c r="G21" s="544">
        <v>0.5651442636838</v>
      </c>
      <c r="H21" s="478">
        <v>93105.12</v>
      </c>
      <c r="I21" s="447">
        <f t="shared" si="0"/>
        <v>90583.282652661132</v>
      </c>
      <c r="J21" s="251">
        <f t="shared" si="0"/>
        <v>88011.130034834525</v>
      </c>
      <c r="K21" s="251">
        <f t="shared" si="0"/>
        <v>85203.538366973662</v>
      </c>
      <c r="L21" s="450">
        <f t="shared" si="0"/>
        <v>82589.803637535544</v>
      </c>
      <c r="M21" s="450">
        <f t="shared" si="0"/>
        <v>80056.248785210599</v>
      </c>
      <c r="N21" s="450">
        <f t="shared" si="0"/>
        <v>77600.414182928987</v>
      </c>
      <c r="O21" s="447" t="str">
        <f t="shared" si="1"/>
        <v/>
      </c>
      <c r="P21" s="251" t="str">
        <f t="shared" si="2"/>
        <v/>
      </c>
      <c r="Q21" s="251" t="str">
        <f t="shared" si="3"/>
        <v/>
      </c>
      <c r="R21" s="251">
        <f t="shared" si="4"/>
        <v>77600.414182928987</v>
      </c>
      <c r="S21" s="450" t="str">
        <f t="shared" si="5"/>
        <v/>
      </c>
      <c r="T21" s="219"/>
    </row>
    <row r="22" spans="1:21">
      <c r="A22" s="474" t="s">
        <v>745</v>
      </c>
      <c r="B22" s="475"/>
      <c r="C22" s="476">
        <v>960688.15</v>
      </c>
      <c r="D22" s="476">
        <v>-452905.33</v>
      </c>
      <c r="E22" s="475">
        <v>69</v>
      </c>
      <c r="F22" s="477" t="s">
        <v>2498</v>
      </c>
      <c r="G22" s="544">
        <v>12.42975832324</v>
      </c>
      <c r="H22" s="478">
        <v>507782.82</v>
      </c>
      <c r="I22" s="447">
        <f t="shared" si="0"/>
        <v>494029.05780289369</v>
      </c>
      <c r="J22" s="251">
        <f t="shared" si="0"/>
        <v>480000.88287813793</v>
      </c>
      <c r="K22" s="251">
        <f t="shared" si="0"/>
        <v>464688.65499512892</v>
      </c>
      <c r="L22" s="450">
        <f t="shared" si="0"/>
        <v>450433.69681832811</v>
      </c>
      <c r="M22" s="450">
        <f t="shared" si="0"/>
        <v>436616.02892274683</v>
      </c>
      <c r="N22" s="450">
        <f t="shared" si="0"/>
        <v>423222.23683268629</v>
      </c>
      <c r="O22" s="447" t="str">
        <f t="shared" si="1"/>
        <v/>
      </c>
      <c r="P22" s="251" t="str">
        <f t="shared" si="2"/>
        <v/>
      </c>
      <c r="Q22" s="251" t="str">
        <f t="shared" si="3"/>
        <v/>
      </c>
      <c r="R22" s="251">
        <f t="shared" si="4"/>
        <v>423222.23683268629</v>
      </c>
      <c r="S22" s="450" t="str">
        <f t="shared" si="5"/>
        <v/>
      </c>
      <c r="T22" s="219"/>
    </row>
    <row r="23" spans="1:21">
      <c r="A23" s="474" t="s">
        <v>746</v>
      </c>
      <c r="B23" s="475"/>
      <c r="C23" s="476">
        <v>3980669.51</v>
      </c>
      <c r="D23" s="476">
        <v>-1693325.77</v>
      </c>
      <c r="E23" s="475">
        <v>138</v>
      </c>
      <c r="F23" s="477" t="s">
        <v>2498</v>
      </c>
      <c r="G23" s="544">
        <v>36.189241964810797</v>
      </c>
      <c r="H23" s="478">
        <v>2287343.7400000002</v>
      </c>
      <c r="I23" s="447">
        <f t="shared" si="0"/>
        <v>2225388.9423504858</v>
      </c>
      <c r="J23" s="251">
        <f t="shared" si="0"/>
        <v>2162198.0330996271</v>
      </c>
      <c r="K23" s="251">
        <f t="shared" si="0"/>
        <v>2093223.0161944588</v>
      </c>
      <c r="L23" s="450">
        <f t="shared" si="0"/>
        <v>2029010.5456944385</v>
      </c>
      <c r="M23" s="450">
        <f t="shared" si="0"/>
        <v>1966767.8802920191</v>
      </c>
      <c r="N23" s="450">
        <f t="shared" si="0"/>
        <v>1906434.5935296561</v>
      </c>
      <c r="O23" s="447" t="str">
        <f t="shared" si="1"/>
        <v/>
      </c>
      <c r="P23" s="251" t="str">
        <f t="shared" si="2"/>
        <v/>
      </c>
      <c r="Q23" s="251">
        <f t="shared" si="3"/>
        <v>1906434.5935296561</v>
      </c>
      <c r="R23" s="251" t="str">
        <f t="shared" si="4"/>
        <v/>
      </c>
      <c r="S23" s="450" t="str">
        <f t="shared" si="5"/>
        <v/>
      </c>
      <c r="T23" s="219"/>
    </row>
    <row r="24" spans="1:21">
      <c r="A24" s="474" t="s">
        <v>747</v>
      </c>
      <c r="B24" s="475"/>
      <c r="C24" s="476">
        <v>2872656.95</v>
      </c>
      <c r="D24" s="476">
        <v>-761813.21</v>
      </c>
      <c r="E24" s="475">
        <v>138</v>
      </c>
      <c r="F24" s="477" t="s">
        <v>2498</v>
      </c>
      <c r="G24" s="544">
        <v>34.096335331384999</v>
      </c>
      <c r="H24" s="478">
        <v>2110843.7400000002</v>
      </c>
      <c r="I24" s="447">
        <f t="shared" si="0"/>
        <v>2053669.6063118803</v>
      </c>
      <c r="J24" s="251">
        <f t="shared" si="0"/>
        <v>1995354.7440179065</v>
      </c>
      <c r="K24" s="251">
        <f t="shared" si="0"/>
        <v>1931702.09745475</v>
      </c>
      <c r="L24" s="450">
        <f t="shared" si="0"/>
        <v>1872444.501399291</v>
      </c>
      <c r="M24" s="450">
        <f t="shared" si="0"/>
        <v>1815004.7129110023</v>
      </c>
      <c r="N24" s="450">
        <f t="shared" si="0"/>
        <v>1759326.9682638601</v>
      </c>
      <c r="O24" s="447" t="str">
        <f t="shared" si="1"/>
        <v/>
      </c>
      <c r="P24" s="251" t="str">
        <f t="shared" si="2"/>
        <v/>
      </c>
      <c r="Q24" s="251">
        <f t="shared" si="3"/>
        <v>1759326.9682638601</v>
      </c>
      <c r="R24" s="251" t="str">
        <f t="shared" si="4"/>
        <v/>
      </c>
      <c r="S24" s="450" t="str">
        <f t="shared" si="5"/>
        <v/>
      </c>
      <c r="T24" s="219"/>
    </row>
    <row r="25" spans="1:21">
      <c r="A25" s="474" t="s">
        <v>748</v>
      </c>
      <c r="B25" s="475"/>
      <c r="C25" s="476">
        <v>1913934.25</v>
      </c>
      <c r="D25" s="476">
        <v>-666138.84</v>
      </c>
      <c r="E25" s="475">
        <v>69</v>
      </c>
      <c r="F25" s="477" t="s">
        <v>2498</v>
      </c>
      <c r="G25" s="544">
        <v>20.206600833304005</v>
      </c>
      <c r="H25" s="478">
        <v>1247795.4099999999</v>
      </c>
      <c r="I25" s="447">
        <f t="shared" ref="I25:N67" si="6">+$H25*(I$3)</f>
        <v>1213997.7298426034</v>
      </c>
      <c r="J25" s="251">
        <f t="shared" si="6"/>
        <v>1179525.7241103353</v>
      </c>
      <c r="K25" s="251">
        <f t="shared" si="6"/>
        <v>1141898.362733098</v>
      </c>
      <c r="L25" s="450">
        <f t="shared" si="6"/>
        <v>1106869.0732767237</v>
      </c>
      <c r="M25" s="450">
        <f t="shared" si="6"/>
        <v>1072914.3550430294</v>
      </c>
      <c r="N25" s="450">
        <f t="shared" si="6"/>
        <v>1040001.2440943923</v>
      </c>
      <c r="O25" s="447" t="str">
        <f t="shared" si="1"/>
        <v/>
      </c>
      <c r="P25" s="251" t="str">
        <f t="shared" si="2"/>
        <v/>
      </c>
      <c r="Q25" s="251" t="str">
        <f t="shared" si="3"/>
        <v/>
      </c>
      <c r="R25" s="251">
        <f t="shared" si="4"/>
        <v>1040001.2440943923</v>
      </c>
      <c r="S25" s="450" t="str">
        <f t="shared" si="5"/>
        <v/>
      </c>
      <c r="T25" s="219"/>
    </row>
    <row r="26" spans="1:21">
      <c r="A26" s="474" t="s">
        <v>749</v>
      </c>
      <c r="B26" s="475"/>
      <c r="C26" s="476">
        <v>7832163.0300000003</v>
      </c>
      <c r="D26" s="476">
        <v>-1303882.32</v>
      </c>
      <c r="E26" s="475">
        <v>138</v>
      </c>
      <c r="F26" s="477" t="s">
        <v>2498</v>
      </c>
      <c r="G26" s="544">
        <v>38.366527495280195</v>
      </c>
      <c r="H26" s="478">
        <v>6528280.71</v>
      </c>
      <c r="I26" s="447">
        <f t="shared" si="6"/>
        <v>6351456.2549282499</v>
      </c>
      <c r="J26" s="251">
        <f t="shared" si="6"/>
        <v>6171103.8283577953</v>
      </c>
      <c r="K26" s="251">
        <f t="shared" si="6"/>
        <v>5974243.0485547846</v>
      </c>
      <c r="L26" s="450">
        <f t="shared" si="6"/>
        <v>5790974.996107745</v>
      </c>
      <c r="M26" s="450">
        <f t="shared" si="6"/>
        <v>5613328.9410877861</v>
      </c>
      <c r="N26" s="450">
        <f t="shared" si="6"/>
        <v>5441132.4210572494</v>
      </c>
      <c r="O26" s="447" t="str">
        <f t="shared" si="1"/>
        <v/>
      </c>
      <c r="P26" s="251" t="str">
        <f t="shared" si="2"/>
        <v/>
      </c>
      <c r="Q26" s="251">
        <f t="shared" si="3"/>
        <v>5441132.4210572494</v>
      </c>
      <c r="R26" s="251" t="str">
        <f t="shared" si="4"/>
        <v/>
      </c>
      <c r="S26" s="450" t="str">
        <f t="shared" si="5"/>
        <v/>
      </c>
      <c r="T26" s="219"/>
      <c r="U26" s="77"/>
    </row>
    <row r="27" spans="1:21">
      <c r="A27" s="474" t="s">
        <v>750</v>
      </c>
      <c r="B27" s="475"/>
      <c r="C27" s="476">
        <v>7675934.9500000002</v>
      </c>
      <c r="D27" s="476">
        <v>-492639.71</v>
      </c>
      <c r="E27" s="475">
        <v>69</v>
      </c>
      <c r="F27" s="477" t="s">
        <v>2498</v>
      </c>
      <c r="G27" s="544">
        <v>29.917494597800001</v>
      </c>
      <c r="H27" s="478">
        <v>7183295.2400000002</v>
      </c>
      <c r="I27" s="447">
        <f t="shared" si="6"/>
        <v>6988729.1171788974</v>
      </c>
      <c r="J27" s="251">
        <f t="shared" si="6"/>
        <v>6790281.0441171005</v>
      </c>
      <c r="K27" s="251">
        <f t="shared" si="6"/>
        <v>6573668.2535035592</v>
      </c>
      <c r="L27" s="450">
        <f t="shared" si="6"/>
        <v>6372012.015472874</v>
      </c>
      <c r="M27" s="450">
        <f t="shared" si="6"/>
        <v>6176541.8575375779</v>
      </c>
      <c r="N27" s="450">
        <f t="shared" si="6"/>
        <v>5987068.0132549349</v>
      </c>
      <c r="O27" s="447" t="str">
        <f t="shared" si="1"/>
        <v/>
      </c>
      <c r="P27" s="251" t="str">
        <f t="shared" si="2"/>
        <v/>
      </c>
      <c r="Q27" s="251" t="str">
        <f t="shared" si="3"/>
        <v/>
      </c>
      <c r="R27" s="251">
        <f t="shared" si="4"/>
        <v>5987068.0132549349</v>
      </c>
      <c r="S27" s="450" t="str">
        <f t="shared" si="5"/>
        <v/>
      </c>
      <c r="T27" s="219"/>
    </row>
    <row r="28" spans="1:21">
      <c r="A28" s="474" t="s">
        <v>751</v>
      </c>
      <c r="B28" s="475"/>
      <c r="C28" s="476">
        <v>7261471.9000000004</v>
      </c>
      <c r="D28" s="476">
        <v>-452189.19</v>
      </c>
      <c r="E28" s="475">
        <v>138</v>
      </c>
      <c r="F28" s="477" t="s">
        <v>2498</v>
      </c>
      <c r="G28" s="544">
        <v>31.017672733399998</v>
      </c>
      <c r="H28" s="478">
        <v>6809282.71</v>
      </c>
      <c r="I28" s="447">
        <f t="shared" si="6"/>
        <v>6624847.0586989028</v>
      </c>
      <c r="J28" s="251">
        <f t="shared" si="6"/>
        <v>6436731.5786044896</v>
      </c>
      <c r="K28" s="251">
        <f t="shared" si="6"/>
        <v>6231397.1630459782</v>
      </c>
      <c r="L28" s="450">
        <f t="shared" si="6"/>
        <v>6040240.5574619947</v>
      </c>
      <c r="M28" s="450">
        <f t="shared" si="6"/>
        <v>5854947.9414299987</v>
      </c>
      <c r="N28" s="450">
        <f t="shared" si="6"/>
        <v>5675339.4290739018</v>
      </c>
      <c r="O28" s="447" t="str">
        <f t="shared" si="1"/>
        <v/>
      </c>
      <c r="P28" s="251" t="str">
        <f t="shared" si="2"/>
        <v/>
      </c>
      <c r="Q28" s="251">
        <f t="shared" si="3"/>
        <v>5675339.4290739018</v>
      </c>
      <c r="R28" s="251" t="str">
        <f t="shared" si="4"/>
        <v/>
      </c>
      <c r="S28" s="450" t="str">
        <f t="shared" si="5"/>
        <v/>
      </c>
      <c r="T28" s="219"/>
    </row>
    <row r="29" spans="1:21">
      <c r="A29" s="474" t="s">
        <v>752</v>
      </c>
      <c r="B29" s="475"/>
      <c r="C29" s="476">
        <v>1089170.98</v>
      </c>
      <c r="D29" s="476">
        <v>-435735.02</v>
      </c>
      <c r="E29" s="475">
        <v>138</v>
      </c>
      <c r="F29" s="477" t="s">
        <v>2498</v>
      </c>
      <c r="G29" s="544">
        <v>16.293715006309998</v>
      </c>
      <c r="H29" s="478">
        <v>653435.96</v>
      </c>
      <c r="I29" s="447">
        <f t="shared" si="6"/>
        <v>635737.04926316591</v>
      </c>
      <c r="J29" s="251">
        <f t="shared" si="6"/>
        <v>617685.01286499528</v>
      </c>
      <c r="K29" s="251">
        <f t="shared" si="6"/>
        <v>597980.60394766973</v>
      </c>
      <c r="L29" s="450">
        <f t="shared" si="6"/>
        <v>579636.73346970102</v>
      </c>
      <c r="M29" s="450">
        <f t="shared" si="6"/>
        <v>561855.58623374219</v>
      </c>
      <c r="N29" s="450">
        <f t="shared" si="6"/>
        <v>544619.89993697242</v>
      </c>
      <c r="O29" s="447" t="str">
        <f t="shared" si="1"/>
        <v/>
      </c>
      <c r="P29" s="251" t="str">
        <f t="shared" si="2"/>
        <v/>
      </c>
      <c r="Q29" s="251">
        <f t="shared" si="3"/>
        <v>544619.89993697242</v>
      </c>
      <c r="R29" s="251" t="str">
        <f t="shared" si="4"/>
        <v/>
      </c>
      <c r="S29" s="450" t="str">
        <f t="shared" si="5"/>
        <v/>
      </c>
      <c r="T29" s="219"/>
    </row>
    <row r="30" spans="1:21">
      <c r="A30" s="474" t="s">
        <v>753</v>
      </c>
      <c r="B30" s="475"/>
      <c r="C30" s="476">
        <v>8833159.2899999991</v>
      </c>
      <c r="D30" s="476">
        <v>-1252175.68</v>
      </c>
      <c r="E30" s="475">
        <v>138</v>
      </c>
      <c r="F30" s="477" t="s">
        <v>2498</v>
      </c>
      <c r="G30" s="544">
        <v>39.7277811891</v>
      </c>
      <c r="H30" s="478">
        <v>7580983.6100000003</v>
      </c>
      <c r="I30" s="447">
        <f t="shared" si="6"/>
        <v>7375645.7338739419</v>
      </c>
      <c r="J30" s="251">
        <f t="shared" si="6"/>
        <v>7166210.9913145415</v>
      </c>
      <c r="K30" s="251">
        <f t="shared" si="6"/>
        <v>6937605.8789681327</v>
      </c>
      <c r="L30" s="450">
        <f t="shared" si="6"/>
        <v>6724785.3579832707</v>
      </c>
      <c r="M30" s="450">
        <f t="shared" si="6"/>
        <v>6518493.3966978826</v>
      </c>
      <c r="N30" s="450">
        <f t="shared" si="6"/>
        <v>6318529.7226403467</v>
      </c>
      <c r="O30" s="447" t="str">
        <f t="shared" si="1"/>
        <v/>
      </c>
      <c r="P30" s="251" t="str">
        <f t="shared" si="2"/>
        <v/>
      </c>
      <c r="Q30" s="251">
        <f t="shared" si="3"/>
        <v>6318529.7226403467</v>
      </c>
      <c r="R30" s="251" t="str">
        <f t="shared" si="4"/>
        <v/>
      </c>
      <c r="S30" s="450" t="str">
        <f t="shared" si="5"/>
        <v/>
      </c>
      <c r="T30" s="219"/>
    </row>
    <row r="31" spans="1:21">
      <c r="A31" s="474" t="s">
        <v>754</v>
      </c>
      <c r="B31" s="475"/>
      <c r="C31" s="476">
        <v>7721047.0800000001</v>
      </c>
      <c r="D31" s="476">
        <v>-2064907.76</v>
      </c>
      <c r="E31" s="475">
        <v>138</v>
      </c>
      <c r="F31" s="477" t="s">
        <v>2498</v>
      </c>
      <c r="G31" s="544">
        <v>80.839481844974003</v>
      </c>
      <c r="H31" s="478">
        <v>5656139.3200000003</v>
      </c>
      <c r="I31" s="447">
        <f t="shared" si="6"/>
        <v>5502937.6123073641</v>
      </c>
      <c r="J31" s="251">
        <f t="shared" si="6"/>
        <v>5346679.2501600403</v>
      </c>
      <c r="K31" s="251">
        <f t="shared" si="6"/>
        <v>5176117.957428854</v>
      </c>
      <c r="L31" s="450">
        <f t="shared" si="6"/>
        <v>5017333.4805362355</v>
      </c>
      <c r="M31" s="450">
        <f t="shared" si="6"/>
        <v>4863419.9340028986</v>
      </c>
      <c r="N31" s="450">
        <f t="shared" si="6"/>
        <v>4714227.8953977004</v>
      </c>
      <c r="O31" s="447" t="str">
        <f t="shared" si="1"/>
        <v/>
      </c>
      <c r="P31" s="251" t="str">
        <f t="shared" si="2"/>
        <v/>
      </c>
      <c r="Q31" s="251">
        <f t="shared" si="3"/>
        <v>4714227.8953977004</v>
      </c>
      <c r="R31" s="251" t="str">
        <f t="shared" si="4"/>
        <v/>
      </c>
      <c r="S31" s="450" t="str">
        <f t="shared" si="5"/>
        <v/>
      </c>
      <c r="T31" s="219"/>
    </row>
    <row r="32" spans="1:21">
      <c r="A32" s="474" t="s">
        <v>755</v>
      </c>
      <c r="B32" s="475"/>
      <c r="C32" s="476">
        <v>2386788.94</v>
      </c>
      <c r="D32" s="476">
        <v>-1185688.0900000001</v>
      </c>
      <c r="E32" s="475">
        <v>138</v>
      </c>
      <c r="F32" s="477" t="s">
        <v>2498</v>
      </c>
      <c r="G32" s="544">
        <v>62.791617503189997</v>
      </c>
      <c r="H32" s="478">
        <v>1201100.8500000001</v>
      </c>
      <c r="I32" s="447">
        <f t="shared" si="6"/>
        <v>1168567.9347161741</v>
      </c>
      <c r="J32" s="251">
        <f t="shared" si="6"/>
        <v>1135385.9282314475</v>
      </c>
      <c r="K32" s="251">
        <f t="shared" si="6"/>
        <v>1099166.6447084723</v>
      </c>
      <c r="L32" s="450">
        <f t="shared" si="6"/>
        <v>1065448.208974727</v>
      </c>
      <c r="M32" s="450">
        <f t="shared" si="6"/>
        <v>1032764.1322381403</v>
      </c>
      <c r="N32" s="450">
        <f t="shared" si="6"/>
        <v>1001082.6841259436</v>
      </c>
      <c r="O32" s="447" t="str">
        <f t="shared" si="1"/>
        <v/>
      </c>
      <c r="P32" s="251" t="str">
        <f t="shared" si="2"/>
        <v/>
      </c>
      <c r="Q32" s="251">
        <f t="shared" si="3"/>
        <v>1001082.6841259436</v>
      </c>
      <c r="R32" s="251" t="str">
        <f t="shared" si="4"/>
        <v/>
      </c>
      <c r="S32" s="450" t="str">
        <f t="shared" si="5"/>
        <v/>
      </c>
      <c r="T32" s="219"/>
    </row>
    <row r="33" spans="1:20">
      <c r="A33" s="474" t="s">
        <v>756</v>
      </c>
      <c r="B33" s="475"/>
      <c r="C33" s="476">
        <v>7961000.96</v>
      </c>
      <c r="D33" s="476">
        <v>-1129504.54</v>
      </c>
      <c r="E33" s="475">
        <v>138</v>
      </c>
      <c r="F33" s="477" t="s">
        <v>2498</v>
      </c>
      <c r="G33" s="544">
        <v>82.970632010198003</v>
      </c>
      <c r="H33" s="478">
        <v>6831496.4199999999</v>
      </c>
      <c r="I33" s="447">
        <f t="shared" si="6"/>
        <v>6646459.0900425529</v>
      </c>
      <c r="J33" s="251">
        <f t="shared" si="6"/>
        <v>6457729.9267014163</v>
      </c>
      <c r="K33" s="251">
        <f t="shared" si="6"/>
        <v>6251725.655101601</v>
      </c>
      <c r="L33" s="450">
        <f t="shared" si="6"/>
        <v>6059945.4453023318</v>
      </c>
      <c r="M33" s="450">
        <f t="shared" si="6"/>
        <v>5874048.354964749</v>
      </c>
      <c r="N33" s="450">
        <f t="shared" si="6"/>
        <v>5693853.9113766951</v>
      </c>
      <c r="O33" s="447" t="str">
        <f t="shared" si="1"/>
        <v/>
      </c>
      <c r="P33" s="251" t="str">
        <f t="shared" si="2"/>
        <v/>
      </c>
      <c r="Q33" s="251">
        <f t="shared" si="3"/>
        <v>5693853.9113766951</v>
      </c>
      <c r="R33" s="251" t="str">
        <f t="shared" si="4"/>
        <v/>
      </c>
      <c r="S33" s="450" t="str">
        <f t="shared" si="5"/>
        <v/>
      </c>
      <c r="T33" s="219"/>
    </row>
    <row r="34" spans="1:20">
      <c r="A34" s="474" t="s">
        <v>757</v>
      </c>
      <c r="B34" s="475"/>
      <c r="C34" s="476">
        <v>1840077.17</v>
      </c>
      <c r="D34" s="476">
        <v>-1012152.98</v>
      </c>
      <c r="E34" s="475">
        <v>69</v>
      </c>
      <c r="F34" s="477" t="s">
        <v>2498</v>
      </c>
      <c r="G34" s="544">
        <v>44.863157334500002</v>
      </c>
      <c r="H34" s="478">
        <v>827924.19</v>
      </c>
      <c r="I34" s="447">
        <f t="shared" si="6"/>
        <v>805499.10593257938</v>
      </c>
      <c r="J34" s="251">
        <f t="shared" si="6"/>
        <v>782626.60039614409</v>
      </c>
      <c r="K34" s="251">
        <f t="shared" si="6"/>
        <v>757660.48620753177</v>
      </c>
      <c r="L34" s="450">
        <f t="shared" si="6"/>
        <v>734418.21758959838</v>
      </c>
      <c r="M34" s="450">
        <f t="shared" si="6"/>
        <v>711888.93725644692</v>
      </c>
      <c r="N34" s="450">
        <f t="shared" si="6"/>
        <v>690050.77332015673</v>
      </c>
      <c r="O34" s="447" t="str">
        <f t="shared" si="1"/>
        <v/>
      </c>
      <c r="P34" s="251" t="str">
        <f t="shared" si="2"/>
        <v/>
      </c>
      <c r="Q34" s="251" t="str">
        <f t="shared" si="3"/>
        <v/>
      </c>
      <c r="R34" s="251">
        <f t="shared" si="4"/>
        <v>690050.77332015673</v>
      </c>
      <c r="S34" s="450" t="str">
        <f t="shared" si="5"/>
        <v/>
      </c>
      <c r="T34" s="219"/>
    </row>
    <row r="35" spans="1:20">
      <c r="A35" s="474" t="s">
        <v>758</v>
      </c>
      <c r="B35" s="475"/>
      <c r="C35" s="476">
        <v>1376121.32</v>
      </c>
      <c r="D35" s="476">
        <v>-192861.56</v>
      </c>
      <c r="E35" s="475">
        <v>138</v>
      </c>
      <c r="F35" s="477" t="s">
        <v>2499</v>
      </c>
      <c r="G35" s="544">
        <v>11.968098190999999</v>
      </c>
      <c r="H35" s="478">
        <v>1183259.76</v>
      </c>
      <c r="I35" s="447">
        <f t="shared" si="6"/>
        <v>1151210.0869597718</v>
      </c>
      <c r="J35" s="251">
        <f t="shared" si="6"/>
        <v>1118520.9642858212</v>
      </c>
      <c r="K35" s="251">
        <f t="shared" si="6"/>
        <v>1082839.680129901</v>
      </c>
      <c r="L35" s="450">
        <f t="shared" si="6"/>
        <v>1049622.0962992951</v>
      </c>
      <c r="M35" s="450">
        <f t="shared" si="6"/>
        <v>1017423.5071507194</v>
      </c>
      <c r="N35" s="450">
        <f t="shared" si="6"/>
        <v>986212.65363272338</v>
      </c>
      <c r="O35" s="447" t="str">
        <f t="shared" si="1"/>
        <v/>
      </c>
      <c r="P35" s="251" t="str">
        <f t="shared" si="2"/>
        <v/>
      </c>
      <c r="Q35" s="251" t="str">
        <f t="shared" si="3"/>
        <v/>
      </c>
      <c r="R35" s="251" t="str">
        <f t="shared" si="4"/>
        <v/>
      </c>
      <c r="S35" s="450">
        <f t="shared" si="5"/>
        <v>986212.65363272338</v>
      </c>
      <c r="T35" s="219"/>
    </row>
    <row r="36" spans="1:20">
      <c r="A36" s="474" t="s">
        <v>759</v>
      </c>
      <c r="B36" s="475"/>
      <c r="C36" s="476">
        <v>7677019.5899999999</v>
      </c>
      <c r="D36" s="476">
        <v>-5272288.07</v>
      </c>
      <c r="E36" s="475">
        <v>240</v>
      </c>
      <c r="F36" s="477" t="s">
        <v>2498</v>
      </c>
      <c r="G36" s="544">
        <v>139.32266536457598</v>
      </c>
      <c r="H36" s="478">
        <v>2404731.52</v>
      </c>
      <c r="I36" s="447">
        <f t="shared" si="6"/>
        <v>2339597.1669433801</v>
      </c>
      <c r="J36" s="251">
        <f t="shared" si="6"/>
        <v>2273163.2643358959</v>
      </c>
      <c r="K36" s="251">
        <f t="shared" si="6"/>
        <v>2200648.4103837777</v>
      </c>
      <c r="L36" s="450">
        <f t="shared" si="6"/>
        <v>2133140.5194235547</v>
      </c>
      <c r="M36" s="450">
        <f t="shared" si="6"/>
        <v>2067703.5250774354</v>
      </c>
      <c r="N36" s="450">
        <f t="shared" si="6"/>
        <v>2004273.8997677504</v>
      </c>
      <c r="O36" s="447" t="str">
        <f t="shared" si="1"/>
        <v/>
      </c>
      <c r="P36" s="251">
        <f t="shared" si="2"/>
        <v>2004273.8997677504</v>
      </c>
      <c r="Q36" s="251" t="str">
        <f t="shared" si="3"/>
        <v/>
      </c>
      <c r="R36" s="251" t="str">
        <f t="shared" si="4"/>
        <v/>
      </c>
      <c r="S36" s="450" t="str">
        <f t="shared" si="5"/>
        <v/>
      </c>
      <c r="T36" s="219"/>
    </row>
    <row r="37" spans="1:20">
      <c r="A37" s="474" t="s">
        <v>760</v>
      </c>
      <c r="B37" s="475"/>
      <c r="C37" s="476">
        <v>366507.59</v>
      </c>
      <c r="D37" s="476">
        <v>-138109.84</v>
      </c>
      <c r="E37" s="475">
        <v>138</v>
      </c>
      <c r="F37" s="477" t="s">
        <v>2499</v>
      </c>
      <c r="G37" s="544">
        <v>16.2347358956</v>
      </c>
      <c r="H37" s="478">
        <v>228397.75</v>
      </c>
      <c r="I37" s="447">
        <f t="shared" si="6"/>
        <v>222211.38800403065</v>
      </c>
      <c r="J37" s="251">
        <f t="shared" si="6"/>
        <v>215901.59676410523</v>
      </c>
      <c r="K37" s="251">
        <f t="shared" si="6"/>
        <v>209014.24599480091</v>
      </c>
      <c r="L37" s="450">
        <f t="shared" si="6"/>
        <v>202602.44897117294</v>
      </c>
      <c r="M37" s="450">
        <f t="shared" si="6"/>
        <v>196387.34256485931</v>
      </c>
      <c r="N37" s="450">
        <f t="shared" si="6"/>
        <v>190362.89302295158</v>
      </c>
      <c r="O37" s="447" t="str">
        <f t="shared" si="1"/>
        <v/>
      </c>
      <c r="P37" s="251" t="str">
        <f t="shared" si="2"/>
        <v/>
      </c>
      <c r="Q37" s="251" t="str">
        <f t="shared" si="3"/>
        <v/>
      </c>
      <c r="R37" s="251" t="str">
        <f t="shared" si="4"/>
        <v/>
      </c>
      <c r="S37" s="450">
        <f t="shared" si="5"/>
        <v>190362.89302295158</v>
      </c>
      <c r="T37" s="219"/>
    </row>
    <row r="38" spans="1:20" ht="12.75" customHeight="1">
      <c r="A38" s="474" t="s">
        <v>761</v>
      </c>
      <c r="B38" s="475"/>
      <c r="C38" s="476">
        <v>6129202.1799999997</v>
      </c>
      <c r="D38" s="476">
        <v>-2098714.21</v>
      </c>
      <c r="E38" s="475">
        <v>138</v>
      </c>
      <c r="F38" s="477" t="s">
        <v>2498</v>
      </c>
      <c r="G38" s="544">
        <v>63.492342226321</v>
      </c>
      <c r="H38" s="478">
        <v>4030487.97</v>
      </c>
      <c r="I38" s="447">
        <f t="shared" si="6"/>
        <v>3921318.5162605494</v>
      </c>
      <c r="J38" s="251">
        <f t="shared" si="6"/>
        <v>3809970.9321195902</v>
      </c>
      <c r="K38" s="251">
        <f t="shared" si="6"/>
        <v>3688431.2741288641</v>
      </c>
      <c r="L38" s="450">
        <f t="shared" si="6"/>
        <v>3575283.6149692871</v>
      </c>
      <c r="M38" s="450">
        <f t="shared" si="6"/>
        <v>3465606.9145511915</v>
      </c>
      <c r="N38" s="450">
        <f t="shared" si="6"/>
        <v>3359294.6964819194</v>
      </c>
      <c r="O38" s="447" t="str">
        <f t="shared" si="1"/>
        <v/>
      </c>
      <c r="P38" s="251" t="str">
        <f t="shared" si="2"/>
        <v/>
      </c>
      <c r="Q38" s="251">
        <f t="shared" si="3"/>
        <v>3359294.6964819194</v>
      </c>
      <c r="R38" s="251" t="str">
        <f t="shared" si="4"/>
        <v/>
      </c>
      <c r="S38" s="450" t="str">
        <f t="shared" si="5"/>
        <v/>
      </c>
      <c r="T38" s="219"/>
    </row>
    <row r="39" spans="1:20">
      <c r="A39" s="474" t="s">
        <v>762</v>
      </c>
      <c r="B39" s="475"/>
      <c r="C39" s="476">
        <v>4397964.83</v>
      </c>
      <c r="D39" s="476">
        <v>-2332565.0299999998</v>
      </c>
      <c r="E39" s="475">
        <v>138</v>
      </c>
      <c r="F39" s="477" t="s">
        <v>2498</v>
      </c>
      <c r="G39" s="544">
        <v>128.86009162023998</v>
      </c>
      <c r="H39" s="478">
        <v>2065399.8</v>
      </c>
      <c r="I39" s="447">
        <f t="shared" si="6"/>
        <v>2009456.556998689</v>
      </c>
      <c r="J39" s="251">
        <f t="shared" si="6"/>
        <v>1952397.1439134737</v>
      </c>
      <c r="K39" s="251">
        <f t="shared" si="6"/>
        <v>1890114.8626674851</v>
      </c>
      <c r="L39" s="450">
        <f t="shared" si="6"/>
        <v>1832133.0117506448</v>
      </c>
      <c r="M39" s="450">
        <f t="shared" si="6"/>
        <v>1775929.8331791444</v>
      </c>
      <c r="N39" s="450">
        <f t="shared" si="6"/>
        <v>1721450.7637532575</v>
      </c>
      <c r="O39" s="447" t="str">
        <f t="shared" si="1"/>
        <v/>
      </c>
      <c r="P39" s="251" t="str">
        <f t="shared" si="2"/>
        <v/>
      </c>
      <c r="Q39" s="251">
        <f t="shared" si="3"/>
        <v>1721450.7637532575</v>
      </c>
      <c r="R39" s="251" t="str">
        <f t="shared" si="4"/>
        <v/>
      </c>
      <c r="S39" s="450" t="str">
        <f t="shared" si="5"/>
        <v/>
      </c>
      <c r="T39" s="219"/>
    </row>
    <row r="40" spans="1:20">
      <c r="A40" s="474" t="s">
        <v>763</v>
      </c>
      <c r="B40" s="475"/>
      <c r="C40" s="476">
        <v>631948.09</v>
      </c>
      <c r="D40" s="476">
        <v>-292713.32</v>
      </c>
      <c r="E40" s="475">
        <v>138</v>
      </c>
      <c r="F40" s="477" t="s">
        <v>2498</v>
      </c>
      <c r="G40" s="544">
        <v>5.1729460897699999</v>
      </c>
      <c r="H40" s="478">
        <v>339234.77</v>
      </c>
      <c r="I40" s="447">
        <f t="shared" si="6"/>
        <v>330046.28592413064</v>
      </c>
      <c r="J40" s="251">
        <f t="shared" si="6"/>
        <v>320674.4747743968</v>
      </c>
      <c r="K40" s="251">
        <f t="shared" si="6"/>
        <v>310444.82560257142</v>
      </c>
      <c r="L40" s="450">
        <f t="shared" si="6"/>
        <v>300921.50723101519</v>
      </c>
      <c r="M40" s="450">
        <f t="shared" si="6"/>
        <v>291690.32963722828</v>
      </c>
      <c r="N40" s="450">
        <f t="shared" si="6"/>
        <v>282742.33100446733</v>
      </c>
      <c r="O40" s="447" t="str">
        <f t="shared" si="1"/>
        <v/>
      </c>
      <c r="P40" s="251" t="str">
        <f t="shared" si="2"/>
        <v/>
      </c>
      <c r="Q40" s="251">
        <f t="shared" si="3"/>
        <v>282742.33100446733</v>
      </c>
      <c r="R40" s="251" t="str">
        <f t="shared" si="4"/>
        <v/>
      </c>
      <c r="S40" s="450" t="str">
        <f t="shared" si="5"/>
        <v/>
      </c>
      <c r="T40" s="219"/>
    </row>
    <row r="41" spans="1:20">
      <c r="A41" s="474" t="s">
        <v>764</v>
      </c>
      <c r="B41" s="475"/>
      <c r="C41" s="476">
        <v>610216.54</v>
      </c>
      <c r="D41" s="476">
        <v>-242157.58</v>
      </c>
      <c r="E41" s="475">
        <v>138</v>
      </c>
      <c r="F41" s="477" t="s">
        <v>2498</v>
      </c>
      <c r="G41" s="544">
        <v>1.66243460719</v>
      </c>
      <c r="H41" s="478">
        <v>368058.96</v>
      </c>
      <c r="I41" s="447">
        <f t="shared" si="6"/>
        <v>358089.74636974314</v>
      </c>
      <c r="J41" s="251">
        <f t="shared" si="6"/>
        <v>347921.62868213869</v>
      </c>
      <c r="K41" s="251">
        <f t="shared" si="6"/>
        <v>336822.7839636362</v>
      </c>
      <c r="L41" s="450">
        <f t="shared" si="6"/>
        <v>326490.28574836219</v>
      </c>
      <c r="M41" s="450">
        <f t="shared" si="6"/>
        <v>316474.75100602285</v>
      </c>
      <c r="N41" s="450">
        <f t="shared" si="6"/>
        <v>306766.4564498504</v>
      </c>
      <c r="O41" s="447" t="str">
        <f t="shared" si="1"/>
        <v/>
      </c>
      <c r="P41" s="251" t="str">
        <f t="shared" si="2"/>
        <v/>
      </c>
      <c r="Q41" s="251">
        <f t="shared" si="3"/>
        <v>306766.4564498504</v>
      </c>
      <c r="R41" s="251" t="str">
        <f t="shared" si="4"/>
        <v/>
      </c>
      <c r="S41" s="450" t="str">
        <f t="shared" si="5"/>
        <v/>
      </c>
      <c r="T41" s="219"/>
    </row>
    <row r="42" spans="1:20">
      <c r="A42" s="474" t="s">
        <v>765</v>
      </c>
      <c r="B42" s="475"/>
      <c r="C42" s="476">
        <v>1192443.28</v>
      </c>
      <c r="D42" s="476">
        <v>-870306.6</v>
      </c>
      <c r="E42" s="475">
        <v>138</v>
      </c>
      <c r="F42" s="477" t="s">
        <v>2498</v>
      </c>
      <c r="G42" s="544">
        <v>62.222720460941993</v>
      </c>
      <c r="H42" s="478">
        <v>322136.68</v>
      </c>
      <c r="I42" s="447">
        <f t="shared" si="6"/>
        <v>313411.31333303527</v>
      </c>
      <c r="J42" s="251">
        <f t="shared" si="6"/>
        <v>304511.85963210056</v>
      </c>
      <c r="K42" s="251">
        <f t="shared" si="6"/>
        <v>294797.80460826983</v>
      </c>
      <c r="L42" s="450">
        <f t="shared" si="6"/>
        <v>285754.47994318273</v>
      </c>
      <c r="M42" s="450">
        <f t="shared" si="6"/>
        <v>276988.57159436319</v>
      </c>
      <c r="N42" s="450">
        <f t="shared" si="6"/>
        <v>268491.56943800359</v>
      </c>
      <c r="O42" s="447" t="str">
        <f t="shared" si="1"/>
        <v/>
      </c>
      <c r="P42" s="251" t="str">
        <f t="shared" si="2"/>
        <v/>
      </c>
      <c r="Q42" s="251">
        <f t="shared" si="3"/>
        <v>268491.56943800359</v>
      </c>
      <c r="R42" s="251" t="str">
        <f t="shared" si="4"/>
        <v/>
      </c>
      <c r="S42" s="450" t="str">
        <f t="shared" si="5"/>
        <v/>
      </c>
      <c r="T42" s="219"/>
    </row>
    <row r="43" spans="1:20">
      <c r="A43" s="474" t="s">
        <v>766</v>
      </c>
      <c r="B43" s="475"/>
      <c r="C43" s="476">
        <v>4072649.5</v>
      </c>
      <c r="D43" s="476">
        <v>-1057773.82</v>
      </c>
      <c r="E43" s="475">
        <v>69</v>
      </c>
      <c r="F43" s="477" t="s">
        <v>2498</v>
      </c>
      <c r="G43" s="544">
        <v>68.005848060260007</v>
      </c>
      <c r="H43" s="478">
        <v>3014875.68</v>
      </c>
      <c r="I43" s="447">
        <f t="shared" si="6"/>
        <v>2933215.0142126875</v>
      </c>
      <c r="J43" s="251">
        <f t="shared" si="6"/>
        <v>2849925.0686894576</v>
      </c>
      <c r="K43" s="251">
        <f t="shared" si="6"/>
        <v>2759011.2731988942</v>
      </c>
      <c r="L43" s="450">
        <f t="shared" si="6"/>
        <v>2674374.8399957106</v>
      </c>
      <c r="M43" s="450">
        <f t="shared" si="6"/>
        <v>2592334.7447977187</v>
      </c>
      <c r="N43" s="450">
        <f t="shared" si="6"/>
        <v>2512811.3413960445</v>
      </c>
      <c r="O43" s="447" t="str">
        <f t="shared" si="1"/>
        <v/>
      </c>
      <c r="P43" s="251" t="str">
        <f t="shared" si="2"/>
        <v/>
      </c>
      <c r="Q43" s="251" t="str">
        <f t="shared" si="3"/>
        <v/>
      </c>
      <c r="R43" s="251">
        <f t="shared" si="4"/>
        <v>2512811.3413960445</v>
      </c>
      <c r="S43" s="450" t="str">
        <f t="shared" si="5"/>
        <v/>
      </c>
      <c r="T43" s="219"/>
    </row>
    <row r="44" spans="1:20">
      <c r="A44" s="474" t="s">
        <v>767</v>
      </c>
      <c r="B44" s="475"/>
      <c r="C44" s="476">
        <v>1172682.95</v>
      </c>
      <c r="D44" s="476">
        <v>-337598.62</v>
      </c>
      <c r="E44" s="475">
        <v>69</v>
      </c>
      <c r="F44" s="477" t="s">
        <v>2498</v>
      </c>
      <c r="G44" s="544">
        <v>11.5742461176098</v>
      </c>
      <c r="H44" s="478">
        <v>835084.33</v>
      </c>
      <c r="I44" s="447">
        <f t="shared" si="6"/>
        <v>812465.30699061602</v>
      </c>
      <c r="J44" s="251">
        <f t="shared" si="6"/>
        <v>789394.99307538266</v>
      </c>
      <c r="K44" s="251">
        <f t="shared" si="6"/>
        <v>764212.96434410359</v>
      </c>
      <c r="L44" s="450">
        <f t="shared" si="6"/>
        <v>740769.68952387292</v>
      </c>
      <c r="M44" s="450">
        <f t="shared" si="6"/>
        <v>718045.56912778702</v>
      </c>
      <c r="N44" s="450">
        <f t="shared" si="6"/>
        <v>696018.54211319145</v>
      </c>
      <c r="O44" s="447" t="str">
        <f t="shared" si="1"/>
        <v/>
      </c>
      <c r="P44" s="251" t="str">
        <f t="shared" si="2"/>
        <v/>
      </c>
      <c r="Q44" s="251" t="str">
        <f t="shared" si="3"/>
        <v/>
      </c>
      <c r="R44" s="251">
        <f t="shared" si="4"/>
        <v>696018.54211319145</v>
      </c>
      <c r="S44" s="450" t="str">
        <f t="shared" si="5"/>
        <v/>
      </c>
      <c r="T44" s="219"/>
    </row>
    <row r="45" spans="1:20">
      <c r="A45" s="474" t="s">
        <v>768</v>
      </c>
      <c r="B45" s="475"/>
      <c r="C45" s="476">
        <v>459503.75</v>
      </c>
      <c r="D45" s="476">
        <v>-77359.44</v>
      </c>
      <c r="E45" s="475">
        <v>138</v>
      </c>
      <c r="F45" s="477" t="s">
        <v>2498</v>
      </c>
      <c r="G45" s="544">
        <v>0.17177540729000002</v>
      </c>
      <c r="H45" s="478">
        <v>382144.31</v>
      </c>
      <c r="I45" s="447">
        <f t="shared" si="6"/>
        <v>371793.58177977923</v>
      </c>
      <c r="J45" s="251">
        <f t="shared" si="6"/>
        <v>361236.33758790191</v>
      </c>
      <c r="K45" s="251">
        <f t="shared" si="6"/>
        <v>349712.74811530963</v>
      </c>
      <c r="L45" s="450">
        <f t="shared" si="6"/>
        <v>338984.83267194661</v>
      </c>
      <c r="M45" s="450">
        <f t="shared" si="6"/>
        <v>328586.01066421095</v>
      </c>
      <c r="N45" s="450">
        <f t="shared" si="6"/>
        <v>318506.18670218793</v>
      </c>
      <c r="O45" s="447" t="str">
        <f t="shared" si="1"/>
        <v/>
      </c>
      <c r="P45" s="251" t="str">
        <f t="shared" si="2"/>
        <v/>
      </c>
      <c r="Q45" s="251">
        <f t="shared" si="3"/>
        <v>318506.18670218793</v>
      </c>
      <c r="R45" s="251" t="str">
        <f t="shared" si="4"/>
        <v/>
      </c>
      <c r="S45" s="450" t="str">
        <f t="shared" si="5"/>
        <v/>
      </c>
      <c r="T45" s="219"/>
    </row>
    <row r="46" spans="1:20">
      <c r="A46" s="474" t="s">
        <v>769</v>
      </c>
      <c r="B46" s="475"/>
      <c r="C46" s="476">
        <v>1073538.6000000001</v>
      </c>
      <c r="D46" s="476">
        <v>-184811.56</v>
      </c>
      <c r="E46" s="475">
        <v>138</v>
      </c>
      <c r="F46" s="477" t="s">
        <v>2498</v>
      </c>
      <c r="G46" s="544">
        <v>0.62788002901000006</v>
      </c>
      <c r="H46" s="478">
        <v>888727.04000000004</v>
      </c>
      <c r="I46" s="447">
        <f t="shared" si="6"/>
        <v>864655.05511815986</v>
      </c>
      <c r="J46" s="251">
        <f t="shared" si="6"/>
        <v>840102.79008193745</v>
      </c>
      <c r="K46" s="251">
        <f t="shared" si="6"/>
        <v>813303.16152760386</v>
      </c>
      <c r="L46" s="450">
        <f t="shared" si="6"/>
        <v>788353.97796563921</v>
      </c>
      <c r="M46" s="450">
        <f t="shared" si="6"/>
        <v>764170.14463204402</v>
      </c>
      <c r="N46" s="450">
        <f t="shared" si="6"/>
        <v>740728.18336487294</v>
      </c>
      <c r="O46" s="447" t="str">
        <f t="shared" si="1"/>
        <v/>
      </c>
      <c r="P46" s="251" t="str">
        <f t="shared" si="2"/>
        <v/>
      </c>
      <c r="Q46" s="251">
        <f t="shared" si="3"/>
        <v>740728.18336487294</v>
      </c>
      <c r="R46" s="251" t="str">
        <f t="shared" si="4"/>
        <v/>
      </c>
      <c r="S46" s="450" t="str">
        <f t="shared" si="5"/>
        <v/>
      </c>
      <c r="T46" s="219"/>
    </row>
    <row r="47" spans="1:20">
      <c r="A47" s="474" t="s">
        <v>770</v>
      </c>
      <c r="B47" s="475"/>
      <c r="C47" s="476">
        <v>1226766.8700000001</v>
      </c>
      <c r="D47" s="476">
        <v>-215849.51</v>
      </c>
      <c r="E47" s="475">
        <v>138</v>
      </c>
      <c r="F47" s="477" t="s">
        <v>2498</v>
      </c>
      <c r="G47" s="544">
        <v>7.4831205320600001</v>
      </c>
      <c r="H47" s="478">
        <v>1010917.36</v>
      </c>
      <c r="I47" s="447">
        <f t="shared" si="6"/>
        <v>983535.73852181272</v>
      </c>
      <c r="J47" s="251">
        <f t="shared" si="6"/>
        <v>955607.80358192581</v>
      </c>
      <c r="K47" s="251">
        <f t="shared" si="6"/>
        <v>925123.51703751332</v>
      </c>
      <c r="L47" s="450">
        <f t="shared" si="6"/>
        <v>896744.09158353298</v>
      </c>
      <c r="M47" s="450">
        <f t="shared" si="6"/>
        <v>869235.24370569852</v>
      </c>
      <c r="N47" s="450">
        <f t="shared" si="6"/>
        <v>842570.2672496757</v>
      </c>
      <c r="O47" s="447" t="str">
        <f t="shared" si="1"/>
        <v/>
      </c>
      <c r="P47" s="251" t="str">
        <f t="shared" si="2"/>
        <v/>
      </c>
      <c r="Q47" s="251">
        <f t="shared" si="3"/>
        <v>842570.2672496757</v>
      </c>
      <c r="R47" s="251" t="str">
        <f t="shared" si="4"/>
        <v/>
      </c>
      <c r="S47" s="450" t="str">
        <f t="shared" si="5"/>
        <v/>
      </c>
      <c r="T47" s="219"/>
    </row>
    <row r="48" spans="1:20">
      <c r="A48" s="474" t="s">
        <v>771</v>
      </c>
      <c r="B48" s="475"/>
      <c r="C48" s="476">
        <v>188103.61</v>
      </c>
      <c r="D48" s="476">
        <v>-10283.450000000001</v>
      </c>
      <c r="E48" s="475">
        <v>138</v>
      </c>
      <c r="F48" s="477" t="s">
        <v>2499</v>
      </c>
      <c r="G48" s="544">
        <v>4.5547203264899999E-2</v>
      </c>
      <c r="H48" s="478">
        <v>177820.16</v>
      </c>
      <c r="I48" s="447">
        <f t="shared" si="6"/>
        <v>173003.73829732917</v>
      </c>
      <c r="J48" s="251">
        <f t="shared" si="6"/>
        <v>168091.22016678654</v>
      </c>
      <c r="K48" s="251">
        <f t="shared" si="6"/>
        <v>162729.04030392095</v>
      </c>
      <c r="L48" s="450">
        <f t="shared" si="6"/>
        <v>157737.10508289075</v>
      </c>
      <c r="M48" s="450">
        <f t="shared" si="6"/>
        <v>152898.30428214854</v>
      </c>
      <c r="N48" s="450">
        <f t="shared" si="6"/>
        <v>148207.94029452626</v>
      </c>
      <c r="O48" s="447" t="str">
        <f t="shared" si="1"/>
        <v/>
      </c>
      <c r="P48" s="251" t="str">
        <f t="shared" si="2"/>
        <v/>
      </c>
      <c r="Q48" s="251" t="str">
        <f t="shared" si="3"/>
        <v/>
      </c>
      <c r="R48" s="251" t="str">
        <f t="shared" si="4"/>
        <v/>
      </c>
      <c r="S48" s="450">
        <f t="shared" si="5"/>
        <v>148207.94029452626</v>
      </c>
      <c r="T48" s="219"/>
    </row>
    <row r="49" spans="1:20">
      <c r="A49" s="474" t="s">
        <v>772</v>
      </c>
      <c r="B49" s="475"/>
      <c r="C49" s="476">
        <v>3043669.45</v>
      </c>
      <c r="D49" s="476">
        <v>-236445.05</v>
      </c>
      <c r="E49" s="475">
        <v>138</v>
      </c>
      <c r="F49" s="477" t="s">
        <v>2498</v>
      </c>
      <c r="G49" s="544">
        <v>2.1564352906600002</v>
      </c>
      <c r="H49" s="478">
        <v>2807224.4</v>
      </c>
      <c r="I49" s="447">
        <f t="shared" si="6"/>
        <v>2731188.1590899304</v>
      </c>
      <c r="J49" s="251">
        <f t="shared" si="6"/>
        <v>2653634.8560139374</v>
      </c>
      <c r="K49" s="251">
        <f t="shared" si="6"/>
        <v>2568982.7999803298</v>
      </c>
      <c r="L49" s="450">
        <f t="shared" si="6"/>
        <v>2490175.7493304182</v>
      </c>
      <c r="M49" s="450">
        <f t="shared" si="6"/>
        <v>2413786.2124264869</v>
      </c>
      <c r="N49" s="450">
        <f t="shared" si="6"/>
        <v>2339740.0287376707</v>
      </c>
      <c r="O49" s="447" t="str">
        <f t="shared" si="1"/>
        <v/>
      </c>
      <c r="P49" s="251" t="str">
        <f t="shared" si="2"/>
        <v/>
      </c>
      <c r="Q49" s="251">
        <f t="shared" si="3"/>
        <v>2339740.0287376707</v>
      </c>
      <c r="R49" s="251" t="str">
        <f t="shared" si="4"/>
        <v/>
      </c>
      <c r="S49" s="450" t="str">
        <f t="shared" si="5"/>
        <v/>
      </c>
      <c r="T49" s="219"/>
    </row>
    <row r="50" spans="1:20">
      <c r="A50" s="474" t="s">
        <v>773</v>
      </c>
      <c r="B50" s="475"/>
      <c r="C50" s="476">
        <v>391986.96</v>
      </c>
      <c r="D50" s="476">
        <v>-111725.35</v>
      </c>
      <c r="E50" s="475">
        <v>138</v>
      </c>
      <c r="F50" s="477" t="s">
        <v>2498</v>
      </c>
      <c r="G50" s="544">
        <v>8.8139308525097597</v>
      </c>
      <c r="H50" s="478">
        <v>280261.61</v>
      </c>
      <c r="I50" s="447">
        <f t="shared" si="6"/>
        <v>272670.46791110822</v>
      </c>
      <c r="J50" s="251">
        <f t="shared" si="6"/>
        <v>264927.86864441057</v>
      </c>
      <c r="K50" s="251">
        <f t="shared" si="6"/>
        <v>256476.55940322945</v>
      </c>
      <c r="L50" s="450">
        <f t="shared" si="6"/>
        <v>248608.79119257422</v>
      </c>
      <c r="M50" s="450">
        <f t="shared" si="6"/>
        <v>240982.37750086855</v>
      </c>
      <c r="N50" s="450">
        <f t="shared" si="6"/>
        <v>233589.91444911421</v>
      </c>
      <c r="O50" s="447" t="str">
        <f t="shared" si="1"/>
        <v/>
      </c>
      <c r="P50" s="251" t="str">
        <f t="shared" si="2"/>
        <v/>
      </c>
      <c r="Q50" s="251">
        <f t="shared" si="3"/>
        <v>233589.91444911421</v>
      </c>
      <c r="R50" s="251" t="str">
        <f t="shared" si="4"/>
        <v/>
      </c>
      <c r="S50" s="450" t="str">
        <f t="shared" si="5"/>
        <v/>
      </c>
      <c r="T50" s="219"/>
    </row>
    <row r="51" spans="1:20">
      <c r="A51" s="474" t="s">
        <v>774</v>
      </c>
      <c r="B51" s="475"/>
      <c r="C51" s="476">
        <v>448651.65</v>
      </c>
      <c r="D51" s="476">
        <v>-25086.13</v>
      </c>
      <c r="E51" s="475">
        <v>138</v>
      </c>
      <c r="F51" s="477" t="s">
        <v>2499</v>
      </c>
      <c r="G51" s="544">
        <v>0.102747564348</v>
      </c>
      <c r="H51" s="478">
        <v>423565.52</v>
      </c>
      <c r="I51" s="447">
        <f t="shared" si="6"/>
        <v>412092.8604149954</v>
      </c>
      <c r="J51" s="251">
        <f t="shared" si="6"/>
        <v>400391.30027427396</v>
      </c>
      <c r="K51" s="251">
        <f t="shared" si="6"/>
        <v>387618.65120035451</v>
      </c>
      <c r="L51" s="450">
        <f t="shared" si="6"/>
        <v>375727.92048848263</v>
      </c>
      <c r="M51" s="450">
        <f t="shared" si="6"/>
        <v>364201.95415630308</v>
      </c>
      <c r="N51" s="450">
        <f t="shared" si="6"/>
        <v>353029.56255904824</v>
      </c>
      <c r="O51" s="447" t="str">
        <f t="shared" si="1"/>
        <v/>
      </c>
      <c r="P51" s="251" t="str">
        <f t="shared" si="2"/>
        <v/>
      </c>
      <c r="Q51" s="251" t="str">
        <f t="shared" si="3"/>
        <v/>
      </c>
      <c r="R51" s="251" t="str">
        <f t="shared" si="4"/>
        <v/>
      </c>
      <c r="S51" s="450">
        <f t="shared" si="5"/>
        <v>353029.56255904824</v>
      </c>
      <c r="T51" s="219"/>
    </row>
    <row r="52" spans="1:20">
      <c r="A52" s="474" t="s">
        <v>775</v>
      </c>
      <c r="B52" s="475"/>
      <c r="C52" s="476">
        <v>5878560.6200000001</v>
      </c>
      <c r="D52" s="476">
        <v>-71258.509999999995</v>
      </c>
      <c r="E52" s="475">
        <v>138</v>
      </c>
      <c r="F52" s="477" t="s">
        <v>2498</v>
      </c>
      <c r="G52" s="544">
        <v>2.64888389023</v>
      </c>
      <c r="H52" s="478">
        <v>5807302.1100000003</v>
      </c>
      <c r="I52" s="447">
        <f t="shared" si="6"/>
        <v>5650006.0198571831</v>
      </c>
      <c r="J52" s="251">
        <f t="shared" si="6"/>
        <v>5489571.5848363545</v>
      </c>
      <c r="K52" s="251">
        <f t="shared" si="6"/>
        <v>5314451.9671742236</v>
      </c>
      <c r="L52" s="450">
        <f t="shared" si="6"/>
        <v>5151423.905889879</v>
      </c>
      <c r="M52" s="450">
        <f t="shared" si="6"/>
        <v>4993396.9527029069</v>
      </c>
      <c r="N52" s="450">
        <f t="shared" si="6"/>
        <v>4840217.6918025287</v>
      </c>
      <c r="O52" s="447" t="str">
        <f t="shared" si="1"/>
        <v/>
      </c>
      <c r="P52" s="251" t="str">
        <f t="shared" si="2"/>
        <v/>
      </c>
      <c r="Q52" s="251">
        <f t="shared" si="3"/>
        <v>4840217.6918025287</v>
      </c>
      <c r="R52" s="251" t="str">
        <f t="shared" si="4"/>
        <v/>
      </c>
      <c r="S52" s="450" t="str">
        <f t="shared" si="5"/>
        <v/>
      </c>
      <c r="T52" s="219"/>
    </row>
    <row r="53" spans="1:20">
      <c r="A53" s="474" t="s">
        <v>776</v>
      </c>
      <c r="B53" s="475"/>
      <c r="C53" s="476">
        <v>2163681.09</v>
      </c>
      <c r="D53" s="476">
        <v>-996924.27</v>
      </c>
      <c r="E53" s="475">
        <v>69</v>
      </c>
      <c r="F53" s="477" t="s">
        <v>2498</v>
      </c>
      <c r="G53" s="544">
        <v>33.9247712744301</v>
      </c>
      <c r="H53" s="478">
        <v>1166756.82</v>
      </c>
      <c r="I53" s="447">
        <f t="shared" si="6"/>
        <v>1135154.144186486</v>
      </c>
      <c r="J53" s="251">
        <f t="shared" si="6"/>
        <v>1102920.9371520067</v>
      </c>
      <c r="K53" s="251">
        <f t="shared" si="6"/>
        <v>1067737.3003525282</v>
      </c>
      <c r="L53" s="450">
        <f t="shared" si="6"/>
        <v>1034983.0026163481</v>
      </c>
      <c r="M53" s="450">
        <f t="shared" si="6"/>
        <v>1003233.4876294793</v>
      </c>
      <c r="N53" s="450">
        <f t="shared" si="6"/>
        <v>972457.93231088819</v>
      </c>
      <c r="O53" s="447" t="str">
        <f t="shared" si="1"/>
        <v/>
      </c>
      <c r="P53" s="251" t="str">
        <f t="shared" si="2"/>
        <v/>
      </c>
      <c r="Q53" s="251" t="str">
        <f t="shared" si="3"/>
        <v/>
      </c>
      <c r="R53" s="251">
        <f t="shared" si="4"/>
        <v>972457.93231088819</v>
      </c>
      <c r="S53" s="450" t="str">
        <f t="shared" si="5"/>
        <v/>
      </c>
      <c r="T53" s="219"/>
    </row>
    <row r="54" spans="1:20" ht="12.75" customHeight="1">
      <c r="A54" s="474" t="s">
        <v>777</v>
      </c>
      <c r="B54" s="475"/>
      <c r="C54" s="476">
        <v>281498.94</v>
      </c>
      <c r="D54" s="476">
        <v>-180275.41</v>
      </c>
      <c r="E54" s="475">
        <v>69</v>
      </c>
      <c r="F54" s="477" t="s">
        <v>2499</v>
      </c>
      <c r="G54" s="544">
        <v>0.95607572799499996</v>
      </c>
      <c r="H54" s="478">
        <v>101223.53</v>
      </c>
      <c r="I54" s="447">
        <f t="shared" si="6"/>
        <v>98481.798091126722</v>
      </c>
      <c r="J54" s="251">
        <f t="shared" si="6"/>
        <v>95685.363612817149</v>
      </c>
      <c r="K54" s="251">
        <f t="shared" si="6"/>
        <v>92632.960700716663</v>
      </c>
      <c r="L54" s="450">
        <f t="shared" si="6"/>
        <v>89791.318309865106</v>
      </c>
      <c r="M54" s="450">
        <f t="shared" si="6"/>
        <v>87036.847174432813</v>
      </c>
      <c r="N54" s="450">
        <f t="shared" si="6"/>
        <v>84366.873197286433</v>
      </c>
      <c r="O54" s="447" t="str">
        <f t="shared" si="1"/>
        <v/>
      </c>
      <c r="P54" s="251" t="str">
        <f t="shared" si="2"/>
        <v/>
      </c>
      <c r="Q54" s="251" t="str">
        <f t="shared" si="3"/>
        <v/>
      </c>
      <c r="R54" s="251" t="str">
        <f t="shared" si="4"/>
        <v/>
      </c>
      <c r="S54" s="450">
        <f t="shared" si="5"/>
        <v>84366.873197286433</v>
      </c>
      <c r="T54" s="219"/>
    </row>
    <row r="55" spans="1:20">
      <c r="A55" s="474" t="s">
        <v>778</v>
      </c>
      <c r="B55" s="475"/>
      <c r="C55" s="476">
        <v>72526.64</v>
      </c>
      <c r="D55" s="476">
        <v>-18358.439999999999</v>
      </c>
      <c r="E55" s="475">
        <v>69</v>
      </c>
      <c r="F55" s="477" t="s">
        <v>2498</v>
      </c>
      <c r="G55" s="544">
        <v>1.5056434723700001E-2</v>
      </c>
      <c r="H55" s="478">
        <v>54168.2</v>
      </c>
      <c r="I55" s="447">
        <f t="shared" si="6"/>
        <v>52701.004750177846</v>
      </c>
      <c r="J55" s="251">
        <f t="shared" si="6"/>
        <v>51204.536269894968</v>
      </c>
      <c r="K55" s="251">
        <f t="shared" si="6"/>
        <v>49571.090257656106</v>
      </c>
      <c r="L55" s="450">
        <f t="shared" si="6"/>
        <v>48050.429465090128</v>
      </c>
      <c r="M55" s="450">
        <f t="shared" si="6"/>
        <v>46576.417016024949</v>
      </c>
      <c r="N55" s="450">
        <f t="shared" si="6"/>
        <v>45147.62190891042</v>
      </c>
      <c r="O55" s="447" t="str">
        <f t="shared" si="1"/>
        <v/>
      </c>
      <c r="P55" s="251" t="str">
        <f t="shared" si="2"/>
        <v/>
      </c>
      <c r="Q55" s="251" t="str">
        <f t="shared" si="3"/>
        <v/>
      </c>
      <c r="R55" s="251">
        <f t="shared" si="4"/>
        <v>45147.62190891042</v>
      </c>
      <c r="S55" s="450" t="str">
        <f t="shared" si="5"/>
        <v/>
      </c>
      <c r="T55" s="219"/>
    </row>
    <row r="56" spans="1:20">
      <c r="A56" s="474" t="s">
        <v>779</v>
      </c>
      <c r="B56" s="475"/>
      <c r="C56" s="476">
        <v>1456301.54</v>
      </c>
      <c r="D56" s="476">
        <v>-829858.69</v>
      </c>
      <c r="E56" s="475">
        <v>69</v>
      </c>
      <c r="F56" s="477" t="s">
        <v>2499</v>
      </c>
      <c r="G56" s="544">
        <v>33.816818058899997</v>
      </c>
      <c r="H56" s="478">
        <v>626442.85</v>
      </c>
      <c r="I56" s="447">
        <f t="shared" si="6"/>
        <v>609475.07234068972</v>
      </c>
      <c r="J56" s="251">
        <f t="shared" si="6"/>
        <v>592168.75646304246</v>
      </c>
      <c r="K56" s="251">
        <f t="shared" si="6"/>
        <v>573278.32674176595</v>
      </c>
      <c r="L56" s="450">
        <f t="shared" si="6"/>
        <v>555692.232302994</v>
      </c>
      <c r="M56" s="450">
        <f t="shared" si="6"/>
        <v>538645.61529286858</v>
      </c>
      <c r="N56" s="450">
        <f t="shared" si="6"/>
        <v>522121.92650559341</v>
      </c>
      <c r="O56" s="447" t="str">
        <f t="shared" si="1"/>
        <v/>
      </c>
      <c r="P56" s="251" t="str">
        <f t="shared" si="2"/>
        <v/>
      </c>
      <c r="Q56" s="251" t="str">
        <f t="shared" si="3"/>
        <v/>
      </c>
      <c r="R56" s="251" t="str">
        <f t="shared" si="4"/>
        <v/>
      </c>
      <c r="S56" s="450">
        <f t="shared" si="5"/>
        <v>522121.92650559341</v>
      </c>
      <c r="T56" s="219"/>
    </row>
    <row r="57" spans="1:20">
      <c r="A57" s="474" t="s">
        <v>780</v>
      </c>
      <c r="B57" s="475"/>
      <c r="C57" s="476">
        <v>91468.89</v>
      </c>
      <c r="D57" s="476">
        <v>-29260.76</v>
      </c>
      <c r="E57" s="475">
        <v>69</v>
      </c>
      <c r="F57" s="477" t="s">
        <v>2499</v>
      </c>
      <c r="G57" s="544">
        <v>1.1599243153557999</v>
      </c>
      <c r="H57" s="478">
        <v>62208.13</v>
      </c>
      <c r="I57" s="447">
        <f t="shared" si="6"/>
        <v>60523.165891236582</v>
      </c>
      <c r="J57" s="251">
        <f t="shared" si="6"/>
        <v>58804.583664721024</v>
      </c>
      <c r="K57" s="251">
        <f t="shared" si="6"/>
        <v>56928.692978352694</v>
      </c>
      <c r="L57" s="450">
        <f t="shared" si="6"/>
        <v>55182.327688942176</v>
      </c>
      <c r="M57" s="450">
        <f t="shared" si="6"/>
        <v>53489.534536260981</v>
      </c>
      <c r="N57" s="450">
        <f t="shared" si="6"/>
        <v>51848.670121959884</v>
      </c>
      <c r="O57" s="447" t="str">
        <f t="shared" si="1"/>
        <v/>
      </c>
      <c r="P57" s="251" t="str">
        <f t="shared" si="2"/>
        <v/>
      </c>
      <c r="Q57" s="251" t="str">
        <f t="shared" si="3"/>
        <v/>
      </c>
      <c r="R57" s="251" t="str">
        <f t="shared" si="4"/>
        <v/>
      </c>
      <c r="S57" s="450">
        <f t="shared" si="5"/>
        <v>51848.670121959884</v>
      </c>
      <c r="T57" s="219"/>
    </row>
    <row r="58" spans="1:20">
      <c r="A58" s="474" t="s">
        <v>781</v>
      </c>
      <c r="B58" s="475"/>
      <c r="C58" s="476">
        <v>1997164.52</v>
      </c>
      <c r="D58" s="476">
        <v>-816197.47</v>
      </c>
      <c r="E58" s="475">
        <v>69</v>
      </c>
      <c r="F58" s="477" t="s">
        <v>2499</v>
      </c>
      <c r="G58" s="544">
        <v>45.547397380999996</v>
      </c>
      <c r="H58" s="478">
        <v>1180967.05</v>
      </c>
      <c r="I58" s="447">
        <f t="shared" si="6"/>
        <v>1148979.4771074825</v>
      </c>
      <c r="J58" s="251">
        <f t="shared" si="6"/>
        <v>1116353.6935928436</v>
      </c>
      <c r="K58" s="251">
        <f t="shared" si="6"/>
        <v>1080741.5462737894</v>
      </c>
      <c r="L58" s="450">
        <f t="shared" si="6"/>
        <v>1047588.3255603948</v>
      </c>
      <c r="M58" s="450">
        <f t="shared" si="6"/>
        <v>1015452.1251026393</v>
      </c>
      <c r="N58" s="450">
        <f t="shared" si="6"/>
        <v>984301.74641729484</v>
      </c>
      <c r="O58" s="447" t="str">
        <f t="shared" si="1"/>
        <v/>
      </c>
      <c r="P58" s="251" t="str">
        <f t="shared" si="2"/>
        <v/>
      </c>
      <c r="Q58" s="251" t="str">
        <f t="shared" si="3"/>
        <v/>
      </c>
      <c r="R58" s="251" t="str">
        <f t="shared" si="4"/>
        <v/>
      </c>
      <c r="S58" s="450">
        <f t="shared" si="5"/>
        <v>984301.74641729484</v>
      </c>
      <c r="T58" s="219"/>
    </row>
    <row r="59" spans="1:20">
      <c r="A59" s="474" t="s">
        <v>782</v>
      </c>
      <c r="B59" s="475"/>
      <c r="C59" s="476">
        <v>353071.26</v>
      </c>
      <c r="D59" s="476">
        <v>-113582.37</v>
      </c>
      <c r="E59" s="475">
        <v>69</v>
      </c>
      <c r="F59" s="477" t="s">
        <v>2499</v>
      </c>
      <c r="G59" s="544">
        <v>3.0941271260430003</v>
      </c>
      <c r="H59" s="478">
        <v>239488.89</v>
      </c>
      <c r="I59" s="447">
        <f t="shared" si="6"/>
        <v>233002.11433100642</v>
      </c>
      <c r="J59" s="251">
        <f t="shared" si="6"/>
        <v>226385.91561546974</v>
      </c>
      <c r="K59" s="251">
        <f t="shared" si="6"/>
        <v>219164.11071248216</v>
      </c>
      <c r="L59" s="450">
        <f t="shared" si="6"/>
        <v>212440.9527475111</v>
      </c>
      <c r="M59" s="450">
        <f t="shared" si="6"/>
        <v>205924.03682132557</v>
      </c>
      <c r="N59" s="450">
        <f t="shared" si="6"/>
        <v>199607.03617813843</v>
      </c>
      <c r="O59" s="447" t="str">
        <f t="shared" si="1"/>
        <v/>
      </c>
      <c r="P59" s="251" t="str">
        <f t="shared" si="2"/>
        <v/>
      </c>
      <c r="Q59" s="251" t="str">
        <f t="shared" si="3"/>
        <v/>
      </c>
      <c r="R59" s="251" t="str">
        <f t="shared" si="4"/>
        <v/>
      </c>
      <c r="S59" s="450">
        <f t="shared" si="5"/>
        <v>199607.03617813843</v>
      </c>
      <c r="T59" s="219"/>
    </row>
    <row r="60" spans="1:20">
      <c r="A60" s="474" t="s">
        <v>783</v>
      </c>
      <c r="B60" s="475"/>
      <c r="C60" s="476">
        <v>39357.620000000003</v>
      </c>
      <c r="D60" s="476">
        <v>-48659.89</v>
      </c>
      <c r="E60" s="475">
        <v>69</v>
      </c>
      <c r="F60" s="477" t="s">
        <v>2499</v>
      </c>
      <c r="G60" s="544">
        <v>0.749581777128</v>
      </c>
      <c r="H60" s="478">
        <v>-9302.27</v>
      </c>
      <c r="I60" s="447">
        <f t="shared" si="6"/>
        <v>-9050.3095073758577</v>
      </c>
      <c r="J60" s="251">
        <f t="shared" si="6"/>
        <v>-8793.3219417916043</v>
      </c>
      <c r="K60" s="251">
        <f t="shared" si="6"/>
        <v>-8512.8113131151986</v>
      </c>
      <c r="L60" s="450">
        <f t="shared" si="6"/>
        <v>-8251.6692173678293</v>
      </c>
      <c r="M60" s="450">
        <f t="shared" si="6"/>
        <v>-7998.5380115207518</v>
      </c>
      <c r="N60" s="450">
        <f t="shared" si="6"/>
        <v>-7753.1719506020172</v>
      </c>
      <c r="O60" s="447" t="str">
        <f t="shared" si="1"/>
        <v/>
      </c>
      <c r="P60" s="251" t="str">
        <f t="shared" si="2"/>
        <v/>
      </c>
      <c r="Q60" s="251" t="str">
        <f t="shared" si="3"/>
        <v/>
      </c>
      <c r="R60" s="251" t="str">
        <f t="shared" si="4"/>
        <v/>
      </c>
      <c r="S60" s="450">
        <f t="shared" si="5"/>
        <v>-7753.1719506020172</v>
      </c>
      <c r="T60" s="219"/>
    </row>
    <row r="61" spans="1:20">
      <c r="A61" s="474" t="s">
        <v>784</v>
      </c>
      <c r="B61" s="475"/>
      <c r="C61" s="476">
        <v>347076.22</v>
      </c>
      <c r="D61" s="476">
        <v>-155475.76</v>
      </c>
      <c r="E61" s="475">
        <v>69</v>
      </c>
      <c r="F61" s="477" t="s">
        <v>2498</v>
      </c>
      <c r="G61" s="544">
        <v>5.7313387363803994</v>
      </c>
      <c r="H61" s="478">
        <v>191600.46</v>
      </c>
      <c r="I61" s="447">
        <f t="shared" si="6"/>
        <v>186410.78626567361</v>
      </c>
      <c r="J61" s="251">
        <f t="shared" si="6"/>
        <v>181117.56904232668</v>
      </c>
      <c r="K61" s="251">
        <f t="shared" si="6"/>
        <v>175339.84323031644</v>
      </c>
      <c r="L61" s="450">
        <f t="shared" si="6"/>
        <v>169961.0544324682</v>
      </c>
      <c r="M61" s="450">
        <f t="shared" si="6"/>
        <v>164747.2673159198</v>
      </c>
      <c r="N61" s="450">
        <f t="shared" si="6"/>
        <v>159693.42022908854</v>
      </c>
      <c r="O61" s="447" t="str">
        <f t="shared" si="1"/>
        <v/>
      </c>
      <c r="P61" s="251" t="str">
        <f t="shared" si="2"/>
        <v/>
      </c>
      <c r="Q61" s="251" t="str">
        <f t="shared" si="3"/>
        <v/>
      </c>
      <c r="R61" s="251">
        <f t="shared" si="4"/>
        <v>159693.42022908854</v>
      </c>
      <c r="S61" s="450" t="str">
        <f t="shared" si="5"/>
        <v/>
      </c>
      <c r="T61" s="219"/>
    </row>
    <row r="62" spans="1:20">
      <c r="A62" s="474" t="s">
        <v>785</v>
      </c>
      <c r="B62" s="475"/>
      <c r="C62" s="476">
        <v>1498174.31</v>
      </c>
      <c r="D62" s="476">
        <v>-267833.12</v>
      </c>
      <c r="E62" s="475">
        <v>69</v>
      </c>
      <c r="F62" s="477" t="s">
        <v>2499</v>
      </c>
      <c r="G62" s="544">
        <v>7.8041683238286694</v>
      </c>
      <c r="H62" s="478">
        <v>1230341.19</v>
      </c>
      <c r="I62" s="447">
        <f t="shared" si="6"/>
        <v>1197016.2733583443</v>
      </c>
      <c r="J62" s="251">
        <f t="shared" si="6"/>
        <v>1163026.4636391967</v>
      </c>
      <c r="K62" s="251">
        <f t="shared" si="6"/>
        <v>1125925.4355360158</v>
      </c>
      <c r="L62" s="450">
        <f t="shared" si="6"/>
        <v>1091386.1374033114</v>
      </c>
      <c r="M62" s="450">
        <f t="shared" si="6"/>
        <v>1057906.3793412442</v>
      </c>
      <c r="N62" s="450">
        <f t="shared" si="6"/>
        <v>1025453.6585132774</v>
      </c>
      <c r="O62" s="447" t="str">
        <f t="shared" si="1"/>
        <v/>
      </c>
      <c r="P62" s="251" t="str">
        <f t="shared" si="2"/>
        <v/>
      </c>
      <c r="Q62" s="251" t="str">
        <f t="shared" si="3"/>
        <v/>
      </c>
      <c r="R62" s="251" t="str">
        <f t="shared" si="4"/>
        <v/>
      </c>
      <c r="S62" s="450">
        <f t="shared" si="5"/>
        <v>1025453.6585132774</v>
      </c>
      <c r="T62" s="219"/>
    </row>
    <row r="63" spans="1:20">
      <c r="A63" s="474" t="s">
        <v>786</v>
      </c>
      <c r="B63" s="475"/>
      <c r="C63" s="476">
        <v>4829697.6100000003</v>
      </c>
      <c r="D63" s="476">
        <v>-1039712.94</v>
      </c>
      <c r="E63" s="475">
        <v>69</v>
      </c>
      <c r="F63" s="477" t="s">
        <v>2498</v>
      </c>
      <c r="G63" s="544">
        <v>51.621174035670002</v>
      </c>
      <c r="H63" s="478">
        <v>3789984.67</v>
      </c>
      <c r="I63" s="447">
        <f t="shared" si="6"/>
        <v>3687329.4681523703</v>
      </c>
      <c r="J63" s="251">
        <f t="shared" si="6"/>
        <v>3582626.1071507069</v>
      </c>
      <c r="K63" s="251">
        <f t="shared" si="6"/>
        <v>3468338.8436703268</v>
      </c>
      <c r="L63" s="450">
        <f t="shared" si="6"/>
        <v>3361942.8199498584</v>
      </c>
      <c r="M63" s="450">
        <f t="shared" si="6"/>
        <v>3258810.6393467328</v>
      </c>
      <c r="N63" s="450">
        <f t="shared" si="6"/>
        <v>3158842.1790225008</v>
      </c>
      <c r="O63" s="447" t="str">
        <f t="shared" si="1"/>
        <v/>
      </c>
      <c r="P63" s="251" t="str">
        <f t="shared" si="2"/>
        <v/>
      </c>
      <c r="Q63" s="251" t="str">
        <f t="shared" si="3"/>
        <v/>
      </c>
      <c r="R63" s="251">
        <f t="shared" si="4"/>
        <v>3158842.1790225008</v>
      </c>
      <c r="S63" s="450" t="str">
        <f t="shared" si="5"/>
        <v/>
      </c>
      <c r="T63" s="219"/>
    </row>
    <row r="64" spans="1:20">
      <c r="A64" s="474" t="s">
        <v>787</v>
      </c>
      <c r="B64" s="475"/>
      <c r="C64" s="476">
        <v>7029667.3300000001</v>
      </c>
      <c r="D64" s="476">
        <v>-2503230.8199999998</v>
      </c>
      <c r="E64" s="475">
        <v>69</v>
      </c>
      <c r="F64" s="477" t="s">
        <v>2499</v>
      </c>
      <c r="G64" s="544">
        <v>57.008239618049998</v>
      </c>
      <c r="H64" s="478">
        <v>4526436.51</v>
      </c>
      <c r="I64" s="447">
        <f t="shared" si="6"/>
        <v>4403833.836363188</v>
      </c>
      <c r="J64" s="251">
        <f t="shared" si="6"/>
        <v>4278785.0150027471</v>
      </c>
      <c r="K64" s="251">
        <f t="shared" si="6"/>
        <v>4142289.9927034662</v>
      </c>
      <c r="L64" s="450">
        <f t="shared" si="6"/>
        <v>4015219.5984353134</v>
      </c>
      <c r="M64" s="450">
        <f t="shared" si="6"/>
        <v>3892047.2617941997</v>
      </c>
      <c r="N64" s="450">
        <f t="shared" si="6"/>
        <v>3772653.404546727</v>
      </c>
      <c r="O64" s="447" t="str">
        <f t="shared" si="1"/>
        <v/>
      </c>
      <c r="P64" s="251" t="str">
        <f t="shared" si="2"/>
        <v/>
      </c>
      <c r="Q64" s="251" t="str">
        <f t="shared" si="3"/>
        <v/>
      </c>
      <c r="R64" s="251" t="str">
        <f t="shared" si="4"/>
        <v/>
      </c>
      <c r="S64" s="450">
        <f t="shared" si="5"/>
        <v>3772653.404546727</v>
      </c>
      <c r="T64" s="219"/>
    </row>
    <row r="65" spans="1:20">
      <c r="A65" s="474" t="s">
        <v>788</v>
      </c>
      <c r="B65" s="475"/>
      <c r="C65" s="476">
        <v>128382.77</v>
      </c>
      <c r="D65" s="476">
        <v>-124613.8</v>
      </c>
      <c r="E65" s="475">
        <v>69</v>
      </c>
      <c r="F65" s="477" t="s">
        <v>2498</v>
      </c>
      <c r="G65" s="544">
        <v>1.8048185178199998</v>
      </c>
      <c r="H65" s="478">
        <v>3768.97</v>
      </c>
      <c r="I65" s="447">
        <f t="shared" si="6"/>
        <v>3666.8839997134446</v>
      </c>
      <c r="J65" s="251">
        <f t="shared" si="6"/>
        <v>3562.7611968857382</v>
      </c>
      <c r="K65" s="251">
        <f t="shared" si="6"/>
        <v>3449.1076323082198</v>
      </c>
      <c r="L65" s="450">
        <f t="shared" si="6"/>
        <v>3343.3015522214278</v>
      </c>
      <c r="M65" s="450">
        <f t="shared" si="6"/>
        <v>3240.7412179265239</v>
      </c>
      <c r="N65" s="450">
        <f t="shared" si="6"/>
        <v>3141.3270617451954</v>
      </c>
      <c r="O65" s="447" t="str">
        <f t="shared" si="1"/>
        <v/>
      </c>
      <c r="P65" s="251" t="str">
        <f t="shared" si="2"/>
        <v/>
      </c>
      <c r="Q65" s="251" t="str">
        <f t="shared" si="3"/>
        <v/>
      </c>
      <c r="R65" s="251">
        <f t="shared" si="4"/>
        <v>3141.3270617451954</v>
      </c>
      <c r="S65" s="450" t="str">
        <f t="shared" si="5"/>
        <v/>
      </c>
      <c r="T65" s="219"/>
    </row>
    <row r="66" spans="1:20">
      <c r="A66" s="474" t="s">
        <v>789</v>
      </c>
      <c r="B66" s="475"/>
      <c r="C66" s="476">
        <v>3875071.31</v>
      </c>
      <c r="D66" s="476">
        <v>-983460.65</v>
      </c>
      <c r="E66" s="475">
        <v>138</v>
      </c>
      <c r="F66" s="477" t="s">
        <v>2499</v>
      </c>
      <c r="G66" s="544">
        <v>25.044171653699998</v>
      </c>
      <c r="H66" s="478">
        <v>2891610.66</v>
      </c>
      <c r="I66" s="447">
        <f t="shared" si="6"/>
        <v>2813288.7400416653</v>
      </c>
      <c r="J66" s="251">
        <f t="shared" si="6"/>
        <v>2733404.1544371964</v>
      </c>
      <c r="K66" s="251">
        <f t="shared" si="6"/>
        <v>2646207.4245934063</v>
      </c>
      <c r="L66" s="450">
        <f t="shared" si="6"/>
        <v>2565031.4032741119</v>
      </c>
      <c r="M66" s="450">
        <f t="shared" si="6"/>
        <v>2486345.5671065892</v>
      </c>
      <c r="N66" s="450">
        <f t="shared" si="6"/>
        <v>2410073.5262655015</v>
      </c>
      <c r="O66" s="447" t="str">
        <f t="shared" si="1"/>
        <v/>
      </c>
      <c r="P66" s="251" t="str">
        <f t="shared" si="2"/>
        <v/>
      </c>
      <c r="Q66" s="251" t="str">
        <f t="shared" si="3"/>
        <v/>
      </c>
      <c r="R66" s="251" t="str">
        <f t="shared" si="4"/>
        <v/>
      </c>
      <c r="S66" s="450">
        <f t="shared" si="5"/>
        <v>2410073.5262655015</v>
      </c>
      <c r="T66" s="219"/>
    </row>
    <row r="67" spans="1:20">
      <c r="A67" s="474" t="s">
        <v>790</v>
      </c>
      <c r="B67" s="475"/>
      <c r="C67" s="476">
        <v>2880328.89</v>
      </c>
      <c r="D67" s="476">
        <v>-798022.06</v>
      </c>
      <c r="E67" s="475">
        <v>138</v>
      </c>
      <c r="F67" s="477" t="s">
        <v>2499</v>
      </c>
      <c r="G67" s="544">
        <v>25.737353112600001</v>
      </c>
      <c r="H67" s="478">
        <v>2082306.83</v>
      </c>
      <c r="I67" s="447">
        <f t="shared" si="6"/>
        <v>2025905.6446246651</v>
      </c>
      <c r="J67" s="251">
        <f t="shared" si="6"/>
        <v>1968379.1523769486</v>
      </c>
      <c r="K67" s="251">
        <f t="shared" si="6"/>
        <v>1905587.038411167</v>
      </c>
      <c r="L67" s="450">
        <f t="shared" ref="I67:N109" si="7">+$H67*(L$3)</f>
        <v>1847130.5574043524</v>
      </c>
      <c r="M67" s="450">
        <f t="shared" si="7"/>
        <v>1790467.3086681294</v>
      </c>
      <c r="N67" s="450">
        <f t="shared" si="7"/>
        <v>1735542.2823572098</v>
      </c>
      <c r="O67" s="447" t="str">
        <f t="shared" si="1"/>
        <v/>
      </c>
      <c r="P67" s="251" t="str">
        <f t="shared" si="2"/>
        <v/>
      </c>
      <c r="Q67" s="251" t="str">
        <f t="shared" si="3"/>
        <v/>
      </c>
      <c r="R67" s="251" t="str">
        <f t="shared" si="4"/>
        <v/>
      </c>
      <c r="S67" s="450">
        <f t="shared" si="5"/>
        <v>1735542.2823572098</v>
      </c>
      <c r="T67" s="219"/>
    </row>
    <row r="68" spans="1:20">
      <c r="A68" s="474" t="s">
        <v>791</v>
      </c>
      <c r="B68" s="475"/>
      <c r="C68" s="476">
        <v>2714144.58</v>
      </c>
      <c r="D68" s="476">
        <v>-702347.35</v>
      </c>
      <c r="E68" s="475">
        <v>138</v>
      </c>
      <c r="F68" s="477" t="s">
        <v>2498</v>
      </c>
      <c r="G68" s="544">
        <v>11.492915899277721</v>
      </c>
      <c r="H68" s="478">
        <v>2011797.23</v>
      </c>
      <c r="I68" s="447">
        <f t="shared" si="7"/>
        <v>1957305.8616425253</v>
      </c>
      <c r="J68" s="251">
        <f t="shared" si="7"/>
        <v>1901727.2907574784</v>
      </c>
      <c r="K68" s="251">
        <f t="shared" si="7"/>
        <v>1841061.3989099239</v>
      </c>
      <c r="L68" s="450">
        <f t="shared" si="7"/>
        <v>1784584.329886884</v>
      </c>
      <c r="M68" s="450">
        <f t="shared" si="7"/>
        <v>1729839.7719725568</v>
      </c>
      <c r="N68" s="450">
        <f t="shared" si="7"/>
        <v>1676774.5780260982</v>
      </c>
      <c r="O68" s="447" t="str">
        <f t="shared" si="1"/>
        <v/>
      </c>
      <c r="P68" s="251" t="str">
        <f t="shared" si="2"/>
        <v/>
      </c>
      <c r="Q68" s="251">
        <f t="shared" si="3"/>
        <v>1676774.5780260982</v>
      </c>
      <c r="R68" s="251" t="str">
        <f t="shared" si="4"/>
        <v/>
      </c>
      <c r="S68" s="450" t="str">
        <f t="shared" si="5"/>
        <v/>
      </c>
      <c r="T68" s="219"/>
    </row>
    <row r="69" spans="1:20">
      <c r="A69" s="474" t="s">
        <v>792</v>
      </c>
      <c r="B69" s="475"/>
      <c r="C69" s="476">
        <v>933181.75</v>
      </c>
      <c r="D69" s="476">
        <v>-168708.42</v>
      </c>
      <c r="E69" s="475">
        <v>138</v>
      </c>
      <c r="F69" s="477" t="s">
        <v>2498</v>
      </c>
      <c r="G69" s="544">
        <v>5.3154845204400001</v>
      </c>
      <c r="H69" s="478">
        <v>764473.33</v>
      </c>
      <c r="I69" s="447">
        <f t="shared" si="7"/>
        <v>743766.87052023655</v>
      </c>
      <c r="J69" s="251">
        <f t="shared" si="7"/>
        <v>722647.27927736915</v>
      </c>
      <c r="K69" s="251">
        <f t="shared" si="7"/>
        <v>699594.53038869519</v>
      </c>
      <c r="L69" s="450">
        <f t="shared" si="7"/>
        <v>678133.51414866233</v>
      </c>
      <c r="M69" s="450">
        <f t="shared" si="7"/>
        <v>657330.84384766803</v>
      </c>
      <c r="N69" s="450">
        <f t="shared" si="7"/>
        <v>637166.32382626156</v>
      </c>
      <c r="O69" s="447" t="str">
        <f t="shared" si="1"/>
        <v/>
      </c>
      <c r="P69" s="251" t="str">
        <f t="shared" si="2"/>
        <v/>
      </c>
      <c r="Q69" s="251">
        <f t="shared" si="3"/>
        <v>637166.32382626156</v>
      </c>
      <c r="R69" s="251" t="str">
        <f t="shared" si="4"/>
        <v/>
      </c>
      <c r="S69" s="450" t="str">
        <f t="shared" si="5"/>
        <v/>
      </c>
      <c r="T69" s="219"/>
    </row>
    <row r="70" spans="1:20">
      <c r="A70" s="474" t="s">
        <v>793</v>
      </c>
      <c r="B70" s="475"/>
      <c r="C70" s="476">
        <v>862299.84</v>
      </c>
      <c r="D70" s="476">
        <v>-324775.11</v>
      </c>
      <c r="E70" s="475">
        <v>138</v>
      </c>
      <c r="F70" s="477" t="s">
        <v>2498</v>
      </c>
      <c r="G70" s="544">
        <v>1.3653282275800001</v>
      </c>
      <c r="H70" s="478">
        <v>537524.73</v>
      </c>
      <c r="I70" s="447">
        <f t="shared" si="7"/>
        <v>522965.38096278015</v>
      </c>
      <c r="J70" s="251">
        <f t="shared" si="7"/>
        <v>508115.54626608419</v>
      </c>
      <c r="K70" s="251">
        <f t="shared" si="7"/>
        <v>491906.44892302545</v>
      </c>
      <c r="L70" s="450">
        <f t="shared" si="7"/>
        <v>476816.54780123057</v>
      </c>
      <c r="M70" s="450">
        <f t="shared" si="7"/>
        <v>462189.54997408472</v>
      </c>
      <c r="N70" s="450">
        <f t="shared" si="7"/>
        <v>448011.25525177427</v>
      </c>
      <c r="O70" s="447" t="str">
        <f t="shared" ref="O70:O133" si="8">IF(AND(F70="n",$E70=500),$N70,"")</f>
        <v/>
      </c>
      <c r="P70" s="251" t="str">
        <f t="shared" ref="P70:P133" si="9">IF(AND(F70="n",OR($E70=240,$E70=260)),$N70,"")</f>
        <v/>
      </c>
      <c r="Q70" s="251">
        <f t="shared" ref="Q70:Q133" si="10">IF(AND(F70="n",OR($E70=138,$E70=144)),$N70,"")</f>
        <v>448011.25525177427</v>
      </c>
      <c r="R70" s="251" t="str">
        <f t="shared" ref="R70:R133" si="11">IF(AND(F70="n",$E70=69),$N70,"")</f>
        <v/>
      </c>
      <c r="S70" s="450" t="str">
        <f t="shared" ref="S70:S133" si="12">IF(OR(E70=25,F70="y"),$N70,"")</f>
        <v/>
      </c>
      <c r="T70" s="219"/>
    </row>
    <row r="71" spans="1:20">
      <c r="A71" s="474" t="s">
        <v>794</v>
      </c>
      <c r="B71" s="475"/>
      <c r="C71" s="476">
        <v>1304095.6399999999</v>
      </c>
      <c r="D71" s="476">
        <v>-266477.31</v>
      </c>
      <c r="E71" s="475">
        <v>138</v>
      </c>
      <c r="F71" s="477" t="s">
        <v>2498</v>
      </c>
      <c r="G71" s="544">
        <v>1.3737994173899999</v>
      </c>
      <c r="H71" s="478">
        <v>1037618.33</v>
      </c>
      <c r="I71" s="447">
        <f t="shared" si="7"/>
        <v>1009513.4883234372</v>
      </c>
      <c r="J71" s="251">
        <f t="shared" si="7"/>
        <v>980847.90361859638</v>
      </c>
      <c r="K71" s="251">
        <f t="shared" si="7"/>
        <v>949558.44738109061</v>
      </c>
      <c r="L71" s="450">
        <f t="shared" si="7"/>
        <v>920429.44711748988</v>
      </c>
      <c r="M71" s="450">
        <f t="shared" si="7"/>
        <v>892194.01865949738</v>
      </c>
      <c r="N71" s="450">
        <f t="shared" si="7"/>
        <v>864824.75047343352</v>
      </c>
      <c r="O71" s="447" t="str">
        <f t="shared" si="8"/>
        <v/>
      </c>
      <c r="P71" s="251" t="str">
        <f t="shared" si="9"/>
        <v/>
      </c>
      <c r="Q71" s="251">
        <f t="shared" si="10"/>
        <v>864824.75047343352</v>
      </c>
      <c r="R71" s="251" t="str">
        <f t="shared" si="11"/>
        <v/>
      </c>
      <c r="S71" s="450" t="str">
        <f t="shared" si="12"/>
        <v/>
      </c>
      <c r="T71" s="219"/>
    </row>
    <row r="72" spans="1:20">
      <c r="A72" s="474" t="s">
        <v>795</v>
      </c>
      <c r="B72" s="475"/>
      <c r="C72" s="476">
        <v>3275761.54</v>
      </c>
      <c r="D72" s="476">
        <v>-2231123.15</v>
      </c>
      <c r="E72" s="475">
        <v>138</v>
      </c>
      <c r="F72" s="477" t="s">
        <v>2499</v>
      </c>
      <c r="G72" s="544">
        <v>32.654189608289997</v>
      </c>
      <c r="H72" s="478">
        <v>1044638.39</v>
      </c>
      <c r="I72" s="447">
        <f t="shared" si="7"/>
        <v>1016343.4035764184</v>
      </c>
      <c r="J72" s="251">
        <f t="shared" si="7"/>
        <v>987483.8803888571</v>
      </c>
      <c r="K72" s="251">
        <f t="shared" si="7"/>
        <v>955982.73373127705</v>
      </c>
      <c r="L72" s="450">
        <f t="shared" si="7"/>
        <v>926656.65972323832</v>
      </c>
      <c r="M72" s="450">
        <f t="shared" si="7"/>
        <v>898230.2030266634</v>
      </c>
      <c r="N72" s="450">
        <f t="shared" si="7"/>
        <v>870675.76665373612</v>
      </c>
      <c r="O72" s="447" t="str">
        <f t="shared" si="8"/>
        <v/>
      </c>
      <c r="P72" s="251" t="str">
        <f t="shared" si="9"/>
        <v/>
      </c>
      <c r="Q72" s="251" t="str">
        <f t="shared" si="10"/>
        <v/>
      </c>
      <c r="R72" s="251" t="str">
        <f t="shared" si="11"/>
        <v/>
      </c>
      <c r="S72" s="450">
        <f t="shared" si="12"/>
        <v>870675.76665373612</v>
      </c>
      <c r="T72" s="219"/>
    </row>
    <row r="73" spans="1:20">
      <c r="A73" s="474" t="s">
        <v>796</v>
      </c>
      <c r="B73" s="475"/>
      <c r="C73" s="476">
        <v>4728647.01</v>
      </c>
      <c r="D73" s="476">
        <v>-721037.86</v>
      </c>
      <c r="E73" s="475">
        <v>138</v>
      </c>
      <c r="F73" s="477" t="s">
        <v>2499</v>
      </c>
      <c r="G73" s="544">
        <v>16.280581623050001</v>
      </c>
      <c r="H73" s="478">
        <v>4007609.15</v>
      </c>
      <c r="I73" s="447">
        <f t="shared" si="7"/>
        <v>3899059.3900296893</v>
      </c>
      <c r="J73" s="251">
        <f t="shared" si="7"/>
        <v>3788343.8636827134</v>
      </c>
      <c r="K73" s="251">
        <f t="shared" si="7"/>
        <v>3667494.1181737338</v>
      </c>
      <c r="L73" s="450">
        <f t="shared" si="7"/>
        <v>3554988.7348245801</v>
      </c>
      <c r="M73" s="450">
        <f t="shared" si="7"/>
        <v>3445934.6075305673</v>
      </c>
      <c r="N73" s="450">
        <f t="shared" si="7"/>
        <v>3340225.8643058077</v>
      </c>
      <c r="O73" s="447" t="str">
        <f t="shared" si="8"/>
        <v/>
      </c>
      <c r="P73" s="251" t="str">
        <f t="shared" si="9"/>
        <v/>
      </c>
      <c r="Q73" s="251" t="str">
        <f t="shared" si="10"/>
        <v/>
      </c>
      <c r="R73" s="251" t="str">
        <f t="shared" si="11"/>
        <v/>
      </c>
      <c r="S73" s="450">
        <f t="shared" si="12"/>
        <v>3340225.8643058077</v>
      </c>
      <c r="T73" s="219"/>
    </row>
    <row r="74" spans="1:20">
      <c r="A74" s="474" t="s">
        <v>797</v>
      </c>
      <c r="B74" s="475"/>
      <c r="C74" s="476">
        <v>1211386.22</v>
      </c>
      <c r="D74" s="476">
        <v>-400041.78</v>
      </c>
      <c r="E74" s="475">
        <v>138</v>
      </c>
      <c r="F74" s="477" t="s">
        <v>2498</v>
      </c>
      <c r="G74" s="544">
        <v>13.746022814650001</v>
      </c>
      <c r="H74" s="478">
        <v>811344.44</v>
      </c>
      <c r="I74" s="447">
        <f t="shared" si="7"/>
        <v>789368.43362840905</v>
      </c>
      <c r="J74" s="251">
        <f t="shared" si="7"/>
        <v>766953.96570972679</v>
      </c>
      <c r="K74" s="251">
        <f t="shared" si="7"/>
        <v>742487.81508869492</v>
      </c>
      <c r="L74" s="450">
        <f t="shared" si="7"/>
        <v>719710.98884794128</v>
      </c>
      <c r="M74" s="450">
        <f t="shared" si="7"/>
        <v>697632.87281233689</v>
      </c>
      <c r="N74" s="450">
        <f t="shared" si="7"/>
        <v>676232.03309352451</v>
      </c>
      <c r="O74" s="447" t="str">
        <f t="shared" si="8"/>
        <v/>
      </c>
      <c r="P74" s="251" t="str">
        <f t="shared" si="9"/>
        <v/>
      </c>
      <c r="Q74" s="251">
        <f t="shared" si="10"/>
        <v>676232.03309352451</v>
      </c>
      <c r="R74" s="251" t="str">
        <f t="shared" si="11"/>
        <v/>
      </c>
      <c r="S74" s="450" t="str">
        <f t="shared" si="12"/>
        <v/>
      </c>
      <c r="T74" s="219"/>
    </row>
    <row r="75" spans="1:20">
      <c r="A75" s="474" t="s">
        <v>798</v>
      </c>
      <c r="B75" s="475"/>
      <c r="C75" s="476">
        <v>2165461.7400000002</v>
      </c>
      <c r="D75" s="476">
        <v>-502109.21</v>
      </c>
      <c r="E75" s="475">
        <v>138</v>
      </c>
      <c r="F75" s="477" t="s">
        <v>2498</v>
      </c>
      <c r="G75" s="544">
        <v>10.929984458614001</v>
      </c>
      <c r="H75" s="478">
        <v>1663352.53</v>
      </c>
      <c r="I75" s="447">
        <f t="shared" si="7"/>
        <v>1618299.1050976468</v>
      </c>
      <c r="J75" s="251">
        <f t="shared" si="7"/>
        <v>1572346.7819127564</v>
      </c>
      <c r="K75" s="251">
        <f t="shared" si="7"/>
        <v>1522188.265346285</v>
      </c>
      <c r="L75" s="450">
        <f t="shared" si="7"/>
        <v>1475493.0645349897</v>
      </c>
      <c r="M75" s="450">
        <f t="shared" si="7"/>
        <v>1430230.3026857113</v>
      </c>
      <c r="N75" s="450">
        <f t="shared" si="7"/>
        <v>1386356.0377799075</v>
      </c>
      <c r="O75" s="447" t="str">
        <f t="shared" si="8"/>
        <v/>
      </c>
      <c r="P75" s="251" t="str">
        <f t="shared" si="9"/>
        <v/>
      </c>
      <c r="Q75" s="251">
        <f t="shared" si="10"/>
        <v>1386356.0377799075</v>
      </c>
      <c r="R75" s="251" t="str">
        <f t="shared" si="11"/>
        <v/>
      </c>
      <c r="S75" s="450" t="str">
        <f t="shared" si="12"/>
        <v/>
      </c>
      <c r="T75" s="219"/>
    </row>
    <row r="76" spans="1:20">
      <c r="A76" s="474" t="s">
        <v>799</v>
      </c>
      <c r="B76" s="475"/>
      <c r="C76" s="476">
        <v>645346.34</v>
      </c>
      <c r="D76" s="476">
        <v>-437303.76</v>
      </c>
      <c r="E76" s="475">
        <v>138</v>
      </c>
      <c r="F76" s="477" t="s">
        <v>2498</v>
      </c>
      <c r="G76" s="544">
        <v>30.957895325080003</v>
      </c>
      <c r="H76" s="478">
        <v>208042.58</v>
      </c>
      <c r="I76" s="447">
        <f t="shared" si="7"/>
        <v>202407.55640429727</v>
      </c>
      <c r="J76" s="251">
        <f t="shared" si="7"/>
        <v>196660.10377477054</v>
      </c>
      <c r="K76" s="251">
        <f t="shared" si="7"/>
        <v>190386.56463784361</v>
      </c>
      <c r="L76" s="450">
        <f t="shared" si="7"/>
        <v>184546.19714196469</v>
      </c>
      <c r="M76" s="450">
        <f t="shared" si="7"/>
        <v>178884.99088339155</v>
      </c>
      <c r="N76" s="450">
        <f t="shared" si="7"/>
        <v>173397.44984685199</v>
      </c>
      <c r="O76" s="447" t="str">
        <f t="shared" si="8"/>
        <v/>
      </c>
      <c r="P76" s="251" t="str">
        <f t="shared" si="9"/>
        <v/>
      </c>
      <c r="Q76" s="251">
        <f t="shared" si="10"/>
        <v>173397.44984685199</v>
      </c>
      <c r="R76" s="251" t="str">
        <f t="shared" si="11"/>
        <v/>
      </c>
      <c r="S76" s="450" t="str">
        <f t="shared" si="12"/>
        <v/>
      </c>
      <c r="T76" s="219"/>
    </row>
    <row r="77" spans="1:20">
      <c r="A77" s="474" t="s">
        <v>800</v>
      </c>
      <c r="B77" s="475"/>
      <c r="C77" s="476">
        <v>413526.55</v>
      </c>
      <c r="D77" s="476">
        <v>-62129.84</v>
      </c>
      <c r="E77" s="475">
        <v>138</v>
      </c>
      <c r="F77" s="477" t="s">
        <v>2498</v>
      </c>
      <c r="G77" s="544">
        <v>0.47448467127799998</v>
      </c>
      <c r="H77" s="478">
        <v>351396.71</v>
      </c>
      <c r="I77" s="447">
        <f t="shared" si="7"/>
        <v>341878.80865354341</v>
      </c>
      <c r="J77" s="251">
        <f t="shared" si="7"/>
        <v>332171.00775578228</v>
      </c>
      <c r="K77" s="251">
        <f t="shared" si="7"/>
        <v>321574.61439836305</v>
      </c>
      <c r="L77" s="450">
        <f t="shared" si="7"/>
        <v>311709.87457806856</v>
      </c>
      <c r="M77" s="450">
        <f t="shared" si="7"/>
        <v>302147.74910407187</v>
      </c>
      <c r="N77" s="450">
        <f t="shared" si="7"/>
        <v>292878.95486863219</v>
      </c>
      <c r="O77" s="447" t="str">
        <f t="shared" si="8"/>
        <v/>
      </c>
      <c r="P77" s="251" t="str">
        <f t="shared" si="9"/>
        <v/>
      </c>
      <c r="Q77" s="251">
        <f t="shared" si="10"/>
        <v>292878.95486863219</v>
      </c>
      <c r="R77" s="251" t="str">
        <f t="shared" si="11"/>
        <v/>
      </c>
      <c r="S77" s="450" t="str">
        <f t="shared" si="12"/>
        <v/>
      </c>
      <c r="T77" s="219"/>
    </row>
    <row r="78" spans="1:20">
      <c r="A78" s="474" t="s">
        <v>801</v>
      </c>
      <c r="B78" s="475"/>
      <c r="C78" s="476">
        <v>7452224.3899999997</v>
      </c>
      <c r="D78" s="476">
        <v>-1688193.21</v>
      </c>
      <c r="E78" s="475">
        <v>138</v>
      </c>
      <c r="F78" s="477" t="s">
        <v>2499</v>
      </c>
      <c r="G78" s="544">
        <v>18.116485141439</v>
      </c>
      <c r="H78" s="478">
        <v>5764031.1799999997</v>
      </c>
      <c r="I78" s="447">
        <f t="shared" si="7"/>
        <v>5607907.1225802824</v>
      </c>
      <c r="J78" s="251">
        <f t="shared" si="7"/>
        <v>5448668.1044804053</v>
      </c>
      <c r="K78" s="251">
        <f t="shared" si="7"/>
        <v>5274853.3248607852</v>
      </c>
      <c r="L78" s="450">
        <f t="shared" si="7"/>
        <v>5113040.0059291292</v>
      </c>
      <c r="M78" s="450">
        <f t="shared" si="7"/>
        <v>4956190.5312166614</v>
      </c>
      <c r="N78" s="450">
        <f t="shared" si="7"/>
        <v>4804152.6280328827</v>
      </c>
      <c r="O78" s="447" t="str">
        <f t="shared" si="8"/>
        <v/>
      </c>
      <c r="P78" s="251" t="str">
        <f t="shared" si="9"/>
        <v/>
      </c>
      <c r="Q78" s="251" t="str">
        <f t="shared" si="10"/>
        <v/>
      </c>
      <c r="R78" s="251" t="str">
        <f t="shared" si="11"/>
        <v/>
      </c>
      <c r="S78" s="450">
        <f t="shared" si="12"/>
        <v>4804152.6280328827</v>
      </c>
      <c r="T78" s="219"/>
    </row>
    <row r="79" spans="1:20">
      <c r="A79" s="474" t="s">
        <v>802</v>
      </c>
      <c r="B79" s="475"/>
      <c r="C79" s="476">
        <v>3324908.83</v>
      </c>
      <c r="D79" s="476">
        <v>-787541.27</v>
      </c>
      <c r="E79" s="475">
        <v>138</v>
      </c>
      <c r="F79" s="477" t="s">
        <v>2498</v>
      </c>
      <c r="G79" s="544">
        <v>9.3306895349500003</v>
      </c>
      <c r="H79" s="478">
        <v>2537367.56</v>
      </c>
      <c r="I79" s="447">
        <f t="shared" si="7"/>
        <v>2468640.6384651363</v>
      </c>
      <c r="J79" s="251">
        <f t="shared" si="7"/>
        <v>2398542.4890632313</v>
      </c>
      <c r="K79" s="251">
        <f t="shared" si="7"/>
        <v>2322027.9856744111</v>
      </c>
      <c r="L79" s="450">
        <f t="shared" si="7"/>
        <v>2250796.6107197185</v>
      </c>
      <c r="M79" s="450">
        <f t="shared" si="7"/>
        <v>2181750.355328287</v>
      </c>
      <c r="N79" s="450">
        <f t="shared" si="7"/>
        <v>2114822.1879777173</v>
      </c>
      <c r="O79" s="447" t="str">
        <f t="shared" si="8"/>
        <v/>
      </c>
      <c r="P79" s="251" t="str">
        <f t="shared" si="9"/>
        <v/>
      </c>
      <c r="Q79" s="251">
        <f t="shared" si="10"/>
        <v>2114822.1879777173</v>
      </c>
      <c r="R79" s="251" t="str">
        <f t="shared" si="11"/>
        <v/>
      </c>
      <c r="S79" s="450" t="str">
        <f t="shared" si="12"/>
        <v/>
      </c>
      <c r="T79" s="219"/>
    </row>
    <row r="80" spans="1:20">
      <c r="A80" s="474" t="s">
        <v>803</v>
      </c>
      <c r="B80" s="475"/>
      <c r="C80" s="476">
        <v>1928064.31</v>
      </c>
      <c r="D80" s="476">
        <v>-22577.18</v>
      </c>
      <c r="E80" s="475">
        <v>138</v>
      </c>
      <c r="F80" s="477" t="s">
        <v>2498</v>
      </c>
      <c r="G80" s="544">
        <v>3.4331946263910997</v>
      </c>
      <c r="H80" s="478">
        <v>1905487.13</v>
      </c>
      <c r="I80" s="447">
        <f t="shared" si="7"/>
        <v>1853875.2679530196</v>
      </c>
      <c r="J80" s="251">
        <f t="shared" si="7"/>
        <v>1801233.6547993671</v>
      </c>
      <c r="K80" s="251">
        <f t="shared" si="7"/>
        <v>1743773.5517523582</v>
      </c>
      <c r="L80" s="450">
        <f t="shared" si="7"/>
        <v>1690280.9201099912</v>
      </c>
      <c r="M80" s="450">
        <f t="shared" si="7"/>
        <v>1638429.2478898789</v>
      </c>
      <c r="N80" s="450">
        <f t="shared" si="7"/>
        <v>1588168.1964240058</v>
      </c>
      <c r="O80" s="447" t="str">
        <f t="shared" si="8"/>
        <v/>
      </c>
      <c r="P80" s="251" t="str">
        <f t="shared" si="9"/>
        <v/>
      </c>
      <c r="Q80" s="251">
        <f t="shared" si="10"/>
        <v>1588168.1964240058</v>
      </c>
      <c r="R80" s="251" t="str">
        <f t="shared" si="11"/>
        <v/>
      </c>
      <c r="S80" s="450" t="str">
        <f t="shared" si="12"/>
        <v/>
      </c>
      <c r="T80" s="219"/>
    </row>
    <row r="81" spans="1:20">
      <c r="A81" s="474" t="s">
        <v>804</v>
      </c>
      <c r="B81" s="475"/>
      <c r="C81" s="476">
        <v>2363403.48</v>
      </c>
      <c r="D81" s="476">
        <v>-676323.56</v>
      </c>
      <c r="E81" s="475">
        <v>138</v>
      </c>
      <c r="F81" s="477" t="s">
        <v>2498</v>
      </c>
      <c r="G81" s="544">
        <v>12.935308016492</v>
      </c>
      <c r="H81" s="478">
        <v>1687079.92</v>
      </c>
      <c r="I81" s="447">
        <f t="shared" si="7"/>
        <v>1641383.8170337887</v>
      </c>
      <c r="J81" s="251">
        <f t="shared" si="7"/>
        <v>1594775.9931814517</v>
      </c>
      <c r="K81" s="251">
        <f t="shared" si="7"/>
        <v>1543901.9754431427</v>
      </c>
      <c r="L81" s="450">
        <f t="shared" si="7"/>
        <v>1496540.676964158</v>
      </c>
      <c r="M81" s="450">
        <f t="shared" si="7"/>
        <v>1450632.2509014884</v>
      </c>
      <c r="N81" s="450">
        <f t="shared" si="7"/>
        <v>1406132.1284125159</v>
      </c>
      <c r="O81" s="447" t="str">
        <f t="shared" si="8"/>
        <v/>
      </c>
      <c r="P81" s="251" t="str">
        <f t="shared" si="9"/>
        <v/>
      </c>
      <c r="Q81" s="251">
        <f t="shared" si="10"/>
        <v>1406132.1284125159</v>
      </c>
      <c r="R81" s="251" t="str">
        <f t="shared" si="11"/>
        <v/>
      </c>
      <c r="S81" s="450" t="str">
        <f t="shared" si="12"/>
        <v/>
      </c>
      <c r="T81" s="219"/>
    </row>
    <row r="82" spans="1:20">
      <c r="A82" s="474" t="s">
        <v>805</v>
      </c>
      <c r="B82" s="475"/>
      <c r="C82" s="476">
        <v>8500032.3300000001</v>
      </c>
      <c r="D82" s="476">
        <v>-720478.94</v>
      </c>
      <c r="E82" s="475">
        <v>138</v>
      </c>
      <c r="F82" s="477" t="s">
        <v>2498</v>
      </c>
      <c r="G82" s="544">
        <v>17.379244298402799</v>
      </c>
      <c r="H82" s="478">
        <v>7779553.3899999997</v>
      </c>
      <c r="I82" s="447">
        <f t="shared" si="7"/>
        <v>7568837.0697319126</v>
      </c>
      <c r="J82" s="251">
        <f t="shared" si="7"/>
        <v>7353916.5732263466</v>
      </c>
      <c r="K82" s="251">
        <f t="shared" si="7"/>
        <v>7119323.5747162448</v>
      </c>
      <c r="L82" s="450">
        <f t="shared" si="7"/>
        <v>6900928.6156102261</v>
      </c>
      <c r="M82" s="450">
        <f t="shared" si="7"/>
        <v>6689233.2196947755</v>
      </c>
      <c r="N82" s="450">
        <f t="shared" si="7"/>
        <v>6484031.8687329898</v>
      </c>
      <c r="O82" s="447" t="str">
        <f t="shared" si="8"/>
        <v/>
      </c>
      <c r="P82" s="251" t="str">
        <f t="shared" si="9"/>
        <v/>
      </c>
      <c r="Q82" s="251">
        <f t="shared" si="10"/>
        <v>6484031.8687329898</v>
      </c>
      <c r="R82" s="251" t="str">
        <f t="shared" si="11"/>
        <v/>
      </c>
      <c r="S82" s="450" t="str">
        <f t="shared" si="12"/>
        <v/>
      </c>
      <c r="T82" s="219"/>
    </row>
    <row r="83" spans="1:20">
      <c r="A83" s="474" t="s">
        <v>806</v>
      </c>
      <c r="B83" s="475"/>
      <c r="C83" s="476">
        <v>1003430.55</v>
      </c>
      <c r="D83" s="476">
        <v>-637355.39</v>
      </c>
      <c r="E83" s="475">
        <v>138</v>
      </c>
      <c r="F83" s="477" t="s">
        <v>2498</v>
      </c>
      <c r="G83" s="544">
        <v>25.616520266016</v>
      </c>
      <c r="H83" s="478">
        <v>366075.16</v>
      </c>
      <c r="I83" s="447">
        <f t="shared" si="7"/>
        <v>356159.67940751428</v>
      </c>
      <c r="J83" s="251">
        <f t="shared" si="7"/>
        <v>346046.36683012551</v>
      </c>
      <c r="K83" s="251">
        <f t="shared" si="7"/>
        <v>335007.34374496288</v>
      </c>
      <c r="L83" s="450">
        <f t="shared" si="7"/>
        <v>324730.53663406917</v>
      </c>
      <c r="M83" s="450">
        <f t="shared" si="7"/>
        <v>314768.98459553858</v>
      </c>
      <c r="N83" s="450">
        <f t="shared" si="7"/>
        <v>305113.01675012067</v>
      </c>
      <c r="O83" s="447" t="str">
        <f t="shared" si="8"/>
        <v/>
      </c>
      <c r="P83" s="251" t="str">
        <f t="shared" si="9"/>
        <v/>
      </c>
      <c r="Q83" s="251">
        <f t="shared" si="10"/>
        <v>305113.01675012067</v>
      </c>
      <c r="R83" s="251" t="str">
        <f t="shared" si="11"/>
        <v/>
      </c>
      <c r="S83" s="450" t="str">
        <f t="shared" si="12"/>
        <v/>
      </c>
      <c r="T83" s="219"/>
    </row>
    <row r="84" spans="1:20">
      <c r="A84" s="474" t="s">
        <v>807</v>
      </c>
      <c r="B84" s="475"/>
      <c r="C84" s="476">
        <v>727270.26</v>
      </c>
      <c r="D84" s="476">
        <v>-116287.62</v>
      </c>
      <c r="E84" s="475">
        <v>138</v>
      </c>
      <c r="F84" s="477" t="s">
        <v>2498</v>
      </c>
      <c r="G84" s="544">
        <v>4.7951158136199998</v>
      </c>
      <c r="H84" s="478">
        <v>610982.64</v>
      </c>
      <c r="I84" s="447">
        <f t="shared" si="7"/>
        <v>594433.61627146939</v>
      </c>
      <c r="J84" s="251">
        <f t="shared" si="7"/>
        <v>577554.40923191432</v>
      </c>
      <c r="K84" s="251">
        <f t="shared" si="7"/>
        <v>559130.18326806149</v>
      </c>
      <c r="L84" s="450">
        <f t="shared" si="7"/>
        <v>541978.10242383089</v>
      </c>
      <c r="M84" s="450">
        <f t="shared" si="7"/>
        <v>525352.18504938041</v>
      </c>
      <c r="N84" s="450">
        <f t="shared" si="7"/>
        <v>509236.29036275763</v>
      </c>
      <c r="O84" s="447" t="str">
        <f t="shared" si="8"/>
        <v/>
      </c>
      <c r="P84" s="251" t="str">
        <f t="shared" si="9"/>
        <v/>
      </c>
      <c r="Q84" s="251">
        <f t="shared" si="10"/>
        <v>509236.29036275763</v>
      </c>
      <c r="R84" s="251" t="str">
        <f t="shared" si="11"/>
        <v/>
      </c>
      <c r="S84" s="450" t="str">
        <f t="shared" si="12"/>
        <v/>
      </c>
      <c r="T84" s="219"/>
    </row>
    <row r="85" spans="1:20">
      <c r="A85" s="474" t="s">
        <v>808</v>
      </c>
      <c r="B85" s="475"/>
      <c r="C85" s="476">
        <v>253105.28</v>
      </c>
      <c r="D85" s="476">
        <v>-20606.669999999998</v>
      </c>
      <c r="E85" s="475">
        <v>138</v>
      </c>
      <c r="F85" s="477" t="s">
        <v>2498</v>
      </c>
      <c r="G85" s="544">
        <v>15.3032656349676</v>
      </c>
      <c r="H85" s="478">
        <v>232498.61</v>
      </c>
      <c r="I85" s="447">
        <f t="shared" si="7"/>
        <v>226201.17245948262</v>
      </c>
      <c r="J85" s="251">
        <f t="shared" si="7"/>
        <v>219778.08951460756</v>
      </c>
      <c r="K85" s="251">
        <f t="shared" si="7"/>
        <v>212767.07701362766</v>
      </c>
      <c r="L85" s="450">
        <f t="shared" si="7"/>
        <v>206240.1567808511</v>
      </c>
      <c r="M85" s="450">
        <f t="shared" si="7"/>
        <v>199913.4587268203</v>
      </c>
      <c r="N85" s="450">
        <f t="shared" si="7"/>
        <v>193780.84076316399</v>
      </c>
      <c r="O85" s="447" t="str">
        <f t="shared" si="8"/>
        <v/>
      </c>
      <c r="P85" s="251" t="str">
        <f t="shared" si="9"/>
        <v/>
      </c>
      <c r="Q85" s="251">
        <f t="shared" si="10"/>
        <v>193780.84076316399</v>
      </c>
      <c r="R85" s="251" t="str">
        <f t="shared" si="11"/>
        <v/>
      </c>
      <c r="S85" s="450" t="str">
        <f t="shared" si="12"/>
        <v/>
      </c>
      <c r="T85" s="219"/>
    </row>
    <row r="86" spans="1:20">
      <c r="A86" s="474" t="s">
        <v>809</v>
      </c>
      <c r="B86" s="475"/>
      <c r="C86" s="476">
        <v>301073.71999999997</v>
      </c>
      <c r="D86" s="476">
        <v>-41555.61</v>
      </c>
      <c r="E86" s="475">
        <v>138</v>
      </c>
      <c r="F86" s="477" t="s">
        <v>2498</v>
      </c>
      <c r="G86" s="544">
        <v>17.158327858</v>
      </c>
      <c r="H86" s="478">
        <v>259518.11</v>
      </c>
      <c r="I86" s="447">
        <f t="shared" si="7"/>
        <v>252488.82458466734</v>
      </c>
      <c r="J86" s="251">
        <f t="shared" si="7"/>
        <v>245319.2920604634</v>
      </c>
      <c r="K86" s="251">
        <f t="shared" si="7"/>
        <v>237493.50457106429</v>
      </c>
      <c r="L86" s="450">
        <f t="shared" si="7"/>
        <v>230208.06745412442</v>
      </c>
      <c r="M86" s="450">
        <f t="shared" si="7"/>
        <v>223146.12105572334</v>
      </c>
      <c r="N86" s="450">
        <f t="shared" si="7"/>
        <v>216300.80949330094</v>
      </c>
      <c r="O86" s="447" t="str">
        <f t="shared" si="8"/>
        <v/>
      </c>
      <c r="P86" s="251" t="str">
        <f t="shared" si="9"/>
        <v/>
      </c>
      <c r="Q86" s="251">
        <f t="shared" si="10"/>
        <v>216300.80949330094</v>
      </c>
      <c r="R86" s="251" t="str">
        <f t="shared" si="11"/>
        <v/>
      </c>
      <c r="S86" s="450" t="str">
        <f t="shared" si="12"/>
        <v/>
      </c>
      <c r="T86" s="219"/>
    </row>
    <row r="87" spans="1:20">
      <c r="A87" s="474" t="s">
        <v>810</v>
      </c>
      <c r="B87" s="475"/>
      <c r="C87" s="476">
        <v>4094380.79</v>
      </c>
      <c r="D87" s="476">
        <v>-983287.81</v>
      </c>
      <c r="E87" s="475">
        <v>138</v>
      </c>
      <c r="F87" s="477" t="s">
        <v>2498</v>
      </c>
      <c r="G87" s="544">
        <v>62.630393671168996</v>
      </c>
      <c r="H87" s="478">
        <v>3111092.98</v>
      </c>
      <c r="I87" s="447">
        <f t="shared" si="7"/>
        <v>3026826.1806230401</v>
      </c>
      <c r="J87" s="251">
        <f t="shared" si="7"/>
        <v>2940878.1043753647</v>
      </c>
      <c r="K87" s="251">
        <f t="shared" si="7"/>
        <v>2847062.8692026003</v>
      </c>
      <c r="L87" s="450">
        <f t="shared" si="7"/>
        <v>2759725.3332181443</v>
      </c>
      <c r="M87" s="450">
        <f t="shared" si="7"/>
        <v>2675066.995250124</v>
      </c>
      <c r="N87" s="450">
        <f t="shared" si="7"/>
        <v>2593005.6672458271</v>
      </c>
      <c r="O87" s="447" t="str">
        <f t="shared" si="8"/>
        <v/>
      </c>
      <c r="P87" s="251" t="str">
        <f t="shared" si="9"/>
        <v/>
      </c>
      <c r="Q87" s="251">
        <f t="shared" si="10"/>
        <v>2593005.6672458271</v>
      </c>
      <c r="R87" s="251" t="str">
        <f t="shared" si="11"/>
        <v/>
      </c>
      <c r="S87" s="450" t="str">
        <f t="shared" si="12"/>
        <v/>
      </c>
      <c r="T87" s="219"/>
    </row>
    <row r="88" spans="1:20">
      <c r="A88" s="474" t="s">
        <v>811</v>
      </c>
      <c r="B88" s="475"/>
      <c r="C88" s="476">
        <v>8888175.5600000005</v>
      </c>
      <c r="D88" s="476">
        <v>-733041.33</v>
      </c>
      <c r="E88" s="475">
        <v>138</v>
      </c>
      <c r="F88" s="477" t="s">
        <v>2498</v>
      </c>
      <c r="G88" s="544">
        <v>30.822803055606997</v>
      </c>
      <c r="H88" s="478">
        <v>8155134.2300000004</v>
      </c>
      <c r="I88" s="447">
        <f t="shared" si="7"/>
        <v>7934244.9591008751</v>
      </c>
      <c r="J88" s="251">
        <f t="shared" si="7"/>
        <v>7708948.5429808823</v>
      </c>
      <c r="K88" s="251">
        <f t="shared" si="7"/>
        <v>7463029.8769135922</v>
      </c>
      <c r="L88" s="450">
        <f t="shared" si="7"/>
        <v>7234091.25828359</v>
      </c>
      <c r="M88" s="450">
        <f t="shared" si="7"/>
        <v>7012175.6439781925</v>
      </c>
      <c r="N88" s="450">
        <f t="shared" si="7"/>
        <v>6797067.593762638</v>
      </c>
      <c r="O88" s="447" t="str">
        <f t="shared" si="8"/>
        <v/>
      </c>
      <c r="P88" s="251" t="str">
        <f t="shared" si="9"/>
        <v/>
      </c>
      <c r="Q88" s="251">
        <f t="shared" si="10"/>
        <v>6797067.593762638</v>
      </c>
      <c r="R88" s="251" t="str">
        <f t="shared" si="11"/>
        <v/>
      </c>
      <c r="S88" s="450" t="str">
        <f t="shared" si="12"/>
        <v/>
      </c>
      <c r="T88" s="219"/>
    </row>
    <row r="89" spans="1:20">
      <c r="A89" s="474" t="s">
        <v>812</v>
      </c>
      <c r="B89" s="475"/>
      <c r="C89" s="476">
        <v>1317679.1200000001</v>
      </c>
      <c r="D89" s="476">
        <v>-236121.73</v>
      </c>
      <c r="E89" s="475">
        <v>138</v>
      </c>
      <c r="F89" s="477" t="s">
        <v>2498</v>
      </c>
      <c r="G89" s="544">
        <v>3.13750965404</v>
      </c>
      <c r="H89" s="478">
        <v>1081557.3899999999</v>
      </c>
      <c r="I89" s="447">
        <f t="shared" si="7"/>
        <v>1052262.4186880856</v>
      </c>
      <c r="J89" s="251">
        <f t="shared" si="7"/>
        <v>1022382.9590835202</v>
      </c>
      <c r="K89" s="251">
        <f t="shared" si="7"/>
        <v>989768.51729474042</v>
      </c>
      <c r="L89" s="450">
        <f t="shared" si="7"/>
        <v>959406.0183030261</v>
      </c>
      <c r="M89" s="450">
        <f t="shared" si="7"/>
        <v>929974.93037249765</v>
      </c>
      <c r="N89" s="450">
        <f t="shared" si="7"/>
        <v>901446.68119871011</v>
      </c>
      <c r="O89" s="447" t="str">
        <f t="shared" si="8"/>
        <v/>
      </c>
      <c r="P89" s="251" t="str">
        <f t="shared" si="9"/>
        <v/>
      </c>
      <c r="Q89" s="251">
        <f t="shared" si="10"/>
        <v>901446.68119871011</v>
      </c>
      <c r="R89" s="251" t="str">
        <f t="shared" si="11"/>
        <v/>
      </c>
      <c r="S89" s="450" t="str">
        <f t="shared" si="12"/>
        <v/>
      </c>
      <c r="T89" s="219"/>
    </row>
    <row r="90" spans="1:20">
      <c r="A90" s="474" t="s">
        <v>813</v>
      </c>
      <c r="B90" s="475"/>
      <c r="C90" s="476">
        <v>1917292.44</v>
      </c>
      <c r="D90" s="476">
        <v>-400967.5</v>
      </c>
      <c r="E90" s="475">
        <v>138</v>
      </c>
      <c r="F90" s="477" t="s">
        <v>2498</v>
      </c>
      <c r="G90" s="544">
        <v>4.3904886575160003</v>
      </c>
      <c r="H90" s="478">
        <v>1516324.94</v>
      </c>
      <c r="I90" s="447">
        <f t="shared" si="7"/>
        <v>1475253.891872965</v>
      </c>
      <c r="J90" s="251">
        <f t="shared" si="7"/>
        <v>1433363.4011685143</v>
      </c>
      <c r="K90" s="251">
        <f t="shared" si="7"/>
        <v>1387638.5122761135</v>
      </c>
      <c r="L90" s="450">
        <f t="shared" si="7"/>
        <v>1345070.8086225318</v>
      </c>
      <c r="M90" s="450">
        <f t="shared" si="7"/>
        <v>1303808.9273270851</v>
      </c>
      <c r="N90" s="450">
        <f t="shared" si="7"/>
        <v>1263812.8105082184</v>
      </c>
      <c r="O90" s="447" t="str">
        <f t="shared" si="8"/>
        <v/>
      </c>
      <c r="P90" s="251" t="str">
        <f t="shared" si="9"/>
        <v/>
      </c>
      <c r="Q90" s="251">
        <f t="shared" si="10"/>
        <v>1263812.8105082184</v>
      </c>
      <c r="R90" s="251" t="str">
        <f t="shared" si="11"/>
        <v/>
      </c>
      <c r="S90" s="450" t="str">
        <f t="shared" si="12"/>
        <v/>
      </c>
      <c r="T90" s="219"/>
    </row>
    <row r="91" spans="1:20">
      <c r="A91" s="474" t="s">
        <v>814</v>
      </c>
      <c r="B91" s="475"/>
      <c r="C91" s="476">
        <v>7558843.6699999999</v>
      </c>
      <c r="D91" s="476">
        <v>-691947.53</v>
      </c>
      <c r="E91" s="475">
        <v>138</v>
      </c>
      <c r="F91" s="477" t="s">
        <v>2498</v>
      </c>
      <c r="G91" s="544">
        <v>16.5617697557215</v>
      </c>
      <c r="H91" s="478">
        <v>6866896.1399999997</v>
      </c>
      <c r="I91" s="447">
        <f t="shared" si="7"/>
        <v>6680899.9762428496</v>
      </c>
      <c r="J91" s="251">
        <f t="shared" si="7"/>
        <v>6491192.848612872</v>
      </c>
      <c r="K91" s="251">
        <f t="shared" si="7"/>
        <v>6284121.095880799</v>
      </c>
      <c r="L91" s="450">
        <f t="shared" si="7"/>
        <v>6091347.1117587388</v>
      </c>
      <c r="M91" s="450">
        <f t="shared" si="7"/>
        <v>5904486.7324809022</v>
      </c>
      <c r="N91" s="450">
        <f t="shared" si="7"/>
        <v>5723358.5501544522</v>
      </c>
      <c r="O91" s="447" t="str">
        <f t="shared" si="8"/>
        <v/>
      </c>
      <c r="P91" s="251" t="str">
        <f t="shared" si="9"/>
        <v/>
      </c>
      <c r="Q91" s="251">
        <f t="shared" si="10"/>
        <v>5723358.5501544522</v>
      </c>
      <c r="R91" s="251" t="str">
        <f t="shared" si="11"/>
        <v/>
      </c>
      <c r="S91" s="450" t="str">
        <f t="shared" si="12"/>
        <v/>
      </c>
      <c r="T91" s="219"/>
    </row>
    <row r="92" spans="1:20">
      <c r="A92" s="474" t="s">
        <v>815</v>
      </c>
      <c r="B92" s="475"/>
      <c r="C92" s="476">
        <v>4278240.5199999996</v>
      </c>
      <c r="D92" s="476">
        <v>-771960.03</v>
      </c>
      <c r="E92" s="475">
        <v>138</v>
      </c>
      <c r="F92" s="477" t="s">
        <v>2498</v>
      </c>
      <c r="G92" s="544">
        <v>17.8263056314</v>
      </c>
      <c r="H92" s="478">
        <v>3506280.49</v>
      </c>
      <c r="I92" s="447">
        <f t="shared" si="7"/>
        <v>3411309.6753989598</v>
      </c>
      <c r="J92" s="251">
        <f t="shared" si="7"/>
        <v>3314444.0192332426</v>
      </c>
      <c r="K92" s="251">
        <f t="shared" si="7"/>
        <v>3208711.8759428719</v>
      </c>
      <c r="L92" s="450">
        <f t="shared" si="7"/>
        <v>3110280.263504541</v>
      </c>
      <c r="M92" s="450">
        <f t="shared" si="7"/>
        <v>3014868.1750065964</v>
      </c>
      <c r="N92" s="450">
        <f t="shared" si="7"/>
        <v>2922382.982434513</v>
      </c>
      <c r="O92" s="447" t="str">
        <f t="shared" si="8"/>
        <v/>
      </c>
      <c r="P92" s="251" t="str">
        <f t="shared" si="9"/>
        <v/>
      </c>
      <c r="Q92" s="251">
        <f t="shared" si="10"/>
        <v>2922382.982434513</v>
      </c>
      <c r="R92" s="251" t="str">
        <f t="shared" si="11"/>
        <v/>
      </c>
      <c r="S92" s="450" t="str">
        <f t="shared" si="12"/>
        <v/>
      </c>
      <c r="T92" s="219"/>
    </row>
    <row r="93" spans="1:20">
      <c r="A93" s="474" t="s">
        <v>816</v>
      </c>
      <c r="B93" s="475"/>
      <c r="C93" s="476">
        <v>12683557.32</v>
      </c>
      <c r="D93" s="476">
        <v>-1440294.36</v>
      </c>
      <c r="E93" s="475">
        <v>138</v>
      </c>
      <c r="F93" s="477" t="s">
        <v>2498</v>
      </c>
      <c r="G93" s="544">
        <v>28.429955068330003</v>
      </c>
      <c r="H93" s="478">
        <v>11243262.960000001</v>
      </c>
      <c r="I93" s="447">
        <f t="shared" si="7"/>
        <v>10938728.897442756</v>
      </c>
      <c r="J93" s="251">
        <f t="shared" si="7"/>
        <v>10628118.822986305</v>
      </c>
      <c r="K93" s="251">
        <f t="shared" si="7"/>
        <v>10289077.410375861</v>
      </c>
      <c r="L93" s="450">
        <f t="shared" si="7"/>
        <v>9973445.9298433494</v>
      </c>
      <c r="M93" s="450">
        <f t="shared" si="7"/>
        <v>9667496.8753952887</v>
      </c>
      <c r="N93" s="450">
        <f t="shared" si="7"/>
        <v>9370933.2254078425</v>
      </c>
      <c r="O93" s="447" t="str">
        <f t="shared" si="8"/>
        <v/>
      </c>
      <c r="P93" s="251" t="str">
        <f t="shared" si="9"/>
        <v/>
      </c>
      <c r="Q93" s="251">
        <f t="shared" si="10"/>
        <v>9370933.2254078425</v>
      </c>
      <c r="R93" s="251" t="str">
        <f t="shared" si="11"/>
        <v/>
      </c>
      <c r="S93" s="450" t="str">
        <f t="shared" si="12"/>
        <v/>
      </c>
      <c r="T93" s="219"/>
    </row>
    <row r="94" spans="1:20">
      <c r="A94" s="474" t="s">
        <v>817</v>
      </c>
      <c r="B94" s="475"/>
      <c r="C94" s="476">
        <v>675333.57</v>
      </c>
      <c r="D94" s="476">
        <v>-170811.85</v>
      </c>
      <c r="E94" s="475">
        <v>138</v>
      </c>
      <c r="F94" s="477" t="s">
        <v>2498</v>
      </c>
      <c r="G94" s="544">
        <v>26.732923414993802</v>
      </c>
      <c r="H94" s="478">
        <v>504521.72</v>
      </c>
      <c r="I94" s="447">
        <f t="shared" si="7"/>
        <v>490856.28767963307</v>
      </c>
      <c r="J94" s="251">
        <f t="shared" si="7"/>
        <v>476918.20497431693</v>
      </c>
      <c r="K94" s="251">
        <f t="shared" si="7"/>
        <v>461704.31579908321</v>
      </c>
      <c r="L94" s="450">
        <f t="shared" si="7"/>
        <v>447540.9062967932</v>
      </c>
      <c r="M94" s="450">
        <f t="shared" si="7"/>
        <v>433811.97869528935</v>
      </c>
      <c r="N94" s="450">
        <f t="shared" si="7"/>
        <v>420504.20466977247</v>
      </c>
      <c r="O94" s="447" t="str">
        <f t="shared" si="8"/>
        <v/>
      </c>
      <c r="P94" s="251" t="str">
        <f t="shared" si="9"/>
        <v/>
      </c>
      <c r="Q94" s="251">
        <f t="shared" si="10"/>
        <v>420504.20466977247</v>
      </c>
      <c r="R94" s="251" t="str">
        <f t="shared" si="11"/>
        <v/>
      </c>
      <c r="S94" s="450" t="str">
        <f t="shared" si="12"/>
        <v/>
      </c>
      <c r="T94" s="219"/>
    </row>
    <row r="95" spans="1:20">
      <c r="A95" s="474" t="s">
        <v>1156</v>
      </c>
      <c r="B95" s="475"/>
      <c r="C95" s="476">
        <v>6254729.3499999996</v>
      </c>
      <c r="D95" s="476">
        <v>-236812.83</v>
      </c>
      <c r="E95" s="475">
        <v>138</v>
      </c>
      <c r="F95" s="477" t="s">
        <v>2498</v>
      </c>
      <c r="G95" s="544">
        <v>6.6084304825670994</v>
      </c>
      <c r="H95" s="478">
        <v>6017916.5199999996</v>
      </c>
      <c r="I95" s="447">
        <f t="shared" si="7"/>
        <v>5854915.7458932316</v>
      </c>
      <c r="J95" s="251">
        <f t="shared" si="7"/>
        <v>5688662.8080227906</v>
      </c>
      <c r="K95" s="251">
        <f t="shared" si="7"/>
        <v>5507192.097502958</v>
      </c>
      <c r="L95" s="450">
        <f t="shared" si="7"/>
        <v>5338251.469885665</v>
      </c>
      <c r="M95" s="450">
        <f t="shared" si="7"/>
        <v>5174493.3264008332</v>
      </c>
      <c r="N95" s="450">
        <f t="shared" si="7"/>
        <v>5015758.6872804696</v>
      </c>
      <c r="O95" s="447" t="str">
        <f t="shared" si="8"/>
        <v/>
      </c>
      <c r="P95" s="251" t="str">
        <f t="shared" si="9"/>
        <v/>
      </c>
      <c r="Q95" s="251">
        <f t="shared" si="10"/>
        <v>5015758.6872804696</v>
      </c>
      <c r="R95" s="251" t="str">
        <f t="shared" si="11"/>
        <v/>
      </c>
      <c r="S95" s="450" t="str">
        <f t="shared" si="12"/>
        <v/>
      </c>
      <c r="T95" s="219"/>
    </row>
    <row r="96" spans="1:20">
      <c r="A96" s="474" t="s">
        <v>818</v>
      </c>
      <c r="B96" s="475"/>
      <c r="C96" s="476">
        <v>5723311.9699999997</v>
      </c>
      <c r="D96" s="476">
        <v>-184942.64</v>
      </c>
      <c r="E96" s="475">
        <v>138</v>
      </c>
      <c r="F96" s="477" t="s">
        <v>2498</v>
      </c>
      <c r="G96" s="544">
        <v>6.6066766510915</v>
      </c>
      <c r="H96" s="478">
        <v>5538369.3300000001</v>
      </c>
      <c r="I96" s="447">
        <f t="shared" si="7"/>
        <v>5388357.5302219633</v>
      </c>
      <c r="J96" s="251">
        <f t="shared" si="7"/>
        <v>5235352.7204902312</v>
      </c>
      <c r="K96" s="251">
        <f t="shared" si="7"/>
        <v>5068342.7903763531</v>
      </c>
      <c r="L96" s="450">
        <f t="shared" si="7"/>
        <v>4912864.4637034927</v>
      </c>
      <c r="M96" s="450">
        <f t="shared" si="7"/>
        <v>4762155.6467234036</v>
      </c>
      <c r="N96" s="450">
        <f t="shared" si="7"/>
        <v>4616070.0282221958</v>
      </c>
      <c r="O96" s="447" t="str">
        <f t="shared" si="8"/>
        <v/>
      </c>
      <c r="P96" s="251" t="str">
        <f t="shared" si="9"/>
        <v/>
      </c>
      <c r="Q96" s="251">
        <f t="shared" si="10"/>
        <v>4616070.0282221958</v>
      </c>
      <c r="R96" s="251" t="str">
        <f t="shared" si="11"/>
        <v/>
      </c>
      <c r="S96" s="450" t="str">
        <f t="shared" si="12"/>
        <v/>
      </c>
      <c r="T96" s="219"/>
    </row>
    <row r="97" spans="1:20">
      <c r="A97" s="474" t="s">
        <v>1157</v>
      </c>
      <c r="B97" s="475"/>
      <c r="C97" s="476">
        <v>1177329.83</v>
      </c>
      <c r="D97" s="476">
        <v>-193456.89</v>
      </c>
      <c r="E97" s="475">
        <v>138</v>
      </c>
      <c r="F97" s="477" t="s">
        <v>2498</v>
      </c>
      <c r="G97" s="544">
        <v>1.8496613406257998</v>
      </c>
      <c r="H97" s="478">
        <v>983872.94</v>
      </c>
      <c r="I97" s="447">
        <f t="shared" si="7"/>
        <v>957223.84137762466</v>
      </c>
      <c r="J97" s="251">
        <f t="shared" si="7"/>
        <v>930043.04446516954</v>
      </c>
      <c r="K97" s="251">
        <f t="shared" si="7"/>
        <v>900374.28437358944</v>
      </c>
      <c r="L97" s="450">
        <f t="shared" si="7"/>
        <v>872754.07538151264</v>
      </c>
      <c r="M97" s="450">
        <f t="shared" si="7"/>
        <v>845981.15396528761</v>
      </c>
      <c r="N97" s="450">
        <f t="shared" si="7"/>
        <v>820029.52842309885</v>
      </c>
      <c r="O97" s="447" t="str">
        <f t="shared" si="8"/>
        <v/>
      </c>
      <c r="P97" s="251" t="str">
        <f t="shared" si="9"/>
        <v/>
      </c>
      <c r="Q97" s="251">
        <f t="shared" si="10"/>
        <v>820029.52842309885</v>
      </c>
      <c r="R97" s="251" t="str">
        <f t="shared" si="11"/>
        <v/>
      </c>
      <c r="S97" s="450" t="str">
        <f t="shared" si="12"/>
        <v/>
      </c>
      <c r="T97" s="219"/>
    </row>
    <row r="98" spans="1:20">
      <c r="A98" s="474" t="s">
        <v>819</v>
      </c>
      <c r="B98" s="475"/>
      <c r="C98" s="476">
        <v>923881.37</v>
      </c>
      <c r="D98" s="476">
        <v>-139414.78</v>
      </c>
      <c r="E98" s="475">
        <v>138</v>
      </c>
      <c r="F98" s="477" t="s">
        <v>2498</v>
      </c>
      <c r="G98" s="544">
        <v>12.407559016615</v>
      </c>
      <c r="H98" s="478">
        <v>784466.59</v>
      </c>
      <c r="I98" s="447">
        <f t="shared" si="7"/>
        <v>763218.59478339355</v>
      </c>
      <c r="J98" s="251">
        <f t="shared" si="7"/>
        <v>741546.663174627</v>
      </c>
      <c r="K98" s="251">
        <f t="shared" si="7"/>
        <v>717891.01607595792</v>
      </c>
      <c r="L98" s="450">
        <f t="shared" si="7"/>
        <v>695868.73018698755</v>
      </c>
      <c r="M98" s="450">
        <f t="shared" si="7"/>
        <v>674522.007948927</v>
      </c>
      <c r="N98" s="450">
        <f t="shared" si="7"/>
        <v>653830.12552553427</v>
      </c>
      <c r="O98" s="447" t="str">
        <f t="shared" si="8"/>
        <v/>
      </c>
      <c r="P98" s="251" t="str">
        <f t="shared" si="9"/>
        <v/>
      </c>
      <c r="Q98" s="251">
        <f t="shared" si="10"/>
        <v>653830.12552553427</v>
      </c>
      <c r="R98" s="251" t="str">
        <f t="shared" si="11"/>
        <v/>
      </c>
      <c r="S98" s="450" t="str">
        <f t="shared" si="12"/>
        <v/>
      </c>
      <c r="T98" s="219"/>
    </row>
    <row r="99" spans="1:20">
      <c r="A99" s="474" t="s">
        <v>820</v>
      </c>
      <c r="B99" s="475"/>
      <c r="C99" s="476">
        <v>691935.18</v>
      </c>
      <c r="D99" s="476">
        <v>-176566.04</v>
      </c>
      <c r="E99" s="475">
        <v>138</v>
      </c>
      <c r="F99" s="477" t="s">
        <v>2498</v>
      </c>
      <c r="G99" s="544">
        <v>4.0802093100799999</v>
      </c>
      <c r="H99" s="478">
        <v>515369.14</v>
      </c>
      <c r="I99" s="447">
        <f t="shared" si="7"/>
        <v>501409.89538576279</v>
      </c>
      <c r="J99" s="251">
        <f t="shared" si="7"/>
        <v>487172.13829358522</v>
      </c>
      <c r="K99" s="251">
        <f t="shared" si="7"/>
        <v>471631.14437900105</v>
      </c>
      <c r="L99" s="450">
        <f t="shared" si="7"/>
        <v>457163.21587304294</v>
      </c>
      <c r="M99" s="450">
        <f t="shared" si="7"/>
        <v>443139.11080357374</v>
      </c>
      <c r="N99" s="450">
        <f t="shared" si="7"/>
        <v>429545.21428144781</v>
      </c>
      <c r="O99" s="447" t="str">
        <f t="shared" si="8"/>
        <v/>
      </c>
      <c r="P99" s="251" t="str">
        <f t="shared" si="9"/>
        <v/>
      </c>
      <c r="Q99" s="251">
        <f t="shared" si="10"/>
        <v>429545.21428144781</v>
      </c>
      <c r="R99" s="251" t="str">
        <f t="shared" si="11"/>
        <v/>
      </c>
      <c r="S99" s="450" t="str">
        <f t="shared" si="12"/>
        <v/>
      </c>
      <c r="T99" s="219"/>
    </row>
    <row r="100" spans="1:20">
      <c r="A100" s="474" t="s">
        <v>821</v>
      </c>
      <c r="B100" s="475"/>
      <c r="C100" s="476">
        <v>400876.68</v>
      </c>
      <c r="D100" s="476">
        <v>-69287.929999999993</v>
      </c>
      <c r="E100" s="475">
        <v>138</v>
      </c>
      <c r="F100" s="477" t="s">
        <v>2498</v>
      </c>
      <c r="G100" s="544">
        <v>2.6845344207500004</v>
      </c>
      <c r="H100" s="478">
        <v>331588.75</v>
      </c>
      <c r="I100" s="447">
        <f t="shared" si="7"/>
        <v>322607.36537037481</v>
      </c>
      <c r="J100" s="251">
        <f t="shared" si="7"/>
        <v>313446.78567986639</v>
      </c>
      <c r="K100" s="251">
        <f t="shared" si="7"/>
        <v>303447.70279745985</v>
      </c>
      <c r="L100" s="450">
        <f t="shared" si="7"/>
        <v>294139.03070975974</v>
      </c>
      <c r="M100" s="450">
        <f t="shared" si="7"/>
        <v>285115.91483236366</v>
      </c>
      <c r="N100" s="450">
        <f t="shared" si="7"/>
        <v>276369.59533911449</v>
      </c>
      <c r="O100" s="447" t="str">
        <f t="shared" si="8"/>
        <v/>
      </c>
      <c r="P100" s="251" t="str">
        <f t="shared" si="9"/>
        <v/>
      </c>
      <c r="Q100" s="251">
        <f t="shared" si="10"/>
        <v>276369.59533911449</v>
      </c>
      <c r="R100" s="251" t="str">
        <f t="shared" si="11"/>
        <v/>
      </c>
      <c r="S100" s="450" t="str">
        <f t="shared" si="12"/>
        <v/>
      </c>
      <c r="T100" s="219"/>
    </row>
    <row r="101" spans="1:20">
      <c r="A101" s="474" t="s">
        <v>822</v>
      </c>
      <c r="B101" s="475"/>
      <c r="C101" s="476">
        <v>1530501.75</v>
      </c>
      <c r="D101" s="476">
        <v>-596312.65</v>
      </c>
      <c r="E101" s="475">
        <v>138</v>
      </c>
      <c r="F101" s="477" t="s">
        <v>2498</v>
      </c>
      <c r="G101" s="544">
        <v>17.085644216710001</v>
      </c>
      <c r="H101" s="478">
        <v>934189.1</v>
      </c>
      <c r="I101" s="447">
        <f t="shared" si="7"/>
        <v>908885.73363457469</v>
      </c>
      <c r="J101" s="251">
        <f t="shared" si="7"/>
        <v>883077.51880052395</v>
      </c>
      <c r="K101" s="251">
        <f t="shared" si="7"/>
        <v>854906.97851910384</v>
      </c>
      <c r="L101" s="450">
        <f t="shared" si="7"/>
        <v>828681.54113679309</v>
      </c>
      <c r="M101" s="450">
        <f t="shared" si="7"/>
        <v>803260.60480918747</v>
      </c>
      <c r="N101" s="450">
        <f t="shared" si="7"/>
        <v>778619.49036935519</v>
      </c>
      <c r="O101" s="447" t="str">
        <f t="shared" si="8"/>
        <v/>
      </c>
      <c r="P101" s="251" t="str">
        <f t="shared" si="9"/>
        <v/>
      </c>
      <c r="Q101" s="251">
        <f t="shared" si="10"/>
        <v>778619.49036935519</v>
      </c>
      <c r="R101" s="251" t="str">
        <f t="shared" si="11"/>
        <v/>
      </c>
      <c r="S101" s="450" t="str">
        <f t="shared" si="12"/>
        <v/>
      </c>
      <c r="T101" s="219"/>
    </row>
    <row r="102" spans="1:20">
      <c r="A102" s="474" t="s">
        <v>823</v>
      </c>
      <c r="B102" s="475"/>
      <c r="C102" s="476">
        <v>1652982.47</v>
      </c>
      <c r="D102" s="476">
        <v>-1415527.55</v>
      </c>
      <c r="E102" s="475">
        <v>138</v>
      </c>
      <c r="F102" s="477" t="s">
        <v>2498</v>
      </c>
      <c r="G102" s="544">
        <v>67.181775649400009</v>
      </c>
      <c r="H102" s="478">
        <v>237454.92</v>
      </c>
      <c r="I102" s="447">
        <f t="shared" si="7"/>
        <v>231023.23626912289</v>
      </c>
      <c r="J102" s="251">
        <f t="shared" si="7"/>
        <v>224463.2286766961</v>
      </c>
      <c r="K102" s="251">
        <f t="shared" si="7"/>
        <v>217302.75828704869</v>
      </c>
      <c r="L102" s="450">
        <f t="shared" si="7"/>
        <v>210636.69984600967</v>
      </c>
      <c r="M102" s="450">
        <f t="shared" si="7"/>
        <v>204175.1318379943</v>
      </c>
      <c r="N102" s="450">
        <f t="shared" si="7"/>
        <v>197911.78124011084</v>
      </c>
      <c r="O102" s="447" t="str">
        <f t="shared" si="8"/>
        <v/>
      </c>
      <c r="P102" s="251" t="str">
        <f t="shared" si="9"/>
        <v/>
      </c>
      <c r="Q102" s="251">
        <f t="shared" si="10"/>
        <v>197911.78124011084</v>
      </c>
      <c r="R102" s="251" t="str">
        <f t="shared" si="11"/>
        <v/>
      </c>
      <c r="S102" s="450" t="str">
        <f t="shared" si="12"/>
        <v/>
      </c>
      <c r="T102" s="219"/>
    </row>
    <row r="103" spans="1:20">
      <c r="A103" s="474" t="s">
        <v>824</v>
      </c>
      <c r="B103" s="475"/>
      <c r="C103" s="476">
        <v>2344827</v>
      </c>
      <c r="D103" s="476">
        <v>-1060572.73</v>
      </c>
      <c r="E103" s="475">
        <v>138</v>
      </c>
      <c r="F103" s="477" t="s">
        <v>2498</v>
      </c>
      <c r="G103" s="544">
        <v>65.483351939675401</v>
      </c>
      <c r="H103" s="478">
        <v>1284254.27</v>
      </c>
      <c r="I103" s="447">
        <f t="shared" si="7"/>
        <v>1249469.0682671049</v>
      </c>
      <c r="J103" s="251">
        <f t="shared" si="7"/>
        <v>1213989.8380965677</v>
      </c>
      <c r="K103" s="251">
        <f t="shared" si="7"/>
        <v>1175263.0571433101</v>
      </c>
      <c r="L103" s="450">
        <f t="shared" si="7"/>
        <v>1139210.2601872652</v>
      </c>
      <c r="M103" s="450">
        <f t="shared" si="7"/>
        <v>1104263.4319421856</v>
      </c>
      <c r="N103" s="450">
        <f t="shared" si="7"/>
        <v>1070388.6453096792</v>
      </c>
      <c r="O103" s="447" t="str">
        <f t="shared" si="8"/>
        <v/>
      </c>
      <c r="P103" s="251" t="str">
        <f t="shared" si="9"/>
        <v/>
      </c>
      <c r="Q103" s="251">
        <f t="shared" si="10"/>
        <v>1070388.6453096792</v>
      </c>
      <c r="R103" s="251" t="str">
        <f t="shared" si="11"/>
        <v/>
      </c>
      <c r="S103" s="450" t="str">
        <f t="shared" si="12"/>
        <v/>
      </c>
      <c r="T103" s="219"/>
    </row>
    <row r="104" spans="1:20">
      <c r="A104" s="474" t="s">
        <v>825</v>
      </c>
      <c r="B104" s="475"/>
      <c r="C104" s="476">
        <v>2473124.65</v>
      </c>
      <c r="D104" s="476">
        <v>-1178222.74</v>
      </c>
      <c r="E104" s="475">
        <v>138</v>
      </c>
      <c r="F104" s="477" t="s">
        <v>2498</v>
      </c>
      <c r="G104" s="544">
        <v>58.865924470246895</v>
      </c>
      <c r="H104" s="478">
        <v>1294901.9099999999</v>
      </c>
      <c r="I104" s="447">
        <f t="shared" si="7"/>
        <v>1259828.3071972923</v>
      </c>
      <c r="J104" s="251">
        <f t="shared" si="7"/>
        <v>1224054.9218277747</v>
      </c>
      <c r="K104" s="251">
        <f t="shared" si="7"/>
        <v>1185007.0605156028</v>
      </c>
      <c r="L104" s="450">
        <f t="shared" si="7"/>
        <v>1148655.3529684481</v>
      </c>
      <c r="M104" s="450">
        <f t="shared" si="7"/>
        <v>1113418.7836222581</v>
      </c>
      <c r="N104" s="450">
        <f t="shared" si="7"/>
        <v>1079263.1440920308</v>
      </c>
      <c r="O104" s="447" t="str">
        <f t="shared" si="8"/>
        <v/>
      </c>
      <c r="P104" s="251" t="str">
        <f t="shared" si="9"/>
        <v/>
      </c>
      <c r="Q104" s="251">
        <f t="shared" si="10"/>
        <v>1079263.1440920308</v>
      </c>
      <c r="R104" s="251" t="str">
        <f t="shared" si="11"/>
        <v/>
      </c>
      <c r="S104" s="450" t="str">
        <f t="shared" si="12"/>
        <v/>
      </c>
      <c r="T104" s="219"/>
    </row>
    <row r="105" spans="1:20">
      <c r="A105" s="474" t="s">
        <v>826</v>
      </c>
      <c r="B105" s="475"/>
      <c r="C105" s="476">
        <v>1571694.03</v>
      </c>
      <c r="D105" s="476">
        <v>-751483.87</v>
      </c>
      <c r="E105" s="475">
        <v>138</v>
      </c>
      <c r="F105" s="477" t="s">
        <v>2498</v>
      </c>
      <c r="G105" s="544">
        <v>42.804567464029503</v>
      </c>
      <c r="H105" s="478">
        <v>820210.16</v>
      </c>
      <c r="I105" s="447">
        <f t="shared" si="7"/>
        <v>797994.01749188895</v>
      </c>
      <c r="J105" s="251">
        <f t="shared" si="7"/>
        <v>775334.62228127127</v>
      </c>
      <c r="K105" s="251">
        <f t="shared" si="7"/>
        <v>750601.12522857613</v>
      </c>
      <c r="L105" s="450">
        <f t="shared" si="7"/>
        <v>727575.41213535424</v>
      </c>
      <c r="M105" s="450">
        <f t="shared" si="7"/>
        <v>705256.04419088224</v>
      </c>
      <c r="N105" s="450">
        <f t="shared" si="7"/>
        <v>683621.35329449608</v>
      </c>
      <c r="O105" s="447" t="str">
        <f t="shared" si="8"/>
        <v/>
      </c>
      <c r="P105" s="251" t="str">
        <f t="shared" si="9"/>
        <v/>
      </c>
      <c r="Q105" s="251">
        <f t="shared" si="10"/>
        <v>683621.35329449608</v>
      </c>
      <c r="R105" s="251" t="str">
        <f t="shared" si="11"/>
        <v/>
      </c>
      <c r="S105" s="450" t="str">
        <f t="shared" si="12"/>
        <v/>
      </c>
      <c r="T105" s="219"/>
    </row>
    <row r="106" spans="1:20">
      <c r="A106" s="474" t="s">
        <v>827</v>
      </c>
      <c r="B106" s="475"/>
      <c r="C106" s="476">
        <v>494319.93</v>
      </c>
      <c r="D106" s="476">
        <v>-222672.66</v>
      </c>
      <c r="E106" s="475">
        <v>138</v>
      </c>
      <c r="F106" s="477" t="s">
        <v>2498</v>
      </c>
      <c r="G106" s="544">
        <v>1.8351650910899999</v>
      </c>
      <c r="H106" s="478">
        <v>271647.27</v>
      </c>
      <c r="I106" s="447">
        <f t="shared" si="7"/>
        <v>264289.45519036718</v>
      </c>
      <c r="J106" s="251">
        <f t="shared" si="7"/>
        <v>256784.8385091798</v>
      </c>
      <c r="K106" s="251">
        <f t="shared" si="7"/>
        <v>248593.29531747184</v>
      </c>
      <c r="L106" s="450">
        <f t="shared" si="7"/>
        <v>240967.35698286627</v>
      </c>
      <c r="M106" s="450">
        <f t="shared" si="7"/>
        <v>233575.35470598476</v>
      </c>
      <c r="N106" s="450">
        <f t="shared" si="7"/>
        <v>226410.11217924365</v>
      </c>
      <c r="O106" s="447" t="str">
        <f t="shared" si="8"/>
        <v/>
      </c>
      <c r="P106" s="251" t="str">
        <f t="shared" si="9"/>
        <v/>
      </c>
      <c r="Q106" s="251">
        <f t="shared" si="10"/>
        <v>226410.11217924365</v>
      </c>
      <c r="R106" s="251" t="str">
        <f t="shared" si="11"/>
        <v/>
      </c>
      <c r="S106" s="450" t="str">
        <f t="shared" si="12"/>
        <v/>
      </c>
      <c r="T106" s="219"/>
    </row>
    <row r="107" spans="1:20">
      <c r="A107" s="474" t="s">
        <v>828</v>
      </c>
      <c r="B107" s="475"/>
      <c r="C107" s="476">
        <v>1691710.13</v>
      </c>
      <c r="D107" s="476">
        <v>-461147.11</v>
      </c>
      <c r="E107" s="475">
        <v>138</v>
      </c>
      <c r="F107" s="477" t="s">
        <v>2498</v>
      </c>
      <c r="G107" s="544">
        <v>12.487117332653</v>
      </c>
      <c r="H107" s="478">
        <v>1230563.02</v>
      </c>
      <c r="I107" s="447">
        <f t="shared" si="7"/>
        <v>1197232.0948898653</v>
      </c>
      <c r="J107" s="251">
        <f t="shared" si="7"/>
        <v>1163236.1568222961</v>
      </c>
      <c r="K107" s="251">
        <f t="shared" si="7"/>
        <v>1126128.439419325</v>
      </c>
      <c r="L107" s="450">
        <f t="shared" si="7"/>
        <v>1091582.9138656685</v>
      </c>
      <c r="M107" s="450">
        <f t="shared" si="7"/>
        <v>1058097.119417279</v>
      </c>
      <c r="N107" s="450">
        <f t="shared" si="7"/>
        <v>1025638.5473773723</v>
      </c>
      <c r="O107" s="447" t="str">
        <f t="shared" si="8"/>
        <v/>
      </c>
      <c r="P107" s="251" t="str">
        <f t="shared" si="9"/>
        <v/>
      </c>
      <c r="Q107" s="251">
        <f t="shared" si="10"/>
        <v>1025638.5473773723</v>
      </c>
      <c r="R107" s="251" t="str">
        <f t="shared" si="11"/>
        <v/>
      </c>
      <c r="S107" s="450" t="str">
        <f t="shared" si="12"/>
        <v/>
      </c>
      <c r="T107" s="219"/>
    </row>
    <row r="108" spans="1:20">
      <c r="A108" s="474" t="s">
        <v>829</v>
      </c>
      <c r="B108" s="475"/>
      <c r="C108" s="476">
        <v>412579.96</v>
      </c>
      <c r="D108" s="476">
        <v>-170560.58</v>
      </c>
      <c r="E108" s="475">
        <v>138</v>
      </c>
      <c r="F108" s="477" t="s">
        <v>2498</v>
      </c>
      <c r="G108" s="544">
        <v>4.1301466595609995</v>
      </c>
      <c r="H108" s="478">
        <v>242019.38</v>
      </c>
      <c r="I108" s="447">
        <f t="shared" si="7"/>
        <v>235464.06369447571</v>
      </c>
      <c r="J108" s="251">
        <f t="shared" si="7"/>
        <v>228777.95683126806</v>
      </c>
      <c r="K108" s="251">
        <f t="shared" si="7"/>
        <v>221479.84481821384</v>
      </c>
      <c r="L108" s="450">
        <f t="shared" si="7"/>
        <v>214685.64855163815</v>
      </c>
      <c r="M108" s="450">
        <f t="shared" si="7"/>
        <v>208099.87352062296</v>
      </c>
      <c r="N108" s="450">
        <f t="shared" si="7"/>
        <v>201716.12611954831</v>
      </c>
      <c r="O108" s="447" t="str">
        <f t="shared" si="8"/>
        <v/>
      </c>
      <c r="P108" s="251" t="str">
        <f t="shared" si="9"/>
        <v/>
      </c>
      <c r="Q108" s="251">
        <f t="shared" si="10"/>
        <v>201716.12611954831</v>
      </c>
      <c r="R108" s="251" t="str">
        <f t="shared" si="11"/>
        <v/>
      </c>
      <c r="S108" s="450" t="str">
        <f t="shared" si="12"/>
        <v/>
      </c>
      <c r="T108" s="219"/>
    </row>
    <row r="109" spans="1:20">
      <c r="A109" s="474" t="s">
        <v>830</v>
      </c>
      <c r="B109" s="475"/>
      <c r="C109" s="476">
        <v>2051296.37</v>
      </c>
      <c r="D109" s="476">
        <v>-977041.6</v>
      </c>
      <c r="E109" s="475">
        <v>138</v>
      </c>
      <c r="F109" s="477" t="s">
        <v>2498</v>
      </c>
      <c r="G109" s="544">
        <v>13.81775524189</v>
      </c>
      <c r="H109" s="478">
        <v>1074254.77</v>
      </c>
      <c r="I109" s="447">
        <f t="shared" si="7"/>
        <v>1045157.5968311891</v>
      </c>
      <c r="J109" s="251">
        <f t="shared" si="7"/>
        <v>1015479.8818046877</v>
      </c>
      <c r="K109" s="251">
        <f t="shared" si="7"/>
        <v>983085.65105334122</v>
      </c>
      <c r="L109" s="450">
        <f t="shared" si="7"/>
        <v>952928.15809684701</v>
      </c>
      <c r="M109" s="450">
        <f t="shared" si="7"/>
        <v>923695.78736184642</v>
      </c>
      <c r="N109" s="450">
        <f t="shared" si="7"/>
        <v>895360.15946262795</v>
      </c>
      <c r="O109" s="447" t="str">
        <f t="shared" si="8"/>
        <v/>
      </c>
      <c r="P109" s="251" t="str">
        <f t="shared" si="9"/>
        <v/>
      </c>
      <c r="Q109" s="251">
        <f t="shared" si="10"/>
        <v>895360.15946262795</v>
      </c>
      <c r="R109" s="251" t="str">
        <f t="shared" si="11"/>
        <v/>
      </c>
      <c r="S109" s="450" t="str">
        <f t="shared" si="12"/>
        <v/>
      </c>
      <c r="T109" s="219"/>
    </row>
    <row r="110" spans="1:20">
      <c r="A110" s="474" t="s">
        <v>831</v>
      </c>
      <c r="B110" s="475"/>
      <c r="C110" s="476">
        <v>92860.66</v>
      </c>
      <c r="D110" s="476">
        <v>-111756.28</v>
      </c>
      <c r="E110" s="475">
        <v>138</v>
      </c>
      <c r="F110" s="477" t="s">
        <v>2498</v>
      </c>
      <c r="G110" s="544">
        <v>1.2813402433199998</v>
      </c>
      <c r="H110" s="478">
        <v>-18895.62</v>
      </c>
      <c r="I110" s="447">
        <f t="shared" ref="I110:N152" si="13">+$H110*(I$3)</f>
        <v>-18383.81484667306</v>
      </c>
      <c r="J110" s="251">
        <f t="shared" si="13"/>
        <v>-17861.798243843303</v>
      </c>
      <c r="K110" s="251">
        <f t="shared" si="13"/>
        <v>-17291.999447911723</v>
      </c>
      <c r="L110" s="450">
        <f t="shared" si="13"/>
        <v>-16761.543784160196</v>
      </c>
      <c r="M110" s="450">
        <f t="shared" si="13"/>
        <v>-16247.360571263975</v>
      </c>
      <c r="N110" s="450">
        <f t="shared" si="13"/>
        <v>-15748.950629602718</v>
      </c>
      <c r="O110" s="447" t="str">
        <f t="shared" si="8"/>
        <v/>
      </c>
      <c r="P110" s="251" t="str">
        <f t="shared" si="9"/>
        <v/>
      </c>
      <c r="Q110" s="251">
        <f t="shared" si="10"/>
        <v>-15748.950629602718</v>
      </c>
      <c r="R110" s="251" t="str">
        <f t="shared" si="11"/>
        <v/>
      </c>
      <c r="S110" s="450" t="str">
        <f t="shared" si="12"/>
        <v/>
      </c>
      <c r="T110" s="219"/>
    </row>
    <row r="111" spans="1:20">
      <c r="A111" s="474" t="s">
        <v>832</v>
      </c>
      <c r="B111" s="475"/>
      <c r="C111" s="476">
        <v>1133565.19</v>
      </c>
      <c r="D111" s="476">
        <v>-523640.1</v>
      </c>
      <c r="E111" s="475">
        <v>138</v>
      </c>
      <c r="F111" s="477" t="s">
        <v>2498</v>
      </c>
      <c r="G111" s="544">
        <v>34.434748378399995</v>
      </c>
      <c r="H111" s="478">
        <v>609925.09</v>
      </c>
      <c r="I111" s="447">
        <f t="shared" si="13"/>
        <v>593404.71098066121</v>
      </c>
      <c r="J111" s="251">
        <f t="shared" si="13"/>
        <v>576554.72016467142</v>
      </c>
      <c r="K111" s="251">
        <f t="shared" si="13"/>
        <v>558162.38469801506</v>
      </c>
      <c r="L111" s="450">
        <f t="shared" si="13"/>
        <v>541039.99239468458</v>
      </c>
      <c r="M111" s="450">
        <f t="shared" si="13"/>
        <v>524442.85282465629</v>
      </c>
      <c r="N111" s="450">
        <f t="shared" si="13"/>
        <v>508354.85314406164</v>
      </c>
      <c r="O111" s="447" t="str">
        <f t="shared" si="8"/>
        <v/>
      </c>
      <c r="P111" s="251" t="str">
        <f t="shared" si="9"/>
        <v/>
      </c>
      <c r="Q111" s="251">
        <f t="shared" si="10"/>
        <v>508354.85314406164</v>
      </c>
      <c r="R111" s="251" t="str">
        <f t="shared" si="11"/>
        <v/>
      </c>
      <c r="S111" s="450" t="str">
        <f t="shared" si="12"/>
        <v/>
      </c>
      <c r="T111" s="219"/>
    </row>
    <row r="112" spans="1:20">
      <c r="A112" s="474" t="s">
        <v>833</v>
      </c>
      <c r="B112" s="475"/>
      <c r="C112" s="476">
        <v>3417918.07</v>
      </c>
      <c r="D112" s="476">
        <v>-2742527.06</v>
      </c>
      <c r="E112" s="475">
        <v>138</v>
      </c>
      <c r="F112" s="477" t="s">
        <v>2498</v>
      </c>
      <c r="G112" s="544">
        <v>27.81266188104</v>
      </c>
      <c r="H112" s="478">
        <v>675391.01</v>
      </c>
      <c r="I112" s="447">
        <f t="shared" si="13"/>
        <v>657097.42664953636</v>
      </c>
      <c r="J112" s="251">
        <f t="shared" si="13"/>
        <v>638438.85283073829</v>
      </c>
      <c r="K112" s="251">
        <f t="shared" si="13"/>
        <v>618072.38778322923</v>
      </c>
      <c r="L112" s="450">
        <f t="shared" si="13"/>
        <v>599112.1744374187</v>
      </c>
      <c r="M112" s="450">
        <f t="shared" si="13"/>
        <v>580733.59149158129</v>
      </c>
      <c r="N112" s="450">
        <f t="shared" si="13"/>
        <v>562918.79664004222</v>
      </c>
      <c r="O112" s="447" t="str">
        <f t="shared" si="8"/>
        <v/>
      </c>
      <c r="P112" s="251" t="str">
        <f t="shared" si="9"/>
        <v/>
      </c>
      <c r="Q112" s="251">
        <f t="shared" si="10"/>
        <v>562918.79664004222</v>
      </c>
      <c r="R112" s="251" t="str">
        <f t="shared" si="11"/>
        <v/>
      </c>
      <c r="S112" s="450" t="str">
        <f t="shared" si="12"/>
        <v/>
      </c>
      <c r="T112" s="219"/>
    </row>
    <row r="113" spans="1:20">
      <c r="A113" s="474" t="s">
        <v>834</v>
      </c>
      <c r="B113" s="475"/>
      <c r="C113" s="476">
        <v>62854.86</v>
      </c>
      <c r="D113" s="476">
        <v>-11121.2</v>
      </c>
      <c r="E113" s="475">
        <v>138</v>
      </c>
      <c r="F113" s="477" t="s">
        <v>2498</v>
      </c>
      <c r="G113" s="544">
        <v>6.8933048153799997E-2</v>
      </c>
      <c r="H113" s="478">
        <v>51733.66</v>
      </c>
      <c r="I113" s="447">
        <f t="shared" si="13"/>
        <v>50332.406493183938</v>
      </c>
      <c r="J113" s="251">
        <f t="shared" si="13"/>
        <v>48903.19541436516</v>
      </c>
      <c r="K113" s="251">
        <f t="shared" si="13"/>
        <v>47343.163132961658</v>
      </c>
      <c r="L113" s="450">
        <f t="shared" si="13"/>
        <v>45890.847043116715</v>
      </c>
      <c r="M113" s="450">
        <f t="shared" si="13"/>
        <v>44483.08272981656</v>
      </c>
      <c r="N113" s="450">
        <f t="shared" si="13"/>
        <v>43118.503506561465</v>
      </c>
      <c r="O113" s="447" t="str">
        <f t="shared" si="8"/>
        <v/>
      </c>
      <c r="P113" s="251" t="str">
        <f t="shared" si="9"/>
        <v/>
      </c>
      <c r="Q113" s="251">
        <f t="shared" si="10"/>
        <v>43118.503506561465</v>
      </c>
      <c r="R113" s="251" t="str">
        <f t="shared" si="11"/>
        <v/>
      </c>
      <c r="S113" s="450" t="str">
        <f t="shared" si="12"/>
        <v/>
      </c>
      <c r="T113" s="219"/>
    </row>
    <row r="114" spans="1:20">
      <c r="A114" s="474" t="s">
        <v>835</v>
      </c>
      <c r="B114" s="475"/>
      <c r="C114" s="476">
        <v>961763.48</v>
      </c>
      <c r="D114" s="476">
        <v>-308261.58</v>
      </c>
      <c r="E114" s="475">
        <v>138</v>
      </c>
      <c r="F114" s="477" t="s">
        <v>2499</v>
      </c>
      <c r="G114" s="544">
        <v>21.471579203599997</v>
      </c>
      <c r="H114" s="478">
        <v>653501.9</v>
      </c>
      <c r="I114" s="447">
        <f t="shared" si="13"/>
        <v>635801.20321794436</v>
      </c>
      <c r="J114" s="251">
        <f t="shared" si="13"/>
        <v>617747.34513968125</v>
      </c>
      <c r="K114" s="251">
        <f t="shared" si="13"/>
        <v>598040.9477968578</v>
      </c>
      <c r="L114" s="450">
        <f t="shared" si="13"/>
        <v>579695.22618902579</v>
      </c>
      <c r="M114" s="450">
        <f t="shared" si="13"/>
        <v>561912.28460913664</v>
      </c>
      <c r="N114" s="450">
        <f t="shared" si="13"/>
        <v>544674.85901238339</v>
      </c>
      <c r="O114" s="447" t="str">
        <f t="shared" si="8"/>
        <v/>
      </c>
      <c r="P114" s="251" t="str">
        <f t="shared" si="9"/>
        <v/>
      </c>
      <c r="Q114" s="251" t="str">
        <f t="shared" si="10"/>
        <v/>
      </c>
      <c r="R114" s="251" t="str">
        <f t="shared" si="11"/>
        <v/>
      </c>
      <c r="S114" s="450">
        <f t="shared" si="12"/>
        <v>544674.85901238339</v>
      </c>
      <c r="T114" s="219"/>
    </row>
    <row r="115" spans="1:20">
      <c r="A115" s="474" t="s">
        <v>836</v>
      </c>
      <c r="B115" s="475"/>
      <c r="C115" s="476">
        <v>728367.92</v>
      </c>
      <c r="D115" s="476">
        <v>-386278.17</v>
      </c>
      <c r="E115" s="475">
        <v>138</v>
      </c>
      <c r="F115" s="477" t="s">
        <v>2498</v>
      </c>
      <c r="G115" s="544">
        <v>26.504747733351095</v>
      </c>
      <c r="H115" s="478">
        <v>342089.75</v>
      </c>
      <c r="I115" s="447">
        <f t="shared" si="13"/>
        <v>332823.93617910793</v>
      </c>
      <c r="J115" s="251">
        <f t="shared" si="13"/>
        <v>323373.25241441111</v>
      </c>
      <c r="K115" s="251">
        <f t="shared" si="13"/>
        <v>313057.51111295947</v>
      </c>
      <c r="L115" s="450">
        <f t="shared" si="13"/>
        <v>303454.04505051521</v>
      </c>
      <c r="M115" s="450">
        <f t="shared" si="13"/>
        <v>294145.1784055538</v>
      </c>
      <c r="N115" s="450">
        <f t="shared" si="13"/>
        <v>285121.87393920583</v>
      </c>
      <c r="O115" s="447" t="str">
        <f t="shared" si="8"/>
        <v/>
      </c>
      <c r="P115" s="251" t="str">
        <f t="shared" si="9"/>
        <v/>
      </c>
      <c r="Q115" s="251">
        <f t="shared" si="10"/>
        <v>285121.87393920583</v>
      </c>
      <c r="R115" s="251" t="str">
        <f t="shared" si="11"/>
        <v/>
      </c>
      <c r="S115" s="450" t="str">
        <f t="shared" si="12"/>
        <v/>
      </c>
      <c r="T115" s="219"/>
    </row>
    <row r="116" spans="1:20">
      <c r="A116" s="474" t="s">
        <v>837</v>
      </c>
      <c r="B116" s="475"/>
      <c r="C116" s="476">
        <v>2667932.6</v>
      </c>
      <c r="D116" s="476">
        <v>-2066318.64</v>
      </c>
      <c r="E116" s="475">
        <v>138</v>
      </c>
      <c r="F116" s="477" t="s">
        <v>2498</v>
      </c>
      <c r="G116" s="544">
        <v>53.220417589439997</v>
      </c>
      <c r="H116" s="478">
        <v>601613.96</v>
      </c>
      <c r="I116" s="447">
        <f t="shared" si="13"/>
        <v>585318.69553969498</v>
      </c>
      <c r="J116" s="251">
        <f t="shared" si="13"/>
        <v>568698.31073019118</v>
      </c>
      <c r="K116" s="251">
        <f t="shared" si="13"/>
        <v>550556.59799339669</v>
      </c>
      <c r="L116" s="450">
        <f t="shared" si="13"/>
        <v>533667.52356906002</v>
      </c>
      <c r="M116" s="450">
        <f t="shared" si="13"/>
        <v>517296.54453391751</v>
      </c>
      <c r="N116" s="450">
        <f t="shared" si="13"/>
        <v>501427.76760539127</v>
      </c>
      <c r="O116" s="447" t="str">
        <f t="shared" si="8"/>
        <v/>
      </c>
      <c r="P116" s="251" t="str">
        <f t="shared" si="9"/>
        <v/>
      </c>
      <c r="Q116" s="251">
        <f t="shared" si="10"/>
        <v>501427.76760539127</v>
      </c>
      <c r="R116" s="251" t="str">
        <f t="shared" si="11"/>
        <v/>
      </c>
      <c r="S116" s="450" t="str">
        <f t="shared" si="12"/>
        <v/>
      </c>
      <c r="T116" s="219"/>
    </row>
    <row r="117" spans="1:20">
      <c r="A117" s="474" t="s">
        <v>838</v>
      </c>
      <c r="B117" s="475"/>
      <c r="C117" s="476">
        <v>6146243.8600000003</v>
      </c>
      <c r="D117" s="476">
        <v>-3731047.52</v>
      </c>
      <c r="E117" s="475">
        <v>138</v>
      </c>
      <c r="F117" s="477" t="s">
        <v>2499</v>
      </c>
      <c r="G117" s="544">
        <v>83.093509567449999</v>
      </c>
      <c r="H117" s="478">
        <v>2415196.34</v>
      </c>
      <c r="I117" s="447">
        <f t="shared" si="13"/>
        <v>2349778.5377205103</v>
      </c>
      <c r="J117" s="251">
        <f t="shared" si="13"/>
        <v>2283055.5305593982</v>
      </c>
      <c r="K117" s="251">
        <f t="shared" si="13"/>
        <v>2210225.1091987672</v>
      </c>
      <c r="L117" s="450">
        <f t="shared" si="13"/>
        <v>2142423.4399428787</v>
      </c>
      <c r="M117" s="450">
        <f t="shared" si="13"/>
        <v>2076701.6793509321</v>
      </c>
      <c r="N117" s="450">
        <f t="shared" si="13"/>
        <v>2012996.0233883397</v>
      </c>
      <c r="O117" s="447" t="str">
        <f t="shared" si="8"/>
        <v/>
      </c>
      <c r="P117" s="251" t="str">
        <f t="shared" si="9"/>
        <v/>
      </c>
      <c r="Q117" s="251" t="str">
        <f t="shared" si="10"/>
        <v/>
      </c>
      <c r="R117" s="251" t="str">
        <f t="shared" si="11"/>
        <v/>
      </c>
      <c r="S117" s="450">
        <f t="shared" si="12"/>
        <v>2012996.0233883397</v>
      </c>
      <c r="T117" s="219"/>
    </row>
    <row r="118" spans="1:20">
      <c r="A118" s="474" t="s">
        <v>839</v>
      </c>
      <c r="B118" s="475"/>
      <c r="C118" s="476">
        <v>3791813.91</v>
      </c>
      <c r="D118" s="476">
        <v>-2338129.64</v>
      </c>
      <c r="E118" s="475">
        <v>138</v>
      </c>
      <c r="F118" s="477" t="s">
        <v>2498</v>
      </c>
      <c r="G118" s="544">
        <v>83.452772722489982</v>
      </c>
      <c r="H118" s="478">
        <v>1453684.27</v>
      </c>
      <c r="I118" s="447">
        <f t="shared" si="13"/>
        <v>1414309.9017233141</v>
      </c>
      <c r="J118" s="251">
        <f t="shared" si="13"/>
        <v>1374149.9427374511</v>
      </c>
      <c r="K118" s="251">
        <f t="shared" si="13"/>
        <v>1330313.98780659</v>
      </c>
      <c r="L118" s="450">
        <f t="shared" si="13"/>
        <v>1289504.7921131963</v>
      </c>
      <c r="M118" s="450">
        <f t="shared" si="13"/>
        <v>1249947.4741482236</v>
      </c>
      <c r="N118" s="450">
        <f t="shared" si="13"/>
        <v>1211603.6308551964</v>
      </c>
      <c r="O118" s="447" t="str">
        <f t="shared" si="8"/>
        <v/>
      </c>
      <c r="P118" s="251" t="str">
        <f t="shared" si="9"/>
        <v/>
      </c>
      <c r="Q118" s="251">
        <f t="shared" si="10"/>
        <v>1211603.6308551964</v>
      </c>
      <c r="R118" s="251" t="str">
        <f t="shared" si="11"/>
        <v/>
      </c>
      <c r="S118" s="450" t="str">
        <f t="shared" si="12"/>
        <v/>
      </c>
      <c r="T118" s="219"/>
    </row>
    <row r="119" spans="1:20">
      <c r="A119" s="474" t="s">
        <v>840</v>
      </c>
      <c r="B119" s="475"/>
      <c r="C119" s="476">
        <v>1171737.6599999999</v>
      </c>
      <c r="D119" s="476">
        <v>-945794.56000000006</v>
      </c>
      <c r="E119" s="475">
        <v>138</v>
      </c>
      <c r="F119" s="477" t="s">
        <v>2498</v>
      </c>
      <c r="G119" s="544">
        <v>25.728203000846701</v>
      </c>
      <c r="H119" s="478">
        <v>225943.1</v>
      </c>
      <c r="I119" s="447">
        <f t="shared" si="13"/>
        <v>219823.22444478329</v>
      </c>
      <c r="J119" s="251">
        <f t="shared" si="13"/>
        <v>213581.24617178543</v>
      </c>
      <c r="K119" s="251">
        <f t="shared" si="13"/>
        <v>206767.91555182965</v>
      </c>
      <c r="L119" s="450">
        <f t="shared" si="13"/>
        <v>200425.02777780703</v>
      </c>
      <c r="M119" s="450">
        <f t="shared" si="13"/>
        <v>194276.71673589721</v>
      </c>
      <c r="N119" s="450">
        <f t="shared" si="13"/>
        <v>188317.01351950291</v>
      </c>
      <c r="O119" s="447" t="str">
        <f t="shared" si="8"/>
        <v/>
      </c>
      <c r="P119" s="251" t="str">
        <f t="shared" si="9"/>
        <v/>
      </c>
      <c r="Q119" s="251">
        <f t="shared" si="10"/>
        <v>188317.01351950291</v>
      </c>
      <c r="R119" s="251" t="str">
        <f t="shared" si="11"/>
        <v/>
      </c>
      <c r="S119" s="450" t="str">
        <f t="shared" si="12"/>
        <v/>
      </c>
      <c r="T119" s="219"/>
    </row>
    <row r="120" spans="1:20">
      <c r="A120" s="474" t="s">
        <v>841</v>
      </c>
      <c r="B120" s="475"/>
      <c r="C120" s="476">
        <v>1221871.33</v>
      </c>
      <c r="D120" s="476">
        <v>-953268.66</v>
      </c>
      <c r="E120" s="475">
        <v>138</v>
      </c>
      <c r="F120" s="477" t="s">
        <v>2499</v>
      </c>
      <c r="G120" s="544">
        <v>20.161602746299998</v>
      </c>
      <c r="H120" s="478">
        <v>268602.67</v>
      </c>
      <c r="I120" s="447">
        <f t="shared" si="13"/>
        <v>261327.32096655332</v>
      </c>
      <c r="J120" s="251">
        <f t="shared" si="13"/>
        <v>253906.81540471403</v>
      </c>
      <c r="K120" s="251">
        <f t="shared" si="13"/>
        <v>245807.08234752892</v>
      </c>
      <c r="L120" s="450">
        <f t="shared" si="13"/>
        <v>238266.61489526846</v>
      </c>
      <c r="M120" s="450">
        <f t="shared" si="13"/>
        <v>230957.46156486153</v>
      </c>
      <c r="N120" s="450">
        <f t="shared" si="13"/>
        <v>223872.52648018274</v>
      </c>
      <c r="O120" s="447" t="str">
        <f t="shared" si="8"/>
        <v/>
      </c>
      <c r="P120" s="251" t="str">
        <f t="shared" si="9"/>
        <v/>
      </c>
      <c r="Q120" s="251" t="str">
        <f t="shared" si="10"/>
        <v/>
      </c>
      <c r="R120" s="251" t="str">
        <f t="shared" si="11"/>
        <v/>
      </c>
      <c r="S120" s="450">
        <f t="shared" si="12"/>
        <v>223872.52648018274</v>
      </c>
      <c r="T120" s="219"/>
    </row>
    <row r="121" spans="1:20" ht="12.75" customHeight="1">
      <c r="A121" s="474" t="s">
        <v>842</v>
      </c>
      <c r="B121" s="475"/>
      <c r="C121" s="476">
        <v>1618752.47</v>
      </c>
      <c r="D121" s="476">
        <v>-534493.47</v>
      </c>
      <c r="E121" s="475">
        <v>138</v>
      </c>
      <c r="F121" s="477" t="s">
        <v>2498</v>
      </c>
      <c r="G121" s="544">
        <v>64.246763207190995</v>
      </c>
      <c r="H121" s="478">
        <v>1084259</v>
      </c>
      <c r="I121" s="447">
        <f t="shared" si="13"/>
        <v>1054890.8531098152</v>
      </c>
      <c r="J121" s="251">
        <f t="shared" si="13"/>
        <v>1024936.7579402685</v>
      </c>
      <c r="K121" s="251">
        <f t="shared" si="13"/>
        <v>992240.84890537162</v>
      </c>
      <c r="L121" s="450">
        <f t="shared" si="13"/>
        <v>961802.50777004159</v>
      </c>
      <c r="M121" s="450">
        <f t="shared" si="13"/>
        <v>932297.90425707691</v>
      </c>
      <c r="N121" s="450">
        <f t="shared" si="13"/>
        <v>903698.39469159592</v>
      </c>
      <c r="O121" s="447" t="str">
        <f t="shared" si="8"/>
        <v/>
      </c>
      <c r="P121" s="251" t="str">
        <f t="shared" si="9"/>
        <v/>
      </c>
      <c r="Q121" s="251">
        <f t="shared" si="10"/>
        <v>903698.39469159592</v>
      </c>
      <c r="R121" s="251" t="str">
        <f t="shared" si="11"/>
        <v/>
      </c>
      <c r="S121" s="450" t="str">
        <f t="shared" si="12"/>
        <v/>
      </c>
      <c r="T121" s="219"/>
    </row>
    <row r="122" spans="1:20">
      <c r="A122" s="474" t="s">
        <v>843</v>
      </c>
      <c r="B122" s="475"/>
      <c r="C122" s="476">
        <v>1380581.6</v>
      </c>
      <c r="D122" s="476">
        <v>-987315.89</v>
      </c>
      <c r="E122" s="475">
        <v>138</v>
      </c>
      <c r="F122" s="477" t="s">
        <v>2499</v>
      </c>
      <c r="G122" s="544">
        <v>69.943987745599998</v>
      </c>
      <c r="H122" s="478">
        <v>393265.71</v>
      </c>
      <c r="I122" s="447">
        <f t="shared" si="13"/>
        <v>382613.74848697329</v>
      </c>
      <c r="J122" s="251">
        <f t="shared" si="13"/>
        <v>371749.26084678835</v>
      </c>
      <c r="K122" s="251">
        <f t="shared" si="13"/>
        <v>359890.30474801105</v>
      </c>
      <c r="L122" s="450">
        <f t="shared" si="13"/>
        <v>348850.17887604894</v>
      </c>
      <c r="M122" s="450">
        <f t="shared" si="13"/>
        <v>338148.72392036533</v>
      </c>
      <c r="N122" s="450">
        <f t="shared" si="13"/>
        <v>327775.550688766</v>
      </c>
      <c r="O122" s="447" t="str">
        <f t="shared" si="8"/>
        <v/>
      </c>
      <c r="P122" s="251" t="str">
        <f t="shared" si="9"/>
        <v/>
      </c>
      <c r="Q122" s="251" t="str">
        <f t="shared" si="10"/>
        <v/>
      </c>
      <c r="R122" s="251" t="str">
        <f t="shared" si="11"/>
        <v/>
      </c>
      <c r="S122" s="450">
        <f t="shared" si="12"/>
        <v>327775.550688766</v>
      </c>
      <c r="T122" s="219"/>
    </row>
    <row r="123" spans="1:20">
      <c r="A123" s="474" t="s">
        <v>844</v>
      </c>
      <c r="B123" s="475"/>
      <c r="C123" s="476">
        <v>3697096.35</v>
      </c>
      <c r="D123" s="476">
        <v>-805720.82</v>
      </c>
      <c r="E123" s="475">
        <v>138</v>
      </c>
      <c r="F123" s="477" t="s">
        <v>2498</v>
      </c>
      <c r="G123" s="544">
        <v>30.416144209179002</v>
      </c>
      <c r="H123" s="478">
        <v>2891375.53</v>
      </c>
      <c r="I123" s="447">
        <f t="shared" si="13"/>
        <v>2813059.9787528105</v>
      </c>
      <c r="J123" s="251">
        <f t="shared" si="13"/>
        <v>2733181.8889269312</v>
      </c>
      <c r="K123" s="251">
        <f t="shared" si="13"/>
        <v>2645992.2494453988</v>
      </c>
      <c r="L123" s="450">
        <f t="shared" si="13"/>
        <v>2564822.8289171983</v>
      </c>
      <c r="M123" s="450">
        <f t="shared" si="13"/>
        <v>2486143.3910525022</v>
      </c>
      <c r="N123" s="450">
        <f t="shared" si="13"/>
        <v>2409877.5522375763</v>
      </c>
      <c r="O123" s="447" t="str">
        <f t="shared" si="8"/>
        <v/>
      </c>
      <c r="P123" s="251" t="str">
        <f t="shared" si="9"/>
        <v/>
      </c>
      <c r="Q123" s="251">
        <f t="shared" si="10"/>
        <v>2409877.5522375763</v>
      </c>
      <c r="R123" s="251" t="str">
        <f t="shared" si="11"/>
        <v/>
      </c>
      <c r="S123" s="450" t="str">
        <f t="shared" si="12"/>
        <v/>
      </c>
      <c r="T123" s="219"/>
    </row>
    <row r="124" spans="1:20">
      <c r="A124" s="474" t="s">
        <v>845</v>
      </c>
      <c r="B124" s="475"/>
      <c r="C124" s="476">
        <v>3143679.63</v>
      </c>
      <c r="D124" s="476">
        <v>-1076097.04</v>
      </c>
      <c r="E124" s="475">
        <v>138</v>
      </c>
      <c r="F124" s="477" t="s">
        <v>2498</v>
      </c>
      <c r="G124" s="544">
        <v>34.70574911373</v>
      </c>
      <c r="H124" s="478">
        <v>2067582.59</v>
      </c>
      <c r="I124" s="447">
        <f t="shared" si="13"/>
        <v>2011580.2241347327</v>
      </c>
      <c r="J124" s="251">
        <f t="shared" si="13"/>
        <v>1954460.5085762199</v>
      </c>
      <c r="K124" s="251">
        <f t="shared" si="13"/>
        <v>1892112.4051389631</v>
      </c>
      <c r="L124" s="450">
        <f t="shared" si="13"/>
        <v>1834069.2768828091</v>
      </c>
      <c r="M124" s="450">
        <f t="shared" si="13"/>
        <v>1777806.7007379411</v>
      </c>
      <c r="N124" s="450">
        <f t="shared" si="13"/>
        <v>1723270.0558402487</v>
      </c>
      <c r="O124" s="447" t="str">
        <f t="shared" si="8"/>
        <v/>
      </c>
      <c r="P124" s="251" t="str">
        <f t="shared" si="9"/>
        <v/>
      </c>
      <c r="Q124" s="251">
        <f t="shared" si="10"/>
        <v>1723270.0558402487</v>
      </c>
      <c r="R124" s="251" t="str">
        <f t="shared" si="11"/>
        <v/>
      </c>
      <c r="S124" s="450" t="str">
        <f t="shared" si="12"/>
        <v/>
      </c>
      <c r="T124" s="219"/>
    </row>
    <row r="125" spans="1:20">
      <c r="A125" s="474" t="s">
        <v>846</v>
      </c>
      <c r="B125" s="475"/>
      <c r="C125" s="476">
        <v>2327464.9700000002</v>
      </c>
      <c r="D125" s="476">
        <v>-1462498.74</v>
      </c>
      <c r="E125" s="475">
        <v>138</v>
      </c>
      <c r="F125" s="477" t="s">
        <v>2498</v>
      </c>
      <c r="G125" s="544">
        <v>47.108165394037904</v>
      </c>
      <c r="H125" s="478">
        <v>864966.23</v>
      </c>
      <c r="I125" s="447">
        <f t="shared" si="13"/>
        <v>841537.82839329029</v>
      </c>
      <c r="J125" s="251">
        <f t="shared" si="13"/>
        <v>817641.98729640851</v>
      </c>
      <c r="K125" s="251">
        <f t="shared" si="13"/>
        <v>791558.86769644415</v>
      </c>
      <c r="L125" s="450">
        <f t="shared" si="13"/>
        <v>767276.71999992488</v>
      </c>
      <c r="M125" s="450">
        <f t="shared" si="13"/>
        <v>743739.46029698139</v>
      </c>
      <c r="N125" s="450">
        <f t="shared" si="13"/>
        <v>720924.23813262489</v>
      </c>
      <c r="O125" s="447" t="str">
        <f t="shared" si="8"/>
        <v/>
      </c>
      <c r="P125" s="251" t="str">
        <f t="shared" si="9"/>
        <v/>
      </c>
      <c r="Q125" s="251">
        <f t="shared" si="10"/>
        <v>720924.23813262489</v>
      </c>
      <c r="R125" s="251" t="str">
        <f t="shared" si="11"/>
        <v/>
      </c>
      <c r="S125" s="450" t="str">
        <f t="shared" si="12"/>
        <v/>
      </c>
      <c r="T125" s="219"/>
    </row>
    <row r="126" spans="1:20">
      <c r="A126" s="474" t="s">
        <v>847</v>
      </c>
      <c r="B126" s="475"/>
      <c r="C126" s="476">
        <v>3273306.32</v>
      </c>
      <c r="D126" s="476">
        <v>-1948185.97</v>
      </c>
      <c r="E126" s="475">
        <v>138</v>
      </c>
      <c r="F126" s="477" t="s">
        <v>2498</v>
      </c>
      <c r="G126" s="544">
        <v>53.890096850845296</v>
      </c>
      <c r="H126" s="478">
        <v>1325120.3500000001</v>
      </c>
      <c r="I126" s="447">
        <f t="shared" si="13"/>
        <v>1289228.2531062015</v>
      </c>
      <c r="J126" s="251">
        <f t="shared" si="13"/>
        <v>1252620.0431904867</v>
      </c>
      <c r="K126" s="251">
        <f t="shared" si="13"/>
        <v>1212660.942621443</v>
      </c>
      <c r="L126" s="450">
        <f t="shared" si="13"/>
        <v>1175460.9145297529</v>
      </c>
      <c r="M126" s="450">
        <f t="shared" si="13"/>
        <v>1139402.0480285655</v>
      </c>
      <c r="N126" s="450">
        <f t="shared" si="13"/>
        <v>1104449.3364299173</v>
      </c>
      <c r="O126" s="447" t="str">
        <f t="shared" si="8"/>
        <v/>
      </c>
      <c r="P126" s="251" t="str">
        <f t="shared" si="9"/>
        <v/>
      </c>
      <c r="Q126" s="251">
        <f t="shared" si="10"/>
        <v>1104449.3364299173</v>
      </c>
      <c r="R126" s="251" t="str">
        <f t="shared" si="11"/>
        <v/>
      </c>
      <c r="S126" s="450" t="str">
        <f t="shared" si="12"/>
        <v/>
      </c>
      <c r="T126" s="219"/>
    </row>
    <row r="127" spans="1:20">
      <c r="A127" s="474" t="s">
        <v>848</v>
      </c>
      <c r="B127" s="475"/>
      <c r="C127" s="476">
        <v>1528902.7</v>
      </c>
      <c r="D127" s="476">
        <v>-1322603.69</v>
      </c>
      <c r="E127" s="475">
        <v>138</v>
      </c>
      <c r="F127" s="477" t="s">
        <v>2498</v>
      </c>
      <c r="G127" s="544">
        <v>46.941528805159997</v>
      </c>
      <c r="H127" s="478">
        <v>206299.01</v>
      </c>
      <c r="I127" s="447">
        <f t="shared" si="13"/>
        <v>200711.21259275716</v>
      </c>
      <c r="J127" s="251">
        <f t="shared" si="13"/>
        <v>195011.92840058237</v>
      </c>
      <c r="K127" s="251">
        <f t="shared" si="13"/>
        <v>188790.96674386633</v>
      </c>
      <c r="L127" s="450">
        <f t="shared" si="13"/>
        <v>182999.54638926391</v>
      </c>
      <c r="M127" s="450">
        <f t="shared" si="13"/>
        <v>177385.78575166059</v>
      </c>
      <c r="N127" s="450">
        <f t="shared" si="13"/>
        <v>171944.23487696712</v>
      </c>
      <c r="O127" s="447" t="str">
        <f t="shared" si="8"/>
        <v/>
      </c>
      <c r="P127" s="251" t="str">
        <f t="shared" si="9"/>
        <v/>
      </c>
      <c r="Q127" s="251">
        <f t="shared" si="10"/>
        <v>171944.23487696712</v>
      </c>
      <c r="R127" s="251" t="str">
        <f t="shared" si="11"/>
        <v/>
      </c>
      <c r="S127" s="450" t="str">
        <f t="shared" si="12"/>
        <v/>
      </c>
      <c r="T127" s="219"/>
    </row>
    <row r="128" spans="1:20">
      <c r="A128" s="474" t="s">
        <v>849</v>
      </c>
      <c r="B128" s="475"/>
      <c r="C128" s="476">
        <v>972375.29</v>
      </c>
      <c r="D128" s="476">
        <v>-792164.69</v>
      </c>
      <c r="E128" s="475">
        <v>138</v>
      </c>
      <c r="F128" s="477" t="s">
        <v>2498</v>
      </c>
      <c r="G128" s="544">
        <v>29.168295867144003</v>
      </c>
      <c r="H128" s="478">
        <v>180210.6</v>
      </c>
      <c r="I128" s="447">
        <f t="shared" si="13"/>
        <v>175329.43104316556</v>
      </c>
      <c r="J128" s="251">
        <f t="shared" si="13"/>
        <v>170350.87383223986</v>
      </c>
      <c r="K128" s="251">
        <f t="shared" si="13"/>
        <v>164916.61007724758</v>
      </c>
      <c r="L128" s="450">
        <f t="shared" si="13"/>
        <v>159857.56817028389</v>
      </c>
      <c r="M128" s="450">
        <f t="shared" si="13"/>
        <v>154953.71927271102</v>
      </c>
      <c r="N128" s="450">
        <f t="shared" si="13"/>
        <v>150200.30262733289</v>
      </c>
      <c r="O128" s="447" t="str">
        <f t="shared" si="8"/>
        <v/>
      </c>
      <c r="P128" s="251" t="str">
        <f t="shared" si="9"/>
        <v/>
      </c>
      <c r="Q128" s="251">
        <f t="shared" si="10"/>
        <v>150200.30262733289</v>
      </c>
      <c r="R128" s="251" t="str">
        <f t="shared" si="11"/>
        <v/>
      </c>
      <c r="S128" s="450" t="str">
        <f t="shared" si="12"/>
        <v/>
      </c>
      <c r="T128" s="219"/>
    </row>
    <row r="129" spans="1:20">
      <c r="A129" s="474" t="s">
        <v>850</v>
      </c>
      <c r="B129" s="475"/>
      <c r="C129" s="476">
        <v>2745403.31</v>
      </c>
      <c r="D129" s="476">
        <v>-880939.03</v>
      </c>
      <c r="E129" s="475">
        <v>25</v>
      </c>
      <c r="F129" s="477" t="s">
        <v>2498</v>
      </c>
      <c r="G129" s="544">
        <v>3.0083269936369996</v>
      </c>
      <c r="H129" s="478">
        <v>1864464.28</v>
      </c>
      <c r="I129" s="447">
        <f t="shared" si="13"/>
        <v>1813963.5593727857</v>
      </c>
      <c r="J129" s="251">
        <f t="shared" si="13"/>
        <v>1762455.2569438086</v>
      </c>
      <c r="K129" s="251">
        <f t="shared" si="13"/>
        <v>1706232.2009233425</v>
      </c>
      <c r="L129" s="450">
        <f t="shared" si="13"/>
        <v>1653891.2014118996</v>
      </c>
      <c r="M129" s="450">
        <f t="shared" si="13"/>
        <v>1603155.8334366418</v>
      </c>
      <c r="N129" s="450">
        <f t="shared" si="13"/>
        <v>1553976.8420606351</v>
      </c>
      <c r="O129" s="447" t="str">
        <f t="shared" si="8"/>
        <v/>
      </c>
      <c r="P129" s="251" t="str">
        <f t="shared" si="9"/>
        <v/>
      </c>
      <c r="Q129" s="251" t="str">
        <f t="shared" si="10"/>
        <v/>
      </c>
      <c r="R129" s="251" t="str">
        <f t="shared" si="11"/>
        <v/>
      </c>
      <c r="S129" s="450">
        <f t="shared" si="12"/>
        <v>1553976.8420606351</v>
      </c>
      <c r="T129" s="219"/>
    </row>
    <row r="130" spans="1:20">
      <c r="A130" s="474" t="s">
        <v>1158</v>
      </c>
      <c r="B130" s="475"/>
      <c r="C130" s="476">
        <v>302635.68</v>
      </c>
      <c r="D130" s="476">
        <v>-211399.82</v>
      </c>
      <c r="E130" s="475">
        <v>138</v>
      </c>
      <c r="F130" s="477" t="s">
        <v>2499</v>
      </c>
      <c r="G130" s="544">
        <v>8.3934692685499996</v>
      </c>
      <c r="H130" s="478">
        <v>91235.86</v>
      </c>
      <c r="I130" s="447">
        <f t="shared" si="13"/>
        <v>88764.653269751652</v>
      </c>
      <c r="J130" s="251">
        <f t="shared" si="13"/>
        <v>86244.141442489505</v>
      </c>
      <c r="K130" s="251">
        <f t="shared" si="13"/>
        <v>83492.917445934625</v>
      </c>
      <c r="L130" s="450">
        <f t="shared" si="13"/>
        <v>80931.658345982301</v>
      </c>
      <c r="M130" s="450">
        <f t="shared" si="13"/>
        <v>78448.969361648895</v>
      </c>
      <c r="N130" s="450">
        <f t="shared" si="13"/>
        <v>76042.440247493621</v>
      </c>
      <c r="O130" s="447" t="str">
        <f t="shared" si="8"/>
        <v/>
      </c>
      <c r="P130" s="251" t="str">
        <f t="shared" si="9"/>
        <v/>
      </c>
      <c r="Q130" s="251" t="str">
        <f t="shared" si="10"/>
        <v/>
      </c>
      <c r="R130" s="251" t="str">
        <f t="shared" si="11"/>
        <v/>
      </c>
      <c r="S130" s="450">
        <f t="shared" si="12"/>
        <v>76042.440247493621</v>
      </c>
      <c r="T130" s="219"/>
    </row>
    <row r="131" spans="1:20">
      <c r="A131" s="474" t="s">
        <v>1159</v>
      </c>
      <c r="B131" s="475"/>
      <c r="C131" s="476">
        <v>1490703.48</v>
      </c>
      <c r="D131" s="476">
        <v>-740167.48</v>
      </c>
      <c r="E131" s="475">
        <v>138</v>
      </c>
      <c r="F131" s="477" t="s">
        <v>2498</v>
      </c>
      <c r="G131" s="544">
        <v>32.320703273027995</v>
      </c>
      <c r="H131" s="478">
        <v>750536</v>
      </c>
      <c r="I131" s="447">
        <f t="shared" si="13"/>
        <v>730207.04585309245</v>
      </c>
      <c r="J131" s="251">
        <f t="shared" si="13"/>
        <v>709472.49186537298</v>
      </c>
      <c r="K131" s="251">
        <f t="shared" si="13"/>
        <v>686840.02417691902</v>
      </c>
      <c r="L131" s="450">
        <f t="shared" si="13"/>
        <v>665770.26980794803</v>
      </c>
      <c r="M131" s="450">
        <f t="shared" si="13"/>
        <v>645346.85888656625</v>
      </c>
      <c r="N131" s="450">
        <f t="shared" si="13"/>
        <v>625549.96394611581</v>
      </c>
      <c r="O131" s="447" t="str">
        <f t="shared" si="8"/>
        <v/>
      </c>
      <c r="P131" s="251" t="str">
        <f t="shared" si="9"/>
        <v/>
      </c>
      <c r="Q131" s="251">
        <f t="shared" si="10"/>
        <v>625549.96394611581</v>
      </c>
      <c r="R131" s="251" t="str">
        <f t="shared" si="11"/>
        <v/>
      </c>
      <c r="S131" s="450" t="str">
        <f t="shared" si="12"/>
        <v/>
      </c>
      <c r="T131" s="219"/>
    </row>
    <row r="132" spans="1:20">
      <c r="A132" s="474" t="s">
        <v>851</v>
      </c>
      <c r="B132" s="475"/>
      <c r="C132" s="476">
        <v>995669.39</v>
      </c>
      <c r="D132" s="476">
        <v>-356452.21</v>
      </c>
      <c r="E132" s="475">
        <v>138</v>
      </c>
      <c r="F132" s="477" t="s">
        <v>2498</v>
      </c>
      <c r="G132" s="544">
        <v>12.1890670308947</v>
      </c>
      <c r="H132" s="478">
        <v>639217.18000000005</v>
      </c>
      <c r="I132" s="447">
        <f t="shared" si="13"/>
        <v>621903.39792674105</v>
      </c>
      <c r="J132" s="251">
        <f t="shared" si="13"/>
        <v>604244.17421383737</v>
      </c>
      <c r="K132" s="251">
        <f t="shared" si="13"/>
        <v>584968.53364195989</v>
      </c>
      <c r="L132" s="450">
        <f t="shared" si="13"/>
        <v>567023.82616486843</v>
      </c>
      <c r="M132" s="450">
        <f t="shared" si="13"/>
        <v>549629.597060406</v>
      </c>
      <c r="N132" s="450">
        <f t="shared" si="13"/>
        <v>532768.95965381793</v>
      </c>
      <c r="O132" s="447" t="str">
        <f t="shared" si="8"/>
        <v/>
      </c>
      <c r="P132" s="251" t="str">
        <f t="shared" si="9"/>
        <v/>
      </c>
      <c r="Q132" s="251">
        <f t="shared" si="10"/>
        <v>532768.95965381793</v>
      </c>
      <c r="R132" s="251" t="str">
        <f t="shared" si="11"/>
        <v/>
      </c>
      <c r="S132" s="450" t="str">
        <f t="shared" si="12"/>
        <v/>
      </c>
      <c r="T132" s="219"/>
    </row>
    <row r="133" spans="1:20">
      <c r="A133" s="474" t="s">
        <v>852</v>
      </c>
      <c r="B133" s="475"/>
      <c r="C133" s="476">
        <v>433339.78</v>
      </c>
      <c r="D133" s="476">
        <v>-267147.02</v>
      </c>
      <c r="E133" s="475">
        <v>138</v>
      </c>
      <c r="F133" s="477" t="s">
        <v>2498</v>
      </c>
      <c r="G133" s="544">
        <v>4.0525813565650006</v>
      </c>
      <c r="H133" s="478">
        <v>166192.76</v>
      </c>
      <c r="I133" s="447">
        <f t="shared" si="13"/>
        <v>161691.27706302164</v>
      </c>
      <c r="J133" s="251">
        <f t="shared" si="13"/>
        <v>157099.98130294067</v>
      </c>
      <c r="K133" s="251">
        <f t="shared" si="13"/>
        <v>152088.42653307621</v>
      </c>
      <c r="L133" s="450">
        <f t="shared" si="13"/>
        <v>147422.90664981768</v>
      </c>
      <c r="M133" s="450">
        <f t="shared" si="13"/>
        <v>142900.50795123616</v>
      </c>
      <c r="N133" s="450">
        <f t="shared" si="13"/>
        <v>138516.83999982078</v>
      </c>
      <c r="O133" s="447" t="str">
        <f t="shared" si="8"/>
        <v/>
      </c>
      <c r="P133" s="251" t="str">
        <f t="shared" si="9"/>
        <v/>
      </c>
      <c r="Q133" s="251">
        <f t="shared" si="10"/>
        <v>138516.83999982078</v>
      </c>
      <c r="R133" s="251" t="str">
        <f t="shared" si="11"/>
        <v/>
      </c>
      <c r="S133" s="450" t="str">
        <f t="shared" si="12"/>
        <v/>
      </c>
      <c r="T133" s="219"/>
    </row>
    <row r="134" spans="1:20">
      <c r="A134" s="474" t="s">
        <v>853</v>
      </c>
      <c r="B134" s="475"/>
      <c r="C134" s="476">
        <v>564500.49</v>
      </c>
      <c r="D134" s="476">
        <v>-139327.35</v>
      </c>
      <c r="E134" s="475">
        <v>138</v>
      </c>
      <c r="F134" s="477" t="s">
        <v>2498</v>
      </c>
      <c r="G134" s="544">
        <v>3.6647188396529997</v>
      </c>
      <c r="H134" s="478">
        <v>425173.14</v>
      </c>
      <c r="I134" s="447">
        <f t="shared" si="13"/>
        <v>413656.93655665196</v>
      </c>
      <c r="J134" s="251">
        <f t="shared" si="13"/>
        <v>401910.96377792017</v>
      </c>
      <c r="K134" s="251">
        <f t="shared" si="13"/>
        <v>389089.83680593147</v>
      </c>
      <c r="L134" s="450">
        <f t="shared" si="13"/>
        <v>377153.97546938783</v>
      </c>
      <c r="M134" s="450">
        <f t="shared" si="13"/>
        <v>365584.26295599184</v>
      </c>
      <c r="N134" s="450">
        <f t="shared" si="13"/>
        <v>354369.46715128503</v>
      </c>
      <c r="O134" s="447" t="str">
        <f t="shared" ref="O134:O197" si="14">IF(AND(F134="n",$E134=500),$N134,"")</f>
        <v/>
      </c>
      <c r="P134" s="251" t="str">
        <f t="shared" ref="P134:P197" si="15">IF(AND(F134="n",OR($E134=240,$E134=260)),$N134,"")</f>
        <v/>
      </c>
      <c r="Q134" s="251">
        <f t="shared" ref="Q134:Q197" si="16">IF(AND(F134="n",OR($E134=138,$E134=144)),$N134,"")</f>
        <v>354369.46715128503</v>
      </c>
      <c r="R134" s="251" t="str">
        <f t="shared" ref="R134:R197" si="17">IF(AND(F134="n",$E134=69),$N134,"")</f>
        <v/>
      </c>
      <c r="S134" s="450" t="str">
        <f t="shared" ref="S134:S197" si="18">IF(OR(E134=25,F134="y"),$N134,"")</f>
        <v/>
      </c>
      <c r="T134" s="219"/>
    </row>
    <row r="135" spans="1:20">
      <c r="A135" s="474" t="s">
        <v>854</v>
      </c>
      <c r="B135" s="475"/>
      <c r="C135" s="476">
        <v>5045825.54</v>
      </c>
      <c r="D135" s="476">
        <v>-2574635.44</v>
      </c>
      <c r="E135" s="475">
        <v>138</v>
      </c>
      <c r="F135" s="477" t="s">
        <v>2498</v>
      </c>
      <c r="G135" s="544">
        <v>68.3842036461633</v>
      </c>
      <c r="H135" s="478">
        <v>2471190.1</v>
      </c>
      <c r="I135" s="447">
        <f t="shared" si="13"/>
        <v>2404255.6555080744</v>
      </c>
      <c r="J135" s="251">
        <f t="shared" si="13"/>
        <v>2335985.7463466646</v>
      </c>
      <c r="K135" s="251">
        <f t="shared" si="13"/>
        <v>2261466.8290791684</v>
      </c>
      <c r="L135" s="450">
        <f t="shared" si="13"/>
        <v>2192093.2501888387</v>
      </c>
      <c r="M135" s="450">
        <f t="shared" si="13"/>
        <v>2124847.8004340627</v>
      </c>
      <c r="N135" s="450">
        <f t="shared" si="13"/>
        <v>2059665.1965515292</v>
      </c>
      <c r="O135" s="447" t="str">
        <f t="shared" si="14"/>
        <v/>
      </c>
      <c r="P135" s="251" t="str">
        <f t="shared" si="15"/>
        <v/>
      </c>
      <c r="Q135" s="251">
        <f t="shared" si="16"/>
        <v>2059665.1965515292</v>
      </c>
      <c r="R135" s="251" t="str">
        <f t="shared" si="17"/>
        <v/>
      </c>
      <c r="S135" s="450" t="str">
        <f t="shared" si="18"/>
        <v/>
      </c>
      <c r="T135" s="219"/>
    </row>
    <row r="136" spans="1:20">
      <c r="A136" s="474" t="s">
        <v>855</v>
      </c>
      <c r="B136" s="475"/>
      <c r="C136" s="476">
        <v>2679650.7400000002</v>
      </c>
      <c r="D136" s="476">
        <v>-2749964.14</v>
      </c>
      <c r="E136" s="475">
        <v>138</v>
      </c>
      <c r="F136" s="477" t="s">
        <v>2498</v>
      </c>
      <c r="G136" s="544">
        <v>63.391243696365798</v>
      </c>
      <c r="H136" s="478">
        <v>-70313.399999999994</v>
      </c>
      <c r="I136" s="447">
        <f t="shared" si="13"/>
        <v>-68408.897238622565</v>
      </c>
      <c r="J136" s="251">
        <f t="shared" si="13"/>
        <v>-66466.396161578799</v>
      </c>
      <c r="K136" s="251">
        <f t="shared" si="13"/>
        <v>-64346.090468626913</v>
      </c>
      <c r="L136" s="450">
        <f t="shared" si="13"/>
        <v>-62372.186396274352</v>
      </c>
      <c r="M136" s="450">
        <f t="shared" si="13"/>
        <v>-60458.834523107071</v>
      </c>
      <c r="N136" s="450">
        <f t="shared" si="13"/>
        <v>-58604.177327841462</v>
      </c>
      <c r="O136" s="447" t="str">
        <f t="shared" si="14"/>
        <v/>
      </c>
      <c r="P136" s="251" t="str">
        <f t="shared" si="15"/>
        <v/>
      </c>
      <c r="Q136" s="251">
        <f t="shared" si="16"/>
        <v>-58604.177327841462</v>
      </c>
      <c r="R136" s="251" t="str">
        <f t="shared" si="17"/>
        <v/>
      </c>
      <c r="S136" s="450" t="str">
        <f t="shared" si="18"/>
        <v/>
      </c>
      <c r="T136" s="219"/>
    </row>
    <row r="137" spans="1:20">
      <c r="A137" s="474" t="s">
        <v>1160</v>
      </c>
      <c r="B137" s="475"/>
      <c r="C137" s="476">
        <v>64570.94</v>
      </c>
      <c r="D137" s="476">
        <v>-52600.34</v>
      </c>
      <c r="E137" s="475">
        <v>138</v>
      </c>
      <c r="F137" s="477" t="s">
        <v>2499</v>
      </c>
      <c r="G137" s="544">
        <v>0.23621478514399999</v>
      </c>
      <c r="H137" s="478">
        <v>11970.6</v>
      </c>
      <c r="I137" s="447">
        <f t="shared" si="13"/>
        <v>11646.365348349751</v>
      </c>
      <c r="J137" s="251">
        <f t="shared" si="13"/>
        <v>11315.661621992327</v>
      </c>
      <c r="K137" s="251">
        <f t="shared" si="13"/>
        <v>10954.687308020169</v>
      </c>
      <c r="L137" s="450">
        <f t="shared" si="13"/>
        <v>10618.637336201091</v>
      </c>
      <c r="M137" s="450">
        <f t="shared" si="13"/>
        <v>10292.896155530889</v>
      </c>
      <c r="N137" s="450">
        <f t="shared" si="13"/>
        <v>9977.1475297832148</v>
      </c>
      <c r="O137" s="447" t="str">
        <f t="shared" si="14"/>
        <v/>
      </c>
      <c r="P137" s="251" t="str">
        <f t="shared" si="15"/>
        <v/>
      </c>
      <c r="Q137" s="251" t="str">
        <f t="shared" si="16"/>
        <v/>
      </c>
      <c r="R137" s="251" t="str">
        <f t="shared" si="17"/>
        <v/>
      </c>
      <c r="S137" s="450">
        <f t="shared" si="18"/>
        <v>9977.1475297832148</v>
      </c>
      <c r="T137" s="219"/>
    </row>
    <row r="138" spans="1:20">
      <c r="A138" s="474" t="s">
        <v>1161</v>
      </c>
      <c r="B138" s="475"/>
      <c r="C138" s="476">
        <v>58585.19</v>
      </c>
      <c r="D138" s="476">
        <v>-43350.07</v>
      </c>
      <c r="E138" s="475">
        <v>138</v>
      </c>
      <c r="F138" s="477" t="s">
        <v>2499</v>
      </c>
      <c r="G138" s="544">
        <v>0.58985969514600001</v>
      </c>
      <c r="H138" s="478">
        <v>15235.12</v>
      </c>
      <c r="I138" s="447">
        <f t="shared" si="13"/>
        <v>14822.462837781755</v>
      </c>
      <c r="J138" s="251">
        <f t="shared" si="13"/>
        <v>14401.572409941669</v>
      </c>
      <c r="K138" s="251">
        <f t="shared" si="13"/>
        <v>13942.15625784541</v>
      </c>
      <c r="L138" s="450">
        <f t="shared" si="13"/>
        <v>13514.461602050354</v>
      </c>
      <c r="M138" s="450">
        <f t="shared" si="13"/>
        <v>13099.887063058806</v>
      </c>
      <c r="N138" s="450">
        <f t="shared" si="13"/>
        <v>12698.030163396224</v>
      </c>
      <c r="O138" s="447" t="str">
        <f t="shared" si="14"/>
        <v/>
      </c>
      <c r="P138" s="251" t="str">
        <f t="shared" si="15"/>
        <v/>
      </c>
      <c r="Q138" s="251" t="str">
        <f t="shared" si="16"/>
        <v/>
      </c>
      <c r="R138" s="251" t="str">
        <f t="shared" si="17"/>
        <v/>
      </c>
      <c r="S138" s="450">
        <f t="shared" si="18"/>
        <v>12698.030163396224</v>
      </c>
      <c r="T138" s="219"/>
    </row>
    <row r="139" spans="1:20">
      <c r="A139" s="474" t="s">
        <v>856</v>
      </c>
      <c r="B139" s="475"/>
      <c r="C139" s="476">
        <v>1035171.55</v>
      </c>
      <c r="D139" s="476">
        <v>-864645.92</v>
      </c>
      <c r="E139" s="475">
        <v>138</v>
      </c>
      <c r="F139" s="477" t="s">
        <v>2499</v>
      </c>
      <c r="G139" s="544">
        <v>22.918418644099997</v>
      </c>
      <c r="H139" s="478">
        <v>170525.63</v>
      </c>
      <c r="I139" s="447">
        <f t="shared" si="13"/>
        <v>165906.78731538192</v>
      </c>
      <c r="J139" s="251">
        <f t="shared" si="13"/>
        <v>161195.79026590675</v>
      </c>
      <c r="K139" s="251">
        <f t="shared" si="13"/>
        <v>156053.57748593585</v>
      </c>
      <c r="L139" s="450">
        <f t="shared" si="13"/>
        <v>151266.42119001661</v>
      </c>
      <c r="M139" s="450">
        <f t="shared" si="13"/>
        <v>146626.11744160549</v>
      </c>
      <c r="N139" s="450">
        <f t="shared" si="13"/>
        <v>142128.16133854832</v>
      </c>
      <c r="O139" s="447" t="str">
        <f t="shared" si="14"/>
        <v/>
      </c>
      <c r="P139" s="251" t="str">
        <f t="shared" si="15"/>
        <v/>
      </c>
      <c r="Q139" s="251" t="str">
        <f t="shared" si="16"/>
        <v/>
      </c>
      <c r="R139" s="251" t="str">
        <f t="shared" si="17"/>
        <v/>
      </c>
      <c r="S139" s="450">
        <f t="shared" si="18"/>
        <v>142128.16133854832</v>
      </c>
      <c r="T139" s="219"/>
    </row>
    <row r="140" spans="1:20">
      <c r="A140" s="474" t="s">
        <v>857</v>
      </c>
      <c r="B140" s="475"/>
      <c r="C140" s="476">
        <v>3505187.12</v>
      </c>
      <c r="D140" s="476">
        <v>-1272420.95</v>
      </c>
      <c r="E140" s="475">
        <v>138</v>
      </c>
      <c r="F140" s="477" t="s">
        <v>2498</v>
      </c>
      <c r="G140" s="544">
        <v>79.314922496830008</v>
      </c>
      <c r="H140" s="478">
        <v>2232766.17</v>
      </c>
      <c r="I140" s="447">
        <f t="shared" si="13"/>
        <v>2172289.6557612475</v>
      </c>
      <c r="J140" s="251">
        <f t="shared" si="13"/>
        <v>2110606.5243807156</v>
      </c>
      <c r="K140" s="251">
        <f t="shared" si="13"/>
        <v>2043277.2980699216</v>
      </c>
      <c r="L140" s="450">
        <f t="shared" si="13"/>
        <v>1980596.9805831548</v>
      </c>
      <c r="M140" s="450">
        <f t="shared" si="13"/>
        <v>1919839.4673109471</v>
      </c>
      <c r="N140" s="450">
        <f t="shared" si="13"/>
        <v>1860945.7736119349</v>
      </c>
      <c r="O140" s="447" t="str">
        <f t="shared" si="14"/>
        <v/>
      </c>
      <c r="P140" s="251" t="str">
        <f t="shared" si="15"/>
        <v/>
      </c>
      <c r="Q140" s="251">
        <f t="shared" si="16"/>
        <v>1860945.7736119349</v>
      </c>
      <c r="R140" s="251" t="str">
        <f t="shared" si="17"/>
        <v/>
      </c>
      <c r="S140" s="450" t="str">
        <f t="shared" si="18"/>
        <v/>
      </c>
      <c r="T140" s="219"/>
    </row>
    <row r="141" spans="1:20">
      <c r="A141" s="474" t="s">
        <v>858</v>
      </c>
      <c r="B141" s="475"/>
      <c r="C141" s="476">
        <v>57830965.710000001</v>
      </c>
      <c r="D141" s="476">
        <v>-5289064.53</v>
      </c>
      <c r="E141" s="475">
        <v>138</v>
      </c>
      <c r="F141" s="477" t="s">
        <v>2498</v>
      </c>
      <c r="G141" s="544">
        <v>82.817794303362902</v>
      </c>
      <c r="H141" s="478">
        <v>52541901.18</v>
      </c>
      <c r="I141" s="447">
        <f t="shared" si="13"/>
        <v>51118755.721448287</v>
      </c>
      <c r="J141" s="251">
        <f t="shared" si="13"/>
        <v>49667215.906390607</v>
      </c>
      <c r="K141" s="251">
        <f t="shared" si="13"/>
        <v>48082811.053397156</v>
      </c>
      <c r="L141" s="450">
        <f t="shared" si="13"/>
        <v>46607805.254952647</v>
      </c>
      <c r="M141" s="450">
        <f t="shared" si="13"/>
        <v>45178047.270805627</v>
      </c>
      <c r="N141" s="450">
        <f t="shared" si="13"/>
        <v>43792149.062549137</v>
      </c>
      <c r="O141" s="447" t="str">
        <f t="shared" si="14"/>
        <v/>
      </c>
      <c r="P141" s="251" t="str">
        <f t="shared" si="15"/>
        <v/>
      </c>
      <c r="Q141" s="251">
        <f t="shared" si="16"/>
        <v>43792149.062549137</v>
      </c>
      <c r="R141" s="251" t="str">
        <f t="shared" si="17"/>
        <v/>
      </c>
      <c r="S141" s="450" t="str">
        <f t="shared" si="18"/>
        <v/>
      </c>
      <c r="T141" s="219"/>
    </row>
    <row r="142" spans="1:20">
      <c r="A142" s="474" t="s">
        <v>859</v>
      </c>
      <c r="B142" s="475"/>
      <c r="C142" s="476">
        <v>4154533.76</v>
      </c>
      <c r="D142" s="476">
        <v>-490398.65</v>
      </c>
      <c r="E142" s="475">
        <v>138</v>
      </c>
      <c r="F142" s="477" t="s">
        <v>2498</v>
      </c>
      <c r="G142" s="544">
        <v>10.448952650800249</v>
      </c>
      <c r="H142" s="478">
        <v>3664135.11</v>
      </c>
      <c r="I142" s="447">
        <f t="shared" si="13"/>
        <v>3564888.6586115737</v>
      </c>
      <c r="J142" s="251">
        <f t="shared" si="13"/>
        <v>3463662.0588793904</v>
      </c>
      <c r="K142" s="251">
        <f t="shared" si="13"/>
        <v>3353169.7980375327</v>
      </c>
      <c r="L142" s="450">
        <f t="shared" si="13"/>
        <v>3250306.7418451281</v>
      </c>
      <c r="M142" s="450">
        <f t="shared" si="13"/>
        <v>3150599.15017332</v>
      </c>
      <c r="N142" s="450">
        <f t="shared" si="13"/>
        <v>3053950.2248449069</v>
      </c>
      <c r="O142" s="447" t="str">
        <f t="shared" si="14"/>
        <v/>
      </c>
      <c r="P142" s="251" t="str">
        <f t="shared" si="15"/>
        <v/>
      </c>
      <c r="Q142" s="251">
        <f t="shared" si="16"/>
        <v>3053950.2248449069</v>
      </c>
      <c r="R142" s="251" t="str">
        <f t="shared" si="17"/>
        <v/>
      </c>
      <c r="S142" s="450" t="str">
        <f t="shared" si="18"/>
        <v/>
      </c>
      <c r="T142" s="219"/>
    </row>
    <row r="143" spans="1:20">
      <c r="A143" s="474" t="s">
        <v>860</v>
      </c>
      <c r="B143" s="475"/>
      <c r="C143" s="476">
        <v>1363243.35</v>
      </c>
      <c r="D143" s="476">
        <v>-874003.57</v>
      </c>
      <c r="E143" s="475">
        <v>138</v>
      </c>
      <c r="F143" s="477" t="s">
        <v>2498</v>
      </c>
      <c r="G143" s="544">
        <v>11.29816397089979</v>
      </c>
      <c r="H143" s="478">
        <v>489239.78</v>
      </c>
      <c r="I143" s="447">
        <f t="shared" si="13"/>
        <v>475988.27300438209</v>
      </c>
      <c r="J143" s="251">
        <f t="shared" si="13"/>
        <v>462472.37419160025</v>
      </c>
      <c r="K143" s="251">
        <f t="shared" si="13"/>
        <v>447719.31302896934</v>
      </c>
      <c r="L143" s="450">
        <f t="shared" si="13"/>
        <v>433984.912557667</v>
      </c>
      <c r="M143" s="450">
        <f t="shared" si="13"/>
        <v>420671.83355009585</v>
      </c>
      <c r="N143" s="450">
        <f t="shared" si="13"/>
        <v>407767.15139581001</v>
      </c>
      <c r="O143" s="447" t="str">
        <f t="shared" si="14"/>
        <v/>
      </c>
      <c r="P143" s="251" t="str">
        <f t="shared" si="15"/>
        <v/>
      </c>
      <c r="Q143" s="251">
        <f t="shared" si="16"/>
        <v>407767.15139581001</v>
      </c>
      <c r="R143" s="251" t="str">
        <f t="shared" si="17"/>
        <v/>
      </c>
      <c r="S143" s="450" t="str">
        <f t="shared" si="18"/>
        <v/>
      </c>
      <c r="T143" s="219"/>
    </row>
    <row r="144" spans="1:20">
      <c r="A144" s="474" t="s">
        <v>861</v>
      </c>
      <c r="B144" s="475"/>
      <c r="C144" s="476">
        <v>1321445.6299999999</v>
      </c>
      <c r="D144" s="476">
        <v>-785486.61</v>
      </c>
      <c r="E144" s="475">
        <v>138</v>
      </c>
      <c r="F144" s="477" t="s">
        <v>2499</v>
      </c>
      <c r="G144" s="544">
        <v>20.779512955999998</v>
      </c>
      <c r="H144" s="478">
        <v>535959.02</v>
      </c>
      <c r="I144" s="447">
        <f t="shared" si="13"/>
        <v>521442.07965043455</v>
      </c>
      <c r="J144" s="251">
        <f t="shared" si="13"/>
        <v>506635.49977232708</v>
      </c>
      <c r="K144" s="251">
        <f t="shared" si="13"/>
        <v>490473.61652823823</v>
      </c>
      <c r="L144" s="450">
        <f t="shared" si="13"/>
        <v>475427.66949407279</v>
      </c>
      <c r="M144" s="450">
        <f t="shared" si="13"/>
        <v>460843.27740297915</v>
      </c>
      <c r="N144" s="450">
        <f t="shared" si="13"/>
        <v>446706.28142766713</v>
      </c>
      <c r="O144" s="447" t="str">
        <f t="shared" si="14"/>
        <v/>
      </c>
      <c r="P144" s="251" t="str">
        <f t="shared" si="15"/>
        <v/>
      </c>
      <c r="Q144" s="251" t="str">
        <f t="shared" si="16"/>
        <v/>
      </c>
      <c r="R144" s="251" t="str">
        <f t="shared" si="17"/>
        <v/>
      </c>
      <c r="S144" s="450">
        <f t="shared" si="18"/>
        <v>446706.28142766713</v>
      </c>
      <c r="T144" s="219"/>
    </row>
    <row r="145" spans="1:20">
      <c r="A145" s="474" t="s">
        <v>862</v>
      </c>
      <c r="B145" s="475"/>
      <c r="C145" s="476">
        <v>4421367.2699999996</v>
      </c>
      <c r="D145" s="476">
        <v>-2384131.9</v>
      </c>
      <c r="E145" s="475">
        <v>138</v>
      </c>
      <c r="F145" s="477" t="s">
        <v>2498</v>
      </c>
      <c r="G145" s="544">
        <v>77.271551128419986</v>
      </c>
      <c r="H145" s="478">
        <v>2037235.37</v>
      </c>
      <c r="I145" s="447">
        <f t="shared" si="13"/>
        <v>1982054.9863499312</v>
      </c>
      <c r="J145" s="251">
        <f t="shared" si="13"/>
        <v>1925773.6530561827</v>
      </c>
      <c r="K145" s="251">
        <f t="shared" si="13"/>
        <v>1864340.6722460676</v>
      </c>
      <c r="L145" s="450">
        <f t="shared" si="13"/>
        <v>1807149.4797680522</v>
      </c>
      <c r="M145" s="450">
        <f t="shared" si="13"/>
        <v>1751712.7051095641</v>
      </c>
      <c r="N145" s="450">
        <f t="shared" si="13"/>
        <v>1697976.5291115311</v>
      </c>
      <c r="O145" s="447" t="str">
        <f t="shared" si="14"/>
        <v/>
      </c>
      <c r="P145" s="251" t="str">
        <f t="shared" si="15"/>
        <v/>
      </c>
      <c r="Q145" s="251">
        <f t="shared" si="16"/>
        <v>1697976.5291115311</v>
      </c>
      <c r="R145" s="251" t="str">
        <f t="shared" si="17"/>
        <v/>
      </c>
      <c r="S145" s="450" t="str">
        <f t="shared" si="18"/>
        <v/>
      </c>
      <c r="T145" s="219"/>
    </row>
    <row r="146" spans="1:20">
      <c r="A146" s="474" t="s">
        <v>863</v>
      </c>
      <c r="B146" s="475"/>
      <c r="C146" s="476">
        <v>11366.8</v>
      </c>
      <c r="D146" s="476">
        <v>-11624.9</v>
      </c>
      <c r="E146" s="475">
        <v>138</v>
      </c>
      <c r="F146" s="477" t="s">
        <v>2498</v>
      </c>
      <c r="G146" s="544">
        <v>4.8122742701800003E-2</v>
      </c>
      <c r="H146" s="478">
        <v>-258.10000000000002</v>
      </c>
      <c r="I146" s="447">
        <f t="shared" si="13"/>
        <v>-251.10912539129794</v>
      </c>
      <c r="J146" s="251">
        <f t="shared" si="13"/>
        <v>-243.97877003961537</v>
      </c>
      <c r="K146" s="251">
        <f t="shared" si="13"/>
        <v>-236.19574576044693</v>
      </c>
      <c r="L146" s="450">
        <f t="shared" si="13"/>
        <v>-228.95011916474544</v>
      </c>
      <c r="M146" s="450">
        <f t="shared" si="13"/>
        <v>-221.92676204555514</v>
      </c>
      <c r="N146" s="450">
        <f t="shared" si="13"/>
        <v>-215.11885598358043</v>
      </c>
      <c r="O146" s="447" t="str">
        <f t="shared" si="14"/>
        <v/>
      </c>
      <c r="P146" s="251" t="str">
        <f t="shared" si="15"/>
        <v/>
      </c>
      <c r="Q146" s="251">
        <f t="shared" si="16"/>
        <v>-215.11885598358043</v>
      </c>
      <c r="R146" s="251" t="str">
        <f t="shared" si="17"/>
        <v/>
      </c>
      <c r="S146" s="450" t="str">
        <f t="shared" si="18"/>
        <v/>
      </c>
      <c r="T146" s="219"/>
    </row>
    <row r="147" spans="1:20">
      <c r="A147" s="474" t="s">
        <v>864</v>
      </c>
      <c r="B147" s="475"/>
      <c r="C147" s="476">
        <v>3685138.46</v>
      </c>
      <c r="D147" s="476">
        <v>-1301193.44</v>
      </c>
      <c r="E147" s="475">
        <v>138</v>
      </c>
      <c r="F147" s="477" t="s">
        <v>2498</v>
      </c>
      <c r="G147" s="544">
        <v>18.22771801379</v>
      </c>
      <c r="H147" s="478">
        <v>2383945.02</v>
      </c>
      <c r="I147" s="447">
        <f t="shared" si="13"/>
        <v>2319373.6883112756</v>
      </c>
      <c r="J147" s="251">
        <f t="shared" si="13"/>
        <v>2253514.0403784048</v>
      </c>
      <c r="K147" s="251">
        <f t="shared" si="13"/>
        <v>2181626.0048461976</v>
      </c>
      <c r="L147" s="450">
        <f t="shared" si="13"/>
        <v>2114701.6521162395</v>
      </c>
      <c r="M147" s="450">
        <f t="shared" si="13"/>
        <v>2049830.2951694157</v>
      </c>
      <c r="N147" s="450">
        <f t="shared" si="13"/>
        <v>1986948.955560456</v>
      </c>
      <c r="O147" s="447" t="str">
        <f t="shared" si="14"/>
        <v/>
      </c>
      <c r="P147" s="251" t="str">
        <f t="shared" si="15"/>
        <v/>
      </c>
      <c r="Q147" s="251">
        <f t="shared" si="16"/>
        <v>1986948.955560456</v>
      </c>
      <c r="R147" s="251" t="str">
        <f t="shared" si="17"/>
        <v/>
      </c>
      <c r="S147" s="450" t="str">
        <f t="shared" si="18"/>
        <v/>
      </c>
      <c r="T147" s="219"/>
    </row>
    <row r="148" spans="1:20">
      <c r="A148" s="474" t="s">
        <v>865</v>
      </c>
      <c r="B148" s="475"/>
      <c r="C148" s="476">
        <v>1980190.84</v>
      </c>
      <c r="D148" s="476">
        <v>-1156402.8</v>
      </c>
      <c r="E148" s="475">
        <v>138</v>
      </c>
      <c r="F148" s="477" t="s">
        <v>2498</v>
      </c>
      <c r="G148" s="544">
        <v>40.913559601979301</v>
      </c>
      <c r="H148" s="478">
        <v>823788.04</v>
      </c>
      <c r="I148" s="447">
        <f t="shared" si="13"/>
        <v>801474.98733906064</v>
      </c>
      <c r="J148" s="251">
        <f t="shared" si="13"/>
        <v>778716.74844070314</v>
      </c>
      <c r="K148" s="251">
        <f t="shared" si="13"/>
        <v>753875.36015628395</v>
      </c>
      <c r="L148" s="450">
        <f t="shared" si="13"/>
        <v>730749.20544165862</v>
      </c>
      <c r="M148" s="450">
        <f t="shared" si="13"/>
        <v>708332.47705948958</v>
      </c>
      <c r="N148" s="450">
        <f t="shared" si="13"/>
        <v>686603.41238960088</v>
      </c>
      <c r="O148" s="447" t="str">
        <f t="shared" si="14"/>
        <v/>
      </c>
      <c r="P148" s="251" t="str">
        <f t="shared" si="15"/>
        <v/>
      </c>
      <c r="Q148" s="251">
        <f t="shared" si="16"/>
        <v>686603.41238960088</v>
      </c>
      <c r="R148" s="251" t="str">
        <f t="shared" si="17"/>
        <v/>
      </c>
      <c r="S148" s="450" t="str">
        <f t="shared" si="18"/>
        <v/>
      </c>
      <c r="T148" s="219"/>
    </row>
    <row r="149" spans="1:20">
      <c r="A149" s="474" t="s">
        <v>866</v>
      </c>
      <c r="B149" s="475"/>
      <c r="C149" s="476">
        <v>2670830.3199999998</v>
      </c>
      <c r="D149" s="476">
        <v>-1269557.5900000001</v>
      </c>
      <c r="E149" s="475">
        <v>138</v>
      </c>
      <c r="F149" s="477" t="s">
        <v>2498</v>
      </c>
      <c r="G149" s="544">
        <v>23.295140687069999</v>
      </c>
      <c r="H149" s="478">
        <v>1401272.73</v>
      </c>
      <c r="I149" s="447">
        <f t="shared" si="13"/>
        <v>1363317.9762300516</v>
      </c>
      <c r="J149" s="251">
        <f t="shared" si="13"/>
        <v>1324605.9556584812</v>
      </c>
      <c r="K149" s="251">
        <f t="shared" si="13"/>
        <v>1282350.4745297458</v>
      </c>
      <c r="L149" s="450">
        <f t="shared" si="13"/>
        <v>1243012.6250128173</v>
      </c>
      <c r="M149" s="450">
        <f t="shared" si="13"/>
        <v>1204881.5176739071</v>
      </c>
      <c r="N149" s="450">
        <f t="shared" si="13"/>
        <v>1167920.1340510985</v>
      </c>
      <c r="O149" s="447" t="str">
        <f t="shared" si="14"/>
        <v/>
      </c>
      <c r="P149" s="251" t="str">
        <f t="shared" si="15"/>
        <v/>
      </c>
      <c r="Q149" s="251">
        <f t="shared" si="16"/>
        <v>1167920.1340510985</v>
      </c>
      <c r="R149" s="251" t="str">
        <f t="shared" si="17"/>
        <v/>
      </c>
      <c r="S149" s="450" t="str">
        <f t="shared" si="18"/>
        <v/>
      </c>
      <c r="T149" s="219"/>
    </row>
    <row r="150" spans="1:20">
      <c r="A150" s="474" t="s">
        <v>867</v>
      </c>
      <c r="B150" s="475"/>
      <c r="C150" s="476">
        <v>1289752.52</v>
      </c>
      <c r="D150" s="476">
        <v>-1276663.8899999999</v>
      </c>
      <c r="E150" s="475">
        <v>138</v>
      </c>
      <c r="F150" s="477" t="s">
        <v>2498</v>
      </c>
      <c r="G150" s="544">
        <v>28.567233991270001</v>
      </c>
      <c r="H150" s="478">
        <v>13088.63</v>
      </c>
      <c r="I150" s="447">
        <f t="shared" si="13"/>
        <v>12734.112483031009</v>
      </c>
      <c r="J150" s="251">
        <f t="shared" si="13"/>
        <v>12372.521692768736</v>
      </c>
      <c r="K150" s="251">
        <f t="shared" si="13"/>
        <v>11977.833102799528</v>
      </c>
      <c r="L150" s="450">
        <f t="shared" si="13"/>
        <v>11610.396738486097</v>
      </c>
      <c r="M150" s="450">
        <f t="shared" si="13"/>
        <v>11254.231985712182</v>
      </c>
      <c r="N150" s="450">
        <f t="shared" si="13"/>
        <v>10908.993072422974</v>
      </c>
      <c r="O150" s="447" t="str">
        <f t="shared" si="14"/>
        <v/>
      </c>
      <c r="P150" s="251" t="str">
        <f t="shared" si="15"/>
        <v/>
      </c>
      <c r="Q150" s="251">
        <f t="shared" si="16"/>
        <v>10908.993072422974</v>
      </c>
      <c r="R150" s="251" t="str">
        <f t="shared" si="17"/>
        <v/>
      </c>
      <c r="S150" s="450" t="str">
        <f t="shared" si="18"/>
        <v/>
      </c>
      <c r="T150" s="219"/>
    </row>
    <row r="151" spans="1:20">
      <c r="A151" s="474" t="s">
        <v>868</v>
      </c>
      <c r="B151" s="475"/>
      <c r="C151" s="476">
        <v>4359403.3099999996</v>
      </c>
      <c r="D151" s="476">
        <v>-2776313.79</v>
      </c>
      <c r="E151" s="475">
        <v>138</v>
      </c>
      <c r="F151" s="477" t="s">
        <v>2498</v>
      </c>
      <c r="G151" s="544">
        <v>13.384113342402999</v>
      </c>
      <c r="H151" s="478">
        <v>1583089.52</v>
      </c>
      <c r="I151" s="447">
        <f t="shared" si="13"/>
        <v>1540210.0921477319</v>
      </c>
      <c r="J151" s="251">
        <f t="shared" si="13"/>
        <v>1496475.1412328752</v>
      </c>
      <c r="K151" s="251">
        <f t="shared" si="13"/>
        <v>1448736.961572832</v>
      </c>
      <c r="L151" s="450">
        <f t="shared" si="13"/>
        <v>1404294.9796685767</v>
      </c>
      <c r="M151" s="450">
        <f t="shared" si="13"/>
        <v>1361216.3161637043</v>
      </c>
      <c r="N151" s="450">
        <f t="shared" si="13"/>
        <v>1319459.1494071889</v>
      </c>
      <c r="O151" s="447" t="str">
        <f t="shared" si="14"/>
        <v/>
      </c>
      <c r="P151" s="251" t="str">
        <f t="shared" si="15"/>
        <v/>
      </c>
      <c r="Q151" s="251">
        <f t="shared" si="16"/>
        <v>1319459.1494071889</v>
      </c>
      <c r="R151" s="251" t="str">
        <f t="shared" si="17"/>
        <v/>
      </c>
      <c r="S151" s="450" t="str">
        <f t="shared" si="18"/>
        <v/>
      </c>
      <c r="T151" s="219"/>
    </row>
    <row r="152" spans="1:20">
      <c r="A152" s="474" t="s">
        <v>869</v>
      </c>
      <c r="B152" s="475"/>
      <c r="C152" s="476">
        <v>2185126.6800000002</v>
      </c>
      <c r="D152" s="476">
        <v>-558931.72</v>
      </c>
      <c r="E152" s="475">
        <v>138</v>
      </c>
      <c r="F152" s="477" t="s">
        <v>2499</v>
      </c>
      <c r="G152" s="544">
        <v>42.450288695386796</v>
      </c>
      <c r="H152" s="478">
        <v>1626194.96</v>
      </c>
      <c r="I152" s="447">
        <f t="shared" si="13"/>
        <v>1582147.9818726722</v>
      </c>
      <c r="J152" s="251">
        <f t="shared" si="13"/>
        <v>1537222.1859179446</v>
      </c>
      <c r="K152" s="251">
        <f t="shared" si="13"/>
        <v>1488184.1585783809</v>
      </c>
      <c r="L152" s="450">
        <f t="shared" ref="I152:N194" si="19">+$H152*(L$3)</f>
        <v>1442532.0801127797</v>
      </c>
      <c r="M152" s="450">
        <f t="shared" si="19"/>
        <v>1398280.4414087601</v>
      </c>
      <c r="N152" s="450">
        <f t="shared" si="19"/>
        <v>1355386.2820668898</v>
      </c>
      <c r="O152" s="447" t="str">
        <f t="shared" si="14"/>
        <v/>
      </c>
      <c r="P152" s="251" t="str">
        <f t="shared" si="15"/>
        <v/>
      </c>
      <c r="Q152" s="251" t="str">
        <f t="shared" si="16"/>
        <v/>
      </c>
      <c r="R152" s="251" t="str">
        <f t="shared" si="17"/>
        <v/>
      </c>
      <c r="S152" s="450">
        <f t="shared" si="18"/>
        <v>1355386.2820668898</v>
      </c>
      <c r="T152" s="219"/>
    </row>
    <row r="153" spans="1:20">
      <c r="A153" s="474" t="s">
        <v>870</v>
      </c>
      <c r="B153" s="475"/>
      <c r="C153" s="476">
        <v>511420.68</v>
      </c>
      <c r="D153" s="476">
        <v>-127295.12</v>
      </c>
      <c r="E153" s="475">
        <v>138</v>
      </c>
      <c r="F153" s="477" t="s">
        <v>2499</v>
      </c>
      <c r="G153" s="544">
        <v>5.6128174351400002</v>
      </c>
      <c r="H153" s="478">
        <v>384125.56</v>
      </c>
      <c r="I153" s="447">
        <f t="shared" si="19"/>
        <v>373721.16781109077</v>
      </c>
      <c r="J153" s="251">
        <f t="shared" si="19"/>
        <v>363109.18895613513</v>
      </c>
      <c r="K153" s="251">
        <f t="shared" si="19"/>
        <v>351525.8547456385</v>
      </c>
      <c r="L153" s="450">
        <f t="shared" si="19"/>
        <v>340742.31978389993</v>
      </c>
      <c r="M153" s="450">
        <f t="shared" si="19"/>
        <v>330289.58446236188</v>
      </c>
      <c r="N153" s="450">
        <f t="shared" si="19"/>
        <v>320157.50105095765</v>
      </c>
      <c r="O153" s="447" t="str">
        <f t="shared" si="14"/>
        <v/>
      </c>
      <c r="P153" s="251" t="str">
        <f t="shared" si="15"/>
        <v/>
      </c>
      <c r="Q153" s="251" t="str">
        <f t="shared" si="16"/>
        <v/>
      </c>
      <c r="R153" s="251" t="str">
        <f t="shared" si="17"/>
        <v/>
      </c>
      <c r="S153" s="450">
        <f t="shared" si="18"/>
        <v>320157.50105095765</v>
      </c>
      <c r="T153" s="219"/>
    </row>
    <row r="154" spans="1:20">
      <c r="A154" s="474" t="s">
        <v>871</v>
      </c>
      <c r="B154" s="475"/>
      <c r="C154" s="476">
        <v>1263494.6599999999</v>
      </c>
      <c r="D154" s="476">
        <v>-1061323.6100000001</v>
      </c>
      <c r="E154" s="475">
        <v>138</v>
      </c>
      <c r="F154" s="477" t="s">
        <v>2498</v>
      </c>
      <c r="G154" s="544">
        <v>18.320584427529798</v>
      </c>
      <c r="H154" s="478">
        <v>202171.05</v>
      </c>
      <c r="I154" s="447">
        <f t="shared" si="19"/>
        <v>196695.06216559611</v>
      </c>
      <c r="J154" s="251">
        <f t="shared" si="19"/>
        <v>191109.81835186973</v>
      </c>
      <c r="K154" s="251">
        <f t="shared" si="19"/>
        <v>185013.33562930103</v>
      </c>
      <c r="L154" s="450">
        <f t="shared" si="19"/>
        <v>179337.79926060326</v>
      </c>
      <c r="M154" s="450">
        <f t="shared" si="19"/>
        <v>173836.36770960878</v>
      </c>
      <c r="N154" s="450">
        <f t="shared" si="19"/>
        <v>168503.70007361189</v>
      </c>
      <c r="O154" s="447" t="str">
        <f t="shared" si="14"/>
        <v/>
      </c>
      <c r="P154" s="251" t="str">
        <f t="shared" si="15"/>
        <v/>
      </c>
      <c r="Q154" s="251">
        <f t="shared" si="16"/>
        <v>168503.70007361189</v>
      </c>
      <c r="R154" s="251" t="str">
        <f t="shared" si="17"/>
        <v/>
      </c>
      <c r="S154" s="450" t="str">
        <f t="shared" si="18"/>
        <v/>
      </c>
      <c r="T154" s="219"/>
    </row>
    <row r="155" spans="1:20">
      <c r="A155" s="474" t="s">
        <v>872</v>
      </c>
      <c r="B155" s="475"/>
      <c r="C155" s="476">
        <v>2480170.2400000002</v>
      </c>
      <c r="D155" s="476">
        <v>-635705.63</v>
      </c>
      <c r="E155" s="475">
        <v>138</v>
      </c>
      <c r="F155" s="477" t="s">
        <v>2498</v>
      </c>
      <c r="G155" s="544">
        <v>8.728054880192369</v>
      </c>
      <c r="H155" s="478">
        <v>1844464.61</v>
      </c>
      <c r="I155" s="447">
        <f t="shared" si="19"/>
        <v>1794505.5987303427</v>
      </c>
      <c r="J155" s="251">
        <f t="shared" si="19"/>
        <v>1743549.8137520296</v>
      </c>
      <c r="K155" s="251">
        <f t="shared" si="19"/>
        <v>1687929.8492355749</v>
      </c>
      <c r="L155" s="450">
        <f t="shared" si="19"/>
        <v>1636150.2993206345</v>
      </c>
      <c r="M155" s="450">
        <f t="shared" si="19"/>
        <v>1585959.1577098707</v>
      </c>
      <c r="N155" s="450">
        <f t="shared" si="19"/>
        <v>1537307.697812479</v>
      </c>
      <c r="O155" s="447" t="str">
        <f t="shared" si="14"/>
        <v/>
      </c>
      <c r="P155" s="251" t="str">
        <f t="shared" si="15"/>
        <v/>
      </c>
      <c r="Q155" s="251">
        <f t="shared" si="16"/>
        <v>1537307.697812479</v>
      </c>
      <c r="R155" s="251" t="str">
        <f t="shared" si="17"/>
        <v/>
      </c>
      <c r="S155" s="450" t="str">
        <f t="shared" si="18"/>
        <v/>
      </c>
      <c r="T155" s="219"/>
    </row>
    <row r="156" spans="1:20">
      <c r="A156" s="474" t="s">
        <v>873</v>
      </c>
      <c r="B156" s="475"/>
      <c r="C156" s="476">
        <v>4296312.59</v>
      </c>
      <c r="D156" s="476">
        <v>-676010.06</v>
      </c>
      <c r="E156" s="475">
        <v>138</v>
      </c>
      <c r="F156" s="477" t="s">
        <v>2498</v>
      </c>
      <c r="G156" s="544">
        <v>28.594367929148703</v>
      </c>
      <c r="H156" s="478">
        <v>3620302.53</v>
      </c>
      <c r="I156" s="447">
        <f t="shared" si="19"/>
        <v>3522243.3241387177</v>
      </c>
      <c r="J156" s="251">
        <f t="shared" si="19"/>
        <v>3422227.6576548144</v>
      </c>
      <c r="K156" s="251">
        <f t="shared" si="19"/>
        <v>3313057.1714520832</v>
      </c>
      <c r="L156" s="450">
        <f t="shared" si="19"/>
        <v>3211424.6247808188</v>
      </c>
      <c r="M156" s="450">
        <f t="shared" si="19"/>
        <v>3112909.7950725732</v>
      </c>
      <c r="N156" s="450">
        <f t="shared" si="19"/>
        <v>3017417.0421079495</v>
      </c>
      <c r="O156" s="447" t="str">
        <f t="shared" si="14"/>
        <v/>
      </c>
      <c r="P156" s="251" t="str">
        <f t="shared" si="15"/>
        <v/>
      </c>
      <c r="Q156" s="251">
        <f t="shared" si="16"/>
        <v>3017417.0421079495</v>
      </c>
      <c r="R156" s="251" t="str">
        <f t="shared" si="17"/>
        <v/>
      </c>
      <c r="S156" s="450" t="str">
        <f t="shared" si="18"/>
        <v/>
      </c>
      <c r="T156" s="219"/>
    </row>
    <row r="157" spans="1:20">
      <c r="A157" s="474" t="s">
        <v>874</v>
      </c>
      <c r="B157" s="475"/>
      <c r="C157" s="476">
        <v>6449296.8300000001</v>
      </c>
      <c r="D157" s="476">
        <v>-5303427.22</v>
      </c>
      <c r="E157" s="475">
        <v>138</v>
      </c>
      <c r="F157" s="477" t="s">
        <v>2498</v>
      </c>
      <c r="G157" s="544">
        <v>34.438574091500001</v>
      </c>
      <c r="H157" s="478">
        <v>1145869.6100000001</v>
      </c>
      <c r="I157" s="447">
        <f t="shared" si="19"/>
        <v>1114832.6833768603</v>
      </c>
      <c r="J157" s="251">
        <f t="shared" si="19"/>
        <v>1083176.5132645245</v>
      </c>
      <c r="K157" s="251">
        <f t="shared" si="19"/>
        <v>1048622.7318023343</v>
      </c>
      <c r="L157" s="450">
        <f t="shared" si="19"/>
        <v>1016454.7995225122</v>
      </c>
      <c r="M157" s="450">
        <f t="shared" si="19"/>
        <v>985273.66243201506</v>
      </c>
      <c r="N157" s="450">
        <f t="shared" si="19"/>
        <v>955049.04924274108</v>
      </c>
      <c r="O157" s="447" t="str">
        <f t="shared" si="14"/>
        <v/>
      </c>
      <c r="P157" s="251" t="str">
        <f t="shared" si="15"/>
        <v/>
      </c>
      <c r="Q157" s="251">
        <f t="shared" si="16"/>
        <v>955049.04924274108</v>
      </c>
      <c r="R157" s="251" t="str">
        <f t="shared" si="17"/>
        <v/>
      </c>
      <c r="S157" s="450" t="str">
        <f t="shared" si="18"/>
        <v/>
      </c>
      <c r="T157" s="219"/>
    </row>
    <row r="158" spans="1:20">
      <c r="A158" s="474" t="s">
        <v>875</v>
      </c>
      <c r="B158" s="475"/>
      <c r="C158" s="476">
        <v>5284658.3899999997</v>
      </c>
      <c r="D158" s="476">
        <v>-5125113.5999999996</v>
      </c>
      <c r="E158" s="475">
        <v>138</v>
      </c>
      <c r="F158" s="477" t="s">
        <v>2498</v>
      </c>
      <c r="G158" s="544">
        <v>70.519996402768001</v>
      </c>
      <c r="H158" s="478">
        <v>159544.79</v>
      </c>
      <c r="I158" s="447">
        <f t="shared" si="19"/>
        <v>155223.37341200424</v>
      </c>
      <c r="J158" s="251">
        <f t="shared" si="19"/>
        <v>150815.73665412137</v>
      </c>
      <c r="K158" s="251">
        <f t="shared" si="19"/>
        <v>146004.6519033084</v>
      </c>
      <c r="L158" s="450">
        <f t="shared" si="19"/>
        <v>141525.76010311619</v>
      </c>
      <c r="M158" s="450">
        <f t="shared" si="19"/>
        <v>137184.2644166527</v>
      </c>
      <c r="N158" s="450">
        <f t="shared" si="19"/>
        <v>132975.95003076553</v>
      </c>
      <c r="O158" s="447" t="str">
        <f t="shared" si="14"/>
        <v/>
      </c>
      <c r="P158" s="251" t="str">
        <f t="shared" si="15"/>
        <v/>
      </c>
      <c r="Q158" s="251">
        <f t="shared" si="16"/>
        <v>132975.95003076553</v>
      </c>
      <c r="R158" s="251" t="str">
        <f t="shared" si="17"/>
        <v/>
      </c>
      <c r="S158" s="450" t="str">
        <f t="shared" si="18"/>
        <v/>
      </c>
      <c r="T158" s="219"/>
    </row>
    <row r="159" spans="1:20">
      <c r="A159" s="474" t="s">
        <v>876</v>
      </c>
      <c r="B159" s="475"/>
      <c r="C159" s="476">
        <v>5576310.9000000004</v>
      </c>
      <c r="D159" s="476">
        <v>-2228055.17</v>
      </c>
      <c r="E159" s="475">
        <v>138</v>
      </c>
      <c r="F159" s="477" t="s">
        <v>2499</v>
      </c>
      <c r="G159" s="544">
        <v>31.617200453799999</v>
      </c>
      <c r="H159" s="478">
        <v>3348255.73</v>
      </c>
      <c r="I159" s="447">
        <f t="shared" si="19"/>
        <v>3257565.1605838891</v>
      </c>
      <c r="J159" s="251">
        <f t="shared" si="19"/>
        <v>3165065.148328146</v>
      </c>
      <c r="K159" s="251">
        <f t="shared" si="19"/>
        <v>3064098.253173342</v>
      </c>
      <c r="L159" s="450">
        <f t="shared" si="19"/>
        <v>2970102.8608196112</v>
      </c>
      <c r="M159" s="450">
        <f t="shared" si="19"/>
        <v>2878990.9053056045</v>
      </c>
      <c r="N159" s="450">
        <f t="shared" si="19"/>
        <v>2790673.9332741876</v>
      </c>
      <c r="O159" s="447" t="str">
        <f t="shared" si="14"/>
        <v/>
      </c>
      <c r="P159" s="251" t="str">
        <f t="shared" si="15"/>
        <v/>
      </c>
      <c r="Q159" s="251" t="str">
        <f t="shared" si="16"/>
        <v/>
      </c>
      <c r="R159" s="251" t="str">
        <f t="shared" si="17"/>
        <v/>
      </c>
      <c r="S159" s="450">
        <f t="shared" si="18"/>
        <v>2790673.9332741876</v>
      </c>
      <c r="T159" s="219"/>
    </row>
    <row r="160" spans="1:20">
      <c r="A160" s="474" t="s">
        <v>1162</v>
      </c>
      <c r="B160" s="475"/>
      <c r="C160" s="476">
        <v>2763954.59</v>
      </c>
      <c r="D160" s="476">
        <v>-1988987.41</v>
      </c>
      <c r="E160" s="475">
        <v>138</v>
      </c>
      <c r="F160" s="477" t="s">
        <v>2498</v>
      </c>
      <c r="G160" s="544">
        <v>40.04243545296</v>
      </c>
      <c r="H160" s="478">
        <v>774967.18</v>
      </c>
      <c r="I160" s="447">
        <f t="shared" si="19"/>
        <v>753976.48499326059</v>
      </c>
      <c r="J160" s="251">
        <f t="shared" si="19"/>
        <v>732566.98720445263</v>
      </c>
      <c r="K160" s="251">
        <f t="shared" si="19"/>
        <v>709197.79550550377</v>
      </c>
      <c r="L160" s="450">
        <f t="shared" si="19"/>
        <v>687442.18601226946</v>
      </c>
      <c r="M160" s="450">
        <f t="shared" si="19"/>
        <v>666353.95950784534</v>
      </c>
      <c r="N160" s="450">
        <f t="shared" si="19"/>
        <v>645912.64310895558</v>
      </c>
      <c r="O160" s="447" t="str">
        <f t="shared" si="14"/>
        <v/>
      </c>
      <c r="P160" s="251" t="str">
        <f t="shared" si="15"/>
        <v/>
      </c>
      <c r="Q160" s="251">
        <f t="shared" si="16"/>
        <v>645912.64310895558</v>
      </c>
      <c r="R160" s="251" t="str">
        <f t="shared" si="17"/>
        <v/>
      </c>
      <c r="S160" s="450" t="str">
        <f t="shared" si="18"/>
        <v/>
      </c>
      <c r="T160" s="219"/>
    </row>
    <row r="161" spans="1:20">
      <c r="A161" s="474" t="s">
        <v>877</v>
      </c>
      <c r="B161" s="475"/>
      <c r="C161" s="476">
        <v>3611271.15</v>
      </c>
      <c r="D161" s="476">
        <v>-1540780.91</v>
      </c>
      <c r="E161" s="475">
        <v>138</v>
      </c>
      <c r="F161" s="477" t="s">
        <v>2498</v>
      </c>
      <c r="G161" s="544">
        <v>30.885069084533995</v>
      </c>
      <c r="H161" s="478">
        <v>2070490.24</v>
      </c>
      <c r="I161" s="447">
        <f t="shared" si="19"/>
        <v>2014409.1177745778</v>
      </c>
      <c r="J161" s="251">
        <f t="shared" si="19"/>
        <v>1957209.0745223868</v>
      </c>
      <c r="K161" s="251">
        <f t="shared" si="19"/>
        <v>1894773.2906878213</v>
      </c>
      <c r="L161" s="450">
        <f t="shared" si="19"/>
        <v>1836648.5361388701</v>
      </c>
      <c r="M161" s="450">
        <f t="shared" si="19"/>
        <v>1780306.837699048</v>
      </c>
      <c r="N161" s="450">
        <f t="shared" si="19"/>
        <v>1725693.4976906967</v>
      </c>
      <c r="O161" s="447" t="str">
        <f t="shared" si="14"/>
        <v/>
      </c>
      <c r="P161" s="251" t="str">
        <f t="shared" si="15"/>
        <v/>
      </c>
      <c r="Q161" s="251">
        <f t="shared" si="16"/>
        <v>1725693.4976906967</v>
      </c>
      <c r="R161" s="251" t="str">
        <f t="shared" si="17"/>
        <v/>
      </c>
      <c r="S161" s="450" t="str">
        <f t="shared" si="18"/>
        <v/>
      </c>
      <c r="T161" s="219"/>
    </row>
    <row r="162" spans="1:20">
      <c r="A162" s="474" t="s">
        <v>878</v>
      </c>
      <c r="B162" s="475"/>
      <c r="C162" s="476">
        <v>1906973.19</v>
      </c>
      <c r="D162" s="476">
        <v>-260946.97</v>
      </c>
      <c r="E162" s="475">
        <v>138</v>
      </c>
      <c r="F162" s="477" t="s">
        <v>2498</v>
      </c>
      <c r="G162" s="544">
        <v>5.9216322800382404</v>
      </c>
      <c r="H162" s="478">
        <v>1646026.22</v>
      </c>
      <c r="I162" s="447">
        <f t="shared" si="19"/>
        <v>1601442.0940540261</v>
      </c>
      <c r="J162" s="251">
        <f t="shared" si="19"/>
        <v>1555968.4331985947</v>
      </c>
      <c r="K162" s="251">
        <f t="shared" si="19"/>
        <v>1506332.3927708231</v>
      </c>
      <c r="L162" s="450">
        <f t="shared" si="19"/>
        <v>1460123.592473055</v>
      </c>
      <c r="M162" s="450">
        <f t="shared" si="19"/>
        <v>1415332.3101382586</v>
      </c>
      <c r="N162" s="450">
        <f t="shared" si="19"/>
        <v>1371915.0614698846</v>
      </c>
      <c r="O162" s="447" t="str">
        <f t="shared" si="14"/>
        <v/>
      </c>
      <c r="P162" s="251" t="str">
        <f t="shared" si="15"/>
        <v/>
      </c>
      <c r="Q162" s="251">
        <f t="shared" si="16"/>
        <v>1371915.0614698846</v>
      </c>
      <c r="R162" s="251" t="str">
        <f t="shared" si="17"/>
        <v/>
      </c>
      <c r="S162" s="450" t="str">
        <f t="shared" si="18"/>
        <v/>
      </c>
      <c r="T162" s="219"/>
    </row>
    <row r="163" spans="1:20">
      <c r="A163" s="474" t="s">
        <v>879</v>
      </c>
      <c r="B163" s="475"/>
      <c r="C163" s="476">
        <v>1327094.6599999999</v>
      </c>
      <c r="D163" s="476">
        <v>-331297.05</v>
      </c>
      <c r="E163" s="475">
        <v>138</v>
      </c>
      <c r="F163" s="477" t="s">
        <v>2499</v>
      </c>
      <c r="G163" s="544">
        <v>0.91508423591339993</v>
      </c>
      <c r="H163" s="478">
        <v>995797.61</v>
      </c>
      <c r="I163" s="447">
        <f t="shared" si="19"/>
        <v>968825.52078204101</v>
      </c>
      <c r="J163" s="251">
        <f t="shared" si="19"/>
        <v>941315.28902049037</v>
      </c>
      <c r="K163" s="251">
        <f t="shared" si="19"/>
        <v>911286.9396374299</v>
      </c>
      <c r="L163" s="450">
        <f t="shared" si="19"/>
        <v>883331.97006380744</v>
      </c>
      <c r="M163" s="450">
        <f t="shared" si="19"/>
        <v>856234.55730338045</v>
      </c>
      <c r="N163" s="450">
        <f t="shared" si="19"/>
        <v>829968.39463147451</v>
      </c>
      <c r="O163" s="447" t="str">
        <f t="shared" si="14"/>
        <v/>
      </c>
      <c r="P163" s="251" t="str">
        <f t="shared" si="15"/>
        <v/>
      </c>
      <c r="Q163" s="251" t="str">
        <f t="shared" si="16"/>
        <v/>
      </c>
      <c r="R163" s="251" t="str">
        <f t="shared" si="17"/>
        <v/>
      </c>
      <c r="S163" s="450">
        <f t="shared" si="18"/>
        <v>829968.39463147451</v>
      </c>
      <c r="T163" s="219"/>
    </row>
    <row r="164" spans="1:20">
      <c r="A164" s="474" t="s">
        <v>880</v>
      </c>
      <c r="B164" s="475"/>
      <c r="C164" s="476">
        <v>3612286.31</v>
      </c>
      <c r="D164" s="476">
        <v>-1423813.96</v>
      </c>
      <c r="E164" s="475">
        <v>138</v>
      </c>
      <c r="F164" s="477" t="s">
        <v>2498</v>
      </c>
      <c r="G164" s="544">
        <v>27.5127600293265</v>
      </c>
      <c r="H164" s="478">
        <v>2188472.35</v>
      </c>
      <c r="I164" s="447">
        <f t="shared" si="19"/>
        <v>2129195.574395732</v>
      </c>
      <c r="J164" s="251">
        <f t="shared" si="19"/>
        <v>2068736.1186311764</v>
      </c>
      <c r="K164" s="251">
        <f t="shared" si="19"/>
        <v>2002742.5756852685</v>
      </c>
      <c r="L164" s="450">
        <f t="shared" si="19"/>
        <v>1941305.7160838842</v>
      </c>
      <c r="M164" s="450">
        <f t="shared" si="19"/>
        <v>1881753.5159307511</v>
      </c>
      <c r="N164" s="450">
        <f t="shared" si="19"/>
        <v>1824028.160727229</v>
      </c>
      <c r="O164" s="447" t="str">
        <f t="shared" si="14"/>
        <v/>
      </c>
      <c r="P164" s="251" t="str">
        <f t="shared" si="15"/>
        <v/>
      </c>
      <c r="Q164" s="251">
        <f t="shared" si="16"/>
        <v>1824028.160727229</v>
      </c>
      <c r="R164" s="251" t="str">
        <f t="shared" si="17"/>
        <v/>
      </c>
      <c r="S164" s="450" t="str">
        <f t="shared" si="18"/>
        <v/>
      </c>
      <c r="T164" s="219"/>
    </row>
    <row r="165" spans="1:20">
      <c r="A165" s="474" t="s">
        <v>881</v>
      </c>
      <c r="B165" s="475"/>
      <c r="C165" s="476">
        <v>4010769.46</v>
      </c>
      <c r="D165" s="476">
        <v>-1123154.68</v>
      </c>
      <c r="E165" s="475">
        <v>138</v>
      </c>
      <c r="F165" s="477" t="s">
        <v>2499</v>
      </c>
      <c r="G165" s="544">
        <v>12.723188891051199</v>
      </c>
      <c r="H165" s="478">
        <v>2887614.78</v>
      </c>
      <c r="I165" s="447">
        <f t="shared" si="19"/>
        <v>2809401.0921068774</v>
      </c>
      <c r="J165" s="251">
        <f t="shared" si="19"/>
        <v>2729626.8979954068</v>
      </c>
      <c r="K165" s="251">
        <f t="shared" si="19"/>
        <v>2642550.6642037537</v>
      </c>
      <c r="L165" s="450">
        <f t="shared" si="19"/>
        <v>2561486.8189960485</v>
      </c>
      <c r="M165" s="450">
        <f t="shared" si="19"/>
        <v>2482909.7177849202</v>
      </c>
      <c r="N165" s="450">
        <f t="shared" si="19"/>
        <v>2406743.0763071608</v>
      </c>
      <c r="O165" s="447" t="str">
        <f t="shared" si="14"/>
        <v/>
      </c>
      <c r="P165" s="251" t="str">
        <f t="shared" si="15"/>
        <v/>
      </c>
      <c r="Q165" s="251" t="str">
        <f t="shared" si="16"/>
        <v/>
      </c>
      <c r="R165" s="251" t="str">
        <f t="shared" si="17"/>
        <v/>
      </c>
      <c r="S165" s="450">
        <f t="shared" si="18"/>
        <v>2406743.0763071608</v>
      </c>
      <c r="T165" s="219"/>
    </row>
    <row r="166" spans="1:20">
      <c r="A166" s="474" t="s">
        <v>882</v>
      </c>
      <c r="B166" s="475"/>
      <c r="C166" s="476">
        <v>494708.18</v>
      </c>
      <c r="D166" s="476">
        <v>-438609.79</v>
      </c>
      <c r="E166" s="475">
        <v>138</v>
      </c>
      <c r="F166" s="477" t="s">
        <v>2498</v>
      </c>
      <c r="G166" s="544">
        <v>2.2060898634129003</v>
      </c>
      <c r="H166" s="478">
        <v>56098.39</v>
      </c>
      <c r="I166" s="447">
        <f t="shared" si="19"/>
        <v>54578.913788298851</v>
      </c>
      <c r="J166" s="251">
        <f t="shared" si="19"/>
        <v>53029.121245264076</v>
      </c>
      <c r="K166" s="251">
        <f t="shared" si="19"/>
        <v>51337.470213135981</v>
      </c>
      <c r="L166" s="450">
        <f t="shared" si="19"/>
        <v>49762.62330666549</v>
      </c>
      <c r="M166" s="450">
        <f t="shared" si="19"/>
        <v>48236.086976632112</v>
      </c>
      <c r="N166" s="450">
        <f t="shared" si="19"/>
        <v>46756.379230223662</v>
      </c>
      <c r="O166" s="447" t="str">
        <f t="shared" si="14"/>
        <v/>
      </c>
      <c r="P166" s="251" t="str">
        <f t="shared" si="15"/>
        <v/>
      </c>
      <c r="Q166" s="251">
        <f t="shared" si="16"/>
        <v>46756.379230223662</v>
      </c>
      <c r="R166" s="251" t="str">
        <f t="shared" si="17"/>
        <v/>
      </c>
      <c r="S166" s="450" t="str">
        <f t="shared" si="18"/>
        <v/>
      </c>
      <c r="T166" s="219"/>
    </row>
    <row r="167" spans="1:20">
      <c r="A167" s="474" t="s">
        <v>883</v>
      </c>
      <c r="B167" s="475"/>
      <c r="C167" s="476">
        <v>283224.32000000001</v>
      </c>
      <c r="D167" s="476">
        <v>-194709.38</v>
      </c>
      <c r="E167" s="475">
        <v>138</v>
      </c>
      <c r="F167" s="477" t="s">
        <v>2498</v>
      </c>
      <c r="G167" s="544">
        <v>0.78790580581200009</v>
      </c>
      <c r="H167" s="478">
        <v>88514.94</v>
      </c>
      <c r="I167" s="447">
        <f t="shared" si="19"/>
        <v>86117.431877036855</v>
      </c>
      <c r="J167" s="251">
        <f t="shared" si="19"/>
        <v>83672.089079156722</v>
      </c>
      <c r="K167" s="251">
        <f t="shared" si="19"/>
        <v>81002.914623174016</v>
      </c>
      <c r="L167" s="450">
        <f t="shared" si="19"/>
        <v>78518.039755367266</v>
      </c>
      <c r="M167" s="450">
        <f t="shared" si="19"/>
        <v>76109.391812695045</v>
      </c>
      <c r="N167" s="450">
        <f t="shared" si="19"/>
        <v>73774.632430279977</v>
      </c>
      <c r="O167" s="447" t="str">
        <f t="shared" si="14"/>
        <v/>
      </c>
      <c r="P167" s="251" t="str">
        <f t="shared" si="15"/>
        <v/>
      </c>
      <c r="Q167" s="251">
        <f t="shared" si="16"/>
        <v>73774.632430279977</v>
      </c>
      <c r="R167" s="251" t="str">
        <f t="shared" si="17"/>
        <v/>
      </c>
      <c r="S167" s="450" t="str">
        <f t="shared" si="18"/>
        <v/>
      </c>
      <c r="T167" s="219"/>
    </row>
    <row r="168" spans="1:20">
      <c r="A168" s="474" t="s">
        <v>884</v>
      </c>
      <c r="B168" s="475"/>
      <c r="C168" s="476">
        <v>271566.40000000002</v>
      </c>
      <c r="D168" s="476">
        <v>-126776.64</v>
      </c>
      <c r="E168" s="475">
        <v>138</v>
      </c>
      <c r="F168" s="477" t="s">
        <v>2498</v>
      </c>
      <c r="G168" s="544">
        <v>12.340000842734</v>
      </c>
      <c r="H168" s="478">
        <v>144789.76000000001</v>
      </c>
      <c r="I168" s="447">
        <f t="shared" si="19"/>
        <v>140867.99689738837</v>
      </c>
      <c r="J168" s="251">
        <f t="shared" si="19"/>
        <v>136867.98744335954</v>
      </c>
      <c r="K168" s="251">
        <f t="shared" si="19"/>
        <v>132501.84169576183</v>
      </c>
      <c r="L168" s="450">
        <f t="shared" si="19"/>
        <v>128437.16701214605</v>
      </c>
      <c r="M168" s="450">
        <f t="shared" si="19"/>
        <v>124497.18176735</v>
      </c>
      <c r="N168" s="450">
        <f t="shared" si="19"/>
        <v>120678.06094280191</v>
      </c>
      <c r="O168" s="447" t="str">
        <f t="shared" si="14"/>
        <v/>
      </c>
      <c r="P168" s="251" t="str">
        <f t="shared" si="15"/>
        <v/>
      </c>
      <c r="Q168" s="251">
        <f t="shared" si="16"/>
        <v>120678.06094280191</v>
      </c>
      <c r="R168" s="251" t="str">
        <f t="shared" si="17"/>
        <v/>
      </c>
      <c r="S168" s="450" t="str">
        <f t="shared" si="18"/>
        <v/>
      </c>
      <c r="T168" s="219"/>
    </row>
    <row r="169" spans="1:20">
      <c r="A169" s="474" t="s">
        <v>885</v>
      </c>
      <c r="B169" s="475"/>
      <c r="C169" s="476">
        <v>4212831.96</v>
      </c>
      <c r="D169" s="476">
        <v>-3048243.54</v>
      </c>
      <c r="E169" s="475">
        <v>138</v>
      </c>
      <c r="F169" s="477" t="s">
        <v>2498</v>
      </c>
      <c r="G169" s="544">
        <v>20.046260057653001</v>
      </c>
      <c r="H169" s="478">
        <v>1164588.42</v>
      </c>
      <c r="I169" s="447">
        <f t="shared" si="19"/>
        <v>1133044.4772841283</v>
      </c>
      <c r="J169" s="251">
        <f t="shared" si="19"/>
        <v>1100871.1751800813</v>
      </c>
      <c r="K169" s="251">
        <f t="shared" si="19"/>
        <v>1065752.9266403741</v>
      </c>
      <c r="L169" s="450">
        <f t="shared" si="19"/>
        <v>1033059.5022738574</v>
      </c>
      <c r="M169" s="450">
        <f t="shared" si="19"/>
        <v>1001368.9932830259</v>
      </c>
      <c r="N169" s="450">
        <f t="shared" si="19"/>
        <v>970650.63387107872</v>
      </c>
      <c r="O169" s="447" t="str">
        <f t="shared" si="14"/>
        <v/>
      </c>
      <c r="P169" s="251" t="str">
        <f t="shared" si="15"/>
        <v/>
      </c>
      <c r="Q169" s="251">
        <f t="shared" si="16"/>
        <v>970650.63387107872</v>
      </c>
      <c r="R169" s="251" t="str">
        <f t="shared" si="17"/>
        <v/>
      </c>
      <c r="S169" s="450" t="str">
        <f t="shared" si="18"/>
        <v/>
      </c>
      <c r="T169" s="219"/>
    </row>
    <row r="170" spans="1:20">
      <c r="A170" s="474" t="s">
        <v>886</v>
      </c>
      <c r="B170" s="475"/>
      <c r="C170" s="476">
        <v>6360828.5199999996</v>
      </c>
      <c r="D170" s="476">
        <v>-1565187.31</v>
      </c>
      <c r="E170" s="475">
        <v>138</v>
      </c>
      <c r="F170" s="477" t="s">
        <v>2498</v>
      </c>
      <c r="G170" s="544">
        <v>48.803441940124102</v>
      </c>
      <c r="H170" s="478">
        <v>4795641.21</v>
      </c>
      <c r="I170" s="447">
        <f t="shared" si="19"/>
        <v>4665746.8807964576</v>
      </c>
      <c r="J170" s="251">
        <f t="shared" si="19"/>
        <v>4533260.9219957097</v>
      </c>
      <c r="K170" s="251">
        <f t="shared" si="19"/>
        <v>4388648.0123807909</v>
      </c>
      <c r="L170" s="450">
        <f t="shared" si="19"/>
        <v>4254020.2499064859</v>
      </c>
      <c r="M170" s="450">
        <f t="shared" si="19"/>
        <v>4123522.3776347465</v>
      </c>
      <c r="N170" s="450">
        <f t="shared" si="19"/>
        <v>3997027.7055517756</v>
      </c>
      <c r="O170" s="447" t="str">
        <f t="shared" si="14"/>
        <v/>
      </c>
      <c r="P170" s="251" t="str">
        <f t="shared" si="15"/>
        <v/>
      </c>
      <c r="Q170" s="251">
        <f t="shared" si="16"/>
        <v>3997027.7055517756</v>
      </c>
      <c r="R170" s="251" t="str">
        <f t="shared" si="17"/>
        <v/>
      </c>
      <c r="S170" s="450" t="str">
        <f t="shared" si="18"/>
        <v/>
      </c>
      <c r="T170" s="219"/>
    </row>
    <row r="171" spans="1:20">
      <c r="A171" s="474" t="s">
        <v>887</v>
      </c>
      <c r="B171" s="475"/>
      <c r="C171" s="476">
        <v>538616.98</v>
      </c>
      <c r="D171" s="476">
        <v>-31296.9</v>
      </c>
      <c r="E171" s="475">
        <v>138</v>
      </c>
      <c r="F171" s="477" t="s">
        <v>2498</v>
      </c>
      <c r="G171" s="544">
        <v>5.9215437806366404</v>
      </c>
      <c r="H171" s="478">
        <v>507320.08</v>
      </c>
      <c r="I171" s="447">
        <f t="shared" si="19"/>
        <v>493578.85153910611</v>
      </c>
      <c r="J171" s="251">
        <f t="shared" si="19"/>
        <v>479563.4604215392</v>
      </c>
      <c r="K171" s="251">
        <f t="shared" si="19"/>
        <v>464265.18649689888</v>
      </c>
      <c r="L171" s="450">
        <f t="shared" si="19"/>
        <v>450023.21879375511</v>
      </c>
      <c r="M171" s="450">
        <f t="shared" si="19"/>
        <v>436218.14287133666</v>
      </c>
      <c r="N171" s="450">
        <f t="shared" si="19"/>
        <v>422836.55647849088</v>
      </c>
      <c r="O171" s="447" t="str">
        <f t="shared" si="14"/>
        <v/>
      </c>
      <c r="P171" s="251" t="str">
        <f t="shared" si="15"/>
        <v/>
      </c>
      <c r="Q171" s="251">
        <f t="shared" si="16"/>
        <v>422836.55647849088</v>
      </c>
      <c r="R171" s="251" t="str">
        <f t="shared" si="17"/>
        <v/>
      </c>
      <c r="S171" s="450" t="str">
        <f t="shared" si="18"/>
        <v/>
      </c>
      <c r="T171" s="219"/>
    </row>
    <row r="172" spans="1:20">
      <c r="A172" s="474" t="s">
        <v>888</v>
      </c>
      <c r="B172" s="475"/>
      <c r="C172" s="476">
        <v>475419.66</v>
      </c>
      <c r="D172" s="476">
        <v>-87612.79</v>
      </c>
      <c r="E172" s="475">
        <v>138</v>
      </c>
      <c r="F172" s="477" t="s">
        <v>2498</v>
      </c>
      <c r="G172" s="544">
        <v>5.0256839621150004E-2</v>
      </c>
      <c r="H172" s="478">
        <v>387806.87</v>
      </c>
      <c r="I172" s="447">
        <f t="shared" si="19"/>
        <v>377302.76616209518</v>
      </c>
      <c r="J172" s="251">
        <f t="shared" si="19"/>
        <v>366589.08622825652</v>
      </c>
      <c r="K172" s="251">
        <f t="shared" si="19"/>
        <v>354894.74184686044</v>
      </c>
      <c r="L172" s="450">
        <f t="shared" si="19"/>
        <v>344007.86167922098</v>
      </c>
      <c r="M172" s="450">
        <f t="shared" si="19"/>
        <v>333454.95140690246</v>
      </c>
      <c r="N172" s="450">
        <f t="shared" si="19"/>
        <v>323225.76604793913</v>
      </c>
      <c r="O172" s="447" t="str">
        <f t="shared" si="14"/>
        <v/>
      </c>
      <c r="P172" s="251" t="str">
        <f t="shared" si="15"/>
        <v/>
      </c>
      <c r="Q172" s="251">
        <f t="shared" si="16"/>
        <v>323225.76604793913</v>
      </c>
      <c r="R172" s="251" t="str">
        <f t="shared" si="17"/>
        <v/>
      </c>
      <c r="S172" s="450" t="str">
        <f t="shared" si="18"/>
        <v/>
      </c>
      <c r="T172" s="219"/>
    </row>
    <row r="173" spans="1:20">
      <c r="A173" s="474" t="s">
        <v>889</v>
      </c>
      <c r="B173" s="475"/>
      <c r="C173" s="476">
        <v>2527416.56</v>
      </c>
      <c r="D173" s="476">
        <v>-1635308.61</v>
      </c>
      <c r="E173" s="475">
        <v>138</v>
      </c>
      <c r="F173" s="477" t="s">
        <v>2498</v>
      </c>
      <c r="G173" s="544">
        <v>35.196461359565397</v>
      </c>
      <c r="H173" s="478">
        <v>892107.95</v>
      </c>
      <c r="I173" s="447">
        <f t="shared" si="19"/>
        <v>867944.39007796871</v>
      </c>
      <c r="J173" s="251">
        <f t="shared" si="19"/>
        <v>843298.72291190492</v>
      </c>
      <c r="K173" s="251">
        <f t="shared" si="19"/>
        <v>816397.14277052879</v>
      </c>
      <c r="L173" s="450">
        <f t="shared" si="19"/>
        <v>791353.04711474909</v>
      </c>
      <c r="M173" s="450">
        <f t="shared" si="19"/>
        <v>767077.21324524598</v>
      </c>
      <c r="N173" s="450">
        <f t="shared" si="19"/>
        <v>743546.07368406479</v>
      </c>
      <c r="O173" s="447" t="str">
        <f t="shared" si="14"/>
        <v/>
      </c>
      <c r="P173" s="251" t="str">
        <f t="shared" si="15"/>
        <v/>
      </c>
      <c r="Q173" s="251">
        <f t="shared" si="16"/>
        <v>743546.07368406479</v>
      </c>
      <c r="R173" s="251" t="str">
        <f t="shared" si="17"/>
        <v/>
      </c>
      <c r="S173" s="450" t="str">
        <f t="shared" si="18"/>
        <v/>
      </c>
      <c r="T173" s="219"/>
    </row>
    <row r="174" spans="1:20">
      <c r="A174" s="474" t="s">
        <v>890</v>
      </c>
      <c r="B174" s="475"/>
      <c r="C174" s="476">
        <v>263860.03000000003</v>
      </c>
      <c r="D174" s="476">
        <v>-219071.96</v>
      </c>
      <c r="E174" s="475">
        <v>138</v>
      </c>
      <c r="F174" s="477" t="s">
        <v>2498</v>
      </c>
      <c r="G174" s="544">
        <v>2.6766666530299998</v>
      </c>
      <c r="H174" s="478">
        <v>44788.07</v>
      </c>
      <c r="I174" s="447">
        <f t="shared" si="19"/>
        <v>43574.944152127966</v>
      </c>
      <c r="J174" s="251">
        <f t="shared" si="19"/>
        <v>42337.614223356046</v>
      </c>
      <c r="K174" s="251">
        <f t="shared" si="19"/>
        <v>40987.02671375862</v>
      </c>
      <c r="L174" s="450">
        <f t="shared" si="19"/>
        <v>39729.693776284228</v>
      </c>
      <c r="M174" s="450">
        <f t="shared" si="19"/>
        <v>38510.93124126178</v>
      </c>
      <c r="N174" s="450">
        <f t="shared" si="19"/>
        <v>37329.555908998518</v>
      </c>
      <c r="O174" s="447" t="str">
        <f t="shared" si="14"/>
        <v/>
      </c>
      <c r="P174" s="251" t="str">
        <f t="shared" si="15"/>
        <v/>
      </c>
      <c r="Q174" s="251">
        <f t="shared" si="16"/>
        <v>37329.555908998518</v>
      </c>
      <c r="R174" s="251" t="str">
        <f t="shared" si="17"/>
        <v/>
      </c>
      <c r="S174" s="450" t="str">
        <f t="shared" si="18"/>
        <v/>
      </c>
      <c r="T174" s="219"/>
    </row>
    <row r="175" spans="1:20">
      <c r="A175" s="474" t="s">
        <v>891</v>
      </c>
      <c r="B175" s="475"/>
      <c r="C175" s="476">
        <v>1772072.66</v>
      </c>
      <c r="D175" s="476">
        <v>-892202.48</v>
      </c>
      <c r="E175" s="475">
        <v>138</v>
      </c>
      <c r="F175" s="477" t="s">
        <v>2498</v>
      </c>
      <c r="G175" s="544">
        <v>13.904706190464999</v>
      </c>
      <c r="H175" s="478">
        <v>879870.18</v>
      </c>
      <c r="I175" s="447">
        <f t="shared" si="19"/>
        <v>856038.09127347497</v>
      </c>
      <c r="J175" s="251">
        <f t="shared" si="19"/>
        <v>831730.50875991862</v>
      </c>
      <c r="K175" s="251">
        <f t="shared" si="19"/>
        <v>805197.95946330368</v>
      </c>
      <c r="L175" s="450">
        <f t="shared" si="19"/>
        <v>780497.4140275321</v>
      </c>
      <c r="M175" s="450">
        <f t="shared" si="19"/>
        <v>756554.59150654695</v>
      </c>
      <c r="N175" s="450">
        <f t="shared" si="19"/>
        <v>733346.2477166485</v>
      </c>
      <c r="O175" s="447" t="str">
        <f t="shared" si="14"/>
        <v/>
      </c>
      <c r="P175" s="251" t="str">
        <f t="shared" si="15"/>
        <v/>
      </c>
      <c r="Q175" s="251">
        <f t="shared" si="16"/>
        <v>733346.2477166485</v>
      </c>
      <c r="R175" s="251" t="str">
        <f t="shared" si="17"/>
        <v/>
      </c>
      <c r="S175" s="450" t="str">
        <f t="shared" si="18"/>
        <v/>
      </c>
      <c r="T175" s="219"/>
    </row>
    <row r="176" spans="1:20">
      <c r="A176" s="474" t="s">
        <v>892</v>
      </c>
      <c r="B176" s="475"/>
      <c r="C176" s="476">
        <v>650144.35</v>
      </c>
      <c r="D176" s="476">
        <v>-150972.5</v>
      </c>
      <c r="E176" s="475">
        <v>138</v>
      </c>
      <c r="F176" s="477" t="s">
        <v>2499</v>
      </c>
      <c r="G176" s="544">
        <v>12.411134287099999</v>
      </c>
      <c r="H176" s="478">
        <v>499171.85</v>
      </c>
      <c r="I176" s="447">
        <f t="shared" si="19"/>
        <v>485651.32380261971</v>
      </c>
      <c r="J176" s="251">
        <f t="shared" si="19"/>
        <v>471861.0383626477</v>
      </c>
      <c r="K176" s="251">
        <f t="shared" si="19"/>
        <v>456808.47490651661</v>
      </c>
      <c r="L176" s="450">
        <f t="shared" si="19"/>
        <v>442795.25199994742</v>
      </c>
      <c r="M176" s="450">
        <f t="shared" si="19"/>
        <v>429211.90381553478</v>
      </c>
      <c r="N176" s="450">
        <f t="shared" si="19"/>
        <v>416045.24335996667</v>
      </c>
      <c r="O176" s="447" t="str">
        <f t="shared" si="14"/>
        <v/>
      </c>
      <c r="P176" s="251" t="str">
        <f t="shared" si="15"/>
        <v/>
      </c>
      <c r="Q176" s="251" t="str">
        <f t="shared" si="16"/>
        <v/>
      </c>
      <c r="R176" s="251" t="str">
        <f t="shared" si="17"/>
        <v/>
      </c>
      <c r="S176" s="450">
        <f t="shared" si="18"/>
        <v>416045.24335996667</v>
      </c>
      <c r="T176" s="219"/>
    </row>
    <row r="177" spans="1:20">
      <c r="A177" s="474" t="s">
        <v>893</v>
      </c>
      <c r="B177" s="475"/>
      <c r="C177" s="476">
        <v>811341.82</v>
      </c>
      <c r="D177" s="476">
        <v>-436398.49</v>
      </c>
      <c r="E177" s="475">
        <v>138</v>
      </c>
      <c r="F177" s="477" t="s">
        <v>2498</v>
      </c>
      <c r="G177" s="544">
        <v>4.8035251500979008</v>
      </c>
      <c r="H177" s="478">
        <v>374943.33</v>
      </c>
      <c r="I177" s="447">
        <f t="shared" si="19"/>
        <v>364787.64691050292</v>
      </c>
      <c r="J177" s="251">
        <f t="shared" si="19"/>
        <v>354429.33935667423</v>
      </c>
      <c r="K177" s="251">
        <f t="shared" si="19"/>
        <v>343122.89595992002</v>
      </c>
      <c r="L177" s="450">
        <f t="shared" si="19"/>
        <v>332597.13321784762</v>
      </c>
      <c r="M177" s="450">
        <f t="shared" si="19"/>
        <v>322394.26260161976</v>
      </c>
      <c r="N177" s="450">
        <f t="shared" si="19"/>
        <v>312504.37895495567</v>
      </c>
      <c r="O177" s="447" t="str">
        <f t="shared" si="14"/>
        <v/>
      </c>
      <c r="P177" s="251" t="str">
        <f t="shared" si="15"/>
        <v/>
      </c>
      <c r="Q177" s="251">
        <f t="shared" si="16"/>
        <v>312504.37895495567</v>
      </c>
      <c r="R177" s="251" t="str">
        <f t="shared" si="17"/>
        <v/>
      </c>
      <c r="S177" s="450" t="str">
        <f t="shared" si="18"/>
        <v/>
      </c>
      <c r="T177" s="219"/>
    </row>
    <row r="178" spans="1:20">
      <c r="A178" s="474" t="s">
        <v>894</v>
      </c>
      <c r="B178" s="475"/>
      <c r="C178" s="476">
        <v>7480994.5499999998</v>
      </c>
      <c r="D178" s="476">
        <v>-4286206.7</v>
      </c>
      <c r="E178" s="475">
        <v>138</v>
      </c>
      <c r="F178" s="477" t="s">
        <v>2498</v>
      </c>
      <c r="G178" s="544">
        <v>49.4759778968508</v>
      </c>
      <c r="H178" s="478">
        <v>3194787.85</v>
      </c>
      <c r="I178" s="447">
        <f t="shared" si="19"/>
        <v>3108254.0985054052</v>
      </c>
      <c r="J178" s="251">
        <f t="shared" si="19"/>
        <v>3019993.8402964245</v>
      </c>
      <c r="K178" s="251">
        <f t="shared" si="19"/>
        <v>2923654.7802292323</v>
      </c>
      <c r="L178" s="450">
        <f t="shared" si="19"/>
        <v>2833967.6829274734</v>
      </c>
      <c r="M178" s="450">
        <f t="shared" si="19"/>
        <v>2747031.8596395995</v>
      </c>
      <c r="N178" s="450">
        <f t="shared" si="19"/>
        <v>2662762.9112833883</v>
      </c>
      <c r="O178" s="447" t="str">
        <f t="shared" si="14"/>
        <v/>
      </c>
      <c r="P178" s="251" t="str">
        <f t="shared" si="15"/>
        <v/>
      </c>
      <c r="Q178" s="251">
        <f t="shared" si="16"/>
        <v>2662762.9112833883</v>
      </c>
      <c r="R178" s="251" t="str">
        <f t="shared" si="17"/>
        <v/>
      </c>
      <c r="S178" s="450" t="str">
        <f t="shared" si="18"/>
        <v/>
      </c>
      <c r="T178" s="219"/>
    </row>
    <row r="179" spans="1:20">
      <c r="A179" s="474" t="s">
        <v>895</v>
      </c>
      <c r="B179" s="475"/>
      <c r="C179" s="476">
        <v>3224175.62</v>
      </c>
      <c r="D179" s="476">
        <v>-2042081.09</v>
      </c>
      <c r="E179" s="475">
        <v>138</v>
      </c>
      <c r="F179" s="477" t="s">
        <v>2498</v>
      </c>
      <c r="G179" s="544">
        <v>56.365114427389102</v>
      </c>
      <c r="H179" s="478">
        <v>1182094.53</v>
      </c>
      <c r="I179" s="447">
        <f t="shared" si="19"/>
        <v>1150076.4182802688</v>
      </c>
      <c r="J179" s="251">
        <f t="shared" si="19"/>
        <v>1117419.4866329222</v>
      </c>
      <c r="K179" s="251">
        <f t="shared" si="19"/>
        <v>1081773.3400724332</v>
      </c>
      <c r="L179" s="450">
        <f t="shared" si="19"/>
        <v>1048588.4676772326</v>
      </c>
      <c r="M179" s="450">
        <f t="shared" si="19"/>
        <v>1016421.5864961733</v>
      </c>
      <c r="N179" s="450">
        <f t="shared" si="19"/>
        <v>985241.46826055087</v>
      </c>
      <c r="O179" s="447" t="str">
        <f t="shared" si="14"/>
        <v/>
      </c>
      <c r="P179" s="251" t="str">
        <f t="shared" si="15"/>
        <v/>
      </c>
      <c r="Q179" s="251">
        <f t="shared" si="16"/>
        <v>985241.46826055087</v>
      </c>
      <c r="R179" s="251" t="str">
        <f t="shared" si="17"/>
        <v/>
      </c>
      <c r="S179" s="450" t="str">
        <f t="shared" si="18"/>
        <v/>
      </c>
      <c r="T179" s="219"/>
    </row>
    <row r="180" spans="1:20">
      <c r="A180" s="474" t="s">
        <v>896</v>
      </c>
      <c r="B180" s="475"/>
      <c r="C180" s="476">
        <v>2734293.43</v>
      </c>
      <c r="D180" s="476">
        <v>-1206912.77</v>
      </c>
      <c r="E180" s="475">
        <v>138</v>
      </c>
      <c r="F180" s="477" t="s">
        <v>2498</v>
      </c>
      <c r="G180" s="544">
        <v>56.948631162170003</v>
      </c>
      <c r="H180" s="478">
        <v>1527380.66</v>
      </c>
      <c r="I180" s="447">
        <f t="shared" si="19"/>
        <v>1486010.1575830427</v>
      </c>
      <c r="J180" s="251">
        <f t="shared" si="19"/>
        <v>1443814.2379275316</v>
      </c>
      <c r="K180" s="251">
        <f t="shared" si="19"/>
        <v>1397755.9629941247</v>
      </c>
      <c r="L180" s="450">
        <f t="shared" si="19"/>
        <v>1354877.892742842</v>
      </c>
      <c r="M180" s="450">
        <f t="shared" si="19"/>
        <v>1313315.1657683181</v>
      </c>
      <c r="N180" s="450">
        <f t="shared" si="19"/>
        <v>1273027.4321218363</v>
      </c>
      <c r="O180" s="447" t="str">
        <f t="shared" si="14"/>
        <v/>
      </c>
      <c r="P180" s="251" t="str">
        <f t="shared" si="15"/>
        <v/>
      </c>
      <c r="Q180" s="251">
        <f t="shared" si="16"/>
        <v>1273027.4321218363</v>
      </c>
      <c r="R180" s="251" t="str">
        <f t="shared" si="17"/>
        <v/>
      </c>
      <c r="S180" s="450" t="str">
        <f t="shared" si="18"/>
        <v/>
      </c>
      <c r="T180" s="219"/>
    </row>
    <row r="181" spans="1:20">
      <c r="A181" s="474" t="s">
        <v>897</v>
      </c>
      <c r="B181" s="475"/>
      <c r="C181" s="476">
        <v>196375.53</v>
      </c>
      <c r="D181" s="476">
        <v>-126430.58</v>
      </c>
      <c r="E181" s="475">
        <v>138</v>
      </c>
      <c r="F181" s="477" t="s">
        <v>2498</v>
      </c>
      <c r="G181" s="544">
        <v>13.4151320892638</v>
      </c>
      <c r="H181" s="478">
        <v>69944.95</v>
      </c>
      <c r="I181" s="447">
        <f t="shared" si="19"/>
        <v>68050.427043928954</v>
      </c>
      <c r="J181" s="251">
        <f t="shared" si="19"/>
        <v>66118.104887572234</v>
      </c>
      <c r="K181" s="251">
        <f t="shared" si="19"/>
        <v>64008.909831178498</v>
      </c>
      <c r="L181" s="450">
        <f t="shared" si="19"/>
        <v>62045.349234684851</v>
      </c>
      <c r="M181" s="450">
        <f t="shared" si="19"/>
        <v>60142.023537149362</v>
      </c>
      <c r="N181" s="450">
        <f t="shared" si="19"/>
        <v>58297.084950905584</v>
      </c>
      <c r="O181" s="447" t="str">
        <f t="shared" si="14"/>
        <v/>
      </c>
      <c r="P181" s="251" t="str">
        <f t="shared" si="15"/>
        <v/>
      </c>
      <c r="Q181" s="251">
        <f t="shared" si="16"/>
        <v>58297.084950905584</v>
      </c>
      <c r="R181" s="251" t="str">
        <f t="shared" si="17"/>
        <v/>
      </c>
      <c r="S181" s="450" t="str">
        <f t="shared" si="18"/>
        <v/>
      </c>
      <c r="T181" s="219"/>
    </row>
    <row r="182" spans="1:20">
      <c r="A182" s="474" t="s">
        <v>898</v>
      </c>
      <c r="B182" s="475"/>
      <c r="C182" s="476">
        <v>2753741.76</v>
      </c>
      <c r="D182" s="476">
        <v>-2362838.9900000002</v>
      </c>
      <c r="E182" s="475">
        <v>138</v>
      </c>
      <c r="F182" s="477" t="s">
        <v>2498</v>
      </c>
      <c r="G182" s="544">
        <v>48.376406518208995</v>
      </c>
      <c r="H182" s="478">
        <v>390902.77</v>
      </c>
      <c r="I182" s="447">
        <f t="shared" si="19"/>
        <v>380314.81087848003</v>
      </c>
      <c r="J182" s="251">
        <f t="shared" si="19"/>
        <v>369515.60259464802</v>
      </c>
      <c r="K182" s="251">
        <f t="shared" si="19"/>
        <v>357727.90112349653</v>
      </c>
      <c r="L182" s="450">
        <f t="shared" si="19"/>
        <v>346754.10993153462</v>
      </c>
      <c r="M182" s="450">
        <f t="shared" si="19"/>
        <v>336116.9547490832</v>
      </c>
      <c r="N182" s="450">
        <f t="shared" si="19"/>
        <v>325806.108807488</v>
      </c>
      <c r="O182" s="447" t="str">
        <f t="shared" si="14"/>
        <v/>
      </c>
      <c r="P182" s="251" t="str">
        <f t="shared" si="15"/>
        <v/>
      </c>
      <c r="Q182" s="251">
        <f t="shared" si="16"/>
        <v>325806.108807488</v>
      </c>
      <c r="R182" s="251" t="str">
        <f t="shared" si="17"/>
        <v/>
      </c>
      <c r="S182" s="450" t="str">
        <f t="shared" si="18"/>
        <v/>
      </c>
      <c r="T182" s="219"/>
    </row>
    <row r="183" spans="1:20">
      <c r="A183" s="474" t="s">
        <v>899</v>
      </c>
      <c r="B183" s="475"/>
      <c r="C183" s="476">
        <v>2903947.41</v>
      </c>
      <c r="D183" s="476">
        <v>-2468347.56</v>
      </c>
      <c r="E183" s="475">
        <v>138</v>
      </c>
      <c r="F183" s="477" t="s">
        <v>2498</v>
      </c>
      <c r="G183" s="544">
        <v>58.786514574800009</v>
      </c>
      <c r="H183" s="478">
        <v>435599.85</v>
      </c>
      <c r="I183" s="447">
        <f t="shared" si="19"/>
        <v>423801.2295779952</v>
      </c>
      <c r="J183" s="251">
        <f t="shared" si="19"/>
        <v>411767.20508500945</v>
      </c>
      <c r="K183" s="251">
        <f t="shared" si="19"/>
        <v>398631.65991433093</v>
      </c>
      <c r="L183" s="450">
        <f t="shared" si="19"/>
        <v>386403.09014198073</v>
      </c>
      <c r="M183" s="450">
        <f t="shared" si="19"/>
        <v>374549.64842320612</v>
      </c>
      <c r="N183" s="450">
        <f t="shared" si="19"/>
        <v>363059.82719341037</v>
      </c>
      <c r="O183" s="447" t="str">
        <f t="shared" si="14"/>
        <v/>
      </c>
      <c r="P183" s="251" t="str">
        <f t="shared" si="15"/>
        <v/>
      </c>
      <c r="Q183" s="251">
        <f t="shared" si="16"/>
        <v>363059.82719341037</v>
      </c>
      <c r="R183" s="251" t="str">
        <f t="shared" si="17"/>
        <v/>
      </c>
      <c r="S183" s="450" t="str">
        <f t="shared" si="18"/>
        <v/>
      </c>
      <c r="T183" s="219"/>
    </row>
    <row r="184" spans="1:20">
      <c r="A184" s="474" t="s">
        <v>900</v>
      </c>
      <c r="B184" s="475"/>
      <c r="C184" s="476">
        <v>15804497.4</v>
      </c>
      <c r="D184" s="476">
        <v>-1912555.88</v>
      </c>
      <c r="E184" s="475">
        <v>138</v>
      </c>
      <c r="F184" s="477" t="s">
        <v>2499</v>
      </c>
      <c r="G184" s="544">
        <v>35.555069681695997</v>
      </c>
      <c r="H184" s="478">
        <v>13891941.52</v>
      </c>
      <c r="I184" s="447">
        <f t="shared" si="19"/>
        <v>13515665.575646097</v>
      </c>
      <c r="J184" s="251">
        <f t="shared" si="19"/>
        <v>13131882.237550812</v>
      </c>
      <c r="K184" s="251">
        <f t="shared" si="19"/>
        <v>12712969.730247643</v>
      </c>
      <c r="L184" s="450">
        <f t="shared" si="19"/>
        <v>12322982.047398971</v>
      </c>
      <c r="M184" s="450">
        <f t="shared" si="19"/>
        <v>11944957.768538579</v>
      </c>
      <c r="N184" s="450">
        <f t="shared" si="19"/>
        <v>11578529.899934912</v>
      </c>
      <c r="O184" s="447" t="str">
        <f t="shared" si="14"/>
        <v/>
      </c>
      <c r="P184" s="251" t="str">
        <f t="shared" si="15"/>
        <v/>
      </c>
      <c r="Q184" s="251" t="str">
        <f t="shared" si="16"/>
        <v/>
      </c>
      <c r="R184" s="251" t="str">
        <f t="shared" si="17"/>
        <v/>
      </c>
      <c r="S184" s="450">
        <f t="shared" si="18"/>
        <v>11578529.899934912</v>
      </c>
      <c r="T184" s="219"/>
    </row>
    <row r="185" spans="1:20">
      <c r="A185" s="474" t="s">
        <v>901</v>
      </c>
      <c r="B185" s="475"/>
      <c r="C185" s="476">
        <v>1103769.19</v>
      </c>
      <c r="D185" s="476">
        <v>-477583.57</v>
      </c>
      <c r="E185" s="475">
        <v>138</v>
      </c>
      <c r="F185" s="477" t="s">
        <v>2498</v>
      </c>
      <c r="G185" s="544">
        <v>10.824356732821999</v>
      </c>
      <c r="H185" s="478">
        <v>626185.62</v>
      </c>
      <c r="I185" s="447">
        <f t="shared" si="19"/>
        <v>609224.80965055258</v>
      </c>
      <c r="J185" s="251">
        <f t="shared" si="19"/>
        <v>591925.60009335133</v>
      </c>
      <c r="K185" s="251">
        <f t="shared" si="19"/>
        <v>573042.9271614406</v>
      </c>
      <c r="L185" s="450">
        <f t="shared" si="19"/>
        <v>555464.05392580398</v>
      </c>
      <c r="M185" s="450">
        <f t="shared" si="19"/>
        <v>538424.43659856031</v>
      </c>
      <c r="N185" s="450">
        <f t="shared" si="19"/>
        <v>521907.53276934911</v>
      </c>
      <c r="O185" s="447" t="str">
        <f t="shared" si="14"/>
        <v/>
      </c>
      <c r="P185" s="251" t="str">
        <f t="shared" si="15"/>
        <v/>
      </c>
      <c r="Q185" s="251">
        <f t="shared" si="16"/>
        <v>521907.53276934911</v>
      </c>
      <c r="R185" s="251" t="str">
        <f t="shared" si="17"/>
        <v/>
      </c>
      <c r="S185" s="450" t="str">
        <f t="shared" si="18"/>
        <v/>
      </c>
      <c r="T185" s="219"/>
    </row>
    <row r="186" spans="1:20">
      <c r="A186" s="474" t="s">
        <v>902</v>
      </c>
      <c r="B186" s="475"/>
      <c r="C186" s="476">
        <v>1307880.94</v>
      </c>
      <c r="D186" s="476">
        <v>-585061.25</v>
      </c>
      <c r="E186" s="475">
        <v>138</v>
      </c>
      <c r="F186" s="477" t="s">
        <v>2498</v>
      </c>
      <c r="G186" s="544">
        <v>8.3757732476280005</v>
      </c>
      <c r="H186" s="478">
        <v>722819.69</v>
      </c>
      <c r="I186" s="447">
        <f t="shared" si="19"/>
        <v>703241.45746419637</v>
      </c>
      <c r="J186" s="251">
        <f t="shared" si="19"/>
        <v>683272.60335767549</v>
      </c>
      <c r="K186" s="251">
        <f t="shared" si="19"/>
        <v>661475.92301389016</v>
      </c>
      <c r="L186" s="450">
        <f t="shared" si="19"/>
        <v>641184.24703651434</v>
      </c>
      <c r="M186" s="450">
        <f t="shared" si="19"/>
        <v>621515.04589101858</v>
      </c>
      <c r="N186" s="450">
        <f t="shared" si="19"/>
        <v>602449.22431308101</v>
      </c>
      <c r="O186" s="447" t="str">
        <f t="shared" si="14"/>
        <v/>
      </c>
      <c r="P186" s="251" t="str">
        <f t="shared" si="15"/>
        <v/>
      </c>
      <c r="Q186" s="251">
        <f t="shared" si="16"/>
        <v>602449.22431308101</v>
      </c>
      <c r="R186" s="251" t="str">
        <f t="shared" si="17"/>
        <v/>
      </c>
      <c r="S186" s="450" t="str">
        <f t="shared" si="18"/>
        <v/>
      </c>
      <c r="T186" s="219"/>
    </row>
    <row r="187" spans="1:20">
      <c r="A187" s="474" t="s">
        <v>903</v>
      </c>
      <c r="B187" s="475"/>
      <c r="C187" s="476">
        <v>3239800.96</v>
      </c>
      <c r="D187" s="476">
        <v>-1883517.2</v>
      </c>
      <c r="E187" s="475">
        <v>138</v>
      </c>
      <c r="F187" s="477" t="s">
        <v>2498</v>
      </c>
      <c r="G187" s="544">
        <v>77.189454140539993</v>
      </c>
      <c r="H187" s="478">
        <v>1356283.76</v>
      </c>
      <c r="I187" s="447">
        <f t="shared" si="19"/>
        <v>1319547.5736382061</v>
      </c>
      <c r="J187" s="251">
        <f t="shared" si="19"/>
        <v>1282078.4331247767</v>
      </c>
      <c r="K187" s="251">
        <f t="shared" si="19"/>
        <v>1241179.597659756</v>
      </c>
      <c r="L187" s="450">
        <f t="shared" si="19"/>
        <v>1203104.7209345563</v>
      </c>
      <c r="M187" s="450">
        <f t="shared" si="19"/>
        <v>1166197.8429747028</v>
      </c>
      <c r="N187" s="450">
        <f t="shared" si="19"/>
        <v>1130423.1338252961</v>
      </c>
      <c r="O187" s="447" t="str">
        <f t="shared" si="14"/>
        <v/>
      </c>
      <c r="P187" s="251" t="str">
        <f t="shared" si="15"/>
        <v/>
      </c>
      <c r="Q187" s="251">
        <f t="shared" si="16"/>
        <v>1130423.1338252961</v>
      </c>
      <c r="R187" s="251" t="str">
        <f t="shared" si="17"/>
        <v/>
      </c>
      <c r="S187" s="450" t="str">
        <f t="shared" si="18"/>
        <v/>
      </c>
      <c r="T187" s="219"/>
    </row>
    <row r="188" spans="1:20">
      <c r="A188" s="474" t="s">
        <v>904</v>
      </c>
      <c r="B188" s="475"/>
      <c r="C188" s="476">
        <v>3389097.57</v>
      </c>
      <c r="D188" s="476">
        <v>-3296933.89</v>
      </c>
      <c r="E188" s="475">
        <v>138</v>
      </c>
      <c r="F188" s="477" t="s">
        <v>2498</v>
      </c>
      <c r="G188" s="544">
        <v>51.996999782479996</v>
      </c>
      <c r="H188" s="478">
        <v>92163.68</v>
      </c>
      <c r="I188" s="447">
        <f t="shared" si="19"/>
        <v>89667.342416286148</v>
      </c>
      <c r="J188" s="251">
        <f t="shared" si="19"/>
        <v>87121.198329037958</v>
      </c>
      <c r="K188" s="251">
        <f t="shared" si="19"/>
        <v>84341.995852875567</v>
      </c>
      <c r="L188" s="450">
        <f t="shared" si="19"/>
        <v>81754.69011492237</v>
      </c>
      <c r="M188" s="450">
        <f t="shared" si="19"/>
        <v>79246.753508727954</v>
      </c>
      <c r="N188" s="450">
        <f t="shared" si="19"/>
        <v>76815.751277941832</v>
      </c>
      <c r="O188" s="447" t="str">
        <f t="shared" si="14"/>
        <v/>
      </c>
      <c r="P188" s="251" t="str">
        <f t="shared" si="15"/>
        <v/>
      </c>
      <c r="Q188" s="251">
        <f t="shared" si="16"/>
        <v>76815.751277941832</v>
      </c>
      <c r="R188" s="251" t="str">
        <f t="shared" si="17"/>
        <v/>
      </c>
      <c r="S188" s="450" t="str">
        <f t="shared" si="18"/>
        <v/>
      </c>
      <c r="T188" s="219"/>
    </row>
    <row r="189" spans="1:20">
      <c r="A189" s="474" t="s">
        <v>905</v>
      </c>
      <c r="B189" s="475"/>
      <c r="C189" s="476">
        <v>442238.66</v>
      </c>
      <c r="D189" s="476">
        <v>-435360.26</v>
      </c>
      <c r="E189" s="475">
        <v>138</v>
      </c>
      <c r="F189" s="477" t="s">
        <v>2498</v>
      </c>
      <c r="G189" s="544">
        <v>7.0766893769500001</v>
      </c>
      <c r="H189" s="478">
        <v>6878.4</v>
      </c>
      <c r="I189" s="447">
        <f t="shared" si="19"/>
        <v>6692.0922436710716</v>
      </c>
      <c r="J189" s="251">
        <f t="shared" si="19"/>
        <v>6502.0673066272384</v>
      </c>
      <c r="K189" s="251">
        <f t="shared" si="19"/>
        <v>6294.6486541598524</v>
      </c>
      <c r="L189" s="450">
        <f t="shared" si="19"/>
        <v>6101.551722831402</v>
      </c>
      <c r="M189" s="450">
        <f t="shared" si="19"/>
        <v>5914.378303193128</v>
      </c>
      <c r="N189" s="450">
        <f t="shared" si="19"/>
        <v>5732.9466834461809</v>
      </c>
      <c r="O189" s="447" t="str">
        <f t="shared" si="14"/>
        <v/>
      </c>
      <c r="P189" s="251" t="str">
        <f t="shared" si="15"/>
        <v/>
      </c>
      <c r="Q189" s="251">
        <f t="shared" si="16"/>
        <v>5732.9466834461809</v>
      </c>
      <c r="R189" s="251" t="str">
        <f t="shared" si="17"/>
        <v/>
      </c>
      <c r="S189" s="450" t="str">
        <f t="shared" si="18"/>
        <v/>
      </c>
      <c r="T189" s="219"/>
    </row>
    <row r="190" spans="1:20">
      <c r="A190" s="474" t="s">
        <v>906</v>
      </c>
      <c r="B190" s="475"/>
      <c r="C190" s="476">
        <v>515208.78</v>
      </c>
      <c r="D190" s="476">
        <v>-385384.3</v>
      </c>
      <c r="E190" s="475">
        <v>138</v>
      </c>
      <c r="F190" s="477" t="s">
        <v>2498</v>
      </c>
      <c r="G190" s="544">
        <v>12.417612138163701</v>
      </c>
      <c r="H190" s="478">
        <v>129824.48</v>
      </c>
      <c r="I190" s="447">
        <f t="shared" si="19"/>
        <v>126308.06519635819</v>
      </c>
      <c r="J190" s="251">
        <f t="shared" si="19"/>
        <v>122721.49148172275</v>
      </c>
      <c r="K190" s="251">
        <f t="shared" si="19"/>
        <v>118806.62484138792</v>
      </c>
      <c r="L190" s="450">
        <f t="shared" si="19"/>
        <v>115162.06961062034</v>
      </c>
      <c r="M190" s="450">
        <f t="shared" si="19"/>
        <v>111629.31608154951</v>
      </c>
      <c r="N190" s="450">
        <f t="shared" si="19"/>
        <v>108204.93458451457</v>
      </c>
      <c r="O190" s="447" t="str">
        <f t="shared" si="14"/>
        <v/>
      </c>
      <c r="P190" s="251" t="str">
        <f t="shared" si="15"/>
        <v/>
      </c>
      <c r="Q190" s="251">
        <f t="shared" si="16"/>
        <v>108204.93458451457</v>
      </c>
      <c r="R190" s="251" t="str">
        <f t="shared" si="17"/>
        <v/>
      </c>
      <c r="S190" s="450" t="str">
        <f t="shared" si="18"/>
        <v/>
      </c>
      <c r="T190" s="219"/>
    </row>
    <row r="191" spans="1:20">
      <c r="A191" s="474" t="s">
        <v>907</v>
      </c>
      <c r="B191" s="475"/>
      <c r="C191" s="476">
        <v>2468722.42</v>
      </c>
      <c r="D191" s="476">
        <v>-1623918.74</v>
      </c>
      <c r="E191" s="475">
        <v>138</v>
      </c>
      <c r="F191" s="477" t="s">
        <v>2498</v>
      </c>
      <c r="G191" s="544">
        <v>31.261487089599999</v>
      </c>
      <c r="H191" s="478">
        <v>844803.68</v>
      </c>
      <c r="I191" s="447">
        <f t="shared" si="19"/>
        <v>821921.3995046491</v>
      </c>
      <c r="J191" s="251">
        <f t="shared" si="19"/>
        <v>798582.57563479582</v>
      </c>
      <c r="K191" s="251">
        <f t="shared" si="19"/>
        <v>773107.45919709397</v>
      </c>
      <c r="L191" s="450">
        <f t="shared" si="19"/>
        <v>749391.33361803752</v>
      </c>
      <c r="M191" s="450">
        <f t="shared" si="19"/>
        <v>726402.73253223288</v>
      </c>
      <c r="N191" s="450">
        <f t="shared" si="19"/>
        <v>704119.33813374175</v>
      </c>
      <c r="O191" s="447" t="str">
        <f t="shared" si="14"/>
        <v/>
      </c>
      <c r="P191" s="251" t="str">
        <f t="shared" si="15"/>
        <v/>
      </c>
      <c r="Q191" s="251">
        <f t="shared" si="16"/>
        <v>704119.33813374175</v>
      </c>
      <c r="R191" s="251" t="str">
        <f t="shared" si="17"/>
        <v/>
      </c>
      <c r="S191" s="450" t="str">
        <f t="shared" si="18"/>
        <v/>
      </c>
      <c r="T191" s="219"/>
    </row>
    <row r="192" spans="1:20">
      <c r="A192" s="474" t="s">
        <v>908</v>
      </c>
      <c r="B192" s="475"/>
      <c r="C192" s="476">
        <v>4381777.16</v>
      </c>
      <c r="D192" s="476">
        <v>-1025251.08</v>
      </c>
      <c r="E192" s="475">
        <v>138</v>
      </c>
      <c r="F192" s="477" t="s">
        <v>2498</v>
      </c>
      <c r="G192" s="544">
        <v>7.2901545677299993</v>
      </c>
      <c r="H192" s="478">
        <v>3356526.08</v>
      </c>
      <c r="I192" s="447">
        <f t="shared" si="19"/>
        <v>3265611.5005884604</v>
      </c>
      <c r="J192" s="251">
        <f t="shared" si="19"/>
        <v>3172883.0089279022</v>
      </c>
      <c r="K192" s="251">
        <f t="shared" si="19"/>
        <v>3071666.7207671041</v>
      </c>
      <c r="L192" s="450">
        <f t="shared" si="19"/>
        <v>2977439.1553489962</v>
      </c>
      <c r="M192" s="450">
        <f t="shared" si="19"/>
        <v>2886102.1489959704</v>
      </c>
      <c r="N192" s="450">
        <f t="shared" si="19"/>
        <v>2797567.0298669185</v>
      </c>
      <c r="O192" s="447" t="str">
        <f t="shared" si="14"/>
        <v/>
      </c>
      <c r="P192" s="251" t="str">
        <f t="shared" si="15"/>
        <v/>
      </c>
      <c r="Q192" s="251">
        <f t="shared" si="16"/>
        <v>2797567.0298669185</v>
      </c>
      <c r="R192" s="251" t="str">
        <f t="shared" si="17"/>
        <v/>
      </c>
      <c r="S192" s="450" t="str">
        <f t="shared" si="18"/>
        <v/>
      </c>
      <c r="T192" s="219"/>
    </row>
    <row r="193" spans="1:20">
      <c r="A193" s="474" t="s">
        <v>909</v>
      </c>
      <c r="B193" s="475"/>
      <c r="C193" s="476">
        <v>3764145.15</v>
      </c>
      <c r="D193" s="476">
        <v>-1434380.23</v>
      </c>
      <c r="E193" s="475">
        <v>138</v>
      </c>
      <c r="F193" s="477" t="s">
        <v>2498</v>
      </c>
      <c r="G193" s="544">
        <v>23.635548418682699</v>
      </c>
      <c r="H193" s="478">
        <v>2329764.92</v>
      </c>
      <c r="I193" s="447">
        <f t="shared" si="19"/>
        <v>2266661.1058834838</v>
      </c>
      <c r="J193" s="251">
        <f t="shared" si="19"/>
        <v>2202298.2551842034</v>
      </c>
      <c r="K193" s="251">
        <f t="shared" si="19"/>
        <v>2132044.0245096008</v>
      </c>
      <c r="L193" s="450">
        <f t="shared" si="19"/>
        <v>2066640.6666402309</v>
      </c>
      <c r="M193" s="450">
        <f t="shared" si="19"/>
        <v>2003243.6459625019</v>
      </c>
      <c r="N193" s="450">
        <f t="shared" si="19"/>
        <v>1941791.4153470658</v>
      </c>
      <c r="O193" s="447" t="str">
        <f t="shared" si="14"/>
        <v/>
      </c>
      <c r="P193" s="251" t="str">
        <f t="shared" si="15"/>
        <v/>
      </c>
      <c r="Q193" s="251">
        <f t="shared" si="16"/>
        <v>1941791.4153470658</v>
      </c>
      <c r="R193" s="251" t="str">
        <f t="shared" si="17"/>
        <v/>
      </c>
      <c r="S193" s="450" t="str">
        <f t="shared" si="18"/>
        <v/>
      </c>
      <c r="T193" s="219"/>
    </row>
    <row r="194" spans="1:20">
      <c r="A194" s="474" t="s">
        <v>910</v>
      </c>
      <c r="B194" s="475"/>
      <c r="C194" s="476">
        <v>2444114.9900000002</v>
      </c>
      <c r="D194" s="476">
        <v>-372818.36</v>
      </c>
      <c r="E194" s="475">
        <v>138</v>
      </c>
      <c r="F194" s="477" t="s">
        <v>2498</v>
      </c>
      <c r="G194" s="544">
        <v>16.406093389841999</v>
      </c>
      <c r="H194" s="478">
        <v>2071296.63</v>
      </c>
      <c r="I194" s="447">
        <f t="shared" si="19"/>
        <v>2015193.6659637457</v>
      </c>
      <c r="J194" s="251">
        <f t="shared" si="19"/>
        <v>1957971.3451166223</v>
      </c>
      <c r="K194" s="251">
        <f t="shared" si="19"/>
        <v>1895511.2445329349</v>
      </c>
      <c r="L194" s="450">
        <f t="shared" si="19"/>
        <v>1837363.8522434544</v>
      </c>
      <c r="M194" s="450">
        <f t="shared" si="19"/>
        <v>1781000.2105066648</v>
      </c>
      <c r="N194" s="450">
        <f t="shared" si="19"/>
        <v>1726365.600341904</v>
      </c>
      <c r="O194" s="447" t="str">
        <f t="shared" si="14"/>
        <v/>
      </c>
      <c r="P194" s="251" t="str">
        <f t="shared" si="15"/>
        <v/>
      </c>
      <c r="Q194" s="251">
        <f t="shared" si="16"/>
        <v>1726365.600341904</v>
      </c>
      <c r="R194" s="251" t="str">
        <f t="shared" si="17"/>
        <v/>
      </c>
      <c r="S194" s="450" t="str">
        <f t="shared" si="18"/>
        <v/>
      </c>
      <c r="T194" s="219"/>
    </row>
    <row r="195" spans="1:20">
      <c r="A195" s="474" t="s">
        <v>1163</v>
      </c>
      <c r="B195" s="475"/>
      <c r="C195" s="476">
        <v>3231976.3</v>
      </c>
      <c r="D195" s="476">
        <v>-1898363.71</v>
      </c>
      <c r="E195" s="475">
        <v>138</v>
      </c>
      <c r="F195" s="477" t="s">
        <v>2498</v>
      </c>
      <c r="G195" s="544">
        <v>34.864518210454506</v>
      </c>
      <c r="H195" s="478">
        <v>1333612.5900000001</v>
      </c>
      <c r="I195" s="447">
        <f t="shared" ref="I195:N237" si="20">+$H195*(I$3)</f>
        <v>1297490.4730171391</v>
      </c>
      <c r="J195" s="251">
        <f t="shared" si="20"/>
        <v>1260647.6536906078</v>
      </c>
      <c r="K195" s="251">
        <f t="shared" si="20"/>
        <v>1220432.4690064748</v>
      </c>
      <c r="L195" s="450">
        <f t="shared" si="20"/>
        <v>1182994.0387450787</v>
      </c>
      <c r="M195" s="450">
        <f t="shared" si="20"/>
        <v>1146704.0833858445</v>
      </c>
      <c r="N195" s="450">
        <f t="shared" si="20"/>
        <v>1111527.3718950006</v>
      </c>
      <c r="O195" s="447" t="str">
        <f t="shared" si="14"/>
        <v/>
      </c>
      <c r="P195" s="251" t="str">
        <f t="shared" si="15"/>
        <v/>
      </c>
      <c r="Q195" s="251">
        <f t="shared" si="16"/>
        <v>1111527.3718950006</v>
      </c>
      <c r="R195" s="251" t="str">
        <f t="shared" si="17"/>
        <v/>
      </c>
      <c r="S195" s="450" t="str">
        <f t="shared" si="18"/>
        <v/>
      </c>
      <c r="T195" s="219"/>
    </row>
    <row r="196" spans="1:20">
      <c r="A196" s="474" t="s">
        <v>911</v>
      </c>
      <c r="B196" s="475"/>
      <c r="C196" s="476">
        <v>1578152.65</v>
      </c>
      <c r="D196" s="476">
        <v>-1152331.4099999999</v>
      </c>
      <c r="E196" s="475">
        <v>138</v>
      </c>
      <c r="F196" s="477" t="s">
        <v>2498</v>
      </c>
      <c r="G196" s="544">
        <v>8.7819290571549988</v>
      </c>
      <c r="H196" s="478">
        <v>425821.24</v>
      </c>
      <c r="I196" s="447">
        <f t="shared" si="20"/>
        <v>414287.48217527301</v>
      </c>
      <c r="J196" s="251">
        <f t="shared" si="20"/>
        <v>402523.60477312614</v>
      </c>
      <c r="K196" s="251">
        <f t="shared" si="20"/>
        <v>389682.93429848214</v>
      </c>
      <c r="L196" s="450">
        <f t="shared" si="20"/>
        <v>377728.87888756167</v>
      </c>
      <c r="M196" s="450">
        <f t="shared" si="20"/>
        <v>366141.53042783111</v>
      </c>
      <c r="N196" s="450">
        <f t="shared" si="20"/>
        <v>354909.6396834933</v>
      </c>
      <c r="O196" s="447" t="str">
        <f t="shared" si="14"/>
        <v/>
      </c>
      <c r="P196" s="251" t="str">
        <f t="shared" si="15"/>
        <v/>
      </c>
      <c r="Q196" s="251">
        <f t="shared" si="16"/>
        <v>354909.6396834933</v>
      </c>
      <c r="R196" s="251" t="str">
        <f t="shared" si="17"/>
        <v/>
      </c>
      <c r="S196" s="450" t="str">
        <f t="shared" si="18"/>
        <v/>
      </c>
      <c r="T196" s="219"/>
    </row>
    <row r="197" spans="1:20">
      <c r="A197" s="474" t="s">
        <v>912</v>
      </c>
      <c r="B197" s="475"/>
      <c r="C197" s="476">
        <v>48318.11</v>
      </c>
      <c r="D197" s="476">
        <v>-32399.52</v>
      </c>
      <c r="E197" s="475">
        <v>138</v>
      </c>
      <c r="F197" s="477" t="s">
        <v>2498</v>
      </c>
      <c r="G197" s="544">
        <v>7.6637725664299996</v>
      </c>
      <c r="H197" s="478">
        <v>15918.59</v>
      </c>
      <c r="I197" s="447">
        <f t="shared" si="20"/>
        <v>15487.420427596517</v>
      </c>
      <c r="J197" s="251">
        <f t="shared" si="20"/>
        <v>15047.648233107015</v>
      </c>
      <c r="K197" s="251">
        <f t="shared" si="20"/>
        <v>14567.621993431974</v>
      </c>
      <c r="L197" s="450">
        <f t="shared" si="20"/>
        <v>14120.74032326511</v>
      </c>
      <c r="M197" s="450">
        <f t="shared" si="20"/>
        <v>13687.567357732481</v>
      </c>
      <c r="N197" s="450">
        <f t="shared" si="20"/>
        <v>13267.682563625196</v>
      </c>
      <c r="O197" s="447" t="str">
        <f t="shared" si="14"/>
        <v/>
      </c>
      <c r="P197" s="251" t="str">
        <f t="shared" si="15"/>
        <v/>
      </c>
      <c r="Q197" s="251">
        <f t="shared" si="16"/>
        <v>13267.682563625196</v>
      </c>
      <c r="R197" s="251" t="str">
        <f t="shared" si="17"/>
        <v/>
      </c>
      <c r="S197" s="450" t="str">
        <f t="shared" si="18"/>
        <v/>
      </c>
      <c r="T197" s="219"/>
    </row>
    <row r="198" spans="1:20">
      <c r="A198" s="474" t="s">
        <v>913</v>
      </c>
      <c r="B198" s="475"/>
      <c r="C198" s="476">
        <v>321595.98</v>
      </c>
      <c r="D198" s="476">
        <v>-7511.87</v>
      </c>
      <c r="E198" s="475">
        <v>138</v>
      </c>
      <c r="F198" s="477" t="s">
        <v>2498</v>
      </c>
      <c r="G198" s="544">
        <v>1.47058069864E-2</v>
      </c>
      <c r="H198" s="478">
        <v>314084.11</v>
      </c>
      <c r="I198" s="447">
        <f t="shared" si="20"/>
        <v>305576.85455793957</v>
      </c>
      <c r="J198" s="251">
        <f t="shared" si="20"/>
        <v>296899.86380002811</v>
      </c>
      <c r="K198" s="251">
        <f t="shared" si="20"/>
        <v>287428.63461044652</v>
      </c>
      <c r="L198" s="450">
        <f t="shared" si="20"/>
        <v>278611.36928420386</v>
      </c>
      <c r="M198" s="450">
        <f t="shared" si="20"/>
        <v>270064.58559573791</v>
      </c>
      <c r="N198" s="450">
        <f t="shared" si="20"/>
        <v>261779.98615196056</v>
      </c>
      <c r="O198" s="447" t="str">
        <f t="shared" ref="O198:O261" si="21">IF(AND(F198="n",$E198=500),$N198,"")</f>
        <v/>
      </c>
      <c r="P198" s="251" t="str">
        <f t="shared" ref="P198:P261" si="22">IF(AND(F198="n",OR($E198=240,$E198=260)),$N198,"")</f>
        <v/>
      </c>
      <c r="Q198" s="251">
        <f t="shared" ref="Q198:Q261" si="23">IF(AND(F198="n",OR($E198=138,$E198=144)),$N198,"")</f>
        <v>261779.98615196056</v>
      </c>
      <c r="R198" s="251" t="str">
        <f t="shared" ref="R198:R261" si="24">IF(AND(F198="n",$E198=69),$N198,"")</f>
        <v/>
      </c>
      <c r="S198" s="450" t="str">
        <f t="shared" ref="S198:S261" si="25">IF(OR(E198=25,F198="y"),$N198,"")</f>
        <v/>
      </c>
      <c r="T198" s="219"/>
    </row>
    <row r="199" spans="1:20">
      <c r="A199" s="474" t="s">
        <v>914</v>
      </c>
      <c r="B199" s="475"/>
      <c r="C199" s="476">
        <v>106967.03</v>
      </c>
      <c r="D199" s="476">
        <v>-17029.37</v>
      </c>
      <c r="E199" s="475">
        <v>138</v>
      </c>
      <c r="F199" s="477" t="s">
        <v>2498</v>
      </c>
      <c r="G199" s="544">
        <v>5.7389196193799993E-2</v>
      </c>
      <c r="H199" s="478">
        <v>89937.66</v>
      </c>
      <c r="I199" s="447">
        <f t="shared" si="20"/>
        <v>87501.616204339094</v>
      </c>
      <c r="J199" s="251">
        <f t="shared" si="20"/>
        <v>85016.968876563784</v>
      </c>
      <c r="K199" s="251">
        <f t="shared" si="20"/>
        <v>82304.892195465</v>
      </c>
      <c r="L199" s="450">
        <f t="shared" si="20"/>
        <v>79780.077390152495</v>
      </c>
      <c r="M199" s="450">
        <f t="shared" si="20"/>
        <v>77332.714722022632</v>
      </c>
      <c r="N199" s="450">
        <f t="shared" si="20"/>
        <v>74960.428241147689</v>
      </c>
      <c r="O199" s="447" t="str">
        <f t="shared" si="21"/>
        <v/>
      </c>
      <c r="P199" s="251" t="str">
        <f t="shared" si="22"/>
        <v/>
      </c>
      <c r="Q199" s="251">
        <f t="shared" si="23"/>
        <v>74960.428241147689</v>
      </c>
      <c r="R199" s="251" t="str">
        <f t="shared" si="24"/>
        <v/>
      </c>
      <c r="S199" s="450" t="str">
        <f t="shared" si="25"/>
        <v/>
      </c>
      <c r="T199" s="219"/>
    </row>
    <row r="200" spans="1:20">
      <c r="A200" s="474" t="s">
        <v>915</v>
      </c>
      <c r="B200" s="475"/>
      <c r="C200" s="476">
        <v>9033449.2799999993</v>
      </c>
      <c r="D200" s="476">
        <v>-3101642.11</v>
      </c>
      <c r="E200" s="475">
        <v>138</v>
      </c>
      <c r="F200" s="477" t="s">
        <v>2498</v>
      </c>
      <c r="G200" s="544">
        <v>56.983052842573002</v>
      </c>
      <c r="H200" s="478">
        <v>5931807.1699999999</v>
      </c>
      <c r="I200" s="447">
        <f t="shared" si="20"/>
        <v>5771138.746410422</v>
      </c>
      <c r="J200" s="251">
        <f t="shared" si="20"/>
        <v>5607264.6937186038</v>
      </c>
      <c r="K200" s="251">
        <f t="shared" si="20"/>
        <v>5428390.6169132739</v>
      </c>
      <c r="L200" s="450">
        <f t="shared" si="20"/>
        <v>5261867.3321727682</v>
      </c>
      <c r="M200" s="450">
        <f t="shared" si="20"/>
        <v>5100452.3762755049</v>
      </c>
      <c r="N200" s="450">
        <f t="shared" si="20"/>
        <v>4943989.0442681117</v>
      </c>
      <c r="O200" s="447" t="str">
        <f t="shared" si="21"/>
        <v/>
      </c>
      <c r="P200" s="251" t="str">
        <f t="shared" si="22"/>
        <v/>
      </c>
      <c r="Q200" s="251">
        <f t="shared" si="23"/>
        <v>4943989.0442681117</v>
      </c>
      <c r="R200" s="251" t="str">
        <f t="shared" si="24"/>
        <v/>
      </c>
      <c r="S200" s="450" t="str">
        <f t="shared" si="25"/>
        <v/>
      </c>
      <c r="T200" s="219"/>
    </row>
    <row r="201" spans="1:20">
      <c r="A201" s="474" t="s">
        <v>916</v>
      </c>
      <c r="B201" s="475"/>
      <c r="C201" s="476">
        <v>1542698.91</v>
      </c>
      <c r="D201" s="476">
        <v>-1351947.4</v>
      </c>
      <c r="E201" s="475">
        <v>138</v>
      </c>
      <c r="F201" s="477" t="s">
        <v>2498</v>
      </c>
      <c r="G201" s="544">
        <v>28.9433344318</v>
      </c>
      <c r="H201" s="478">
        <v>190751.51</v>
      </c>
      <c r="I201" s="447">
        <f t="shared" si="20"/>
        <v>185584.83085303922</v>
      </c>
      <c r="J201" s="251">
        <f t="shared" si="20"/>
        <v>180315.06700115997</v>
      </c>
      <c r="K201" s="251">
        <f t="shared" si="20"/>
        <v>174562.94133816872</v>
      </c>
      <c r="L201" s="450">
        <f t="shared" si="20"/>
        <v>169207.98506530465</v>
      </c>
      <c r="M201" s="450">
        <f t="shared" si="20"/>
        <v>164017.29937853673</v>
      </c>
      <c r="N201" s="450">
        <f t="shared" si="20"/>
        <v>158985.84505362457</v>
      </c>
      <c r="O201" s="447" t="str">
        <f t="shared" si="21"/>
        <v/>
      </c>
      <c r="P201" s="251" t="str">
        <f t="shared" si="22"/>
        <v/>
      </c>
      <c r="Q201" s="251">
        <f t="shared" si="23"/>
        <v>158985.84505362457</v>
      </c>
      <c r="R201" s="251" t="str">
        <f t="shared" si="24"/>
        <v/>
      </c>
      <c r="S201" s="450" t="str">
        <f t="shared" si="25"/>
        <v/>
      </c>
      <c r="T201" s="219"/>
    </row>
    <row r="202" spans="1:20">
      <c r="A202" s="474" t="s">
        <v>917</v>
      </c>
      <c r="B202" s="475"/>
      <c r="C202" s="476">
        <v>282179.77</v>
      </c>
      <c r="D202" s="476">
        <v>-141754.26</v>
      </c>
      <c r="E202" s="475">
        <v>138</v>
      </c>
      <c r="F202" s="477" t="s">
        <v>2499</v>
      </c>
      <c r="G202" s="544">
        <v>1.5397670765595</v>
      </c>
      <c r="H202" s="478">
        <v>140425.51</v>
      </c>
      <c r="I202" s="447">
        <f t="shared" si="20"/>
        <v>136621.95660103433</v>
      </c>
      <c r="J202" s="251">
        <f t="shared" si="20"/>
        <v>132742.51535058391</v>
      </c>
      <c r="K202" s="251">
        <f t="shared" si="20"/>
        <v>128507.97387927586</v>
      </c>
      <c r="L202" s="450">
        <f t="shared" si="20"/>
        <v>124565.81653727297</v>
      </c>
      <c r="M202" s="450">
        <f t="shared" si="20"/>
        <v>120744.59024756189</v>
      </c>
      <c r="N202" s="450">
        <f t="shared" si="20"/>
        <v>117040.58528520276</v>
      </c>
      <c r="O202" s="447" t="str">
        <f t="shared" si="21"/>
        <v/>
      </c>
      <c r="P202" s="251" t="str">
        <f t="shared" si="22"/>
        <v/>
      </c>
      <c r="Q202" s="251" t="str">
        <f t="shared" si="23"/>
        <v/>
      </c>
      <c r="R202" s="251" t="str">
        <f t="shared" si="24"/>
        <v/>
      </c>
      <c r="S202" s="450">
        <f t="shared" si="25"/>
        <v>117040.58528520276</v>
      </c>
      <c r="T202" s="219"/>
    </row>
    <row r="203" spans="1:20">
      <c r="A203" s="474" t="s">
        <v>918</v>
      </c>
      <c r="B203" s="475"/>
      <c r="C203" s="476">
        <v>1468127.42</v>
      </c>
      <c r="D203" s="476">
        <v>-1035269.92</v>
      </c>
      <c r="E203" s="475">
        <v>138</v>
      </c>
      <c r="F203" s="477" t="s">
        <v>2499</v>
      </c>
      <c r="G203" s="544">
        <v>14.481037634667</v>
      </c>
      <c r="H203" s="478">
        <v>432857.5</v>
      </c>
      <c r="I203" s="447">
        <f t="shared" si="20"/>
        <v>421133.15863643447</v>
      </c>
      <c r="J203" s="251">
        <f t="shared" si="20"/>
        <v>409174.89520504768</v>
      </c>
      <c r="K203" s="251">
        <f t="shared" si="20"/>
        <v>396122.04579815053</v>
      </c>
      <c r="L203" s="450">
        <f t="shared" si="20"/>
        <v>383970.46186111507</v>
      </c>
      <c r="M203" s="450">
        <f t="shared" si="20"/>
        <v>372191.64433217311</v>
      </c>
      <c r="N203" s="450">
        <f t="shared" si="20"/>
        <v>360774.1580934237</v>
      </c>
      <c r="O203" s="447" t="str">
        <f t="shared" si="21"/>
        <v/>
      </c>
      <c r="P203" s="251" t="str">
        <f t="shared" si="22"/>
        <v/>
      </c>
      <c r="Q203" s="251" t="str">
        <f t="shared" si="23"/>
        <v/>
      </c>
      <c r="R203" s="251" t="str">
        <f t="shared" si="24"/>
        <v/>
      </c>
      <c r="S203" s="450">
        <f t="shared" si="25"/>
        <v>360774.1580934237</v>
      </c>
      <c r="T203" s="219"/>
    </row>
    <row r="204" spans="1:20">
      <c r="A204" s="474" t="s">
        <v>919</v>
      </c>
      <c r="B204" s="475"/>
      <c r="C204" s="476">
        <v>1779004.77</v>
      </c>
      <c r="D204" s="476">
        <v>-1430635.04</v>
      </c>
      <c r="E204" s="475">
        <v>138</v>
      </c>
      <c r="F204" s="477" t="s">
        <v>2499</v>
      </c>
      <c r="G204" s="544">
        <v>21.190269566439998</v>
      </c>
      <c r="H204" s="478">
        <v>348369.73</v>
      </c>
      <c r="I204" s="447">
        <f t="shared" si="20"/>
        <v>338933.81717591087</v>
      </c>
      <c r="J204" s="251">
        <f t="shared" si="20"/>
        <v>329309.64062159194</v>
      </c>
      <c r="K204" s="251">
        <f t="shared" si="20"/>
        <v>318804.52606631356</v>
      </c>
      <c r="L204" s="450">
        <f t="shared" si="20"/>
        <v>309024.76248310803</v>
      </c>
      <c r="M204" s="450">
        <f t="shared" si="20"/>
        <v>299545.00648424751</v>
      </c>
      <c r="N204" s="450">
        <f t="shared" si="20"/>
        <v>290356.05492796894</v>
      </c>
      <c r="O204" s="447" t="str">
        <f t="shared" si="21"/>
        <v/>
      </c>
      <c r="P204" s="251" t="str">
        <f t="shared" si="22"/>
        <v/>
      </c>
      <c r="Q204" s="251" t="str">
        <f t="shared" si="23"/>
        <v/>
      </c>
      <c r="R204" s="251" t="str">
        <f t="shared" si="24"/>
        <v/>
      </c>
      <c r="S204" s="450">
        <f t="shared" si="25"/>
        <v>290356.05492796894</v>
      </c>
      <c r="T204" s="219"/>
    </row>
    <row r="205" spans="1:20">
      <c r="A205" s="474" t="s">
        <v>920</v>
      </c>
      <c r="B205" s="475"/>
      <c r="C205" s="476">
        <v>280477.48</v>
      </c>
      <c r="D205" s="476">
        <v>-201038.67</v>
      </c>
      <c r="E205" s="475">
        <v>138</v>
      </c>
      <c r="F205" s="477" t="s">
        <v>2498</v>
      </c>
      <c r="G205" s="544">
        <v>8.8674902930519988</v>
      </c>
      <c r="H205" s="478">
        <v>79438.81</v>
      </c>
      <c r="I205" s="447">
        <f t="shared" si="20"/>
        <v>77287.13716088915</v>
      </c>
      <c r="J205" s="251">
        <f t="shared" si="20"/>
        <v>75092.534510696234</v>
      </c>
      <c r="K205" s="251">
        <f t="shared" si="20"/>
        <v>72697.051415236143</v>
      </c>
      <c r="L205" s="450">
        <f t="shared" si="20"/>
        <v>70466.970227840255</v>
      </c>
      <c r="M205" s="450">
        <f t="shared" si="20"/>
        <v>68305.299821976223</v>
      </c>
      <c r="N205" s="450">
        <f t="shared" si="20"/>
        <v>66209.941603630403</v>
      </c>
      <c r="O205" s="447" t="str">
        <f t="shared" si="21"/>
        <v/>
      </c>
      <c r="P205" s="251" t="str">
        <f t="shared" si="22"/>
        <v/>
      </c>
      <c r="Q205" s="251">
        <f t="shared" si="23"/>
        <v>66209.941603630403</v>
      </c>
      <c r="R205" s="251" t="str">
        <f t="shared" si="24"/>
        <v/>
      </c>
      <c r="S205" s="450" t="str">
        <f t="shared" si="25"/>
        <v/>
      </c>
      <c r="T205" s="219"/>
    </row>
    <row r="206" spans="1:20">
      <c r="A206" s="474" t="s">
        <v>921</v>
      </c>
      <c r="B206" s="475"/>
      <c r="C206" s="476">
        <v>1284657.96</v>
      </c>
      <c r="D206" s="476">
        <v>-1009926.87</v>
      </c>
      <c r="E206" s="475">
        <v>138</v>
      </c>
      <c r="F206" s="477" t="s">
        <v>2498</v>
      </c>
      <c r="G206" s="544">
        <v>15.950275484199999</v>
      </c>
      <c r="H206" s="478">
        <v>274731.09000000003</v>
      </c>
      <c r="I206" s="447">
        <f t="shared" si="20"/>
        <v>267289.74710460269</v>
      </c>
      <c r="J206" s="251">
        <f t="shared" si="20"/>
        <v>259699.93579946872</v>
      </c>
      <c r="K206" s="251">
        <f t="shared" si="20"/>
        <v>251415.39979128426</v>
      </c>
      <c r="L206" s="450">
        <f t="shared" si="20"/>
        <v>243702.88955350796</v>
      </c>
      <c r="M206" s="450">
        <f t="shared" si="20"/>
        <v>236226.97108464158</v>
      </c>
      <c r="N206" s="450">
        <f t="shared" si="20"/>
        <v>228980.38660953921</v>
      </c>
      <c r="O206" s="447" t="str">
        <f t="shared" si="21"/>
        <v/>
      </c>
      <c r="P206" s="251" t="str">
        <f t="shared" si="22"/>
        <v/>
      </c>
      <c r="Q206" s="251">
        <f t="shared" si="23"/>
        <v>228980.38660953921</v>
      </c>
      <c r="R206" s="251" t="str">
        <f t="shared" si="24"/>
        <v/>
      </c>
      <c r="S206" s="450" t="str">
        <f t="shared" si="25"/>
        <v/>
      </c>
      <c r="T206" s="219"/>
    </row>
    <row r="207" spans="1:20">
      <c r="A207" s="474" t="s">
        <v>922</v>
      </c>
      <c r="B207" s="475"/>
      <c r="C207" s="476">
        <v>2905357.88</v>
      </c>
      <c r="D207" s="476">
        <v>-669214.35</v>
      </c>
      <c r="E207" s="475">
        <v>138</v>
      </c>
      <c r="F207" s="477" t="s">
        <v>2499</v>
      </c>
      <c r="G207" s="544">
        <v>9.0023317455449998</v>
      </c>
      <c r="H207" s="478">
        <v>2236143.5299999998</v>
      </c>
      <c r="I207" s="447">
        <f t="shared" si="20"/>
        <v>2175575.536876054</v>
      </c>
      <c r="J207" s="251">
        <f t="shared" si="20"/>
        <v>2113799.1014391463</v>
      </c>
      <c r="K207" s="251">
        <f t="shared" si="20"/>
        <v>2046368.030591818</v>
      </c>
      <c r="L207" s="450">
        <f t="shared" si="20"/>
        <v>1983592.9006701838</v>
      </c>
      <c r="M207" s="450">
        <f t="shared" si="20"/>
        <v>1922743.483463842</v>
      </c>
      <c r="N207" s="450">
        <f t="shared" si="20"/>
        <v>1863760.7051092021</v>
      </c>
      <c r="O207" s="447" t="str">
        <f t="shared" si="21"/>
        <v/>
      </c>
      <c r="P207" s="251" t="str">
        <f t="shared" si="22"/>
        <v/>
      </c>
      <c r="Q207" s="251" t="str">
        <f t="shared" si="23"/>
        <v/>
      </c>
      <c r="R207" s="251" t="str">
        <f t="shared" si="24"/>
        <v/>
      </c>
      <c r="S207" s="450">
        <f t="shared" si="25"/>
        <v>1863760.7051092021</v>
      </c>
      <c r="T207" s="219"/>
    </row>
    <row r="208" spans="1:20">
      <c r="A208" s="474" t="s">
        <v>923</v>
      </c>
      <c r="B208" s="475"/>
      <c r="C208" s="476">
        <v>1851494.11</v>
      </c>
      <c r="D208" s="476">
        <v>-2080368.52</v>
      </c>
      <c r="E208" s="475">
        <v>138</v>
      </c>
      <c r="F208" s="477" t="s">
        <v>2499</v>
      </c>
      <c r="G208" s="544">
        <v>23.478501845390003</v>
      </c>
      <c r="H208" s="478">
        <v>-228874.41</v>
      </c>
      <c r="I208" s="447">
        <f t="shared" si="20"/>
        <v>-222675.13723188426</v>
      </c>
      <c r="J208" s="251">
        <f t="shared" si="20"/>
        <v>-216352.17762627912</v>
      </c>
      <c r="K208" s="251">
        <f t="shared" si="20"/>
        <v>-209450.45313999336</v>
      </c>
      <c r="L208" s="450">
        <f t="shared" si="20"/>
        <v>-203025.27486734136</v>
      </c>
      <c r="M208" s="450">
        <f t="shared" si="20"/>
        <v>-196797.19770006518</v>
      </c>
      <c r="N208" s="450">
        <f t="shared" si="20"/>
        <v>-190760.17529297533</v>
      </c>
      <c r="O208" s="447" t="str">
        <f t="shared" si="21"/>
        <v/>
      </c>
      <c r="P208" s="251" t="str">
        <f t="shared" si="22"/>
        <v/>
      </c>
      <c r="Q208" s="251" t="str">
        <f t="shared" si="23"/>
        <v/>
      </c>
      <c r="R208" s="251" t="str">
        <f t="shared" si="24"/>
        <v/>
      </c>
      <c r="S208" s="450">
        <f t="shared" si="25"/>
        <v>-190760.17529297533</v>
      </c>
      <c r="T208" s="219"/>
    </row>
    <row r="209" spans="1:20">
      <c r="A209" s="474" t="s">
        <v>924</v>
      </c>
      <c r="B209" s="475"/>
      <c r="C209" s="476">
        <v>1291258.42</v>
      </c>
      <c r="D209" s="476">
        <v>-83226.12</v>
      </c>
      <c r="E209" s="475">
        <v>138</v>
      </c>
      <c r="F209" s="477" t="s">
        <v>2498</v>
      </c>
      <c r="G209" s="544">
        <v>2.1719291755935997</v>
      </c>
      <c r="H209" s="478">
        <v>1208032.3</v>
      </c>
      <c r="I209" s="447">
        <f t="shared" si="20"/>
        <v>1175311.6400520653</v>
      </c>
      <c r="J209" s="251">
        <f t="shared" si="20"/>
        <v>1141938.1430535747</v>
      </c>
      <c r="K209" s="251">
        <f t="shared" si="20"/>
        <v>1105509.8411515225</v>
      </c>
      <c r="L209" s="450">
        <f t="shared" si="20"/>
        <v>1071596.8192168211</v>
      </c>
      <c r="M209" s="450">
        <f t="shared" si="20"/>
        <v>1038724.1254763451</v>
      </c>
      <c r="N209" s="450">
        <f t="shared" si="20"/>
        <v>1006859.8464440659</v>
      </c>
      <c r="O209" s="447" t="str">
        <f t="shared" si="21"/>
        <v/>
      </c>
      <c r="P209" s="251" t="str">
        <f t="shared" si="22"/>
        <v/>
      </c>
      <c r="Q209" s="251">
        <f t="shared" si="23"/>
        <v>1006859.8464440659</v>
      </c>
      <c r="R209" s="251" t="str">
        <f t="shared" si="24"/>
        <v/>
      </c>
      <c r="S209" s="450" t="str">
        <f t="shared" si="25"/>
        <v/>
      </c>
      <c r="T209" s="219"/>
    </row>
    <row r="210" spans="1:20">
      <c r="A210" s="474" t="s">
        <v>925</v>
      </c>
      <c r="B210" s="475"/>
      <c r="C210" s="476">
        <v>189844.15</v>
      </c>
      <c r="D210" s="476">
        <v>-56493.55</v>
      </c>
      <c r="E210" s="475">
        <v>138</v>
      </c>
      <c r="F210" s="477" t="s">
        <v>2498</v>
      </c>
      <c r="G210" s="544">
        <v>3.4401534091650001</v>
      </c>
      <c r="H210" s="478">
        <v>133350.6</v>
      </c>
      <c r="I210" s="447">
        <f t="shared" si="20"/>
        <v>129738.6770104797</v>
      </c>
      <c r="J210" s="251">
        <f t="shared" si="20"/>
        <v>126054.68954686065</v>
      </c>
      <c r="K210" s="251">
        <f t="shared" si="20"/>
        <v>122033.4925013679</v>
      </c>
      <c r="L210" s="450">
        <f t="shared" si="20"/>
        <v>118289.94870472803</v>
      </c>
      <c r="M210" s="450">
        <f t="shared" si="20"/>
        <v>114661.2432190314</v>
      </c>
      <c r="N210" s="450">
        <f t="shared" si="20"/>
        <v>111143.85322248755</v>
      </c>
      <c r="O210" s="447" t="str">
        <f t="shared" si="21"/>
        <v/>
      </c>
      <c r="P210" s="251" t="str">
        <f t="shared" si="22"/>
        <v/>
      </c>
      <c r="Q210" s="251">
        <f t="shared" si="23"/>
        <v>111143.85322248755</v>
      </c>
      <c r="R210" s="251" t="str">
        <f t="shared" si="24"/>
        <v/>
      </c>
      <c r="S210" s="450" t="str">
        <f t="shared" si="25"/>
        <v/>
      </c>
      <c r="T210" s="219"/>
    </row>
    <row r="211" spans="1:20">
      <c r="A211" s="474" t="s">
        <v>926</v>
      </c>
      <c r="B211" s="475"/>
      <c r="C211" s="476">
        <v>4597402.29</v>
      </c>
      <c r="D211" s="476">
        <v>-1727667.36</v>
      </c>
      <c r="E211" s="475">
        <v>138</v>
      </c>
      <c r="F211" s="477" t="s">
        <v>2498</v>
      </c>
      <c r="G211" s="544">
        <v>23.397733195596999</v>
      </c>
      <c r="H211" s="478">
        <v>2869734.93</v>
      </c>
      <c r="I211" s="447">
        <f t="shared" si="20"/>
        <v>2792005.5342005333</v>
      </c>
      <c r="J211" s="251">
        <f t="shared" si="20"/>
        <v>2712725.2946963259</v>
      </c>
      <c r="K211" s="251">
        <f t="shared" si="20"/>
        <v>2626188.2290823478</v>
      </c>
      <c r="L211" s="450">
        <f t="shared" si="20"/>
        <v>2545626.3238850539</v>
      </c>
      <c r="M211" s="450">
        <f t="shared" si="20"/>
        <v>2467535.764990034</v>
      </c>
      <c r="N211" s="450">
        <f t="shared" si="20"/>
        <v>2391840.7404793501</v>
      </c>
      <c r="O211" s="447" t="str">
        <f t="shared" si="21"/>
        <v/>
      </c>
      <c r="P211" s="251" t="str">
        <f t="shared" si="22"/>
        <v/>
      </c>
      <c r="Q211" s="251">
        <f t="shared" si="23"/>
        <v>2391840.7404793501</v>
      </c>
      <c r="R211" s="251" t="str">
        <f t="shared" si="24"/>
        <v/>
      </c>
      <c r="S211" s="450" t="str">
        <f t="shared" si="25"/>
        <v/>
      </c>
      <c r="T211" s="219"/>
    </row>
    <row r="212" spans="1:20">
      <c r="A212" s="474" t="s">
        <v>927</v>
      </c>
      <c r="B212" s="475"/>
      <c r="C212" s="476">
        <v>5053491.12</v>
      </c>
      <c r="D212" s="476">
        <v>-2744518.74</v>
      </c>
      <c r="E212" s="475">
        <v>138</v>
      </c>
      <c r="F212" s="477" t="s">
        <v>2498</v>
      </c>
      <c r="G212" s="544">
        <v>42.395007350568996</v>
      </c>
      <c r="H212" s="478">
        <v>2308972.38</v>
      </c>
      <c r="I212" s="447">
        <f t="shared" si="20"/>
        <v>2246431.7508503045</v>
      </c>
      <c r="J212" s="251">
        <f t="shared" si="20"/>
        <v>2182643.3216886609</v>
      </c>
      <c r="K212" s="251">
        <f t="shared" si="20"/>
        <v>2113016.0915706083</v>
      </c>
      <c r="L212" s="450">
        <f t="shared" si="20"/>
        <v>2048196.44149208</v>
      </c>
      <c r="M212" s="450">
        <f t="shared" si="20"/>
        <v>1985365.2225727201</v>
      </c>
      <c r="N212" s="450">
        <f t="shared" si="20"/>
        <v>1924461.4369751448</v>
      </c>
      <c r="O212" s="447" t="str">
        <f t="shared" si="21"/>
        <v/>
      </c>
      <c r="P212" s="251" t="str">
        <f t="shared" si="22"/>
        <v/>
      </c>
      <c r="Q212" s="251">
        <f t="shared" si="23"/>
        <v>1924461.4369751448</v>
      </c>
      <c r="R212" s="251" t="str">
        <f t="shared" si="24"/>
        <v/>
      </c>
      <c r="S212" s="450" t="str">
        <f t="shared" si="25"/>
        <v/>
      </c>
      <c r="T212" s="219"/>
    </row>
    <row r="213" spans="1:20">
      <c r="A213" s="474" t="s">
        <v>928</v>
      </c>
      <c r="B213" s="475"/>
      <c r="C213" s="476">
        <v>2044936.27</v>
      </c>
      <c r="D213" s="476">
        <v>-1524670.53</v>
      </c>
      <c r="E213" s="475">
        <v>138</v>
      </c>
      <c r="F213" s="477" t="s">
        <v>2498</v>
      </c>
      <c r="G213" s="544">
        <v>22.760997388558998</v>
      </c>
      <c r="H213" s="478">
        <v>520265.74</v>
      </c>
      <c r="I213" s="447">
        <f t="shared" si="20"/>
        <v>506173.86649537541</v>
      </c>
      <c r="J213" s="251">
        <f t="shared" si="20"/>
        <v>491800.83432371297</v>
      </c>
      <c r="K213" s="251">
        <f t="shared" si="20"/>
        <v>476112.18307985575</v>
      </c>
      <c r="L213" s="450">
        <f t="shared" si="20"/>
        <v>461506.79260106338</v>
      </c>
      <c r="M213" s="450">
        <f t="shared" si="20"/>
        <v>447349.44239223032</v>
      </c>
      <c r="N213" s="450">
        <f t="shared" si="20"/>
        <v>433626.3882070937</v>
      </c>
      <c r="O213" s="447" t="str">
        <f t="shared" si="21"/>
        <v/>
      </c>
      <c r="P213" s="251" t="str">
        <f t="shared" si="22"/>
        <v/>
      </c>
      <c r="Q213" s="251">
        <f t="shared" si="23"/>
        <v>433626.3882070937</v>
      </c>
      <c r="R213" s="251" t="str">
        <f t="shared" si="24"/>
        <v/>
      </c>
      <c r="S213" s="450" t="str">
        <f t="shared" si="25"/>
        <v/>
      </c>
      <c r="T213" s="219"/>
    </row>
    <row r="214" spans="1:20">
      <c r="A214" s="474" t="s">
        <v>929</v>
      </c>
      <c r="B214" s="475"/>
      <c r="C214" s="476">
        <v>661481.1</v>
      </c>
      <c r="D214" s="476">
        <v>-466867.42</v>
      </c>
      <c r="E214" s="475">
        <v>138</v>
      </c>
      <c r="F214" s="477" t="s">
        <v>2498</v>
      </c>
      <c r="G214" s="544">
        <v>33.331735551610002</v>
      </c>
      <c r="H214" s="478">
        <v>194613.68</v>
      </c>
      <c r="I214" s="447">
        <f t="shared" si="20"/>
        <v>189342.39044549371</v>
      </c>
      <c r="J214" s="251">
        <f t="shared" si="20"/>
        <v>183965.9290169829</v>
      </c>
      <c r="K214" s="251">
        <f t="shared" si="20"/>
        <v>178097.33933663298</v>
      </c>
      <c r="L214" s="450">
        <f t="shared" si="20"/>
        <v>172633.96058539185</v>
      </c>
      <c r="M214" s="450">
        <f t="shared" si="20"/>
        <v>167338.1784276242</v>
      </c>
      <c r="N214" s="450">
        <f t="shared" si="20"/>
        <v>162204.8516092778</v>
      </c>
      <c r="O214" s="447" t="str">
        <f t="shared" si="21"/>
        <v/>
      </c>
      <c r="P214" s="251" t="str">
        <f t="shared" si="22"/>
        <v/>
      </c>
      <c r="Q214" s="251">
        <f t="shared" si="23"/>
        <v>162204.8516092778</v>
      </c>
      <c r="R214" s="251" t="str">
        <f t="shared" si="24"/>
        <v/>
      </c>
      <c r="S214" s="450" t="str">
        <f t="shared" si="25"/>
        <v/>
      </c>
      <c r="T214" s="219"/>
    </row>
    <row r="215" spans="1:20">
      <c r="A215" s="474" t="s">
        <v>930</v>
      </c>
      <c r="B215" s="475"/>
      <c r="C215" s="476">
        <v>11342613.529999999</v>
      </c>
      <c r="D215" s="476">
        <v>-3333345.49</v>
      </c>
      <c r="E215" s="475">
        <v>138</v>
      </c>
      <c r="F215" s="477" t="s">
        <v>2498</v>
      </c>
      <c r="G215" s="544">
        <v>28.013701964904399</v>
      </c>
      <c r="H215" s="478">
        <v>8009268.04</v>
      </c>
      <c r="I215" s="447">
        <f t="shared" si="20"/>
        <v>7792329.6882947497</v>
      </c>
      <c r="J215" s="251">
        <f t="shared" si="20"/>
        <v>7571063.0194374304</v>
      </c>
      <c r="K215" s="251">
        <f t="shared" si="20"/>
        <v>7329542.9589427086</v>
      </c>
      <c r="L215" s="450">
        <f t="shared" si="20"/>
        <v>7104699.2335543865</v>
      </c>
      <c r="M215" s="450">
        <f t="shared" si="20"/>
        <v>6886752.8960563727</v>
      </c>
      <c r="N215" s="450">
        <f t="shared" si="20"/>
        <v>6675492.3596693268</v>
      </c>
      <c r="O215" s="447" t="str">
        <f t="shared" si="21"/>
        <v/>
      </c>
      <c r="P215" s="251" t="str">
        <f t="shared" si="22"/>
        <v/>
      </c>
      <c r="Q215" s="251">
        <f t="shared" si="23"/>
        <v>6675492.3596693268</v>
      </c>
      <c r="R215" s="251" t="str">
        <f t="shared" si="24"/>
        <v/>
      </c>
      <c r="S215" s="450" t="str">
        <f t="shared" si="25"/>
        <v/>
      </c>
      <c r="T215" s="219"/>
    </row>
    <row r="216" spans="1:20">
      <c r="A216" s="474" t="s">
        <v>931</v>
      </c>
      <c r="B216" s="475"/>
      <c r="C216" s="476">
        <v>220792.32000000001</v>
      </c>
      <c r="D216" s="476">
        <v>-124239.05</v>
      </c>
      <c r="E216" s="475">
        <v>138</v>
      </c>
      <c r="F216" s="477" t="s">
        <v>2498</v>
      </c>
      <c r="G216" s="544">
        <v>26.794500869799997</v>
      </c>
      <c r="H216" s="478">
        <v>96553.27</v>
      </c>
      <c r="I216" s="447">
        <f t="shared" si="20"/>
        <v>93938.036355559263</v>
      </c>
      <c r="J216" s="251">
        <f t="shared" si="20"/>
        <v>91270.62401357184</v>
      </c>
      <c r="K216" s="251">
        <f t="shared" si="20"/>
        <v>88359.053131576089</v>
      </c>
      <c r="L216" s="450">
        <f t="shared" si="20"/>
        <v>85648.518683633636</v>
      </c>
      <c r="M216" s="450">
        <f t="shared" si="20"/>
        <v>83021.133576172942</v>
      </c>
      <c r="N216" s="450">
        <f t="shared" si="20"/>
        <v>80474.347089785952</v>
      </c>
      <c r="O216" s="447" t="str">
        <f t="shared" si="21"/>
        <v/>
      </c>
      <c r="P216" s="251" t="str">
        <f t="shared" si="22"/>
        <v/>
      </c>
      <c r="Q216" s="251">
        <f t="shared" si="23"/>
        <v>80474.347089785952</v>
      </c>
      <c r="R216" s="251" t="str">
        <f t="shared" si="24"/>
        <v/>
      </c>
      <c r="S216" s="450" t="str">
        <f t="shared" si="25"/>
        <v/>
      </c>
      <c r="T216" s="219"/>
    </row>
    <row r="217" spans="1:20">
      <c r="A217" s="474" t="s">
        <v>932</v>
      </c>
      <c r="B217" s="475"/>
      <c r="C217" s="476">
        <v>1075431.06</v>
      </c>
      <c r="D217" s="476">
        <v>-977352.21</v>
      </c>
      <c r="E217" s="475">
        <v>138</v>
      </c>
      <c r="F217" s="477" t="s">
        <v>2498</v>
      </c>
      <c r="G217" s="544">
        <v>12.572006768900001</v>
      </c>
      <c r="H217" s="478">
        <v>98078.85</v>
      </c>
      <c r="I217" s="447">
        <f t="shared" si="20"/>
        <v>95422.294625665643</v>
      </c>
      <c r="J217" s="251">
        <f t="shared" si="20"/>
        <v>92712.736109647158</v>
      </c>
      <c r="K217" s="251">
        <f t="shared" si="20"/>
        <v>89755.161251751299</v>
      </c>
      <c r="L217" s="450">
        <f t="shared" si="20"/>
        <v>87001.799283383167</v>
      </c>
      <c r="M217" s="450">
        <f t="shared" si="20"/>
        <v>84332.900448088709</v>
      </c>
      <c r="N217" s="450">
        <f t="shared" si="20"/>
        <v>81745.873724080535</v>
      </c>
      <c r="O217" s="447" t="str">
        <f t="shared" si="21"/>
        <v/>
      </c>
      <c r="P217" s="251" t="str">
        <f t="shared" si="22"/>
        <v/>
      </c>
      <c r="Q217" s="251">
        <f t="shared" si="23"/>
        <v>81745.873724080535</v>
      </c>
      <c r="R217" s="251" t="str">
        <f t="shared" si="24"/>
        <v/>
      </c>
      <c r="S217" s="450" t="str">
        <f t="shared" si="25"/>
        <v/>
      </c>
      <c r="T217" s="219"/>
    </row>
    <row r="218" spans="1:20">
      <c r="A218" s="474" t="s">
        <v>933</v>
      </c>
      <c r="B218" s="475"/>
      <c r="C218" s="476">
        <v>433739.12</v>
      </c>
      <c r="D218" s="476">
        <v>-256795.23</v>
      </c>
      <c r="E218" s="475">
        <v>138</v>
      </c>
      <c r="F218" s="477" t="s">
        <v>2499</v>
      </c>
      <c r="G218" s="544">
        <v>1.86126074737</v>
      </c>
      <c r="H218" s="478">
        <v>176943.89</v>
      </c>
      <c r="I218" s="447">
        <f t="shared" si="20"/>
        <v>172151.20287188698</v>
      </c>
      <c r="J218" s="251">
        <f t="shared" si="20"/>
        <v>167262.89286410305</v>
      </c>
      <c r="K218" s="251">
        <f t="shared" si="20"/>
        <v>161927.13698684421</v>
      </c>
      <c r="L218" s="450">
        <f t="shared" si="20"/>
        <v>156959.80124360175</v>
      </c>
      <c r="M218" s="450">
        <f t="shared" si="20"/>
        <v>152144.84529812043</v>
      </c>
      <c r="N218" s="450">
        <f t="shared" si="20"/>
        <v>147477.59469230723</v>
      </c>
      <c r="O218" s="447" t="str">
        <f t="shared" si="21"/>
        <v/>
      </c>
      <c r="P218" s="251" t="str">
        <f t="shared" si="22"/>
        <v/>
      </c>
      <c r="Q218" s="251" t="str">
        <f t="shared" si="23"/>
        <v/>
      </c>
      <c r="R218" s="251" t="str">
        <f t="shared" si="24"/>
        <v/>
      </c>
      <c r="S218" s="450">
        <f t="shared" si="25"/>
        <v>147477.59469230723</v>
      </c>
      <c r="T218" s="219"/>
    </row>
    <row r="219" spans="1:20">
      <c r="A219" s="474" t="s">
        <v>934</v>
      </c>
      <c r="B219" s="475"/>
      <c r="C219" s="476">
        <v>11340006.75</v>
      </c>
      <c r="D219" s="476">
        <v>-7427480.1299999999</v>
      </c>
      <c r="E219" s="475">
        <v>138</v>
      </c>
      <c r="F219" s="477" t="s">
        <v>2498</v>
      </c>
      <c r="G219" s="544">
        <v>75.233088325794995</v>
      </c>
      <c r="H219" s="478">
        <v>3912526.62</v>
      </c>
      <c r="I219" s="447">
        <f t="shared" si="20"/>
        <v>3806552.2573358039</v>
      </c>
      <c r="J219" s="251">
        <f t="shared" si="20"/>
        <v>3698463.512184632</v>
      </c>
      <c r="K219" s="251">
        <f t="shared" si="20"/>
        <v>3580480.9872859386</v>
      </c>
      <c r="L219" s="450">
        <f t="shared" si="20"/>
        <v>3470644.8503844971</v>
      </c>
      <c r="M219" s="450">
        <f t="shared" si="20"/>
        <v>3364178.0867634253</v>
      </c>
      <c r="N219" s="450">
        <f t="shared" si="20"/>
        <v>3260977.3363026138</v>
      </c>
      <c r="O219" s="447" t="str">
        <f t="shared" si="21"/>
        <v/>
      </c>
      <c r="P219" s="251" t="str">
        <f t="shared" si="22"/>
        <v/>
      </c>
      <c r="Q219" s="251">
        <f t="shared" si="23"/>
        <v>3260977.3363026138</v>
      </c>
      <c r="R219" s="251" t="str">
        <f t="shared" si="24"/>
        <v/>
      </c>
      <c r="S219" s="450" t="str">
        <f t="shared" si="25"/>
        <v/>
      </c>
      <c r="T219" s="219"/>
    </row>
    <row r="220" spans="1:20">
      <c r="A220" s="474" t="s">
        <v>935</v>
      </c>
      <c r="B220" s="475"/>
      <c r="C220" s="476">
        <v>846892.38</v>
      </c>
      <c r="D220" s="476">
        <v>-532887.01</v>
      </c>
      <c r="E220" s="475">
        <v>138</v>
      </c>
      <c r="F220" s="477" t="s">
        <v>2498</v>
      </c>
      <c r="G220" s="544">
        <v>65.473449165730003</v>
      </c>
      <c r="H220" s="478">
        <v>314005.37</v>
      </c>
      <c r="I220" s="447">
        <f t="shared" si="20"/>
        <v>305500.24730287056</v>
      </c>
      <c r="J220" s="251">
        <f t="shared" si="20"/>
        <v>296825.43184205476</v>
      </c>
      <c r="K220" s="251">
        <f t="shared" si="20"/>
        <v>287356.57706290222</v>
      </c>
      <c r="L220" s="450">
        <f t="shared" si="20"/>
        <v>278541.52220019366</v>
      </c>
      <c r="M220" s="450">
        <f t="shared" si="20"/>
        <v>269996.88116627856</v>
      </c>
      <c r="N220" s="450">
        <f t="shared" si="20"/>
        <v>261714.35864820177</v>
      </c>
      <c r="O220" s="447" t="str">
        <f t="shared" si="21"/>
        <v/>
      </c>
      <c r="P220" s="251" t="str">
        <f t="shared" si="22"/>
        <v/>
      </c>
      <c r="Q220" s="251">
        <f t="shared" si="23"/>
        <v>261714.35864820177</v>
      </c>
      <c r="R220" s="251" t="str">
        <f t="shared" si="24"/>
        <v/>
      </c>
      <c r="S220" s="450" t="str">
        <f t="shared" si="25"/>
        <v/>
      </c>
      <c r="T220" s="219"/>
    </row>
    <row r="221" spans="1:20">
      <c r="A221" s="474" t="s">
        <v>936</v>
      </c>
      <c r="B221" s="475"/>
      <c r="C221" s="476">
        <v>6502841.2400000002</v>
      </c>
      <c r="D221" s="476">
        <v>-1248671.6499999999</v>
      </c>
      <c r="E221" s="475">
        <v>138</v>
      </c>
      <c r="F221" s="477" t="s">
        <v>2498</v>
      </c>
      <c r="G221" s="544">
        <v>38.375320187331994</v>
      </c>
      <c r="H221" s="478">
        <v>5254169.59</v>
      </c>
      <c r="I221" s="447">
        <f t="shared" si="20"/>
        <v>5111855.600164488</v>
      </c>
      <c r="J221" s="251">
        <f t="shared" si="20"/>
        <v>4966702.1857719878</v>
      </c>
      <c r="K221" s="251">
        <f t="shared" si="20"/>
        <v>4808262.3194959769</v>
      </c>
      <c r="L221" s="450">
        <f t="shared" si="20"/>
        <v>4660762.3159329006</v>
      </c>
      <c r="M221" s="450">
        <f t="shared" si="20"/>
        <v>4517787.0761213554</v>
      </c>
      <c r="N221" s="450">
        <f t="shared" si="20"/>
        <v>4379197.7967629507</v>
      </c>
      <c r="O221" s="447" t="str">
        <f t="shared" si="21"/>
        <v/>
      </c>
      <c r="P221" s="251" t="str">
        <f t="shared" si="22"/>
        <v/>
      </c>
      <c r="Q221" s="251">
        <f t="shared" si="23"/>
        <v>4379197.7967629507</v>
      </c>
      <c r="R221" s="251" t="str">
        <f t="shared" si="24"/>
        <v/>
      </c>
      <c r="S221" s="450" t="str">
        <f t="shared" si="25"/>
        <v/>
      </c>
      <c r="T221" s="219"/>
    </row>
    <row r="222" spans="1:20">
      <c r="A222" s="474" t="s">
        <v>937</v>
      </c>
      <c r="B222" s="475"/>
      <c r="C222" s="476">
        <v>5045559.54</v>
      </c>
      <c r="D222" s="476">
        <v>-705920.32</v>
      </c>
      <c r="E222" s="475">
        <v>138</v>
      </c>
      <c r="F222" s="477" t="s">
        <v>2498</v>
      </c>
      <c r="G222" s="544">
        <v>36.367656055179999</v>
      </c>
      <c r="H222" s="478">
        <v>4339639.22</v>
      </c>
      <c r="I222" s="447">
        <f t="shared" si="20"/>
        <v>4222096.1218441464</v>
      </c>
      <c r="J222" s="251">
        <f t="shared" si="20"/>
        <v>4102207.8237554268</v>
      </c>
      <c r="K222" s="251">
        <f t="shared" si="20"/>
        <v>3971345.6873273309</v>
      </c>
      <c r="L222" s="450">
        <f t="shared" si="20"/>
        <v>3849519.2427392593</v>
      </c>
      <c r="M222" s="450">
        <f t="shared" si="20"/>
        <v>3731429.9904707414</v>
      </c>
      <c r="N222" s="450">
        <f t="shared" si="20"/>
        <v>3616963.2870510542</v>
      </c>
      <c r="O222" s="447" t="str">
        <f t="shared" si="21"/>
        <v/>
      </c>
      <c r="P222" s="251" t="str">
        <f t="shared" si="22"/>
        <v/>
      </c>
      <c r="Q222" s="251">
        <f t="shared" si="23"/>
        <v>3616963.2870510542</v>
      </c>
      <c r="R222" s="251" t="str">
        <f t="shared" si="24"/>
        <v/>
      </c>
      <c r="S222" s="450" t="str">
        <f t="shared" si="25"/>
        <v/>
      </c>
      <c r="T222" s="219"/>
    </row>
    <row r="223" spans="1:20">
      <c r="A223" s="474" t="s">
        <v>938</v>
      </c>
      <c r="B223" s="475"/>
      <c r="C223" s="476">
        <v>1693755.71</v>
      </c>
      <c r="D223" s="476">
        <v>-798084.37</v>
      </c>
      <c r="E223" s="475">
        <v>138</v>
      </c>
      <c r="F223" s="477" t="s">
        <v>2498</v>
      </c>
      <c r="G223" s="544">
        <v>24.667674558399998</v>
      </c>
      <c r="H223" s="478">
        <v>895671.34</v>
      </c>
      <c r="I223" s="447">
        <f t="shared" si="20"/>
        <v>871411.26240004576</v>
      </c>
      <c r="J223" s="251">
        <f t="shared" si="20"/>
        <v>846667.1518517402</v>
      </c>
      <c r="K223" s="251">
        <f t="shared" si="20"/>
        <v>819658.1174256443</v>
      </c>
      <c r="L223" s="450">
        <f t="shared" si="20"/>
        <v>794513.98692540568</v>
      </c>
      <c r="M223" s="450">
        <f t="shared" si="20"/>
        <v>770141.18691671244</v>
      </c>
      <c r="N223" s="450">
        <f t="shared" si="20"/>
        <v>746516.05578489136</v>
      </c>
      <c r="O223" s="447" t="str">
        <f t="shared" si="21"/>
        <v/>
      </c>
      <c r="P223" s="251" t="str">
        <f t="shared" si="22"/>
        <v/>
      </c>
      <c r="Q223" s="251">
        <f t="shared" si="23"/>
        <v>746516.05578489136</v>
      </c>
      <c r="R223" s="251" t="str">
        <f t="shared" si="24"/>
        <v/>
      </c>
      <c r="S223" s="450" t="str">
        <f t="shared" si="25"/>
        <v/>
      </c>
      <c r="T223" s="219"/>
    </row>
    <row r="224" spans="1:20">
      <c r="A224" s="474" t="s">
        <v>1164</v>
      </c>
      <c r="B224" s="475"/>
      <c r="C224" s="476">
        <v>10909541.67</v>
      </c>
      <c r="D224" s="476">
        <v>-2336506.85</v>
      </c>
      <c r="E224" s="475">
        <v>138</v>
      </c>
      <c r="F224" s="477" t="s">
        <v>2498</v>
      </c>
      <c r="G224" s="544">
        <v>72.758476133849996</v>
      </c>
      <c r="H224" s="478">
        <v>8573034.8200000003</v>
      </c>
      <c r="I224" s="447">
        <f t="shared" si="20"/>
        <v>8340826.3293271726</v>
      </c>
      <c r="J224" s="251">
        <f t="shared" si="20"/>
        <v>8103984.8542828178</v>
      </c>
      <c r="K224" s="251">
        <f t="shared" si="20"/>
        <v>7845464.3655179348</v>
      </c>
      <c r="L224" s="450">
        <f t="shared" si="20"/>
        <v>7604794.0474332115</v>
      </c>
      <c r="M224" s="450">
        <f t="shared" si="20"/>
        <v>7371506.6195521057</v>
      </c>
      <c r="N224" s="450">
        <f t="shared" si="20"/>
        <v>7145375.6016497491</v>
      </c>
      <c r="O224" s="447" t="str">
        <f t="shared" si="21"/>
        <v/>
      </c>
      <c r="P224" s="251" t="str">
        <f t="shared" si="22"/>
        <v/>
      </c>
      <c r="Q224" s="251">
        <f t="shared" si="23"/>
        <v>7145375.6016497491</v>
      </c>
      <c r="R224" s="251" t="str">
        <f t="shared" si="24"/>
        <v/>
      </c>
      <c r="S224" s="450" t="str">
        <f t="shared" si="25"/>
        <v/>
      </c>
      <c r="T224" s="219"/>
    </row>
    <row r="225" spans="1:20">
      <c r="A225" s="474" t="s">
        <v>939</v>
      </c>
      <c r="B225" s="475"/>
      <c r="C225" s="476">
        <v>10926463.439999999</v>
      </c>
      <c r="D225" s="476">
        <v>-7353485.3799999999</v>
      </c>
      <c r="E225" s="475">
        <v>138</v>
      </c>
      <c r="F225" s="477" t="s">
        <v>2498</v>
      </c>
      <c r="G225" s="544">
        <v>70.991168717368595</v>
      </c>
      <c r="H225" s="478">
        <v>3572978.06</v>
      </c>
      <c r="I225" s="447">
        <f t="shared" si="20"/>
        <v>3476200.6807008772</v>
      </c>
      <c r="J225" s="251">
        <f t="shared" si="20"/>
        <v>3377492.4155650176</v>
      </c>
      <c r="K225" s="251">
        <f t="shared" si="20"/>
        <v>3269749.0021984302</v>
      </c>
      <c r="L225" s="450">
        <f t="shared" si="20"/>
        <v>3169444.992677338</v>
      </c>
      <c r="M225" s="450">
        <f t="shared" si="20"/>
        <v>3072217.9454304888</v>
      </c>
      <c r="N225" s="450">
        <f t="shared" si="20"/>
        <v>2977973.47044414</v>
      </c>
      <c r="O225" s="447" t="str">
        <f t="shared" si="21"/>
        <v/>
      </c>
      <c r="P225" s="251" t="str">
        <f t="shared" si="22"/>
        <v/>
      </c>
      <c r="Q225" s="251">
        <f t="shared" si="23"/>
        <v>2977973.47044414</v>
      </c>
      <c r="R225" s="251" t="str">
        <f t="shared" si="24"/>
        <v/>
      </c>
      <c r="S225" s="450" t="str">
        <f t="shared" si="25"/>
        <v/>
      </c>
      <c r="T225" s="219"/>
    </row>
    <row r="226" spans="1:20">
      <c r="A226" s="474" t="s">
        <v>940</v>
      </c>
      <c r="B226" s="475"/>
      <c r="C226" s="476">
        <v>770204.47</v>
      </c>
      <c r="D226" s="476">
        <v>-211942.58</v>
      </c>
      <c r="E226" s="475">
        <v>138</v>
      </c>
      <c r="F226" s="477" t="s">
        <v>2498</v>
      </c>
      <c r="G226" s="544">
        <v>1.6595319010499998</v>
      </c>
      <c r="H226" s="478">
        <v>558261.89</v>
      </c>
      <c r="I226" s="447">
        <f t="shared" si="20"/>
        <v>543140.85601392086</v>
      </c>
      <c r="J226" s="251">
        <f t="shared" si="20"/>
        <v>527718.12972565298</v>
      </c>
      <c r="K226" s="251">
        <f t="shared" si="20"/>
        <v>510883.7018139736</v>
      </c>
      <c r="L226" s="450">
        <f t="shared" si="20"/>
        <v>495211.64758092217</v>
      </c>
      <c r="M226" s="450">
        <f t="shared" si="20"/>
        <v>480020.35498307581</v>
      </c>
      <c r="N226" s="450">
        <f t="shared" si="20"/>
        <v>465295.07600167149</v>
      </c>
      <c r="O226" s="447" t="str">
        <f t="shared" si="21"/>
        <v/>
      </c>
      <c r="P226" s="251" t="str">
        <f t="shared" si="22"/>
        <v/>
      </c>
      <c r="Q226" s="251">
        <f t="shared" si="23"/>
        <v>465295.07600167149</v>
      </c>
      <c r="R226" s="251" t="str">
        <f t="shared" si="24"/>
        <v/>
      </c>
      <c r="S226" s="450" t="str">
        <f t="shared" si="25"/>
        <v/>
      </c>
      <c r="T226" s="219"/>
    </row>
    <row r="227" spans="1:20">
      <c r="A227" s="474" t="s">
        <v>941</v>
      </c>
      <c r="B227" s="475"/>
      <c r="C227" s="476">
        <v>550493.74</v>
      </c>
      <c r="D227" s="476">
        <v>-216431.19</v>
      </c>
      <c r="E227" s="475">
        <v>138</v>
      </c>
      <c r="F227" s="477" t="s">
        <v>2498</v>
      </c>
      <c r="G227" s="544">
        <v>1.7259204896629998</v>
      </c>
      <c r="H227" s="478">
        <v>334062.55</v>
      </c>
      <c r="I227" s="447">
        <f t="shared" si="20"/>
        <v>325014.16023435385</v>
      </c>
      <c r="J227" s="251">
        <f t="shared" si="20"/>
        <v>315785.23853272956</v>
      </c>
      <c r="K227" s="251">
        <f t="shared" si="20"/>
        <v>305711.55803133122</v>
      </c>
      <c r="L227" s="450">
        <f t="shared" si="20"/>
        <v>296333.4390971667</v>
      </c>
      <c r="M227" s="450">
        <f t="shared" si="20"/>
        <v>287243.00675002462</v>
      </c>
      <c r="N227" s="450">
        <f t="shared" si="20"/>
        <v>278431.43581153668</v>
      </c>
      <c r="O227" s="447" t="str">
        <f t="shared" si="21"/>
        <v/>
      </c>
      <c r="P227" s="251" t="str">
        <f t="shared" si="22"/>
        <v/>
      </c>
      <c r="Q227" s="251">
        <f t="shared" si="23"/>
        <v>278431.43581153668</v>
      </c>
      <c r="R227" s="251" t="str">
        <f t="shared" si="24"/>
        <v/>
      </c>
      <c r="S227" s="450" t="str">
        <f t="shared" si="25"/>
        <v/>
      </c>
      <c r="T227" s="219"/>
    </row>
    <row r="228" spans="1:20">
      <c r="A228" s="474" t="s">
        <v>942</v>
      </c>
      <c r="B228" s="475"/>
      <c r="C228" s="476">
        <v>1496614.01</v>
      </c>
      <c r="D228" s="476">
        <v>-862160.75</v>
      </c>
      <c r="E228" s="475">
        <v>138</v>
      </c>
      <c r="F228" s="477" t="s">
        <v>2498</v>
      </c>
      <c r="G228" s="544">
        <v>44.929365848184496</v>
      </c>
      <c r="H228" s="478">
        <v>634453.26</v>
      </c>
      <c r="I228" s="447">
        <f t="shared" si="20"/>
        <v>617268.51305795333</v>
      </c>
      <c r="J228" s="251">
        <f t="shared" si="20"/>
        <v>599740.89896328666</v>
      </c>
      <c r="K228" s="251">
        <f t="shared" si="20"/>
        <v>580608.9147456286</v>
      </c>
      <c r="L228" s="450">
        <f t="shared" si="20"/>
        <v>562797.94452329027</v>
      </c>
      <c r="M228" s="450">
        <f t="shared" si="20"/>
        <v>545533.35010091716</v>
      </c>
      <c r="N228" s="450">
        <f t="shared" si="20"/>
        <v>528798.37065576552</v>
      </c>
      <c r="O228" s="447" t="str">
        <f t="shared" si="21"/>
        <v/>
      </c>
      <c r="P228" s="251" t="str">
        <f t="shared" si="22"/>
        <v/>
      </c>
      <c r="Q228" s="251">
        <f t="shared" si="23"/>
        <v>528798.37065576552</v>
      </c>
      <c r="R228" s="251" t="str">
        <f t="shared" si="24"/>
        <v/>
      </c>
      <c r="S228" s="450" t="str">
        <f t="shared" si="25"/>
        <v/>
      </c>
      <c r="T228" s="219"/>
    </row>
    <row r="229" spans="1:20">
      <c r="A229" s="474" t="s">
        <v>943</v>
      </c>
      <c r="B229" s="475"/>
      <c r="C229" s="476">
        <v>1371331.66</v>
      </c>
      <c r="D229" s="476">
        <v>-770165.05</v>
      </c>
      <c r="E229" s="475">
        <v>138</v>
      </c>
      <c r="F229" s="477" t="s">
        <v>2498</v>
      </c>
      <c r="G229" s="544">
        <v>10.701506068409099</v>
      </c>
      <c r="H229" s="478">
        <v>601166.61</v>
      </c>
      <c r="I229" s="447">
        <f t="shared" si="20"/>
        <v>584883.46242367872</v>
      </c>
      <c r="J229" s="251">
        <f t="shared" si="20"/>
        <v>568275.43625217024</v>
      </c>
      <c r="K229" s="251">
        <f t="shared" si="20"/>
        <v>550147.21338717453</v>
      </c>
      <c r="L229" s="450">
        <f t="shared" si="20"/>
        <v>533270.69739390176</v>
      </c>
      <c r="M229" s="450">
        <f t="shared" si="20"/>
        <v>516911.89154282463</v>
      </c>
      <c r="N229" s="450">
        <f t="shared" si="20"/>
        <v>501054.91436934227</v>
      </c>
      <c r="O229" s="447" t="str">
        <f t="shared" si="21"/>
        <v/>
      </c>
      <c r="P229" s="251" t="str">
        <f t="shared" si="22"/>
        <v/>
      </c>
      <c r="Q229" s="251">
        <f t="shared" si="23"/>
        <v>501054.91436934227</v>
      </c>
      <c r="R229" s="251" t="str">
        <f t="shared" si="24"/>
        <v/>
      </c>
      <c r="S229" s="450" t="str">
        <f t="shared" si="25"/>
        <v/>
      </c>
      <c r="T229" s="219"/>
    </row>
    <row r="230" spans="1:20">
      <c r="A230" s="474" t="s">
        <v>944</v>
      </c>
      <c r="B230" s="475"/>
      <c r="C230" s="476">
        <v>696756.37</v>
      </c>
      <c r="D230" s="476">
        <v>-225408.03</v>
      </c>
      <c r="E230" s="475">
        <v>138</v>
      </c>
      <c r="F230" s="477" t="s">
        <v>2498</v>
      </c>
      <c r="G230" s="544">
        <v>17.329949148467001</v>
      </c>
      <c r="H230" s="478">
        <v>471348.34</v>
      </c>
      <c r="I230" s="447">
        <f t="shared" si="20"/>
        <v>458581.43902378972</v>
      </c>
      <c r="J230" s="251">
        <f t="shared" si="20"/>
        <v>445559.81500741746</v>
      </c>
      <c r="K230" s="251">
        <f t="shared" si="20"/>
        <v>431346.27151975472</v>
      </c>
      <c r="L230" s="450">
        <f t="shared" si="20"/>
        <v>418114.13642427337</v>
      </c>
      <c r="M230" s="450">
        <f t="shared" si="20"/>
        <v>405287.91511719261</v>
      </c>
      <c r="N230" s="450">
        <f t="shared" si="20"/>
        <v>392855.1556395184</v>
      </c>
      <c r="O230" s="447" t="str">
        <f t="shared" si="21"/>
        <v/>
      </c>
      <c r="P230" s="251" t="str">
        <f t="shared" si="22"/>
        <v/>
      </c>
      <c r="Q230" s="251">
        <f t="shared" si="23"/>
        <v>392855.1556395184</v>
      </c>
      <c r="R230" s="251" t="str">
        <f t="shared" si="24"/>
        <v/>
      </c>
      <c r="S230" s="450" t="str">
        <f t="shared" si="25"/>
        <v/>
      </c>
      <c r="T230" s="219"/>
    </row>
    <row r="231" spans="1:20">
      <c r="A231" s="474" t="s">
        <v>945</v>
      </c>
      <c r="B231" s="475"/>
      <c r="C231" s="476">
        <v>803590.07</v>
      </c>
      <c r="D231" s="476">
        <v>-411769.95</v>
      </c>
      <c r="E231" s="475">
        <v>138</v>
      </c>
      <c r="F231" s="477" t="s">
        <v>2498</v>
      </c>
      <c r="G231" s="544">
        <v>6.2360686557699996</v>
      </c>
      <c r="H231" s="478">
        <v>391820.12</v>
      </c>
      <c r="I231" s="447">
        <f t="shared" si="20"/>
        <v>381207.31361454242</v>
      </c>
      <c r="J231" s="251">
        <f t="shared" si="20"/>
        <v>370382.76231838239</v>
      </c>
      <c r="K231" s="251">
        <f t="shared" si="20"/>
        <v>358567.3980912352</v>
      </c>
      <c r="L231" s="450">
        <f t="shared" si="20"/>
        <v>347567.85418498586</v>
      </c>
      <c r="M231" s="450">
        <f t="shared" si="20"/>
        <v>336905.73628787621</v>
      </c>
      <c r="N231" s="450">
        <f t="shared" si="20"/>
        <v>326570.69339693605</v>
      </c>
      <c r="O231" s="447" t="str">
        <f t="shared" si="21"/>
        <v/>
      </c>
      <c r="P231" s="251" t="str">
        <f t="shared" si="22"/>
        <v/>
      </c>
      <c r="Q231" s="251">
        <f t="shared" si="23"/>
        <v>326570.69339693605</v>
      </c>
      <c r="R231" s="251" t="str">
        <f t="shared" si="24"/>
        <v/>
      </c>
      <c r="S231" s="450" t="str">
        <f t="shared" si="25"/>
        <v/>
      </c>
      <c r="T231" s="219"/>
    </row>
    <row r="232" spans="1:20">
      <c r="A232" s="474" t="s">
        <v>946</v>
      </c>
      <c r="B232" s="475"/>
      <c r="C232" s="476">
        <v>796659.77</v>
      </c>
      <c r="D232" s="476">
        <v>-533083.38</v>
      </c>
      <c r="E232" s="475">
        <v>138</v>
      </c>
      <c r="F232" s="477" t="s">
        <v>2498</v>
      </c>
      <c r="G232" s="544">
        <v>4.0578532435900003</v>
      </c>
      <c r="H232" s="478">
        <v>263576.39</v>
      </c>
      <c r="I232" s="447">
        <f t="shared" si="20"/>
        <v>256437.18235837136</v>
      </c>
      <c r="J232" s="251">
        <f t="shared" si="20"/>
        <v>249155.53445827964</v>
      </c>
      <c r="K232" s="251">
        <f t="shared" si="20"/>
        <v>241207.36924020306</v>
      </c>
      <c r="L232" s="450">
        <f t="shared" si="20"/>
        <v>233808.00426002874</v>
      </c>
      <c r="M232" s="450">
        <f t="shared" si="20"/>
        <v>226635.62489095869</v>
      </c>
      <c r="N232" s="450">
        <f t="shared" si="20"/>
        <v>219683.26803983736</v>
      </c>
      <c r="O232" s="447" t="str">
        <f t="shared" si="21"/>
        <v/>
      </c>
      <c r="P232" s="251" t="str">
        <f t="shared" si="22"/>
        <v/>
      </c>
      <c r="Q232" s="251">
        <f t="shared" si="23"/>
        <v>219683.26803983736</v>
      </c>
      <c r="R232" s="251" t="str">
        <f t="shared" si="24"/>
        <v/>
      </c>
      <c r="S232" s="450" t="str">
        <f t="shared" si="25"/>
        <v/>
      </c>
      <c r="T232" s="219"/>
    </row>
    <row r="233" spans="1:20">
      <c r="A233" s="474" t="s">
        <v>947</v>
      </c>
      <c r="B233" s="475"/>
      <c r="C233" s="476">
        <v>901350.37</v>
      </c>
      <c r="D233" s="476">
        <v>-714342.74</v>
      </c>
      <c r="E233" s="475">
        <v>138</v>
      </c>
      <c r="F233" s="477" t="s">
        <v>2498</v>
      </c>
      <c r="G233" s="544">
        <v>19.036173175953898</v>
      </c>
      <c r="H233" s="478">
        <v>187007.63</v>
      </c>
      <c r="I233" s="447">
        <f t="shared" si="20"/>
        <v>181942.35726772354</v>
      </c>
      <c r="J233" s="251">
        <f t="shared" si="20"/>
        <v>176776.02307409327</v>
      </c>
      <c r="K233" s="251">
        <f t="shared" si="20"/>
        <v>171136.794384904</v>
      </c>
      <c r="L233" s="450">
        <f t="shared" si="20"/>
        <v>165886.93984198614</v>
      </c>
      <c r="M233" s="450">
        <f t="shared" si="20"/>
        <v>160798.1317462736</v>
      </c>
      <c r="N233" s="450">
        <f t="shared" si="20"/>
        <v>155865.42977838314</v>
      </c>
      <c r="O233" s="447" t="str">
        <f t="shared" si="21"/>
        <v/>
      </c>
      <c r="P233" s="251" t="str">
        <f t="shared" si="22"/>
        <v/>
      </c>
      <c r="Q233" s="251">
        <f t="shared" si="23"/>
        <v>155865.42977838314</v>
      </c>
      <c r="R233" s="251" t="str">
        <f t="shared" si="24"/>
        <v/>
      </c>
      <c r="S233" s="450" t="str">
        <f t="shared" si="25"/>
        <v/>
      </c>
      <c r="T233" s="219"/>
    </row>
    <row r="234" spans="1:20">
      <c r="A234" s="474" t="s">
        <v>948</v>
      </c>
      <c r="B234" s="475"/>
      <c r="C234" s="476">
        <v>175673.04</v>
      </c>
      <c r="D234" s="476">
        <v>-151608.57999999999</v>
      </c>
      <c r="E234" s="475">
        <v>138</v>
      </c>
      <c r="F234" s="477" t="s">
        <v>2499</v>
      </c>
      <c r="G234" s="544">
        <v>1.157897563688</v>
      </c>
      <c r="H234" s="478">
        <v>24064.46</v>
      </c>
      <c r="I234" s="447">
        <f t="shared" si="20"/>
        <v>23412.652086841816</v>
      </c>
      <c r="J234" s="251">
        <f t="shared" si="20"/>
        <v>22747.839412892376</v>
      </c>
      <c r="K234" s="251">
        <f t="shared" si="20"/>
        <v>22022.173870679751</v>
      </c>
      <c r="L234" s="450">
        <f t="shared" si="20"/>
        <v>21346.613656083882</v>
      </c>
      <c r="M234" s="450">
        <f t="shared" si="20"/>
        <v>20691.777172316077</v>
      </c>
      <c r="N234" s="450">
        <f t="shared" si="20"/>
        <v>20057.028690672727</v>
      </c>
      <c r="O234" s="447" t="str">
        <f t="shared" si="21"/>
        <v/>
      </c>
      <c r="P234" s="251" t="str">
        <f t="shared" si="22"/>
        <v/>
      </c>
      <c r="Q234" s="251" t="str">
        <f t="shared" si="23"/>
        <v/>
      </c>
      <c r="R234" s="251" t="str">
        <f t="shared" si="24"/>
        <v/>
      </c>
      <c r="S234" s="450">
        <f t="shared" si="25"/>
        <v>20057.028690672727</v>
      </c>
      <c r="T234" s="219"/>
    </row>
    <row r="235" spans="1:20">
      <c r="A235" s="474" t="s">
        <v>949</v>
      </c>
      <c r="B235" s="475"/>
      <c r="C235" s="476">
        <v>622446.24</v>
      </c>
      <c r="D235" s="476">
        <v>-226727.26</v>
      </c>
      <c r="E235" s="475">
        <v>138</v>
      </c>
      <c r="F235" s="477" t="s">
        <v>2498</v>
      </c>
      <c r="G235" s="544">
        <v>1.2019265196713</v>
      </c>
      <c r="H235" s="478">
        <v>395718.98</v>
      </c>
      <c r="I235" s="447">
        <f t="shared" si="20"/>
        <v>385000.56942478305</v>
      </c>
      <c r="J235" s="251">
        <f t="shared" si="20"/>
        <v>374068.30694200366</v>
      </c>
      <c r="K235" s="251">
        <f t="shared" si="20"/>
        <v>362135.37230787822</v>
      </c>
      <c r="L235" s="450">
        <f t="shared" si="20"/>
        <v>351026.37592697213</v>
      </c>
      <c r="M235" s="450">
        <f t="shared" si="20"/>
        <v>340258.16315912351</v>
      </c>
      <c r="N235" s="450">
        <f t="shared" si="20"/>
        <v>329820.28000228334</v>
      </c>
      <c r="O235" s="447" t="str">
        <f t="shared" si="21"/>
        <v/>
      </c>
      <c r="P235" s="251" t="str">
        <f t="shared" si="22"/>
        <v/>
      </c>
      <c r="Q235" s="251">
        <f t="shared" si="23"/>
        <v>329820.28000228334</v>
      </c>
      <c r="R235" s="251" t="str">
        <f t="shared" si="24"/>
        <v/>
      </c>
      <c r="S235" s="450" t="str">
        <f t="shared" si="25"/>
        <v/>
      </c>
      <c r="T235" s="219"/>
    </row>
    <row r="236" spans="1:20">
      <c r="A236" s="474" t="s">
        <v>950</v>
      </c>
      <c r="B236" s="475"/>
      <c r="C236" s="476">
        <v>603118.59</v>
      </c>
      <c r="D236" s="476">
        <v>-358129.25</v>
      </c>
      <c r="E236" s="475">
        <v>138</v>
      </c>
      <c r="F236" s="477" t="s">
        <v>2499</v>
      </c>
      <c r="G236" s="544">
        <v>0.76761335259800001</v>
      </c>
      <c r="H236" s="478">
        <v>244989.34</v>
      </c>
      <c r="I236" s="447">
        <f t="shared" si="20"/>
        <v>238353.57961096984</v>
      </c>
      <c r="J236" s="251">
        <f t="shared" si="20"/>
        <v>231585.42365756352</v>
      </c>
      <c r="K236" s="251">
        <f t="shared" si="20"/>
        <v>224197.75228461716</v>
      </c>
      <c r="L236" s="450">
        <f t="shared" si="20"/>
        <v>217320.18050016402</v>
      </c>
      <c r="M236" s="450">
        <f t="shared" si="20"/>
        <v>210653.58760897946</v>
      </c>
      <c r="N236" s="450">
        <f t="shared" si="20"/>
        <v>204191.50154580554</v>
      </c>
      <c r="O236" s="447" t="str">
        <f t="shared" si="21"/>
        <v/>
      </c>
      <c r="P236" s="251" t="str">
        <f t="shared" si="22"/>
        <v/>
      </c>
      <c r="Q236" s="251" t="str">
        <f t="shared" si="23"/>
        <v/>
      </c>
      <c r="R236" s="251" t="str">
        <f t="shared" si="24"/>
        <v/>
      </c>
      <c r="S236" s="450">
        <f t="shared" si="25"/>
        <v>204191.50154580554</v>
      </c>
      <c r="T236" s="219"/>
    </row>
    <row r="237" spans="1:20">
      <c r="A237" s="474" t="s">
        <v>951</v>
      </c>
      <c r="B237" s="475"/>
      <c r="C237" s="476">
        <v>1623816.62</v>
      </c>
      <c r="D237" s="476">
        <v>-925756.69</v>
      </c>
      <c r="E237" s="475">
        <v>138</v>
      </c>
      <c r="F237" s="477" t="s">
        <v>2498</v>
      </c>
      <c r="G237" s="544">
        <v>41.03205209595</v>
      </c>
      <c r="H237" s="478">
        <v>698059.93</v>
      </c>
      <c r="I237" s="447">
        <f t="shared" si="20"/>
        <v>679152.33821391186</v>
      </c>
      <c r="J237" s="251">
        <f t="shared" si="20"/>
        <v>659867.50536745449</v>
      </c>
      <c r="K237" s="251">
        <f t="shared" si="20"/>
        <v>638817.45738797123</v>
      </c>
      <c r="L237" s="450">
        <f t="shared" ref="I237:N279" si="26">+$H237*(L$3)</f>
        <v>619220.8607424791</v>
      </c>
      <c r="M237" s="450">
        <f t="shared" si="26"/>
        <v>600225.41642249853</v>
      </c>
      <c r="N237" s="450">
        <f t="shared" si="26"/>
        <v>581812.68326066725</v>
      </c>
      <c r="O237" s="447" t="str">
        <f t="shared" si="21"/>
        <v/>
      </c>
      <c r="P237" s="251" t="str">
        <f t="shared" si="22"/>
        <v/>
      </c>
      <c r="Q237" s="251">
        <f t="shared" si="23"/>
        <v>581812.68326066725</v>
      </c>
      <c r="R237" s="251" t="str">
        <f t="shared" si="24"/>
        <v/>
      </c>
      <c r="S237" s="450" t="str">
        <f t="shared" si="25"/>
        <v/>
      </c>
      <c r="T237" s="219"/>
    </row>
    <row r="238" spans="1:20">
      <c r="A238" s="474" t="s">
        <v>952</v>
      </c>
      <c r="B238" s="475"/>
      <c r="C238" s="476">
        <v>294377.58</v>
      </c>
      <c r="D238" s="476">
        <v>-145038.88</v>
      </c>
      <c r="E238" s="475">
        <v>138</v>
      </c>
      <c r="F238" s="477" t="s">
        <v>2499</v>
      </c>
      <c r="G238" s="544">
        <v>0.59975082971299998</v>
      </c>
      <c r="H238" s="478">
        <v>149338.70000000001</v>
      </c>
      <c r="I238" s="447">
        <f t="shared" si="26"/>
        <v>145293.72469613882</v>
      </c>
      <c r="J238" s="251">
        <f t="shared" si="26"/>
        <v>141168.04473194541</v>
      </c>
      <c r="K238" s="251">
        <f t="shared" si="26"/>
        <v>136664.72536767012</v>
      </c>
      <c r="L238" s="450">
        <f t="shared" si="26"/>
        <v>132472.34855059345</v>
      </c>
      <c r="M238" s="450">
        <f t="shared" si="26"/>
        <v>128408.57860942482</v>
      </c>
      <c r="N238" s="450">
        <f t="shared" si="26"/>
        <v>124469.47035286757</v>
      </c>
      <c r="O238" s="447" t="str">
        <f t="shared" si="21"/>
        <v/>
      </c>
      <c r="P238" s="251" t="str">
        <f t="shared" si="22"/>
        <v/>
      </c>
      <c r="Q238" s="251" t="str">
        <f t="shared" si="23"/>
        <v/>
      </c>
      <c r="R238" s="251" t="str">
        <f t="shared" si="24"/>
        <v/>
      </c>
      <c r="S238" s="450">
        <f t="shared" si="25"/>
        <v>124469.47035286757</v>
      </c>
      <c r="T238" s="219"/>
    </row>
    <row r="239" spans="1:20">
      <c r="A239" s="474" t="s">
        <v>953</v>
      </c>
      <c r="B239" s="475"/>
      <c r="C239" s="476">
        <v>1039721.43</v>
      </c>
      <c r="D239" s="476">
        <v>-528842.46</v>
      </c>
      <c r="E239" s="475">
        <v>138</v>
      </c>
      <c r="F239" s="477" t="s">
        <v>2498</v>
      </c>
      <c r="G239" s="544">
        <v>23.0609010244</v>
      </c>
      <c r="H239" s="478">
        <v>510878.97</v>
      </c>
      <c r="I239" s="447">
        <f t="shared" si="26"/>
        <v>497041.34574779979</v>
      </c>
      <c r="J239" s="251">
        <f t="shared" si="26"/>
        <v>482927.63556646858</v>
      </c>
      <c r="K239" s="251">
        <f t="shared" si="26"/>
        <v>467522.04305493599</v>
      </c>
      <c r="L239" s="450">
        <f t="shared" si="26"/>
        <v>453180.16683557694</v>
      </c>
      <c r="M239" s="450">
        <f t="shared" si="26"/>
        <v>439278.24722692091</v>
      </c>
      <c r="N239" s="450">
        <f t="shared" si="26"/>
        <v>425802.7879599763</v>
      </c>
      <c r="O239" s="447" t="str">
        <f t="shared" si="21"/>
        <v/>
      </c>
      <c r="P239" s="251" t="str">
        <f t="shared" si="22"/>
        <v/>
      </c>
      <c r="Q239" s="251">
        <f t="shared" si="23"/>
        <v>425802.7879599763</v>
      </c>
      <c r="R239" s="251" t="str">
        <f t="shared" si="24"/>
        <v/>
      </c>
      <c r="S239" s="450" t="str">
        <f t="shared" si="25"/>
        <v/>
      </c>
      <c r="T239" s="219"/>
    </row>
    <row r="240" spans="1:20">
      <c r="A240" s="474" t="s">
        <v>954</v>
      </c>
      <c r="B240" s="475"/>
      <c r="C240" s="476">
        <v>721866.62</v>
      </c>
      <c r="D240" s="476">
        <v>-553795.43000000005</v>
      </c>
      <c r="E240" s="475">
        <v>138</v>
      </c>
      <c r="F240" s="477" t="s">
        <v>2498</v>
      </c>
      <c r="G240" s="544">
        <v>15.599233845799999</v>
      </c>
      <c r="H240" s="478">
        <v>168071.19</v>
      </c>
      <c r="I240" s="447">
        <f t="shared" si="26"/>
        <v>163518.82806809244</v>
      </c>
      <c r="J240" s="251">
        <f t="shared" si="26"/>
        <v>158875.6381840159</v>
      </c>
      <c r="K240" s="251">
        <f t="shared" si="26"/>
        <v>153807.43922082824</v>
      </c>
      <c r="L240" s="450">
        <f t="shared" si="26"/>
        <v>149089.18627919632</v>
      </c>
      <c r="M240" s="450">
        <f t="shared" si="26"/>
        <v>144515.67218071787</v>
      </c>
      <c r="N240" s="450">
        <f t="shared" si="26"/>
        <v>140082.45686400225</v>
      </c>
      <c r="O240" s="447" t="str">
        <f t="shared" si="21"/>
        <v/>
      </c>
      <c r="P240" s="251" t="str">
        <f t="shared" si="22"/>
        <v/>
      </c>
      <c r="Q240" s="251">
        <f t="shared" si="23"/>
        <v>140082.45686400225</v>
      </c>
      <c r="R240" s="251" t="str">
        <f t="shared" si="24"/>
        <v/>
      </c>
      <c r="S240" s="450" t="str">
        <f t="shared" si="25"/>
        <v/>
      </c>
      <c r="T240" s="219"/>
    </row>
    <row r="241" spans="1:20">
      <c r="A241" s="474" t="s">
        <v>955</v>
      </c>
      <c r="B241" s="475"/>
      <c r="C241" s="476">
        <v>1165167.3400000001</v>
      </c>
      <c r="D241" s="476">
        <v>-860618.81</v>
      </c>
      <c r="E241" s="475">
        <v>138</v>
      </c>
      <c r="F241" s="477" t="s">
        <v>2498</v>
      </c>
      <c r="G241" s="544">
        <v>65.806364697800007</v>
      </c>
      <c r="H241" s="478">
        <v>304548.53000000003</v>
      </c>
      <c r="I241" s="447">
        <f t="shared" si="26"/>
        <v>296299.5544653447</v>
      </c>
      <c r="J241" s="251">
        <f t="shared" si="26"/>
        <v>287885.99677168892</v>
      </c>
      <c r="K241" s="251">
        <f t="shared" si="26"/>
        <v>278702.31369080918</v>
      </c>
      <c r="L241" s="450">
        <f t="shared" si="26"/>
        <v>270152.7401586519</v>
      </c>
      <c r="M241" s="450">
        <f t="shared" si="26"/>
        <v>261865.4364534429</v>
      </c>
      <c r="N241" s="450">
        <f t="shared" si="26"/>
        <v>253832.35709058939</v>
      </c>
      <c r="O241" s="447" t="str">
        <f t="shared" si="21"/>
        <v/>
      </c>
      <c r="P241" s="251" t="str">
        <f t="shared" si="22"/>
        <v/>
      </c>
      <c r="Q241" s="251">
        <f t="shared" si="23"/>
        <v>253832.35709058939</v>
      </c>
      <c r="R241" s="251" t="str">
        <f t="shared" si="24"/>
        <v/>
      </c>
      <c r="S241" s="450" t="str">
        <f t="shared" si="25"/>
        <v/>
      </c>
      <c r="T241" s="219"/>
    </row>
    <row r="242" spans="1:20">
      <c r="A242" s="474" t="s">
        <v>956</v>
      </c>
      <c r="B242" s="475"/>
      <c r="C242" s="476">
        <v>183565.05</v>
      </c>
      <c r="D242" s="476">
        <v>-143211.92000000001</v>
      </c>
      <c r="E242" s="475">
        <v>138</v>
      </c>
      <c r="F242" s="477" t="s">
        <v>2498</v>
      </c>
      <c r="G242" s="544">
        <v>10.264058603700001</v>
      </c>
      <c r="H242" s="478">
        <v>40353.129999999997</v>
      </c>
      <c r="I242" s="447">
        <f t="shared" si="26"/>
        <v>39260.128559090837</v>
      </c>
      <c r="J242" s="251">
        <f t="shared" si="26"/>
        <v>38145.319739049606</v>
      </c>
      <c r="K242" s="251">
        <f t="shared" si="26"/>
        <v>36928.468167835192</v>
      </c>
      <c r="L242" s="450">
        <f t="shared" si="26"/>
        <v>35795.637048316399</v>
      </c>
      <c r="M242" s="450">
        <f t="shared" si="26"/>
        <v>34697.557068203605</v>
      </c>
      <c r="N242" s="450">
        <f t="shared" si="26"/>
        <v>33633.16218890623</v>
      </c>
      <c r="O242" s="447" t="str">
        <f t="shared" si="21"/>
        <v/>
      </c>
      <c r="P242" s="251" t="str">
        <f t="shared" si="22"/>
        <v/>
      </c>
      <c r="Q242" s="251">
        <f t="shared" si="23"/>
        <v>33633.16218890623</v>
      </c>
      <c r="R242" s="251" t="str">
        <f t="shared" si="24"/>
        <v/>
      </c>
      <c r="S242" s="450" t="str">
        <f t="shared" si="25"/>
        <v/>
      </c>
      <c r="T242" s="219"/>
    </row>
    <row r="243" spans="1:20">
      <c r="A243" s="474" t="s">
        <v>957</v>
      </c>
      <c r="B243" s="475"/>
      <c r="C243" s="476">
        <v>2331579.79</v>
      </c>
      <c r="D243" s="476">
        <v>-1172523.3400000001</v>
      </c>
      <c r="E243" s="475">
        <v>138</v>
      </c>
      <c r="F243" s="477" t="s">
        <v>2498</v>
      </c>
      <c r="G243" s="544">
        <v>19.288496957899998</v>
      </c>
      <c r="H243" s="478">
        <v>1159056.45</v>
      </c>
      <c r="I243" s="447">
        <f t="shared" si="26"/>
        <v>1127662.3457521992</v>
      </c>
      <c r="J243" s="251">
        <f t="shared" si="26"/>
        <v>1095641.871667892</v>
      </c>
      <c r="K243" s="251">
        <f t="shared" si="26"/>
        <v>1060690.4400860369</v>
      </c>
      <c r="L243" s="450">
        <f t="shared" si="26"/>
        <v>1028152.3143981666</v>
      </c>
      <c r="M243" s="450">
        <f t="shared" si="26"/>
        <v>996612.34008723695</v>
      </c>
      <c r="N243" s="450">
        <f t="shared" si="26"/>
        <v>966039.89749860496</v>
      </c>
      <c r="O243" s="447" t="str">
        <f t="shared" si="21"/>
        <v/>
      </c>
      <c r="P243" s="251" t="str">
        <f t="shared" si="22"/>
        <v/>
      </c>
      <c r="Q243" s="251">
        <f t="shared" si="23"/>
        <v>966039.89749860496</v>
      </c>
      <c r="R243" s="251" t="str">
        <f t="shared" si="24"/>
        <v/>
      </c>
      <c r="S243" s="450" t="str">
        <f t="shared" si="25"/>
        <v/>
      </c>
      <c r="T243" s="219"/>
    </row>
    <row r="244" spans="1:20">
      <c r="A244" s="474" t="s">
        <v>958</v>
      </c>
      <c r="B244" s="475"/>
      <c r="C244" s="476">
        <v>308858.52</v>
      </c>
      <c r="D244" s="476">
        <v>-81263.289999999994</v>
      </c>
      <c r="E244" s="475">
        <v>138</v>
      </c>
      <c r="F244" s="477" t="s">
        <v>2498</v>
      </c>
      <c r="G244" s="544">
        <v>0.58965611921899996</v>
      </c>
      <c r="H244" s="478">
        <v>227595.23</v>
      </c>
      <c r="I244" s="447">
        <f t="shared" si="26"/>
        <v>221430.6049923723</v>
      </c>
      <c r="J244" s="251">
        <f t="shared" si="26"/>
        <v>215142.98443348845</v>
      </c>
      <c r="K244" s="251">
        <f t="shared" si="26"/>
        <v>208279.83371317491</v>
      </c>
      <c r="L244" s="450">
        <f t="shared" si="26"/>
        <v>201890.56578778633</v>
      </c>
      <c r="M244" s="450">
        <f t="shared" si="26"/>
        <v>195697.29736890117</v>
      </c>
      <c r="N244" s="450">
        <f t="shared" si="26"/>
        <v>189694.01590437759</v>
      </c>
      <c r="O244" s="447" t="str">
        <f t="shared" si="21"/>
        <v/>
      </c>
      <c r="P244" s="251" t="str">
        <f t="shared" si="22"/>
        <v/>
      </c>
      <c r="Q244" s="251">
        <f t="shared" si="23"/>
        <v>189694.01590437759</v>
      </c>
      <c r="R244" s="251" t="str">
        <f t="shared" si="24"/>
        <v/>
      </c>
      <c r="S244" s="450" t="str">
        <f t="shared" si="25"/>
        <v/>
      </c>
      <c r="T244" s="219"/>
    </row>
    <row r="245" spans="1:20">
      <c r="A245" s="474" t="s">
        <v>959</v>
      </c>
      <c r="B245" s="475"/>
      <c r="C245" s="476">
        <v>3562643.44</v>
      </c>
      <c r="D245" s="476">
        <v>-1314170.19</v>
      </c>
      <c r="E245" s="475">
        <v>138</v>
      </c>
      <c r="F245" s="477" t="s">
        <v>2499</v>
      </c>
      <c r="G245" s="544">
        <v>41.494193821860996</v>
      </c>
      <c r="H245" s="478">
        <v>2248473.25</v>
      </c>
      <c r="I245" s="447">
        <f t="shared" si="26"/>
        <v>2187571.2951306826</v>
      </c>
      <c r="J245" s="251">
        <f t="shared" si="26"/>
        <v>2125454.2348003741</v>
      </c>
      <c r="K245" s="251">
        <f t="shared" si="26"/>
        <v>2057651.3603493443</v>
      </c>
      <c r="L245" s="450">
        <f t="shared" si="26"/>
        <v>1994530.0989005906</v>
      </c>
      <c r="M245" s="450">
        <f t="shared" si="26"/>
        <v>1933345.1682237349</v>
      </c>
      <c r="N245" s="450">
        <f t="shared" si="26"/>
        <v>1874037.1687318208</v>
      </c>
      <c r="O245" s="447" t="str">
        <f t="shared" si="21"/>
        <v/>
      </c>
      <c r="P245" s="251" t="str">
        <f t="shared" si="22"/>
        <v/>
      </c>
      <c r="Q245" s="251" t="str">
        <f t="shared" si="23"/>
        <v/>
      </c>
      <c r="R245" s="251" t="str">
        <f t="shared" si="24"/>
        <v/>
      </c>
      <c r="S245" s="450">
        <f t="shared" si="25"/>
        <v>1874037.1687318208</v>
      </c>
      <c r="T245" s="219"/>
    </row>
    <row r="246" spans="1:20">
      <c r="A246" s="474" t="s">
        <v>960</v>
      </c>
      <c r="B246" s="475"/>
      <c r="C246" s="476">
        <v>1195107.4099999999</v>
      </c>
      <c r="D246" s="476">
        <v>-367998.71</v>
      </c>
      <c r="E246" s="475">
        <v>138</v>
      </c>
      <c r="F246" s="477" t="s">
        <v>2498</v>
      </c>
      <c r="G246" s="544">
        <v>14.277120721623001</v>
      </c>
      <c r="H246" s="478">
        <v>827108.7</v>
      </c>
      <c r="I246" s="447">
        <f t="shared" si="26"/>
        <v>804705.70422523597</v>
      </c>
      <c r="J246" s="251">
        <f t="shared" si="26"/>
        <v>781855.72768332122</v>
      </c>
      <c r="K246" s="251">
        <f t="shared" si="26"/>
        <v>756914.20465499326</v>
      </c>
      <c r="L246" s="450">
        <f t="shared" si="26"/>
        <v>733694.82924137032</v>
      </c>
      <c r="M246" s="450">
        <f t="shared" si="26"/>
        <v>711187.73983226821</v>
      </c>
      <c r="N246" s="450">
        <f t="shared" si="26"/>
        <v>689371.08608317084</v>
      </c>
      <c r="O246" s="447" t="str">
        <f t="shared" si="21"/>
        <v/>
      </c>
      <c r="P246" s="251" t="str">
        <f t="shared" si="22"/>
        <v/>
      </c>
      <c r="Q246" s="251">
        <f t="shared" si="23"/>
        <v>689371.08608317084</v>
      </c>
      <c r="R246" s="251" t="str">
        <f t="shared" si="24"/>
        <v/>
      </c>
      <c r="S246" s="450" t="str">
        <f t="shared" si="25"/>
        <v/>
      </c>
      <c r="T246" s="219"/>
    </row>
    <row r="247" spans="1:20">
      <c r="A247" s="474" t="s">
        <v>961</v>
      </c>
      <c r="B247" s="475"/>
      <c r="C247" s="476">
        <v>1005687.42</v>
      </c>
      <c r="D247" s="476">
        <v>-384189.69</v>
      </c>
      <c r="E247" s="475">
        <v>138</v>
      </c>
      <c r="F247" s="477" t="s">
        <v>2499</v>
      </c>
      <c r="G247" s="544">
        <v>2.5707194768099999</v>
      </c>
      <c r="H247" s="478">
        <v>621497.73</v>
      </c>
      <c r="I247" s="447">
        <f t="shared" si="26"/>
        <v>604663.89543966297</v>
      </c>
      <c r="J247" s="251">
        <f t="shared" si="26"/>
        <v>587494.19507095288</v>
      </c>
      <c r="K247" s="251">
        <f t="shared" si="26"/>
        <v>568752.8858030797</v>
      </c>
      <c r="L247" s="450">
        <f t="shared" si="26"/>
        <v>551305.61543633777</v>
      </c>
      <c r="M247" s="450">
        <f t="shared" si="26"/>
        <v>534393.56388052169</v>
      </c>
      <c r="N247" s="450">
        <f t="shared" si="26"/>
        <v>518000.31256874133</v>
      </c>
      <c r="O247" s="447" t="str">
        <f t="shared" si="21"/>
        <v/>
      </c>
      <c r="P247" s="251" t="str">
        <f t="shared" si="22"/>
        <v/>
      </c>
      <c r="Q247" s="251" t="str">
        <f t="shared" si="23"/>
        <v/>
      </c>
      <c r="R247" s="251" t="str">
        <f t="shared" si="24"/>
        <v/>
      </c>
      <c r="S247" s="450">
        <f t="shared" si="25"/>
        <v>518000.31256874133</v>
      </c>
      <c r="T247" s="219"/>
    </row>
    <row r="248" spans="1:20">
      <c r="A248" s="474" t="s">
        <v>962</v>
      </c>
      <c r="B248" s="475"/>
      <c r="C248" s="476">
        <v>2150739.5</v>
      </c>
      <c r="D248" s="476">
        <v>-554361.85</v>
      </c>
      <c r="E248" s="475">
        <v>138</v>
      </c>
      <c r="F248" s="477" t="s">
        <v>2498</v>
      </c>
      <c r="G248" s="544">
        <v>25.299012737070001</v>
      </c>
      <c r="H248" s="478">
        <v>1596377.65</v>
      </c>
      <c r="I248" s="447">
        <f t="shared" si="26"/>
        <v>1553138.3009907613</v>
      </c>
      <c r="J248" s="251">
        <f t="shared" si="26"/>
        <v>1509036.2478331327</v>
      </c>
      <c r="K248" s="251">
        <f t="shared" si="26"/>
        <v>1460897.3636461049</v>
      </c>
      <c r="L248" s="450">
        <f t="shared" si="26"/>
        <v>1416082.3448254019</v>
      </c>
      <c r="M248" s="450">
        <f t="shared" si="26"/>
        <v>1372642.0878201956</v>
      </c>
      <c r="N248" s="450">
        <f t="shared" si="26"/>
        <v>1330534.4199370651</v>
      </c>
      <c r="O248" s="447" t="str">
        <f t="shared" si="21"/>
        <v/>
      </c>
      <c r="P248" s="251" t="str">
        <f t="shared" si="22"/>
        <v/>
      </c>
      <c r="Q248" s="251">
        <f t="shared" si="23"/>
        <v>1330534.4199370651</v>
      </c>
      <c r="R248" s="251" t="str">
        <f t="shared" si="24"/>
        <v/>
      </c>
      <c r="S248" s="450" t="str">
        <f t="shared" si="25"/>
        <v/>
      </c>
      <c r="T248" s="219"/>
    </row>
    <row r="249" spans="1:20">
      <c r="A249" s="474" t="s">
        <v>963</v>
      </c>
      <c r="B249" s="475"/>
      <c r="C249" s="476">
        <v>1693085.99</v>
      </c>
      <c r="D249" s="476">
        <v>-508771.11</v>
      </c>
      <c r="E249" s="475">
        <v>138</v>
      </c>
      <c r="F249" s="477" t="s">
        <v>2499</v>
      </c>
      <c r="G249" s="544">
        <v>7.3553978186600002</v>
      </c>
      <c r="H249" s="478">
        <v>1184314.8799999999</v>
      </c>
      <c r="I249" s="447">
        <f t="shared" si="26"/>
        <v>1152236.6280693526</v>
      </c>
      <c r="J249" s="251">
        <f t="shared" si="26"/>
        <v>1119518.356303815</v>
      </c>
      <c r="K249" s="251">
        <f t="shared" si="26"/>
        <v>1083805.2549275248</v>
      </c>
      <c r="L249" s="450">
        <f t="shared" si="26"/>
        <v>1050558.0507732707</v>
      </c>
      <c r="M249" s="450">
        <f t="shared" si="26"/>
        <v>1018330.7499448669</v>
      </c>
      <c r="N249" s="450">
        <f t="shared" si="26"/>
        <v>987092.06551697513</v>
      </c>
      <c r="O249" s="447" t="str">
        <f t="shared" si="21"/>
        <v/>
      </c>
      <c r="P249" s="251" t="str">
        <f t="shared" si="22"/>
        <v/>
      </c>
      <c r="Q249" s="251" t="str">
        <f t="shared" si="23"/>
        <v/>
      </c>
      <c r="R249" s="251" t="str">
        <f t="shared" si="24"/>
        <v/>
      </c>
      <c r="S249" s="450">
        <f t="shared" si="25"/>
        <v>987092.06551697513</v>
      </c>
      <c r="T249" s="219"/>
    </row>
    <row r="250" spans="1:20">
      <c r="A250" s="474" t="s">
        <v>964</v>
      </c>
      <c r="B250" s="475"/>
      <c r="C250" s="476">
        <v>3299407.87</v>
      </c>
      <c r="D250" s="476">
        <v>-1430781.31</v>
      </c>
      <c r="E250" s="475">
        <v>138</v>
      </c>
      <c r="F250" s="477" t="s">
        <v>2498</v>
      </c>
      <c r="G250" s="544">
        <v>41.129041811336997</v>
      </c>
      <c r="H250" s="478">
        <v>1868626.56</v>
      </c>
      <c r="I250" s="447">
        <f t="shared" si="26"/>
        <v>1818013.1002113509</v>
      </c>
      <c r="J250" s="251">
        <f t="shared" si="26"/>
        <v>1766389.809268336</v>
      </c>
      <c r="K250" s="251">
        <f t="shared" si="26"/>
        <v>1710041.2393916254</v>
      </c>
      <c r="L250" s="450">
        <f t="shared" si="26"/>
        <v>1657583.3924308731</v>
      </c>
      <c r="M250" s="450">
        <f t="shared" si="26"/>
        <v>1606734.7614611555</v>
      </c>
      <c r="N250" s="450">
        <f t="shared" si="26"/>
        <v>1557445.9815874982</v>
      </c>
      <c r="O250" s="447" t="str">
        <f t="shared" si="21"/>
        <v/>
      </c>
      <c r="P250" s="251" t="str">
        <f t="shared" si="22"/>
        <v/>
      </c>
      <c r="Q250" s="251">
        <f t="shared" si="23"/>
        <v>1557445.9815874982</v>
      </c>
      <c r="R250" s="251" t="str">
        <f t="shared" si="24"/>
        <v/>
      </c>
      <c r="S250" s="450" t="str">
        <f t="shared" si="25"/>
        <v/>
      </c>
      <c r="T250" s="219"/>
    </row>
    <row r="251" spans="1:20">
      <c r="A251" s="474" t="s">
        <v>965</v>
      </c>
      <c r="B251" s="475"/>
      <c r="C251" s="476">
        <v>4761503.54</v>
      </c>
      <c r="D251" s="476">
        <v>-606942.59</v>
      </c>
      <c r="E251" s="475">
        <v>138</v>
      </c>
      <c r="F251" s="477" t="s">
        <v>2498</v>
      </c>
      <c r="G251" s="544">
        <v>15.352068687634199</v>
      </c>
      <c r="H251" s="478">
        <v>4154560.95</v>
      </c>
      <c r="I251" s="447">
        <f t="shared" si="26"/>
        <v>4042030.8660958535</v>
      </c>
      <c r="J251" s="251">
        <f t="shared" si="26"/>
        <v>3927255.6010678653</v>
      </c>
      <c r="K251" s="251">
        <f t="shared" si="26"/>
        <v>3801974.5133377793</v>
      </c>
      <c r="L251" s="450">
        <f t="shared" si="26"/>
        <v>3685343.760479264</v>
      </c>
      <c r="M251" s="450">
        <f t="shared" si="26"/>
        <v>3572290.8150112573</v>
      </c>
      <c r="N251" s="450">
        <f t="shared" si="26"/>
        <v>3462705.922813084</v>
      </c>
      <c r="O251" s="447" t="str">
        <f t="shared" si="21"/>
        <v/>
      </c>
      <c r="P251" s="251" t="str">
        <f t="shared" si="22"/>
        <v/>
      </c>
      <c r="Q251" s="251">
        <f t="shared" si="23"/>
        <v>3462705.922813084</v>
      </c>
      <c r="R251" s="251" t="str">
        <f t="shared" si="24"/>
        <v/>
      </c>
      <c r="S251" s="450" t="str">
        <f t="shared" si="25"/>
        <v/>
      </c>
      <c r="T251" s="219"/>
    </row>
    <row r="252" spans="1:20">
      <c r="A252" s="474" t="s">
        <v>966</v>
      </c>
      <c r="B252" s="475"/>
      <c r="C252" s="476">
        <v>1750802.57</v>
      </c>
      <c r="D252" s="476">
        <v>-1102530.27</v>
      </c>
      <c r="E252" s="475">
        <v>138</v>
      </c>
      <c r="F252" s="477" t="s">
        <v>2498</v>
      </c>
      <c r="G252" s="544">
        <v>26.759085482534001</v>
      </c>
      <c r="H252" s="478">
        <v>648272.30000000005</v>
      </c>
      <c r="I252" s="447">
        <f t="shared" si="26"/>
        <v>630713.2517179586</v>
      </c>
      <c r="J252" s="251">
        <f t="shared" si="26"/>
        <v>612803.86828652676</v>
      </c>
      <c r="K252" s="251">
        <f t="shared" si="26"/>
        <v>593255.16991220531</v>
      </c>
      <c r="L252" s="450">
        <f t="shared" si="26"/>
        <v>575056.25856723601</v>
      </c>
      <c r="M252" s="450">
        <f t="shared" si="26"/>
        <v>557415.62364519457</v>
      </c>
      <c r="N252" s="450">
        <f t="shared" si="26"/>
        <v>540316.13925549958</v>
      </c>
      <c r="O252" s="447" t="str">
        <f t="shared" si="21"/>
        <v/>
      </c>
      <c r="P252" s="251" t="str">
        <f t="shared" si="22"/>
        <v/>
      </c>
      <c r="Q252" s="251">
        <f t="shared" si="23"/>
        <v>540316.13925549958</v>
      </c>
      <c r="R252" s="251" t="str">
        <f t="shared" si="24"/>
        <v/>
      </c>
      <c r="S252" s="450" t="str">
        <f t="shared" si="25"/>
        <v/>
      </c>
      <c r="T252" s="219"/>
    </row>
    <row r="253" spans="1:20">
      <c r="A253" s="474" t="s">
        <v>967</v>
      </c>
      <c r="B253" s="475"/>
      <c r="C253" s="476">
        <v>416470.13</v>
      </c>
      <c r="D253" s="476">
        <v>-189259.23</v>
      </c>
      <c r="E253" s="475">
        <v>138</v>
      </c>
      <c r="F253" s="477" t="s">
        <v>2498</v>
      </c>
      <c r="G253" s="544">
        <v>11.884782714462599</v>
      </c>
      <c r="H253" s="478">
        <v>227210.9</v>
      </c>
      <c r="I253" s="447">
        <f t="shared" si="26"/>
        <v>221056.68492200563</v>
      </c>
      <c r="J253" s="251">
        <f t="shared" si="26"/>
        <v>214779.6819899033</v>
      </c>
      <c r="K253" s="251">
        <f t="shared" si="26"/>
        <v>207928.12076870332</v>
      </c>
      <c r="L253" s="450">
        <f t="shared" si="26"/>
        <v>201549.64211750895</v>
      </c>
      <c r="M253" s="450">
        <f t="shared" si="26"/>
        <v>195366.83199711901</v>
      </c>
      <c r="N253" s="450">
        <f t="shared" si="26"/>
        <v>189373.68800852261</v>
      </c>
      <c r="O253" s="447" t="str">
        <f t="shared" si="21"/>
        <v/>
      </c>
      <c r="P253" s="251" t="str">
        <f t="shared" si="22"/>
        <v/>
      </c>
      <c r="Q253" s="251">
        <f t="shared" si="23"/>
        <v>189373.68800852261</v>
      </c>
      <c r="R253" s="251" t="str">
        <f t="shared" si="24"/>
        <v/>
      </c>
      <c r="S253" s="450" t="str">
        <f t="shared" si="25"/>
        <v/>
      </c>
      <c r="T253" s="219"/>
    </row>
    <row r="254" spans="1:20">
      <c r="A254" s="474" t="s">
        <v>968</v>
      </c>
      <c r="B254" s="475"/>
      <c r="C254" s="476">
        <v>720962.48</v>
      </c>
      <c r="D254" s="476">
        <v>-204983.73</v>
      </c>
      <c r="E254" s="475">
        <v>138</v>
      </c>
      <c r="F254" s="477" t="s">
        <v>2498</v>
      </c>
      <c r="G254" s="544">
        <v>5.5842610499330005</v>
      </c>
      <c r="H254" s="478">
        <v>515978.75</v>
      </c>
      <c r="I254" s="447">
        <f t="shared" si="26"/>
        <v>502002.9935412443</v>
      </c>
      <c r="J254" s="251">
        <f t="shared" si="26"/>
        <v>487748.39516303054</v>
      </c>
      <c r="K254" s="251">
        <f t="shared" si="26"/>
        <v>472189.01841454167</v>
      </c>
      <c r="L254" s="450">
        <f t="shared" si="26"/>
        <v>457703.9763617838</v>
      </c>
      <c r="M254" s="450">
        <f t="shared" si="26"/>
        <v>443663.2827269003</v>
      </c>
      <c r="N254" s="450">
        <f t="shared" si="26"/>
        <v>430053.30651622562</v>
      </c>
      <c r="O254" s="447" t="str">
        <f t="shared" si="21"/>
        <v/>
      </c>
      <c r="P254" s="251" t="str">
        <f t="shared" si="22"/>
        <v/>
      </c>
      <c r="Q254" s="251">
        <f t="shared" si="23"/>
        <v>430053.30651622562</v>
      </c>
      <c r="R254" s="251" t="str">
        <f t="shared" si="24"/>
        <v/>
      </c>
      <c r="S254" s="450" t="str">
        <f t="shared" si="25"/>
        <v/>
      </c>
      <c r="T254" s="219"/>
    </row>
    <row r="255" spans="1:20">
      <c r="A255" s="474" t="s">
        <v>969</v>
      </c>
      <c r="B255" s="475"/>
      <c r="C255" s="476">
        <v>1593294.69</v>
      </c>
      <c r="D255" s="476">
        <v>-1137164.92</v>
      </c>
      <c r="E255" s="475">
        <v>240</v>
      </c>
      <c r="F255" s="477" t="s">
        <v>2498</v>
      </c>
      <c r="G255" s="544">
        <v>29.521262411600002</v>
      </c>
      <c r="H255" s="478">
        <v>456129.77</v>
      </c>
      <c r="I255" s="447">
        <f t="shared" si="26"/>
        <v>443775.07791411813</v>
      </c>
      <c r="J255" s="251">
        <f t="shared" si="26"/>
        <v>431173.88710985141</v>
      </c>
      <c r="K255" s="251">
        <f t="shared" si="26"/>
        <v>417419.26070783084</v>
      </c>
      <c r="L255" s="450">
        <f t="shared" si="26"/>
        <v>404614.35566093738</v>
      </c>
      <c r="M255" s="450">
        <f t="shared" si="26"/>
        <v>392202.25853810069</v>
      </c>
      <c r="N255" s="450">
        <f t="shared" si="26"/>
        <v>380170.9194205876</v>
      </c>
      <c r="O255" s="447" t="str">
        <f t="shared" si="21"/>
        <v/>
      </c>
      <c r="P255" s="251">
        <f t="shared" si="22"/>
        <v>380170.9194205876</v>
      </c>
      <c r="Q255" s="251" t="str">
        <f t="shared" si="23"/>
        <v/>
      </c>
      <c r="R255" s="251" t="str">
        <f t="shared" si="24"/>
        <v/>
      </c>
      <c r="S255" s="450" t="str">
        <f t="shared" si="25"/>
        <v/>
      </c>
      <c r="T255" s="219"/>
    </row>
    <row r="256" spans="1:20">
      <c r="A256" s="474" t="s">
        <v>970</v>
      </c>
      <c r="B256" s="475"/>
      <c r="C256" s="476">
        <v>6041305.9699999997</v>
      </c>
      <c r="D256" s="476">
        <v>-4875540.9400000004</v>
      </c>
      <c r="E256" s="475">
        <v>240</v>
      </c>
      <c r="F256" s="477" t="s">
        <v>2498</v>
      </c>
      <c r="G256" s="544">
        <v>143.05495336194991</v>
      </c>
      <c r="H256" s="478">
        <v>1165765.03</v>
      </c>
      <c r="I256" s="447">
        <f t="shared" si="26"/>
        <v>1134189.217725921</v>
      </c>
      <c r="J256" s="251">
        <f t="shared" si="26"/>
        <v>1101983.4102076532</v>
      </c>
      <c r="K256" s="251">
        <f t="shared" si="26"/>
        <v>1066829.6809077868</v>
      </c>
      <c r="L256" s="450">
        <f t="shared" si="26"/>
        <v>1034103.2256357732</v>
      </c>
      <c r="M256" s="450">
        <f t="shared" si="26"/>
        <v>1002380.6990075143</v>
      </c>
      <c r="N256" s="450">
        <f t="shared" si="26"/>
        <v>971631.3041428295</v>
      </c>
      <c r="O256" s="447" t="str">
        <f t="shared" si="21"/>
        <v/>
      </c>
      <c r="P256" s="251">
        <f t="shared" si="22"/>
        <v>971631.3041428295</v>
      </c>
      <c r="Q256" s="251" t="str">
        <f t="shared" si="23"/>
        <v/>
      </c>
      <c r="R256" s="251" t="str">
        <f t="shared" si="24"/>
        <v/>
      </c>
      <c r="S256" s="450" t="str">
        <f t="shared" si="25"/>
        <v/>
      </c>
      <c r="T256" s="219"/>
    </row>
    <row r="257" spans="1:20">
      <c r="A257" s="474" t="s">
        <v>971</v>
      </c>
      <c r="B257" s="475"/>
      <c r="C257" s="476">
        <v>6309003.0899999999</v>
      </c>
      <c r="D257" s="476">
        <v>-486024.73</v>
      </c>
      <c r="E257" s="475">
        <v>240</v>
      </c>
      <c r="F257" s="477" t="s">
        <v>2498</v>
      </c>
      <c r="G257" s="544">
        <v>7.0366411221433998</v>
      </c>
      <c r="H257" s="478">
        <v>5822978.3600000003</v>
      </c>
      <c r="I257" s="447">
        <f t="shared" si="26"/>
        <v>5665257.6642853711</v>
      </c>
      <c r="J257" s="251">
        <f t="shared" si="26"/>
        <v>5504390.1520344699</v>
      </c>
      <c r="K257" s="251">
        <f t="shared" si="26"/>
        <v>5328797.8159129955</v>
      </c>
      <c r="L257" s="450">
        <f t="shared" si="26"/>
        <v>5165329.6761554983</v>
      </c>
      <c r="M257" s="450">
        <f t="shared" si="26"/>
        <v>5006876.1445026612</v>
      </c>
      <c r="N257" s="450">
        <f t="shared" si="26"/>
        <v>4853283.3910125736</v>
      </c>
      <c r="O257" s="447" t="str">
        <f t="shared" si="21"/>
        <v/>
      </c>
      <c r="P257" s="251">
        <f t="shared" si="22"/>
        <v>4853283.3910125736</v>
      </c>
      <c r="Q257" s="251" t="str">
        <f t="shared" si="23"/>
        <v/>
      </c>
      <c r="R257" s="251" t="str">
        <f t="shared" si="24"/>
        <v/>
      </c>
      <c r="S257" s="450" t="str">
        <f t="shared" si="25"/>
        <v/>
      </c>
      <c r="T257" s="219"/>
    </row>
    <row r="258" spans="1:20">
      <c r="A258" s="474" t="s">
        <v>972</v>
      </c>
      <c r="B258" s="475"/>
      <c r="C258" s="476">
        <v>11196878.699999999</v>
      </c>
      <c r="D258" s="476">
        <v>-5856848.4100000001</v>
      </c>
      <c r="E258" s="475">
        <v>240</v>
      </c>
      <c r="F258" s="477" t="s">
        <v>2498</v>
      </c>
      <c r="G258" s="544">
        <v>139.22768949757159</v>
      </c>
      <c r="H258" s="478">
        <v>5340030.29</v>
      </c>
      <c r="I258" s="447">
        <f t="shared" si="26"/>
        <v>5195390.6845600111</v>
      </c>
      <c r="J258" s="251">
        <f t="shared" si="26"/>
        <v>5047865.2542754384</v>
      </c>
      <c r="K258" s="251">
        <f t="shared" si="26"/>
        <v>4886836.2523437645</v>
      </c>
      <c r="L258" s="450">
        <f t="shared" si="26"/>
        <v>4736925.8862411864</v>
      </c>
      <c r="M258" s="450">
        <f t="shared" si="26"/>
        <v>4591614.2250479916</v>
      </c>
      <c r="N258" s="450">
        <f t="shared" si="26"/>
        <v>4450760.1972199418</v>
      </c>
      <c r="O258" s="447" t="str">
        <f t="shared" si="21"/>
        <v/>
      </c>
      <c r="P258" s="251">
        <f t="shared" si="22"/>
        <v>4450760.1972199418</v>
      </c>
      <c r="Q258" s="251" t="str">
        <f t="shared" si="23"/>
        <v/>
      </c>
      <c r="R258" s="251" t="str">
        <f t="shared" si="24"/>
        <v/>
      </c>
      <c r="S258" s="450" t="str">
        <f t="shared" si="25"/>
        <v/>
      </c>
      <c r="T258" s="219"/>
    </row>
    <row r="259" spans="1:20">
      <c r="A259" s="474" t="s">
        <v>973</v>
      </c>
      <c r="B259" s="475"/>
      <c r="C259" s="476">
        <v>2533350.96</v>
      </c>
      <c r="D259" s="476">
        <v>-2297010.31</v>
      </c>
      <c r="E259" s="475">
        <v>240</v>
      </c>
      <c r="F259" s="477" t="s">
        <v>2498</v>
      </c>
      <c r="G259" s="544">
        <v>62.590730175986096</v>
      </c>
      <c r="H259" s="478">
        <v>236340.65</v>
      </c>
      <c r="I259" s="447">
        <f t="shared" si="26"/>
        <v>229939.14729140198</v>
      </c>
      <c r="J259" s="251">
        <f t="shared" si="26"/>
        <v>223409.92288788539</v>
      </c>
      <c r="K259" s="251">
        <f t="shared" si="26"/>
        <v>216283.05339116143</v>
      </c>
      <c r="L259" s="450">
        <f t="shared" si="26"/>
        <v>209648.27578835099</v>
      </c>
      <c r="M259" s="450">
        <f t="shared" si="26"/>
        <v>203217.02903619461</v>
      </c>
      <c r="N259" s="450">
        <f t="shared" si="26"/>
        <v>196983.06954829826</v>
      </c>
      <c r="O259" s="447" t="str">
        <f t="shared" si="21"/>
        <v/>
      </c>
      <c r="P259" s="251">
        <f t="shared" si="22"/>
        <v>196983.06954829826</v>
      </c>
      <c r="Q259" s="251" t="str">
        <f t="shared" si="23"/>
        <v/>
      </c>
      <c r="R259" s="251" t="str">
        <f t="shared" si="24"/>
        <v/>
      </c>
      <c r="S259" s="450" t="str">
        <f t="shared" si="25"/>
        <v/>
      </c>
      <c r="T259" s="219"/>
    </row>
    <row r="260" spans="1:20">
      <c r="A260" s="474" t="s">
        <v>974</v>
      </c>
      <c r="B260" s="475"/>
      <c r="C260" s="476">
        <v>6677815.96</v>
      </c>
      <c r="D260" s="476">
        <v>-3715244.83</v>
      </c>
      <c r="E260" s="475">
        <v>240</v>
      </c>
      <c r="F260" s="477" t="s">
        <v>2498</v>
      </c>
      <c r="G260" s="544">
        <v>145.40855109927938</v>
      </c>
      <c r="H260" s="478">
        <v>2962571.13</v>
      </c>
      <c r="I260" s="447">
        <f t="shared" si="26"/>
        <v>2882327.1807974009</v>
      </c>
      <c r="J260" s="251">
        <f t="shared" si="26"/>
        <v>2800482.2179475916</v>
      </c>
      <c r="K260" s="251">
        <f t="shared" si="26"/>
        <v>2711145.6699679191</v>
      </c>
      <c r="L260" s="450">
        <f t="shared" si="26"/>
        <v>2627977.5794170266</v>
      </c>
      <c r="M260" s="450">
        <f t="shared" si="26"/>
        <v>2547360.7834581221</v>
      </c>
      <c r="N260" s="450">
        <f t="shared" si="26"/>
        <v>2469217.0176504571</v>
      </c>
      <c r="O260" s="447" t="str">
        <f t="shared" si="21"/>
        <v/>
      </c>
      <c r="P260" s="251">
        <f t="shared" si="22"/>
        <v>2469217.0176504571</v>
      </c>
      <c r="Q260" s="251" t="str">
        <f t="shared" si="23"/>
        <v/>
      </c>
      <c r="R260" s="251" t="str">
        <f t="shared" si="24"/>
        <v/>
      </c>
      <c r="S260" s="450" t="str">
        <f t="shared" si="25"/>
        <v/>
      </c>
      <c r="T260" s="219"/>
    </row>
    <row r="261" spans="1:20">
      <c r="A261" s="474" t="s">
        <v>975</v>
      </c>
      <c r="B261" s="475"/>
      <c r="C261" s="476">
        <v>4857605.1100000003</v>
      </c>
      <c r="D261" s="476">
        <v>-3680130.57</v>
      </c>
      <c r="E261" s="475">
        <v>240</v>
      </c>
      <c r="F261" s="477" t="s">
        <v>2499</v>
      </c>
      <c r="G261" s="544">
        <v>22.114465344119001</v>
      </c>
      <c r="H261" s="478">
        <v>1177474.54</v>
      </c>
      <c r="I261" s="447">
        <f t="shared" si="26"/>
        <v>1145581.5649357645</v>
      </c>
      <c r="J261" s="251">
        <f t="shared" si="26"/>
        <v>1113052.2666492132</v>
      </c>
      <c r="K261" s="251">
        <f t="shared" si="26"/>
        <v>1077545.4362233211</v>
      </c>
      <c r="L261" s="450">
        <f t="shared" si="26"/>
        <v>1044490.2605441838</v>
      </c>
      <c r="M261" s="450">
        <f t="shared" si="26"/>
        <v>1012449.0974555579</v>
      </c>
      <c r="N261" s="450">
        <f t="shared" si="26"/>
        <v>981390.84073844471</v>
      </c>
      <c r="O261" s="447" t="str">
        <f t="shared" si="21"/>
        <v/>
      </c>
      <c r="P261" s="251" t="str">
        <f t="shared" si="22"/>
        <v/>
      </c>
      <c r="Q261" s="251" t="str">
        <f t="shared" si="23"/>
        <v/>
      </c>
      <c r="R261" s="251" t="str">
        <f t="shared" si="24"/>
        <v/>
      </c>
      <c r="S261" s="450">
        <f t="shared" si="25"/>
        <v>981390.84073844471</v>
      </c>
      <c r="T261" s="219"/>
    </row>
    <row r="262" spans="1:20">
      <c r="A262" s="474" t="s">
        <v>976</v>
      </c>
      <c r="B262" s="475"/>
      <c r="C262" s="476">
        <v>6405375.7400000002</v>
      </c>
      <c r="D262" s="476">
        <v>-2173806</v>
      </c>
      <c r="E262" s="475">
        <v>240</v>
      </c>
      <c r="F262" s="477" t="s">
        <v>2498</v>
      </c>
      <c r="G262" s="544">
        <v>27.106743881964498</v>
      </c>
      <c r="H262" s="478">
        <v>4231569.74</v>
      </c>
      <c r="I262" s="447">
        <f t="shared" si="26"/>
        <v>4116953.802571414</v>
      </c>
      <c r="J262" s="251">
        <f t="shared" si="26"/>
        <v>4000051.0674236924</v>
      </c>
      <c r="K262" s="251">
        <f t="shared" si="26"/>
        <v>3872447.774028053</v>
      </c>
      <c r="L262" s="450">
        <f t="shared" si="26"/>
        <v>3753655.1577951605</v>
      </c>
      <c r="M262" s="450">
        <f t="shared" si="26"/>
        <v>3638506.6670598667</v>
      </c>
      <c r="N262" s="450">
        <f t="shared" si="26"/>
        <v>3526890.5133031257</v>
      </c>
      <c r="O262" s="447" t="str">
        <f t="shared" ref="O262:O325" si="27">IF(AND(F262="n",$E262=500),$N262,"")</f>
        <v/>
      </c>
      <c r="P262" s="251">
        <f t="shared" ref="P262:P325" si="28">IF(AND(F262="n",OR($E262=240,$E262=260)),$N262,"")</f>
        <v>3526890.5133031257</v>
      </c>
      <c r="Q262" s="251" t="str">
        <f t="shared" ref="Q262:Q325" si="29">IF(AND(F262="n",OR($E262=138,$E262=144)),$N262,"")</f>
        <v/>
      </c>
      <c r="R262" s="251" t="str">
        <f t="shared" ref="R262:R325" si="30">IF(AND(F262="n",$E262=69),$N262,"")</f>
        <v/>
      </c>
      <c r="S262" s="450" t="str">
        <f t="shared" ref="S262:S325" si="31">IF(OR(E262=25,F262="y"),$N262,"")</f>
        <v/>
      </c>
      <c r="T262" s="219"/>
    </row>
    <row r="263" spans="1:20">
      <c r="A263" s="474" t="s">
        <v>977</v>
      </c>
      <c r="B263" s="475"/>
      <c r="C263" s="476">
        <v>3070567.02</v>
      </c>
      <c r="D263" s="476">
        <v>-1374164.28</v>
      </c>
      <c r="E263" s="475">
        <v>240</v>
      </c>
      <c r="F263" s="477" t="s">
        <v>2498</v>
      </c>
      <c r="G263" s="544">
        <v>59.294711419432709</v>
      </c>
      <c r="H263" s="478">
        <v>1696402.74</v>
      </c>
      <c r="I263" s="447">
        <f t="shared" si="26"/>
        <v>1650454.1199256154</v>
      </c>
      <c r="J263" s="251">
        <f t="shared" si="26"/>
        <v>1603588.7407866463</v>
      </c>
      <c r="K263" s="251">
        <f t="shared" si="26"/>
        <v>1552433.5927329157</v>
      </c>
      <c r="L263" s="450">
        <f t="shared" si="26"/>
        <v>1504810.5752592045</v>
      </c>
      <c r="M263" s="450">
        <f t="shared" si="26"/>
        <v>1458648.4587888713</v>
      </c>
      <c r="N263" s="450">
        <f t="shared" si="26"/>
        <v>1413902.428191442</v>
      </c>
      <c r="O263" s="447" t="str">
        <f t="shared" si="27"/>
        <v/>
      </c>
      <c r="P263" s="251">
        <f t="shared" si="28"/>
        <v>1413902.428191442</v>
      </c>
      <c r="Q263" s="251" t="str">
        <f t="shared" si="29"/>
        <v/>
      </c>
      <c r="R263" s="251" t="str">
        <f t="shared" si="30"/>
        <v/>
      </c>
      <c r="S263" s="450" t="str">
        <f t="shared" si="31"/>
        <v/>
      </c>
      <c r="T263" s="219"/>
    </row>
    <row r="264" spans="1:20">
      <c r="A264" s="474" t="s">
        <v>978</v>
      </c>
      <c r="B264" s="475"/>
      <c r="C264" s="476">
        <v>6539562.1699999999</v>
      </c>
      <c r="D264" s="476">
        <v>-7026690.0700000003</v>
      </c>
      <c r="E264" s="475">
        <v>240</v>
      </c>
      <c r="F264" s="477" t="s">
        <v>2498</v>
      </c>
      <c r="G264" s="544">
        <v>126.8414506443403</v>
      </c>
      <c r="H264" s="478">
        <v>-487127.9</v>
      </c>
      <c r="I264" s="447">
        <f t="shared" si="26"/>
        <v>-473933.59520612023</v>
      </c>
      <c r="J264" s="251">
        <f t="shared" si="26"/>
        <v>-460476.03988369141</v>
      </c>
      <c r="K264" s="251">
        <f t="shared" si="26"/>
        <v>-445786.66261611937</v>
      </c>
      <c r="L264" s="450">
        <f t="shared" si="26"/>
        <v>-432111.54883174039</v>
      </c>
      <c r="M264" s="450">
        <f t="shared" si="26"/>
        <v>-418855.9378111235</v>
      </c>
      <c r="N264" s="450">
        <f t="shared" si="26"/>
        <v>-406006.9607349243</v>
      </c>
      <c r="O264" s="447" t="str">
        <f t="shared" si="27"/>
        <v/>
      </c>
      <c r="P264" s="251">
        <f t="shared" si="28"/>
        <v>-406006.9607349243</v>
      </c>
      <c r="Q264" s="251" t="str">
        <f t="shared" si="29"/>
        <v/>
      </c>
      <c r="R264" s="251" t="str">
        <f t="shared" si="30"/>
        <v/>
      </c>
      <c r="S264" s="450" t="str">
        <f t="shared" si="31"/>
        <v/>
      </c>
      <c r="T264" s="219"/>
    </row>
    <row r="265" spans="1:20">
      <c r="A265" s="474" t="s">
        <v>979</v>
      </c>
      <c r="B265" s="475"/>
      <c r="C265" s="476">
        <v>7475439.7400000002</v>
      </c>
      <c r="D265" s="476">
        <v>-4738475.6100000003</v>
      </c>
      <c r="E265" s="475">
        <v>240</v>
      </c>
      <c r="F265" s="477" t="s">
        <v>2498</v>
      </c>
      <c r="G265" s="544">
        <v>148.99634876134581</v>
      </c>
      <c r="H265" s="478">
        <v>2736964.13</v>
      </c>
      <c r="I265" s="447">
        <f t="shared" si="26"/>
        <v>2662830.9527766546</v>
      </c>
      <c r="J265" s="251">
        <f t="shared" si="26"/>
        <v>2587218.6829908793</v>
      </c>
      <c r="K265" s="251">
        <f t="shared" si="26"/>
        <v>2504685.3305112077</v>
      </c>
      <c r="L265" s="450">
        <f t="shared" si="26"/>
        <v>2427850.692418186</v>
      </c>
      <c r="M265" s="450">
        <f t="shared" si="26"/>
        <v>2353373.0616262294</v>
      </c>
      <c r="N265" s="450">
        <f t="shared" si="26"/>
        <v>2281180.1337221828</v>
      </c>
      <c r="O265" s="447" t="str">
        <f t="shared" si="27"/>
        <v/>
      </c>
      <c r="P265" s="251">
        <f t="shared" si="28"/>
        <v>2281180.1337221828</v>
      </c>
      <c r="Q265" s="251" t="str">
        <f t="shared" si="29"/>
        <v/>
      </c>
      <c r="R265" s="251" t="str">
        <f t="shared" si="30"/>
        <v/>
      </c>
      <c r="S265" s="450" t="str">
        <f t="shared" si="31"/>
        <v/>
      </c>
      <c r="T265" s="219"/>
    </row>
    <row r="266" spans="1:20">
      <c r="A266" s="474" t="s">
        <v>980</v>
      </c>
      <c r="B266" s="475"/>
      <c r="C266" s="476">
        <v>3986906.12</v>
      </c>
      <c r="D266" s="476">
        <v>-3550446.24</v>
      </c>
      <c r="E266" s="475">
        <v>240</v>
      </c>
      <c r="F266" s="477" t="s">
        <v>2498</v>
      </c>
      <c r="G266" s="544">
        <v>63.554768755134596</v>
      </c>
      <c r="H266" s="478">
        <v>436459.88</v>
      </c>
      <c r="I266" s="447">
        <f t="shared" si="26"/>
        <v>424637.96487869369</v>
      </c>
      <c r="J266" s="251">
        <f t="shared" si="26"/>
        <v>412580.18091452197</v>
      </c>
      <c r="K266" s="251">
        <f t="shared" si="26"/>
        <v>399418.70147661824</v>
      </c>
      <c r="L266" s="450">
        <f t="shared" si="26"/>
        <v>387165.98813107517</v>
      </c>
      <c r="M266" s="450">
        <f t="shared" si="26"/>
        <v>375289.14347613929</v>
      </c>
      <c r="N266" s="450">
        <f t="shared" si="26"/>
        <v>363776.63722716307</v>
      </c>
      <c r="O266" s="447" t="str">
        <f t="shared" si="27"/>
        <v/>
      </c>
      <c r="P266" s="251">
        <f t="shared" si="28"/>
        <v>363776.63722716307</v>
      </c>
      <c r="Q266" s="251" t="str">
        <f t="shared" si="29"/>
        <v/>
      </c>
      <c r="R266" s="251" t="str">
        <f t="shared" si="30"/>
        <v/>
      </c>
      <c r="S266" s="450" t="str">
        <f t="shared" si="31"/>
        <v/>
      </c>
      <c r="T266" s="219"/>
    </row>
    <row r="267" spans="1:20">
      <c r="A267" s="474" t="s">
        <v>981</v>
      </c>
      <c r="B267" s="475"/>
      <c r="C267" s="476">
        <v>3110354.83</v>
      </c>
      <c r="D267" s="476">
        <v>-2051179.6</v>
      </c>
      <c r="E267" s="475">
        <v>240</v>
      </c>
      <c r="F267" s="477" t="s">
        <v>2498</v>
      </c>
      <c r="G267" s="544">
        <v>70.995172753612991</v>
      </c>
      <c r="H267" s="478">
        <v>1059175.23</v>
      </c>
      <c r="I267" s="447">
        <f t="shared" si="26"/>
        <v>1030486.4999667834</v>
      </c>
      <c r="J267" s="251">
        <f t="shared" si="26"/>
        <v>1001225.3772639547</v>
      </c>
      <c r="K267" s="251">
        <f t="shared" si="26"/>
        <v>969285.87113848468</v>
      </c>
      <c r="L267" s="450">
        <f t="shared" si="26"/>
        <v>939551.70524930896</v>
      </c>
      <c r="M267" s="450">
        <f t="shared" si="26"/>
        <v>910729.67544655607</v>
      </c>
      <c r="N267" s="450">
        <f t="shared" si="26"/>
        <v>882791.80071191653</v>
      </c>
      <c r="O267" s="447" t="str">
        <f t="shared" si="27"/>
        <v/>
      </c>
      <c r="P267" s="251">
        <f t="shared" si="28"/>
        <v>882791.80071191653</v>
      </c>
      <c r="Q267" s="251" t="str">
        <f t="shared" si="29"/>
        <v/>
      </c>
      <c r="R267" s="251" t="str">
        <f t="shared" si="30"/>
        <v/>
      </c>
      <c r="S267" s="450" t="str">
        <f t="shared" si="31"/>
        <v/>
      </c>
      <c r="T267" s="219"/>
    </row>
    <row r="268" spans="1:20">
      <c r="A268" s="474" t="s">
        <v>982</v>
      </c>
      <c r="B268" s="475"/>
      <c r="C268" s="476">
        <v>4604803.1100000003</v>
      </c>
      <c r="D268" s="476">
        <v>-4563058.49</v>
      </c>
      <c r="E268" s="475">
        <v>240</v>
      </c>
      <c r="F268" s="477" t="s">
        <v>2498</v>
      </c>
      <c r="G268" s="544">
        <v>127.023796769733</v>
      </c>
      <c r="H268" s="478">
        <v>41744.620000000003</v>
      </c>
      <c r="I268" s="447">
        <f t="shared" si="26"/>
        <v>40613.928779512142</v>
      </c>
      <c r="J268" s="251">
        <f t="shared" si="26"/>
        <v>39460.678199810653</v>
      </c>
      <c r="K268" s="251">
        <f t="shared" si="26"/>
        <v>38201.866146402434</v>
      </c>
      <c r="L268" s="450">
        <f t="shared" si="26"/>
        <v>37029.971807388669</v>
      </c>
      <c r="M268" s="450">
        <f t="shared" si="26"/>
        <v>35894.026925308492</v>
      </c>
      <c r="N268" s="450">
        <f t="shared" si="26"/>
        <v>34792.92870154704</v>
      </c>
      <c r="O268" s="447" t="str">
        <f t="shared" si="27"/>
        <v/>
      </c>
      <c r="P268" s="251">
        <f t="shared" si="28"/>
        <v>34792.92870154704</v>
      </c>
      <c r="Q268" s="251" t="str">
        <f t="shared" si="29"/>
        <v/>
      </c>
      <c r="R268" s="251" t="str">
        <f t="shared" si="30"/>
        <v/>
      </c>
      <c r="S268" s="450" t="str">
        <f t="shared" si="31"/>
        <v/>
      </c>
      <c r="T268" s="219"/>
    </row>
    <row r="269" spans="1:20">
      <c r="A269" s="474" t="s">
        <v>983</v>
      </c>
      <c r="B269" s="475"/>
      <c r="C269" s="476">
        <v>2028605.98</v>
      </c>
      <c r="D269" s="476">
        <v>-665136.67000000004</v>
      </c>
      <c r="E269" s="475">
        <v>240</v>
      </c>
      <c r="F269" s="477" t="s">
        <v>2498</v>
      </c>
      <c r="G269" s="544">
        <v>5.8938378493684995</v>
      </c>
      <c r="H269" s="478">
        <v>1363469.31</v>
      </c>
      <c r="I269" s="447">
        <f t="shared" si="26"/>
        <v>1326538.4964431478</v>
      </c>
      <c r="J269" s="251">
        <f t="shared" si="26"/>
        <v>1288870.8455659165</v>
      </c>
      <c r="K269" s="251">
        <f t="shared" si="26"/>
        <v>1247755.3293178303</v>
      </c>
      <c r="L269" s="450">
        <f t="shared" si="26"/>
        <v>1209478.733056851</v>
      </c>
      <c r="M269" s="450">
        <f t="shared" si="26"/>
        <v>1172376.3235830578</v>
      </c>
      <c r="N269" s="450">
        <f t="shared" si="26"/>
        <v>1136412.0811155434</v>
      </c>
      <c r="O269" s="447" t="str">
        <f t="shared" si="27"/>
        <v/>
      </c>
      <c r="P269" s="251">
        <f t="shared" si="28"/>
        <v>1136412.0811155434</v>
      </c>
      <c r="Q269" s="251" t="str">
        <f t="shared" si="29"/>
        <v/>
      </c>
      <c r="R269" s="251" t="str">
        <f t="shared" si="30"/>
        <v/>
      </c>
      <c r="S269" s="450" t="str">
        <f t="shared" si="31"/>
        <v/>
      </c>
      <c r="T269" s="219"/>
    </row>
    <row r="270" spans="1:20">
      <c r="A270" s="474" t="s">
        <v>984</v>
      </c>
      <c r="B270" s="475"/>
      <c r="C270" s="476">
        <v>586469.51</v>
      </c>
      <c r="D270" s="476">
        <v>-306375.74</v>
      </c>
      <c r="E270" s="475">
        <v>240</v>
      </c>
      <c r="F270" s="477" t="s">
        <v>2498</v>
      </c>
      <c r="G270" s="544">
        <v>9.4589420379319993</v>
      </c>
      <c r="H270" s="478">
        <v>280093.77</v>
      </c>
      <c r="I270" s="447">
        <f t="shared" si="26"/>
        <v>272507.17401104752</v>
      </c>
      <c r="J270" s="251">
        <f t="shared" si="26"/>
        <v>264769.21154730307</v>
      </c>
      <c r="K270" s="251">
        <f t="shared" si="26"/>
        <v>256322.96353353388</v>
      </c>
      <c r="L270" s="450">
        <f t="shared" si="26"/>
        <v>248459.9070856366</v>
      </c>
      <c r="M270" s="450">
        <f t="shared" si="26"/>
        <v>240838.0606169409</v>
      </c>
      <c r="N270" s="450">
        <f t="shared" si="26"/>
        <v>233450.02468240255</v>
      </c>
      <c r="O270" s="447" t="str">
        <f t="shared" si="27"/>
        <v/>
      </c>
      <c r="P270" s="251">
        <f t="shared" si="28"/>
        <v>233450.02468240255</v>
      </c>
      <c r="Q270" s="251" t="str">
        <f t="shared" si="29"/>
        <v/>
      </c>
      <c r="R270" s="251" t="str">
        <f t="shared" si="30"/>
        <v/>
      </c>
      <c r="S270" s="450" t="str">
        <f t="shared" si="31"/>
        <v/>
      </c>
      <c r="T270" s="219"/>
    </row>
    <row r="271" spans="1:20">
      <c r="A271" s="474" t="s">
        <v>985</v>
      </c>
      <c r="B271" s="475"/>
      <c r="C271" s="476">
        <v>1416610.79</v>
      </c>
      <c r="D271" s="476">
        <v>-505826.57</v>
      </c>
      <c r="E271" s="475">
        <v>240</v>
      </c>
      <c r="F271" s="477" t="s">
        <v>2498</v>
      </c>
      <c r="G271" s="544">
        <v>7.9611776016875995</v>
      </c>
      <c r="H271" s="478">
        <v>910784.22</v>
      </c>
      <c r="I271" s="447">
        <f t="shared" si="26"/>
        <v>886114.79622005217</v>
      </c>
      <c r="J271" s="251">
        <f t="shared" si="26"/>
        <v>860953.17228628614</v>
      </c>
      <c r="K271" s="251">
        <f t="shared" si="26"/>
        <v>833488.40786418808</v>
      </c>
      <c r="L271" s="450">
        <f t="shared" si="26"/>
        <v>807920.01434471027</v>
      </c>
      <c r="M271" s="450">
        <f t="shared" si="26"/>
        <v>783135.96616345027</v>
      </c>
      <c r="N271" s="450">
        <f t="shared" si="26"/>
        <v>759112.20245756523</v>
      </c>
      <c r="O271" s="447" t="str">
        <f t="shared" si="27"/>
        <v/>
      </c>
      <c r="P271" s="251">
        <f t="shared" si="28"/>
        <v>759112.20245756523</v>
      </c>
      <c r="Q271" s="251" t="str">
        <f t="shared" si="29"/>
        <v/>
      </c>
      <c r="R271" s="251" t="str">
        <f t="shared" si="30"/>
        <v/>
      </c>
      <c r="S271" s="450" t="str">
        <f t="shared" si="31"/>
        <v/>
      </c>
      <c r="T271" s="219"/>
    </row>
    <row r="272" spans="1:20">
      <c r="A272" s="474" t="s">
        <v>986</v>
      </c>
      <c r="B272" s="475"/>
      <c r="C272" s="476">
        <v>13152069.189999999</v>
      </c>
      <c r="D272" s="476">
        <v>-9124795.1500000004</v>
      </c>
      <c r="E272" s="475">
        <v>240</v>
      </c>
      <c r="F272" s="477" t="s">
        <v>2498</v>
      </c>
      <c r="G272" s="544">
        <v>146.05887916946921</v>
      </c>
      <c r="H272" s="478">
        <v>4027274.04</v>
      </c>
      <c r="I272" s="447">
        <f t="shared" si="26"/>
        <v>3918191.6384946881</v>
      </c>
      <c r="J272" s="251">
        <f t="shared" si="26"/>
        <v>3806932.8434392591</v>
      </c>
      <c r="K272" s="251">
        <f t="shared" si="26"/>
        <v>3685490.1017415263</v>
      </c>
      <c r="L272" s="450">
        <f t="shared" si="26"/>
        <v>3572432.6670557372</v>
      </c>
      <c r="M272" s="450">
        <f t="shared" si="26"/>
        <v>3462843.4233526597</v>
      </c>
      <c r="N272" s="450">
        <f t="shared" si="26"/>
        <v>3356615.9791444093</v>
      </c>
      <c r="O272" s="447" t="str">
        <f t="shared" si="27"/>
        <v/>
      </c>
      <c r="P272" s="251">
        <f t="shared" si="28"/>
        <v>3356615.9791444093</v>
      </c>
      <c r="Q272" s="251" t="str">
        <f t="shared" si="29"/>
        <v/>
      </c>
      <c r="R272" s="251" t="str">
        <f t="shared" si="30"/>
        <v/>
      </c>
      <c r="S272" s="450" t="str">
        <f t="shared" si="31"/>
        <v/>
      </c>
      <c r="T272" s="219"/>
    </row>
    <row r="273" spans="1:20">
      <c r="A273" s="474" t="s">
        <v>987</v>
      </c>
      <c r="B273" s="475"/>
      <c r="C273" s="476">
        <v>18141159.489999998</v>
      </c>
      <c r="D273" s="476">
        <v>-15630263.130000001</v>
      </c>
      <c r="E273" s="475">
        <v>240</v>
      </c>
      <c r="F273" s="477" t="s">
        <v>2498</v>
      </c>
      <c r="G273" s="544">
        <v>107.2223786020752</v>
      </c>
      <c r="H273" s="478">
        <v>2510896.36</v>
      </c>
      <c r="I273" s="447">
        <f t="shared" si="26"/>
        <v>2442886.4351328691</v>
      </c>
      <c r="J273" s="251">
        <f t="shared" si="26"/>
        <v>2373519.5877944487</v>
      </c>
      <c r="K273" s="251">
        <f t="shared" si="26"/>
        <v>2297803.3253676542</v>
      </c>
      <c r="L273" s="450">
        <f t="shared" si="26"/>
        <v>2227315.0749024623</v>
      </c>
      <c r="M273" s="450">
        <f t="shared" si="26"/>
        <v>2158989.1476434348</v>
      </c>
      <c r="N273" s="450">
        <f t="shared" si="26"/>
        <v>2092759.2113775134</v>
      </c>
      <c r="O273" s="447" t="str">
        <f t="shared" si="27"/>
        <v/>
      </c>
      <c r="P273" s="251">
        <f t="shared" si="28"/>
        <v>2092759.2113775134</v>
      </c>
      <c r="Q273" s="251" t="str">
        <f t="shared" si="29"/>
        <v/>
      </c>
      <c r="R273" s="251" t="str">
        <f t="shared" si="30"/>
        <v/>
      </c>
      <c r="S273" s="450" t="str">
        <f t="shared" si="31"/>
        <v/>
      </c>
      <c r="T273" s="219"/>
    </row>
    <row r="274" spans="1:20">
      <c r="A274" s="474" t="s">
        <v>988</v>
      </c>
      <c r="B274" s="475"/>
      <c r="C274" s="476">
        <v>6408153.8899999997</v>
      </c>
      <c r="D274" s="476">
        <v>-2242789.09</v>
      </c>
      <c r="E274" s="475">
        <v>240</v>
      </c>
      <c r="F274" s="477" t="s">
        <v>2498</v>
      </c>
      <c r="G274" s="544">
        <v>34.566057872156406</v>
      </c>
      <c r="H274" s="478">
        <v>4165364.8</v>
      </c>
      <c r="I274" s="447">
        <f t="shared" si="26"/>
        <v>4052542.0839352906</v>
      </c>
      <c r="J274" s="251">
        <f t="shared" si="26"/>
        <v>3937468.3481995673</v>
      </c>
      <c r="K274" s="251">
        <f t="shared" si="26"/>
        <v>3811861.4695866518</v>
      </c>
      <c r="L274" s="450">
        <f t="shared" si="26"/>
        <v>3694927.420862596</v>
      </c>
      <c r="M274" s="450">
        <f t="shared" si="26"/>
        <v>3581580.4835433215</v>
      </c>
      <c r="N274" s="450">
        <f t="shared" si="26"/>
        <v>3471710.618094828</v>
      </c>
      <c r="O274" s="447" t="str">
        <f t="shared" si="27"/>
        <v/>
      </c>
      <c r="P274" s="251">
        <f t="shared" si="28"/>
        <v>3471710.618094828</v>
      </c>
      <c r="Q274" s="251" t="str">
        <f t="shared" si="29"/>
        <v/>
      </c>
      <c r="R274" s="251" t="str">
        <f t="shared" si="30"/>
        <v/>
      </c>
      <c r="S274" s="450" t="str">
        <f t="shared" si="31"/>
        <v/>
      </c>
      <c r="T274" s="219"/>
    </row>
    <row r="275" spans="1:20">
      <c r="A275" s="474" t="s">
        <v>989</v>
      </c>
      <c r="B275" s="475"/>
      <c r="C275" s="476">
        <v>6817655.2400000002</v>
      </c>
      <c r="D275" s="476">
        <v>-2062058.48</v>
      </c>
      <c r="E275" s="475">
        <v>240</v>
      </c>
      <c r="F275" s="477" t="s">
        <v>2498</v>
      </c>
      <c r="G275" s="544">
        <v>23.805797910189</v>
      </c>
      <c r="H275" s="478">
        <v>4755596.76</v>
      </c>
      <c r="I275" s="447">
        <f t="shared" si="26"/>
        <v>4626787.0713571869</v>
      </c>
      <c r="J275" s="251">
        <f t="shared" si="26"/>
        <v>4495407.3936814405</v>
      </c>
      <c r="K275" s="251">
        <f t="shared" si="26"/>
        <v>4352002.0273698764</v>
      </c>
      <c r="L275" s="450">
        <f t="shared" si="26"/>
        <v>4218498.4304590365</v>
      </c>
      <c r="M275" s="450">
        <f t="shared" si="26"/>
        <v>4089090.2384391045</v>
      </c>
      <c r="N275" s="450">
        <f t="shared" si="26"/>
        <v>3963651.819180246</v>
      </c>
      <c r="O275" s="447" t="str">
        <f t="shared" si="27"/>
        <v/>
      </c>
      <c r="P275" s="251">
        <f t="shared" si="28"/>
        <v>3963651.819180246</v>
      </c>
      <c r="Q275" s="251" t="str">
        <f t="shared" si="29"/>
        <v/>
      </c>
      <c r="R275" s="251" t="str">
        <f t="shared" si="30"/>
        <v/>
      </c>
      <c r="S275" s="450" t="str">
        <f t="shared" si="31"/>
        <v/>
      </c>
      <c r="T275" s="219"/>
    </row>
    <row r="276" spans="1:20">
      <c r="A276" s="474" t="s">
        <v>990</v>
      </c>
      <c r="B276" s="475"/>
      <c r="C276" s="476">
        <v>8162337.8600000003</v>
      </c>
      <c r="D276" s="476">
        <v>-7844015.5700000003</v>
      </c>
      <c r="E276" s="475">
        <v>240</v>
      </c>
      <c r="F276" s="477" t="s">
        <v>2498</v>
      </c>
      <c r="G276" s="544">
        <v>148.63464567339139</v>
      </c>
      <c r="H276" s="478">
        <v>318322.28999999998</v>
      </c>
      <c r="I276" s="447">
        <f t="shared" si="26"/>
        <v>309700.23957557185</v>
      </c>
      <c r="J276" s="251">
        <f t="shared" si="26"/>
        <v>300906.16346529929</v>
      </c>
      <c r="K276" s="251">
        <f t="shared" si="26"/>
        <v>291307.13164945081</v>
      </c>
      <c r="L276" s="450">
        <f t="shared" si="26"/>
        <v>282370.88813752285</v>
      </c>
      <c r="M276" s="450">
        <f t="shared" si="26"/>
        <v>273708.77608146524</v>
      </c>
      <c r="N276" s="450">
        <f t="shared" si="26"/>
        <v>265312.38612504269</v>
      </c>
      <c r="O276" s="447" t="str">
        <f t="shared" si="27"/>
        <v/>
      </c>
      <c r="P276" s="251">
        <f t="shared" si="28"/>
        <v>265312.38612504269</v>
      </c>
      <c r="Q276" s="251" t="str">
        <f t="shared" si="29"/>
        <v/>
      </c>
      <c r="R276" s="251" t="str">
        <f t="shared" si="30"/>
        <v/>
      </c>
      <c r="S276" s="450" t="str">
        <f t="shared" si="31"/>
        <v/>
      </c>
      <c r="T276" s="219"/>
    </row>
    <row r="277" spans="1:20">
      <c r="A277" s="474" t="s">
        <v>991</v>
      </c>
      <c r="B277" s="475"/>
      <c r="C277" s="476">
        <v>6812927.5499999998</v>
      </c>
      <c r="D277" s="476">
        <v>-216525.83</v>
      </c>
      <c r="E277" s="475">
        <v>240</v>
      </c>
      <c r="F277" s="477" t="s">
        <v>2498</v>
      </c>
      <c r="G277" s="544">
        <v>58.3973799089907</v>
      </c>
      <c r="H277" s="478">
        <v>6596401.7199999997</v>
      </c>
      <c r="I277" s="447">
        <f t="shared" si="26"/>
        <v>6417732.1450556107</v>
      </c>
      <c r="J277" s="251">
        <f t="shared" si="26"/>
        <v>6235497.7850941615</v>
      </c>
      <c r="K277" s="251">
        <f t="shared" si="26"/>
        <v>6036582.8112781662</v>
      </c>
      <c r="L277" s="450">
        <f t="shared" si="26"/>
        <v>5851402.4015983408</v>
      </c>
      <c r="M277" s="450">
        <f t="shared" si="26"/>
        <v>5671902.6535115475</v>
      </c>
      <c r="N277" s="450">
        <f t="shared" si="26"/>
        <v>5497909.3049768386</v>
      </c>
      <c r="O277" s="447" t="str">
        <f t="shared" si="27"/>
        <v/>
      </c>
      <c r="P277" s="251">
        <f t="shared" si="28"/>
        <v>5497909.3049768386</v>
      </c>
      <c r="Q277" s="251" t="str">
        <f t="shared" si="29"/>
        <v/>
      </c>
      <c r="R277" s="251" t="str">
        <f t="shared" si="30"/>
        <v/>
      </c>
      <c r="S277" s="450" t="str">
        <f t="shared" si="31"/>
        <v/>
      </c>
      <c r="T277" s="219"/>
    </row>
    <row r="278" spans="1:20">
      <c r="A278" s="474" t="s">
        <v>992</v>
      </c>
      <c r="B278" s="475"/>
      <c r="C278" s="476">
        <v>8946125.4399999995</v>
      </c>
      <c r="D278" s="476">
        <v>-6861185.4800000004</v>
      </c>
      <c r="E278" s="475">
        <v>240</v>
      </c>
      <c r="F278" s="477" t="s">
        <v>2498</v>
      </c>
      <c r="G278" s="544">
        <v>142.90136221163908</v>
      </c>
      <c r="H278" s="478">
        <v>2084939.96</v>
      </c>
      <c r="I278" s="447">
        <f t="shared" si="26"/>
        <v>2028467.4538898398</v>
      </c>
      <c r="J278" s="251">
        <f t="shared" si="26"/>
        <v>1970868.2179281085</v>
      </c>
      <c r="K278" s="251">
        <f t="shared" si="26"/>
        <v>1907996.7017355922</v>
      </c>
      <c r="L278" s="450">
        <f t="shared" si="26"/>
        <v>1849466.3010203005</v>
      </c>
      <c r="M278" s="450">
        <f t="shared" si="26"/>
        <v>1792731.4001634608</v>
      </c>
      <c r="N278" s="450">
        <f t="shared" si="26"/>
        <v>1737736.9197584342</v>
      </c>
      <c r="O278" s="447" t="str">
        <f t="shared" si="27"/>
        <v/>
      </c>
      <c r="P278" s="251">
        <f t="shared" si="28"/>
        <v>1737736.9197584342</v>
      </c>
      <c r="Q278" s="251" t="str">
        <f t="shared" si="29"/>
        <v/>
      </c>
      <c r="R278" s="251" t="str">
        <f t="shared" si="30"/>
        <v/>
      </c>
      <c r="S278" s="450" t="str">
        <f t="shared" si="31"/>
        <v/>
      </c>
      <c r="T278" s="219"/>
    </row>
    <row r="279" spans="1:20">
      <c r="A279" s="474" t="s">
        <v>993</v>
      </c>
      <c r="B279" s="475"/>
      <c r="C279" s="476">
        <v>7534150.0300000003</v>
      </c>
      <c r="D279" s="476">
        <v>-8026243.9699999997</v>
      </c>
      <c r="E279" s="475">
        <v>240</v>
      </c>
      <c r="F279" s="477" t="s">
        <v>2498</v>
      </c>
      <c r="G279" s="544">
        <v>148.6959003274668</v>
      </c>
      <c r="H279" s="478">
        <v>-492093.94</v>
      </c>
      <c r="I279" s="447">
        <f t="shared" si="26"/>
        <v>-478765.12546980951</v>
      </c>
      <c r="J279" s="251">
        <f t="shared" si="26"/>
        <v>-465170.37669565395</v>
      </c>
      <c r="K279" s="251">
        <f t="shared" si="26"/>
        <v>-450331.24813055643</v>
      </c>
      <c r="L279" s="450">
        <f t="shared" si="26"/>
        <v>-436516.72298817936</v>
      </c>
      <c r="M279" s="450">
        <f t="shared" si="26"/>
        <v>-423125.97724308283</v>
      </c>
      <c r="N279" s="450">
        <f t="shared" si="26"/>
        <v>-410146.01088435744</v>
      </c>
      <c r="O279" s="447" t="str">
        <f t="shared" si="27"/>
        <v/>
      </c>
      <c r="P279" s="251">
        <f t="shared" si="28"/>
        <v>-410146.01088435744</v>
      </c>
      <c r="Q279" s="251" t="str">
        <f t="shared" si="29"/>
        <v/>
      </c>
      <c r="R279" s="251" t="str">
        <f t="shared" si="30"/>
        <v/>
      </c>
      <c r="S279" s="450" t="str">
        <f t="shared" si="31"/>
        <v/>
      </c>
      <c r="T279" s="219"/>
    </row>
    <row r="280" spans="1:20">
      <c r="A280" s="474" t="s">
        <v>994</v>
      </c>
      <c r="B280" s="475"/>
      <c r="C280" s="476">
        <v>9161062.8100000005</v>
      </c>
      <c r="D280" s="476">
        <v>-4228133.4400000004</v>
      </c>
      <c r="E280" s="475">
        <v>240</v>
      </c>
      <c r="F280" s="477" t="s">
        <v>2498</v>
      </c>
      <c r="G280" s="544">
        <v>112.63086729511119</v>
      </c>
      <c r="H280" s="478">
        <v>4932929.37</v>
      </c>
      <c r="I280" s="447">
        <f t="shared" ref="I280:N322" si="32">+$H280*(I$3)</f>
        <v>4799316.4653922757</v>
      </c>
      <c r="J280" s="251">
        <f t="shared" si="32"/>
        <v>4663037.7388023818</v>
      </c>
      <c r="K280" s="251">
        <f t="shared" si="32"/>
        <v>4514284.8947336758</v>
      </c>
      <c r="L280" s="450">
        <f t="shared" si="32"/>
        <v>4375803.0495651783</v>
      </c>
      <c r="M280" s="450">
        <f t="shared" si="32"/>
        <v>4241569.3238416128</v>
      </c>
      <c r="N280" s="450">
        <f t="shared" si="32"/>
        <v>4111453.4007059433</v>
      </c>
      <c r="O280" s="447" t="str">
        <f t="shared" si="27"/>
        <v/>
      </c>
      <c r="P280" s="251">
        <f t="shared" si="28"/>
        <v>4111453.4007059433</v>
      </c>
      <c r="Q280" s="251" t="str">
        <f t="shared" si="29"/>
        <v/>
      </c>
      <c r="R280" s="251" t="str">
        <f t="shared" si="30"/>
        <v/>
      </c>
      <c r="S280" s="450" t="str">
        <f t="shared" si="31"/>
        <v/>
      </c>
      <c r="T280" s="219"/>
    </row>
    <row r="281" spans="1:20">
      <c r="A281" s="474" t="s">
        <v>995</v>
      </c>
      <c r="B281" s="475"/>
      <c r="C281" s="476">
        <v>8290292.6699999999</v>
      </c>
      <c r="D281" s="476">
        <v>-5250116.13</v>
      </c>
      <c r="E281" s="475">
        <v>240</v>
      </c>
      <c r="F281" s="477" t="s">
        <v>2498</v>
      </c>
      <c r="G281" s="544">
        <v>145.29951180580349</v>
      </c>
      <c r="H281" s="478">
        <v>3040176.54</v>
      </c>
      <c r="I281" s="447">
        <f t="shared" si="32"/>
        <v>2957830.5772744762</v>
      </c>
      <c r="J281" s="251">
        <f t="shared" si="32"/>
        <v>2873841.661884903</v>
      </c>
      <c r="K281" s="251">
        <f t="shared" si="32"/>
        <v>2782164.9171201675</v>
      </c>
      <c r="L281" s="450">
        <f t="shared" si="32"/>
        <v>2696818.2143156277</v>
      </c>
      <c r="M281" s="450">
        <f t="shared" si="32"/>
        <v>2614089.6380048785</v>
      </c>
      <c r="N281" s="450">
        <f t="shared" si="32"/>
        <v>2533898.8735874458</v>
      </c>
      <c r="O281" s="447" t="str">
        <f t="shared" si="27"/>
        <v/>
      </c>
      <c r="P281" s="251">
        <f t="shared" si="28"/>
        <v>2533898.8735874458</v>
      </c>
      <c r="Q281" s="251" t="str">
        <f t="shared" si="29"/>
        <v/>
      </c>
      <c r="R281" s="251" t="str">
        <f t="shared" si="30"/>
        <v/>
      </c>
      <c r="S281" s="450" t="str">
        <f t="shared" si="31"/>
        <v/>
      </c>
      <c r="T281" s="219"/>
    </row>
    <row r="282" spans="1:20">
      <c r="A282" s="474" t="s">
        <v>996</v>
      </c>
      <c r="B282" s="475"/>
      <c r="C282" s="476">
        <v>8714240.7599999998</v>
      </c>
      <c r="D282" s="476">
        <v>-6410387.9900000002</v>
      </c>
      <c r="E282" s="475">
        <v>240</v>
      </c>
      <c r="F282" s="477" t="s">
        <v>2498</v>
      </c>
      <c r="G282" s="544">
        <v>142.85150276600129</v>
      </c>
      <c r="H282" s="478">
        <v>2303852.77</v>
      </c>
      <c r="I282" s="447">
        <f t="shared" si="32"/>
        <v>2241450.8101705504</v>
      </c>
      <c r="J282" s="251">
        <f t="shared" si="32"/>
        <v>2177803.8170358809</v>
      </c>
      <c r="K282" s="251">
        <f t="shared" si="32"/>
        <v>2108330.9691298776</v>
      </c>
      <c r="L282" s="450">
        <f t="shared" si="32"/>
        <v>2043655.0415712083</v>
      </c>
      <c r="M282" s="450">
        <f t="shared" si="32"/>
        <v>1980963.1362874198</v>
      </c>
      <c r="N282" s="450">
        <f t="shared" si="32"/>
        <v>1920194.3906896659</v>
      </c>
      <c r="O282" s="447" t="str">
        <f t="shared" si="27"/>
        <v/>
      </c>
      <c r="P282" s="251">
        <f t="shared" si="28"/>
        <v>1920194.3906896659</v>
      </c>
      <c r="Q282" s="251" t="str">
        <f t="shared" si="29"/>
        <v/>
      </c>
      <c r="R282" s="251" t="str">
        <f t="shared" si="30"/>
        <v/>
      </c>
      <c r="S282" s="450" t="str">
        <f t="shared" si="31"/>
        <v/>
      </c>
      <c r="T282" s="219"/>
    </row>
    <row r="283" spans="1:20">
      <c r="A283" s="474" t="s">
        <v>997</v>
      </c>
      <c r="B283" s="475"/>
      <c r="C283" s="476">
        <v>15187433.43</v>
      </c>
      <c r="D283" s="476">
        <v>-932056.26</v>
      </c>
      <c r="E283" s="475">
        <v>240</v>
      </c>
      <c r="F283" s="477" t="s">
        <v>2498</v>
      </c>
      <c r="G283" s="544">
        <v>36.264161725112096</v>
      </c>
      <c r="H283" s="478">
        <v>14255377.17</v>
      </c>
      <c r="I283" s="447">
        <f t="shared" si="32"/>
        <v>13869257.238596573</v>
      </c>
      <c r="J283" s="251">
        <f t="shared" si="32"/>
        <v>13475433.507893888</v>
      </c>
      <c r="K283" s="251">
        <f t="shared" si="32"/>
        <v>13045561.572121656</v>
      </c>
      <c r="L283" s="450">
        <f t="shared" si="32"/>
        <v>12645371.180975946</v>
      </c>
      <c r="M283" s="450">
        <f t="shared" si="32"/>
        <v>12257457.175808713</v>
      </c>
      <c r="N283" s="450">
        <f t="shared" si="32"/>
        <v>11881442.961739054</v>
      </c>
      <c r="O283" s="447" t="str">
        <f t="shared" si="27"/>
        <v/>
      </c>
      <c r="P283" s="251">
        <f t="shared" si="28"/>
        <v>11881442.961739054</v>
      </c>
      <c r="Q283" s="251" t="str">
        <f t="shared" si="29"/>
        <v/>
      </c>
      <c r="R283" s="251" t="str">
        <f t="shared" si="30"/>
        <v/>
      </c>
      <c r="S283" s="450" t="str">
        <f t="shared" si="31"/>
        <v/>
      </c>
      <c r="T283" s="219"/>
    </row>
    <row r="284" spans="1:20">
      <c r="A284" s="474" t="s">
        <v>998</v>
      </c>
      <c r="B284" s="475"/>
      <c r="C284" s="476">
        <v>1054953.49</v>
      </c>
      <c r="D284" s="476">
        <v>-196901</v>
      </c>
      <c r="E284" s="475">
        <v>240</v>
      </c>
      <c r="F284" s="477" t="s">
        <v>2498</v>
      </c>
      <c r="G284" s="544">
        <v>31.704955272342101</v>
      </c>
      <c r="H284" s="478">
        <v>858052.49</v>
      </c>
      <c r="I284" s="447">
        <f t="shared" si="32"/>
        <v>834811.35336584807</v>
      </c>
      <c r="J284" s="251">
        <f t="shared" si="32"/>
        <v>811106.51352045464</v>
      </c>
      <c r="K284" s="251">
        <f t="shared" si="32"/>
        <v>785231.87825322908</v>
      </c>
      <c r="L284" s="450">
        <f t="shared" si="32"/>
        <v>761143.81958584476</v>
      </c>
      <c r="M284" s="450">
        <f t="shared" si="32"/>
        <v>737794.69496639317</v>
      </c>
      <c r="N284" s="450">
        <f t="shared" si="32"/>
        <v>715161.83658528689</v>
      </c>
      <c r="O284" s="447" t="str">
        <f t="shared" si="27"/>
        <v/>
      </c>
      <c r="P284" s="251">
        <f t="shared" si="28"/>
        <v>715161.83658528689</v>
      </c>
      <c r="Q284" s="251" t="str">
        <f t="shared" si="29"/>
        <v/>
      </c>
      <c r="R284" s="251" t="str">
        <f t="shared" si="30"/>
        <v/>
      </c>
      <c r="S284" s="450" t="str">
        <f t="shared" si="31"/>
        <v/>
      </c>
      <c r="T284" s="219"/>
    </row>
    <row r="285" spans="1:20">
      <c r="A285" s="474" t="s">
        <v>999</v>
      </c>
      <c r="B285" s="475"/>
      <c r="C285" s="476">
        <v>10559964.67</v>
      </c>
      <c r="D285" s="476">
        <v>-4555763.33</v>
      </c>
      <c r="E285" s="475">
        <v>240</v>
      </c>
      <c r="F285" s="477" t="s">
        <v>2498</v>
      </c>
      <c r="G285" s="544">
        <v>5.4909931169712003</v>
      </c>
      <c r="H285" s="478">
        <v>6004201.3399999999</v>
      </c>
      <c r="I285" s="447">
        <f t="shared" si="32"/>
        <v>5841572.0540901162</v>
      </c>
      <c r="J285" s="251">
        <f t="shared" si="32"/>
        <v>5675698.0162859755</v>
      </c>
      <c r="K285" s="251">
        <f t="shared" si="32"/>
        <v>5494640.8880169494</v>
      </c>
      <c r="L285" s="450">
        <f t="shared" si="32"/>
        <v>5326085.2858664244</v>
      </c>
      <c r="M285" s="450">
        <f t="shared" si="32"/>
        <v>5162700.3566671181</v>
      </c>
      <c r="N285" s="450">
        <f t="shared" si="32"/>
        <v>5004327.4829751272</v>
      </c>
      <c r="O285" s="447" t="str">
        <f t="shared" si="27"/>
        <v/>
      </c>
      <c r="P285" s="251">
        <f t="shared" si="28"/>
        <v>5004327.4829751272</v>
      </c>
      <c r="Q285" s="251" t="str">
        <f t="shared" si="29"/>
        <v/>
      </c>
      <c r="R285" s="251" t="str">
        <f t="shared" si="30"/>
        <v/>
      </c>
      <c r="S285" s="450" t="str">
        <f t="shared" si="31"/>
        <v/>
      </c>
      <c r="T285" s="219"/>
    </row>
    <row r="286" spans="1:20">
      <c r="A286" s="474" t="s">
        <v>1000</v>
      </c>
      <c r="B286" s="475"/>
      <c r="C286" s="476">
        <v>1528725.92</v>
      </c>
      <c r="D286" s="476">
        <v>-1475525.05</v>
      </c>
      <c r="E286" s="475">
        <v>240</v>
      </c>
      <c r="F286" s="477" t="s">
        <v>2498</v>
      </c>
      <c r="G286" s="544">
        <v>5.4863777907194002</v>
      </c>
      <c r="H286" s="478">
        <v>53200.87</v>
      </c>
      <c r="I286" s="447">
        <f t="shared" si="32"/>
        <v>51759.875768136924</v>
      </c>
      <c r="J286" s="251">
        <f t="shared" si="32"/>
        <v>50290.131064073896</v>
      </c>
      <c r="K286" s="251">
        <f t="shared" si="32"/>
        <v>48685.85495836725</v>
      </c>
      <c r="L286" s="450">
        <f t="shared" si="32"/>
        <v>47192.349965781214</v>
      </c>
      <c r="M286" s="450">
        <f t="shared" si="32"/>
        <v>45744.660275499853</v>
      </c>
      <c r="N286" s="450">
        <f t="shared" si="32"/>
        <v>44341.38044064775</v>
      </c>
      <c r="O286" s="447" t="str">
        <f t="shared" si="27"/>
        <v/>
      </c>
      <c r="P286" s="251">
        <f t="shared" si="28"/>
        <v>44341.38044064775</v>
      </c>
      <c r="Q286" s="251" t="str">
        <f t="shared" si="29"/>
        <v/>
      </c>
      <c r="R286" s="251" t="str">
        <f t="shared" si="30"/>
        <v/>
      </c>
      <c r="S286" s="450" t="str">
        <f t="shared" si="31"/>
        <v/>
      </c>
      <c r="T286" s="219"/>
    </row>
    <row r="287" spans="1:20">
      <c r="A287" s="474" t="s">
        <v>1001</v>
      </c>
      <c r="B287" s="475"/>
      <c r="C287" s="476">
        <v>12095626.49</v>
      </c>
      <c r="D287" s="476">
        <v>-1600846.22</v>
      </c>
      <c r="E287" s="475">
        <v>240</v>
      </c>
      <c r="F287" s="477" t="s">
        <v>2498</v>
      </c>
      <c r="G287" s="544">
        <v>58.360110663538102</v>
      </c>
      <c r="H287" s="478">
        <v>10494780.27</v>
      </c>
      <c r="I287" s="447">
        <f t="shared" si="32"/>
        <v>10210519.545809954</v>
      </c>
      <c r="J287" s="251">
        <f t="shared" si="32"/>
        <v>9920587.2999249212</v>
      </c>
      <c r="K287" s="251">
        <f t="shared" si="32"/>
        <v>9604116.4372904859</v>
      </c>
      <c r="L287" s="450">
        <f t="shared" si="32"/>
        <v>9309497.0686722938</v>
      </c>
      <c r="M287" s="450">
        <f t="shared" si="32"/>
        <v>9023915.5509518664</v>
      </c>
      <c r="N287" s="450">
        <f t="shared" si="32"/>
        <v>8747094.6357282102</v>
      </c>
      <c r="O287" s="447" t="str">
        <f t="shared" si="27"/>
        <v/>
      </c>
      <c r="P287" s="251">
        <f t="shared" si="28"/>
        <v>8747094.6357282102</v>
      </c>
      <c r="Q287" s="251" t="str">
        <f t="shared" si="29"/>
        <v/>
      </c>
      <c r="R287" s="251" t="str">
        <f t="shared" si="30"/>
        <v/>
      </c>
      <c r="S287" s="450" t="str">
        <f t="shared" si="31"/>
        <v/>
      </c>
      <c r="T287" s="219"/>
    </row>
    <row r="288" spans="1:20">
      <c r="A288" s="474" t="s">
        <v>1002</v>
      </c>
      <c r="B288" s="475"/>
      <c r="C288" s="476">
        <v>1879542.66</v>
      </c>
      <c r="D288" s="476">
        <v>-423426.35</v>
      </c>
      <c r="E288" s="475">
        <v>240</v>
      </c>
      <c r="F288" s="477" t="s">
        <v>2498</v>
      </c>
      <c r="G288" s="544">
        <v>17.9916332333183</v>
      </c>
      <c r="H288" s="478">
        <v>1456116.31</v>
      </c>
      <c r="I288" s="447">
        <f t="shared" si="32"/>
        <v>1416676.067695095</v>
      </c>
      <c r="J288" s="251">
        <f t="shared" si="32"/>
        <v>1376448.9203735888</v>
      </c>
      <c r="K288" s="251">
        <f t="shared" si="32"/>
        <v>1332539.6270995743</v>
      </c>
      <c r="L288" s="450">
        <f t="shared" si="32"/>
        <v>1291662.1568858172</v>
      </c>
      <c r="M288" s="450">
        <f t="shared" si="32"/>
        <v>1252038.6588144975</v>
      </c>
      <c r="N288" s="450">
        <f t="shared" si="32"/>
        <v>1213630.6655801337</v>
      </c>
      <c r="O288" s="447" t="str">
        <f t="shared" si="27"/>
        <v/>
      </c>
      <c r="P288" s="251">
        <f t="shared" si="28"/>
        <v>1213630.6655801337</v>
      </c>
      <c r="Q288" s="251" t="str">
        <f t="shared" si="29"/>
        <v/>
      </c>
      <c r="R288" s="251" t="str">
        <f t="shared" si="30"/>
        <v/>
      </c>
      <c r="S288" s="450" t="str">
        <f t="shared" si="31"/>
        <v/>
      </c>
      <c r="T288" s="219"/>
    </row>
    <row r="289" spans="1:37">
      <c r="A289" s="474" t="s">
        <v>1003</v>
      </c>
      <c r="B289" s="475"/>
      <c r="C289" s="476">
        <v>1839805.62</v>
      </c>
      <c r="D289" s="476">
        <v>-449224.89</v>
      </c>
      <c r="E289" s="475">
        <v>240</v>
      </c>
      <c r="F289" s="477" t="s">
        <v>2498</v>
      </c>
      <c r="G289" s="544">
        <v>17.978189156249698</v>
      </c>
      <c r="H289" s="478">
        <v>1390580.73</v>
      </c>
      <c r="I289" s="447">
        <f t="shared" si="32"/>
        <v>1352915.5788310445</v>
      </c>
      <c r="J289" s="251">
        <f t="shared" si="32"/>
        <v>1314498.9389623806</v>
      </c>
      <c r="K289" s="251">
        <f t="shared" si="32"/>
        <v>1272565.8758715873</v>
      </c>
      <c r="L289" s="450">
        <f t="shared" si="32"/>
        <v>1233528.1822615215</v>
      </c>
      <c r="M289" s="450">
        <f t="shared" si="32"/>
        <v>1195688.0231377154</v>
      </c>
      <c r="N289" s="450">
        <f t="shared" si="32"/>
        <v>1159008.6624967535</v>
      </c>
      <c r="O289" s="447" t="str">
        <f t="shared" si="27"/>
        <v/>
      </c>
      <c r="P289" s="251">
        <f t="shared" si="28"/>
        <v>1159008.6624967535</v>
      </c>
      <c r="Q289" s="251" t="str">
        <f t="shared" si="29"/>
        <v/>
      </c>
      <c r="R289" s="251" t="str">
        <f t="shared" si="30"/>
        <v/>
      </c>
      <c r="S289" s="450" t="str">
        <f t="shared" si="31"/>
        <v/>
      </c>
      <c r="T289" s="219"/>
    </row>
    <row r="290" spans="1:37">
      <c r="A290" s="474" t="s">
        <v>1004</v>
      </c>
      <c r="B290" s="475"/>
      <c r="C290" s="476">
        <v>61937.87</v>
      </c>
      <c r="D290" s="476">
        <v>-53379.93</v>
      </c>
      <c r="E290" s="475">
        <v>240</v>
      </c>
      <c r="F290" s="477" t="s">
        <v>2498</v>
      </c>
      <c r="G290" s="544">
        <v>5.97</v>
      </c>
      <c r="H290" s="478">
        <v>8557.94</v>
      </c>
      <c r="I290" s="447">
        <f t="shared" si="32"/>
        <v>8326.140366335545</v>
      </c>
      <c r="J290" s="251">
        <f t="shared" si="32"/>
        <v>8089.7159057451609</v>
      </c>
      <c r="K290" s="251">
        <f t="shared" si="32"/>
        <v>7831.6506023756656</v>
      </c>
      <c r="L290" s="450">
        <f t="shared" si="32"/>
        <v>7591.4040403128311</v>
      </c>
      <c r="M290" s="450">
        <f t="shared" si="32"/>
        <v>7358.5273691597758</v>
      </c>
      <c r="N290" s="450">
        <f t="shared" si="32"/>
        <v>7132.7945074626969</v>
      </c>
      <c r="O290" s="447" t="str">
        <f t="shared" si="27"/>
        <v/>
      </c>
      <c r="P290" s="251">
        <f t="shared" si="28"/>
        <v>7132.7945074626969</v>
      </c>
      <c r="Q290" s="251" t="str">
        <f t="shared" si="29"/>
        <v/>
      </c>
      <c r="R290" s="251" t="str">
        <f t="shared" si="30"/>
        <v/>
      </c>
      <c r="S290" s="450" t="str">
        <f t="shared" si="31"/>
        <v/>
      </c>
      <c r="T290" s="219"/>
    </row>
    <row r="291" spans="1:37">
      <c r="A291" s="474" t="s">
        <v>1005</v>
      </c>
      <c r="B291" s="475"/>
      <c r="C291" s="476">
        <v>1641457.57</v>
      </c>
      <c r="D291" s="476">
        <v>-131345.06</v>
      </c>
      <c r="E291" s="475">
        <v>240</v>
      </c>
      <c r="F291" s="477" t="s">
        <v>2498</v>
      </c>
      <c r="G291" s="544">
        <v>15.043437648083101</v>
      </c>
      <c r="H291" s="478">
        <v>1510112.51</v>
      </c>
      <c r="I291" s="447">
        <f t="shared" si="32"/>
        <v>1469209.7312226177</v>
      </c>
      <c r="J291" s="251">
        <f t="shared" si="32"/>
        <v>1427490.8671493079</v>
      </c>
      <c r="K291" s="251">
        <f t="shared" si="32"/>
        <v>1381953.3145355689</v>
      </c>
      <c r="L291" s="450">
        <f t="shared" si="32"/>
        <v>1339560.0120754468</v>
      </c>
      <c r="M291" s="450">
        <f t="shared" si="32"/>
        <v>1298467.1819790236</v>
      </c>
      <c r="N291" s="450">
        <f t="shared" si="32"/>
        <v>1258634.9304831193</v>
      </c>
      <c r="O291" s="447" t="str">
        <f t="shared" si="27"/>
        <v/>
      </c>
      <c r="P291" s="251">
        <f t="shared" si="28"/>
        <v>1258634.9304831193</v>
      </c>
      <c r="Q291" s="251" t="str">
        <f t="shared" si="29"/>
        <v/>
      </c>
      <c r="R291" s="251" t="str">
        <f t="shared" si="30"/>
        <v/>
      </c>
      <c r="S291" s="450" t="str">
        <f t="shared" si="31"/>
        <v/>
      </c>
      <c r="T291" s="219"/>
    </row>
    <row r="292" spans="1:37">
      <c r="A292" s="474" t="s">
        <v>1006</v>
      </c>
      <c r="B292" s="475"/>
      <c r="C292" s="476">
        <v>40497219.740000002</v>
      </c>
      <c r="D292" s="476">
        <v>-6700960.21</v>
      </c>
      <c r="E292" s="475">
        <v>240</v>
      </c>
      <c r="F292" s="477" t="s">
        <v>2498</v>
      </c>
      <c r="G292" s="544">
        <v>41.411712826333101</v>
      </c>
      <c r="H292" s="478">
        <v>33796259.530000001</v>
      </c>
      <c r="I292" s="447">
        <f t="shared" si="32"/>
        <v>32880856.923965972</v>
      </c>
      <c r="J292" s="251">
        <f t="shared" si="32"/>
        <v>31947190.360592905</v>
      </c>
      <c r="K292" s="251">
        <f t="shared" si="32"/>
        <v>30928061.695474472</v>
      </c>
      <c r="L292" s="450">
        <f t="shared" si="32"/>
        <v>29979301.227106407</v>
      </c>
      <c r="M292" s="450">
        <f t="shared" si="32"/>
        <v>29059645.279907536</v>
      </c>
      <c r="N292" s="450">
        <f t="shared" si="32"/>
        <v>28168201.033001848</v>
      </c>
      <c r="O292" s="447" t="str">
        <f t="shared" si="27"/>
        <v/>
      </c>
      <c r="P292" s="251">
        <f t="shared" si="28"/>
        <v>28168201.033001848</v>
      </c>
      <c r="Q292" s="251" t="str">
        <f t="shared" si="29"/>
        <v/>
      </c>
      <c r="R292" s="251" t="str">
        <f t="shared" si="30"/>
        <v/>
      </c>
      <c r="S292" s="450" t="str">
        <f t="shared" si="31"/>
        <v/>
      </c>
      <c r="T292" s="219"/>
    </row>
    <row r="293" spans="1:37">
      <c r="A293" s="474" t="s">
        <v>1007</v>
      </c>
      <c r="B293" s="475"/>
      <c r="C293" s="476">
        <v>1936822.1</v>
      </c>
      <c r="D293" s="476">
        <v>-1337202.22</v>
      </c>
      <c r="E293" s="475">
        <v>240</v>
      </c>
      <c r="F293" s="477" t="s">
        <v>2498</v>
      </c>
      <c r="G293" s="544">
        <v>15.5606895987441</v>
      </c>
      <c r="H293" s="478">
        <v>599619.88</v>
      </c>
      <c r="I293" s="447">
        <f t="shared" si="32"/>
        <v>583378.62702067033</v>
      </c>
      <c r="J293" s="251">
        <f t="shared" si="32"/>
        <v>566813.33132003783</v>
      </c>
      <c r="K293" s="251">
        <f t="shared" si="32"/>
        <v>548731.75021073106</v>
      </c>
      <c r="L293" s="450">
        <f t="shared" si="32"/>
        <v>531898.65548062907</v>
      </c>
      <c r="M293" s="450">
        <f t="shared" si="32"/>
        <v>515581.93888626236</v>
      </c>
      <c r="N293" s="450">
        <f t="shared" si="32"/>
        <v>499765.75982414477</v>
      </c>
      <c r="O293" s="447" t="str">
        <f t="shared" si="27"/>
        <v/>
      </c>
      <c r="P293" s="251">
        <f t="shared" si="28"/>
        <v>499765.75982414477</v>
      </c>
      <c r="Q293" s="251" t="str">
        <f t="shared" si="29"/>
        <v/>
      </c>
      <c r="R293" s="251" t="str">
        <f t="shared" si="30"/>
        <v/>
      </c>
      <c r="S293" s="450" t="str">
        <f t="shared" si="31"/>
        <v/>
      </c>
      <c r="T293" s="219"/>
    </row>
    <row r="294" spans="1:37">
      <c r="A294" s="474" t="s">
        <v>1008</v>
      </c>
      <c r="B294" s="475"/>
      <c r="C294" s="476">
        <v>4796203.21</v>
      </c>
      <c r="D294" s="476">
        <v>-2544450.13</v>
      </c>
      <c r="E294" s="475">
        <v>240</v>
      </c>
      <c r="F294" s="477" t="s">
        <v>2498</v>
      </c>
      <c r="G294" s="544">
        <v>72.633415303648604</v>
      </c>
      <c r="H294" s="478">
        <v>2251753.08</v>
      </c>
      <c r="I294" s="447">
        <f t="shared" si="32"/>
        <v>2190762.2879347592</v>
      </c>
      <c r="J294" s="251">
        <f t="shared" si="32"/>
        <v>2128554.6179438806</v>
      </c>
      <c r="K294" s="251">
        <f t="shared" si="32"/>
        <v>2060652.8399805629</v>
      </c>
      <c r="L294" s="450">
        <f t="shared" si="32"/>
        <v>1997439.5040510755</v>
      </c>
      <c r="M294" s="450">
        <f t="shared" si="32"/>
        <v>1936165.3234037422</v>
      </c>
      <c r="N294" s="450">
        <f t="shared" si="32"/>
        <v>1876770.8118059032</v>
      </c>
      <c r="O294" s="447" t="str">
        <f t="shared" si="27"/>
        <v/>
      </c>
      <c r="P294" s="251">
        <f t="shared" si="28"/>
        <v>1876770.8118059032</v>
      </c>
      <c r="Q294" s="251" t="str">
        <f t="shared" si="29"/>
        <v/>
      </c>
      <c r="R294" s="251" t="str">
        <f t="shared" si="30"/>
        <v/>
      </c>
      <c r="S294" s="450" t="str">
        <f t="shared" si="31"/>
        <v/>
      </c>
      <c r="T294" s="219"/>
    </row>
    <row r="295" spans="1:37">
      <c r="A295" s="474" t="s">
        <v>1009</v>
      </c>
      <c r="B295" s="475"/>
      <c r="C295" s="476">
        <v>4613305.96</v>
      </c>
      <c r="D295" s="476">
        <v>-2473287.75</v>
      </c>
      <c r="E295" s="475">
        <v>240</v>
      </c>
      <c r="F295" s="477" t="s">
        <v>2498</v>
      </c>
      <c r="G295" s="544">
        <v>77.115717036668102</v>
      </c>
      <c r="H295" s="478">
        <v>2140018.21</v>
      </c>
      <c r="I295" s="447">
        <f t="shared" si="32"/>
        <v>2082053.859103258</v>
      </c>
      <c r="J295" s="251">
        <f t="shared" si="32"/>
        <v>2022933.0133211131</v>
      </c>
      <c r="K295" s="251">
        <f t="shared" si="32"/>
        <v>1958400.6084923933</v>
      </c>
      <c r="L295" s="450">
        <f t="shared" si="32"/>
        <v>1898323.9992027322</v>
      </c>
      <c r="M295" s="450">
        <f t="shared" si="32"/>
        <v>1840090.3218280699</v>
      </c>
      <c r="N295" s="450">
        <f t="shared" si="32"/>
        <v>1783643.0419187506</v>
      </c>
      <c r="O295" s="447" t="str">
        <f t="shared" si="27"/>
        <v/>
      </c>
      <c r="P295" s="251">
        <f t="shared" si="28"/>
        <v>1783643.0419187506</v>
      </c>
      <c r="Q295" s="251" t="str">
        <f t="shared" si="29"/>
        <v/>
      </c>
      <c r="R295" s="251" t="str">
        <f t="shared" si="30"/>
        <v/>
      </c>
      <c r="S295" s="450" t="str">
        <f t="shared" si="31"/>
        <v/>
      </c>
      <c r="T295" s="219"/>
    </row>
    <row r="296" spans="1:37">
      <c r="A296" s="474" t="s">
        <v>1010</v>
      </c>
      <c r="B296" s="475"/>
      <c r="C296" s="476">
        <v>6116979.4100000001</v>
      </c>
      <c r="D296" s="476">
        <v>-3017926.95</v>
      </c>
      <c r="E296" s="475">
        <v>240</v>
      </c>
      <c r="F296" s="477" t="s">
        <v>2498</v>
      </c>
      <c r="G296" s="544">
        <v>17.474111657502103</v>
      </c>
      <c r="H296" s="478">
        <v>3099052.46</v>
      </c>
      <c r="I296" s="447">
        <f t="shared" si="32"/>
        <v>3015111.7891218532</v>
      </c>
      <c r="J296" s="251">
        <f t="shared" si="32"/>
        <v>2929496.3482334143</v>
      </c>
      <c r="K296" s="251">
        <f t="shared" si="32"/>
        <v>2836044.1958173094</v>
      </c>
      <c r="L296" s="450">
        <f t="shared" si="32"/>
        <v>2749044.6726648486</v>
      </c>
      <c r="M296" s="450">
        <f t="shared" si="32"/>
        <v>2664713.978524263</v>
      </c>
      <c r="N296" s="450">
        <f t="shared" si="32"/>
        <v>2582970.2434261935</v>
      </c>
      <c r="O296" s="447" t="str">
        <f t="shared" si="27"/>
        <v/>
      </c>
      <c r="P296" s="251">
        <f t="shared" si="28"/>
        <v>2582970.2434261935</v>
      </c>
      <c r="Q296" s="251" t="str">
        <f t="shared" si="29"/>
        <v/>
      </c>
      <c r="R296" s="251" t="str">
        <f t="shared" si="30"/>
        <v/>
      </c>
      <c r="S296" s="450" t="str">
        <f t="shared" si="31"/>
        <v/>
      </c>
      <c r="T296" s="219"/>
    </row>
    <row r="297" spans="1:37">
      <c r="A297" s="474" t="s">
        <v>1011</v>
      </c>
      <c r="B297" s="475"/>
      <c r="C297" s="476">
        <v>5661862.8099999996</v>
      </c>
      <c r="D297" s="476">
        <v>-1614207.39</v>
      </c>
      <c r="E297" s="475">
        <v>240</v>
      </c>
      <c r="F297" s="477" t="s">
        <v>2498</v>
      </c>
      <c r="G297" s="544">
        <v>23.245698783530401</v>
      </c>
      <c r="H297" s="478">
        <v>4047655.42</v>
      </c>
      <c r="I297" s="447">
        <f t="shared" si="32"/>
        <v>3938020.9701725943</v>
      </c>
      <c r="J297" s="251">
        <f t="shared" si="32"/>
        <v>3826199.1124207</v>
      </c>
      <c r="K297" s="251">
        <f t="shared" si="32"/>
        <v>3704141.7687261333</v>
      </c>
      <c r="L297" s="450">
        <f t="shared" si="32"/>
        <v>3590512.1687207581</v>
      </c>
      <c r="M297" s="450">
        <f t="shared" si="32"/>
        <v>3480368.3116495213</v>
      </c>
      <c r="N297" s="450">
        <f t="shared" si="32"/>
        <v>3373603.267594493</v>
      </c>
      <c r="O297" s="447" t="str">
        <f t="shared" si="27"/>
        <v/>
      </c>
      <c r="P297" s="251">
        <f t="shared" si="28"/>
        <v>3373603.267594493</v>
      </c>
      <c r="Q297" s="251" t="str">
        <f t="shared" si="29"/>
        <v/>
      </c>
      <c r="R297" s="251" t="str">
        <f t="shared" si="30"/>
        <v/>
      </c>
      <c r="S297" s="450" t="str">
        <f t="shared" si="31"/>
        <v/>
      </c>
      <c r="T297" s="219"/>
    </row>
    <row r="298" spans="1:37">
      <c r="A298" s="474" t="s">
        <v>1012</v>
      </c>
      <c r="B298" s="475"/>
      <c r="C298" s="476">
        <v>2094725.74</v>
      </c>
      <c r="D298" s="476">
        <v>-1682460.07</v>
      </c>
      <c r="E298" s="475">
        <v>240</v>
      </c>
      <c r="F298" s="477" t="s">
        <v>2498</v>
      </c>
      <c r="G298" s="544">
        <v>46.391624324299997</v>
      </c>
      <c r="H298" s="478">
        <v>412265.67</v>
      </c>
      <c r="I298" s="447">
        <f t="shared" si="32"/>
        <v>401099.07718929654</v>
      </c>
      <c r="J298" s="251">
        <f t="shared" si="32"/>
        <v>389709.69041517994</v>
      </c>
      <c r="K298" s="251">
        <f t="shared" si="32"/>
        <v>377277.7891401794</v>
      </c>
      <c r="L298" s="450">
        <f t="shared" si="32"/>
        <v>365704.27847359015</v>
      </c>
      <c r="M298" s="450">
        <f t="shared" si="32"/>
        <v>354485.80102921871</v>
      </c>
      <c r="N298" s="450">
        <f t="shared" si="32"/>
        <v>343611.46567882324</v>
      </c>
      <c r="O298" s="447" t="str">
        <f t="shared" si="27"/>
        <v/>
      </c>
      <c r="P298" s="251">
        <f t="shared" si="28"/>
        <v>343611.46567882324</v>
      </c>
      <c r="Q298" s="251" t="str">
        <f t="shared" si="29"/>
        <v/>
      </c>
      <c r="R298" s="251" t="str">
        <f t="shared" si="30"/>
        <v/>
      </c>
      <c r="S298" s="450" t="str">
        <f t="shared" si="31"/>
        <v/>
      </c>
      <c r="T298" s="219"/>
    </row>
    <row r="299" spans="1:37">
      <c r="A299" s="474" t="s">
        <v>1013</v>
      </c>
      <c r="B299" s="475"/>
      <c r="C299" s="476">
        <v>1948676.77</v>
      </c>
      <c r="D299" s="476">
        <v>-788028.21</v>
      </c>
      <c r="E299" s="475">
        <v>240</v>
      </c>
      <c r="F299" s="477" t="s">
        <v>2498</v>
      </c>
      <c r="G299" s="544">
        <v>5.8356070121760002</v>
      </c>
      <c r="H299" s="478">
        <v>1160648.56</v>
      </c>
      <c r="I299" s="447">
        <f t="shared" si="32"/>
        <v>1129211.3319963943</v>
      </c>
      <c r="J299" s="251">
        <f t="shared" si="32"/>
        <v>1097146.8737584297</v>
      </c>
      <c r="K299" s="251">
        <f t="shared" si="32"/>
        <v>1062147.431983684</v>
      </c>
      <c r="L299" s="450">
        <f t="shared" si="32"/>
        <v>1029564.6110824882</v>
      </c>
      <c r="M299" s="450">
        <f t="shared" si="32"/>
        <v>997981.31264485163</v>
      </c>
      <c r="N299" s="450">
        <f t="shared" si="32"/>
        <v>967366.87495617976</v>
      </c>
      <c r="O299" s="447" t="str">
        <f t="shared" si="27"/>
        <v/>
      </c>
      <c r="P299" s="251">
        <f t="shared" si="28"/>
        <v>967366.87495617976</v>
      </c>
      <c r="Q299" s="251" t="str">
        <f t="shared" si="29"/>
        <v/>
      </c>
      <c r="R299" s="251" t="str">
        <f t="shared" si="30"/>
        <v/>
      </c>
      <c r="S299" s="450" t="str">
        <f t="shared" si="31"/>
        <v/>
      </c>
      <c r="T299" s="219"/>
    </row>
    <row r="300" spans="1:37">
      <c r="A300" s="474" t="s">
        <v>1014</v>
      </c>
      <c r="B300" s="475"/>
      <c r="C300" s="476">
        <v>7950882.0899999999</v>
      </c>
      <c r="D300" s="476">
        <v>-6586442.4000000004</v>
      </c>
      <c r="E300" s="475">
        <v>240</v>
      </c>
      <c r="F300" s="477" t="s">
        <v>2498</v>
      </c>
      <c r="G300" s="544">
        <v>72.572955413257205</v>
      </c>
      <c r="H300" s="478">
        <v>1364439.69</v>
      </c>
      <c r="I300" s="447">
        <f t="shared" si="32"/>
        <v>1327482.5928131486</v>
      </c>
      <c r="J300" s="251">
        <f t="shared" si="32"/>
        <v>1289788.1338993958</v>
      </c>
      <c r="K300" s="251">
        <f t="shared" si="32"/>
        <v>1248643.3557718054</v>
      </c>
      <c r="L300" s="450">
        <f t="shared" si="32"/>
        <v>1210339.5180883701</v>
      </c>
      <c r="M300" s="450">
        <f t="shared" si="32"/>
        <v>1173210.702859903</v>
      </c>
      <c r="N300" s="450">
        <f t="shared" si="32"/>
        <v>1137220.8646702482</v>
      </c>
      <c r="O300" s="447" t="str">
        <f t="shared" si="27"/>
        <v/>
      </c>
      <c r="P300" s="251">
        <f t="shared" si="28"/>
        <v>1137220.8646702482</v>
      </c>
      <c r="Q300" s="251" t="str">
        <f t="shared" si="29"/>
        <v/>
      </c>
      <c r="R300" s="251" t="str">
        <f t="shared" si="30"/>
        <v/>
      </c>
      <c r="S300" s="450" t="str">
        <f t="shared" si="31"/>
        <v/>
      </c>
      <c r="T300" s="219"/>
    </row>
    <row r="301" spans="1:37">
      <c r="A301" s="474" t="s">
        <v>1015</v>
      </c>
      <c r="B301" s="475"/>
      <c r="C301" s="476">
        <v>49069345.200000003</v>
      </c>
      <c r="D301" s="476">
        <v>-7506123.4100000001</v>
      </c>
      <c r="E301" s="475">
        <v>240</v>
      </c>
      <c r="F301" s="477" t="s">
        <v>2498</v>
      </c>
      <c r="G301" s="544">
        <v>80.4401963623028</v>
      </c>
      <c r="H301" s="478">
        <v>41563221.789999999</v>
      </c>
      <c r="I301" s="447">
        <f t="shared" si="32"/>
        <v>40437443.905972242</v>
      </c>
      <c r="J301" s="251">
        <f t="shared" si="32"/>
        <v>39289204.692785509</v>
      </c>
      <c r="K301" s="251">
        <f t="shared" si="32"/>
        <v>38035862.715598248</v>
      </c>
      <c r="L301" s="450">
        <f t="shared" si="32"/>
        <v>36869060.758199319</v>
      </c>
      <c r="M301" s="450">
        <f t="shared" si="32"/>
        <v>35738052.041983575</v>
      </c>
      <c r="N301" s="450">
        <f t="shared" si="32"/>
        <v>34641738.56046734</v>
      </c>
      <c r="O301" s="447" t="str">
        <f t="shared" si="27"/>
        <v/>
      </c>
      <c r="P301" s="251">
        <f t="shared" si="28"/>
        <v>34641738.56046734</v>
      </c>
      <c r="Q301" s="251" t="str">
        <f t="shared" si="29"/>
        <v/>
      </c>
      <c r="R301" s="251" t="str">
        <f t="shared" si="30"/>
        <v/>
      </c>
      <c r="S301" s="450" t="str">
        <f t="shared" si="31"/>
        <v/>
      </c>
      <c r="T301" s="219"/>
    </row>
    <row r="302" spans="1:37">
      <c r="A302" s="474" t="s">
        <v>1016</v>
      </c>
      <c r="B302" s="475"/>
      <c r="C302" s="476">
        <v>330447.46000000002</v>
      </c>
      <c r="D302" s="476">
        <v>-84145.8</v>
      </c>
      <c r="E302" s="475">
        <v>240</v>
      </c>
      <c r="F302" s="477" t="s">
        <v>2498</v>
      </c>
      <c r="G302" s="544">
        <v>0.55424031223199999</v>
      </c>
      <c r="H302" s="478">
        <v>246301.66</v>
      </c>
      <c r="I302" s="447">
        <f t="shared" si="32"/>
        <v>239630.35422326552</v>
      </c>
      <c r="J302" s="251">
        <f t="shared" si="32"/>
        <v>232825.94368661576</v>
      </c>
      <c r="K302" s="251">
        <f t="shared" si="32"/>
        <v>225398.69920858598</v>
      </c>
      <c r="L302" s="450">
        <f t="shared" si="32"/>
        <v>218484.28673953743</v>
      </c>
      <c r="M302" s="450">
        <f t="shared" si="32"/>
        <v>211781.98330199622</v>
      </c>
      <c r="N302" s="450">
        <f t="shared" si="32"/>
        <v>205285.28216217275</v>
      </c>
      <c r="O302" s="447" t="str">
        <f t="shared" si="27"/>
        <v/>
      </c>
      <c r="P302" s="251">
        <f t="shared" si="28"/>
        <v>205285.28216217275</v>
      </c>
      <c r="Q302" s="251" t="str">
        <f t="shared" si="29"/>
        <v/>
      </c>
      <c r="R302" s="251" t="str">
        <f t="shared" si="30"/>
        <v/>
      </c>
      <c r="S302" s="450" t="str">
        <f t="shared" si="31"/>
        <v/>
      </c>
      <c r="T302" s="219"/>
      <c r="U302" s="77"/>
      <c r="V302" s="77"/>
      <c r="W302" s="77"/>
      <c r="X302" s="77"/>
    </row>
    <row r="303" spans="1:37">
      <c r="A303" s="474" t="s">
        <v>1017</v>
      </c>
      <c r="B303" s="475"/>
      <c r="C303" s="476">
        <v>24837133.199999999</v>
      </c>
      <c r="D303" s="476">
        <v>-2510560.65</v>
      </c>
      <c r="E303" s="475">
        <v>240</v>
      </c>
      <c r="F303" s="477" t="s">
        <v>2498</v>
      </c>
      <c r="G303" s="544">
        <v>31.48557508123989</v>
      </c>
      <c r="H303" s="478">
        <v>22326572.550000001</v>
      </c>
      <c r="I303" s="447">
        <f t="shared" si="32"/>
        <v>21721836.908236574</v>
      </c>
      <c r="J303" s="251">
        <f t="shared" si="32"/>
        <v>21105035.683646798</v>
      </c>
      <c r="K303" s="251">
        <f t="shared" si="32"/>
        <v>20431776.263936356</v>
      </c>
      <c r="L303" s="450">
        <f t="shared" si="32"/>
        <v>19805003.664714586</v>
      </c>
      <c r="M303" s="450">
        <f t="shared" si="32"/>
        <v>19197458.169688776</v>
      </c>
      <c r="N303" s="450">
        <f t="shared" si="32"/>
        <v>18608549.961218171</v>
      </c>
      <c r="O303" s="447" t="str">
        <f t="shared" si="27"/>
        <v/>
      </c>
      <c r="P303" s="251">
        <f t="shared" si="28"/>
        <v>18608549.961218171</v>
      </c>
      <c r="Q303" s="251" t="str">
        <f t="shared" si="29"/>
        <v/>
      </c>
      <c r="R303" s="251" t="str">
        <f t="shared" si="30"/>
        <v/>
      </c>
      <c r="S303" s="450" t="str">
        <f t="shared" si="31"/>
        <v/>
      </c>
      <c r="T303" s="219"/>
    </row>
    <row r="304" spans="1:37" s="77" customFormat="1">
      <c r="A304" s="474" t="s">
        <v>1018</v>
      </c>
      <c r="B304" s="475"/>
      <c r="C304" s="476">
        <v>24263309.399999999</v>
      </c>
      <c r="D304" s="476">
        <v>-2498302.75</v>
      </c>
      <c r="E304" s="475">
        <v>240</v>
      </c>
      <c r="F304" s="477" t="s">
        <v>2498</v>
      </c>
      <c r="G304" s="544">
        <v>31.50294372145029</v>
      </c>
      <c r="H304" s="478">
        <v>21765006.649999999</v>
      </c>
      <c r="I304" s="447">
        <f t="shared" si="32"/>
        <v>21175481.534355994</v>
      </c>
      <c r="J304" s="251">
        <f t="shared" si="32"/>
        <v>20574194.313719679</v>
      </c>
      <c r="K304" s="251">
        <f t="shared" si="32"/>
        <v>19917868.954582859</v>
      </c>
      <c r="L304" s="450">
        <f t="shared" si="32"/>
        <v>19306861.162878636</v>
      </c>
      <c r="M304" s="450">
        <f t="shared" si="32"/>
        <v>18714596.868401684</v>
      </c>
      <c r="N304" s="450">
        <f t="shared" si="32"/>
        <v>18140501.08881449</v>
      </c>
      <c r="O304" s="447" t="str">
        <f t="shared" si="27"/>
        <v/>
      </c>
      <c r="P304" s="251">
        <f t="shared" si="28"/>
        <v>18140501.08881449</v>
      </c>
      <c r="Q304" s="251" t="str">
        <f t="shared" si="29"/>
        <v/>
      </c>
      <c r="R304" s="251" t="str">
        <f t="shared" si="30"/>
        <v/>
      </c>
      <c r="S304" s="450" t="str">
        <f t="shared" si="31"/>
        <v/>
      </c>
      <c r="T304" s="219"/>
      <c r="U304" s="4"/>
      <c r="V304" s="4"/>
      <c r="W304" s="4"/>
      <c r="X304" s="4"/>
      <c r="AI304" s="4"/>
      <c r="AJ304" s="4"/>
      <c r="AK304" s="4"/>
    </row>
    <row r="305" spans="1:20">
      <c r="A305" s="474" t="s">
        <v>1019</v>
      </c>
      <c r="B305" s="475"/>
      <c r="C305" s="476">
        <v>12583548.310000001</v>
      </c>
      <c r="D305" s="476">
        <v>-3204566.37</v>
      </c>
      <c r="E305" s="475">
        <v>240</v>
      </c>
      <c r="F305" s="477" t="s">
        <v>2498</v>
      </c>
      <c r="G305" s="544">
        <v>21.5784353172</v>
      </c>
      <c r="H305" s="478">
        <v>9378981.9399999995</v>
      </c>
      <c r="I305" s="447">
        <f t="shared" si="32"/>
        <v>9124943.6343052238</v>
      </c>
      <c r="J305" s="251">
        <f t="shared" si="32"/>
        <v>8865836.7994768135</v>
      </c>
      <c r="K305" s="251">
        <f t="shared" si="32"/>
        <v>8583012.9166682027</v>
      </c>
      <c r="L305" s="450">
        <f t="shared" si="32"/>
        <v>8319717.2909995941</v>
      </c>
      <c r="M305" s="450">
        <f t="shared" si="32"/>
        <v>8064498.6176983295</v>
      </c>
      <c r="N305" s="450">
        <f t="shared" si="32"/>
        <v>7817109.1252361927</v>
      </c>
      <c r="O305" s="447" t="str">
        <f t="shared" si="27"/>
        <v/>
      </c>
      <c r="P305" s="251">
        <f t="shared" si="28"/>
        <v>7817109.1252361927</v>
      </c>
      <c r="Q305" s="251" t="str">
        <f t="shared" si="29"/>
        <v/>
      </c>
      <c r="R305" s="251" t="str">
        <f t="shared" si="30"/>
        <v/>
      </c>
      <c r="S305" s="450" t="str">
        <f t="shared" si="31"/>
        <v/>
      </c>
      <c r="T305" s="219"/>
    </row>
    <row r="306" spans="1:20">
      <c r="A306" s="474" t="s">
        <v>1020</v>
      </c>
      <c r="B306" s="475"/>
      <c r="C306" s="476">
        <v>260880.98</v>
      </c>
      <c r="D306" s="476">
        <v>-223380.03</v>
      </c>
      <c r="E306" s="475">
        <v>240</v>
      </c>
      <c r="F306" s="477" t="s">
        <v>2498</v>
      </c>
      <c r="G306" s="544">
        <v>1.3930001851514</v>
      </c>
      <c r="H306" s="478">
        <v>37500.949999999997</v>
      </c>
      <c r="I306" s="447">
        <f t="shared" si="32"/>
        <v>36485.202463552087</v>
      </c>
      <c r="J306" s="251">
        <f t="shared" si="32"/>
        <v>35449.18890475441</v>
      </c>
      <c r="K306" s="251">
        <f t="shared" si="32"/>
        <v>34318.34502896254</v>
      </c>
      <c r="L306" s="450">
        <f t="shared" si="32"/>
        <v>33265.582996091282</v>
      </c>
      <c r="M306" s="450">
        <f t="shared" si="32"/>
        <v>32245.115874204803</v>
      </c>
      <c r="N306" s="450">
        <f t="shared" si="32"/>
        <v>31255.952972868843</v>
      </c>
      <c r="O306" s="447" t="str">
        <f t="shared" si="27"/>
        <v/>
      </c>
      <c r="P306" s="251">
        <f t="shared" si="28"/>
        <v>31255.952972868843</v>
      </c>
      <c r="Q306" s="251" t="str">
        <f t="shared" si="29"/>
        <v/>
      </c>
      <c r="R306" s="251" t="str">
        <f t="shared" si="30"/>
        <v/>
      </c>
      <c r="S306" s="450" t="str">
        <f t="shared" si="31"/>
        <v/>
      </c>
      <c r="T306" s="219"/>
    </row>
    <row r="307" spans="1:20">
      <c r="A307" s="474" t="s">
        <v>1021</v>
      </c>
      <c r="B307" s="475"/>
      <c r="C307" s="476">
        <v>119382623.63</v>
      </c>
      <c r="D307" s="476">
        <v>-1406717.75</v>
      </c>
      <c r="E307" s="475">
        <v>240</v>
      </c>
      <c r="F307" s="477" t="s">
        <v>2498</v>
      </c>
      <c r="G307" s="544">
        <v>111.50482803096598</v>
      </c>
      <c r="H307" s="478">
        <v>117975905.88</v>
      </c>
      <c r="I307" s="447">
        <f t="shared" si="32"/>
        <v>114780420.54541992</v>
      </c>
      <c r="J307" s="251">
        <f t="shared" si="32"/>
        <v>111521179.43011168</v>
      </c>
      <c r="K307" s="251">
        <f t="shared" si="32"/>
        <v>107963607.4044591</v>
      </c>
      <c r="L307" s="450">
        <f t="shared" si="32"/>
        <v>104651676.51993333</v>
      </c>
      <c r="M307" s="450">
        <f t="shared" si="32"/>
        <v>101441343.63169146</v>
      </c>
      <c r="N307" s="450">
        <f t="shared" si="32"/>
        <v>98329492.082650736</v>
      </c>
      <c r="O307" s="447" t="str">
        <f t="shared" si="27"/>
        <v/>
      </c>
      <c r="P307" s="251">
        <f t="shared" si="28"/>
        <v>98329492.082650736</v>
      </c>
      <c r="Q307" s="251" t="str">
        <f t="shared" si="29"/>
        <v/>
      </c>
      <c r="R307" s="251" t="str">
        <f t="shared" si="30"/>
        <v/>
      </c>
      <c r="S307" s="450" t="str">
        <f t="shared" si="31"/>
        <v/>
      </c>
      <c r="T307" s="219"/>
    </row>
    <row r="308" spans="1:20">
      <c r="A308" s="474" t="s">
        <v>1022</v>
      </c>
      <c r="B308" s="475"/>
      <c r="C308" s="476">
        <v>39398183.460000001</v>
      </c>
      <c r="D308" s="476">
        <v>-1504843.63</v>
      </c>
      <c r="E308" s="475">
        <v>240</v>
      </c>
      <c r="F308" s="477" t="s">
        <v>2498</v>
      </c>
      <c r="G308" s="544">
        <v>21.3881040608</v>
      </c>
      <c r="H308" s="478">
        <v>37893339.829999998</v>
      </c>
      <c r="I308" s="447">
        <f t="shared" si="32"/>
        <v>36866964.056050107</v>
      </c>
      <c r="J308" s="251">
        <f t="shared" si="32"/>
        <v>35820110.206960738</v>
      </c>
      <c r="K308" s="251">
        <f t="shared" si="32"/>
        <v>34677433.787295222</v>
      </c>
      <c r="L308" s="450">
        <f t="shared" si="32"/>
        <v>33613656.217081338</v>
      </c>
      <c r="M308" s="450">
        <f t="shared" si="32"/>
        <v>32582511.474481851</v>
      </c>
      <c r="N308" s="450">
        <f t="shared" si="32"/>
        <v>31582998.50300907</v>
      </c>
      <c r="O308" s="447" t="str">
        <f t="shared" si="27"/>
        <v/>
      </c>
      <c r="P308" s="251">
        <f t="shared" si="28"/>
        <v>31582998.50300907</v>
      </c>
      <c r="Q308" s="251" t="str">
        <f t="shared" si="29"/>
        <v/>
      </c>
      <c r="R308" s="251" t="str">
        <f t="shared" si="30"/>
        <v/>
      </c>
      <c r="S308" s="450" t="str">
        <f t="shared" si="31"/>
        <v/>
      </c>
      <c r="T308" s="219"/>
    </row>
    <row r="309" spans="1:20">
      <c r="A309" s="474" t="s">
        <v>1023</v>
      </c>
      <c r="B309" s="475"/>
      <c r="C309" s="476">
        <v>114912300.75</v>
      </c>
      <c r="D309" s="476">
        <v>-10847176.93</v>
      </c>
      <c r="E309" s="475">
        <v>240</v>
      </c>
      <c r="F309" s="477" t="s">
        <v>2498</v>
      </c>
      <c r="G309" s="544">
        <v>35.213846227458795</v>
      </c>
      <c r="H309" s="478">
        <v>104065123.81999999</v>
      </c>
      <c r="I309" s="447">
        <f t="shared" si="32"/>
        <v>101246424.74303496</v>
      </c>
      <c r="J309" s="251">
        <f t="shared" si="32"/>
        <v>98371487.460766673</v>
      </c>
      <c r="K309" s="251">
        <f t="shared" si="32"/>
        <v>95233396.08027178</v>
      </c>
      <c r="L309" s="450">
        <f t="shared" si="32"/>
        <v>92311981.788000718</v>
      </c>
      <c r="M309" s="450">
        <f t="shared" si="32"/>
        <v>89480185.863008022</v>
      </c>
      <c r="N309" s="450">
        <f t="shared" si="32"/>
        <v>86735259.13966696</v>
      </c>
      <c r="O309" s="447" t="str">
        <f t="shared" si="27"/>
        <v/>
      </c>
      <c r="P309" s="251">
        <f t="shared" si="28"/>
        <v>86735259.13966696</v>
      </c>
      <c r="Q309" s="251" t="str">
        <f t="shared" si="29"/>
        <v/>
      </c>
      <c r="R309" s="251" t="str">
        <f t="shared" si="30"/>
        <v/>
      </c>
      <c r="S309" s="450" t="str">
        <f t="shared" si="31"/>
        <v/>
      </c>
      <c r="T309" s="219"/>
    </row>
    <row r="310" spans="1:20">
      <c r="A310" s="474" t="s">
        <v>1024</v>
      </c>
      <c r="B310" s="475"/>
      <c r="C310" s="476">
        <v>3693195.79</v>
      </c>
      <c r="D310" s="476">
        <v>-287064.23</v>
      </c>
      <c r="E310" s="475">
        <v>240</v>
      </c>
      <c r="F310" s="477" t="s">
        <v>2498</v>
      </c>
      <c r="G310" s="544">
        <v>35.214305493854191</v>
      </c>
      <c r="H310" s="478">
        <v>3406131.56</v>
      </c>
      <c r="I310" s="447">
        <f t="shared" si="32"/>
        <v>3313873.3707837937</v>
      </c>
      <c r="J310" s="251">
        <f t="shared" si="32"/>
        <v>3219774.4618439223</v>
      </c>
      <c r="K310" s="251">
        <f t="shared" si="32"/>
        <v>3117062.3168244651</v>
      </c>
      <c r="L310" s="450">
        <f t="shared" si="32"/>
        <v>3021442.1795924073</v>
      </c>
      <c r="M310" s="450">
        <f t="shared" si="32"/>
        <v>2928755.3204648411</v>
      </c>
      <c r="N310" s="450">
        <f t="shared" si="32"/>
        <v>2838911.7571358699</v>
      </c>
      <c r="O310" s="447" t="str">
        <f t="shared" si="27"/>
        <v/>
      </c>
      <c r="P310" s="251">
        <f t="shared" si="28"/>
        <v>2838911.7571358699</v>
      </c>
      <c r="Q310" s="251" t="str">
        <f t="shared" si="29"/>
        <v/>
      </c>
      <c r="R310" s="251" t="str">
        <f t="shared" si="30"/>
        <v/>
      </c>
      <c r="S310" s="450" t="str">
        <f t="shared" si="31"/>
        <v/>
      </c>
      <c r="T310" s="219"/>
    </row>
    <row r="311" spans="1:20">
      <c r="A311" s="474" t="s">
        <v>1025</v>
      </c>
      <c r="B311" s="475"/>
      <c r="C311" s="476">
        <v>20413080.43</v>
      </c>
      <c r="D311" s="476">
        <v>-3935112.74</v>
      </c>
      <c r="E311" s="475">
        <v>240</v>
      </c>
      <c r="F311" s="477" t="s">
        <v>2498</v>
      </c>
      <c r="G311" s="544">
        <v>19.940297127699999</v>
      </c>
      <c r="H311" s="478">
        <v>16477967.689999999</v>
      </c>
      <c r="I311" s="447">
        <f t="shared" si="32"/>
        <v>16031646.861146709</v>
      </c>
      <c r="J311" s="251">
        <f t="shared" si="32"/>
        <v>15576421.114911746</v>
      </c>
      <c r="K311" s="251">
        <f t="shared" si="32"/>
        <v>15079526.800294843</v>
      </c>
      <c r="L311" s="450">
        <f t="shared" si="32"/>
        <v>14616941.752105094</v>
      </c>
      <c r="M311" s="450">
        <f t="shared" si="32"/>
        <v>14168547.131084755</v>
      </c>
      <c r="N311" s="450">
        <f t="shared" si="32"/>
        <v>13733907.626529256</v>
      </c>
      <c r="O311" s="447" t="str">
        <f t="shared" si="27"/>
        <v/>
      </c>
      <c r="P311" s="251">
        <f t="shared" si="28"/>
        <v>13733907.626529256</v>
      </c>
      <c r="Q311" s="251" t="str">
        <f t="shared" si="29"/>
        <v/>
      </c>
      <c r="R311" s="251" t="str">
        <f t="shared" si="30"/>
        <v/>
      </c>
      <c r="S311" s="450" t="str">
        <f t="shared" si="31"/>
        <v/>
      </c>
      <c r="T311" s="219"/>
    </row>
    <row r="312" spans="1:20">
      <c r="A312" s="474" t="s">
        <v>1026</v>
      </c>
      <c r="B312" s="475"/>
      <c r="C312" s="476">
        <v>10046908.5</v>
      </c>
      <c r="D312" s="476">
        <v>-5930851.6600000001</v>
      </c>
      <c r="E312" s="475">
        <v>240</v>
      </c>
      <c r="F312" s="477" t="s">
        <v>2498</v>
      </c>
      <c r="G312" s="544">
        <v>145.54542171728679</v>
      </c>
      <c r="H312" s="478">
        <v>4116056.84</v>
      </c>
      <c r="I312" s="447">
        <f t="shared" si="32"/>
        <v>4004569.6751385876</v>
      </c>
      <c r="J312" s="251">
        <f t="shared" si="32"/>
        <v>3890858.1372969616</v>
      </c>
      <c r="K312" s="251">
        <f t="shared" si="32"/>
        <v>3766738.1438054573</v>
      </c>
      <c r="L312" s="450">
        <f t="shared" si="32"/>
        <v>3651188.3146333415</v>
      </c>
      <c r="M312" s="450">
        <f t="shared" si="32"/>
        <v>3539183.1340436246</v>
      </c>
      <c r="N312" s="450">
        <f t="shared" si="32"/>
        <v>3430613.8651072877</v>
      </c>
      <c r="O312" s="447" t="str">
        <f t="shared" si="27"/>
        <v/>
      </c>
      <c r="P312" s="251">
        <f t="shared" si="28"/>
        <v>3430613.8651072877</v>
      </c>
      <c r="Q312" s="251" t="str">
        <f t="shared" si="29"/>
        <v/>
      </c>
      <c r="R312" s="251" t="str">
        <f t="shared" si="30"/>
        <v/>
      </c>
      <c r="S312" s="450" t="str">
        <f t="shared" si="31"/>
        <v/>
      </c>
      <c r="T312" s="219"/>
    </row>
    <row r="313" spans="1:20">
      <c r="A313" s="474" t="s">
        <v>1027</v>
      </c>
      <c r="B313" s="475"/>
      <c r="C313" s="476">
        <v>16242638.699999999</v>
      </c>
      <c r="D313" s="476">
        <v>-12623374.57</v>
      </c>
      <c r="E313" s="475">
        <v>240</v>
      </c>
      <c r="F313" s="477" t="s">
        <v>2498</v>
      </c>
      <c r="G313" s="544">
        <v>145.06127200025679</v>
      </c>
      <c r="H313" s="478">
        <v>3619264.13</v>
      </c>
      <c r="I313" s="447">
        <f t="shared" si="32"/>
        <v>3521233.0501526413</v>
      </c>
      <c r="J313" s="251">
        <f t="shared" si="32"/>
        <v>3421246.0708481153</v>
      </c>
      <c r="K313" s="251">
        <f t="shared" si="32"/>
        <v>3312106.8976729373</v>
      </c>
      <c r="L313" s="450">
        <f t="shared" si="32"/>
        <v>3210503.5019457135</v>
      </c>
      <c r="M313" s="450">
        <f t="shared" si="32"/>
        <v>3112016.9289365481</v>
      </c>
      <c r="N313" s="450">
        <f t="shared" si="32"/>
        <v>3016551.5658582272</v>
      </c>
      <c r="O313" s="447" t="str">
        <f t="shared" si="27"/>
        <v/>
      </c>
      <c r="P313" s="251">
        <f t="shared" si="28"/>
        <v>3016551.5658582272</v>
      </c>
      <c r="Q313" s="251" t="str">
        <f t="shared" si="29"/>
        <v/>
      </c>
      <c r="R313" s="251" t="str">
        <f t="shared" si="30"/>
        <v/>
      </c>
      <c r="S313" s="450" t="str">
        <f t="shared" si="31"/>
        <v/>
      </c>
      <c r="T313" s="219"/>
    </row>
    <row r="314" spans="1:20">
      <c r="A314" s="474" t="s">
        <v>1028</v>
      </c>
      <c r="B314" s="475"/>
      <c r="C314" s="476">
        <v>112913748.83</v>
      </c>
      <c r="D314" s="476">
        <v>-1322324.53</v>
      </c>
      <c r="E314" s="475">
        <v>240</v>
      </c>
      <c r="F314" s="477" t="s">
        <v>2498</v>
      </c>
      <c r="G314" s="544">
        <v>111.57758791359522</v>
      </c>
      <c r="H314" s="478">
        <v>111591424.3</v>
      </c>
      <c r="I314" s="447">
        <f t="shared" si="32"/>
        <v>108568868.48950882</v>
      </c>
      <c r="J314" s="251">
        <f t="shared" si="32"/>
        <v>105486007.15878668</v>
      </c>
      <c r="K314" s="251">
        <f t="shared" si="32"/>
        <v>102120959.63970925</v>
      </c>
      <c r="L314" s="450">
        <f t="shared" si="32"/>
        <v>98988259.942846447</v>
      </c>
      <c r="M314" s="450">
        <f t="shared" si="32"/>
        <v>95951660.081172705</v>
      </c>
      <c r="N314" s="450">
        <f t="shared" si="32"/>
        <v>93008212.061194554</v>
      </c>
      <c r="O314" s="447" t="str">
        <f t="shared" si="27"/>
        <v/>
      </c>
      <c r="P314" s="251">
        <f t="shared" si="28"/>
        <v>93008212.061194554</v>
      </c>
      <c r="Q314" s="251" t="str">
        <f t="shared" si="29"/>
        <v/>
      </c>
      <c r="R314" s="251" t="str">
        <f t="shared" si="30"/>
        <v/>
      </c>
      <c r="S314" s="450" t="str">
        <f t="shared" si="31"/>
        <v/>
      </c>
      <c r="T314" s="219"/>
    </row>
    <row r="315" spans="1:20">
      <c r="A315" s="474" t="s">
        <v>1029</v>
      </c>
      <c r="B315" s="475"/>
      <c r="C315" s="476">
        <v>11889407.9</v>
      </c>
      <c r="D315" s="476">
        <v>-369604.41</v>
      </c>
      <c r="E315" s="475">
        <v>240</v>
      </c>
      <c r="F315" s="477" t="s">
        <v>2498</v>
      </c>
      <c r="G315" s="544">
        <v>3.8594259973080005</v>
      </c>
      <c r="H315" s="478">
        <v>11519803.49</v>
      </c>
      <c r="I315" s="447">
        <f t="shared" si="32"/>
        <v>11207779.074209692</v>
      </c>
      <c r="J315" s="251">
        <f t="shared" si="32"/>
        <v>10889529.200264504</v>
      </c>
      <c r="K315" s="251">
        <f t="shared" si="32"/>
        <v>10542148.687851023</v>
      </c>
      <c r="L315" s="450">
        <f t="shared" si="32"/>
        <v>10218753.900774701</v>
      </c>
      <c r="M315" s="450">
        <f t="shared" si="32"/>
        <v>9905279.6897976957</v>
      </c>
      <c r="N315" s="450">
        <f t="shared" si="32"/>
        <v>9601421.7277197093</v>
      </c>
      <c r="O315" s="447" t="str">
        <f t="shared" si="27"/>
        <v/>
      </c>
      <c r="P315" s="251">
        <f t="shared" si="28"/>
        <v>9601421.7277197093</v>
      </c>
      <c r="Q315" s="251" t="str">
        <f t="shared" si="29"/>
        <v/>
      </c>
      <c r="R315" s="251" t="str">
        <f t="shared" si="30"/>
        <v/>
      </c>
      <c r="S315" s="450" t="str">
        <f t="shared" si="31"/>
        <v/>
      </c>
      <c r="T315" s="219"/>
    </row>
    <row r="316" spans="1:20">
      <c r="A316" s="474" t="s">
        <v>1030</v>
      </c>
      <c r="B316" s="475"/>
      <c r="C316" s="476">
        <v>5444259.29</v>
      </c>
      <c r="D316" s="476">
        <v>-3271374.99</v>
      </c>
      <c r="E316" s="475">
        <v>240</v>
      </c>
      <c r="F316" s="477" t="s">
        <v>2498</v>
      </c>
      <c r="G316" s="544">
        <v>107.66157486948329</v>
      </c>
      <c r="H316" s="478">
        <v>2172884.2999999998</v>
      </c>
      <c r="I316" s="447">
        <f t="shared" si="32"/>
        <v>2114029.7409898588</v>
      </c>
      <c r="J316" s="251">
        <f t="shared" si="32"/>
        <v>2054000.9258132142</v>
      </c>
      <c r="K316" s="251">
        <f t="shared" si="32"/>
        <v>1988477.4416492314</v>
      </c>
      <c r="L316" s="450">
        <f t="shared" si="32"/>
        <v>1927478.184487425</v>
      </c>
      <c r="M316" s="450">
        <f t="shared" si="32"/>
        <v>1868350.1627222882</v>
      </c>
      <c r="N316" s="450">
        <f t="shared" si="32"/>
        <v>1811035.9736562683</v>
      </c>
      <c r="O316" s="447" t="str">
        <f t="shared" si="27"/>
        <v/>
      </c>
      <c r="P316" s="251">
        <f t="shared" si="28"/>
        <v>1811035.9736562683</v>
      </c>
      <c r="Q316" s="251" t="str">
        <f t="shared" si="29"/>
        <v/>
      </c>
      <c r="R316" s="251" t="str">
        <f t="shared" si="30"/>
        <v/>
      </c>
      <c r="S316" s="450" t="str">
        <f t="shared" si="31"/>
        <v/>
      </c>
      <c r="T316" s="219"/>
    </row>
    <row r="317" spans="1:20">
      <c r="A317" s="474" t="s">
        <v>1031</v>
      </c>
      <c r="B317" s="475"/>
      <c r="C317" s="476">
        <v>17248572.710000001</v>
      </c>
      <c r="D317" s="476">
        <v>-189692.28</v>
      </c>
      <c r="E317" s="475">
        <v>240</v>
      </c>
      <c r="F317" s="477" t="s">
        <v>2498</v>
      </c>
      <c r="G317" s="544">
        <v>12.805253406480999</v>
      </c>
      <c r="H317" s="478">
        <v>17058880.43</v>
      </c>
      <c r="I317" s="447">
        <f t="shared" si="32"/>
        <v>16596825.048167486</v>
      </c>
      <c r="J317" s="251">
        <f t="shared" si="32"/>
        <v>16125550.81582435</v>
      </c>
      <c r="K317" s="251">
        <f t="shared" si="32"/>
        <v>15611139.035265956</v>
      </c>
      <c r="L317" s="450">
        <f t="shared" si="32"/>
        <v>15132246.056821557</v>
      </c>
      <c r="M317" s="450">
        <f t="shared" si="32"/>
        <v>14668043.773545861</v>
      </c>
      <c r="N317" s="450">
        <f t="shared" si="32"/>
        <v>14218081.52833122</v>
      </c>
      <c r="O317" s="447" t="str">
        <f t="shared" si="27"/>
        <v/>
      </c>
      <c r="P317" s="251">
        <f t="shared" si="28"/>
        <v>14218081.52833122</v>
      </c>
      <c r="Q317" s="251" t="str">
        <f t="shared" si="29"/>
        <v/>
      </c>
      <c r="R317" s="251" t="str">
        <f t="shared" si="30"/>
        <v/>
      </c>
      <c r="S317" s="450" t="str">
        <f t="shared" si="31"/>
        <v/>
      </c>
      <c r="T317" s="219"/>
    </row>
    <row r="318" spans="1:20">
      <c r="A318" s="474" t="s">
        <v>1032</v>
      </c>
      <c r="B318" s="475"/>
      <c r="C318" s="476">
        <v>3941514.31</v>
      </c>
      <c r="D318" s="476">
        <v>-3194043.29</v>
      </c>
      <c r="E318" s="475">
        <v>240</v>
      </c>
      <c r="F318" s="477" t="s">
        <v>2498</v>
      </c>
      <c r="G318" s="544">
        <v>106.4943280526667</v>
      </c>
      <c r="H318" s="478">
        <v>747471.02</v>
      </c>
      <c r="I318" s="447">
        <f t="shared" si="32"/>
        <v>727225.0836402222</v>
      </c>
      <c r="J318" s="251">
        <f t="shared" si="32"/>
        <v>706575.20379642281</v>
      </c>
      <c r="K318" s="251">
        <f t="shared" si="32"/>
        <v>684035.1608028746</v>
      </c>
      <c r="L318" s="450">
        <f t="shared" si="32"/>
        <v>663051.44944282772</v>
      </c>
      <c r="M318" s="450">
        <f t="shared" si="32"/>
        <v>642711.44204373646</v>
      </c>
      <c r="N318" s="450">
        <f t="shared" si="32"/>
        <v>622995.39210879488</v>
      </c>
      <c r="O318" s="447" t="str">
        <f t="shared" si="27"/>
        <v/>
      </c>
      <c r="P318" s="251">
        <f t="shared" si="28"/>
        <v>622995.39210879488</v>
      </c>
      <c r="Q318" s="251" t="str">
        <f t="shared" si="29"/>
        <v/>
      </c>
      <c r="R318" s="251" t="str">
        <f t="shared" si="30"/>
        <v/>
      </c>
      <c r="S318" s="450" t="str">
        <f t="shared" si="31"/>
        <v/>
      </c>
      <c r="T318" s="219"/>
    </row>
    <row r="319" spans="1:20">
      <c r="A319" s="474" t="s">
        <v>1033</v>
      </c>
      <c r="B319" s="475"/>
      <c r="C319" s="476">
        <v>459636.88</v>
      </c>
      <c r="D319" s="476">
        <v>-180940.65</v>
      </c>
      <c r="E319" s="475">
        <v>240</v>
      </c>
      <c r="F319" s="477" t="s">
        <v>2498</v>
      </c>
      <c r="G319" s="544">
        <v>9.0634795831620014</v>
      </c>
      <c r="H319" s="478">
        <v>278696.23</v>
      </c>
      <c r="I319" s="447">
        <f t="shared" si="32"/>
        <v>271147.4876604107</v>
      </c>
      <c r="J319" s="251">
        <f t="shared" si="32"/>
        <v>263448.13409561315</v>
      </c>
      <c r="K319" s="251">
        <f t="shared" si="32"/>
        <v>255044.02900222797</v>
      </c>
      <c r="L319" s="450">
        <f t="shared" si="32"/>
        <v>247220.20561513095</v>
      </c>
      <c r="M319" s="450">
        <f t="shared" si="32"/>
        <v>239636.38867959433</v>
      </c>
      <c r="N319" s="450">
        <f t="shared" si="32"/>
        <v>232285.21567042539</v>
      </c>
      <c r="O319" s="447" t="str">
        <f t="shared" si="27"/>
        <v/>
      </c>
      <c r="P319" s="251">
        <f t="shared" si="28"/>
        <v>232285.21567042539</v>
      </c>
      <c r="Q319" s="251" t="str">
        <f t="shared" si="29"/>
        <v/>
      </c>
      <c r="R319" s="251" t="str">
        <f t="shared" si="30"/>
        <v/>
      </c>
      <c r="S319" s="450" t="str">
        <f t="shared" si="31"/>
        <v/>
      </c>
      <c r="T319" s="219"/>
    </row>
    <row r="320" spans="1:20">
      <c r="A320" s="474" t="s">
        <v>1034</v>
      </c>
      <c r="B320" s="475"/>
      <c r="C320" s="476">
        <v>7315766.4900000002</v>
      </c>
      <c r="D320" s="476">
        <v>-7363975.2800000003</v>
      </c>
      <c r="E320" s="475">
        <v>240</v>
      </c>
      <c r="F320" s="477" t="s">
        <v>2498</v>
      </c>
      <c r="G320" s="544">
        <v>80.876400189172003</v>
      </c>
      <c r="H320" s="478">
        <v>-48208.79</v>
      </c>
      <c r="I320" s="447">
        <f t="shared" si="32"/>
        <v>-46903.010821668926</v>
      </c>
      <c r="J320" s="251">
        <f t="shared" si="32"/>
        <v>-45571.178958923323</v>
      </c>
      <c r="K320" s="251">
        <f t="shared" si="32"/>
        <v>-44117.439388836792</v>
      </c>
      <c r="L320" s="450">
        <f t="shared" si="32"/>
        <v>-42764.076773685345</v>
      </c>
      <c r="M320" s="450">
        <f t="shared" si="32"/>
        <v>-41452.230402301968</v>
      </c>
      <c r="N320" s="450">
        <f t="shared" si="32"/>
        <v>-40180.626707294345</v>
      </c>
      <c r="O320" s="447" t="str">
        <f t="shared" si="27"/>
        <v/>
      </c>
      <c r="P320" s="251">
        <f t="shared" si="28"/>
        <v>-40180.626707294345</v>
      </c>
      <c r="Q320" s="251" t="str">
        <f t="shared" si="29"/>
        <v/>
      </c>
      <c r="R320" s="251" t="str">
        <f t="shared" si="30"/>
        <v/>
      </c>
      <c r="S320" s="450" t="str">
        <f t="shared" si="31"/>
        <v/>
      </c>
      <c r="T320" s="219"/>
    </row>
    <row r="321" spans="1:20">
      <c r="A321" s="474" t="s">
        <v>1035</v>
      </c>
      <c r="B321" s="475"/>
      <c r="C321" s="476">
        <v>12401903.84</v>
      </c>
      <c r="D321" s="476">
        <v>-379620.07</v>
      </c>
      <c r="E321" s="475">
        <v>240</v>
      </c>
      <c r="F321" s="477" t="s">
        <v>2498</v>
      </c>
      <c r="G321" s="544">
        <v>3.8903538540260003</v>
      </c>
      <c r="H321" s="478">
        <v>12022283.77</v>
      </c>
      <c r="I321" s="447">
        <f t="shared" si="32"/>
        <v>11696649.216159225</v>
      </c>
      <c r="J321" s="251">
        <f t="shared" si="32"/>
        <v>11364517.657000503</v>
      </c>
      <c r="K321" s="251">
        <f t="shared" si="32"/>
        <v>11001984.815183522</v>
      </c>
      <c r="L321" s="450">
        <f t="shared" si="32"/>
        <v>10664483.927833727</v>
      </c>
      <c r="M321" s="450">
        <f t="shared" si="32"/>
        <v>10337336.340445289</v>
      </c>
      <c r="N321" s="450">
        <f t="shared" si="32"/>
        <v>10020224.451423347</v>
      </c>
      <c r="O321" s="447" t="str">
        <f t="shared" si="27"/>
        <v/>
      </c>
      <c r="P321" s="251">
        <f t="shared" si="28"/>
        <v>10020224.451423347</v>
      </c>
      <c r="Q321" s="251" t="str">
        <f t="shared" si="29"/>
        <v/>
      </c>
      <c r="R321" s="251" t="str">
        <f t="shared" si="30"/>
        <v/>
      </c>
      <c r="S321" s="450" t="str">
        <f t="shared" si="31"/>
        <v/>
      </c>
      <c r="T321" s="219"/>
    </row>
    <row r="322" spans="1:20">
      <c r="A322" s="474" t="s">
        <v>1036</v>
      </c>
      <c r="B322" s="475"/>
      <c r="C322" s="476">
        <v>21476861.68</v>
      </c>
      <c r="D322" s="476">
        <v>-11021094.869999999</v>
      </c>
      <c r="E322" s="475">
        <v>240</v>
      </c>
      <c r="F322" s="477" t="s">
        <v>2498</v>
      </c>
      <c r="G322" s="544">
        <v>79.690875131168696</v>
      </c>
      <c r="H322" s="478">
        <v>10455766.810000001</v>
      </c>
      <c r="I322" s="447">
        <f t="shared" si="32"/>
        <v>10172562.80106339</v>
      </c>
      <c r="J322" s="251">
        <f t="shared" si="32"/>
        <v>9883708.3538350742</v>
      </c>
      <c r="K322" s="251">
        <f t="shared" si="32"/>
        <v>9568413.9449255299</v>
      </c>
      <c r="L322" s="450">
        <f t="shared" ref="I322:N364" si="33">+$H322*(L$3)</f>
        <v>9274889.7989472691</v>
      </c>
      <c r="M322" s="450">
        <f t="shared" si="33"/>
        <v>8990369.906418765</v>
      </c>
      <c r="N322" s="450">
        <f t="shared" si="33"/>
        <v>8714578.049586555</v>
      </c>
      <c r="O322" s="447" t="str">
        <f t="shared" si="27"/>
        <v/>
      </c>
      <c r="P322" s="251">
        <f t="shared" si="28"/>
        <v>8714578.049586555</v>
      </c>
      <c r="Q322" s="251" t="str">
        <f t="shared" si="29"/>
        <v/>
      </c>
      <c r="R322" s="251" t="str">
        <f t="shared" si="30"/>
        <v/>
      </c>
      <c r="S322" s="450" t="str">
        <f t="shared" si="31"/>
        <v/>
      </c>
      <c r="T322" s="219"/>
    </row>
    <row r="323" spans="1:20">
      <c r="A323" s="474" t="s">
        <v>1037</v>
      </c>
      <c r="B323" s="475"/>
      <c r="C323" s="476">
        <v>1455855.15</v>
      </c>
      <c r="D323" s="476">
        <v>-310394.33</v>
      </c>
      <c r="E323" s="475">
        <v>240</v>
      </c>
      <c r="F323" s="477" t="s">
        <v>2498</v>
      </c>
      <c r="G323" s="544">
        <v>4.1453350725493001</v>
      </c>
      <c r="H323" s="478">
        <v>1145460.82</v>
      </c>
      <c r="I323" s="447">
        <f t="shared" si="33"/>
        <v>1114434.9658279696</v>
      </c>
      <c r="J323" s="251">
        <f t="shared" si="33"/>
        <v>1082790.0890824071</v>
      </c>
      <c r="K323" s="251">
        <f t="shared" si="33"/>
        <v>1048248.6347124102</v>
      </c>
      <c r="L323" s="450">
        <f t="shared" si="33"/>
        <v>1016092.1783709688</v>
      </c>
      <c r="M323" s="450">
        <f t="shared" si="33"/>
        <v>984922.1651787929</v>
      </c>
      <c r="N323" s="450">
        <f t="shared" si="33"/>
        <v>954708.33464708994</v>
      </c>
      <c r="O323" s="447" t="str">
        <f t="shared" si="27"/>
        <v/>
      </c>
      <c r="P323" s="251">
        <f t="shared" si="28"/>
        <v>954708.33464708994</v>
      </c>
      <c r="Q323" s="251" t="str">
        <f t="shared" si="29"/>
        <v/>
      </c>
      <c r="R323" s="251" t="str">
        <f t="shared" si="30"/>
        <v/>
      </c>
      <c r="S323" s="450" t="str">
        <f t="shared" si="31"/>
        <v/>
      </c>
      <c r="T323" s="219"/>
    </row>
    <row r="324" spans="1:20">
      <c r="A324" s="474" t="s">
        <v>1038</v>
      </c>
      <c r="B324" s="475"/>
      <c r="C324" s="476">
        <v>151852057.05000001</v>
      </c>
      <c r="D324" s="476">
        <v>-5027336.9800000004</v>
      </c>
      <c r="E324" s="475">
        <v>240</v>
      </c>
      <c r="F324" s="477" t="s">
        <v>2498</v>
      </c>
      <c r="G324" s="544">
        <v>131.45297719971342</v>
      </c>
      <c r="H324" s="478">
        <v>146824720.06999999</v>
      </c>
      <c r="I324" s="447">
        <f t="shared" si="33"/>
        <v>142847838.21232021</v>
      </c>
      <c r="J324" s="251">
        <f t="shared" si="33"/>
        <v>138791610.28318259</v>
      </c>
      <c r="K324" s="251">
        <f t="shared" si="33"/>
        <v>134364100.16661179</v>
      </c>
      <c r="L324" s="450">
        <f t="shared" si="33"/>
        <v>130242298.16488527</v>
      </c>
      <c r="M324" s="450">
        <f t="shared" si="33"/>
        <v>126246938.06036471</v>
      </c>
      <c r="N324" s="450">
        <f t="shared" si="33"/>
        <v>122374141.07542749</v>
      </c>
      <c r="O324" s="447" t="str">
        <f t="shared" si="27"/>
        <v/>
      </c>
      <c r="P324" s="251">
        <f t="shared" si="28"/>
        <v>122374141.07542749</v>
      </c>
      <c r="Q324" s="251" t="str">
        <f t="shared" si="29"/>
        <v/>
      </c>
      <c r="R324" s="251" t="str">
        <f t="shared" si="30"/>
        <v/>
      </c>
      <c r="S324" s="450" t="str">
        <f t="shared" si="31"/>
        <v/>
      </c>
      <c r="T324" s="219"/>
    </row>
    <row r="325" spans="1:20">
      <c r="A325" s="474" t="s">
        <v>1039</v>
      </c>
      <c r="B325" s="475"/>
      <c r="C325" s="476">
        <v>148353975.22</v>
      </c>
      <c r="D325" s="476">
        <v>-4915405.08</v>
      </c>
      <c r="E325" s="475">
        <v>240</v>
      </c>
      <c r="F325" s="477" t="s">
        <v>2498</v>
      </c>
      <c r="G325" s="544">
        <v>131.455013933034</v>
      </c>
      <c r="H325" s="478">
        <v>143438570.13999999</v>
      </c>
      <c r="I325" s="447">
        <f t="shared" si="33"/>
        <v>139553405.25080875</v>
      </c>
      <c r="J325" s="251">
        <f t="shared" si="33"/>
        <v>135590724.2115393</v>
      </c>
      <c r="K325" s="251">
        <f t="shared" si="33"/>
        <v>131265323.69248147</v>
      </c>
      <c r="L325" s="450">
        <f t="shared" si="33"/>
        <v>127238580.88482639</v>
      </c>
      <c r="M325" s="450">
        <f t="shared" si="33"/>
        <v>123335363.90396918</v>
      </c>
      <c r="N325" s="450">
        <f t="shared" si="33"/>
        <v>119551883.42672357</v>
      </c>
      <c r="O325" s="447" t="str">
        <f t="shared" si="27"/>
        <v/>
      </c>
      <c r="P325" s="251">
        <f t="shared" si="28"/>
        <v>119551883.42672357</v>
      </c>
      <c r="Q325" s="251" t="str">
        <f t="shared" si="29"/>
        <v/>
      </c>
      <c r="R325" s="251" t="str">
        <f t="shared" si="30"/>
        <v/>
      </c>
      <c r="S325" s="450" t="str">
        <f t="shared" si="31"/>
        <v/>
      </c>
      <c r="T325" s="219"/>
    </row>
    <row r="326" spans="1:20">
      <c r="A326" s="474" t="s">
        <v>1040</v>
      </c>
      <c r="B326" s="475"/>
      <c r="C326" s="476">
        <v>11574306.289999999</v>
      </c>
      <c r="D326" s="476">
        <v>-7895342.3799999999</v>
      </c>
      <c r="E326" s="475">
        <v>240</v>
      </c>
      <c r="F326" s="477" t="s">
        <v>2498</v>
      </c>
      <c r="G326" s="544">
        <v>44.892897495670006</v>
      </c>
      <c r="H326" s="478">
        <v>3678963.91</v>
      </c>
      <c r="I326" s="447">
        <f t="shared" si="33"/>
        <v>3579315.8069982552</v>
      </c>
      <c r="J326" s="251">
        <f t="shared" si="33"/>
        <v>3477679.5419679745</v>
      </c>
      <c r="K326" s="251">
        <f t="shared" si="33"/>
        <v>3366740.117583184</v>
      </c>
      <c r="L326" s="450">
        <f t="shared" si="33"/>
        <v>3263460.7733331956</v>
      </c>
      <c r="M326" s="450">
        <f t="shared" si="33"/>
        <v>3163349.6638076524</v>
      </c>
      <c r="N326" s="450">
        <f t="shared" si="33"/>
        <v>3066309.5990859354</v>
      </c>
      <c r="O326" s="447" t="str">
        <f t="shared" ref="O326:O389" si="34">IF(AND(F326="n",$E326=500),$N326,"")</f>
        <v/>
      </c>
      <c r="P326" s="251">
        <f t="shared" ref="P326:P389" si="35">IF(AND(F326="n",OR($E326=240,$E326=260)),$N326,"")</f>
        <v>3066309.5990859354</v>
      </c>
      <c r="Q326" s="251" t="str">
        <f t="shared" ref="Q326:Q389" si="36">IF(AND(F326="n",OR($E326=138,$E326=144)),$N326,"")</f>
        <v/>
      </c>
      <c r="R326" s="251" t="str">
        <f t="shared" ref="R326:R389" si="37">IF(AND(F326="n",$E326=69),$N326,"")</f>
        <v/>
      </c>
      <c r="S326" s="450" t="str">
        <f t="shared" ref="S326:S389" si="38">IF(OR(E326=25,F326="y"),$N326,"")</f>
        <v/>
      </c>
      <c r="T326" s="219"/>
    </row>
    <row r="327" spans="1:20">
      <c r="A327" s="474" t="s">
        <v>1041</v>
      </c>
      <c r="B327" s="475"/>
      <c r="C327" s="476">
        <v>12529221.289999999</v>
      </c>
      <c r="D327" s="476">
        <v>-8745743.5500000007</v>
      </c>
      <c r="E327" s="475">
        <v>240</v>
      </c>
      <c r="F327" s="477" t="s">
        <v>2498</v>
      </c>
      <c r="G327" s="544">
        <v>49.766904589612999</v>
      </c>
      <c r="H327" s="478">
        <v>3783477.74</v>
      </c>
      <c r="I327" s="447">
        <f t="shared" si="33"/>
        <v>3680998.7843039306</v>
      </c>
      <c r="J327" s="251">
        <f t="shared" si="33"/>
        <v>3576475.1858871123</v>
      </c>
      <c r="K327" s="251">
        <f t="shared" si="33"/>
        <v>3462384.1393543212</v>
      </c>
      <c r="L327" s="450">
        <f t="shared" si="33"/>
        <v>3356170.7843090342</v>
      </c>
      <c r="M327" s="450">
        <f t="shared" si="33"/>
        <v>3253215.6687703785</v>
      </c>
      <c r="N327" s="450">
        <f t="shared" si="33"/>
        <v>3153418.8417983041</v>
      </c>
      <c r="O327" s="447" t="str">
        <f t="shared" si="34"/>
        <v/>
      </c>
      <c r="P327" s="251">
        <f t="shared" si="35"/>
        <v>3153418.8417983041</v>
      </c>
      <c r="Q327" s="251" t="str">
        <f t="shared" si="36"/>
        <v/>
      </c>
      <c r="R327" s="251" t="str">
        <f t="shared" si="37"/>
        <v/>
      </c>
      <c r="S327" s="450" t="str">
        <f t="shared" si="38"/>
        <v/>
      </c>
      <c r="T327" s="219"/>
    </row>
    <row r="328" spans="1:20">
      <c r="A328" s="474" t="s">
        <v>1042</v>
      </c>
      <c r="B328" s="475"/>
      <c r="C328" s="476">
        <v>10794269.560000001</v>
      </c>
      <c r="D328" s="476">
        <v>-191819.71</v>
      </c>
      <c r="E328" s="475">
        <v>240</v>
      </c>
      <c r="F328" s="477" t="s">
        <v>2499</v>
      </c>
      <c r="G328" s="544">
        <v>13.08143557761</v>
      </c>
      <c r="H328" s="478">
        <v>10602449.85</v>
      </c>
      <c r="I328" s="447">
        <f t="shared" si="33"/>
        <v>10315272.796740014</v>
      </c>
      <c r="J328" s="251">
        <f t="shared" si="33"/>
        <v>10022366.035682697</v>
      </c>
      <c r="K328" s="251">
        <f t="shared" si="33"/>
        <v>9702648.3890294004</v>
      </c>
      <c r="L328" s="450">
        <f t="shared" si="33"/>
        <v>9405006.4184259474</v>
      </c>
      <c r="M328" s="450">
        <f t="shared" si="33"/>
        <v>9116495.021158006</v>
      </c>
      <c r="N328" s="450">
        <f t="shared" si="33"/>
        <v>8836834.1044373643</v>
      </c>
      <c r="O328" s="447" t="str">
        <f t="shared" si="34"/>
        <v/>
      </c>
      <c r="P328" s="251" t="str">
        <f t="shared" si="35"/>
        <v/>
      </c>
      <c r="Q328" s="251" t="str">
        <f t="shared" si="36"/>
        <v/>
      </c>
      <c r="R328" s="251" t="str">
        <f t="shared" si="37"/>
        <v/>
      </c>
      <c r="S328" s="450">
        <f t="shared" si="38"/>
        <v>8836834.1044373643</v>
      </c>
      <c r="T328" s="219"/>
    </row>
    <row r="329" spans="1:20">
      <c r="A329" s="474" t="s">
        <v>1043</v>
      </c>
      <c r="B329" s="475"/>
      <c r="C329" s="476">
        <v>946965.69</v>
      </c>
      <c r="D329" s="476">
        <v>-217462.66</v>
      </c>
      <c r="E329" s="475">
        <v>240</v>
      </c>
      <c r="F329" s="477" t="s">
        <v>2498</v>
      </c>
      <c r="G329" s="544">
        <v>5.9938475309778001</v>
      </c>
      <c r="H329" s="478">
        <v>729503.03</v>
      </c>
      <c r="I329" s="447">
        <f t="shared" si="33"/>
        <v>709743.77308640745</v>
      </c>
      <c r="J329" s="251">
        <f t="shared" si="33"/>
        <v>689590.28283445421</v>
      </c>
      <c r="K329" s="251">
        <f t="shared" si="33"/>
        <v>667592.06588669389</v>
      </c>
      <c r="L329" s="450">
        <f t="shared" si="33"/>
        <v>647112.76888625673</v>
      </c>
      <c r="M329" s="450">
        <f t="shared" si="33"/>
        <v>627261.70224843652</v>
      </c>
      <c r="N329" s="450">
        <f t="shared" si="33"/>
        <v>608019.59415015706</v>
      </c>
      <c r="O329" s="447" t="str">
        <f t="shared" si="34"/>
        <v/>
      </c>
      <c r="P329" s="251">
        <f t="shared" si="35"/>
        <v>608019.59415015706</v>
      </c>
      <c r="Q329" s="251" t="str">
        <f t="shared" si="36"/>
        <v/>
      </c>
      <c r="R329" s="251" t="str">
        <f t="shared" si="37"/>
        <v/>
      </c>
      <c r="S329" s="450" t="str">
        <f t="shared" si="38"/>
        <v/>
      </c>
      <c r="T329" s="219"/>
    </row>
    <row r="330" spans="1:20">
      <c r="A330" s="474" t="s">
        <v>1044</v>
      </c>
      <c r="B330" s="475"/>
      <c r="C330" s="476">
        <v>5102516.6399999997</v>
      </c>
      <c r="D330" s="476">
        <v>-3855720.17</v>
      </c>
      <c r="E330" s="475">
        <v>240</v>
      </c>
      <c r="F330" s="477" t="s">
        <v>2498</v>
      </c>
      <c r="G330" s="544">
        <v>50.354504482110606</v>
      </c>
      <c r="H330" s="478">
        <v>1246796.47</v>
      </c>
      <c r="I330" s="447">
        <f t="shared" si="33"/>
        <v>1213025.8470463294</v>
      </c>
      <c r="J330" s="251">
        <f t="shared" si="33"/>
        <v>1178581.4383585206</v>
      </c>
      <c r="K330" s="251">
        <f t="shared" si="33"/>
        <v>1140984.2000896656</v>
      </c>
      <c r="L330" s="450">
        <f t="shared" si="33"/>
        <v>1105982.9538190002</v>
      </c>
      <c r="M330" s="450">
        <f t="shared" si="33"/>
        <v>1072055.4185080514</v>
      </c>
      <c r="N330" s="450">
        <f t="shared" si="33"/>
        <v>1039168.6566089361</v>
      </c>
      <c r="O330" s="447" t="str">
        <f t="shared" si="34"/>
        <v/>
      </c>
      <c r="P330" s="251">
        <f t="shared" si="35"/>
        <v>1039168.6566089361</v>
      </c>
      <c r="Q330" s="251" t="str">
        <f t="shared" si="36"/>
        <v/>
      </c>
      <c r="R330" s="251" t="str">
        <f t="shared" si="37"/>
        <v/>
      </c>
      <c r="S330" s="450" t="str">
        <f t="shared" si="38"/>
        <v/>
      </c>
      <c r="T330" s="219"/>
    </row>
    <row r="331" spans="1:20">
      <c r="A331" s="474" t="s">
        <v>1045</v>
      </c>
      <c r="B331" s="475"/>
      <c r="C331" s="476">
        <v>945710.66</v>
      </c>
      <c r="D331" s="476">
        <v>-84176.97</v>
      </c>
      <c r="E331" s="475">
        <v>240</v>
      </c>
      <c r="F331" s="477" t="s">
        <v>2498</v>
      </c>
      <c r="G331" s="544">
        <v>26.212937924199601</v>
      </c>
      <c r="H331" s="478">
        <v>861533.69</v>
      </c>
      <c r="I331" s="447">
        <f t="shared" si="33"/>
        <v>838198.26187926217</v>
      </c>
      <c r="J331" s="251">
        <f t="shared" si="33"/>
        <v>814397.24925955536</v>
      </c>
      <c r="K331" s="251">
        <f t="shared" si="33"/>
        <v>788417.6381530402</v>
      </c>
      <c r="L331" s="450">
        <f t="shared" si="33"/>
        <v>764231.85195638449</v>
      </c>
      <c r="M331" s="450">
        <f t="shared" si="33"/>
        <v>740787.99773289054</v>
      </c>
      <c r="N331" s="450">
        <f t="shared" si="33"/>
        <v>718063.31570752652</v>
      </c>
      <c r="O331" s="447" t="str">
        <f t="shared" si="34"/>
        <v/>
      </c>
      <c r="P331" s="251">
        <f t="shared" si="35"/>
        <v>718063.31570752652</v>
      </c>
      <c r="Q331" s="251" t="str">
        <f t="shared" si="36"/>
        <v/>
      </c>
      <c r="R331" s="251" t="str">
        <f t="shared" si="37"/>
        <v/>
      </c>
      <c r="S331" s="450" t="str">
        <f t="shared" si="38"/>
        <v/>
      </c>
      <c r="T331" s="219"/>
    </row>
    <row r="332" spans="1:20">
      <c r="A332" s="474" t="s">
        <v>1046</v>
      </c>
      <c r="B332" s="475"/>
      <c r="C332" s="476">
        <v>26160382.420000002</v>
      </c>
      <c r="D332" s="476">
        <v>-1018886.33</v>
      </c>
      <c r="E332" s="475">
        <v>240</v>
      </c>
      <c r="F332" s="477" t="s">
        <v>2498</v>
      </c>
      <c r="G332" s="544">
        <v>66.443920430259993</v>
      </c>
      <c r="H332" s="478">
        <v>25141496.09</v>
      </c>
      <c r="I332" s="447">
        <f t="shared" si="33"/>
        <v>24460515.669076469</v>
      </c>
      <c r="J332" s="251">
        <f t="shared" si="33"/>
        <v>23765948.442440908</v>
      </c>
      <c r="K332" s="251">
        <f t="shared" si="33"/>
        <v>23007804.798569974</v>
      </c>
      <c r="L332" s="450">
        <f t="shared" si="33"/>
        <v>22302009.011179704</v>
      </c>
      <c r="M332" s="450">
        <f t="shared" si="33"/>
        <v>21617864.472044498</v>
      </c>
      <c r="N332" s="450">
        <f t="shared" si="33"/>
        <v>20954706.999598835</v>
      </c>
      <c r="O332" s="447" t="str">
        <f t="shared" si="34"/>
        <v/>
      </c>
      <c r="P332" s="251">
        <f t="shared" si="35"/>
        <v>20954706.999598835</v>
      </c>
      <c r="Q332" s="251" t="str">
        <f t="shared" si="36"/>
        <v/>
      </c>
      <c r="R332" s="251" t="str">
        <f t="shared" si="37"/>
        <v/>
      </c>
      <c r="S332" s="450" t="str">
        <f t="shared" si="38"/>
        <v/>
      </c>
      <c r="T332" s="219"/>
    </row>
    <row r="333" spans="1:20">
      <c r="A333" s="474" t="s">
        <v>1047</v>
      </c>
      <c r="B333" s="475"/>
      <c r="C333" s="476">
        <v>522317.23</v>
      </c>
      <c r="D333" s="476">
        <v>-28297.09</v>
      </c>
      <c r="E333" s="475">
        <v>240</v>
      </c>
      <c r="F333" s="477" t="s">
        <v>2498</v>
      </c>
      <c r="G333" s="544">
        <v>0.73486758015289988</v>
      </c>
      <c r="H333" s="478">
        <v>494020.14</v>
      </c>
      <c r="I333" s="447">
        <f t="shared" si="33"/>
        <v>480639.15258073056</v>
      </c>
      <c r="J333" s="251">
        <f t="shared" si="33"/>
        <v>466991.18997287325</v>
      </c>
      <c r="K333" s="251">
        <f t="shared" si="33"/>
        <v>452093.97670662688</v>
      </c>
      <c r="L333" s="450">
        <f t="shared" si="33"/>
        <v>438225.37746138795</v>
      </c>
      <c r="M333" s="450">
        <f t="shared" si="33"/>
        <v>424782.21641027444</v>
      </c>
      <c r="N333" s="450">
        <f t="shared" si="33"/>
        <v>411751.44265652163</v>
      </c>
      <c r="O333" s="447" t="str">
        <f t="shared" si="34"/>
        <v/>
      </c>
      <c r="P333" s="251">
        <f t="shared" si="35"/>
        <v>411751.44265652163</v>
      </c>
      <c r="Q333" s="251" t="str">
        <f t="shared" si="36"/>
        <v/>
      </c>
      <c r="R333" s="251" t="str">
        <f t="shared" si="37"/>
        <v/>
      </c>
      <c r="S333" s="450" t="str">
        <f t="shared" si="38"/>
        <v/>
      </c>
      <c r="T333" s="219"/>
    </row>
    <row r="334" spans="1:20">
      <c r="A334" s="474" t="s">
        <v>1048</v>
      </c>
      <c r="B334" s="475"/>
      <c r="C334" s="476">
        <v>314282.5</v>
      </c>
      <c r="D334" s="476">
        <v>-19304.490000000002</v>
      </c>
      <c r="E334" s="475">
        <v>240</v>
      </c>
      <c r="F334" s="477" t="s">
        <v>2498</v>
      </c>
      <c r="G334" s="544">
        <v>0.73188276629539994</v>
      </c>
      <c r="H334" s="478">
        <v>294978.01</v>
      </c>
      <c r="I334" s="447">
        <f t="shared" si="33"/>
        <v>286988.26075461268</v>
      </c>
      <c r="J334" s="251">
        <f t="shared" si="33"/>
        <v>278839.10138912575</v>
      </c>
      <c r="K334" s="251">
        <f t="shared" si="33"/>
        <v>269944.01803519012</v>
      </c>
      <c r="L334" s="450">
        <f t="shared" si="33"/>
        <v>261663.11716574765</v>
      </c>
      <c r="M334" s="450">
        <f t="shared" si="33"/>
        <v>253636.24422294219</v>
      </c>
      <c r="N334" s="450">
        <f t="shared" si="33"/>
        <v>245855.60655371228</v>
      </c>
      <c r="O334" s="447" t="str">
        <f t="shared" si="34"/>
        <v/>
      </c>
      <c r="P334" s="251">
        <f t="shared" si="35"/>
        <v>245855.60655371228</v>
      </c>
      <c r="Q334" s="251" t="str">
        <f t="shared" si="36"/>
        <v/>
      </c>
      <c r="R334" s="251" t="str">
        <f t="shared" si="37"/>
        <v/>
      </c>
      <c r="S334" s="450" t="str">
        <f t="shared" si="38"/>
        <v/>
      </c>
      <c r="T334" s="219"/>
    </row>
    <row r="335" spans="1:20">
      <c r="A335" s="474" t="s">
        <v>1049</v>
      </c>
      <c r="B335" s="475"/>
      <c r="C335" s="476">
        <v>86238162.459999993</v>
      </c>
      <c r="D335" s="476">
        <v>-3075846.52</v>
      </c>
      <c r="E335" s="475">
        <v>240</v>
      </c>
      <c r="F335" s="477" t="s">
        <v>2498</v>
      </c>
      <c r="G335" s="544">
        <v>40.390162723800003</v>
      </c>
      <c r="H335" s="478">
        <v>83162315.939999998</v>
      </c>
      <c r="I335" s="447">
        <f t="shared" si="33"/>
        <v>80909788.536258012</v>
      </c>
      <c r="J335" s="251">
        <f t="shared" si="33"/>
        <v>78612319.08828786</v>
      </c>
      <c r="K335" s="251">
        <f t="shared" si="33"/>
        <v>76104553.400287494</v>
      </c>
      <c r="L335" s="450">
        <f t="shared" si="33"/>
        <v>73769942.442771047</v>
      </c>
      <c r="M335" s="450">
        <f t="shared" si="33"/>
        <v>71506948.860029653</v>
      </c>
      <c r="N335" s="450">
        <f t="shared" si="33"/>
        <v>69313375.691429183</v>
      </c>
      <c r="O335" s="447" t="str">
        <f t="shared" si="34"/>
        <v/>
      </c>
      <c r="P335" s="251">
        <f t="shared" si="35"/>
        <v>69313375.691429183</v>
      </c>
      <c r="Q335" s="251" t="str">
        <f t="shared" si="36"/>
        <v/>
      </c>
      <c r="R335" s="251" t="str">
        <f t="shared" si="37"/>
        <v/>
      </c>
      <c r="S335" s="450" t="str">
        <f t="shared" si="38"/>
        <v/>
      </c>
      <c r="T335" s="219"/>
    </row>
    <row r="336" spans="1:20">
      <c r="A336" s="474" t="s">
        <v>1050</v>
      </c>
      <c r="B336" s="475"/>
      <c r="C336" s="476">
        <v>33709350.770000003</v>
      </c>
      <c r="D336" s="476">
        <v>-1145548.6299999999</v>
      </c>
      <c r="E336" s="475">
        <v>240</v>
      </c>
      <c r="F336" s="477" t="s">
        <v>2498</v>
      </c>
      <c r="G336" s="544">
        <v>26.145725023747495</v>
      </c>
      <c r="H336" s="478">
        <v>32563802.140000001</v>
      </c>
      <c r="I336" s="447">
        <f t="shared" si="33"/>
        <v>31681781.769820519</v>
      </c>
      <c r="J336" s="251">
        <f t="shared" si="33"/>
        <v>30782163.479002692</v>
      </c>
      <c r="K336" s="251">
        <f t="shared" si="33"/>
        <v>29800199.656152412</v>
      </c>
      <c r="L336" s="450">
        <f t="shared" si="33"/>
        <v>28886037.89387909</v>
      </c>
      <c r="M336" s="450">
        <f t="shared" si="33"/>
        <v>27999919.290284071</v>
      </c>
      <c r="N336" s="450">
        <f t="shared" si="33"/>
        <v>27140983.583233118</v>
      </c>
      <c r="O336" s="447" t="str">
        <f t="shared" si="34"/>
        <v/>
      </c>
      <c r="P336" s="251">
        <f t="shared" si="35"/>
        <v>27140983.583233118</v>
      </c>
      <c r="Q336" s="251" t="str">
        <f t="shared" si="36"/>
        <v/>
      </c>
      <c r="R336" s="251" t="str">
        <f t="shared" si="37"/>
        <v/>
      </c>
      <c r="S336" s="450" t="str">
        <f t="shared" si="38"/>
        <v/>
      </c>
      <c r="T336" s="219"/>
    </row>
    <row r="337" spans="1:20" s="77" customFormat="1">
      <c r="A337" s="474" t="s">
        <v>1051</v>
      </c>
      <c r="B337" s="475"/>
      <c r="C337" s="476">
        <v>2719457.39</v>
      </c>
      <c r="D337" s="476">
        <v>-128358.92</v>
      </c>
      <c r="E337" s="475">
        <v>240</v>
      </c>
      <c r="F337" s="477" t="s">
        <v>2498</v>
      </c>
      <c r="G337" s="544">
        <v>12.153927771700001</v>
      </c>
      <c r="H337" s="478">
        <v>2591098.4700000002</v>
      </c>
      <c r="I337" s="447">
        <f t="shared" si="33"/>
        <v>2520916.1976149953</v>
      </c>
      <c r="J337" s="251">
        <f t="shared" si="33"/>
        <v>2449333.6604499388</v>
      </c>
      <c r="K337" s="251">
        <f t="shared" si="33"/>
        <v>2371198.8975606472</v>
      </c>
      <c r="L337" s="450">
        <f t="shared" si="33"/>
        <v>2298459.1378306458</v>
      </c>
      <c r="M337" s="450">
        <f t="shared" si="33"/>
        <v>2227950.7694238359</v>
      </c>
      <c r="N337" s="450">
        <f t="shared" si="33"/>
        <v>2159605.3413684834</v>
      </c>
      <c r="O337" s="447" t="str">
        <f t="shared" si="34"/>
        <v/>
      </c>
      <c r="P337" s="251">
        <f t="shared" si="35"/>
        <v>2159605.3413684834</v>
      </c>
      <c r="Q337" s="251" t="str">
        <f t="shared" si="36"/>
        <v/>
      </c>
      <c r="R337" s="251" t="str">
        <f t="shared" si="37"/>
        <v/>
      </c>
      <c r="S337" s="450" t="str">
        <f t="shared" si="38"/>
        <v/>
      </c>
      <c r="T337" s="219"/>
    </row>
    <row r="338" spans="1:20" s="77" customFormat="1">
      <c r="A338" s="474" t="s">
        <v>1052</v>
      </c>
      <c r="B338" s="475"/>
      <c r="C338" s="476">
        <v>32444565.57</v>
      </c>
      <c r="D338" s="476">
        <v>-825039.43</v>
      </c>
      <c r="E338" s="475">
        <v>240</v>
      </c>
      <c r="F338" s="477" t="s">
        <v>2499</v>
      </c>
      <c r="G338" s="544">
        <v>14.6127162475409</v>
      </c>
      <c r="H338" s="478">
        <v>31619526.140000001</v>
      </c>
      <c r="I338" s="447">
        <f t="shared" si="33"/>
        <v>30763082.349099893</v>
      </c>
      <c r="J338" s="251">
        <f t="shared" si="33"/>
        <v>29889550.937127728</v>
      </c>
      <c r="K338" s="251">
        <f t="shared" si="33"/>
        <v>28936061.825762283</v>
      </c>
      <c r="L338" s="450">
        <f t="shared" si="33"/>
        <v>28048408.669840306</v>
      </c>
      <c r="M338" s="450">
        <f t="shared" si="33"/>
        <v>27187985.484947655</v>
      </c>
      <c r="N338" s="450">
        <f t="shared" si="33"/>
        <v>26353956.954590142</v>
      </c>
      <c r="O338" s="447" t="str">
        <f t="shared" si="34"/>
        <v/>
      </c>
      <c r="P338" s="251" t="str">
        <f t="shared" si="35"/>
        <v/>
      </c>
      <c r="Q338" s="251" t="str">
        <f t="shared" si="36"/>
        <v/>
      </c>
      <c r="R338" s="251" t="str">
        <f t="shared" si="37"/>
        <v/>
      </c>
      <c r="S338" s="450">
        <f t="shared" si="38"/>
        <v>26353956.954590142</v>
      </c>
      <c r="T338" s="219"/>
    </row>
    <row r="339" spans="1:20" s="77" customFormat="1">
      <c r="A339" s="474" t="s">
        <v>1053</v>
      </c>
      <c r="B339" s="475"/>
      <c r="C339" s="476">
        <v>15765832.33</v>
      </c>
      <c r="D339" s="476">
        <v>-642817</v>
      </c>
      <c r="E339" s="475">
        <v>240</v>
      </c>
      <c r="F339" s="477" t="s">
        <v>2499</v>
      </c>
      <c r="G339" s="544">
        <v>8.9560810997479994</v>
      </c>
      <c r="H339" s="478">
        <v>15123015.33</v>
      </c>
      <c r="I339" s="447">
        <f t="shared" si="33"/>
        <v>14713394.625321545</v>
      </c>
      <c r="J339" s="251">
        <f t="shared" si="33"/>
        <v>14295601.237906422</v>
      </c>
      <c r="K339" s="251">
        <f t="shared" si="33"/>
        <v>13839565.610290667</v>
      </c>
      <c r="L339" s="450">
        <f t="shared" si="33"/>
        <v>13415018.062509771</v>
      </c>
      <c r="M339" s="450">
        <f t="shared" si="33"/>
        <v>13003494.089702411</v>
      </c>
      <c r="N339" s="450">
        <f t="shared" si="33"/>
        <v>12604594.175946333</v>
      </c>
      <c r="O339" s="447" t="str">
        <f t="shared" si="34"/>
        <v/>
      </c>
      <c r="P339" s="251" t="str">
        <f t="shared" si="35"/>
        <v/>
      </c>
      <c r="Q339" s="251" t="str">
        <f t="shared" si="36"/>
        <v/>
      </c>
      <c r="R339" s="251" t="str">
        <f t="shared" si="37"/>
        <v/>
      </c>
      <c r="S339" s="450">
        <f t="shared" si="38"/>
        <v>12604594.175946333</v>
      </c>
      <c r="T339" s="219"/>
    </row>
    <row r="340" spans="1:20" s="77" customFormat="1">
      <c r="A340" s="474" t="s">
        <v>1117</v>
      </c>
      <c r="B340" s="475"/>
      <c r="C340" s="476">
        <v>178623.25</v>
      </c>
      <c r="D340" s="476">
        <v>-4628.63</v>
      </c>
      <c r="E340" s="475">
        <v>240</v>
      </c>
      <c r="F340" s="477" t="s">
        <v>2498</v>
      </c>
      <c r="G340" s="544">
        <v>36.279301114356798</v>
      </c>
      <c r="H340" s="478">
        <v>173994.62</v>
      </c>
      <c r="I340" s="447">
        <f t="shared" si="33"/>
        <v>169281.81654781569</v>
      </c>
      <c r="J340" s="251">
        <f t="shared" si="33"/>
        <v>164474.98404149656</v>
      </c>
      <c r="K340" s="251">
        <f t="shared" si="33"/>
        <v>159228.16361567442</v>
      </c>
      <c r="L340" s="450">
        <f t="shared" si="33"/>
        <v>154343.62256111816</v>
      </c>
      <c r="M340" s="450">
        <f t="shared" si="33"/>
        <v>149608.92146434245</v>
      </c>
      <c r="N340" s="450">
        <f t="shared" si="33"/>
        <v>145019.46378030916</v>
      </c>
      <c r="O340" s="447" t="str">
        <f t="shared" si="34"/>
        <v/>
      </c>
      <c r="P340" s="251">
        <f t="shared" si="35"/>
        <v>145019.46378030916</v>
      </c>
      <c r="Q340" s="251" t="str">
        <f t="shared" si="36"/>
        <v/>
      </c>
      <c r="R340" s="251" t="str">
        <f t="shared" si="37"/>
        <v/>
      </c>
      <c r="S340" s="450" t="str">
        <f t="shared" si="38"/>
        <v/>
      </c>
      <c r="T340" s="219"/>
    </row>
    <row r="341" spans="1:20" s="77" customFormat="1">
      <c r="A341" s="474" t="s">
        <v>1118</v>
      </c>
      <c r="B341" s="475"/>
      <c r="C341" s="476">
        <v>5175249.92</v>
      </c>
      <c r="D341" s="476">
        <v>-260273.07</v>
      </c>
      <c r="E341" s="475">
        <v>240</v>
      </c>
      <c r="F341" s="477" t="s">
        <v>2498</v>
      </c>
      <c r="G341" s="544">
        <v>7.8615838842169996</v>
      </c>
      <c r="H341" s="478">
        <v>4914976.8499999996</v>
      </c>
      <c r="I341" s="447">
        <f t="shared" si="33"/>
        <v>4781850.2058193581</v>
      </c>
      <c r="J341" s="251">
        <f t="shared" si="33"/>
        <v>4646067.4414420109</v>
      </c>
      <c r="K341" s="251">
        <f t="shared" si="33"/>
        <v>4497855.9569201171</v>
      </c>
      <c r="L341" s="450">
        <f t="shared" si="33"/>
        <v>4359878.0918228012</v>
      </c>
      <c r="M341" s="450">
        <f t="shared" si="33"/>
        <v>4226132.8858944671</v>
      </c>
      <c r="N341" s="450">
        <f t="shared" si="33"/>
        <v>4096490.496543129</v>
      </c>
      <c r="O341" s="447" t="str">
        <f t="shared" si="34"/>
        <v/>
      </c>
      <c r="P341" s="251">
        <f t="shared" si="35"/>
        <v>4096490.496543129</v>
      </c>
      <c r="Q341" s="251" t="str">
        <f t="shared" si="36"/>
        <v/>
      </c>
      <c r="R341" s="251" t="str">
        <f t="shared" si="37"/>
        <v/>
      </c>
      <c r="S341" s="450" t="str">
        <f t="shared" si="38"/>
        <v/>
      </c>
      <c r="T341" s="219"/>
    </row>
    <row r="342" spans="1:20" s="77" customFormat="1">
      <c r="A342" s="474" t="s">
        <v>1119</v>
      </c>
      <c r="B342" s="475"/>
      <c r="C342" s="476">
        <v>11957976.07</v>
      </c>
      <c r="D342" s="476">
        <v>-733558.69</v>
      </c>
      <c r="E342" s="475">
        <v>240</v>
      </c>
      <c r="F342" s="477" t="s">
        <v>2499</v>
      </c>
      <c r="G342" s="544">
        <v>10.7678416549</v>
      </c>
      <c r="H342" s="478">
        <v>11224417.380000001</v>
      </c>
      <c r="I342" s="447">
        <f t="shared" si="33"/>
        <v>10920393.767216908</v>
      </c>
      <c r="J342" s="251">
        <f t="shared" si="33"/>
        <v>10610304.326941814</v>
      </c>
      <c r="K342" s="251">
        <f t="shared" si="33"/>
        <v>10271831.204167461</v>
      </c>
      <c r="L342" s="450">
        <f t="shared" si="33"/>
        <v>9956728.7745286319</v>
      </c>
      <c r="M342" s="450">
        <f t="shared" si="33"/>
        <v>9651292.5416166354</v>
      </c>
      <c r="N342" s="450">
        <f t="shared" si="33"/>
        <v>9355225.9816653114</v>
      </c>
      <c r="O342" s="447" t="str">
        <f t="shared" si="34"/>
        <v/>
      </c>
      <c r="P342" s="251" t="str">
        <f t="shared" si="35"/>
        <v/>
      </c>
      <c r="Q342" s="251" t="str">
        <f t="shared" si="36"/>
        <v/>
      </c>
      <c r="R342" s="251" t="str">
        <f t="shared" si="37"/>
        <v/>
      </c>
      <c r="S342" s="450">
        <f t="shared" si="38"/>
        <v>9355225.9816653114</v>
      </c>
      <c r="T342" s="219"/>
    </row>
    <row r="343" spans="1:20" s="77" customFormat="1">
      <c r="A343" s="474" t="s">
        <v>1120</v>
      </c>
      <c r="B343" s="475"/>
      <c r="C343" s="476">
        <v>12784584.4</v>
      </c>
      <c r="D343" s="476">
        <v>-708403.49</v>
      </c>
      <c r="E343" s="475">
        <v>240</v>
      </c>
      <c r="F343" s="477" t="s">
        <v>2499</v>
      </c>
      <c r="G343" s="544">
        <v>10.7678416549</v>
      </c>
      <c r="H343" s="478">
        <v>12076180.91</v>
      </c>
      <c r="I343" s="447">
        <f t="shared" si="33"/>
        <v>11749086.502817467</v>
      </c>
      <c r="J343" s="251">
        <f t="shared" si="33"/>
        <v>11415465.963571031</v>
      </c>
      <c r="K343" s="251">
        <f t="shared" si="33"/>
        <v>11051307.849575832</v>
      </c>
      <c r="L343" s="450">
        <f t="shared" si="33"/>
        <v>10712293.910885409</v>
      </c>
      <c r="M343" s="450">
        <f t="shared" si="33"/>
        <v>10383679.687069528</v>
      </c>
      <c r="N343" s="450">
        <f t="shared" si="33"/>
        <v>10065146.152692573</v>
      </c>
      <c r="O343" s="447" t="str">
        <f t="shared" si="34"/>
        <v/>
      </c>
      <c r="P343" s="251" t="str">
        <f t="shared" si="35"/>
        <v/>
      </c>
      <c r="Q343" s="251" t="str">
        <f t="shared" si="36"/>
        <v/>
      </c>
      <c r="R343" s="251" t="str">
        <f t="shared" si="37"/>
        <v/>
      </c>
      <c r="S343" s="450">
        <f t="shared" si="38"/>
        <v>10065146.152692573</v>
      </c>
      <c r="T343" s="219"/>
    </row>
    <row r="344" spans="1:20" s="77" customFormat="1">
      <c r="A344" s="474" t="s">
        <v>1054</v>
      </c>
      <c r="B344" s="475"/>
      <c r="C344" s="476">
        <v>6072034.4199999999</v>
      </c>
      <c r="D344" s="476">
        <v>-200545.85</v>
      </c>
      <c r="E344" s="475">
        <v>240</v>
      </c>
      <c r="F344" s="477" t="s">
        <v>2498</v>
      </c>
      <c r="G344" s="544">
        <v>6.7310923233565001</v>
      </c>
      <c r="H344" s="478">
        <v>5871488.5700000003</v>
      </c>
      <c r="I344" s="447">
        <f t="shared" si="33"/>
        <v>5712453.9308706028</v>
      </c>
      <c r="J344" s="251">
        <f t="shared" si="33"/>
        <v>5550246.2596290587</v>
      </c>
      <c r="K344" s="251">
        <f t="shared" si="33"/>
        <v>5373191.0945954677</v>
      </c>
      <c r="L344" s="450">
        <f t="shared" si="33"/>
        <v>5208361.1304763304</v>
      </c>
      <c r="M344" s="450">
        <f t="shared" si="33"/>
        <v>5048587.550281235</v>
      </c>
      <c r="N344" s="450">
        <f t="shared" si="33"/>
        <v>4893715.2425380414</v>
      </c>
      <c r="O344" s="447" t="str">
        <f t="shared" si="34"/>
        <v/>
      </c>
      <c r="P344" s="251">
        <f t="shared" si="35"/>
        <v>4893715.2425380414</v>
      </c>
      <c r="Q344" s="251" t="str">
        <f t="shared" si="36"/>
        <v/>
      </c>
      <c r="R344" s="251" t="str">
        <f t="shared" si="37"/>
        <v/>
      </c>
      <c r="S344" s="450" t="str">
        <f t="shared" si="38"/>
        <v/>
      </c>
      <c r="T344" s="219"/>
    </row>
    <row r="345" spans="1:20" s="77" customFormat="1">
      <c r="A345" s="474" t="s">
        <v>1055</v>
      </c>
      <c r="B345" s="475"/>
      <c r="C345" s="476">
        <v>2049749.46</v>
      </c>
      <c r="D345" s="476">
        <v>-67200.98</v>
      </c>
      <c r="E345" s="475">
        <v>240</v>
      </c>
      <c r="F345" s="477" t="s">
        <v>2498</v>
      </c>
      <c r="G345" s="544">
        <v>0.13501603153</v>
      </c>
      <c r="H345" s="478">
        <v>1982548.48</v>
      </c>
      <c r="I345" s="447">
        <f t="shared" si="33"/>
        <v>1928849.3407928983</v>
      </c>
      <c r="J345" s="251">
        <f t="shared" si="33"/>
        <v>1874078.8054796937</v>
      </c>
      <c r="K345" s="251">
        <f t="shared" si="33"/>
        <v>1814294.9118165071</v>
      </c>
      <c r="L345" s="450">
        <f t="shared" si="33"/>
        <v>1758638.9412858773</v>
      </c>
      <c r="M345" s="450">
        <f t="shared" si="33"/>
        <v>1704690.2935479931</v>
      </c>
      <c r="N345" s="450">
        <f t="shared" si="33"/>
        <v>1652396.5941479513</v>
      </c>
      <c r="O345" s="447" t="str">
        <f t="shared" si="34"/>
        <v/>
      </c>
      <c r="P345" s="251">
        <f t="shared" si="35"/>
        <v>1652396.5941479513</v>
      </c>
      <c r="Q345" s="251" t="str">
        <f t="shared" si="36"/>
        <v/>
      </c>
      <c r="R345" s="251" t="str">
        <f t="shared" si="37"/>
        <v/>
      </c>
      <c r="S345" s="450" t="str">
        <f t="shared" si="38"/>
        <v/>
      </c>
      <c r="T345" s="219"/>
    </row>
    <row r="346" spans="1:20" s="77" customFormat="1">
      <c r="A346" s="474" t="s">
        <v>1056</v>
      </c>
      <c r="B346" s="475"/>
      <c r="C346" s="476">
        <v>243463.21</v>
      </c>
      <c r="D346" s="476">
        <v>-2278.41</v>
      </c>
      <c r="E346" s="475">
        <v>240</v>
      </c>
      <c r="F346" s="477" t="s">
        <v>2498</v>
      </c>
      <c r="G346" s="544">
        <v>0.1429</v>
      </c>
      <c r="H346" s="478">
        <v>241184.8</v>
      </c>
      <c r="I346" s="447">
        <f t="shared" si="33"/>
        <v>234652.08905724567</v>
      </c>
      <c r="J346" s="251">
        <f t="shared" si="33"/>
        <v>227989.03857516707</v>
      </c>
      <c r="K346" s="251">
        <f t="shared" si="33"/>
        <v>220716.09338273629</v>
      </c>
      <c r="L346" s="450">
        <f t="shared" si="33"/>
        <v>213945.32623295346</v>
      </c>
      <c r="M346" s="450">
        <f t="shared" si="33"/>
        <v>207382.26159862379</v>
      </c>
      <c r="N346" s="450">
        <f t="shared" si="33"/>
        <v>201020.52792184672</v>
      </c>
      <c r="O346" s="447" t="str">
        <f t="shared" si="34"/>
        <v/>
      </c>
      <c r="P346" s="251">
        <f t="shared" si="35"/>
        <v>201020.52792184672</v>
      </c>
      <c r="Q346" s="251" t="str">
        <f t="shared" si="36"/>
        <v/>
      </c>
      <c r="R346" s="251" t="str">
        <f t="shared" si="37"/>
        <v/>
      </c>
      <c r="S346" s="450" t="str">
        <f t="shared" si="38"/>
        <v/>
      </c>
      <c r="T346" s="219"/>
    </row>
    <row r="347" spans="1:20" s="77" customFormat="1">
      <c r="A347" s="474" t="s">
        <v>1057</v>
      </c>
      <c r="B347" s="475"/>
      <c r="C347" s="476">
        <v>64511797.469999999</v>
      </c>
      <c r="D347" s="476">
        <v>-842752.99</v>
      </c>
      <c r="E347" s="475">
        <v>240</v>
      </c>
      <c r="F347" s="477" t="s">
        <v>2498</v>
      </c>
      <c r="G347" s="544">
        <v>22.41027563051</v>
      </c>
      <c r="H347" s="478">
        <v>63669044.479999997</v>
      </c>
      <c r="I347" s="447">
        <f t="shared" si="33"/>
        <v>61944510.166107878</v>
      </c>
      <c r="J347" s="251">
        <f t="shared" si="33"/>
        <v>60185568.236450836</v>
      </c>
      <c r="K347" s="251">
        <f t="shared" si="33"/>
        <v>58265623.567643024</v>
      </c>
      <c r="L347" s="450">
        <f t="shared" si="33"/>
        <v>56478246.1092657</v>
      </c>
      <c r="M347" s="450">
        <f t="shared" si="33"/>
        <v>54745698.891828068</v>
      </c>
      <c r="N347" s="450">
        <f t="shared" si="33"/>
        <v>53066299.92291861</v>
      </c>
      <c r="O347" s="447" t="str">
        <f t="shared" si="34"/>
        <v/>
      </c>
      <c r="P347" s="251">
        <f t="shared" si="35"/>
        <v>53066299.92291861</v>
      </c>
      <c r="Q347" s="251" t="str">
        <f t="shared" si="36"/>
        <v/>
      </c>
      <c r="R347" s="251" t="str">
        <f t="shared" si="37"/>
        <v/>
      </c>
      <c r="S347" s="450" t="str">
        <f t="shared" si="38"/>
        <v/>
      </c>
      <c r="T347" s="219"/>
    </row>
    <row r="348" spans="1:20">
      <c r="A348" s="474" t="s">
        <v>1058</v>
      </c>
      <c r="B348" s="475"/>
      <c r="C348" s="476">
        <v>3783932.18</v>
      </c>
      <c r="D348" s="476">
        <v>-118076.45</v>
      </c>
      <c r="E348" s="475">
        <v>240</v>
      </c>
      <c r="F348" s="477" t="s">
        <v>2498</v>
      </c>
      <c r="G348" s="544">
        <v>1.8614876629200001</v>
      </c>
      <c r="H348" s="478">
        <v>3665855.73</v>
      </c>
      <c r="I348" s="447">
        <f t="shared" si="33"/>
        <v>3566562.6740448582</v>
      </c>
      <c r="J348" s="251">
        <f t="shared" si="33"/>
        <v>3465288.5398995592</v>
      </c>
      <c r="K348" s="251">
        <f t="shared" si="33"/>
        <v>3354744.3936364106</v>
      </c>
      <c r="L348" s="450">
        <f t="shared" si="33"/>
        <v>3251833.0345767722</v>
      </c>
      <c r="M348" s="450">
        <f t="shared" si="33"/>
        <v>3152078.621794052</v>
      </c>
      <c r="N348" s="450">
        <f t="shared" si="33"/>
        <v>3055384.3116561528</v>
      </c>
      <c r="O348" s="447" t="str">
        <f t="shared" si="34"/>
        <v/>
      </c>
      <c r="P348" s="251">
        <f t="shared" si="35"/>
        <v>3055384.3116561528</v>
      </c>
      <c r="Q348" s="251" t="str">
        <f t="shared" si="36"/>
        <v/>
      </c>
      <c r="R348" s="251" t="str">
        <f t="shared" si="37"/>
        <v/>
      </c>
      <c r="S348" s="450" t="str">
        <f t="shared" si="38"/>
        <v/>
      </c>
      <c r="T348" s="219"/>
    </row>
    <row r="349" spans="1:20">
      <c r="A349" s="474" t="s">
        <v>1059</v>
      </c>
      <c r="B349" s="475"/>
      <c r="C349" s="476">
        <v>4721127.41</v>
      </c>
      <c r="D349" s="476">
        <v>-1520017.89</v>
      </c>
      <c r="E349" s="475">
        <v>240</v>
      </c>
      <c r="F349" s="477" t="s">
        <v>2498</v>
      </c>
      <c r="G349" s="544">
        <v>8.7307655694531991</v>
      </c>
      <c r="H349" s="478">
        <v>3201109.52</v>
      </c>
      <c r="I349" s="447">
        <f t="shared" si="33"/>
        <v>3114404.5402904204</v>
      </c>
      <c r="J349" s="251">
        <f t="shared" si="33"/>
        <v>3025969.6375501878</v>
      </c>
      <c r="K349" s="251">
        <f t="shared" si="33"/>
        <v>2929439.9470641855</v>
      </c>
      <c r="L349" s="450">
        <f t="shared" si="33"/>
        <v>2839575.3818806703</v>
      </c>
      <c r="M349" s="450">
        <f t="shared" si="33"/>
        <v>2752467.5347803221</v>
      </c>
      <c r="N349" s="450">
        <f t="shared" si="33"/>
        <v>2668031.8396766689</v>
      </c>
      <c r="O349" s="447" t="str">
        <f t="shared" si="34"/>
        <v/>
      </c>
      <c r="P349" s="251">
        <f t="shared" si="35"/>
        <v>2668031.8396766689</v>
      </c>
      <c r="Q349" s="251" t="str">
        <f t="shared" si="36"/>
        <v/>
      </c>
      <c r="R349" s="251" t="str">
        <f t="shared" si="37"/>
        <v/>
      </c>
      <c r="S349" s="450" t="str">
        <f t="shared" si="38"/>
        <v/>
      </c>
      <c r="T349" s="219"/>
    </row>
    <row r="350" spans="1:20">
      <c r="A350" s="474" t="s">
        <v>1060</v>
      </c>
      <c r="B350" s="475"/>
      <c r="C350" s="476">
        <v>116386719.33</v>
      </c>
      <c r="D350" s="476">
        <v>-90345874.400000006</v>
      </c>
      <c r="E350" s="475">
        <v>500</v>
      </c>
      <c r="F350" s="477" t="s">
        <v>2498</v>
      </c>
      <c r="G350" s="544">
        <v>210.37587053839997</v>
      </c>
      <c r="H350" s="478">
        <v>26040844.93</v>
      </c>
      <c r="I350" s="447">
        <f t="shared" si="33"/>
        <v>25335504.823024854</v>
      </c>
      <c r="J350" s="251">
        <f t="shared" si="33"/>
        <v>24616091.890018418</v>
      </c>
      <c r="K350" s="251">
        <f t="shared" si="33"/>
        <v>23830828.316441312</v>
      </c>
      <c r="L350" s="450">
        <f t="shared" si="33"/>
        <v>23099785.160302818</v>
      </c>
      <c r="M350" s="450">
        <f t="shared" si="33"/>
        <v>22391167.74988497</v>
      </c>
      <c r="N350" s="450">
        <f t="shared" si="33"/>
        <v>21704288.144856334</v>
      </c>
      <c r="O350" s="447">
        <f t="shared" si="34"/>
        <v>21704288.144856334</v>
      </c>
      <c r="P350" s="251" t="str">
        <f t="shared" si="35"/>
        <v/>
      </c>
      <c r="Q350" s="251" t="str">
        <f t="shared" si="36"/>
        <v/>
      </c>
      <c r="R350" s="251" t="str">
        <f t="shared" si="37"/>
        <v/>
      </c>
      <c r="S350" s="450" t="str">
        <f t="shared" si="38"/>
        <v/>
      </c>
      <c r="T350" s="219"/>
    </row>
    <row r="351" spans="1:20">
      <c r="A351" s="474" t="s">
        <v>1061</v>
      </c>
      <c r="B351" s="475"/>
      <c r="C351" s="476">
        <v>57439576.030000001</v>
      </c>
      <c r="D351" s="476">
        <v>-36435640.369999997</v>
      </c>
      <c r="E351" s="475">
        <v>500</v>
      </c>
      <c r="F351" s="477" t="s">
        <v>2498</v>
      </c>
      <c r="G351" s="544">
        <v>60.582771334</v>
      </c>
      <c r="H351" s="478">
        <v>21003935.66</v>
      </c>
      <c r="I351" s="447">
        <f t="shared" si="33"/>
        <v>20435024.848344415</v>
      </c>
      <c r="J351" s="251">
        <f t="shared" si="33"/>
        <v>19854763.224788908</v>
      </c>
      <c r="K351" s="251">
        <f t="shared" si="33"/>
        <v>19221388.01673051</v>
      </c>
      <c r="L351" s="450">
        <f t="shared" si="33"/>
        <v>18631745.727569338</v>
      </c>
      <c r="M351" s="450">
        <f t="shared" si="33"/>
        <v>18060191.519709297</v>
      </c>
      <c r="N351" s="450">
        <f t="shared" si="33"/>
        <v>17506170.516590193</v>
      </c>
      <c r="O351" s="447">
        <f t="shared" si="34"/>
        <v>17506170.516590193</v>
      </c>
      <c r="P351" s="251" t="str">
        <f t="shared" si="35"/>
        <v/>
      </c>
      <c r="Q351" s="251" t="str">
        <f t="shared" si="36"/>
        <v/>
      </c>
      <c r="R351" s="251" t="str">
        <f t="shared" si="37"/>
        <v/>
      </c>
      <c r="S351" s="450" t="str">
        <f t="shared" si="38"/>
        <v/>
      </c>
      <c r="T351" s="219"/>
    </row>
    <row r="352" spans="1:20">
      <c r="A352" s="474" t="s">
        <v>1062</v>
      </c>
      <c r="B352" s="475"/>
      <c r="C352" s="476">
        <v>22941533.140000001</v>
      </c>
      <c r="D352" s="476">
        <v>-15873145.01</v>
      </c>
      <c r="E352" s="475">
        <v>500</v>
      </c>
      <c r="F352" s="477" t="s">
        <v>2498</v>
      </c>
      <c r="G352" s="544">
        <v>18.006204565179999</v>
      </c>
      <c r="H352" s="478">
        <v>7068388.1299999999</v>
      </c>
      <c r="I352" s="447">
        <f t="shared" si="33"/>
        <v>6876934.3713697474</v>
      </c>
      <c r="J352" s="251">
        <f t="shared" si="33"/>
        <v>6681660.7598605845</v>
      </c>
      <c r="K352" s="251">
        <f t="shared" si="33"/>
        <v>6468513.0015096506</v>
      </c>
      <c r="L352" s="450">
        <f t="shared" si="33"/>
        <v>6270082.5442315852</v>
      </c>
      <c r="M352" s="450">
        <f t="shared" si="33"/>
        <v>6077739.2118254025</v>
      </c>
      <c r="N352" s="450">
        <f t="shared" si="33"/>
        <v>5891296.2734347889</v>
      </c>
      <c r="O352" s="447">
        <f t="shared" si="34"/>
        <v>5891296.2734347889</v>
      </c>
      <c r="P352" s="251" t="str">
        <f t="shared" si="35"/>
        <v/>
      </c>
      <c r="Q352" s="251" t="str">
        <f t="shared" si="36"/>
        <v/>
      </c>
      <c r="R352" s="251" t="str">
        <f t="shared" si="37"/>
        <v/>
      </c>
      <c r="S352" s="450" t="str">
        <f t="shared" si="38"/>
        <v/>
      </c>
      <c r="T352" s="219"/>
    </row>
    <row r="353" spans="1:20">
      <c r="A353" s="474" t="s">
        <v>1063</v>
      </c>
      <c r="B353" s="475"/>
      <c r="C353" s="476">
        <v>131447480.29000001</v>
      </c>
      <c r="D353" s="476">
        <v>-4239354.33</v>
      </c>
      <c r="E353" s="475">
        <v>500</v>
      </c>
      <c r="F353" s="477" t="s">
        <v>2498</v>
      </c>
      <c r="G353" s="544">
        <v>30.924598194574699</v>
      </c>
      <c r="H353" s="478">
        <v>127208125.95999999</v>
      </c>
      <c r="I353" s="447">
        <f t="shared" si="33"/>
        <v>123762577.49896032</v>
      </c>
      <c r="J353" s="251">
        <f t="shared" si="33"/>
        <v>120248284.04015987</v>
      </c>
      <c r="K353" s="251">
        <f t="shared" si="33"/>
        <v>116412313.74626526</v>
      </c>
      <c r="L353" s="450">
        <f t="shared" si="33"/>
        <v>112841207.27340545</v>
      </c>
      <c r="M353" s="450">
        <f t="shared" si="33"/>
        <v>109379649.36143325</v>
      </c>
      <c r="N353" s="450">
        <f t="shared" si="33"/>
        <v>106024279.45885469</v>
      </c>
      <c r="O353" s="447">
        <f t="shared" si="34"/>
        <v>106024279.45885469</v>
      </c>
      <c r="P353" s="251" t="str">
        <f t="shared" si="35"/>
        <v/>
      </c>
      <c r="Q353" s="251" t="str">
        <f t="shared" si="36"/>
        <v/>
      </c>
      <c r="R353" s="251" t="str">
        <f t="shared" si="37"/>
        <v/>
      </c>
      <c r="S353" s="450" t="str">
        <f t="shared" si="38"/>
        <v/>
      </c>
      <c r="T353" s="219"/>
    </row>
    <row r="354" spans="1:20">
      <c r="A354" s="474" t="s">
        <v>1064</v>
      </c>
      <c r="B354" s="475"/>
      <c r="C354" s="476">
        <v>32331840.43</v>
      </c>
      <c r="D354" s="476">
        <v>-26389064.530000001</v>
      </c>
      <c r="E354" s="475">
        <v>500</v>
      </c>
      <c r="F354" s="477" t="s">
        <v>2498</v>
      </c>
      <c r="G354" s="544">
        <v>62.637623265770003</v>
      </c>
      <c r="H354" s="478">
        <v>5942775.9000000004</v>
      </c>
      <c r="I354" s="447">
        <f t="shared" si="33"/>
        <v>5781810.3783242283</v>
      </c>
      <c r="J354" s="251">
        <f t="shared" si="33"/>
        <v>5617633.2998956544</v>
      </c>
      <c r="K354" s="251">
        <f t="shared" si="33"/>
        <v>5438428.4602390984</v>
      </c>
      <c r="L354" s="450">
        <f t="shared" si="33"/>
        <v>5271597.2509662043</v>
      </c>
      <c r="M354" s="450">
        <f t="shared" si="33"/>
        <v>5109883.8165414948</v>
      </c>
      <c r="N354" s="450">
        <f t="shared" si="33"/>
        <v>4953131.1622425122</v>
      </c>
      <c r="O354" s="447">
        <f t="shared" si="34"/>
        <v>4953131.1622425122</v>
      </c>
      <c r="P354" s="251" t="str">
        <f t="shared" si="35"/>
        <v/>
      </c>
      <c r="Q354" s="251" t="str">
        <f t="shared" si="36"/>
        <v/>
      </c>
      <c r="R354" s="251" t="str">
        <f t="shared" si="37"/>
        <v/>
      </c>
      <c r="S354" s="450" t="str">
        <f t="shared" si="38"/>
        <v/>
      </c>
      <c r="T354" s="219"/>
    </row>
    <row r="355" spans="1:20">
      <c r="A355" s="474" t="s">
        <v>1065</v>
      </c>
      <c r="B355" s="475"/>
      <c r="C355" s="476">
        <v>131447479.05</v>
      </c>
      <c r="D355" s="476">
        <v>-4239354.3499999996</v>
      </c>
      <c r="E355" s="475">
        <v>500</v>
      </c>
      <c r="F355" s="477" t="s">
        <v>2498</v>
      </c>
      <c r="G355" s="544">
        <v>30.9245722747076</v>
      </c>
      <c r="H355" s="478">
        <v>127208124.7</v>
      </c>
      <c r="I355" s="447">
        <f t="shared" si="33"/>
        <v>123762576.27308857</v>
      </c>
      <c r="J355" s="251">
        <f t="shared" si="33"/>
        <v>120248282.84909731</v>
      </c>
      <c r="K355" s="251">
        <f t="shared" si="33"/>
        <v>116412312.59319809</v>
      </c>
      <c r="L355" s="450">
        <f t="shared" si="33"/>
        <v>112841206.15571018</v>
      </c>
      <c r="M355" s="450">
        <f t="shared" si="33"/>
        <v>109379648.27802481</v>
      </c>
      <c r="N355" s="450">
        <f t="shared" si="33"/>
        <v>106024278.40868127</v>
      </c>
      <c r="O355" s="447">
        <f t="shared" si="34"/>
        <v>106024278.40868127</v>
      </c>
      <c r="P355" s="251" t="str">
        <f t="shared" si="35"/>
        <v/>
      </c>
      <c r="Q355" s="251" t="str">
        <f t="shared" si="36"/>
        <v/>
      </c>
      <c r="R355" s="251" t="str">
        <f t="shared" si="37"/>
        <v/>
      </c>
      <c r="S355" s="450" t="str">
        <f t="shared" si="38"/>
        <v/>
      </c>
      <c r="T355" s="219"/>
    </row>
    <row r="356" spans="1:20">
      <c r="A356" s="474" t="s">
        <v>1066</v>
      </c>
      <c r="B356" s="475"/>
      <c r="C356" s="476">
        <v>2844125.75</v>
      </c>
      <c r="D356" s="476">
        <v>-299667.13</v>
      </c>
      <c r="E356" s="475">
        <v>500</v>
      </c>
      <c r="F356" s="477" t="s">
        <v>2498</v>
      </c>
      <c r="G356" s="544">
        <v>0.25410615047399998</v>
      </c>
      <c r="H356" s="478">
        <v>2544458.62</v>
      </c>
      <c r="I356" s="447">
        <f t="shared" si="33"/>
        <v>2475539.6306181671</v>
      </c>
      <c r="J356" s="251">
        <f t="shared" si="33"/>
        <v>2405245.5812642272</v>
      </c>
      <c r="K356" s="251">
        <f t="shared" si="33"/>
        <v>2328517.2464451673</v>
      </c>
      <c r="L356" s="450">
        <f t="shared" si="33"/>
        <v>2257086.8045670814</v>
      </c>
      <c r="M356" s="450">
        <f t="shared" si="33"/>
        <v>2187847.5889015947</v>
      </c>
      <c r="N356" s="450">
        <f t="shared" si="33"/>
        <v>2120732.380596512</v>
      </c>
      <c r="O356" s="447">
        <f t="shared" si="34"/>
        <v>2120732.380596512</v>
      </c>
      <c r="P356" s="251" t="str">
        <f t="shared" si="35"/>
        <v/>
      </c>
      <c r="Q356" s="251" t="str">
        <f t="shared" si="36"/>
        <v/>
      </c>
      <c r="R356" s="251" t="str">
        <f t="shared" si="37"/>
        <v/>
      </c>
      <c r="S356" s="450" t="str">
        <f t="shared" si="38"/>
        <v/>
      </c>
      <c r="T356" s="219"/>
    </row>
    <row r="357" spans="1:20">
      <c r="A357" s="474" t="s">
        <v>1067</v>
      </c>
      <c r="B357" s="475"/>
      <c r="C357" s="476">
        <v>4281903.4400000004</v>
      </c>
      <c r="D357" s="476">
        <v>-47644.49</v>
      </c>
      <c r="E357" s="475">
        <v>25</v>
      </c>
      <c r="F357" s="477" t="s">
        <v>2498</v>
      </c>
      <c r="G357" s="544">
        <v>0.50629999999999997</v>
      </c>
      <c r="H357" s="478">
        <v>4234258.95</v>
      </c>
      <c r="I357" s="447">
        <f t="shared" si="33"/>
        <v>4119570.1728584869</v>
      </c>
      <c r="J357" s="251">
        <f t="shared" si="33"/>
        <v>4002593.1447122558</v>
      </c>
      <c r="K357" s="251">
        <f t="shared" si="33"/>
        <v>3874908.7579934015</v>
      </c>
      <c r="L357" s="450">
        <f t="shared" si="33"/>
        <v>3756040.647721387</v>
      </c>
      <c r="M357" s="450">
        <f t="shared" si="33"/>
        <v>3640818.9788295706</v>
      </c>
      <c r="N357" s="450">
        <f t="shared" si="33"/>
        <v>3529131.8917560494</v>
      </c>
      <c r="O357" s="447" t="str">
        <f t="shared" si="34"/>
        <v/>
      </c>
      <c r="P357" s="251" t="str">
        <f t="shared" si="35"/>
        <v/>
      </c>
      <c r="Q357" s="251" t="str">
        <f t="shared" si="36"/>
        <v/>
      </c>
      <c r="R357" s="251" t="str">
        <f t="shared" si="37"/>
        <v/>
      </c>
      <c r="S357" s="450">
        <f t="shared" si="38"/>
        <v>3529131.8917560494</v>
      </c>
      <c r="T357" s="219"/>
    </row>
    <row r="358" spans="1:20">
      <c r="A358" s="474" t="s">
        <v>1068</v>
      </c>
      <c r="B358" s="475"/>
      <c r="C358" s="476">
        <v>4281903.43</v>
      </c>
      <c r="D358" s="476">
        <v>-47644.49</v>
      </c>
      <c r="E358" s="475">
        <v>25</v>
      </c>
      <c r="F358" s="477" t="s">
        <v>2498</v>
      </c>
      <c r="G358" s="544">
        <v>0.50629999999999997</v>
      </c>
      <c r="H358" s="478">
        <v>4234258.9400000004</v>
      </c>
      <c r="I358" s="447">
        <f t="shared" si="33"/>
        <v>4119570.1631293464</v>
      </c>
      <c r="J358" s="251">
        <f t="shared" si="33"/>
        <v>4002593.1352593787</v>
      </c>
      <c r="K358" s="251">
        <f t="shared" si="33"/>
        <v>3874908.748842075</v>
      </c>
      <c r="L358" s="450">
        <f t="shared" si="33"/>
        <v>3756040.6388507895</v>
      </c>
      <c r="M358" s="450">
        <f t="shared" si="33"/>
        <v>3640818.9702310907</v>
      </c>
      <c r="N358" s="450">
        <f t="shared" si="33"/>
        <v>3529131.88342134</v>
      </c>
      <c r="O358" s="447" t="str">
        <f t="shared" si="34"/>
        <v/>
      </c>
      <c r="P358" s="251" t="str">
        <f t="shared" si="35"/>
        <v/>
      </c>
      <c r="Q358" s="251" t="str">
        <f t="shared" si="36"/>
        <v/>
      </c>
      <c r="R358" s="251" t="str">
        <f t="shared" si="37"/>
        <v/>
      </c>
      <c r="S358" s="450">
        <f t="shared" si="38"/>
        <v>3529131.88342134</v>
      </c>
      <c r="T358" s="219"/>
    </row>
    <row r="359" spans="1:20">
      <c r="A359" s="474" t="s">
        <v>1069</v>
      </c>
      <c r="B359" s="475"/>
      <c r="C359" s="476">
        <v>65688.92</v>
      </c>
      <c r="D359" s="476">
        <v>-74878.84</v>
      </c>
      <c r="E359" s="475">
        <v>138</v>
      </c>
      <c r="F359" s="477" t="s">
        <v>2499</v>
      </c>
      <c r="G359" s="544">
        <v>0.47633778510300001</v>
      </c>
      <c r="H359" s="478">
        <v>-9189.92</v>
      </c>
      <c r="I359" s="447">
        <f t="shared" si="33"/>
        <v>-8941.0026099031256</v>
      </c>
      <c r="J359" s="251">
        <f t="shared" si="33"/>
        <v>-8687.118862310972</v>
      </c>
      <c r="K359" s="251">
        <f t="shared" si="33"/>
        <v>-8409.9961560590709</v>
      </c>
      <c r="L359" s="450">
        <f t="shared" si="33"/>
        <v>-8152.008055460974</v>
      </c>
      <c r="M359" s="450">
        <f t="shared" si="33"/>
        <v>-7901.9340916609372</v>
      </c>
      <c r="N359" s="450">
        <f t="shared" si="33"/>
        <v>-7659.5314877203609</v>
      </c>
      <c r="O359" s="447" t="str">
        <f t="shared" si="34"/>
        <v/>
      </c>
      <c r="P359" s="251" t="str">
        <f t="shared" si="35"/>
        <v/>
      </c>
      <c r="Q359" s="251" t="str">
        <f t="shared" si="36"/>
        <v/>
      </c>
      <c r="R359" s="251" t="str">
        <f t="shared" si="37"/>
        <v/>
      </c>
      <c r="S359" s="450">
        <f t="shared" si="38"/>
        <v>-7659.5314877203609</v>
      </c>
      <c r="T359" s="219"/>
    </row>
    <row r="360" spans="1:20">
      <c r="A360" s="474" t="s">
        <v>1070</v>
      </c>
      <c r="B360" s="475"/>
      <c r="C360" s="476">
        <v>44871.95</v>
      </c>
      <c r="D360" s="476">
        <v>-45829.7</v>
      </c>
      <c r="E360" s="475">
        <v>138</v>
      </c>
      <c r="F360" s="477" t="s">
        <v>2499</v>
      </c>
      <c r="G360" s="544">
        <v>0.114933801886</v>
      </c>
      <c r="H360" s="478">
        <v>-957.75</v>
      </c>
      <c r="I360" s="447">
        <f t="shared" si="33"/>
        <v>-931.80846510467097</v>
      </c>
      <c r="J360" s="251">
        <f t="shared" si="33"/>
        <v>-905.34934911058349</v>
      </c>
      <c r="K360" s="251">
        <f t="shared" si="33"/>
        <v>-876.4683281753895</v>
      </c>
      <c r="L360" s="450">
        <f t="shared" si="33"/>
        <v>-849.58146698967425</v>
      </c>
      <c r="M360" s="450">
        <f t="shared" si="33"/>
        <v>-823.51939693580175</v>
      </c>
      <c r="N360" s="450">
        <f t="shared" si="33"/>
        <v>-798.2568164210544</v>
      </c>
      <c r="O360" s="447" t="str">
        <f t="shared" si="34"/>
        <v/>
      </c>
      <c r="P360" s="251" t="str">
        <f t="shared" si="35"/>
        <v/>
      </c>
      <c r="Q360" s="251" t="str">
        <f t="shared" si="36"/>
        <v/>
      </c>
      <c r="R360" s="251" t="str">
        <f t="shared" si="37"/>
        <v/>
      </c>
      <c r="S360" s="450">
        <f t="shared" si="38"/>
        <v>-798.2568164210544</v>
      </c>
      <c r="T360" s="219"/>
    </row>
    <row r="361" spans="1:20">
      <c r="A361" s="474" t="s">
        <v>1071</v>
      </c>
      <c r="B361" s="475"/>
      <c r="C361" s="476">
        <v>264091.19</v>
      </c>
      <c r="D361" s="476">
        <v>-221243.38</v>
      </c>
      <c r="E361" s="475">
        <v>69</v>
      </c>
      <c r="F361" s="477" t="s">
        <v>2499</v>
      </c>
      <c r="G361" s="544">
        <v>7.5206519842099997</v>
      </c>
      <c r="H361" s="478">
        <v>42847.81</v>
      </c>
      <c r="I361" s="447">
        <f t="shared" si="33"/>
        <v>41687.237869168959</v>
      </c>
      <c r="J361" s="251">
        <f t="shared" si="33"/>
        <v>40503.510200275596</v>
      </c>
      <c r="K361" s="251">
        <f t="shared" si="33"/>
        <v>39211.431372150073</v>
      </c>
      <c r="L361" s="450">
        <f t="shared" si="33"/>
        <v>38008.567243116508</v>
      </c>
      <c r="M361" s="450">
        <f t="shared" si="33"/>
        <v>36842.602611558141</v>
      </c>
      <c r="N361" s="450">
        <f t="shared" si="33"/>
        <v>35712.40553507096</v>
      </c>
      <c r="O361" s="447" t="str">
        <f t="shared" si="34"/>
        <v/>
      </c>
      <c r="P361" s="251" t="str">
        <f t="shared" si="35"/>
        <v/>
      </c>
      <c r="Q361" s="251" t="str">
        <f t="shared" si="36"/>
        <v/>
      </c>
      <c r="R361" s="251" t="str">
        <f t="shared" si="37"/>
        <v/>
      </c>
      <c r="S361" s="450">
        <f t="shared" si="38"/>
        <v>35712.40553507096</v>
      </c>
      <c r="T361" s="219"/>
    </row>
    <row r="362" spans="1:20">
      <c r="A362" s="474" t="s">
        <v>1072</v>
      </c>
      <c r="B362" s="475"/>
      <c r="C362" s="476">
        <v>400870.34</v>
      </c>
      <c r="D362" s="476">
        <v>-252866.43</v>
      </c>
      <c r="E362" s="475">
        <v>138</v>
      </c>
      <c r="F362" s="477" t="s">
        <v>2499</v>
      </c>
      <c r="G362" s="544">
        <v>9.6810500297100006</v>
      </c>
      <c r="H362" s="478">
        <v>148003.91</v>
      </c>
      <c r="I362" s="447">
        <f t="shared" si="33"/>
        <v>143995.0887043486</v>
      </c>
      <c r="J362" s="251">
        <f t="shared" si="33"/>
        <v>139906.28408699701</v>
      </c>
      <c r="K362" s="251">
        <f t="shared" si="33"/>
        <v>135443.21541229007</v>
      </c>
      <c r="L362" s="450">
        <f t="shared" si="33"/>
        <v>131288.31007883867</v>
      </c>
      <c r="M362" s="450">
        <f t="shared" si="33"/>
        <v>127260.8621324361</v>
      </c>
      <c r="N362" s="450">
        <f t="shared" si="33"/>
        <v>123356.96164392405</v>
      </c>
      <c r="O362" s="447" t="str">
        <f t="shared" si="34"/>
        <v/>
      </c>
      <c r="P362" s="251" t="str">
        <f t="shared" si="35"/>
        <v/>
      </c>
      <c r="Q362" s="251" t="str">
        <f t="shared" si="36"/>
        <v/>
      </c>
      <c r="R362" s="251" t="str">
        <f t="shared" si="37"/>
        <v/>
      </c>
      <c r="S362" s="450">
        <f t="shared" si="38"/>
        <v>123356.96164392405</v>
      </c>
      <c r="T362" s="219"/>
    </row>
    <row r="363" spans="1:20">
      <c r="A363" s="474" t="s">
        <v>1073</v>
      </c>
      <c r="B363" s="475"/>
      <c r="C363" s="476">
        <v>1074684.47</v>
      </c>
      <c r="D363" s="476">
        <v>-296362.12</v>
      </c>
      <c r="E363" s="475">
        <v>138</v>
      </c>
      <c r="F363" s="477" t="s">
        <v>2499</v>
      </c>
      <c r="G363" s="544">
        <v>3.1080922154879995</v>
      </c>
      <c r="H363" s="478">
        <v>778322.35</v>
      </c>
      <c r="I363" s="447">
        <f t="shared" si="33"/>
        <v>757240.77714451635</v>
      </c>
      <c r="J363" s="251">
        <f t="shared" si="33"/>
        <v>735738.58832755918</v>
      </c>
      <c r="K363" s="251">
        <f t="shared" si="33"/>
        <v>712268.22123314056</v>
      </c>
      <c r="L363" s="450">
        <f t="shared" si="33"/>
        <v>690418.42224364472</v>
      </c>
      <c r="M363" s="450">
        <f t="shared" si="33"/>
        <v>669238.89563420101</v>
      </c>
      <c r="N363" s="450">
        <f t="shared" si="33"/>
        <v>648709.07988551666</v>
      </c>
      <c r="O363" s="447" t="str">
        <f t="shared" si="34"/>
        <v/>
      </c>
      <c r="P363" s="251" t="str">
        <f t="shared" si="35"/>
        <v/>
      </c>
      <c r="Q363" s="251" t="str">
        <f t="shared" si="36"/>
        <v/>
      </c>
      <c r="R363" s="251" t="str">
        <f t="shared" si="37"/>
        <v/>
      </c>
      <c r="S363" s="450">
        <f t="shared" si="38"/>
        <v>648709.07988551666</v>
      </c>
      <c r="T363" s="219"/>
    </row>
    <row r="364" spans="1:20">
      <c r="A364" s="474" t="s">
        <v>1074</v>
      </c>
      <c r="B364" s="475"/>
      <c r="C364" s="476">
        <v>215571.34</v>
      </c>
      <c r="D364" s="476">
        <v>-197657.99</v>
      </c>
      <c r="E364" s="475">
        <v>138</v>
      </c>
      <c r="F364" s="477" t="s">
        <v>2499</v>
      </c>
      <c r="G364" s="544">
        <v>4.29269299034</v>
      </c>
      <c r="H364" s="478">
        <v>17913.349999999999</v>
      </c>
      <c r="I364" s="447">
        <f t="shared" si="33"/>
        <v>17428.15052819917</v>
      </c>
      <c r="J364" s="251">
        <f t="shared" si="33"/>
        <v>16933.270438935077</v>
      </c>
      <c r="K364" s="251">
        <f t="shared" si="33"/>
        <v>16393.092066322748</v>
      </c>
      <c r="L364" s="450">
        <f t="shared" si="33"/>
        <v>15890.211612320001</v>
      </c>
      <c r="M364" s="450">
        <f t="shared" si="33"/>
        <v>15402.757702009858</v>
      </c>
      <c r="N364" s="450">
        <f t="shared" si="33"/>
        <v>14930.257105127739</v>
      </c>
      <c r="O364" s="447" t="str">
        <f t="shared" si="34"/>
        <v/>
      </c>
      <c r="P364" s="251" t="str">
        <f t="shared" si="35"/>
        <v/>
      </c>
      <c r="Q364" s="251" t="str">
        <f t="shared" si="36"/>
        <v/>
      </c>
      <c r="R364" s="251" t="str">
        <f t="shared" si="37"/>
        <v/>
      </c>
      <c r="S364" s="450">
        <f t="shared" si="38"/>
        <v>14930.257105127739</v>
      </c>
      <c r="T364" s="219"/>
    </row>
    <row r="365" spans="1:20">
      <c r="A365" s="474" t="s">
        <v>1075</v>
      </c>
      <c r="B365" s="475"/>
      <c r="C365" s="476">
        <v>56757.85</v>
      </c>
      <c r="D365" s="476">
        <v>-37028.9</v>
      </c>
      <c r="E365" s="475">
        <v>69</v>
      </c>
      <c r="F365" s="477" t="s">
        <v>2499</v>
      </c>
      <c r="G365" s="544">
        <v>2.6604006304599999</v>
      </c>
      <c r="H365" s="478">
        <v>19728.95</v>
      </c>
      <c r="I365" s="447">
        <f t="shared" ref="I365:N407" si="39">+$H365*(I$3)</f>
        <v>19194.573341296578</v>
      </c>
      <c r="J365" s="251">
        <f t="shared" si="39"/>
        <v>18649.534890248236</v>
      </c>
      <c r="K365" s="251">
        <f t="shared" si="39"/>
        <v>18054.606967534171</v>
      </c>
      <c r="L365" s="450">
        <f t="shared" si="39"/>
        <v>17500.757278168556</v>
      </c>
      <c r="M365" s="450">
        <f t="shared" si="39"/>
        <v>16963.897683295836</v>
      </c>
      <c r="N365" s="450">
        <f t="shared" si="39"/>
        <v>16443.506988598445</v>
      </c>
      <c r="O365" s="447" t="str">
        <f t="shared" si="34"/>
        <v/>
      </c>
      <c r="P365" s="251" t="str">
        <f t="shared" si="35"/>
        <v/>
      </c>
      <c r="Q365" s="251" t="str">
        <f t="shared" si="36"/>
        <v/>
      </c>
      <c r="R365" s="251" t="str">
        <f t="shared" si="37"/>
        <v/>
      </c>
      <c r="S365" s="450">
        <f t="shared" si="38"/>
        <v>16443.506988598445</v>
      </c>
      <c r="T365" s="219"/>
    </row>
    <row r="366" spans="1:20">
      <c r="A366" s="474" t="s">
        <v>1076</v>
      </c>
      <c r="B366" s="475"/>
      <c r="C366" s="476">
        <v>404226</v>
      </c>
      <c r="D366" s="476">
        <v>-23606.92</v>
      </c>
      <c r="E366" s="475">
        <v>138</v>
      </c>
      <c r="F366" s="477" t="s">
        <v>2499</v>
      </c>
      <c r="G366" s="544">
        <v>0.26140000000000002</v>
      </c>
      <c r="H366" s="478">
        <v>380619.08</v>
      </c>
      <c r="I366" s="447">
        <f t="shared" si="39"/>
        <v>370309.66402960272</v>
      </c>
      <c r="J366" s="251">
        <f t="shared" si="39"/>
        <v>359794.55634254153</v>
      </c>
      <c r="K366" s="251">
        <f t="shared" si="39"/>
        <v>348316.96029157384</v>
      </c>
      <c r="L366" s="450">
        <f t="shared" si="39"/>
        <v>337631.86254310649</v>
      </c>
      <c r="M366" s="450">
        <f t="shared" si="39"/>
        <v>327274.54473908606</v>
      </c>
      <c r="N366" s="450">
        <f t="shared" si="39"/>
        <v>317234.95178273099</v>
      </c>
      <c r="O366" s="447" t="str">
        <f t="shared" si="34"/>
        <v/>
      </c>
      <c r="P366" s="251" t="str">
        <f t="shared" si="35"/>
        <v/>
      </c>
      <c r="Q366" s="251" t="str">
        <f t="shared" si="36"/>
        <v/>
      </c>
      <c r="R366" s="251" t="str">
        <f t="shared" si="37"/>
        <v/>
      </c>
      <c r="S366" s="450">
        <f t="shared" si="38"/>
        <v>317234.95178273099</v>
      </c>
      <c r="T366" s="219"/>
    </row>
    <row r="367" spans="1:20">
      <c r="A367" s="474" t="s">
        <v>1077</v>
      </c>
      <c r="B367" s="475"/>
      <c r="C367" s="476">
        <v>475112.85</v>
      </c>
      <c r="D367" s="476">
        <v>-168521.64</v>
      </c>
      <c r="E367" s="475">
        <v>138</v>
      </c>
      <c r="F367" s="477" t="s">
        <v>2499</v>
      </c>
      <c r="G367" s="544">
        <v>0.86337901823100005</v>
      </c>
      <c r="H367" s="478">
        <v>306591.21000000002</v>
      </c>
      <c r="I367" s="447">
        <f t="shared" si="39"/>
        <v>298286.90660891036</v>
      </c>
      <c r="J367" s="251">
        <f t="shared" si="39"/>
        <v>289816.91716682457</v>
      </c>
      <c r="K367" s="251">
        <f t="shared" si="39"/>
        <v>280571.63692192093</v>
      </c>
      <c r="L367" s="450">
        <f t="shared" si="39"/>
        <v>271964.71935049788</v>
      </c>
      <c r="M367" s="450">
        <f t="shared" si="39"/>
        <v>263621.83071262622</v>
      </c>
      <c r="N367" s="450">
        <f t="shared" si="39"/>
        <v>255534.87156071933</v>
      </c>
      <c r="O367" s="447" t="str">
        <f t="shared" si="34"/>
        <v/>
      </c>
      <c r="P367" s="251" t="str">
        <f t="shared" si="35"/>
        <v/>
      </c>
      <c r="Q367" s="251" t="str">
        <f t="shared" si="36"/>
        <v/>
      </c>
      <c r="R367" s="251" t="str">
        <f t="shared" si="37"/>
        <v/>
      </c>
      <c r="S367" s="450">
        <f t="shared" si="38"/>
        <v>255534.87156071933</v>
      </c>
      <c r="T367" s="219"/>
    </row>
    <row r="368" spans="1:20">
      <c r="A368" s="474" t="s">
        <v>1078</v>
      </c>
      <c r="B368" s="475"/>
      <c r="C368" s="476">
        <v>109733.91</v>
      </c>
      <c r="D368" s="476">
        <v>-142044.54</v>
      </c>
      <c r="E368" s="475">
        <v>69</v>
      </c>
      <c r="F368" s="477" t="s">
        <v>2498</v>
      </c>
      <c r="G368" s="544">
        <v>2.4507050280000001E-2</v>
      </c>
      <c r="H368" s="478">
        <v>-32310.63</v>
      </c>
      <c r="I368" s="447">
        <f t="shared" si="39"/>
        <v>-31435.467028833136</v>
      </c>
      <c r="J368" s="251">
        <f t="shared" si="39"/>
        <v>-30542.842954688484</v>
      </c>
      <c r="K368" s="251">
        <f t="shared" si="39"/>
        <v>-29568.513556140522</v>
      </c>
      <c r="L368" s="450">
        <f t="shared" si="39"/>
        <v>-28661.459080929868</v>
      </c>
      <c r="M368" s="450">
        <f t="shared" si="39"/>
        <v>-27782.229738674836</v>
      </c>
      <c r="N368" s="450">
        <f t="shared" si="39"/>
        <v>-26929.971955477537</v>
      </c>
      <c r="O368" s="447" t="str">
        <f t="shared" si="34"/>
        <v/>
      </c>
      <c r="P368" s="251" t="str">
        <f t="shared" si="35"/>
        <v/>
      </c>
      <c r="Q368" s="251" t="str">
        <f t="shared" si="36"/>
        <v/>
      </c>
      <c r="R368" s="251">
        <f t="shared" si="37"/>
        <v>-26929.971955477537</v>
      </c>
      <c r="S368" s="450" t="str">
        <f t="shared" si="38"/>
        <v/>
      </c>
      <c r="T368" s="219"/>
    </row>
    <row r="369" spans="1:20">
      <c r="A369" s="474" t="s">
        <v>1079</v>
      </c>
      <c r="B369" s="475"/>
      <c r="C369" s="476">
        <v>54872.63</v>
      </c>
      <c r="D369" s="476">
        <v>-20470.419999999998</v>
      </c>
      <c r="E369" s="475">
        <v>69</v>
      </c>
      <c r="F369" s="477" t="s">
        <v>2499</v>
      </c>
      <c r="G369" s="544">
        <v>6.1928840273099998E-3</v>
      </c>
      <c r="H369" s="478">
        <v>34402.21</v>
      </c>
      <c r="I369" s="447">
        <f t="shared" si="39"/>
        <v>33470.394671165297</v>
      </c>
      <c r="J369" s="251">
        <f t="shared" si="39"/>
        <v>32519.987921133499</v>
      </c>
      <c r="K369" s="251">
        <f t="shared" si="39"/>
        <v>31482.586775503696</v>
      </c>
      <c r="L369" s="450">
        <f t="shared" si="39"/>
        <v>30516.815494113122</v>
      </c>
      <c r="M369" s="450">
        <f t="shared" si="39"/>
        <v>29580.670563778443</v>
      </c>
      <c r="N369" s="450">
        <f t="shared" si="39"/>
        <v>28673.243155780277</v>
      </c>
      <c r="O369" s="447" t="str">
        <f t="shared" si="34"/>
        <v/>
      </c>
      <c r="P369" s="251" t="str">
        <f t="shared" si="35"/>
        <v/>
      </c>
      <c r="Q369" s="251" t="str">
        <f t="shared" si="36"/>
        <v/>
      </c>
      <c r="R369" s="251" t="str">
        <f t="shared" si="37"/>
        <v/>
      </c>
      <c r="S369" s="450">
        <f t="shared" si="38"/>
        <v>28673.243155780277</v>
      </c>
      <c r="T369" s="219"/>
    </row>
    <row r="370" spans="1:20">
      <c r="A370" s="474" t="s">
        <v>1080</v>
      </c>
      <c r="B370" s="475"/>
      <c r="C370" s="476">
        <v>1281.3900000000001</v>
      </c>
      <c r="D370" s="476">
        <v>-1180.1500000000001</v>
      </c>
      <c r="E370" s="475">
        <v>69</v>
      </c>
      <c r="F370" s="477" t="s">
        <v>2499</v>
      </c>
      <c r="G370" s="544">
        <v>0.11110817215999999</v>
      </c>
      <c r="H370" s="478">
        <v>101.24</v>
      </c>
      <c r="I370" s="447">
        <f t="shared" si="39"/>
        <v>98.49782198611004</v>
      </c>
      <c r="J370" s="251">
        <f t="shared" si="39"/>
        <v>95.70093250217225</v>
      </c>
      <c r="K370" s="251">
        <f t="shared" si="39"/>
        <v>92.648032936023426</v>
      </c>
      <c r="L370" s="450">
        <f t="shared" si="39"/>
        <v>89.805928183800177</v>
      </c>
      <c r="M370" s="450">
        <f t="shared" si="39"/>
        <v>87.051008870561802</v>
      </c>
      <c r="N370" s="450">
        <f t="shared" si="39"/>
        <v>84.380600464074689</v>
      </c>
      <c r="O370" s="447" t="str">
        <f t="shared" si="34"/>
        <v/>
      </c>
      <c r="P370" s="251" t="str">
        <f t="shared" si="35"/>
        <v/>
      </c>
      <c r="Q370" s="251" t="str">
        <f t="shared" si="36"/>
        <v/>
      </c>
      <c r="R370" s="251" t="str">
        <f t="shared" si="37"/>
        <v/>
      </c>
      <c r="S370" s="450">
        <f t="shared" si="38"/>
        <v>84.380600464074689</v>
      </c>
      <c r="T370" s="219"/>
    </row>
    <row r="371" spans="1:20">
      <c r="A371" s="474" t="s">
        <v>1081</v>
      </c>
      <c r="B371" s="475"/>
      <c r="C371" s="476">
        <v>168828.52</v>
      </c>
      <c r="D371" s="476">
        <v>-10662.07</v>
      </c>
      <c r="E371" s="475">
        <v>69</v>
      </c>
      <c r="F371" s="477" t="s">
        <v>2499</v>
      </c>
      <c r="G371" s="544">
        <v>3.1778866034699996E-2</v>
      </c>
      <c r="H371" s="478">
        <v>158166.45000000001</v>
      </c>
      <c r="I371" s="447">
        <f t="shared" si="39"/>
        <v>153882.36701180338</v>
      </c>
      <c r="J371" s="251">
        <f t="shared" si="39"/>
        <v>149512.80872736275</v>
      </c>
      <c r="K371" s="251">
        <f t="shared" si="39"/>
        <v>144743.28791953679</v>
      </c>
      <c r="L371" s="450">
        <f t="shared" si="39"/>
        <v>140303.0901796387</v>
      </c>
      <c r="M371" s="450">
        <f t="shared" si="39"/>
        <v>135999.10156040371</v>
      </c>
      <c r="N371" s="450">
        <f t="shared" si="39"/>
        <v>131827.14366131023</v>
      </c>
      <c r="O371" s="447" t="str">
        <f t="shared" si="34"/>
        <v/>
      </c>
      <c r="P371" s="251" t="str">
        <f t="shared" si="35"/>
        <v/>
      </c>
      <c r="Q371" s="251" t="str">
        <f t="shared" si="36"/>
        <v/>
      </c>
      <c r="R371" s="251" t="str">
        <f t="shared" si="37"/>
        <v/>
      </c>
      <c r="S371" s="450">
        <f t="shared" si="38"/>
        <v>131827.14366131023</v>
      </c>
      <c r="T371" s="219"/>
    </row>
    <row r="372" spans="1:20">
      <c r="A372" s="474" t="s">
        <v>1082</v>
      </c>
      <c r="B372" s="475"/>
      <c r="C372" s="476">
        <v>908601.48</v>
      </c>
      <c r="D372" s="476">
        <v>-222544.22</v>
      </c>
      <c r="E372" s="475">
        <v>138</v>
      </c>
      <c r="F372" s="477" t="s">
        <v>2499</v>
      </c>
      <c r="G372" s="544">
        <v>1.6851097402699999</v>
      </c>
      <c r="H372" s="478">
        <v>686057.26</v>
      </c>
      <c r="I372" s="447">
        <f t="shared" si="39"/>
        <v>667474.77151084959</v>
      </c>
      <c r="J372" s="251">
        <f t="shared" si="39"/>
        <v>648521.5283671004</v>
      </c>
      <c r="K372" s="251">
        <f t="shared" si="39"/>
        <v>627833.42177477269</v>
      </c>
      <c r="L372" s="450">
        <f t="shared" si="39"/>
        <v>608573.77540038258</v>
      </c>
      <c r="M372" s="450">
        <f t="shared" si="39"/>
        <v>589904.94494244689</v>
      </c>
      <c r="N372" s="450">
        <f t="shared" si="39"/>
        <v>571808.80631704675</v>
      </c>
      <c r="O372" s="447" t="str">
        <f t="shared" si="34"/>
        <v/>
      </c>
      <c r="P372" s="251" t="str">
        <f t="shared" si="35"/>
        <v/>
      </c>
      <c r="Q372" s="251" t="str">
        <f t="shared" si="36"/>
        <v/>
      </c>
      <c r="R372" s="251" t="str">
        <f t="shared" si="37"/>
        <v/>
      </c>
      <c r="S372" s="450">
        <f t="shared" si="38"/>
        <v>571808.80631704675</v>
      </c>
      <c r="T372" s="219"/>
    </row>
    <row r="373" spans="1:20">
      <c r="A373" s="474" t="s">
        <v>1083</v>
      </c>
      <c r="B373" s="475"/>
      <c r="C373" s="476">
        <v>29426.99</v>
      </c>
      <c r="D373" s="476">
        <v>-8527.07</v>
      </c>
      <c r="E373" s="475">
        <v>138</v>
      </c>
      <c r="F373" s="477" t="s">
        <v>2499</v>
      </c>
      <c r="G373" s="544">
        <v>0.35422735817350004</v>
      </c>
      <c r="H373" s="478">
        <v>20899.919999999998</v>
      </c>
      <c r="I373" s="447">
        <f t="shared" si="39"/>
        <v>20333.826547648565</v>
      </c>
      <c r="J373" s="251">
        <f t="shared" si="39"/>
        <v>19756.438494871589</v>
      </c>
      <c r="K373" s="251">
        <f t="shared" si="39"/>
        <v>19126.1998866086</v>
      </c>
      <c r="L373" s="450">
        <f t="shared" si="39"/>
        <v>18539.477623144696</v>
      </c>
      <c r="M373" s="450">
        <f t="shared" si="39"/>
        <v>17970.753865211693</v>
      </c>
      <c r="N373" s="450">
        <f t="shared" si="39"/>
        <v>17419.476484108298</v>
      </c>
      <c r="O373" s="447" t="str">
        <f t="shared" si="34"/>
        <v/>
      </c>
      <c r="P373" s="251" t="str">
        <f t="shared" si="35"/>
        <v/>
      </c>
      <c r="Q373" s="251" t="str">
        <f t="shared" si="36"/>
        <v/>
      </c>
      <c r="R373" s="251" t="str">
        <f t="shared" si="37"/>
        <v/>
      </c>
      <c r="S373" s="450">
        <f t="shared" si="38"/>
        <v>17419.476484108298</v>
      </c>
      <c r="T373" s="219"/>
    </row>
    <row r="374" spans="1:20">
      <c r="A374" s="474" t="s">
        <v>1084</v>
      </c>
      <c r="B374" s="475"/>
      <c r="C374" s="476">
        <v>5130.6099999999997</v>
      </c>
      <c r="D374" s="476">
        <v>-784.66</v>
      </c>
      <c r="E374" s="475">
        <v>138</v>
      </c>
      <c r="F374" s="477" t="s">
        <v>2498</v>
      </c>
      <c r="G374" s="544">
        <v>2.7227787092000001E-2</v>
      </c>
      <c r="H374" s="478">
        <v>4345.95</v>
      </c>
      <c r="I374" s="447">
        <f t="shared" si="39"/>
        <v>4228.235968594774</v>
      </c>
      <c r="J374" s="251">
        <f t="shared" si="39"/>
        <v>4108.1733268255184</v>
      </c>
      <c r="K374" s="251">
        <f t="shared" si="39"/>
        <v>3977.1208883673548</v>
      </c>
      <c r="L374" s="450">
        <f t="shared" si="39"/>
        <v>3855.1172816118769</v>
      </c>
      <c r="M374" s="450">
        <f t="shared" si="39"/>
        <v>3736.8563018670293</v>
      </c>
      <c r="N374" s="450">
        <f t="shared" si="39"/>
        <v>3622.2231389455296</v>
      </c>
      <c r="O374" s="447" t="str">
        <f t="shared" si="34"/>
        <v/>
      </c>
      <c r="P374" s="251" t="str">
        <f t="shared" si="35"/>
        <v/>
      </c>
      <c r="Q374" s="251">
        <f t="shared" si="36"/>
        <v>3622.2231389455296</v>
      </c>
      <c r="R374" s="251" t="str">
        <f t="shared" si="37"/>
        <v/>
      </c>
      <c r="S374" s="450" t="str">
        <f t="shared" si="38"/>
        <v/>
      </c>
      <c r="T374" s="219"/>
    </row>
    <row r="375" spans="1:20">
      <c r="A375" s="474" t="s">
        <v>1085</v>
      </c>
      <c r="B375" s="475"/>
      <c r="C375" s="476">
        <v>232951.7</v>
      </c>
      <c r="D375" s="476">
        <v>-5549.89</v>
      </c>
      <c r="E375" s="475">
        <v>138</v>
      </c>
      <c r="F375" s="477" t="s">
        <v>2499</v>
      </c>
      <c r="G375" s="544">
        <v>0.23753615717770002</v>
      </c>
      <c r="H375" s="478">
        <v>227401.81</v>
      </c>
      <c r="I375" s="447">
        <f t="shared" si="39"/>
        <v>221242.42395001202</v>
      </c>
      <c r="J375" s="251">
        <f t="shared" si="39"/>
        <v>214960.14687556104</v>
      </c>
      <c r="K375" s="251">
        <f t="shared" si="39"/>
        <v>208102.82874942059</v>
      </c>
      <c r="L375" s="450">
        <f t="shared" si="39"/>
        <v>201718.99069267261</v>
      </c>
      <c r="M375" s="450">
        <f t="shared" si="39"/>
        <v>195530.98557380293</v>
      </c>
      <c r="N375" s="450">
        <f t="shared" si="39"/>
        <v>189532.80595038942</v>
      </c>
      <c r="O375" s="447" t="str">
        <f t="shared" si="34"/>
        <v/>
      </c>
      <c r="P375" s="251" t="str">
        <f t="shared" si="35"/>
        <v/>
      </c>
      <c r="Q375" s="251" t="str">
        <f t="shared" si="36"/>
        <v/>
      </c>
      <c r="R375" s="251" t="str">
        <f t="shared" si="37"/>
        <v/>
      </c>
      <c r="S375" s="450">
        <f t="shared" si="38"/>
        <v>189532.80595038942</v>
      </c>
      <c r="T375" s="219"/>
    </row>
    <row r="376" spans="1:20">
      <c r="A376" s="474" t="s">
        <v>1086</v>
      </c>
      <c r="B376" s="475"/>
      <c r="C376" s="476">
        <v>2215455.87</v>
      </c>
      <c r="D376" s="476">
        <v>-1750562.92</v>
      </c>
      <c r="E376" s="475">
        <v>138</v>
      </c>
      <c r="F376" s="477" t="s">
        <v>2499</v>
      </c>
      <c r="G376" s="544">
        <v>26.047331174899998</v>
      </c>
      <c r="H376" s="478">
        <v>464892.95</v>
      </c>
      <c r="I376" s="447">
        <f t="shared" si="39"/>
        <v>452300.89916730102</v>
      </c>
      <c r="J376" s="251">
        <f t="shared" si="39"/>
        <v>439457.61387480976</v>
      </c>
      <c r="K376" s="251">
        <f t="shared" si="39"/>
        <v>425438.73314228654</v>
      </c>
      <c r="L376" s="450">
        <f t="shared" si="39"/>
        <v>412387.81984250306</v>
      </c>
      <c r="M376" s="450">
        <f t="shared" si="39"/>
        <v>399737.26110540936</v>
      </c>
      <c r="N376" s="450">
        <f t="shared" si="39"/>
        <v>387474.77550884092</v>
      </c>
      <c r="O376" s="447" t="str">
        <f t="shared" si="34"/>
        <v/>
      </c>
      <c r="P376" s="251" t="str">
        <f t="shared" si="35"/>
        <v/>
      </c>
      <c r="Q376" s="251" t="str">
        <f t="shared" si="36"/>
        <v/>
      </c>
      <c r="R376" s="251" t="str">
        <f t="shared" si="37"/>
        <v/>
      </c>
      <c r="S376" s="450">
        <f t="shared" si="38"/>
        <v>387474.77550884092</v>
      </c>
      <c r="T376" s="219"/>
    </row>
    <row r="377" spans="1:20">
      <c r="A377" s="474" t="s">
        <v>1087</v>
      </c>
      <c r="B377" s="475"/>
      <c r="C377" s="476">
        <v>536082.81999999995</v>
      </c>
      <c r="D377" s="476">
        <v>-230158.35</v>
      </c>
      <c r="E377" s="475">
        <v>138</v>
      </c>
      <c r="F377" s="477" t="s">
        <v>2499</v>
      </c>
      <c r="G377" s="544">
        <v>1.7288705311100001</v>
      </c>
      <c r="H377" s="478">
        <v>305924.46999999997</v>
      </c>
      <c r="I377" s="447">
        <f t="shared" si="39"/>
        <v>297638.22587174101</v>
      </c>
      <c r="J377" s="251">
        <f t="shared" si="39"/>
        <v>289186.6560078311</v>
      </c>
      <c r="K377" s="251">
        <f t="shared" si="39"/>
        <v>279961.48135613895</v>
      </c>
      <c r="L377" s="450">
        <f t="shared" si="39"/>
        <v>271373.28113875078</v>
      </c>
      <c r="M377" s="450">
        <f t="shared" si="39"/>
        <v>263048.53567455465</v>
      </c>
      <c r="N377" s="450">
        <f t="shared" si="39"/>
        <v>254979.16312972939</v>
      </c>
      <c r="O377" s="447" t="str">
        <f t="shared" si="34"/>
        <v/>
      </c>
      <c r="P377" s="251" t="str">
        <f t="shared" si="35"/>
        <v/>
      </c>
      <c r="Q377" s="251" t="str">
        <f t="shared" si="36"/>
        <v/>
      </c>
      <c r="R377" s="251" t="str">
        <f t="shared" si="37"/>
        <v/>
      </c>
      <c r="S377" s="450">
        <f t="shared" si="38"/>
        <v>254979.16312972939</v>
      </c>
      <c r="T377" s="219"/>
    </row>
    <row r="378" spans="1:20">
      <c r="A378" s="474" t="s">
        <v>1088</v>
      </c>
      <c r="B378" s="475"/>
      <c r="C378" s="476">
        <v>200817.19</v>
      </c>
      <c r="D378" s="476">
        <v>-113417.91</v>
      </c>
      <c r="E378" s="475">
        <v>138</v>
      </c>
      <c r="F378" s="477" t="s">
        <v>2499</v>
      </c>
      <c r="G378" s="544">
        <v>0.49012545468899998</v>
      </c>
      <c r="H378" s="478">
        <v>87399.28</v>
      </c>
      <c r="I378" s="447">
        <f t="shared" si="39"/>
        <v>85031.990548737522</v>
      </c>
      <c r="J378" s="251">
        <f t="shared" si="39"/>
        <v>82617.469340364027</v>
      </c>
      <c r="K378" s="251">
        <f t="shared" si="39"/>
        <v>79981.937692855921</v>
      </c>
      <c r="L378" s="450">
        <f t="shared" si="39"/>
        <v>77528.382684668541</v>
      </c>
      <c r="M378" s="450">
        <f t="shared" si="39"/>
        <v>75150.093822211726</v>
      </c>
      <c r="N378" s="450">
        <f t="shared" si="39"/>
        <v>72844.7622138265</v>
      </c>
      <c r="O378" s="447" t="str">
        <f t="shared" si="34"/>
        <v/>
      </c>
      <c r="P378" s="251" t="str">
        <f t="shared" si="35"/>
        <v/>
      </c>
      <c r="Q378" s="251" t="str">
        <f t="shared" si="36"/>
        <v/>
      </c>
      <c r="R378" s="251" t="str">
        <f t="shared" si="37"/>
        <v/>
      </c>
      <c r="S378" s="450">
        <f t="shared" si="38"/>
        <v>72844.7622138265</v>
      </c>
      <c r="T378" s="219"/>
    </row>
    <row r="379" spans="1:20">
      <c r="A379" s="474" t="s">
        <v>1089</v>
      </c>
      <c r="B379" s="475"/>
      <c r="C379" s="476">
        <v>1525052.16</v>
      </c>
      <c r="D379" s="476">
        <v>-1236859.6499999999</v>
      </c>
      <c r="E379" s="475">
        <v>138</v>
      </c>
      <c r="F379" s="477" t="s">
        <v>2499</v>
      </c>
      <c r="G379" s="544">
        <v>17.748880253199999</v>
      </c>
      <c r="H379" s="478">
        <v>288192.51</v>
      </c>
      <c r="I379" s="447">
        <f t="shared" si="39"/>
        <v>280386.55222945713</v>
      </c>
      <c r="J379" s="251">
        <f t="shared" si="39"/>
        <v>272424.85131510871</v>
      </c>
      <c r="K379" s="251">
        <f t="shared" si="39"/>
        <v>263734.3852073811</v>
      </c>
      <c r="L379" s="450">
        <f t="shared" si="39"/>
        <v>255643.97329285971</v>
      </c>
      <c r="M379" s="450">
        <f t="shared" si="39"/>
        <v>247801.74579651788</v>
      </c>
      <c r="N379" s="450">
        <f t="shared" si="39"/>
        <v>240200.08932288477</v>
      </c>
      <c r="O379" s="447" t="str">
        <f t="shared" si="34"/>
        <v/>
      </c>
      <c r="P379" s="251" t="str">
        <f t="shared" si="35"/>
        <v/>
      </c>
      <c r="Q379" s="251" t="str">
        <f t="shared" si="36"/>
        <v/>
      </c>
      <c r="R379" s="251" t="str">
        <f t="shared" si="37"/>
        <v/>
      </c>
      <c r="S379" s="450">
        <f t="shared" si="38"/>
        <v>240200.08932288477</v>
      </c>
      <c r="T379" s="219"/>
    </row>
    <row r="380" spans="1:20">
      <c r="A380" s="474" t="s">
        <v>1090</v>
      </c>
      <c r="B380" s="475"/>
      <c r="C380" s="476">
        <v>386049.47</v>
      </c>
      <c r="D380" s="476">
        <v>-159067.23000000001</v>
      </c>
      <c r="E380" s="475">
        <v>138</v>
      </c>
      <c r="F380" s="477" t="s">
        <v>2498</v>
      </c>
      <c r="G380" s="544">
        <v>3.2393319710999999</v>
      </c>
      <c r="H380" s="478">
        <v>226982.24</v>
      </c>
      <c r="I380" s="447">
        <f t="shared" si="39"/>
        <v>220834.21838728274</v>
      </c>
      <c r="J380" s="251">
        <f t="shared" si="39"/>
        <v>214563.53249142496</v>
      </c>
      <c r="K380" s="251">
        <f t="shared" si="39"/>
        <v>207718.86652916213</v>
      </c>
      <c r="L380" s="450">
        <f t="shared" si="39"/>
        <v>201346.80703712068</v>
      </c>
      <c r="M380" s="450">
        <f t="shared" si="39"/>
        <v>195170.21915942302</v>
      </c>
      <c r="N380" s="450">
        <f t="shared" si="39"/>
        <v>189183.10653773916</v>
      </c>
      <c r="O380" s="447" t="str">
        <f t="shared" si="34"/>
        <v/>
      </c>
      <c r="P380" s="251" t="str">
        <f t="shared" si="35"/>
        <v/>
      </c>
      <c r="Q380" s="251">
        <f t="shared" si="36"/>
        <v>189183.10653773916</v>
      </c>
      <c r="R380" s="251" t="str">
        <f t="shared" si="37"/>
        <v/>
      </c>
      <c r="S380" s="450" t="str">
        <f t="shared" si="38"/>
        <v/>
      </c>
      <c r="T380" s="219"/>
    </row>
    <row r="381" spans="1:20">
      <c r="A381" s="474" t="s">
        <v>1091</v>
      </c>
      <c r="B381" s="475"/>
      <c r="C381" s="476">
        <v>274792.83</v>
      </c>
      <c r="D381" s="476">
        <v>-221350.17</v>
      </c>
      <c r="E381" s="475">
        <v>138</v>
      </c>
      <c r="F381" s="477" t="s">
        <v>2499</v>
      </c>
      <c r="G381" s="544">
        <v>2.9200720050099997</v>
      </c>
      <c r="H381" s="478">
        <v>53442.66</v>
      </c>
      <c r="I381" s="447">
        <f t="shared" si="39"/>
        <v>51995.116664798537</v>
      </c>
      <c r="J381" s="251">
        <f t="shared" si="39"/>
        <v>50518.692190799498</v>
      </c>
      <c r="K381" s="251">
        <f t="shared" si="39"/>
        <v>48907.124890050392</v>
      </c>
      <c r="L381" s="450">
        <f t="shared" si="39"/>
        <v>47406.832140569451</v>
      </c>
      <c r="M381" s="450">
        <f t="shared" si="39"/>
        <v>45952.56291709224</v>
      </c>
      <c r="N381" s="450">
        <f t="shared" si="39"/>
        <v>44542.905385197417</v>
      </c>
      <c r="O381" s="447" t="str">
        <f t="shared" si="34"/>
        <v/>
      </c>
      <c r="P381" s="251" t="str">
        <f t="shared" si="35"/>
        <v/>
      </c>
      <c r="Q381" s="251" t="str">
        <f t="shared" si="36"/>
        <v/>
      </c>
      <c r="R381" s="251" t="str">
        <f t="shared" si="37"/>
        <v/>
      </c>
      <c r="S381" s="450">
        <f t="shared" si="38"/>
        <v>44542.905385197417</v>
      </c>
      <c r="T381" s="219"/>
    </row>
    <row r="382" spans="1:20">
      <c r="A382" s="474" t="s">
        <v>1092</v>
      </c>
      <c r="B382" s="475"/>
      <c r="C382" s="476">
        <v>44297.43</v>
      </c>
      <c r="D382" s="476">
        <v>-27033.99</v>
      </c>
      <c r="E382" s="475">
        <v>138</v>
      </c>
      <c r="F382" s="477" t="s">
        <v>2499</v>
      </c>
      <c r="G382" s="544">
        <v>0.190130827995</v>
      </c>
      <c r="H382" s="478">
        <v>17263.439999999999</v>
      </c>
      <c r="I382" s="447">
        <f t="shared" si="39"/>
        <v>16795.843935083874</v>
      </c>
      <c r="J382" s="251">
        <f t="shared" si="39"/>
        <v>16318.91847288918</v>
      </c>
      <c r="K382" s="251">
        <f t="shared" si="39"/>
        <v>15798.338183613829</v>
      </c>
      <c r="L382" s="450">
        <f t="shared" si="39"/>
        <v>15313.702616014849</v>
      </c>
      <c r="M382" s="450">
        <f t="shared" si="39"/>
        <v>14843.933905337923</v>
      </c>
      <c r="N382" s="450">
        <f t="shared" si="39"/>
        <v>14388.575990473386</v>
      </c>
      <c r="O382" s="447" t="str">
        <f t="shared" si="34"/>
        <v/>
      </c>
      <c r="P382" s="251" t="str">
        <f t="shared" si="35"/>
        <v/>
      </c>
      <c r="Q382" s="251" t="str">
        <f t="shared" si="36"/>
        <v/>
      </c>
      <c r="R382" s="251" t="str">
        <f t="shared" si="37"/>
        <v/>
      </c>
      <c r="S382" s="450">
        <f t="shared" si="38"/>
        <v>14388.575990473386</v>
      </c>
      <c r="T382" s="219"/>
    </row>
    <row r="383" spans="1:20">
      <c r="A383" s="474" t="s">
        <v>1093</v>
      </c>
      <c r="B383" s="475"/>
      <c r="C383" s="476">
        <v>1050608.07</v>
      </c>
      <c r="D383" s="476">
        <v>-240910.34</v>
      </c>
      <c r="E383" s="475">
        <v>138</v>
      </c>
      <c r="F383" s="477" t="s">
        <v>2499</v>
      </c>
      <c r="G383" s="544">
        <v>1.18585110601E-2</v>
      </c>
      <c r="H383" s="478">
        <v>809697.73</v>
      </c>
      <c r="I383" s="447">
        <f t="shared" si="39"/>
        <v>787766.32627516182</v>
      </c>
      <c r="J383" s="251">
        <f t="shared" si="39"/>
        <v>765397.35090766591</v>
      </c>
      <c r="K383" s="251">
        <f t="shared" si="39"/>
        <v>740980.85694649746</v>
      </c>
      <c r="L383" s="450">
        <f t="shared" si="39"/>
        <v>718250.25870175846</v>
      </c>
      <c r="M383" s="450">
        <f t="shared" si="39"/>
        <v>696216.95255535119</v>
      </c>
      <c r="N383" s="450">
        <f t="shared" si="39"/>
        <v>674859.54812127841</v>
      </c>
      <c r="O383" s="447" t="str">
        <f t="shared" si="34"/>
        <v/>
      </c>
      <c r="P383" s="251" t="str">
        <f t="shared" si="35"/>
        <v/>
      </c>
      <c r="Q383" s="251" t="str">
        <f t="shared" si="36"/>
        <v/>
      </c>
      <c r="R383" s="251" t="str">
        <f t="shared" si="37"/>
        <v/>
      </c>
      <c r="S383" s="450">
        <f t="shared" si="38"/>
        <v>674859.54812127841</v>
      </c>
      <c r="T383" s="219"/>
    </row>
    <row r="384" spans="1:20">
      <c r="A384" s="474" t="s">
        <v>1094</v>
      </c>
      <c r="B384" s="475"/>
      <c r="C384" s="476">
        <v>1549725.5</v>
      </c>
      <c r="D384" s="476">
        <v>-1205763.03</v>
      </c>
      <c r="E384" s="475">
        <v>138</v>
      </c>
      <c r="F384" s="477" t="s">
        <v>2499</v>
      </c>
      <c r="G384" s="544">
        <v>13.526134494199999</v>
      </c>
      <c r="H384" s="478">
        <v>343962.47</v>
      </c>
      <c r="I384" s="447">
        <f t="shared" si="39"/>
        <v>334645.93184475217</v>
      </c>
      <c r="J384" s="251">
        <f t="shared" si="39"/>
        <v>325143.51170239475</v>
      </c>
      <c r="K384" s="251">
        <f t="shared" si="39"/>
        <v>314771.29839308542</v>
      </c>
      <c r="L384" s="450">
        <f t="shared" si="39"/>
        <v>305115.25956877245</v>
      </c>
      <c r="M384" s="450">
        <f t="shared" si="39"/>
        <v>295755.43290310493</v>
      </c>
      <c r="N384" s="450">
        <f t="shared" si="39"/>
        <v>286682.73168417893</v>
      </c>
      <c r="O384" s="447" t="str">
        <f t="shared" si="34"/>
        <v/>
      </c>
      <c r="P384" s="251" t="str">
        <f t="shared" si="35"/>
        <v/>
      </c>
      <c r="Q384" s="251" t="str">
        <f t="shared" si="36"/>
        <v/>
      </c>
      <c r="R384" s="251" t="str">
        <f t="shared" si="37"/>
        <v/>
      </c>
      <c r="S384" s="450">
        <f t="shared" si="38"/>
        <v>286682.73168417893</v>
      </c>
      <c r="T384" s="219"/>
    </row>
    <row r="385" spans="1:20">
      <c r="A385" s="474" t="s">
        <v>1095</v>
      </c>
      <c r="B385" s="475"/>
      <c r="C385" s="476">
        <v>718010.25</v>
      </c>
      <c r="D385" s="476">
        <v>-165811.39000000001</v>
      </c>
      <c r="E385" s="475">
        <v>138</v>
      </c>
      <c r="F385" s="477" t="s">
        <v>2499</v>
      </c>
      <c r="G385" s="544">
        <v>0.11805235190499999</v>
      </c>
      <c r="H385" s="478">
        <v>552198.86</v>
      </c>
      <c r="I385" s="447">
        <f t="shared" si="39"/>
        <v>537242.04872790293</v>
      </c>
      <c r="J385" s="251">
        <f t="shared" si="39"/>
        <v>521986.82169731794</v>
      </c>
      <c r="K385" s="251">
        <f t="shared" si="39"/>
        <v>505335.22489643015</v>
      </c>
      <c r="L385" s="450">
        <f t="shared" si="39"/>
        <v>489833.37775914988</v>
      </c>
      <c r="M385" s="450">
        <f t="shared" si="39"/>
        <v>474807.07092230453</v>
      </c>
      <c r="N385" s="450">
        <f t="shared" si="39"/>
        <v>460241.71653869539</v>
      </c>
      <c r="O385" s="447" t="str">
        <f t="shared" si="34"/>
        <v/>
      </c>
      <c r="P385" s="251" t="str">
        <f t="shared" si="35"/>
        <v/>
      </c>
      <c r="Q385" s="251" t="str">
        <f t="shared" si="36"/>
        <v/>
      </c>
      <c r="R385" s="251" t="str">
        <f t="shared" si="37"/>
        <v/>
      </c>
      <c r="S385" s="450">
        <f t="shared" si="38"/>
        <v>460241.71653869539</v>
      </c>
      <c r="T385" s="219"/>
    </row>
    <row r="386" spans="1:20">
      <c r="A386" s="474" t="s">
        <v>1096</v>
      </c>
      <c r="B386" s="475"/>
      <c r="C386" s="476">
        <v>861885.64</v>
      </c>
      <c r="D386" s="476">
        <v>-843030.07</v>
      </c>
      <c r="E386" s="475">
        <v>138</v>
      </c>
      <c r="F386" s="477" t="s">
        <v>2499</v>
      </c>
      <c r="G386" s="544">
        <v>10.829305277276001</v>
      </c>
      <c r="H386" s="478">
        <v>18855.57</v>
      </c>
      <c r="I386" s="447">
        <f t="shared" si="39"/>
        <v>18344.849637560616</v>
      </c>
      <c r="J386" s="251">
        <f t="shared" si="39"/>
        <v>17823.939469181983</v>
      </c>
      <c r="K386" s="251">
        <f t="shared" si="39"/>
        <v>17255.348383914414</v>
      </c>
      <c r="L386" s="450">
        <f t="shared" si="39"/>
        <v>16726.017041531184</v>
      </c>
      <c r="M386" s="450">
        <f t="shared" si="39"/>
        <v>16212.92365991208</v>
      </c>
      <c r="N386" s="450">
        <f t="shared" si="39"/>
        <v>15715.570117467334</v>
      </c>
      <c r="O386" s="447" t="str">
        <f t="shared" si="34"/>
        <v/>
      </c>
      <c r="P386" s="251" t="str">
        <f t="shared" si="35"/>
        <v/>
      </c>
      <c r="Q386" s="251" t="str">
        <f t="shared" si="36"/>
        <v/>
      </c>
      <c r="R386" s="251" t="str">
        <f t="shared" si="37"/>
        <v/>
      </c>
      <c r="S386" s="450">
        <f t="shared" si="38"/>
        <v>15715.570117467334</v>
      </c>
      <c r="T386" s="219"/>
    </row>
    <row r="387" spans="1:20">
      <c r="A387" s="474" t="s">
        <v>1097</v>
      </c>
      <c r="B387" s="475"/>
      <c r="C387" s="476">
        <v>1571223.45</v>
      </c>
      <c r="D387" s="476">
        <v>-1125726.8500000001</v>
      </c>
      <c r="E387" s="475">
        <v>138</v>
      </c>
      <c r="F387" s="477" t="s">
        <v>2499</v>
      </c>
      <c r="G387" s="544">
        <v>18.021821516900001</v>
      </c>
      <c r="H387" s="478">
        <v>445496.6</v>
      </c>
      <c r="I387" s="447">
        <f t="shared" si="39"/>
        <v>433429.91705074348</v>
      </c>
      <c r="J387" s="251">
        <f t="shared" si="39"/>
        <v>421122.48169248545</v>
      </c>
      <c r="K387" s="251">
        <f t="shared" si="39"/>
        <v>407688.49930547661</v>
      </c>
      <c r="L387" s="450">
        <f t="shared" si="39"/>
        <v>395182.09863420739</v>
      </c>
      <c r="M387" s="450">
        <f t="shared" si="39"/>
        <v>383059.34885820939</v>
      </c>
      <c r="N387" s="450">
        <f t="shared" si="39"/>
        <v>371308.48096309463</v>
      </c>
      <c r="O387" s="447" t="str">
        <f t="shared" si="34"/>
        <v/>
      </c>
      <c r="P387" s="251" t="str">
        <f t="shared" si="35"/>
        <v/>
      </c>
      <c r="Q387" s="251" t="str">
        <f t="shared" si="36"/>
        <v/>
      </c>
      <c r="R387" s="251" t="str">
        <f t="shared" si="37"/>
        <v/>
      </c>
      <c r="S387" s="450">
        <f t="shared" si="38"/>
        <v>371308.48096309463</v>
      </c>
      <c r="T387" s="219"/>
    </row>
    <row r="388" spans="1:20">
      <c r="A388" s="474" t="s">
        <v>1098</v>
      </c>
      <c r="B388" s="475"/>
      <c r="C388" s="476">
        <v>473824.38</v>
      </c>
      <c r="D388" s="476">
        <v>-231056.45</v>
      </c>
      <c r="E388" s="475">
        <v>138</v>
      </c>
      <c r="F388" s="477" t="s">
        <v>2499</v>
      </c>
      <c r="G388" s="544">
        <v>2.8569101234529999</v>
      </c>
      <c r="H388" s="478">
        <v>242767.93</v>
      </c>
      <c r="I388" s="447">
        <f t="shared" si="39"/>
        <v>236192.33853295556</v>
      </c>
      <c r="J388" s="251">
        <f t="shared" si="39"/>
        <v>229485.55198164834</v>
      </c>
      <c r="K388" s="251">
        <f t="shared" si="39"/>
        <v>222164.86738888017</v>
      </c>
      <c r="L388" s="450">
        <f t="shared" si="39"/>
        <v>215349.65712080037</v>
      </c>
      <c r="M388" s="450">
        <f t="shared" si="39"/>
        <v>208743.51272143348</v>
      </c>
      <c r="N388" s="450">
        <f t="shared" si="39"/>
        <v>202340.02081015857</v>
      </c>
      <c r="O388" s="447" t="str">
        <f t="shared" si="34"/>
        <v/>
      </c>
      <c r="P388" s="251" t="str">
        <f t="shared" si="35"/>
        <v/>
      </c>
      <c r="Q388" s="251" t="str">
        <f t="shared" si="36"/>
        <v/>
      </c>
      <c r="R388" s="251" t="str">
        <f t="shared" si="37"/>
        <v/>
      </c>
      <c r="S388" s="450">
        <f t="shared" si="38"/>
        <v>202340.02081015857</v>
      </c>
      <c r="T388" s="219"/>
    </row>
    <row r="389" spans="1:20">
      <c r="A389" s="474" t="s">
        <v>1165</v>
      </c>
      <c r="B389" s="475"/>
      <c r="C389" s="476">
        <v>943645.94</v>
      </c>
      <c r="D389" s="476">
        <v>-853619.18</v>
      </c>
      <c r="E389" s="475">
        <v>138</v>
      </c>
      <c r="F389" s="477" t="s">
        <v>2499</v>
      </c>
      <c r="G389" s="544">
        <v>21.838560788199999</v>
      </c>
      <c r="H389" s="478">
        <v>90026.76</v>
      </c>
      <c r="I389" s="447">
        <f t="shared" si="39"/>
        <v>87588.302849330808</v>
      </c>
      <c r="J389" s="251">
        <f t="shared" si="39"/>
        <v>85101.194015697954</v>
      </c>
      <c r="K389" s="251">
        <f t="shared" si="39"/>
        <v>82386.430517616318</v>
      </c>
      <c r="L389" s="450">
        <f t="shared" si="39"/>
        <v>79859.114413079951</v>
      </c>
      <c r="M389" s="450">
        <f t="shared" si="39"/>
        <v>77409.327176490886</v>
      </c>
      <c r="N389" s="450">
        <f t="shared" si="39"/>
        <v>75034.690504100567</v>
      </c>
      <c r="O389" s="447" t="str">
        <f t="shared" si="34"/>
        <v/>
      </c>
      <c r="P389" s="251" t="str">
        <f t="shared" si="35"/>
        <v/>
      </c>
      <c r="Q389" s="251" t="str">
        <f t="shared" si="36"/>
        <v/>
      </c>
      <c r="R389" s="251" t="str">
        <f t="shared" si="37"/>
        <v/>
      </c>
      <c r="S389" s="450">
        <f t="shared" si="38"/>
        <v>75034.690504100567</v>
      </c>
      <c r="T389" s="219"/>
    </row>
    <row r="390" spans="1:20">
      <c r="A390" s="474" t="s">
        <v>1166</v>
      </c>
      <c r="B390" s="475"/>
      <c r="C390" s="476">
        <v>299973.32</v>
      </c>
      <c r="D390" s="476">
        <v>-328023.33</v>
      </c>
      <c r="E390" s="475">
        <v>138</v>
      </c>
      <c r="F390" s="477" t="s">
        <v>2499</v>
      </c>
      <c r="G390" s="544">
        <v>3.4890278297499994E-2</v>
      </c>
      <c r="H390" s="478">
        <v>-28050.01</v>
      </c>
      <c r="I390" s="447">
        <f t="shared" si="39"/>
        <v>-27290.249819128865</v>
      </c>
      <c r="J390" s="251">
        <f t="shared" si="39"/>
        <v>-26515.331032153859</v>
      </c>
      <c r="K390" s="251">
        <f t="shared" si="39"/>
        <v>-25669.480939705514</v>
      </c>
      <c r="L390" s="450">
        <f t="shared" si="39"/>
        <v>-24882.034607021698</v>
      </c>
      <c r="M390" s="450">
        <f t="shared" si="39"/>
        <v>-24118.744264414727</v>
      </c>
      <c r="N390" s="450">
        <f t="shared" si="39"/>
        <v>-23378.868893948042</v>
      </c>
      <c r="O390" s="447" t="str">
        <f t="shared" ref="O390:O421" si="40">IF(AND(F390="n",$E390=500),$N390,"")</f>
        <v/>
      </c>
      <c r="P390" s="251" t="str">
        <f t="shared" ref="P390:P421" si="41">IF(AND(F390="n",OR($E390=240,$E390=260)),$N390,"")</f>
        <v/>
      </c>
      <c r="Q390" s="251" t="str">
        <f t="shared" ref="Q390:Q421" si="42">IF(AND(F390="n",OR($E390=138,$E390=144)),$N390,"")</f>
        <v/>
      </c>
      <c r="R390" s="251" t="str">
        <f t="shared" ref="R390:R421" si="43">IF(AND(F390="n",$E390=69),$N390,"")</f>
        <v/>
      </c>
      <c r="S390" s="450">
        <f t="shared" ref="S390:S421" si="44">IF(OR(E390=25,F390="y"),$N390,"")</f>
        <v>-23378.868893948042</v>
      </c>
      <c r="T390" s="219"/>
    </row>
    <row r="391" spans="1:20">
      <c r="A391" s="474" t="s">
        <v>1167</v>
      </c>
      <c r="B391" s="475"/>
      <c r="C391" s="476">
        <v>121203.7</v>
      </c>
      <c r="D391" s="476">
        <v>-32007.040000000001</v>
      </c>
      <c r="E391" s="475">
        <v>138</v>
      </c>
      <c r="F391" s="477" t="s">
        <v>2499</v>
      </c>
      <c r="G391" s="544">
        <v>1.0826444928800001E-2</v>
      </c>
      <c r="H391" s="478">
        <v>89196.66</v>
      </c>
      <c r="I391" s="447">
        <f t="shared" si="39"/>
        <v>86780.686867202516</v>
      </c>
      <c r="J391" s="251">
        <f t="shared" si="39"/>
        <v>84316.510648747615</v>
      </c>
      <c r="K391" s="251">
        <f t="shared" si="39"/>
        <v>81626.778876563447</v>
      </c>
      <c r="L391" s="450">
        <f t="shared" si="39"/>
        <v>79122.766122035187</v>
      </c>
      <c r="M391" s="450">
        <f t="shared" si="39"/>
        <v>76695.567373414509</v>
      </c>
      <c r="N391" s="450">
        <f t="shared" si="39"/>
        <v>74342.826256320754</v>
      </c>
      <c r="O391" s="447" t="str">
        <f t="shared" si="40"/>
        <v/>
      </c>
      <c r="P391" s="251" t="str">
        <f t="shared" si="41"/>
        <v/>
      </c>
      <c r="Q391" s="251" t="str">
        <f t="shared" si="42"/>
        <v/>
      </c>
      <c r="R391" s="251" t="str">
        <f t="shared" si="43"/>
        <v/>
      </c>
      <c r="S391" s="450">
        <f t="shared" si="44"/>
        <v>74342.826256320754</v>
      </c>
      <c r="T391" s="219"/>
    </row>
    <row r="392" spans="1:20">
      <c r="A392" s="474" t="s">
        <v>1168</v>
      </c>
      <c r="B392" s="475"/>
      <c r="C392" s="476">
        <v>2199547.13</v>
      </c>
      <c r="D392" s="476">
        <v>-187144.37</v>
      </c>
      <c r="E392" s="475">
        <v>138</v>
      </c>
      <c r="F392" s="477" t="s">
        <v>2499</v>
      </c>
      <c r="G392" s="544">
        <v>2.23767884469</v>
      </c>
      <c r="H392" s="478">
        <v>2012402.76</v>
      </c>
      <c r="I392" s="447">
        <f t="shared" si="39"/>
        <v>1957894.9903085392</v>
      </c>
      <c r="J392" s="251">
        <f t="shared" si="39"/>
        <v>1902299.6908528758</v>
      </c>
      <c r="K392" s="251">
        <f t="shared" si="39"/>
        <v>1841615.5392041134</v>
      </c>
      <c r="L392" s="450">
        <f t="shared" si="39"/>
        <v>1785121.4711718815</v>
      </c>
      <c r="M392" s="450">
        <f t="shared" si="39"/>
        <v>1730360.4357161503</v>
      </c>
      <c r="N392" s="450">
        <f t="shared" si="39"/>
        <v>1677279.2696993402</v>
      </c>
      <c r="O392" s="447" t="str">
        <f t="shared" si="40"/>
        <v/>
      </c>
      <c r="P392" s="251" t="str">
        <f t="shared" si="41"/>
        <v/>
      </c>
      <c r="Q392" s="251" t="str">
        <f t="shared" si="42"/>
        <v/>
      </c>
      <c r="R392" s="251" t="str">
        <f t="shared" si="43"/>
        <v/>
      </c>
      <c r="S392" s="450">
        <f t="shared" si="44"/>
        <v>1677279.2696993402</v>
      </c>
      <c r="T392" s="219"/>
    </row>
    <row r="393" spans="1:20">
      <c r="A393" s="474" t="s">
        <v>1169</v>
      </c>
      <c r="B393" s="475"/>
      <c r="C393" s="476">
        <v>382127.49</v>
      </c>
      <c r="D393" s="476">
        <v>-225773.5</v>
      </c>
      <c r="E393" s="475">
        <v>138</v>
      </c>
      <c r="F393" s="477" t="s">
        <v>2499</v>
      </c>
      <c r="G393" s="544">
        <v>1.21546803499</v>
      </c>
      <c r="H393" s="478">
        <v>156353.99</v>
      </c>
      <c r="I393" s="447">
        <f t="shared" si="39"/>
        <v>152118.99914893351</v>
      </c>
      <c r="J393" s="251">
        <f t="shared" si="39"/>
        <v>147799.51247960603</v>
      </c>
      <c r="K393" s="251">
        <f t="shared" si="39"/>
        <v>143084.64653495335</v>
      </c>
      <c r="L393" s="450">
        <f t="shared" si="39"/>
        <v>138695.32988137705</v>
      </c>
      <c r="M393" s="450">
        <f t="shared" si="39"/>
        <v>134440.66150175553</v>
      </c>
      <c r="N393" s="450">
        <f t="shared" si="39"/>
        <v>130316.5108766686</v>
      </c>
      <c r="O393" s="447" t="str">
        <f t="shared" si="40"/>
        <v/>
      </c>
      <c r="P393" s="251" t="str">
        <f t="shared" si="41"/>
        <v/>
      </c>
      <c r="Q393" s="251" t="str">
        <f t="shared" si="42"/>
        <v/>
      </c>
      <c r="R393" s="251" t="str">
        <f t="shared" si="43"/>
        <v/>
      </c>
      <c r="S393" s="450">
        <f t="shared" si="44"/>
        <v>130316.5108766686</v>
      </c>
      <c r="T393" s="219"/>
    </row>
    <row r="394" spans="1:20" s="77" customFormat="1">
      <c r="A394" s="474" t="s">
        <v>1099</v>
      </c>
      <c r="B394" s="475"/>
      <c r="C394" s="476">
        <v>2251251.44</v>
      </c>
      <c r="D394" s="476">
        <v>-344690.52</v>
      </c>
      <c r="E394" s="475">
        <v>138</v>
      </c>
      <c r="F394" s="477" t="s">
        <v>2498</v>
      </c>
      <c r="G394" s="544">
        <v>0.41475377566299998</v>
      </c>
      <c r="H394" s="478">
        <v>1906560.92</v>
      </c>
      <c r="I394" s="447">
        <f t="shared" si="39"/>
        <v>1854919.9733685714</v>
      </c>
      <c r="J394" s="251">
        <f t="shared" si="39"/>
        <v>1802248.695339781</v>
      </c>
      <c r="K394" s="251">
        <f t="shared" si="39"/>
        <v>1744756.2120771939</v>
      </c>
      <c r="L394" s="450">
        <f t="shared" si="39"/>
        <v>1691233.4359893324</v>
      </c>
      <c r="M394" s="450">
        <f t="shared" si="39"/>
        <v>1639352.5440456979</v>
      </c>
      <c r="N394" s="450">
        <f t="shared" si="39"/>
        <v>1589063.1692111683</v>
      </c>
      <c r="O394" s="447" t="str">
        <f t="shared" si="40"/>
        <v/>
      </c>
      <c r="P394" s="251" t="str">
        <f t="shared" si="41"/>
        <v/>
      </c>
      <c r="Q394" s="251">
        <f t="shared" si="42"/>
        <v>1589063.1692111683</v>
      </c>
      <c r="R394" s="251" t="str">
        <f t="shared" si="43"/>
        <v/>
      </c>
      <c r="S394" s="450" t="str">
        <f t="shared" si="44"/>
        <v/>
      </c>
      <c r="T394" s="219"/>
    </row>
    <row r="395" spans="1:20">
      <c r="A395" s="474" t="s">
        <v>1100</v>
      </c>
      <c r="B395" s="475"/>
      <c r="C395" s="476">
        <v>4632116.51</v>
      </c>
      <c r="D395" s="476">
        <v>-194430.78</v>
      </c>
      <c r="E395" s="475">
        <v>138</v>
      </c>
      <c r="F395" s="477" t="s">
        <v>2498</v>
      </c>
      <c r="G395" s="544">
        <v>9.7100825447199988</v>
      </c>
      <c r="H395" s="478">
        <v>4437685.7300000004</v>
      </c>
      <c r="I395" s="447">
        <f t="shared" si="39"/>
        <v>4317486.9524282971</v>
      </c>
      <c r="J395" s="251">
        <f t="shared" si="39"/>
        <v>4194889.9892590186</v>
      </c>
      <c r="K395" s="251">
        <f t="shared" si="39"/>
        <v>4061071.2531880797</v>
      </c>
      <c r="L395" s="450">
        <f t="shared" si="39"/>
        <v>3936492.3545106179</v>
      </c>
      <c r="M395" s="450">
        <f t="shared" si="39"/>
        <v>3815735.0834353571</v>
      </c>
      <c r="N395" s="450">
        <f t="shared" si="39"/>
        <v>3698682.2063241377</v>
      </c>
      <c r="O395" s="447" t="str">
        <f t="shared" si="40"/>
        <v/>
      </c>
      <c r="P395" s="251" t="str">
        <f t="shared" si="41"/>
        <v/>
      </c>
      <c r="Q395" s="251">
        <f t="shared" si="42"/>
        <v>3698682.2063241377</v>
      </c>
      <c r="R395" s="251" t="str">
        <f t="shared" si="43"/>
        <v/>
      </c>
      <c r="S395" s="450" t="str">
        <f t="shared" si="44"/>
        <v/>
      </c>
      <c r="T395" s="219"/>
    </row>
    <row r="396" spans="1:20">
      <c r="A396" s="474" t="s">
        <v>1101</v>
      </c>
      <c r="B396" s="475"/>
      <c r="C396" s="476">
        <v>1646999.7</v>
      </c>
      <c r="D396" s="476">
        <v>-906391.4</v>
      </c>
      <c r="E396" s="475">
        <v>138</v>
      </c>
      <c r="F396" s="477" t="s">
        <v>2499</v>
      </c>
      <c r="G396" s="544">
        <v>16.150988971860002</v>
      </c>
      <c r="H396" s="478">
        <v>740608.3</v>
      </c>
      <c r="I396" s="447">
        <f t="shared" si="39"/>
        <v>720548.24668940715</v>
      </c>
      <c r="J396" s="251">
        <f t="shared" si="39"/>
        <v>700087.95860182284</v>
      </c>
      <c r="K396" s="251">
        <f t="shared" si="39"/>
        <v>677754.86142920109</v>
      </c>
      <c r="L396" s="450">
        <f t="shared" si="39"/>
        <v>656963.80681673589</v>
      </c>
      <c r="M396" s="450">
        <f t="shared" si="39"/>
        <v>636810.54615677299</v>
      </c>
      <c r="N396" s="450">
        <f t="shared" si="39"/>
        <v>617275.51425007486</v>
      </c>
      <c r="O396" s="447" t="str">
        <f t="shared" si="40"/>
        <v/>
      </c>
      <c r="P396" s="251" t="str">
        <f t="shared" si="41"/>
        <v/>
      </c>
      <c r="Q396" s="251" t="str">
        <f t="shared" si="42"/>
        <v/>
      </c>
      <c r="R396" s="251" t="str">
        <f t="shared" si="43"/>
        <v/>
      </c>
      <c r="S396" s="450">
        <f t="shared" si="44"/>
        <v>617275.51425007486</v>
      </c>
      <c r="T396" s="219"/>
    </row>
    <row r="397" spans="1:20">
      <c r="A397" s="474" t="s">
        <v>1102</v>
      </c>
      <c r="B397" s="475"/>
      <c r="C397" s="476">
        <v>5264042.4400000004</v>
      </c>
      <c r="D397" s="476">
        <v>-3912509.46</v>
      </c>
      <c r="E397" s="475">
        <v>138</v>
      </c>
      <c r="F397" s="477" t="s">
        <v>2499</v>
      </c>
      <c r="G397" s="544">
        <v>0.13596087114400002</v>
      </c>
      <c r="H397" s="478">
        <v>1351532.98</v>
      </c>
      <c r="I397" s="447">
        <f t="shared" si="39"/>
        <v>1314925.4728604979</v>
      </c>
      <c r="J397" s="251">
        <f t="shared" si="39"/>
        <v>1277587.5789553509</v>
      </c>
      <c r="K397" s="251">
        <f t="shared" si="39"/>
        <v>1236832.0036068934</v>
      </c>
      <c r="L397" s="450">
        <f t="shared" si="39"/>
        <v>1198890.4952579755</v>
      </c>
      <c r="M397" s="450">
        <f t="shared" si="39"/>
        <v>1162112.89441759</v>
      </c>
      <c r="N397" s="450">
        <f t="shared" si="39"/>
        <v>1126463.4966357197</v>
      </c>
      <c r="O397" s="447" t="str">
        <f t="shared" si="40"/>
        <v/>
      </c>
      <c r="P397" s="251" t="str">
        <f t="shared" si="41"/>
        <v/>
      </c>
      <c r="Q397" s="251" t="str">
        <f t="shared" si="42"/>
        <v/>
      </c>
      <c r="R397" s="251" t="str">
        <f t="shared" si="43"/>
        <v/>
      </c>
      <c r="S397" s="450">
        <f t="shared" si="44"/>
        <v>1126463.4966357197</v>
      </c>
      <c r="T397" s="219"/>
    </row>
    <row r="398" spans="1:20">
      <c r="A398" s="474" t="s">
        <v>1103</v>
      </c>
      <c r="B398" s="475"/>
      <c r="C398" s="476">
        <v>4068293.23</v>
      </c>
      <c r="D398" s="476">
        <v>-1139208.8600000001</v>
      </c>
      <c r="E398" s="475">
        <v>138</v>
      </c>
      <c r="F398" s="477" t="s">
        <v>2499</v>
      </c>
      <c r="G398" s="544">
        <v>11.216131174899999</v>
      </c>
      <c r="H398" s="478">
        <v>2929084.37</v>
      </c>
      <c r="I398" s="447">
        <f t="shared" si="39"/>
        <v>2849747.4403255363</v>
      </c>
      <c r="J398" s="251">
        <f t="shared" si="39"/>
        <v>2768827.5937034548</v>
      </c>
      <c r="K398" s="251">
        <f t="shared" si="39"/>
        <v>2680500.8414080543</v>
      </c>
      <c r="L398" s="450">
        <f t="shared" si="39"/>
        <v>2598272.8227628567</v>
      </c>
      <c r="M398" s="450">
        <f t="shared" si="39"/>
        <v>2518567.2607219866</v>
      </c>
      <c r="N398" s="450">
        <f t="shared" si="39"/>
        <v>2441306.7754892921</v>
      </c>
      <c r="O398" s="447" t="str">
        <f t="shared" si="40"/>
        <v/>
      </c>
      <c r="P398" s="251" t="str">
        <f t="shared" si="41"/>
        <v/>
      </c>
      <c r="Q398" s="251" t="str">
        <f t="shared" si="42"/>
        <v/>
      </c>
      <c r="R398" s="251" t="str">
        <f t="shared" si="43"/>
        <v/>
      </c>
      <c r="S398" s="450">
        <f t="shared" si="44"/>
        <v>2441306.7754892921</v>
      </c>
      <c r="T398" s="219"/>
    </row>
    <row r="399" spans="1:20">
      <c r="A399" s="474" t="s">
        <v>1170</v>
      </c>
      <c r="B399" s="475"/>
      <c r="C399" s="476">
        <v>13289.77</v>
      </c>
      <c r="D399" s="476">
        <v>-18089.189999999999</v>
      </c>
      <c r="E399" s="475">
        <v>138</v>
      </c>
      <c r="F399" s="477" t="s">
        <v>2499</v>
      </c>
      <c r="G399" s="544">
        <v>0.53795162723099998</v>
      </c>
      <c r="H399" s="478">
        <v>-4799.42</v>
      </c>
      <c r="I399" s="447">
        <f t="shared" si="39"/>
        <v>-4669.4233188124872</v>
      </c>
      <c r="J399" s="251">
        <f t="shared" si="39"/>
        <v>-4536.8329659183682</v>
      </c>
      <c r="K399" s="251">
        <f t="shared" si="39"/>
        <v>-4392.1061066160564</v>
      </c>
      <c r="L399" s="450">
        <f t="shared" si="39"/>
        <v>-4257.3722623853646</v>
      </c>
      <c r="M399" s="450">
        <f t="shared" si="39"/>
        <v>-4126.7715625597757</v>
      </c>
      <c r="N399" s="450">
        <f t="shared" si="39"/>
        <v>-4000.1772172983938</v>
      </c>
      <c r="O399" s="447" t="str">
        <f t="shared" si="40"/>
        <v/>
      </c>
      <c r="P399" s="251" t="str">
        <f t="shared" si="41"/>
        <v/>
      </c>
      <c r="Q399" s="251" t="str">
        <f t="shared" si="42"/>
        <v/>
      </c>
      <c r="R399" s="251" t="str">
        <f t="shared" si="43"/>
        <v/>
      </c>
      <c r="S399" s="450">
        <f t="shared" si="44"/>
        <v>-4000.1772172983938</v>
      </c>
      <c r="T399" s="219"/>
    </row>
    <row r="400" spans="1:20">
      <c r="A400" s="474" t="s">
        <v>1171</v>
      </c>
      <c r="B400" s="475"/>
      <c r="C400" s="476">
        <v>44127.54</v>
      </c>
      <c r="D400" s="476">
        <v>-26926.18</v>
      </c>
      <c r="E400" s="475">
        <v>138</v>
      </c>
      <c r="F400" s="477" t="s">
        <v>2498</v>
      </c>
      <c r="G400" s="544">
        <v>7.2495202434100001E-2</v>
      </c>
      <c r="H400" s="478">
        <v>17201.36</v>
      </c>
      <c r="I400" s="447">
        <f t="shared" si="39"/>
        <v>16735.445428674375</v>
      </c>
      <c r="J400" s="251">
        <f t="shared" si="39"/>
        <v>16260.235008944743</v>
      </c>
      <c r="K400" s="251">
        <f t="shared" si="39"/>
        <v>15741.526746586289</v>
      </c>
      <c r="L400" s="450">
        <f t="shared" si="39"/>
        <v>15258.633947290529</v>
      </c>
      <c r="M400" s="450">
        <f t="shared" si="39"/>
        <v>14790.554543122551</v>
      </c>
      <c r="N400" s="450">
        <f t="shared" si="39"/>
        <v>14336.834112986133</v>
      </c>
      <c r="O400" s="447" t="str">
        <f t="shared" si="40"/>
        <v/>
      </c>
      <c r="P400" s="251" t="str">
        <f t="shared" si="41"/>
        <v/>
      </c>
      <c r="Q400" s="251">
        <f t="shared" si="42"/>
        <v>14336.834112986133</v>
      </c>
      <c r="R400" s="251" t="str">
        <f t="shared" si="43"/>
        <v/>
      </c>
      <c r="S400" s="450" t="str">
        <f t="shared" si="44"/>
        <v/>
      </c>
      <c r="T400" s="219"/>
    </row>
    <row r="401" spans="1:20">
      <c r="A401" s="474" t="s">
        <v>1104</v>
      </c>
      <c r="B401" s="475"/>
      <c r="C401" s="476">
        <v>2576438.19</v>
      </c>
      <c r="D401" s="476">
        <v>-530754.88</v>
      </c>
      <c r="E401" s="475">
        <v>138</v>
      </c>
      <c r="F401" s="477" t="s">
        <v>2499</v>
      </c>
      <c r="G401" s="544">
        <v>9.0165226008300001E-2</v>
      </c>
      <c r="H401" s="478">
        <v>2045683.31</v>
      </c>
      <c r="I401" s="447">
        <f t="shared" si="39"/>
        <v>1990274.1061668941</v>
      </c>
      <c r="J401" s="251">
        <f t="shared" si="39"/>
        <v>1933759.3873086758</v>
      </c>
      <c r="K401" s="251">
        <f t="shared" si="39"/>
        <v>1872071.6582531945</v>
      </c>
      <c r="L401" s="450">
        <f t="shared" si="39"/>
        <v>1814643.3072368496</v>
      </c>
      <c r="M401" s="450">
        <f t="shared" si="39"/>
        <v>1758976.6492016024</v>
      </c>
      <c r="N401" s="450">
        <f t="shared" si="39"/>
        <v>1705017.6418128789</v>
      </c>
      <c r="O401" s="447" t="str">
        <f t="shared" si="40"/>
        <v/>
      </c>
      <c r="P401" s="251" t="str">
        <f t="shared" si="41"/>
        <v/>
      </c>
      <c r="Q401" s="251" t="str">
        <f t="shared" si="42"/>
        <v/>
      </c>
      <c r="R401" s="251" t="str">
        <f t="shared" si="43"/>
        <v/>
      </c>
      <c r="S401" s="450">
        <f t="shared" si="44"/>
        <v>1705017.6418128789</v>
      </c>
      <c r="T401" s="219"/>
    </row>
    <row r="402" spans="1:20">
      <c r="A402" s="474" t="s">
        <v>1105</v>
      </c>
      <c r="B402" s="475"/>
      <c r="C402" s="476">
        <v>156766.84</v>
      </c>
      <c r="D402" s="476">
        <v>-145329.53</v>
      </c>
      <c r="E402" s="475">
        <v>240</v>
      </c>
      <c r="F402" s="477" t="s">
        <v>2499</v>
      </c>
      <c r="G402" s="544">
        <v>0.55844612742599997</v>
      </c>
      <c r="H402" s="478">
        <v>11437.31</v>
      </c>
      <c r="I402" s="447">
        <f t="shared" si="39"/>
        <v>11127.519995851009</v>
      </c>
      <c r="J402" s="251">
        <f t="shared" si="39"/>
        <v>10811.549114148753</v>
      </c>
      <c r="K402" s="251">
        <f t="shared" si="39"/>
        <v>10466.656198928389</v>
      </c>
      <c r="L402" s="450">
        <f t="shared" si="39"/>
        <v>10145.577246897074</v>
      </c>
      <c r="M402" s="450">
        <f t="shared" si="39"/>
        <v>9834.3478295670211</v>
      </c>
      <c r="N402" s="450">
        <f t="shared" si="39"/>
        <v>9532.6657990296935</v>
      </c>
      <c r="O402" s="447" t="str">
        <f t="shared" si="40"/>
        <v/>
      </c>
      <c r="P402" s="251" t="str">
        <f t="shared" si="41"/>
        <v/>
      </c>
      <c r="Q402" s="251" t="str">
        <f t="shared" si="42"/>
        <v/>
      </c>
      <c r="R402" s="251" t="str">
        <f t="shared" si="43"/>
        <v/>
      </c>
      <c r="S402" s="450">
        <f t="shared" si="44"/>
        <v>9532.6657990296935</v>
      </c>
      <c r="T402" s="219"/>
    </row>
    <row r="403" spans="1:20">
      <c r="A403" s="474" t="s">
        <v>1106</v>
      </c>
      <c r="B403" s="475"/>
      <c r="C403" s="476">
        <v>2158939.59</v>
      </c>
      <c r="D403" s="476">
        <v>-68624.789999999994</v>
      </c>
      <c r="E403" s="475">
        <v>138</v>
      </c>
      <c r="F403" s="477" t="s">
        <v>2499</v>
      </c>
      <c r="G403" s="544">
        <v>3.1080922154879995</v>
      </c>
      <c r="H403" s="478">
        <v>2090314.8</v>
      </c>
      <c r="I403" s="447">
        <f t="shared" si="39"/>
        <v>2033696.7114315608</v>
      </c>
      <c r="J403" s="251">
        <f t="shared" si="39"/>
        <v>1975948.9883750661</v>
      </c>
      <c r="K403" s="251">
        <f t="shared" si="39"/>
        <v>1912915.3934912803</v>
      </c>
      <c r="L403" s="450">
        <f t="shared" si="39"/>
        <v>1854234.1051988804</v>
      </c>
      <c r="M403" s="450">
        <f t="shared" si="39"/>
        <v>1797352.945447122</v>
      </c>
      <c r="N403" s="450">
        <f t="shared" si="39"/>
        <v>1742216.6928382281</v>
      </c>
      <c r="O403" s="447" t="str">
        <f t="shared" si="40"/>
        <v/>
      </c>
      <c r="P403" s="251" t="str">
        <f t="shared" si="41"/>
        <v/>
      </c>
      <c r="Q403" s="251" t="str">
        <f t="shared" si="42"/>
        <v/>
      </c>
      <c r="R403" s="251" t="str">
        <f t="shared" si="43"/>
        <v/>
      </c>
      <c r="S403" s="450">
        <f t="shared" si="44"/>
        <v>1742216.6928382281</v>
      </c>
      <c r="T403" s="219"/>
    </row>
    <row r="404" spans="1:20">
      <c r="A404" s="474" t="s">
        <v>1127</v>
      </c>
      <c r="B404" s="475"/>
      <c r="C404" s="476">
        <v>31551.64</v>
      </c>
      <c r="D404" s="476">
        <v>-27118.58</v>
      </c>
      <c r="E404" s="475">
        <v>138</v>
      </c>
      <c r="F404" s="477" t="s">
        <v>2499</v>
      </c>
      <c r="G404" s="544">
        <v>10.829305277276001</v>
      </c>
      <c r="H404" s="478">
        <v>4433.0600000000004</v>
      </c>
      <c r="I404" s="447">
        <f t="shared" si="39"/>
        <v>4312.9865145569438</v>
      </c>
      <c r="J404" s="251">
        <f t="shared" si="39"/>
        <v>4190.517343323585</v>
      </c>
      <c r="K404" s="251">
        <f t="shared" si="39"/>
        <v>4056.838096477361</v>
      </c>
      <c r="L404" s="450">
        <f t="shared" si="39"/>
        <v>3932.3890556546553</v>
      </c>
      <c r="M404" s="450">
        <f t="shared" si="39"/>
        <v>3811.7576588673719</v>
      </c>
      <c r="N404" s="450">
        <f t="shared" si="39"/>
        <v>3694.8267946786941</v>
      </c>
      <c r="O404" s="447" t="str">
        <f t="shared" si="40"/>
        <v/>
      </c>
      <c r="P404" s="251" t="str">
        <f t="shared" si="41"/>
        <v/>
      </c>
      <c r="Q404" s="251" t="str">
        <f t="shared" si="42"/>
        <v/>
      </c>
      <c r="R404" s="251" t="str">
        <f t="shared" si="43"/>
        <v/>
      </c>
      <c r="S404" s="450">
        <f t="shared" si="44"/>
        <v>3694.8267946786941</v>
      </c>
      <c r="T404" s="219"/>
    </row>
    <row r="405" spans="1:20">
      <c r="A405" s="474" t="s">
        <v>1128</v>
      </c>
      <c r="B405" s="475"/>
      <c r="C405" s="476">
        <v>64647.34</v>
      </c>
      <c r="D405" s="476">
        <v>-9002.76</v>
      </c>
      <c r="E405" s="475">
        <v>138</v>
      </c>
      <c r="F405" s="477" t="s">
        <v>2499</v>
      </c>
      <c r="G405" s="544">
        <v>11.9583173309</v>
      </c>
      <c r="H405" s="478">
        <v>55644.58</v>
      </c>
      <c r="I405" s="447">
        <f t="shared" si="39"/>
        <v>54137.395647292171</v>
      </c>
      <c r="J405" s="251">
        <f t="shared" si="39"/>
        <v>52600.140208333905</v>
      </c>
      <c r="K405" s="251">
        <f t="shared" si="39"/>
        <v>50922.173849774699</v>
      </c>
      <c r="L405" s="450">
        <f t="shared" si="39"/>
        <v>49360.066725580051</v>
      </c>
      <c r="M405" s="450">
        <f t="shared" si="39"/>
        <v>47845.879367628266</v>
      </c>
      <c r="N405" s="450">
        <f t="shared" si="39"/>
        <v>46378.141771742805</v>
      </c>
      <c r="O405" s="447" t="str">
        <f t="shared" si="40"/>
        <v/>
      </c>
      <c r="P405" s="251" t="str">
        <f t="shared" si="41"/>
        <v/>
      </c>
      <c r="Q405" s="251" t="str">
        <f t="shared" si="42"/>
        <v/>
      </c>
      <c r="R405" s="251" t="str">
        <f t="shared" si="43"/>
        <v/>
      </c>
      <c r="S405" s="450">
        <f t="shared" si="44"/>
        <v>46378.141771742805</v>
      </c>
      <c r="T405" s="219"/>
    </row>
    <row r="406" spans="1:20">
      <c r="A406" s="474" t="s">
        <v>1129</v>
      </c>
      <c r="B406" s="475"/>
      <c r="C406" s="476">
        <v>20807.669999999998</v>
      </c>
      <c r="D406" s="476">
        <v>-3090.51</v>
      </c>
      <c r="E406" s="475">
        <v>69</v>
      </c>
      <c r="F406" s="477" t="s">
        <v>2498</v>
      </c>
      <c r="G406" s="544">
        <v>1.77853216169E-2</v>
      </c>
      <c r="H406" s="478">
        <v>17717.16</v>
      </c>
      <c r="I406" s="447">
        <f t="shared" si="39"/>
        <v>17237.274513822889</v>
      </c>
      <c r="J406" s="251">
        <f t="shared" si="39"/>
        <v>16747.814433921238</v>
      </c>
      <c r="K406" s="251">
        <f t="shared" si="39"/>
        <v>16213.552185033552</v>
      </c>
      <c r="L406" s="450">
        <f t="shared" si="39"/>
        <v>15716.1793617236</v>
      </c>
      <c r="M406" s="450">
        <f t="shared" si="39"/>
        <v>15234.064128024127</v>
      </c>
      <c r="N406" s="450">
        <f t="shared" si="39"/>
        <v>14766.738436567421</v>
      </c>
      <c r="O406" s="447" t="str">
        <f t="shared" si="40"/>
        <v/>
      </c>
      <c r="P406" s="251" t="str">
        <f t="shared" si="41"/>
        <v/>
      </c>
      <c r="Q406" s="251" t="str">
        <f t="shared" si="42"/>
        <v/>
      </c>
      <c r="R406" s="251">
        <f t="shared" si="43"/>
        <v>14766.738436567421</v>
      </c>
      <c r="S406" s="450" t="str">
        <f t="shared" si="44"/>
        <v/>
      </c>
      <c r="T406" s="219"/>
    </row>
    <row r="407" spans="1:20">
      <c r="A407" s="474" t="s">
        <v>1130</v>
      </c>
      <c r="B407" s="475"/>
      <c r="C407" s="476">
        <v>50765.07</v>
      </c>
      <c r="D407" s="476">
        <v>-29919.68</v>
      </c>
      <c r="E407" s="475">
        <v>69</v>
      </c>
      <c r="F407" s="477" t="s">
        <v>2499</v>
      </c>
      <c r="G407" s="544">
        <v>6.4532244640200007E-2</v>
      </c>
      <c r="H407" s="478">
        <v>20845.39</v>
      </c>
      <c r="I407" s="447">
        <f t="shared" si="39"/>
        <v>20280.773542582363</v>
      </c>
      <c r="J407" s="251">
        <f t="shared" si="39"/>
        <v>19704.891953491271</v>
      </c>
      <c r="K407" s="251">
        <f t="shared" si="39"/>
        <v>19076.297701345844</v>
      </c>
      <c r="L407" s="450">
        <f t="shared" ref="I407:N421" si="45">+$H407*(L$3)</f>
        <v>18491.106255465296</v>
      </c>
      <c r="M407" s="450">
        <f t="shared" si="45"/>
        <v>17923.866355198737</v>
      </c>
      <c r="N407" s="450">
        <f t="shared" si="45"/>
        <v>17374.027312404367</v>
      </c>
      <c r="O407" s="447" t="str">
        <f t="shared" si="40"/>
        <v/>
      </c>
      <c r="P407" s="251" t="str">
        <f t="shared" si="41"/>
        <v/>
      </c>
      <c r="Q407" s="251" t="str">
        <f t="shared" si="42"/>
        <v/>
      </c>
      <c r="R407" s="251" t="str">
        <f t="shared" si="43"/>
        <v/>
      </c>
      <c r="S407" s="450">
        <f t="shared" si="44"/>
        <v>17374.027312404367</v>
      </c>
      <c r="T407" s="219"/>
    </row>
    <row r="408" spans="1:20">
      <c r="A408" s="474" t="s">
        <v>1131</v>
      </c>
      <c r="B408" s="475"/>
      <c r="C408" s="476">
        <v>83587.95</v>
      </c>
      <c r="D408" s="476">
        <v>-36721.01</v>
      </c>
      <c r="E408" s="475">
        <v>69</v>
      </c>
      <c r="F408" s="477" t="s">
        <v>2498</v>
      </c>
      <c r="G408" s="544">
        <v>0.155185100366</v>
      </c>
      <c r="H408" s="478">
        <v>46866.94</v>
      </c>
      <c r="I408" s="447">
        <f t="shared" si="45"/>
        <v>45597.506056437182</v>
      </c>
      <c r="J408" s="251">
        <f t="shared" si="45"/>
        <v>44302.744582411666</v>
      </c>
      <c r="K408" s="251">
        <f t="shared" si="45"/>
        <v>42889.468596707171</v>
      </c>
      <c r="L408" s="450">
        <f t="shared" si="45"/>
        <v>41573.775660158753</v>
      </c>
      <c r="M408" s="450">
        <f t="shared" si="45"/>
        <v>40298.443398618016</v>
      </c>
      <c r="N408" s="450">
        <f t="shared" si="45"/>
        <v>39062.233693340197</v>
      </c>
      <c r="O408" s="447" t="str">
        <f t="shared" si="40"/>
        <v/>
      </c>
      <c r="P408" s="251" t="str">
        <f t="shared" si="41"/>
        <v/>
      </c>
      <c r="Q408" s="251" t="str">
        <f t="shared" si="42"/>
        <v/>
      </c>
      <c r="R408" s="251">
        <f t="shared" si="43"/>
        <v>39062.233693340197</v>
      </c>
      <c r="S408" s="450" t="str">
        <f t="shared" si="44"/>
        <v/>
      </c>
      <c r="T408" s="219"/>
    </row>
    <row r="409" spans="1:20">
      <c r="A409" s="474" t="s">
        <v>1132</v>
      </c>
      <c r="B409" s="475"/>
      <c r="C409" s="476">
        <v>539835.19999999995</v>
      </c>
      <c r="D409" s="476">
        <v>-374194.94</v>
      </c>
      <c r="E409" s="475">
        <v>138</v>
      </c>
      <c r="F409" s="477" t="s">
        <v>2499</v>
      </c>
      <c r="G409" s="544">
        <v>6.3709063525800005</v>
      </c>
      <c r="H409" s="478">
        <v>165640.26</v>
      </c>
      <c r="I409" s="447">
        <f t="shared" si="45"/>
        <v>161153.7420309461</v>
      </c>
      <c r="J409" s="251">
        <f t="shared" si="45"/>
        <v>156577.70981728827</v>
      </c>
      <c r="K409" s="251">
        <f t="shared" si="45"/>
        <v>151582.81572512331</v>
      </c>
      <c r="L409" s="450">
        <f t="shared" si="45"/>
        <v>146932.80614288809</v>
      </c>
      <c r="M409" s="450">
        <f t="shared" si="45"/>
        <v>142425.44194569503</v>
      </c>
      <c r="N409" s="450">
        <f t="shared" si="45"/>
        <v>138056.34729183579</v>
      </c>
      <c r="O409" s="447" t="str">
        <f t="shared" si="40"/>
        <v/>
      </c>
      <c r="P409" s="251" t="str">
        <f t="shared" si="41"/>
        <v/>
      </c>
      <c r="Q409" s="251" t="str">
        <f t="shared" si="42"/>
        <v/>
      </c>
      <c r="R409" s="251" t="str">
        <f t="shared" si="43"/>
        <v/>
      </c>
      <c r="S409" s="450">
        <f t="shared" si="44"/>
        <v>138056.34729183579</v>
      </c>
      <c r="T409" s="219"/>
    </row>
    <row r="410" spans="1:20">
      <c r="A410" s="474" t="s">
        <v>1133</v>
      </c>
      <c r="B410" s="475"/>
      <c r="C410" s="476">
        <v>262392.14</v>
      </c>
      <c r="D410" s="476">
        <v>-85975.15</v>
      </c>
      <c r="E410" s="475">
        <v>138</v>
      </c>
      <c r="F410" s="477" t="s">
        <v>2498</v>
      </c>
      <c r="G410" s="544">
        <v>8.1982383024101999</v>
      </c>
      <c r="H410" s="478">
        <v>176416.99</v>
      </c>
      <c r="I410" s="447">
        <f t="shared" si="45"/>
        <v>171638.57444039267</v>
      </c>
      <c r="J410" s="251">
        <f t="shared" si="45"/>
        <v>166764.82074502565</v>
      </c>
      <c r="K410" s="251">
        <f t="shared" si="45"/>
        <v>161444.95357560366</v>
      </c>
      <c r="L410" s="450">
        <f t="shared" si="45"/>
        <v>156492.409466043</v>
      </c>
      <c r="M410" s="450">
        <f t="shared" si="45"/>
        <v>151691.79140070931</v>
      </c>
      <c r="N410" s="450">
        <f t="shared" si="45"/>
        <v>147038.43884101798</v>
      </c>
      <c r="O410" s="447" t="str">
        <f t="shared" si="40"/>
        <v/>
      </c>
      <c r="P410" s="251" t="str">
        <f t="shared" si="41"/>
        <v/>
      </c>
      <c r="Q410" s="251">
        <f t="shared" si="42"/>
        <v>147038.43884101798</v>
      </c>
      <c r="R410" s="251" t="str">
        <f t="shared" si="43"/>
        <v/>
      </c>
      <c r="S410" s="450" t="str">
        <f t="shared" si="44"/>
        <v/>
      </c>
      <c r="T410" s="219"/>
    </row>
    <row r="411" spans="1:20">
      <c r="A411" s="474" t="s">
        <v>1134</v>
      </c>
      <c r="B411" s="475"/>
      <c r="C411" s="476">
        <v>186161.65</v>
      </c>
      <c r="D411" s="476">
        <v>-133896.60999999999</v>
      </c>
      <c r="E411" s="475">
        <v>138</v>
      </c>
      <c r="F411" s="477" t="s">
        <v>2499</v>
      </c>
      <c r="G411" s="544">
        <v>0.84778746051999998</v>
      </c>
      <c r="H411" s="478">
        <v>52265.04</v>
      </c>
      <c r="I411" s="447">
        <f t="shared" si="45"/>
        <v>50849.393579779935</v>
      </c>
      <c r="J411" s="251">
        <f t="shared" si="45"/>
        <v>49405.502422593177</v>
      </c>
      <c r="K411" s="251">
        <f t="shared" si="45"/>
        <v>47829.446338626847</v>
      </c>
      <c r="L411" s="450">
        <f t="shared" si="45"/>
        <v>46362.212848315328</v>
      </c>
      <c r="M411" s="450">
        <f t="shared" si="45"/>
        <v>44939.988746150411</v>
      </c>
      <c r="N411" s="450">
        <f t="shared" si="45"/>
        <v>43561.39330777245</v>
      </c>
      <c r="O411" s="447" t="str">
        <f t="shared" si="40"/>
        <v/>
      </c>
      <c r="P411" s="251" t="str">
        <f t="shared" si="41"/>
        <v/>
      </c>
      <c r="Q411" s="251" t="str">
        <f t="shared" si="42"/>
        <v/>
      </c>
      <c r="R411" s="251" t="str">
        <f t="shared" si="43"/>
        <v/>
      </c>
      <c r="S411" s="450">
        <f t="shared" si="44"/>
        <v>43561.39330777245</v>
      </c>
      <c r="T411" s="219"/>
    </row>
    <row r="412" spans="1:20">
      <c r="A412" s="474" t="s">
        <v>1135</v>
      </c>
      <c r="B412" s="475"/>
      <c r="C412" s="476">
        <v>35391.89</v>
      </c>
      <c r="D412" s="476">
        <v>-27217.81</v>
      </c>
      <c r="E412" s="475">
        <v>138</v>
      </c>
      <c r="F412" s="477" t="s">
        <v>2499</v>
      </c>
      <c r="G412" s="544">
        <v>9.9210097281299994E-2</v>
      </c>
      <c r="H412" s="478">
        <v>8174.08</v>
      </c>
      <c r="I412" s="447">
        <f t="shared" si="45"/>
        <v>7952.6775655889205</v>
      </c>
      <c r="J412" s="251">
        <f t="shared" si="45"/>
        <v>7726.8577474057311</v>
      </c>
      <c r="K412" s="251">
        <f t="shared" si="45"/>
        <v>7480.3677702656096</v>
      </c>
      <c r="L412" s="450">
        <f t="shared" si="45"/>
        <v>7250.8972881137634</v>
      </c>
      <c r="M412" s="450">
        <f t="shared" si="45"/>
        <v>7028.4661259253435</v>
      </c>
      <c r="N412" s="450">
        <f t="shared" si="45"/>
        <v>6812.858342961119</v>
      </c>
      <c r="O412" s="447" t="str">
        <f t="shared" si="40"/>
        <v/>
      </c>
      <c r="P412" s="251" t="str">
        <f t="shared" si="41"/>
        <v/>
      </c>
      <c r="Q412" s="251" t="str">
        <f t="shared" si="42"/>
        <v/>
      </c>
      <c r="R412" s="251" t="str">
        <f t="shared" si="43"/>
        <v/>
      </c>
      <c r="S412" s="450">
        <f t="shared" si="44"/>
        <v>6812.858342961119</v>
      </c>
      <c r="T412" s="219"/>
    </row>
    <row r="413" spans="1:20">
      <c r="A413" s="474" t="s">
        <v>1136</v>
      </c>
      <c r="B413" s="475"/>
      <c r="C413" s="476">
        <v>9239.61</v>
      </c>
      <c r="D413" s="476">
        <v>-9773.2800000000007</v>
      </c>
      <c r="E413" s="475">
        <v>69</v>
      </c>
      <c r="F413" s="477" t="s">
        <v>2499</v>
      </c>
      <c r="G413" s="544">
        <v>0.26043583914599999</v>
      </c>
      <c r="H413" s="478">
        <v>-533.66999999999996</v>
      </c>
      <c r="I413" s="447">
        <f t="shared" si="45"/>
        <v>-519.21505985111958</v>
      </c>
      <c r="J413" s="251">
        <f t="shared" si="45"/>
        <v>-504.4717171911721</v>
      </c>
      <c r="K413" s="251">
        <f t="shared" si="45"/>
        <v>-488.3788595117307</v>
      </c>
      <c r="L413" s="450">
        <f t="shared" si="45"/>
        <v>-473.39717200561677</v>
      </c>
      <c r="M413" s="450">
        <f t="shared" si="45"/>
        <v>-458.87506819392246</v>
      </c>
      <c r="N413" s="450">
        <f t="shared" si="45"/>
        <v>-444.79844972009818</v>
      </c>
      <c r="O413" s="447" t="str">
        <f t="shared" si="40"/>
        <v/>
      </c>
      <c r="P413" s="251" t="str">
        <f t="shared" si="41"/>
        <v/>
      </c>
      <c r="Q413" s="251" t="str">
        <f t="shared" si="42"/>
        <v/>
      </c>
      <c r="R413" s="251" t="str">
        <f t="shared" si="43"/>
        <v/>
      </c>
      <c r="S413" s="450">
        <f t="shared" si="44"/>
        <v>-444.79844972009818</v>
      </c>
      <c r="T413" s="219"/>
    </row>
    <row r="414" spans="1:20">
      <c r="A414" s="474" t="s">
        <v>1137</v>
      </c>
      <c r="B414" s="475"/>
      <c r="C414" s="476">
        <v>597.25</v>
      </c>
      <c r="D414" s="476">
        <v>-573.85</v>
      </c>
      <c r="E414" s="475">
        <v>69</v>
      </c>
      <c r="F414" s="477" t="s">
        <v>2498</v>
      </c>
      <c r="G414" s="544">
        <v>0.16956063252300002</v>
      </c>
      <c r="H414" s="478">
        <v>23.4</v>
      </c>
      <c r="I414" s="447">
        <f t="shared" si="45"/>
        <v>22.766189593786791</v>
      </c>
      <c r="J414" s="251">
        <f t="shared" si="45"/>
        <v>22.119733509984499</v>
      </c>
      <c r="K414" s="251">
        <f t="shared" si="45"/>
        <v>21.414104807417502</v>
      </c>
      <c r="L414" s="450">
        <f t="shared" si="45"/>
        <v>20.757197940546465</v>
      </c>
      <c r="M414" s="450">
        <f t="shared" si="45"/>
        <v>20.120442587624911</v>
      </c>
      <c r="N414" s="450">
        <f t="shared" si="45"/>
        <v>19.503220573482299</v>
      </c>
      <c r="O414" s="447" t="str">
        <f t="shared" si="40"/>
        <v/>
      </c>
      <c r="P414" s="251" t="str">
        <f t="shared" si="41"/>
        <v/>
      </c>
      <c r="Q414" s="251" t="str">
        <f t="shared" si="42"/>
        <v/>
      </c>
      <c r="R414" s="251">
        <f t="shared" si="43"/>
        <v>19.503220573482299</v>
      </c>
      <c r="S414" s="450" t="str">
        <f t="shared" si="44"/>
        <v/>
      </c>
      <c r="T414" s="219"/>
    </row>
    <row r="415" spans="1:20">
      <c r="A415" s="474" t="s">
        <v>1138</v>
      </c>
      <c r="B415" s="475"/>
      <c r="C415" s="476">
        <v>963033.44</v>
      </c>
      <c r="D415" s="476">
        <v>-689931.38</v>
      </c>
      <c r="E415" s="475">
        <v>138</v>
      </c>
      <c r="F415" s="477" t="s">
        <v>2499</v>
      </c>
      <c r="G415" s="544">
        <v>7.5034718561420011</v>
      </c>
      <c r="H415" s="478">
        <v>273102.06</v>
      </c>
      <c r="I415" s="447">
        <f t="shared" si="45"/>
        <v>265704.84087238187</v>
      </c>
      <c r="J415" s="251">
        <f t="shared" si="45"/>
        <v>258160.0336849486</v>
      </c>
      <c r="K415" s="251">
        <f t="shared" si="45"/>
        <v>249924.6211949412</v>
      </c>
      <c r="L415" s="450">
        <f t="shared" si="45"/>
        <v>242257.84262354689</v>
      </c>
      <c r="M415" s="450">
        <f t="shared" si="45"/>
        <v>234826.25293983307</v>
      </c>
      <c r="N415" s="450">
        <f t="shared" si="45"/>
        <v>227622.63740394858</v>
      </c>
      <c r="O415" s="447" t="str">
        <f t="shared" si="40"/>
        <v/>
      </c>
      <c r="P415" s="251" t="str">
        <f t="shared" si="41"/>
        <v/>
      </c>
      <c r="Q415" s="251" t="str">
        <f t="shared" si="42"/>
        <v/>
      </c>
      <c r="R415" s="251" t="str">
        <f t="shared" si="43"/>
        <v/>
      </c>
      <c r="S415" s="450">
        <f t="shared" si="44"/>
        <v>227622.63740394858</v>
      </c>
      <c r="T415" s="219"/>
    </row>
    <row r="416" spans="1:20">
      <c r="A416" s="474" t="s">
        <v>1139</v>
      </c>
      <c r="B416" s="475"/>
      <c r="C416" s="476">
        <v>185593.98</v>
      </c>
      <c r="D416" s="476">
        <v>-59191.49</v>
      </c>
      <c r="E416" s="475">
        <v>138</v>
      </c>
      <c r="F416" s="477" t="s">
        <v>2498</v>
      </c>
      <c r="G416" s="544">
        <v>4.6032203829</v>
      </c>
      <c r="H416" s="478">
        <v>126402.49</v>
      </c>
      <c r="I416" s="447">
        <f t="shared" si="45"/>
        <v>122978.76292592903</v>
      </c>
      <c r="J416" s="251">
        <f t="shared" si="45"/>
        <v>119486.72623070431</v>
      </c>
      <c r="K416" s="251">
        <f t="shared" si="45"/>
        <v>115675.04994780099</v>
      </c>
      <c r="L416" s="450">
        <f t="shared" si="45"/>
        <v>112126.5600473481</v>
      </c>
      <c r="M416" s="450">
        <f t="shared" si="45"/>
        <v>108686.92491358257</v>
      </c>
      <c r="N416" s="450">
        <f t="shared" si="45"/>
        <v>105352.80527809361</v>
      </c>
      <c r="O416" s="447" t="str">
        <f t="shared" si="40"/>
        <v/>
      </c>
      <c r="P416" s="251" t="str">
        <f t="shared" si="41"/>
        <v/>
      </c>
      <c r="Q416" s="251">
        <f t="shared" si="42"/>
        <v>105352.80527809361</v>
      </c>
      <c r="R416" s="251" t="str">
        <f t="shared" si="43"/>
        <v/>
      </c>
      <c r="S416" s="450" t="str">
        <f t="shared" si="44"/>
        <v/>
      </c>
      <c r="T416" s="219"/>
    </row>
    <row r="417" spans="1:20">
      <c r="A417" s="474" t="s">
        <v>1140</v>
      </c>
      <c r="B417" s="475"/>
      <c r="C417" s="476">
        <v>682439.76</v>
      </c>
      <c r="D417" s="476">
        <v>-108023.58</v>
      </c>
      <c r="E417" s="475">
        <v>138</v>
      </c>
      <c r="F417" s="477" t="s">
        <v>2499</v>
      </c>
      <c r="G417" s="544">
        <v>1.1346542202700001</v>
      </c>
      <c r="H417" s="478">
        <v>574416.18000000005</v>
      </c>
      <c r="I417" s="447">
        <f t="shared" si="45"/>
        <v>558857.59229140007</v>
      </c>
      <c r="J417" s="251">
        <f t="shared" si="45"/>
        <v>542988.58228304656</v>
      </c>
      <c r="K417" s="251">
        <f t="shared" si="45"/>
        <v>525667.02058104274</v>
      </c>
      <c r="L417" s="450">
        <f t="shared" si="45"/>
        <v>509541.46788515255</v>
      </c>
      <c r="M417" s="450">
        <f t="shared" si="45"/>
        <v>493910.58850824012</v>
      </c>
      <c r="N417" s="450">
        <f t="shared" si="45"/>
        <v>478759.20767167147</v>
      </c>
      <c r="O417" s="447" t="str">
        <f t="shared" si="40"/>
        <v/>
      </c>
      <c r="P417" s="251" t="str">
        <f t="shared" si="41"/>
        <v/>
      </c>
      <c r="Q417" s="251" t="str">
        <f t="shared" si="42"/>
        <v/>
      </c>
      <c r="R417" s="251" t="str">
        <f t="shared" si="43"/>
        <v/>
      </c>
      <c r="S417" s="450">
        <f t="shared" si="44"/>
        <v>478759.20767167147</v>
      </c>
      <c r="T417" s="219"/>
    </row>
    <row r="418" spans="1:20">
      <c r="A418" s="474" t="s">
        <v>1141</v>
      </c>
      <c r="B418" s="475"/>
      <c r="C418" s="476">
        <v>3536182.89</v>
      </c>
      <c r="D418" s="476">
        <v>-806237.05</v>
      </c>
      <c r="E418" s="475">
        <v>138</v>
      </c>
      <c r="F418" s="477" t="s">
        <v>2499</v>
      </c>
      <c r="G418" s="544">
        <v>20.190292323000001</v>
      </c>
      <c r="H418" s="478">
        <v>2729945.84</v>
      </c>
      <c r="I418" s="447">
        <f t="shared" si="45"/>
        <v>2656002.7595816045</v>
      </c>
      <c r="J418" s="251">
        <f t="shared" si="45"/>
        <v>2580584.3793799477</v>
      </c>
      <c r="K418" s="251">
        <f t="shared" si="45"/>
        <v>2498262.6639458723</v>
      </c>
      <c r="L418" s="450">
        <f t="shared" si="45"/>
        <v>2421625.0499081793</v>
      </c>
      <c r="M418" s="450">
        <f t="shared" si="45"/>
        <v>2347338.399189977</v>
      </c>
      <c r="N418" s="450">
        <f t="shared" si="45"/>
        <v>2275330.5927854879</v>
      </c>
      <c r="O418" s="447" t="str">
        <f t="shared" si="40"/>
        <v/>
      </c>
      <c r="P418" s="251" t="str">
        <f t="shared" si="41"/>
        <v/>
      </c>
      <c r="Q418" s="251" t="str">
        <f t="shared" si="42"/>
        <v/>
      </c>
      <c r="R418" s="251" t="str">
        <f t="shared" si="43"/>
        <v/>
      </c>
      <c r="S418" s="450">
        <f t="shared" si="44"/>
        <v>2275330.5927854879</v>
      </c>
      <c r="T418" s="219"/>
    </row>
    <row r="419" spans="1:20">
      <c r="A419" s="474" t="s">
        <v>1142</v>
      </c>
      <c r="B419" s="475"/>
      <c r="C419" s="476">
        <v>6870.19</v>
      </c>
      <c r="D419" s="476">
        <v>-1377.08</v>
      </c>
      <c r="E419" s="475">
        <v>69</v>
      </c>
      <c r="F419" s="477" t="s">
        <v>2498</v>
      </c>
      <c r="G419" s="544">
        <v>2.6930551084000002E-2</v>
      </c>
      <c r="H419" s="478">
        <v>5493.11</v>
      </c>
      <c r="I419" s="447">
        <f t="shared" si="45"/>
        <v>5344.3240905780413</v>
      </c>
      <c r="J419" s="251">
        <f t="shared" si="45"/>
        <v>5192.5696299585879</v>
      </c>
      <c r="K419" s="251">
        <f t="shared" si="45"/>
        <v>5026.924498233896</v>
      </c>
      <c r="L419" s="450">
        <f t="shared" si="45"/>
        <v>4872.7167341536406</v>
      </c>
      <c r="M419" s="450">
        <f t="shared" si="45"/>
        <v>4723.2395035259942</v>
      </c>
      <c r="N419" s="450">
        <f t="shared" si="45"/>
        <v>4578.3476907863824</v>
      </c>
      <c r="O419" s="447" t="str">
        <f t="shared" si="40"/>
        <v/>
      </c>
      <c r="P419" s="251" t="str">
        <f t="shared" si="41"/>
        <v/>
      </c>
      <c r="Q419" s="251" t="str">
        <f t="shared" si="42"/>
        <v/>
      </c>
      <c r="R419" s="251">
        <f t="shared" si="43"/>
        <v>4578.3476907863824</v>
      </c>
      <c r="S419" s="450" t="str">
        <f t="shared" si="44"/>
        <v/>
      </c>
      <c r="T419" s="219"/>
    </row>
    <row r="420" spans="1:20">
      <c r="A420" s="474" t="s">
        <v>1143</v>
      </c>
      <c r="B420" s="475"/>
      <c r="C420" s="476">
        <v>1313.94</v>
      </c>
      <c r="D420" s="476">
        <v>-1264.4100000000001</v>
      </c>
      <c r="E420" s="475">
        <v>69</v>
      </c>
      <c r="F420" s="477" t="s">
        <v>2498</v>
      </c>
      <c r="G420" s="544">
        <v>1.8372075601100001E-2</v>
      </c>
      <c r="H420" s="478">
        <v>49.53</v>
      </c>
      <c r="I420" s="447">
        <f t="shared" si="45"/>
        <v>48.188434640182045</v>
      </c>
      <c r="J420" s="251">
        <f t="shared" si="45"/>
        <v>46.820102596133857</v>
      </c>
      <c r="K420" s="251">
        <f t="shared" si="45"/>
        <v>45.32652184236705</v>
      </c>
      <c r="L420" s="450">
        <f t="shared" si="45"/>
        <v>43.93606897415669</v>
      </c>
      <c r="M420" s="450">
        <f t="shared" si="45"/>
        <v>42.588270143806064</v>
      </c>
      <c r="N420" s="450">
        <f t="shared" si="45"/>
        <v>41.281816880537534</v>
      </c>
      <c r="O420" s="447" t="str">
        <f t="shared" si="40"/>
        <v/>
      </c>
      <c r="P420" s="251" t="str">
        <f t="shared" si="41"/>
        <v/>
      </c>
      <c r="Q420" s="251" t="str">
        <f t="shared" si="42"/>
        <v/>
      </c>
      <c r="R420" s="251">
        <f t="shared" si="43"/>
        <v>41.281816880537534</v>
      </c>
      <c r="S420" s="450" t="str">
        <f t="shared" si="44"/>
        <v/>
      </c>
      <c r="T420" s="219"/>
    </row>
    <row r="421" spans="1:20">
      <c r="A421" s="474" t="s">
        <v>1144</v>
      </c>
      <c r="B421" s="475"/>
      <c r="C421" s="476">
        <v>2946155.36</v>
      </c>
      <c r="D421" s="476">
        <v>-277741.40000000002</v>
      </c>
      <c r="E421" s="475">
        <v>69</v>
      </c>
      <c r="F421" s="477" t="s">
        <v>2498</v>
      </c>
      <c r="G421" s="544">
        <v>3.4341321006E-2</v>
      </c>
      <c r="H421" s="478">
        <v>2668413.96</v>
      </c>
      <c r="I421" s="447">
        <f t="shared" si="45"/>
        <v>2596137.5268404875</v>
      </c>
      <c r="J421" s="251">
        <f t="shared" si="45"/>
        <v>2522419.0465607881</v>
      </c>
      <c r="K421" s="251">
        <f t="shared" si="45"/>
        <v>2441952.8294451274</v>
      </c>
      <c r="L421" s="450">
        <f t="shared" si="45"/>
        <v>2367042.5963691217</v>
      </c>
      <c r="M421" s="450">
        <f t="shared" si="45"/>
        <v>2294430.3368460187</v>
      </c>
      <c r="N421" s="450">
        <f t="shared" si="45"/>
        <v>2224045.5574033922</v>
      </c>
      <c r="O421" s="447" t="str">
        <f t="shared" si="40"/>
        <v/>
      </c>
      <c r="P421" s="251" t="str">
        <f t="shared" si="41"/>
        <v/>
      </c>
      <c r="Q421" s="251" t="str">
        <f t="shared" si="42"/>
        <v/>
      </c>
      <c r="R421" s="251">
        <f t="shared" si="43"/>
        <v>2224045.5574033922</v>
      </c>
      <c r="S421" s="450" t="str">
        <f t="shared" si="44"/>
        <v/>
      </c>
      <c r="T421" s="219"/>
    </row>
    <row r="422" spans="1:20" s="777" customFormat="1">
      <c r="A422" s="479" t="s">
        <v>1122</v>
      </c>
      <c r="B422" s="479"/>
      <c r="C422" s="480">
        <f>SUM(C5:C421)</f>
        <v>2856170377.25</v>
      </c>
      <c r="D422" s="480">
        <f t="shared" ref="D422:H422" si="46">SUM(D5:D421)</f>
        <v>-729390378.03999984</v>
      </c>
      <c r="E422" s="481"/>
      <c r="F422" s="481"/>
      <c r="G422" s="545">
        <f t="shared" si="46"/>
        <v>11946.81315455153</v>
      </c>
      <c r="H422" s="480">
        <f t="shared" si="46"/>
        <v>2126779999.2099996</v>
      </c>
      <c r="I422" s="482">
        <f t="shared" ref="I422" si="47">SUM(I5:I421)</f>
        <v>2069174217.3627594</v>
      </c>
      <c r="J422" s="482">
        <f t="shared" ref="J422" si="48">SUM(J5:J421)</f>
        <v>2010419094.7388988</v>
      </c>
      <c r="K422" s="482">
        <f t="shared" ref="K422" si="49">SUM(K5:K421)</f>
        <v>1946285889.1197553</v>
      </c>
      <c r="L422" s="482">
        <f t="shared" ref="L422" si="50">SUM(L5:L421)</f>
        <v>1886580915.3674047</v>
      </c>
      <c r="M422" s="482">
        <f t="shared" ref="M422" si="51">SUM(M5:M421)</f>
        <v>1828707473.103152</v>
      </c>
      <c r="N422" s="482">
        <f t="shared" ref="N422:R422" si="52">SUM(N5:N421)</f>
        <v>1772609377.6009877</v>
      </c>
      <c r="O422" s="482">
        <f t="shared" si="52"/>
        <v>264224176.3452563</v>
      </c>
      <c r="P422" s="482">
        <f t="shared" si="52"/>
        <v>1023628825.3862925</v>
      </c>
      <c r="Q422" s="482">
        <f t="shared" si="52"/>
        <v>316319746.37954986</v>
      </c>
      <c r="R422" s="482">
        <f t="shared" si="52"/>
        <v>21755360.486782957</v>
      </c>
      <c r="S422" s="482">
        <f>SUM(S5:S421)</f>
        <v>146681269.00310713</v>
      </c>
      <c r="T422" s="482"/>
    </row>
  </sheetData>
  <autoFilter ref="A4:X4"/>
  <mergeCells count="7">
    <mergeCell ref="V11:X11"/>
    <mergeCell ref="U1:X1"/>
    <mergeCell ref="O3:P3"/>
    <mergeCell ref="Q3:R3"/>
    <mergeCell ref="A1:H1"/>
    <mergeCell ref="I1:L1"/>
    <mergeCell ref="O1:S1"/>
  </mergeCells>
  <phoneticPr fontId="0" type="noConversion"/>
  <pageMargins left="0.7" right="0.7" top="0.75" bottom="0.75" header="0.3" footer="0.3"/>
  <pageSetup fitToHeight="0" orientation="portrait" r:id="rId1"/>
  <headerFooter>
    <oddHeader>&amp;LAlberta Electric System Operator&amp;CConfidentiality: Public&amp;R&amp;D</oddHeader>
    <oddFooter>&amp;L&amp;F&amp;CPage &amp;P of &amp;N&amp;RTab &amp;A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92D050"/>
  </sheetPr>
  <dimension ref="A1:AE231"/>
  <sheetViews>
    <sheetView showGridLines="0" zoomScale="60" zoomScaleNormal="60" workbookViewId="0">
      <pane xSplit="1" ySplit="4" topLeftCell="B5" activePane="bottomRight" state="frozenSplit"/>
      <selection activeCell="O24" sqref="A1:XFD1048576"/>
      <selection pane="topRight" activeCell="O24" sqref="A1:XFD1048576"/>
      <selection pane="bottomLeft" activeCell="O24" sqref="A1:XFD1048576"/>
      <selection pane="bottomRight" activeCell="C4" sqref="C4"/>
    </sheetView>
  </sheetViews>
  <sheetFormatPr defaultColWidth="9.109375" defaultRowHeight="13.8"/>
  <cols>
    <col min="1" max="1" width="19.6640625" style="4" customWidth="1"/>
    <col min="2" max="2" width="63.88671875" style="4" bestFit="1" customWidth="1"/>
    <col min="3" max="3" width="94.109375" style="4" customWidth="1"/>
    <col min="4" max="4" width="24" style="101" bestFit="1" customWidth="1"/>
    <col min="5" max="5" width="18.5546875" style="101" customWidth="1"/>
    <col min="6" max="6" width="23" style="101" bestFit="1" customWidth="1"/>
    <col min="7" max="8" width="23" style="4" bestFit="1" customWidth="1"/>
    <col min="9" max="9" width="25" style="4" bestFit="1" customWidth="1"/>
    <col min="10" max="11" width="25" style="4" customWidth="1"/>
    <col min="12" max="12" width="19.5546875" style="4" customWidth="1"/>
    <col min="13" max="13" width="16.44140625" style="4" customWidth="1"/>
    <col min="14" max="14" width="8.5546875" style="4" bestFit="1" customWidth="1"/>
    <col min="15" max="15" width="16" style="4" bestFit="1" customWidth="1"/>
    <col min="16" max="16" width="22.44140625" style="4" customWidth="1"/>
    <col min="17" max="17" width="16.109375" style="4" bestFit="1" customWidth="1"/>
    <col min="18" max="18" width="22.33203125" style="4" customWidth="1"/>
    <col min="19" max="19" width="17.88671875" style="4" bestFit="1" customWidth="1"/>
    <col min="20" max="21" width="16.44140625" style="4" bestFit="1" customWidth="1"/>
    <col min="22" max="22" width="16.44140625" style="4" customWidth="1"/>
    <col min="23" max="23" width="27.44140625" style="4" bestFit="1" customWidth="1"/>
    <col min="24" max="24" width="19.33203125" style="4" customWidth="1"/>
    <col min="25" max="25" width="22.6640625" style="4" customWidth="1"/>
    <col min="26" max="26" width="17.109375" style="4" bestFit="1" customWidth="1"/>
    <col min="27" max="27" width="25.6640625" style="4" bestFit="1" customWidth="1"/>
    <col min="28" max="28" width="19.6640625" style="4" customWidth="1"/>
    <col min="29" max="29" width="18.6640625" style="4" customWidth="1"/>
    <col min="30" max="30" width="17.109375" style="4" bestFit="1" customWidth="1"/>
    <col min="31" max="31" width="15.33203125" style="4" bestFit="1" customWidth="1"/>
    <col min="32" max="16384" width="9.109375" style="4"/>
  </cols>
  <sheetData>
    <row r="1" spans="1:31" ht="14.4" thickBot="1">
      <c r="A1" s="998" t="s">
        <v>2102</v>
      </c>
      <c r="B1" s="999"/>
      <c r="C1" s="999"/>
      <c r="D1" s="999"/>
      <c r="E1" s="1000"/>
      <c r="F1" s="984" t="s">
        <v>51</v>
      </c>
      <c r="G1" s="985"/>
      <c r="H1" s="985"/>
      <c r="I1" s="1001"/>
      <c r="J1" s="778"/>
      <c r="K1" s="778"/>
      <c r="L1" s="993" t="s">
        <v>101</v>
      </c>
      <c r="M1" s="994"/>
      <c r="N1" s="995"/>
      <c r="O1" s="990" t="s">
        <v>103</v>
      </c>
      <c r="P1" s="991"/>
      <c r="Q1" s="992"/>
      <c r="R1" s="285" t="s">
        <v>725</v>
      </c>
      <c r="S1" s="987" t="s">
        <v>45</v>
      </c>
      <c r="T1" s="988"/>
      <c r="U1" s="989"/>
      <c r="V1" s="554"/>
      <c r="W1" s="986" t="s">
        <v>2141</v>
      </c>
      <c r="X1" s="986"/>
      <c r="Y1" s="986"/>
      <c r="Z1" s="986"/>
    </row>
    <row r="2" spans="1:31" s="785" customFormat="1">
      <c r="A2" s="390" t="s">
        <v>2139</v>
      </c>
      <c r="B2" s="391"/>
      <c r="C2" s="391"/>
      <c r="D2" s="392"/>
      <c r="E2" s="393"/>
      <c r="F2" s="394" t="s">
        <v>214</v>
      </c>
      <c r="G2" s="395" t="s">
        <v>215</v>
      </c>
      <c r="H2" s="395" t="s">
        <v>1123</v>
      </c>
      <c r="I2" s="396" t="s">
        <v>1124</v>
      </c>
      <c r="J2" s="395" t="s">
        <v>1125</v>
      </c>
      <c r="K2" s="395" t="s">
        <v>1126</v>
      </c>
      <c r="L2" s="397"/>
      <c r="M2" s="398"/>
      <c r="N2" s="399"/>
      <c r="O2" s="400"/>
      <c r="P2" s="401"/>
      <c r="Q2" s="402"/>
      <c r="R2" s="403"/>
      <c r="S2" s="404"/>
      <c r="T2" s="405"/>
      <c r="U2" s="406"/>
      <c r="V2" s="405"/>
      <c r="W2" s="407"/>
      <c r="X2" s="407"/>
      <c r="Y2" s="407"/>
      <c r="Z2" s="407"/>
    </row>
    <row r="3" spans="1:31" s="785" customFormat="1">
      <c r="A3" s="408"/>
      <c r="B3" s="409"/>
      <c r="C3" s="409"/>
      <c r="D3" s="392"/>
      <c r="E3" s="393"/>
      <c r="F3" s="394">
        <f>+(1-Depreciation!G17)</f>
        <v>0.97556592632866179</v>
      </c>
      <c r="G3" s="395">
        <f>+(1-Depreciation!G17)*(1-Depreciation!H17)</f>
        <v>0.95153534693782615</v>
      </c>
      <c r="H3" s="395">
        <f>+(1-Depreciation!G17)*(1-Depreciation!H17)*(1-Depreciation!I17)</f>
        <v>0.9283639992745315</v>
      </c>
      <c r="I3" s="396">
        <f>+(1-Depreciation!G17)*(1-Depreciation!H17)*(1-Depreciation!I17)*(1-Depreciation!J17)</f>
        <v>0.90575690952794075</v>
      </c>
      <c r="J3" s="395">
        <f>+(1-Depreciation!G17)*(1-Depreciation!H17)*(1-Depreciation!I17)*(1-Depreciation!J17)*(1-Depreciation!K17)</f>
        <v>0.88370033715084062</v>
      </c>
      <c r="K3" s="395">
        <f>+(1-Depreciation!G17)*(1-Depreciation!H17)*(1-Depreciation!I17)*(1-Depreciation!J17)*(1-Depreciation!K17)*(1-Depreciation!L17)</f>
        <v>0.86218087619945383</v>
      </c>
      <c r="L3" s="410"/>
      <c r="M3" s="411"/>
      <c r="N3" s="412"/>
      <c r="O3" s="413"/>
      <c r="P3" s="414"/>
      <c r="Q3" s="415"/>
      <c r="R3" s="416"/>
      <c r="S3" s="417"/>
      <c r="T3" s="418"/>
      <c r="U3" s="419"/>
      <c r="V3" s="418"/>
      <c r="W3" s="407"/>
      <c r="X3" s="407"/>
      <c r="Y3" s="407"/>
      <c r="Z3" s="407"/>
    </row>
    <row r="4" spans="1:31" s="785" customFormat="1">
      <c r="A4" s="421" t="s">
        <v>1107</v>
      </c>
      <c r="B4" s="422"/>
      <c r="C4" s="422"/>
      <c r="D4" s="422" t="s">
        <v>209</v>
      </c>
      <c r="E4" s="423" t="s">
        <v>1121</v>
      </c>
      <c r="F4" s="424" t="s">
        <v>216</v>
      </c>
      <c r="G4" s="386" t="s">
        <v>1145</v>
      </c>
      <c r="H4" s="386" t="s">
        <v>1146</v>
      </c>
      <c r="I4" s="425" t="s">
        <v>1147</v>
      </c>
      <c r="J4" s="426" t="s">
        <v>1148</v>
      </c>
      <c r="K4" s="426" t="s">
        <v>1149</v>
      </c>
      <c r="L4" s="295" t="s">
        <v>99</v>
      </c>
      <c r="M4" s="296" t="s">
        <v>100</v>
      </c>
      <c r="N4" s="297" t="s">
        <v>102</v>
      </c>
      <c r="O4" s="298" t="s">
        <v>53</v>
      </c>
      <c r="P4" s="299" t="s">
        <v>50</v>
      </c>
      <c r="Q4" s="300" t="s">
        <v>102</v>
      </c>
      <c r="R4" s="301" t="s">
        <v>725</v>
      </c>
      <c r="S4" s="302" t="s">
        <v>104</v>
      </c>
      <c r="T4" s="303" t="s">
        <v>74</v>
      </c>
      <c r="U4" s="304" t="s">
        <v>50</v>
      </c>
      <c r="V4" s="418"/>
      <c r="W4" s="598" t="s">
        <v>2093</v>
      </c>
      <c r="X4" s="349" t="s">
        <v>49</v>
      </c>
      <c r="Y4" s="349" t="s">
        <v>74</v>
      </c>
      <c r="Z4" s="349" t="s">
        <v>50</v>
      </c>
    </row>
    <row r="5" spans="1:31">
      <c r="A5" s="428" t="s">
        <v>3143</v>
      </c>
      <c r="B5" s="429"/>
      <c r="C5" s="430"/>
      <c r="D5" s="431" t="s">
        <v>2505</v>
      </c>
      <c r="E5" s="432">
        <v>24754.679013368281</v>
      </c>
      <c r="F5" s="309">
        <f t="shared" ref="F5:K24" si="0">+$E5*(F$3)</f>
        <v>24149.821362645311</v>
      </c>
      <c r="G5" s="309">
        <f t="shared" si="0"/>
        <v>23554.952083319909</v>
      </c>
      <c r="H5" s="309">
        <f t="shared" si="0"/>
        <v>22981.352809607892</v>
      </c>
      <c r="I5" s="309">
        <f t="shared" si="0"/>
        <v>22421.721559504629</v>
      </c>
      <c r="J5" s="309">
        <f t="shared" si="0"/>
        <v>21875.71819017439</v>
      </c>
      <c r="K5" s="309">
        <f t="shared" si="0"/>
        <v>21343.010841782096</v>
      </c>
      <c r="L5" s="308">
        <v>0</v>
      </c>
      <c r="M5" s="326">
        <v>0</v>
      </c>
      <c r="N5" s="327">
        <v>1</v>
      </c>
      <c r="O5" s="309">
        <f>+L5*$K5</f>
        <v>0</v>
      </c>
      <c r="P5" s="311">
        <f>+M5*$K5</f>
        <v>0</v>
      </c>
      <c r="Q5" s="312">
        <f>+N5*$K5</f>
        <v>21343.010841782096</v>
      </c>
      <c r="R5" s="310">
        <f>IF(D5="Choose",K5,0)</f>
        <v>21343.010841782096</v>
      </c>
      <c r="S5" s="309">
        <f>IF(ISERROR(O5),0,O5)+IF(D5="Choose",0,IF(D5&gt;144,Q5,0))</f>
        <v>0</v>
      </c>
      <c r="T5" s="311">
        <f>IF(D5="Choose",0,IF(AND(D5&lt;=144,D5&gt;=69),Q5,0))</f>
        <v>0</v>
      </c>
      <c r="U5" s="312">
        <f>IF(ISERROR(P5),0,P5)+IF(D5="Choose",0,IF(AND(D5&lt;69,D5&gt;0),Q5,0))</f>
        <v>0</v>
      </c>
      <c r="V5" s="464"/>
      <c r="W5" s="433" t="s">
        <v>668</v>
      </c>
      <c r="X5" s="434">
        <f>SUM(S5:S226)</f>
        <v>135800222.26085442</v>
      </c>
      <c r="Y5" s="434">
        <f>SUM(T5:T226)</f>
        <v>387847477.65428799</v>
      </c>
      <c r="Z5" s="434">
        <f>SUM(U5:U226)</f>
        <v>641318976.05455804</v>
      </c>
    </row>
    <row r="6" spans="1:31">
      <c r="A6" s="428" t="s">
        <v>3144</v>
      </c>
      <c r="B6" s="429"/>
      <c r="C6" s="430"/>
      <c r="D6" s="431">
        <v>138</v>
      </c>
      <c r="E6" s="432">
        <v>11738.556054300461</v>
      </c>
      <c r="F6" s="309">
        <f t="shared" si="0"/>
        <v>11451.73531087455</v>
      </c>
      <c r="G6" s="309">
        <f t="shared" si="0"/>
        <v>11169.651007677909</v>
      </c>
      <c r="H6" s="309">
        <f t="shared" si="0"/>
        <v>10897.65284427864</v>
      </c>
      <c r="I6" s="309">
        <f t="shared" si="0"/>
        <v>10632.278254063684</v>
      </c>
      <c r="J6" s="309">
        <f t="shared" si="0"/>
        <v>10373.365942849359</v>
      </c>
      <c r="K6" s="309">
        <f t="shared" si="0"/>
        <v>10120.758544213175</v>
      </c>
      <c r="L6" s="308">
        <v>0</v>
      </c>
      <c r="M6" s="326">
        <v>0</v>
      </c>
      <c r="N6" s="327">
        <v>1</v>
      </c>
      <c r="O6" s="309">
        <f t="shared" ref="O6:O69" si="1">+L6*$K6</f>
        <v>0</v>
      </c>
      <c r="P6" s="311">
        <f t="shared" ref="P6:P69" si="2">+M6*$K6</f>
        <v>0</v>
      </c>
      <c r="Q6" s="312">
        <f t="shared" ref="Q6:Q69" si="3">+N6*$K6</f>
        <v>10120.758544213175</v>
      </c>
      <c r="R6" s="310">
        <f t="shared" ref="R6:R69" si="4">IF(D6="Choose",K6,0)</f>
        <v>0</v>
      </c>
      <c r="S6" s="309">
        <f t="shared" ref="S6:S69" si="5">IF(ISERROR(O6),0,O6)+IF(D6="Choose",0,IF(D6&gt;144,Q6,0))</f>
        <v>0</v>
      </c>
      <c r="T6" s="311">
        <f t="shared" ref="T6:T69" si="6">IF(D6="Choose",0,IF(AND(D6&lt;=144,D6&gt;=69),Q6,0))</f>
        <v>10120.758544213175</v>
      </c>
      <c r="U6" s="312">
        <f t="shared" ref="U6:U69" si="7">IF(ISERROR(P6),0,P6)+IF(D6="Choose",0,IF(AND(D6&lt;69,D6&gt;0),Q6,0))</f>
        <v>0</v>
      </c>
      <c r="V6" s="464"/>
      <c r="W6" s="433" t="s">
        <v>109</v>
      </c>
      <c r="X6" s="435">
        <f>X5/SUM(X5:Z5)</f>
        <v>0.11657004879372743</v>
      </c>
      <c r="Y6" s="435">
        <f>Y5/SUM(X5:Z5)</f>
        <v>0.33292581294778217</v>
      </c>
      <c r="Z6" s="435">
        <f>Z5/SUM(X5:Z5)</f>
        <v>0.55050413825849054</v>
      </c>
    </row>
    <row r="7" spans="1:31">
      <c r="A7" s="428" t="s">
        <v>3145</v>
      </c>
      <c r="B7" s="429"/>
      <c r="C7" s="430"/>
      <c r="D7" s="431">
        <v>240</v>
      </c>
      <c r="E7" s="432">
        <v>20847.03260957907</v>
      </c>
      <c r="F7" s="309">
        <f t="shared" si="0"/>
        <v>20337.654678967825</v>
      </c>
      <c r="G7" s="309">
        <f t="shared" si="0"/>
        <v>19836.688406779995</v>
      </c>
      <c r="H7" s="309">
        <f t="shared" si="0"/>
        <v>19353.634566435398</v>
      </c>
      <c r="I7" s="309">
        <f t="shared" si="0"/>
        <v>18882.34382928054</v>
      </c>
      <c r="J7" s="309">
        <f t="shared" si="0"/>
        <v>18422.529745679592</v>
      </c>
      <c r="K7" s="309">
        <f t="shared" si="0"/>
        <v>17973.912841485468</v>
      </c>
      <c r="L7" s="308">
        <v>0</v>
      </c>
      <c r="M7" s="326">
        <v>0</v>
      </c>
      <c r="N7" s="327">
        <v>1</v>
      </c>
      <c r="O7" s="309">
        <f t="shared" si="1"/>
        <v>0</v>
      </c>
      <c r="P7" s="311">
        <f t="shared" si="2"/>
        <v>0</v>
      </c>
      <c r="Q7" s="312">
        <f t="shared" si="3"/>
        <v>17973.912841485468</v>
      </c>
      <c r="R7" s="310">
        <f t="shared" si="4"/>
        <v>0</v>
      </c>
      <c r="S7" s="309">
        <f t="shared" si="5"/>
        <v>17973.912841485468</v>
      </c>
      <c r="T7" s="311">
        <f t="shared" si="6"/>
        <v>0</v>
      </c>
      <c r="U7" s="312">
        <f t="shared" si="7"/>
        <v>0</v>
      </c>
      <c r="V7" s="321"/>
    </row>
    <row r="8" spans="1:31">
      <c r="A8" s="428" t="s">
        <v>3146</v>
      </c>
      <c r="B8" s="429"/>
      <c r="C8" s="430"/>
      <c r="D8" s="431">
        <v>4.2</v>
      </c>
      <c r="E8" s="432">
        <v>19320.324481652187</v>
      </c>
      <c r="F8" s="309">
        <f t="shared" si="0"/>
        <v>18848.250249913337</v>
      </c>
      <c r="G8" s="309">
        <f t="shared" si="0"/>
        <v>18383.971658600291</v>
      </c>
      <c r="H8" s="309">
        <f t="shared" si="0"/>
        <v>17936.293703068266</v>
      </c>
      <c r="I8" s="309">
        <f t="shared" si="0"/>
        <v>17499.517393578299</v>
      </c>
      <c r="J8" s="309">
        <f t="shared" si="0"/>
        <v>17073.377258299679</v>
      </c>
      <c r="K8" s="309">
        <f t="shared" si="0"/>
        <v>16657.614290048641</v>
      </c>
      <c r="L8" s="308">
        <v>0</v>
      </c>
      <c r="M8" s="326">
        <v>1</v>
      </c>
      <c r="N8" s="327">
        <v>0</v>
      </c>
      <c r="O8" s="309">
        <f t="shared" si="1"/>
        <v>0</v>
      </c>
      <c r="P8" s="311">
        <f t="shared" si="2"/>
        <v>16657.614290048641</v>
      </c>
      <c r="Q8" s="312">
        <f t="shared" si="3"/>
        <v>0</v>
      </c>
      <c r="R8" s="310">
        <f t="shared" si="4"/>
        <v>0</v>
      </c>
      <c r="S8" s="309">
        <f t="shared" si="5"/>
        <v>0</v>
      </c>
      <c r="T8" s="311">
        <f t="shared" si="6"/>
        <v>0</v>
      </c>
      <c r="U8" s="312">
        <f t="shared" si="7"/>
        <v>16657.614290048641</v>
      </c>
      <c r="V8" s="321"/>
    </row>
    <row r="9" spans="1:31">
      <c r="A9" s="428" t="s">
        <v>3147</v>
      </c>
      <c r="B9" s="429"/>
      <c r="C9" s="430"/>
      <c r="D9" s="431">
        <v>25</v>
      </c>
      <c r="E9" s="432">
        <v>27889.488983901578</v>
      </c>
      <c r="F9" s="309">
        <f t="shared" si="0"/>
        <v>27208.035155412952</v>
      </c>
      <c r="G9" s="309">
        <f t="shared" si="0"/>
        <v>26537.834576215468</v>
      </c>
      <c r="H9" s="309">
        <f t="shared" si="0"/>
        <v>25891.59753081786</v>
      </c>
      <c r="I9" s="309">
        <f t="shared" si="0"/>
        <v>25261.097350372242</v>
      </c>
      <c r="J9" s="309">
        <f t="shared" si="0"/>
        <v>24645.95081803848</v>
      </c>
      <c r="K9" s="309">
        <f t="shared" si="0"/>
        <v>24045.784048895279</v>
      </c>
      <c r="L9" s="308">
        <v>0</v>
      </c>
      <c r="M9" s="326">
        <v>1</v>
      </c>
      <c r="N9" s="327">
        <v>0</v>
      </c>
      <c r="O9" s="309">
        <f t="shared" si="1"/>
        <v>0</v>
      </c>
      <c r="P9" s="311">
        <f t="shared" si="2"/>
        <v>24045.784048895279</v>
      </c>
      <c r="Q9" s="312">
        <f t="shared" si="3"/>
        <v>0</v>
      </c>
      <c r="R9" s="310">
        <f t="shared" si="4"/>
        <v>0</v>
      </c>
      <c r="S9" s="309">
        <f t="shared" si="5"/>
        <v>0</v>
      </c>
      <c r="T9" s="311">
        <f t="shared" si="6"/>
        <v>0</v>
      </c>
      <c r="U9" s="312">
        <f t="shared" si="7"/>
        <v>24045.784048895279</v>
      </c>
      <c r="V9" s="321"/>
      <c r="W9" s="986" t="s">
        <v>1108</v>
      </c>
      <c r="X9" s="986"/>
      <c r="Y9" s="986"/>
      <c r="Z9" s="986"/>
    </row>
    <row r="10" spans="1:31">
      <c r="A10" s="428" t="s">
        <v>3148</v>
      </c>
      <c r="B10" s="429"/>
      <c r="C10" s="430"/>
      <c r="D10" s="431">
        <v>25</v>
      </c>
      <c r="E10" s="432">
        <v>222329.8742843607</v>
      </c>
      <c r="F10" s="309">
        <f t="shared" si="0"/>
        <v>216897.44975675727</v>
      </c>
      <c r="G10" s="309">
        <f t="shared" si="0"/>
        <v>211554.73406181243</v>
      </c>
      <c r="H10" s="309">
        <f t="shared" si="0"/>
        <v>206403.05124883293</v>
      </c>
      <c r="I10" s="309">
        <f t="shared" si="0"/>
        <v>201376.81982753813</v>
      </c>
      <c r="J10" s="309">
        <f t="shared" si="0"/>
        <v>196472.98486379356</v>
      </c>
      <c r="K10" s="309">
        <f t="shared" si="0"/>
        <v>191688.56581580453</v>
      </c>
      <c r="L10" s="308">
        <v>0</v>
      </c>
      <c r="M10" s="326">
        <v>1</v>
      </c>
      <c r="N10" s="327">
        <v>0</v>
      </c>
      <c r="O10" s="309">
        <f t="shared" si="1"/>
        <v>0</v>
      </c>
      <c r="P10" s="311">
        <f t="shared" si="2"/>
        <v>191688.56581580453</v>
      </c>
      <c r="Q10" s="312">
        <f t="shared" si="3"/>
        <v>0</v>
      </c>
      <c r="R10" s="310">
        <f t="shared" si="4"/>
        <v>0</v>
      </c>
      <c r="S10" s="309">
        <f t="shared" si="5"/>
        <v>0</v>
      </c>
      <c r="T10" s="311">
        <f t="shared" si="6"/>
        <v>0</v>
      </c>
      <c r="U10" s="312">
        <f t="shared" si="7"/>
        <v>191688.56581580453</v>
      </c>
      <c r="V10" s="321"/>
      <c r="W10" s="986" t="s">
        <v>1183</v>
      </c>
      <c r="X10" s="986"/>
      <c r="Y10" s="986"/>
      <c r="Z10" s="986"/>
    </row>
    <row r="11" spans="1:31">
      <c r="A11" s="428" t="s">
        <v>3149</v>
      </c>
      <c r="B11" s="429"/>
      <c r="C11" s="430"/>
      <c r="D11" s="431">
        <v>14.4</v>
      </c>
      <c r="E11" s="432">
        <v>65331.29</v>
      </c>
      <c r="F11" s="309">
        <f t="shared" si="0"/>
        <v>63734.980447096437</v>
      </c>
      <c r="G11" s="309">
        <f t="shared" si="0"/>
        <v>62165.031696045735</v>
      </c>
      <c r="H11" s="309">
        <f t="shared" si="0"/>
        <v>60651.217662164207</v>
      </c>
      <c r="I11" s="309">
        <f t="shared" si="0"/>
        <v>59174.267325873661</v>
      </c>
      <c r="J11" s="309">
        <f t="shared" si="0"/>
        <v>57733.282999499344</v>
      </c>
      <c r="K11" s="309">
        <f t="shared" si="0"/>
        <v>56327.388855440615</v>
      </c>
      <c r="L11" s="308">
        <v>0.89437344274894326</v>
      </c>
      <c r="M11" s="326">
        <v>0.10562655725105677</v>
      </c>
      <c r="N11" s="327">
        <v>0</v>
      </c>
      <c r="O11" s="309">
        <f t="shared" si="1"/>
        <v>50377.72069169888</v>
      </c>
      <c r="P11" s="311">
        <f t="shared" si="2"/>
        <v>5949.668163741735</v>
      </c>
      <c r="Q11" s="312">
        <f t="shared" si="3"/>
        <v>0</v>
      </c>
      <c r="R11" s="310">
        <f t="shared" si="4"/>
        <v>0</v>
      </c>
      <c r="S11" s="309">
        <f t="shared" si="5"/>
        <v>50377.72069169888</v>
      </c>
      <c r="T11" s="311">
        <f t="shared" si="6"/>
        <v>0</v>
      </c>
      <c r="U11" s="312">
        <f t="shared" si="7"/>
        <v>5949.668163741735</v>
      </c>
      <c r="V11" s="321"/>
      <c r="W11" s="214" t="s">
        <v>1109</v>
      </c>
      <c r="X11" s="407"/>
      <c r="Y11" s="407"/>
      <c r="Z11" s="420">
        <v>411.87757318204194</v>
      </c>
      <c r="AC11" s="436"/>
      <c r="AD11" s="436"/>
      <c r="AE11" s="121"/>
    </row>
    <row r="12" spans="1:31">
      <c r="A12" s="428" t="s">
        <v>3150</v>
      </c>
      <c r="B12" s="429"/>
      <c r="C12" s="430"/>
      <c r="D12" s="431">
        <v>25</v>
      </c>
      <c r="E12" s="432">
        <v>12717.23</v>
      </c>
      <c r="F12" s="309">
        <f t="shared" si="0"/>
        <v>12406.496265284648</v>
      </c>
      <c r="G12" s="309">
        <f t="shared" si="0"/>
        <v>12100.893860138131</v>
      </c>
      <c r="H12" s="309">
        <f t="shared" si="0"/>
        <v>11806.21850249405</v>
      </c>
      <c r="I12" s="309">
        <f t="shared" si="0"/>
        <v>11518.718942556014</v>
      </c>
      <c r="J12" s="309">
        <f t="shared" si="0"/>
        <v>11238.220438624785</v>
      </c>
      <c r="K12" s="309">
        <f t="shared" si="0"/>
        <v>10964.55250422998</v>
      </c>
      <c r="L12" s="308">
        <v>0</v>
      </c>
      <c r="M12" s="326">
        <v>1</v>
      </c>
      <c r="N12" s="327">
        <v>0</v>
      </c>
      <c r="O12" s="309">
        <f t="shared" si="1"/>
        <v>0</v>
      </c>
      <c r="P12" s="311">
        <f t="shared" si="2"/>
        <v>10964.55250422998</v>
      </c>
      <c r="Q12" s="312">
        <f t="shared" si="3"/>
        <v>0</v>
      </c>
      <c r="R12" s="310">
        <f t="shared" si="4"/>
        <v>0</v>
      </c>
      <c r="S12" s="309">
        <f t="shared" si="5"/>
        <v>0</v>
      </c>
      <c r="T12" s="311">
        <f t="shared" si="6"/>
        <v>0</v>
      </c>
      <c r="U12" s="312">
        <f t="shared" si="7"/>
        <v>10964.55250422998</v>
      </c>
      <c r="V12" s="321"/>
      <c r="W12" s="427"/>
      <c r="X12" s="349" t="s">
        <v>49</v>
      </c>
      <c r="Y12" s="349" t="s">
        <v>74</v>
      </c>
      <c r="Z12" s="349" t="s">
        <v>50</v>
      </c>
      <c r="AB12" s="77"/>
      <c r="AC12" s="436"/>
      <c r="AD12" s="436"/>
      <c r="AE12" s="121"/>
    </row>
    <row r="13" spans="1:31">
      <c r="A13" s="428" t="s">
        <v>3151</v>
      </c>
      <c r="B13" s="429"/>
      <c r="C13" s="430"/>
      <c r="D13" s="431">
        <v>138</v>
      </c>
      <c r="E13" s="432">
        <v>121529.18465060755</v>
      </c>
      <c r="F13" s="309">
        <f t="shared" si="0"/>
        <v>118559.73159963694</v>
      </c>
      <c r="G13" s="309">
        <f t="shared" si="0"/>
        <v>115639.31487958699</v>
      </c>
      <c r="H13" s="309">
        <f t="shared" si="0"/>
        <v>112823.31989081104</v>
      </c>
      <c r="I13" s="309">
        <f t="shared" si="0"/>
        <v>110075.89870658475</v>
      </c>
      <c r="J13" s="309">
        <f t="shared" si="0"/>
        <v>107395.38144940865</v>
      </c>
      <c r="K13" s="309">
        <f t="shared" si="0"/>
        <v>104780.13890586603</v>
      </c>
      <c r="L13" s="308">
        <v>0</v>
      </c>
      <c r="M13" s="326">
        <v>0</v>
      </c>
      <c r="N13" s="327">
        <v>1</v>
      </c>
      <c r="O13" s="309">
        <f t="shared" si="1"/>
        <v>0</v>
      </c>
      <c r="P13" s="311">
        <f t="shared" si="2"/>
        <v>0</v>
      </c>
      <c r="Q13" s="312">
        <f t="shared" si="3"/>
        <v>104780.13890586603</v>
      </c>
      <c r="R13" s="310">
        <f t="shared" si="4"/>
        <v>0</v>
      </c>
      <c r="S13" s="309">
        <f t="shared" si="5"/>
        <v>0</v>
      </c>
      <c r="T13" s="311">
        <f t="shared" si="6"/>
        <v>104780.13890586603</v>
      </c>
      <c r="U13" s="312">
        <f t="shared" si="7"/>
        <v>0</v>
      </c>
      <c r="V13" s="321"/>
      <c r="W13" s="433" t="s">
        <v>668</v>
      </c>
      <c r="X13" s="434">
        <f>X5-O227</f>
        <v>71001374.997691572</v>
      </c>
      <c r="Y13" s="434">
        <f>Y5</f>
        <v>387847477.65428799</v>
      </c>
      <c r="Z13" s="434">
        <f>Z5-(Z11*10^6-O227)</f>
        <v>294240250.13567895</v>
      </c>
      <c r="AC13" s="436"/>
      <c r="AD13" s="436"/>
      <c r="AE13" s="436"/>
    </row>
    <row r="14" spans="1:31">
      <c r="A14" s="428" t="s">
        <v>3152</v>
      </c>
      <c r="B14" s="429"/>
      <c r="C14" s="430"/>
      <c r="D14" s="431">
        <v>25</v>
      </c>
      <c r="E14" s="432">
        <v>17867.920000000002</v>
      </c>
      <c r="F14" s="309">
        <f t="shared" si="0"/>
        <v>17431.333926366424</v>
      </c>
      <c r="G14" s="309">
        <f t="shared" si="0"/>
        <v>17001.957456257325</v>
      </c>
      <c r="H14" s="309">
        <f t="shared" si="0"/>
        <v>16587.933669917387</v>
      </c>
      <c r="I14" s="309">
        <f t="shared" si="0"/>
        <v>16183.991998892485</v>
      </c>
      <c r="J14" s="309">
        <f t="shared" si="0"/>
        <v>15789.886928184249</v>
      </c>
      <c r="K14" s="309">
        <f t="shared" si="0"/>
        <v>15405.378921461746</v>
      </c>
      <c r="L14" s="308">
        <v>0</v>
      </c>
      <c r="M14" s="326">
        <v>1</v>
      </c>
      <c r="N14" s="327">
        <v>0</v>
      </c>
      <c r="O14" s="309">
        <f t="shared" si="1"/>
        <v>0</v>
      </c>
      <c r="P14" s="311">
        <f t="shared" si="2"/>
        <v>15405.378921461746</v>
      </c>
      <c r="Q14" s="312">
        <f t="shared" si="3"/>
        <v>0</v>
      </c>
      <c r="R14" s="310">
        <f t="shared" si="4"/>
        <v>0</v>
      </c>
      <c r="S14" s="309">
        <f t="shared" si="5"/>
        <v>0</v>
      </c>
      <c r="T14" s="311">
        <f t="shared" si="6"/>
        <v>0</v>
      </c>
      <c r="U14" s="312">
        <f t="shared" si="7"/>
        <v>15405.378921461746</v>
      </c>
      <c r="V14" s="321"/>
      <c r="W14" s="433" t="s">
        <v>109</v>
      </c>
      <c r="X14" s="435">
        <f>X13/SUM(X13:Z13)</f>
        <v>9.4280178447504595E-2</v>
      </c>
      <c r="Y14" s="435">
        <f>Y13/SUM(X13:Z13)</f>
        <v>0.51500875025095905</v>
      </c>
      <c r="Z14" s="435">
        <f>Z13/SUM(X13:Z13)</f>
        <v>0.39071107130153648</v>
      </c>
      <c r="AC14" s="436"/>
      <c r="AD14" s="436"/>
      <c r="AE14" s="436"/>
    </row>
    <row r="15" spans="1:31">
      <c r="A15" s="428" t="s">
        <v>3153</v>
      </c>
      <c r="B15" s="429"/>
      <c r="C15" s="430"/>
      <c r="D15" s="431">
        <v>138</v>
      </c>
      <c r="E15" s="432">
        <v>15690696.109999999</v>
      </c>
      <c r="F15" s="309">
        <f t="shared" si="0"/>
        <v>15307308.485293679</v>
      </c>
      <c r="G15" s="309">
        <f t="shared" si="0"/>
        <v>14930251.966724848</v>
      </c>
      <c r="H15" s="309">
        <f t="shared" si="0"/>
        <v>14566677.392080933</v>
      </c>
      <c r="I15" s="309">
        <f t="shared" si="0"/>
        <v>14211956.41693568</v>
      </c>
      <c r="J15" s="309">
        <f t="shared" si="0"/>
        <v>13865873.442538382</v>
      </c>
      <c r="K15" s="309">
        <f t="shared" si="0"/>
        <v>13528218.12029916</v>
      </c>
      <c r="L15" s="308">
        <v>0</v>
      </c>
      <c r="M15" s="326">
        <v>0</v>
      </c>
      <c r="N15" s="327">
        <v>1</v>
      </c>
      <c r="O15" s="309">
        <f t="shared" si="1"/>
        <v>0</v>
      </c>
      <c r="P15" s="311">
        <f t="shared" si="2"/>
        <v>0</v>
      </c>
      <c r="Q15" s="312">
        <f t="shared" si="3"/>
        <v>13528218.12029916</v>
      </c>
      <c r="R15" s="310">
        <f t="shared" si="4"/>
        <v>0</v>
      </c>
      <c r="S15" s="309">
        <f t="shared" si="5"/>
        <v>0</v>
      </c>
      <c r="T15" s="311">
        <f t="shared" si="6"/>
        <v>13528218.12029916</v>
      </c>
      <c r="U15" s="312">
        <f t="shared" si="7"/>
        <v>0</v>
      </c>
      <c r="V15" s="321"/>
      <c r="W15" s="433" t="s">
        <v>727</v>
      </c>
      <c r="X15" s="434">
        <f>+X14*$K$227</f>
        <v>112989947.97798456</v>
      </c>
      <c r="Y15" s="434">
        <f t="shared" ref="Y15:Z15" si="8">+Y14*$K$227</f>
        <v>617211516.32592082</v>
      </c>
      <c r="Z15" s="434">
        <f t="shared" si="8"/>
        <v>468247136.86094737</v>
      </c>
      <c r="AC15" s="436"/>
      <c r="AD15" s="436"/>
      <c r="AE15" s="436"/>
    </row>
    <row r="16" spans="1:31">
      <c r="A16" s="428" t="s">
        <v>3154</v>
      </c>
      <c r="B16" s="429"/>
      <c r="C16" s="430"/>
      <c r="D16" s="431">
        <v>4.2</v>
      </c>
      <c r="E16" s="432">
        <v>12723187.40348288</v>
      </c>
      <c r="F16" s="309">
        <f t="shared" si="0"/>
        <v>12412308.105131937</v>
      </c>
      <c r="G16" s="309">
        <f t="shared" si="0"/>
        <v>12106562.540128062</v>
      </c>
      <c r="H16" s="309">
        <f t="shared" si="0"/>
        <v>11811749.14141671</v>
      </c>
      <c r="I16" s="309">
        <f t="shared" si="0"/>
        <v>11524114.90192348</v>
      </c>
      <c r="J16" s="309">
        <f t="shared" si="0"/>
        <v>11243484.99809115</v>
      </c>
      <c r="K16" s="309">
        <f t="shared" si="0"/>
        <v>10969688.863584723</v>
      </c>
      <c r="L16" s="308">
        <v>0</v>
      </c>
      <c r="M16" s="326">
        <v>1</v>
      </c>
      <c r="N16" s="327">
        <v>0</v>
      </c>
      <c r="O16" s="309">
        <f t="shared" si="1"/>
        <v>0</v>
      </c>
      <c r="P16" s="311">
        <f t="shared" si="2"/>
        <v>10969688.863584723</v>
      </c>
      <c r="Q16" s="312">
        <f t="shared" si="3"/>
        <v>0</v>
      </c>
      <c r="R16" s="310">
        <f t="shared" si="4"/>
        <v>0</v>
      </c>
      <c r="S16" s="309">
        <f t="shared" si="5"/>
        <v>0</v>
      </c>
      <c r="T16" s="311">
        <f t="shared" si="6"/>
        <v>0</v>
      </c>
      <c r="U16" s="312">
        <f t="shared" si="7"/>
        <v>10969688.863584723</v>
      </c>
      <c r="V16" s="321"/>
      <c r="AC16" s="436"/>
      <c r="AD16" s="436"/>
      <c r="AE16" s="436"/>
    </row>
    <row r="17" spans="1:31">
      <c r="A17" s="428" t="s">
        <v>3155</v>
      </c>
      <c r="B17" s="429"/>
      <c r="C17" s="430"/>
      <c r="D17" s="431">
        <v>138</v>
      </c>
      <c r="E17" s="432">
        <v>39188917.98999998</v>
      </c>
      <c r="F17" s="309">
        <f t="shared" si="0"/>
        <v>38231373.080732286</v>
      </c>
      <c r="G17" s="309">
        <f t="shared" si="0"/>
        <v>37289640.67573265</v>
      </c>
      <c r="H17" s="309">
        <f t="shared" si="0"/>
        <v>36381580.632438019</v>
      </c>
      <c r="I17" s="309">
        <f t="shared" si="0"/>
        <v>35495633.2463663</v>
      </c>
      <c r="J17" s="309">
        <f t="shared" si="0"/>
        <v>34631260.040339626</v>
      </c>
      <c r="K17" s="309">
        <f t="shared" si="0"/>
        <v>33787935.649926722</v>
      </c>
      <c r="L17" s="308">
        <v>0</v>
      </c>
      <c r="M17" s="326">
        <v>0</v>
      </c>
      <c r="N17" s="327">
        <v>1</v>
      </c>
      <c r="O17" s="309">
        <f t="shared" si="1"/>
        <v>0</v>
      </c>
      <c r="P17" s="311">
        <f t="shared" si="2"/>
        <v>0</v>
      </c>
      <c r="Q17" s="312">
        <f t="shared" si="3"/>
        <v>33787935.649926722</v>
      </c>
      <c r="R17" s="310">
        <f t="shared" si="4"/>
        <v>0</v>
      </c>
      <c r="S17" s="309">
        <f t="shared" si="5"/>
        <v>0</v>
      </c>
      <c r="T17" s="311">
        <f t="shared" si="6"/>
        <v>33787935.649926722</v>
      </c>
      <c r="U17" s="312">
        <f t="shared" si="7"/>
        <v>0</v>
      </c>
      <c r="V17" s="321"/>
      <c r="W17" s="4" t="s">
        <v>1184</v>
      </c>
      <c r="X17" s="4">
        <f>+COUNTIF(L5:L226,"&gt;=.95")</f>
        <v>3</v>
      </c>
      <c r="AC17" s="436"/>
      <c r="AD17" s="436"/>
      <c r="AE17" s="436"/>
    </row>
    <row r="18" spans="1:31">
      <c r="A18" s="428" t="s">
        <v>3156</v>
      </c>
      <c r="B18" s="429"/>
      <c r="C18" s="430"/>
      <c r="D18" s="431">
        <v>25</v>
      </c>
      <c r="E18" s="432">
        <v>25197155.220000003</v>
      </c>
      <c r="F18" s="309">
        <f t="shared" si="0"/>
        <v>24581486.073046379</v>
      </c>
      <c r="G18" s="309">
        <f t="shared" si="0"/>
        <v>23975983.83410896</v>
      </c>
      <c r="H18" s="309">
        <f t="shared" si="0"/>
        <v>23392131.79038034</v>
      </c>
      <c r="I18" s="309">
        <f t="shared" si="0"/>
        <v>22822497.440963022</v>
      </c>
      <c r="J18" s="309">
        <f t="shared" si="0"/>
        <v>22266734.563156065</v>
      </c>
      <c r="K18" s="309">
        <f t="shared" si="0"/>
        <v>21724505.365313243</v>
      </c>
      <c r="L18" s="308">
        <v>0</v>
      </c>
      <c r="M18" s="326">
        <v>1</v>
      </c>
      <c r="N18" s="327">
        <v>0</v>
      </c>
      <c r="O18" s="309">
        <f t="shared" si="1"/>
        <v>0</v>
      </c>
      <c r="P18" s="311">
        <f t="shared" si="2"/>
        <v>21724505.365313243</v>
      </c>
      <c r="Q18" s="312">
        <f t="shared" si="3"/>
        <v>0</v>
      </c>
      <c r="R18" s="310">
        <f t="shared" si="4"/>
        <v>0</v>
      </c>
      <c r="S18" s="309">
        <f t="shared" si="5"/>
        <v>0</v>
      </c>
      <c r="T18" s="311">
        <f t="shared" si="6"/>
        <v>0</v>
      </c>
      <c r="U18" s="312">
        <f t="shared" si="7"/>
        <v>21724505.365313243</v>
      </c>
      <c r="V18" s="321"/>
      <c r="W18" s="321"/>
      <c r="X18" s="321"/>
      <c r="Y18" s="321"/>
      <c r="AC18" s="436"/>
      <c r="AD18" s="436"/>
      <c r="AE18" s="436"/>
    </row>
    <row r="19" spans="1:31">
      <c r="A19" s="428" t="s">
        <v>3157</v>
      </c>
      <c r="B19" s="429"/>
      <c r="C19" s="430"/>
      <c r="D19" s="431">
        <v>25</v>
      </c>
      <c r="E19" s="432">
        <v>13896244.769797944</v>
      </c>
      <c r="F19" s="309">
        <f t="shared" si="0"/>
        <v>13556702.901337752</v>
      </c>
      <c r="G19" s="309">
        <f t="shared" si="0"/>
        <v>13222768.088162638</v>
      </c>
      <c r="H19" s="309">
        <f t="shared" si="0"/>
        <v>12900773.369387411</v>
      </c>
      <c r="I19" s="309">
        <f t="shared" si="0"/>
        <v>12586619.716735996</v>
      </c>
      <c r="J19" s="309">
        <f t="shared" si="0"/>
        <v>12280116.188201047</v>
      </c>
      <c r="K19" s="309">
        <f t="shared" si="0"/>
        <v>11981076.491506469</v>
      </c>
      <c r="L19" s="308">
        <v>0</v>
      </c>
      <c r="M19" s="326">
        <v>1</v>
      </c>
      <c r="N19" s="327">
        <v>0</v>
      </c>
      <c r="O19" s="309">
        <f t="shared" si="1"/>
        <v>0</v>
      </c>
      <c r="P19" s="311">
        <f t="shared" si="2"/>
        <v>11981076.491506469</v>
      </c>
      <c r="Q19" s="312">
        <f t="shared" si="3"/>
        <v>0</v>
      </c>
      <c r="R19" s="310">
        <f t="shared" si="4"/>
        <v>0</v>
      </c>
      <c r="S19" s="309">
        <f t="shared" si="5"/>
        <v>0</v>
      </c>
      <c r="T19" s="311">
        <f t="shared" si="6"/>
        <v>0</v>
      </c>
      <c r="U19" s="312">
        <f t="shared" si="7"/>
        <v>11981076.491506469</v>
      </c>
      <c r="V19" s="321"/>
      <c r="W19" s="321"/>
      <c r="X19" s="321"/>
      <c r="Y19" s="321"/>
      <c r="AC19" s="436"/>
      <c r="AD19" s="436"/>
      <c r="AE19" s="436"/>
    </row>
    <row r="20" spans="1:31">
      <c r="A20" s="428" t="s">
        <v>3158</v>
      </c>
      <c r="B20" s="429"/>
      <c r="C20" s="430"/>
      <c r="D20" s="431">
        <v>4.2</v>
      </c>
      <c r="E20" s="432">
        <v>2979654.9924360733</v>
      </c>
      <c r="F20" s="309">
        <f t="shared" si="0"/>
        <v>2906849.8828357197</v>
      </c>
      <c r="G20" s="309">
        <f t="shared" si="0"/>
        <v>2835247.0469826846</v>
      </c>
      <c r="H20" s="309">
        <f t="shared" si="0"/>
        <v>2766204.4252362768</v>
      </c>
      <c r="I20" s="309">
        <f t="shared" si="0"/>
        <v>2698843.0974083976</v>
      </c>
      <c r="J20" s="309">
        <f t="shared" si="0"/>
        <v>2633122.1214089436</v>
      </c>
      <c r="K20" s="309">
        <f t="shared" si="0"/>
        <v>2569001.5521506108</v>
      </c>
      <c r="L20" s="308">
        <v>0</v>
      </c>
      <c r="M20" s="326">
        <v>1</v>
      </c>
      <c r="N20" s="327">
        <v>0</v>
      </c>
      <c r="O20" s="309">
        <f t="shared" si="1"/>
        <v>0</v>
      </c>
      <c r="P20" s="311">
        <f t="shared" si="2"/>
        <v>2569001.5521506108</v>
      </c>
      <c r="Q20" s="312">
        <f t="shared" si="3"/>
        <v>0</v>
      </c>
      <c r="R20" s="310">
        <f t="shared" si="4"/>
        <v>0</v>
      </c>
      <c r="S20" s="309">
        <f t="shared" si="5"/>
        <v>0</v>
      </c>
      <c r="T20" s="311">
        <f t="shared" si="6"/>
        <v>0</v>
      </c>
      <c r="U20" s="312">
        <f t="shared" si="7"/>
        <v>2569001.5521506108</v>
      </c>
      <c r="V20" s="321"/>
      <c r="W20" s="321"/>
      <c r="X20" s="321"/>
      <c r="Y20" s="321"/>
      <c r="AC20" s="436"/>
      <c r="AD20" s="436"/>
      <c r="AE20" s="436"/>
    </row>
    <row r="21" spans="1:31">
      <c r="A21" s="428" t="s">
        <v>3159</v>
      </c>
      <c r="B21" s="429"/>
      <c r="C21" s="430"/>
      <c r="D21" s="431">
        <v>138</v>
      </c>
      <c r="E21" s="432">
        <v>7996030.5524640698</v>
      </c>
      <c r="F21" s="309">
        <f t="shared" si="0"/>
        <v>7800654.9528668914</v>
      </c>
      <c r="G21" s="309">
        <f t="shared" si="0"/>
        <v>7608505.7058643568</v>
      </c>
      <c r="H21" s="309">
        <f t="shared" si="0"/>
        <v>7423226.902006885</v>
      </c>
      <c r="I21" s="309">
        <f t="shared" si="0"/>
        <v>7242459.9216908487</v>
      </c>
      <c r="J21" s="309">
        <f t="shared" si="0"/>
        <v>7066094.8950809212</v>
      </c>
      <c r="K21" s="309">
        <f t="shared" si="0"/>
        <v>6894024.627841075</v>
      </c>
      <c r="L21" s="308">
        <v>0</v>
      </c>
      <c r="M21" s="326">
        <v>0</v>
      </c>
      <c r="N21" s="327">
        <v>1</v>
      </c>
      <c r="O21" s="309">
        <f t="shared" si="1"/>
        <v>0</v>
      </c>
      <c r="P21" s="311">
        <f t="shared" si="2"/>
        <v>0</v>
      </c>
      <c r="Q21" s="312">
        <f t="shared" si="3"/>
        <v>6894024.627841075</v>
      </c>
      <c r="R21" s="310">
        <f t="shared" si="4"/>
        <v>0</v>
      </c>
      <c r="S21" s="309">
        <f t="shared" si="5"/>
        <v>0</v>
      </c>
      <c r="T21" s="311">
        <f t="shared" si="6"/>
        <v>6894024.627841075</v>
      </c>
      <c r="U21" s="312">
        <f t="shared" si="7"/>
        <v>0</v>
      </c>
      <c r="V21" s="321"/>
      <c r="W21" s="321"/>
      <c r="X21" s="321"/>
      <c r="Y21" s="321"/>
      <c r="AC21" s="436"/>
      <c r="AD21" s="436"/>
      <c r="AE21" s="436"/>
    </row>
    <row r="22" spans="1:31">
      <c r="A22" s="428" t="s">
        <v>3160</v>
      </c>
      <c r="B22" s="429"/>
      <c r="C22" s="430"/>
      <c r="D22" s="431">
        <v>25</v>
      </c>
      <c r="E22" s="432">
        <v>3719514.5408329619</v>
      </c>
      <c r="F22" s="309">
        <f t="shared" si="0"/>
        <v>3628631.6485206354</v>
      </c>
      <c r="G22" s="309">
        <f t="shared" si="0"/>
        <v>3539249.5590517814</v>
      </c>
      <c r="H22" s="309">
        <f t="shared" si="0"/>
        <v>3453063.3944874611</v>
      </c>
      <c r="I22" s="309">
        <f t="shared" si="0"/>
        <v>3368975.9954491011</v>
      </c>
      <c r="J22" s="309">
        <f t="shared" si="0"/>
        <v>3286936.2537715426</v>
      </c>
      <c r="K22" s="309">
        <f t="shared" si="0"/>
        <v>3206894.3058519722</v>
      </c>
      <c r="L22" s="308">
        <v>0</v>
      </c>
      <c r="M22" s="326">
        <v>1</v>
      </c>
      <c r="N22" s="327">
        <v>0</v>
      </c>
      <c r="O22" s="309">
        <f t="shared" si="1"/>
        <v>0</v>
      </c>
      <c r="P22" s="311">
        <f t="shared" si="2"/>
        <v>3206894.3058519722</v>
      </c>
      <c r="Q22" s="312">
        <f t="shared" si="3"/>
        <v>0</v>
      </c>
      <c r="R22" s="310">
        <f t="shared" si="4"/>
        <v>0</v>
      </c>
      <c r="S22" s="309">
        <f t="shared" si="5"/>
        <v>0</v>
      </c>
      <c r="T22" s="311">
        <f t="shared" si="6"/>
        <v>0</v>
      </c>
      <c r="U22" s="312">
        <f t="shared" si="7"/>
        <v>3206894.3058519722</v>
      </c>
      <c r="V22" s="321"/>
      <c r="W22" s="321"/>
      <c r="X22" s="321"/>
      <c r="Y22" s="321"/>
      <c r="AC22" s="436"/>
      <c r="AD22" s="436"/>
      <c r="AE22" s="436"/>
    </row>
    <row r="23" spans="1:31">
      <c r="A23" s="428" t="s">
        <v>3161</v>
      </c>
      <c r="B23" s="429"/>
      <c r="C23" s="430"/>
      <c r="D23" s="431">
        <v>4.2</v>
      </c>
      <c r="E23" s="432">
        <v>2215967.7167590796</v>
      </c>
      <c r="F23" s="309">
        <f t="shared" si="0"/>
        <v>2161822.5983144813</v>
      </c>
      <c r="G23" s="309">
        <f t="shared" si="0"/>
        <v>2108571.6101693735</v>
      </c>
      <c r="H23" s="309">
        <f t="shared" si="0"/>
        <v>2057224.6517937114</v>
      </c>
      <c r="I23" s="309">
        <f t="shared" si="0"/>
        <v>2007128.0707453911</v>
      </c>
      <c r="J23" s="309">
        <f t="shared" si="0"/>
        <v>1958251.4184153771</v>
      </c>
      <c r="K23" s="309">
        <f t="shared" si="0"/>
        <v>1910564.9876650465</v>
      </c>
      <c r="L23" s="308">
        <v>0</v>
      </c>
      <c r="M23" s="326">
        <v>1</v>
      </c>
      <c r="N23" s="327">
        <v>0</v>
      </c>
      <c r="O23" s="309">
        <f t="shared" si="1"/>
        <v>0</v>
      </c>
      <c r="P23" s="311">
        <f t="shared" si="2"/>
        <v>1910564.9876650465</v>
      </c>
      <c r="Q23" s="312">
        <f t="shared" si="3"/>
        <v>0</v>
      </c>
      <c r="R23" s="310">
        <f t="shared" si="4"/>
        <v>0</v>
      </c>
      <c r="S23" s="309">
        <f t="shared" si="5"/>
        <v>0</v>
      </c>
      <c r="T23" s="311">
        <f t="shared" si="6"/>
        <v>0</v>
      </c>
      <c r="U23" s="312">
        <f t="shared" si="7"/>
        <v>1910564.9876650465</v>
      </c>
      <c r="V23" s="321"/>
      <c r="W23" s="321"/>
      <c r="X23" s="321"/>
      <c r="Y23" s="321"/>
      <c r="AC23" s="436"/>
      <c r="AD23" s="436"/>
      <c r="AE23" s="436"/>
    </row>
    <row r="24" spans="1:31">
      <c r="A24" s="428" t="s">
        <v>3162</v>
      </c>
      <c r="B24" s="429"/>
      <c r="C24" s="430"/>
      <c r="D24" s="431">
        <v>4.2</v>
      </c>
      <c r="E24" s="432">
        <v>2843706.1124706911</v>
      </c>
      <c r="F24" s="309">
        <f t="shared" si="0"/>
        <v>2774222.7878189473</v>
      </c>
      <c r="G24" s="309">
        <f t="shared" si="0"/>
        <v>2705886.8823190159</v>
      </c>
      <c r="H24" s="309">
        <f t="shared" si="0"/>
        <v>2639994.3793347212</v>
      </c>
      <c r="I24" s="309">
        <f t="shared" si="0"/>
        <v>2575706.4600371676</v>
      </c>
      <c r="J24" s="309">
        <f t="shared" si="0"/>
        <v>2512984.0503482558</v>
      </c>
      <c r="K24" s="309">
        <f t="shared" si="0"/>
        <v>2451789.0277037229</v>
      </c>
      <c r="L24" s="308">
        <v>0</v>
      </c>
      <c r="M24" s="326">
        <v>1</v>
      </c>
      <c r="N24" s="327">
        <v>0</v>
      </c>
      <c r="O24" s="309">
        <f t="shared" si="1"/>
        <v>0</v>
      </c>
      <c r="P24" s="311">
        <f t="shared" si="2"/>
        <v>2451789.0277037229</v>
      </c>
      <c r="Q24" s="312">
        <f t="shared" si="3"/>
        <v>0</v>
      </c>
      <c r="R24" s="310">
        <f t="shared" si="4"/>
        <v>0</v>
      </c>
      <c r="S24" s="309">
        <f t="shared" si="5"/>
        <v>0</v>
      </c>
      <c r="T24" s="311">
        <f t="shared" si="6"/>
        <v>0</v>
      </c>
      <c r="U24" s="312">
        <f t="shared" si="7"/>
        <v>2451789.0277037229</v>
      </c>
      <c r="V24" s="321"/>
      <c r="W24" s="321"/>
      <c r="X24" s="321"/>
      <c r="Y24" s="321"/>
      <c r="AC24" s="436"/>
      <c r="AD24" s="436"/>
      <c r="AE24" s="436"/>
    </row>
    <row r="25" spans="1:31">
      <c r="A25" s="428" t="s">
        <v>3163</v>
      </c>
      <c r="B25" s="429"/>
      <c r="C25" s="430"/>
      <c r="D25" s="431">
        <v>25</v>
      </c>
      <c r="E25" s="432">
        <v>9017839.0934336521</v>
      </c>
      <c r="F25" s="309">
        <f t="shared" ref="F25:K67" si="9">+$E25*(F$3)</f>
        <v>8797496.5486684199</v>
      </c>
      <c r="G25" s="309">
        <f t="shared" si="9"/>
        <v>8580792.6503998823</v>
      </c>
      <c r="H25" s="309">
        <f t="shared" si="9"/>
        <v>8371837.1655942807</v>
      </c>
      <c r="I25" s="309">
        <f t="shared" si="9"/>
        <v>8167970.0678887116</v>
      </c>
      <c r="J25" s="309">
        <f t="shared" si="9"/>
        <v>7969067.4472393496</v>
      </c>
      <c r="K25" s="309">
        <f t="shared" si="9"/>
        <v>7775008.4110023146</v>
      </c>
      <c r="L25" s="308">
        <v>0</v>
      </c>
      <c r="M25" s="326">
        <v>1</v>
      </c>
      <c r="N25" s="327">
        <v>0</v>
      </c>
      <c r="O25" s="309">
        <f t="shared" si="1"/>
        <v>0</v>
      </c>
      <c r="P25" s="311">
        <f t="shared" si="2"/>
        <v>7775008.4110023146</v>
      </c>
      <c r="Q25" s="312">
        <f t="shared" si="3"/>
        <v>0</v>
      </c>
      <c r="R25" s="310">
        <f t="shared" si="4"/>
        <v>0</v>
      </c>
      <c r="S25" s="309">
        <f t="shared" si="5"/>
        <v>0</v>
      </c>
      <c r="T25" s="311">
        <f t="shared" si="6"/>
        <v>0</v>
      </c>
      <c r="U25" s="312">
        <f t="shared" si="7"/>
        <v>7775008.4110023146</v>
      </c>
      <c r="V25" s="321"/>
      <c r="W25" s="321"/>
      <c r="X25" s="321"/>
      <c r="Y25" s="321"/>
      <c r="AC25" s="436"/>
      <c r="AD25" s="436"/>
      <c r="AE25" s="436"/>
    </row>
    <row r="26" spans="1:31">
      <c r="A26" s="428" t="s">
        <v>3164</v>
      </c>
      <c r="B26" s="429"/>
      <c r="C26" s="430"/>
      <c r="D26" s="431">
        <v>4.2</v>
      </c>
      <c r="E26" s="432">
        <v>8181531.9797922699</v>
      </c>
      <c r="F26" s="309">
        <f t="shared" si="9"/>
        <v>7981623.8246536162</v>
      </c>
      <c r="G26" s="309">
        <f t="shared" si="9"/>
        <v>7785016.8708745576</v>
      </c>
      <c r="H26" s="309">
        <f t="shared" si="9"/>
        <v>7595439.7489524269</v>
      </c>
      <c r="I26" s="309">
        <f t="shared" si="9"/>
        <v>7410479.1212206613</v>
      </c>
      <c r="J26" s="309">
        <f t="shared" si="9"/>
        <v>7230022.5689528137</v>
      </c>
      <c r="K26" s="309">
        <f t="shared" si="9"/>
        <v>7053960.4109911518</v>
      </c>
      <c r="L26" s="308">
        <v>0</v>
      </c>
      <c r="M26" s="326">
        <v>1</v>
      </c>
      <c r="N26" s="327">
        <v>0</v>
      </c>
      <c r="O26" s="309">
        <f t="shared" si="1"/>
        <v>0</v>
      </c>
      <c r="P26" s="311">
        <f t="shared" si="2"/>
        <v>7053960.4109911518</v>
      </c>
      <c r="Q26" s="312">
        <f t="shared" si="3"/>
        <v>0</v>
      </c>
      <c r="R26" s="310">
        <f t="shared" si="4"/>
        <v>0</v>
      </c>
      <c r="S26" s="309">
        <f t="shared" si="5"/>
        <v>0</v>
      </c>
      <c r="T26" s="311">
        <f t="shared" si="6"/>
        <v>0</v>
      </c>
      <c r="U26" s="312">
        <f t="shared" si="7"/>
        <v>7053960.4109911518</v>
      </c>
      <c r="V26" s="321"/>
      <c r="W26" s="321"/>
      <c r="X26" s="321"/>
      <c r="Y26" s="321"/>
      <c r="AC26" s="436"/>
      <c r="AD26" s="436"/>
      <c r="AE26" s="436"/>
    </row>
    <row r="27" spans="1:31">
      <c r="A27" s="428" t="s">
        <v>3165</v>
      </c>
      <c r="B27" s="429"/>
      <c r="C27" s="430"/>
      <c r="D27" s="431">
        <v>25</v>
      </c>
      <c r="E27" s="432">
        <v>17357604.874733526</v>
      </c>
      <c r="F27" s="309">
        <f t="shared" si="9"/>
        <v>16933487.878466308</v>
      </c>
      <c r="G27" s="309">
        <f t="shared" si="9"/>
        <v>16516374.576489268</v>
      </c>
      <c r="H27" s="309">
        <f t="shared" si="9"/>
        <v>16114175.479334719</v>
      </c>
      <c r="I27" s="309">
        <f t="shared" si="9"/>
        <v>15721770.548145758</v>
      </c>
      <c r="J27" s="309">
        <f t="shared" si="9"/>
        <v>15338921.279933091</v>
      </c>
      <c r="K27" s="309">
        <f t="shared" si="9"/>
        <v>14965394.979621662</v>
      </c>
      <c r="L27" s="308">
        <v>0</v>
      </c>
      <c r="M27" s="326">
        <v>1</v>
      </c>
      <c r="N27" s="327">
        <v>0</v>
      </c>
      <c r="O27" s="309">
        <f t="shared" si="1"/>
        <v>0</v>
      </c>
      <c r="P27" s="311">
        <f t="shared" si="2"/>
        <v>14965394.979621662</v>
      </c>
      <c r="Q27" s="312">
        <f t="shared" si="3"/>
        <v>0</v>
      </c>
      <c r="R27" s="310">
        <f t="shared" si="4"/>
        <v>0</v>
      </c>
      <c r="S27" s="309">
        <f t="shared" si="5"/>
        <v>0</v>
      </c>
      <c r="T27" s="311">
        <f t="shared" si="6"/>
        <v>0</v>
      </c>
      <c r="U27" s="312">
        <f t="shared" si="7"/>
        <v>14965394.979621662</v>
      </c>
      <c r="V27" s="321"/>
      <c r="W27" s="321"/>
      <c r="X27" s="321"/>
      <c r="Y27" s="321"/>
      <c r="AC27" s="436"/>
      <c r="AD27" s="436"/>
      <c r="AE27" s="436"/>
    </row>
    <row r="28" spans="1:31">
      <c r="A28" s="428" t="s">
        <v>3166</v>
      </c>
      <c r="B28" s="429"/>
      <c r="C28" s="430"/>
      <c r="D28" s="431">
        <v>25</v>
      </c>
      <c r="E28" s="432">
        <v>9060893.7399999965</v>
      </c>
      <c r="F28" s="309">
        <f t="shared" si="9"/>
        <v>8839499.1948286686</v>
      </c>
      <c r="G28" s="309">
        <f t="shared" si="9"/>
        <v>8621760.6684576739</v>
      </c>
      <c r="H28" s="309">
        <f t="shared" si="9"/>
        <v>8411807.5494679641</v>
      </c>
      <c r="I28" s="309">
        <f t="shared" si="9"/>
        <v>8206967.1115034614</v>
      </c>
      <c r="J28" s="309">
        <f t="shared" si="9"/>
        <v>8007114.8529259386</v>
      </c>
      <c r="K28" s="309">
        <f t="shared" si="9"/>
        <v>7812129.3039033432</v>
      </c>
      <c r="L28" s="308">
        <v>0</v>
      </c>
      <c r="M28" s="326">
        <v>1</v>
      </c>
      <c r="N28" s="327">
        <v>0</v>
      </c>
      <c r="O28" s="309">
        <f t="shared" si="1"/>
        <v>0</v>
      </c>
      <c r="P28" s="311">
        <f t="shared" si="2"/>
        <v>7812129.3039033432</v>
      </c>
      <c r="Q28" s="312">
        <f t="shared" si="3"/>
        <v>0</v>
      </c>
      <c r="R28" s="310">
        <f t="shared" si="4"/>
        <v>0</v>
      </c>
      <c r="S28" s="309">
        <f t="shared" si="5"/>
        <v>0</v>
      </c>
      <c r="T28" s="311">
        <f t="shared" si="6"/>
        <v>0</v>
      </c>
      <c r="U28" s="312">
        <f t="shared" si="7"/>
        <v>7812129.3039033432</v>
      </c>
      <c r="V28" s="321"/>
      <c r="W28" s="321"/>
      <c r="X28" s="321"/>
      <c r="Y28" s="321"/>
      <c r="AC28" s="436"/>
      <c r="AD28" s="436"/>
      <c r="AE28" s="436"/>
    </row>
    <row r="29" spans="1:31">
      <c r="A29" s="428" t="s">
        <v>3167</v>
      </c>
      <c r="B29" s="429"/>
      <c r="C29" s="430"/>
      <c r="D29" s="431">
        <v>138</v>
      </c>
      <c r="E29" s="432">
        <v>60111536.877079755</v>
      </c>
      <c r="F29" s="309">
        <f t="shared" si="9"/>
        <v>58642767.156527825</v>
      </c>
      <c r="G29" s="309">
        <f t="shared" si="9"/>
        <v>57198252.097298019</v>
      </c>
      <c r="H29" s="309">
        <f t="shared" si="9"/>
        <v>55805386.777744241</v>
      </c>
      <c r="I29" s="309">
        <f t="shared" si="9"/>
        <v>54446439.868758604</v>
      </c>
      <c r="J29" s="309">
        <f t="shared" si="9"/>
        <v>53120585.404930569</v>
      </c>
      <c r="K29" s="309">
        <f t="shared" si="9"/>
        <v>51827017.534376405</v>
      </c>
      <c r="L29" s="308">
        <v>0</v>
      </c>
      <c r="M29" s="326">
        <v>0</v>
      </c>
      <c r="N29" s="327">
        <v>1</v>
      </c>
      <c r="O29" s="309">
        <f t="shared" si="1"/>
        <v>0</v>
      </c>
      <c r="P29" s="311">
        <f t="shared" si="2"/>
        <v>0</v>
      </c>
      <c r="Q29" s="312">
        <f t="shared" si="3"/>
        <v>51827017.534376405</v>
      </c>
      <c r="R29" s="310">
        <f t="shared" si="4"/>
        <v>0</v>
      </c>
      <c r="S29" s="309">
        <f t="shared" si="5"/>
        <v>0</v>
      </c>
      <c r="T29" s="311">
        <f t="shared" si="6"/>
        <v>51827017.534376405</v>
      </c>
      <c r="U29" s="312">
        <f t="shared" si="7"/>
        <v>0</v>
      </c>
      <c r="V29" s="321"/>
      <c r="W29" s="321"/>
      <c r="X29" s="321"/>
      <c r="Y29" s="321"/>
      <c r="AC29" s="436"/>
      <c r="AD29" s="436"/>
      <c r="AE29" s="436"/>
    </row>
    <row r="30" spans="1:31">
      <c r="A30" s="428" t="s">
        <v>3168</v>
      </c>
      <c r="B30" s="429"/>
      <c r="C30" s="430"/>
      <c r="D30" s="431">
        <v>4.2</v>
      </c>
      <c r="E30" s="432">
        <v>8314182.0600000024</v>
      </c>
      <c r="F30" s="309">
        <f t="shared" si="9"/>
        <v>8111032.7230290435</v>
      </c>
      <c r="G30" s="309">
        <f t="shared" si="9"/>
        <v>7911238.1109663527</v>
      </c>
      <c r="H30" s="309">
        <f t="shared" si="9"/>
        <v>7718587.3079181649</v>
      </c>
      <c r="I30" s="309">
        <f t="shared" si="9"/>
        <v>7530627.8479182506</v>
      </c>
      <c r="J30" s="309">
        <f t="shared" si="9"/>
        <v>7347245.4895554725</v>
      </c>
      <c r="K30" s="309">
        <f t="shared" si="9"/>
        <v>7168328.7733725822</v>
      </c>
      <c r="L30" s="308">
        <v>0</v>
      </c>
      <c r="M30" s="326">
        <v>1</v>
      </c>
      <c r="N30" s="327">
        <v>0</v>
      </c>
      <c r="O30" s="309">
        <f t="shared" si="1"/>
        <v>0</v>
      </c>
      <c r="P30" s="311">
        <f t="shared" si="2"/>
        <v>7168328.7733725822</v>
      </c>
      <c r="Q30" s="312">
        <f t="shared" si="3"/>
        <v>0</v>
      </c>
      <c r="R30" s="310">
        <f t="shared" si="4"/>
        <v>0</v>
      </c>
      <c r="S30" s="309">
        <f t="shared" si="5"/>
        <v>0</v>
      </c>
      <c r="T30" s="311">
        <f t="shared" si="6"/>
        <v>0</v>
      </c>
      <c r="U30" s="312">
        <f t="shared" si="7"/>
        <v>7168328.7733725822</v>
      </c>
      <c r="V30" s="321"/>
      <c r="W30" s="321"/>
      <c r="X30" s="321"/>
      <c r="Y30" s="321"/>
      <c r="AC30" s="436"/>
      <c r="AD30" s="436"/>
      <c r="AE30" s="436"/>
    </row>
    <row r="31" spans="1:31">
      <c r="A31" s="428" t="s">
        <v>3169</v>
      </c>
      <c r="B31" s="429"/>
      <c r="C31" s="430"/>
      <c r="D31" s="431">
        <v>138</v>
      </c>
      <c r="E31" s="432">
        <v>33053524.355729003</v>
      </c>
      <c r="F31" s="309">
        <f t="shared" si="9"/>
        <v>32245892.106523748</v>
      </c>
      <c r="G31" s="309">
        <f t="shared" si="9"/>
        <v>31451596.765346482</v>
      </c>
      <c r="H31" s="309">
        <f t="shared" si="9"/>
        <v>30685702.061002709</v>
      </c>
      <c r="I31" s="309">
        <f t="shared" si="9"/>
        <v>29938458.069451619</v>
      </c>
      <c r="J31" s="309">
        <f t="shared" si="9"/>
        <v>29209410.617181242</v>
      </c>
      <c r="K31" s="309">
        <f t="shared" si="9"/>
        <v>28498116.590502419</v>
      </c>
      <c r="L31" s="308">
        <v>0</v>
      </c>
      <c r="M31" s="326">
        <v>0</v>
      </c>
      <c r="N31" s="327">
        <v>1</v>
      </c>
      <c r="O31" s="309">
        <f t="shared" si="1"/>
        <v>0</v>
      </c>
      <c r="P31" s="311">
        <f t="shared" si="2"/>
        <v>0</v>
      </c>
      <c r="Q31" s="312">
        <f t="shared" si="3"/>
        <v>28498116.590502419</v>
      </c>
      <c r="R31" s="310">
        <f t="shared" si="4"/>
        <v>0</v>
      </c>
      <c r="S31" s="309">
        <f t="shared" si="5"/>
        <v>0</v>
      </c>
      <c r="T31" s="311">
        <f t="shared" si="6"/>
        <v>28498116.590502419</v>
      </c>
      <c r="U31" s="312">
        <f t="shared" si="7"/>
        <v>0</v>
      </c>
      <c r="V31" s="321"/>
      <c r="W31" s="321"/>
      <c r="X31" s="321"/>
      <c r="Y31" s="321"/>
      <c r="AC31" s="436"/>
      <c r="AD31" s="436"/>
      <c r="AE31" s="436"/>
    </row>
    <row r="32" spans="1:31">
      <c r="A32" s="428" t="s">
        <v>3170</v>
      </c>
      <c r="B32" s="429"/>
      <c r="C32" s="430"/>
      <c r="D32" s="431">
        <v>25</v>
      </c>
      <c r="E32" s="432">
        <v>10300860.482385676</v>
      </c>
      <c r="F32" s="309">
        <f t="shared" si="9"/>
        <v>10049168.498480888</v>
      </c>
      <c r="G32" s="309">
        <f t="shared" si="9"/>
        <v>9801632.8528649975</v>
      </c>
      <c r="H32" s="309">
        <f t="shared" si="9"/>
        <v>9562948.0333965458</v>
      </c>
      <c r="I32" s="309">
        <f t="shared" si="9"/>
        <v>9330075.5560041424</v>
      </c>
      <c r="J32" s="309">
        <f t="shared" si="9"/>
        <v>9102873.8812279925</v>
      </c>
      <c r="K32" s="309">
        <f t="shared" si="9"/>
        <v>8881204.9163116105</v>
      </c>
      <c r="L32" s="308">
        <v>0</v>
      </c>
      <c r="M32" s="326">
        <v>1</v>
      </c>
      <c r="N32" s="327">
        <v>0</v>
      </c>
      <c r="O32" s="309">
        <f t="shared" si="1"/>
        <v>0</v>
      </c>
      <c r="P32" s="311">
        <f t="shared" si="2"/>
        <v>8881204.9163116105</v>
      </c>
      <c r="Q32" s="312">
        <f t="shared" si="3"/>
        <v>0</v>
      </c>
      <c r="R32" s="310">
        <f t="shared" si="4"/>
        <v>0</v>
      </c>
      <c r="S32" s="309">
        <f t="shared" si="5"/>
        <v>0</v>
      </c>
      <c r="T32" s="311">
        <f t="shared" si="6"/>
        <v>0</v>
      </c>
      <c r="U32" s="312">
        <f t="shared" si="7"/>
        <v>8881204.9163116105</v>
      </c>
      <c r="V32" s="321"/>
      <c r="W32" s="321"/>
      <c r="X32" s="321"/>
      <c r="Y32" s="321"/>
      <c r="AC32" s="436"/>
      <c r="AD32" s="436"/>
      <c r="AE32" s="436"/>
    </row>
    <row r="33" spans="1:31">
      <c r="A33" s="428" t="s">
        <v>3171</v>
      </c>
      <c r="B33" s="429"/>
      <c r="C33" s="430"/>
      <c r="D33" s="431">
        <v>240</v>
      </c>
      <c r="E33" s="432">
        <v>24209930.885418087</v>
      </c>
      <c r="F33" s="309">
        <f t="shared" si="9"/>
        <v>23618383.650585774</v>
      </c>
      <c r="G33" s="309">
        <f t="shared" si="9"/>
        <v>23036604.984397091</v>
      </c>
      <c r="H33" s="309">
        <f t="shared" si="9"/>
        <v>22475628.258946735</v>
      </c>
      <c r="I33" s="309">
        <f t="shared" si="9"/>
        <v>21928312.178661328</v>
      </c>
      <c r="J33" s="309">
        <f t="shared" si="9"/>
        <v>21394324.085842513</v>
      </c>
      <c r="K33" s="309">
        <f t="shared" si="9"/>
        <v>20873339.423517987</v>
      </c>
      <c r="L33" s="308">
        <v>0</v>
      </c>
      <c r="M33" s="326">
        <v>0</v>
      </c>
      <c r="N33" s="327">
        <v>1</v>
      </c>
      <c r="O33" s="309">
        <f t="shared" si="1"/>
        <v>0</v>
      </c>
      <c r="P33" s="311">
        <f t="shared" si="2"/>
        <v>0</v>
      </c>
      <c r="Q33" s="312">
        <f t="shared" si="3"/>
        <v>20873339.423517987</v>
      </c>
      <c r="R33" s="310">
        <f t="shared" si="4"/>
        <v>0</v>
      </c>
      <c r="S33" s="309">
        <f t="shared" si="5"/>
        <v>20873339.423517987</v>
      </c>
      <c r="T33" s="311">
        <f t="shared" si="6"/>
        <v>0</v>
      </c>
      <c r="U33" s="312">
        <f t="shared" si="7"/>
        <v>0</v>
      </c>
      <c r="V33" s="321"/>
      <c r="W33" s="321"/>
      <c r="X33" s="321"/>
      <c r="Y33" s="321"/>
      <c r="AC33" s="436"/>
      <c r="AD33" s="436"/>
      <c r="AE33" s="436"/>
    </row>
    <row r="34" spans="1:31">
      <c r="A34" s="428" t="s">
        <v>3172</v>
      </c>
      <c r="B34" s="429"/>
      <c r="C34" s="430"/>
      <c r="D34" s="431">
        <v>4.2</v>
      </c>
      <c r="E34" s="432">
        <v>6836597.1492256206</v>
      </c>
      <c r="F34" s="309">
        <f t="shared" si="9"/>
        <v>6669551.2308201808</v>
      </c>
      <c r="G34" s="309">
        <f t="shared" si="9"/>
        <v>6505263.8402625537</v>
      </c>
      <c r="H34" s="309">
        <f t="shared" si="9"/>
        <v>6346850.6708839582</v>
      </c>
      <c r="I34" s="309">
        <f t="shared" si="9"/>
        <v>6192295.1055701282</v>
      </c>
      <c r="J34" s="309">
        <f t="shared" si="9"/>
        <v>6041503.2057351563</v>
      </c>
      <c r="K34" s="309">
        <f t="shared" si="9"/>
        <v>5894383.3203420341</v>
      </c>
      <c r="L34" s="308">
        <v>0</v>
      </c>
      <c r="M34" s="326">
        <v>1</v>
      </c>
      <c r="N34" s="327">
        <v>0</v>
      </c>
      <c r="O34" s="309">
        <f t="shared" si="1"/>
        <v>0</v>
      </c>
      <c r="P34" s="311">
        <f t="shared" si="2"/>
        <v>5894383.3203420341</v>
      </c>
      <c r="Q34" s="312">
        <f t="shared" si="3"/>
        <v>0</v>
      </c>
      <c r="R34" s="310">
        <f t="shared" si="4"/>
        <v>0</v>
      </c>
      <c r="S34" s="309">
        <f t="shared" si="5"/>
        <v>0</v>
      </c>
      <c r="T34" s="311">
        <f t="shared" si="6"/>
        <v>0</v>
      </c>
      <c r="U34" s="312">
        <f t="shared" si="7"/>
        <v>5894383.3203420341</v>
      </c>
      <c r="V34" s="321"/>
      <c r="W34" s="321"/>
      <c r="X34" s="321"/>
      <c r="Y34" s="321"/>
      <c r="AC34" s="436"/>
      <c r="AD34" s="436"/>
      <c r="AE34" s="436"/>
    </row>
    <row r="35" spans="1:31">
      <c r="A35" s="428" t="s">
        <v>3173</v>
      </c>
      <c r="B35" s="429"/>
      <c r="C35" s="430"/>
      <c r="D35" s="431">
        <v>138</v>
      </c>
      <c r="E35" s="432">
        <v>65840498.577586502</v>
      </c>
      <c r="F35" s="309">
        <f t="shared" si="9"/>
        <v>64231746.984784111</v>
      </c>
      <c r="G35" s="309">
        <f t="shared" si="9"/>
        <v>62649561.65658322</v>
      </c>
      <c r="H35" s="309">
        <f t="shared" si="9"/>
        <v>61123948.573717311</v>
      </c>
      <c r="I35" s="309">
        <f t="shared" si="9"/>
        <v>59635486.513413526</v>
      </c>
      <c r="J35" s="309">
        <f t="shared" si="9"/>
        <v>58183270.791192636</v>
      </c>
      <c r="K35" s="309">
        <f t="shared" si="9"/>
        <v>56766418.753032424</v>
      </c>
      <c r="L35" s="308">
        <v>0</v>
      </c>
      <c r="M35" s="326">
        <v>0</v>
      </c>
      <c r="N35" s="327">
        <v>1</v>
      </c>
      <c r="O35" s="309">
        <f t="shared" si="1"/>
        <v>0</v>
      </c>
      <c r="P35" s="311">
        <f t="shared" si="2"/>
        <v>0</v>
      </c>
      <c r="Q35" s="312">
        <f t="shared" si="3"/>
        <v>56766418.753032424</v>
      </c>
      <c r="R35" s="310">
        <f t="shared" si="4"/>
        <v>0</v>
      </c>
      <c r="S35" s="309">
        <f t="shared" si="5"/>
        <v>0</v>
      </c>
      <c r="T35" s="311">
        <f t="shared" si="6"/>
        <v>56766418.753032424</v>
      </c>
      <c r="U35" s="312">
        <f t="shared" si="7"/>
        <v>0</v>
      </c>
      <c r="V35" s="321"/>
      <c r="W35" s="321"/>
      <c r="X35" s="321"/>
      <c r="Y35" s="321"/>
      <c r="AC35" s="436"/>
      <c r="AD35" s="436"/>
      <c r="AE35" s="436"/>
    </row>
    <row r="36" spans="1:31">
      <c r="A36" s="428" t="s">
        <v>3174</v>
      </c>
      <c r="B36" s="429"/>
      <c r="C36" s="430"/>
      <c r="D36" s="431">
        <v>4.2</v>
      </c>
      <c r="E36" s="432">
        <v>11477272.730000004</v>
      </c>
      <c r="F36" s="309">
        <f t="shared" si="9"/>
        <v>11196836.202569144</v>
      </c>
      <c r="G36" s="309">
        <f t="shared" si="9"/>
        <v>10921030.689040605</v>
      </c>
      <c r="H36" s="309">
        <f t="shared" si="9"/>
        <v>10655086.812387325</v>
      </c>
      <c r="I36" s="309">
        <f t="shared" si="9"/>
        <v>10395619.077734115</v>
      </c>
      <c r="J36" s="309">
        <f t="shared" si="9"/>
        <v>10142469.781073153</v>
      </c>
      <c r="K36" s="309">
        <f t="shared" si="9"/>
        <v>9895485.0587315019</v>
      </c>
      <c r="L36" s="308">
        <v>0</v>
      </c>
      <c r="M36" s="326">
        <v>1</v>
      </c>
      <c r="N36" s="327">
        <v>0</v>
      </c>
      <c r="O36" s="309">
        <f t="shared" si="1"/>
        <v>0</v>
      </c>
      <c r="P36" s="311">
        <f t="shared" si="2"/>
        <v>9895485.0587315019</v>
      </c>
      <c r="Q36" s="312">
        <f t="shared" si="3"/>
        <v>0</v>
      </c>
      <c r="R36" s="310">
        <f t="shared" si="4"/>
        <v>0</v>
      </c>
      <c r="S36" s="309">
        <f t="shared" si="5"/>
        <v>0</v>
      </c>
      <c r="T36" s="311">
        <f t="shared" si="6"/>
        <v>0</v>
      </c>
      <c r="U36" s="312">
        <f t="shared" si="7"/>
        <v>9895485.0587315019</v>
      </c>
      <c r="V36" s="321"/>
      <c r="W36" s="321"/>
      <c r="X36" s="321"/>
      <c r="Y36" s="321"/>
      <c r="AC36" s="436"/>
      <c r="AD36" s="436"/>
      <c r="AE36" s="436"/>
    </row>
    <row r="37" spans="1:31">
      <c r="A37" s="428" t="s">
        <v>3175</v>
      </c>
      <c r="B37" s="429"/>
      <c r="C37" s="430"/>
      <c r="D37" s="431" t="s">
        <v>2505</v>
      </c>
      <c r="E37" s="432">
        <v>1433891.0156798675</v>
      </c>
      <c r="F37" s="309">
        <f t="shared" si="9"/>
        <v>1398855.2169660756</v>
      </c>
      <c r="G37" s="309">
        <f t="shared" si="9"/>
        <v>1364397.9850759746</v>
      </c>
      <c r="H37" s="309">
        <f t="shared" si="9"/>
        <v>1331172.7978403817</v>
      </c>
      <c r="I37" s="309">
        <f t="shared" si="9"/>
        <v>1298756.6949620768</v>
      </c>
      <c r="J37" s="309">
        <f t="shared" si="9"/>
        <v>1267129.9739938602</v>
      </c>
      <c r="K37" s="309">
        <f t="shared" si="9"/>
        <v>1236273.412273393</v>
      </c>
      <c r="L37" s="308">
        <v>0</v>
      </c>
      <c r="M37" s="326">
        <v>0</v>
      </c>
      <c r="N37" s="327">
        <v>1</v>
      </c>
      <c r="O37" s="309">
        <f t="shared" si="1"/>
        <v>0</v>
      </c>
      <c r="P37" s="311">
        <f t="shared" si="2"/>
        <v>0</v>
      </c>
      <c r="Q37" s="312">
        <f t="shared" si="3"/>
        <v>1236273.412273393</v>
      </c>
      <c r="R37" s="310">
        <f t="shared" si="4"/>
        <v>1236273.412273393</v>
      </c>
      <c r="S37" s="309">
        <f t="shared" si="5"/>
        <v>0</v>
      </c>
      <c r="T37" s="311">
        <f t="shared" si="6"/>
        <v>0</v>
      </c>
      <c r="U37" s="312">
        <f t="shared" si="7"/>
        <v>0</v>
      </c>
      <c r="V37" s="321"/>
      <c r="W37" s="321"/>
      <c r="X37" s="321"/>
      <c r="Y37" s="321"/>
      <c r="AC37" s="436"/>
      <c r="AD37" s="436"/>
      <c r="AE37" s="436"/>
    </row>
    <row r="38" spans="1:31">
      <c r="A38" s="428" t="s">
        <v>3176</v>
      </c>
      <c r="B38" s="429"/>
      <c r="C38" s="430"/>
      <c r="D38" s="431">
        <v>240</v>
      </c>
      <c r="E38" s="432">
        <v>24149915.237631284</v>
      </c>
      <c r="F38" s="309">
        <f t="shared" si="9"/>
        <v>23559834.429558426</v>
      </c>
      <c r="G38" s="309">
        <f t="shared" si="9"/>
        <v>22979497.974158578</v>
      </c>
      <c r="H38" s="309">
        <f t="shared" si="9"/>
        <v>22419911.892148327</v>
      </c>
      <c r="I38" s="309">
        <f t="shared" si="9"/>
        <v>21873952.590998635</v>
      </c>
      <c r="J38" s="309">
        <f t="shared" si="9"/>
        <v>21341288.237658989</v>
      </c>
      <c r="K38" s="309">
        <f t="shared" si="9"/>
        <v>20821595.079723481</v>
      </c>
      <c r="L38" s="308">
        <v>0</v>
      </c>
      <c r="M38" s="326">
        <v>0</v>
      </c>
      <c r="N38" s="327">
        <v>1</v>
      </c>
      <c r="O38" s="309">
        <f t="shared" si="1"/>
        <v>0</v>
      </c>
      <c r="P38" s="311">
        <f t="shared" si="2"/>
        <v>0</v>
      </c>
      <c r="Q38" s="312">
        <f t="shared" si="3"/>
        <v>20821595.079723481</v>
      </c>
      <c r="R38" s="310">
        <f t="shared" si="4"/>
        <v>0</v>
      </c>
      <c r="S38" s="309">
        <f t="shared" si="5"/>
        <v>20821595.079723481</v>
      </c>
      <c r="T38" s="311">
        <f t="shared" si="6"/>
        <v>0</v>
      </c>
      <c r="U38" s="312">
        <f t="shared" si="7"/>
        <v>0</v>
      </c>
      <c r="V38" s="321"/>
      <c r="W38" s="321"/>
      <c r="X38" s="321"/>
      <c r="Y38" s="321"/>
      <c r="AC38" s="436"/>
      <c r="AD38" s="436"/>
      <c r="AE38" s="436"/>
    </row>
    <row r="39" spans="1:31">
      <c r="A39" s="428" t="s">
        <v>3177</v>
      </c>
      <c r="B39" s="429"/>
      <c r="C39" s="430"/>
      <c r="D39" s="431">
        <v>4.2</v>
      </c>
      <c r="E39" s="432">
        <v>7469974.900971937</v>
      </c>
      <c r="F39" s="309">
        <f t="shared" si="9"/>
        <v>7287452.9839185411</v>
      </c>
      <c r="G39" s="309">
        <f t="shared" si="9"/>
        <v>7107945.1590131857</v>
      </c>
      <c r="H39" s="309">
        <f t="shared" si="9"/>
        <v>6934855.7735466799</v>
      </c>
      <c r="I39" s="309">
        <f t="shared" si="9"/>
        <v>6765981.3805556269</v>
      </c>
      <c r="J39" s="309">
        <f t="shared" si="9"/>
        <v>6601219.3384972177</v>
      </c>
      <c r="K39" s="309">
        <f t="shared" si="9"/>
        <v>6440469.5053079128</v>
      </c>
      <c r="L39" s="308">
        <v>0</v>
      </c>
      <c r="M39" s="326">
        <v>1</v>
      </c>
      <c r="N39" s="327">
        <v>0</v>
      </c>
      <c r="O39" s="309">
        <f t="shared" si="1"/>
        <v>0</v>
      </c>
      <c r="P39" s="311">
        <f t="shared" si="2"/>
        <v>6440469.5053079128</v>
      </c>
      <c r="Q39" s="312">
        <f t="shared" si="3"/>
        <v>0</v>
      </c>
      <c r="R39" s="310">
        <f t="shared" si="4"/>
        <v>0</v>
      </c>
      <c r="S39" s="309">
        <f t="shared" si="5"/>
        <v>0</v>
      </c>
      <c r="T39" s="311">
        <f t="shared" si="6"/>
        <v>0</v>
      </c>
      <c r="U39" s="312">
        <f t="shared" si="7"/>
        <v>6440469.5053079128</v>
      </c>
      <c r="V39" s="321"/>
      <c r="W39" s="321"/>
      <c r="X39" s="321"/>
      <c r="Y39" s="321"/>
      <c r="AC39" s="436"/>
      <c r="AD39" s="436"/>
      <c r="AE39" s="436"/>
    </row>
    <row r="40" spans="1:31">
      <c r="A40" s="428" t="s">
        <v>3178</v>
      </c>
      <c r="B40" s="429"/>
      <c r="C40" s="430"/>
      <c r="D40" s="431">
        <v>25</v>
      </c>
      <c r="E40" s="432">
        <v>11617337.338754574</v>
      </c>
      <c r="F40" s="309">
        <f t="shared" si="9"/>
        <v>11333478.462354656</v>
      </c>
      <c r="G40" s="309">
        <f t="shared" si="9"/>
        <v>11054307.115125595</v>
      </c>
      <c r="H40" s="309">
        <f t="shared" si="9"/>
        <v>10785117.752727538</v>
      </c>
      <c r="I40" s="309">
        <f t="shared" si="9"/>
        <v>10522483.564893894</v>
      </c>
      <c r="J40" s="309">
        <f t="shared" si="9"/>
        <v>10266244.923052466</v>
      </c>
      <c r="K40" s="309">
        <f t="shared" si="9"/>
        <v>10016246.08583205</v>
      </c>
      <c r="L40" s="308">
        <v>0</v>
      </c>
      <c r="M40" s="326">
        <v>1</v>
      </c>
      <c r="N40" s="327">
        <v>0</v>
      </c>
      <c r="O40" s="309">
        <f t="shared" si="1"/>
        <v>0</v>
      </c>
      <c r="P40" s="311">
        <f t="shared" si="2"/>
        <v>10016246.08583205</v>
      </c>
      <c r="Q40" s="312">
        <f t="shared" si="3"/>
        <v>0</v>
      </c>
      <c r="R40" s="310">
        <f t="shared" si="4"/>
        <v>0</v>
      </c>
      <c r="S40" s="309">
        <f t="shared" si="5"/>
        <v>0</v>
      </c>
      <c r="T40" s="311">
        <f t="shared" si="6"/>
        <v>0</v>
      </c>
      <c r="U40" s="312">
        <f t="shared" si="7"/>
        <v>10016246.08583205</v>
      </c>
      <c r="V40" s="321"/>
      <c r="W40" s="321"/>
      <c r="X40" s="321"/>
      <c r="Y40" s="321"/>
      <c r="AC40" s="436"/>
      <c r="AD40" s="436"/>
      <c r="AE40" s="436"/>
    </row>
    <row r="41" spans="1:31">
      <c r="A41" s="428" t="s">
        <v>3179</v>
      </c>
      <c r="B41" s="429"/>
      <c r="C41" s="430"/>
      <c r="D41" s="431">
        <v>25</v>
      </c>
      <c r="E41" s="432">
        <v>9314112.4768722728</v>
      </c>
      <c r="F41" s="309">
        <f t="shared" si="9"/>
        <v>9086530.7664292455</v>
      </c>
      <c r="G41" s="309">
        <f t="shared" si="9"/>
        <v>8862707.247098593</v>
      </c>
      <c r="H41" s="309">
        <f t="shared" si="9"/>
        <v>8646886.7087219562</v>
      </c>
      <c r="I41" s="309">
        <f t="shared" si="9"/>
        <v>8436321.7320474628</v>
      </c>
      <c r="J41" s="309">
        <f t="shared" si="9"/>
        <v>8230884.3360728789</v>
      </c>
      <c r="K41" s="309">
        <f t="shared" si="9"/>
        <v>8030449.6563300015</v>
      </c>
      <c r="L41" s="308">
        <v>0</v>
      </c>
      <c r="M41" s="326">
        <v>1</v>
      </c>
      <c r="N41" s="327">
        <v>0</v>
      </c>
      <c r="O41" s="309">
        <f t="shared" si="1"/>
        <v>0</v>
      </c>
      <c r="P41" s="311">
        <f t="shared" si="2"/>
        <v>8030449.6563300015</v>
      </c>
      <c r="Q41" s="312">
        <f t="shared" si="3"/>
        <v>0</v>
      </c>
      <c r="R41" s="310">
        <f t="shared" si="4"/>
        <v>0</v>
      </c>
      <c r="S41" s="309">
        <f t="shared" si="5"/>
        <v>0</v>
      </c>
      <c r="T41" s="311">
        <f t="shared" si="6"/>
        <v>0</v>
      </c>
      <c r="U41" s="312">
        <f t="shared" si="7"/>
        <v>8030449.6563300015</v>
      </c>
      <c r="V41" s="321"/>
      <c r="W41" s="321"/>
      <c r="X41" s="321"/>
      <c r="Y41" s="321"/>
      <c r="AC41" s="436"/>
      <c r="AD41" s="436"/>
      <c r="AE41" s="436"/>
    </row>
    <row r="42" spans="1:31">
      <c r="A42" s="428" t="s">
        <v>3180</v>
      </c>
      <c r="B42" s="429"/>
      <c r="C42" s="430"/>
      <c r="D42" s="431">
        <v>25</v>
      </c>
      <c r="E42" s="432">
        <v>11020478.560968326</v>
      </c>
      <c r="F42" s="309">
        <f t="shared" si="9"/>
        <v>10751203.375916222</v>
      </c>
      <c r="G42" s="309">
        <f t="shared" si="9"/>
        <v>10486374.890931871</v>
      </c>
      <c r="H42" s="309">
        <f t="shared" si="9"/>
        <v>10231015.55077979</v>
      </c>
      <c r="I42" s="309">
        <f t="shared" si="9"/>
        <v>9981874.6029015984</v>
      </c>
      <c r="J42" s="309">
        <f t="shared" si="9"/>
        <v>9738800.6198913213</v>
      </c>
      <c r="K42" s="309">
        <f t="shared" si="9"/>
        <v>9501645.861832967</v>
      </c>
      <c r="L42" s="308">
        <v>0</v>
      </c>
      <c r="M42" s="326">
        <v>0</v>
      </c>
      <c r="N42" s="327">
        <v>1</v>
      </c>
      <c r="O42" s="309">
        <f t="shared" si="1"/>
        <v>0</v>
      </c>
      <c r="P42" s="311">
        <f t="shared" si="2"/>
        <v>0</v>
      </c>
      <c r="Q42" s="312">
        <f t="shared" si="3"/>
        <v>9501645.861832967</v>
      </c>
      <c r="R42" s="310">
        <f t="shared" si="4"/>
        <v>0</v>
      </c>
      <c r="S42" s="309">
        <f t="shared" si="5"/>
        <v>0</v>
      </c>
      <c r="T42" s="311">
        <f t="shared" si="6"/>
        <v>0</v>
      </c>
      <c r="U42" s="312">
        <f t="shared" si="7"/>
        <v>9501645.861832967</v>
      </c>
      <c r="V42" s="321"/>
      <c r="W42" s="321"/>
      <c r="X42" s="321"/>
      <c r="Y42" s="321"/>
      <c r="AC42" s="436"/>
      <c r="AD42" s="436"/>
      <c r="AE42" s="436"/>
    </row>
    <row r="43" spans="1:31">
      <c r="A43" s="428" t="s">
        <v>3181</v>
      </c>
      <c r="B43" s="429"/>
      <c r="C43" s="430"/>
      <c r="D43" s="431">
        <v>25</v>
      </c>
      <c r="E43" s="432">
        <v>19289948.838505983</v>
      </c>
      <c r="F43" s="309">
        <f t="shared" si="9"/>
        <v>18818616.807469584</v>
      </c>
      <c r="G43" s="309">
        <f t="shared" si="9"/>
        <v>18355068.160460707</v>
      </c>
      <c r="H43" s="309">
        <f t="shared" si="9"/>
        <v>17908094.049516518</v>
      </c>
      <c r="I43" s="309">
        <f t="shared" si="9"/>
        <v>17472004.444917269</v>
      </c>
      <c r="J43" s="309">
        <f t="shared" si="9"/>
        <v>17046534.292210203</v>
      </c>
      <c r="K43" s="309">
        <f t="shared" si="9"/>
        <v>16631424.991425725</v>
      </c>
      <c r="L43" s="308">
        <v>0</v>
      </c>
      <c r="M43" s="326">
        <v>1</v>
      </c>
      <c r="N43" s="327">
        <v>0</v>
      </c>
      <c r="O43" s="309">
        <f t="shared" si="1"/>
        <v>0</v>
      </c>
      <c r="P43" s="311">
        <f t="shared" si="2"/>
        <v>16631424.991425725</v>
      </c>
      <c r="Q43" s="312">
        <f t="shared" si="3"/>
        <v>0</v>
      </c>
      <c r="R43" s="310">
        <f t="shared" si="4"/>
        <v>0</v>
      </c>
      <c r="S43" s="309">
        <f t="shared" si="5"/>
        <v>0</v>
      </c>
      <c r="T43" s="311">
        <f t="shared" si="6"/>
        <v>0</v>
      </c>
      <c r="U43" s="312">
        <f t="shared" si="7"/>
        <v>16631424.991425725</v>
      </c>
      <c r="V43" s="321"/>
      <c r="W43" s="321"/>
      <c r="X43" s="321"/>
      <c r="Y43" s="321"/>
      <c r="AC43" s="436"/>
      <c r="AD43" s="436"/>
      <c r="AE43" s="436"/>
    </row>
    <row r="44" spans="1:31">
      <c r="A44" s="428" t="s">
        <v>3182</v>
      </c>
      <c r="B44" s="429"/>
      <c r="C44" s="430"/>
      <c r="D44" s="431">
        <v>138</v>
      </c>
      <c r="E44" s="432">
        <v>38565642.599834397</v>
      </c>
      <c r="F44" s="309">
        <f t="shared" si="9"/>
        <v>37623326.847367547</v>
      </c>
      <c r="G44" s="309">
        <f t="shared" si="9"/>
        <v>36696572.11111363</v>
      </c>
      <c r="H44" s="309">
        <f t="shared" si="9"/>
        <v>35802954.198574498</v>
      </c>
      <c r="I44" s="309">
        <f t="shared" si="9"/>
        <v>34931097.255185105</v>
      </c>
      <c r="J44" s="309">
        <f t="shared" si="9"/>
        <v>34080471.367912479</v>
      </c>
      <c r="K44" s="309">
        <f t="shared" si="9"/>
        <v>33250559.527920201</v>
      </c>
      <c r="L44" s="308">
        <v>0</v>
      </c>
      <c r="M44" s="326">
        <v>0</v>
      </c>
      <c r="N44" s="327">
        <v>1</v>
      </c>
      <c r="O44" s="309">
        <f t="shared" si="1"/>
        <v>0</v>
      </c>
      <c r="P44" s="311">
        <f t="shared" si="2"/>
        <v>0</v>
      </c>
      <c r="Q44" s="312">
        <f t="shared" si="3"/>
        <v>33250559.527920201</v>
      </c>
      <c r="R44" s="310">
        <f t="shared" si="4"/>
        <v>0</v>
      </c>
      <c r="S44" s="309">
        <f t="shared" si="5"/>
        <v>0</v>
      </c>
      <c r="T44" s="311">
        <f t="shared" si="6"/>
        <v>33250559.527920201</v>
      </c>
      <c r="U44" s="312">
        <f t="shared" si="7"/>
        <v>0</v>
      </c>
      <c r="V44" s="321"/>
      <c r="W44" s="321"/>
      <c r="X44" s="321"/>
      <c r="Y44" s="321"/>
      <c r="AC44" s="436"/>
      <c r="AD44" s="436"/>
      <c r="AE44" s="436"/>
    </row>
    <row r="45" spans="1:31">
      <c r="A45" s="428" t="s">
        <v>3183</v>
      </c>
      <c r="B45" s="429"/>
      <c r="C45" s="430"/>
      <c r="D45" s="431">
        <v>138</v>
      </c>
      <c r="E45" s="432">
        <v>24441344.383269314</v>
      </c>
      <c r="F45" s="309">
        <f t="shared" si="9"/>
        <v>23844142.773981962</v>
      </c>
      <c r="G45" s="309">
        <f t="shared" si="9"/>
        <v>23256803.107361056</v>
      </c>
      <c r="H45" s="309">
        <f t="shared" si="9"/>
        <v>22690464.219298009</v>
      </c>
      <c r="I45" s="309">
        <f t="shared" si="9"/>
        <v>22137916.553298108</v>
      </c>
      <c r="J45" s="309">
        <f t="shared" si="9"/>
        <v>21598824.271914896</v>
      </c>
      <c r="K45" s="309">
        <f t="shared" si="9"/>
        <v>21072859.715859737</v>
      </c>
      <c r="L45" s="308">
        <v>0</v>
      </c>
      <c r="M45" s="326">
        <v>0</v>
      </c>
      <c r="N45" s="327">
        <v>1</v>
      </c>
      <c r="O45" s="309">
        <f t="shared" si="1"/>
        <v>0</v>
      </c>
      <c r="P45" s="311">
        <f t="shared" si="2"/>
        <v>0</v>
      </c>
      <c r="Q45" s="312">
        <f t="shared" si="3"/>
        <v>21072859.715859737</v>
      </c>
      <c r="R45" s="310">
        <f t="shared" si="4"/>
        <v>0</v>
      </c>
      <c r="S45" s="309">
        <f t="shared" si="5"/>
        <v>0</v>
      </c>
      <c r="T45" s="311">
        <f t="shared" si="6"/>
        <v>21072859.715859737</v>
      </c>
      <c r="U45" s="312">
        <f t="shared" si="7"/>
        <v>0</v>
      </c>
      <c r="V45" s="321"/>
      <c r="W45" s="321"/>
      <c r="X45" s="321"/>
      <c r="Y45" s="321"/>
      <c r="AC45" s="436"/>
      <c r="AD45" s="436"/>
      <c r="AE45" s="436"/>
    </row>
    <row r="46" spans="1:31">
      <c r="A46" s="428" t="s">
        <v>3184</v>
      </c>
      <c r="B46" s="429"/>
      <c r="C46" s="430"/>
      <c r="D46" s="431">
        <v>25</v>
      </c>
      <c r="E46" s="432">
        <v>5887977.7441320401</v>
      </c>
      <c r="F46" s="309">
        <f t="shared" si="9"/>
        <v>5744110.4621567177</v>
      </c>
      <c r="G46" s="309">
        <f t="shared" si="9"/>
        <v>5602618.9455248797</v>
      </c>
      <c r="H46" s="309">
        <f t="shared" si="9"/>
        <v>5466186.5661818553</v>
      </c>
      <c r="I46" s="309">
        <f t="shared" si="9"/>
        <v>5333076.5248943325</v>
      </c>
      <c r="J46" s="309">
        <f t="shared" si="9"/>
        <v>5203207.9176261295</v>
      </c>
      <c r="K46" s="309">
        <f t="shared" si="9"/>
        <v>5076501.8104786463</v>
      </c>
      <c r="L46" s="308">
        <v>0</v>
      </c>
      <c r="M46" s="326">
        <v>1</v>
      </c>
      <c r="N46" s="327">
        <v>0</v>
      </c>
      <c r="O46" s="309">
        <f t="shared" si="1"/>
        <v>0</v>
      </c>
      <c r="P46" s="311">
        <f t="shared" si="2"/>
        <v>5076501.8104786463</v>
      </c>
      <c r="Q46" s="312">
        <f t="shared" si="3"/>
        <v>0</v>
      </c>
      <c r="R46" s="310">
        <f t="shared" si="4"/>
        <v>0</v>
      </c>
      <c r="S46" s="309">
        <f t="shared" si="5"/>
        <v>0</v>
      </c>
      <c r="T46" s="311">
        <f t="shared" si="6"/>
        <v>0</v>
      </c>
      <c r="U46" s="312">
        <f t="shared" si="7"/>
        <v>5076501.8104786463</v>
      </c>
      <c r="V46" s="321"/>
      <c r="W46" s="321"/>
      <c r="X46" s="321"/>
      <c r="Y46" s="321"/>
      <c r="AC46" s="436"/>
      <c r="AD46" s="436"/>
      <c r="AE46" s="436"/>
    </row>
    <row r="47" spans="1:31">
      <c r="A47" s="428" t="s">
        <v>3185</v>
      </c>
      <c r="B47" s="429"/>
      <c r="C47" s="430"/>
      <c r="D47" s="431">
        <v>138</v>
      </c>
      <c r="E47" s="432">
        <v>18340498.368501365</v>
      </c>
      <c r="F47" s="309">
        <f t="shared" si="9"/>
        <v>17892365.280196346</v>
      </c>
      <c r="G47" s="309">
        <f t="shared" si="9"/>
        <v>17451632.478084583</v>
      </c>
      <c r="H47" s="309">
        <f t="shared" si="9"/>
        <v>17026658.414069947</v>
      </c>
      <c r="I47" s="309">
        <f t="shared" si="9"/>
        <v>16612033.121456036</v>
      </c>
      <c r="J47" s="309">
        <f t="shared" si="9"/>
        <v>16207504.591759099</v>
      </c>
      <c r="K47" s="309">
        <f t="shared" si="9"/>
        <v>15812826.953289161</v>
      </c>
      <c r="L47" s="308">
        <v>0</v>
      </c>
      <c r="M47" s="326">
        <v>0</v>
      </c>
      <c r="N47" s="327">
        <v>1</v>
      </c>
      <c r="O47" s="309">
        <f t="shared" si="1"/>
        <v>0</v>
      </c>
      <c r="P47" s="311">
        <f t="shared" si="2"/>
        <v>0</v>
      </c>
      <c r="Q47" s="312">
        <f t="shared" si="3"/>
        <v>15812826.953289161</v>
      </c>
      <c r="R47" s="310">
        <f t="shared" si="4"/>
        <v>0</v>
      </c>
      <c r="S47" s="309">
        <f t="shared" si="5"/>
        <v>0</v>
      </c>
      <c r="T47" s="311">
        <f t="shared" si="6"/>
        <v>15812826.953289161</v>
      </c>
      <c r="U47" s="312">
        <f t="shared" si="7"/>
        <v>0</v>
      </c>
      <c r="V47" s="321"/>
      <c r="W47" s="321"/>
      <c r="X47" s="321"/>
      <c r="Y47" s="321"/>
      <c r="AC47" s="436"/>
      <c r="AD47" s="436"/>
      <c r="AE47" s="436"/>
    </row>
    <row r="48" spans="1:31">
      <c r="A48" s="428" t="s">
        <v>3186</v>
      </c>
      <c r="B48" s="429"/>
      <c r="C48" s="430"/>
      <c r="D48" s="431">
        <v>138</v>
      </c>
      <c r="E48" s="432">
        <v>29043867.465147384</v>
      </c>
      <c r="F48" s="309">
        <f t="shared" si="9"/>
        <v>28334207.467803389</v>
      </c>
      <c r="G48" s="309">
        <f t="shared" si="9"/>
        <v>27636266.504865255</v>
      </c>
      <c r="H48" s="309">
        <f t="shared" si="9"/>
        <v>26963280.954343673</v>
      </c>
      <c r="I48" s="309">
        <f t="shared" si="9"/>
        <v>26306683.635970999</v>
      </c>
      <c r="J48" s="309">
        <f t="shared" si="9"/>
        <v>25666075.471115075</v>
      </c>
      <c r="K48" s="309">
        <f t="shared" si="9"/>
        <v>25041067.099321581</v>
      </c>
      <c r="L48" s="308">
        <v>0</v>
      </c>
      <c r="M48" s="326">
        <v>0</v>
      </c>
      <c r="N48" s="327">
        <v>1</v>
      </c>
      <c r="O48" s="309">
        <f t="shared" si="1"/>
        <v>0</v>
      </c>
      <c r="P48" s="311">
        <f t="shared" si="2"/>
        <v>0</v>
      </c>
      <c r="Q48" s="312">
        <f t="shared" si="3"/>
        <v>25041067.099321581</v>
      </c>
      <c r="R48" s="310">
        <f t="shared" si="4"/>
        <v>0</v>
      </c>
      <c r="S48" s="309">
        <f t="shared" si="5"/>
        <v>0</v>
      </c>
      <c r="T48" s="311">
        <f t="shared" si="6"/>
        <v>25041067.099321581</v>
      </c>
      <c r="U48" s="312">
        <f t="shared" si="7"/>
        <v>0</v>
      </c>
      <c r="V48" s="321"/>
      <c r="W48" s="321"/>
      <c r="X48" s="321"/>
      <c r="Y48" s="321"/>
      <c r="AC48" s="436"/>
      <c r="AD48" s="436"/>
      <c r="AE48" s="436"/>
    </row>
    <row r="49" spans="1:31">
      <c r="A49" s="428" t="s">
        <v>3187</v>
      </c>
      <c r="B49" s="429"/>
      <c r="C49" s="430"/>
      <c r="D49" s="431">
        <v>25</v>
      </c>
      <c r="E49" s="432">
        <v>13440111.321720773</v>
      </c>
      <c r="F49" s="309">
        <f t="shared" si="9"/>
        <v>13111714.651534861</v>
      </c>
      <c r="G49" s="309">
        <f t="shared" si="9"/>
        <v>12788740.989396581</v>
      </c>
      <c r="H49" s="309">
        <f t="shared" si="9"/>
        <v>12477315.497327607</v>
      </c>
      <c r="I49" s="309">
        <f t="shared" si="9"/>
        <v>12173473.694473295</v>
      </c>
      <c r="J49" s="309">
        <f t="shared" si="9"/>
        <v>11877030.906349478</v>
      </c>
      <c r="K49" s="309">
        <f t="shared" si="9"/>
        <v>11587806.955579415</v>
      </c>
      <c r="L49" s="308">
        <v>0</v>
      </c>
      <c r="M49" s="326">
        <v>1</v>
      </c>
      <c r="N49" s="327">
        <v>0</v>
      </c>
      <c r="O49" s="309">
        <f t="shared" si="1"/>
        <v>0</v>
      </c>
      <c r="P49" s="311">
        <f t="shared" si="2"/>
        <v>11587806.955579415</v>
      </c>
      <c r="Q49" s="312">
        <f t="shared" si="3"/>
        <v>0</v>
      </c>
      <c r="R49" s="310">
        <f t="shared" si="4"/>
        <v>0</v>
      </c>
      <c r="S49" s="309">
        <f t="shared" si="5"/>
        <v>0</v>
      </c>
      <c r="T49" s="311">
        <f t="shared" si="6"/>
        <v>0</v>
      </c>
      <c r="U49" s="312">
        <f t="shared" si="7"/>
        <v>11587806.955579415</v>
      </c>
      <c r="V49" s="321"/>
      <c r="W49" s="321"/>
      <c r="X49" s="321"/>
      <c r="Y49" s="321"/>
      <c r="AC49" s="436"/>
      <c r="AD49" s="436"/>
      <c r="AE49" s="436"/>
    </row>
    <row r="50" spans="1:31">
      <c r="A50" s="428" t="s">
        <v>3188</v>
      </c>
      <c r="B50" s="429"/>
      <c r="C50" s="430"/>
      <c r="D50" s="431">
        <v>25</v>
      </c>
      <c r="E50" s="432">
        <v>17993.496199104866</v>
      </c>
      <c r="F50" s="309">
        <f t="shared" si="9"/>
        <v>17553.841787370995</v>
      </c>
      <c r="G50" s="309">
        <f t="shared" si="9"/>
        <v>17121.447648439706</v>
      </c>
      <c r="H50" s="309">
        <f t="shared" si="9"/>
        <v>16704.514092332076</v>
      </c>
      <c r="I50" s="309">
        <f t="shared" si="9"/>
        <v>16297.733508903972</v>
      </c>
      <c r="J50" s="309">
        <f t="shared" si="9"/>
        <v>15900.858657671339</v>
      </c>
      <c r="K50" s="309">
        <f t="shared" si="9"/>
        <v>15513.648318835776</v>
      </c>
      <c r="L50" s="308">
        <v>0</v>
      </c>
      <c r="M50" s="326">
        <v>1</v>
      </c>
      <c r="N50" s="327">
        <v>0</v>
      </c>
      <c r="O50" s="309">
        <f t="shared" si="1"/>
        <v>0</v>
      </c>
      <c r="P50" s="311">
        <f t="shared" si="2"/>
        <v>15513.648318835776</v>
      </c>
      <c r="Q50" s="312">
        <f t="shared" si="3"/>
        <v>0</v>
      </c>
      <c r="R50" s="310">
        <f t="shared" si="4"/>
        <v>0</v>
      </c>
      <c r="S50" s="309">
        <f t="shared" si="5"/>
        <v>0</v>
      </c>
      <c r="T50" s="311">
        <f t="shared" si="6"/>
        <v>0</v>
      </c>
      <c r="U50" s="312">
        <f t="shared" si="7"/>
        <v>15513.648318835776</v>
      </c>
      <c r="V50" s="321"/>
      <c r="W50" s="321"/>
      <c r="X50" s="321"/>
      <c r="Y50" s="321"/>
      <c r="AC50" s="436"/>
      <c r="AD50" s="436"/>
      <c r="AE50" s="436"/>
    </row>
    <row r="51" spans="1:31">
      <c r="A51" s="428" t="s">
        <v>3189</v>
      </c>
      <c r="B51" s="429"/>
      <c r="C51" s="430"/>
      <c r="D51" s="431">
        <v>25</v>
      </c>
      <c r="E51" s="432">
        <v>-2294.6760232522092</v>
      </c>
      <c r="F51" s="309">
        <f t="shared" si="9"/>
        <v>-2238.6077402482115</v>
      </c>
      <c r="G51" s="309">
        <f t="shared" si="9"/>
        <v>-2183.4653458952021</v>
      </c>
      <c r="H51" s="309">
        <f t="shared" si="9"/>
        <v>-2130.2946099857986</v>
      </c>
      <c r="I51" s="309">
        <f t="shared" si="9"/>
        <v>-2078.418663188786</v>
      </c>
      <c r="J51" s="309">
        <f t="shared" si="9"/>
        <v>-2027.8059753999275</v>
      </c>
      <c r="K51" s="309">
        <f t="shared" si="9"/>
        <v>-1978.425784321468</v>
      </c>
      <c r="L51" s="308">
        <v>0</v>
      </c>
      <c r="M51" s="326">
        <v>1</v>
      </c>
      <c r="N51" s="327">
        <v>0</v>
      </c>
      <c r="O51" s="309">
        <f t="shared" si="1"/>
        <v>0</v>
      </c>
      <c r="P51" s="311">
        <f t="shared" si="2"/>
        <v>-1978.425784321468</v>
      </c>
      <c r="Q51" s="312">
        <f t="shared" si="3"/>
        <v>0</v>
      </c>
      <c r="R51" s="310">
        <f t="shared" si="4"/>
        <v>0</v>
      </c>
      <c r="S51" s="309">
        <f t="shared" si="5"/>
        <v>0</v>
      </c>
      <c r="T51" s="311">
        <f t="shared" si="6"/>
        <v>0</v>
      </c>
      <c r="U51" s="312">
        <f t="shared" si="7"/>
        <v>-1978.425784321468</v>
      </c>
      <c r="V51" s="321"/>
      <c r="W51" s="321"/>
      <c r="X51" s="321"/>
      <c r="Y51" s="321"/>
      <c r="AC51" s="436"/>
      <c r="AD51" s="436"/>
      <c r="AE51" s="436"/>
    </row>
    <row r="52" spans="1:31">
      <c r="A52" s="428" t="s">
        <v>3190</v>
      </c>
      <c r="B52" s="429"/>
      <c r="C52" s="430"/>
      <c r="D52" s="431">
        <v>25</v>
      </c>
      <c r="E52" s="432">
        <v>10042774.45146478</v>
      </c>
      <c r="F52" s="309">
        <f t="shared" si="9"/>
        <v>9797388.5606530569</v>
      </c>
      <c r="G52" s="309">
        <f t="shared" si="9"/>
        <v>9556054.8718928751</v>
      </c>
      <c r="H52" s="309">
        <f t="shared" si="9"/>
        <v>9323350.2535739318</v>
      </c>
      <c r="I52" s="309">
        <f t="shared" si="9"/>
        <v>9096312.3502448983</v>
      </c>
      <c r="J52" s="309">
        <f t="shared" si="9"/>
        <v>8874803.1686892752</v>
      </c>
      <c r="K52" s="309">
        <f t="shared" si="9"/>
        <v>8658688.0760373939</v>
      </c>
      <c r="L52" s="308">
        <v>0.98316498316498313</v>
      </c>
      <c r="M52" s="326">
        <v>1.6835016835016835E-2</v>
      </c>
      <c r="N52" s="327">
        <v>0</v>
      </c>
      <c r="O52" s="309">
        <f t="shared" si="1"/>
        <v>8512918.9165081438</v>
      </c>
      <c r="P52" s="311">
        <f t="shared" si="2"/>
        <v>145769.15952924904</v>
      </c>
      <c r="Q52" s="312">
        <f t="shared" si="3"/>
        <v>0</v>
      </c>
      <c r="R52" s="310">
        <f t="shared" si="4"/>
        <v>0</v>
      </c>
      <c r="S52" s="309">
        <f t="shared" si="5"/>
        <v>8512918.9165081438</v>
      </c>
      <c r="T52" s="311">
        <f t="shared" si="6"/>
        <v>0</v>
      </c>
      <c r="U52" s="312">
        <f t="shared" si="7"/>
        <v>145769.15952924904</v>
      </c>
      <c r="V52" s="321"/>
      <c r="W52" s="321"/>
      <c r="X52" s="321"/>
      <c r="Y52" s="321"/>
      <c r="AC52" s="436"/>
      <c r="AD52" s="436"/>
      <c r="AE52" s="436"/>
    </row>
    <row r="53" spans="1:31">
      <c r="A53" s="428" t="s">
        <v>3191</v>
      </c>
      <c r="B53" s="429"/>
      <c r="C53" s="430"/>
      <c r="D53" s="431">
        <v>4.2</v>
      </c>
      <c r="E53" s="432">
        <v>95809.421601994487</v>
      </c>
      <c r="F53" s="309">
        <f t="shared" si="9"/>
        <v>93468.407136163049</v>
      </c>
      <c r="G53" s="309">
        <f t="shared" si="9"/>
        <v>91166.051223966278</v>
      </c>
      <c r="H53" s="309">
        <f t="shared" si="9"/>
        <v>88946.017806607299</v>
      </c>
      <c r="I53" s="309">
        <f t="shared" si="9"/>
        <v>86780.045613882059</v>
      </c>
      <c r="J53" s="309">
        <f t="shared" si="9"/>
        <v>84666.818171909559</v>
      </c>
      <c r="K53" s="309">
        <f t="shared" si="9"/>
        <v>82605.051064970481</v>
      </c>
      <c r="L53" s="308">
        <v>0</v>
      </c>
      <c r="M53" s="326">
        <v>1</v>
      </c>
      <c r="N53" s="327">
        <v>0</v>
      </c>
      <c r="O53" s="309">
        <f t="shared" si="1"/>
        <v>0</v>
      </c>
      <c r="P53" s="311">
        <f t="shared" si="2"/>
        <v>82605.051064970481</v>
      </c>
      <c r="Q53" s="312">
        <f t="shared" si="3"/>
        <v>0</v>
      </c>
      <c r="R53" s="310">
        <f t="shared" si="4"/>
        <v>0</v>
      </c>
      <c r="S53" s="309">
        <f t="shared" si="5"/>
        <v>0</v>
      </c>
      <c r="T53" s="311">
        <f t="shared" si="6"/>
        <v>0</v>
      </c>
      <c r="U53" s="312">
        <f t="shared" si="7"/>
        <v>82605.051064970481</v>
      </c>
      <c r="V53" s="321"/>
      <c r="W53" s="321"/>
      <c r="X53" s="321"/>
      <c r="Y53" s="321"/>
      <c r="AC53" s="436"/>
      <c r="AD53" s="436"/>
      <c r="AE53" s="436"/>
    </row>
    <row r="54" spans="1:31">
      <c r="A54" s="428" t="s">
        <v>3192</v>
      </c>
      <c r="B54" s="429"/>
      <c r="C54" s="430"/>
      <c r="D54" s="431" t="s">
        <v>2505</v>
      </c>
      <c r="E54" s="432">
        <v>-106.37291271392451</v>
      </c>
      <c r="F54" s="309">
        <f t="shared" si="9"/>
        <v>-103.77378912803765</v>
      </c>
      <c r="G54" s="309">
        <f t="shared" si="9"/>
        <v>-101.21758640403125</v>
      </c>
      <c r="H54" s="309">
        <f t="shared" si="9"/>
        <v>-98.752782661579616</v>
      </c>
      <c r="I54" s="309">
        <f t="shared" si="9"/>
        <v>-96.348000677249658</v>
      </c>
      <c r="J54" s="309">
        <f t="shared" si="9"/>
        <v>-94.001778829012025</v>
      </c>
      <c r="K54" s="309">
        <f t="shared" si="9"/>
        <v>-91.712691087579458</v>
      </c>
      <c r="L54" s="308">
        <v>0</v>
      </c>
      <c r="M54" s="326">
        <v>0</v>
      </c>
      <c r="N54" s="327">
        <v>1</v>
      </c>
      <c r="O54" s="309">
        <f t="shared" si="1"/>
        <v>0</v>
      </c>
      <c r="P54" s="311">
        <f t="shared" si="2"/>
        <v>0</v>
      </c>
      <c r="Q54" s="312">
        <f t="shared" si="3"/>
        <v>-91.712691087579458</v>
      </c>
      <c r="R54" s="310">
        <f t="shared" si="4"/>
        <v>-91.712691087579458</v>
      </c>
      <c r="S54" s="309">
        <f t="shared" si="5"/>
        <v>0</v>
      </c>
      <c r="T54" s="311">
        <f t="shared" si="6"/>
        <v>0</v>
      </c>
      <c r="U54" s="312">
        <f t="shared" si="7"/>
        <v>0</v>
      </c>
      <c r="V54" s="321"/>
      <c r="W54" s="321"/>
      <c r="X54" s="321"/>
      <c r="Y54" s="321"/>
      <c r="AC54" s="436"/>
      <c r="AD54" s="436"/>
      <c r="AE54" s="436"/>
    </row>
    <row r="55" spans="1:31">
      <c r="A55" s="428" t="s">
        <v>3193</v>
      </c>
      <c r="B55" s="429"/>
      <c r="C55" s="430"/>
      <c r="D55" s="431">
        <v>138</v>
      </c>
      <c r="E55" s="432">
        <v>92729.98</v>
      </c>
      <c r="F55" s="309">
        <f t="shared" si="9"/>
        <v>90464.208837138271</v>
      </c>
      <c r="G55" s="309">
        <f t="shared" si="9"/>
        <v>88235.85369083767</v>
      </c>
      <c r="H55" s="309">
        <f t="shared" si="9"/>
        <v>86087.175085447321</v>
      </c>
      <c r="I55" s="309">
        <f t="shared" si="9"/>
        <v>83990.820105387756</v>
      </c>
      <c r="J55" s="309">
        <f t="shared" si="9"/>
        <v>81945.514589990707</v>
      </c>
      <c r="K55" s="309">
        <f t="shared" si="9"/>
        <v>79950.015406357823</v>
      </c>
      <c r="L55" s="308">
        <v>0</v>
      </c>
      <c r="M55" s="326">
        <v>0</v>
      </c>
      <c r="N55" s="327">
        <v>1</v>
      </c>
      <c r="O55" s="309">
        <f t="shared" si="1"/>
        <v>0</v>
      </c>
      <c r="P55" s="311">
        <f t="shared" si="2"/>
        <v>0</v>
      </c>
      <c r="Q55" s="312">
        <f t="shared" si="3"/>
        <v>79950.015406357823</v>
      </c>
      <c r="R55" s="310">
        <f t="shared" si="4"/>
        <v>0</v>
      </c>
      <c r="S55" s="309">
        <f t="shared" si="5"/>
        <v>0</v>
      </c>
      <c r="T55" s="311">
        <f t="shared" si="6"/>
        <v>79950.015406357823</v>
      </c>
      <c r="U55" s="312">
        <f t="shared" si="7"/>
        <v>0</v>
      </c>
      <c r="V55" s="321"/>
      <c r="W55" s="321"/>
      <c r="X55" s="321"/>
      <c r="Y55" s="321"/>
      <c r="AC55" s="436"/>
      <c r="AD55" s="436"/>
      <c r="AE55" s="436"/>
    </row>
    <row r="56" spans="1:31">
      <c r="A56" s="428" t="s">
        <v>3194</v>
      </c>
      <c r="B56" s="429"/>
      <c r="C56" s="430"/>
      <c r="D56" s="431">
        <v>25</v>
      </c>
      <c r="E56" s="432">
        <v>5001138.9411841072</v>
      </c>
      <c r="F56" s="309">
        <f t="shared" si="9"/>
        <v>4878940.7438546168</v>
      </c>
      <c r="G56" s="309">
        <f t="shared" si="9"/>
        <v>4758760.4774838919</v>
      </c>
      <c r="H56" s="309">
        <f t="shared" si="9"/>
        <v>4642877.3483652733</v>
      </c>
      <c r="I56" s="309">
        <f t="shared" si="9"/>
        <v>4529816.1514867544</v>
      </c>
      <c r="J56" s="309">
        <f t="shared" si="9"/>
        <v>4419508.168462594</v>
      </c>
      <c r="K56" s="309">
        <f t="shared" si="9"/>
        <v>4311886.3543053223</v>
      </c>
      <c r="L56" s="308">
        <v>0</v>
      </c>
      <c r="M56" s="326">
        <v>1</v>
      </c>
      <c r="N56" s="327">
        <v>0</v>
      </c>
      <c r="O56" s="309">
        <f t="shared" si="1"/>
        <v>0</v>
      </c>
      <c r="P56" s="311">
        <f t="shared" si="2"/>
        <v>4311886.3543053223</v>
      </c>
      <c r="Q56" s="312">
        <f t="shared" si="3"/>
        <v>0</v>
      </c>
      <c r="R56" s="310">
        <f t="shared" si="4"/>
        <v>0</v>
      </c>
      <c r="S56" s="309">
        <f t="shared" si="5"/>
        <v>0</v>
      </c>
      <c r="T56" s="311">
        <f t="shared" si="6"/>
        <v>0</v>
      </c>
      <c r="U56" s="312">
        <f t="shared" si="7"/>
        <v>4311886.3543053223</v>
      </c>
      <c r="V56" s="321"/>
      <c r="W56" s="321"/>
      <c r="X56" s="321"/>
      <c r="Y56" s="321"/>
      <c r="AC56" s="436"/>
      <c r="AD56" s="436"/>
      <c r="AE56" s="436"/>
    </row>
    <row r="57" spans="1:31">
      <c r="A57" s="428" t="s">
        <v>3195</v>
      </c>
      <c r="B57" s="429"/>
      <c r="C57" s="430"/>
      <c r="D57" s="431">
        <v>25</v>
      </c>
      <c r="E57" s="432">
        <v>1895593.2988213859</v>
      </c>
      <c r="F57" s="309">
        <f t="shared" si="9"/>
        <v>1849276.2325070892</v>
      </c>
      <c r="G57" s="309">
        <f t="shared" si="9"/>
        <v>1803724.0272470259</v>
      </c>
      <c r="H57" s="309">
        <f t="shared" si="9"/>
        <v>1759800.575891824</v>
      </c>
      <c r="I57" s="309">
        <f t="shared" si="9"/>
        <v>1716946.7280623328</v>
      </c>
      <c r="J57" s="309">
        <f t="shared" si="9"/>
        <v>1675136.4372693331</v>
      </c>
      <c r="K57" s="309">
        <f t="shared" si="9"/>
        <v>1634344.2912956357</v>
      </c>
      <c r="L57" s="308">
        <v>0</v>
      </c>
      <c r="M57" s="326">
        <v>1</v>
      </c>
      <c r="N57" s="327">
        <v>0</v>
      </c>
      <c r="O57" s="309">
        <f t="shared" si="1"/>
        <v>0</v>
      </c>
      <c r="P57" s="311">
        <f t="shared" si="2"/>
        <v>1634344.2912956357</v>
      </c>
      <c r="Q57" s="312">
        <f t="shared" si="3"/>
        <v>0</v>
      </c>
      <c r="R57" s="310">
        <f t="shared" si="4"/>
        <v>0</v>
      </c>
      <c r="S57" s="309">
        <f t="shared" si="5"/>
        <v>0</v>
      </c>
      <c r="T57" s="311">
        <f t="shared" si="6"/>
        <v>0</v>
      </c>
      <c r="U57" s="312">
        <f t="shared" si="7"/>
        <v>1634344.2912956357</v>
      </c>
      <c r="V57" s="321"/>
      <c r="W57" s="321"/>
      <c r="X57" s="321"/>
      <c r="Y57" s="321"/>
      <c r="AC57" s="436"/>
      <c r="AD57" s="436"/>
      <c r="AE57" s="436"/>
    </row>
    <row r="58" spans="1:31">
      <c r="A58" s="428" t="s">
        <v>3196</v>
      </c>
      <c r="B58" s="429"/>
      <c r="C58" s="430"/>
      <c r="D58" s="431">
        <v>25</v>
      </c>
      <c r="E58" s="432">
        <v>12963007.94331382</v>
      </c>
      <c r="F58" s="309">
        <f t="shared" si="9"/>
        <v>12646268.852224749</v>
      </c>
      <c r="G58" s="309">
        <f t="shared" si="9"/>
        <v>12334760.260698913</v>
      </c>
      <c r="H58" s="309">
        <f t="shared" si="9"/>
        <v>12034389.896882338</v>
      </c>
      <c r="I58" s="309">
        <f t="shared" si="9"/>
        <v>11741334.012922073</v>
      </c>
      <c r="J58" s="309">
        <f t="shared" si="9"/>
        <v>11455414.489995448</v>
      </c>
      <c r="K58" s="309">
        <f t="shared" si="9"/>
        <v>11176457.546746789</v>
      </c>
      <c r="L58" s="308">
        <v>0</v>
      </c>
      <c r="M58" s="326">
        <v>1</v>
      </c>
      <c r="N58" s="327">
        <v>0</v>
      </c>
      <c r="O58" s="309">
        <f t="shared" si="1"/>
        <v>0</v>
      </c>
      <c r="P58" s="311">
        <f t="shared" si="2"/>
        <v>11176457.546746789</v>
      </c>
      <c r="Q58" s="312">
        <f t="shared" si="3"/>
        <v>0</v>
      </c>
      <c r="R58" s="310">
        <f t="shared" si="4"/>
        <v>0</v>
      </c>
      <c r="S58" s="309">
        <f t="shared" si="5"/>
        <v>0</v>
      </c>
      <c r="T58" s="311">
        <f t="shared" si="6"/>
        <v>0</v>
      </c>
      <c r="U58" s="312">
        <f t="shared" si="7"/>
        <v>11176457.546746789</v>
      </c>
      <c r="V58" s="321"/>
      <c r="W58" s="321"/>
      <c r="X58" s="321"/>
      <c r="Y58" s="321"/>
      <c r="AC58" s="436"/>
      <c r="AD58" s="436"/>
      <c r="AE58" s="436"/>
    </row>
    <row r="59" spans="1:31">
      <c r="A59" s="428" t="s">
        <v>3197</v>
      </c>
      <c r="B59" s="429"/>
      <c r="C59" s="430"/>
      <c r="D59" s="431">
        <v>25</v>
      </c>
      <c r="E59" s="432">
        <v>8732464.2077103611</v>
      </c>
      <c r="F59" s="309">
        <f t="shared" si="9"/>
        <v>8519094.5339268427</v>
      </c>
      <c r="G59" s="309">
        <f t="shared" si="9"/>
        <v>8309248.3595058275</v>
      </c>
      <c r="H59" s="309">
        <f t="shared" si="9"/>
        <v>8106905.3953916943</v>
      </c>
      <c r="I59" s="309">
        <f t="shared" si="9"/>
        <v>7909489.7933390941</v>
      </c>
      <c r="J59" s="309">
        <f t="shared" si="9"/>
        <v>7716881.5645112945</v>
      </c>
      <c r="K59" s="309">
        <f t="shared" si="9"/>
        <v>7528963.6419840883</v>
      </c>
      <c r="L59" s="308">
        <v>0</v>
      </c>
      <c r="M59" s="326">
        <v>1</v>
      </c>
      <c r="N59" s="327">
        <v>0</v>
      </c>
      <c r="O59" s="309">
        <f t="shared" si="1"/>
        <v>0</v>
      </c>
      <c r="P59" s="311">
        <f t="shared" si="2"/>
        <v>7528963.6419840883</v>
      </c>
      <c r="Q59" s="312">
        <f t="shared" si="3"/>
        <v>0</v>
      </c>
      <c r="R59" s="310">
        <f t="shared" si="4"/>
        <v>0</v>
      </c>
      <c r="S59" s="309">
        <f t="shared" si="5"/>
        <v>0</v>
      </c>
      <c r="T59" s="311">
        <f t="shared" si="6"/>
        <v>0</v>
      </c>
      <c r="U59" s="312">
        <f t="shared" si="7"/>
        <v>7528963.6419840883</v>
      </c>
      <c r="V59" s="321"/>
      <c r="W59" s="321"/>
      <c r="X59" s="321"/>
      <c r="Y59" s="321"/>
      <c r="AC59" s="436"/>
      <c r="AD59" s="436"/>
      <c r="AE59" s="436"/>
    </row>
    <row r="60" spans="1:31">
      <c r="A60" s="428" t="s">
        <v>3198</v>
      </c>
      <c r="B60" s="429"/>
      <c r="C60" s="430"/>
      <c r="D60" s="431">
        <v>25</v>
      </c>
      <c r="E60" s="432">
        <v>1512131.3029721538</v>
      </c>
      <c r="F60" s="309">
        <f t="shared" si="9"/>
        <v>1475183.7753145956</v>
      </c>
      <c r="G60" s="309">
        <f t="shared" si="9"/>
        <v>1438846.3839891555</v>
      </c>
      <c r="H60" s="309">
        <f t="shared" si="9"/>
        <v>1403808.2638554368</v>
      </c>
      <c r="I60" s="309">
        <f t="shared" si="9"/>
        <v>1369623.3757805163</v>
      </c>
      <c r="J60" s="309">
        <f t="shared" si="9"/>
        <v>1336270.9422528322</v>
      </c>
      <c r="K60" s="309">
        <f t="shared" si="9"/>
        <v>1303730.6917251532</v>
      </c>
      <c r="L60" s="308">
        <v>0</v>
      </c>
      <c r="M60" s="326">
        <v>1</v>
      </c>
      <c r="N60" s="327">
        <v>0</v>
      </c>
      <c r="O60" s="309">
        <f t="shared" si="1"/>
        <v>0</v>
      </c>
      <c r="P60" s="311">
        <f t="shared" si="2"/>
        <v>1303730.6917251532</v>
      </c>
      <c r="Q60" s="312">
        <f t="shared" si="3"/>
        <v>0</v>
      </c>
      <c r="R60" s="310">
        <f t="shared" si="4"/>
        <v>0</v>
      </c>
      <c r="S60" s="309">
        <f t="shared" si="5"/>
        <v>0</v>
      </c>
      <c r="T60" s="311">
        <f t="shared" si="6"/>
        <v>0</v>
      </c>
      <c r="U60" s="312">
        <f t="shared" si="7"/>
        <v>1303730.6917251532</v>
      </c>
      <c r="V60" s="321"/>
      <c r="W60" s="321"/>
      <c r="X60" s="321"/>
      <c r="Y60" s="321"/>
      <c r="AC60" s="436"/>
      <c r="AD60" s="436"/>
      <c r="AE60" s="436"/>
    </row>
    <row r="61" spans="1:31">
      <c r="A61" s="428" t="s">
        <v>3199</v>
      </c>
      <c r="B61" s="429"/>
      <c r="C61" s="430"/>
      <c r="D61" s="431">
        <v>25</v>
      </c>
      <c r="E61" s="432">
        <v>2551804.3160804235</v>
      </c>
      <c r="F61" s="309">
        <f t="shared" si="9"/>
        <v>2489453.3414264754</v>
      </c>
      <c r="G61" s="309">
        <f t="shared" si="9"/>
        <v>2428132.0052190279</v>
      </c>
      <c r="H61" s="309">
        <f t="shared" si="9"/>
        <v>2369003.2602424328</v>
      </c>
      <c r="I61" s="309">
        <f t="shared" si="9"/>
        <v>2311314.3910530647</v>
      </c>
      <c r="J61" s="309">
        <f t="shared" si="9"/>
        <v>2255030.3344632406</v>
      </c>
      <c r="K61" s="309">
        <f t="shared" si="9"/>
        <v>2200116.8811277677</v>
      </c>
      <c r="L61" s="308">
        <v>0</v>
      </c>
      <c r="M61" s="326">
        <v>1</v>
      </c>
      <c r="N61" s="327">
        <v>0</v>
      </c>
      <c r="O61" s="309">
        <f t="shared" si="1"/>
        <v>0</v>
      </c>
      <c r="P61" s="311">
        <f t="shared" si="2"/>
        <v>2200116.8811277677</v>
      </c>
      <c r="Q61" s="312">
        <f t="shared" si="3"/>
        <v>0</v>
      </c>
      <c r="R61" s="310">
        <f t="shared" si="4"/>
        <v>0</v>
      </c>
      <c r="S61" s="309">
        <f t="shared" si="5"/>
        <v>0</v>
      </c>
      <c r="T61" s="311">
        <f t="shared" si="6"/>
        <v>0</v>
      </c>
      <c r="U61" s="312">
        <f t="shared" si="7"/>
        <v>2200116.8811277677</v>
      </c>
      <c r="V61" s="321"/>
      <c r="W61" s="321"/>
      <c r="X61" s="321"/>
      <c r="Y61" s="321"/>
      <c r="AC61" s="436"/>
      <c r="AD61" s="436"/>
      <c r="AE61" s="436"/>
    </row>
    <row r="62" spans="1:31">
      <c r="A62" s="428" t="s">
        <v>3200</v>
      </c>
      <c r="B62" s="429"/>
      <c r="C62" s="430"/>
      <c r="D62" s="431">
        <v>25</v>
      </c>
      <c r="E62" s="432">
        <v>13980222.3358704</v>
      </c>
      <c r="F62" s="309">
        <f t="shared" si="9"/>
        <v>13638628.553374054</v>
      </c>
      <c r="G62" s="309">
        <f t="shared" si="9"/>
        <v>13302675.710630387</v>
      </c>
      <c r="H62" s="309">
        <f t="shared" si="9"/>
        <v>12978735.118475778</v>
      </c>
      <c r="I62" s="309">
        <f t="shared" si="9"/>
        <v>12662682.977451462</v>
      </c>
      <c r="J62" s="309">
        <f t="shared" si="9"/>
        <v>12354327.191652386</v>
      </c>
      <c r="K62" s="309">
        <f t="shared" si="9"/>
        <v>12053480.343003917</v>
      </c>
      <c r="L62" s="308">
        <v>0</v>
      </c>
      <c r="M62" s="326">
        <v>1</v>
      </c>
      <c r="N62" s="327">
        <v>0</v>
      </c>
      <c r="O62" s="309">
        <f t="shared" si="1"/>
        <v>0</v>
      </c>
      <c r="P62" s="311">
        <f t="shared" si="2"/>
        <v>12053480.343003917</v>
      </c>
      <c r="Q62" s="312">
        <f t="shared" si="3"/>
        <v>0</v>
      </c>
      <c r="R62" s="310">
        <f t="shared" si="4"/>
        <v>0</v>
      </c>
      <c r="S62" s="309">
        <f t="shared" si="5"/>
        <v>0</v>
      </c>
      <c r="T62" s="311">
        <f t="shared" si="6"/>
        <v>0</v>
      </c>
      <c r="U62" s="312">
        <f t="shared" si="7"/>
        <v>12053480.343003917</v>
      </c>
      <c r="V62" s="321"/>
      <c r="W62" s="321"/>
      <c r="X62" s="321"/>
      <c r="Y62" s="321"/>
      <c r="AC62" s="436"/>
      <c r="AD62" s="436"/>
      <c r="AE62" s="436"/>
    </row>
    <row r="63" spans="1:31">
      <c r="A63" s="428" t="s">
        <v>3201</v>
      </c>
      <c r="B63" s="429"/>
      <c r="C63" s="430"/>
      <c r="D63" s="431">
        <v>25</v>
      </c>
      <c r="E63" s="432">
        <v>489762.2716349421</v>
      </c>
      <c r="F63" s="309">
        <f t="shared" si="9"/>
        <v>477795.38420837198</v>
      </c>
      <c r="G63" s="309">
        <f t="shared" si="9"/>
        <v>466026.1130572125</v>
      </c>
      <c r="H63" s="309">
        <f t="shared" si="9"/>
        <v>454677.6611887943</v>
      </c>
      <c r="I63" s="309">
        <f t="shared" si="9"/>
        <v>443605.56155944901</v>
      </c>
      <c r="J63" s="309">
        <f t="shared" si="9"/>
        <v>432803.08456755994</v>
      </c>
      <c r="K63" s="309">
        <f t="shared" si="9"/>
        <v>422263.66448764928</v>
      </c>
      <c r="L63" s="308">
        <v>0</v>
      </c>
      <c r="M63" s="326">
        <v>1</v>
      </c>
      <c r="N63" s="327">
        <v>0</v>
      </c>
      <c r="O63" s="309">
        <f t="shared" si="1"/>
        <v>0</v>
      </c>
      <c r="P63" s="311">
        <f t="shared" si="2"/>
        <v>422263.66448764928</v>
      </c>
      <c r="Q63" s="312">
        <f t="shared" si="3"/>
        <v>0</v>
      </c>
      <c r="R63" s="310">
        <f t="shared" si="4"/>
        <v>0</v>
      </c>
      <c r="S63" s="309">
        <f t="shared" si="5"/>
        <v>0</v>
      </c>
      <c r="T63" s="311">
        <f t="shared" si="6"/>
        <v>0</v>
      </c>
      <c r="U63" s="312">
        <f t="shared" si="7"/>
        <v>422263.66448764928</v>
      </c>
      <c r="V63" s="321"/>
      <c r="W63" s="321"/>
      <c r="X63" s="321"/>
      <c r="Y63" s="321"/>
      <c r="AC63" s="436"/>
      <c r="AD63" s="436"/>
      <c r="AE63" s="436"/>
    </row>
    <row r="64" spans="1:31">
      <c r="A64" s="428" t="s">
        <v>3202</v>
      </c>
      <c r="B64" s="429"/>
      <c r="C64" s="430"/>
      <c r="D64" s="431" t="s">
        <v>2505</v>
      </c>
      <c r="E64" s="432">
        <v>31114.691446622957</v>
      </c>
      <c r="F64" s="309">
        <f t="shared" si="9"/>
        <v>30354.432783555214</v>
      </c>
      <c r="G64" s="309">
        <f t="shared" si="9"/>
        <v>29606.728720525789</v>
      </c>
      <c r="H64" s="309">
        <f t="shared" si="9"/>
        <v>28885.759387579947</v>
      </c>
      <c r="I64" s="309">
        <f t="shared" si="9"/>
        <v>28182.346765608661</v>
      </c>
      <c r="J64" s="309">
        <f t="shared" si="9"/>
        <v>27496.063321725083</v>
      </c>
      <c r="K64" s="309">
        <f t="shared" si="9"/>
        <v>26826.491934125032</v>
      </c>
      <c r="L64" s="308">
        <v>0</v>
      </c>
      <c r="M64" s="326">
        <v>0</v>
      </c>
      <c r="N64" s="327">
        <v>1</v>
      </c>
      <c r="O64" s="309">
        <f t="shared" si="1"/>
        <v>0</v>
      </c>
      <c r="P64" s="311">
        <f t="shared" si="2"/>
        <v>0</v>
      </c>
      <c r="Q64" s="312">
        <f t="shared" si="3"/>
        <v>26826.491934125032</v>
      </c>
      <c r="R64" s="310">
        <f t="shared" si="4"/>
        <v>26826.491934125032</v>
      </c>
      <c r="S64" s="309">
        <f t="shared" si="5"/>
        <v>0</v>
      </c>
      <c r="T64" s="311">
        <f t="shared" si="6"/>
        <v>0</v>
      </c>
      <c r="U64" s="312">
        <f t="shared" si="7"/>
        <v>0</v>
      </c>
      <c r="V64" s="321"/>
      <c r="W64" s="321"/>
      <c r="X64" s="321"/>
      <c r="Y64" s="321"/>
      <c r="AC64" s="436"/>
      <c r="AD64" s="436"/>
      <c r="AE64" s="436"/>
    </row>
    <row r="65" spans="1:31">
      <c r="A65" s="428" t="s">
        <v>3203</v>
      </c>
      <c r="B65" s="429"/>
      <c r="C65" s="430"/>
      <c r="D65" s="431" t="s">
        <v>2505</v>
      </c>
      <c r="E65" s="432">
        <v>22100.874782199127</v>
      </c>
      <c r="F65" s="309">
        <f t="shared" si="9"/>
        <v>21560.860379569855</v>
      </c>
      <c r="G65" s="309">
        <f t="shared" si="9"/>
        <v>21029.7635535093</v>
      </c>
      <c r="H65" s="309">
        <f t="shared" si="9"/>
        <v>20517.656500268022</v>
      </c>
      <c r="I65" s="309">
        <f t="shared" si="9"/>
        <v>20018.020040588683</v>
      </c>
      <c r="J65" s="309">
        <f t="shared" si="9"/>
        <v>19530.550496357879</v>
      </c>
      <c r="K65" s="309">
        <f t="shared" si="9"/>
        <v>19054.951584490856</v>
      </c>
      <c r="L65" s="308">
        <v>0</v>
      </c>
      <c r="M65" s="326">
        <v>0</v>
      </c>
      <c r="N65" s="327">
        <v>1</v>
      </c>
      <c r="O65" s="309">
        <f t="shared" si="1"/>
        <v>0</v>
      </c>
      <c r="P65" s="311">
        <f t="shared" si="2"/>
        <v>0</v>
      </c>
      <c r="Q65" s="312">
        <f t="shared" si="3"/>
        <v>19054.951584490856</v>
      </c>
      <c r="R65" s="310">
        <f t="shared" si="4"/>
        <v>19054.951584490856</v>
      </c>
      <c r="S65" s="309">
        <f t="shared" si="5"/>
        <v>0</v>
      </c>
      <c r="T65" s="311">
        <f t="shared" si="6"/>
        <v>0</v>
      </c>
      <c r="U65" s="312">
        <f t="shared" si="7"/>
        <v>0</v>
      </c>
      <c r="V65" s="321"/>
      <c r="W65" s="321"/>
      <c r="X65" s="321"/>
      <c r="Y65" s="321"/>
      <c r="AC65" s="436"/>
      <c r="AD65" s="436"/>
      <c r="AE65" s="436"/>
    </row>
    <row r="66" spans="1:31">
      <c r="A66" s="428" t="s">
        <v>3204</v>
      </c>
      <c r="B66" s="429"/>
      <c r="C66" s="430"/>
      <c r="D66" s="431">
        <v>25</v>
      </c>
      <c r="E66" s="432">
        <v>5549619.6963518364</v>
      </c>
      <c r="F66" s="309">
        <f t="shared" si="9"/>
        <v>5414019.8798432657</v>
      </c>
      <c r="G66" s="309">
        <f t="shared" si="9"/>
        <v>5280659.3031411385</v>
      </c>
      <c r="H66" s="309">
        <f t="shared" si="9"/>
        <v>5152067.1357579017</v>
      </c>
      <c r="I66" s="309">
        <f t="shared" si="9"/>
        <v>5026606.3852230283</v>
      </c>
      <c r="J66" s="309">
        <f t="shared" si="9"/>
        <v>4904200.7967250636</v>
      </c>
      <c r="K66" s="309">
        <f t="shared" si="9"/>
        <v>4784775.9723743731</v>
      </c>
      <c r="L66" s="308">
        <v>0</v>
      </c>
      <c r="M66" s="326">
        <v>1</v>
      </c>
      <c r="N66" s="327">
        <v>0</v>
      </c>
      <c r="O66" s="309">
        <f t="shared" si="1"/>
        <v>0</v>
      </c>
      <c r="P66" s="311">
        <f t="shared" si="2"/>
        <v>4784775.9723743731</v>
      </c>
      <c r="Q66" s="312">
        <f t="shared" si="3"/>
        <v>0</v>
      </c>
      <c r="R66" s="310">
        <f t="shared" si="4"/>
        <v>0</v>
      </c>
      <c r="S66" s="309">
        <f t="shared" si="5"/>
        <v>0</v>
      </c>
      <c r="T66" s="311">
        <f t="shared" si="6"/>
        <v>0</v>
      </c>
      <c r="U66" s="312">
        <f t="shared" si="7"/>
        <v>4784775.9723743731</v>
      </c>
      <c r="V66" s="321"/>
      <c r="W66" s="321"/>
      <c r="X66" s="321"/>
      <c r="Y66" s="321"/>
      <c r="AC66" s="436"/>
      <c r="AD66" s="436"/>
      <c r="AE66" s="436"/>
    </row>
    <row r="67" spans="1:31">
      <c r="A67" s="428" t="s">
        <v>3205</v>
      </c>
      <c r="B67" s="429"/>
      <c r="C67" s="430"/>
      <c r="D67" s="431">
        <v>25</v>
      </c>
      <c r="E67" s="432">
        <v>2258394.972874864</v>
      </c>
      <c r="F67" s="309">
        <f t="shared" si="9"/>
        <v>2203213.1837286595</v>
      </c>
      <c r="G67" s="309">
        <f t="shared" si="9"/>
        <v>2148942.6440371261</v>
      </c>
      <c r="H67" s="309">
        <f t="shared" si="9"/>
        <v>2096612.5889596059</v>
      </c>
      <c r="I67" s="309">
        <f t="shared" ref="F67:K109" si="10">+$E67*(I$3)</f>
        <v>2045556.8511245744</v>
      </c>
      <c r="J67" s="309">
        <f t="shared" si="10"/>
        <v>1995744.3989492808</v>
      </c>
      <c r="K67" s="309">
        <f t="shared" si="10"/>
        <v>1947144.956517692</v>
      </c>
      <c r="L67" s="308">
        <v>0</v>
      </c>
      <c r="M67" s="326">
        <v>1</v>
      </c>
      <c r="N67" s="327">
        <v>0</v>
      </c>
      <c r="O67" s="309">
        <f t="shared" si="1"/>
        <v>0</v>
      </c>
      <c r="P67" s="311">
        <f t="shared" si="2"/>
        <v>1947144.956517692</v>
      </c>
      <c r="Q67" s="312">
        <f t="shared" si="3"/>
        <v>0</v>
      </c>
      <c r="R67" s="310">
        <f t="shared" si="4"/>
        <v>0</v>
      </c>
      <c r="S67" s="309">
        <f t="shared" si="5"/>
        <v>0</v>
      </c>
      <c r="T67" s="311">
        <f t="shared" si="6"/>
        <v>0</v>
      </c>
      <c r="U67" s="312">
        <f t="shared" si="7"/>
        <v>1947144.956517692</v>
      </c>
      <c r="V67" s="321"/>
      <c r="W67" s="321"/>
      <c r="X67" s="321"/>
      <c r="Y67" s="321"/>
      <c r="AC67" s="436"/>
      <c r="AD67" s="436"/>
      <c r="AE67" s="436"/>
    </row>
    <row r="68" spans="1:31">
      <c r="A68" s="428" t="s">
        <v>3206</v>
      </c>
      <c r="B68" s="429"/>
      <c r="C68" s="430"/>
      <c r="D68" s="431">
        <v>25</v>
      </c>
      <c r="E68" s="432">
        <v>1070947.3128410212</v>
      </c>
      <c r="F68" s="309">
        <f t="shared" si="10"/>
        <v>1044779.707300942</v>
      </c>
      <c r="G68" s="309">
        <f t="shared" si="10"/>
        <v>1019044.2228763137</v>
      </c>
      <c r="H68" s="309">
        <f t="shared" si="10"/>
        <v>994228.93036140327</v>
      </c>
      <c r="I68" s="309">
        <f t="shared" si="10"/>
        <v>970017.92834613612</v>
      </c>
      <c r="J68" s="309">
        <f t="shared" si="10"/>
        <v>946396.50142839726</v>
      </c>
      <c r="K68" s="309">
        <f t="shared" si="10"/>
        <v>923350.29254872224</v>
      </c>
      <c r="L68" s="308">
        <v>0.79709061923977487</v>
      </c>
      <c r="M68" s="326">
        <v>0.20290938076022516</v>
      </c>
      <c r="N68" s="327">
        <v>0</v>
      </c>
      <c r="O68" s="309">
        <f t="shared" si="1"/>
        <v>735993.8564628883</v>
      </c>
      <c r="P68" s="311">
        <f t="shared" si="2"/>
        <v>187356.43608583396</v>
      </c>
      <c r="Q68" s="312">
        <f t="shared" si="3"/>
        <v>0</v>
      </c>
      <c r="R68" s="310">
        <f t="shared" si="4"/>
        <v>0</v>
      </c>
      <c r="S68" s="309">
        <f t="shared" si="5"/>
        <v>735993.8564628883</v>
      </c>
      <c r="T68" s="311">
        <f t="shared" si="6"/>
        <v>0</v>
      </c>
      <c r="U68" s="312">
        <f t="shared" si="7"/>
        <v>187356.43608583396</v>
      </c>
      <c r="V68" s="321"/>
      <c r="W68" s="321"/>
      <c r="X68" s="321"/>
      <c r="Y68" s="321"/>
      <c r="AC68" s="436"/>
      <c r="AD68" s="436"/>
      <c r="AE68" s="436"/>
    </row>
    <row r="69" spans="1:31">
      <c r="A69" s="428" t="s">
        <v>3207</v>
      </c>
      <c r="B69" s="429"/>
      <c r="C69" s="430"/>
      <c r="D69" s="431">
        <v>25</v>
      </c>
      <c r="E69" s="432">
        <v>4380201.9224050473</v>
      </c>
      <c r="F69" s="309">
        <f t="shared" si="10"/>
        <v>4273175.745937665</v>
      </c>
      <c r="G69" s="309">
        <f t="shared" si="10"/>
        <v>4167916.9558934197</v>
      </c>
      <c r="H69" s="309">
        <f t="shared" si="10"/>
        <v>4066421.7743139407</v>
      </c>
      <c r="I69" s="309">
        <f t="shared" si="10"/>
        <v>3967398.1563459407</v>
      </c>
      <c r="J69" s="309">
        <f t="shared" si="10"/>
        <v>3870785.9156181007</v>
      </c>
      <c r="K69" s="309">
        <f t="shared" si="10"/>
        <v>3776526.3313897159</v>
      </c>
      <c r="L69" s="308">
        <v>0</v>
      </c>
      <c r="M69" s="326">
        <v>1</v>
      </c>
      <c r="N69" s="327">
        <v>0</v>
      </c>
      <c r="O69" s="309">
        <f t="shared" si="1"/>
        <v>0</v>
      </c>
      <c r="P69" s="311">
        <f t="shared" si="2"/>
        <v>3776526.3313897159</v>
      </c>
      <c r="Q69" s="312">
        <f t="shared" si="3"/>
        <v>0</v>
      </c>
      <c r="R69" s="310">
        <f t="shared" si="4"/>
        <v>0</v>
      </c>
      <c r="S69" s="309">
        <f t="shared" si="5"/>
        <v>0</v>
      </c>
      <c r="T69" s="311">
        <f t="shared" si="6"/>
        <v>0</v>
      </c>
      <c r="U69" s="312">
        <f t="shared" si="7"/>
        <v>3776526.3313897159</v>
      </c>
      <c r="V69" s="321"/>
      <c r="W69" s="321"/>
      <c r="X69" s="321"/>
      <c r="Y69" s="321"/>
      <c r="AC69" s="436"/>
      <c r="AD69" s="436"/>
      <c r="AE69" s="436"/>
    </row>
    <row r="70" spans="1:31">
      <c r="A70" s="428" t="s">
        <v>3208</v>
      </c>
      <c r="B70" s="429"/>
      <c r="C70" s="430"/>
      <c r="D70" s="431">
        <v>25</v>
      </c>
      <c r="E70" s="432">
        <v>7939469.8335059211</v>
      </c>
      <c r="F70" s="309">
        <f t="shared" si="10"/>
        <v>7745476.2426826702</v>
      </c>
      <c r="G70" s="309">
        <f t="shared" si="10"/>
        <v>7554686.1825274611</v>
      </c>
      <c r="H70" s="309">
        <f t="shared" si="10"/>
        <v>7370717.9667530553</v>
      </c>
      <c r="I70" s="309">
        <f t="shared" si="10"/>
        <v>7191229.6596866371</v>
      </c>
      <c r="J70" s="309">
        <f t="shared" si="10"/>
        <v>7016112.1686681109</v>
      </c>
      <c r="K70" s="309">
        <f t="shared" si="10"/>
        <v>6845259.0576112671</v>
      </c>
      <c r="L70" s="308">
        <v>0</v>
      </c>
      <c r="M70" s="326">
        <v>1</v>
      </c>
      <c r="N70" s="327">
        <v>0</v>
      </c>
      <c r="O70" s="309">
        <f t="shared" ref="O70:O133" si="11">+L70*$K70</f>
        <v>0</v>
      </c>
      <c r="P70" s="311">
        <f t="shared" ref="P70:P133" si="12">+M70*$K70</f>
        <v>6845259.0576112671</v>
      </c>
      <c r="Q70" s="312">
        <f t="shared" ref="Q70:Q133" si="13">+N70*$K70</f>
        <v>0</v>
      </c>
      <c r="R70" s="310">
        <f t="shared" ref="R70:R133" si="14">IF(D70="Choose",K70,0)</f>
        <v>0</v>
      </c>
      <c r="S70" s="309">
        <f t="shared" ref="S70:S133" si="15">IF(ISERROR(O70),0,O70)+IF(D70="Choose",0,IF(D70&gt;144,Q70,0))</f>
        <v>0</v>
      </c>
      <c r="T70" s="311">
        <f t="shared" ref="T70:T133" si="16">IF(D70="Choose",0,IF(AND(D70&lt;=144,D70&gt;=69),Q70,0))</f>
        <v>0</v>
      </c>
      <c r="U70" s="312">
        <f t="shared" ref="U70:U133" si="17">IF(ISERROR(P70),0,P70)+IF(D70="Choose",0,IF(AND(D70&lt;69,D70&gt;0),Q70,0))</f>
        <v>6845259.0576112671</v>
      </c>
      <c r="V70" s="321"/>
      <c r="W70" s="321"/>
      <c r="X70" s="321"/>
      <c r="Y70" s="321"/>
      <c r="AC70" s="436"/>
      <c r="AD70" s="436"/>
      <c r="AE70" s="436"/>
    </row>
    <row r="71" spans="1:31">
      <c r="A71" s="428" t="s">
        <v>3209</v>
      </c>
      <c r="B71" s="429"/>
      <c r="C71" s="430"/>
      <c r="D71" s="431">
        <v>25</v>
      </c>
      <c r="E71" s="432">
        <v>8350553.1423962004</v>
      </c>
      <c r="F71" s="309">
        <f t="shared" si="10"/>
        <v>8146515.1117184665</v>
      </c>
      <c r="G71" s="309">
        <f t="shared" si="10"/>
        <v>7945846.4814727232</v>
      </c>
      <c r="H71" s="309">
        <f t="shared" si="10"/>
        <v>7752352.9114294434</v>
      </c>
      <c r="I71" s="309">
        <f t="shared" si="10"/>
        <v>7563571.207105617</v>
      </c>
      <c r="J71" s="309">
        <f t="shared" si="10"/>
        <v>7379386.6273315344</v>
      </c>
      <c r="K71" s="309">
        <f t="shared" si="10"/>
        <v>7199687.2250612583</v>
      </c>
      <c r="L71" s="308">
        <v>0</v>
      </c>
      <c r="M71" s="326">
        <v>1</v>
      </c>
      <c r="N71" s="327">
        <v>0</v>
      </c>
      <c r="O71" s="309">
        <f t="shared" si="11"/>
        <v>0</v>
      </c>
      <c r="P71" s="311">
        <f t="shared" si="12"/>
        <v>7199687.2250612583</v>
      </c>
      <c r="Q71" s="312">
        <f t="shared" si="13"/>
        <v>0</v>
      </c>
      <c r="R71" s="310">
        <f t="shared" si="14"/>
        <v>0</v>
      </c>
      <c r="S71" s="309">
        <f t="shared" si="15"/>
        <v>0</v>
      </c>
      <c r="T71" s="311">
        <f t="shared" si="16"/>
        <v>0</v>
      </c>
      <c r="U71" s="312">
        <f t="shared" si="17"/>
        <v>7199687.2250612583</v>
      </c>
      <c r="V71" s="321"/>
      <c r="W71" s="321"/>
      <c r="X71" s="321"/>
      <c r="Y71" s="321"/>
      <c r="AC71" s="436"/>
      <c r="AD71" s="436"/>
      <c r="AE71" s="436"/>
    </row>
    <row r="72" spans="1:31">
      <c r="A72" s="428" t="s">
        <v>3210</v>
      </c>
      <c r="B72" s="429"/>
      <c r="C72" s="430"/>
      <c r="D72" s="431">
        <v>25</v>
      </c>
      <c r="E72" s="432">
        <v>8838080.539185375</v>
      </c>
      <c r="F72" s="309">
        <f t="shared" si="10"/>
        <v>8622130.2281776983</v>
      </c>
      <c r="G72" s="309">
        <f t="shared" si="10"/>
        <v>8409746.032118205</v>
      </c>
      <c r="H72" s="309">
        <f t="shared" si="10"/>
        <v>8204955.7952685421</v>
      </c>
      <c r="I72" s="309">
        <f t="shared" si="10"/>
        <v>8005152.5153315812</v>
      </c>
      <c r="J72" s="309">
        <f t="shared" si="10"/>
        <v>7810214.7522443989</v>
      </c>
      <c r="K72" s="309">
        <f t="shared" si="10"/>
        <v>7620024.0231961878</v>
      </c>
      <c r="L72" s="308">
        <v>0</v>
      </c>
      <c r="M72" s="326">
        <v>1</v>
      </c>
      <c r="N72" s="327">
        <v>0</v>
      </c>
      <c r="O72" s="309">
        <f t="shared" si="11"/>
        <v>0</v>
      </c>
      <c r="P72" s="311">
        <f t="shared" si="12"/>
        <v>7620024.0231961878</v>
      </c>
      <c r="Q72" s="312">
        <f t="shared" si="13"/>
        <v>0</v>
      </c>
      <c r="R72" s="310">
        <f t="shared" si="14"/>
        <v>0</v>
      </c>
      <c r="S72" s="309">
        <f t="shared" si="15"/>
        <v>0</v>
      </c>
      <c r="T72" s="311">
        <f t="shared" si="16"/>
        <v>0</v>
      </c>
      <c r="U72" s="312">
        <f t="shared" si="17"/>
        <v>7620024.0231961878</v>
      </c>
      <c r="V72" s="321"/>
      <c r="W72" s="321"/>
      <c r="X72" s="321"/>
      <c r="Y72" s="321"/>
      <c r="AC72" s="436"/>
      <c r="AD72" s="436"/>
      <c r="AE72" s="436"/>
    </row>
    <row r="73" spans="1:31">
      <c r="A73" s="428" t="s">
        <v>3211</v>
      </c>
      <c r="B73" s="429"/>
      <c r="C73" s="430"/>
      <c r="D73" s="431">
        <v>25</v>
      </c>
      <c r="E73" s="432">
        <v>769799.47178858588</v>
      </c>
      <c r="F73" s="309">
        <f t="shared" si="10"/>
        <v>750990.13478274632</v>
      </c>
      <c r="G73" s="309">
        <f t="shared" si="10"/>
        <v>732491.40746090736</v>
      </c>
      <c r="H73" s="309">
        <f t="shared" si="10"/>
        <v>714654.11626907345</v>
      </c>
      <c r="I73" s="309">
        <f t="shared" si="10"/>
        <v>697251.19052347075</v>
      </c>
      <c r="J73" s="309">
        <f t="shared" si="10"/>
        <v>680272.05275811232</v>
      </c>
      <c r="K73" s="309">
        <f t="shared" si="10"/>
        <v>663706.3830845597</v>
      </c>
      <c r="L73" s="308">
        <v>0</v>
      </c>
      <c r="M73" s="326">
        <v>1</v>
      </c>
      <c r="N73" s="327">
        <v>0</v>
      </c>
      <c r="O73" s="309">
        <f t="shared" si="11"/>
        <v>0</v>
      </c>
      <c r="P73" s="311">
        <f t="shared" si="12"/>
        <v>663706.3830845597</v>
      </c>
      <c r="Q73" s="312">
        <f t="shared" si="13"/>
        <v>0</v>
      </c>
      <c r="R73" s="310">
        <f t="shared" si="14"/>
        <v>0</v>
      </c>
      <c r="S73" s="309">
        <f t="shared" si="15"/>
        <v>0</v>
      </c>
      <c r="T73" s="311">
        <f t="shared" si="16"/>
        <v>0</v>
      </c>
      <c r="U73" s="312">
        <f t="shared" si="17"/>
        <v>663706.3830845597</v>
      </c>
      <c r="V73" s="321"/>
      <c r="W73" s="321"/>
      <c r="X73" s="321"/>
      <c r="Y73" s="321"/>
      <c r="AC73" s="436"/>
      <c r="AD73" s="436"/>
      <c r="AE73" s="436"/>
    </row>
    <row r="74" spans="1:31">
      <c r="A74" s="428" t="s">
        <v>3212</v>
      </c>
      <c r="B74" s="429"/>
      <c r="C74" s="430"/>
      <c r="D74" s="431">
        <v>25</v>
      </c>
      <c r="E74" s="432">
        <v>446259.28886935196</v>
      </c>
      <c r="F74" s="309">
        <f t="shared" si="10"/>
        <v>435355.35652859922</v>
      </c>
      <c r="G74" s="309">
        <f t="shared" si="10"/>
        <v>424631.48725852638</v>
      </c>
      <c r="H74" s="309">
        <f t="shared" si="10"/>
        <v>414291.05812816002</v>
      </c>
      <c r="I74" s="309">
        <f t="shared" si="10"/>
        <v>404202.4343344408</v>
      </c>
      <c r="J74" s="309">
        <f t="shared" si="10"/>
        <v>394359.48403054068</v>
      </c>
      <c r="K74" s="309">
        <f t="shared" si="10"/>
        <v>384756.22468952305</v>
      </c>
      <c r="L74" s="308">
        <v>0</v>
      </c>
      <c r="M74" s="326">
        <v>1</v>
      </c>
      <c r="N74" s="327">
        <v>0</v>
      </c>
      <c r="O74" s="309">
        <f t="shared" si="11"/>
        <v>0</v>
      </c>
      <c r="P74" s="311">
        <f t="shared" si="12"/>
        <v>384756.22468952305</v>
      </c>
      <c r="Q74" s="312">
        <f t="shared" si="13"/>
        <v>0</v>
      </c>
      <c r="R74" s="310">
        <f t="shared" si="14"/>
        <v>0</v>
      </c>
      <c r="S74" s="309">
        <f t="shared" si="15"/>
        <v>0</v>
      </c>
      <c r="T74" s="311">
        <f t="shared" si="16"/>
        <v>0</v>
      </c>
      <c r="U74" s="312">
        <f t="shared" si="17"/>
        <v>384756.22468952305</v>
      </c>
      <c r="V74" s="321"/>
      <c r="W74" s="321"/>
      <c r="X74" s="321"/>
      <c r="Y74" s="321"/>
      <c r="AC74" s="436"/>
      <c r="AD74" s="436"/>
      <c r="AE74" s="436"/>
    </row>
    <row r="75" spans="1:31">
      <c r="A75" s="428" t="s">
        <v>3213</v>
      </c>
      <c r="B75" s="429"/>
      <c r="C75" s="430"/>
      <c r="D75" s="431">
        <v>25</v>
      </c>
      <c r="E75" s="432">
        <v>250216.05063215125</v>
      </c>
      <c r="F75" s="309">
        <f t="shared" si="10"/>
        <v>244102.25321725398</v>
      </c>
      <c r="G75" s="309">
        <f t="shared" si="10"/>
        <v>238089.41654767672</v>
      </c>
      <c r="H75" s="309">
        <f t="shared" si="10"/>
        <v>232291.57344754261</v>
      </c>
      <c r="I75" s="309">
        <f t="shared" si="10"/>
        <v>226634.91673486406</v>
      </c>
      <c r="J75" s="309">
        <f t="shared" si="10"/>
        <v>221116.00830418387</v>
      </c>
      <c r="K75" s="309">
        <f t="shared" si="10"/>
        <v>215731.49377319508</v>
      </c>
      <c r="L75" s="308">
        <v>0</v>
      </c>
      <c r="M75" s="326">
        <v>1</v>
      </c>
      <c r="N75" s="327">
        <v>0</v>
      </c>
      <c r="O75" s="309">
        <f t="shared" si="11"/>
        <v>0</v>
      </c>
      <c r="P75" s="311">
        <f t="shared" si="12"/>
        <v>215731.49377319508</v>
      </c>
      <c r="Q75" s="312">
        <f t="shared" si="13"/>
        <v>0</v>
      </c>
      <c r="R75" s="310">
        <f t="shared" si="14"/>
        <v>0</v>
      </c>
      <c r="S75" s="309">
        <f t="shared" si="15"/>
        <v>0</v>
      </c>
      <c r="T75" s="311">
        <f t="shared" si="16"/>
        <v>0</v>
      </c>
      <c r="U75" s="312">
        <f t="shared" si="17"/>
        <v>215731.49377319508</v>
      </c>
      <c r="V75" s="321"/>
      <c r="W75" s="321"/>
      <c r="X75" s="321"/>
      <c r="Y75" s="321"/>
      <c r="AC75" s="436"/>
      <c r="AD75" s="436"/>
      <c r="AE75" s="436"/>
    </row>
    <row r="76" spans="1:31">
      <c r="A76" s="428" t="s">
        <v>3214</v>
      </c>
      <c r="B76" s="429"/>
      <c r="C76" s="430"/>
      <c r="D76" s="431">
        <v>25</v>
      </c>
      <c r="E76" s="432">
        <v>2667760.2128848694</v>
      </c>
      <c r="F76" s="309">
        <f t="shared" si="10"/>
        <v>2602575.9633057755</v>
      </c>
      <c r="G76" s="309">
        <f t="shared" si="10"/>
        <v>2538468.1397143332</v>
      </c>
      <c r="H76" s="309">
        <f t="shared" si="10"/>
        <v>2476652.5403392729</v>
      </c>
      <c r="I76" s="309">
        <f t="shared" si="10"/>
        <v>2416342.2457842007</v>
      </c>
      <c r="J76" s="309">
        <f t="shared" si="10"/>
        <v>2357500.5995639577</v>
      </c>
      <c r="K76" s="309">
        <f t="shared" si="10"/>
        <v>2300091.8378351182</v>
      </c>
      <c r="L76" s="308">
        <v>0</v>
      </c>
      <c r="M76" s="326">
        <v>1</v>
      </c>
      <c r="N76" s="327">
        <v>0</v>
      </c>
      <c r="O76" s="309">
        <f t="shared" si="11"/>
        <v>0</v>
      </c>
      <c r="P76" s="311">
        <f t="shared" si="12"/>
        <v>2300091.8378351182</v>
      </c>
      <c r="Q76" s="312">
        <f t="shared" si="13"/>
        <v>0</v>
      </c>
      <c r="R76" s="310">
        <f t="shared" si="14"/>
        <v>0</v>
      </c>
      <c r="S76" s="309">
        <f t="shared" si="15"/>
        <v>0</v>
      </c>
      <c r="T76" s="311">
        <f t="shared" si="16"/>
        <v>0</v>
      </c>
      <c r="U76" s="312">
        <f t="shared" si="17"/>
        <v>2300091.8378351182</v>
      </c>
      <c r="V76" s="321"/>
      <c r="W76" s="321"/>
      <c r="X76" s="321"/>
      <c r="Y76" s="321"/>
      <c r="AC76" s="436"/>
      <c r="AD76" s="436"/>
      <c r="AE76" s="436"/>
    </row>
    <row r="77" spans="1:31">
      <c r="A77" s="428" t="s">
        <v>3215</v>
      </c>
      <c r="B77" s="429"/>
      <c r="C77" s="430"/>
      <c r="D77" s="431">
        <v>25</v>
      </c>
      <c r="E77" s="432">
        <v>7654595.163232455</v>
      </c>
      <c r="F77" s="309">
        <f t="shared" si="10"/>
        <v>7467562.2210897645</v>
      </c>
      <c r="G77" s="309">
        <f t="shared" si="10"/>
        <v>7283617.8643150004</v>
      </c>
      <c r="H77" s="309">
        <f t="shared" si="10"/>
        <v>7106250.5785659673</v>
      </c>
      <c r="I77" s="309">
        <f t="shared" si="10"/>
        <v>6933202.4587369515</v>
      </c>
      <c r="J77" s="309">
        <f t="shared" si="10"/>
        <v>6764368.3265017141</v>
      </c>
      <c r="K77" s="309">
        <f t="shared" si="10"/>
        <v>6599645.5647878591</v>
      </c>
      <c r="L77" s="308">
        <v>0</v>
      </c>
      <c r="M77" s="326">
        <v>1</v>
      </c>
      <c r="N77" s="327">
        <v>0</v>
      </c>
      <c r="O77" s="309">
        <f t="shared" si="11"/>
        <v>0</v>
      </c>
      <c r="P77" s="311">
        <f t="shared" si="12"/>
        <v>6599645.5647878591</v>
      </c>
      <c r="Q77" s="312">
        <f t="shared" si="13"/>
        <v>0</v>
      </c>
      <c r="R77" s="310">
        <f t="shared" si="14"/>
        <v>0</v>
      </c>
      <c r="S77" s="309">
        <f t="shared" si="15"/>
        <v>0</v>
      </c>
      <c r="T77" s="311">
        <f t="shared" si="16"/>
        <v>0</v>
      </c>
      <c r="U77" s="312">
        <f t="shared" si="17"/>
        <v>6599645.5647878591</v>
      </c>
      <c r="V77" s="321"/>
      <c r="W77" s="321"/>
      <c r="X77" s="321"/>
      <c r="Y77" s="321"/>
      <c r="AC77" s="436"/>
      <c r="AD77" s="436"/>
      <c r="AE77" s="436"/>
    </row>
    <row r="78" spans="1:31">
      <c r="A78" s="428" t="s">
        <v>3216</v>
      </c>
      <c r="B78" s="429"/>
      <c r="C78" s="430"/>
      <c r="D78" s="431">
        <v>25</v>
      </c>
      <c r="E78" s="432">
        <v>1676439.8934046568</v>
      </c>
      <c r="F78" s="309">
        <f t="shared" si="10"/>
        <v>1635477.6375436371</v>
      </c>
      <c r="G78" s="309">
        <f t="shared" si="10"/>
        <v>1595191.8155912124</v>
      </c>
      <c r="H78" s="309">
        <f t="shared" si="10"/>
        <v>1556346.4439845164</v>
      </c>
      <c r="I78" s="309">
        <f t="shared" si="10"/>
        <v>1518447.0168595524</v>
      </c>
      <c r="J78" s="309">
        <f t="shared" si="10"/>
        <v>1481470.4990148146</v>
      </c>
      <c r="K78" s="309">
        <f t="shared" si="10"/>
        <v>1445394.416191346</v>
      </c>
      <c r="L78" s="308">
        <v>0</v>
      </c>
      <c r="M78" s="326">
        <v>1</v>
      </c>
      <c r="N78" s="327">
        <v>0</v>
      </c>
      <c r="O78" s="309">
        <f t="shared" si="11"/>
        <v>0</v>
      </c>
      <c r="P78" s="311">
        <f t="shared" si="12"/>
        <v>1445394.416191346</v>
      </c>
      <c r="Q78" s="312">
        <f t="shared" si="13"/>
        <v>0</v>
      </c>
      <c r="R78" s="310">
        <f t="shared" si="14"/>
        <v>0</v>
      </c>
      <c r="S78" s="309">
        <f t="shared" si="15"/>
        <v>0</v>
      </c>
      <c r="T78" s="311">
        <f t="shared" si="16"/>
        <v>0</v>
      </c>
      <c r="U78" s="312">
        <f t="shared" si="17"/>
        <v>1445394.416191346</v>
      </c>
      <c r="V78" s="321"/>
      <c r="W78" s="321"/>
      <c r="X78" s="321"/>
      <c r="Y78" s="321"/>
      <c r="AC78" s="436"/>
      <c r="AD78" s="436"/>
      <c r="AE78" s="436"/>
    </row>
    <row r="79" spans="1:31">
      <c r="A79" s="428" t="s">
        <v>3217</v>
      </c>
      <c r="B79" s="429"/>
      <c r="C79" s="430"/>
      <c r="D79" s="431">
        <v>25</v>
      </c>
      <c r="E79" s="432">
        <v>1147013.4066980849</v>
      </c>
      <c r="F79" s="309">
        <f t="shared" si="10"/>
        <v>1118987.1966168112</v>
      </c>
      <c r="G79" s="309">
        <f t="shared" si="10"/>
        <v>1091423.7998848001</v>
      </c>
      <c r="H79" s="309">
        <f t="shared" si="10"/>
        <v>1064845.9534637388</v>
      </c>
      <c r="I79" s="309">
        <f t="shared" si="10"/>
        <v>1038915.3184379723</v>
      </c>
      <c r="J79" s="309">
        <f t="shared" si="10"/>
        <v>1013616.1342156319</v>
      </c>
      <c r="K79" s="309">
        <f t="shared" si="10"/>
        <v>988933.02399947529</v>
      </c>
      <c r="L79" s="308">
        <v>0.60355493858828502</v>
      </c>
      <c r="M79" s="326">
        <v>0.39644506141171498</v>
      </c>
      <c r="N79" s="327">
        <v>0</v>
      </c>
      <c r="O79" s="309">
        <f t="shared" si="11"/>
        <v>596875.41056793032</v>
      </c>
      <c r="P79" s="311">
        <f t="shared" si="12"/>
        <v>392057.61343154497</v>
      </c>
      <c r="Q79" s="312">
        <f t="shared" si="13"/>
        <v>0</v>
      </c>
      <c r="R79" s="310">
        <f t="shared" si="14"/>
        <v>0</v>
      </c>
      <c r="S79" s="309">
        <f t="shared" si="15"/>
        <v>596875.41056793032</v>
      </c>
      <c r="T79" s="311">
        <f t="shared" si="16"/>
        <v>0</v>
      </c>
      <c r="U79" s="312">
        <f t="shared" si="17"/>
        <v>392057.61343154497</v>
      </c>
      <c r="V79" s="321"/>
      <c r="W79" s="321"/>
      <c r="X79" s="321"/>
      <c r="Y79" s="321"/>
      <c r="AC79" s="436"/>
      <c r="AD79" s="436"/>
      <c r="AE79" s="436"/>
    </row>
    <row r="80" spans="1:31">
      <c r="A80" s="428" t="s">
        <v>3218</v>
      </c>
      <c r="B80" s="429"/>
      <c r="C80" s="430"/>
      <c r="D80" s="431">
        <v>144</v>
      </c>
      <c r="E80" s="432">
        <v>13891466.016506795</v>
      </c>
      <c r="F80" s="309">
        <f t="shared" si="10"/>
        <v>13552040.912456576</v>
      </c>
      <c r="G80" s="309">
        <f t="shared" si="10"/>
        <v>13218220.935491815</v>
      </c>
      <c r="H80" s="309">
        <f t="shared" si="10"/>
        <v>12896336.946870493</v>
      </c>
      <c r="I80" s="309">
        <f t="shared" si="10"/>
        <v>12582291.327923609</v>
      </c>
      <c r="J80" s="309">
        <f t="shared" si="10"/>
        <v>12275893.2023065</v>
      </c>
      <c r="K80" s="309">
        <f t="shared" si="10"/>
        <v>11976956.341806766</v>
      </c>
      <c r="L80" s="308">
        <v>0</v>
      </c>
      <c r="M80" s="326">
        <v>0</v>
      </c>
      <c r="N80" s="327">
        <v>1</v>
      </c>
      <c r="O80" s="309">
        <f t="shared" si="11"/>
        <v>0</v>
      </c>
      <c r="P80" s="311">
        <f t="shared" si="12"/>
        <v>0</v>
      </c>
      <c r="Q80" s="312">
        <f t="shared" si="13"/>
        <v>11976956.341806766</v>
      </c>
      <c r="R80" s="310">
        <f t="shared" si="14"/>
        <v>0</v>
      </c>
      <c r="S80" s="309">
        <f t="shared" si="15"/>
        <v>0</v>
      </c>
      <c r="T80" s="311">
        <f t="shared" si="16"/>
        <v>11976956.341806766</v>
      </c>
      <c r="U80" s="312">
        <f t="shared" si="17"/>
        <v>0</v>
      </c>
      <c r="V80" s="321"/>
      <c r="W80" s="321"/>
      <c r="X80" s="321"/>
      <c r="Y80" s="321"/>
      <c r="AC80" s="436"/>
      <c r="AD80" s="436"/>
      <c r="AE80" s="436"/>
    </row>
    <row r="81" spans="1:31">
      <c r="A81" s="428" t="s">
        <v>3219</v>
      </c>
      <c r="B81" s="429"/>
      <c r="C81" s="430"/>
      <c r="D81" s="431">
        <v>25</v>
      </c>
      <c r="E81" s="432">
        <v>1102889.6599148775</v>
      </c>
      <c r="F81" s="309">
        <f t="shared" si="10"/>
        <v>1075941.5727131602</v>
      </c>
      <c r="G81" s="309">
        <f t="shared" si="10"/>
        <v>1049438.4951812441</v>
      </c>
      <c r="H81" s="309">
        <f t="shared" si="10"/>
        <v>1023883.0554371036</v>
      </c>
      <c r="I81" s="309">
        <f t="shared" si="10"/>
        <v>998949.92991482106</v>
      </c>
      <c r="J81" s="309">
        <f t="shared" si="10"/>
        <v>974623.96430695325</v>
      </c>
      <c r="K81" s="309">
        <f t="shared" si="10"/>
        <v>950890.37333672668</v>
      </c>
      <c r="L81" s="308">
        <v>0</v>
      </c>
      <c r="M81" s="326">
        <v>1</v>
      </c>
      <c r="N81" s="327">
        <v>0</v>
      </c>
      <c r="O81" s="309">
        <f t="shared" si="11"/>
        <v>0</v>
      </c>
      <c r="P81" s="311">
        <f t="shared" si="12"/>
        <v>950890.37333672668</v>
      </c>
      <c r="Q81" s="312">
        <f t="shared" si="13"/>
        <v>0</v>
      </c>
      <c r="R81" s="310">
        <f t="shared" si="14"/>
        <v>0</v>
      </c>
      <c r="S81" s="309">
        <f t="shared" si="15"/>
        <v>0</v>
      </c>
      <c r="T81" s="311">
        <f t="shared" si="16"/>
        <v>0</v>
      </c>
      <c r="U81" s="312">
        <f t="shared" si="17"/>
        <v>950890.37333672668</v>
      </c>
      <c r="V81" s="321"/>
      <c r="W81" s="321"/>
      <c r="X81" s="321"/>
      <c r="Y81" s="321"/>
      <c r="AC81" s="436"/>
      <c r="AD81" s="436"/>
      <c r="AE81" s="436"/>
    </row>
    <row r="82" spans="1:31">
      <c r="A82" s="428" t="s">
        <v>3220</v>
      </c>
      <c r="B82" s="429"/>
      <c r="C82" s="430"/>
      <c r="D82" s="431">
        <v>25</v>
      </c>
      <c r="E82" s="432">
        <v>5673464.672418749</v>
      </c>
      <c r="F82" s="309">
        <f t="shared" si="10"/>
        <v>5534838.8186411345</v>
      </c>
      <c r="G82" s="309">
        <f t="shared" si="10"/>
        <v>5398502.1754094744</v>
      </c>
      <c r="H82" s="309">
        <f t="shared" si="10"/>
        <v>5267040.3530294392</v>
      </c>
      <c r="I82" s="309">
        <f t="shared" si="10"/>
        <v>5138779.8280059565</v>
      </c>
      <c r="J82" s="309">
        <f t="shared" si="10"/>
        <v>5013642.6438298319</v>
      </c>
      <c r="K82" s="309">
        <f t="shared" si="10"/>
        <v>4891552.742352644</v>
      </c>
      <c r="L82" s="308">
        <v>0</v>
      </c>
      <c r="M82" s="326">
        <v>1</v>
      </c>
      <c r="N82" s="327">
        <v>0</v>
      </c>
      <c r="O82" s="309">
        <f t="shared" si="11"/>
        <v>0</v>
      </c>
      <c r="P82" s="311">
        <f t="shared" si="12"/>
        <v>4891552.742352644</v>
      </c>
      <c r="Q82" s="312">
        <f t="shared" si="13"/>
        <v>0</v>
      </c>
      <c r="R82" s="310">
        <f t="shared" si="14"/>
        <v>0</v>
      </c>
      <c r="S82" s="309">
        <f t="shared" si="15"/>
        <v>0</v>
      </c>
      <c r="T82" s="311">
        <f t="shared" si="16"/>
        <v>0</v>
      </c>
      <c r="U82" s="312">
        <f t="shared" si="17"/>
        <v>4891552.742352644</v>
      </c>
      <c r="V82" s="321"/>
      <c r="W82" s="321"/>
      <c r="X82" s="321"/>
      <c r="Y82" s="321"/>
      <c r="AC82" s="436"/>
      <c r="AD82" s="436"/>
      <c r="AE82" s="436"/>
    </row>
    <row r="83" spans="1:31">
      <c r="A83" s="428" t="s">
        <v>3221</v>
      </c>
      <c r="B83" s="429"/>
      <c r="C83" s="430"/>
      <c r="D83" s="431">
        <v>25</v>
      </c>
      <c r="E83" s="432">
        <v>11185438.981659982</v>
      </c>
      <c r="F83" s="309">
        <f t="shared" si="10"/>
        <v>10912133.141535845</v>
      </c>
      <c r="G83" s="309">
        <f t="shared" si="10"/>
        <v>10643340.562065717</v>
      </c>
      <c r="H83" s="309">
        <f t="shared" si="10"/>
        <v>10384158.866655104</v>
      </c>
      <c r="I83" s="309">
        <f t="shared" si="10"/>
        <v>10131288.643741703</v>
      </c>
      <c r="J83" s="309">
        <f t="shared" si="10"/>
        <v>9884576.1992730815</v>
      </c>
      <c r="K83" s="309">
        <f t="shared" si="10"/>
        <v>9643871.5818831306</v>
      </c>
      <c r="L83" s="308">
        <v>0</v>
      </c>
      <c r="M83" s="326">
        <v>1</v>
      </c>
      <c r="N83" s="327">
        <v>0</v>
      </c>
      <c r="O83" s="309">
        <f t="shared" si="11"/>
        <v>0</v>
      </c>
      <c r="P83" s="311">
        <f t="shared" si="12"/>
        <v>9643871.5818831306</v>
      </c>
      <c r="Q83" s="312">
        <f t="shared" si="13"/>
        <v>0</v>
      </c>
      <c r="R83" s="310">
        <f t="shared" si="14"/>
        <v>0</v>
      </c>
      <c r="S83" s="309">
        <f t="shared" si="15"/>
        <v>0</v>
      </c>
      <c r="T83" s="311">
        <f t="shared" si="16"/>
        <v>0</v>
      </c>
      <c r="U83" s="312">
        <f t="shared" si="17"/>
        <v>9643871.5818831306</v>
      </c>
      <c r="V83" s="321"/>
      <c r="W83" s="321"/>
      <c r="X83" s="321"/>
      <c r="Y83" s="321"/>
      <c r="AC83" s="436"/>
      <c r="AD83" s="436"/>
      <c r="AE83" s="436"/>
    </row>
    <row r="84" spans="1:31">
      <c r="A84" s="428" t="s">
        <v>3222</v>
      </c>
      <c r="B84" s="429"/>
      <c r="C84" s="430"/>
      <c r="D84" s="431">
        <v>2.4</v>
      </c>
      <c r="E84" s="432">
        <v>72700.797232328783</v>
      </c>
      <c r="F84" s="309">
        <f t="shared" si="10"/>
        <v>70924.420596789045</v>
      </c>
      <c r="G84" s="309">
        <f t="shared" si="10"/>
        <v>69177.378317120514</v>
      </c>
      <c r="H84" s="309">
        <f t="shared" si="10"/>
        <v>67492.802869051535</v>
      </c>
      <c r="I84" s="309">
        <f t="shared" si="10"/>
        <v>65849.249421371584</v>
      </c>
      <c r="J84" s="309">
        <f t="shared" si="10"/>
        <v>64245.719025343846</v>
      </c>
      <c r="K84" s="309">
        <f t="shared" si="10"/>
        <v>62681.237058168059</v>
      </c>
      <c r="L84" s="308">
        <v>0</v>
      </c>
      <c r="M84" s="326">
        <v>1</v>
      </c>
      <c r="N84" s="327">
        <v>0</v>
      </c>
      <c r="O84" s="309">
        <f t="shared" si="11"/>
        <v>0</v>
      </c>
      <c r="P84" s="311">
        <f t="shared" si="12"/>
        <v>62681.237058168059</v>
      </c>
      <c r="Q84" s="312">
        <f t="shared" si="13"/>
        <v>0</v>
      </c>
      <c r="R84" s="310">
        <f t="shared" si="14"/>
        <v>0</v>
      </c>
      <c r="S84" s="309">
        <f t="shared" si="15"/>
        <v>0</v>
      </c>
      <c r="T84" s="311">
        <f t="shared" si="16"/>
        <v>0</v>
      </c>
      <c r="U84" s="312">
        <f t="shared" si="17"/>
        <v>62681.237058168059</v>
      </c>
      <c r="V84" s="321"/>
      <c r="W84" s="321"/>
      <c r="X84" s="321"/>
      <c r="Y84" s="321"/>
      <c r="AC84" s="436"/>
      <c r="AD84" s="436"/>
      <c r="AE84" s="436"/>
    </row>
    <row r="85" spans="1:31">
      <c r="A85" s="428" t="s">
        <v>3223</v>
      </c>
      <c r="B85" s="429"/>
      <c r="C85" s="430"/>
      <c r="D85" s="431">
        <v>13.8</v>
      </c>
      <c r="E85" s="432">
        <v>974080.58138846792</v>
      </c>
      <c r="F85" s="309">
        <f t="shared" si="10"/>
        <v>950279.8247010021</v>
      </c>
      <c r="G85" s="309">
        <f t="shared" si="10"/>
        <v>926872.10395687527</v>
      </c>
      <c r="H85" s="309">
        <f t="shared" si="10"/>
        <v>904301.34415345883</v>
      </c>
      <c r="I85" s="309">
        <f t="shared" si="10"/>
        <v>882280.21702959843</v>
      </c>
      <c r="J85" s="309">
        <f t="shared" si="10"/>
        <v>860795.3381850759</v>
      </c>
      <c r="K85" s="309">
        <f t="shared" si="10"/>
        <v>839833.64915038273</v>
      </c>
      <c r="L85" s="308">
        <v>0</v>
      </c>
      <c r="M85" s="326">
        <v>0</v>
      </c>
      <c r="N85" s="327">
        <v>1</v>
      </c>
      <c r="O85" s="309">
        <f t="shared" si="11"/>
        <v>0</v>
      </c>
      <c r="P85" s="311">
        <f t="shared" si="12"/>
        <v>0</v>
      </c>
      <c r="Q85" s="312">
        <f t="shared" si="13"/>
        <v>839833.64915038273</v>
      </c>
      <c r="R85" s="310">
        <f t="shared" si="14"/>
        <v>0</v>
      </c>
      <c r="S85" s="309">
        <f t="shared" si="15"/>
        <v>0</v>
      </c>
      <c r="T85" s="311">
        <f t="shared" si="16"/>
        <v>0</v>
      </c>
      <c r="U85" s="312">
        <f t="shared" si="17"/>
        <v>839833.64915038273</v>
      </c>
      <c r="V85" s="321"/>
      <c r="W85" s="321"/>
      <c r="X85" s="321"/>
      <c r="Y85" s="321"/>
      <c r="AC85" s="436"/>
      <c r="AD85" s="436"/>
      <c r="AE85" s="436"/>
    </row>
    <row r="86" spans="1:31">
      <c r="A86" s="428" t="s">
        <v>3224</v>
      </c>
      <c r="B86" s="429"/>
      <c r="C86" s="430"/>
      <c r="D86" s="431">
        <v>25</v>
      </c>
      <c r="E86" s="432">
        <v>2017215.3104072742</v>
      </c>
      <c r="F86" s="309">
        <f t="shared" si="10"/>
        <v>1967926.5229018314</v>
      </c>
      <c r="G86" s="309">
        <f t="shared" si="10"/>
        <v>1919451.6702366802</v>
      </c>
      <c r="H86" s="309">
        <f t="shared" si="10"/>
        <v>1872710.0729675125</v>
      </c>
      <c r="I86" s="309">
        <f t="shared" si="10"/>
        <v>1827106.7054069384</v>
      </c>
      <c r="J86" s="309">
        <f t="shared" si="10"/>
        <v>1782613.8499127459</v>
      </c>
      <c r="K86" s="309">
        <f t="shared" si="10"/>
        <v>1739204.463809897</v>
      </c>
      <c r="L86" s="308">
        <v>0</v>
      </c>
      <c r="M86" s="326">
        <v>1</v>
      </c>
      <c r="N86" s="327">
        <v>0</v>
      </c>
      <c r="O86" s="309">
        <f t="shared" si="11"/>
        <v>0</v>
      </c>
      <c r="P86" s="311">
        <f t="shared" si="12"/>
        <v>1739204.463809897</v>
      </c>
      <c r="Q86" s="312">
        <f t="shared" si="13"/>
        <v>0</v>
      </c>
      <c r="R86" s="310">
        <f t="shared" si="14"/>
        <v>0</v>
      </c>
      <c r="S86" s="309">
        <f t="shared" si="15"/>
        <v>0</v>
      </c>
      <c r="T86" s="311">
        <f t="shared" si="16"/>
        <v>0</v>
      </c>
      <c r="U86" s="312">
        <f t="shared" si="17"/>
        <v>1739204.463809897</v>
      </c>
      <c r="V86" s="321"/>
      <c r="W86" s="321"/>
      <c r="X86" s="321"/>
      <c r="Y86" s="321"/>
      <c r="AC86" s="436"/>
      <c r="AD86" s="436"/>
      <c r="AE86" s="436"/>
    </row>
    <row r="87" spans="1:31">
      <c r="A87" s="428" t="s">
        <v>3225</v>
      </c>
      <c r="B87" s="429"/>
      <c r="C87" s="430"/>
      <c r="D87" s="431">
        <v>25</v>
      </c>
      <c r="E87" s="432">
        <v>7512871.3404222541</v>
      </c>
      <c r="F87" s="309">
        <f t="shared" si="10"/>
        <v>7329301.2886070916</v>
      </c>
      <c r="G87" s="309">
        <f t="shared" si="10"/>
        <v>7148762.6374079408</v>
      </c>
      <c r="H87" s="309">
        <f t="shared" si="10"/>
        <v>6974679.2836294137</v>
      </c>
      <c r="I87" s="309">
        <f t="shared" si="10"/>
        <v>6804835.1269818982</v>
      </c>
      <c r="J87" s="309">
        <f t="shared" si="10"/>
        <v>6639126.9365020338</v>
      </c>
      <c r="K87" s="309">
        <f t="shared" si="10"/>
        <v>6477453.9950590245</v>
      </c>
      <c r="L87" s="308">
        <v>0</v>
      </c>
      <c r="M87" s="326">
        <v>1</v>
      </c>
      <c r="N87" s="327">
        <v>0</v>
      </c>
      <c r="O87" s="309">
        <f t="shared" si="11"/>
        <v>0</v>
      </c>
      <c r="P87" s="311">
        <f t="shared" si="12"/>
        <v>6477453.9950590245</v>
      </c>
      <c r="Q87" s="312">
        <f t="shared" si="13"/>
        <v>0</v>
      </c>
      <c r="R87" s="310">
        <f t="shared" si="14"/>
        <v>0</v>
      </c>
      <c r="S87" s="309">
        <f t="shared" si="15"/>
        <v>0</v>
      </c>
      <c r="T87" s="311">
        <f t="shared" si="16"/>
        <v>0</v>
      </c>
      <c r="U87" s="312">
        <f t="shared" si="17"/>
        <v>6477453.9950590245</v>
      </c>
      <c r="V87" s="321"/>
      <c r="W87" s="321"/>
      <c r="X87" s="321"/>
      <c r="Y87" s="321"/>
      <c r="AC87" s="436"/>
      <c r="AD87" s="436"/>
      <c r="AE87" s="436"/>
    </row>
    <row r="88" spans="1:31">
      <c r="A88" s="428" t="s">
        <v>3226</v>
      </c>
      <c r="B88" s="429"/>
      <c r="C88" s="430"/>
      <c r="D88" s="431">
        <v>25</v>
      </c>
      <c r="E88" s="432">
        <v>2195870.6859919145</v>
      </c>
      <c r="F88" s="309">
        <f t="shared" si="10"/>
        <v>2142216.619877656</v>
      </c>
      <c r="G88" s="309">
        <f t="shared" si="10"/>
        <v>2089448.5750259187</v>
      </c>
      <c r="H88" s="309">
        <f t="shared" si="10"/>
        <v>2038567.2919371626</v>
      </c>
      <c r="I88" s="309">
        <f t="shared" si="10"/>
        <v>1988925.0462670357</v>
      </c>
      <c r="J88" s="309">
        <f t="shared" si="10"/>
        <v>1940491.6655507025</v>
      </c>
      <c r="K88" s="309">
        <f t="shared" si="10"/>
        <v>1893237.7120692045</v>
      </c>
      <c r="L88" s="308">
        <v>0.89437344274894326</v>
      </c>
      <c r="M88" s="326">
        <v>0.10562655725105677</v>
      </c>
      <c r="N88" s="327">
        <v>0</v>
      </c>
      <c r="O88" s="309">
        <f t="shared" si="11"/>
        <v>1693261.5304854671</v>
      </c>
      <c r="P88" s="311">
        <f t="shared" si="12"/>
        <v>199976.18158373758</v>
      </c>
      <c r="Q88" s="312">
        <f t="shared" si="13"/>
        <v>0</v>
      </c>
      <c r="R88" s="310">
        <f t="shared" si="14"/>
        <v>0</v>
      </c>
      <c r="S88" s="309">
        <f t="shared" si="15"/>
        <v>1693261.5304854671</v>
      </c>
      <c r="T88" s="311">
        <f t="shared" si="16"/>
        <v>0</v>
      </c>
      <c r="U88" s="312">
        <f t="shared" si="17"/>
        <v>199976.18158373758</v>
      </c>
      <c r="V88" s="321"/>
      <c r="W88" s="321"/>
      <c r="X88" s="321"/>
      <c r="Y88" s="321"/>
      <c r="AC88" s="436"/>
      <c r="AD88" s="436"/>
      <c r="AE88" s="436"/>
    </row>
    <row r="89" spans="1:31">
      <c r="A89" s="428" t="s">
        <v>3227</v>
      </c>
      <c r="B89" s="429"/>
      <c r="C89" s="430"/>
      <c r="D89" s="431">
        <v>25</v>
      </c>
      <c r="E89" s="432">
        <v>3406101.509616768</v>
      </c>
      <c r="F89" s="309">
        <f t="shared" si="10"/>
        <v>3322876.5743987355</v>
      </c>
      <c r="G89" s="309">
        <f t="shared" si="10"/>
        <v>3241025.9816586445</v>
      </c>
      <c r="H89" s="309">
        <f t="shared" si="10"/>
        <v>3162102.019402842</v>
      </c>
      <c r="I89" s="309">
        <f t="shared" si="10"/>
        <v>3085099.9768889374</v>
      </c>
      <c r="J89" s="309">
        <f t="shared" si="10"/>
        <v>3009973.0524183251</v>
      </c>
      <c r="K89" s="309">
        <f t="shared" si="10"/>
        <v>2936675.5839856672</v>
      </c>
      <c r="L89" s="308">
        <v>0</v>
      </c>
      <c r="M89" s="326">
        <v>1</v>
      </c>
      <c r="N89" s="327">
        <v>0</v>
      </c>
      <c r="O89" s="309">
        <f t="shared" si="11"/>
        <v>0</v>
      </c>
      <c r="P89" s="311">
        <f t="shared" si="12"/>
        <v>2936675.5839856672</v>
      </c>
      <c r="Q89" s="312">
        <f t="shared" si="13"/>
        <v>0</v>
      </c>
      <c r="R89" s="310">
        <f t="shared" si="14"/>
        <v>0</v>
      </c>
      <c r="S89" s="309">
        <f t="shared" si="15"/>
        <v>0</v>
      </c>
      <c r="T89" s="311">
        <f t="shared" si="16"/>
        <v>0</v>
      </c>
      <c r="U89" s="312">
        <f t="shared" si="17"/>
        <v>2936675.5839856672</v>
      </c>
      <c r="V89" s="321"/>
      <c r="W89" s="321"/>
      <c r="X89" s="321"/>
      <c r="Y89" s="321"/>
      <c r="AC89" s="436"/>
      <c r="AD89" s="436"/>
      <c r="AE89" s="436"/>
    </row>
    <row r="90" spans="1:31">
      <c r="A90" s="428" t="s">
        <v>3228</v>
      </c>
      <c r="B90" s="429"/>
      <c r="C90" s="430"/>
      <c r="D90" s="431">
        <v>4.2</v>
      </c>
      <c r="E90" s="432">
        <v>622368.62504003721</v>
      </c>
      <c r="F90" s="309">
        <f t="shared" si="10"/>
        <v>607161.62420507951</v>
      </c>
      <c r="G90" s="309">
        <f t="shared" si="10"/>
        <v>592205.74555068964</v>
      </c>
      <c r="H90" s="309">
        <f t="shared" si="10"/>
        <v>577784.62576516031</v>
      </c>
      <c r="I90" s="309">
        <f t="shared" si="10"/>
        <v>563714.68240341789</v>
      </c>
      <c r="J90" s="309">
        <f t="shared" si="10"/>
        <v>549987.36377998604</v>
      </c>
      <c r="K90" s="309">
        <f t="shared" si="10"/>
        <v>536594.32645606867</v>
      </c>
      <c r="L90" s="308">
        <v>0</v>
      </c>
      <c r="M90" s="326">
        <v>1</v>
      </c>
      <c r="N90" s="327">
        <v>0</v>
      </c>
      <c r="O90" s="309">
        <f t="shared" si="11"/>
        <v>0</v>
      </c>
      <c r="P90" s="311">
        <f t="shared" si="12"/>
        <v>536594.32645606867</v>
      </c>
      <c r="Q90" s="312">
        <f t="shared" si="13"/>
        <v>0</v>
      </c>
      <c r="R90" s="310">
        <f t="shared" si="14"/>
        <v>0</v>
      </c>
      <c r="S90" s="309">
        <f t="shared" si="15"/>
        <v>0</v>
      </c>
      <c r="T90" s="311">
        <f t="shared" si="16"/>
        <v>0</v>
      </c>
      <c r="U90" s="312">
        <f t="shared" si="17"/>
        <v>536594.32645606867</v>
      </c>
      <c r="V90" s="321"/>
      <c r="W90" s="321"/>
      <c r="X90" s="321"/>
      <c r="Y90" s="321"/>
      <c r="AC90" s="436"/>
      <c r="AD90" s="436"/>
      <c r="AE90" s="436"/>
    </row>
    <row r="91" spans="1:31">
      <c r="A91" s="428" t="s">
        <v>3229</v>
      </c>
      <c r="B91" s="429"/>
      <c r="C91" s="430"/>
      <c r="D91" s="431">
        <v>25</v>
      </c>
      <c r="E91" s="432">
        <v>5262834.3310828116</v>
      </c>
      <c r="F91" s="309">
        <f t="shared" si="10"/>
        <v>5134241.8493170859</v>
      </c>
      <c r="G91" s="309">
        <f t="shared" si="10"/>
        <v>5007772.8911031857</v>
      </c>
      <c r="H91" s="309">
        <f t="shared" si="10"/>
        <v>4885825.9271233426</v>
      </c>
      <c r="I91" s="309">
        <f t="shared" si="10"/>
        <v>4766848.5590791143</v>
      </c>
      <c r="J91" s="309">
        <f t="shared" si="10"/>
        <v>4650768.4727468994</v>
      </c>
      <c r="K91" s="309">
        <f t="shared" si="10"/>
        <v>4537515.1148655452</v>
      </c>
      <c r="L91" s="308">
        <v>0</v>
      </c>
      <c r="M91" s="326">
        <v>1</v>
      </c>
      <c r="N91" s="327">
        <v>0</v>
      </c>
      <c r="O91" s="309">
        <f t="shared" si="11"/>
        <v>0</v>
      </c>
      <c r="P91" s="311">
        <f t="shared" si="12"/>
        <v>4537515.1148655452</v>
      </c>
      <c r="Q91" s="312">
        <f t="shared" si="13"/>
        <v>0</v>
      </c>
      <c r="R91" s="310">
        <f t="shared" si="14"/>
        <v>0</v>
      </c>
      <c r="S91" s="309">
        <f t="shared" si="15"/>
        <v>0</v>
      </c>
      <c r="T91" s="311">
        <f t="shared" si="16"/>
        <v>0</v>
      </c>
      <c r="U91" s="312">
        <f t="shared" si="17"/>
        <v>4537515.1148655452</v>
      </c>
      <c r="V91" s="321"/>
      <c r="W91" s="321"/>
      <c r="X91" s="321"/>
      <c r="Y91" s="321"/>
      <c r="AC91" s="436"/>
      <c r="AD91" s="436"/>
      <c r="AE91" s="436"/>
    </row>
    <row r="92" spans="1:31">
      <c r="A92" s="428" t="s">
        <v>3230</v>
      </c>
      <c r="B92" s="429"/>
      <c r="C92" s="430"/>
      <c r="D92" s="431">
        <v>2.4</v>
      </c>
      <c r="E92" s="432">
        <v>32771.385400697982</v>
      </c>
      <c r="F92" s="309">
        <f t="shared" si="10"/>
        <v>31970.646955505508</v>
      </c>
      <c r="G92" s="309">
        <f t="shared" si="10"/>
        <v>31183.131576886364</v>
      </c>
      <c r="H92" s="309">
        <f t="shared" si="10"/>
        <v>30423.774412358973</v>
      </c>
      <c r="I92" s="309">
        <f t="shared" si="10"/>
        <v>29682.90876148528</v>
      </c>
      <c r="J92" s="309">
        <f t="shared" si="10"/>
        <v>28960.084327496941</v>
      </c>
      <c r="K92" s="309">
        <f t="shared" si="10"/>
        <v>28254.861779043775</v>
      </c>
      <c r="L92" s="308">
        <v>0</v>
      </c>
      <c r="M92" s="326">
        <v>1</v>
      </c>
      <c r="N92" s="327">
        <v>0</v>
      </c>
      <c r="O92" s="309">
        <f t="shared" si="11"/>
        <v>0</v>
      </c>
      <c r="P92" s="311">
        <f t="shared" si="12"/>
        <v>28254.861779043775</v>
      </c>
      <c r="Q92" s="312">
        <f t="shared" si="13"/>
        <v>0</v>
      </c>
      <c r="R92" s="310">
        <f t="shared" si="14"/>
        <v>0</v>
      </c>
      <c r="S92" s="309">
        <f t="shared" si="15"/>
        <v>0</v>
      </c>
      <c r="T92" s="311">
        <f t="shared" si="16"/>
        <v>0</v>
      </c>
      <c r="U92" s="312">
        <f t="shared" si="17"/>
        <v>28254.861779043775</v>
      </c>
      <c r="V92" s="321"/>
      <c r="W92" s="321"/>
      <c r="X92" s="321"/>
      <c r="Y92" s="321"/>
      <c r="AC92" s="436"/>
      <c r="AD92" s="436"/>
      <c r="AE92" s="436"/>
    </row>
    <row r="93" spans="1:31">
      <c r="A93" s="428" t="s">
        <v>3231</v>
      </c>
      <c r="B93" s="429"/>
      <c r="C93" s="430"/>
      <c r="D93" s="431">
        <v>25</v>
      </c>
      <c r="E93" s="432">
        <v>3846333.5353950681</v>
      </c>
      <c r="F93" s="309">
        <f t="shared" si="10"/>
        <v>3752351.9384266865</v>
      </c>
      <c r="G93" s="309">
        <f t="shared" si="10"/>
        <v>3659922.3150407416</v>
      </c>
      <c r="H93" s="309">
        <f t="shared" si="10"/>
        <v>3570797.5834631133</v>
      </c>
      <c r="I93" s="309">
        <f t="shared" si="10"/>
        <v>3483843.176033115</v>
      </c>
      <c r="J93" s="309">
        <f t="shared" si="10"/>
        <v>3399006.2420232063</v>
      </c>
      <c r="K93" s="309">
        <f t="shared" si="10"/>
        <v>3316235.2177022626</v>
      </c>
      <c r="L93" s="308">
        <v>0</v>
      </c>
      <c r="M93" s="326">
        <v>1</v>
      </c>
      <c r="N93" s="327">
        <v>0</v>
      </c>
      <c r="O93" s="309">
        <f t="shared" si="11"/>
        <v>0</v>
      </c>
      <c r="P93" s="311">
        <f t="shared" si="12"/>
        <v>3316235.2177022626</v>
      </c>
      <c r="Q93" s="312">
        <f t="shared" si="13"/>
        <v>0</v>
      </c>
      <c r="R93" s="310">
        <f t="shared" si="14"/>
        <v>0</v>
      </c>
      <c r="S93" s="309">
        <f t="shared" si="15"/>
        <v>0</v>
      </c>
      <c r="T93" s="311">
        <f t="shared" si="16"/>
        <v>0</v>
      </c>
      <c r="U93" s="312">
        <f t="shared" si="17"/>
        <v>3316235.2177022626</v>
      </c>
      <c r="V93" s="321"/>
      <c r="W93" s="321"/>
      <c r="X93" s="321"/>
      <c r="Y93" s="321"/>
      <c r="AC93" s="436"/>
      <c r="AD93" s="436"/>
      <c r="AE93" s="436"/>
    </row>
    <row r="94" spans="1:31">
      <c r="A94" s="428" t="s">
        <v>3232</v>
      </c>
      <c r="B94" s="429"/>
      <c r="C94" s="430"/>
      <c r="D94" s="431">
        <v>25</v>
      </c>
      <c r="E94" s="432">
        <v>4022611.2946997359</v>
      </c>
      <c r="F94" s="309">
        <f t="shared" si="10"/>
        <v>3924322.5139738852</v>
      </c>
      <c r="G94" s="309">
        <f t="shared" si="10"/>
        <v>3827656.8338981313</v>
      </c>
      <c r="H94" s="309">
        <f t="shared" si="10"/>
        <v>3734447.509074348</v>
      </c>
      <c r="I94" s="309">
        <f t="shared" si="10"/>
        <v>3643507.9745194213</v>
      </c>
      <c r="J94" s="309">
        <f t="shared" si="10"/>
        <v>3554782.9573529363</v>
      </c>
      <c r="K94" s="309">
        <f t="shared" si="10"/>
        <v>3468218.5306740375</v>
      </c>
      <c r="L94" s="308">
        <v>0</v>
      </c>
      <c r="M94" s="326">
        <v>1</v>
      </c>
      <c r="N94" s="327">
        <v>0</v>
      </c>
      <c r="O94" s="309">
        <f t="shared" si="11"/>
        <v>0</v>
      </c>
      <c r="P94" s="311">
        <f t="shared" si="12"/>
        <v>3468218.5306740375</v>
      </c>
      <c r="Q94" s="312">
        <f t="shared" si="13"/>
        <v>0</v>
      </c>
      <c r="R94" s="310">
        <f t="shared" si="14"/>
        <v>0</v>
      </c>
      <c r="S94" s="309">
        <f t="shared" si="15"/>
        <v>0</v>
      </c>
      <c r="T94" s="311">
        <f t="shared" si="16"/>
        <v>0</v>
      </c>
      <c r="U94" s="312">
        <f t="shared" si="17"/>
        <v>3468218.5306740375</v>
      </c>
      <c r="V94" s="321"/>
      <c r="W94" s="321"/>
      <c r="X94" s="321"/>
      <c r="Y94" s="321"/>
      <c r="AC94" s="436"/>
      <c r="AD94" s="436"/>
      <c r="AE94" s="436"/>
    </row>
    <row r="95" spans="1:31">
      <c r="A95" s="428" t="s">
        <v>3233</v>
      </c>
      <c r="B95" s="429"/>
      <c r="C95" s="430"/>
      <c r="D95" s="431" t="s">
        <v>2505</v>
      </c>
      <c r="E95" s="432">
        <v>359132.64911542245</v>
      </c>
      <c r="F95" s="309">
        <f t="shared" si="10"/>
        <v>350357.57550915336</v>
      </c>
      <c r="G95" s="309">
        <f t="shared" si="10"/>
        <v>341727.40987274406</v>
      </c>
      <c r="H95" s="309">
        <f t="shared" si="10"/>
        <v>333405.82240285061</v>
      </c>
      <c r="I95" s="309">
        <f t="shared" si="10"/>
        <v>325286.87837336736</v>
      </c>
      <c r="J95" s="309">
        <f t="shared" si="10"/>
        <v>317365.64310517337</v>
      </c>
      <c r="K95" s="309">
        <f t="shared" si="10"/>
        <v>309637.30208616593</v>
      </c>
      <c r="L95" s="308">
        <v>0</v>
      </c>
      <c r="M95" s="326">
        <v>0</v>
      </c>
      <c r="N95" s="327">
        <v>1</v>
      </c>
      <c r="O95" s="309">
        <f t="shared" si="11"/>
        <v>0</v>
      </c>
      <c r="P95" s="311">
        <f t="shared" si="12"/>
        <v>0</v>
      </c>
      <c r="Q95" s="312">
        <f t="shared" si="13"/>
        <v>309637.30208616593</v>
      </c>
      <c r="R95" s="310">
        <f t="shared" si="14"/>
        <v>309637.30208616593</v>
      </c>
      <c r="S95" s="309">
        <f t="shared" si="15"/>
        <v>0</v>
      </c>
      <c r="T95" s="311">
        <f t="shared" si="16"/>
        <v>0</v>
      </c>
      <c r="U95" s="312">
        <f t="shared" si="17"/>
        <v>0</v>
      </c>
      <c r="V95" s="321"/>
      <c r="W95" s="321"/>
      <c r="X95" s="321"/>
      <c r="Y95" s="321"/>
      <c r="AC95" s="436"/>
      <c r="AD95" s="436"/>
      <c r="AE95" s="436"/>
    </row>
    <row r="96" spans="1:31">
      <c r="A96" s="428" t="s">
        <v>3234</v>
      </c>
      <c r="B96" s="429"/>
      <c r="C96" s="430"/>
      <c r="D96" s="431">
        <v>25</v>
      </c>
      <c r="E96" s="432">
        <v>6011017.7955595413</v>
      </c>
      <c r="F96" s="309">
        <f t="shared" si="10"/>
        <v>5864144.1439031148</v>
      </c>
      <c r="G96" s="309">
        <f t="shared" si="10"/>
        <v>5719695.9035471948</v>
      </c>
      <c r="H96" s="309">
        <f t="shared" si="10"/>
        <v>5580412.5203960342</v>
      </c>
      <c r="I96" s="309">
        <f t="shared" si="10"/>
        <v>5444520.9016234651</v>
      </c>
      <c r="J96" s="309">
        <f t="shared" si="10"/>
        <v>5311938.4525556695</v>
      </c>
      <c r="K96" s="309">
        <f t="shared" si="10"/>
        <v>5182584.5898260344</v>
      </c>
      <c r="L96" s="308">
        <v>0</v>
      </c>
      <c r="M96" s="326">
        <v>1</v>
      </c>
      <c r="N96" s="327">
        <v>0</v>
      </c>
      <c r="O96" s="309">
        <f t="shared" si="11"/>
        <v>0</v>
      </c>
      <c r="P96" s="311">
        <f t="shared" si="12"/>
        <v>5182584.5898260344</v>
      </c>
      <c r="Q96" s="312">
        <f t="shared" si="13"/>
        <v>0</v>
      </c>
      <c r="R96" s="310">
        <f t="shared" si="14"/>
        <v>0</v>
      </c>
      <c r="S96" s="309">
        <f t="shared" si="15"/>
        <v>0</v>
      </c>
      <c r="T96" s="311">
        <f t="shared" si="16"/>
        <v>0</v>
      </c>
      <c r="U96" s="312">
        <f t="shared" si="17"/>
        <v>5182584.5898260344</v>
      </c>
      <c r="V96" s="321"/>
      <c r="W96" s="321"/>
      <c r="X96" s="321"/>
      <c r="Y96" s="321"/>
      <c r="AC96" s="436"/>
      <c r="AD96" s="436"/>
      <c r="AE96" s="436"/>
    </row>
    <row r="97" spans="1:31">
      <c r="A97" s="428" t="s">
        <v>3235</v>
      </c>
      <c r="B97" s="429"/>
      <c r="C97" s="430"/>
      <c r="D97" s="431">
        <v>25</v>
      </c>
      <c r="E97" s="432">
        <v>1472517.1036548459</v>
      </c>
      <c r="F97" s="309">
        <f t="shared" si="10"/>
        <v>1436537.5122618377</v>
      </c>
      <c r="G97" s="309">
        <f t="shared" si="10"/>
        <v>1401152.0730980968</v>
      </c>
      <c r="H97" s="309">
        <f t="shared" si="10"/>
        <v>1367031.8673491625</v>
      </c>
      <c r="I97" s="309">
        <f t="shared" si="10"/>
        <v>1333742.5410334475</v>
      </c>
      <c r="J97" s="309">
        <f t="shared" si="10"/>
        <v>1301263.8609601667</v>
      </c>
      <c r="K97" s="309">
        <f t="shared" si="10"/>
        <v>1269576.0866478169</v>
      </c>
      <c r="L97" s="308">
        <v>0</v>
      </c>
      <c r="M97" s="326">
        <v>1</v>
      </c>
      <c r="N97" s="327">
        <v>0</v>
      </c>
      <c r="O97" s="309">
        <f t="shared" si="11"/>
        <v>0</v>
      </c>
      <c r="P97" s="311">
        <f t="shared" si="12"/>
        <v>1269576.0866478169</v>
      </c>
      <c r="Q97" s="312">
        <f t="shared" si="13"/>
        <v>0</v>
      </c>
      <c r="R97" s="310">
        <f t="shared" si="14"/>
        <v>0</v>
      </c>
      <c r="S97" s="309">
        <f t="shared" si="15"/>
        <v>0</v>
      </c>
      <c r="T97" s="311">
        <f t="shared" si="16"/>
        <v>0</v>
      </c>
      <c r="U97" s="312">
        <f t="shared" si="17"/>
        <v>1269576.0866478169</v>
      </c>
      <c r="V97" s="321"/>
      <c r="W97" s="321"/>
      <c r="X97" s="321"/>
      <c r="Y97" s="321"/>
      <c r="AC97" s="436"/>
      <c r="AD97" s="436"/>
      <c r="AE97" s="436"/>
    </row>
    <row r="98" spans="1:31">
      <c r="A98" s="428" t="s">
        <v>3236</v>
      </c>
      <c r="B98" s="429"/>
      <c r="C98" s="430"/>
      <c r="D98" s="431">
        <v>25</v>
      </c>
      <c r="E98" s="432">
        <v>5057137.9116385849</v>
      </c>
      <c r="F98" s="309">
        <f t="shared" si="10"/>
        <v>4933571.4313394902</v>
      </c>
      <c r="G98" s="309">
        <f t="shared" si="10"/>
        <v>4812045.4772634543</v>
      </c>
      <c r="H98" s="309">
        <f t="shared" si="10"/>
        <v>4694864.7765316488</v>
      </c>
      <c r="I98" s="309">
        <f t="shared" si="10"/>
        <v>4580537.6059023486</v>
      </c>
      <c r="J98" s="309">
        <f t="shared" si="10"/>
        <v>4468994.4775333153</v>
      </c>
      <c r="K98" s="309">
        <f t="shared" si="10"/>
        <v>4360167.5957180308</v>
      </c>
      <c r="L98" s="308">
        <v>0</v>
      </c>
      <c r="M98" s="326">
        <v>1</v>
      </c>
      <c r="N98" s="327">
        <v>0</v>
      </c>
      <c r="O98" s="309">
        <f t="shared" si="11"/>
        <v>0</v>
      </c>
      <c r="P98" s="311">
        <f t="shared" si="12"/>
        <v>4360167.5957180308</v>
      </c>
      <c r="Q98" s="312">
        <f t="shared" si="13"/>
        <v>0</v>
      </c>
      <c r="R98" s="310">
        <f t="shared" si="14"/>
        <v>0</v>
      </c>
      <c r="S98" s="309">
        <f t="shared" si="15"/>
        <v>0</v>
      </c>
      <c r="T98" s="311">
        <f t="shared" si="16"/>
        <v>0</v>
      </c>
      <c r="U98" s="312">
        <f t="shared" si="17"/>
        <v>4360167.5957180308</v>
      </c>
      <c r="V98" s="321"/>
      <c r="W98" s="321"/>
      <c r="X98" s="321"/>
      <c r="Y98" s="321"/>
      <c r="AC98" s="436"/>
      <c r="AD98" s="436"/>
      <c r="AE98" s="436"/>
    </row>
    <row r="99" spans="1:31">
      <c r="A99" s="428" t="s">
        <v>3237</v>
      </c>
      <c r="B99" s="429"/>
      <c r="C99" s="430"/>
      <c r="D99" s="431">
        <v>240</v>
      </c>
      <c r="E99" s="432">
        <v>6710946.8188170083</v>
      </c>
      <c r="F99" s="309">
        <f t="shared" si="10"/>
        <v>6546971.0498416005</v>
      </c>
      <c r="G99" s="309">
        <f t="shared" si="10"/>
        <v>6385703.1095243432</v>
      </c>
      <c r="H99" s="309">
        <f t="shared" si="10"/>
        <v>6230201.4276356529</v>
      </c>
      <c r="I99" s="309">
        <f t="shared" si="10"/>
        <v>6078486.4506180584</v>
      </c>
      <c r="J99" s="309">
        <f t="shared" si="10"/>
        <v>5930465.9663899513</v>
      </c>
      <c r="K99" s="309">
        <f t="shared" si="10"/>
        <v>5786050.0083755851</v>
      </c>
      <c r="L99" s="308">
        <v>0</v>
      </c>
      <c r="M99" s="326">
        <v>0</v>
      </c>
      <c r="N99" s="327">
        <v>1</v>
      </c>
      <c r="O99" s="309">
        <f t="shared" si="11"/>
        <v>0</v>
      </c>
      <c r="P99" s="311">
        <f t="shared" si="12"/>
        <v>0</v>
      </c>
      <c r="Q99" s="312">
        <f t="shared" si="13"/>
        <v>5786050.0083755851</v>
      </c>
      <c r="R99" s="310">
        <f t="shared" si="14"/>
        <v>0</v>
      </c>
      <c r="S99" s="309">
        <f t="shared" si="15"/>
        <v>5786050.0083755851</v>
      </c>
      <c r="T99" s="311">
        <f t="shared" si="16"/>
        <v>0</v>
      </c>
      <c r="U99" s="312">
        <f t="shared" si="17"/>
        <v>0</v>
      </c>
      <c r="V99" s="321"/>
      <c r="W99" s="321"/>
      <c r="X99" s="321"/>
      <c r="Y99" s="321"/>
      <c r="AC99" s="436"/>
      <c r="AD99" s="436"/>
      <c r="AE99" s="436"/>
    </row>
    <row r="100" spans="1:31">
      <c r="A100" s="428" t="s">
        <v>3238</v>
      </c>
      <c r="B100" s="429"/>
      <c r="C100" s="430"/>
      <c r="D100" s="431">
        <v>25</v>
      </c>
      <c r="E100" s="432">
        <v>261101.88506406851</v>
      </c>
      <c r="F100" s="309">
        <f t="shared" si="10"/>
        <v>254722.10236868777</v>
      </c>
      <c r="G100" s="309">
        <f t="shared" si="10"/>
        <v>248447.67279055883</v>
      </c>
      <c r="H100" s="309">
        <f t="shared" si="10"/>
        <v>242397.59023619772</v>
      </c>
      <c r="I100" s="309">
        <f t="shared" si="10"/>
        <v>236494.83648755029</v>
      </c>
      <c r="J100" s="309">
        <f t="shared" si="10"/>
        <v>230735.82386183739</v>
      </c>
      <c r="K100" s="309">
        <f t="shared" si="10"/>
        <v>225117.05204186769</v>
      </c>
      <c r="L100" s="308">
        <v>0</v>
      </c>
      <c r="M100" s="326">
        <v>1</v>
      </c>
      <c r="N100" s="327">
        <v>0</v>
      </c>
      <c r="O100" s="309">
        <f t="shared" si="11"/>
        <v>0</v>
      </c>
      <c r="P100" s="311">
        <f t="shared" si="12"/>
        <v>225117.05204186769</v>
      </c>
      <c r="Q100" s="312">
        <f t="shared" si="13"/>
        <v>0</v>
      </c>
      <c r="R100" s="310">
        <f t="shared" si="14"/>
        <v>0</v>
      </c>
      <c r="S100" s="309">
        <f t="shared" si="15"/>
        <v>0</v>
      </c>
      <c r="T100" s="311">
        <f t="shared" si="16"/>
        <v>0</v>
      </c>
      <c r="U100" s="312">
        <f t="shared" si="17"/>
        <v>225117.05204186769</v>
      </c>
      <c r="V100" s="321"/>
      <c r="W100" s="321"/>
      <c r="X100" s="321"/>
      <c r="Y100" s="321"/>
      <c r="AC100" s="436"/>
      <c r="AD100" s="436"/>
      <c r="AE100" s="436"/>
    </row>
    <row r="101" spans="1:31">
      <c r="A101" s="428" t="s">
        <v>3239</v>
      </c>
      <c r="B101" s="429"/>
      <c r="C101" s="430"/>
      <c r="D101" s="431">
        <v>144</v>
      </c>
      <c r="E101" s="432">
        <v>23575844.887965124</v>
      </c>
      <c r="F101" s="309">
        <f t="shared" si="10"/>
        <v>22999790.957108542</v>
      </c>
      <c r="G101" s="309">
        <f t="shared" si="10"/>
        <v>22433249.744822271</v>
      </c>
      <c r="H101" s="309">
        <f t="shared" si="10"/>
        <v>21886965.646467321</v>
      </c>
      <c r="I101" s="309">
        <f t="shared" si="10"/>
        <v>21353984.405233391</v>
      </c>
      <c r="J101" s="309">
        <f t="shared" si="10"/>
        <v>20833982.076110702</v>
      </c>
      <c r="K101" s="309">
        <f t="shared" si="10"/>
        <v>20326642.602648184</v>
      </c>
      <c r="L101" s="308">
        <v>0.99985138950809926</v>
      </c>
      <c r="M101" s="326">
        <v>1.4861049190072821E-4</v>
      </c>
      <c r="N101" s="327">
        <v>0</v>
      </c>
      <c r="O101" s="309">
        <f t="shared" si="11"/>
        <v>20323621.850292314</v>
      </c>
      <c r="P101" s="311">
        <f t="shared" si="12"/>
        <v>3020.7523558698449</v>
      </c>
      <c r="Q101" s="312">
        <f t="shared" si="13"/>
        <v>0</v>
      </c>
      <c r="R101" s="310">
        <f t="shared" si="14"/>
        <v>0</v>
      </c>
      <c r="S101" s="309">
        <f t="shared" si="15"/>
        <v>20323621.850292314</v>
      </c>
      <c r="T101" s="311">
        <f t="shared" si="16"/>
        <v>0</v>
      </c>
      <c r="U101" s="312">
        <f t="shared" si="17"/>
        <v>3020.7523558698449</v>
      </c>
      <c r="V101" s="321"/>
      <c r="W101" s="321"/>
      <c r="X101" s="321"/>
      <c r="Y101" s="321"/>
      <c r="AC101" s="436"/>
      <c r="AD101" s="436"/>
      <c r="AE101" s="436"/>
    </row>
    <row r="102" spans="1:31">
      <c r="A102" s="428" t="s">
        <v>3240</v>
      </c>
      <c r="B102" s="429"/>
      <c r="C102" s="430"/>
      <c r="D102" s="431">
        <v>13.8</v>
      </c>
      <c r="E102" s="432">
        <v>80461.697708611333</v>
      </c>
      <c r="F102" s="309">
        <f t="shared" si="10"/>
        <v>78495.690659078173</v>
      </c>
      <c r="G102" s="309">
        <f t="shared" si="10"/>
        <v>76562.149444369978</v>
      </c>
      <c r="H102" s="309">
        <f t="shared" si="10"/>
        <v>74697.743473184819</v>
      </c>
      <c r="I102" s="309">
        <f t="shared" si="10"/>
        <v>72878.738651923195</v>
      </c>
      <c r="J102" s="309">
        <f t="shared" si="10"/>
        <v>71104.029392828859</v>
      </c>
      <c r="K102" s="309">
        <f t="shared" si="10"/>
        <v>69372.537030906111</v>
      </c>
      <c r="L102" s="308">
        <v>0.8</v>
      </c>
      <c r="M102" s="326">
        <v>0.2</v>
      </c>
      <c r="N102" s="327">
        <v>0</v>
      </c>
      <c r="O102" s="309">
        <f t="shared" si="11"/>
        <v>55498.029624724892</v>
      </c>
      <c r="P102" s="311">
        <f t="shared" si="12"/>
        <v>13874.507406181223</v>
      </c>
      <c r="Q102" s="312">
        <f t="shared" si="13"/>
        <v>0</v>
      </c>
      <c r="R102" s="310">
        <f t="shared" si="14"/>
        <v>0</v>
      </c>
      <c r="S102" s="309">
        <f t="shared" si="15"/>
        <v>55498.029624724892</v>
      </c>
      <c r="T102" s="311">
        <f t="shared" si="16"/>
        <v>0</v>
      </c>
      <c r="U102" s="312">
        <f t="shared" si="17"/>
        <v>13874.507406181223</v>
      </c>
      <c r="V102" s="321"/>
      <c r="W102" s="321"/>
      <c r="X102" s="321"/>
      <c r="Y102" s="321"/>
      <c r="AC102" s="436"/>
      <c r="AD102" s="436"/>
      <c r="AE102" s="436"/>
    </row>
    <row r="103" spans="1:31">
      <c r="A103" s="428" t="s">
        <v>3241</v>
      </c>
      <c r="B103" s="429"/>
      <c r="C103" s="430"/>
      <c r="D103" s="431">
        <v>25</v>
      </c>
      <c r="E103" s="432">
        <v>493293.65118869627</v>
      </c>
      <c r="F103" s="309">
        <f t="shared" si="10"/>
        <v>481240.47777394822</v>
      </c>
      <c r="G103" s="309">
        <f t="shared" si="10"/>
        <v>469386.34552606312</v>
      </c>
      <c r="H103" s="309">
        <f t="shared" si="10"/>
        <v>457956.06683427381</v>
      </c>
      <c r="I103" s="309">
        <f t="shared" si="10"/>
        <v>446804.13299042755</v>
      </c>
      <c r="J103" s="309">
        <f t="shared" si="10"/>
        <v>435923.76586982008</v>
      </c>
      <c r="K103" s="309">
        <f t="shared" si="10"/>
        <v>425308.35240549792</v>
      </c>
      <c r="L103" s="308">
        <v>0</v>
      </c>
      <c r="M103" s="326">
        <v>1</v>
      </c>
      <c r="N103" s="327">
        <v>0</v>
      </c>
      <c r="O103" s="309">
        <f t="shared" si="11"/>
        <v>0</v>
      </c>
      <c r="P103" s="311">
        <f t="shared" si="12"/>
        <v>425308.35240549792</v>
      </c>
      <c r="Q103" s="312">
        <f t="shared" si="13"/>
        <v>0</v>
      </c>
      <c r="R103" s="310">
        <f t="shared" si="14"/>
        <v>0</v>
      </c>
      <c r="S103" s="309">
        <f t="shared" si="15"/>
        <v>0</v>
      </c>
      <c r="T103" s="311">
        <f t="shared" si="16"/>
        <v>0</v>
      </c>
      <c r="U103" s="312">
        <f t="shared" si="17"/>
        <v>425308.35240549792</v>
      </c>
      <c r="V103" s="321"/>
      <c r="W103" s="321"/>
      <c r="X103" s="321"/>
      <c r="Y103" s="321"/>
      <c r="AC103" s="436"/>
      <c r="AD103" s="436"/>
      <c r="AE103" s="436"/>
    </row>
    <row r="104" spans="1:31">
      <c r="A104" s="428" t="s">
        <v>3242</v>
      </c>
      <c r="B104" s="429"/>
      <c r="C104" s="430"/>
      <c r="D104" s="431" t="s">
        <v>2505</v>
      </c>
      <c r="E104" s="432">
        <v>244395.21695319604</v>
      </c>
      <c r="F104" s="309">
        <f t="shared" si="10"/>
        <v>238423.64621723897</v>
      </c>
      <c r="G104" s="309">
        <f t="shared" si="10"/>
        <v>232550.68755350469</v>
      </c>
      <c r="H104" s="309">
        <f t="shared" si="10"/>
        <v>226887.72101423587</v>
      </c>
      <c r="I104" s="309">
        <f t="shared" si="10"/>
        <v>221362.65641093743</v>
      </c>
      <c r="J104" s="309">
        <f t="shared" si="10"/>
        <v>215972.13561959218</v>
      </c>
      <c r="K104" s="309">
        <f t="shared" si="10"/>
        <v>210712.88229166219</v>
      </c>
      <c r="L104" s="308">
        <v>0</v>
      </c>
      <c r="M104" s="326">
        <v>0</v>
      </c>
      <c r="N104" s="327">
        <v>1</v>
      </c>
      <c r="O104" s="309">
        <f t="shared" si="11"/>
        <v>0</v>
      </c>
      <c r="P104" s="311">
        <f t="shared" si="12"/>
        <v>0</v>
      </c>
      <c r="Q104" s="312">
        <f t="shared" si="13"/>
        <v>210712.88229166219</v>
      </c>
      <c r="R104" s="310">
        <f t="shared" si="14"/>
        <v>210712.88229166219</v>
      </c>
      <c r="S104" s="309">
        <f t="shared" si="15"/>
        <v>0</v>
      </c>
      <c r="T104" s="311">
        <f t="shared" si="16"/>
        <v>0</v>
      </c>
      <c r="U104" s="312">
        <f t="shared" si="17"/>
        <v>0</v>
      </c>
      <c r="V104" s="321"/>
      <c r="W104" s="321"/>
      <c r="X104" s="321"/>
      <c r="Y104" s="321"/>
      <c r="AC104" s="436"/>
      <c r="AD104" s="436"/>
      <c r="AE104" s="436"/>
    </row>
    <row r="105" spans="1:31">
      <c r="A105" s="428" t="s">
        <v>3243</v>
      </c>
      <c r="B105" s="429"/>
      <c r="C105" s="430"/>
      <c r="D105" s="431">
        <v>13.8</v>
      </c>
      <c r="E105" s="432">
        <v>-29468.440975731573</v>
      </c>
      <c r="F105" s="309">
        <f t="shared" si="10"/>
        <v>-28748.406917951066</v>
      </c>
      <c r="G105" s="309">
        <f t="shared" si="10"/>
        <v>-28040.263207559594</v>
      </c>
      <c r="H105" s="309">
        <f t="shared" si="10"/>
        <v>-27357.439716615641</v>
      </c>
      <c r="I105" s="309">
        <f t="shared" si="10"/>
        <v>-26691.244026785163</v>
      </c>
      <c r="J105" s="309">
        <f t="shared" si="10"/>
        <v>-26041.27122556364</v>
      </c>
      <c r="K105" s="309">
        <f t="shared" si="10"/>
        <v>-25407.126260688136</v>
      </c>
      <c r="L105" s="308">
        <v>0.92307692307692313</v>
      </c>
      <c r="M105" s="326">
        <v>7.6923076923076927E-2</v>
      </c>
      <c r="N105" s="327">
        <v>0</v>
      </c>
      <c r="O105" s="309">
        <f t="shared" si="11"/>
        <v>-23452.731932942897</v>
      </c>
      <c r="P105" s="311">
        <f t="shared" si="12"/>
        <v>-1954.3943277452413</v>
      </c>
      <c r="Q105" s="312">
        <f t="shared" si="13"/>
        <v>0</v>
      </c>
      <c r="R105" s="310">
        <f t="shared" si="14"/>
        <v>0</v>
      </c>
      <c r="S105" s="309">
        <f t="shared" si="15"/>
        <v>-23452.731932942897</v>
      </c>
      <c r="T105" s="311">
        <f t="shared" si="16"/>
        <v>0</v>
      </c>
      <c r="U105" s="312">
        <f t="shared" si="17"/>
        <v>-1954.3943277452413</v>
      </c>
      <c r="V105" s="321"/>
      <c r="W105" s="321"/>
      <c r="X105" s="321"/>
      <c r="Y105" s="321"/>
      <c r="AC105" s="436"/>
      <c r="AD105" s="436"/>
      <c r="AE105" s="436"/>
    </row>
    <row r="106" spans="1:31">
      <c r="A106" s="428" t="s">
        <v>3244</v>
      </c>
      <c r="B106" s="429"/>
      <c r="C106" s="430"/>
      <c r="D106" s="431">
        <v>25</v>
      </c>
      <c r="E106" s="432">
        <v>3512608.4900134588</v>
      </c>
      <c r="F106" s="309">
        <f t="shared" si="10"/>
        <v>3426781.1553899017</v>
      </c>
      <c r="G106" s="309">
        <f t="shared" si="10"/>
        <v>3342371.1382017103</v>
      </c>
      <c r="H106" s="309">
        <f t="shared" si="10"/>
        <v>3260979.2656745678</v>
      </c>
      <c r="I106" s="309">
        <f t="shared" si="10"/>
        <v>3181569.410296197</v>
      </c>
      <c r="J106" s="309">
        <f t="shared" si="10"/>
        <v>3104093.3069037986</v>
      </c>
      <c r="K106" s="309">
        <f t="shared" si="10"/>
        <v>3028503.8656654442</v>
      </c>
      <c r="L106" s="308">
        <v>0</v>
      </c>
      <c r="M106" s="326">
        <v>1</v>
      </c>
      <c r="N106" s="327">
        <v>0</v>
      </c>
      <c r="O106" s="309">
        <f t="shared" si="11"/>
        <v>0</v>
      </c>
      <c r="P106" s="311">
        <f t="shared" si="12"/>
        <v>3028503.8656654442</v>
      </c>
      <c r="Q106" s="312">
        <f t="shared" si="13"/>
        <v>0</v>
      </c>
      <c r="R106" s="310">
        <f t="shared" si="14"/>
        <v>0</v>
      </c>
      <c r="S106" s="309">
        <f t="shared" si="15"/>
        <v>0</v>
      </c>
      <c r="T106" s="311">
        <f t="shared" si="16"/>
        <v>0</v>
      </c>
      <c r="U106" s="312">
        <f t="shared" si="17"/>
        <v>3028503.8656654442</v>
      </c>
      <c r="V106" s="321"/>
      <c r="W106" s="321"/>
      <c r="X106" s="321"/>
      <c r="Y106" s="321"/>
      <c r="AC106" s="436"/>
      <c r="AD106" s="436"/>
      <c r="AE106" s="436"/>
    </row>
    <row r="107" spans="1:31">
      <c r="A107" s="428" t="s">
        <v>3245</v>
      </c>
      <c r="B107" s="429"/>
      <c r="C107" s="430"/>
      <c r="D107" s="431">
        <v>25</v>
      </c>
      <c r="E107" s="432">
        <v>12156288.163533792</v>
      </c>
      <c r="F107" s="309">
        <f t="shared" si="10"/>
        <v>11859260.522975991</v>
      </c>
      <c r="G107" s="309">
        <f t="shared" si="10"/>
        <v>11567137.875164317</v>
      </c>
      <c r="H107" s="309">
        <f t="shared" si="10"/>
        <v>11285460.295831881</v>
      </c>
      <c r="I107" s="309">
        <f t="shared" si="10"/>
        <v>11010641.998333454</v>
      </c>
      <c r="J107" s="309">
        <f t="shared" si="10"/>
        <v>10742515.948617585</v>
      </c>
      <c r="K107" s="309">
        <f t="shared" si="10"/>
        <v>10480919.180168614</v>
      </c>
      <c r="L107" s="308">
        <v>0</v>
      </c>
      <c r="M107" s="326">
        <v>1</v>
      </c>
      <c r="N107" s="327">
        <v>0</v>
      </c>
      <c r="O107" s="309">
        <f t="shared" si="11"/>
        <v>0</v>
      </c>
      <c r="P107" s="311">
        <f t="shared" si="12"/>
        <v>10480919.180168614</v>
      </c>
      <c r="Q107" s="312">
        <f t="shared" si="13"/>
        <v>0</v>
      </c>
      <c r="R107" s="310">
        <f t="shared" si="14"/>
        <v>0</v>
      </c>
      <c r="S107" s="309">
        <f t="shared" si="15"/>
        <v>0</v>
      </c>
      <c r="T107" s="311">
        <f t="shared" si="16"/>
        <v>0</v>
      </c>
      <c r="U107" s="312">
        <f t="shared" si="17"/>
        <v>10480919.180168614</v>
      </c>
      <c r="V107" s="321"/>
      <c r="W107" s="321"/>
      <c r="X107" s="321"/>
      <c r="Y107" s="321"/>
      <c r="AC107" s="436"/>
      <c r="AD107" s="436"/>
      <c r="AE107" s="436"/>
    </row>
    <row r="108" spans="1:31">
      <c r="A108" s="428" t="s">
        <v>3246</v>
      </c>
      <c r="B108" s="429"/>
      <c r="C108" s="430"/>
      <c r="D108" s="431">
        <v>25</v>
      </c>
      <c r="E108" s="432">
        <v>423061.20955484139</v>
      </c>
      <c r="F108" s="309">
        <f t="shared" si="10"/>
        <v>412724.10079309292</v>
      </c>
      <c r="G108" s="309">
        <f t="shared" si="10"/>
        <v>402557.6948097024</v>
      </c>
      <c r="H108" s="309">
        <f t="shared" si="10"/>
        <v>392754.79644025321</v>
      </c>
      <c r="I108" s="309">
        <f t="shared" si="10"/>
        <v>383190.61370754568</v>
      </c>
      <c r="J108" s="309">
        <f t="shared" si="10"/>
        <v>373859.3335190558</v>
      </c>
      <c r="K108" s="309">
        <f t="shared" si="10"/>
        <v>364755.2843399939</v>
      </c>
      <c r="L108" s="308">
        <v>0</v>
      </c>
      <c r="M108" s="326">
        <v>1</v>
      </c>
      <c r="N108" s="327">
        <v>0</v>
      </c>
      <c r="O108" s="309">
        <f t="shared" si="11"/>
        <v>0</v>
      </c>
      <c r="P108" s="311">
        <f t="shared" si="12"/>
        <v>364755.2843399939</v>
      </c>
      <c r="Q108" s="312">
        <f t="shared" si="13"/>
        <v>0</v>
      </c>
      <c r="R108" s="310">
        <f t="shared" si="14"/>
        <v>0</v>
      </c>
      <c r="S108" s="309">
        <f t="shared" si="15"/>
        <v>0</v>
      </c>
      <c r="T108" s="311">
        <f t="shared" si="16"/>
        <v>0</v>
      </c>
      <c r="U108" s="312">
        <f t="shared" si="17"/>
        <v>364755.2843399939</v>
      </c>
      <c r="V108" s="321"/>
      <c r="W108" s="321"/>
      <c r="X108" s="321"/>
      <c r="Y108" s="321"/>
      <c r="AC108" s="436"/>
      <c r="AD108" s="436"/>
      <c r="AE108" s="436"/>
    </row>
    <row r="109" spans="1:31">
      <c r="A109" s="428" t="s">
        <v>3247</v>
      </c>
      <c r="B109" s="429"/>
      <c r="C109" s="430"/>
      <c r="D109" s="431">
        <v>25</v>
      </c>
      <c r="E109" s="432">
        <v>5305689.9735049326</v>
      </c>
      <c r="F109" s="309">
        <f t="shared" si="10"/>
        <v>5176050.3538150322</v>
      </c>
      <c r="G109" s="309">
        <f t="shared" si="10"/>
        <v>5048551.5496835615</v>
      </c>
      <c r="H109" s="309">
        <f t="shared" si="10"/>
        <v>4925611.5627138223</v>
      </c>
      <c r="I109" s="309">
        <f t="shared" si="10"/>
        <v>4805665.35331521</v>
      </c>
      <c r="J109" s="309">
        <f t="shared" si="10"/>
        <v>4688640.0184041439</v>
      </c>
      <c r="K109" s="309">
        <f t="shared" si="10"/>
        <v>4574464.4301991398</v>
      </c>
      <c r="L109" s="308">
        <v>0</v>
      </c>
      <c r="M109" s="326">
        <v>1</v>
      </c>
      <c r="N109" s="327">
        <v>0</v>
      </c>
      <c r="O109" s="309">
        <f t="shared" si="11"/>
        <v>0</v>
      </c>
      <c r="P109" s="311">
        <f t="shared" si="12"/>
        <v>4574464.4301991398</v>
      </c>
      <c r="Q109" s="312">
        <f t="shared" si="13"/>
        <v>0</v>
      </c>
      <c r="R109" s="310">
        <f t="shared" si="14"/>
        <v>0</v>
      </c>
      <c r="S109" s="309">
        <f t="shared" si="15"/>
        <v>0</v>
      </c>
      <c r="T109" s="311">
        <f t="shared" si="16"/>
        <v>0</v>
      </c>
      <c r="U109" s="312">
        <f t="shared" si="17"/>
        <v>4574464.4301991398</v>
      </c>
      <c r="V109" s="321"/>
      <c r="W109" s="321"/>
      <c r="X109" s="321"/>
      <c r="Y109" s="321"/>
      <c r="AC109" s="436"/>
      <c r="AD109" s="436"/>
      <c r="AE109" s="436"/>
    </row>
    <row r="110" spans="1:31">
      <c r="A110" s="428" t="s">
        <v>3248</v>
      </c>
      <c r="B110" s="429"/>
      <c r="C110" s="430"/>
      <c r="D110" s="431">
        <v>25</v>
      </c>
      <c r="E110" s="432">
        <v>2860507.336422103</v>
      </c>
      <c r="F110" s="309">
        <f t="shared" ref="F110:K152" si="18">+$E110*(F$3)</f>
        <v>2790613.4894265621</v>
      </c>
      <c r="G110" s="309">
        <f t="shared" si="18"/>
        <v>2721873.8407806028</v>
      </c>
      <c r="H110" s="309">
        <f t="shared" si="18"/>
        <v>2655592.0307949614</v>
      </c>
      <c r="I110" s="309">
        <f t="shared" si="18"/>
        <v>2590924.2847196856</v>
      </c>
      <c r="J110" s="309">
        <f t="shared" si="18"/>
        <v>2527831.2976186653</v>
      </c>
      <c r="K110" s="309">
        <f t="shared" si="18"/>
        <v>2466274.7216913747</v>
      </c>
      <c r="L110" s="308">
        <v>0</v>
      </c>
      <c r="M110" s="326">
        <v>1</v>
      </c>
      <c r="N110" s="327">
        <v>0</v>
      </c>
      <c r="O110" s="309">
        <f t="shared" si="11"/>
        <v>0</v>
      </c>
      <c r="P110" s="311">
        <f t="shared" si="12"/>
        <v>2466274.7216913747</v>
      </c>
      <c r="Q110" s="312">
        <f t="shared" si="13"/>
        <v>0</v>
      </c>
      <c r="R110" s="310">
        <f t="shared" si="14"/>
        <v>0</v>
      </c>
      <c r="S110" s="309">
        <f t="shared" si="15"/>
        <v>0</v>
      </c>
      <c r="T110" s="311">
        <f t="shared" si="16"/>
        <v>0</v>
      </c>
      <c r="U110" s="312">
        <f t="shared" si="17"/>
        <v>2466274.7216913747</v>
      </c>
      <c r="V110" s="321"/>
      <c r="W110" s="321"/>
      <c r="X110" s="321"/>
      <c r="Y110" s="321"/>
      <c r="AC110" s="436"/>
      <c r="AD110" s="436"/>
      <c r="AE110" s="436"/>
    </row>
    <row r="111" spans="1:31">
      <c r="A111" s="428" t="s">
        <v>3249</v>
      </c>
      <c r="B111" s="429"/>
      <c r="C111" s="430"/>
      <c r="D111" s="431">
        <v>25</v>
      </c>
      <c r="E111" s="432">
        <v>11015836.067356279</v>
      </c>
      <c r="F111" s="309">
        <f t="shared" si="18"/>
        <v>10746674.317335112</v>
      </c>
      <c r="G111" s="309">
        <f t="shared" si="18"/>
        <v>10481957.394162076</v>
      </c>
      <c r="H111" s="309">
        <f t="shared" si="18"/>
        <v>10226705.626843503</v>
      </c>
      <c r="I111" s="309">
        <f t="shared" si="18"/>
        <v>9977669.6322350483</v>
      </c>
      <c r="J111" s="309">
        <f t="shared" si="18"/>
        <v>9734698.0467211343</v>
      </c>
      <c r="K111" s="309">
        <f t="shared" si="18"/>
        <v>9497643.1926227827</v>
      </c>
      <c r="L111" s="308">
        <v>0</v>
      </c>
      <c r="M111" s="326">
        <v>1</v>
      </c>
      <c r="N111" s="327">
        <v>0</v>
      </c>
      <c r="O111" s="309">
        <f t="shared" si="11"/>
        <v>0</v>
      </c>
      <c r="P111" s="311">
        <f t="shared" si="12"/>
        <v>9497643.1926227827</v>
      </c>
      <c r="Q111" s="312">
        <f t="shared" si="13"/>
        <v>0</v>
      </c>
      <c r="R111" s="310">
        <f t="shared" si="14"/>
        <v>0</v>
      </c>
      <c r="S111" s="309">
        <f t="shared" si="15"/>
        <v>0</v>
      </c>
      <c r="T111" s="311">
        <f t="shared" si="16"/>
        <v>0</v>
      </c>
      <c r="U111" s="312">
        <f t="shared" si="17"/>
        <v>9497643.1926227827</v>
      </c>
      <c r="V111" s="321"/>
      <c r="W111" s="321"/>
      <c r="X111" s="321"/>
      <c r="Y111" s="321"/>
      <c r="AC111" s="436"/>
      <c r="AD111" s="436"/>
      <c r="AE111" s="436"/>
    </row>
    <row r="112" spans="1:31">
      <c r="A112" s="428" t="s">
        <v>3250</v>
      </c>
      <c r="B112" s="429"/>
      <c r="C112" s="430"/>
      <c r="D112" s="431">
        <v>25</v>
      </c>
      <c r="E112" s="432">
        <v>12083656.905888842</v>
      </c>
      <c r="F112" s="309">
        <f t="shared" si="18"/>
        <v>11788403.942831179</v>
      </c>
      <c r="G112" s="309">
        <f t="shared" si="18"/>
        <v>11498026.666222598</v>
      </c>
      <c r="H112" s="309">
        <f t="shared" si="18"/>
        <v>11218032.051012278</v>
      </c>
      <c r="I112" s="309">
        <f t="shared" si="18"/>
        <v>10944855.734873837</v>
      </c>
      <c r="J112" s="309">
        <f t="shared" si="18"/>
        <v>10678331.681749053</v>
      </c>
      <c r="K112" s="309">
        <f t="shared" si="18"/>
        <v>10418297.898812823</v>
      </c>
      <c r="L112" s="308">
        <v>0</v>
      </c>
      <c r="M112" s="326">
        <v>1</v>
      </c>
      <c r="N112" s="327">
        <v>0</v>
      </c>
      <c r="O112" s="309">
        <f t="shared" si="11"/>
        <v>0</v>
      </c>
      <c r="P112" s="311">
        <f t="shared" si="12"/>
        <v>10418297.898812823</v>
      </c>
      <c r="Q112" s="312">
        <f t="shared" si="13"/>
        <v>0</v>
      </c>
      <c r="R112" s="310">
        <f t="shared" si="14"/>
        <v>0</v>
      </c>
      <c r="S112" s="309">
        <f t="shared" si="15"/>
        <v>0</v>
      </c>
      <c r="T112" s="311">
        <f t="shared" si="16"/>
        <v>0</v>
      </c>
      <c r="U112" s="312">
        <f t="shared" si="17"/>
        <v>10418297.898812823</v>
      </c>
      <c r="V112" s="321"/>
      <c r="W112" s="321"/>
      <c r="X112" s="321"/>
      <c r="Y112" s="321"/>
      <c r="AC112" s="436"/>
      <c r="AD112" s="436"/>
      <c r="AE112" s="436"/>
    </row>
    <row r="113" spans="1:31">
      <c r="A113" s="428" t="s">
        <v>3251</v>
      </c>
      <c r="B113" s="429"/>
      <c r="C113" s="430"/>
      <c r="D113" s="431">
        <v>25</v>
      </c>
      <c r="E113" s="432">
        <v>5879739.4439574983</v>
      </c>
      <c r="F113" s="309">
        <f t="shared" si="18"/>
        <v>5736073.4572155681</v>
      </c>
      <c r="G113" s="309">
        <f t="shared" si="18"/>
        <v>5594779.9117101189</v>
      </c>
      <c r="H113" s="309">
        <f t="shared" si="18"/>
        <v>5458538.4248845931</v>
      </c>
      <c r="I113" s="309">
        <f t="shared" si="18"/>
        <v>5325614.6275884761</v>
      </c>
      <c r="J113" s="309">
        <f t="shared" si="18"/>
        <v>5195927.7289843373</v>
      </c>
      <c r="K113" s="309">
        <f t="shared" si="18"/>
        <v>5069398.9056157656</v>
      </c>
      <c r="L113" s="308">
        <v>0</v>
      </c>
      <c r="M113" s="326">
        <v>1</v>
      </c>
      <c r="N113" s="327">
        <v>0</v>
      </c>
      <c r="O113" s="309">
        <f t="shared" si="11"/>
        <v>0</v>
      </c>
      <c r="P113" s="311">
        <f t="shared" si="12"/>
        <v>5069398.9056157656</v>
      </c>
      <c r="Q113" s="312">
        <f t="shared" si="13"/>
        <v>0</v>
      </c>
      <c r="R113" s="310">
        <f t="shared" si="14"/>
        <v>0</v>
      </c>
      <c r="S113" s="309">
        <f t="shared" si="15"/>
        <v>0</v>
      </c>
      <c r="T113" s="311">
        <f t="shared" si="16"/>
        <v>0</v>
      </c>
      <c r="U113" s="312">
        <f t="shared" si="17"/>
        <v>5069398.9056157656</v>
      </c>
      <c r="V113" s="321"/>
      <c r="W113" s="321"/>
      <c r="X113" s="321"/>
      <c r="Y113" s="321"/>
      <c r="AC113" s="436"/>
      <c r="AD113" s="436"/>
      <c r="AE113" s="436"/>
    </row>
    <row r="114" spans="1:31">
      <c r="A114" s="428" t="s">
        <v>3252</v>
      </c>
      <c r="B114" s="429"/>
      <c r="C114" s="430"/>
      <c r="D114" s="431">
        <v>25</v>
      </c>
      <c r="E114" s="432">
        <v>1917084.7890257882</v>
      </c>
      <c r="F114" s="309">
        <f t="shared" si="18"/>
        <v>1870242.5980565301</v>
      </c>
      <c r="G114" s="309">
        <f t="shared" si="18"/>
        <v>1824173.9398348827</v>
      </c>
      <c r="H114" s="309">
        <f t="shared" si="18"/>
        <v>1779752.5016883523</v>
      </c>
      <c r="I114" s="309">
        <f t="shared" si="18"/>
        <v>1736412.7938110223</v>
      </c>
      <c r="J114" s="309">
        <f t="shared" si="18"/>
        <v>1694128.4744088373</v>
      </c>
      <c r="K114" s="309">
        <f t="shared" si="18"/>
        <v>1652873.843150899</v>
      </c>
      <c r="L114" s="308">
        <v>0</v>
      </c>
      <c r="M114" s="326">
        <v>1</v>
      </c>
      <c r="N114" s="327">
        <v>0</v>
      </c>
      <c r="O114" s="309">
        <f t="shared" si="11"/>
        <v>0</v>
      </c>
      <c r="P114" s="311">
        <f t="shared" si="12"/>
        <v>1652873.843150899</v>
      </c>
      <c r="Q114" s="312">
        <f t="shared" si="13"/>
        <v>0</v>
      </c>
      <c r="R114" s="310">
        <f t="shared" si="14"/>
        <v>0</v>
      </c>
      <c r="S114" s="309">
        <f t="shared" si="15"/>
        <v>0</v>
      </c>
      <c r="T114" s="311">
        <f t="shared" si="16"/>
        <v>0</v>
      </c>
      <c r="U114" s="312">
        <f t="shared" si="17"/>
        <v>1652873.843150899</v>
      </c>
      <c r="V114" s="321"/>
      <c r="W114" s="321"/>
      <c r="X114" s="321"/>
      <c r="Y114" s="321"/>
      <c r="AC114" s="436"/>
      <c r="AD114" s="436"/>
      <c r="AE114" s="436"/>
    </row>
    <row r="115" spans="1:31">
      <c r="A115" s="428" t="s">
        <v>3253</v>
      </c>
      <c r="B115" s="429"/>
      <c r="C115" s="430"/>
      <c r="D115" s="431">
        <v>25</v>
      </c>
      <c r="E115" s="432">
        <v>3478343.2963996874</v>
      </c>
      <c r="F115" s="309">
        <f t="shared" si="18"/>
        <v>3393353.2000412522</v>
      </c>
      <c r="G115" s="309">
        <f t="shared" si="18"/>
        <v>3309766.5953085385</v>
      </c>
      <c r="H115" s="309">
        <f t="shared" si="18"/>
        <v>3229168.6934953709</v>
      </c>
      <c r="I115" s="309">
        <f t="shared" si="18"/>
        <v>3150533.4744242108</v>
      </c>
      <c r="J115" s="309">
        <f t="shared" si="18"/>
        <v>3073813.14375477</v>
      </c>
      <c r="K115" s="309">
        <f t="shared" si="18"/>
        <v>2998961.0710123791</v>
      </c>
      <c r="L115" s="308">
        <v>0</v>
      </c>
      <c r="M115" s="326">
        <v>1</v>
      </c>
      <c r="N115" s="327">
        <v>0</v>
      </c>
      <c r="O115" s="309">
        <f t="shared" si="11"/>
        <v>0</v>
      </c>
      <c r="P115" s="311">
        <f t="shared" si="12"/>
        <v>2998961.0710123791</v>
      </c>
      <c r="Q115" s="312">
        <f t="shared" si="13"/>
        <v>0</v>
      </c>
      <c r="R115" s="310">
        <f t="shared" si="14"/>
        <v>0</v>
      </c>
      <c r="S115" s="309">
        <f t="shared" si="15"/>
        <v>0</v>
      </c>
      <c r="T115" s="311">
        <f t="shared" si="16"/>
        <v>0</v>
      </c>
      <c r="U115" s="312">
        <f t="shared" si="17"/>
        <v>2998961.0710123791</v>
      </c>
      <c r="V115" s="321"/>
      <c r="W115" s="321"/>
      <c r="X115" s="321"/>
      <c r="Y115" s="321"/>
      <c r="AC115" s="436"/>
      <c r="AD115" s="436"/>
      <c r="AE115" s="436"/>
    </row>
    <row r="116" spans="1:31">
      <c r="A116" s="428" t="s">
        <v>3254</v>
      </c>
      <c r="B116" s="429"/>
      <c r="C116" s="430"/>
      <c r="D116" s="431">
        <v>25</v>
      </c>
      <c r="E116" s="432">
        <v>751993.86318722973</v>
      </c>
      <c r="F116" s="309">
        <f t="shared" si="18"/>
        <v>733619.58973371878</v>
      </c>
      <c r="G116" s="309">
        <f t="shared" si="18"/>
        <v>715548.74150297686</v>
      </c>
      <c r="H116" s="309">
        <f t="shared" si="18"/>
        <v>698124.03025840153</v>
      </c>
      <c r="I116" s="309">
        <f t="shared" si="18"/>
        <v>681123.63750444225</v>
      </c>
      <c r="J116" s="309">
        <f t="shared" si="18"/>
        <v>664537.23043391807</v>
      </c>
      <c r="K116" s="309">
        <f t="shared" si="18"/>
        <v>648354.72785937798</v>
      </c>
      <c r="L116" s="308">
        <v>0</v>
      </c>
      <c r="M116" s="326">
        <v>1</v>
      </c>
      <c r="N116" s="327">
        <v>0</v>
      </c>
      <c r="O116" s="309">
        <f t="shared" si="11"/>
        <v>0</v>
      </c>
      <c r="P116" s="311">
        <f t="shared" si="12"/>
        <v>648354.72785937798</v>
      </c>
      <c r="Q116" s="312">
        <f t="shared" si="13"/>
        <v>0</v>
      </c>
      <c r="R116" s="310">
        <f t="shared" si="14"/>
        <v>0</v>
      </c>
      <c r="S116" s="309">
        <f t="shared" si="15"/>
        <v>0</v>
      </c>
      <c r="T116" s="311">
        <f t="shared" si="16"/>
        <v>0</v>
      </c>
      <c r="U116" s="312">
        <f t="shared" si="17"/>
        <v>648354.72785937798</v>
      </c>
      <c r="V116" s="321"/>
      <c r="W116" s="321"/>
      <c r="X116" s="321"/>
      <c r="Y116" s="321"/>
      <c r="AC116" s="436"/>
      <c r="AD116" s="436"/>
      <c r="AE116" s="436"/>
    </row>
    <row r="117" spans="1:31">
      <c r="A117" s="428" t="s">
        <v>3255</v>
      </c>
      <c r="B117" s="429"/>
      <c r="C117" s="430"/>
      <c r="D117" s="431">
        <v>25</v>
      </c>
      <c r="E117" s="432">
        <v>5815130.2572548622</v>
      </c>
      <c r="F117" s="309">
        <f t="shared" si="18"/>
        <v>5673042.9361406686</v>
      </c>
      <c r="G117" s="309">
        <f t="shared" si="18"/>
        <v>5533301.9868256552</v>
      </c>
      <c r="H117" s="309">
        <f t="shared" si="18"/>
        <v>5398557.5819274588</v>
      </c>
      <c r="I117" s="309">
        <f t="shared" si="18"/>
        <v>5267094.410313583</v>
      </c>
      <c r="J117" s="309">
        <f t="shared" si="18"/>
        <v>5138832.5689121764</v>
      </c>
      <c r="K117" s="309">
        <f t="shared" si="18"/>
        <v>5013694.100413952</v>
      </c>
      <c r="L117" s="308">
        <v>0</v>
      </c>
      <c r="M117" s="326">
        <v>1</v>
      </c>
      <c r="N117" s="327">
        <v>0</v>
      </c>
      <c r="O117" s="309">
        <f t="shared" si="11"/>
        <v>0</v>
      </c>
      <c r="P117" s="311">
        <f t="shared" si="12"/>
        <v>5013694.100413952</v>
      </c>
      <c r="Q117" s="312">
        <f t="shared" si="13"/>
        <v>0</v>
      </c>
      <c r="R117" s="310">
        <f t="shared" si="14"/>
        <v>0</v>
      </c>
      <c r="S117" s="309">
        <f t="shared" si="15"/>
        <v>0</v>
      </c>
      <c r="T117" s="311">
        <f t="shared" si="16"/>
        <v>0</v>
      </c>
      <c r="U117" s="312">
        <f t="shared" si="17"/>
        <v>5013694.100413952</v>
      </c>
      <c r="V117" s="321"/>
      <c r="W117" s="321"/>
      <c r="X117" s="321"/>
      <c r="Y117" s="321"/>
      <c r="AC117" s="436"/>
      <c r="AD117" s="436"/>
      <c r="AE117" s="436"/>
    </row>
    <row r="118" spans="1:31">
      <c r="A118" s="428" t="s">
        <v>3256</v>
      </c>
      <c r="B118" s="429"/>
      <c r="C118" s="430"/>
      <c r="D118" s="431">
        <v>72</v>
      </c>
      <c r="E118" s="432">
        <v>904540.82042653556</v>
      </c>
      <c r="F118" s="309">
        <f t="shared" si="18"/>
        <v>882439.20338150091</v>
      </c>
      <c r="G118" s="309">
        <f t="shared" si="18"/>
        <v>860702.56338398939</v>
      </c>
      <c r="H118" s="309">
        <f t="shared" si="18"/>
        <v>839743.13355824444</v>
      </c>
      <c r="I118" s="309">
        <f t="shared" si="18"/>
        <v>819294.09805140691</v>
      </c>
      <c r="J118" s="309">
        <f t="shared" si="18"/>
        <v>799343.02797762747</v>
      </c>
      <c r="K118" s="309">
        <f t="shared" si="18"/>
        <v>779877.79711352324</v>
      </c>
      <c r="L118" s="308">
        <v>0</v>
      </c>
      <c r="M118" s="326">
        <v>0</v>
      </c>
      <c r="N118" s="327">
        <v>1</v>
      </c>
      <c r="O118" s="309">
        <f t="shared" si="11"/>
        <v>0</v>
      </c>
      <c r="P118" s="311">
        <f t="shared" si="12"/>
        <v>0</v>
      </c>
      <c r="Q118" s="312">
        <f t="shared" si="13"/>
        <v>779877.79711352324</v>
      </c>
      <c r="R118" s="310">
        <f t="shared" si="14"/>
        <v>0</v>
      </c>
      <c r="S118" s="309">
        <f t="shared" si="15"/>
        <v>0</v>
      </c>
      <c r="T118" s="311">
        <f t="shared" si="16"/>
        <v>779877.79711352324</v>
      </c>
      <c r="U118" s="312">
        <f t="shared" si="17"/>
        <v>0</v>
      </c>
      <c r="V118" s="321"/>
      <c r="W118" s="321"/>
      <c r="X118" s="321"/>
      <c r="Y118" s="321"/>
      <c r="AC118" s="436"/>
      <c r="AD118" s="436"/>
      <c r="AE118" s="436"/>
    </row>
    <row r="119" spans="1:31">
      <c r="A119" s="428" t="s">
        <v>3257</v>
      </c>
      <c r="B119" s="429"/>
      <c r="C119" s="430"/>
      <c r="D119" s="431">
        <v>25</v>
      </c>
      <c r="E119" s="432">
        <v>312691.79504648678</v>
      </c>
      <c r="F119" s="309">
        <f t="shared" si="18"/>
        <v>305051.46068989794</v>
      </c>
      <c r="G119" s="309">
        <f t="shared" si="18"/>
        <v>297537.29568417044</v>
      </c>
      <c r="H119" s="309">
        <f t="shared" si="18"/>
        <v>290291.80538968858</v>
      </c>
      <c r="I119" s="309">
        <f t="shared" si="18"/>
        <v>283222.75391605013</v>
      </c>
      <c r="J119" s="309">
        <f t="shared" si="18"/>
        <v>276325.84470688191</v>
      </c>
      <c r="K119" s="309">
        <f t="shared" si="18"/>
        <v>269596.88583356002</v>
      </c>
      <c r="L119" s="308">
        <v>0</v>
      </c>
      <c r="M119" s="326">
        <v>1</v>
      </c>
      <c r="N119" s="327">
        <v>0</v>
      </c>
      <c r="O119" s="309">
        <f t="shared" si="11"/>
        <v>0</v>
      </c>
      <c r="P119" s="311">
        <f t="shared" si="12"/>
        <v>269596.88583356002</v>
      </c>
      <c r="Q119" s="312">
        <f t="shared" si="13"/>
        <v>0</v>
      </c>
      <c r="R119" s="310">
        <f t="shared" si="14"/>
        <v>0</v>
      </c>
      <c r="S119" s="309">
        <f t="shared" si="15"/>
        <v>0</v>
      </c>
      <c r="T119" s="311">
        <f t="shared" si="16"/>
        <v>0</v>
      </c>
      <c r="U119" s="312">
        <f t="shared" si="17"/>
        <v>269596.88583356002</v>
      </c>
      <c r="V119" s="321"/>
      <c r="W119" s="321"/>
      <c r="X119" s="321"/>
      <c r="Y119" s="321"/>
      <c r="AC119" s="436"/>
      <c r="AD119" s="436"/>
      <c r="AE119" s="436"/>
    </row>
    <row r="120" spans="1:31">
      <c r="A120" s="428" t="s">
        <v>3258</v>
      </c>
      <c r="B120" s="429"/>
      <c r="C120" s="430"/>
      <c r="D120" s="431">
        <v>25</v>
      </c>
      <c r="E120" s="432">
        <v>784425.06507177663</v>
      </c>
      <c r="F120" s="309">
        <f t="shared" si="18"/>
        <v>765258.36524216854</v>
      </c>
      <c r="G120" s="309">
        <f t="shared" si="18"/>
        <v>746408.17643979983</v>
      </c>
      <c r="H120" s="309">
        <f t="shared" si="18"/>
        <v>728231.99054121913</v>
      </c>
      <c r="I120" s="309">
        <f t="shared" si="18"/>
        <v>710498.4226956662</v>
      </c>
      <c r="J120" s="309">
        <f t="shared" si="18"/>
        <v>693196.69447349908</v>
      </c>
      <c r="K120" s="309">
        <f t="shared" si="18"/>
        <v>676316.289916398</v>
      </c>
      <c r="L120" s="308">
        <v>0</v>
      </c>
      <c r="M120" s="326">
        <v>1</v>
      </c>
      <c r="N120" s="327">
        <v>0</v>
      </c>
      <c r="O120" s="309">
        <f t="shared" si="11"/>
        <v>0</v>
      </c>
      <c r="P120" s="311">
        <f t="shared" si="12"/>
        <v>676316.289916398</v>
      </c>
      <c r="Q120" s="312">
        <f t="shared" si="13"/>
        <v>0</v>
      </c>
      <c r="R120" s="310">
        <f t="shared" si="14"/>
        <v>0</v>
      </c>
      <c r="S120" s="309">
        <f t="shared" si="15"/>
        <v>0</v>
      </c>
      <c r="T120" s="311">
        <f t="shared" si="16"/>
        <v>0</v>
      </c>
      <c r="U120" s="312">
        <f t="shared" si="17"/>
        <v>676316.289916398</v>
      </c>
      <c r="V120" s="321"/>
      <c r="W120" s="321"/>
      <c r="X120" s="321"/>
      <c r="Y120" s="321"/>
      <c r="AC120" s="436"/>
      <c r="AD120" s="436"/>
      <c r="AE120" s="436"/>
    </row>
    <row r="121" spans="1:31">
      <c r="A121" s="428" t="s">
        <v>3259</v>
      </c>
      <c r="B121" s="429"/>
      <c r="C121" s="430"/>
      <c r="D121" s="431">
        <v>25</v>
      </c>
      <c r="E121" s="432">
        <v>1519499.4590047859</v>
      </c>
      <c r="F121" s="309">
        <f t="shared" si="18"/>
        <v>1482371.8972799045</v>
      </c>
      <c r="G121" s="309">
        <f t="shared" si="18"/>
        <v>1445857.4448959581</v>
      </c>
      <c r="H121" s="309">
        <f t="shared" si="18"/>
        <v>1410648.5946571701</v>
      </c>
      <c r="I121" s="309">
        <f t="shared" si="18"/>
        <v>1376297.1340175527</v>
      </c>
      <c r="J121" s="309">
        <f t="shared" si="18"/>
        <v>1342782.1842230491</v>
      </c>
      <c r="K121" s="309">
        <f t="shared" si="18"/>
        <v>1310083.3749493423</v>
      </c>
      <c r="L121" s="308">
        <v>0</v>
      </c>
      <c r="M121" s="326">
        <v>1</v>
      </c>
      <c r="N121" s="327">
        <v>0</v>
      </c>
      <c r="O121" s="309">
        <f t="shared" si="11"/>
        <v>0</v>
      </c>
      <c r="P121" s="311">
        <f t="shared" si="12"/>
        <v>1310083.3749493423</v>
      </c>
      <c r="Q121" s="312">
        <f t="shared" si="13"/>
        <v>0</v>
      </c>
      <c r="R121" s="310">
        <f t="shared" si="14"/>
        <v>0</v>
      </c>
      <c r="S121" s="309">
        <f t="shared" si="15"/>
        <v>0</v>
      </c>
      <c r="T121" s="311">
        <f t="shared" si="16"/>
        <v>0</v>
      </c>
      <c r="U121" s="312">
        <f t="shared" si="17"/>
        <v>1310083.3749493423</v>
      </c>
      <c r="V121" s="321"/>
      <c r="W121" s="321"/>
      <c r="X121" s="321"/>
      <c r="Y121" s="321"/>
      <c r="AC121" s="436"/>
      <c r="AD121" s="436"/>
      <c r="AE121" s="436"/>
    </row>
    <row r="122" spans="1:31">
      <c r="A122" s="428" t="s">
        <v>3260</v>
      </c>
      <c r="B122" s="429"/>
      <c r="C122" s="430"/>
      <c r="D122" s="431">
        <v>25</v>
      </c>
      <c r="E122" s="432">
        <v>2199794.6576315314</v>
      </c>
      <c r="F122" s="309">
        <f t="shared" si="18"/>
        <v>2146044.7129051462</v>
      </c>
      <c r="G122" s="309">
        <f t="shared" si="18"/>
        <v>2093182.3727413956</v>
      </c>
      <c r="H122" s="309">
        <f t="shared" si="18"/>
        <v>2042210.1659415571</v>
      </c>
      <c r="I122" s="309">
        <f t="shared" si="18"/>
        <v>1992479.2106924104</v>
      </c>
      <c r="J122" s="309">
        <f t="shared" si="18"/>
        <v>1943959.2806116024</v>
      </c>
      <c r="K122" s="309">
        <f t="shared" si="18"/>
        <v>1896620.8853756313</v>
      </c>
      <c r="L122" s="308">
        <v>0</v>
      </c>
      <c r="M122" s="326">
        <v>1</v>
      </c>
      <c r="N122" s="327">
        <v>0</v>
      </c>
      <c r="O122" s="309">
        <f t="shared" si="11"/>
        <v>0</v>
      </c>
      <c r="P122" s="311">
        <f t="shared" si="12"/>
        <v>1896620.8853756313</v>
      </c>
      <c r="Q122" s="312">
        <f t="shared" si="13"/>
        <v>0</v>
      </c>
      <c r="R122" s="310">
        <f t="shared" si="14"/>
        <v>0</v>
      </c>
      <c r="S122" s="309">
        <f t="shared" si="15"/>
        <v>0</v>
      </c>
      <c r="T122" s="311">
        <f t="shared" si="16"/>
        <v>0</v>
      </c>
      <c r="U122" s="312">
        <f t="shared" si="17"/>
        <v>1896620.8853756313</v>
      </c>
      <c r="V122" s="321"/>
      <c r="W122" s="321"/>
      <c r="X122" s="321"/>
      <c r="Y122" s="321"/>
      <c r="AC122" s="436"/>
      <c r="AD122" s="436"/>
      <c r="AE122" s="436"/>
    </row>
    <row r="123" spans="1:31">
      <c r="A123" s="428" t="s">
        <v>3261</v>
      </c>
      <c r="B123" s="429"/>
      <c r="C123" s="430"/>
      <c r="D123" s="431">
        <v>138</v>
      </c>
      <c r="E123" s="432">
        <v>5428665.0575780068</v>
      </c>
      <c r="F123" s="309">
        <f t="shared" si="18"/>
        <v>5296020.6556241261</v>
      </c>
      <c r="G123" s="309">
        <f t="shared" si="18"/>
        <v>5165566.688971743</v>
      </c>
      <c r="H123" s="309">
        <f t="shared" si="18"/>
        <v>5039777.2035750234</v>
      </c>
      <c r="I123" s="309">
        <f t="shared" si="18"/>
        <v>4917050.8854141757</v>
      </c>
      <c r="J123" s="309">
        <f t="shared" si="18"/>
        <v>4797313.1416606726</v>
      </c>
      <c r="K123" s="309">
        <f t="shared" si="18"/>
        <v>4680491.1959359646</v>
      </c>
      <c r="L123" s="308">
        <v>0</v>
      </c>
      <c r="M123" s="326">
        <v>0</v>
      </c>
      <c r="N123" s="327">
        <v>1</v>
      </c>
      <c r="O123" s="309">
        <f t="shared" si="11"/>
        <v>0</v>
      </c>
      <c r="P123" s="311">
        <f t="shared" si="12"/>
        <v>0</v>
      </c>
      <c r="Q123" s="312">
        <f t="shared" si="13"/>
        <v>4680491.1959359646</v>
      </c>
      <c r="R123" s="310">
        <f t="shared" si="14"/>
        <v>0</v>
      </c>
      <c r="S123" s="309">
        <f t="shared" si="15"/>
        <v>0</v>
      </c>
      <c r="T123" s="311">
        <f t="shared" si="16"/>
        <v>4680491.1959359646</v>
      </c>
      <c r="U123" s="312">
        <f t="shared" si="17"/>
        <v>0</v>
      </c>
      <c r="V123" s="321"/>
      <c r="W123" s="321"/>
      <c r="X123" s="321"/>
      <c r="Y123" s="321"/>
      <c r="AC123" s="436"/>
      <c r="AD123" s="436"/>
      <c r="AE123" s="436"/>
    </row>
    <row r="124" spans="1:31">
      <c r="A124" s="428" t="s">
        <v>3262</v>
      </c>
      <c r="B124" s="429"/>
      <c r="C124" s="430"/>
      <c r="D124" s="431" t="s">
        <v>2505</v>
      </c>
      <c r="E124" s="432">
        <v>8478490.226005936</v>
      </c>
      <c r="F124" s="309">
        <f t="shared" si="18"/>
        <v>8271326.1712019863</v>
      </c>
      <c r="G124" s="309">
        <f t="shared" si="18"/>
        <v>8067583.1387115261</v>
      </c>
      <c r="H124" s="309">
        <f t="shared" si="18"/>
        <v>7871125.0940248976</v>
      </c>
      <c r="I124" s="309">
        <f t="shared" si="18"/>
        <v>7679451.1045699883</v>
      </c>
      <c r="J124" s="309">
        <f t="shared" si="18"/>
        <v>7492444.6712515522</v>
      </c>
      <c r="K124" s="309">
        <f t="shared" si="18"/>
        <v>7309992.1319063036</v>
      </c>
      <c r="L124" s="308">
        <v>0</v>
      </c>
      <c r="M124" s="326">
        <v>0</v>
      </c>
      <c r="N124" s="327">
        <v>1</v>
      </c>
      <c r="O124" s="309">
        <f t="shared" si="11"/>
        <v>0</v>
      </c>
      <c r="P124" s="311">
        <f t="shared" si="12"/>
        <v>0</v>
      </c>
      <c r="Q124" s="312">
        <f t="shared" si="13"/>
        <v>7309992.1319063036</v>
      </c>
      <c r="R124" s="310">
        <f t="shared" si="14"/>
        <v>7309992.1319063036</v>
      </c>
      <c r="S124" s="309">
        <f t="shared" si="15"/>
        <v>0</v>
      </c>
      <c r="T124" s="311">
        <f t="shared" si="16"/>
        <v>0</v>
      </c>
      <c r="U124" s="312">
        <f t="shared" si="17"/>
        <v>0</v>
      </c>
      <c r="V124" s="321"/>
      <c r="W124" s="321"/>
      <c r="X124" s="321"/>
      <c r="Y124" s="321"/>
      <c r="AC124" s="436"/>
      <c r="AD124" s="436"/>
      <c r="AE124" s="436"/>
    </row>
    <row r="125" spans="1:31">
      <c r="A125" s="428" t="s">
        <v>3263</v>
      </c>
      <c r="B125" s="429"/>
      <c r="C125" s="430"/>
      <c r="D125" s="431">
        <v>138</v>
      </c>
      <c r="E125" s="432">
        <v>1163081.7502054148</v>
      </c>
      <c r="F125" s="309">
        <f t="shared" si="18"/>
        <v>1134662.9250351067</v>
      </c>
      <c r="G125" s="309">
        <f t="shared" si="18"/>
        <v>1106713.3966987634</v>
      </c>
      <c r="H125" s="309">
        <f t="shared" si="18"/>
        <v>1079763.2251039206</v>
      </c>
      <c r="I125" s="309">
        <f t="shared" si="18"/>
        <v>1053469.331594405</v>
      </c>
      <c r="J125" s="309">
        <f t="shared" si="18"/>
        <v>1027815.7347905149</v>
      </c>
      <c r="K125" s="309">
        <f t="shared" si="18"/>
        <v>1002786.8424836989</v>
      </c>
      <c r="L125" s="308">
        <v>0</v>
      </c>
      <c r="M125" s="326">
        <v>0</v>
      </c>
      <c r="N125" s="327">
        <v>1</v>
      </c>
      <c r="O125" s="309">
        <f t="shared" si="11"/>
        <v>0</v>
      </c>
      <c r="P125" s="311">
        <f t="shared" si="12"/>
        <v>0</v>
      </c>
      <c r="Q125" s="312">
        <f t="shared" si="13"/>
        <v>1002786.8424836989</v>
      </c>
      <c r="R125" s="310">
        <f t="shared" si="14"/>
        <v>0</v>
      </c>
      <c r="S125" s="309">
        <f t="shared" si="15"/>
        <v>0</v>
      </c>
      <c r="T125" s="311">
        <f t="shared" si="16"/>
        <v>1002786.8424836989</v>
      </c>
      <c r="U125" s="312">
        <f t="shared" si="17"/>
        <v>0</v>
      </c>
      <c r="V125" s="321"/>
      <c r="W125" s="321"/>
      <c r="X125" s="321"/>
      <c r="Y125" s="321"/>
      <c r="AC125" s="436"/>
      <c r="AD125" s="436"/>
      <c r="AE125" s="436"/>
    </row>
    <row r="126" spans="1:31">
      <c r="A126" s="428" t="s">
        <v>3264</v>
      </c>
      <c r="B126" s="429"/>
      <c r="C126" s="430"/>
      <c r="D126" s="431">
        <v>25</v>
      </c>
      <c r="E126" s="432">
        <v>1037136.7107652088</v>
      </c>
      <c r="F126" s="309">
        <f t="shared" si="18"/>
        <v>1011795.2359671224</v>
      </c>
      <c r="G126" s="309">
        <f t="shared" si="18"/>
        <v>986872.2398999288</v>
      </c>
      <c r="H126" s="309">
        <f t="shared" si="18"/>
        <v>962840.38460042235</v>
      </c>
      <c r="I126" s="309">
        <f t="shared" si="18"/>
        <v>939393.74190066929</v>
      </c>
      <c r="J126" s="309">
        <f t="shared" si="18"/>
        <v>916518.0609747289</v>
      </c>
      <c r="K126" s="309">
        <f t="shared" si="18"/>
        <v>894199.43802616722</v>
      </c>
      <c r="L126" s="308">
        <v>0</v>
      </c>
      <c r="M126" s="326">
        <v>1</v>
      </c>
      <c r="N126" s="327">
        <v>0</v>
      </c>
      <c r="O126" s="309">
        <f t="shared" si="11"/>
        <v>0</v>
      </c>
      <c r="P126" s="311">
        <f t="shared" si="12"/>
        <v>894199.43802616722</v>
      </c>
      <c r="Q126" s="312">
        <f t="shared" si="13"/>
        <v>0</v>
      </c>
      <c r="R126" s="310">
        <f t="shared" si="14"/>
        <v>0</v>
      </c>
      <c r="S126" s="309">
        <f t="shared" si="15"/>
        <v>0</v>
      </c>
      <c r="T126" s="311">
        <f t="shared" si="16"/>
        <v>0</v>
      </c>
      <c r="U126" s="312">
        <f t="shared" si="17"/>
        <v>894199.43802616722</v>
      </c>
      <c r="V126" s="321"/>
      <c r="W126" s="321"/>
      <c r="X126" s="321"/>
      <c r="Y126" s="321"/>
      <c r="AC126" s="436"/>
      <c r="AD126" s="436"/>
      <c r="AE126" s="436"/>
    </row>
    <row r="127" spans="1:31">
      <c r="A127" s="428" t="s">
        <v>3265</v>
      </c>
      <c r="B127" s="429"/>
      <c r="C127" s="430"/>
      <c r="D127" s="431">
        <v>25</v>
      </c>
      <c r="E127" s="432">
        <v>1219236.2398461096</v>
      </c>
      <c r="F127" s="309">
        <f t="shared" si="18"/>
        <v>1189445.3317389444</v>
      </c>
      <c r="G127" s="309">
        <f t="shared" si="18"/>
        <v>1160146.3784811385</v>
      </c>
      <c r="H127" s="309">
        <f t="shared" si="18"/>
        <v>1131895.0316839763</v>
      </c>
      <c r="I127" s="309">
        <f t="shared" si="18"/>
        <v>1104331.6485874795</v>
      </c>
      <c r="J127" s="309">
        <f t="shared" si="18"/>
        <v>1077439.4762185302</v>
      </c>
      <c r="K127" s="309">
        <f t="shared" si="18"/>
        <v>1051202.1695646462</v>
      </c>
      <c r="L127" s="308">
        <v>0</v>
      </c>
      <c r="M127" s="326">
        <v>1</v>
      </c>
      <c r="N127" s="327">
        <v>0</v>
      </c>
      <c r="O127" s="309">
        <f t="shared" si="11"/>
        <v>0</v>
      </c>
      <c r="P127" s="311">
        <f t="shared" si="12"/>
        <v>1051202.1695646462</v>
      </c>
      <c r="Q127" s="312">
        <f t="shared" si="13"/>
        <v>0</v>
      </c>
      <c r="R127" s="310">
        <f t="shared" si="14"/>
        <v>0</v>
      </c>
      <c r="S127" s="309">
        <f t="shared" si="15"/>
        <v>0</v>
      </c>
      <c r="T127" s="311">
        <f t="shared" si="16"/>
        <v>0</v>
      </c>
      <c r="U127" s="312">
        <f t="shared" si="17"/>
        <v>1051202.1695646462</v>
      </c>
      <c r="V127" s="321"/>
      <c r="W127" s="321"/>
      <c r="X127" s="321"/>
      <c r="Y127" s="321"/>
      <c r="AC127" s="436"/>
      <c r="AD127" s="436"/>
      <c r="AE127" s="436"/>
    </row>
    <row r="128" spans="1:31">
      <c r="A128" s="428" t="s">
        <v>3266</v>
      </c>
      <c r="B128" s="429"/>
      <c r="C128" s="430"/>
      <c r="D128" s="431">
        <v>25</v>
      </c>
      <c r="E128" s="432">
        <v>920126.55424292234</v>
      </c>
      <c r="F128" s="309">
        <f t="shared" si="18"/>
        <v>897644.11422959622</v>
      </c>
      <c r="G128" s="309">
        <f t="shared" si="18"/>
        <v>875532.9400182456</v>
      </c>
      <c r="H128" s="309">
        <f t="shared" si="18"/>
        <v>854212.36773565353</v>
      </c>
      <c r="I128" s="309">
        <f t="shared" si="18"/>
        <v>833410.98414566251</v>
      </c>
      <c r="J128" s="309">
        <f t="shared" si="18"/>
        <v>813116.14620591176</v>
      </c>
      <c r="K128" s="309">
        <f t="shared" si="18"/>
        <v>793315.51875154709</v>
      </c>
      <c r="L128" s="308">
        <v>0</v>
      </c>
      <c r="M128" s="326">
        <v>1</v>
      </c>
      <c r="N128" s="327">
        <v>0</v>
      </c>
      <c r="O128" s="309">
        <f t="shared" si="11"/>
        <v>0</v>
      </c>
      <c r="P128" s="311">
        <f t="shared" si="12"/>
        <v>793315.51875154709</v>
      </c>
      <c r="Q128" s="312">
        <f t="shared" si="13"/>
        <v>0</v>
      </c>
      <c r="R128" s="310">
        <f t="shared" si="14"/>
        <v>0</v>
      </c>
      <c r="S128" s="309">
        <f t="shared" si="15"/>
        <v>0</v>
      </c>
      <c r="T128" s="311">
        <f t="shared" si="16"/>
        <v>0</v>
      </c>
      <c r="U128" s="312">
        <f t="shared" si="17"/>
        <v>793315.51875154709</v>
      </c>
      <c r="V128" s="321"/>
      <c r="W128" s="321"/>
      <c r="X128" s="321"/>
      <c r="Y128" s="321"/>
      <c r="AC128" s="436"/>
      <c r="AD128" s="436"/>
      <c r="AE128" s="436"/>
    </row>
    <row r="129" spans="1:31">
      <c r="A129" s="428" t="s">
        <v>3267</v>
      </c>
      <c r="B129" s="429"/>
      <c r="C129" s="430"/>
      <c r="D129" s="431">
        <v>25</v>
      </c>
      <c r="E129" s="432">
        <v>16772838.70975225</v>
      </c>
      <c r="F129" s="309">
        <f t="shared" si="18"/>
        <v>16363009.933040692</v>
      </c>
      <c r="G129" s="309">
        <f t="shared" si="18"/>
        <v>15959948.900816308</v>
      </c>
      <c r="H129" s="309">
        <f t="shared" si="18"/>
        <v>15571299.623772273</v>
      </c>
      <c r="I129" s="309">
        <f t="shared" si="18"/>
        <v>15192114.553755812</v>
      </c>
      <c r="J129" s="309">
        <f t="shared" si="18"/>
        <v>14822163.222784733</v>
      </c>
      <c r="K129" s="309">
        <f t="shared" si="18"/>
        <v>14461220.775126312</v>
      </c>
      <c r="L129" s="308">
        <v>0</v>
      </c>
      <c r="M129" s="326">
        <v>1</v>
      </c>
      <c r="N129" s="327">
        <v>0</v>
      </c>
      <c r="O129" s="309">
        <f t="shared" si="11"/>
        <v>0</v>
      </c>
      <c r="P129" s="311">
        <f t="shared" si="12"/>
        <v>14461220.775126312</v>
      </c>
      <c r="Q129" s="312">
        <f t="shared" si="13"/>
        <v>0</v>
      </c>
      <c r="R129" s="310">
        <f t="shared" si="14"/>
        <v>0</v>
      </c>
      <c r="S129" s="309">
        <f t="shared" si="15"/>
        <v>0</v>
      </c>
      <c r="T129" s="311">
        <f t="shared" si="16"/>
        <v>0</v>
      </c>
      <c r="U129" s="312">
        <f t="shared" si="17"/>
        <v>14461220.775126312</v>
      </c>
      <c r="V129" s="321"/>
      <c r="W129" s="321"/>
      <c r="X129" s="321"/>
      <c r="Y129" s="321"/>
      <c r="AC129" s="436"/>
      <c r="AD129" s="436"/>
      <c r="AE129" s="436"/>
    </row>
    <row r="130" spans="1:31">
      <c r="A130" s="428" t="s">
        <v>3268</v>
      </c>
      <c r="B130" s="429"/>
      <c r="C130" s="430"/>
      <c r="D130" s="431">
        <v>25</v>
      </c>
      <c r="E130" s="432">
        <v>19553075.250550505</v>
      </c>
      <c r="F130" s="309">
        <f t="shared" si="18"/>
        <v>19075313.969377335</v>
      </c>
      <c r="G130" s="309">
        <f t="shared" si="18"/>
        <v>18605442.242233995</v>
      </c>
      <c r="H130" s="309">
        <f t="shared" si="18"/>
        <v>18152371.13771693</v>
      </c>
      <c r="I130" s="309">
        <f t="shared" si="18"/>
        <v>17710333.010705892</v>
      </c>
      <c r="J130" s="309">
        <f t="shared" si="18"/>
        <v>17279059.19124724</v>
      </c>
      <c r="K130" s="309">
        <f t="shared" si="18"/>
        <v>16858287.551913489</v>
      </c>
      <c r="L130" s="308">
        <v>0</v>
      </c>
      <c r="M130" s="326">
        <v>1</v>
      </c>
      <c r="N130" s="327">
        <v>0</v>
      </c>
      <c r="O130" s="309">
        <f t="shared" si="11"/>
        <v>0</v>
      </c>
      <c r="P130" s="311">
        <f t="shared" si="12"/>
        <v>16858287.551913489</v>
      </c>
      <c r="Q130" s="312">
        <f t="shared" si="13"/>
        <v>0</v>
      </c>
      <c r="R130" s="310">
        <f t="shared" si="14"/>
        <v>0</v>
      </c>
      <c r="S130" s="309">
        <f t="shared" si="15"/>
        <v>0</v>
      </c>
      <c r="T130" s="311">
        <f t="shared" si="16"/>
        <v>0</v>
      </c>
      <c r="U130" s="312">
        <f t="shared" si="17"/>
        <v>16858287.551913489</v>
      </c>
      <c r="V130" s="321"/>
      <c r="W130" s="321"/>
      <c r="X130" s="321"/>
      <c r="Y130" s="321"/>
      <c r="AC130" s="436"/>
      <c r="AD130" s="436"/>
      <c r="AE130" s="436"/>
    </row>
    <row r="131" spans="1:31">
      <c r="A131" s="428" t="s">
        <v>3269</v>
      </c>
      <c r="B131" s="429"/>
      <c r="C131" s="430"/>
      <c r="D131" s="431">
        <v>25</v>
      </c>
      <c r="E131" s="432">
        <v>5788820.4381330982</v>
      </c>
      <c r="F131" s="309">
        <f t="shared" si="18"/>
        <v>5647375.9730776055</v>
      </c>
      <c r="G131" s="309">
        <f t="shared" si="18"/>
        <v>5508267.2639597561</v>
      </c>
      <c r="H131" s="309">
        <f t="shared" si="18"/>
        <v>5374132.493027389</v>
      </c>
      <c r="I131" s="309">
        <f t="shared" si="18"/>
        <v>5243264.1098556146</v>
      </c>
      <c r="J131" s="309">
        <f t="shared" si="18"/>
        <v>5115582.5728838956</v>
      </c>
      <c r="K131" s="309">
        <f t="shared" si="18"/>
        <v>4991010.277510901</v>
      </c>
      <c r="L131" s="308">
        <v>0.2463054187192118</v>
      </c>
      <c r="M131" s="326">
        <v>0.75369458128078815</v>
      </c>
      <c r="N131" s="327">
        <v>0</v>
      </c>
      <c r="O131" s="309">
        <f t="shared" si="11"/>
        <v>1229312.876234212</v>
      </c>
      <c r="P131" s="311">
        <f t="shared" si="12"/>
        <v>3761697.4012766886</v>
      </c>
      <c r="Q131" s="312">
        <f t="shared" si="13"/>
        <v>0</v>
      </c>
      <c r="R131" s="310">
        <f t="shared" si="14"/>
        <v>0</v>
      </c>
      <c r="S131" s="309">
        <f t="shared" si="15"/>
        <v>1229312.876234212</v>
      </c>
      <c r="T131" s="311">
        <f t="shared" si="16"/>
        <v>0</v>
      </c>
      <c r="U131" s="312">
        <f t="shared" si="17"/>
        <v>3761697.4012766886</v>
      </c>
      <c r="V131" s="321"/>
      <c r="W131" s="321"/>
      <c r="X131" s="321"/>
      <c r="Y131" s="321"/>
      <c r="AC131" s="436"/>
      <c r="AD131" s="436"/>
      <c r="AE131" s="436"/>
    </row>
    <row r="132" spans="1:31">
      <c r="A132" s="428" t="s">
        <v>3270</v>
      </c>
      <c r="B132" s="429"/>
      <c r="C132" s="430"/>
      <c r="D132" s="431">
        <v>138</v>
      </c>
      <c r="E132" s="432">
        <v>1757247.8266112353</v>
      </c>
      <c r="F132" s="309">
        <f t="shared" si="18"/>
        <v>1714311.1037570173</v>
      </c>
      <c r="G132" s="309">
        <f t="shared" si="18"/>
        <v>1672083.4203502627</v>
      </c>
      <c r="H132" s="309">
        <f t="shared" si="18"/>
        <v>1631365.6200292849</v>
      </c>
      <c r="I132" s="309">
        <f t="shared" si="18"/>
        <v>1591639.3607060832</v>
      </c>
      <c r="J132" s="309">
        <f t="shared" si="18"/>
        <v>1552880.4968339305</v>
      </c>
      <c r="K132" s="309">
        <f t="shared" si="18"/>
        <v>1515065.4708472607</v>
      </c>
      <c r="L132" s="308">
        <v>0</v>
      </c>
      <c r="M132" s="326">
        <v>0</v>
      </c>
      <c r="N132" s="327">
        <v>1</v>
      </c>
      <c r="O132" s="309">
        <f t="shared" si="11"/>
        <v>0</v>
      </c>
      <c r="P132" s="311">
        <f t="shared" si="12"/>
        <v>0</v>
      </c>
      <c r="Q132" s="312">
        <f t="shared" si="13"/>
        <v>1515065.4708472607</v>
      </c>
      <c r="R132" s="310">
        <f t="shared" si="14"/>
        <v>0</v>
      </c>
      <c r="S132" s="309">
        <f t="shared" si="15"/>
        <v>0</v>
      </c>
      <c r="T132" s="311">
        <f t="shared" si="16"/>
        <v>1515065.4708472607</v>
      </c>
      <c r="U132" s="312">
        <f t="shared" si="17"/>
        <v>0</v>
      </c>
      <c r="V132" s="321"/>
      <c r="W132" s="321"/>
      <c r="X132" s="321"/>
      <c r="Y132" s="321"/>
      <c r="AC132" s="436"/>
      <c r="AD132" s="436"/>
      <c r="AE132" s="436"/>
    </row>
    <row r="133" spans="1:31">
      <c r="A133" s="428" t="s">
        <v>3271</v>
      </c>
      <c r="B133" s="429"/>
      <c r="C133" s="430"/>
      <c r="D133" s="431">
        <v>25</v>
      </c>
      <c r="E133" s="432">
        <v>6193299.1894967863</v>
      </c>
      <c r="F133" s="309">
        <f t="shared" si="18"/>
        <v>6041971.6608319823</v>
      </c>
      <c r="G133" s="309">
        <f t="shared" si="18"/>
        <v>5893143.0929675819</v>
      </c>
      <c r="H133" s="309">
        <f t="shared" si="18"/>
        <v>5749636.0042649508</v>
      </c>
      <c r="I133" s="309">
        <f t="shared" si="18"/>
        <v>5609623.5336605096</v>
      </c>
      <c r="J133" s="309">
        <f t="shared" si="18"/>
        <v>5473020.5818343377</v>
      </c>
      <c r="K133" s="309">
        <f t="shared" si="18"/>
        <v>5339744.1217657067</v>
      </c>
      <c r="L133" s="308">
        <v>0.64277899343544853</v>
      </c>
      <c r="M133" s="326">
        <v>0.35722100656455141</v>
      </c>
      <c r="N133" s="327">
        <v>0</v>
      </c>
      <c r="O133" s="309">
        <f t="shared" si="11"/>
        <v>3432275.351791414</v>
      </c>
      <c r="P133" s="311">
        <f t="shared" si="12"/>
        <v>1907468.7699742923</v>
      </c>
      <c r="Q133" s="312">
        <f t="shared" si="13"/>
        <v>0</v>
      </c>
      <c r="R133" s="310">
        <f t="shared" si="14"/>
        <v>0</v>
      </c>
      <c r="S133" s="309">
        <f t="shared" si="15"/>
        <v>3432275.351791414</v>
      </c>
      <c r="T133" s="311">
        <f t="shared" si="16"/>
        <v>0</v>
      </c>
      <c r="U133" s="312">
        <f t="shared" si="17"/>
        <v>1907468.7699742923</v>
      </c>
      <c r="V133" s="321"/>
      <c r="W133" s="321"/>
      <c r="X133" s="321"/>
      <c r="Y133" s="321"/>
      <c r="AC133" s="436"/>
      <c r="AD133" s="436"/>
      <c r="AE133" s="436"/>
    </row>
    <row r="134" spans="1:31">
      <c r="A134" s="428" t="s">
        <v>3272</v>
      </c>
      <c r="B134" s="429"/>
      <c r="C134" s="430"/>
      <c r="D134" s="431">
        <v>13.8</v>
      </c>
      <c r="E134" s="432">
        <v>8489821.5642591119</v>
      </c>
      <c r="F134" s="309">
        <f t="shared" si="18"/>
        <v>8282380.6387014892</v>
      </c>
      <c r="G134" s="309">
        <f t="shared" si="18"/>
        <v>8078365.3075875323</v>
      </c>
      <c r="H134" s="309">
        <f t="shared" si="18"/>
        <v>7881644.7005227478</v>
      </c>
      <c r="I134" s="309">
        <f t="shared" si="18"/>
        <v>7689714.542487001</v>
      </c>
      <c r="J134" s="309">
        <f t="shared" si="18"/>
        <v>7502458.1786862547</v>
      </c>
      <c r="K134" s="309">
        <f t="shared" si="18"/>
        <v>7319761.7950499384</v>
      </c>
      <c r="L134" s="308">
        <v>0.66748409839834466</v>
      </c>
      <c r="M134" s="326">
        <v>0.33251590160165528</v>
      </c>
      <c r="N134" s="327">
        <v>0</v>
      </c>
      <c r="O134" s="309">
        <f t="shared" ref="O134:O197" si="19">+L134*$K134</f>
        <v>4885824.6022595568</v>
      </c>
      <c r="P134" s="311">
        <f t="shared" ref="P134:P197" si="20">+M134*$K134</f>
        <v>2433937.1927903811</v>
      </c>
      <c r="Q134" s="312">
        <f t="shared" ref="Q134:Q197" si="21">+N134*$K134</f>
        <v>0</v>
      </c>
      <c r="R134" s="310">
        <f t="shared" ref="R134:R197" si="22">IF(D134="Choose",K134,0)</f>
        <v>0</v>
      </c>
      <c r="S134" s="309">
        <f t="shared" ref="S134:S197" si="23">IF(ISERROR(O134),0,O134)+IF(D134="Choose",0,IF(D134&gt;144,Q134,0))</f>
        <v>4885824.6022595568</v>
      </c>
      <c r="T134" s="311">
        <f t="shared" ref="T134:T197" si="24">IF(D134="Choose",0,IF(AND(D134&lt;=144,D134&gt;=69),Q134,0))</f>
        <v>0</v>
      </c>
      <c r="U134" s="312">
        <f t="shared" ref="U134:U197" si="25">IF(ISERROR(P134),0,P134)+IF(D134="Choose",0,IF(AND(D134&lt;69,D134&gt;0),Q134,0))</f>
        <v>2433937.1927903811</v>
      </c>
      <c r="V134" s="321"/>
      <c r="W134" s="321"/>
      <c r="X134" s="321"/>
      <c r="Y134" s="321"/>
      <c r="AC134" s="436"/>
      <c r="AD134" s="436"/>
      <c r="AE134" s="436"/>
    </row>
    <row r="135" spans="1:31">
      <c r="A135" s="428" t="s">
        <v>3273</v>
      </c>
      <c r="B135" s="429"/>
      <c r="C135" s="430"/>
      <c r="D135" s="431">
        <v>138</v>
      </c>
      <c r="E135" s="432">
        <v>3827858.035091335</v>
      </c>
      <c r="F135" s="309">
        <f t="shared" si="18"/>
        <v>3734327.8698584894</v>
      </c>
      <c r="G135" s="309">
        <f t="shared" si="18"/>
        <v>3642342.2234493787</v>
      </c>
      <c r="H135" s="309">
        <f t="shared" si="18"/>
        <v>3553645.5941125415</v>
      </c>
      <c r="I135" s="309">
        <f t="shared" si="18"/>
        <v>3467108.8639760232</v>
      </c>
      <c r="J135" s="309">
        <f t="shared" si="18"/>
        <v>3382679.4361757669</v>
      </c>
      <c r="K135" s="309">
        <f t="shared" si="18"/>
        <v>3300305.994662167</v>
      </c>
      <c r="L135" s="308">
        <v>0</v>
      </c>
      <c r="M135" s="326">
        <v>0</v>
      </c>
      <c r="N135" s="327">
        <v>1</v>
      </c>
      <c r="O135" s="309">
        <f t="shared" si="19"/>
        <v>0</v>
      </c>
      <c r="P135" s="311">
        <f t="shared" si="20"/>
        <v>0</v>
      </c>
      <c r="Q135" s="312">
        <f t="shared" si="21"/>
        <v>3300305.994662167</v>
      </c>
      <c r="R135" s="310">
        <f t="shared" si="22"/>
        <v>0</v>
      </c>
      <c r="S135" s="309">
        <f t="shared" si="23"/>
        <v>0</v>
      </c>
      <c r="T135" s="311">
        <f t="shared" si="24"/>
        <v>3300305.994662167</v>
      </c>
      <c r="U135" s="312">
        <f t="shared" si="25"/>
        <v>0</v>
      </c>
      <c r="V135" s="321"/>
      <c r="W135" s="321"/>
      <c r="X135" s="321"/>
      <c r="Y135" s="321"/>
      <c r="AC135" s="436"/>
      <c r="AD135" s="436"/>
      <c r="AE135" s="436"/>
    </row>
    <row r="136" spans="1:31">
      <c r="A136" s="428" t="s">
        <v>3274</v>
      </c>
      <c r="B136" s="429"/>
      <c r="C136" s="430"/>
      <c r="D136" s="431">
        <v>25</v>
      </c>
      <c r="E136" s="432">
        <v>3030183.2961556651</v>
      </c>
      <c r="F136" s="309">
        <f t="shared" si="18"/>
        <v>2956143.5742597389</v>
      </c>
      <c r="G136" s="309">
        <f t="shared" si="18"/>
        <v>2883326.5139926863</v>
      </c>
      <c r="H136" s="309">
        <f t="shared" si="18"/>
        <v>2813113.0833539553</v>
      </c>
      <c r="I136" s="309">
        <f t="shared" si="18"/>
        <v>2744609.4576291442</v>
      </c>
      <c r="J136" s="309">
        <f t="shared" si="18"/>
        <v>2677774.0004416066</v>
      </c>
      <c r="K136" s="309">
        <f t="shared" si="18"/>
        <v>2612566.0893244403</v>
      </c>
      <c r="L136" s="308">
        <v>0</v>
      </c>
      <c r="M136" s="326">
        <v>1</v>
      </c>
      <c r="N136" s="327">
        <v>0</v>
      </c>
      <c r="O136" s="309">
        <f t="shared" si="19"/>
        <v>0</v>
      </c>
      <c r="P136" s="311">
        <f t="shared" si="20"/>
        <v>2612566.0893244403</v>
      </c>
      <c r="Q136" s="312">
        <f t="shared" si="21"/>
        <v>0</v>
      </c>
      <c r="R136" s="310">
        <f t="shared" si="22"/>
        <v>0</v>
      </c>
      <c r="S136" s="309">
        <f t="shared" si="23"/>
        <v>0</v>
      </c>
      <c r="T136" s="311">
        <f t="shared" si="24"/>
        <v>0</v>
      </c>
      <c r="U136" s="312">
        <f t="shared" si="25"/>
        <v>2612566.0893244403</v>
      </c>
      <c r="V136" s="321"/>
      <c r="W136" s="321"/>
      <c r="X136" s="321"/>
      <c r="Y136" s="321"/>
      <c r="AC136" s="436"/>
      <c r="AD136" s="436"/>
      <c r="AE136" s="436"/>
    </row>
    <row r="137" spans="1:31">
      <c r="A137" s="428" t="s">
        <v>3275</v>
      </c>
      <c r="B137" s="429"/>
      <c r="C137" s="430"/>
      <c r="D137" s="431">
        <v>25</v>
      </c>
      <c r="E137" s="432">
        <v>1198430.0110800473</v>
      </c>
      <c r="F137" s="309">
        <f t="shared" si="18"/>
        <v>1169147.4838993747</v>
      </c>
      <c r="G137" s="309">
        <f t="shared" si="18"/>
        <v>1140348.5163737556</v>
      </c>
      <c r="H137" s="309">
        <f t="shared" si="18"/>
        <v>1112579.2779368937</v>
      </c>
      <c r="I137" s="309">
        <f t="shared" si="18"/>
        <v>1085486.2631213996</v>
      </c>
      <c r="J137" s="309">
        <f t="shared" si="18"/>
        <v>1059053.0048431235</v>
      </c>
      <c r="K137" s="309">
        <f t="shared" si="18"/>
        <v>1033263.4370167163</v>
      </c>
      <c r="L137" s="308">
        <v>0</v>
      </c>
      <c r="M137" s="326">
        <v>1</v>
      </c>
      <c r="N137" s="327">
        <v>0</v>
      </c>
      <c r="O137" s="309">
        <f t="shared" si="19"/>
        <v>0</v>
      </c>
      <c r="P137" s="311">
        <f t="shared" si="20"/>
        <v>1033263.4370167163</v>
      </c>
      <c r="Q137" s="312">
        <f t="shared" si="21"/>
        <v>0</v>
      </c>
      <c r="R137" s="310">
        <f t="shared" si="22"/>
        <v>0</v>
      </c>
      <c r="S137" s="309">
        <f t="shared" si="23"/>
        <v>0</v>
      </c>
      <c r="T137" s="311">
        <f t="shared" si="24"/>
        <v>0</v>
      </c>
      <c r="U137" s="312">
        <f t="shared" si="25"/>
        <v>1033263.4370167163</v>
      </c>
      <c r="V137" s="321"/>
      <c r="W137" s="321"/>
      <c r="X137" s="321"/>
      <c r="Y137" s="321"/>
      <c r="AC137" s="436"/>
      <c r="AD137" s="436"/>
      <c r="AE137" s="436"/>
    </row>
    <row r="138" spans="1:31">
      <c r="A138" s="428" t="s">
        <v>3276</v>
      </c>
      <c r="B138" s="429"/>
      <c r="C138" s="430"/>
      <c r="D138" s="431">
        <v>25</v>
      </c>
      <c r="E138" s="432">
        <v>2817363.8299945449</v>
      </c>
      <c r="F138" s="309">
        <f t="shared" si="18"/>
        <v>2748524.1546134944</v>
      </c>
      <c r="G138" s="309">
        <f t="shared" si="18"/>
        <v>2680821.2694239421</v>
      </c>
      <c r="H138" s="309">
        <f t="shared" si="18"/>
        <v>2615539.1526251468</v>
      </c>
      <c r="I138" s="309">
        <f t="shared" si="18"/>
        <v>2551846.7556716618</v>
      </c>
      <c r="J138" s="309">
        <f t="shared" si="18"/>
        <v>2489705.3664427628</v>
      </c>
      <c r="K138" s="309">
        <f t="shared" si="18"/>
        <v>2429077.2155173458</v>
      </c>
      <c r="L138" s="308">
        <v>0</v>
      </c>
      <c r="M138" s="326">
        <v>1</v>
      </c>
      <c r="N138" s="327">
        <v>0</v>
      </c>
      <c r="O138" s="309">
        <f t="shared" si="19"/>
        <v>0</v>
      </c>
      <c r="P138" s="311">
        <f t="shared" si="20"/>
        <v>2429077.2155173458</v>
      </c>
      <c r="Q138" s="312">
        <f t="shared" si="21"/>
        <v>0</v>
      </c>
      <c r="R138" s="310">
        <f t="shared" si="22"/>
        <v>0</v>
      </c>
      <c r="S138" s="309">
        <f t="shared" si="23"/>
        <v>0</v>
      </c>
      <c r="T138" s="311">
        <f t="shared" si="24"/>
        <v>0</v>
      </c>
      <c r="U138" s="312">
        <f t="shared" si="25"/>
        <v>2429077.2155173458</v>
      </c>
      <c r="V138" s="321"/>
      <c r="W138" s="321"/>
      <c r="X138" s="321"/>
      <c r="Y138" s="321"/>
      <c r="AC138" s="436"/>
      <c r="AD138" s="436"/>
      <c r="AE138" s="436"/>
    </row>
    <row r="139" spans="1:31">
      <c r="A139" s="428" t="s">
        <v>3277</v>
      </c>
      <c r="B139" s="429"/>
      <c r="C139" s="430"/>
      <c r="D139" s="431">
        <v>25</v>
      </c>
      <c r="E139" s="432">
        <v>731149.51348919794</v>
      </c>
      <c r="F139" s="309">
        <f t="shared" si="18"/>
        <v>713284.55241183983</v>
      </c>
      <c r="G139" s="309">
        <f t="shared" si="18"/>
        <v>695714.60598136671</v>
      </c>
      <c r="H139" s="309">
        <f t="shared" si="18"/>
        <v>678772.88641045988</v>
      </c>
      <c r="I139" s="309">
        <f t="shared" si="18"/>
        <v>662243.72374083335</v>
      </c>
      <c r="J139" s="309">
        <f t="shared" si="18"/>
        <v>646117.07157807727</v>
      </c>
      <c r="K139" s="309">
        <f t="shared" si="18"/>
        <v>630383.12817292102</v>
      </c>
      <c r="L139" s="308">
        <v>0</v>
      </c>
      <c r="M139" s="326">
        <v>1</v>
      </c>
      <c r="N139" s="327">
        <v>0</v>
      </c>
      <c r="O139" s="309">
        <f t="shared" si="19"/>
        <v>0</v>
      </c>
      <c r="P139" s="311">
        <f t="shared" si="20"/>
        <v>630383.12817292102</v>
      </c>
      <c r="Q139" s="312">
        <f t="shared" si="21"/>
        <v>0</v>
      </c>
      <c r="R139" s="310">
        <f t="shared" si="22"/>
        <v>0</v>
      </c>
      <c r="S139" s="309">
        <f t="shared" si="23"/>
        <v>0</v>
      </c>
      <c r="T139" s="311">
        <f t="shared" si="24"/>
        <v>0</v>
      </c>
      <c r="U139" s="312">
        <f t="shared" si="25"/>
        <v>630383.12817292102</v>
      </c>
      <c r="V139" s="321"/>
      <c r="W139" s="321"/>
      <c r="X139" s="321"/>
      <c r="Y139" s="321"/>
      <c r="AC139" s="436"/>
      <c r="AD139" s="436"/>
      <c r="AE139" s="436"/>
    </row>
    <row r="140" spans="1:31">
      <c r="A140" s="428" t="s">
        <v>3278</v>
      </c>
      <c r="B140" s="429"/>
      <c r="C140" s="430"/>
      <c r="D140" s="431">
        <v>25</v>
      </c>
      <c r="E140" s="432">
        <v>2664355.2893584473</v>
      </c>
      <c r="F140" s="309">
        <f t="shared" si="18"/>
        <v>2599254.2359316433</v>
      </c>
      <c r="G140" s="309">
        <f t="shared" si="18"/>
        <v>2535228.2346253223</v>
      </c>
      <c r="H140" s="309">
        <f t="shared" si="18"/>
        <v>2473491.5319170598</v>
      </c>
      <c r="I140" s="309">
        <f t="shared" si="18"/>
        <v>2413258.2127737296</v>
      </c>
      <c r="J140" s="309">
        <f t="shared" si="18"/>
        <v>2354491.6674956856</v>
      </c>
      <c r="K140" s="309">
        <f t="shared" si="18"/>
        <v>2297156.1778857154</v>
      </c>
      <c r="L140" s="308">
        <v>0</v>
      </c>
      <c r="M140" s="326">
        <v>1</v>
      </c>
      <c r="N140" s="327">
        <v>0</v>
      </c>
      <c r="O140" s="309">
        <f t="shared" si="19"/>
        <v>0</v>
      </c>
      <c r="P140" s="311">
        <f t="shared" si="20"/>
        <v>2297156.1778857154</v>
      </c>
      <c r="Q140" s="312">
        <f t="shared" si="21"/>
        <v>0</v>
      </c>
      <c r="R140" s="310">
        <f t="shared" si="22"/>
        <v>0</v>
      </c>
      <c r="S140" s="309">
        <f t="shared" si="23"/>
        <v>0</v>
      </c>
      <c r="T140" s="311">
        <f t="shared" si="24"/>
        <v>0</v>
      </c>
      <c r="U140" s="312">
        <f t="shared" si="25"/>
        <v>2297156.1778857154</v>
      </c>
      <c r="V140" s="321"/>
      <c r="W140" s="321"/>
      <c r="X140" s="321"/>
      <c r="Y140" s="321"/>
      <c r="AC140" s="436"/>
      <c r="AD140" s="436"/>
      <c r="AE140" s="436"/>
    </row>
    <row r="141" spans="1:31">
      <c r="A141" s="428" t="s">
        <v>3279</v>
      </c>
      <c r="B141" s="429"/>
      <c r="C141" s="430"/>
      <c r="D141" s="431" t="s">
        <v>2505</v>
      </c>
      <c r="E141" s="432">
        <v>107.28203086166913</v>
      </c>
      <c r="F141" s="309">
        <f t="shared" si="18"/>
        <v>104.66069381598433</v>
      </c>
      <c r="G141" s="309">
        <f t="shared" si="18"/>
        <v>102.08264445615291</v>
      </c>
      <c r="H141" s="309">
        <f t="shared" si="18"/>
        <v>99.596775221032871</v>
      </c>
      <c r="I141" s="309">
        <f t="shared" si="18"/>
        <v>97.171440721146595</v>
      </c>
      <c r="J141" s="309">
        <f t="shared" si="18"/>
        <v>94.805166842683903</v>
      </c>
      <c r="K141" s="309">
        <f t="shared" si="18"/>
        <v>92.49651536877073</v>
      </c>
      <c r="L141" s="308">
        <v>0</v>
      </c>
      <c r="M141" s="326">
        <v>0</v>
      </c>
      <c r="N141" s="327">
        <v>1</v>
      </c>
      <c r="O141" s="309">
        <f t="shared" si="19"/>
        <v>0</v>
      </c>
      <c r="P141" s="311">
        <f t="shared" si="20"/>
        <v>0</v>
      </c>
      <c r="Q141" s="312">
        <f t="shared" si="21"/>
        <v>92.49651536877073</v>
      </c>
      <c r="R141" s="310">
        <f t="shared" si="22"/>
        <v>92.49651536877073</v>
      </c>
      <c r="S141" s="309">
        <f t="shared" si="23"/>
        <v>0</v>
      </c>
      <c r="T141" s="311">
        <f t="shared" si="24"/>
        <v>0</v>
      </c>
      <c r="U141" s="312">
        <f t="shared" si="25"/>
        <v>0</v>
      </c>
      <c r="V141" s="321"/>
      <c r="W141" s="321"/>
      <c r="X141" s="321"/>
      <c r="Y141" s="321"/>
      <c r="AC141" s="436"/>
      <c r="AD141" s="436"/>
      <c r="AE141" s="436"/>
    </row>
    <row r="142" spans="1:31">
      <c r="A142" s="428" t="s">
        <v>3280</v>
      </c>
      <c r="B142" s="429"/>
      <c r="C142" s="430"/>
      <c r="D142" s="431">
        <v>25</v>
      </c>
      <c r="E142" s="432">
        <v>8449771.7567466199</v>
      </c>
      <c r="F142" s="309">
        <f t="shared" si="18"/>
        <v>8243309.4111362798</v>
      </c>
      <c r="G142" s="309">
        <f t="shared" si="18"/>
        <v>8040256.50010134</v>
      </c>
      <c r="H142" s="309">
        <f t="shared" si="18"/>
        <v>7844463.9010502761</v>
      </c>
      <c r="I142" s="309">
        <f t="shared" si="18"/>
        <v>7653439.1526072975</v>
      </c>
      <c r="J142" s="309">
        <f t="shared" si="18"/>
        <v>7467066.1502846386</v>
      </c>
      <c r="K142" s="309">
        <f t="shared" si="18"/>
        <v>7285231.6169171995</v>
      </c>
      <c r="L142" s="308">
        <v>0</v>
      </c>
      <c r="M142" s="326">
        <v>1</v>
      </c>
      <c r="N142" s="327">
        <v>0</v>
      </c>
      <c r="O142" s="309">
        <f t="shared" si="19"/>
        <v>0</v>
      </c>
      <c r="P142" s="311">
        <f t="shared" si="20"/>
        <v>7285231.6169171995</v>
      </c>
      <c r="Q142" s="312">
        <f t="shared" si="21"/>
        <v>0</v>
      </c>
      <c r="R142" s="310">
        <f t="shared" si="22"/>
        <v>0</v>
      </c>
      <c r="S142" s="309">
        <f t="shared" si="23"/>
        <v>0</v>
      </c>
      <c r="T142" s="311">
        <f t="shared" si="24"/>
        <v>0</v>
      </c>
      <c r="U142" s="312">
        <f t="shared" si="25"/>
        <v>7285231.6169171995</v>
      </c>
      <c r="V142" s="321"/>
      <c r="W142" s="321"/>
      <c r="X142" s="321"/>
      <c r="Y142" s="321"/>
      <c r="AC142" s="436"/>
      <c r="AD142" s="436"/>
      <c r="AE142" s="436"/>
    </row>
    <row r="143" spans="1:31">
      <c r="A143" s="428" t="s">
        <v>3281</v>
      </c>
      <c r="B143" s="429"/>
      <c r="C143" s="430"/>
      <c r="D143" s="431">
        <v>25</v>
      </c>
      <c r="E143" s="432">
        <v>16826696.425036438</v>
      </c>
      <c r="F143" s="309">
        <f t="shared" si="18"/>
        <v>16415551.684941854</v>
      </c>
      <c r="G143" s="309">
        <f t="shared" si="18"/>
        <v>16011196.420614526</v>
      </c>
      <c r="H143" s="309">
        <f t="shared" si="18"/>
        <v>15621299.187725289</v>
      </c>
      <c r="I143" s="309">
        <f t="shared" si="18"/>
        <v>15240896.551505852</v>
      </c>
      <c r="J143" s="309">
        <f t="shared" si="18"/>
        <v>14869757.303939546</v>
      </c>
      <c r="K143" s="309">
        <f t="shared" si="18"/>
        <v>14507655.867280133</v>
      </c>
      <c r="L143" s="308">
        <v>0</v>
      </c>
      <c r="M143" s="326">
        <v>1</v>
      </c>
      <c r="N143" s="327">
        <v>0</v>
      </c>
      <c r="O143" s="309">
        <f t="shared" si="19"/>
        <v>0</v>
      </c>
      <c r="P143" s="311">
        <f t="shared" si="20"/>
        <v>14507655.867280133</v>
      </c>
      <c r="Q143" s="312">
        <f t="shared" si="21"/>
        <v>0</v>
      </c>
      <c r="R143" s="310">
        <f t="shared" si="22"/>
        <v>0</v>
      </c>
      <c r="S143" s="309">
        <f t="shared" si="23"/>
        <v>0</v>
      </c>
      <c r="T143" s="311">
        <f t="shared" si="24"/>
        <v>0</v>
      </c>
      <c r="U143" s="312">
        <f t="shared" si="25"/>
        <v>14507655.867280133</v>
      </c>
      <c r="V143" s="321"/>
      <c r="W143" s="321"/>
      <c r="X143" s="321"/>
      <c r="Y143" s="321"/>
      <c r="AC143" s="436"/>
      <c r="AD143" s="436"/>
      <c r="AE143" s="436"/>
    </row>
    <row r="144" spans="1:31">
      <c r="A144" s="428" t="s">
        <v>3282</v>
      </c>
      <c r="B144" s="429"/>
      <c r="C144" s="430"/>
      <c r="D144" s="431">
        <v>25</v>
      </c>
      <c r="E144" s="432">
        <v>8016073.8217434576</v>
      </c>
      <c r="F144" s="309">
        <f t="shared" si="18"/>
        <v>7820208.4834280927</v>
      </c>
      <c r="G144" s="309">
        <f t="shared" si="18"/>
        <v>7627577.5850518867</v>
      </c>
      <c r="H144" s="309">
        <f t="shared" si="18"/>
        <v>7441834.3516336344</v>
      </c>
      <c r="I144" s="309">
        <f t="shared" si="18"/>
        <v>7260614.2513301829</v>
      </c>
      <c r="J144" s="309">
        <f t="shared" si="18"/>
        <v>7083807.1389007205</v>
      </c>
      <c r="K144" s="309">
        <f t="shared" si="18"/>
        <v>6911305.5513102785</v>
      </c>
      <c r="L144" s="308">
        <v>0</v>
      </c>
      <c r="M144" s="326">
        <v>1</v>
      </c>
      <c r="N144" s="327">
        <v>0</v>
      </c>
      <c r="O144" s="309">
        <f t="shared" si="19"/>
        <v>0</v>
      </c>
      <c r="P144" s="311">
        <f t="shared" si="20"/>
        <v>6911305.5513102785</v>
      </c>
      <c r="Q144" s="312">
        <f t="shared" si="21"/>
        <v>0</v>
      </c>
      <c r="R144" s="310">
        <f t="shared" si="22"/>
        <v>0</v>
      </c>
      <c r="S144" s="309">
        <f t="shared" si="23"/>
        <v>0</v>
      </c>
      <c r="T144" s="311">
        <f t="shared" si="24"/>
        <v>0</v>
      </c>
      <c r="U144" s="312">
        <f t="shared" si="25"/>
        <v>6911305.5513102785</v>
      </c>
      <c r="V144" s="321"/>
      <c r="W144" s="321"/>
      <c r="X144" s="321"/>
      <c r="Y144" s="321"/>
      <c r="AC144" s="436"/>
      <c r="AD144" s="436"/>
      <c r="AE144" s="436"/>
    </row>
    <row r="145" spans="1:31">
      <c r="A145" s="428" t="s">
        <v>3283</v>
      </c>
      <c r="B145" s="429"/>
      <c r="C145" s="430"/>
      <c r="D145" s="431">
        <v>25</v>
      </c>
      <c r="E145" s="432">
        <v>807811.04834667034</v>
      </c>
      <c r="F145" s="309">
        <f t="shared" si="18"/>
        <v>788072.93367884681</v>
      </c>
      <c r="G145" s="309">
        <f t="shared" si="18"/>
        <v>768660.766148758</v>
      </c>
      <c r="H145" s="309">
        <f t="shared" si="18"/>
        <v>749942.69550126675</v>
      </c>
      <c r="I145" s="309">
        <f t="shared" si="18"/>
        <v>731680.43863300607</v>
      </c>
      <c r="J145" s="309">
        <f t="shared" si="18"/>
        <v>713862.89577812655</v>
      </c>
      <c r="K145" s="309">
        <f t="shared" si="18"/>
        <v>696479.23746713158</v>
      </c>
      <c r="L145" s="308">
        <v>0</v>
      </c>
      <c r="M145" s="326">
        <v>1</v>
      </c>
      <c r="N145" s="327">
        <v>0</v>
      </c>
      <c r="O145" s="309">
        <f t="shared" si="19"/>
        <v>0</v>
      </c>
      <c r="P145" s="311">
        <f t="shared" si="20"/>
        <v>696479.23746713158</v>
      </c>
      <c r="Q145" s="312">
        <f t="shared" si="21"/>
        <v>0</v>
      </c>
      <c r="R145" s="310">
        <f t="shared" si="22"/>
        <v>0</v>
      </c>
      <c r="S145" s="309">
        <f t="shared" si="23"/>
        <v>0</v>
      </c>
      <c r="T145" s="311">
        <f t="shared" si="24"/>
        <v>0</v>
      </c>
      <c r="U145" s="312">
        <f t="shared" si="25"/>
        <v>696479.23746713158</v>
      </c>
      <c r="V145" s="321"/>
      <c r="W145" s="321"/>
      <c r="X145" s="321"/>
      <c r="Y145" s="321"/>
      <c r="AC145" s="436"/>
      <c r="AD145" s="436"/>
      <c r="AE145" s="436"/>
    </row>
    <row r="146" spans="1:31">
      <c r="A146" s="428" t="s">
        <v>3284</v>
      </c>
      <c r="B146" s="429"/>
      <c r="C146" s="430"/>
      <c r="D146" s="431">
        <v>25</v>
      </c>
      <c r="E146" s="432">
        <v>5035165.3071000213</v>
      </c>
      <c r="F146" s="309">
        <f t="shared" si="18"/>
        <v>4912135.7070389735</v>
      </c>
      <c r="G146" s="309">
        <f t="shared" si="18"/>
        <v>4791137.7673807247</v>
      </c>
      <c r="H146" s="309">
        <f t="shared" si="18"/>
        <v>4674466.20150775</v>
      </c>
      <c r="I146" s="309">
        <f t="shared" si="18"/>
        <v>4560635.7675212203</v>
      </c>
      <c r="J146" s="309">
        <f t="shared" si="18"/>
        <v>4449577.2794945044</v>
      </c>
      <c r="K146" s="309">
        <f t="shared" si="18"/>
        <v>4341223.2362845885</v>
      </c>
      <c r="L146" s="308">
        <v>0.93617021276595747</v>
      </c>
      <c r="M146" s="326">
        <v>6.3829787234042548E-2</v>
      </c>
      <c r="N146" s="327">
        <v>0</v>
      </c>
      <c r="O146" s="309">
        <f t="shared" si="19"/>
        <v>4064123.8807770615</v>
      </c>
      <c r="P146" s="311">
        <f t="shared" si="20"/>
        <v>277099.3555075269</v>
      </c>
      <c r="Q146" s="312">
        <f t="shared" si="21"/>
        <v>0</v>
      </c>
      <c r="R146" s="310">
        <f t="shared" si="22"/>
        <v>0</v>
      </c>
      <c r="S146" s="309">
        <f t="shared" si="23"/>
        <v>4064123.8807770615</v>
      </c>
      <c r="T146" s="311">
        <f t="shared" si="24"/>
        <v>0</v>
      </c>
      <c r="U146" s="312">
        <f t="shared" si="25"/>
        <v>277099.3555075269</v>
      </c>
      <c r="V146" s="321"/>
      <c r="W146" s="321"/>
      <c r="X146" s="321"/>
      <c r="Y146" s="321"/>
      <c r="AC146" s="436"/>
      <c r="AD146" s="436"/>
      <c r="AE146" s="436"/>
    </row>
    <row r="147" spans="1:31">
      <c r="A147" s="428" t="s">
        <v>3285</v>
      </c>
      <c r="B147" s="429"/>
      <c r="C147" s="430"/>
      <c r="D147" s="431">
        <v>19</v>
      </c>
      <c r="E147" s="432">
        <v>1094696.8016067813</v>
      </c>
      <c r="F147" s="309">
        <f t="shared" si="18"/>
        <v>1067948.899308543</v>
      </c>
      <c r="G147" s="309">
        <f t="shared" si="18"/>
        <v>1041642.7009086373</v>
      </c>
      <c r="H147" s="309">
        <f t="shared" si="18"/>
        <v>1016277.1007327099</v>
      </c>
      <c r="I147" s="309">
        <f t="shared" si="18"/>
        <v>991529.19189347955</v>
      </c>
      <c r="J147" s="309">
        <f t="shared" si="18"/>
        <v>967383.93265785952</v>
      </c>
      <c r="K147" s="309">
        <f t="shared" si="18"/>
        <v>943826.64758207439</v>
      </c>
      <c r="L147" s="308">
        <v>0.99986777733703558</v>
      </c>
      <c r="M147" s="326">
        <v>1.3222266296443209E-4</v>
      </c>
      <c r="N147" s="327">
        <v>0</v>
      </c>
      <c r="O147" s="309">
        <f t="shared" si="19"/>
        <v>943701.85230935435</v>
      </c>
      <c r="P147" s="311">
        <f t="shared" si="20"/>
        <v>124.79527272009445</v>
      </c>
      <c r="Q147" s="312">
        <f t="shared" si="21"/>
        <v>0</v>
      </c>
      <c r="R147" s="310">
        <f t="shared" si="22"/>
        <v>0</v>
      </c>
      <c r="S147" s="309">
        <f t="shared" si="23"/>
        <v>943701.85230935435</v>
      </c>
      <c r="T147" s="311">
        <f t="shared" si="24"/>
        <v>0</v>
      </c>
      <c r="U147" s="312">
        <f t="shared" si="25"/>
        <v>124.79527272009445</v>
      </c>
      <c r="V147" s="321"/>
      <c r="W147" s="321"/>
      <c r="X147" s="321"/>
      <c r="Y147" s="321"/>
      <c r="AC147" s="436"/>
      <c r="AD147" s="436"/>
      <c r="AE147" s="436"/>
    </row>
    <row r="148" spans="1:31">
      <c r="A148" s="428" t="s">
        <v>3286</v>
      </c>
      <c r="B148" s="429"/>
      <c r="C148" s="430"/>
      <c r="D148" s="431" t="s">
        <v>2505</v>
      </c>
      <c r="E148" s="432">
        <v>3777660.4606068586</v>
      </c>
      <c r="F148" s="309">
        <f t="shared" si="18"/>
        <v>3685356.826607089</v>
      </c>
      <c r="G148" s="309">
        <f t="shared" si="18"/>
        <v>3594577.4569968553</v>
      </c>
      <c r="H148" s="309">
        <f t="shared" si="18"/>
        <v>3507043.9731102521</v>
      </c>
      <c r="I148" s="309">
        <f t="shared" si="18"/>
        <v>3421642.0640451652</v>
      </c>
      <c r="J148" s="309">
        <f t="shared" si="18"/>
        <v>3338319.8226796808</v>
      </c>
      <c r="K148" s="309">
        <f t="shared" si="18"/>
        <v>3257026.6059100535</v>
      </c>
      <c r="L148" s="308">
        <v>0</v>
      </c>
      <c r="M148" s="326">
        <v>0</v>
      </c>
      <c r="N148" s="327">
        <v>1</v>
      </c>
      <c r="O148" s="309">
        <f t="shared" si="19"/>
        <v>0</v>
      </c>
      <c r="P148" s="311">
        <f t="shared" si="20"/>
        <v>0</v>
      </c>
      <c r="Q148" s="312">
        <f t="shared" si="21"/>
        <v>3257026.6059100535</v>
      </c>
      <c r="R148" s="310">
        <f t="shared" si="22"/>
        <v>3257026.6059100535</v>
      </c>
      <c r="S148" s="309">
        <f t="shared" si="23"/>
        <v>0</v>
      </c>
      <c r="T148" s="311">
        <f t="shared" si="24"/>
        <v>0</v>
      </c>
      <c r="U148" s="312">
        <f t="shared" si="25"/>
        <v>0</v>
      </c>
      <c r="V148" s="321"/>
      <c r="W148" s="321"/>
      <c r="X148" s="321"/>
      <c r="Y148" s="321"/>
      <c r="AC148" s="436"/>
      <c r="AD148" s="436"/>
      <c r="AE148" s="436"/>
    </row>
    <row r="149" spans="1:31">
      <c r="A149" s="428" t="s">
        <v>3287</v>
      </c>
      <c r="B149" s="429"/>
      <c r="C149" s="430"/>
      <c r="D149" s="431">
        <v>13.8</v>
      </c>
      <c r="E149" s="432">
        <v>3154536.0734038814</v>
      </c>
      <c r="F149" s="309">
        <f t="shared" si="18"/>
        <v>3077457.9065874368</v>
      </c>
      <c r="G149" s="309">
        <f t="shared" si="18"/>
        <v>3001652.5770342499</v>
      </c>
      <c r="H149" s="309">
        <f t="shared" si="18"/>
        <v>2928557.7249610042</v>
      </c>
      <c r="I149" s="309">
        <f t="shared" si="18"/>
        <v>2857242.8448407049</v>
      </c>
      <c r="J149" s="309">
        <f t="shared" si="18"/>
        <v>2787664.591621499</v>
      </c>
      <c r="K149" s="309">
        <f t="shared" si="18"/>
        <v>2719780.675770143</v>
      </c>
      <c r="L149" s="308">
        <v>0</v>
      </c>
      <c r="M149" s="326">
        <v>0</v>
      </c>
      <c r="N149" s="327">
        <v>1</v>
      </c>
      <c r="O149" s="309">
        <f t="shared" si="19"/>
        <v>0</v>
      </c>
      <c r="P149" s="311">
        <f t="shared" si="20"/>
        <v>0</v>
      </c>
      <c r="Q149" s="312">
        <f t="shared" si="21"/>
        <v>2719780.675770143</v>
      </c>
      <c r="R149" s="310">
        <f t="shared" si="22"/>
        <v>0</v>
      </c>
      <c r="S149" s="309">
        <f t="shared" si="23"/>
        <v>0</v>
      </c>
      <c r="T149" s="311">
        <f t="shared" si="24"/>
        <v>0</v>
      </c>
      <c r="U149" s="312">
        <f t="shared" si="25"/>
        <v>2719780.675770143</v>
      </c>
      <c r="V149" s="321"/>
      <c r="W149" s="321"/>
      <c r="X149" s="321"/>
      <c r="Y149" s="321"/>
      <c r="AC149" s="436"/>
      <c r="AD149" s="436"/>
      <c r="AE149" s="436"/>
    </row>
    <row r="150" spans="1:31">
      <c r="A150" s="428" t="s">
        <v>3288</v>
      </c>
      <c r="B150" s="429"/>
      <c r="C150" s="430"/>
      <c r="D150" s="431">
        <v>144</v>
      </c>
      <c r="E150" s="432">
        <v>8778439.5681366976</v>
      </c>
      <c r="F150" s="309">
        <f t="shared" si="18"/>
        <v>8563946.5290094558</v>
      </c>
      <c r="G150" s="309">
        <f t="shared" si="18"/>
        <v>8352995.540039693</v>
      </c>
      <c r="H150" s="309">
        <f t="shared" si="18"/>
        <v>8149587.2648651758</v>
      </c>
      <c r="I150" s="309">
        <f t="shared" si="18"/>
        <v>7951132.2937132865</v>
      </c>
      <c r="J150" s="309">
        <f t="shared" si="18"/>
        <v>7757510.0060206791</v>
      </c>
      <c r="K150" s="309">
        <f t="shared" si="18"/>
        <v>7568602.7185200527</v>
      </c>
      <c r="L150" s="308">
        <v>0</v>
      </c>
      <c r="M150" s="326">
        <v>0</v>
      </c>
      <c r="N150" s="327">
        <v>1</v>
      </c>
      <c r="O150" s="309">
        <f t="shared" si="19"/>
        <v>0</v>
      </c>
      <c r="P150" s="311">
        <f t="shared" si="20"/>
        <v>0</v>
      </c>
      <c r="Q150" s="312">
        <f t="shared" si="21"/>
        <v>7568602.7185200527</v>
      </c>
      <c r="R150" s="310">
        <f t="shared" si="22"/>
        <v>0</v>
      </c>
      <c r="S150" s="309">
        <f t="shared" si="23"/>
        <v>0</v>
      </c>
      <c r="T150" s="311">
        <f t="shared" si="24"/>
        <v>7568602.7185200527</v>
      </c>
      <c r="U150" s="312">
        <f t="shared" si="25"/>
        <v>0</v>
      </c>
      <c r="V150" s="321"/>
      <c r="W150" s="321"/>
      <c r="X150" s="321"/>
      <c r="Y150" s="321"/>
      <c r="AC150" s="436"/>
      <c r="AD150" s="436"/>
      <c r="AE150" s="436"/>
    </row>
    <row r="151" spans="1:31">
      <c r="A151" s="428" t="s">
        <v>3289</v>
      </c>
      <c r="B151" s="429"/>
      <c r="C151" s="430"/>
      <c r="D151" s="431">
        <v>25</v>
      </c>
      <c r="E151" s="432">
        <v>5509477.8697560895</v>
      </c>
      <c r="F151" s="309">
        <f t="shared" si="18"/>
        <v>5374858.8815958621</v>
      </c>
      <c r="G151" s="309">
        <f t="shared" si="18"/>
        <v>5242462.9362446358</v>
      </c>
      <c r="H151" s="309">
        <f t="shared" si="18"/>
        <v>5114800.9090812895</v>
      </c>
      <c r="I151" s="309">
        <f t="shared" si="18"/>
        <v>4990247.6484228577</v>
      </c>
      <c r="J151" s="309">
        <f t="shared" si="18"/>
        <v>4868727.4510285519</v>
      </c>
      <c r="K151" s="309">
        <f t="shared" si="18"/>
        <v>4750166.457147806</v>
      </c>
      <c r="L151" s="308">
        <v>0</v>
      </c>
      <c r="M151" s="326">
        <v>1</v>
      </c>
      <c r="N151" s="327">
        <v>0</v>
      </c>
      <c r="O151" s="309">
        <f t="shared" si="19"/>
        <v>0</v>
      </c>
      <c r="P151" s="311">
        <f t="shared" si="20"/>
        <v>4750166.457147806</v>
      </c>
      <c r="Q151" s="312">
        <f t="shared" si="21"/>
        <v>0</v>
      </c>
      <c r="R151" s="310">
        <f t="shared" si="22"/>
        <v>0</v>
      </c>
      <c r="S151" s="309">
        <f t="shared" si="23"/>
        <v>0</v>
      </c>
      <c r="T151" s="311">
        <f t="shared" si="24"/>
        <v>0</v>
      </c>
      <c r="U151" s="312">
        <f t="shared" si="25"/>
        <v>4750166.457147806</v>
      </c>
      <c r="V151" s="321"/>
      <c r="W151" s="321"/>
      <c r="X151" s="321"/>
      <c r="Y151" s="321"/>
      <c r="AC151" s="436"/>
      <c r="AD151" s="436"/>
      <c r="AE151" s="436"/>
    </row>
    <row r="152" spans="1:31">
      <c r="A152" s="428" t="s">
        <v>3290</v>
      </c>
      <c r="B152" s="429"/>
      <c r="C152" s="430"/>
      <c r="D152" s="431">
        <v>138</v>
      </c>
      <c r="E152" s="432">
        <v>1459963.2309232173</v>
      </c>
      <c r="F152" s="309">
        <f t="shared" si="18"/>
        <v>1424290.3817813944</v>
      </c>
      <c r="G152" s="309">
        <f t="shared" si="18"/>
        <v>1389206.6194529932</v>
      </c>
      <c r="H152" s="309">
        <f t="shared" si="18"/>
        <v>1355377.3038536443</v>
      </c>
      <c r="I152" s="309">
        <f t="shared" ref="F152:K194" si="26">+$E152*(I$3)</f>
        <v>1322371.7840654405</v>
      </c>
      <c r="J152" s="309">
        <f t="shared" si="26"/>
        <v>1290169.9993946776</v>
      </c>
      <c r="K152" s="309">
        <f t="shared" si="26"/>
        <v>1258752.377656365</v>
      </c>
      <c r="L152" s="308">
        <v>0</v>
      </c>
      <c r="M152" s="326">
        <v>0</v>
      </c>
      <c r="N152" s="327">
        <v>1</v>
      </c>
      <c r="O152" s="309">
        <f t="shared" si="19"/>
        <v>0</v>
      </c>
      <c r="P152" s="311">
        <f t="shared" si="20"/>
        <v>0</v>
      </c>
      <c r="Q152" s="312">
        <f t="shared" si="21"/>
        <v>1258752.377656365</v>
      </c>
      <c r="R152" s="310">
        <f t="shared" si="22"/>
        <v>0</v>
      </c>
      <c r="S152" s="309">
        <f t="shared" si="23"/>
        <v>0</v>
      </c>
      <c r="T152" s="311">
        <f t="shared" si="24"/>
        <v>1258752.377656365</v>
      </c>
      <c r="U152" s="312">
        <f t="shared" si="25"/>
        <v>0</v>
      </c>
      <c r="V152" s="321"/>
      <c r="W152" s="321"/>
      <c r="X152" s="321"/>
      <c r="Y152" s="321"/>
      <c r="AC152" s="436"/>
      <c r="AD152" s="436"/>
      <c r="AE152" s="436"/>
    </row>
    <row r="153" spans="1:31">
      <c r="A153" s="428" t="s">
        <v>3291</v>
      </c>
      <c r="B153" s="429"/>
      <c r="C153" s="430"/>
      <c r="D153" s="431">
        <v>25</v>
      </c>
      <c r="E153" s="432">
        <v>1813693.1417803888</v>
      </c>
      <c r="F153" s="309">
        <f t="shared" si="26"/>
        <v>1769377.2299369259</v>
      </c>
      <c r="G153" s="309">
        <f t="shared" si="26"/>
        <v>1725793.1329027582</v>
      </c>
      <c r="H153" s="309">
        <f t="shared" si="26"/>
        <v>1683767.4185600316</v>
      </c>
      <c r="I153" s="309">
        <f t="shared" si="26"/>
        <v>1642765.0949310262</v>
      </c>
      <c r="J153" s="309">
        <f t="shared" si="26"/>
        <v>1602761.240879497</v>
      </c>
      <c r="K153" s="309">
        <f t="shared" si="26"/>
        <v>1563731.5421371558</v>
      </c>
      <c r="L153" s="308">
        <v>0</v>
      </c>
      <c r="M153" s="326">
        <v>1</v>
      </c>
      <c r="N153" s="327">
        <v>0</v>
      </c>
      <c r="O153" s="309">
        <f t="shared" si="19"/>
        <v>0</v>
      </c>
      <c r="P153" s="311">
        <f t="shared" si="20"/>
        <v>1563731.5421371558</v>
      </c>
      <c r="Q153" s="312">
        <f t="shared" si="21"/>
        <v>0</v>
      </c>
      <c r="R153" s="310">
        <f t="shared" si="22"/>
        <v>0</v>
      </c>
      <c r="S153" s="309">
        <f t="shared" si="23"/>
        <v>0</v>
      </c>
      <c r="T153" s="311">
        <f t="shared" si="24"/>
        <v>0</v>
      </c>
      <c r="U153" s="312">
        <f t="shared" si="25"/>
        <v>1563731.5421371558</v>
      </c>
      <c r="V153" s="321"/>
      <c r="W153" s="321"/>
      <c r="X153" s="321"/>
      <c r="Y153" s="321"/>
      <c r="AC153" s="436"/>
      <c r="AD153" s="436"/>
      <c r="AE153" s="436"/>
    </row>
    <row r="154" spans="1:31">
      <c r="A154" s="428" t="s">
        <v>3292</v>
      </c>
      <c r="B154" s="429"/>
      <c r="C154" s="430"/>
      <c r="D154" s="431">
        <v>25</v>
      </c>
      <c r="E154" s="432">
        <v>28795156.859268613</v>
      </c>
      <c r="F154" s="309">
        <f t="shared" si="26"/>
        <v>28091573.875191506</v>
      </c>
      <c r="G154" s="309">
        <f t="shared" si="26"/>
        <v>27399609.572213285</v>
      </c>
      <c r="H154" s="309">
        <f t="shared" si="26"/>
        <v>26732386.981608067</v>
      </c>
      <c r="I154" s="309">
        <f t="shared" si="26"/>
        <v>26081412.286223423</v>
      </c>
      <c r="J154" s="309">
        <f t="shared" si="26"/>
        <v>25446289.824847013</v>
      </c>
      <c r="K154" s="309">
        <f t="shared" si="26"/>
        <v>24826633.571224924</v>
      </c>
      <c r="L154" s="308">
        <v>0</v>
      </c>
      <c r="M154" s="326">
        <v>0</v>
      </c>
      <c r="N154" s="327">
        <v>1</v>
      </c>
      <c r="O154" s="309">
        <f t="shared" si="19"/>
        <v>0</v>
      </c>
      <c r="P154" s="311">
        <f t="shared" si="20"/>
        <v>0</v>
      </c>
      <c r="Q154" s="312">
        <f t="shared" si="21"/>
        <v>24826633.571224924</v>
      </c>
      <c r="R154" s="310">
        <f t="shared" si="22"/>
        <v>0</v>
      </c>
      <c r="S154" s="309">
        <f t="shared" si="23"/>
        <v>0</v>
      </c>
      <c r="T154" s="311">
        <f t="shared" si="24"/>
        <v>0</v>
      </c>
      <c r="U154" s="312">
        <f t="shared" si="25"/>
        <v>24826633.571224924</v>
      </c>
      <c r="V154" s="321"/>
      <c r="W154" s="321"/>
      <c r="X154" s="321"/>
      <c r="Y154" s="321"/>
      <c r="AC154" s="436"/>
      <c r="AD154" s="436"/>
      <c r="AE154" s="436"/>
    </row>
    <row r="155" spans="1:31">
      <c r="A155" s="428" t="s">
        <v>3293</v>
      </c>
      <c r="B155" s="429"/>
      <c r="C155" s="430"/>
      <c r="D155" s="431">
        <v>25</v>
      </c>
      <c r="E155" s="432">
        <v>4695870.8551634159</v>
      </c>
      <c r="F155" s="309">
        <f t="shared" si="26"/>
        <v>4581131.6007372634</v>
      </c>
      <c r="G155" s="309">
        <f t="shared" si="26"/>
        <v>4468287.1033431478</v>
      </c>
      <c r="H155" s="309">
        <f t="shared" si="26"/>
        <v>4359477.4471762227</v>
      </c>
      <c r="I155" s="309">
        <f t="shared" si="26"/>
        <v>4253317.473315144</v>
      </c>
      <c r="J155" s="309">
        <f t="shared" si="26"/>
        <v>4149742.6579247168</v>
      </c>
      <c r="K155" s="309">
        <f t="shared" si="26"/>
        <v>4048690.0484242723</v>
      </c>
      <c r="L155" s="308">
        <v>0</v>
      </c>
      <c r="M155" s="326">
        <v>1</v>
      </c>
      <c r="N155" s="327">
        <v>0</v>
      </c>
      <c r="O155" s="309">
        <f t="shared" si="19"/>
        <v>0</v>
      </c>
      <c r="P155" s="311">
        <f t="shared" si="20"/>
        <v>4048690.0484242723</v>
      </c>
      <c r="Q155" s="312">
        <f t="shared" si="21"/>
        <v>0</v>
      </c>
      <c r="R155" s="310">
        <f t="shared" si="22"/>
        <v>0</v>
      </c>
      <c r="S155" s="309">
        <f t="shared" si="23"/>
        <v>0</v>
      </c>
      <c r="T155" s="311">
        <f t="shared" si="24"/>
        <v>0</v>
      </c>
      <c r="U155" s="312">
        <f t="shared" si="25"/>
        <v>4048690.0484242723</v>
      </c>
      <c r="V155" s="321"/>
      <c r="W155" s="321"/>
      <c r="X155" s="321"/>
      <c r="Y155" s="321"/>
      <c r="AC155" s="436"/>
      <c r="AD155" s="436"/>
      <c r="AE155" s="436"/>
    </row>
    <row r="156" spans="1:31">
      <c r="A156" s="428" t="s">
        <v>3294</v>
      </c>
      <c r="B156" s="429"/>
      <c r="C156" s="430"/>
      <c r="D156" s="431" t="s">
        <v>2505</v>
      </c>
      <c r="E156" s="432">
        <v>70665.744611738293</v>
      </c>
      <c r="F156" s="309">
        <f t="shared" si="26"/>
        <v>68939.092601855111</v>
      </c>
      <c r="G156" s="309">
        <f t="shared" si="26"/>
        <v>67240.95381575021</v>
      </c>
      <c r="H156" s="309">
        <f t="shared" si="26"/>
        <v>65603.533279466035</v>
      </c>
      <c r="I156" s="309">
        <f t="shared" si="26"/>
        <v>64005.986449018805</v>
      </c>
      <c r="J156" s="309">
        <f t="shared" si="26"/>
        <v>62447.342338408329</v>
      </c>
      <c r="K156" s="309">
        <f t="shared" si="26"/>
        <v>60926.653606635358</v>
      </c>
      <c r="L156" s="308">
        <v>0</v>
      </c>
      <c r="M156" s="326">
        <v>0</v>
      </c>
      <c r="N156" s="327">
        <v>1</v>
      </c>
      <c r="O156" s="309">
        <f t="shared" si="19"/>
        <v>0</v>
      </c>
      <c r="P156" s="311">
        <f t="shared" si="20"/>
        <v>0</v>
      </c>
      <c r="Q156" s="312">
        <f t="shared" si="21"/>
        <v>60926.653606635358</v>
      </c>
      <c r="R156" s="310">
        <f t="shared" si="22"/>
        <v>60926.653606635358</v>
      </c>
      <c r="S156" s="309">
        <f t="shared" si="23"/>
        <v>0</v>
      </c>
      <c r="T156" s="311">
        <f t="shared" si="24"/>
        <v>0</v>
      </c>
      <c r="U156" s="312">
        <f t="shared" si="25"/>
        <v>0</v>
      </c>
      <c r="V156" s="321"/>
      <c r="W156" s="321"/>
      <c r="X156" s="321"/>
      <c r="Y156" s="321"/>
      <c r="AC156" s="436"/>
      <c r="AD156" s="436"/>
      <c r="AE156" s="436"/>
    </row>
    <row r="157" spans="1:31">
      <c r="A157" s="428" t="s">
        <v>3295</v>
      </c>
      <c r="B157" s="429"/>
      <c r="C157" s="430"/>
      <c r="D157" s="431">
        <v>138</v>
      </c>
      <c r="E157" s="432">
        <v>4806220.3961719181</v>
      </c>
      <c r="F157" s="309">
        <f t="shared" si="26"/>
        <v>4688784.8529311651</v>
      </c>
      <c r="G157" s="309">
        <f t="shared" si="26"/>
        <v>4573288.5921311025</v>
      </c>
      <c r="H157" s="309">
        <f t="shared" si="26"/>
        <v>4461921.9883849854</v>
      </c>
      <c r="I157" s="309">
        <f t="shared" si="26"/>
        <v>4353267.332546832</v>
      </c>
      <c r="J157" s="309">
        <f t="shared" si="26"/>
        <v>4247258.5845183711</v>
      </c>
      <c r="K157" s="309">
        <f t="shared" si="26"/>
        <v>4143831.3123791907</v>
      </c>
      <c r="L157" s="308">
        <v>0</v>
      </c>
      <c r="M157" s="326">
        <v>0</v>
      </c>
      <c r="N157" s="327">
        <v>1</v>
      </c>
      <c r="O157" s="309">
        <f t="shared" si="19"/>
        <v>0</v>
      </c>
      <c r="P157" s="311">
        <f t="shared" si="20"/>
        <v>0</v>
      </c>
      <c r="Q157" s="312">
        <f t="shared" si="21"/>
        <v>4143831.3123791907</v>
      </c>
      <c r="R157" s="310">
        <f t="shared" si="22"/>
        <v>0</v>
      </c>
      <c r="S157" s="309">
        <f t="shared" si="23"/>
        <v>0</v>
      </c>
      <c r="T157" s="311">
        <f t="shared" si="24"/>
        <v>4143831.3123791907</v>
      </c>
      <c r="U157" s="312">
        <f t="shared" si="25"/>
        <v>0</v>
      </c>
      <c r="V157" s="321"/>
      <c r="W157" s="321"/>
      <c r="X157" s="321"/>
      <c r="Y157" s="321"/>
      <c r="AC157" s="436"/>
      <c r="AD157" s="436"/>
      <c r="AE157" s="436"/>
    </row>
    <row r="158" spans="1:31">
      <c r="A158" s="428" t="s">
        <v>3296</v>
      </c>
      <c r="B158" s="429"/>
      <c r="C158" s="430"/>
      <c r="D158" s="431">
        <v>25</v>
      </c>
      <c r="E158" s="432">
        <v>9907261.1570510603</v>
      </c>
      <c r="F158" s="309">
        <f t="shared" si="26"/>
        <v>9665186.4080584869</v>
      </c>
      <c r="G158" s="309">
        <f t="shared" si="26"/>
        <v>9427109.1822782289</v>
      </c>
      <c r="H158" s="309">
        <f t="shared" si="26"/>
        <v>9197544.5896171443</v>
      </c>
      <c r="I158" s="309">
        <f t="shared" si="26"/>
        <v>8973570.2474967781</v>
      </c>
      <c r="J158" s="309">
        <f t="shared" si="26"/>
        <v>8755050.0247274488</v>
      </c>
      <c r="K158" s="309">
        <f t="shared" si="26"/>
        <v>8541851.1051230971</v>
      </c>
      <c r="L158" s="308">
        <v>0</v>
      </c>
      <c r="M158" s="326">
        <v>1</v>
      </c>
      <c r="N158" s="327">
        <v>0</v>
      </c>
      <c r="O158" s="309">
        <f t="shared" si="19"/>
        <v>0</v>
      </c>
      <c r="P158" s="311">
        <f t="shared" si="20"/>
        <v>8541851.1051230971</v>
      </c>
      <c r="Q158" s="312">
        <f t="shared" si="21"/>
        <v>0</v>
      </c>
      <c r="R158" s="310">
        <f t="shared" si="22"/>
        <v>0</v>
      </c>
      <c r="S158" s="309">
        <f t="shared" si="23"/>
        <v>0</v>
      </c>
      <c r="T158" s="311">
        <f t="shared" si="24"/>
        <v>0</v>
      </c>
      <c r="U158" s="312">
        <f t="shared" si="25"/>
        <v>8541851.1051230971</v>
      </c>
      <c r="V158" s="321"/>
      <c r="W158" s="321"/>
      <c r="X158" s="321"/>
      <c r="Y158" s="321"/>
      <c r="AC158" s="436"/>
      <c r="AD158" s="436"/>
      <c r="AE158" s="436"/>
    </row>
    <row r="159" spans="1:31">
      <c r="A159" s="428" t="s">
        <v>3297</v>
      </c>
      <c r="B159" s="429"/>
      <c r="C159" s="430"/>
      <c r="D159" s="431">
        <v>25</v>
      </c>
      <c r="E159" s="432">
        <v>3121455.1343666399</v>
      </c>
      <c r="F159" s="309">
        <f t="shared" si="26"/>
        <v>3045185.2696517487</v>
      </c>
      <c r="G159" s="309">
        <f t="shared" si="26"/>
        <v>2970174.8942304193</v>
      </c>
      <c r="H159" s="309">
        <f t="shared" si="26"/>
        <v>2897846.5720966337</v>
      </c>
      <c r="I159" s="309">
        <f t="shared" si="26"/>
        <v>2827279.5557340509</v>
      </c>
      <c r="J159" s="309">
        <f t="shared" si="26"/>
        <v>2758430.9546410223</v>
      </c>
      <c r="K159" s="309">
        <f t="shared" si="26"/>
        <v>2691258.9227655134</v>
      </c>
      <c r="L159" s="308">
        <v>0</v>
      </c>
      <c r="M159" s="326">
        <v>1</v>
      </c>
      <c r="N159" s="327">
        <v>0</v>
      </c>
      <c r="O159" s="309">
        <f t="shared" si="19"/>
        <v>0</v>
      </c>
      <c r="P159" s="311">
        <f t="shared" si="20"/>
        <v>2691258.9227655134</v>
      </c>
      <c r="Q159" s="312">
        <f t="shared" si="21"/>
        <v>0</v>
      </c>
      <c r="R159" s="310">
        <f t="shared" si="22"/>
        <v>0</v>
      </c>
      <c r="S159" s="309">
        <f t="shared" si="23"/>
        <v>0</v>
      </c>
      <c r="T159" s="311">
        <f t="shared" si="24"/>
        <v>0</v>
      </c>
      <c r="U159" s="312">
        <f t="shared" si="25"/>
        <v>2691258.9227655134</v>
      </c>
      <c r="V159" s="321"/>
      <c r="W159" s="321"/>
      <c r="X159" s="321"/>
      <c r="Y159" s="321"/>
      <c r="AC159" s="436"/>
      <c r="AD159" s="436"/>
      <c r="AE159" s="436"/>
    </row>
    <row r="160" spans="1:31">
      <c r="A160" s="428" t="s">
        <v>3298</v>
      </c>
      <c r="B160" s="429"/>
      <c r="C160" s="430"/>
      <c r="D160" s="431">
        <v>25</v>
      </c>
      <c r="E160" s="432">
        <v>1066354.2407230358</v>
      </c>
      <c r="F160" s="309">
        <f t="shared" si="26"/>
        <v>1040298.8626454652</v>
      </c>
      <c r="G160" s="309">
        <f t="shared" si="26"/>
        <v>1014673.752405016</v>
      </c>
      <c r="H160" s="309">
        <f t="shared" si="26"/>
        <v>989964.88756099402</v>
      </c>
      <c r="I160" s="309">
        <f t="shared" si="26"/>
        <v>965857.72153931065</v>
      </c>
      <c r="J160" s="309">
        <f t="shared" si="26"/>
        <v>942337.60204917542</v>
      </c>
      <c r="K160" s="309">
        <f t="shared" si="26"/>
        <v>919390.2336055903</v>
      </c>
      <c r="L160" s="308">
        <v>0</v>
      </c>
      <c r="M160" s="326">
        <v>1</v>
      </c>
      <c r="N160" s="327">
        <v>0</v>
      </c>
      <c r="O160" s="309">
        <f t="shared" si="19"/>
        <v>0</v>
      </c>
      <c r="P160" s="311">
        <f t="shared" si="20"/>
        <v>919390.2336055903</v>
      </c>
      <c r="Q160" s="312">
        <f t="shared" si="21"/>
        <v>0</v>
      </c>
      <c r="R160" s="310">
        <f t="shared" si="22"/>
        <v>0</v>
      </c>
      <c r="S160" s="309">
        <f t="shared" si="23"/>
        <v>0</v>
      </c>
      <c r="T160" s="311">
        <f t="shared" si="24"/>
        <v>0</v>
      </c>
      <c r="U160" s="312">
        <f t="shared" si="25"/>
        <v>919390.2336055903</v>
      </c>
      <c r="V160" s="321"/>
      <c r="W160" s="321"/>
      <c r="X160" s="321"/>
      <c r="Y160" s="321"/>
      <c r="AC160" s="436"/>
      <c r="AD160" s="436"/>
      <c r="AE160" s="436"/>
    </row>
    <row r="161" spans="1:31">
      <c r="A161" s="428" t="s">
        <v>3299</v>
      </c>
      <c r="B161" s="429"/>
      <c r="C161" s="430"/>
      <c r="D161" s="431">
        <v>25</v>
      </c>
      <c r="E161" s="432">
        <v>1801595.3956981443</v>
      </c>
      <c r="F161" s="309">
        <f t="shared" si="26"/>
        <v>1757575.0810737121</v>
      </c>
      <c r="G161" s="309">
        <f t="shared" si="26"/>
        <v>1714281.699887224</v>
      </c>
      <c r="H161" s="309">
        <f t="shared" si="26"/>
        <v>1672536.3066249113</v>
      </c>
      <c r="I161" s="309">
        <f t="shared" si="26"/>
        <v>1631807.4778273187</v>
      </c>
      <c r="J161" s="309">
        <f t="shared" si="26"/>
        <v>1592070.4585878523</v>
      </c>
      <c r="K161" s="309">
        <f t="shared" si="26"/>
        <v>1553301.0968199279</v>
      </c>
      <c r="L161" s="308">
        <v>0</v>
      </c>
      <c r="M161" s="326">
        <v>1</v>
      </c>
      <c r="N161" s="327">
        <v>0</v>
      </c>
      <c r="O161" s="309">
        <f t="shared" si="19"/>
        <v>0</v>
      </c>
      <c r="P161" s="311">
        <f t="shared" si="20"/>
        <v>1553301.0968199279</v>
      </c>
      <c r="Q161" s="312">
        <f t="shared" si="21"/>
        <v>0</v>
      </c>
      <c r="R161" s="310">
        <f t="shared" si="22"/>
        <v>0</v>
      </c>
      <c r="S161" s="309">
        <f t="shared" si="23"/>
        <v>0</v>
      </c>
      <c r="T161" s="311">
        <f t="shared" si="24"/>
        <v>0</v>
      </c>
      <c r="U161" s="312">
        <f t="shared" si="25"/>
        <v>1553301.0968199279</v>
      </c>
      <c r="V161" s="321"/>
      <c r="W161" s="321"/>
      <c r="X161" s="321"/>
      <c r="Y161" s="321"/>
      <c r="AC161" s="436"/>
      <c r="AD161" s="436"/>
      <c r="AE161" s="436"/>
    </row>
    <row r="162" spans="1:31">
      <c r="A162" s="428" t="s">
        <v>3300</v>
      </c>
      <c r="B162" s="429"/>
      <c r="C162" s="430"/>
      <c r="D162" s="431">
        <v>240</v>
      </c>
      <c r="E162" s="432">
        <v>7303298.5900631258</v>
      </c>
      <c r="F162" s="309">
        <f t="shared" si="26"/>
        <v>7124849.2542697433</v>
      </c>
      <c r="G162" s="309">
        <f t="shared" si="26"/>
        <v>6949346.7576862527</v>
      </c>
      <c r="H162" s="309">
        <f t="shared" si="26"/>
        <v>6780119.4869670505</v>
      </c>
      <c r="I162" s="309">
        <f t="shared" si="26"/>
        <v>6615013.160295344</v>
      </c>
      <c r="J162" s="309">
        <f t="shared" si="26"/>
        <v>6453927.4263520436</v>
      </c>
      <c r="K162" s="309">
        <f t="shared" si="26"/>
        <v>6296764.3775268616</v>
      </c>
      <c r="L162" s="308">
        <v>0</v>
      </c>
      <c r="M162" s="326">
        <v>0</v>
      </c>
      <c r="N162" s="327">
        <v>1</v>
      </c>
      <c r="O162" s="309">
        <f t="shared" si="19"/>
        <v>0</v>
      </c>
      <c r="P162" s="311">
        <f t="shared" si="20"/>
        <v>0</v>
      </c>
      <c r="Q162" s="312">
        <f t="shared" si="21"/>
        <v>6296764.3775268616</v>
      </c>
      <c r="R162" s="310">
        <f t="shared" si="22"/>
        <v>0</v>
      </c>
      <c r="S162" s="309">
        <f t="shared" si="23"/>
        <v>6296764.3775268616</v>
      </c>
      <c r="T162" s="311">
        <f t="shared" si="24"/>
        <v>0</v>
      </c>
      <c r="U162" s="312">
        <f t="shared" si="25"/>
        <v>0</v>
      </c>
      <c r="V162" s="321"/>
      <c r="W162" s="321"/>
      <c r="X162" s="321"/>
      <c r="Y162" s="321"/>
      <c r="AC162" s="436"/>
      <c r="AD162" s="436"/>
      <c r="AE162" s="436"/>
    </row>
    <row r="163" spans="1:31">
      <c r="A163" s="428" t="s">
        <v>3301</v>
      </c>
      <c r="B163" s="429"/>
      <c r="C163" s="430"/>
      <c r="D163" s="431">
        <v>138</v>
      </c>
      <c r="E163" s="432">
        <v>6511545.6862633517</v>
      </c>
      <c r="F163" s="309">
        <f t="shared" si="26"/>
        <v>6352442.099250908</v>
      </c>
      <c r="G163" s="309">
        <f t="shared" si="26"/>
        <v>6195965.8836801033</v>
      </c>
      <c r="H163" s="309">
        <f t="shared" si="26"/>
        <v>6045084.5947582694</v>
      </c>
      <c r="I163" s="309">
        <f t="shared" si="26"/>
        <v>5897877.4970398871</v>
      </c>
      <c r="J163" s="309">
        <f t="shared" si="26"/>
        <v>5754255.1183240255</v>
      </c>
      <c r="K163" s="309">
        <f t="shared" si="26"/>
        <v>5614130.1651953105</v>
      </c>
      <c r="L163" s="308">
        <v>0</v>
      </c>
      <c r="M163" s="326">
        <v>0</v>
      </c>
      <c r="N163" s="327">
        <v>1</v>
      </c>
      <c r="O163" s="309">
        <f t="shared" si="19"/>
        <v>0</v>
      </c>
      <c r="P163" s="311">
        <f t="shared" si="20"/>
        <v>0</v>
      </c>
      <c r="Q163" s="312">
        <f t="shared" si="21"/>
        <v>5614130.1651953105</v>
      </c>
      <c r="R163" s="310">
        <f t="shared" si="22"/>
        <v>0</v>
      </c>
      <c r="S163" s="309">
        <f t="shared" si="23"/>
        <v>0</v>
      </c>
      <c r="T163" s="311">
        <f t="shared" si="24"/>
        <v>5614130.1651953105</v>
      </c>
      <c r="U163" s="312">
        <f t="shared" si="25"/>
        <v>0</v>
      </c>
      <c r="V163" s="321"/>
      <c r="W163" s="321"/>
      <c r="X163" s="321"/>
      <c r="Y163" s="321"/>
      <c r="AC163" s="436"/>
      <c r="AD163" s="436"/>
      <c r="AE163" s="436"/>
    </row>
    <row r="164" spans="1:31">
      <c r="A164" s="428" t="s">
        <v>3302</v>
      </c>
      <c r="B164" s="429"/>
      <c r="C164" s="430"/>
      <c r="D164" s="431">
        <v>25</v>
      </c>
      <c r="E164" s="432">
        <v>13017998.711696366</v>
      </c>
      <c r="F164" s="309">
        <f t="shared" si="26"/>
        <v>12699915.972121391</v>
      </c>
      <c r="G164" s="309">
        <f t="shared" si="26"/>
        <v>12387085.920570176</v>
      </c>
      <c r="H164" s="309">
        <f t="shared" si="26"/>
        <v>12085441.346541137</v>
      </c>
      <c r="I164" s="309">
        <f t="shared" si="26"/>
        <v>11791142.281344814</v>
      </c>
      <c r="J164" s="309">
        <f t="shared" si="26"/>
        <v>11504009.850555288</v>
      </c>
      <c r="K164" s="309">
        <f t="shared" si="26"/>
        <v>11223869.535613734</v>
      </c>
      <c r="L164" s="308">
        <v>0</v>
      </c>
      <c r="M164" s="326">
        <v>1</v>
      </c>
      <c r="N164" s="327">
        <v>0</v>
      </c>
      <c r="O164" s="309">
        <f t="shared" si="19"/>
        <v>0</v>
      </c>
      <c r="P164" s="311">
        <f t="shared" si="20"/>
        <v>11223869.535613734</v>
      </c>
      <c r="Q164" s="312">
        <f t="shared" si="21"/>
        <v>0</v>
      </c>
      <c r="R164" s="310">
        <f t="shared" si="22"/>
        <v>0</v>
      </c>
      <c r="S164" s="309">
        <f t="shared" si="23"/>
        <v>0</v>
      </c>
      <c r="T164" s="311">
        <f t="shared" si="24"/>
        <v>0</v>
      </c>
      <c r="U164" s="312">
        <f t="shared" si="25"/>
        <v>11223869.535613734</v>
      </c>
      <c r="V164" s="321"/>
      <c r="W164" s="321"/>
      <c r="X164" s="321"/>
      <c r="Y164" s="321"/>
      <c r="AC164" s="436"/>
      <c r="AD164" s="436"/>
      <c r="AE164" s="436"/>
    </row>
    <row r="165" spans="1:31">
      <c r="A165" s="428" t="s">
        <v>3303</v>
      </c>
      <c r="B165" s="429"/>
      <c r="C165" s="430"/>
      <c r="D165" s="431">
        <v>25</v>
      </c>
      <c r="E165" s="432">
        <v>4660906.3949868074</v>
      </c>
      <c r="F165" s="309">
        <f t="shared" si="26"/>
        <v>4547021.4647564888</v>
      </c>
      <c r="G165" s="309">
        <f t="shared" si="26"/>
        <v>4435017.1835985044</v>
      </c>
      <c r="H165" s="309">
        <f t="shared" si="26"/>
        <v>4327017.7010941915</v>
      </c>
      <c r="I165" s="309">
        <f t="shared" si="26"/>
        <v>4221648.1719222665</v>
      </c>
      <c r="J165" s="309">
        <f t="shared" si="26"/>
        <v>4118844.5526783508</v>
      </c>
      <c r="K165" s="309">
        <f t="shared" si="26"/>
        <v>4018544.3595133633</v>
      </c>
      <c r="L165" s="308">
        <v>0</v>
      </c>
      <c r="M165" s="326">
        <v>1</v>
      </c>
      <c r="N165" s="327">
        <v>0</v>
      </c>
      <c r="O165" s="309">
        <f t="shared" si="19"/>
        <v>0</v>
      </c>
      <c r="P165" s="311">
        <f t="shared" si="20"/>
        <v>4018544.3595133633</v>
      </c>
      <c r="Q165" s="312">
        <f t="shared" si="21"/>
        <v>0</v>
      </c>
      <c r="R165" s="310">
        <f t="shared" si="22"/>
        <v>0</v>
      </c>
      <c r="S165" s="309">
        <f t="shared" si="23"/>
        <v>0</v>
      </c>
      <c r="T165" s="311">
        <f t="shared" si="24"/>
        <v>0</v>
      </c>
      <c r="U165" s="312">
        <f t="shared" si="25"/>
        <v>4018544.3595133633</v>
      </c>
      <c r="V165" s="321"/>
      <c r="W165" s="321"/>
      <c r="X165" s="321"/>
      <c r="Y165" s="321"/>
      <c r="AC165" s="436"/>
      <c r="AD165" s="436"/>
      <c r="AE165" s="436"/>
    </row>
    <row r="166" spans="1:31">
      <c r="A166" s="428" t="s">
        <v>3304</v>
      </c>
      <c r="B166" s="429"/>
      <c r="C166" s="430"/>
      <c r="D166" s="431">
        <v>25</v>
      </c>
      <c r="E166" s="432">
        <v>731559.66268425714</v>
      </c>
      <c r="F166" s="309">
        <f t="shared" si="26"/>
        <v>713684.67999125062</v>
      </c>
      <c r="G166" s="309">
        <f t="shared" si="26"/>
        <v>696104.87743798364</v>
      </c>
      <c r="H166" s="309">
        <f t="shared" si="26"/>
        <v>679153.65415748418</v>
      </c>
      <c r="I166" s="309">
        <f t="shared" si="26"/>
        <v>662615.21920819557</v>
      </c>
      <c r="J166" s="309">
        <f t="shared" si="26"/>
        <v>646479.52056003327</v>
      </c>
      <c r="K166" s="309">
        <f t="shared" si="26"/>
        <v>630736.75096528966</v>
      </c>
      <c r="L166" s="308">
        <v>0</v>
      </c>
      <c r="M166" s="326">
        <v>1</v>
      </c>
      <c r="N166" s="327">
        <v>0</v>
      </c>
      <c r="O166" s="309">
        <f t="shared" si="19"/>
        <v>0</v>
      </c>
      <c r="P166" s="311">
        <f t="shared" si="20"/>
        <v>630736.75096528966</v>
      </c>
      <c r="Q166" s="312">
        <f t="shared" si="21"/>
        <v>0</v>
      </c>
      <c r="R166" s="310">
        <f t="shared" si="22"/>
        <v>0</v>
      </c>
      <c r="S166" s="309">
        <f t="shared" si="23"/>
        <v>0</v>
      </c>
      <c r="T166" s="311">
        <f t="shared" si="24"/>
        <v>0</v>
      </c>
      <c r="U166" s="312">
        <f t="shared" si="25"/>
        <v>630736.75096528966</v>
      </c>
      <c r="V166" s="321"/>
      <c r="W166" s="321"/>
      <c r="X166" s="321"/>
      <c r="Y166" s="321"/>
      <c r="AC166" s="436"/>
      <c r="AD166" s="436"/>
      <c r="AE166" s="436"/>
    </row>
    <row r="167" spans="1:31" ht="12.75" customHeight="1">
      <c r="A167" s="428" t="s">
        <v>3305</v>
      </c>
      <c r="B167" s="429"/>
      <c r="C167" s="430"/>
      <c r="D167" s="431">
        <v>25</v>
      </c>
      <c r="E167" s="432">
        <v>1015723.4380656877</v>
      </c>
      <c r="F167" s="309">
        <f t="shared" si="26"/>
        <v>990905.17675028567</v>
      </c>
      <c r="G167" s="309">
        <f t="shared" si="26"/>
        <v>966496.75403271569</v>
      </c>
      <c r="H167" s="309">
        <f t="shared" si="26"/>
        <v>942961.07311953872</v>
      </c>
      <c r="I167" s="309">
        <f t="shared" si="26"/>
        <v>919998.52219747193</v>
      </c>
      <c r="J167" s="309">
        <f t="shared" si="26"/>
        <v>897595.14467065921</v>
      </c>
      <c r="K167" s="309">
        <f t="shared" si="26"/>
        <v>875737.32380779623</v>
      </c>
      <c r="L167" s="308">
        <v>0.73684210526315785</v>
      </c>
      <c r="M167" s="326">
        <v>0.26315789473684209</v>
      </c>
      <c r="N167" s="327">
        <v>0</v>
      </c>
      <c r="O167" s="309">
        <f t="shared" si="19"/>
        <v>645280.1333320603</v>
      </c>
      <c r="P167" s="311">
        <f t="shared" si="20"/>
        <v>230457.19047573584</v>
      </c>
      <c r="Q167" s="312">
        <f t="shared" si="21"/>
        <v>0</v>
      </c>
      <c r="R167" s="310">
        <f t="shared" si="22"/>
        <v>0</v>
      </c>
      <c r="S167" s="309">
        <f t="shared" si="23"/>
        <v>645280.1333320603</v>
      </c>
      <c r="T167" s="311">
        <f t="shared" si="24"/>
        <v>0</v>
      </c>
      <c r="U167" s="312">
        <f t="shared" si="25"/>
        <v>230457.19047573584</v>
      </c>
      <c r="V167" s="321"/>
      <c r="W167" s="321"/>
      <c r="X167" s="321"/>
      <c r="Y167" s="321"/>
      <c r="AC167" s="436"/>
      <c r="AD167" s="436"/>
      <c r="AE167" s="436"/>
    </row>
    <row r="168" spans="1:31">
      <c r="A168" s="428" t="s">
        <v>3306</v>
      </c>
      <c r="B168" s="429"/>
      <c r="C168" s="430"/>
      <c r="D168" s="431">
        <v>25</v>
      </c>
      <c r="E168" s="432">
        <v>3281282.7773576714</v>
      </c>
      <c r="F168" s="309">
        <f t="shared" si="26"/>
        <v>3201107.6722392207</v>
      </c>
      <c r="G168" s="309">
        <f t="shared" si="26"/>
        <v>3122256.5459541455</v>
      </c>
      <c r="H168" s="309">
        <f t="shared" si="26"/>
        <v>3046224.8019384099</v>
      </c>
      <c r="I168" s="309">
        <f t="shared" si="26"/>
        <v>2972044.5477067423</v>
      </c>
      <c r="J168" s="309">
        <f t="shared" si="26"/>
        <v>2899670.6966382209</v>
      </c>
      <c r="K168" s="309">
        <f t="shared" si="26"/>
        <v>2829059.2600404145</v>
      </c>
      <c r="L168" s="308">
        <v>0</v>
      </c>
      <c r="M168" s="326">
        <v>1</v>
      </c>
      <c r="N168" s="327">
        <v>0</v>
      </c>
      <c r="O168" s="309">
        <f t="shared" si="19"/>
        <v>0</v>
      </c>
      <c r="P168" s="311">
        <f t="shared" si="20"/>
        <v>2829059.2600404145</v>
      </c>
      <c r="Q168" s="312">
        <f t="shared" si="21"/>
        <v>0</v>
      </c>
      <c r="R168" s="310">
        <f t="shared" si="22"/>
        <v>0</v>
      </c>
      <c r="S168" s="309">
        <f t="shared" si="23"/>
        <v>0</v>
      </c>
      <c r="T168" s="311">
        <f t="shared" si="24"/>
        <v>0</v>
      </c>
      <c r="U168" s="312">
        <f t="shared" si="25"/>
        <v>2829059.2600404145</v>
      </c>
      <c r="V168" s="321"/>
      <c r="W168" s="321"/>
      <c r="X168" s="321"/>
      <c r="Y168" s="321"/>
      <c r="AC168" s="436"/>
      <c r="AD168" s="436"/>
      <c r="AE168" s="436"/>
    </row>
    <row r="169" spans="1:31">
      <c r="A169" s="428" t="s">
        <v>3307</v>
      </c>
      <c r="B169" s="429"/>
      <c r="C169" s="430"/>
      <c r="D169" s="431">
        <v>25</v>
      </c>
      <c r="E169" s="432">
        <v>1378710.8972910636</v>
      </c>
      <c r="F169" s="309">
        <f t="shared" si="26"/>
        <v>1345023.373655177</v>
      </c>
      <c r="G169" s="309">
        <f t="shared" si="26"/>
        <v>1311892.1519808138</v>
      </c>
      <c r="H169" s="309">
        <f t="shared" si="26"/>
        <v>1279945.5624525095</v>
      </c>
      <c r="I169" s="309">
        <f t="shared" si="26"/>
        <v>1248776.9214628479</v>
      </c>
      <c r="J169" s="309">
        <f t="shared" si="26"/>
        <v>1218367.2847696508</v>
      </c>
      <c r="K169" s="309">
        <f t="shared" si="26"/>
        <v>1188698.1694521443</v>
      </c>
      <c r="L169" s="308">
        <v>0</v>
      </c>
      <c r="M169" s="326">
        <v>1</v>
      </c>
      <c r="N169" s="327">
        <v>0</v>
      </c>
      <c r="O169" s="309">
        <f t="shared" si="19"/>
        <v>0</v>
      </c>
      <c r="P169" s="311">
        <f t="shared" si="20"/>
        <v>1188698.1694521443</v>
      </c>
      <c r="Q169" s="312">
        <f t="shared" si="21"/>
        <v>0</v>
      </c>
      <c r="R169" s="310">
        <f t="shared" si="22"/>
        <v>0</v>
      </c>
      <c r="S169" s="309">
        <f t="shared" si="23"/>
        <v>0</v>
      </c>
      <c r="T169" s="311">
        <f t="shared" si="24"/>
        <v>0</v>
      </c>
      <c r="U169" s="312">
        <f t="shared" si="25"/>
        <v>1188698.1694521443</v>
      </c>
      <c r="V169" s="321"/>
      <c r="W169" s="321"/>
      <c r="X169" s="321"/>
      <c r="Y169" s="321"/>
      <c r="AC169" s="436"/>
      <c r="AD169" s="436"/>
      <c r="AE169" s="436"/>
    </row>
    <row r="170" spans="1:31">
      <c r="A170" s="428" t="s">
        <v>3308</v>
      </c>
      <c r="B170" s="429"/>
      <c r="C170" s="430"/>
      <c r="D170" s="431">
        <v>138</v>
      </c>
      <c r="E170" s="432">
        <v>27125072.462510895</v>
      </c>
      <c r="F170" s="309">
        <f t="shared" si="26"/>
        <v>26462296.443621516</v>
      </c>
      <c r="G170" s="309">
        <f t="shared" si="26"/>
        <v>25810465.236328978</v>
      </c>
      <c r="H170" s="309">
        <f t="shared" si="26"/>
        <v>25181940.751908079</v>
      </c>
      <c r="I170" s="309">
        <f t="shared" si="26"/>
        <v>24568721.804365318</v>
      </c>
      <c r="J170" s="309">
        <f t="shared" si="26"/>
        <v>23970435.68036186</v>
      </c>
      <c r="K170" s="309">
        <f t="shared" si="26"/>
        <v>23386718.742701322</v>
      </c>
      <c r="L170" s="308">
        <v>0</v>
      </c>
      <c r="M170" s="326">
        <v>0</v>
      </c>
      <c r="N170" s="327">
        <v>1</v>
      </c>
      <c r="O170" s="309">
        <f t="shared" si="19"/>
        <v>0</v>
      </c>
      <c r="P170" s="311">
        <f t="shared" si="20"/>
        <v>0</v>
      </c>
      <c r="Q170" s="312">
        <f t="shared" si="21"/>
        <v>23386718.742701322</v>
      </c>
      <c r="R170" s="310">
        <f t="shared" si="22"/>
        <v>0</v>
      </c>
      <c r="S170" s="309">
        <f t="shared" si="23"/>
        <v>0</v>
      </c>
      <c r="T170" s="311">
        <f t="shared" si="24"/>
        <v>23386718.742701322</v>
      </c>
      <c r="U170" s="312">
        <f t="shared" si="25"/>
        <v>0</v>
      </c>
      <c r="V170" s="321"/>
      <c r="W170" s="321"/>
      <c r="X170" s="321"/>
      <c r="Y170" s="321"/>
      <c r="AC170" s="436"/>
      <c r="AD170" s="436"/>
      <c r="AE170" s="436"/>
    </row>
    <row r="171" spans="1:31">
      <c r="A171" s="428" t="s">
        <v>3309</v>
      </c>
      <c r="B171" s="429"/>
      <c r="C171" s="430"/>
      <c r="D171" s="431" t="s">
        <v>2505</v>
      </c>
      <c r="E171" s="432">
        <v>613633.12908110442</v>
      </c>
      <c r="F171" s="309">
        <f t="shared" si="26"/>
        <v>598639.57199796289</v>
      </c>
      <c r="G171" s="309">
        <f t="shared" si="26"/>
        <v>583893.6123727326</v>
      </c>
      <c r="H171" s="309">
        <f t="shared" si="26"/>
        <v>569674.90580107889</v>
      </c>
      <c r="I171" s="309">
        <f t="shared" si="26"/>
        <v>555802.44658046111</v>
      </c>
      <c r="J171" s="309">
        <f t="shared" si="26"/>
        <v>542267.80305589724</v>
      </c>
      <c r="K171" s="309">
        <f t="shared" si="26"/>
        <v>529062.74889615912</v>
      </c>
      <c r="L171" s="308">
        <v>0</v>
      </c>
      <c r="M171" s="326">
        <v>0</v>
      </c>
      <c r="N171" s="327">
        <v>1</v>
      </c>
      <c r="O171" s="309">
        <f t="shared" si="19"/>
        <v>0</v>
      </c>
      <c r="P171" s="311">
        <f t="shared" si="20"/>
        <v>0</v>
      </c>
      <c r="Q171" s="312">
        <f t="shared" si="21"/>
        <v>529062.74889615912</v>
      </c>
      <c r="R171" s="310">
        <f t="shared" si="22"/>
        <v>529062.74889615912</v>
      </c>
      <c r="S171" s="309">
        <f t="shared" si="23"/>
        <v>0</v>
      </c>
      <c r="T171" s="311">
        <f t="shared" si="24"/>
        <v>0</v>
      </c>
      <c r="U171" s="312">
        <f t="shared" si="25"/>
        <v>0</v>
      </c>
      <c r="V171" s="321"/>
      <c r="W171" s="321"/>
      <c r="X171" s="321"/>
      <c r="Y171" s="321"/>
      <c r="AC171" s="436"/>
      <c r="AD171" s="436"/>
      <c r="AE171" s="436"/>
    </row>
    <row r="172" spans="1:31">
      <c r="A172" s="428" t="s">
        <v>3310</v>
      </c>
      <c r="B172" s="429"/>
      <c r="C172" s="430"/>
      <c r="D172" s="431">
        <v>13.8</v>
      </c>
      <c r="E172" s="432">
        <v>5046650.8277595602</v>
      </c>
      <c r="F172" s="309">
        <f t="shared" si="26"/>
        <v>4923340.5896405634</v>
      </c>
      <c r="G172" s="309">
        <f t="shared" si="26"/>
        <v>4802066.6462662611</v>
      </c>
      <c r="H172" s="309">
        <f t="shared" si="26"/>
        <v>4685128.9454009905</v>
      </c>
      <c r="I172" s="309">
        <f t="shared" si="26"/>
        <v>4571038.857218123</v>
      </c>
      <c r="J172" s="309">
        <f t="shared" si="26"/>
        <v>4459727.0379736926</v>
      </c>
      <c r="K172" s="309">
        <f t="shared" si="26"/>
        <v>4351125.8325504363</v>
      </c>
      <c r="L172" s="308">
        <v>0</v>
      </c>
      <c r="M172" s="326">
        <v>0</v>
      </c>
      <c r="N172" s="327">
        <v>1</v>
      </c>
      <c r="O172" s="309">
        <f t="shared" si="19"/>
        <v>0</v>
      </c>
      <c r="P172" s="311">
        <f t="shared" si="20"/>
        <v>0</v>
      </c>
      <c r="Q172" s="312">
        <f t="shared" si="21"/>
        <v>4351125.8325504363</v>
      </c>
      <c r="R172" s="310">
        <f t="shared" si="22"/>
        <v>0</v>
      </c>
      <c r="S172" s="309">
        <f t="shared" si="23"/>
        <v>0</v>
      </c>
      <c r="T172" s="311">
        <f t="shared" si="24"/>
        <v>0</v>
      </c>
      <c r="U172" s="312">
        <f t="shared" si="25"/>
        <v>4351125.8325504363</v>
      </c>
      <c r="V172" s="321"/>
      <c r="W172" s="321"/>
      <c r="X172" s="321"/>
      <c r="Y172" s="321"/>
      <c r="AC172" s="436"/>
      <c r="AD172" s="436"/>
      <c r="AE172" s="436"/>
    </row>
    <row r="173" spans="1:31">
      <c r="A173" s="428" t="s">
        <v>3311</v>
      </c>
      <c r="B173" s="429"/>
      <c r="C173" s="430"/>
      <c r="D173" s="431">
        <v>25</v>
      </c>
      <c r="E173" s="432">
        <v>5281705.1427079579</v>
      </c>
      <c r="F173" s="309">
        <f t="shared" si="26"/>
        <v>5152651.5701407455</v>
      </c>
      <c r="G173" s="309">
        <f t="shared" si="26"/>
        <v>5025729.1353899175</v>
      </c>
      <c r="H173" s="309">
        <f t="shared" si="26"/>
        <v>4903344.9092732202</v>
      </c>
      <c r="I173" s="309">
        <f t="shared" si="26"/>
        <v>4783940.9270969909</v>
      </c>
      <c r="J173" s="309">
        <f t="shared" si="26"/>
        <v>4667444.6153423516</v>
      </c>
      <c r="K173" s="309">
        <f t="shared" si="26"/>
        <v>4553785.1677671084</v>
      </c>
      <c r="L173" s="308">
        <v>0</v>
      </c>
      <c r="M173" s="326">
        <v>1</v>
      </c>
      <c r="N173" s="327">
        <v>0</v>
      </c>
      <c r="O173" s="309">
        <f t="shared" si="19"/>
        <v>0</v>
      </c>
      <c r="P173" s="311">
        <f t="shared" si="20"/>
        <v>4553785.1677671084</v>
      </c>
      <c r="Q173" s="312">
        <f t="shared" si="21"/>
        <v>0</v>
      </c>
      <c r="R173" s="310">
        <f t="shared" si="22"/>
        <v>0</v>
      </c>
      <c r="S173" s="309">
        <f t="shared" si="23"/>
        <v>0</v>
      </c>
      <c r="T173" s="311">
        <f t="shared" si="24"/>
        <v>0</v>
      </c>
      <c r="U173" s="312">
        <f t="shared" si="25"/>
        <v>4553785.1677671084</v>
      </c>
      <c r="V173" s="321"/>
      <c r="W173" s="321"/>
      <c r="X173" s="321"/>
      <c r="Y173" s="321"/>
      <c r="AC173" s="436"/>
      <c r="AD173" s="436"/>
      <c r="AE173" s="436"/>
    </row>
    <row r="174" spans="1:31">
      <c r="A174" s="428" t="s">
        <v>3312</v>
      </c>
      <c r="B174" s="429"/>
      <c r="C174" s="430"/>
      <c r="D174" s="431">
        <v>13.8</v>
      </c>
      <c r="E174" s="432">
        <v>816290.94034794823</v>
      </c>
      <c r="F174" s="309">
        <f t="shared" si="26"/>
        <v>796345.62737424055</v>
      </c>
      <c r="G174" s="309">
        <f t="shared" si="26"/>
        <v>776729.68312618928</v>
      </c>
      <c r="H174" s="309">
        <f t="shared" si="26"/>
        <v>757815.12195298926</v>
      </c>
      <c r="I174" s="309">
        <f t="shared" si="26"/>
        <v>739361.15940521425</v>
      </c>
      <c r="J174" s="309">
        <f t="shared" si="26"/>
        <v>721356.57919865858</v>
      </c>
      <c r="K174" s="309">
        <f t="shared" si="26"/>
        <v>703790.43818287004</v>
      </c>
      <c r="L174" s="308">
        <v>0.84905660377358494</v>
      </c>
      <c r="M174" s="326">
        <v>0.15094339622641509</v>
      </c>
      <c r="N174" s="327">
        <v>0</v>
      </c>
      <c r="O174" s="309">
        <f t="shared" si="19"/>
        <v>597557.91921187076</v>
      </c>
      <c r="P174" s="311">
        <f t="shared" si="20"/>
        <v>106232.51897099924</v>
      </c>
      <c r="Q174" s="312">
        <f t="shared" si="21"/>
        <v>0</v>
      </c>
      <c r="R174" s="310">
        <f t="shared" si="22"/>
        <v>0</v>
      </c>
      <c r="S174" s="309">
        <f t="shared" si="23"/>
        <v>597557.91921187076</v>
      </c>
      <c r="T174" s="311">
        <f t="shared" si="24"/>
        <v>0</v>
      </c>
      <c r="U174" s="312">
        <f t="shared" si="25"/>
        <v>106232.51897099924</v>
      </c>
      <c r="V174" s="321"/>
      <c r="W174" s="321"/>
      <c r="X174" s="321"/>
      <c r="Y174" s="321"/>
      <c r="AC174" s="436"/>
      <c r="AD174" s="436"/>
      <c r="AE174" s="436"/>
    </row>
    <row r="175" spans="1:31">
      <c r="A175" s="428" t="s">
        <v>3313</v>
      </c>
      <c r="B175" s="429"/>
      <c r="C175" s="430"/>
      <c r="D175" s="431">
        <v>138</v>
      </c>
      <c r="E175" s="432">
        <v>27642123.948953427</v>
      </c>
      <c r="F175" s="309">
        <f t="shared" si="26"/>
        <v>26966714.255952436</v>
      </c>
      <c r="G175" s="309">
        <f t="shared" si="26"/>
        <v>26302458.001865793</v>
      </c>
      <c r="H175" s="309">
        <f t="shared" si="26"/>
        <v>25661952.73769271</v>
      </c>
      <c r="I175" s="309">
        <f t="shared" si="26"/>
        <v>25037044.760792334</v>
      </c>
      <c r="J175" s="309">
        <f t="shared" si="26"/>
        <v>24427354.253255468</v>
      </c>
      <c r="K175" s="309">
        <f t="shared" si="26"/>
        <v>23832510.646322574</v>
      </c>
      <c r="L175" s="308">
        <v>0</v>
      </c>
      <c r="M175" s="326">
        <v>0</v>
      </c>
      <c r="N175" s="327">
        <v>1</v>
      </c>
      <c r="O175" s="309">
        <f t="shared" si="19"/>
        <v>0</v>
      </c>
      <c r="P175" s="311">
        <f t="shared" si="20"/>
        <v>0</v>
      </c>
      <c r="Q175" s="312">
        <f t="shared" si="21"/>
        <v>23832510.646322574</v>
      </c>
      <c r="R175" s="310">
        <f t="shared" si="22"/>
        <v>0</v>
      </c>
      <c r="S175" s="309">
        <f t="shared" si="23"/>
        <v>0</v>
      </c>
      <c r="T175" s="311">
        <f t="shared" si="24"/>
        <v>23832510.646322574</v>
      </c>
      <c r="U175" s="312">
        <f t="shared" si="25"/>
        <v>0</v>
      </c>
      <c r="V175" s="321"/>
      <c r="W175" s="321"/>
      <c r="X175" s="321"/>
      <c r="Y175" s="321"/>
      <c r="AC175" s="436"/>
      <c r="AD175" s="436"/>
      <c r="AE175" s="436"/>
    </row>
    <row r="176" spans="1:31">
      <c r="A176" s="428" t="s">
        <v>3314</v>
      </c>
      <c r="B176" s="429"/>
      <c r="C176" s="430"/>
      <c r="D176" s="431">
        <v>4.2</v>
      </c>
      <c r="E176" s="432">
        <v>311978.80324096029</v>
      </c>
      <c r="F176" s="309">
        <f t="shared" si="26"/>
        <v>304355.89017867472</v>
      </c>
      <c r="G176" s="309">
        <f t="shared" si="26"/>
        <v>296858.85877913493</v>
      </c>
      <c r="H176" s="309">
        <f t="shared" si="26"/>
        <v>289629.88946566009</v>
      </c>
      <c r="I176" s="309">
        <f t="shared" si="26"/>
        <v>282576.95666175772</v>
      </c>
      <c r="J176" s="309">
        <f t="shared" si="26"/>
        <v>275695.7736079524</v>
      </c>
      <c r="K176" s="309">
        <f t="shared" si="26"/>
        <v>268982.15793394815</v>
      </c>
      <c r="L176" s="308">
        <v>0</v>
      </c>
      <c r="M176" s="326">
        <v>1</v>
      </c>
      <c r="N176" s="327">
        <v>0</v>
      </c>
      <c r="O176" s="309">
        <f t="shared" si="19"/>
        <v>0</v>
      </c>
      <c r="P176" s="311">
        <f t="shared" si="20"/>
        <v>268982.15793394815</v>
      </c>
      <c r="Q176" s="312">
        <f t="shared" si="21"/>
        <v>0</v>
      </c>
      <c r="R176" s="310">
        <f t="shared" si="22"/>
        <v>0</v>
      </c>
      <c r="S176" s="309">
        <f t="shared" si="23"/>
        <v>0</v>
      </c>
      <c r="T176" s="311">
        <f t="shared" si="24"/>
        <v>0</v>
      </c>
      <c r="U176" s="312">
        <f t="shared" si="25"/>
        <v>268982.15793394815</v>
      </c>
      <c r="V176" s="321"/>
      <c r="W176" s="321"/>
      <c r="X176" s="321"/>
      <c r="Y176" s="321"/>
      <c r="AC176" s="436"/>
      <c r="AD176" s="436"/>
      <c r="AE176" s="436"/>
    </row>
    <row r="177" spans="1:31">
      <c r="A177" s="428" t="s">
        <v>3315</v>
      </c>
      <c r="B177" s="429"/>
      <c r="C177" s="430"/>
      <c r="D177" s="431">
        <v>13.8</v>
      </c>
      <c r="E177" s="432">
        <v>2760467.0699427505</v>
      </c>
      <c r="F177" s="309">
        <f t="shared" si="26"/>
        <v>2693017.6141884662</v>
      </c>
      <c r="G177" s="309">
        <f t="shared" si="26"/>
        <v>2626681.9911084194</v>
      </c>
      <c r="H177" s="309">
        <f t="shared" si="26"/>
        <v>2562718.2489176998</v>
      </c>
      <c r="I177" s="309">
        <f t="shared" si="26"/>
        <v>2500312.1221249956</v>
      </c>
      <c r="J177" s="309">
        <f t="shared" si="26"/>
        <v>2439425.6804022016</v>
      </c>
      <c r="K177" s="309">
        <f t="shared" si="26"/>
        <v>2380021.9170829798</v>
      </c>
      <c r="L177" s="308">
        <v>8.3180530088348054E-2</v>
      </c>
      <c r="M177" s="326">
        <v>0.91681946991165186</v>
      </c>
      <c r="N177" s="327">
        <v>0</v>
      </c>
      <c r="O177" s="309">
        <f t="shared" si="19"/>
        <v>197971.4846848486</v>
      </c>
      <c r="P177" s="311">
        <f t="shared" si="20"/>
        <v>2182050.4323981311</v>
      </c>
      <c r="Q177" s="312">
        <f t="shared" si="21"/>
        <v>0</v>
      </c>
      <c r="R177" s="310">
        <f t="shared" si="22"/>
        <v>0</v>
      </c>
      <c r="S177" s="309">
        <f t="shared" si="23"/>
        <v>197971.4846848486</v>
      </c>
      <c r="T177" s="311">
        <f t="shared" si="24"/>
        <v>0</v>
      </c>
      <c r="U177" s="312">
        <f t="shared" si="25"/>
        <v>2182050.4323981311</v>
      </c>
      <c r="V177" s="321"/>
      <c r="W177" s="321"/>
      <c r="X177" s="321"/>
      <c r="Y177" s="321"/>
      <c r="AC177" s="436"/>
      <c r="AD177" s="436"/>
      <c r="AE177" s="436"/>
    </row>
    <row r="178" spans="1:31">
      <c r="A178" s="428" t="s">
        <v>3316</v>
      </c>
      <c r="B178" s="429"/>
      <c r="C178" s="430"/>
      <c r="D178" s="431">
        <v>138</v>
      </c>
      <c r="E178" s="432">
        <v>4391418.2551021092</v>
      </c>
      <c r="F178" s="309">
        <f t="shared" si="26"/>
        <v>4284118.0179352844</v>
      </c>
      <c r="G178" s="309">
        <f t="shared" si="26"/>
        <v>4178589.6929176887</v>
      </c>
      <c r="H178" s="309">
        <f t="shared" si="26"/>
        <v>4076834.6137937787</v>
      </c>
      <c r="I178" s="309">
        <f t="shared" si="26"/>
        <v>3977557.4271858684</v>
      </c>
      <c r="J178" s="309">
        <f t="shared" si="26"/>
        <v>3880697.7926040902</v>
      </c>
      <c r="K178" s="309">
        <f t="shared" si="26"/>
        <v>3786196.838942213</v>
      </c>
      <c r="L178" s="308">
        <v>0</v>
      </c>
      <c r="M178" s="326">
        <v>0</v>
      </c>
      <c r="N178" s="327">
        <v>1</v>
      </c>
      <c r="O178" s="309">
        <f t="shared" si="19"/>
        <v>0</v>
      </c>
      <c r="P178" s="311">
        <f t="shared" si="20"/>
        <v>0</v>
      </c>
      <c r="Q178" s="312">
        <f t="shared" si="21"/>
        <v>3786196.838942213</v>
      </c>
      <c r="R178" s="310">
        <f t="shared" si="22"/>
        <v>0</v>
      </c>
      <c r="S178" s="309">
        <f t="shared" si="23"/>
        <v>0</v>
      </c>
      <c r="T178" s="311">
        <f t="shared" si="24"/>
        <v>3786196.838942213</v>
      </c>
      <c r="U178" s="312">
        <f t="shared" si="25"/>
        <v>0</v>
      </c>
      <c r="V178" s="321"/>
      <c r="W178" s="321"/>
      <c r="X178" s="321"/>
      <c r="Y178" s="321"/>
      <c r="AC178" s="436"/>
      <c r="AD178" s="436"/>
      <c r="AE178" s="436"/>
    </row>
    <row r="179" spans="1:31">
      <c r="A179" s="428" t="s">
        <v>3317</v>
      </c>
      <c r="B179" s="429"/>
      <c r="C179" s="430"/>
      <c r="D179" s="431">
        <v>25</v>
      </c>
      <c r="E179" s="432">
        <v>2601588.3984498642</v>
      </c>
      <c r="F179" s="309">
        <f t="shared" si="26"/>
        <v>2538020.9958596416</v>
      </c>
      <c r="G179" s="309">
        <f t="shared" si="26"/>
        <v>2475503.3193084151</v>
      </c>
      <c r="H179" s="309">
        <f t="shared" si="26"/>
        <v>2415221.0100511392</v>
      </c>
      <c r="I179" s="309">
        <f t="shared" si="26"/>
        <v>2356406.6676436937</v>
      </c>
      <c r="J179" s="309">
        <f t="shared" si="26"/>
        <v>2299024.5448378604</v>
      </c>
      <c r="K179" s="309">
        <f t="shared" si="26"/>
        <v>2243039.7648858377</v>
      </c>
      <c r="L179" s="308">
        <v>0</v>
      </c>
      <c r="M179" s="326">
        <v>1</v>
      </c>
      <c r="N179" s="327">
        <v>0</v>
      </c>
      <c r="O179" s="309">
        <f t="shared" si="19"/>
        <v>0</v>
      </c>
      <c r="P179" s="311">
        <f t="shared" si="20"/>
        <v>2243039.7648858377</v>
      </c>
      <c r="Q179" s="312">
        <f t="shared" si="21"/>
        <v>0</v>
      </c>
      <c r="R179" s="310">
        <f t="shared" si="22"/>
        <v>0</v>
      </c>
      <c r="S179" s="309">
        <f t="shared" si="23"/>
        <v>0</v>
      </c>
      <c r="T179" s="311">
        <f t="shared" si="24"/>
        <v>0</v>
      </c>
      <c r="U179" s="312">
        <f t="shared" si="25"/>
        <v>2243039.7648858377</v>
      </c>
      <c r="V179" s="321"/>
      <c r="W179" s="321"/>
      <c r="X179" s="321"/>
      <c r="Y179" s="321"/>
      <c r="AC179" s="436"/>
      <c r="AD179" s="436"/>
      <c r="AE179" s="436"/>
    </row>
    <row r="180" spans="1:31">
      <c r="A180" s="428" t="s">
        <v>3318</v>
      </c>
      <c r="B180" s="429"/>
      <c r="C180" s="430"/>
      <c r="D180" s="431">
        <v>25</v>
      </c>
      <c r="E180" s="432">
        <v>6523373.2607471552</v>
      </c>
      <c r="F180" s="309">
        <f t="shared" si="26"/>
        <v>6363980.6779084215</v>
      </c>
      <c r="G180" s="309">
        <f t="shared" si="26"/>
        <v>6207220.2388699828</v>
      </c>
      <c r="H180" s="309">
        <f t="shared" si="26"/>
        <v>6056064.8891077703</v>
      </c>
      <c r="I180" s="309">
        <f t="shared" si="26"/>
        <v>5908590.4043515492</v>
      </c>
      <c r="J180" s="309">
        <f t="shared" si="26"/>
        <v>5764707.1498830393</v>
      </c>
      <c r="K180" s="309">
        <f t="shared" si="26"/>
        <v>5624327.67372707</v>
      </c>
      <c r="L180" s="308">
        <v>0.7589285714285714</v>
      </c>
      <c r="M180" s="326">
        <v>0.24107142857142858</v>
      </c>
      <c r="N180" s="327">
        <v>0</v>
      </c>
      <c r="O180" s="309">
        <f t="shared" si="19"/>
        <v>4268462.9666678654</v>
      </c>
      <c r="P180" s="311">
        <f t="shared" si="20"/>
        <v>1355864.7070592043</v>
      </c>
      <c r="Q180" s="312">
        <f t="shared" si="21"/>
        <v>0</v>
      </c>
      <c r="R180" s="310">
        <f t="shared" si="22"/>
        <v>0</v>
      </c>
      <c r="S180" s="309">
        <f t="shared" si="23"/>
        <v>4268462.9666678654</v>
      </c>
      <c r="T180" s="311">
        <f t="shared" si="24"/>
        <v>0</v>
      </c>
      <c r="U180" s="312">
        <f t="shared" si="25"/>
        <v>1355864.7070592043</v>
      </c>
      <c r="V180" s="321"/>
      <c r="W180" s="321"/>
      <c r="X180" s="321"/>
      <c r="Y180" s="321"/>
      <c r="AC180" s="436"/>
      <c r="AD180" s="436"/>
      <c r="AE180" s="436"/>
    </row>
    <row r="181" spans="1:31">
      <c r="A181" s="428" t="s">
        <v>3319</v>
      </c>
      <c r="B181" s="429"/>
      <c r="C181" s="430"/>
      <c r="D181" s="431">
        <v>25</v>
      </c>
      <c r="E181" s="432">
        <v>7756240.4241798576</v>
      </c>
      <c r="F181" s="309">
        <f t="shared" si="26"/>
        <v>7566723.8742428357</v>
      </c>
      <c r="G181" s="309">
        <f t="shared" si="26"/>
        <v>7380336.9229551731</v>
      </c>
      <c r="H181" s="309">
        <f t="shared" si="26"/>
        <v>7200614.3795264009</v>
      </c>
      <c r="I181" s="309">
        <f t="shared" si="26"/>
        <v>7025268.3561608316</v>
      </c>
      <c r="J181" s="309">
        <f t="shared" si="26"/>
        <v>6854192.2778707193</v>
      </c>
      <c r="K181" s="309">
        <f t="shared" si="26"/>
        <v>6687282.1649330128</v>
      </c>
      <c r="L181" s="308">
        <v>0.71000539604100998</v>
      </c>
      <c r="M181" s="326">
        <v>0.28999460395899013</v>
      </c>
      <c r="N181" s="327">
        <v>0</v>
      </c>
      <c r="O181" s="309">
        <f t="shared" si="19"/>
        <v>4748006.4219512464</v>
      </c>
      <c r="P181" s="311">
        <f t="shared" si="20"/>
        <v>1939275.742981767</v>
      </c>
      <c r="Q181" s="312">
        <f t="shared" si="21"/>
        <v>0</v>
      </c>
      <c r="R181" s="310">
        <f t="shared" si="22"/>
        <v>0</v>
      </c>
      <c r="S181" s="309">
        <f t="shared" si="23"/>
        <v>4748006.4219512464</v>
      </c>
      <c r="T181" s="311">
        <f t="shared" si="24"/>
        <v>0</v>
      </c>
      <c r="U181" s="312">
        <f t="shared" si="25"/>
        <v>1939275.742981767</v>
      </c>
      <c r="V181" s="321"/>
      <c r="W181" s="321"/>
      <c r="X181" s="321"/>
      <c r="Y181" s="321"/>
      <c r="AC181" s="436"/>
      <c r="AD181" s="436"/>
      <c r="AE181" s="436"/>
    </row>
    <row r="182" spans="1:31">
      <c r="A182" s="428" t="s">
        <v>3320</v>
      </c>
      <c r="B182" s="429"/>
      <c r="C182" s="430"/>
      <c r="D182" s="431">
        <v>25</v>
      </c>
      <c r="E182" s="432">
        <v>12809271.926137697</v>
      </c>
      <c r="F182" s="309">
        <f t="shared" si="26"/>
        <v>12496289.232218245</v>
      </c>
      <c r="G182" s="309">
        <f t="shared" si="26"/>
        <v>12188475.006258391</v>
      </c>
      <c r="H182" s="309">
        <f t="shared" si="26"/>
        <v>11891666.913144173</v>
      </c>
      <c r="I182" s="309">
        <f t="shared" si="26"/>
        <v>11602086.553121494</v>
      </c>
      <c r="J182" s="309">
        <f t="shared" si="26"/>
        <v>11319557.91978468</v>
      </c>
      <c r="K182" s="309">
        <f t="shared" si="26"/>
        <v>11043909.292754466</v>
      </c>
      <c r="L182" s="308">
        <v>0.71000539604100998</v>
      </c>
      <c r="M182" s="326">
        <v>0.28999460395899013</v>
      </c>
      <c r="N182" s="327">
        <v>0</v>
      </c>
      <c r="O182" s="309">
        <f t="shared" si="19"/>
        <v>7841235.1912431251</v>
      </c>
      <c r="P182" s="311">
        <f t="shared" si="20"/>
        <v>3202674.101511342</v>
      </c>
      <c r="Q182" s="312">
        <f t="shared" si="21"/>
        <v>0</v>
      </c>
      <c r="R182" s="310">
        <f t="shared" si="22"/>
        <v>0</v>
      </c>
      <c r="S182" s="309">
        <f t="shared" si="23"/>
        <v>7841235.1912431251</v>
      </c>
      <c r="T182" s="311">
        <f t="shared" si="24"/>
        <v>0</v>
      </c>
      <c r="U182" s="312">
        <f t="shared" si="25"/>
        <v>3202674.101511342</v>
      </c>
      <c r="V182" s="321"/>
      <c r="W182" s="321"/>
      <c r="X182" s="321"/>
      <c r="Y182" s="321"/>
      <c r="AC182" s="436"/>
      <c r="AD182" s="436"/>
      <c r="AE182" s="436"/>
    </row>
    <row r="183" spans="1:31">
      <c r="A183" s="428" t="s">
        <v>3321</v>
      </c>
      <c r="B183" s="429"/>
      <c r="C183" s="430"/>
      <c r="D183" s="431">
        <v>25</v>
      </c>
      <c r="E183" s="432">
        <v>13048630.718591526</v>
      </c>
      <c r="F183" s="309">
        <f t="shared" si="26"/>
        <v>12729799.514303373</v>
      </c>
      <c r="G183" s="309">
        <f t="shared" si="26"/>
        <v>12416233.357878564</v>
      </c>
      <c r="H183" s="309">
        <f t="shared" si="26"/>
        <v>12113878.998968134</v>
      </c>
      <c r="I183" s="309">
        <f t="shared" si="26"/>
        <v>11818887.433242813</v>
      </c>
      <c r="J183" s="309">
        <f t="shared" si="26"/>
        <v>11531079.365376147</v>
      </c>
      <c r="K183" s="309">
        <f t="shared" si="26"/>
        <v>11250279.866158351</v>
      </c>
      <c r="L183" s="308">
        <v>0</v>
      </c>
      <c r="M183" s="326">
        <v>1</v>
      </c>
      <c r="N183" s="327">
        <v>0</v>
      </c>
      <c r="O183" s="309">
        <f t="shared" si="19"/>
        <v>0</v>
      </c>
      <c r="P183" s="311">
        <f t="shared" si="20"/>
        <v>11250279.866158351</v>
      </c>
      <c r="Q183" s="312">
        <f t="shared" si="21"/>
        <v>0</v>
      </c>
      <c r="R183" s="310">
        <f t="shared" si="22"/>
        <v>0</v>
      </c>
      <c r="S183" s="309">
        <f t="shared" si="23"/>
        <v>0</v>
      </c>
      <c r="T183" s="311">
        <f t="shared" si="24"/>
        <v>0</v>
      </c>
      <c r="U183" s="312">
        <f t="shared" si="25"/>
        <v>11250279.866158351</v>
      </c>
      <c r="V183" s="321"/>
      <c r="W183" s="321"/>
      <c r="X183" s="321"/>
      <c r="Y183" s="321"/>
      <c r="AC183" s="436"/>
      <c r="AD183" s="436"/>
      <c r="AE183" s="436"/>
    </row>
    <row r="184" spans="1:31">
      <c r="A184" s="428" t="s">
        <v>3322</v>
      </c>
      <c r="B184" s="429"/>
      <c r="C184" s="430"/>
      <c r="D184" s="431">
        <v>25</v>
      </c>
      <c r="E184" s="432">
        <v>1203960.8292897572</v>
      </c>
      <c r="F184" s="309">
        <f t="shared" si="26"/>
        <v>1174543.1616894859</v>
      </c>
      <c r="G184" s="309">
        <f t="shared" si="26"/>
        <v>1145611.285397782</v>
      </c>
      <c r="H184" s="309">
        <f t="shared" si="26"/>
        <v>1117713.8904493204</v>
      </c>
      <c r="I184" s="309">
        <f t="shared" si="26"/>
        <v>1090495.8399301872</v>
      </c>
      <c r="J184" s="309">
        <f t="shared" si="26"/>
        <v>1063940.5907597642</v>
      </c>
      <c r="K184" s="309">
        <f t="shared" si="26"/>
        <v>1038032.0027068639</v>
      </c>
      <c r="L184" s="308">
        <v>0</v>
      </c>
      <c r="M184" s="326">
        <v>1</v>
      </c>
      <c r="N184" s="327">
        <v>0</v>
      </c>
      <c r="O184" s="309">
        <f t="shared" si="19"/>
        <v>0</v>
      </c>
      <c r="P184" s="311">
        <f t="shared" si="20"/>
        <v>1038032.0027068639</v>
      </c>
      <c r="Q184" s="312">
        <f t="shared" si="21"/>
        <v>0</v>
      </c>
      <c r="R184" s="310">
        <f t="shared" si="22"/>
        <v>0</v>
      </c>
      <c r="S184" s="309">
        <f t="shared" si="23"/>
        <v>0</v>
      </c>
      <c r="T184" s="311">
        <f t="shared" si="24"/>
        <v>0</v>
      </c>
      <c r="U184" s="312">
        <f t="shared" si="25"/>
        <v>1038032.0027068639</v>
      </c>
      <c r="V184" s="321"/>
      <c r="W184" s="321"/>
      <c r="X184" s="321"/>
      <c r="Y184" s="321"/>
      <c r="AC184" s="436"/>
      <c r="AD184" s="436"/>
      <c r="AE184" s="436"/>
    </row>
    <row r="185" spans="1:31">
      <c r="A185" s="428" t="s">
        <v>3323</v>
      </c>
      <c r="B185" s="429"/>
      <c r="C185" s="430"/>
      <c r="D185" s="431">
        <v>25</v>
      </c>
      <c r="E185" s="432">
        <v>4333193.7691967851</v>
      </c>
      <c r="F185" s="309">
        <f t="shared" si="26"/>
        <v>4227316.1934080468</v>
      </c>
      <c r="G185" s="309">
        <f t="shared" si="26"/>
        <v>4123187.0365214893</v>
      </c>
      <c r="H185" s="309">
        <f t="shared" si="26"/>
        <v>4022781.0972030084</v>
      </c>
      <c r="I185" s="309">
        <f t="shared" si="26"/>
        <v>3924820.1967734089</v>
      </c>
      <c r="J185" s="309">
        <f t="shared" si="26"/>
        <v>3829244.7947791209</v>
      </c>
      <c r="K185" s="309">
        <f t="shared" si="26"/>
        <v>3735996.800668098</v>
      </c>
      <c r="L185" s="308">
        <v>0</v>
      </c>
      <c r="M185" s="326">
        <v>1</v>
      </c>
      <c r="N185" s="327">
        <v>0</v>
      </c>
      <c r="O185" s="309">
        <f t="shared" si="19"/>
        <v>0</v>
      </c>
      <c r="P185" s="311">
        <f t="shared" si="20"/>
        <v>3735996.800668098</v>
      </c>
      <c r="Q185" s="312">
        <f t="shared" si="21"/>
        <v>0</v>
      </c>
      <c r="R185" s="310">
        <f t="shared" si="22"/>
        <v>0</v>
      </c>
      <c r="S185" s="309">
        <f t="shared" si="23"/>
        <v>0</v>
      </c>
      <c r="T185" s="311">
        <f t="shared" si="24"/>
        <v>0</v>
      </c>
      <c r="U185" s="312">
        <f t="shared" si="25"/>
        <v>3735996.800668098</v>
      </c>
      <c r="V185" s="321"/>
      <c r="W185" s="321"/>
      <c r="X185" s="321"/>
      <c r="Y185" s="321"/>
      <c r="AC185" s="436"/>
      <c r="AD185" s="436"/>
      <c r="AE185" s="436"/>
    </row>
    <row r="186" spans="1:31">
      <c r="A186" s="428" t="s">
        <v>3324</v>
      </c>
      <c r="B186" s="429"/>
      <c r="C186" s="430"/>
      <c r="D186" s="431">
        <v>25</v>
      </c>
      <c r="E186" s="432">
        <v>488378.41278934572</v>
      </c>
      <c r="F186" s="309">
        <f t="shared" si="26"/>
        <v>476445.33867175964</v>
      </c>
      <c r="G186" s="309">
        <f t="shared" si="26"/>
        <v>464709.32245045493</v>
      </c>
      <c r="H186" s="309">
        <f t="shared" si="26"/>
        <v>453392.93645646499</v>
      </c>
      <c r="I186" s="309">
        <f t="shared" si="26"/>
        <v>442352.12184823869</v>
      </c>
      <c r="J186" s="309">
        <f t="shared" si="26"/>
        <v>431580.16803913721</v>
      </c>
      <c r="K186" s="309">
        <f t="shared" si="26"/>
        <v>421070.52785561664</v>
      </c>
      <c r="L186" s="308">
        <v>0</v>
      </c>
      <c r="M186" s="326">
        <v>1</v>
      </c>
      <c r="N186" s="327">
        <v>0</v>
      </c>
      <c r="O186" s="309">
        <f t="shared" si="19"/>
        <v>0</v>
      </c>
      <c r="P186" s="311">
        <f t="shared" si="20"/>
        <v>421070.52785561664</v>
      </c>
      <c r="Q186" s="312">
        <f t="shared" si="21"/>
        <v>0</v>
      </c>
      <c r="R186" s="310">
        <f t="shared" si="22"/>
        <v>0</v>
      </c>
      <c r="S186" s="309">
        <f t="shared" si="23"/>
        <v>0</v>
      </c>
      <c r="T186" s="311">
        <f t="shared" si="24"/>
        <v>0</v>
      </c>
      <c r="U186" s="312">
        <f t="shared" si="25"/>
        <v>421070.52785561664</v>
      </c>
      <c r="V186" s="321"/>
      <c r="W186" s="321"/>
      <c r="X186" s="321"/>
      <c r="Y186" s="321"/>
      <c r="AC186" s="436"/>
      <c r="AD186" s="436"/>
      <c r="AE186" s="436"/>
    </row>
    <row r="187" spans="1:31">
      <c r="A187" s="428" t="s">
        <v>3325</v>
      </c>
      <c r="B187" s="429"/>
      <c r="C187" s="430"/>
      <c r="D187" s="431">
        <v>25</v>
      </c>
      <c r="E187" s="432">
        <v>1036941.4760579902</v>
      </c>
      <c r="F187" s="309">
        <f t="shared" si="26"/>
        <v>1011604.7716391231</v>
      </c>
      <c r="G187" s="309">
        <f t="shared" si="26"/>
        <v>986686.46717506123</v>
      </c>
      <c r="H187" s="309">
        <f t="shared" si="26"/>
        <v>962659.13572683162</v>
      </c>
      <c r="I187" s="309">
        <f t="shared" si="26"/>
        <v>939216.90671562636</v>
      </c>
      <c r="J187" s="309">
        <f t="shared" si="26"/>
        <v>916345.53199813631</v>
      </c>
      <c r="K187" s="309">
        <f t="shared" si="26"/>
        <v>894031.11039523303</v>
      </c>
      <c r="L187" s="308">
        <v>0</v>
      </c>
      <c r="M187" s="326">
        <v>1</v>
      </c>
      <c r="N187" s="327">
        <v>0</v>
      </c>
      <c r="O187" s="309">
        <f t="shared" si="19"/>
        <v>0</v>
      </c>
      <c r="P187" s="311">
        <f t="shared" si="20"/>
        <v>894031.11039523303</v>
      </c>
      <c r="Q187" s="312">
        <f t="shared" si="21"/>
        <v>0</v>
      </c>
      <c r="R187" s="310">
        <f t="shared" si="22"/>
        <v>0</v>
      </c>
      <c r="S187" s="309">
        <f t="shared" si="23"/>
        <v>0</v>
      </c>
      <c r="T187" s="311">
        <f t="shared" si="24"/>
        <v>0</v>
      </c>
      <c r="U187" s="312">
        <f t="shared" si="25"/>
        <v>894031.11039523303</v>
      </c>
      <c r="V187" s="321"/>
      <c r="W187" s="321"/>
      <c r="X187" s="321"/>
      <c r="Y187" s="321"/>
      <c r="AC187" s="436"/>
      <c r="AD187" s="436"/>
      <c r="AE187" s="436"/>
    </row>
    <row r="188" spans="1:31">
      <c r="A188" s="428" t="s">
        <v>3326</v>
      </c>
      <c r="B188" s="429"/>
      <c r="C188" s="430"/>
      <c r="D188" s="431">
        <v>25</v>
      </c>
      <c r="E188" s="432">
        <v>18009098.842891887</v>
      </c>
      <c r="F188" s="309">
        <f t="shared" si="26"/>
        <v>17569063.195010256</v>
      </c>
      <c r="G188" s="309">
        <f t="shared" si="26"/>
        <v>17136294.115508735</v>
      </c>
      <c r="H188" s="309">
        <f t="shared" si="26"/>
        <v>16718999.025117449</v>
      </c>
      <c r="I188" s="309">
        <f t="shared" si="26"/>
        <v>16311865.711320968</v>
      </c>
      <c r="J188" s="309">
        <f t="shared" si="26"/>
        <v>15914646.719246374</v>
      </c>
      <c r="K188" s="309">
        <f t="shared" si="26"/>
        <v>15527100.619927097</v>
      </c>
      <c r="L188" s="308">
        <v>0</v>
      </c>
      <c r="M188" s="326">
        <v>1</v>
      </c>
      <c r="N188" s="327">
        <v>0</v>
      </c>
      <c r="O188" s="309">
        <f t="shared" si="19"/>
        <v>0</v>
      </c>
      <c r="P188" s="311">
        <f t="shared" si="20"/>
        <v>15527100.619927097</v>
      </c>
      <c r="Q188" s="312">
        <f t="shared" si="21"/>
        <v>0</v>
      </c>
      <c r="R188" s="310">
        <f t="shared" si="22"/>
        <v>0</v>
      </c>
      <c r="S188" s="309">
        <f t="shared" si="23"/>
        <v>0</v>
      </c>
      <c r="T188" s="311">
        <f t="shared" si="24"/>
        <v>0</v>
      </c>
      <c r="U188" s="312">
        <f t="shared" si="25"/>
        <v>15527100.619927097</v>
      </c>
      <c r="V188" s="321"/>
      <c r="W188" s="321"/>
      <c r="X188" s="321"/>
      <c r="Y188" s="321"/>
      <c r="AC188" s="436"/>
      <c r="AD188" s="436"/>
      <c r="AE188" s="436"/>
    </row>
    <row r="189" spans="1:31">
      <c r="A189" s="428" t="s">
        <v>3327</v>
      </c>
      <c r="B189" s="429"/>
      <c r="C189" s="430"/>
      <c r="D189" s="431">
        <v>138</v>
      </c>
      <c r="E189" s="432">
        <v>50973.987186156111</v>
      </c>
      <c r="F189" s="309">
        <f t="shared" si="26"/>
        <v>49728.485027927723</v>
      </c>
      <c r="G189" s="309">
        <f t="shared" si="26"/>
        <v>48503.550581983363</v>
      </c>
      <c r="H189" s="309">
        <f t="shared" si="26"/>
        <v>47322.414603108613</v>
      </c>
      <c r="I189" s="309">
        <f t="shared" si="26"/>
        <v>46170.04110004961</v>
      </c>
      <c r="J189" s="309">
        <f t="shared" si="26"/>
        <v>45045.729662328784</v>
      </c>
      <c r="K189" s="309">
        <f t="shared" si="26"/>
        <v>43948.796935539809</v>
      </c>
      <c r="L189" s="308">
        <v>0</v>
      </c>
      <c r="M189" s="326">
        <v>0</v>
      </c>
      <c r="N189" s="327">
        <v>1</v>
      </c>
      <c r="O189" s="309">
        <f t="shared" si="19"/>
        <v>0</v>
      </c>
      <c r="P189" s="311">
        <f t="shared" si="20"/>
        <v>0</v>
      </c>
      <c r="Q189" s="312">
        <f t="shared" si="21"/>
        <v>43948.796935539809</v>
      </c>
      <c r="R189" s="310">
        <f t="shared" si="22"/>
        <v>0</v>
      </c>
      <c r="S189" s="309">
        <f t="shared" si="23"/>
        <v>0</v>
      </c>
      <c r="T189" s="311">
        <f t="shared" si="24"/>
        <v>43948.796935539809</v>
      </c>
      <c r="U189" s="312">
        <f t="shared" si="25"/>
        <v>0</v>
      </c>
      <c r="V189" s="321"/>
      <c r="W189" s="321"/>
      <c r="X189" s="321"/>
      <c r="Y189" s="321"/>
      <c r="AC189" s="436"/>
      <c r="AD189" s="436"/>
      <c r="AE189" s="436"/>
    </row>
    <row r="190" spans="1:31">
      <c r="A190" s="428" t="s">
        <v>3328</v>
      </c>
      <c r="B190" s="429"/>
      <c r="C190" s="430"/>
      <c r="D190" s="431">
        <v>138</v>
      </c>
      <c r="E190" s="432">
        <v>40774.711885043755</v>
      </c>
      <c r="F190" s="309">
        <f t="shared" si="26"/>
        <v>39778.419570917009</v>
      </c>
      <c r="G190" s="309">
        <f t="shared" si="26"/>
        <v>38798.57961982501</v>
      </c>
      <c r="H190" s="309">
        <f t="shared" si="26"/>
        <v>37853.774594865994</v>
      </c>
      <c r="I190" s="309">
        <f t="shared" si="26"/>
        <v>36931.977023889427</v>
      </c>
      <c r="J190" s="309">
        <f t="shared" si="26"/>
        <v>36032.626640041555</v>
      </c>
      <c r="K190" s="309">
        <f t="shared" si="26"/>
        <v>35155.176819827306</v>
      </c>
      <c r="L190" s="308">
        <v>0</v>
      </c>
      <c r="M190" s="326">
        <v>0</v>
      </c>
      <c r="N190" s="327">
        <v>1</v>
      </c>
      <c r="O190" s="309">
        <f t="shared" si="19"/>
        <v>0</v>
      </c>
      <c r="P190" s="311">
        <f t="shared" si="20"/>
        <v>0</v>
      </c>
      <c r="Q190" s="312">
        <f t="shared" si="21"/>
        <v>35155.176819827306</v>
      </c>
      <c r="R190" s="310">
        <f t="shared" si="22"/>
        <v>0</v>
      </c>
      <c r="S190" s="309">
        <f t="shared" si="23"/>
        <v>0</v>
      </c>
      <c r="T190" s="311">
        <f t="shared" si="24"/>
        <v>35155.176819827306</v>
      </c>
      <c r="U190" s="312">
        <f t="shared" si="25"/>
        <v>0</v>
      </c>
      <c r="V190" s="321"/>
      <c r="W190" s="321"/>
      <c r="X190" s="321"/>
      <c r="Y190" s="321"/>
      <c r="AC190" s="436"/>
      <c r="AD190" s="436"/>
      <c r="AE190" s="436"/>
    </row>
    <row r="191" spans="1:31">
      <c r="A191" s="428" t="s">
        <v>3329</v>
      </c>
      <c r="B191" s="429"/>
      <c r="C191" s="430"/>
      <c r="D191" s="431">
        <v>25</v>
      </c>
      <c r="E191" s="432">
        <v>3548896.0617914139</v>
      </c>
      <c r="F191" s="309">
        <f t="shared" si="26"/>
        <v>3462182.0739656803</v>
      </c>
      <c r="G191" s="309">
        <f t="shared" si="26"/>
        <v>3376900.0454029781</v>
      </c>
      <c r="H191" s="309">
        <f t="shared" si="26"/>
        <v>3294667.340934312</v>
      </c>
      <c r="I191" s="309">
        <f t="shared" si="26"/>
        <v>3214437.1291640708</v>
      </c>
      <c r="J191" s="309">
        <f t="shared" si="26"/>
        <v>3136160.646318363</v>
      </c>
      <c r="K191" s="309">
        <f t="shared" si="26"/>
        <v>3059790.3160961121</v>
      </c>
      <c r="L191" s="308">
        <v>0</v>
      </c>
      <c r="M191" s="326">
        <v>1</v>
      </c>
      <c r="N191" s="327">
        <v>0</v>
      </c>
      <c r="O191" s="309">
        <f t="shared" si="19"/>
        <v>0</v>
      </c>
      <c r="P191" s="311">
        <f t="shared" si="20"/>
        <v>3059790.3160961121</v>
      </c>
      <c r="Q191" s="312">
        <f t="shared" si="21"/>
        <v>0</v>
      </c>
      <c r="R191" s="310">
        <f t="shared" si="22"/>
        <v>0</v>
      </c>
      <c r="S191" s="309">
        <f t="shared" si="23"/>
        <v>0</v>
      </c>
      <c r="T191" s="311">
        <f t="shared" si="24"/>
        <v>0</v>
      </c>
      <c r="U191" s="312">
        <f t="shared" si="25"/>
        <v>3059790.3160961121</v>
      </c>
      <c r="V191" s="321"/>
      <c r="W191" s="321"/>
      <c r="X191" s="321"/>
      <c r="Y191" s="321"/>
      <c r="AC191" s="436"/>
      <c r="AD191" s="436"/>
      <c r="AE191" s="436"/>
    </row>
    <row r="192" spans="1:31">
      <c r="A192" s="428" t="s">
        <v>3330</v>
      </c>
      <c r="B192" s="429"/>
      <c r="C192" s="430"/>
      <c r="D192" s="431">
        <v>25</v>
      </c>
      <c r="E192" s="432">
        <v>736942.25179894024</v>
      </c>
      <c r="F192" s="309">
        <f t="shared" si="26"/>
        <v>718935.75052696303</v>
      </c>
      <c r="G192" s="309">
        <f t="shared" si="26"/>
        <v>701226.60123864748</v>
      </c>
      <c r="H192" s="309">
        <f t="shared" si="26"/>
        <v>684150.65611444297</v>
      </c>
      <c r="I192" s="309">
        <f t="shared" si="26"/>
        <v>667490.5364899697</v>
      </c>
      <c r="J192" s="309">
        <f t="shared" si="26"/>
        <v>651236.11637542315</v>
      </c>
      <c r="K192" s="309">
        <f t="shared" si="26"/>
        <v>635377.51636440877</v>
      </c>
      <c r="L192" s="308">
        <v>0</v>
      </c>
      <c r="M192" s="326">
        <v>1</v>
      </c>
      <c r="N192" s="327">
        <v>0</v>
      </c>
      <c r="O192" s="309">
        <f t="shared" si="19"/>
        <v>0</v>
      </c>
      <c r="P192" s="311">
        <f t="shared" si="20"/>
        <v>635377.51636440877</v>
      </c>
      <c r="Q192" s="312">
        <f t="shared" si="21"/>
        <v>0</v>
      </c>
      <c r="R192" s="310">
        <f t="shared" si="22"/>
        <v>0</v>
      </c>
      <c r="S192" s="309">
        <f t="shared" si="23"/>
        <v>0</v>
      </c>
      <c r="T192" s="311">
        <f t="shared" si="24"/>
        <v>0</v>
      </c>
      <c r="U192" s="312">
        <f t="shared" si="25"/>
        <v>635377.51636440877</v>
      </c>
      <c r="V192" s="321"/>
    </row>
    <row r="193" spans="1:25">
      <c r="A193" s="428" t="s">
        <v>3331</v>
      </c>
      <c r="B193" s="429"/>
      <c r="C193" s="430"/>
      <c r="D193" s="431">
        <v>25</v>
      </c>
      <c r="E193" s="432">
        <v>1086715.2863793501</v>
      </c>
      <c r="F193" s="309">
        <f t="shared" si="26"/>
        <v>1060162.4050121878</v>
      </c>
      <c r="G193" s="309">
        <f t="shared" si="26"/>
        <v>1034048.007047614</v>
      </c>
      <c r="H193" s="309">
        <f t="shared" si="26"/>
        <v>1008867.3493359013</v>
      </c>
      <c r="I193" s="309">
        <f t="shared" si="26"/>
        <v>984299.87932773121</v>
      </c>
      <c r="J193" s="309">
        <f t="shared" si="26"/>
        <v>960330.66496040404</v>
      </c>
      <c r="K193" s="309">
        <f t="shared" si="26"/>
        <v>936945.13778988842</v>
      </c>
      <c r="L193" s="308">
        <v>0</v>
      </c>
      <c r="M193" s="326">
        <v>1</v>
      </c>
      <c r="N193" s="327">
        <v>0</v>
      </c>
      <c r="O193" s="309">
        <f t="shared" si="19"/>
        <v>0</v>
      </c>
      <c r="P193" s="311">
        <f t="shared" si="20"/>
        <v>936945.13778988842</v>
      </c>
      <c r="Q193" s="312">
        <f t="shared" si="21"/>
        <v>0</v>
      </c>
      <c r="R193" s="310">
        <f t="shared" si="22"/>
        <v>0</v>
      </c>
      <c r="S193" s="309">
        <f t="shared" si="23"/>
        <v>0</v>
      </c>
      <c r="T193" s="311">
        <f t="shared" si="24"/>
        <v>0</v>
      </c>
      <c r="U193" s="312">
        <f t="shared" si="25"/>
        <v>936945.13778988842</v>
      </c>
      <c r="V193" s="321"/>
    </row>
    <row r="194" spans="1:25">
      <c r="A194" s="428" t="s">
        <v>3332</v>
      </c>
      <c r="B194" s="429"/>
      <c r="C194" s="430"/>
      <c r="D194" s="431">
        <v>25</v>
      </c>
      <c r="E194" s="432">
        <v>6728458.6388793224</v>
      </c>
      <c r="F194" s="309">
        <f t="shared" si="26"/>
        <v>6564054.9848023932</v>
      </c>
      <c r="G194" s="309">
        <f t="shared" si="26"/>
        <v>6402366.2253028499</v>
      </c>
      <c r="H194" s="309">
        <f t="shared" si="26"/>
        <v>6246458.7709432784</v>
      </c>
      <c r="I194" s="309">
        <f t="shared" si="26"/>
        <v>6094347.9026379101</v>
      </c>
      <c r="J194" s="309">
        <f t="shared" si="26"/>
        <v>5945941.1676831432</v>
      </c>
      <c r="K194" s="309">
        <f t="shared" si="26"/>
        <v>5801148.3647407591</v>
      </c>
      <c r="L194" s="308">
        <v>0</v>
      </c>
      <c r="M194" s="326">
        <v>1</v>
      </c>
      <c r="N194" s="327">
        <v>0</v>
      </c>
      <c r="O194" s="309">
        <f t="shared" si="19"/>
        <v>0</v>
      </c>
      <c r="P194" s="311">
        <f t="shared" si="20"/>
        <v>5801148.3647407591</v>
      </c>
      <c r="Q194" s="312">
        <f t="shared" si="21"/>
        <v>0</v>
      </c>
      <c r="R194" s="310">
        <f t="shared" si="22"/>
        <v>0</v>
      </c>
      <c r="S194" s="309">
        <f t="shared" si="23"/>
        <v>0</v>
      </c>
      <c r="T194" s="311">
        <f t="shared" si="24"/>
        <v>0</v>
      </c>
      <c r="U194" s="312">
        <f t="shared" si="25"/>
        <v>5801148.3647407591</v>
      </c>
      <c r="V194" s="321"/>
      <c r="W194" s="437"/>
      <c r="X194" s="437"/>
      <c r="Y194" s="437"/>
    </row>
    <row r="195" spans="1:25">
      <c r="A195" s="428" t="s">
        <v>3333</v>
      </c>
      <c r="B195" s="429"/>
      <c r="C195" s="430"/>
      <c r="D195" s="431">
        <v>25</v>
      </c>
      <c r="E195" s="432">
        <v>652908.79881842877</v>
      </c>
      <c r="F195" s="309">
        <f t="shared" ref="F195:K226" si="27">+$E195*(F$3)</f>
        <v>636955.57712743431</v>
      </c>
      <c r="G195" s="309">
        <f t="shared" si="27"/>
        <v>621265.80040245294</v>
      </c>
      <c r="H195" s="309">
        <f t="shared" si="27"/>
        <v>606137.02363260707</v>
      </c>
      <c r="I195" s="309">
        <f t="shared" si="27"/>
        <v>591376.65582138009</v>
      </c>
      <c r="J195" s="309">
        <f t="shared" si="27"/>
        <v>576975.72564459592</v>
      </c>
      <c r="K195" s="309">
        <f t="shared" si="27"/>
        <v>562925.48024360579</v>
      </c>
      <c r="L195" s="308">
        <v>0</v>
      </c>
      <c r="M195" s="326">
        <v>1</v>
      </c>
      <c r="N195" s="327">
        <v>0</v>
      </c>
      <c r="O195" s="309">
        <f t="shared" si="19"/>
        <v>0</v>
      </c>
      <c r="P195" s="311">
        <f t="shared" si="20"/>
        <v>562925.48024360579</v>
      </c>
      <c r="Q195" s="312">
        <f t="shared" si="21"/>
        <v>0</v>
      </c>
      <c r="R195" s="310">
        <f t="shared" si="22"/>
        <v>0</v>
      </c>
      <c r="S195" s="309">
        <f t="shared" si="23"/>
        <v>0</v>
      </c>
      <c r="T195" s="311">
        <f t="shared" si="24"/>
        <v>0</v>
      </c>
      <c r="U195" s="312">
        <f t="shared" si="25"/>
        <v>562925.48024360579</v>
      </c>
      <c r="V195" s="321"/>
    </row>
    <row r="196" spans="1:25">
      <c r="A196" s="428" t="s">
        <v>3334</v>
      </c>
      <c r="B196" s="429"/>
      <c r="C196" s="430"/>
      <c r="D196" s="431">
        <v>25</v>
      </c>
      <c r="E196" s="432">
        <v>3299550.9130970971</v>
      </c>
      <c r="F196" s="309">
        <f t="shared" si="27"/>
        <v>3218929.4430041513</v>
      </c>
      <c r="G196" s="309">
        <f t="shared" si="27"/>
        <v>3139639.3228328675</v>
      </c>
      <c r="H196" s="309">
        <f t="shared" si="27"/>
        <v>3063184.2814927534</v>
      </c>
      <c r="I196" s="309">
        <f t="shared" si="27"/>
        <v>2988591.0378769217</v>
      </c>
      <c r="J196" s="309">
        <f t="shared" si="27"/>
        <v>2915814.2543502687</v>
      </c>
      <c r="K196" s="309">
        <f t="shared" si="27"/>
        <v>2844809.697318763</v>
      </c>
      <c r="L196" s="308">
        <v>0</v>
      </c>
      <c r="M196" s="326">
        <v>1</v>
      </c>
      <c r="N196" s="327">
        <v>0</v>
      </c>
      <c r="O196" s="309">
        <f t="shared" si="19"/>
        <v>0</v>
      </c>
      <c r="P196" s="311">
        <f t="shared" si="20"/>
        <v>2844809.697318763</v>
      </c>
      <c r="Q196" s="312">
        <f t="shared" si="21"/>
        <v>0</v>
      </c>
      <c r="R196" s="310">
        <f t="shared" si="22"/>
        <v>0</v>
      </c>
      <c r="S196" s="309">
        <f t="shared" si="23"/>
        <v>0</v>
      </c>
      <c r="T196" s="311">
        <f t="shared" si="24"/>
        <v>0</v>
      </c>
      <c r="U196" s="312">
        <f t="shared" si="25"/>
        <v>2844809.697318763</v>
      </c>
      <c r="V196" s="321"/>
      <c r="W196" s="216"/>
      <c r="X196" s="216"/>
      <c r="Y196" s="216"/>
    </row>
    <row r="197" spans="1:25">
      <c r="A197" s="428" t="s">
        <v>3335</v>
      </c>
      <c r="B197" s="429"/>
      <c r="C197" s="430"/>
      <c r="D197" s="431">
        <v>25</v>
      </c>
      <c r="E197" s="432">
        <v>992417.01539329626</v>
      </c>
      <c r="F197" s="309">
        <f t="shared" si="27"/>
        <v>968168.22492648684</v>
      </c>
      <c r="G197" s="309">
        <f t="shared" si="27"/>
        <v>944319.86904926214</v>
      </c>
      <c r="H197" s="309">
        <f t="shared" si="27"/>
        <v>921324.22935861477</v>
      </c>
      <c r="I197" s="309">
        <f t="shared" si="27"/>
        <v>898888.56882557482</v>
      </c>
      <c r="J197" s="309">
        <f t="shared" si="27"/>
        <v>876999.25109728693</v>
      </c>
      <c r="K197" s="309">
        <f t="shared" si="27"/>
        <v>855642.97188703902</v>
      </c>
      <c r="L197" s="308">
        <v>0</v>
      </c>
      <c r="M197" s="326">
        <v>1</v>
      </c>
      <c r="N197" s="327">
        <v>0</v>
      </c>
      <c r="O197" s="309">
        <f t="shared" si="19"/>
        <v>0</v>
      </c>
      <c r="P197" s="311">
        <f t="shared" si="20"/>
        <v>855642.97188703902</v>
      </c>
      <c r="Q197" s="312">
        <f t="shared" si="21"/>
        <v>0</v>
      </c>
      <c r="R197" s="310">
        <f t="shared" si="22"/>
        <v>0</v>
      </c>
      <c r="S197" s="309">
        <f t="shared" si="23"/>
        <v>0</v>
      </c>
      <c r="T197" s="311">
        <f t="shared" si="24"/>
        <v>0</v>
      </c>
      <c r="U197" s="312">
        <f t="shared" si="25"/>
        <v>855642.97188703902</v>
      </c>
      <c r="V197" s="321"/>
    </row>
    <row r="198" spans="1:25">
      <c r="A198" s="428" t="s">
        <v>3336</v>
      </c>
      <c r="B198" s="429"/>
      <c r="C198" s="430"/>
      <c r="D198" s="431">
        <v>25</v>
      </c>
      <c r="E198" s="432">
        <v>1707872.6458925908</v>
      </c>
      <c r="F198" s="309">
        <f t="shared" si="27"/>
        <v>1666142.359841588</v>
      </c>
      <c r="G198" s="309">
        <f t="shared" si="27"/>
        <v>1625101.1906350295</v>
      </c>
      <c r="H198" s="309">
        <f t="shared" si="27"/>
        <v>1585527.4797924212</v>
      </c>
      <c r="I198" s="309">
        <f t="shared" si="27"/>
        <v>1546917.44961098</v>
      </c>
      <c r="J198" s="309">
        <f t="shared" si="27"/>
        <v>1509247.6329859807</v>
      </c>
      <c r="K198" s="309">
        <f t="shared" si="27"/>
        <v>1472495.1342727535</v>
      </c>
      <c r="L198" s="308">
        <v>0</v>
      </c>
      <c r="M198" s="326">
        <v>1</v>
      </c>
      <c r="N198" s="327">
        <v>0</v>
      </c>
      <c r="O198" s="309">
        <f t="shared" ref="O198:O226" si="28">+L198*$K198</f>
        <v>0</v>
      </c>
      <c r="P198" s="311">
        <f t="shared" ref="P198:P226" si="29">+M198*$K198</f>
        <v>1472495.1342727535</v>
      </c>
      <c r="Q198" s="312">
        <f t="shared" ref="Q198:Q226" si="30">+N198*$K198</f>
        <v>0</v>
      </c>
      <c r="R198" s="310">
        <f t="shared" ref="R198:R226" si="31">IF(D198="Choose",K198,0)</f>
        <v>0</v>
      </c>
      <c r="S198" s="309">
        <f t="shared" ref="S198:S226" si="32">IF(ISERROR(O198),0,O198)+IF(D198="Choose",0,IF(D198&gt;144,Q198,0))</f>
        <v>0</v>
      </c>
      <c r="T198" s="311">
        <f t="shared" ref="T198:T226" si="33">IF(D198="Choose",0,IF(AND(D198&lt;=144,D198&gt;=69),Q198,0))</f>
        <v>0</v>
      </c>
      <c r="U198" s="312">
        <f t="shared" ref="U198:U226" si="34">IF(ISERROR(P198),0,P198)+IF(D198="Choose",0,IF(AND(D198&lt;69,D198&gt;0),Q198,0))</f>
        <v>1472495.1342727535</v>
      </c>
      <c r="V198" s="321"/>
    </row>
    <row r="199" spans="1:25">
      <c r="A199" s="428" t="s">
        <v>3337</v>
      </c>
      <c r="B199" s="429"/>
      <c r="C199" s="430"/>
      <c r="D199" s="431">
        <v>25</v>
      </c>
      <c r="E199" s="432">
        <v>19720479.759494431</v>
      </c>
      <c r="F199" s="309">
        <f t="shared" si="27"/>
        <v>19238628.10421681</v>
      </c>
      <c r="G199" s="309">
        <f t="shared" si="27"/>
        <v>18764733.549730912</v>
      </c>
      <c r="H199" s="309">
        <f t="shared" si="27"/>
        <v>18307783.457136702</v>
      </c>
      <c r="I199" s="309">
        <f t="shared" si="27"/>
        <v>17861960.801367983</v>
      </c>
      <c r="J199" s="309">
        <f t="shared" si="27"/>
        <v>17426994.612241559</v>
      </c>
      <c r="K199" s="309">
        <f t="shared" si="27"/>
        <v>17002620.518114503</v>
      </c>
      <c r="L199" s="308">
        <v>0</v>
      </c>
      <c r="M199" s="326">
        <v>1</v>
      </c>
      <c r="N199" s="327">
        <v>0</v>
      </c>
      <c r="O199" s="309">
        <f t="shared" si="28"/>
        <v>0</v>
      </c>
      <c r="P199" s="311">
        <f t="shared" si="29"/>
        <v>17002620.518114503</v>
      </c>
      <c r="Q199" s="312">
        <f t="shared" si="30"/>
        <v>0</v>
      </c>
      <c r="R199" s="310">
        <f t="shared" si="31"/>
        <v>0</v>
      </c>
      <c r="S199" s="309">
        <f t="shared" si="32"/>
        <v>0</v>
      </c>
      <c r="T199" s="311">
        <f t="shared" si="33"/>
        <v>0</v>
      </c>
      <c r="U199" s="312">
        <f t="shared" si="34"/>
        <v>17002620.518114503</v>
      </c>
      <c r="V199" s="321"/>
      <c r="W199" s="121"/>
      <c r="X199" s="121"/>
      <c r="Y199" s="121"/>
    </row>
    <row r="200" spans="1:25">
      <c r="A200" s="428" t="s">
        <v>3338</v>
      </c>
      <c r="B200" s="429"/>
      <c r="C200" s="430"/>
      <c r="D200" s="431">
        <v>138</v>
      </c>
      <c r="E200" s="432">
        <v>108.98406849562977</v>
      </c>
      <c r="F200" s="309">
        <f t="shared" si="27"/>
        <v>106.32114373700539</v>
      </c>
      <c r="G200" s="309">
        <f t="shared" si="27"/>
        <v>103.70219342668489</v>
      </c>
      <c r="H200" s="309">
        <f t="shared" si="27"/>
        <v>101.17688568581232</v>
      </c>
      <c r="I200" s="309">
        <f t="shared" si="27"/>
        <v>98.713073068383025</v>
      </c>
      <c r="J200" s="309">
        <f t="shared" si="27"/>
        <v>96.309258073658341</v>
      </c>
      <c r="K200" s="309">
        <f t="shared" si="27"/>
        <v>93.963979667343366</v>
      </c>
      <c r="L200" s="308">
        <v>0</v>
      </c>
      <c r="M200" s="326">
        <v>0</v>
      </c>
      <c r="N200" s="327">
        <v>1</v>
      </c>
      <c r="O200" s="309">
        <f t="shared" si="28"/>
        <v>0</v>
      </c>
      <c r="P200" s="311">
        <f t="shared" si="29"/>
        <v>0</v>
      </c>
      <c r="Q200" s="312">
        <f t="shared" si="30"/>
        <v>93.963979667343366</v>
      </c>
      <c r="R200" s="310">
        <f t="shared" si="31"/>
        <v>0</v>
      </c>
      <c r="S200" s="309">
        <f t="shared" si="32"/>
        <v>0</v>
      </c>
      <c r="T200" s="311">
        <f t="shared" si="33"/>
        <v>93.963979667343366</v>
      </c>
      <c r="U200" s="312">
        <f t="shared" si="34"/>
        <v>0</v>
      </c>
      <c r="V200" s="321"/>
    </row>
    <row r="201" spans="1:25">
      <c r="A201" s="428" t="s">
        <v>3339</v>
      </c>
      <c r="B201" s="429"/>
      <c r="C201" s="430"/>
      <c r="D201" s="431">
        <v>25</v>
      </c>
      <c r="E201" s="432">
        <v>970997.06807604316</v>
      </c>
      <c r="F201" s="309">
        <f t="shared" si="27"/>
        <v>947271.65418001974</v>
      </c>
      <c r="G201" s="309">
        <f t="shared" si="27"/>
        <v>923938.03204734973</v>
      </c>
      <c r="H201" s="309">
        <f t="shared" si="27"/>
        <v>901438.72140291997</v>
      </c>
      <c r="I201" s="309">
        <f t="shared" si="27"/>
        <v>879487.30354124832</v>
      </c>
      <c r="J201" s="309">
        <f t="shared" si="27"/>
        <v>858070.43643127708</v>
      </c>
      <c r="K201" s="309">
        <f t="shared" si="27"/>
        <v>837175.10294090363</v>
      </c>
      <c r="L201" s="308">
        <v>0</v>
      </c>
      <c r="M201" s="326">
        <v>1</v>
      </c>
      <c r="N201" s="327">
        <v>0</v>
      </c>
      <c r="O201" s="309">
        <f t="shared" si="28"/>
        <v>0</v>
      </c>
      <c r="P201" s="311">
        <f t="shared" si="29"/>
        <v>837175.10294090363</v>
      </c>
      <c r="Q201" s="312">
        <f t="shared" si="30"/>
        <v>0</v>
      </c>
      <c r="R201" s="310">
        <f t="shared" si="31"/>
        <v>0</v>
      </c>
      <c r="S201" s="309">
        <f t="shared" si="32"/>
        <v>0</v>
      </c>
      <c r="T201" s="311">
        <f t="shared" si="33"/>
        <v>0</v>
      </c>
      <c r="U201" s="312">
        <f t="shared" si="34"/>
        <v>837175.10294090363</v>
      </c>
      <c r="V201" s="321"/>
    </row>
    <row r="202" spans="1:25">
      <c r="A202" s="428" t="s">
        <v>3340</v>
      </c>
      <c r="B202" s="429"/>
      <c r="C202" s="430"/>
      <c r="D202" s="431">
        <v>25</v>
      </c>
      <c r="E202" s="432">
        <v>1570543.6070972383</v>
      </c>
      <c r="F202" s="309">
        <f t="shared" si="27"/>
        <v>1532168.8288973751</v>
      </c>
      <c r="G202" s="309">
        <f t="shared" si="27"/>
        <v>1494427.7560602555</v>
      </c>
      <c r="H202" s="309">
        <f t="shared" si="27"/>
        <v>1458036.1441198406</v>
      </c>
      <c r="I202" s="309">
        <f t="shared" si="27"/>
        <v>1422530.723843259</v>
      </c>
      <c r="J202" s="309">
        <f t="shared" si="27"/>
        <v>1387889.9151019268</v>
      </c>
      <c r="K202" s="309">
        <f t="shared" si="27"/>
        <v>1354092.6632765476</v>
      </c>
      <c r="L202" s="308">
        <v>0</v>
      </c>
      <c r="M202" s="326">
        <v>1</v>
      </c>
      <c r="N202" s="327">
        <v>0</v>
      </c>
      <c r="O202" s="309">
        <f t="shared" si="28"/>
        <v>0</v>
      </c>
      <c r="P202" s="311">
        <f t="shared" si="29"/>
        <v>1354092.6632765476</v>
      </c>
      <c r="Q202" s="312">
        <f t="shared" si="30"/>
        <v>0</v>
      </c>
      <c r="R202" s="310">
        <f t="shared" si="31"/>
        <v>0</v>
      </c>
      <c r="S202" s="309">
        <f t="shared" si="32"/>
        <v>0</v>
      </c>
      <c r="T202" s="311">
        <f t="shared" si="33"/>
        <v>0</v>
      </c>
      <c r="U202" s="312">
        <f t="shared" si="34"/>
        <v>1354092.6632765476</v>
      </c>
      <c r="V202" s="321"/>
    </row>
    <row r="203" spans="1:25">
      <c r="A203" s="428" t="s">
        <v>3341</v>
      </c>
      <c r="B203" s="429"/>
      <c r="C203" s="430"/>
      <c r="D203" s="431">
        <v>25</v>
      </c>
      <c r="E203" s="432">
        <v>1359655.0273664091</v>
      </c>
      <c r="F203" s="309">
        <f t="shared" si="27"/>
        <v>1326433.116260133</v>
      </c>
      <c r="G203" s="309">
        <f t="shared" si="27"/>
        <v>1293759.8181808556</v>
      </c>
      <c r="H203" s="309">
        <f t="shared" si="27"/>
        <v>1262254.7788396021</v>
      </c>
      <c r="I203" s="309">
        <f t="shared" si="27"/>
        <v>1231516.9356115265</v>
      </c>
      <c r="J203" s="309">
        <f t="shared" si="27"/>
        <v>1201527.6060925312</v>
      </c>
      <c r="K203" s="309">
        <f t="shared" si="27"/>
        <v>1172268.5628237629</v>
      </c>
      <c r="L203" s="308">
        <v>0</v>
      </c>
      <c r="M203" s="326">
        <v>1</v>
      </c>
      <c r="N203" s="327">
        <v>0</v>
      </c>
      <c r="O203" s="309">
        <f t="shared" si="28"/>
        <v>0</v>
      </c>
      <c r="P203" s="311">
        <f t="shared" si="29"/>
        <v>1172268.5628237629</v>
      </c>
      <c r="Q203" s="312">
        <f t="shared" si="30"/>
        <v>0</v>
      </c>
      <c r="R203" s="310">
        <f t="shared" si="31"/>
        <v>0</v>
      </c>
      <c r="S203" s="309">
        <f t="shared" si="32"/>
        <v>0</v>
      </c>
      <c r="T203" s="311">
        <f t="shared" si="33"/>
        <v>0</v>
      </c>
      <c r="U203" s="312">
        <f t="shared" si="34"/>
        <v>1172268.5628237629</v>
      </c>
      <c r="V203" s="321"/>
    </row>
    <row r="204" spans="1:25">
      <c r="A204" s="428" t="s">
        <v>3342</v>
      </c>
      <c r="B204" s="429"/>
      <c r="C204" s="430"/>
      <c r="D204" s="431">
        <v>4.2</v>
      </c>
      <c r="E204" s="432">
        <v>2017298.305246887</v>
      </c>
      <c r="F204" s="309">
        <f t="shared" si="27"/>
        <v>1968007.4898394188</v>
      </c>
      <c r="G204" s="309">
        <f t="shared" si="27"/>
        <v>1919530.6427601853</v>
      </c>
      <c r="H204" s="309">
        <f t="shared" si="27"/>
        <v>1872787.1223887347</v>
      </c>
      <c r="I204" s="309">
        <f t="shared" si="27"/>
        <v>1827181.8785563728</v>
      </c>
      <c r="J204" s="309">
        <f t="shared" si="27"/>
        <v>1782687.1924804936</v>
      </c>
      <c r="K204" s="309">
        <f t="shared" si="27"/>
        <v>1739276.0203734343</v>
      </c>
      <c r="L204" s="308">
        <v>0</v>
      </c>
      <c r="M204" s="326">
        <v>1</v>
      </c>
      <c r="N204" s="327">
        <v>0</v>
      </c>
      <c r="O204" s="309">
        <f t="shared" si="28"/>
        <v>0</v>
      </c>
      <c r="P204" s="311">
        <f t="shared" si="29"/>
        <v>1739276.0203734343</v>
      </c>
      <c r="Q204" s="312">
        <f t="shared" si="30"/>
        <v>0</v>
      </c>
      <c r="R204" s="310">
        <f t="shared" si="31"/>
        <v>0</v>
      </c>
      <c r="S204" s="309">
        <f t="shared" si="32"/>
        <v>0</v>
      </c>
      <c r="T204" s="311">
        <f t="shared" si="33"/>
        <v>0</v>
      </c>
      <c r="U204" s="312">
        <f t="shared" si="34"/>
        <v>1739276.0203734343</v>
      </c>
      <c r="V204" s="321"/>
    </row>
    <row r="205" spans="1:25">
      <c r="A205" s="428" t="s">
        <v>3343</v>
      </c>
      <c r="B205" s="429"/>
      <c r="C205" s="430"/>
      <c r="D205" s="431">
        <v>144</v>
      </c>
      <c r="E205" s="432">
        <v>6606282.5444114823</v>
      </c>
      <c r="F205" s="309">
        <f t="shared" si="27"/>
        <v>6444864.1500276569</v>
      </c>
      <c r="G205" s="309">
        <f t="shared" si="27"/>
        <v>6286111.352865885</v>
      </c>
      <c r="H205" s="309">
        <f t="shared" si="27"/>
        <v>6133034.8832673719</v>
      </c>
      <c r="I205" s="309">
        <f t="shared" si="27"/>
        <v>5983686.0608945256</v>
      </c>
      <c r="J205" s="309">
        <f t="shared" si="27"/>
        <v>5837974.1118101403</v>
      </c>
      <c r="K205" s="309">
        <f t="shared" si="27"/>
        <v>5695810.4725618493</v>
      </c>
      <c r="L205" s="308">
        <v>0</v>
      </c>
      <c r="M205" s="326">
        <v>0</v>
      </c>
      <c r="N205" s="327">
        <v>1</v>
      </c>
      <c r="O205" s="309">
        <f t="shared" si="28"/>
        <v>0</v>
      </c>
      <c r="P205" s="311">
        <f t="shared" si="29"/>
        <v>0</v>
      </c>
      <c r="Q205" s="312">
        <f t="shared" si="30"/>
        <v>5695810.4725618493</v>
      </c>
      <c r="R205" s="310">
        <f t="shared" si="31"/>
        <v>0</v>
      </c>
      <c r="S205" s="309">
        <f t="shared" si="32"/>
        <v>0</v>
      </c>
      <c r="T205" s="311">
        <f t="shared" si="33"/>
        <v>5695810.4725618493</v>
      </c>
      <c r="U205" s="312">
        <f t="shared" si="34"/>
        <v>0</v>
      </c>
      <c r="V205" s="321"/>
    </row>
    <row r="206" spans="1:25">
      <c r="A206" s="428" t="s">
        <v>3344</v>
      </c>
      <c r="B206" s="429"/>
      <c r="C206" s="430"/>
      <c r="D206" s="431">
        <v>25</v>
      </c>
      <c r="E206" s="432">
        <v>4605834.2598769711</v>
      </c>
      <c r="F206" s="309">
        <f t="shared" si="27"/>
        <v>4493294.9662531633</v>
      </c>
      <c r="G206" s="309">
        <f t="shared" si="27"/>
        <v>4382614.1004101597</v>
      </c>
      <c r="H206" s="309">
        <f t="shared" si="27"/>
        <v>4275890.7134950366</v>
      </c>
      <c r="I206" s="309">
        <f t="shared" si="27"/>
        <v>4171766.2050240757</v>
      </c>
      <c r="J206" s="309">
        <f t="shared" si="27"/>
        <v>4070177.2883141721</v>
      </c>
      <c r="K206" s="309">
        <f t="shared" si="27"/>
        <v>3971062.2178101898</v>
      </c>
      <c r="L206" s="308">
        <v>0</v>
      </c>
      <c r="M206" s="326">
        <v>1</v>
      </c>
      <c r="N206" s="327">
        <v>0</v>
      </c>
      <c r="O206" s="309">
        <f t="shared" si="28"/>
        <v>0</v>
      </c>
      <c r="P206" s="311">
        <f t="shared" si="29"/>
        <v>3971062.2178101898</v>
      </c>
      <c r="Q206" s="312">
        <f t="shared" si="30"/>
        <v>0</v>
      </c>
      <c r="R206" s="310">
        <f t="shared" si="31"/>
        <v>0</v>
      </c>
      <c r="S206" s="309">
        <f t="shared" si="32"/>
        <v>0</v>
      </c>
      <c r="T206" s="311">
        <f t="shared" si="33"/>
        <v>0</v>
      </c>
      <c r="U206" s="312">
        <f t="shared" si="34"/>
        <v>3971062.2178101898</v>
      </c>
      <c r="V206" s="321"/>
    </row>
    <row r="207" spans="1:25">
      <c r="A207" s="428" t="s">
        <v>3345</v>
      </c>
      <c r="B207" s="429"/>
      <c r="C207" s="430"/>
      <c r="D207" s="431">
        <v>240</v>
      </c>
      <c r="E207" s="432">
        <v>20016397.874321409</v>
      </c>
      <c r="F207" s="309">
        <f t="shared" si="27"/>
        <v>19527315.734025422</v>
      </c>
      <c r="G207" s="309">
        <f t="shared" si="27"/>
        <v>19046310.095787987</v>
      </c>
      <c r="H207" s="309">
        <f t="shared" si="27"/>
        <v>18582503.181675255</v>
      </c>
      <c r="I207" s="309">
        <f t="shared" si="27"/>
        <v>18129990.678527001</v>
      </c>
      <c r="J207" s="309">
        <f t="shared" si="27"/>
        <v>17688497.550083198</v>
      </c>
      <c r="K207" s="309">
        <f t="shared" si="27"/>
        <v>17257755.457639318</v>
      </c>
      <c r="L207" s="308">
        <v>0</v>
      </c>
      <c r="M207" s="326">
        <v>0</v>
      </c>
      <c r="N207" s="327">
        <v>1</v>
      </c>
      <c r="O207" s="309">
        <f t="shared" si="28"/>
        <v>0</v>
      </c>
      <c r="P207" s="311">
        <f t="shared" si="29"/>
        <v>0</v>
      </c>
      <c r="Q207" s="312">
        <f t="shared" si="30"/>
        <v>17257755.457639318</v>
      </c>
      <c r="R207" s="310">
        <f t="shared" si="31"/>
        <v>0</v>
      </c>
      <c r="S207" s="309">
        <f t="shared" si="32"/>
        <v>17257755.457639318</v>
      </c>
      <c r="T207" s="311">
        <f t="shared" si="33"/>
        <v>0</v>
      </c>
      <c r="U207" s="312">
        <f t="shared" si="34"/>
        <v>0</v>
      </c>
      <c r="V207" s="321"/>
    </row>
    <row r="208" spans="1:25">
      <c r="A208" s="428" t="s">
        <v>3346</v>
      </c>
      <c r="B208" s="429"/>
      <c r="C208" s="430"/>
      <c r="D208" s="431">
        <v>25</v>
      </c>
      <c r="E208" s="432">
        <v>1252893.6022819455</v>
      </c>
      <c r="F208" s="309">
        <f t="shared" si="27"/>
        <v>1222280.3077014401</v>
      </c>
      <c r="G208" s="309">
        <f t="shared" si="27"/>
        <v>1192172.5485235339</v>
      </c>
      <c r="H208" s="309">
        <f t="shared" si="27"/>
        <v>1163141.3152799413</v>
      </c>
      <c r="I208" s="309">
        <f t="shared" si="27"/>
        <v>1134817.0371702239</v>
      </c>
      <c r="J208" s="309">
        <f t="shared" si="27"/>
        <v>1107182.4987506864</v>
      </c>
      <c r="K208" s="309">
        <f t="shared" si="27"/>
        <v>1080220.9038001378</v>
      </c>
      <c r="L208" s="308">
        <v>0</v>
      </c>
      <c r="M208" s="326">
        <v>1</v>
      </c>
      <c r="N208" s="327">
        <v>0</v>
      </c>
      <c r="O208" s="309">
        <f t="shared" si="28"/>
        <v>0</v>
      </c>
      <c r="P208" s="311">
        <f t="shared" si="29"/>
        <v>1080220.9038001378</v>
      </c>
      <c r="Q208" s="312">
        <f t="shared" si="30"/>
        <v>0</v>
      </c>
      <c r="R208" s="310">
        <f t="shared" si="31"/>
        <v>0</v>
      </c>
      <c r="S208" s="309">
        <f t="shared" si="32"/>
        <v>0</v>
      </c>
      <c r="T208" s="311">
        <f t="shared" si="33"/>
        <v>0</v>
      </c>
      <c r="U208" s="312">
        <f t="shared" si="34"/>
        <v>1080220.9038001378</v>
      </c>
      <c r="V208" s="321"/>
    </row>
    <row r="209" spans="1:22">
      <c r="A209" s="428" t="s">
        <v>3347</v>
      </c>
      <c r="B209" s="429"/>
      <c r="C209" s="430"/>
      <c r="D209" s="431">
        <v>4.2</v>
      </c>
      <c r="E209" s="432">
        <v>2758309.3352606739</v>
      </c>
      <c r="F209" s="309">
        <f t="shared" si="27"/>
        <v>2690912.6017545746</v>
      </c>
      <c r="G209" s="309">
        <f t="shared" si="27"/>
        <v>2624628.8302891101</v>
      </c>
      <c r="H209" s="309">
        <f t="shared" si="27"/>
        <v>2560715.0857188739</v>
      </c>
      <c r="I209" s="309">
        <f t="shared" si="27"/>
        <v>2498357.7390277768</v>
      </c>
      <c r="J209" s="309">
        <f t="shared" si="27"/>
        <v>2437518.8895361684</v>
      </c>
      <c r="K209" s="309">
        <f t="shared" si="27"/>
        <v>2378161.5595041807</v>
      </c>
      <c r="L209" s="308">
        <v>0</v>
      </c>
      <c r="M209" s="326">
        <v>1</v>
      </c>
      <c r="N209" s="327">
        <v>0</v>
      </c>
      <c r="O209" s="309">
        <f t="shared" si="28"/>
        <v>0</v>
      </c>
      <c r="P209" s="311">
        <f t="shared" si="29"/>
        <v>2378161.5595041807</v>
      </c>
      <c r="Q209" s="312">
        <f t="shared" si="30"/>
        <v>0</v>
      </c>
      <c r="R209" s="310">
        <f t="shared" si="31"/>
        <v>0</v>
      </c>
      <c r="S209" s="309">
        <f t="shared" si="32"/>
        <v>0</v>
      </c>
      <c r="T209" s="311">
        <f t="shared" si="33"/>
        <v>0</v>
      </c>
      <c r="U209" s="312">
        <f t="shared" si="34"/>
        <v>2378161.5595041807</v>
      </c>
      <c r="V209" s="321"/>
    </row>
    <row r="210" spans="1:22">
      <c r="A210" s="428" t="s">
        <v>3348</v>
      </c>
      <c r="B210" s="429"/>
      <c r="C210" s="430"/>
      <c r="D210" s="431">
        <v>144</v>
      </c>
      <c r="E210" s="432">
        <v>2960338.5839991421</v>
      </c>
      <c r="F210" s="309">
        <f t="shared" si="27"/>
        <v>2888005.4529456021</v>
      </c>
      <c r="G210" s="309">
        <f t="shared" si="27"/>
        <v>2816866.8015790568</v>
      </c>
      <c r="H210" s="309">
        <f t="shared" si="27"/>
        <v>2748271.767048147</v>
      </c>
      <c r="I210" s="309">
        <f t="shared" si="27"/>
        <v>2681347.1269993833</v>
      </c>
      <c r="J210" s="309">
        <f t="shared" si="27"/>
        <v>2616052.2047606842</v>
      </c>
      <c r="K210" s="309">
        <f t="shared" si="27"/>
        <v>2552347.3141994309</v>
      </c>
      <c r="L210" s="308">
        <v>0</v>
      </c>
      <c r="M210" s="326">
        <v>0</v>
      </c>
      <c r="N210" s="327">
        <v>1</v>
      </c>
      <c r="O210" s="309">
        <f t="shared" si="28"/>
        <v>0</v>
      </c>
      <c r="P210" s="311">
        <f t="shared" si="29"/>
        <v>0</v>
      </c>
      <c r="Q210" s="312">
        <f t="shared" si="30"/>
        <v>2552347.3141994309</v>
      </c>
      <c r="R210" s="310">
        <f t="shared" si="31"/>
        <v>0</v>
      </c>
      <c r="S210" s="309">
        <f t="shared" si="32"/>
        <v>0</v>
      </c>
      <c r="T210" s="311">
        <f t="shared" si="33"/>
        <v>2552347.3141994309</v>
      </c>
      <c r="U210" s="312">
        <f t="shared" si="34"/>
        <v>0</v>
      </c>
      <c r="V210" s="321"/>
    </row>
    <row r="211" spans="1:22">
      <c r="A211" s="428" t="s">
        <v>3349</v>
      </c>
      <c r="B211" s="429"/>
      <c r="C211" s="430"/>
      <c r="D211" s="431">
        <v>25</v>
      </c>
      <c r="E211" s="432">
        <v>742772.67835597624</v>
      </c>
      <c r="F211" s="309">
        <f t="shared" si="27"/>
        <v>724623.71601196914</v>
      </c>
      <c r="G211" s="309">
        <f t="shared" si="27"/>
        <v>706774.45819539216</v>
      </c>
      <c r="H211" s="309">
        <f t="shared" si="27"/>
        <v>689563.41423040931</v>
      </c>
      <c r="I211" s="309">
        <f t="shared" si="27"/>
        <v>672771.48562950024</v>
      </c>
      <c r="J211" s="309">
        <f t="shared" si="27"/>
        <v>656388.46628960909</v>
      </c>
      <c r="K211" s="309">
        <f t="shared" si="27"/>
        <v>640404.39864197071</v>
      </c>
      <c r="L211" s="308">
        <v>0</v>
      </c>
      <c r="M211" s="326">
        <v>1</v>
      </c>
      <c r="N211" s="327">
        <v>0</v>
      </c>
      <c r="O211" s="309">
        <f t="shared" si="28"/>
        <v>0</v>
      </c>
      <c r="P211" s="311">
        <f t="shared" si="29"/>
        <v>640404.39864197071</v>
      </c>
      <c r="Q211" s="312">
        <f t="shared" si="30"/>
        <v>0</v>
      </c>
      <c r="R211" s="310">
        <f t="shared" si="31"/>
        <v>0</v>
      </c>
      <c r="S211" s="309">
        <f t="shared" si="32"/>
        <v>0</v>
      </c>
      <c r="T211" s="311">
        <f t="shared" si="33"/>
        <v>0</v>
      </c>
      <c r="U211" s="312">
        <f t="shared" si="34"/>
        <v>640404.39864197071</v>
      </c>
      <c r="V211" s="321"/>
    </row>
    <row r="212" spans="1:22">
      <c r="A212" s="428" t="s">
        <v>3350</v>
      </c>
      <c r="B212" s="429"/>
      <c r="C212" s="430"/>
      <c r="D212" s="431" t="s">
        <v>2505</v>
      </c>
      <c r="E212" s="432">
        <v>1548870.3898678662</v>
      </c>
      <c r="F212" s="309">
        <f t="shared" si="27"/>
        <v>1511025.1766544804</v>
      </c>
      <c r="G212" s="309">
        <f t="shared" si="27"/>
        <v>1473804.9237846462</v>
      </c>
      <c r="H212" s="309">
        <f t="shared" si="27"/>
        <v>1437915.5094956351</v>
      </c>
      <c r="I212" s="309">
        <f t="shared" si="27"/>
        <v>1402900.0575860552</v>
      </c>
      <c r="J212" s="309">
        <f t="shared" si="27"/>
        <v>1368737.2857291873</v>
      </c>
      <c r="K212" s="309">
        <f t="shared" si="27"/>
        <v>1335406.4298556666</v>
      </c>
      <c r="L212" s="308">
        <v>0</v>
      </c>
      <c r="M212" s="326">
        <v>0</v>
      </c>
      <c r="N212" s="327">
        <v>1</v>
      </c>
      <c r="O212" s="309">
        <f t="shared" si="28"/>
        <v>0</v>
      </c>
      <c r="P212" s="311">
        <f t="shared" si="29"/>
        <v>0</v>
      </c>
      <c r="Q212" s="312">
        <f t="shared" si="30"/>
        <v>1335406.4298556666</v>
      </c>
      <c r="R212" s="310">
        <f t="shared" si="31"/>
        <v>1335406.4298556666</v>
      </c>
      <c r="S212" s="309">
        <f t="shared" si="32"/>
        <v>0</v>
      </c>
      <c r="T212" s="311">
        <f t="shared" si="33"/>
        <v>0</v>
      </c>
      <c r="U212" s="312">
        <f t="shared" si="34"/>
        <v>0</v>
      </c>
      <c r="V212" s="321"/>
    </row>
    <row r="213" spans="1:22">
      <c r="A213" s="428" t="s">
        <v>3351</v>
      </c>
      <c r="B213" s="429"/>
      <c r="C213" s="430"/>
      <c r="D213" s="431" t="s">
        <v>2505</v>
      </c>
      <c r="E213" s="432">
        <v>577569.17970995919</v>
      </c>
      <c r="F213" s="309">
        <f t="shared" si="27"/>
        <v>563456.81182263163</v>
      </c>
      <c r="G213" s="309">
        <f t="shared" si="27"/>
        <v>549577.48979591171</v>
      </c>
      <c r="H213" s="309">
        <f t="shared" si="27"/>
        <v>536194.43353324826</v>
      </c>
      <c r="I213" s="309">
        <f t="shared" si="27"/>
        <v>523137.27525268047</v>
      </c>
      <c r="J213" s="309">
        <f t="shared" si="27"/>
        <v>510398.07883762539</v>
      </c>
      <c r="K213" s="309">
        <f t="shared" si="27"/>
        <v>497969.10142813245</v>
      </c>
      <c r="L213" s="308">
        <v>0</v>
      </c>
      <c r="M213" s="326">
        <v>0</v>
      </c>
      <c r="N213" s="327">
        <v>1</v>
      </c>
      <c r="O213" s="309">
        <f t="shared" si="28"/>
        <v>0</v>
      </c>
      <c r="P213" s="311">
        <f t="shared" si="29"/>
        <v>0</v>
      </c>
      <c r="Q213" s="312">
        <f t="shared" si="30"/>
        <v>497969.10142813245</v>
      </c>
      <c r="R213" s="310">
        <f t="shared" si="31"/>
        <v>497969.10142813245</v>
      </c>
      <c r="S213" s="309">
        <f t="shared" si="32"/>
        <v>0</v>
      </c>
      <c r="T213" s="311">
        <f t="shared" si="33"/>
        <v>0</v>
      </c>
      <c r="U213" s="312">
        <f t="shared" si="34"/>
        <v>0</v>
      </c>
      <c r="V213" s="321"/>
    </row>
    <row r="214" spans="1:22">
      <c r="A214" s="428" t="s">
        <v>3352</v>
      </c>
      <c r="B214" s="429"/>
      <c r="C214" s="430"/>
      <c r="D214" s="431">
        <v>25</v>
      </c>
      <c r="E214" s="432">
        <v>3805.1499999999996</v>
      </c>
      <c r="F214" s="309">
        <f t="shared" si="27"/>
        <v>3712.174684569507</v>
      </c>
      <c r="G214" s="309">
        <f t="shared" si="27"/>
        <v>3620.734725400469</v>
      </c>
      <c r="H214" s="309">
        <f t="shared" si="27"/>
        <v>3532.5642718394834</v>
      </c>
      <c r="I214" s="309">
        <f t="shared" si="27"/>
        <v>3446.5409042902434</v>
      </c>
      <c r="J214" s="309">
        <f t="shared" si="27"/>
        <v>3362.6123379095206</v>
      </c>
      <c r="K214" s="309">
        <f t="shared" si="27"/>
        <v>3280.7275610703514</v>
      </c>
      <c r="L214" s="308">
        <v>0</v>
      </c>
      <c r="M214" s="326">
        <v>1</v>
      </c>
      <c r="N214" s="327">
        <v>0</v>
      </c>
      <c r="O214" s="309">
        <f t="shared" si="28"/>
        <v>0</v>
      </c>
      <c r="P214" s="311">
        <f t="shared" si="29"/>
        <v>3280.7275610703514</v>
      </c>
      <c r="Q214" s="312">
        <f t="shared" si="30"/>
        <v>0</v>
      </c>
      <c r="R214" s="310">
        <f t="shared" si="31"/>
        <v>0</v>
      </c>
      <c r="S214" s="309">
        <f t="shared" si="32"/>
        <v>0</v>
      </c>
      <c r="T214" s="311">
        <f t="shared" si="33"/>
        <v>0</v>
      </c>
      <c r="U214" s="312">
        <f t="shared" si="34"/>
        <v>3280.7275610703514</v>
      </c>
      <c r="V214" s="321"/>
    </row>
    <row r="215" spans="1:22">
      <c r="A215" s="428" t="s">
        <v>3353</v>
      </c>
      <c r="B215" s="429"/>
      <c r="C215" s="430"/>
      <c r="D215" s="431">
        <v>25</v>
      </c>
      <c r="E215" s="432">
        <v>447512.26779127581</v>
      </c>
      <c r="F215" s="309">
        <f t="shared" si="27"/>
        <v>436577.72007123614</v>
      </c>
      <c r="G215" s="309">
        <f t="shared" si="27"/>
        <v>425823.74099170498</v>
      </c>
      <c r="H215" s="309">
        <f t="shared" si="27"/>
        <v>415454.27865112392</v>
      </c>
      <c r="I215" s="309">
        <f t="shared" si="27"/>
        <v>405337.32865046617</v>
      </c>
      <c r="J215" s="309">
        <f t="shared" si="27"/>
        <v>395466.74192628771</v>
      </c>
      <c r="K215" s="309">
        <f t="shared" si="27"/>
        <v>385836.51915428677</v>
      </c>
      <c r="L215" s="308">
        <v>0</v>
      </c>
      <c r="M215" s="326">
        <v>1</v>
      </c>
      <c r="N215" s="327">
        <v>0</v>
      </c>
      <c r="O215" s="309">
        <f t="shared" si="28"/>
        <v>0</v>
      </c>
      <c r="P215" s="311">
        <f t="shared" si="29"/>
        <v>385836.51915428677</v>
      </c>
      <c r="Q215" s="312">
        <f t="shared" si="30"/>
        <v>0</v>
      </c>
      <c r="R215" s="310">
        <f t="shared" si="31"/>
        <v>0</v>
      </c>
      <c r="S215" s="309">
        <f t="shared" si="32"/>
        <v>0</v>
      </c>
      <c r="T215" s="311">
        <f t="shared" si="33"/>
        <v>0</v>
      </c>
      <c r="U215" s="312">
        <f t="shared" si="34"/>
        <v>385836.51915428677</v>
      </c>
      <c r="V215" s="321"/>
    </row>
    <row r="216" spans="1:22">
      <c r="A216" s="428" t="s">
        <v>3354</v>
      </c>
      <c r="B216" s="429"/>
      <c r="C216" s="430"/>
      <c r="D216" s="431">
        <v>25</v>
      </c>
      <c r="E216" s="432">
        <v>78.309100234180221</v>
      </c>
      <c r="F216" s="309">
        <f t="shared" si="27"/>
        <v>76.395689909922055</v>
      </c>
      <c r="G216" s="309">
        <f t="shared" si="27"/>
        <v>74.513876859719673</v>
      </c>
      <c r="H216" s="309">
        <f t="shared" si="27"/>
        <v>72.699349472993703</v>
      </c>
      <c r="I216" s="309">
        <f t="shared" si="27"/>
        <v>70.929008616024817</v>
      </c>
      <c r="J216" s="309">
        <f t="shared" si="27"/>
        <v>69.201778278924039</v>
      </c>
      <c r="K216" s="309">
        <f t="shared" si="27"/>
        <v>67.516608654296363</v>
      </c>
      <c r="L216" s="308">
        <v>0</v>
      </c>
      <c r="M216" s="326">
        <v>1</v>
      </c>
      <c r="N216" s="327">
        <v>0</v>
      </c>
      <c r="O216" s="309">
        <f t="shared" si="28"/>
        <v>0</v>
      </c>
      <c r="P216" s="311">
        <f t="shared" si="29"/>
        <v>67.516608654296363</v>
      </c>
      <c r="Q216" s="312">
        <f t="shared" si="30"/>
        <v>0</v>
      </c>
      <c r="R216" s="310">
        <f t="shared" si="31"/>
        <v>0</v>
      </c>
      <c r="S216" s="309">
        <f t="shared" si="32"/>
        <v>0</v>
      </c>
      <c r="T216" s="311">
        <f t="shared" si="33"/>
        <v>0</v>
      </c>
      <c r="U216" s="312">
        <f t="shared" si="34"/>
        <v>67.516608654296363</v>
      </c>
      <c r="V216" s="321"/>
    </row>
    <row r="217" spans="1:22">
      <c r="A217" s="428" t="s">
        <v>3355</v>
      </c>
      <c r="B217" s="429"/>
      <c r="C217" s="430"/>
      <c r="D217" s="431">
        <v>25</v>
      </c>
      <c r="E217" s="432">
        <v>-68860.535890153042</v>
      </c>
      <c r="F217" s="309">
        <f t="shared" si="27"/>
        <v>-67177.992483165217</v>
      </c>
      <c r="G217" s="309">
        <f t="shared" si="27"/>
        <v>-65523.233908561408</v>
      </c>
      <c r="H217" s="309">
        <f t="shared" si="27"/>
        <v>-63927.642491169892</v>
      </c>
      <c r="I217" s="309">
        <f t="shared" si="27"/>
        <v>-62370.906176302866</v>
      </c>
      <c r="J217" s="309">
        <f t="shared" si="27"/>
        <v>-60852.078782515804</v>
      </c>
      <c r="K217" s="309">
        <f t="shared" si="27"/>
        <v>-59370.237169336084</v>
      </c>
      <c r="L217" s="308">
        <v>0</v>
      </c>
      <c r="M217" s="326">
        <v>0</v>
      </c>
      <c r="N217" s="327">
        <v>1</v>
      </c>
      <c r="O217" s="309">
        <f t="shared" si="28"/>
        <v>0</v>
      </c>
      <c r="P217" s="311">
        <f t="shared" si="29"/>
        <v>0</v>
      </c>
      <c r="Q217" s="312">
        <f t="shared" si="30"/>
        <v>-59370.237169336084</v>
      </c>
      <c r="R217" s="310">
        <f t="shared" si="31"/>
        <v>0</v>
      </c>
      <c r="S217" s="309">
        <f t="shared" si="32"/>
        <v>0</v>
      </c>
      <c r="T217" s="311">
        <f t="shared" si="33"/>
        <v>0</v>
      </c>
      <c r="U217" s="312">
        <f t="shared" si="34"/>
        <v>-59370.237169336084</v>
      </c>
      <c r="V217" s="321"/>
    </row>
    <row r="218" spans="1:22">
      <c r="A218" s="428" t="s">
        <v>3356</v>
      </c>
      <c r="B218" s="429"/>
      <c r="C218" s="430"/>
      <c r="D218" s="431">
        <v>25</v>
      </c>
      <c r="E218" s="432">
        <v>13066.35</v>
      </c>
      <c r="F218" s="309">
        <f t="shared" si="27"/>
        <v>12747.08584148451</v>
      </c>
      <c r="G218" s="309">
        <f t="shared" si="27"/>
        <v>12433.093880461065</v>
      </c>
      <c r="H218" s="309">
        <f t="shared" si="27"/>
        <v>12130.328941920776</v>
      </c>
      <c r="I218" s="309">
        <f t="shared" si="27"/>
        <v>11834.936794810408</v>
      </c>
      <c r="J218" s="309">
        <f t="shared" si="27"/>
        <v>11546.737900330887</v>
      </c>
      <c r="K218" s="309">
        <f t="shared" si="27"/>
        <v>11265.557091728733</v>
      </c>
      <c r="L218" s="308">
        <v>0</v>
      </c>
      <c r="M218" s="326">
        <v>0</v>
      </c>
      <c r="N218" s="327">
        <v>1</v>
      </c>
      <c r="O218" s="309">
        <f t="shared" si="28"/>
        <v>0</v>
      </c>
      <c r="P218" s="311">
        <f t="shared" si="29"/>
        <v>0</v>
      </c>
      <c r="Q218" s="312">
        <f t="shared" si="30"/>
        <v>11265.557091728733</v>
      </c>
      <c r="R218" s="310">
        <f t="shared" si="31"/>
        <v>0</v>
      </c>
      <c r="S218" s="309">
        <f t="shared" si="32"/>
        <v>0</v>
      </c>
      <c r="T218" s="311">
        <f t="shared" si="33"/>
        <v>0</v>
      </c>
      <c r="U218" s="312">
        <f t="shared" si="34"/>
        <v>11265.557091728733</v>
      </c>
      <c r="V218" s="321"/>
    </row>
    <row r="219" spans="1:22">
      <c r="A219" s="428" t="s">
        <v>3357</v>
      </c>
      <c r="B219" s="429"/>
      <c r="C219" s="430"/>
      <c r="D219" s="431">
        <v>25</v>
      </c>
      <c r="E219" s="432">
        <v>61034.709730488234</v>
      </c>
      <c r="F219" s="309">
        <f t="shared" si="27"/>
        <v>59543.383136424738</v>
      </c>
      <c r="G219" s="309">
        <f t="shared" si="27"/>
        <v>58076.683698649635</v>
      </c>
      <c r="H219" s="309">
        <f t="shared" si="27"/>
        <v>56662.427219956218</v>
      </c>
      <c r="I219" s="309">
        <f t="shared" si="27"/>
        <v>55282.610059421953</v>
      </c>
      <c r="J219" s="309">
        <f t="shared" si="27"/>
        <v>53936.393566736144</v>
      </c>
      <c r="K219" s="309">
        <f t="shared" si="27"/>
        <v>52622.959514011673</v>
      </c>
      <c r="L219" s="308">
        <v>0</v>
      </c>
      <c r="M219" s="326">
        <v>0</v>
      </c>
      <c r="N219" s="327">
        <v>1</v>
      </c>
      <c r="O219" s="309">
        <f t="shared" si="28"/>
        <v>0</v>
      </c>
      <c r="P219" s="311">
        <f t="shared" si="29"/>
        <v>0</v>
      </c>
      <c r="Q219" s="312">
        <f t="shared" si="30"/>
        <v>52622.959514011673</v>
      </c>
      <c r="R219" s="310">
        <f t="shared" si="31"/>
        <v>0</v>
      </c>
      <c r="S219" s="309">
        <f t="shared" si="32"/>
        <v>0</v>
      </c>
      <c r="T219" s="311">
        <f t="shared" si="33"/>
        <v>0</v>
      </c>
      <c r="U219" s="312">
        <f t="shared" si="34"/>
        <v>52622.959514011673</v>
      </c>
      <c r="V219" s="321"/>
    </row>
    <row r="220" spans="1:22">
      <c r="A220" s="428" t="s">
        <v>3358</v>
      </c>
      <c r="B220" s="429"/>
      <c r="C220" s="430"/>
      <c r="D220" s="431">
        <v>25</v>
      </c>
      <c r="E220" s="432">
        <v>49553.432466742255</v>
      </c>
      <c r="F220" s="309">
        <f t="shared" si="27"/>
        <v>48342.640247182193</v>
      </c>
      <c r="G220" s="309">
        <f t="shared" si="27"/>
        <v>47151.842554201728</v>
      </c>
      <c r="H220" s="309">
        <f t="shared" si="27"/>
        <v>46003.62274260525</v>
      </c>
      <c r="I220" s="309">
        <f t="shared" si="27"/>
        <v>44883.363847577988</v>
      </c>
      <c r="J220" s="309">
        <f t="shared" si="27"/>
        <v>43790.384977841546</v>
      </c>
      <c r="K220" s="309">
        <f t="shared" si="27"/>
        <v>42724.0218228663</v>
      </c>
      <c r="L220" s="308">
        <v>0</v>
      </c>
      <c r="M220" s="326">
        <v>0</v>
      </c>
      <c r="N220" s="327">
        <v>1</v>
      </c>
      <c r="O220" s="309">
        <f t="shared" si="28"/>
        <v>0</v>
      </c>
      <c r="P220" s="311">
        <f t="shared" si="29"/>
        <v>0</v>
      </c>
      <c r="Q220" s="312">
        <f t="shared" si="30"/>
        <v>42724.0218228663</v>
      </c>
      <c r="R220" s="310">
        <f t="shared" si="31"/>
        <v>0</v>
      </c>
      <c r="S220" s="309">
        <f t="shared" si="32"/>
        <v>0</v>
      </c>
      <c r="T220" s="311">
        <f t="shared" si="33"/>
        <v>0</v>
      </c>
      <c r="U220" s="312">
        <f t="shared" si="34"/>
        <v>42724.0218228663</v>
      </c>
      <c r="V220" s="321"/>
    </row>
    <row r="221" spans="1:22">
      <c r="A221" s="428" t="s">
        <v>3359</v>
      </c>
      <c r="B221" s="429"/>
      <c r="C221" s="430"/>
      <c r="D221" s="431" t="s">
        <v>2505</v>
      </c>
      <c r="E221" s="432">
        <v>21470608.654295094</v>
      </c>
      <c r="F221" s="309">
        <f t="shared" si="27"/>
        <v>20945994.220667575</v>
      </c>
      <c r="G221" s="309">
        <f t="shared" si="27"/>
        <v>20430043.054830976</v>
      </c>
      <c r="H221" s="309">
        <f t="shared" si="27"/>
        <v>19932540.117159761</v>
      </c>
      <c r="I221" s="309">
        <f t="shared" si="27"/>
        <v>19447152.140398182</v>
      </c>
      <c r="J221" s="309">
        <f t="shared" si="27"/>
        <v>18973584.10663433</v>
      </c>
      <c r="K221" s="309">
        <f t="shared" si="27"/>
        <v>18511548.182095721</v>
      </c>
      <c r="L221" s="308">
        <v>0</v>
      </c>
      <c r="M221" s="326">
        <v>0</v>
      </c>
      <c r="N221" s="327">
        <v>1</v>
      </c>
      <c r="O221" s="309">
        <f t="shared" si="28"/>
        <v>0</v>
      </c>
      <c r="P221" s="311">
        <f t="shared" si="29"/>
        <v>0</v>
      </c>
      <c r="Q221" s="312">
        <f t="shared" si="30"/>
        <v>18511548.182095721</v>
      </c>
      <c r="R221" s="310">
        <f t="shared" si="31"/>
        <v>18511548.182095721</v>
      </c>
      <c r="S221" s="309">
        <f t="shared" si="32"/>
        <v>0</v>
      </c>
      <c r="T221" s="311">
        <f t="shared" si="33"/>
        <v>0</v>
      </c>
      <c r="U221" s="312">
        <f t="shared" si="34"/>
        <v>0</v>
      </c>
      <c r="V221" s="321"/>
    </row>
    <row r="222" spans="1:22">
      <c r="A222" s="428" t="s">
        <v>3360</v>
      </c>
      <c r="B222" s="429"/>
      <c r="C222" s="430"/>
      <c r="D222" s="431">
        <v>240</v>
      </c>
      <c r="E222" s="432">
        <v>-60431.938786228107</v>
      </c>
      <c r="F222" s="309">
        <f t="shared" si="27"/>
        <v>-58955.340341823612</v>
      </c>
      <c r="G222" s="309">
        <f t="shared" si="27"/>
        <v>-57503.125839079032</v>
      </c>
      <c r="H222" s="309">
        <f t="shared" si="27"/>
        <v>-56102.836375496401</v>
      </c>
      <c r="I222" s="309">
        <f t="shared" si="27"/>
        <v>-54736.646111795664</v>
      </c>
      <c r="J222" s="309">
        <f t="shared" si="27"/>
        <v>-53403.724680068743</v>
      </c>
      <c r="K222" s="309">
        <f t="shared" si="27"/>
        <v>-52103.261933141905</v>
      </c>
      <c r="L222" s="308">
        <v>0</v>
      </c>
      <c r="M222" s="326">
        <v>0</v>
      </c>
      <c r="N222" s="327">
        <v>1</v>
      </c>
      <c r="O222" s="309">
        <f t="shared" si="28"/>
        <v>0</v>
      </c>
      <c r="P222" s="311">
        <f t="shared" si="29"/>
        <v>0</v>
      </c>
      <c r="Q222" s="312">
        <f t="shared" si="30"/>
        <v>-52103.261933141905</v>
      </c>
      <c r="R222" s="310">
        <f t="shared" si="31"/>
        <v>0</v>
      </c>
      <c r="S222" s="309">
        <f t="shared" si="32"/>
        <v>-52103.261933141905</v>
      </c>
      <c r="T222" s="311">
        <f t="shared" si="33"/>
        <v>0</v>
      </c>
      <c r="U222" s="312">
        <f t="shared" si="34"/>
        <v>0</v>
      </c>
      <c r="V222" s="321"/>
    </row>
    <row r="223" spans="1:22">
      <c r="A223" s="428" t="s">
        <v>3361</v>
      </c>
      <c r="B223" s="429"/>
      <c r="C223" s="430"/>
      <c r="D223" s="431" t="s">
        <v>2505</v>
      </c>
      <c r="E223" s="432">
        <v>-2518.8413086215651</v>
      </c>
      <c r="F223" s="309">
        <f t="shared" si="27"/>
        <v>-2457.2957545202958</v>
      </c>
      <c r="G223" s="309">
        <f t="shared" si="27"/>
        <v>-2396.7665384805491</v>
      </c>
      <c r="H223" s="309">
        <f t="shared" si="27"/>
        <v>-2338.4015908098108</v>
      </c>
      <c r="I223" s="309">
        <f t="shared" si="27"/>
        <v>-2281.457919288383</v>
      </c>
      <c r="J223" s="309">
        <f t="shared" si="27"/>
        <v>-2225.9009136583418</v>
      </c>
      <c r="K223" s="309">
        <f t="shared" si="27"/>
        <v>-2171.6968064747198</v>
      </c>
      <c r="L223" s="308">
        <v>0</v>
      </c>
      <c r="M223" s="326">
        <v>0</v>
      </c>
      <c r="N223" s="327">
        <v>1</v>
      </c>
      <c r="O223" s="309">
        <f t="shared" si="28"/>
        <v>0</v>
      </c>
      <c r="P223" s="311">
        <f t="shared" si="29"/>
        <v>0</v>
      </c>
      <c r="Q223" s="312">
        <f t="shared" si="30"/>
        <v>-2171.6968064747198</v>
      </c>
      <c r="R223" s="310">
        <f t="shared" si="31"/>
        <v>-2171.6968064747198</v>
      </c>
      <c r="S223" s="309">
        <f t="shared" si="32"/>
        <v>0</v>
      </c>
      <c r="T223" s="311">
        <f t="shared" si="33"/>
        <v>0</v>
      </c>
      <c r="U223" s="312">
        <f t="shared" si="34"/>
        <v>0</v>
      </c>
      <c r="V223" s="321"/>
    </row>
    <row r="224" spans="1:22">
      <c r="A224" s="428" t="s">
        <v>3362</v>
      </c>
      <c r="B224" s="429"/>
      <c r="C224" s="430"/>
      <c r="D224" s="431">
        <v>25</v>
      </c>
      <c r="E224" s="432">
        <v>433038.16</v>
      </c>
      <c r="F224" s="309">
        <f t="shared" si="27"/>
        <v>422457.27369605924</v>
      </c>
      <c r="G224" s="309">
        <f t="shared" si="27"/>
        <v>412051.11581291782</v>
      </c>
      <c r="H224" s="309">
        <f t="shared" si="27"/>
        <v>402017.03805608442</v>
      </c>
      <c r="I224" s="309">
        <f t="shared" si="27"/>
        <v>392227.30550926592</v>
      </c>
      <c r="J224" s="309">
        <f t="shared" si="27"/>
        <v>382675.96799117967</v>
      </c>
      <c r="K224" s="309">
        <f t="shared" si="27"/>
        <v>373357.22021659923</v>
      </c>
      <c r="L224" s="308">
        <v>0</v>
      </c>
      <c r="M224" s="326">
        <v>1</v>
      </c>
      <c r="N224" s="327">
        <v>0</v>
      </c>
      <c r="O224" s="309">
        <f t="shared" si="28"/>
        <v>0</v>
      </c>
      <c r="P224" s="311">
        <f t="shared" si="29"/>
        <v>373357.22021659923</v>
      </c>
      <c r="Q224" s="312">
        <f t="shared" si="30"/>
        <v>0</v>
      </c>
      <c r="R224" s="310">
        <f t="shared" si="31"/>
        <v>0</v>
      </c>
      <c r="S224" s="309">
        <f t="shared" si="32"/>
        <v>0</v>
      </c>
      <c r="T224" s="311">
        <f t="shared" si="33"/>
        <v>0</v>
      </c>
      <c r="U224" s="312">
        <f t="shared" si="34"/>
        <v>373357.22021659923</v>
      </c>
      <c r="V224" s="321"/>
    </row>
    <row r="225" spans="1:22">
      <c r="A225" s="428" t="s">
        <v>3363</v>
      </c>
      <c r="B225" s="429"/>
      <c r="C225" s="430"/>
      <c r="D225" s="431" t="s">
        <v>2505</v>
      </c>
      <c r="E225" s="432">
        <v>183275.92</v>
      </c>
      <c r="F225" s="309">
        <f t="shared" si="27"/>
        <v>178797.74266853771</v>
      </c>
      <c r="G225" s="309">
        <f t="shared" si="27"/>
        <v>174393.51612254928</v>
      </c>
      <c r="H225" s="309">
        <f t="shared" si="27"/>
        <v>170146.7660619191</v>
      </c>
      <c r="I225" s="309">
        <f t="shared" si="27"/>
        <v>166003.43089009012</v>
      </c>
      <c r="J225" s="309">
        <f t="shared" si="27"/>
        <v>161960.99229563051</v>
      </c>
      <c r="K225" s="309">
        <f t="shared" si="27"/>
        <v>158016.99329186103</v>
      </c>
      <c r="L225" s="308">
        <v>0</v>
      </c>
      <c r="M225" s="326">
        <v>0</v>
      </c>
      <c r="N225" s="327">
        <v>1</v>
      </c>
      <c r="O225" s="309">
        <f t="shared" si="28"/>
        <v>0</v>
      </c>
      <c r="P225" s="311">
        <f t="shared" si="29"/>
        <v>0</v>
      </c>
      <c r="Q225" s="312">
        <f t="shared" si="30"/>
        <v>158016.99329186103</v>
      </c>
      <c r="R225" s="310">
        <f t="shared" si="31"/>
        <v>158016.99329186103</v>
      </c>
      <c r="S225" s="309">
        <f t="shared" si="32"/>
        <v>0</v>
      </c>
      <c r="T225" s="311">
        <f t="shared" si="33"/>
        <v>0</v>
      </c>
      <c r="U225" s="312">
        <f t="shared" si="34"/>
        <v>0</v>
      </c>
      <c r="V225" s="321"/>
    </row>
    <row r="226" spans="1:22">
      <c r="A226" s="428" t="s">
        <v>3364</v>
      </c>
      <c r="B226" s="429"/>
      <c r="C226" s="430"/>
      <c r="D226" s="431" t="s">
        <v>2505</v>
      </c>
      <c r="E226" s="432">
        <v>347.03870221509402</v>
      </c>
      <c r="F226" s="309">
        <f t="shared" si="27"/>
        <v>338.55913299836482</v>
      </c>
      <c r="G226" s="309">
        <f t="shared" si="27"/>
        <v>330.21959191309242</v>
      </c>
      <c r="H226" s="309">
        <f t="shared" si="27"/>
        <v>322.17823749144787</v>
      </c>
      <c r="I226" s="309">
        <f t="shared" si="27"/>
        <v>314.3327024049309</v>
      </c>
      <c r="J226" s="309">
        <f t="shared" si="27"/>
        <v>306.67821815186875</v>
      </c>
      <c r="K226" s="309">
        <f t="shared" si="27"/>
        <v>299.21013235093108</v>
      </c>
      <c r="L226" s="308">
        <v>0</v>
      </c>
      <c r="M226" s="326">
        <v>0</v>
      </c>
      <c r="N226" s="327">
        <v>1</v>
      </c>
      <c r="O226" s="309">
        <f t="shared" si="28"/>
        <v>0</v>
      </c>
      <c r="P226" s="311">
        <f t="shared" si="29"/>
        <v>0</v>
      </c>
      <c r="Q226" s="312">
        <f t="shared" si="30"/>
        <v>299.21013235093108</v>
      </c>
      <c r="R226" s="310">
        <f t="shared" si="31"/>
        <v>299.21013235093108</v>
      </c>
      <c r="S226" s="309">
        <f t="shared" si="32"/>
        <v>0</v>
      </c>
      <c r="T226" s="311">
        <f t="shared" si="33"/>
        <v>0</v>
      </c>
      <c r="U226" s="312">
        <f t="shared" si="34"/>
        <v>0</v>
      </c>
      <c r="V226" s="321"/>
    </row>
    <row r="227" spans="1:22" s="777" customFormat="1">
      <c r="A227" s="777" t="s">
        <v>1122</v>
      </c>
      <c r="D227" s="438"/>
      <c r="E227" s="438">
        <f>SUM(E5:E226)</f>
        <v>1390019929.9799914</v>
      </c>
      <c r="F227" s="438">
        <f t="shared" ref="F227:U227" si="35">SUM(F5:F226)</f>
        <v>1356056080.6062338</v>
      </c>
      <c r="G227" s="438">
        <f t="shared" si="35"/>
        <v>1322653096.3240051</v>
      </c>
      <c r="H227" s="438">
        <f t="shared" si="35"/>
        <v>1290444461.267529</v>
      </c>
      <c r="I227" s="438">
        <f t="shared" si="35"/>
        <v>1259020155.9609218</v>
      </c>
      <c r="J227" s="438">
        <f t="shared" si="35"/>
        <v>1228361080.7697067</v>
      </c>
      <c r="K227" s="438">
        <f t="shared" si="35"/>
        <v>1198448601.1648526</v>
      </c>
      <c r="L227" s="438">
        <f t="shared" si="35"/>
        <v>14.236110842367632</v>
      </c>
      <c r="M227" s="438">
        <f t="shared" si="35"/>
        <v>142.76388915763238</v>
      </c>
      <c r="N227" s="438">
        <f t="shared" si="35"/>
        <v>65</v>
      </c>
      <c r="O227" s="438">
        <f t="shared" si="35"/>
        <v>64798847.263162844</v>
      </c>
      <c r="P227" s="438">
        <f t="shared" si="35"/>
        <v>599032714.16277027</v>
      </c>
      <c r="Q227" s="438">
        <f t="shared" si="35"/>
        <v>534617039.73892027</v>
      </c>
      <c r="R227" s="438">
        <f t="shared" si="35"/>
        <v>33481925.195152309</v>
      </c>
      <c r="S227" s="438">
        <f t="shared" si="35"/>
        <v>135800222.26085442</v>
      </c>
      <c r="T227" s="438">
        <f t="shared" si="35"/>
        <v>387847477.65428799</v>
      </c>
      <c r="U227" s="438">
        <f t="shared" si="35"/>
        <v>641318976.05455804</v>
      </c>
      <c r="V227" s="438"/>
    </row>
    <row r="229" spans="1:22">
      <c r="Q229" s="104">
        <f>SUM(O227:Q227)-R227</f>
        <v>1164966675.9697011</v>
      </c>
      <c r="S229" s="104">
        <f>SUM(S227:U227)</f>
        <v>1164966675.9697003</v>
      </c>
    </row>
    <row r="231" spans="1:22">
      <c r="R231" s="104">
        <f>Q229-S229</f>
        <v>0</v>
      </c>
    </row>
  </sheetData>
  <autoFilter ref="A4:AD227"/>
  <mergeCells count="8">
    <mergeCell ref="W10:Z10"/>
    <mergeCell ref="W9:Z9"/>
    <mergeCell ref="A1:E1"/>
    <mergeCell ref="F1:I1"/>
    <mergeCell ref="L1:N1"/>
    <mergeCell ref="O1:Q1"/>
    <mergeCell ref="S1:U1"/>
    <mergeCell ref="W1:Z1"/>
  </mergeCells>
  <pageMargins left="0.7" right="0.7" top="0.75" bottom="0.75" header="0.3" footer="0.3"/>
  <pageSetup fitToHeight="0" orientation="portrait" r:id="rId1"/>
  <headerFooter>
    <oddHeader>&amp;LAlberta Electric System Operator&amp;CConfidentiality: Public&amp;R&amp;D</oddHeader>
    <oddFooter>&amp;L&amp;F&amp;CPage &amp;P of &amp;N&amp;RTab &amp;A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AK436"/>
  <sheetViews>
    <sheetView showGridLines="0" zoomScale="70" zoomScaleNormal="70" workbookViewId="0">
      <pane xSplit="1" ySplit="4" topLeftCell="B5" activePane="bottomRight" state="frozenSplit"/>
      <selection activeCell="O24" sqref="A1:XFD1048576"/>
      <selection pane="topRight" activeCell="O24" sqref="A1:XFD1048576"/>
      <selection pane="bottomLeft" activeCell="O24" sqref="A1:XFD1048576"/>
      <selection pane="bottomRight" activeCell="V16" sqref="S1:V16"/>
    </sheetView>
  </sheetViews>
  <sheetFormatPr defaultColWidth="9.109375" defaultRowHeight="13.8"/>
  <cols>
    <col min="1" max="1" width="21.44140625" style="456" bestFit="1" customWidth="1"/>
    <col min="2" max="2" width="31.44140625" style="456" customWidth="1"/>
    <col min="3" max="3" width="19.44140625" style="4" bestFit="1" customWidth="1"/>
    <col min="4" max="4" width="27.5546875" style="101" bestFit="1" customWidth="1"/>
    <col min="5" max="5" width="22.44140625" style="786" bestFit="1" customWidth="1"/>
    <col min="6" max="6" width="23.88671875" style="451" bestFit="1" customWidth="1"/>
    <col min="7" max="10" width="23.88671875" style="9" bestFit="1" customWidth="1"/>
    <col min="11" max="11" width="24.33203125" style="9" bestFit="1" customWidth="1"/>
    <col min="12" max="12" width="27.88671875" style="9" bestFit="1" customWidth="1"/>
    <col min="13" max="13" width="17.5546875" style="9" bestFit="1" customWidth="1"/>
    <col min="14" max="14" width="22.109375" style="9" bestFit="1" customWidth="1"/>
    <col min="15" max="15" width="21.44140625" style="451" bestFit="1" customWidth="1"/>
    <col min="16" max="16" width="19.5546875" style="4" bestFit="1" customWidth="1"/>
    <col min="17" max="17" width="24.33203125" style="4" customWidth="1"/>
    <col min="18" max="18" width="17.109375" style="4" customWidth="1"/>
    <col min="19" max="19" width="27.33203125" style="4" bestFit="1" customWidth="1"/>
    <col min="20" max="20" width="18.109375" style="4" bestFit="1" customWidth="1"/>
    <col min="21" max="21" width="17.6640625" style="4" bestFit="1" customWidth="1"/>
    <col min="22" max="22" width="17.109375" style="4" bestFit="1" customWidth="1"/>
    <col min="23" max="23" width="9.109375" style="4"/>
    <col min="24" max="24" width="11" style="4" bestFit="1" customWidth="1"/>
    <col min="25" max="34" width="9.109375" style="4"/>
    <col min="35" max="35" width="36.44140625" style="4" bestFit="1" customWidth="1"/>
    <col min="36" max="36" width="12.5546875" style="4" customWidth="1"/>
    <col min="37" max="37" width="12.5546875" style="4" bestFit="1" customWidth="1"/>
    <col min="38" max="16384" width="9.109375" style="4"/>
  </cols>
  <sheetData>
    <row r="1" spans="1:22" ht="14.4" thickBot="1">
      <c r="A1" s="998" t="s">
        <v>2102</v>
      </c>
      <c r="B1" s="999"/>
      <c r="C1" s="999"/>
      <c r="D1" s="999"/>
      <c r="E1" s="1000"/>
      <c r="F1" s="984" t="s">
        <v>51</v>
      </c>
      <c r="G1" s="985"/>
      <c r="H1" s="985"/>
      <c r="I1" s="985"/>
      <c r="J1" s="778"/>
      <c r="K1" s="778"/>
      <c r="L1" s="285" t="s">
        <v>725</v>
      </c>
      <c r="M1" s="991" t="s">
        <v>105</v>
      </c>
      <c r="N1" s="991"/>
      <c r="O1" s="991"/>
      <c r="P1" s="991"/>
      <c r="Q1" s="992"/>
      <c r="S1" s="986" t="s">
        <v>2140</v>
      </c>
      <c r="T1" s="986"/>
      <c r="U1" s="986"/>
      <c r="V1" s="986"/>
    </row>
    <row r="2" spans="1:22">
      <c r="A2" s="390" t="s">
        <v>2136</v>
      </c>
      <c r="B2" s="439"/>
      <c r="C2" s="439"/>
      <c r="D2" s="439"/>
      <c r="E2" s="440"/>
      <c r="F2" s="394" t="s">
        <v>214</v>
      </c>
      <c r="G2" s="394" t="s">
        <v>215</v>
      </c>
      <c r="H2" s="394" t="s">
        <v>1123</v>
      </c>
      <c r="I2" s="394" t="s">
        <v>1124</v>
      </c>
      <c r="J2" s="394" t="s">
        <v>1125</v>
      </c>
      <c r="K2" s="394" t="s">
        <v>1126</v>
      </c>
      <c r="L2" s="403"/>
      <c r="M2" s="441"/>
      <c r="N2" s="414"/>
      <c r="O2" s="414"/>
      <c r="P2" s="414"/>
      <c r="Q2" s="415"/>
      <c r="S2" s="349"/>
      <c r="T2" s="349"/>
      <c r="U2" s="349"/>
      <c r="V2" s="349"/>
    </row>
    <row r="3" spans="1:22">
      <c r="A3" s="408"/>
      <c r="B3" s="442"/>
      <c r="C3" s="439"/>
      <c r="D3" s="439"/>
      <c r="E3" s="440"/>
      <c r="F3" s="394">
        <f>+(1-Depreciation!G9)</f>
        <v>0.97521794281816965</v>
      </c>
      <c r="G3" s="395">
        <f>+(1-Depreciation!G9)*(1-Depreciation!H9)</f>
        <v>0.95186746118817056</v>
      </c>
      <c r="H3" s="395">
        <f>+(1-Depreciation!G9)*(1-Depreciation!H9)*(1-Depreciation!I9)</f>
        <v>0.92902070228339195</v>
      </c>
      <c r="I3" s="395">
        <f>+(1-Depreciation!G9)*(1-Depreciation!H9)*(1-Depreciation!I9)*(1-Depreciation!J9)</f>
        <v>0.90672231215235166</v>
      </c>
      <c r="J3" s="395">
        <f>+(1-Depreciation!G9)*(1-Depreciation!H9)*(1-Depreciation!I9)*(1-Depreciation!J9)*(1-Depreciation!K9)</f>
        <v>0.88495912882694439</v>
      </c>
      <c r="K3" s="395">
        <f>+(1-Depreciation!G9)*(1-Depreciation!H9)*(1-Depreciation!I9)*(1-Depreciation!J9)*(1-Depreciation!K9)*(1-Depreciation!L9)</f>
        <v>0.86371830625312263</v>
      </c>
      <c r="L3" s="416"/>
      <c r="M3" s="1002" t="s">
        <v>49</v>
      </c>
      <c r="N3" s="1003"/>
      <c r="O3" s="997" t="s">
        <v>74</v>
      </c>
      <c r="P3" s="997"/>
      <c r="Q3" s="415"/>
      <c r="S3" s="349"/>
      <c r="T3" s="349"/>
      <c r="U3" s="349"/>
      <c r="V3" s="349"/>
    </row>
    <row r="4" spans="1:22">
      <c r="A4" s="443" t="s">
        <v>1107</v>
      </c>
      <c r="B4" s="444"/>
      <c r="C4" s="422" t="s">
        <v>58</v>
      </c>
      <c r="D4" s="422" t="s">
        <v>59</v>
      </c>
      <c r="E4" s="423" t="s">
        <v>1121</v>
      </c>
      <c r="F4" s="424" t="s">
        <v>216</v>
      </c>
      <c r="G4" s="424" t="s">
        <v>1145</v>
      </c>
      <c r="H4" s="424" t="s">
        <v>1146</v>
      </c>
      <c r="I4" s="424" t="s">
        <v>1147</v>
      </c>
      <c r="J4" s="424" t="s">
        <v>1148</v>
      </c>
      <c r="K4" s="424" t="s">
        <v>1149</v>
      </c>
      <c r="L4" s="301" t="s">
        <v>725</v>
      </c>
      <c r="M4" s="782" t="s">
        <v>15</v>
      </c>
      <c r="N4" s="781" t="s">
        <v>106</v>
      </c>
      <c r="O4" s="781" t="s">
        <v>14</v>
      </c>
      <c r="P4" s="781" t="s">
        <v>13</v>
      </c>
      <c r="Q4" s="445" t="s">
        <v>107</v>
      </c>
      <c r="S4" s="358" t="s">
        <v>2093</v>
      </c>
      <c r="T4" s="358" t="s">
        <v>49</v>
      </c>
      <c r="U4" s="358" t="s">
        <v>74</v>
      </c>
      <c r="V4" s="358" t="s">
        <v>50</v>
      </c>
    </row>
    <row r="5" spans="1:22">
      <c r="A5" s="428" t="s">
        <v>3365</v>
      </c>
      <c r="B5" s="429"/>
      <c r="C5" s="446" t="e">
        <v>#N/A</v>
      </c>
      <c r="D5" s="446" t="e">
        <v>#N/A</v>
      </c>
      <c r="E5" s="432">
        <v>10971.98443183659</v>
      </c>
      <c r="F5" s="447">
        <f t="shared" ref="F5:K24" si="0">+$E5*(F$3)</f>
        <v>10700.076086248664</v>
      </c>
      <c r="G5" s="447">
        <f t="shared" si="0"/>
        <v>10443.874965328427</v>
      </c>
      <c r="H5" s="447">
        <f t="shared" si="0"/>
        <v>10193.200682307272</v>
      </c>
      <c r="I5" s="447">
        <f t="shared" si="0"/>
        <v>9948.5430929344802</v>
      </c>
      <c r="J5" s="447">
        <f t="shared" si="0"/>
        <v>9709.7577843009058</v>
      </c>
      <c r="K5" s="447">
        <f t="shared" si="0"/>
        <v>9476.7038097015302</v>
      </c>
      <c r="L5" s="448">
        <f>IF(ISERROR(C5),K5,"")</f>
        <v>9476.7038097015302</v>
      </c>
      <c r="M5" s="449" t="str">
        <f>IF(ISERROR(C5),"",IF(AND(D5="n",$C5=500),$K5,""))</f>
        <v/>
      </c>
      <c r="N5" s="251" t="str">
        <f>IF(ISERROR(C5),"",IF(AND(D5="n",OR($C5=240,$C5=260)),$K5,""))</f>
        <v/>
      </c>
      <c r="O5" s="251" t="str">
        <f>IF(ISERROR(C5),"",IF(AND(D5="n",OR($C5=138,$C5=144)),$K5,""))</f>
        <v/>
      </c>
      <c r="P5" s="251" t="str">
        <f>IF(ISERROR(C5),"",IF(AND(D5="n",OR($C5=69,$C5=72)),$K5,""))</f>
        <v/>
      </c>
      <c r="Q5" s="450" t="str">
        <f>IF(ISERROR(D5),"",IF(D5="y",K5,""))</f>
        <v/>
      </c>
      <c r="S5" s="364" t="s">
        <v>86</v>
      </c>
      <c r="T5" s="373">
        <f>+T15</f>
        <v>0.57367502949817961</v>
      </c>
      <c r="U5" s="373">
        <f>+U15</f>
        <v>0.34525274641585346</v>
      </c>
      <c r="V5" s="373">
        <f>+V15</f>
        <v>8.1072224085966885E-2</v>
      </c>
    </row>
    <row r="6" spans="1:22">
      <c r="A6" s="428" t="s">
        <v>3366</v>
      </c>
      <c r="B6" s="429"/>
      <c r="C6" s="446" t="e">
        <v>#N/A</v>
      </c>
      <c r="D6" s="446" t="e">
        <v>#N/A</v>
      </c>
      <c r="E6" s="432">
        <v>654.43692040780672</v>
      </c>
      <c r="F6" s="447">
        <f t="shared" si="0"/>
        <v>638.21862722435947</v>
      </c>
      <c r="G6" s="447">
        <f t="shared" si="0"/>
        <v>622.93720993638385</v>
      </c>
      <c r="H6" s="447">
        <f t="shared" si="0"/>
        <v>607.98544739744091</v>
      </c>
      <c r="I6" s="447">
        <f t="shared" si="0"/>
        <v>593.39255763003109</v>
      </c>
      <c r="J6" s="447">
        <f t="shared" si="0"/>
        <v>579.14992695628098</v>
      </c>
      <c r="K6" s="447">
        <f t="shared" si="0"/>
        <v>565.24914844414047</v>
      </c>
      <c r="L6" s="448">
        <f t="shared" ref="L6:L69" si="1">IF(ISERROR(C6),K6,"")</f>
        <v>565.24914844414047</v>
      </c>
      <c r="M6" s="449" t="str">
        <f t="shared" ref="M6:M69" si="2">IF(ISERROR(C6),"",IF(AND(D6="n",$C6=500),$K6,""))</f>
        <v/>
      </c>
      <c r="N6" s="251" t="str">
        <f t="shared" ref="N6:N69" si="3">IF(ISERROR(C6),"",IF(AND(D6="n",OR($C6=240,$C6=260)),$K6,""))</f>
        <v/>
      </c>
      <c r="O6" s="251" t="str">
        <f t="shared" ref="O6:O69" si="4">IF(ISERROR(C6),"",IF(AND(D6="n",OR($C6=138,$C6=144)),$K6,""))</f>
        <v/>
      </c>
      <c r="P6" s="251" t="str">
        <f t="shared" ref="P6:P69" si="5">IF(ISERROR(C6),"",IF(AND(D6="n",OR($C6=69,$C6=72)),$K6,""))</f>
        <v/>
      </c>
      <c r="Q6" s="450" t="str">
        <f t="shared" ref="Q6:Q69" si="6">IF(ISERROR(D6),"",IF(D6="y",K6,""))</f>
        <v/>
      </c>
    </row>
    <row r="7" spans="1:22">
      <c r="A7" s="428" t="s">
        <v>3367</v>
      </c>
      <c r="B7" s="429"/>
      <c r="C7" s="446" t="e">
        <v>#N/A</v>
      </c>
      <c r="D7" s="446" t="e">
        <v>#N/A</v>
      </c>
      <c r="E7" s="432">
        <v>3937.4614882032301</v>
      </c>
      <c r="F7" s="447">
        <f t="shared" si="0"/>
        <v>3839.8830924513227</v>
      </c>
      <c r="G7" s="447">
        <f t="shared" si="0"/>
        <v>3747.9414703022044</v>
      </c>
      <c r="H7" s="447">
        <f t="shared" si="0"/>
        <v>3657.9832369843743</v>
      </c>
      <c r="I7" s="447">
        <f t="shared" si="0"/>
        <v>3570.1841845944723</v>
      </c>
      <c r="J7" s="447">
        <f t="shared" si="0"/>
        <v>3484.4924883899744</v>
      </c>
      <c r="K7" s="447">
        <f t="shared" si="0"/>
        <v>3400.8575675277934</v>
      </c>
      <c r="L7" s="448">
        <f t="shared" si="1"/>
        <v>3400.8575675277934</v>
      </c>
      <c r="M7" s="449" t="str">
        <f t="shared" si="2"/>
        <v/>
      </c>
      <c r="N7" s="251" t="str">
        <f t="shared" si="3"/>
        <v/>
      </c>
      <c r="O7" s="251" t="str">
        <f t="shared" si="4"/>
        <v/>
      </c>
      <c r="P7" s="251" t="str">
        <f t="shared" si="5"/>
        <v/>
      </c>
      <c r="Q7" s="450" t="str">
        <f t="shared" si="6"/>
        <v/>
      </c>
    </row>
    <row r="8" spans="1:22">
      <c r="A8" s="428" t="s">
        <v>3368</v>
      </c>
      <c r="B8" s="429"/>
      <c r="C8" s="446" t="e">
        <v>#N/A</v>
      </c>
      <c r="D8" s="446" t="e">
        <v>#N/A</v>
      </c>
      <c r="E8" s="432">
        <v>4271.7561753334039</v>
      </c>
      <c r="F8" s="447">
        <f t="shared" si="0"/>
        <v>4165.8932695294543</v>
      </c>
      <c r="G8" s="447">
        <f t="shared" si="0"/>
        <v>4066.145705429497</v>
      </c>
      <c r="H8" s="447">
        <f t="shared" si="0"/>
        <v>3968.5499219916555</v>
      </c>
      <c r="I8" s="447">
        <f t="shared" si="0"/>
        <v>3873.2966362493903</v>
      </c>
      <c r="J8" s="447">
        <f t="shared" si="0"/>
        <v>3780.3296234841691</v>
      </c>
      <c r="K8" s="447">
        <f t="shared" si="0"/>
        <v>3689.5940084852846</v>
      </c>
      <c r="L8" s="448">
        <f t="shared" si="1"/>
        <v>3689.5940084852846</v>
      </c>
      <c r="M8" s="449" t="str">
        <f t="shared" si="2"/>
        <v/>
      </c>
      <c r="N8" s="251" t="str">
        <f t="shared" si="3"/>
        <v/>
      </c>
      <c r="O8" s="251" t="str">
        <f t="shared" si="4"/>
        <v/>
      </c>
      <c r="P8" s="251" t="str">
        <f t="shared" si="5"/>
        <v/>
      </c>
      <c r="Q8" s="450" t="str">
        <f t="shared" si="6"/>
        <v/>
      </c>
      <c r="S8" s="245" t="s">
        <v>672</v>
      </c>
      <c r="T8" s="388">
        <f>ROWS(M5:N435)*COLUMNS(M5:N435)-COUNTBLANK(M5:N435)</f>
        <v>36</v>
      </c>
      <c r="U8" s="388">
        <f>ROWS(O5:P435)*COLUMNS(O5:P435)-COUNTBLANK(O5:P435)</f>
        <v>115</v>
      </c>
      <c r="V8" s="388">
        <f>ROWS(Q5:Q435)*COLUMNS(Q5:Q435)-COUNTBLANK(Q5:Q435)</f>
        <v>46</v>
      </c>
    </row>
    <row r="9" spans="1:22">
      <c r="A9" s="428" t="s">
        <v>3369</v>
      </c>
      <c r="B9" s="429"/>
      <c r="C9" s="446" t="e">
        <v>#N/A</v>
      </c>
      <c r="D9" s="446" t="e">
        <v>#N/A</v>
      </c>
      <c r="E9" s="432">
        <v>75539.752558185457</v>
      </c>
      <c r="F9" s="447">
        <f t="shared" si="0"/>
        <v>73667.722090787196</v>
      </c>
      <c r="G9" s="447">
        <f t="shared" si="0"/>
        <v>71903.83248634261</v>
      </c>
      <c r="H9" s="447">
        <f t="shared" si="0"/>
        <v>70177.993971919102</v>
      </c>
      <c r="I9" s="447">
        <f t="shared" si="0"/>
        <v>68493.579098974442</v>
      </c>
      <c r="J9" s="447">
        <f t="shared" si="0"/>
        <v>66849.593615694743</v>
      </c>
      <c r="K9" s="447">
        <f t="shared" si="0"/>
        <v>65245.067134335928</v>
      </c>
      <c r="L9" s="448">
        <f t="shared" si="1"/>
        <v>65245.067134335928</v>
      </c>
      <c r="M9" s="449" t="str">
        <f t="shared" si="2"/>
        <v/>
      </c>
      <c r="N9" s="251" t="str">
        <f t="shared" si="3"/>
        <v/>
      </c>
      <c r="O9" s="251" t="str">
        <f t="shared" si="4"/>
        <v/>
      </c>
      <c r="P9" s="251" t="str">
        <f t="shared" si="5"/>
        <v/>
      </c>
      <c r="Q9" s="450" t="str">
        <f t="shared" si="6"/>
        <v/>
      </c>
    </row>
    <row r="10" spans="1:22">
      <c r="A10" s="428" t="s">
        <v>3370</v>
      </c>
      <c r="B10" s="429"/>
      <c r="C10" s="446" t="e">
        <v>#N/A</v>
      </c>
      <c r="D10" s="446" t="e">
        <v>#N/A</v>
      </c>
      <c r="E10" s="432">
        <v>2.2183212008974227</v>
      </c>
      <c r="F10" s="447">
        <f t="shared" si="0"/>
        <v>2.163346638049116</v>
      </c>
      <c r="G10" s="447">
        <f t="shared" si="0"/>
        <v>2.1115477695981233</v>
      </c>
      <c r="H10" s="447">
        <f t="shared" si="0"/>
        <v>2.060866319947861</v>
      </c>
      <c r="I10" s="447">
        <f t="shared" si="0"/>
        <v>2.0114013283742924</v>
      </c>
      <c r="J10" s="447">
        <f t="shared" si="0"/>
        <v>1.9631235974045242</v>
      </c>
      <c r="K10" s="447">
        <f t="shared" si="0"/>
        <v>1.9160046303645148</v>
      </c>
      <c r="L10" s="448">
        <f t="shared" si="1"/>
        <v>1.9160046303645148</v>
      </c>
      <c r="M10" s="449" t="str">
        <f t="shared" si="2"/>
        <v/>
      </c>
      <c r="N10" s="251" t="str">
        <f t="shared" si="3"/>
        <v/>
      </c>
      <c r="O10" s="251" t="str">
        <f t="shared" si="4"/>
        <v/>
      </c>
      <c r="P10" s="251" t="str">
        <f t="shared" si="5"/>
        <v/>
      </c>
      <c r="Q10" s="450" t="str">
        <f t="shared" si="6"/>
        <v/>
      </c>
      <c r="S10" s="4" t="s">
        <v>726</v>
      </c>
      <c r="T10" s="388">
        <f>ROWS(L5:L435)*COLUMNS(L5:L435)-COUNTBLANK(L5:L435)</f>
        <v>234</v>
      </c>
    </row>
    <row r="11" spans="1:22">
      <c r="A11" s="428" t="s">
        <v>3371</v>
      </c>
      <c r="B11" s="429"/>
      <c r="C11" s="446" t="e">
        <v>#N/A</v>
      </c>
      <c r="D11" s="446" t="e">
        <v>#N/A</v>
      </c>
      <c r="E11" s="432">
        <v>87.92</v>
      </c>
      <c r="F11" s="447">
        <f t="shared" si="0"/>
        <v>85.741161532573472</v>
      </c>
      <c r="G11" s="447">
        <f t="shared" si="0"/>
        <v>83.688187187663956</v>
      </c>
      <c r="H11" s="447">
        <f t="shared" si="0"/>
        <v>81.679500144755821</v>
      </c>
      <c r="I11" s="447">
        <f t="shared" si="0"/>
        <v>79.719025684434754</v>
      </c>
      <c r="J11" s="447">
        <f t="shared" si="0"/>
        <v>77.805606606464949</v>
      </c>
      <c r="K11" s="447">
        <f t="shared" si="0"/>
        <v>75.938113485774537</v>
      </c>
      <c r="L11" s="448">
        <f t="shared" si="1"/>
        <v>75.938113485774537</v>
      </c>
      <c r="M11" s="449" t="str">
        <f t="shared" si="2"/>
        <v/>
      </c>
      <c r="N11" s="251" t="str">
        <f t="shared" si="3"/>
        <v/>
      </c>
      <c r="O11" s="251" t="str">
        <f t="shared" si="4"/>
        <v/>
      </c>
      <c r="P11" s="251" t="str">
        <f t="shared" si="5"/>
        <v/>
      </c>
      <c r="Q11" s="450" t="str">
        <f t="shared" si="6"/>
        <v/>
      </c>
    </row>
    <row r="12" spans="1:22">
      <c r="A12" s="428" t="s">
        <v>3372</v>
      </c>
      <c r="B12" s="429"/>
      <c r="C12" s="446" t="e">
        <v>#N/A</v>
      </c>
      <c r="D12" s="446" t="e">
        <v>#N/A</v>
      </c>
      <c r="E12" s="432">
        <v>53772.959999999999</v>
      </c>
      <c r="F12" s="447">
        <f t="shared" si="0"/>
        <v>52440.35543044372</v>
      </c>
      <c r="G12" s="447">
        <f t="shared" si="0"/>
        <v>51184.730915773049</v>
      </c>
      <c r="H12" s="447">
        <f t="shared" si="0"/>
        <v>49956.193063056744</v>
      </c>
      <c r="I12" s="447">
        <f t="shared" si="0"/>
        <v>48757.14262247592</v>
      </c>
      <c r="J12" s="447">
        <f t="shared" si="0"/>
        <v>47586.871836046128</v>
      </c>
      <c r="K12" s="447">
        <f t="shared" si="0"/>
        <v>46444.689933416914</v>
      </c>
      <c r="L12" s="448">
        <f t="shared" si="1"/>
        <v>46444.689933416914</v>
      </c>
      <c r="M12" s="449" t="str">
        <f t="shared" si="2"/>
        <v/>
      </c>
      <c r="N12" s="251" t="str">
        <f t="shared" si="3"/>
        <v/>
      </c>
      <c r="O12" s="251" t="str">
        <f t="shared" si="4"/>
        <v/>
      </c>
      <c r="P12" s="251" t="str">
        <f t="shared" si="5"/>
        <v/>
      </c>
      <c r="Q12" s="450" t="str">
        <f t="shared" si="6"/>
        <v/>
      </c>
      <c r="S12" s="216"/>
      <c r="T12" s="996" t="s">
        <v>60</v>
      </c>
      <c r="U12" s="996"/>
      <c r="V12" s="996"/>
    </row>
    <row r="13" spans="1:22">
      <c r="A13" s="428" t="s">
        <v>3373</v>
      </c>
      <c r="B13" s="429"/>
      <c r="C13" s="446" t="e">
        <v>#N/A</v>
      </c>
      <c r="D13" s="446" t="e">
        <v>#N/A</v>
      </c>
      <c r="E13" s="432">
        <v>1061.7683084769074</v>
      </c>
      <c r="F13" s="447">
        <f t="shared" si="0"/>
        <v>1035.4555055423773</v>
      </c>
      <c r="G13" s="447">
        <f t="shared" si="0"/>
        <v>1010.6627041599721</v>
      </c>
      <c r="H13" s="447">
        <f t="shared" si="0"/>
        <v>986.4047396034656</v>
      </c>
      <c r="I13" s="447">
        <f t="shared" si="0"/>
        <v>962.72901563227276</v>
      </c>
      <c r="J13" s="447">
        <f t="shared" si="0"/>
        <v>939.62155728578227</v>
      </c>
      <c r="K13" s="447">
        <f t="shared" si="0"/>
        <v>917.06872503091745</v>
      </c>
      <c r="L13" s="448">
        <f t="shared" si="1"/>
        <v>917.06872503091745</v>
      </c>
      <c r="M13" s="449" t="str">
        <f t="shared" si="2"/>
        <v/>
      </c>
      <c r="N13" s="251" t="str">
        <f t="shared" si="3"/>
        <v/>
      </c>
      <c r="O13" s="251" t="str">
        <f t="shared" si="4"/>
        <v/>
      </c>
      <c r="P13" s="251" t="str">
        <f t="shared" si="5"/>
        <v/>
      </c>
      <c r="Q13" s="450" t="str">
        <f t="shared" si="6"/>
        <v/>
      </c>
      <c r="S13" s="451"/>
      <c r="T13" s="246" t="s">
        <v>49</v>
      </c>
      <c r="U13" s="246" t="s">
        <v>74</v>
      </c>
      <c r="V13" s="780" t="s">
        <v>50</v>
      </c>
    </row>
    <row r="14" spans="1:22">
      <c r="A14" s="428" t="s">
        <v>3374</v>
      </c>
      <c r="B14" s="429"/>
      <c r="C14" s="446" t="e">
        <v>#N/A</v>
      </c>
      <c r="D14" s="446" t="e">
        <v>#N/A</v>
      </c>
      <c r="E14" s="432">
        <v>408331.55000000005</v>
      </c>
      <c r="F14" s="447">
        <f t="shared" si="0"/>
        <v>398212.25417875464</v>
      </c>
      <c r="G14" s="447">
        <f t="shared" si="0"/>
        <v>388677.51582153054</v>
      </c>
      <c r="H14" s="447">
        <f t="shared" si="0"/>
        <v>379348.46334546601</v>
      </c>
      <c r="I14" s="447">
        <f t="shared" si="0"/>
        <v>370243.32714075362</v>
      </c>
      <c r="J14" s="447">
        <f t="shared" si="0"/>
        <v>361356.73276055593</v>
      </c>
      <c r="K14" s="447">
        <f t="shared" si="0"/>
        <v>352683.43475571228</v>
      </c>
      <c r="L14" s="448">
        <f t="shared" si="1"/>
        <v>352683.43475571228</v>
      </c>
      <c r="M14" s="449" t="str">
        <f t="shared" si="2"/>
        <v/>
      </c>
      <c r="N14" s="251" t="str">
        <f t="shared" si="3"/>
        <v/>
      </c>
      <c r="O14" s="251" t="str">
        <f t="shared" si="4"/>
        <v/>
      </c>
      <c r="P14" s="251" t="str">
        <f t="shared" si="5"/>
        <v/>
      </c>
      <c r="Q14" s="450" t="str">
        <f t="shared" si="6"/>
        <v/>
      </c>
      <c r="S14" s="433" t="s">
        <v>668</v>
      </c>
      <c r="T14" s="452">
        <f>SUM(M436:N436)</f>
        <v>862143092.79090655</v>
      </c>
      <c r="U14" s="452">
        <f>SUM(O436:P436)</f>
        <v>518860426.6946972</v>
      </c>
      <c r="V14" s="452">
        <f>Q436</f>
        <v>121838766.58193418</v>
      </c>
    </row>
    <row r="15" spans="1:22">
      <c r="A15" s="428" t="s">
        <v>3375</v>
      </c>
      <c r="B15" s="429"/>
      <c r="C15" s="446" t="e">
        <v>#N/A</v>
      </c>
      <c r="D15" s="446" t="e">
        <v>#N/A</v>
      </c>
      <c r="E15" s="432">
        <v>20.040000000000003</v>
      </c>
      <c r="F15" s="447">
        <f t="shared" si="0"/>
        <v>19.543367574076122</v>
      </c>
      <c r="G15" s="447">
        <f t="shared" si="0"/>
        <v>19.075423922210941</v>
      </c>
      <c r="H15" s="447">
        <f t="shared" si="0"/>
        <v>18.617574873759178</v>
      </c>
      <c r="I15" s="447">
        <f t="shared" si="0"/>
        <v>18.170715135533129</v>
      </c>
      <c r="J15" s="447">
        <f t="shared" si="0"/>
        <v>17.734580941691966</v>
      </c>
      <c r="K15" s="447">
        <f t="shared" si="0"/>
        <v>17.30891485731258</v>
      </c>
      <c r="L15" s="448">
        <f t="shared" si="1"/>
        <v>17.30891485731258</v>
      </c>
      <c r="M15" s="449" t="str">
        <f t="shared" si="2"/>
        <v/>
      </c>
      <c r="N15" s="251" t="str">
        <f t="shared" si="3"/>
        <v/>
      </c>
      <c r="O15" s="251" t="str">
        <f t="shared" si="4"/>
        <v/>
      </c>
      <c r="P15" s="251" t="str">
        <f t="shared" si="5"/>
        <v/>
      </c>
      <c r="Q15" s="450" t="str">
        <f t="shared" si="6"/>
        <v/>
      </c>
      <c r="S15" s="433" t="s">
        <v>109</v>
      </c>
      <c r="T15" s="453">
        <f>T14/SUM($M$436:$Q$436)</f>
        <v>0.57367502949817961</v>
      </c>
      <c r="U15" s="453">
        <f t="shared" ref="U15:V15" si="7">U14/SUM($M$436:$Q$436)</f>
        <v>0.34525274641585346</v>
      </c>
      <c r="V15" s="453">
        <f t="shared" si="7"/>
        <v>8.1072224085966885E-2</v>
      </c>
    </row>
    <row r="16" spans="1:22">
      <c r="A16" s="428" t="s">
        <v>3376</v>
      </c>
      <c r="B16" s="429"/>
      <c r="C16" s="446" t="e">
        <v>#N/A</v>
      </c>
      <c r="D16" s="446" t="e">
        <v>#N/A</v>
      </c>
      <c r="E16" s="432">
        <v>53624.95727009399</v>
      </c>
      <c r="F16" s="447">
        <f t="shared" si="0"/>
        <v>52296.020512653311</v>
      </c>
      <c r="G16" s="447">
        <f t="shared" si="0"/>
        <v>51043.851933008496</v>
      </c>
      <c r="H16" s="447">
        <f t="shared" si="0"/>
        <v>49818.695462979602</v>
      </c>
      <c r="I16" s="447">
        <f t="shared" si="0"/>
        <v>48622.945245010684</v>
      </c>
      <c r="J16" s="447">
        <f t="shared" si="0"/>
        <v>47455.895469124494</v>
      </c>
      <c r="K16" s="447">
        <f t="shared" si="0"/>
        <v>46316.857266221654</v>
      </c>
      <c r="L16" s="448">
        <f t="shared" si="1"/>
        <v>46316.857266221654</v>
      </c>
      <c r="M16" s="449" t="str">
        <f t="shared" si="2"/>
        <v/>
      </c>
      <c r="N16" s="251" t="str">
        <f t="shared" si="3"/>
        <v/>
      </c>
      <c r="O16" s="251" t="str">
        <f t="shared" si="4"/>
        <v/>
      </c>
      <c r="P16" s="251" t="str">
        <f t="shared" si="5"/>
        <v/>
      </c>
      <c r="Q16" s="450" t="str">
        <f t="shared" si="6"/>
        <v/>
      </c>
      <c r="S16" s="433" t="s">
        <v>724</v>
      </c>
      <c r="T16" s="539">
        <f>+T15*$K$436</f>
        <v>943528574.73830163</v>
      </c>
      <c r="U16" s="452">
        <f t="shared" ref="U16:V16" si="8">+U15*$K$436</f>
        <v>567840353.85885346</v>
      </c>
      <c r="V16" s="452">
        <f t="shared" si="8"/>
        <v>133340229.41456836</v>
      </c>
    </row>
    <row r="17" spans="1:21">
      <c r="A17" s="428" t="s">
        <v>3377</v>
      </c>
      <c r="B17" s="429"/>
      <c r="C17" s="446" t="e">
        <v>#N/A</v>
      </c>
      <c r="D17" s="446" t="e">
        <v>#N/A</v>
      </c>
      <c r="E17" s="432">
        <v>103034.75824652858</v>
      </c>
      <c r="F17" s="447">
        <f t="shared" si="0"/>
        <v>100481.34497594704</v>
      </c>
      <c r="G17" s="447">
        <f t="shared" si="0"/>
        <v>98075.433746260082</v>
      </c>
      <c r="H17" s="447">
        <f t="shared" si="0"/>
        <v>95721.423465789499</v>
      </c>
      <c r="I17" s="447">
        <f t="shared" si="0"/>
        <v>93423.914229350979</v>
      </c>
      <c r="J17" s="447">
        <f t="shared" si="0"/>
        <v>91181.549896742756</v>
      </c>
      <c r="K17" s="447">
        <f t="shared" si="0"/>
        <v>88993.006877891632</v>
      </c>
      <c r="L17" s="448">
        <f t="shared" si="1"/>
        <v>88993.006877891632</v>
      </c>
      <c r="M17" s="449" t="str">
        <f t="shared" si="2"/>
        <v/>
      </c>
      <c r="N17" s="251" t="str">
        <f t="shared" si="3"/>
        <v/>
      </c>
      <c r="O17" s="251" t="str">
        <f t="shared" si="4"/>
        <v/>
      </c>
      <c r="P17" s="251" t="str">
        <f t="shared" si="5"/>
        <v/>
      </c>
      <c r="Q17" s="450" t="str">
        <f t="shared" si="6"/>
        <v/>
      </c>
      <c r="S17" s="9"/>
      <c r="T17" s="451"/>
    </row>
    <row r="18" spans="1:21">
      <c r="A18" s="428" t="s">
        <v>3378</v>
      </c>
      <c r="B18" s="429"/>
      <c r="C18" s="446" t="e">
        <v>#N/A</v>
      </c>
      <c r="D18" s="446" t="e">
        <v>#N/A</v>
      </c>
      <c r="E18" s="432">
        <v>655788.32930204389</v>
      </c>
      <c r="F18" s="447">
        <f t="shared" si="0"/>
        <v>639536.54542610364</v>
      </c>
      <c r="G18" s="447">
        <f t="shared" si="0"/>
        <v>624223.57208956848</v>
      </c>
      <c r="H18" s="447">
        <f t="shared" si="0"/>
        <v>609240.93423743709</v>
      </c>
      <c r="I18" s="447">
        <f t="shared" si="0"/>
        <v>594617.91022727697</v>
      </c>
      <c r="J18" s="447">
        <f t="shared" si="0"/>
        <v>580345.86859401409</v>
      </c>
      <c r="K18" s="447">
        <f t="shared" si="0"/>
        <v>566416.38504532631</v>
      </c>
      <c r="L18" s="448">
        <f t="shared" si="1"/>
        <v>566416.38504532631</v>
      </c>
      <c r="M18" s="449" t="str">
        <f t="shared" si="2"/>
        <v/>
      </c>
      <c r="N18" s="251" t="str">
        <f t="shared" si="3"/>
        <v/>
      </c>
      <c r="O18" s="251" t="str">
        <f t="shared" si="4"/>
        <v/>
      </c>
      <c r="P18" s="251" t="str">
        <f t="shared" si="5"/>
        <v/>
      </c>
      <c r="Q18" s="450" t="str">
        <f t="shared" si="6"/>
        <v/>
      </c>
      <c r="S18" s="9"/>
      <c r="T18" s="451"/>
    </row>
    <row r="19" spans="1:21">
      <c r="A19" s="428" t="s">
        <v>3379</v>
      </c>
      <c r="B19" s="429"/>
      <c r="C19" s="446" t="e">
        <v>#N/A</v>
      </c>
      <c r="D19" s="446" t="e">
        <v>#N/A</v>
      </c>
      <c r="E19" s="432">
        <v>24821.265724253044</v>
      </c>
      <c r="F19" s="447">
        <f t="shared" si="0"/>
        <v>24206.143697749198</v>
      </c>
      <c r="G19" s="447">
        <f t="shared" si="0"/>
        <v>23626.555188421702</v>
      </c>
      <c r="H19" s="447">
        <f t="shared" si="0"/>
        <v>23059.469714708248</v>
      </c>
      <c r="I19" s="447">
        <f t="shared" si="0"/>
        <v>22505.995448042635</v>
      </c>
      <c r="J19" s="447">
        <f t="shared" si="0"/>
        <v>21965.805691717069</v>
      </c>
      <c r="K19" s="447">
        <f t="shared" si="0"/>
        <v>21438.581590410526</v>
      </c>
      <c r="L19" s="448">
        <f t="shared" si="1"/>
        <v>21438.581590410526</v>
      </c>
      <c r="M19" s="449" t="str">
        <f t="shared" si="2"/>
        <v/>
      </c>
      <c r="N19" s="251" t="str">
        <f t="shared" si="3"/>
        <v/>
      </c>
      <c r="O19" s="251" t="str">
        <f t="shared" si="4"/>
        <v/>
      </c>
      <c r="P19" s="251" t="str">
        <f t="shared" si="5"/>
        <v/>
      </c>
      <c r="Q19" s="450" t="str">
        <f t="shared" si="6"/>
        <v/>
      </c>
    </row>
    <row r="20" spans="1:21">
      <c r="A20" s="428" t="s">
        <v>3380</v>
      </c>
      <c r="B20" s="429"/>
      <c r="C20" s="446" t="e">
        <v>#N/A</v>
      </c>
      <c r="D20" s="446" t="e">
        <v>#N/A</v>
      </c>
      <c r="E20" s="432">
        <v>141794.45692000366</v>
      </c>
      <c r="F20" s="447">
        <f t="shared" si="0"/>
        <v>138280.49858054557</v>
      </c>
      <c r="G20" s="447">
        <f t="shared" si="0"/>
        <v>134969.52971899931</v>
      </c>
      <c r="H20" s="447">
        <f t="shared" si="0"/>
        <v>131729.98594771398</v>
      </c>
      <c r="I20" s="447">
        <f t="shared" si="0"/>
        <v>128568.19782889275</v>
      </c>
      <c r="J20" s="447">
        <f t="shared" si="0"/>
        <v>125482.29906841613</v>
      </c>
      <c r="K20" s="447">
        <f t="shared" si="0"/>
        <v>122470.46816702692</v>
      </c>
      <c r="L20" s="448">
        <f t="shared" si="1"/>
        <v>122470.46816702692</v>
      </c>
      <c r="M20" s="449" t="str">
        <f t="shared" si="2"/>
        <v/>
      </c>
      <c r="N20" s="251" t="str">
        <f t="shared" si="3"/>
        <v/>
      </c>
      <c r="O20" s="251" t="str">
        <f t="shared" si="4"/>
        <v/>
      </c>
      <c r="P20" s="251" t="str">
        <f t="shared" si="5"/>
        <v/>
      </c>
      <c r="Q20" s="450" t="str">
        <f t="shared" si="6"/>
        <v/>
      </c>
    </row>
    <row r="21" spans="1:21">
      <c r="A21" s="428" t="s">
        <v>3381</v>
      </c>
      <c r="B21" s="429"/>
      <c r="C21" s="446" t="e">
        <v>#N/A</v>
      </c>
      <c r="D21" s="446" t="e">
        <v>#N/A</v>
      </c>
      <c r="E21" s="432">
        <v>228915.32656327129</v>
      </c>
      <c r="F21" s="447">
        <f t="shared" si="0"/>
        <v>223242.33385058292</v>
      </c>
      <c r="G21" s="447">
        <f t="shared" si="0"/>
        <v>217897.05072284202</v>
      </c>
      <c r="H21" s="447">
        <f t="shared" si="0"/>
        <v>212667.07744724231</v>
      </c>
      <c r="I21" s="447">
        <f t="shared" si="0"/>
        <v>207562.63418855998</v>
      </c>
      <c r="J21" s="447">
        <f t="shared" si="0"/>
        <v>202580.70797056804</v>
      </c>
      <c r="K21" s="447">
        <f t="shared" si="0"/>
        <v>197718.35813460912</v>
      </c>
      <c r="L21" s="448">
        <f t="shared" si="1"/>
        <v>197718.35813460912</v>
      </c>
      <c r="M21" s="449" t="str">
        <f t="shared" si="2"/>
        <v/>
      </c>
      <c r="N21" s="251" t="str">
        <f t="shared" si="3"/>
        <v/>
      </c>
      <c r="O21" s="251" t="str">
        <f t="shared" si="4"/>
        <v/>
      </c>
      <c r="P21" s="251" t="str">
        <f t="shared" si="5"/>
        <v/>
      </c>
      <c r="Q21" s="450" t="str">
        <f t="shared" si="6"/>
        <v/>
      </c>
    </row>
    <row r="22" spans="1:21">
      <c r="A22" s="428" t="s">
        <v>3382</v>
      </c>
      <c r="B22" s="429"/>
      <c r="C22" s="446" t="e">
        <v>#N/A</v>
      </c>
      <c r="D22" s="446" t="e">
        <v>#N/A</v>
      </c>
      <c r="E22" s="432">
        <v>41917.400839758113</v>
      </c>
      <c r="F22" s="447">
        <f t="shared" si="0"/>
        <v>40878.601415233526</v>
      </c>
      <c r="G22" s="447">
        <f t="shared" si="0"/>
        <v>39899.809916947444</v>
      </c>
      <c r="H22" s="447">
        <f t="shared" si="0"/>
        <v>38942.133166046522</v>
      </c>
      <c r="I22" s="447">
        <f t="shared" si="0"/>
        <v>38007.442608842401</v>
      </c>
      <c r="J22" s="447">
        <f t="shared" si="0"/>
        <v>37095.186529842169</v>
      </c>
      <c r="K22" s="447">
        <f t="shared" si="0"/>
        <v>36204.826455849099</v>
      </c>
      <c r="L22" s="448">
        <f t="shared" si="1"/>
        <v>36204.826455849099</v>
      </c>
      <c r="M22" s="449" t="str">
        <f t="shared" si="2"/>
        <v/>
      </c>
      <c r="N22" s="251" t="str">
        <f t="shared" si="3"/>
        <v/>
      </c>
      <c r="O22" s="251" t="str">
        <f t="shared" si="4"/>
        <v/>
      </c>
      <c r="P22" s="251" t="str">
        <f t="shared" si="5"/>
        <v/>
      </c>
      <c r="Q22" s="450" t="str">
        <f t="shared" si="6"/>
        <v/>
      </c>
    </row>
    <row r="23" spans="1:21">
      <c r="A23" s="428" t="s">
        <v>3383</v>
      </c>
      <c r="B23" s="429"/>
      <c r="C23" s="446" t="e">
        <v>#N/A</v>
      </c>
      <c r="D23" s="446" t="e">
        <v>#N/A</v>
      </c>
      <c r="E23" s="432">
        <v>128164.27306785295</v>
      </c>
      <c r="F23" s="447">
        <f t="shared" si="0"/>
        <v>124988.09872401769</v>
      </c>
      <c r="G23" s="447">
        <f t="shared" si="0"/>
        <v>121995.40122012461</v>
      </c>
      <c r="H23" s="447">
        <f t="shared" si="0"/>
        <v>119067.26297313716</v>
      </c>
      <c r="I23" s="447">
        <f t="shared" si="0"/>
        <v>116209.406011409</v>
      </c>
      <c r="J23" s="447">
        <f t="shared" si="0"/>
        <v>113420.14344086575</v>
      </c>
      <c r="K23" s="447">
        <f t="shared" si="0"/>
        <v>110697.82885632865</v>
      </c>
      <c r="L23" s="448">
        <f t="shared" si="1"/>
        <v>110697.82885632865</v>
      </c>
      <c r="M23" s="449" t="str">
        <f t="shared" si="2"/>
        <v/>
      </c>
      <c r="N23" s="251" t="str">
        <f t="shared" si="3"/>
        <v/>
      </c>
      <c r="O23" s="251" t="str">
        <f t="shared" si="4"/>
        <v/>
      </c>
      <c r="P23" s="251" t="str">
        <f t="shared" si="5"/>
        <v/>
      </c>
      <c r="Q23" s="450" t="str">
        <f t="shared" si="6"/>
        <v/>
      </c>
    </row>
    <row r="24" spans="1:21">
      <c r="A24" s="428" t="s">
        <v>3384</v>
      </c>
      <c r="B24" s="429"/>
      <c r="C24" s="446" t="e">
        <v>#N/A</v>
      </c>
      <c r="D24" s="446" t="e">
        <v>#N/A</v>
      </c>
      <c r="E24" s="432">
        <v>57017.74</v>
      </c>
      <c r="F24" s="447">
        <f t="shared" si="0"/>
        <v>55604.723106941259</v>
      </c>
      <c r="G24" s="447">
        <f t="shared" si="0"/>
        <v>54273.331416487199</v>
      </c>
      <c r="H24" s="447">
        <f t="shared" si="0"/>
        <v>52970.660857411844</v>
      </c>
      <c r="I24" s="447">
        <f t="shared" si="0"/>
        <v>51699.257046501625</v>
      </c>
      <c r="J24" s="447">
        <f t="shared" si="0"/>
        <v>50458.369518081221</v>
      </c>
      <c r="K24" s="447">
        <f t="shared" si="0"/>
        <v>49247.265819180917</v>
      </c>
      <c r="L24" s="448">
        <f t="shared" si="1"/>
        <v>49247.265819180917</v>
      </c>
      <c r="M24" s="449" t="str">
        <f t="shared" si="2"/>
        <v/>
      </c>
      <c r="N24" s="251" t="str">
        <f t="shared" si="3"/>
        <v/>
      </c>
      <c r="O24" s="251" t="str">
        <f t="shared" si="4"/>
        <v/>
      </c>
      <c r="P24" s="251" t="str">
        <f t="shared" si="5"/>
        <v/>
      </c>
      <c r="Q24" s="450" t="str">
        <f t="shared" si="6"/>
        <v/>
      </c>
    </row>
    <row r="25" spans="1:21">
      <c r="A25" s="428" t="s">
        <v>3385</v>
      </c>
      <c r="B25" s="429"/>
      <c r="C25" s="446" t="e">
        <v>#N/A</v>
      </c>
      <c r="D25" s="446" t="e">
        <v>#N/A</v>
      </c>
      <c r="E25" s="432">
        <v>4239.5907065799365</v>
      </c>
      <c r="F25" s="447">
        <f t="shared" ref="F25:K67" si="9">+$E25*(F$3)</f>
        <v>4134.5249272619158</v>
      </c>
      <c r="G25" s="447">
        <f t="shared" si="9"/>
        <v>4035.5284423492062</v>
      </c>
      <c r="H25" s="447">
        <f t="shared" si="9"/>
        <v>3938.6675356210344</v>
      </c>
      <c r="I25" s="447">
        <f t="shared" si="9"/>
        <v>3844.1314880497825</v>
      </c>
      <c r="J25" s="447">
        <f t="shared" si="9"/>
        <v>3751.8644982777901</v>
      </c>
      <c r="K25" s="447">
        <f t="shared" si="9"/>
        <v>3661.8121042937023</v>
      </c>
      <c r="L25" s="448">
        <f t="shared" si="1"/>
        <v>3661.8121042937023</v>
      </c>
      <c r="M25" s="449" t="str">
        <f t="shared" si="2"/>
        <v/>
      </c>
      <c r="N25" s="251" t="str">
        <f t="shared" si="3"/>
        <v/>
      </c>
      <c r="O25" s="251" t="str">
        <f t="shared" si="4"/>
        <v/>
      </c>
      <c r="P25" s="251" t="str">
        <f t="shared" si="5"/>
        <v/>
      </c>
      <c r="Q25" s="450" t="str">
        <f t="shared" si="6"/>
        <v/>
      </c>
    </row>
    <row r="26" spans="1:21">
      <c r="A26" s="428" t="s">
        <v>3386</v>
      </c>
      <c r="B26" s="429"/>
      <c r="C26" s="446" t="e">
        <v>#N/A</v>
      </c>
      <c r="D26" s="446" t="e">
        <v>#N/A</v>
      </c>
      <c r="E26" s="432">
        <v>16288.12</v>
      </c>
      <c r="F26" s="447">
        <f t="shared" si="9"/>
        <v>15884.466878775485</v>
      </c>
      <c r="G26" s="447">
        <f t="shared" si="9"/>
        <v>15504.131431928265</v>
      </c>
      <c r="H26" s="447">
        <f t="shared" si="9"/>
        <v>15132.000681276162</v>
      </c>
      <c r="I26" s="447">
        <f t="shared" si="9"/>
        <v>14768.801827014962</v>
      </c>
      <c r="J26" s="447">
        <f t="shared" si="9"/>
        <v>14414.320485428731</v>
      </c>
      <c r="K26" s="447">
        <f t="shared" si="9"/>
        <v>14068.347418447613</v>
      </c>
      <c r="L26" s="448">
        <f t="shared" si="1"/>
        <v>14068.347418447613</v>
      </c>
      <c r="M26" s="449" t="str">
        <f t="shared" si="2"/>
        <v/>
      </c>
      <c r="N26" s="251" t="str">
        <f t="shared" si="3"/>
        <v/>
      </c>
      <c r="O26" s="251" t="str">
        <f t="shared" si="4"/>
        <v/>
      </c>
      <c r="P26" s="251" t="str">
        <f t="shared" si="5"/>
        <v/>
      </c>
      <c r="Q26" s="450" t="str">
        <f t="shared" si="6"/>
        <v/>
      </c>
      <c r="U26" s="77"/>
    </row>
    <row r="27" spans="1:21">
      <c r="A27" s="428" t="s">
        <v>3387</v>
      </c>
      <c r="B27" s="429"/>
      <c r="C27" s="446" t="e">
        <v>#N/A</v>
      </c>
      <c r="D27" s="446" t="e">
        <v>#N/A</v>
      </c>
      <c r="E27" s="432">
        <v>3028.8354449358426</v>
      </c>
      <c r="F27" s="447">
        <f t="shared" si="9"/>
        <v>2953.7746717450877</v>
      </c>
      <c r="G27" s="447">
        <f t="shared" si="9"/>
        <v>2883.0499053278236</v>
      </c>
      <c r="H27" s="447">
        <f t="shared" si="9"/>
        <v>2813.8508321551262</v>
      </c>
      <c r="I27" s="447">
        <f t="shared" si="9"/>
        <v>2746.3126777612242</v>
      </c>
      <c r="J27" s="447">
        <f t="shared" si="9"/>
        <v>2680.3955767105936</v>
      </c>
      <c r="K27" s="447">
        <f t="shared" si="9"/>
        <v>2616.0606204194091</v>
      </c>
      <c r="L27" s="448">
        <f t="shared" si="1"/>
        <v>2616.0606204194091</v>
      </c>
      <c r="M27" s="449" t="str">
        <f t="shared" si="2"/>
        <v/>
      </c>
      <c r="N27" s="251" t="str">
        <f t="shared" si="3"/>
        <v/>
      </c>
      <c r="O27" s="251" t="str">
        <f t="shared" si="4"/>
        <v/>
      </c>
      <c r="P27" s="251" t="str">
        <f t="shared" si="5"/>
        <v/>
      </c>
      <c r="Q27" s="450" t="str">
        <f t="shared" si="6"/>
        <v/>
      </c>
    </row>
    <row r="28" spans="1:21">
      <c r="A28" s="428" t="s">
        <v>3388</v>
      </c>
      <c r="B28" s="429"/>
      <c r="C28" s="446" t="e">
        <v>#N/A</v>
      </c>
      <c r="D28" s="446" t="e">
        <v>#N/A</v>
      </c>
      <c r="E28" s="432">
        <v>38330.124830748056</v>
      </c>
      <c r="F28" s="447">
        <f t="shared" si="9"/>
        <v>37380.225485405761</v>
      </c>
      <c r="G28" s="447">
        <f t="shared" si="9"/>
        <v>36485.198609669809</v>
      </c>
      <c r="H28" s="447">
        <f t="shared" si="9"/>
        <v>35609.479488871642</v>
      </c>
      <c r="I28" s="447">
        <f t="shared" si="9"/>
        <v>34754.779411624142</v>
      </c>
      <c r="J28" s="447">
        <f t="shared" si="9"/>
        <v>33920.593878046828</v>
      </c>
      <c r="K28" s="447">
        <f t="shared" si="9"/>
        <v>33106.430497284469</v>
      </c>
      <c r="L28" s="448">
        <f t="shared" si="1"/>
        <v>33106.430497284469</v>
      </c>
      <c r="M28" s="449" t="str">
        <f t="shared" si="2"/>
        <v/>
      </c>
      <c r="N28" s="251" t="str">
        <f t="shared" si="3"/>
        <v/>
      </c>
      <c r="O28" s="251" t="str">
        <f t="shared" si="4"/>
        <v/>
      </c>
      <c r="P28" s="251" t="str">
        <f t="shared" si="5"/>
        <v/>
      </c>
      <c r="Q28" s="450" t="str">
        <f t="shared" si="6"/>
        <v/>
      </c>
    </row>
    <row r="29" spans="1:21">
      <c r="A29" s="428" t="s">
        <v>3389</v>
      </c>
      <c r="B29" s="429"/>
      <c r="C29" s="446" t="e">
        <v>#N/A</v>
      </c>
      <c r="D29" s="446" t="e">
        <v>#N/A</v>
      </c>
      <c r="E29" s="432">
        <v>614323.43601391942</v>
      </c>
      <c r="F29" s="447">
        <f t="shared" si="9"/>
        <v>599099.23749448394</v>
      </c>
      <c r="G29" s="447">
        <f t="shared" si="9"/>
        <v>584754.48938696308</v>
      </c>
      <c r="H29" s="447">
        <f t="shared" si="9"/>
        <v>570719.18995479785</v>
      </c>
      <c r="I29" s="447">
        <f t="shared" si="9"/>
        <v>557020.76631191827</v>
      </c>
      <c r="J29" s="447">
        <f t="shared" si="9"/>
        <v>543651.13275285321</v>
      </c>
      <c r="K29" s="447">
        <f t="shared" si="9"/>
        <v>530602.397645541</v>
      </c>
      <c r="L29" s="448">
        <f t="shared" si="1"/>
        <v>530602.397645541</v>
      </c>
      <c r="M29" s="449" t="str">
        <f t="shared" si="2"/>
        <v/>
      </c>
      <c r="N29" s="251" t="str">
        <f t="shared" si="3"/>
        <v/>
      </c>
      <c r="O29" s="251" t="str">
        <f t="shared" si="4"/>
        <v/>
      </c>
      <c r="P29" s="251" t="str">
        <f t="shared" si="5"/>
        <v/>
      </c>
      <c r="Q29" s="450" t="str">
        <f t="shared" si="6"/>
        <v/>
      </c>
    </row>
    <row r="30" spans="1:21">
      <c r="A30" s="428" t="s">
        <v>3390</v>
      </c>
      <c r="B30" s="429"/>
      <c r="C30" s="446" t="e">
        <v>#N/A</v>
      </c>
      <c r="D30" s="446" t="e">
        <v>#N/A</v>
      </c>
      <c r="E30" s="432">
        <v>205403.44732443284</v>
      </c>
      <c r="F30" s="447">
        <f t="shared" si="9"/>
        <v>200313.12734749366</v>
      </c>
      <c r="G30" s="447">
        <f t="shared" si="9"/>
        <v>195516.85792400601</v>
      </c>
      <c r="H30" s="447">
        <f t="shared" si="9"/>
        <v>190824.05488477429</v>
      </c>
      <c r="I30" s="447">
        <f t="shared" si="9"/>
        <v>186243.88868207351</v>
      </c>
      <c r="J30" s="447">
        <f t="shared" si="9"/>
        <v>181773.65580228125</v>
      </c>
      <c r="K30" s="447">
        <f t="shared" si="9"/>
        <v>177410.71762161163</v>
      </c>
      <c r="L30" s="448">
        <f t="shared" si="1"/>
        <v>177410.71762161163</v>
      </c>
      <c r="M30" s="449" t="str">
        <f t="shared" si="2"/>
        <v/>
      </c>
      <c r="N30" s="251" t="str">
        <f t="shared" si="3"/>
        <v/>
      </c>
      <c r="O30" s="251" t="str">
        <f t="shared" si="4"/>
        <v/>
      </c>
      <c r="P30" s="251" t="str">
        <f t="shared" si="5"/>
        <v/>
      </c>
      <c r="Q30" s="450" t="str">
        <f t="shared" si="6"/>
        <v/>
      </c>
    </row>
    <row r="31" spans="1:21">
      <c r="A31" s="428" t="s">
        <v>3391</v>
      </c>
      <c r="B31" s="429"/>
      <c r="C31" s="446" t="e">
        <v>#N/A</v>
      </c>
      <c r="D31" s="446" t="e">
        <v>#N/A</v>
      </c>
      <c r="E31" s="432">
        <v>1262812.3425026657</v>
      </c>
      <c r="F31" s="447">
        <f t="shared" si="9"/>
        <v>1231517.2548208435</v>
      </c>
      <c r="G31" s="447">
        <f t="shared" si="9"/>
        <v>1202029.978415099</v>
      </c>
      <c r="H31" s="447">
        <f t="shared" si="9"/>
        <v>1173178.8092839618</v>
      </c>
      <c r="I31" s="447">
        <f t="shared" si="9"/>
        <v>1145020.1270085445</v>
      </c>
      <c r="J31" s="447">
        <f t="shared" si="9"/>
        <v>1117537.310493072</v>
      </c>
      <c r="K31" s="447">
        <f t="shared" si="9"/>
        <v>1090714.1375819405</v>
      </c>
      <c r="L31" s="448">
        <f t="shared" si="1"/>
        <v>1090714.1375819405</v>
      </c>
      <c r="M31" s="449" t="str">
        <f t="shared" si="2"/>
        <v/>
      </c>
      <c r="N31" s="251" t="str">
        <f t="shared" si="3"/>
        <v/>
      </c>
      <c r="O31" s="251" t="str">
        <f t="shared" si="4"/>
        <v/>
      </c>
      <c r="P31" s="251" t="str">
        <f t="shared" si="5"/>
        <v/>
      </c>
      <c r="Q31" s="450" t="str">
        <f t="shared" si="6"/>
        <v/>
      </c>
    </row>
    <row r="32" spans="1:21">
      <c r="A32" s="428" t="s">
        <v>3392</v>
      </c>
      <c r="B32" s="429"/>
      <c r="C32" s="446" t="e">
        <v>#N/A</v>
      </c>
      <c r="D32" s="446" t="e">
        <v>#N/A</v>
      </c>
      <c r="E32" s="432">
        <v>72953.11</v>
      </c>
      <c r="F32" s="447">
        <f t="shared" si="9"/>
        <v>71145.181856387644</v>
      </c>
      <c r="G32" s="447">
        <f t="shared" si="9"/>
        <v>69441.691601481332</v>
      </c>
      <c r="H32" s="447">
        <f t="shared" si="9"/>
        <v>67774.94948595755</v>
      </c>
      <c r="I32" s="447">
        <f t="shared" si="9"/>
        <v>66148.212577904851</v>
      </c>
      <c r="J32" s="447">
        <f t="shared" si="9"/>
        <v>64560.520670816244</v>
      </c>
      <c r="K32" s="447">
        <f t="shared" si="9"/>
        <v>63010.936605097741</v>
      </c>
      <c r="L32" s="448">
        <f t="shared" si="1"/>
        <v>63010.936605097741</v>
      </c>
      <c r="M32" s="449" t="str">
        <f t="shared" si="2"/>
        <v/>
      </c>
      <c r="N32" s="251" t="str">
        <f t="shared" si="3"/>
        <v/>
      </c>
      <c r="O32" s="251" t="str">
        <f t="shared" si="4"/>
        <v/>
      </c>
      <c r="P32" s="251" t="str">
        <f t="shared" si="5"/>
        <v/>
      </c>
      <c r="Q32" s="450" t="str">
        <f t="shared" si="6"/>
        <v/>
      </c>
    </row>
    <row r="33" spans="1:17">
      <c r="A33" s="428" t="s">
        <v>3393</v>
      </c>
      <c r="B33" s="429"/>
      <c r="C33" s="446" t="e">
        <v>#N/A</v>
      </c>
      <c r="D33" s="446" t="e">
        <v>#N/A</v>
      </c>
      <c r="E33" s="432">
        <v>29967.87128684402</v>
      </c>
      <c r="F33" s="447">
        <f t="shared" si="9"/>
        <v>29225.205786995721</v>
      </c>
      <c r="G33" s="447">
        <f t="shared" si="9"/>
        <v>28525.441559022092</v>
      </c>
      <c r="H33" s="447">
        <f t="shared" si="9"/>
        <v>27840.772828842128</v>
      </c>
      <c r="I33" s="447">
        <f t="shared" si="9"/>
        <v>27172.537543491278</v>
      </c>
      <c r="J33" s="447">
        <f t="shared" si="9"/>
        <v>26520.341266803483</v>
      </c>
      <c r="K33" s="447">
        <f t="shared" si="9"/>
        <v>25883.799029884503</v>
      </c>
      <c r="L33" s="448">
        <f t="shared" si="1"/>
        <v>25883.799029884503</v>
      </c>
      <c r="M33" s="449" t="str">
        <f t="shared" si="2"/>
        <v/>
      </c>
      <c r="N33" s="251" t="str">
        <f t="shared" si="3"/>
        <v/>
      </c>
      <c r="O33" s="251" t="str">
        <f t="shared" si="4"/>
        <v/>
      </c>
      <c r="P33" s="251" t="str">
        <f t="shared" si="5"/>
        <v/>
      </c>
      <c r="Q33" s="450" t="str">
        <f t="shared" si="6"/>
        <v/>
      </c>
    </row>
    <row r="34" spans="1:17">
      <c r="A34" s="428" t="s">
        <v>3394</v>
      </c>
      <c r="B34" s="429"/>
      <c r="C34" s="446" t="e">
        <v>#N/A</v>
      </c>
      <c r="D34" s="446" t="e">
        <v>#N/A</v>
      </c>
      <c r="E34" s="432">
        <v>37729.080501636992</v>
      </c>
      <c r="F34" s="447">
        <f t="shared" si="9"/>
        <v>36794.076271227546</v>
      </c>
      <c r="G34" s="447">
        <f t="shared" si="9"/>
        <v>35913.08407005731</v>
      </c>
      <c r="H34" s="447">
        <f t="shared" si="9"/>
        <v>35051.096864137427</v>
      </c>
      <c r="I34" s="447">
        <f t="shared" si="9"/>
        <v>34209.799107826504</v>
      </c>
      <c r="J34" s="447">
        <f t="shared" si="9"/>
        <v>33388.694212170325</v>
      </c>
      <c r="K34" s="447">
        <f t="shared" si="9"/>
        <v>32587.297507361618</v>
      </c>
      <c r="L34" s="448">
        <f t="shared" si="1"/>
        <v>32587.297507361618</v>
      </c>
      <c r="M34" s="449" t="str">
        <f t="shared" si="2"/>
        <v/>
      </c>
      <c r="N34" s="251" t="str">
        <f t="shared" si="3"/>
        <v/>
      </c>
      <c r="O34" s="251" t="str">
        <f t="shared" si="4"/>
        <v/>
      </c>
      <c r="P34" s="251" t="str">
        <f t="shared" si="5"/>
        <v/>
      </c>
      <c r="Q34" s="450" t="str">
        <f t="shared" si="6"/>
        <v/>
      </c>
    </row>
    <row r="35" spans="1:17">
      <c r="A35" s="428" t="s">
        <v>3395</v>
      </c>
      <c r="B35" s="429"/>
      <c r="C35" s="446" t="e">
        <v>#N/A</v>
      </c>
      <c r="D35" s="446" t="e">
        <v>#N/A</v>
      </c>
      <c r="E35" s="432">
        <v>41238.484100414622</v>
      </c>
      <c r="F35" s="447">
        <f t="shared" si="9"/>
        <v>40216.509629346147</v>
      </c>
      <c r="G35" s="447">
        <f t="shared" si="9"/>
        <v>39253.571163910405</v>
      </c>
      <c r="H35" s="447">
        <f t="shared" si="9"/>
        <v>38311.405460069684</v>
      </c>
      <c r="I35" s="447">
        <f t="shared" si="9"/>
        <v>37391.853653185935</v>
      </c>
      <c r="J35" s="447">
        <f t="shared" si="9"/>
        <v>36494.372963646718</v>
      </c>
      <c r="K35" s="447">
        <f t="shared" si="9"/>
        <v>35618.433639656447</v>
      </c>
      <c r="L35" s="448">
        <f t="shared" si="1"/>
        <v>35618.433639656447</v>
      </c>
      <c r="M35" s="449" t="str">
        <f t="shared" si="2"/>
        <v/>
      </c>
      <c r="N35" s="251" t="str">
        <f t="shared" si="3"/>
        <v/>
      </c>
      <c r="O35" s="251" t="str">
        <f t="shared" si="4"/>
        <v/>
      </c>
      <c r="P35" s="251" t="str">
        <f t="shared" si="5"/>
        <v/>
      </c>
      <c r="Q35" s="450" t="str">
        <f t="shared" si="6"/>
        <v/>
      </c>
    </row>
    <row r="36" spans="1:17">
      <c r="A36" s="428" t="s">
        <v>3396</v>
      </c>
      <c r="B36" s="429"/>
      <c r="C36" s="446" t="e">
        <v>#N/A</v>
      </c>
      <c r="D36" s="446" t="e">
        <v>#N/A</v>
      </c>
      <c r="E36" s="432">
        <v>36867.467034146321</v>
      </c>
      <c r="F36" s="447">
        <f t="shared" si="9"/>
        <v>35953.815357956861</v>
      </c>
      <c r="G36" s="447">
        <f t="shared" si="9"/>
        <v>35092.942246231432</v>
      </c>
      <c r="H36" s="447">
        <f t="shared" si="9"/>
        <v>34250.640115472415</v>
      </c>
      <c r="I36" s="447">
        <f t="shared" si="9"/>
        <v>33428.554952401755</v>
      </c>
      <c r="J36" s="447">
        <f t="shared" si="9"/>
        <v>32626.201508594218</v>
      </c>
      <c r="K36" s="447">
        <f t="shared" si="9"/>
        <v>31843.106182575695</v>
      </c>
      <c r="L36" s="448">
        <f t="shared" si="1"/>
        <v>31843.106182575695</v>
      </c>
      <c r="M36" s="449" t="str">
        <f t="shared" si="2"/>
        <v/>
      </c>
      <c r="N36" s="251" t="str">
        <f t="shared" si="3"/>
        <v/>
      </c>
      <c r="O36" s="251" t="str">
        <f t="shared" si="4"/>
        <v/>
      </c>
      <c r="P36" s="251" t="str">
        <f t="shared" si="5"/>
        <v/>
      </c>
      <c r="Q36" s="450" t="str">
        <f t="shared" si="6"/>
        <v/>
      </c>
    </row>
    <row r="37" spans="1:17">
      <c r="A37" s="428" t="s">
        <v>3397</v>
      </c>
      <c r="B37" s="429"/>
      <c r="C37" s="446" t="e">
        <v>#N/A</v>
      </c>
      <c r="D37" s="446" t="e">
        <v>#N/A</v>
      </c>
      <c r="E37" s="432">
        <v>55147.029908400851</v>
      </c>
      <c r="F37" s="447">
        <f t="shared" si="9"/>
        <v>53780.373059802754</v>
      </c>
      <c r="G37" s="447">
        <f t="shared" si="9"/>
        <v>52492.663350977629</v>
      </c>
      <c r="H37" s="447">
        <f t="shared" si="9"/>
        <v>51232.73245434578</v>
      </c>
      <c r="I37" s="447">
        <f t="shared" si="9"/>
        <v>50003.042466880106</v>
      </c>
      <c r="J37" s="447">
        <f t="shared" si="9"/>
        <v>48802.867545131863</v>
      </c>
      <c r="K37" s="447">
        <f t="shared" si="9"/>
        <v>47631.499267374282</v>
      </c>
      <c r="L37" s="448">
        <f t="shared" si="1"/>
        <v>47631.499267374282</v>
      </c>
      <c r="M37" s="449" t="str">
        <f t="shared" si="2"/>
        <v/>
      </c>
      <c r="N37" s="251" t="str">
        <f t="shared" si="3"/>
        <v/>
      </c>
      <c r="O37" s="251" t="str">
        <f t="shared" si="4"/>
        <v/>
      </c>
      <c r="P37" s="251" t="str">
        <f t="shared" si="5"/>
        <v/>
      </c>
      <c r="Q37" s="450" t="str">
        <f t="shared" si="6"/>
        <v/>
      </c>
    </row>
    <row r="38" spans="1:17" ht="12.75" customHeight="1">
      <c r="A38" s="428" t="s">
        <v>3398</v>
      </c>
      <c r="B38" s="429"/>
      <c r="C38" s="446" t="e">
        <v>#N/A</v>
      </c>
      <c r="D38" s="446" t="e">
        <v>#N/A</v>
      </c>
      <c r="E38" s="432">
        <v>22764.431622567252</v>
      </c>
      <c r="F38" s="447">
        <f t="shared" si="9"/>
        <v>22200.282176384924</v>
      </c>
      <c r="G38" s="447">
        <f t="shared" si="9"/>
        <v>21668.721733964798</v>
      </c>
      <c r="H38" s="447">
        <f t="shared" si="9"/>
        <v>21148.628253079685</v>
      </c>
      <c r="I38" s="447">
        <f t="shared" si="9"/>
        <v>20641.018075648288</v>
      </c>
      <c r="J38" s="447">
        <f t="shared" si="9"/>
        <v>20145.59157694766</v>
      </c>
      <c r="K38" s="447">
        <f t="shared" si="9"/>
        <v>19662.056323858811</v>
      </c>
      <c r="L38" s="448">
        <f t="shared" si="1"/>
        <v>19662.056323858811</v>
      </c>
      <c r="M38" s="449" t="str">
        <f t="shared" si="2"/>
        <v/>
      </c>
      <c r="N38" s="251" t="str">
        <f t="shared" si="3"/>
        <v/>
      </c>
      <c r="O38" s="251" t="str">
        <f t="shared" si="4"/>
        <v/>
      </c>
      <c r="P38" s="251" t="str">
        <f t="shared" si="5"/>
        <v/>
      </c>
      <c r="Q38" s="450" t="str">
        <f t="shared" si="6"/>
        <v/>
      </c>
    </row>
    <row r="39" spans="1:17">
      <c r="A39" s="428" t="s">
        <v>3399</v>
      </c>
      <c r="B39" s="429"/>
      <c r="C39" s="446" t="e">
        <v>#N/A</v>
      </c>
      <c r="D39" s="446" t="e">
        <v>#N/A</v>
      </c>
      <c r="E39" s="432">
        <v>11700.720034233529</v>
      </c>
      <c r="F39" s="447">
        <f t="shared" si="9"/>
        <v>11410.752121276566</v>
      </c>
      <c r="G39" s="447">
        <f t="shared" si="9"/>
        <v>11137.534673059434</v>
      </c>
      <c r="H39" s="447">
        <f t="shared" si="9"/>
        <v>10870.211143424987</v>
      </c>
      <c r="I39" s="447">
        <f t="shared" si="9"/>
        <v>10609.303923287569</v>
      </c>
      <c r="J39" s="447">
        <f t="shared" si="9"/>
        <v>10354.659008143279</v>
      </c>
      <c r="K39" s="447">
        <f t="shared" si="9"/>
        <v>10106.126089910164</v>
      </c>
      <c r="L39" s="448">
        <f t="shared" si="1"/>
        <v>10106.126089910164</v>
      </c>
      <c r="M39" s="449" t="str">
        <f t="shared" si="2"/>
        <v/>
      </c>
      <c r="N39" s="251" t="str">
        <f t="shared" si="3"/>
        <v/>
      </c>
      <c r="O39" s="251" t="str">
        <f t="shared" si="4"/>
        <v/>
      </c>
      <c r="P39" s="251" t="str">
        <f t="shared" si="5"/>
        <v/>
      </c>
      <c r="Q39" s="450" t="str">
        <f t="shared" si="6"/>
        <v/>
      </c>
    </row>
    <row r="40" spans="1:17">
      <c r="A40" s="428" t="s">
        <v>3400</v>
      </c>
      <c r="B40" s="429"/>
      <c r="C40" s="446" t="e">
        <v>#N/A</v>
      </c>
      <c r="D40" s="446" t="e">
        <v>#N/A</v>
      </c>
      <c r="E40" s="432">
        <v>15202.135730792133</v>
      </c>
      <c r="F40" s="447">
        <f t="shared" si="9"/>
        <v>14825.395533825696</v>
      </c>
      <c r="G40" s="447">
        <f t="shared" si="9"/>
        <v>14470.418342707082</v>
      </c>
      <c r="H40" s="447">
        <f t="shared" si="9"/>
        <v>14123.098812827953</v>
      </c>
      <c r="I40" s="447">
        <f t="shared" si="9"/>
        <v>13784.115659477724</v>
      </c>
      <c r="J40" s="447">
        <f t="shared" si="9"/>
        <v>13453.26879263077</v>
      </c>
      <c r="K40" s="447">
        <f t="shared" si="9"/>
        <v>13130.362924829858</v>
      </c>
      <c r="L40" s="448">
        <f t="shared" si="1"/>
        <v>13130.362924829858</v>
      </c>
      <c r="M40" s="449" t="str">
        <f t="shared" si="2"/>
        <v/>
      </c>
      <c r="N40" s="251" t="str">
        <f t="shared" si="3"/>
        <v/>
      </c>
      <c r="O40" s="251" t="str">
        <f t="shared" si="4"/>
        <v/>
      </c>
      <c r="P40" s="251" t="str">
        <f t="shared" si="5"/>
        <v/>
      </c>
      <c r="Q40" s="450" t="str">
        <f t="shared" si="6"/>
        <v/>
      </c>
    </row>
    <row r="41" spans="1:17">
      <c r="A41" s="428" t="s">
        <v>3401</v>
      </c>
      <c r="B41" s="429"/>
      <c r="C41" s="446" t="e">
        <v>#N/A</v>
      </c>
      <c r="D41" s="446" t="e">
        <v>#N/A</v>
      </c>
      <c r="E41" s="432">
        <v>110.95497796067635</v>
      </c>
      <c r="F41" s="447">
        <f t="shared" si="9"/>
        <v>108.20528535224614</v>
      </c>
      <c r="G41" s="447">
        <f t="shared" si="9"/>
        <v>105.61443317761841</v>
      </c>
      <c r="H41" s="447">
        <f t="shared" si="9"/>
        <v>103.07947154686582</v>
      </c>
      <c r="I41" s="447">
        <f t="shared" si="9"/>
        <v>100.60535416131768</v>
      </c>
      <c r="J41" s="447">
        <f t="shared" si="9"/>
        <v>98.190620635092955</v>
      </c>
      <c r="K41" s="447">
        <f t="shared" si="9"/>
        <v>95.833845634547927</v>
      </c>
      <c r="L41" s="448">
        <f t="shared" si="1"/>
        <v>95.833845634547927</v>
      </c>
      <c r="M41" s="449" t="str">
        <f t="shared" si="2"/>
        <v/>
      </c>
      <c r="N41" s="251" t="str">
        <f t="shared" si="3"/>
        <v/>
      </c>
      <c r="O41" s="251" t="str">
        <f t="shared" si="4"/>
        <v/>
      </c>
      <c r="P41" s="251" t="str">
        <f t="shared" si="5"/>
        <v/>
      </c>
      <c r="Q41" s="450" t="str">
        <f t="shared" si="6"/>
        <v/>
      </c>
    </row>
    <row r="42" spans="1:17">
      <c r="A42" s="428" t="s">
        <v>3402</v>
      </c>
      <c r="B42" s="429"/>
      <c r="C42" s="446" t="e">
        <v>#N/A</v>
      </c>
      <c r="D42" s="446" t="e">
        <v>#N/A</v>
      </c>
      <c r="E42" s="432">
        <v>692679.25888972078</v>
      </c>
      <c r="F42" s="447">
        <f t="shared" si="9"/>
        <v>675513.24188724789</v>
      </c>
      <c r="G42" s="447">
        <f t="shared" si="9"/>
        <v>659338.84757706209</v>
      </c>
      <c r="H42" s="447">
        <f t="shared" si="9"/>
        <v>643513.37155086792</v>
      </c>
      <c r="I42" s="447">
        <f t="shared" si="9"/>
        <v>628067.73920046503</v>
      </c>
      <c r="J42" s="447">
        <f t="shared" si="9"/>
        <v>612992.83350354072</v>
      </c>
      <c r="K42" s="447">
        <f t="shared" si="9"/>
        <v>598279.75626489788</v>
      </c>
      <c r="L42" s="448">
        <f t="shared" si="1"/>
        <v>598279.75626489788</v>
      </c>
      <c r="M42" s="449" t="str">
        <f t="shared" si="2"/>
        <v/>
      </c>
      <c r="N42" s="251" t="str">
        <f t="shared" si="3"/>
        <v/>
      </c>
      <c r="O42" s="251" t="str">
        <f t="shared" si="4"/>
        <v/>
      </c>
      <c r="P42" s="251" t="str">
        <f t="shared" si="5"/>
        <v/>
      </c>
      <c r="Q42" s="450" t="str">
        <f t="shared" si="6"/>
        <v/>
      </c>
    </row>
    <row r="43" spans="1:17">
      <c r="A43" s="428" t="s">
        <v>3403</v>
      </c>
      <c r="B43" s="429"/>
      <c r="C43" s="446" t="e">
        <v>#N/A</v>
      </c>
      <c r="D43" s="446" t="e">
        <v>#N/A</v>
      </c>
      <c r="E43" s="432">
        <v>77664.514945061295</v>
      </c>
      <c r="F43" s="447">
        <f t="shared" si="9"/>
        <v>75739.828494693662</v>
      </c>
      <c r="G43" s="447">
        <f t="shared" si="9"/>
        <v>73926.324665166219</v>
      </c>
      <c r="H43" s="447">
        <f t="shared" si="9"/>
        <v>72151.942216759839</v>
      </c>
      <c r="I43" s="447">
        <f t="shared" si="9"/>
        <v>70420.148563176845</v>
      </c>
      <c r="J43" s="447">
        <f t="shared" si="9"/>
        <v>68729.921486548643</v>
      </c>
      <c r="K43" s="447">
        <f t="shared" si="9"/>
        <v>67080.263304318665</v>
      </c>
      <c r="L43" s="448">
        <f t="shared" si="1"/>
        <v>67080.263304318665</v>
      </c>
      <c r="M43" s="449" t="str">
        <f t="shared" si="2"/>
        <v/>
      </c>
      <c r="N43" s="251" t="str">
        <f t="shared" si="3"/>
        <v/>
      </c>
      <c r="O43" s="251" t="str">
        <f t="shared" si="4"/>
        <v/>
      </c>
      <c r="P43" s="251" t="str">
        <f t="shared" si="5"/>
        <v/>
      </c>
      <c r="Q43" s="450" t="str">
        <f t="shared" si="6"/>
        <v/>
      </c>
    </row>
    <row r="44" spans="1:17">
      <c r="A44" s="428" t="s">
        <v>3404</v>
      </c>
      <c r="B44" s="429"/>
      <c r="C44" s="446" t="e">
        <v>#N/A</v>
      </c>
      <c r="D44" s="446" t="e">
        <v>#N/A</v>
      </c>
      <c r="E44" s="432">
        <v>188255.26132074746</v>
      </c>
      <c r="F44" s="447">
        <f t="shared" si="9"/>
        <v>183589.90866991627</v>
      </c>
      <c r="G44" s="447">
        <f t="shared" si="9"/>
        <v>179194.05764869548</v>
      </c>
      <c r="H44" s="447">
        <f t="shared" si="9"/>
        <v>174893.03508074427</v>
      </c>
      <c r="I44" s="447">
        <f t="shared" si="9"/>
        <v>170695.24581959331</v>
      </c>
      <c r="J44" s="447">
        <f t="shared" si="9"/>
        <v>166598.21205549742</v>
      </c>
      <c r="K44" s="447">
        <f t="shared" si="9"/>
        <v>162599.51545119498</v>
      </c>
      <c r="L44" s="448">
        <f t="shared" si="1"/>
        <v>162599.51545119498</v>
      </c>
      <c r="M44" s="449" t="str">
        <f t="shared" si="2"/>
        <v/>
      </c>
      <c r="N44" s="251" t="str">
        <f t="shared" si="3"/>
        <v/>
      </c>
      <c r="O44" s="251" t="str">
        <f t="shared" si="4"/>
        <v/>
      </c>
      <c r="P44" s="251" t="str">
        <f t="shared" si="5"/>
        <v/>
      </c>
      <c r="Q44" s="450" t="str">
        <f t="shared" si="6"/>
        <v/>
      </c>
    </row>
    <row r="45" spans="1:17">
      <c r="A45" s="428" t="s">
        <v>3405</v>
      </c>
      <c r="B45" s="429"/>
      <c r="C45" s="446" t="e">
        <v>#N/A</v>
      </c>
      <c r="D45" s="446" t="e">
        <v>#N/A</v>
      </c>
      <c r="E45" s="432">
        <v>77543.836922703529</v>
      </c>
      <c r="F45" s="447">
        <f t="shared" si="9"/>
        <v>75622.141121986569</v>
      </c>
      <c r="G45" s="447">
        <f t="shared" si="9"/>
        <v>73811.455182403326</v>
      </c>
      <c r="H45" s="447">
        <f t="shared" si="9"/>
        <v>72039.829835678858</v>
      </c>
      <c r="I45" s="447">
        <f t="shared" si="9"/>
        <v>70310.727107718645</v>
      </c>
      <c r="J45" s="447">
        <f t="shared" si="9"/>
        <v>68623.126369014353</v>
      </c>
      <c r="K45" s="447">
        <f t="shared" si="9"/>
        <v>66976.03148724584</v>
      </c>
      <c r="L45" s="448">
        <f t="shared" si="1"/>
        <v>66976.03148724584</v>
      </c>
      <c r="M45" s="449" t="str">
        <f t="shared" si="2"/>
        <v/>
      </c>
      <c r="N45" s="251" t="str">
        <f t="shared" si="3"/>
        <v/>
      </c>
      <c r="O45" s="251" t="str">
        <f t="shared" si="4"/>
        <v/>
      </c>
      <c r="P45" s="251" t="str">
        <f t="shared" si="5"/>
        <v/>
      </c>
      <c r="Q45" s="450" t="str">
        <f t="shared" si="6"/>
        <v/>
      </c>
    </row>
    <row r="46" spans="1:17">
      <c r="A46" s="428" t="s">
        <v>3406</v>
      </c>
      <c r="B46" s="429"/>
      <c r="C46" s="446" t="e">
        <v>#N/A</v>
      </c>
      <c r="D46" s="446" t="e">
        <v>#N/A</v>
      </c>
      <c r="E46" s="432">
        <v>31.890758205697026</v>
      </c>
      <c r="F46" s="447">
        <f t="shared" si="9"/>
        <v>31.100439612271515</v>
      </c>
      <c r="G46" s="447">
        <f t="shared" si="9"/>
        <v>30.355775048622647</v>
      </c>
      <c r="H46" s="447">
        <f t="shared" si="9"/>
        <v>29.627174584606497</v>
      </c>
      <c r="I46" s="447">
        <f t="shared" si="9"/>
        <v>28.916062016561188</v>
      </c>
      <c r="J46" s="447">
        <f t="shared" si="9"/>
        <v>28.222017599344369</v>
      </c>
      <c r="K46" s="447">
        <f t="shared" si="9"/>
        <v>27.544631662552508</v>
      </c>
      <c r="L46" s="448">
        <f t="shared" si="1"/>
        <v>27.544631662552508</v>
      </c>
      <c r="M46" s="449" t="str">
        <f t="shared" si="2"/>
        <v/>
      </c>
      <c r="N46" s="251" t="str">
        <f t="shared" si="3"/>
        <v/>
      </c>
      <c r="O46" s="251" t="str">
        <f t="shared" si="4"/>
        <v/>
      </c>
      <c r="P46" s="251" t="str">
        <f t="shared" si="5"/>
        <v/>
      </c>
      <c r="Q46" s="450" t="str">
        <f t="shared" si="6"/>
        <v/>
      </c>
    </row>
    <row r="47" spans="1:17">
      <c r="A47" s="428" t="s">
        <v>3407</v>
      </c>
      <c r="B47" s="429"/>
      <c r="C47" s="446" t="e">
        <v>#N/A</v>
      </c>
      <c r="D47" s="446" t="e">
        <v>#N/A</v>
      </c>
      <c r="E47" s="432">
        <v>67280.460863182991</v>
      </c>
      <c r="F47" s="447">
        <f t="shared" si="9"/>
        <v>65613.112634851685</v>
      </c>
      <c r="G47" s="447">
        <f t="shared" si="9"/>
        <v>64042.081469408062</v>
      </c>
      <c r="H47" s="447">
        <f t="shared" si="9"/>
        <v>62504.94100106453</v>
      </c>
      <c r="I47" s="447">
        <f t="shared" si="9"/>
        <v>61004.695036541088</v>
      </c>
      <c r="J47" s="447">
        <f t="shared" si="9"/>
        <v>59540.458032557748</v>
      </c>
      <c r="K47" s="447">
        <f t="shared" si="9"/>
        <v>58111.365700677918</v>
      </c>
      <c r="L47" s="448">
        <f t="shared" si="1"/>
        <v>58111.365700677918</v>
      </c>
      <c r="M47" s="449" t="str">
        <f t="shared" si="2"/>
        <v/>
      </c>
      <c r="N47" s="251" t="str">
        <f t="shared" si="3"/>
        <v/>
      </c>
      <c r="O47" s="251" t="str">
        <f t="shared" si="4"/>
        <v/>
      </c>
      <c r="P47" s="251" t="str">
        <f t="shared" si="5"/>
        <v/>
      </c>
      <c r="Q47" s="450" t="str">
        <f t="shared" si="6"/>
        <v/>
      </c>
    </row>
    <row r="48" spans="1:17">
      <c r="A48" s="428" t="s">
        <v>3408</v>
      </c>
      <c r="B48" s="429"/>
      <c r="C48" s="446" t="e">
        <v>#N/A</v>
      </c>
      <c r="D48" s="446" t="e">
        <v>#N/A</v>
      </c>
      <c r="E48" s="432">
        <v>155037.99</v>
      </c>
      <c r="F48" s="447">
        <f t="shared" si="9"/>
        <v>151195.82966646395</v>
      </c>
      <c r="G48" s="447">
        <f t="shared" si="9"/>
        <v>147575.61792901697</v>
      </c>
      <c r="H48" s="447">
        <f t="shared" si="9"/>
        <v>144033.5023504055</v>
      </c>
      <c r="I48" s="447">
        <f t="shared" si="9"/>
        <v>140576.40476425318</v>
      </c>
      <c r="J48" s="447">
        <f t="shared" si="9"/>
        <v>137202.28456548051</v>
      </c>
      <c r="K48" s="447">
        <f t="shared" si="9"/>
        <v>133909.15012768857</v>
      </c>
      <c r="L48" s="448">
        <f t="shared" si="1"/>
        <v>133909.15012768857</v>
      </c>
      <c r="M48" s="449" t="str">
        <f t="shared" si="2"/>
        <v/>
      </c>
      <c r="N48" s="251" t="str">
        <f t="shared" si="3"/>
        <v/>
      </c>
      <c r="O48" s="251" t="str">
        <f t="shared" si="4"/>
        <v/>
      </c>
      <c r="P48" s="251" t="str">
        <f t="shared" si="5"/>
        <v/>
      </c>
      <c r="Q48" s="450" t="str">
        <f t="shared" si="6"/>
        <v/>
      </c>
    </row>
    <row r="49" spans="1:17">
      <c r="A49" s="428" t="s">
        <v>3409</v>
      </c>
      <c r="B49" s="429"/>
      <c r="C49" s="446" t="e">
        <v>#N/A</v>
      </c>
      <c r="D49" s="446" t="e">
        <v>#N/A</v>
      </c>
      <c r="E49" s="432">
        <v>707.77930579692679</v>
      </c>
      <c r="F49" s="447">
        <f t="shared" si="9"/>
        <v>690.23907856855112</v>
      </c>
      <c r="G49" s="447">
        <f t="shared" si="9"/>
        <v>673.71209089044646</v>
      </c>
      <c r="H49" s="447">
        <f t="shared" si="9"/>
        <v>657.54162773311259</v>
      </c>
      <c r="I49" s="447">
        <f t="shared" si="9"/>
        <v>641.75928864577577</v>
      </c>
      <c r="J49" s="447">
        <f t="shared" si="9"/>
        <v>626.35575785978779</v>
      </c>
      <c r="K49" s="447">
        <f t="shared" si="9"/>
        <v>611.32194320393251</v>
      </c>
      <c r="L49" s="448">
        <f t="shared" si="1"/>
        <v>611.32194320393251</v>
      </c>
      <c r="M49" s="449" t="str">
        <f t="shared" si="2"/>
        <v/>
      </c>
      <c r="N49" s="251" t="str">
        <f t="shared" si="3"/>
        <v/>
      </c>
      <c r="O49" s="251" t="str">
        <f t="shared" si="4"/>
        <v/>
      </c>
      <c r="P49" s="251" t="str">
        <f t="shared" si="5"/>
        <v/>
      </c>
      <c r="Q49" s="450" t="str">
        <f t="shared" si="6"/>
        <v/>
      </c>
    </row>
    <row r="50" spans="1:17">
      <c r="A50" s="428" t="s">
        <v>3410</v>
      </c>
      <c r="B50" s="429"/>
      <c r="C50" s="446" t="e">
        <v>#N/A</v>
      </c>
      <c r="D50" s="446" t="e">
        <v>#N/A</v>
      </c>
      <c r="E50" s="432">
        <v>7856.4212547489578</v>
      </c>
      <c r="F50" s="447">
        <f t="shared" si="9"/>
        <v>7661.722973969222</v>
      </c>
      <c r="G50" s="447">
        <f t="shared" si="9"/>
        <v>7478.271753782672</v>
      </c>
      <c r="H50" s="447">
        <f t="shared" si="9"/>
        <v>7298.777991521044</v>
      </c>
      <c r="I50" s="447">
        <f t="shared" si="9"/>
        <v>7123.5924453488551</v>
      </c>
      <c r="J50" s="447">
        <f t="shared" si="9"/>
        <v>6952.6117093001267</v>
      </c>
      <c r="K50" s="447">
        <f t="shared" si="9"/>
        <v>6785.7348593628021</v>
      </c>
      <c r="L50" s="448">
        <f t="shared" si="1"/>
        <v>6785.7348593628021</v>
      </c>
      <c r="M50" s="449" t="str">
        <f t="shared" si="2"/>
        <v/>
      </c>
      <c r="N50" s="251" t="str">
        <f t="shared" si="3"/>
        <v/>
      </c>
      <c r="O50" s="251" t="str">
        <f t="shared" si="4"/>
        <v/>
      </c>
      <c r="P50" s="251" t="str">
        <f t="shared" si="5"/>
        <v/>
      </c>
      <c r="Q50" s="450" t="str">
        <f t="shared" si="6"/>
        <v/>
      </c>
    </row>
    <row r="51" spans="1:17">
      <c r="A51" s="428" t="s">
        <v>3411</v>
      </c>
      <c r="B51" s="429"/>
      <c r="C51" s="446" t="e">
        <v>#N/A</v>
      </c>
      <c r="D51" s="446" t="e">
        <v>#N/A</v>
      </c>
      <c r="E51" s="432">
        <v>613391.34446885064</v>
      </c>
      <c r="F51" s="447">
        <f t="shared" si="9"/>
        <v>598190.24509538384</v>
      </c>
      <c r="G51" s="447">
        <f t="shared" si="9"/>
        <v>583867.26177436346</v>
      </c>
      <c r="H51" s="447">
        <f t="shared" si="9"/>
        <v>569853.25761300558</v>
      </c>
      <c r="I51" s="447">
        <f t="shared" si="9"/>
        <v>556175.6181110359</v>
      </c>
      <c r="J51" s="447">
        <f t="shared" si="9"/>
        <v>542826.26983114227</v>
      </c>
      <c r="K51" s="447">
        <f t="shared" si="9"/>
        <v>529797.3331149614</v>
      </c>
      <c r="L51" s="448">
        <f t="shared" si="1"/>
        <v>529797.3331149614</v>
      </c>
      <c r="M51" s="449" t="str">
        <f t="shared" si="2"/>
        <v/>
      </c>
      <c r="N51" s="251" t="str">
        <f t="shared" si="3"/>
        <v/>
      </c>
      <c r="O51" s="251" t="str">
        <f t="shared" si="4"/>
        <v/>
      </c>
      <c r="P51" s="251" t="str">
        <f t="shared" si="5"/>
        <v/>
      </c>
      <c r="Q51" s="450" t="str">
        <f t="shared" si="6"/>
        <v/>
      </c>
    </row>
    <row r="52" spans="1:17">
      <c r="A52" s="428" t="s">
        <v>3412</v>
      </c>
      <c r="B52" s="429"/>
      <c r="C52" s="446">
        <v>69</v>
      </c>
      <c r="D52" s="446" t="s">
        <v>2498</v>
      </c>
      <c r="E52" s="432">
        <v>1169827.7030930712</v>
      </c>
      <c r="F52" s="447">
        <f t="shared" si="9"/>
        <v>1140836.9660621295</v>
      </c>
      <c r="G52" s="447">
        <f t="shared" si="9"/>
        <v>1113520.9257707908</v>
      </c>
      <c r="H52" s="447">
        <f t="shared" si="9"/>
        <v>1086794.1542780923</v>
      </c>
      <c r="I52" s="447">
        <f t="shared" si="9"/>
        <v>1060708.8797684242</v>
      </c>
      <c r="J52" s="447">
        <f t="shared" si="9"/>
        <v>1035249.7050068696</v>
      </c>
      <c r="K52" s="447">
        <f t="shared" si="9"/>
        <v>1010401.6023235283</v>
      </c>
      <c r="L52" s="448" t="str">
        <f t="shared" si="1"/>
        <v/>
      </c>
      <c r="M52" s="449" t="str">
        <f t="shared" si="2"/>
        <v/>
      </c>
      <c r="N52" s="251" t="str">
        <f t="shared" si="3"/>
        <v/>
      </c>
      <c r="O52" s="251" t="str">
        <f t="shared" si="4"/>
        <v/>
      </c>
      <c r="P52" s="251">
        <f t="shared" si="5"/>
        <v>1010401.6023235283</v>
      </c>
      <c r="Q52" s="450" t="str">
        <f t="shared" si="6"/>
        <v/>
      </c>
    </row>
    <row r="53" spans="1:17">
      <c r="A53" s="428" t="s">
        <v>3413</v>
      </c>
      <c r="B53" s="429"/>
      <c r="C53" s="446">
        <v>69</v>
      </c>
      <c r="D53" s="446" t="s">
        <v>2498</v>
      </c>
      <c r="E53" s="432">
        <v>1163839.4575018401</v>
      </c>
      <c r="F53" s="447">
        <f t="shared" si="9"/>
        <v>1134997.121515559</v>
      </c>
      <c r="G53" s="447">
        <f t="shared" si="9"/>
        <v>1107820.9096428943</v>
      </c>
      <c r="H53" s="447">
        <f t="shared" si="9"/>
        <v>1081230.9501534814</v>
      </c>
      <c r="I53" s="447">
        <f t="shared" si="9"/>
        <v>1055279.2038802071</v>
      </c>
      <c r="J53" s="447">
        <f t="shared" si="9"/>
        <v>1029950.3524052519</v>
      </c>
      <c r="K53" s="447">
        <f t="shared" si="9"/>
        <v>1005229.4449840424</v>
      </c>
      <c r="L53" s="448" t="str">
        <f t="shared" si="1"/>
        <v/>
      </c>
      <c r="M53" s="449" t="str">
        <f t="shared" si="2"/>
        <v/>
      </c>
      <c r="N53" s="251" t="str">
        <f t="shared" si="3"/>
        <v/>
      </c>
      <c r="O53" s="251" t="str">
        <f t="shared" si="4"/>
        <v/>
      </c>
      <c r="P53" s="251">
        <f t="shared" si="5"/>
        <v>1005229.4449840424</v>
      </c>
      <c r="Q53" s="450" t="str">
        <f t="shared" si="6"/>
        <v/>
      </c>
    </row>
    <row r="54" spans="1:17" ht="12.75" customHeight="1">
      <c r="A54" s="428" t="s">
        <v>3414</v>
      </c>
      <c r="B54" s="429"/>
      <c r="C54" s="446">
        <v>69</v>
      </c>
      <c r="D54" s="446" t="s">
        <v>2498</v>
      </c>
      <c r="E54" s="432">
        <v>742586.35642374808</v>
      </c>
      <c r="F54" s="447">
        <f t="shared" si="9"/>
        <v>724183.53887640766</v>
      </c>
      <c r="G54" s="447">
        <f t="shared" si="9"/>
        <v>706843.78980204696</v>
      </c>
      <c r="H54" s="447">
        <f t="shared" si="9"/>
        <v>689878.09835085564</v>
      </c>
      <c r="I54" s="447">
        <f t="shared" si="9"/>
        <v>673319.61806933116</v>
      </c>
      <c r="J54" s="447">
        <f t="shared" si="9"/>
        <v>657158.57505953487</v>
      </c>
      <c r="K54" s="447">
        <f t="shared" si="9"/>
        <v>641385.43001699727</v>
      </c>
      <c r="L54" s="448" t="str">
        <f t="shared" si="1"/>
        <v/>
      </c>
      <c r="M54" s="449" t="str">
        <f t="shared" si="2"/>
        <v/>
      </c>
      <c r="N54" s="251" t="str">
        <f t="shared" si="3"/>
        <v/>
      </c>
      <c r="O54" s="251" t="str">
        <f t="shared" si="4"/>
        <v/>
      </c>
      <c r="P54" s="251">
        <f t="shared" si="5"/>
        <v>641385.43001699727</v>
      </c>
      <c r="Q54" s="450" t="str">
        <f t="shared" si="6"/>
        <v/>
      </c>
    </row>
    <row r="55" spans="1:17">
      <c r="A55" s="428" t="s">
        <v>3415</v>
      </c>
      <c r="B55" s="429"/>
      <c r="C55" s="446">
        <v>69</v>
      </c>
      <c r="D55" s="446" t="s">
        <v>2498</v>
      </c>
      <c r="E55" s="432">
        <v>458595.18901858985</v>
      </c>
      <c r="F55" s="447">
        <f t="shared" si="9"/>
        <v>447230.25682101888</v>
      </c>
      <c r="G55" s="447">
        <f t="shared" si="9"/>
        <v>436521.83828423434</v>
      </c>
      <c r="H55" s="447">
        <f t="shared" si="9"/>
        <v>426044.42456583522</v>
      </c>
      <c r="I55" s="447">
        <f t="shared" si="9"/>
        <v>415818.49012888054</v>
      </c>
      <c r="J55" s="447">
        <f t="shared" si="9"/>
        <v>405837.99895811919</v>
      </c>
      <c r="K55" s="447">
        <f t="shared" si="9"/>
        <v>396097.05991496705</v>
      </c>
      <c r="L55" s="448" t="str">
        <f t="shared" si="1"/>
        <v/>
      </c>
      <c r="M55" s="449" t="str">
        <f t="shared" si="2"/>
        <v/>
      </c>
      <c r="N55" s="251" t="str">
        <f t="shared" si="3"/>
        <v/>
      </c>
      <c r="O55" s="251" t="str">
        <f t="shared" si="4"/>
        <v/>
      </c>
      <c r="P55" s="251">
        <f t="shared" si="5"/>
        <v>396097.05991496705</v>
      </c>
      <c r="Q55" s="450" t="str">
        <f t="shared" si="6"/>
        <v/>
      </c>
    </row>
    <row r="56" spans="1:17">
      <c r="A56" s="428" t="s">
        <v>3416</v>
      </c>
      <c r="B56" s="429"/>
      <c r="C56" s="446">
        <v>69</v>
      </c>
      <c r="D56" s="446" t="s">
        <v>2499</v>
      </c>
      <c r="E56" s="432">
        <v>91802.742415997433</v>
      </c>
      <c r="F56" s="447">
        <f t="shared" si="9"/>
        <v>89527.681603995341</v>
      </c>
      <c r="G56" s="447">
        <f t="shared" si="9"/>
        <v>87384.043353627058</v>
      </c>
      <c r="H56" s="447">
        <f t="shared" si="9"/>
        <v>85286.648230851264</v>
      </c>
      <c r="I56" s="447">
        <f t="shared" si="9"/>
        <v>83239.594865359963</v>
      </c>
      <c r="J56" s="447">
        <f t="shared" si="9"/>
        <v>81241.674952385467</v>
      </c>
      <c r="K56" s="447">
        <f t="shared" si="9"/>
        <v>79291.709188937006</v>
      </c>
      <c r="L56" s="448" t="str">
        <f t="shared" si="1"/>
        <v/>
      </c>
      <c r="M56" s="449" t="str">
        <f t="shared" si="2"/>
        <v/>
      </c>
      <c r="N56" s="251" t="str">
        <f t="shared" si="3"/>
        <v/>
      </c>
      <c r="O56" s="251" t="str">
        <f t="shared" si="4"/>
        <v/>
      </c>
      <c r="P56" s="251" t="str">
        <f t="shared" si="5"/>
        <v/>
      </c>
      <c r="Q56" s="450">
        <f t="shared" si="6"/>
        <v>79291.709188937006</v>
      </c>
    </row>
    <row r="57" spans="1:17">
      <c r="A57" s="428" t="s">
        <v>3417</v>
      </c>
      <c r="B57" s="429"/>
      <c r="C57" s="446">
        <v>69</v>
      </c>
      <c r="D57" s="446" t="s">
        <v>2498</v>
      </c>
      <c r="E57" s="432">
        <v>1307521.9115420277</v>
      </c>
      <c r="F57" s="447">
        <f t="shared" si="9"/>
        <v>1275118.8287636971</v>
      </c>
      <c r="G57" s="447">
        <f t="shared" si="9"/>
        <v>1244587.5623874136</v>
      </c>
      <c r="H57" s="447">
        <f t="shared" si="9"/>
        <v>1214714.9245116976</v>
      </c>
      <c r="I57" s="447">
        <f t="shared" si="9"/>
        <v>1185559.2908232501</v>
      </c>
      <c r="J57" s="447">
        <f t="shared" si="9"/>
        <v>1157103.4517603738</v>
      </c>
      <c r="K57" s="447">
        <f t="shared" si="9"/>
        <v>1129330.6108259254</v>
      </c>
      <c r="L57" s="448" t="str">
        <f t="shared" si="1"/>
        <v/>
      </c>
      <c r="M57" s="449" t="str">
        <f t="shared" si="2"/>
        <v/>
      </c>
      <c r="N57" s="251" t="str">
        <f t="shared" si="3"/>
        <v/>
      </c>
      <c r="O57" s="251" t="str">
        <f t="shared" si="4"/>
        <v/>
      </c>
      <c r="P57" s="251">
        <f t="shared" si="5"/>
        <v>1129330.6108259254</v>
      </c>
      <c r="Q57" s="450" t="str">
        <f t="shared" si="6"/>
        <v/>
      </c>
    </row>
    <row r="58" spans="1:17">
      <c r="A58" s="428" t="s">
        <v>3418</v>
      </c>
      <c r="B58" s="429"/>
      <c r="C58" s="446">
        <v>69</v>
      </c>
      <c r="D58" s="446" t="s">
        <v>2498</v>
      </c>
      <c r="E58" s="432">
        <v>899292.33125625784</v>
      </c>
      <c r="F58" s="447">
        <f t="shared" si="9"/>
        <v>877006.01727988373</v>
      </c>
      <c r="G58" s="447">
        <f t="shared" si="9"/>
        <v>856007.10821888538</v>
      </c>
      <c r="H58" s="447">
        <f t="shared" si="9"/>
        <v>835461.19314175739</v>
      </c>
      <c r="I58" s="447">
        <f t="shared" si="9"/>
        <v>815408.42189755267</v>
      </c>
      <c r="J58" s="447">
        <f t="shared" si="9"/>
        <v>795836.95802928985</v>
      </c>
      <c r="K58" s="447">
        <f t="shared" si="9"/>
        <v>776735.2491790771</v>
      </c>
      <c r="L58" s="448" t="str">
        <f t="shared" si="1"/>
        <v/>
      </c>
      <c r="M58" s="449" t="str">
        <f t="shared" si="2"/>
        <v/>
      </c>
      <c r="N58" s="251" t="str">
        <f t="shared" si="3"/>
        <v/>
      </c>
      <c r="O58" s="251" t="str">
        <f t="shared" si="4"/>
        <v/>
      </c>
      <c r="P58" s="251">
        <f t="shared" si="5"/>
        <v>776735.2491790771</v>
      </c>
      <c r="Q58" s="450" t="str">
        <f t="shared" si="6"/>
        <v/>
      </c>
    </row>
    <row r="59" spans="1:17">
      <c r="A59" s="428" t="s">
        <v>3419</v>
      </c>
      <c r="B59" s="429"/>
      <c r="C59" s="446">
        <v>69</v>
      </c>
      <c r="D59" s="446" t="s">
        <v>2498</v>
      </c>
      <c r="E59" s="432">
        <v>1116712.3681876857</v>
      </c>
      <c r="F59" s="447">
        <f t="shared" si="9"/>
        <v>1089037.9384236012</v>
      </c>
      <c r="G59" s="447">
        <f t="shared" si="9"/>
        <v>1062962.166784242</v>
      </c>
      <c r="H59" s="447">
        <f t="shared" si="9"/>
        <v>1037448.9085422736</v>
      </c>
      <c r="I59" s="447">
        <f t="shared" si="9"/>
        <v>1012548.0204922666</v>
      </c>
      <c r="J59" s="447">
        <f t="shared" si="9"/>
        <v>988244.80450164829</v>
      </c>
      <c r="K59" s="447">
        <f t="shared" si="9"/>
        <v>964524.91522298136</v>
      </c>
      <c r="L59" s="448" t="str">
        <f t="shared" si="1"/>
        <v/>
      </c>
      <c r="M59" s="449" t="str">
        <f t="shared" si="2"/>
        <v/>
      </c>
      <c r="N59" s="251" t="str">
        <f t="shared" si="3"/>
        <v/>
      </c>
      <c r="O59" s="251" t="str">
        <f t="shared" si="4"/>
        <v/>
      </c>
      <c r="P59" s="251">
        <f t="shared" si="5"/>
        <v>964524.91522298136</v>
      </c>
      <c r="Q59" s="450" t="str">
        <f t="shared" si="6"/>
        <v/>
      </c>
    </row>
    <row r="60" spans="1:17">
      <c r="A60" s="428" t="s">
        <v>3420</v>
      </c>
      <c r="B60" s="429"/>
      <c r="C60" s="446">
        <v>69</v>
      </c>
      <c r="D60" s="446" t="s">
        <v>2498</v>
      </c>
      <c r="E60" s="432">
        <v>412261.641265838</v>
      </c>
      <c r="F60" s="447">
        <f t="shared" si="9"/>
        <v>402044.94969811279</v>
      </c>
      <c r="G60" s="447">
        <f t="shared" si="9"/>
        <v>392418.44181698153</v>
      </c>
      <c r="H60" s="447">
        <f t="shared" si="9"/>
        <v>382999.59949329263</v>
      </c>
      <c r="I60" s="447">
        <f t="shared" si="9"/>
        <v>373806.82858028397</v>
      </c>
      <c r="J60" s="447">
        <f t="shared" si="9"/>
        <v>364834.70290338225</v>
      </c>
      <c r="K60" s="447">
        <f t="shared" si="9"/>
        <v>356077.92652726203</v>
      </c>
      <c r="L60" s="448" t="str">
        <f t="shared" si="1"/>
        <v/>
      </c>
      <c r="M60" s="449" t="str">
        <f t="shared" si="2"/>
        <v/>
      </c>
      <c r="N60" s="251" t="str">
        <f t="shared" si="3"/>
        <v/>
      </c>
      <c r="O60" s="251" t="str">
        <f t="shared" si="4"/>
        <v/>
      </c>
      <c r="P60" s="251">
        <f t="shared" si="5"/>
        <v>356077.92652726203</v>
      </c>
      <c r="Q60" s="450" t="str">
        <f t="shared" si="6"/>
        <v/>
      </c>
    </row>
    <row r="61" spans="1:17">
      <c r="A61" s="428" t="s">
        <v>3421</v>
      </c>
      <c r="B61" s="429"/>
      <c r="C61" s="446">
        <v>69</v>
      </c>
      <c r="D61" s="446" t="s">
        <v>2498</v>
      </c>
      <c r="E61" s="432">
        <v>703859.56691003882</v>
      </c>
      <c r="F61" s="447">
        <f t="shared" si="9"/>
        <v>686416.47887489584</v>
      </c>
      <c r="G61" s="447">
        <f t="shared" si="9"/>
        <v>669981.01898766391</v>
      </c>
      <c r="H61" s="447">
        <f t="shared" si="9"/>
        <v>653900.10915964842</v>
      </c>
      <c r="I61" s="447">
        <f t="shared" si="9"/>
        <v>638205.17393922328</v>
      </c>
      <c r="J61" s="447">
        <f t="shared" si="9"/>
        <v>622886.94914921827</v>
      </c>
      <c r="K61" s="447">
        <f t="shared" si="9"/>
        <v>607936.39297159517</v>
      </c>
      <c r="L61" s="448" t="str">
        <f t="shared" si="1"/>
        <v/>
      </c>
      <c r="M61" s="449" t="str">
        <f t="shared" si="2"/>
        <v/>
      </c>
      <c r="N61" s="251" t="str">
        <f t="shared" si="3"/>
        <v/>
      </c>
      <c r="O61" s="251" t="str">
        <f t="shared" si="4"/>
        <v/>
      </c>
      <c r="P61" s="251">
        <f t="shared" si="5"/>
        <v>607936.39297159517</v>
      </c>
      <c r="Q61" s="450" t="str">
        <f t="shared" si="6"/>
        <v/>
      </c>
    </row>
    <row r="62" spans="1:17">
      <c r="A62" s="428" t="s">
        <v>3422</v>
      </c>
      <c r="B62" s="429"/>
      <c r="C62" s="446">
        <v>69</v>
      </c>
      <c r="D62" s="446" t="s">
        <v>2499</v>
      </c>
      <c r="E62" s="432">
        <v>1536793.2918007905</v>
      </c>
      <c r="F62" s="447">
        <f t="shared" si="9"/>
        <v>1498708.39256673</v>
      </c>
      <c r="G62" s="447">
        <f t="shared" si="9"/>
        <v>1462823.5290374297</v>
      </c>
      <c r="H62" s="447">
        <f t="shared" si="9"/>
        <v>1427712.7832131761</v>
      </c>
      <c r="I62" s="447">
        <f t="shared" si="9"/>
        <v>1393444.7668418363</v>
      </c>
      <c r="J62" s="447">
        <f t="shared" si="9"/>
        <v>1359999.2526991197</v>
      </c>
      <c r="K62" s="447">
        <f t="shared" si="9"/>
        <v>1327356.4990553395</v>
      </c>
      <c r="L62" s="448" t="str">
        <f t="shared" si="1"/>
        <v/>
      </c>
      <c r="M62" s="449" t="str">
        <f t="shared" si="2"/>
        <v/>
      </c>
      <c r="N62" s="251" t="str">
        <f t="shared" si="3"/>
        <v/>
      </c>
      <c r="O62" s="251" t="str">
        <f t="shared" si="4"/>
        <v/>
      </c>
      <c r="P62" s="251" t="str">
        <f t="shared" si="5"/>
        <v/>
      </c>
      <c r="Q62" s="450">
        <f t="shared" si="6"/>
        <v>1327356.4990553395</v>
      </c>
    </row>
    <row r="63" spans="1:17">
      <c r="A63" s="428" t="s">
        <v>3423</v>
      </c>
      <c r="B63" s="429"/>
      <c r="C63" s="446" t="e">
        <v>#N/A</v>
      </c>
      <c r="D63" s="446" t="e">
        <v>#N/A</v>
      </c>
      <c r="E63" s="432">
        <v>166292.20237757216</v>
      </c>
      <c r="F63" s="447">
        <f t="shared" si="9"/>
        <v>162171.13950935868</v>
      </c>
      <c r="G63" s="447">
        <f t="shared" si="9"/>
        <v>158288.13649252907</v>
      </c>
      <c r="H63" s="447">
        <f t="shared" si="9"/>
        <v>154488.89863706403</v>
      </c>
      <c r="I63" s="447">
        <f t="shared" si="9"/>
        <v>150780.85023269901</v>
      </c>
      <c r="J63" s="447">
        <f t="shared" si="9"/>
        <v>147161.8025467702</v>
      </c>
      <c r="K63" s="447">
        <f t="shared" si="9"/>
        <v>143629.61938065811</v>
      </c>
      <c r="L63" s="448">
        <f t="shared" si="1"/>
        <v>143629.61938065811</v>
      </c>
      <c r="M63" s="449" t="str">
        <f t="shared" si="2"/>
        <v/>
      </c>
      <c r="N63" s="251" t="str">
        <f t="shared" si="3"/>
        <v/>
      </c>
      <c r="O63" s="251" t="str">
        <f t="shared" si="4"/>
        <v/>
      </c>
      <c r="P63" s="251" t="str">
        <f t="shared" si="5"/>
        <v/>
      </c>
      <c r="Q63" s="450" t="str">
        <f t="shared" si="6"/>
        <v/>
      </c>
    </row>
    <row r="64" spans="1:17">
      <c r="A64" s="428" t="s">
        <v>3424</v>
      </c>
      <c r="B64" s="429"/>
      <c r="C64" s="446" t="e">
        <v>#N/A</v>
      </c>
      <c r="D64" s="446" t="e">
        <v>#N/A</v>
      </c>
      <c r="E64" s="432">
        <v>72388.336456050471</v>
      </c>
      <c r="F64" s="447">
        <f t="shared" si="9"/>
        <v>70594.404562699056</v>
      </c>
      <c r="G64" s="447">
        <f t="shared" si="9"/>
        <v>68904.102042055849</v>
      </c>
      <c r="H64" s="447">
        <f t="shared" si="9"/>
        <v>67250.263171526472</v>
      </c>
      <c r="I64" s="447">
        <f t="shared" si="9"/>
        <v>65636.119804292452</v>
      </c>
      <c r="J64" s="447">
        <f t="shared" si="9"/>
        <v>64060.719167378164</v>
      </c>
      <c r="K64" s="447">
        <f t="shared" si="9"/>
        <v>62523.131356301084</v>
      </c>
      <c r="L64" s="448">
        <f t="shared" si="1"/>
        <v>62523.131356301084</v>
      </c>
      <c r="M64" s="449" t="str">
        <f t="shared" si="2"/>
        <v/>
      </c>
      <c r="N64" s="251" t="str">
        <f t="shared" si="3"/>
        <v/>
      </c>
      <c r="O64" s="251" t="str">
        <f t="shared" si="4"/>
        <v/>
      </c>
      <c r="P64" s="251" t="str">
        <f t="shared" si="5"/>
        <v/>
      </c>
      <c r="Q64" s="450" t="str">
        <f t="shared" si="6"/>
        <v/>
      </c>
    </row>
    <row r="65" spans="1:17">
      <c r="A65" s="428" t="s">
        <v>3425</v>
      </c>
      <c r="B65" s="429"/>
      <c r="C65" s="446">
        <v>69</v>
      </c>
      <c r="D65" s="446" t="s">
        <v>2498</v>
      </c>
      <c r="E65" s="432">
        <v>107635.9884808934</v>
      </c>
      <c r="F65" s="447">
        <f t="shared" si="9"/>
        <v>104968.54725953707</v>
      </c>
      <c r="G65" s="447">
        <f t="shared" si="9"/>
        <v>102455.19508778717</v>
      </c>
      <c r="H65" s="447">
        <f t="shared" si="9"/>
        <v>99996.061609486671</v>
      </c>
      <c r="I65" s="447">
        <f t="shared" si="9"/>
        <v>97595.952346199556</v>
      </c>
      <c r="J65" s="447">
        <f t="shared" si="9"/>
        <v>95253.450596478448</v>
      </c>
      <c r="K65" s="447">
        <f t="shared" si="9"/>
        <v>92967.173662597866</v>
      </c>
      <c r="L65" s="448" t="str">
        <f t="shared" si="1"/>
        <v/>
      </c>
      <c r="M65" s="449" t="str">
        <f t="shared" si="2"/>
        <v/>
      </c>
      <c r="N65" s="251" t="str">
        <f t="shared" si="3"/>
        <v/>
      </c>
      <c r="O65" s="251" t="str">
        <f t="shared" si="4"/>
        <v/>
      </c>
      <c r="P65" s="251">
        <f t="shared" si="5"/>
        <v>92967.173662597866</v>
      </c>
      <c r="Q65" s="450" t="str">
        <f t="shared" si="6"/>
        <v/>
      </c>
    </row>
    <row r="66" spans="1:17">
      <c r="A66" s="428" t="s">
        <v>3426</v>
      </c>
      <c r="B66" s="429"/>
      <c r="C66" s="446">
        <v>69</v>
      </c>
      <c r="D66" s="446" t="s">
        <v>2499</v>
      </c>
      <c r="E66" s="432">
        <v>146198.71471016944</v>
      </c>
      <c r="F66" s="447">
        <f t="shared" si="9"/>
        <v>142575.60980231193</v>
      </c>
      <c r="G66" s="447">
        <f t="shared" si="9"/>
        <v>139161.79940014263</v>
      </c>
      <c r="H66" s="447">
        <f t="shared" si="9"/>
        <v>135821.63261297089</v>
      </c>
      <c r="I66" s="447">
        <f t="shared" si="9"/>
        <v>132561.63663570688</v>
      </c>
      <c r="J66" s="447">
        <f t="shared" si="9"/>
        <v>129379.88720553053</v>
      </c>
      <c r="K66" s="447">
        <f t="shared" si="9"/>
        <v>126274.50624585104</v>
      </c>
      <c r="L66" s="448" t="str">
        <f t="shared" si="1"/>
        <v/>
      </c>
      <c r="M66" s="449" t="str">
        <f t="shared" si="2"/>
        <v/>
      </c>
      <c r="N66" s="251" t="str">
        <f t="shared" si="3"/>
        <v/>
      </c>
      <c r="O66" s="251" t="str">
        <f t="shared" si="4"/>
        <v/>
      </c>
      <c r="P66" s="251" t="str">
        <f t="shared" si="5"/>
        <v/>
      </c>
      <c r="Q66" s="450">
        <f t="shared" si="6"/>
        <v>126274.50624585104</v>
      </c>
    </row>
    <row r="67" spans="1:17">
      <c r="A67" s="428" t="s">
        <v>3427</v>
      </c>
      <c r="B67" s="429"/>
      <c r="C67" s="446" t="e">
        <v>#N/A</v>
      </c>
      <c r="D67" s="446" t="e">
        <v>#N/A</v>
      </c>
      <c r="E67" s="432">
        <v>198706.72907721784</v>
      </c>
      <c r="F67" s="447">
        <f t="shared" si="9"/>
        <v>193782.36755481176</v>
      </c>
      <c r="G67" s="447">
        <f t="shared" si="9"/>
        <v>189142.46972773699</v>
      </c>
      <c r="H67" s="447">
        <f t="shared" si="9"/>
        <v>184602.66499575262</v>
      </c>
      <c r="I67" s="447">
        <f t="shared" ref="F67:K109" si="10">+$E67*(I$3)</f>
        <v>180171.82482912589</v>
      </c>
      <c r="J67" s="447">
        <f t="shared" si="10"/>
        <v>175847.33385622635</v>
      </c>
      <c r="K67" s="447">
        <f t="shared" si="10"/>
        <v>171626.63947967271</v>
      </c>
      <c r="L67" s="448">
        <f t="shared" si="1"/>
        <v>171626.63947967271</v>
      </c>
      <c r="M67" s="449" t="str">
        <f t="shared" si="2"/>
        <v/>
      </c>
      <c r="N67" s="251" t="str">
        <f t="shared" si="3"/>
        <v/>
      </c>
      <c r="O67" s="251" t="str">
        <f t="shared" si="4"/>
        <v/>
      </c>
      <c r="P67" s="251" t="str">
        <f t="shared" si="5"/>
        <v/>
      </c>
      <c r="Q67" s="450" t="str">
        <f t="shared" si="6"/>
        <v/>
      </c>
    </row>
    <row r="68" spans="1:17">
      <c r="A68" s="428" t="s">
        <v>3428</v>
      </c>
      <c r="B68" s="429"/>
      <c r="C68" s="446" t="e">
        <v>#N/A</v>
      </c>
      <c r="D68" s="446" t="e">
        <v>#N/A</v>
      </c>
      <c r="E68" s="432">
        <v>66594.999757201876</v>
      </c>
      <c r="F68" s="447">
        <f t="shared" si="10"/>
        <v>64944.638665194921</v>
      </c>
      <c r="G68" s="447">
        <f t="shared" si="10"/>
        <v>63389.613346714585</v>
      </c>
      <c r="H68" s="447">
        <f t="shared" si="10"/>
        <v>61868.133442998005</v>
      </c>
      <c r="I68" s="447">
        <f t="shared" si="10"/>
        <v>60383.172157635381</v>
      </c>
      <c r="J68" s="447">
        <f t="shared" si="10"/>
        <v>58933.852969363943</v>
      </c>
      <c r="K68" s="447">
        <f t="shared" si="10"/>
        <v>57519.320395217517</v>
      </c>
      <c r="L68" s="448">
        <f t="shared" si="1"/>
        <v>57519.320395217517</v>
      </c>
      <c r="M68" s="449" t="str">
        <f t="shared" si="2"/>
        <v/>
      </c>
      <c r="N68" s="251" t="str">
        <f t="shared" si="3"/>
        <v/>
      </c>
      <c r="O68" s="251" t="str">
        <f t="shared" si="4"/>
        <v/>
      </c>
      <c r="P68" s="251" t="str">
        <f t="shared" si="5"/>
        <v/>
      </c>
      <c r="Q68" s="450" t="str">
        <f t="shared" si="6"/>
        <v/>
      </c>
    </row>
    <row r="69" spans="1:17">
      <c r="A69" s="428" t="s">
        <v>3429</v>
      </c>
      <c r="B69" s="429"/>
      <c r="C69" s="446">
        <v>69</v>
      </c>
      <c r="D69" s="446" t="s">
        <v>2499</v>
      </c>
      <c r="E69" s="432">
        <v>199096.29471410718</v>
      </c>
      <c r="F69" s="447">
        <f t="shared" si="10"/>
        <v>194162.27895381162</v>
      </c>
      <c r="G69" s="447">
        <f t="shared" si="10"/>
        <v>189513.28458148899</v>
      </c>
      <c r="H69" s="447">
        <f t="shared" si="10"/>
        <v>184964.57953732103</v>
      </c>
      <c r="I69" s="447">
        <f t="shared" si="10"/>
        <v>180525.05268414129</v>
      </c>
      <c r="J69" s="447">
        <f t="shared" si="10"/>
        <v>176192.08352286887</v>
      </c>
      <c r="K69" s="447">
        <f t="shared" si="10"/>
        <v>171963.11445174119</v>
      </c>
      <c r="L69" s="448" t="str">
        <f t="shared" si="1"/>
        <v/>
      </c>
      <c r="M69" s="449" t="str">
        <f t="shared" si="2"/>
        <v/>
      </c>
      <c r="N69" s="251" t="str">
        <f t="shared" si="3"/>
        <v/>
      </c>
      <c r="O69" s="251" t="str">
        <f t="shared" si="4"/>
        <v/>
      </c>
      <c r="P69" s="251" t="str">
        <f t="shared" si="5"/>
        <v/>
      </c>
      <c r="Q69" s="450">
        <f t="shared" si="6"/>
        <v>171963.11445174119</v>
      </c>
    </row>
    <row r="70" spans="1:17">
      <c r="A70" s="428" t="s">
        <v>3430</v>
      </c>
      <c r="B70" s="429"/>
      <c r="C70" s="446" t="e">
        <v>#N/A</v>
      </c>
      <c r="D70" s="446" t="e">
        <v>#N/A</v>
      </c>
      <c r="E70" s="432">
        <v>198709.84821075367</v>
      </c>
      <c r="F70" s="447">
        <f t="shared" si="10"/>
        <v>193785.40938980193</v>
      </c>
      <c r="G70" s="447">
        <f t="shared" si="10"/>
        <v>189145.43872945683</v>
      </c>
      <c r="H70" s="447">
        <f t="shared" si="10"/>
        <v>184605.56273538058</v>
      </c>
      <c r="I70" s="447">
        <f t="shared" si="10"/>
        <v>180174.65301709741</v>
      </c>
      <c r="J70" s="447">
        <f t="shared" si="10"/>
        <v>175850.09416192293</v>
      </c>
      <c r="K70" s="447">
        <f t="shared" si="10"/>
        <v>171629.33353240724</v>
      </c>
      <c r="L70" s="448">
        <f t="shared" ref="L70:L133" si="11">IF(ISERROR(C70),K70,"")</f>
        <v>171629.33353240724</v>
      </c>
      <c r="M70" s="449" t="str">
        <f t="shared" ref="M70:M133" si="12">IF(ISERROR(C70),"",IF(AND(D70="n",$C70=500),$K70,""))</f>
        <v/>
      </c>
      <c r="N70" s="251" t="str">
        <f t="shared" ref="N70:N133" si="13">IF(ISERROR(C70),"",IF(AND(D70="n",OR($C70=240,$C70=260)),$K70,""))</f>
        <v/>
      </c>
      <c r="O70" s="251" t="str">
        <f t="shared" ref="O70:O133" si="14">IF(ISERROR(C70),"",IF(AND(D70="n",OR($C70=138,$C70=144)),$K70,""))</f>
        <v/>
      </c>
      <c r="P70" s="251" t="str">
        <f t="shared" ref="P70:P133" si="15">IF(ISERROR(C70),"",IF(AND(D70="n",OR($C70=69,$C70=72)),$K70,""))</f>
        <v/>
      </c>
      <c r="Q70" s="450" t="str">
        <f t="shared" ref="Q70:Q133" si="16">IF(ISERROR(D70),"",IF(D70="y",K70,""))</f>
        <v/>
      </c>
    </row>
    <row r="71" spans="1:17">
      <c r="A71" s="428" t="s">
        <v>3431</v>
      </c>
      <c r="B71" s="429"/>
      <c r="C71" s="446">
        <v>69</v>
      </c>
      <c r="D71" s="446" t="s">
        <v>2499</v>
      </c>
      <c r="E71" s="432">
        <v>532021.85098141793</v>
      </c>
      <c r="F71" s="447">
        <f t="shared" si="10"/>
        <v>518837.25504841318</v>
      </c>
      <c r="G71" s="447">
        <f t="shared" si="10"/>
        <v>506414.28859031352</v>
      </c>
      <c r="H71" s="447">
        <f t="shared" si="10"/>
        <v>494259.31362886698</v>
      </c>
      <c r="I71" s="447">
        <f t="shared" si="10"/>
        <v>482396.08283744514</v>
      </c>
      <c r="J71" s="447">
        <f t="shared" si="10"/>
        <v>470817.59376141406</v>
      </c>
      <c r="K71" s="447">
        <f t="shared" si="10"/>
        <v>459517.0120193215</v>
      </c>
      <c r="L71" s="448" t="str">
        <f t="shared" si="11"/>
        <v/>
      </c>
      <c r="M71" s="449" t="str">
        <f t="shared" si="12"/>
        <v/>
      </c>
      <c r="N71" s="251" t="str">
        <f t="shared" si="13"/>
        <v/>
      </c>
      <c r="O71" s="251" t="str">
        <f t="shared" si="14"/>
        <v/>
      </c>
      <c r="P71" s="251" t="str">
        <f t="shared" si="15"/>
        <v/>
      </c>
      <c r="Q71" s="450">
        <f t="shared" si="16"/>
        <v>459517.0120193215</v>
      </c>
    </row>
    <row r="72" spans="1:17">
      <c r="A72" s="428" t="s">
        <v>3432</v>
      </c>
      <c r="B72" s="429"/>
      <c r="C72" s="446">
        <v>69</v>
      </c>
      <c r="D72" s="446" t="s">
        <v>2498</v>
      </c>
      <c r="E72" s="432">
        <v>378454.84758113802</v>
      </c>
      <c r="F72" s="447">
        <f t="shared" si="10"/>
        <v>369075.95790764136</v>
      </c>
      <c r="G72" s="447">
        <f t="shared" si="10"/>
        <v>360238.85494141391</v>
      </c>
      <c r="H72" s="447">
        <f t="shared" si="10"/>
        <v>351592.38828238292</v>
      </c>
      <c r="I72" s="447">
        <f t="shared" si="10"/>
        <v>343153.45444403531</v>
      </c>
      <c r="J72" s="447">
        <f t="shared" si="10"/>
        <v>334917.07221573795</v>
      </c>
      <c r="K72" s="447">
        <f t="shared" si="10"/>
        <v>326878.3799460642</v>
      </c>
      <c r="L72" s="448" t="str">
        <f t="shared" si="11"/>
        <v/>
      </c>
      <c r="M72" s="449" t="str">
        <f t="shared" si="12"/>
        <v/>
      </c>
      <c r="N72" s="251" t="str">
        <f t="shared" si="13"/>
        <v/>
      </c>
      <c r="O72" s="251" t="str">
        <f t="shared" si="14"/>
        <v/>
      </c>
      <c r="P72" s="251">
        <f t="shared" si="15"/>
        <v>326878.3799460642</v>
      </c>
      <c r="Q72" s="450" t="str">
        <f t="shared" si="16"/>
        <v/>
      </c>
    </row>
    <row r="73" spans="1:17">
      <c r="A73" s="428" t="s">
        <v>3433</v>
      </c>
      <c r="B73" s="429"/>
      <c r="C73" s="446">
        <v>69</v>
      </c>
      <c r="D73" s="446" t="s">
        <v>2499</v>
      </c>
      <c r="E73" s="432">
        <v>177398.91985865391</v>
      </c>
      <c r="F73" s="447">
        <f t="shared" si="10"/>
        <v>173002.60968272181</v>
      </c>
      <c r="G73" s="447">
        <f t="shared" si="10"/>
        <v>168860.25946338064</v>
      </c>
      <c r="H73" s="447">
        <f t="shared" si="10"/>
        <v>164807.26911140184</v>
      </c>
      <c r="I73" s="447">
        <f t="shared" si="10"/>
        <v>160851.55878756841</v>
      </c>
      <c r="J73" s="447">
        <f t="shared" si="10"/>
        <v>156990.7935729553</v>
      </c>
      <c r="K73" s="447">
        <f t="shared" si="10"/>
        <v>153222.69459145001</v>
      </c>
      <c r="L73" s="448" t="str">
        <f t="shared" si="11"/>
        <v/>
      </c>
      <c r="M73" s="449" t="str">
        <f t="shared" si="12"/>
        <v/>
      </c>
      <c r="N73" s="251" t="str">
        <f t="shared" si="13"/>
        <v/>
      </c>
      <c r="O73" s="251" t="str">
        <f t="shared" si="14"/>
        <v/>
      </c>
      <c r="P73" s="251" t="str">
        <f t="shared" si="15"/>
        <v/>
      </c>
      <c r="Q73" s="450">
        <f t="shared" si="16"/>
        <v>153222.69459145001</v>
      </c>
    </row>
    <row r="74" spans="1:17">
      <c r="A74" s="428" t="s">
        <v>3434</v>
      </c>
      <c r="B74" s="429"/>
      <c r="C74" s="446">
        <v>69</v>
      </c>
      <c r="D74" s="446" t="s">
        <v>2499</v>
      </c>
      <c r="E74" s="432">
        <v>276136.36922295392</v>
      </c>
      <c r="F74" s="447">
        <f t="shared" si="10"/>
        <v>269293.14193088765</v>
      </c>
      <c r="G74" s="447">
        <f t="shared" si="10"/>
        <v>262845.22471397242</v>
      </c>
      <c r="H74" s="447">
        <f t="shared" si="10"/>
        <v>256536.40366149467</v>
      </c>
      <c r="I74" s="447">
        <f t="shared" si="10"/>
        <v>250379.00717119226</v>
      </c>
      <c r="J74" s="447">
        <f t="shared" si="10"/>
        <v>244369.40074498075</v>
      </c>
      <c r="K74" s="447">
        <f t="shared" si="10"/>
        <v>238504.03712013667</v>
      </c>
      <c r="L74" s="448" t="str">
        <f t="shared" si="11"/>
        <v/>
      </c>
      <c r="M74" s="449" t="str">
        <f t="shared" si="12"/>
        <v/>
      </c>
      <c r="N74" s="251" t="str">
        <f t="shared" si="13"/>
        <v/>
      </c>
      <c r="O74" s="251" t="str">
        <f t="shared" si="14"/>
        <v/>
      </c>
      <c r="P74" s="251" t="str">
        <f t="shared" si="15"/>
        <v/>
      </c>
      <c r="Q74" s="450">
        <f t="shared" si="16"/>
        <v>238504.03712013667</v>
      </c>
    </row>
    <row r="75" spans="1:17">
      <c r="A75" s="428" t="s">
        <v>3435</v>
      </c>
      <c r="B75" s="429"/>
      <c r="C75" s="446">
        <v>69</v>
      </c>
      <c r="D75" s="446" t="s">
        <v>2498</v>
      </c>
      <c r="E75" s="432">
        <v>968855.2466181569</v>
      </c>
      <c r="F75" s="447">
        <f t="shared" si="10"/>
        <v>944845.02049554943</v>
      </c>
      <c r="G75" s="447">
        <f t="shared" si="10"/>
        <v>922221.78385726386</v>
      </c>
      <c r="H75" s="447">
        <f t="shared" si="10"/>
        <v>900086.581624149</v>
      </c>
      <c r="I75" s="447">
        <f t="shared" si="10"/>
        <v>878482.66935455217</v>
      </c>
      <c r="J75" s="447">
        <f t="shared" si="10"/>
        <v>857397.29500661849</v>
      </c>
      <c r="K75" s="447">
        <f t="shared" si="10"/>
        <v>836818.01261348592</v>
      </c>
      <c r="L75" s="448" t="str">
        <f t="shared" si="11"/>
        <v/>
      </c>
      <c r="M75" s="449" t="str">
        <f t="shared" si="12"/>
        <v/>
      </c>
      <c r="N75" s="251" t="str">
        <f t="shared" si="13"/>
        <v/>
      </c>
      <c r="O75" s="251" t="str">
        <f t="shared" si="14"/>
        <v/>
      </c>
      <c r="P75" s="251">
        <f t="shared" si="15"/>
        <v>836818.01261348592</v>
      </c>
      <c r="Q75" s="450" t="str">
        <f t="shared" si="16"/>
        <v/>
      </c>
    </row>
    <row r="76" spans="1:17">
      <c r="A76" s="428" t="s">
        <v>3436</v>
      </c>
      <c r="B76" s="429"/>
      <c r="C76" s="446">
        <v>69</v>
      </c>
      <c r="D76" s="446" t="s">
        <v>2498</v>
      </c>
      <c r="E76" s="432">
        <v>1207101.4923091601</v>
      </c>
      <c r="F76" s="447">
        <f t="shared" si="10"/>
        <v>1177187.0341024818</v>
      </c>
      <c r="G76" s="447">
        <f t="shared" si="10"/>
        <v>1149000.6328807722</v>
      </c>
      <c r="H76" s="447">
        <f t="shared" si="10"/>
        <v>1121422.2761123863</v>
      </c>
      <c r="I76" s="447">
        <f t="shared" si="10"/>
        <v>1094505.8561091158</v>
      </c>
      <c r="J76" s="447">
        <f t="shared" si="10"/>
        <v>1068235.4850396188</v>
      </c>
      <c r="K76" s="447">
        <f t="shared" si="10"/>
        <v>1042595.6564128845</v>
      </c>
      <c r="L76" s="448" t="str">
        <f t="shared" si="11"/>
        <v/>
      </c>
      <c r="M76" s="449" t="str">
        <f t="shared" si="12"/>
        <v/>
      </c>
      <c r="N76" s="251" t="str">
        <f t="shared" si="13"/>
        <v/>
      </c>
      <c r="O76" s="251" t="str">
        <f t="shared" si="14"/>
        <v/>
      </c>
      <c r="P76" s="251">
        <f t="shared" si="15"/>
        <v>1042595.6564128845</v>
      </c>
      <c r="Q76" s="450" t="str">
        <f t="shared" si="16"/>
        <v/>
      </c>
    </row>
    <row r="77" spans="1:17">
      <c r="A77" s="428" t="s">
        <v>3437</v>
      </c>
      <c r="B77" s="429"/>
      <c r="C77" s="446" t="e">
        <v>#N/A</v>
      </c>
      <c r="D77" s="446" t="e">
        <v>#N/A</v>
      </c>
      <c r="E77" s="432">
        <v>1159715.6659642993</v>
      </c>
      <c r="F77" s="447">
        <f t="shared" si="10"/>
        <v>1130975.5260157075</v>
      </c>
      <c r="G77" s="447">
        <f t="shared" si="10"/>
        <v>1103895.6066615861</v>
      </c>
      <c r="H77" s="447">
        <f t="shared" si="10"/>
        <v>1077399.862443205</v>
      </c>
      <c r="I77" s="447">
        <f t="shared" si="10"/>
        <v>1051540.0700824538</v>
      </c>
      <c r="J77" s="447">
        <f t="shared" si="10"/>
        <v>1026300.965438726</v>
      </c>
      <c r="K77" s="447">
        <f t="shared" si="10"/>
        <v>1001667.6507418967</v>
      </c>
      <c r="L77" s="448">
        <f t="shared" si="11"/>
        <v>1001667.6507418967</v>
      </c>
      <c r="M77" s="449" t="str">
        <f t="shared" si="12"/>
        <v/>
      </c>
      <c r="N77" s="251" t="str">
        <f t="shared" si="13"/>
        <v/>
      </c>
      <c r="O77" s="251" t="str">
        <f t="shared" si="14"/>
        <v/>
      </c>
      <c r="P77" s="251" t="str">
        <f t="shared" si="15"/>
        <v/>
      </c>
      <c r="Q77" s="450" t="str">
        <f t="shared" si="16"/>
        <v/>
      </c>
    </row>
    <row r="78" spans="1:17">
      <c r="A78" s="428" t="s">
        <v>3438</v>
      </c>
      <c r="B78" s="429"/>
      <c r="C78" s="446" t="e">
        <v>#N/A</v>
      </c>
      <c r="D78" s="446" t="e">
        <v>#N/A</v>
      </c>
      <c r="E78" s="432">
        <v>275855.76719827065</v>
      </c>
      <c r="F78" s="447">
        <f t="shared" si="10"/>
        <v>269019.49380162545</v>
      </c>
      <c r="G78" s="447">
        <f t="shared" si="10"/>
        <v>262578.12877713289</v>
      </c>
      <c r="H78" s="447">
        <f t="shared" si="10"/>
        <v>256275.71857146127</v>
      </c>
      <c r="I78" s="447">
        <f t="shared" si="10"/>
        <v>250124.57905457681</v>
      </c>
      <c r="J78" s="447">
        <f t="shared" si="10"/>
        <v>244121.07942166997</v>
      </c>
      <c r="K78" s="447">
        <f t="shared" si="10"/>
        <v>238261.67601464604</v>
      </c>
      <c r="L78" s="448">
        <f t="shared" si="11"/>
        <v>238261.67601464604</v>
      </c>
      <c r="M78" s="449" t="str">
        <f t="shared" si="12"/>
        <v/>
      </c>
      <c r="N78" s="251" t="str">
        <f t="shared" si="13"/>
        <v/>
      </c>
      <c r="O78" s="251" t="str">
        <f t="shared" si="14"/>
        <v/>
      </c>
      <c r="P78" s="251" t="str">
        <f t="shared" si="15"/>
        <v/>
      </c>
      <c r="Q78" s="450" t="str">
        <f t="shared" si="16"/>
        <v/>
      </c>
    </row>
    <row r="79" spans="1:17">
      <c r="A79" s="428" t="s">
        <v>3439</v>
      </c>
      <c r="B79" s="429"/>
      <c r="C79" s="446" t="e">
        <v>#N/A</v>
      </c>
      <c r="D79" s="446" t="e">
        <v>#N/A</v>
      </c>
      <c r="E79" s="432">
        <v>1892321.527380063</v>
      </c>
      <c r="F79" s="447">
        <f t="shared" si="10"/>
        <v>1845425.9070821216</v>
      </c>
      <c r="G79" s="447">
        <f t="shared" si="10"/>
        <v>1801239.2880189817</v>
      </c>
      <c r="H79" s="447">
        <f t="shared" si="10"/>
        <v>1758005.8743126071</v>
      </c>
      <c r="I79" s="447">
        <f t="shared" si="10"/>
        <v>1715810.1506417203</v>
      </c>
      <c r="J79" s="447">
        <f t="shared" si="10"/>
        <v>1674627.2103307333</v>
      </c>
      <c r="K79" s="447">
        <f t="shared" si="10"/>
        <v>1634432.7445150299</v>
      </c>
      <c r="L79" s="448">
        <f t="shared" si="11"/>
        <v>1634432.7445150299</v>
      </c>
      <c r="M79" s="449" t="str">
        <f t="shared" si="12"/>
        <v/>
      </c>
      <c r="N79" s="251" t="str">
        <f t="shared" si="13"/>
        <v/>
      </c>
      <c r="O79" s="251" t="str">
        <f t="shared" si="14"/>
        <v/>
      </c>
      <c r="P79" s="251" t="str">
        <f t="shared" si="15"/>
        <v/>
      </c>
      <c r="Q79" s="450" t="str">
        <f t="shared" si="16"/>
        <v/>
      </c>
    </row>
    <row r="80" spans="1:17">
      <c r="A80" s="428" t="s">
        <v>3440</v>
      </c>
      <c r="B80" s="429"/>
      <c r="C80" s="446" t="e">
        <v>#N/A</v>
      </c>
      <c r="D80" s="446" t="e">
        <v>#N/A</v>
      </c>
      <c r="E80" s="432">
        <v>1458037.3482084111</v>
      </c>
      <c r="F80" s="447">
        <f t="shared" si="10"/>
        <v>1421904.1832718661</v>
      </c>
      <c r="G80" s="447">
        <f t="shared" si="10"/>
        <v>1387858.3089566729</v>
      </c>
      <c r="H80" s="447">
        <f t="shared" si="10"/>
        <v>1354546.8811879926</v>
      </c>
      <c r="I80" s="447">
        <f t="shared" si="10"/>
        <v>1322034.995572014</v>
      </c>
      <c r="J80" s="447">
        <f t="shared" si="10"/>
        <v>1290303.4614676638</v>
      </c>
      <c r="K80" s="447">
        <f t="shared" si="10"/>
        <v>1259333.5488483633</v>
      </c>
      <c r="L80" s="448">
        <f t="shared" si="11"/>
        <v>1259333.5488483633</v>
      </c>
      <c r="M80" s="449" t="str">
        <f t="shared" si="12"/>
        <v/>
      </c>
      <c r="N80" s="251" t="str">
        <f t="shared" si="13"/>
        <v/>
      </c>
      <c r="O80" s="251" t="str">
        <f t="shared" si="14"/>
        <v/>
      </c>
      <c r="P80" s="251" t="str">
        <f t="shared" si="15"/>
        <v/>
      </c>
      <c r="Q80" s="450" t="str">
        <f t="shared" si="16"/>
        <v/>
      </c>
    </row>
    <row r="81" spans="1:17">
      <c r="A81" s="428" t="s">
        <v>3441</v>
      </c>
      <c r="B81" s="429"/>
      <c r="C81" s="446" t="e">
        <v>#N/A</v>
      </c>
      <c r="D81" s="446" t="e">
        <v>#N/A</v>
      </c>
      <c r="E81" s="432">
        <v>6602.369827575113</v>
      </c>
      <c r="F81" s="447">
        <f t="shared" si="10"/>
        <v>6438.7495209725548</v>
      </c>
      <c r="G81" s="447">
        <f t="shared" si="10"/>
        <v>6284.5810055993024</v>
      </c>
      <c r="H81" s="447">
        <f t="shared" si="10"/>
        <v>6133.7382539485088</v>
      </c>
      <c r="I81" s="447">
        <f t="shared" si="10"/>
        <v>5986.5160357438299</v>
      </c>
      <c r="J81" s="447">
        <f t="shared" si="10"/>
        <v>5842.827450804175</v>
      </c>
      <c r="K81" s="447">
        <f t="shared" si="10"/>
        <v>5702.5876847298978</v>
      </c>
      <c r="L81" s="448">
        <f t="shared" si="11"/>
        <v>5702.5876847298978</v>
      </c>
      <c r="M81" s="449" t="str">
        <f t="shared" si="12"/>
        <v/>
      </c>
      <c r="N81" s="251" t="str">
        <f t="shared" si="13"/>
        <v/>
      </c>
      <c r="O81" s="251" t="str">
        <f t="shared" si="14"/>
        <v/>
      </c>
      <c r="P81" s="251" t="str">
        <f t="shared" si="15"/>
        <v/>
      </c>
      <c r="Q81" s="450" t="str">
        <f t="shared" si="16"/>
        <v/>
      </c>
    </row>
    <row r="82" spans="1:17">
      <c r="A82" s="428" t="s">
        <v>3442</v>
      </c>
      <c r="B82" s="429"/>
      <c r="C82" s="446" t="e">
        <v>#N/A</v>
      </c>
      <c r="D82" s="446" t="e">
        <v>#N/A</v>
      </c>
      <c r="E82" s="432">
        <v>738628.36710573942</v>
      </c>
      <c r="F82" s="447">
        <f t="shared" si="10"/>
        <v>720323.63667600299</v>
      </c>
      <c r="G82" s="447">
        <f t="shared" si="10"/>
        <v>703076.30855850421</v>
      </c>
      <c r="H82" s="447">
        <f t="shared" si="10"/>
        <v>686201.04433500906</v>
      </c>
      <c r="I82" s="447">
        <f t="shared" si="10"/>
        <v>669730.8208434321</v>
      </c>
      <c r="J82" s="447">
        <f t="shared" si="10"/>
        <v>653655.91628076357</v>
      </c>
      <c r="K82" s="447">
        <f t="shared" si="10"/>
        <v>637966.8421870789</v>
      </c>
      <c r="L82" s="448">
        <f t="shared" si="11"/>
        <v>637966.8421870789</v>
      </c>
      <c r="M82" s="449" t="str">
        <f t="shared" si="12"/>
        <v/>
      </c>
      <c r="N82" s="251" t="str">
        <f t="shared" si="13"/>
        <v/>
      </c>
      <c r="O82" s="251" t="str">
        <f t="shared" si="14"/>
        <v/>
      </c>
      <c r="P82" s="251" t="str">
        <f t="shared" si="15"/>
        <v/>
      </c>
      <c r="Q82" s="450" t="str">
        <f t="shared" si="16"/>
        <v/>
      </c>
    </row>
    <row r="83" spans="1:17">
      <c r="A83" s="428" t="s">
        <v>3443</v>
      </c>
      <c r="B83" s="429"/>
      <c r="C83" s="446">
        <v>69</v>
      </c>
      <c r="D83" s="446" t="s">
        <v>2498</v>
      </c>
      <c r="E83" s="432">
        <v>629504.22904774826</v>
      </c>
      <c r="F83" s="447">
        <f t="shared" si="10"/>
        <v>613903.81924728293</v>
      </c>
      <c r="G83" s="447">
        <f t="shared" si="10"/>
        <v>599204.59231089673</v>
      </c>
      <c r="H83" s="447">
        <f t="shared" si="10"/>
        <v>584822.46096030436</v>
      </c>
      <c r="I83" s="447">
        <f t="shared" si="10"/>
        <v>570785.53007185785</v>
      </c>
      <c r="J83" s="447">
        <f t="shared" si="10"/>
        <v>557085.51413097256</v>
      </c>
      <c r="K83" s="447">
        <f t="shared" si="10"/>
        <v>543714.32649229886</v>
      </c>
      <c r="L83" s="448" t="str">
        <f t="shared" si="11"/>
        <v/>
      </c>
      <c r="M83" s="449" t="str">
        <f t="shared" si="12"/>
        <v/>
      </c>
      <c r="N83" s="251" t="str">
        <f t="shared" si="13"/>
        <v/>
      </c>
      <c r="O83" s="251" t="str">
        <f t="shared" si="14"/>
        <v/>
      </c>
      <c r="P83" s="251">
        <f t="shared" si="15"/>
        <v>543714.32649229886</v>
      </c>
      <c r="Q83" s="450" t="str">
        <f t="shared" si="16"/>
        <v/>
      </c>
    </row>
    <row r="84" spans="1:17">
      <c r="A84" s="428" t="s">
        <v>3444</v>
      </c>
      <c r="B84" s="429"/>
      <c r="C84" s="446">
        <v>69</v>
      </c>
      <c r="D84" s="446" t="s">
        <v>2498</v>
      </c>
      <c r="E84" s="432">
        <v>322340.62086028006</v>
      </c>
      <c r="F84" s="447">
        <f t="shared" si="10"/>
        <v>314352.35716209392</v>
      </c>
      <c r="G84" s="447">
        <f t="shared" si="10"/>
        <v>306825.54841609346</v>
      </c>
      <c r="H84" s="447">
        <f t="shared" si="10"/>
        <v>299461.10996608197</v>
      </c>
      <c r="I84" s="447">
        <f t="shared" si="10"/>
        <v>292273.43304705771</v>
      </c>
      <c r="J84" s="447">
        <f t="shared" si="10"/>
        <v>285258.27502204984</v>
      </c>
      <c r="K84" s="447">
        <f t="shared" si="10"/>
        <v>278411.49508602108</v>
      </c>
      <c r="L84" s="448" t="str">
        <f t="shared" si="11"/>
        <v/>
      </c>
      <c r="M84" s="449" t="str">
        <f t="shared" si="12"/>
        <v/>
      </c>
      <c r="N84" s="251" t="str">
        <f t="shared" si="13"/>
        <v/>
      </c>
      <c r="O84" s="251" t="str">
        <f t="shared" si="14"/>
        <v/>
      </c>
      <c r="P84" s="251">
        <f t="shared" si="15"/>
        <v>278411.49508602108</v>
      </c>
      <c r="Q84" s="450" t="str">
        <f t="shared" si="16"/>
        <v/>
      </c>
    </row>
    <row r="85" spans="1:17">
      <c r="A85" s="428" t="s">
        <v>3445</v>
      </c>
      <c r="B85" s="429"/>
      <c r="C85" s="446">
        <v>69</v>
      </c>
      <c r="D85" s="446" t="s">
        <v>2498</v>
      </c>
      <c r="E85" s="432">
        <v>1437103.0381754085</v>
      </c>
      <c r="F85" s="447">
        <f t="shared" si="10"/>
        <v>1401488.6685071634</v>
      </c>
      <c r="G85" s="447">
        <f t="shared" si="10"/>
        <v>1367931.6204138326</v>
      </c>
      <c r="H85" s="447">
        <f t="shared" si="10"/>
        <v>1335098.4737793142</v>
      </c>
      <c r="I85" s="447">
        <f t="shared" si="10"/>
        <v>1303053.3895755757</v>
      </c>
      <c r="J85" s="447">
        <f t="shared" si="10"/>
        <v>1271777.4526982645</v>
      </c>
      <c r="K85" s="447">
        <f t="shared" si="10"/>
        <v>1241252.2020440805</v>
      </c>
      <c r="L85" s="448" t="str">
        <f t="shared" si="11"/>
        <v/>
      </c>
      <c r="M85" s="449" t="str">
        <f t="shared" si="12"/>
        <v/>
      </c>
      <c r="N85" s="251" t="str">
        <f t="shared" si="13"/>
        <v/>
      </c>
      <c r="O85" s="251" t="str">
        <f t="shared" si="14"/>
        <v/>
      </c>
      <c r="P85" s="251">
        <f t="shared" si="15"/>
        <v>1241252.2020440805</v>
      </c>
      <c r="Q85" s="450" t="str">
        <f t="shared" si="16"/>
        <v/>
      </c>
    </row>
    <row r="86" spans="1:17">
      <c r="A86" s="428" t="s">
        <v>3446</v>
      </c>
      <c r="B86" s="429"/>
      <c r="C86" s="446" t="e">
        <v>#N/A</v>
      </c>
      <c r="D86" s="446" t="e">
        <v>#N/A</v>
      </c>
      <c r="E86" s="432">
        <v>22440.350444440483</v>
      </c>
      <c r="F86" s="447">
        <f t="shared" si="10"/>
        <v>21884.232396546045</v>
      </c>
      <c r="G86" s="447">
        <f t="shared" si="10"/>
        <v>21360.239405722397</v>
      </c>
      <c r="H86" s="447">
        <f t="shared" si="10"/>
        <v>20847.550129379524</v>
      </c>
      <c r="I86" s="447">
        <f t="shared" si="10"/>
        <v>20347.166440492125</v>
      </c>
      <c r="J86" s="447">
        <f t="shared" si="10"/>
        <v>19858.792979883383</v>
      </c>
      <c r="K86" s="447">
        <f t="shared" si="10"/>
        <v>19382.141477598641</v>
      </c>
      <c r="L86" s="448">
        <f t="shared" si="11"/>
        <v>19382.141477598641</v>
      </c>
      <c r="M86" s="449" t="str">
        <f t="shared" si="12"/>
        <v/>
      </c>
      <c r="N86" s="251" t="str">
        <f t="shared" si="13"/>
        <v/>
      </c>
      <c r="O86" s="251" t="str">
        <f t="shared" si="14"/>
        <v/>
      </c>
      <c r="P86" s="251" t="str">
        <f t="shared" si="15"/>
        <v/>
      </c>
      <c r="Q86" s="450" t="str">
        <f t="shared" si="16"/>
        <v/>
      </c>
    </row>
    <row r="87" spans="1:17">
      <c r="A87" s="428" t="s">
        <v>3447</v>
      </c>
      <c r="B87" s="429"/>
      <c r="C87" s="446" t="e">
        <v>#N/A</v>
      </c>
      <c r="D87" s="446" t="e">
        <v>#N/A</v>
      </c>
      <c r="E87" s="432">
        <v>35291.325605382444</v>
      </c>
      <c r="F87" s="447">
        <f t="shared" si="10"/>
        <v>34416.733956207259</v>
      </c>
      <c r="G87" s="447">
        <f t="shared" si="10"/>
        <v>33592.664505960463</v>
      </c>
      <c r="H87" s="447">
        <f t="shared" si="10"/>
        <v>32786.372098424254</v>
      </c>
      <c r="I87" s="447">
        <f t="shared" si="10"/>
        <v>31999.432351833861</v>
      </c>
      <c r="J87" s="447">
        <f t="shared" si="10"/>
        <v>31231.380762887282</v>
      </c>
      <c r="K87" s="447">
        <f t="shared" si="10"/>
        <v>30481.763977308383</v>
      </c>
      <c r="L87" s="448">
        <f t="shared" si="11"/>
        <v>30481.763977308383</v>
      </c>
      <c r="M87" s="449" t="str">
        <f t="shared" si="12"/>
        <v/>
      </c>
      <c r="N87" s="251" t="str">
        <f t="shared" si="13"/>
        <v/>
      </c>
      <c r="O87" s="251" t="str">
        <f t="shared" si="14"/>
        <v/>
      </c>
      <c r="P87" s="251" t="str">
        <f t="shared" si="15"/>
        <v/>
      </c>
      <c r="Q87" s="450" t="str">
        <f t="shared" si="16"/>
        <v/>
      </c>
    </row>
    <row r="88" spans="1:17">
      <c r="A88" s="428" t="s">
        <v>3448</v>
      </c>
      <c r="B88" s="429"/>
      <c r="C88" s="446" t="e">
        <v>#N/A</v>
      </c>
      <c r="D88" s="446" t="e">
        <v>#N/A</v>
      </c>
      <c r="E88" s="432">
        <v>20861.967829675101</v>
      </c>
      <c r="F88" s="447">
        <f t="shared" si="10"/>
        <v>20344.965349994589</v>
      </c>
      <c r="G88" s="447">
        <f t="shared" si="10"/>
        <v>19857.828353422126</v>
      </c>
      <c r="H88" s="447">
        <f t="shared" si="10"/>
        <v>19381.200004138293</v>
      </c>
      <c r="I88" s="447">
        <f t="shared" si="10"/>
        <v>18916.011706570986</v>
      </c>
      <c r="J88" s="447">
        <f t="shared" si="10"/>
        <v>18461.988876165018</v>
      </c>
      <c r="K88" s="447">
        <f t="shared" si="10"/>
        <v>18018.863518954109</v>
      </c>
      <c r="L88" s="448">
        <f t="shared" si="11"/>
        <v>18018.863518954109</v>
      </c>
      <c r="M88" s="449" t="str">
        <f t="shared" si="12"/>
        <v/>
      </c>
      <c r="N88" s="251" t="str">
        <f t="shared" si="13"/>
        <v/>
      </c>
      <c r="O88" s="251" t="str">
        <f t="shared" si="14"/>
        <v/>
      </c>
      <c r="P88" s="251" t="str">
        <f t="shared" si="15"/>
        <v/>
      </c>
      <c r="Q88" s="450" t="str">
        <f t="shared" si="16"/>
        <v/>
      </c>
    </row>
    <row r="89" spans="1:17">
      <c r="A89" s="428" t="s">
        <v>3449</v>
      </c>
      <c r="B89" s="429"/>
      <c r="C89" s="446" t="e">
        <v>#N/A</v>
      </c>
      <c r="D89" s="446" t="e">
        <v>#N/A</v>
      </c>
      <c r="E89" s="432">
        <v>7726.401189399814</v>
      </c>
      <c r="F89" s="447">
        <f t="shared" si="10"/>
        <v>7534.9250733143454</v>
      </c>
      <c r="G89" s="447">
        <f t="shared" si="10"/>
        <v>7354.5098842752623</v>
      </c>
      <c r="H89" s="447">
        <f t="shared" si="10"/>
        <v>7177.9866590994498</v>
      </c>
      <c r="I89" s="447">
        <f t="shared" si="10"/>
        <v>7005.7003510692793</v>
      </c>
      <c r="J89" s="447">
        <f t="shared" si="10"/>
        <v>6837.5492655387261</v>
      </c>
      <c r="K89" s="447">
        <f t="shared" si="10"/>
        <v>6673.434148740519</v>
      </c>
      <c r="L89" s="448">
        <f t="shared" si="11"/>
        <v>6673.434148740519</v>
      </c>
      <c r="M89" s="449" t="str">
        <f t="shared" si="12"/>
        <v/>
      </c>
      <c r="N89" s="251" t="str">
        <f t="shared" si="13"/>
        <v/>
      </c>
      <c r="O89" s="251" t="str">
        <f t="shared" si="14"/>
        <v/>
      </c>
      <c r="P89" s="251" t="str">
        <f t="shared" si="15"/>
        <v/>
      </c>
      <c r="Q89" s="450" t="str">
        <f t="shared" si="16"/>
        <v/>
      </c>
    </row>
    <row r="90" spans="1:17">
      <c r="A90" s="428" t="s">
        <v>3450</v>
      </c>
      <c r="B90" s="429"/>
      <c r="C90" s="446" t="e">
        <v>#N/A</v>
      </c>
      <c r="D90" s="446" t="e">
        <v>#N/A</v>
      </c>
      <c r="E90" s="432">
        <v>55592.560852912284</v>
      </c>
      <c r="F90" s="447">
        <f t="shared" si="10"/>
        <v>54214.862830971026</v>
      </c>
      <c r="G90" s="447">
        <f t="shared" si="10"/>
        <v>52916.749760010491</v>
      </c>
      <c r="H90" s="447">
        <f t="shared" si="10"/>
        <v>51646.639925304771</v>
      </c>
      <c r="I90" s="447">
        <f t="shared" si="10"/>
        <v>50407.015315022938</v>
      </c>
      <c r="J90" s="447">
        <f t="shared" si="10"/>
        <v>49197.144221652146</v>
      </c>
      <c r="K90" s="447">
        <f t="shared" si="10"/>
        <v>48016.312500151049</v>
      </c>
      <c r="L90" s="448">
        <f t="shared" si="11"/>
        <v>48016.312500151049</v>
      </c>
      <c r="M90" s="449" t="str">
        <f t="shared" si="12"/>
        <v/>
      </c>
      <c r="N90" s="251" t="str">
        <f t="shared" si="13"/>
        <v/>
      </c>
      <c r="O90" s="251" t="str">
        <f t="shared" si="14"/>
        <v/>
      </c>
      <c r="P90" s="251" t="str">
        <f t="shared" si="15"/>
        <v/>
      </c>
      <c r="Q90" s="450" t="str">
        <f t="shared" si="16"/>
        <v/>
      </c>
    </row>
    <row r="91" spans="1:17">
      <c r="A91" s="428" t="s">
        <v>3451</v>
      </c>
      <c r="B91" s="429"/>
      <c r="C91" s="446" t="e">
        <v>#N/A</v>
      </c>
      <c r="D91" s="446" t="e">
        <v>#N/A</v>
      </c>
      <c r="E91" s="432">
        <v>23549.471933396984</v>
      </c>
      <c r="F91" s="447">
        <f t="shared" si="10"/>
        <v>22965.867573341631</v>
      </c>
      <c r="G91" s="447">
        <f t="shared" si="10"/>
        <v>22415.976061564666</v>
      </c>
      <c r="H91" s="447">
        <f t="shared" si="10"/>
        <v>21877.946953967494</v>
      </c>
      <c r="I91" s="447">
        <f t="shared" si="10"/>
        <v>21352.831641416626</v>
      </c>
      <c r="J91" s="447">
        <f t="shared" si="10"/>
        <v>20840.320166513571</v>
      </c>
      <c r="K91" s="447">
        <f t="shared" si="10"/>
        <v>20340.110011469093</v>
      </c>
      <c r="L91" s="448">
        <f t="shared" si="11"/>
        <v>20340.110011469093</v>
      </c>
      <c r="M91" s="449" t="str">
        <f t="shared" si="12"/>
        <v/>
      </c>
      <c r="N91" s="251" t="str">
        <f t="shared" si="13"/>
        <v/>
      </c>
      <c r="O91" s="251" t="str">
        <f t="shared" si="14"/>
        <v/>
      </c>
      <c r="P91" s="251" t="str">
        <f t="shared" si="15"/>
        <v/>
      </c>
      <c r="Q91" s="450" t="str">
        <f t="shared" si="16"/>
        <v/>
      </c>
    </row>
    <row r="92" spans="1:17">
      <c r="A92" s="428" t="s">
        <v>3452</v>
      </c>
      <c r="B92" s="429"/>
      <c r="C92" s="446" t="e">
        <v>#N/A</v>
      </c>
      <c r="D92" s="446" t="e">
        <v>#N/A</v>
      </c>
      <c r="E92" s="432">
        <v>353.31637670685859</v>
      </c>
      <c r="F92" s="447">
        <f t="shared" si="10"/>
        <v>344.5604700560321</v>
      </c>
      <c r="G92" s="447">
        <f t="shared" si="10"/>
        <v>336.31036249216078</v>
      </c>
      <c r="H92" s="447">
        <f t="shared" si="10"/>
        <v>328.23822841642925</v>
      </c>
      <c r="I92" s="447">
        <f t="shared" si="10"/>
        <v>320.35984200893409</v>
      </c>
      <c r="J92" s="447">
        <f t="shared" si="10"/>
        <v>312.67055293079409</v>
      </c>
      <c r="K92" s="447">
        <f t="shared" si="10"/>
        <v>305.16582246073813</v>
      </c>
      <c r="L92" s="448">
        <f t="shared" si="11"/>
        <v>305.16582246073813</v>
      </c>
      <c r="M92" s="449" t="str">
        <f t="shared" si="12"/>
        <v/>
      </c>
      <c r="N92" s="251" t="str">
        <f t="shared" si="13"/>
        <v/>
      </c>
      <c r="O92" s="251" t="str">
        <f t="shared" si="14"/>
        <v/>
      </c>
      <c r="P92" s="251" t="str">
        <f t="shared" si="15"/>
        <v/>
      </c>
      <c r="Q92" s="450" t="str">
        <f t="shared" si="16"/>
        <v/>
      </c>
    </row>
    <row r="93" spans="1:17">
      <c r="A93" s="428" t="s">
        <v>3453</v>
      </c>
      <c r="B93" s="429"/>
      <c r="C93" s="446" t="e">
        <v>#N/A</v>
      </c>
      <c r="D93" s="446" t="e">
        <v>#N/A</v>
      </c>
      <c r="E93" s="432">
        <v>7326.738493175877</v>
      </c>
      <c r="F93" s="447">
        <f t="shared" si="10"/>
        <v>7145.1668408816749</v>
      </c>
      <c r="G93" s="447">
        <f t="shared" si="10"/>
        <v>6974.0839682889646</v>
      </c>
      <c r="H93" s="447">
        <f t="shared" si="10"/>
        <v>6806.691740377014</v>
      </c>
      <c r="I93" s="447">
        <f t="shared" si="10"/>
        <v>6643.3172670680678</v>
      </c>
      <c r="J93" s="447">
        <f t="shared" si="10"/>
        <v>6483.8641140637637</v>
      </c>
      <c r="K93" s="447">
        <f t="shared" si="10"/>
        <v>6328.2381616854245</v>
      </c>
      <c r="L93" s="448">
        <f t="shared" si="11"/>
        <v>6328.2381616854245</v>
      </c>
      <c r="M93" s="449" t="str">
        <f t="shared" si="12"/>
        <v/>
      </c>
      <c r="N93" s="251" t="str">
        <f t="shared" si="13"/>
        <v/>
      </c>
      <c r="O93" s="251" t="str">
        <f t="shared" si="14"/>
        <v/>
      </c>
      <c r="P93" s="251" t="str">
        <f t="shared" si="15"/>
        <v/>
      </c>
      <c r="Q93" s="450" t="str">
        <f t="shared" si="16"/>
        <v/>
      </c>
    </row>
    <row r="94" spans="1:17">
      <c r="A94" s="428" t="s">
        <v>3454</v>
      </c>
      <c r="B94" s="429"/>
      <c r="C94" s="446" t="e">
        <v>#N/A</v>
      </c>
      <c r="D94" s="446" t="e">
        <v>#N/A</v>
      </c>
      <c r="E94" s="432">
        <v>34128.950349754894</v>
      </c>
      <c r="F94" s="447">
        <f t="shared" si="10"/>
        <v>33283.164750631418</v>
      </c>
      <c r="G94" s="447">
        <f t="shared" si="10"/>
        <v>32486.237322438315</v>
      </c>
      <c r="H94" s="447">
        <f t="shared" si="10"/>
        <v>31706.501422124307</v>
      </c>
      <c r="I94" s="447">
        <f t="shared" si="10"/>
        <v>30945.480772462568</v>
      </c>
      <c r="J94" s="447">
        <f t="shared" si="10"/>
        <v>30202.72616929713</v>
      </c>
      <c r="K94" s="447">
        <f t="shared" si="10"/>
        <v>29477.799190287213</v>
      </c>
      <c r="L94" s="448">
        <f t="shared" si="11"/>
        <v>29477.799190287213</v>
      </c>
      <c r="M94" s="449" t="str">
        <f t="shared" si="12"/>
        <v/>
      </c>
      <c r="N94" s="251" t="str">
        <f t="shared" si="13"/>
        <v/>
      </c>
      <c r="O94" s="251" t="str">
        <f t="shared" si="14"/>
        <v/>
      </c>
      <c r="P94" s="251" t="str">
        <f t="shared" si="15"/>
        <v/>
      </c>
      <c r="Q94" s="450" t="str">
        <f t="shared" si="16"/>
        <v/>
      </c>
    </row>
    <row r="95" spans="1:17">
      <c r="A95" s="428" t="s">
        <v>3455</v>
      </c>
      <c r="B95" s="429"/>
      <c r="C95" s="446" t="e">
        <v>#N/A</v>
      </c>
      <c r="D95" s="446" t="e">
        <v>#N/A</v>
      </c>
      <c r="E95" s="432">
        <v>99552.09342225283</v>
      </c>
      <c r="F95" s="447">
        <f t="shared" si="10"/>
        <v>97084.987750491637</v>
      </c>
      <c r="G95" s="447">
        <f t="shared" si="10"/>
        <v>94760.398421807375</v>
      </c>
      <c r="H95" s="447">
        <f t="shared" si="10"/>
        <v>92485.955744923165</v>
      </c>
      <c r="I95" s="447">
        <f t="shared" si="10"/>
        <v>90266.104327432011</v>
      </c>
      <c r="J95" s="447">
        <f t="shared" si="10"/>
        <v>88099.53386785544</v>
      </c>
      <c r="K95" s="447">
        <f t="shared" si="10"/>
        <v>85984.965514620839</v>
      </c>
      <c r="L95" s="448">
        <f t="shared" si="11"/>
        <v>85984.965514620839</v>
      </c>
      <c r="M95" s="449" t="str">
        <f t="shared" si="12"/>
        <v/>
      </c>
      <c r="N95" s="251" t="str">
        <f t="shared" si="13"/>
        <v/>
      </c>
      <c r="O95" s="251" t="str">
        <f t="shared" si="14"/>
        <v/>
      </c>
      <c r="P95" s="251" t="str">
        <f t="shared" si="15"/>
        <v/>
      </c>
      <c r="Q95" s="450" t="str">
        <f t="shared" si="16"/>
        <v/>
      </c>
    </row>
    <row r="96" spans="1:17">
      <c r="A96" s="428" t="s">
        <v>3456</v>
      </c>
      <c r="B96" s="429"/>
      <c r="C96" s="446" t="e">
        <v>#N/A</v>
      </c>
      <c r="D96" s="446" t="e">
        <v>#N/A</v>
      </c>
      <c r="E96" s="432">
        <v>9621.7248457993683</v>
      </c>
      <c r="F96" s="447">
        <f t="shared" si="10"/>
        <v>9383.2787104829313</v>
      </c>
      <c r="G96" s="447">
        <f t="shared" si="10"/>
        <v>9158.6068012221858</v>
      </c>
      <c r="H96" s="447">
        <f t="shared" si="10"/>
        <v>8938.7815734220894</v>
      </c>
      <c r="I96" s="447">
        <f t="shared" si="10"/>
        <v>8724.2325990769332</v>
      </c>
      <c r="J96" s="447">
        <f t="shared" si="10"/>
        <v>8514.8332373511748</v>
      </c>
      <c r="K96" s="447">
        <f t="shared" si="10"/>
        <v>8310.4598870474183</v>
      </c>
      <c r="L96" s="448">
        <f t="shared" si="11"/>
        <v>8310.4598870474183</v>
      </c>
      <c r="M96" s="449" t="str">
        <f t="shared" si="12"/>
        <v/>
      </c>
      <c r="N96" s="251" t="str">
        <f t="shared" si="13"/>
        <v/>
      </c>
      <c r="O96" s="251" t="str">
        <f t="shared" si="14"/>
        <v/>
      </c>
      <c r="P96" s="251" t="str">
        <f t="shared" si="15"/>
        <v/>
      </c>
      <c r="Q96" s="450" t="str">
        <f t="shared" si="16"/>
        <v/>
      </c>
    </row>
    <row r="97" spans="1:17">
      <c r="A97" s="428" t="s">
        <v>3457</v>
      </c>
      <c r="B97" s="429"/>
      <c r="C97" s="446" t="e">
        <v>#N/A</v>
      </c>
      <c r="D97" s="446" t="e">
        <v>#N/A</v>
      </c>
      <c r="E97" s="432">
        <v>11890.95136330971</v>
      </c>
      <c r="F97" s="447">
        <f t="shared" si="10"/>
        <v>11596.269126677806</v>
      </c>
      <c r="G97" s="447">
        <f t="shared" si="10"/>
        <v>11318.60968530563</v>
      </c>
      <c r="H97" s="447">
        <f t="shared" si="10"/>
        <v>11046.939986359645</v>
      </c>
      <c r="I97" s="447">
        <f t="shared" si="10"/>
        <v>10781.790913831339</v>
      </c>
      <c r="J97" s="447">
        <f t="shared" si="10"/>
        <v>10523.005959398128</v>
      </c>
      <c r="K97" s="447">
        <f t="shared" si="10"/>
        <v>10270.432371256122</v>
      </c>
      <c r="L97" s="448">
        <f t="shared" si="11"/>
        <v>10270.432371256122</v>
      </c>
      <c r="M97" s="449" t="str">
        <f t="shared" si="12"/>
        <v/>
      </c>
      <c r="N97" s="251" t="str">
        <f t="shared" si="13"/>
        <v/>
      </c>
      <c r="O97" s="251" t="str">
        <f t="shared" si="14"/>
        <v/>
      </c>
      <c r="P97" s="251" t="str">
        <f t="shared" si="15"/>
        <v/>
      </c>
      <c r="Q97" s="450" t="str">
        <f t="shared" si="16"/>
        <v/>
      </c>
    </row>
    <row r="98" spans="1:17">
      <c r="A98" s="428" t="s">
        <v>3458</v>
      </c>
      <c r="B98" s="429"/>
      <c r="C98" s="446" t="e">
        <v>#N/A</v>
      </c>
      <c r="D98" s="446" t="e">
        <v>#N/A</v>
      </c>
      <c r="E98" s="432">
        <v>85362.659506302254</v>
      </c>
      <c r="F98" s="447">
        <f t="shared" si="10"/>
        <v>83247.197197223955</v>
      </c>
      <c r="G98" s="447">
        <f t="shared" si="10"/>
        <v>81253.937984534175</v>
      </c>
      <c r="H98" s="447">
        <f t="shared" si="10"/>
        <v>79303.677883322991</v>
      </c>
      <c r="I98" s="447">
        <f t="shared" si="10"/>
        <v>77400.227999028299</v>
      </c>
      <c r="J98" s="447">
        <f t="shared" si="10"/>
        <v>75542.464791048318</v>
      </c>
      <c r="K98" s="447">
        <f t="shared" si="10"/>
        <v>73729.291686045399</v>
      </c>
      <c r="L98" s="448">
        <f t="shared" si="11"/>
        <v>73729.291686045399</v>
      </c>
      <c r="M98" s="449" t="str">
        <f t="shared" si="12"/>
        <v/>
      </c>
      <c r="N98" s="251" t="str">
        <f t="shared" si="13"/>
        <v/>
      </c>
      <c r="O98" s="251" t="str">
        <f t="shared" si="14"/>
        <v/>
      </c>
      <c r="P98" s="251" t="str">
        <f t="shared" si="15"/>
        <v/>
      </c>
      <c r="Q98" s="450" t="str">
        <f t="shared" si="16"/>
        <v/>
      </c>
    </row>
    <row r="99" spans="1:17">
      <c r="A99" s="428" t="s">
        <v>3459</v>
      </c>
      <c r="B99" s="429"/>
      <c r="C99" s="446" t="e">
        <v>#N/A</v>
      </c>
      <c r="D99" s="446" t="e">
        <v>#N/A</v>
      </c>
      <c r="E99" s="432">
        <v>12469.91790468914</v>
      </c>
      <c r="F99" s="447">
        <f t="shared" si="10"/>
        <v>12160.887686122403</v>
      </c>
      <c r="G99" s="447">
        <f t="shared" si="10"/>
        <v>11869.709097161363</v>
      </c>
      <c r="H99" s="447">
        <f t="shared" si="10"/>
        <v>11584.811889230548</v>
      </c>
      <c r="I99" s="447">
        <f t="shared" si="10"/>
        <v>11306.752794889746</v>
      </c>
      <c r="J99" s="447">
        <f t="shared" si="10"/>
        <v>11035.367685477217</v>
      </c>
      <c r="K99" s="447">
        <f t="shared" si="10"/>
        <v>10770.496371753592</v>
      </c>
      <c r="L99" s="448">
        <f t="shared" si="11"/>
        <v>10770.496371753592</v>
      </c>
      <c r="M99" s="449" t="str">
        <f t="shared" si="12"/>
        <v/>
      </c>
      <c r="N99" s="251" t="str">
        <f t="shared" si="13"/>
        <v/>
      </c>
      <c r="O99" s="251" t="str">
        <f t="shared" si="14"/>
        <v/>
      </c>
      <c r="P99" s="251" t="str">
        <f t="shared" si="15"/>
        <v/>
      </c>
      <c r="Q99" s="450" t="str">
        <f t="shared" si="16"/>
        <v/>
      </c>
    </row>
    <row r="100" spans="1:17">
      <c r="A100" s="428" t="s">
        <v>3460</v>
      </c>
      <c r="B100" s="429"/>
      <c r="C100" s="446" t="e">
        <v>#N/A</v>
      </c>
      <c r="D100" s="446" t="e">
        <v>#N/A</v>
      </c>
      <c r="E100" s="432">
        <v>28801.522736203704</v>
      </c>
      <c r="F100" s="447">
        <f t="shared" si="10"/>
        <v>28087.761752831317</v>
      </c>
      <c r="G100" s="447">
        <f t="shared" si="10"/>
        <v>27415.232325263591</v>
      </c>
      <c r="H100" s="447">
        <f t="shared" si="10"/>
        <v>26757.210879219045</v>
      </c>
      <c r="I100" s="447">
        <f t="shared" si="10"/>
        <v>26114.98328887915</v>
      </c>
      <c r="J100" s="447">
        <f t="shared" si="10"/>
        <v>25488.170469520261</v>
      </c>
      <c r="K100" s="447">
        <f t="shared" si="10"/>
        <v>24876.402435224663</v>
      </c>
      <c r="L100" s="448">
        <f t="shared" si="11"/>
        <v>24876.402435224663</v>
      </c>
      <c r="M100" s="449" t="str">
        <f t="shared" si="12"/>
        <v/>
      </c>
      <c r="N100" s="251" t="str">
        <f t="shared" si="13"/>
        <v/>
      </c>
      <c r="O100" s="251" t="str">
        <f t="shared" si="14"/>
        <v/>
      </c>
      <c r="P100" s="251" t="str">
        <f t="shared" si="15"/>
        <v/>
      </c>
      <c r="Q100" s="450" t="str">
        <f t="shared" si="16"/>
        <v/>
      </c>
    </row>
    <row r="101" spans="1:17">
      <c r="A101" s="428" t="s">
        <v>3461</v>
      </c>
      <c r="B101" s="429"/>
      <c r="C101" s="446" t="e">
        <v>#N/A</v>
      </c>
      <c r="D101" s="446" t="e">
        <v>#N/A</v>
      </c>
      <c r="E101" s="432">
        <v>2107.9065457016318</v>
      </c>
      <c r="F101" s="447">
        <f t="shared" si="10"/>
        <v>2055.6682851520995</v>
      </c>
      <c r="G101" s="447">
        <f t="shared" si="10"/>
        <v>2006.4476520789387</v>
      </c>
      <c r="H101" s="447">
        <f t="shared" si="10"/>
        <v>1958.2888194354889</v>
      </c>
      <c r="I101" s="447">
        <f t="shared" si="10"/>
        <v>1911.2858969196602</v>
      </c>
      <c r="J101" s="447">
        <f t="shared" si="10"/>
        <v>1865.4111403327297</v>
      </c>
      <c r="K101" s="447">
        <f t="shared" si="10"/>
        <v>1820.6374713932839</v>
      </c>
      <c r="L101" s="448">
        <f t="shared" si="11"/>
        <v>1820.6374713932839</v>
      </c>
      <c r="M101" s="449" t="str">
        <f t="shared" si="12"/>
        <v/>
      </c>
      <c r="N101" s="251" t="str">
        <f t="shared" si="13"/>
        <v/>
      </c>
      <c r="O101" s="251" t="str">
        <f t="shared" si="14"/>
        <v/>
      </c>
      <c r="P101" s="251" t="str">
        <f t="shared" si="15"/>
        <v/>
      </c>
      <c r="Q101" s="450" t="str">
        <f t="shared" si="16"/>
        <v/>
      </c>
    </row>
    <row r="102" spans="1:17">
      <c r="A102" s="428" t="s">
        <v>3462</v>
      </c>
      <c r="B102" s="429"/>
      <c r="C102" s="446" t="e">
        <v>#N/A</v>
      </c>
      <c r="D102" s="446" t="e">
        <v>#N/A</v>
      </c>
      <c r="E102" s="432">
        <v>52579.316281143423</v>
      </c>
      <c r="F102" s="447">
        <f t="shared" si="10"/>
        <v>51276.292658482584</v>
      </c>
      <c r="G102" s="447">
        <f t="shared" si="10"/>
        <v>50048.540299541834</v>
      </c>
      <c r="H102" s="447">
        <f t="shared" si="10"/>
        <v>48847.273337088445</v>
      </c>
      <c r="I102" s="447">
        <f t="shared" si="10"/>
        <v>47674.839229828154</v>
      </c>
      <c r="J102" s="447">
        <f t="shared" si="10"/>
        <v>46530.545930477056</v>
      </c>
      <c r="K102" s="447">
        <f t="shared" si="10"/>
        <v>45413.718002296431</v>
      </c>
      <c r="L102" s="448">
        <f t="shared" si="11"/>
        <v>45413.718002296431</v>
      </c>
      <c r="M102" s="449" t="str">
        <f t="shared" si="12"/>
        <v/>
      </c>
      <c r="N102" s="251" t="str">
        <f t="shared" si="13"/>
        <v/>
      </c>
      <c r="O102" s="251" t="str">
        <f t="shared" si="14"/>
        <v/>
      </c>
      <c r="P102" s="251" t="str">
        <f t="shared" si="15"/>
        <v/>
      </c>
      <c r="Q102" s="450" t="str">
        <f t="shared" si="16"/>
        <v/>
      </c>
    </row>
    <row r="103" spans="1:17">
      <c r="A103" s="428" t="s">
        <v>3463</v>
      </c>
      <c r="B103" s="429"/>
      <c r="C103" s="446" t="e">
        <v>#N/A</v>
      </c>
      <c r="D103" s="446" t="e">
        <v>#N/A</v>
      </c>
      <c r="E103" s="432">
        <v>9090.5430163355832</v>
      </c>
      <c r="F103" s="447">
        <f t="shared" si="10"/>
        <v>8865.2606594908666</v>
      </c>
      <c r="G103" s="447">
        <f t="shared" si="10"/>
        <v>8652.9921017812048</v>
      </c>
      <c r="H103" s="447">
        <f t="shared" si="10"/>
        <v>8445.3026571734681</v>
      </c>
      <c r="I103" s="447">
        <f t="shared" si="10"/>
        <v>8242.5981824922128</v>
      </c>
      <c r="J103" s="447">
        <f t="shared" si="10"/>
        <v>8044.759028300201</v>
      </c>
      <c r="K103" s="447">
        <f t="shared" si="10"/>
        <v>7851.668416990522</v>
      </c>
      <c r="L103" s="448">
        <f t="shared" si="11"/>
        <v>7851.668416990522</v>
      </c>
      <c r="M103" s="449" t="str">
        <f t="shared" si="12"/>
        <v/>
      </c>
      <c r="N103" s="251" t="str">
        <f t="shared" si="13"/>
        <v/>
      </c>
      <c r="O103" s="251" t="str">
        <f t="shared" si="14"/>
        <v/>
      </c>
      <c r="P103" s="251" t="str">
        <f t="shared" si="15"/>
        <v/>
      </c>
      <c r="Q103" s="450" t="str">
        <f t="shared" si="16"/>
        <v/>
      </c>
    </row>
    <row r="104" spans="1:17">
      <c r="A104" s="428" t="s">
        <v>3464</v>
      </c>
      <c r="B104" s="429"/>
      <c r="C104" s="446" t="e">
        <v>#N/A</v>
      </c>
      <c r="D104" s="446" t="e">
        <v>#N/A</v>
      </c>
      <c r="E104" s="432">
        <v>27964.676446644335</v>
      </c>
      <c r="F104" s="447">
        <f t="shared" si="10"/>
        <v>27271.654235872211</v>
      </c>
      <c r="G104" s="447">
        <f t="shared" si="10"/>
        <v>26618.665572215974</v>
      </c>
      <c r="H104" s="447">
        <f t="shared" si="10"/>
        <v>25979.76335158935</v>
      </c>
      <c r="I104" s="447">
        <f t="shared" si="10"/>
        <v>25356.196086293759</v>
      </c>
      <c r="J104" s="447">
        <f t="shared" si="10"/>
        <v>24747.595706149743</v>
      </c>
      <c r="K104" s="447">
        <f t="shared" si="10"/>
        <v>24153.602975412236</v>
      </c>
      <c r="L104" s="448">
        <f t="shared" si="11"/>
        <v>24153.602975412236</v>
      </c>
      <c r="M104" s="449" t="str">
        <f t="shared" si="12"/>
        <v/>
      </c>
      <c r="N104" s="251" t="str">
        <f t="shared" si="13"/>
        <v/>
      </c>
      <c r="O104" s="251" t="str">
        <f t="shared" si="14"/>
        <v/>
      </c>
      <c r="P104" s="251" t="str">
        <f t="shared" si="15"/>
        <v/>
      </c>
      <c r="Q104" s="450" t="str">
        <f t="shared" si="16"/>
        <v/>
      </c>
    </row>
    <row r="105" spans="1:17">
      <c r="A105" s="428" t="s">
        <v>3465</v>
      </c>
      <c r="B105" s="429"/>
      <c r="C105" s="446" t="e">
        <v>#N/A</v>
      </c>
      <c r="D105" s="446" t="e">
        <v>#N/A</v>
      </c>
      <c r="E105" s="432">
        <v>9305.5528773701553</v>
      </c>
      <c r="F105" s="447">
        <f t="shared" si="10"/>
        <v>9074.9421338546217</v>
      </c>
      <c r="G105" s="447">
        <f t="shared" si="10"/>
        <v>8857.6529923346061</v>
      </c>
      <c r="H105" s="447">
        <f t="shared" si="10"/>
        <v>8645.0512692696611</v>
      </c>
      <c r="I105" s="447">
        <f t="shared" si="10"/>
        <v>8437.5524208250354</v>
      </c>
      <c r="J105" s="447">
        <f t="shared" si="10"/>
        <v>8235.0339676105577</v>
      </c>
      <c r="K105" s="447">
        <f t="shared" si="10"/>
        <v>8037.3763699910223</v>
      </c>
      <c r="L105" s="448">
        <f t="shared" si="11"/>
        <v>8037.3763699910223</v>
      </c>
      <c r="M105" s="449" t="str">
        <f t="shared" si="12"/>
        <v/>
      </c>
      <c r="N105" s="251" t="str">
        <f t="shared" si="13"/>
        <v/>
      </c>
      <c r="O105" s="251" t="str">
        <f t="shared" si="14"/>
        <v/>
      </c>
      <c r="P105" s="251" t="str">
        <f t="shared" si="15"/>
        <v/>
      </c>
      <c r="Q105" s="450" t="str">
        <f t="shared" si="16"/>
        <v/>
      </c>
    </row>
    <row r="106" spans="1:17">
      <c r="A106" s="428" t="s">
        <v>3466</v>
      </c>
      <c r="B106" s="429"/>
      <c r="C106" s="446" t="e">
        <v>#N/A</v>
      </c>
      <c r="D106" s="446" t="e">
        <v>#N/A</v>
      </c>
      <c r="E106" s="432">
        <v>14926.594124506662</v>
      </c>
      <c r="F106" s="447">
        <f t="shared" si="10"/>
        <v>14556.682415383166</v>
      </c>
      <c r="G106" s="447">
        <f t="shared" si="10"/>
        <v>14208.13925348042</v>
      </c>
      <c r="H106" s="447">
        <f t="shared" si="10"/>
        <v>13867.114956248332</v>
      </c>
      <c r="I106" s="447">
        <f t="shared" si="10"/>
        <v>13534.275937132388</v>
      </c>
      <c r="J106" s="447">
        <f t="shared" si="10"/>
        <v>13209.425732776803</v>
      </c>
      <c r="K106" s="447">
        <f t="shared" si="10"/>
        <v>12892.372595346706</v>
      </c>
      <c r="L106" s="448">
        <f t="shared" si="11"/>
        <v>12892.372595346706</v>
      </c>
      <c r="M106" s="449" t="str">
        <f t="shared" si="12"/>
        <v/>
      </c>
      <c r="N106" s="251" t="str">
        <f t="shared" si="13"/>
        <v/>
      </c>
      <c r="O106" s="251" t="str">
        <f t="shared" si="14"/>
        <v/>
      </c>
      <c r="P106" s="251" t="str">
        <f t="shared" si="15"/>
        <v/>
      </c>
      <c r="Q106" s="450" t="str">
        <f t="shared" si="16"/>
        <v/>
      </c>
    </row>
    <row r="107" spans="1:17">
      <c r="A107" s="428" t="s">
        <v>3467</v>
      </c>
      <c r="B107" s="429"/>
      <c r="C107" s="446" t="e">
        <v>#N/A</v>
      </c>
      <c r="D107" s="446" t="e">
        <v>#N/A</v>
      </c>
      <c r="E107" s="432">
        <v>12071.580680892721</v>
      </c>
      <c r="F107" s="447">
        <f t="shared" si="10"/>
        <v>11772.422078183759</v>
      </c>
      <c r="G107" s="447">
        <f t="shared" si="10"/>
        <v>11490.544855249522</v>
      </c>
      <c r="H107" s="447">
        <f t="shared" si="10"/>
        <v>11214.748361833583</v>
      </c>
      <c r="I107" s="447">
        <f t="shared" si="10"/>
        <v>10945.571546312707</v>
      </c>
      <c r="J107" s="447">
        <f t="shared" si="10"/>
        <v>10682.855522926995</v>
      </c>
      <c r="K107" s="447">
        <f t="shared" si="10"/>
        <v>10426.445219498577</v>
      </c>
      <c r="L107" s="448">
        <f t="shared" si="11"/>
        <v>10426.445219498577</v>
      </c>
      <c r="M107" s="449" t="str">
        <f t="shared" si="12"/>
        <v/>
      </c>
      <c r="N107" s="251" t="str">
        <f t="shared" si="13"/>
        <v/>
      </c>
      <c r="O107" s="251" t="str">
        <f t="shared" si="14"/>
        <v/>
      </c>
      <c r="P107" s="251" t="str">
        <f t="shared" si="15"/>
        <v/>
      </c>
      <c r="Q107" s="450" t="str">
        <f t="shared" si="16"/>
        <v/>
      </c>
    </row>
    <row r="108" spans="1:17">
      <c r="A108" s="428" t="s">
        <v>3468</v>
      </c>
      <c r="B108" s="429"/>
      <c r="C108" s="446" t="e">
        <v>#N/A</v>
      </c>
      <c r="D108" s="446" t="e">
        <v>#N/A</v>
      </c>
      <c r="E108" s="432">
        <v>194200.40254543864</v>
      </c>
      <c r="F108" s="447">
        <f t="shared" si="10"/>
        <v>189387.71706482311</v>
      </c>
      <c r="G108" s="447">
        <f t="shared" si="10"/>
        <v>184853.04413264742</v>
      </c>
      <c r="H108" s="447">
        <f t="shared" si="10"/>
        <v>180416.19435648082</v>
      </c>
      <c r="I108" s="447">
        <f t="shared" si="10"/>
        <v>176085.83801691758</v>
      </c>
      <c r="J108" s="447">
        <f t="shared" si="10"/>
        <v>171859.41905445329</v>
      </c>
      <c r="K108" s="447">
        <f t="shared" si="10"/>
        <v>167734.44276022087</v>
      </c>
      <c r="L108" s="448">
        <f t="shared" si="11"/>
        <v>167734.44276022087</v>
      </c>
      <c r="M108" s="449" t="str">
        <f t="shared" si="12"/>
        <v/>
      </c>
      <c r="N108" s="251" t="str">
        <f t="shared" si="13"/>
        <v/>
      </c>
      <c r="O108" s="251" t="str">
        <f t="shared" si="14"/>
        <v/>
      </c>
      <c r="P108" s="251" t="str">
        <f t="shared" si="15"/>
        <v/>
      </c>
      <c r="Q108" s="450" t="str">
        <f t="shared" si="16"/>
        <v/>
      </c>
    </row>
    <row r="109" spans="1:17">
      <c r="A109" s="428" t="s">
        <v>3469</v>
      </c>
      <c r="B109" s="429"/>
      <c r="C109" s="446" t="e">
        <v>#N/A</v>
      </c>
      <c r="D109" s="446" t="e">
        <v>#N/A</v>
      </c>
      <c r="E109" s="432">
        <v>9245.0176691560519</v>
      </c>
      <c r="F109" s="447">
        <f t="shared" si="10"/>
        <v>9015.9071126319941</v>
      </c>
      <c r="G109" s="447">
        <f t="shared" si="10"/>
        <v>8800.0314973793484</v>
      </c>
      <c r="H109" s="447">
        <f t="shared" si="10"/>
        <v>8588.8128076217236</v>
      </c>
      <c r="I109" s="447">
        <f t="shared" si="10"/>
        <v>8382.66379686652</v>
      </c>
      <c r="J109" s="447">
        <f t="shared" si="10"/>
        <v>8181.4627824860472</v>
      </c>
      <c r="K109" s="447">
        <f t="shared" si="10"/>
        <v>7985.0910024836567</v>
      </c>
      <c r="L109" s="448">
        <f t="shared" si="11"/>
        <v>7985.0910024836567</v>
      </c>
      <c r="M109" s="449" t="str">
        <f t="shared" si="12"/>
        <v/>
      </c>
      <c r="N109" s="251" t="str">
        <f t="shared" si="13"/>
        <v/>
      </c>
      <c r="O109" s="251" t="str">
        <f t="shared" si="14"/>
        <v/>
      </c>
      <c r="P109" s="251" t="str">
        <f t="shared" si="15"/>
        <v/>
      </c>
      <c r="Q109" s="450" t="str">
        <f t="shared" si="16"/>
        <v/>
      </c>
    </row>
    <row r="110" spans="1:17">
      <c r="A110" s="428" t="s">
        <v>3470</v>
      </c>
      <c r="B110" s="429"/>
      <c r="C110" s="446" t="e">
        <v>#N/A</v>
      </c>
      <c r="D110" s="446" t="e">
        <v>#N/A</v>
      </c>
      <c r="E110" s="432">
        <v>2257.1864181711398</v>
      </c>
      <c r="F110" s="447">
        <f t="shared" ref="F110:K152" si="17">+$E110*(F$3)</f>
        <v>2201.2486952859717</v>
      </c>
      <c r="G110" s="447">
        <f t="shared" si="17"/>
        <v>2148.5423052929832</v>
      </c>
      <c r="H110" s="447">
        <f t="shared" si="17"/>
        <v>2096.9729113938865</v>
      </c>
      <c r="I110" s="447">
        <f t="shared" si="17"/>
        <v>2046.6412880430209</v>
      </c>
      <c r="J110" s="447">
        <f t="shared" si="17"/>
        <v>1997.517726224743</v>
      </c>
      <c r="K110" s="447">
        <f t="shared" si="17"/>
        <v>1949.5732300003294</v>
      </c>
      <c r="L110" s="448">
        <f t="shared" si="11"/>
        <v>1949.5732300003294</v>
      </c>
      <c r="M110" s="449" t="str">
        <f t="shared" si="12"/>
        <v/>
      </c>
      <c r="N110" s="251" t="str">
        <f t="shared" si="13"/>
        <v/>
      </c>
      <c r="O110" s="251" t="str">
        <f t="shared" si="14"/>
        <v/>
      </c>
      <c r="P110" s="251" t="str">
        <f t="shared" si="15"/>
        <v/>
      </c>
      <c r="Q110" s="450" t="str">
        <f t="shared" si="16"/>
        <v/>
      </c>
    </row>
    <row r="111" spans="1:17">
      <c r="A111" s="428" t="s">
        <v>3471</v>
      </c>
      <c r="B111" s="429"/>
      <c r="C111" s="446" t="e">
        <v>#N/A</v>
      </c>
      <c r="D111" s="446" t="e">
        <v>#N/A</v>
      </c>
      <c r="E111" s="432">
        <v>2837.478966458887</v>
      </c>
      <c r="F111" s="447">
        <f t="shared" si="17"/>
        <v>2767.1604004598621</v>
      </c>
      <c r="G111" s="447">
        <f t="shared" si="17"/>
        <v>2700.9038999780551</v>
      </c>
      <c r="H111" s="447">
        <f t="shared" si="17"/>
        <v>2636.0767021339884</v>
      </c>
      <c r="I111" s="447">
        <f t="shared" si="17"/>
        <v>2572.805489151267</v>
      </c>
      <c r="J111" s="447">
        <f t="shared" si="17"/>
        <v>2511.0529142222354</v>
      </c>
      <c r="K111" s="447">
        <f t="shared" si="17"/>
        <v>2450.7825269387308</v>
      </c>
      <c r="L111" s="448">
        <f t="shared" si="11"/>
        <v>2450.7825269387308</v>
      </c>
      <c r="M111" s="449" t="str">
        <f t="shared" si="12"/>
        <v/>
      </c>
      <c r="N111" s="251" t="str">
        <f t="shared" si="13"/>
        <v/>
      </c>
      <c r="O111" s="251" t="str">
        <f t="shared" si="14"/>
        <v/>
      </c>
      <c r="P111" s="251" t="str">
        <f t="shared" si="15"/>
        <v/>
      </c>
      <c r="Q111" s="450" t="str">
        <f t="shared" si="16"/>
        <v/>
      </c>
    </row>
    <row r="112" spans="1:17">
      <c r="A112" s="428" t="s">
        <v>3472</v>
      </c>
      <c r="B112" s="429"/>
      <c r="C112" s="446" t="e">
        <v>#N/A</v>
      </c>
      <c r="D112" s="446" t="e">
        <v>#N/A</v>
      </c>
      <c r="E112" s="432">
        <v>550.86679804525238</v>
      </c>
      <c r="F112" s="447">
        <f t="shared" si="17"/>
        <v>537.21518555652312</v>
      </c>
      <c r="G112" s="447">
        <f t="shared" si="17"/>
        <v>524.35218050819105</v>
      </c>
      <c r="H112" s="447">
        <f t="shared" si="17"/>
        <v>511.76665958460381</v>
      </c>
      <c r="I112" s="447">
        <f t="shared" si="17"/>
        <v>499.4832168115538</v>
      </c>
      <c r="J112" s="447">
        <f t="shared" si="17"/>
        <v>487.49460169781486</v>
      </c>
      <c r="K112" s="447">
        <f t="shared" si="17"/>
        <v>475.79373777872632</v>
      </c>
      <c r="L112" s="448">
        <f t="shared" si="11"/>
        <v>475.79373777872632</v>
      </c>
      <c r="M112" s="449" t="str">
        <f t="shared" si="12"/>
        <v/>
      </c>
      <c r="N112" s="251" t="str">
        <f t="shared" si="13"/>
        <v/>
      </c>
      <c r="O112" s="251" t="str">
        <f t="shared" si="14"/>
        <v/>
      </c>
      <c r="P112" s="251" t="str">
        <f t="shared" si="15"/>
        <v/>
      </c>
      <c r="Q112" s="450" t="str">
        <f t="shared" si="16"/>
        <v/>
      </c>
    </row>
    <row r="113" spans="1:17">
      <c r="A113" s="428" t="s">
        <v>3473</v>
      </c>
      <c r="B113" s="429"/>
      <c r="C113" s="446" t="e">
        <v>#N/A</v>
      </c>
      <c r="D113" s="446" t="e">
        <v>#N/A</v>
      </c>
      <c r="E113" s="432">
        <v>422.27859581098414</v>
      </c>
      <c r="F113" s="447">
        <f t="shared" si="17"/>
        <v>411.81366350293331</v>
      </c>
      <c r="G113" s="447">
        <f t="shared" si="17"/>
        <v>401.95325490870709</v>
      </c>
      <c r="H113" s="447">
        <f t="shared" si="17"/>
        <v>392.30555763956511</v>
      </c>
      <c r="I113" s="447">
        <f t="shared" si="17"/>
        <v>382.88942476618388</v>
      </c>
      <c r="J113" s="447">
        <f t="shared" si="17"/>
        <v>373.69929827115391</v>
      </c>
      <c r="K113" s="447">
        <f t="shared" si="17"/>
        <v>364.72975354081018</v>
      </c>
      <c r="L113" s="448">
        <f t="shared" si="11"/>
        <v>364.72975354081018</v>
      </c>
      <c r="M113" s="449" t="str">
        <f t="shared" si="12"/>
        <v/>
      </c>
      <c r="N113" s="251" t="str">
        <f t="shared" si="13"/>
        <v/>
      </c>
      <c r="O113" s="251" t="str">
        <f t="shared" si="14"/>
        <v/>
      </c>
      <c r="P113" s="251" t="str">
        <f t="shared" si="15"/>
        <v/>
      </c>
      <c r="Q113" s="450" t="str">
        <f t="shared" si="16"/>
        <v/>
      </c>
    </row>
    <row r="114" spans="1:17">
      <c r="A114" s="428" t="s">
        <v>3474</v>
      </c>
      <c r="B114" s="429"/>
      <c r="C114" s="446" t="e">
        <v>#N/A</v>
      </c>
      <c r="D114" s="446" t="e">
        <v>#N/A</v>
      </c>
      <c r="E114" s="432">
        <v>11287.695054824908</v>
      </c>
      <c r="F114" s="447">
        <f t="shared" si="17"/>
        <v>11007.962750525174</v>
      </c>
      <c r="G114" s="447">
        <f t="shared" si="17"/>
        <v>10744.389634502453</v>
      </c>
      <c r="H114" s="447">
        <f t="shared" si="17"/>
        <v>10486.502386994207</v>
      </c>
      <c r="I114" s="447">
        <f t="shared" si="17"/>
        <v>10234.804958981505</v>
      </c>
      <c r="J114" s="447">
        <f t="shared" si="17"/>
        <v>9989.1487821820592</v>
      </c>
      <c r="K114" s="447">
        <f t="shared" si="17"/>
        <v>9749.3888542551176</v>
      </c>
      <c r="L114" s="448">
        <f t="shared" si="11"/>
        <v>9749.3888542551176</v>
      </c>
      <c r="M114" s="449" t="str">
        <f t="shared" si="12"/>
        <v/>
      </c>
      <c r="N114" s="251" t="str">
        <f t="shared" si="13"/>
        <v/>
      </c>
      <c r="O114" s="251" t="str">
        <f t="shared" si="14"/>
        <v/>
      </c>
      <c r="P114" s="251" t="str">
        <f t="shared" si="15"/>
        <v/>
      </c>
      <c r="Q114" s="450" t="str">
        <f t="shared" si="16"/>
        <v/>
      </c>
    </row>
    <row r="115" spans="1:17">
      <c r="A115" s="428" t="s">
        <v>3475</v>
      </c>
      <c r="B115" s="429"/>
      <c r="C115" s="446" t="e">
        <v>#N/A</v>
      </c>
      <c r="D115" s="446" t="e">
        <v>#N/A</v>
      </c>
      <c r="E115" s="432">
        <v>15749.024396255616</v>
      </c>
      <c r="F115" s="447">
        <f t="shared" si="17"/>
        <v>15358.731173109569</v>
      </c>
      <c r="G115" s="447">
        <f t="shared" si="17"/>
        <v>14990.983868254394</v>
      </c>
      <c r="H115" s="447">
        <f t="shared" si="17"/>
        <v>14631.169704887665</v>
      </c>
      <c r="I115" s="447">
        <f t="shared" si="17"/>
        <v>14279.991814716686</v>
      </c>
      <c r="J115" s="447">
        <f t="shared" si="17"/>
        <v>13937.242909584664</v>
      </c>
      <c r="K115" s="447">
        <f t="shared" si="17"/>
        <v>13602.720676673009</v>
      </c>
      <c r="L115" s="448">
        <f t="shared" si="11"/>
        <v>13602.720676673009</v>
      </c>
      <c r="M115" s="449" t="str">
        <f t="shared" si="12"/>
        <v/>
      </c>
      <c r="N115" s="251" t="str">
        <f t="shared" si="13"/>
        <v/>
      </c>
      <c r="O115" s="251" t="str">
        <f t="shared" si="14"/>
        <v/>
      </c>
      <c r="P115" s="251" t="str">
        <f t="shared" si="15"/>
        <v/>
      </c>
      <c r="Q115" s="450" t="str">
        <f t="shared" si="16"/>
        <v/>
      </c>
    </row>
    <row r="116" spans="1:17">
      <c r="A116" s="428" t="s">
        <v>3476</v>
      </c>
      <c r="B116" s="429"/>
      <c r="C116" s="446" t="e">
        <v>#N/A</v>
      </c>
      <c r="D116" s="446" t="e">
        <v>#N/A</v>
      </c>
      <c r="E116" s="432">
        <v>74593.406825763755</v>
      </c>
      <c r="F116" s="447">
        <f t="shared" si="17"/>
        <v>72744.828752420144</v>
      </c>
      <c r="G116" s="447">
        <f t="shared" si="17"/>
        <v>71003.036776616093</v>
      </c>
      <c r="H116" s="447">
        <f t="shared" si="17"/>
        <v>69298.819194981814</v>
      </c>
      <c r="I116" s="447">
        <f t="shared" si="17"/>
        <v>67635.506308377517</v>
      </c>
      <c r="J116" s="447">
        <f t="shared" si="17"/>
        <v>66012.116320761736</v>
      </c>
      <c r="K116" s="447">
        <f t="shared" si="17"/>
        <v>64427.691001198786</v>
      </c>
      <c r="L116" s="448">
        <f t="shared" si="11"/>
        <v>64427.691001198786</v>
      </c>
      <c r="M116" s="449" t="str">
        <f t="shared" si="12"/>
        <v/>
      </c>
      <c r="N116" s="251" t="str">
        <f t="shared" si="13"/>
        <v/>
      </c>
      <c r="O116" s="251" t="str">
        <f t="shared" si="14"/>
        <v/>
      </c>
      <c r="P116" s="251" t="str">
        <f t="shared" si="15"/>
        <v/>
      </c>
      <c r="Q116" s="450" t="str">
        <f t="shared" si="16"/>
        <v/>
      </c>
    </row>
    <row r="117" spans="1:17">
      <c r="A117" s="428" t="s">
        <v>3477</v>
      </c>
      <c r="B117" s="429"/>
      <c r="C117" s="446" t="e">
        <v>#N/A</v>
      </c>
      <c r="D117" s="446" t="e">
        <v>#N/A</v>
      </c>
      <c r="E117" s="432">
        <v>12112.904930050652</v>
      </c>
      <c r="F117" s="447">
        <f t="shared" si="17"/>
        <v>11812.722227436063</v>
      </c>
      <c r="G117" s="447">
        <f t="shared" si="17"/>
        <v>11529.88006338099</v>
      </c>
      <c r="H117" s="447">
        <f t="shared" si="17"/>
        <v>11253.139444807617</v>
      </c>
      <c r="I117" s="447">
        <f t="shared" si="17"/>
        <v>10983.041165057146</v>
      </c>
      <c r="J117" s="447">
        <f t="shared" si="17"/>
        <v>10719.425794461225</v>
      </c>
      <c r="K117" s="447">
        <f t="shared" si="17"/>
        <v>10462.137729988448</v>
      </c>
      <c r="L117" s="448">
        <f t="shared" si="11"/>
        <v>10462.137729988448</v>
      </c>
      <c r="M117" s="449" t="str">
        <f t="shared" si="12"/>
        <v/>
      </c>
      <c r="N117" s="251" t="str">
        <f t="shared" si="13"/>
        <v/>
      </c>
      <c r="O117" s="251" t="str">
        <f t="shared" si="14"/>
        <v/>
      </c>
      <c r="P117" s="251" t="str">
        <f t="shared" si="15"/>
        <v/>
      </c>
      <c r="Q117" s="450" t="str">
        <f t="shared" si="16"/>
        <v/>
      </c>
    </row>
    <row r="118" spans="1:17">
      <c r="A118" s="428" t="s">
        <v>3478</v>
      </c>
      <c r="B118" s="429"/>
      <c r="C118" s="446" t="e">
        <v>#N/A</v>
      </c>
      <c r="D118" s="446" t="e">
        <v>#N/A</v>
      </c>
      <c r="E118" s="432">
        <v>-56.234915994880055</v>
      </c>
      <c r="F118" s="447">
        <f t="shared" si="17"/>
        <v>-54.841299091079513</v>
      </c>
      <c r="G118" s="447">
        <f t="shared" si="17"/>
        <v>-53.528186718176521</v>
      </c>
      <c r="H118" s="447">
        <f t="shared" si="17"/>
        <v>-52.243401150411017</v>
      </c>
      <c r="I118" s="447">
        <f t="shared" si="17"/>
        <v>-50.989453054570909</v>
      </c>
      <c r="J118" s="447">
        <f t="shared" si="17"/>
        <v>-49.765602268485452</v>
      </c>
      <c r="K118" s="447">
        <f t="shared" si="17"/>
        <v>-48.571126395384432</v>
      </c>
      <c r="L118" s="448">
        <f t="shared" si="11"/>
        <v>-48.571126395384432</v>
      </c>
      <c r="M118" s="449" t="str">
        <f t="shared" si="12"/>
        <v/>
      </c>
      <c r="N118" s="251" t="str">
        <f t="shared" si="13"/>
        <v/>
      </c>
      <c r="O118" s="251" t="str">
        <f t="shared" si="14"/>
        <v/>
      </c>
      <c r="P118" s="251" t="str">
        <f t="shared" si="15"/>
        <v/>
      </c>
      <c r="Q118" s="450" t="str">
        <f t="shared" si="16"/>
        <v/>
      </c>
    </row>
    <row r="119" spans="1:17">
      <c r="A119" s="428" t="s">
        <v>3479</v>
      </c>
      <c r="B119" s="429"/>
      <c r="C119" s="446" t="e">
        <v>#N/A</v>
      </c>
      <c r="D119" s="446" t="e">
        <v>#N/A</v>
      </c>
      <c r="E119" s="432">
        <v>17156.774931576441</v>
      </c>
      <c r="F119" s="447">
        <f t="shared" si="17"/>
        <v>16731.594754166319</v>
      </c>
      <c r="G119" s="447">
        <f t="shared" si="17"/>
        <v>16330.975796296516</v>
      </c>
      <c r="H119" s="447">
        <f t="shared" si="17"/>
        <v>15938.999095851239</v>
      </c>
      <c r="I119" s="447">
        <f t="shared" si="17"/>
        <v>15556.430635036495</v>
      </c>
      <c r="J119" s="447">
        <f t="shared" si="17"/>
        <v>15183.044596927846</v>
      </c>
      <c r="K119" s="447">
        <f t="shared" si="17"/>
        <v>14818.620584667238</v>
      </c>
      <c r="L119" s="448">
        <f t="shared" si="11"/>
        <v>14818.620584667238</v>
      </c>
      <c r="M119" s="449" t="str">
        <f t="shared" si="12"/>
        <v/>
      </c>
      <c r="N119" s="251" t="str">
        <f t="shared" si="13"/>
        <v/>
      </c>
      <c r="O119" s="251" t="str">
        <f t="shared" si="14"/>
        <v/>
      </c>
      <c r="P119" s="251" t="str">
        <f t="shared" si="15"/>
        <v/>
      </c>
      <c r="Q119" s="450" t="str">
        <f t="shared" si="16"/>
        <v/>
      </c>
    </row>
    <row r="120" spans="1:17">
      <c r="A120" s="428" t="s">
        <v>3480</v>
      </c>
      <c r="B120" s="429"/>
      <c r="C120" s="446" t="e">
        <v>#N/A</v>
      </c>
      <c r="D120" s="446" t="e">
        <v>#N/A</v>
      </c>
      <c r="E120" s="432">
        <v>-20.217463507725661</v>
      </c>
      <c r="F120" s="447">
        <f t="shared" si="17"/>
        <v>-19.716433171005637</v>
      </c>
      <c r="G120" s="447">
        <f t="shared" si="17"/>
        <v>-19.244345660763312</v>
      </c>
      <c r="H120" s="447">
        <f t="shared" si="17"/>
        <v>-18.782442146336141</v>
      </c>
      <c r="I120" s="447">
        <f t="shared" si="17"/>
        <v>-18.331625257580804</v>
      </c>
      <c r="J120" s="447">
        <f t="shared" si="17"/>
        <v>-17.891628892887439</v>
      </c>
      <c r="K120" s="447">
        <f t="shared" si="17"/>
        <v>-17.462193337627124</v>
      </c>
      <c r="L120" s="448">
        <f t="shared" si="11"/>
        <v>-17.462193337627124</v>
      </c>
      <c r="M120" s="449" t="str">
        <f t="shared" si="12"/>
        <v/>
      </c>
      <c r="N120" s="251" t="str">
        <f t="shared" si="13"/>
        <v/>
      </c>
      <c r="O120" s="251" t="str">
        <f t="shared" si="14"/>
        <v/>
      </c>
      <c r="P120" s="251" t="str">
        <f t="shared" si="15"/>
        <v/>
      </c>
      <c r="Q120" s="450" t="str">
        <f t="shared" si="16"/>
        <v/>
      </c>
    </row>
    <row r="121" spans="1:17">
      <c r="A121" s="428" t="s">
        <v>3481</v>
      </c>
      <c r="B121" s="429"/>
      <c r="C121" s="446" t="e">
        <v>#N/A</v>
      </c>
      <c r="D121" s="446" t="e">
        <v>#N/A</v>
      </c>
      <c r="E121" s="432">
        <v>163980.21275466293</v>
      </c>
      <c r="F121" s="447">
        <f t="shared" si="17"/>
        <v>159916.44574548816</v>
      </c>
      <c r="G121" s="447">
        <f t="shared" si="17"/>
        <v>156087.42879987706</v>
      </c>
      <c r="H121" s="447">
        <f t="shared" si="17"/>
        <v>152341.01241391699</v>
      </c>
      <c r="I121" s="447">
        <f t="shared" si="17"/>
        <v>148684.51765614253</v>
      </c>
      <c r="J121" s="447">
        <f t="shared" si="17"/>
        <v>145115.7862242235</v>
      </c>
      <c r="K121" s="447">
        <f t="shared" si="17"/>
        <v>141632.71161948415</v>
      </c>
      <c r="L121" s="448">
        <f t="shared" si="11"/>
        <v>141632.71161948415</v>
      </c>
      <c r="M121" s="449" t="str">
        <f t="shared" si="12"/>
        <v/>
      </c>
      <c r="N121" s="251" t="str">
        <f t="shared" si="13"/>
        <v/>
      </c>
      <c r="O121" s="251" t="str">
        <f t="shared" si="14"/>
        <v/>
      </c>
      <c r="P121" s="251" t="str">
        <f t="shared" si="15"/>
        <v/>
      </c>
      <c r="Q121" s="450" t="str">
        <f t="shared" si="16"/>
        <v/>
      </c>
    </row>
    <row r="122" spans="1:17">
      <c r="A122" s="428" t="s">
        <v>3482</v>
      </c>
      <c r="B122" s="429"/>
      <c r="C122" s="446" t="e">
        <v>#N/A</v>
      </c>
      <c r="D122" s="446" t="e">
        <v>#N/A</v>
      </c>
      <c r="E122" s="432">
        <v>3279.2731525246381</v>
      </c>
      <c r="F122" s="447">
        <f t="shared" si="17"/>
        <v>3198.0060177439314</v>
      </c>
      <c r="G122" s="447">
        <f t="shared" si="17"/>
        <v>3121.4334102361559</v>
      </c>
      <c r="H122" s="447">
        <f t="shared" si="17"/>
        <v>3046.512647137512</v>
      </c>
      <c r="I122" s="447">
        <f t="shared" si="17"/>
        <v>2973.3901350362712</v>
      </c>
      <c r="J122" s="447">
        <f t="shared" si="17"/>
        <v>2902.0227122437914</v>
      </c>
      <c r="K122" s="447">
        <f t="shared" si="17"/>
        <v>2832.3682530399183</v>
      </c>
      <c r="L122" s="448">
        <f t="shared" si="11"/>
        <v>2832.3682530399183</v>
      </c>
      <c r="M122" s="449" t="str">
        <f t="shared" si="12"/>
        <v/>
      </c>
      <c r="N122" s="251" t="str">
        <f t="shared" si="13"/>
        <v/>
      </c>
      <c r="O122" s="251" t="str">
        <f t="shared" si="14"/>
        <v/>
      </c>
      <c r="P122" s="251" t="str">
        <f t="shared" si="15"/>
        <v/>
      </c>
      <c r="Q122" s="450" t="str">
        <f t="shared" si="16"/>
        <v/>
      </c>
    </row>
    <row r="123" spans="1:17" ht="12.75" customHeight="1">
      <c r="A123" s="428" t="s">
        <v>3483</v>
      </c>
      <c r="B123" s="429"/>
      <c r="C123" s="446" t="e">
        <v>#N/A</v>
      </c>
      <c r="D123" s="446" t="e">
        <v>#N/A</v>
      </c>
      <c r="E123" s="432">
        <v>26315.26774668938</v>
      </c>
      <c r="F123" s="447">
        <f t="shared" si="17"/>
        <v>25663.121276635749</v>
      </c>
      <c r="G123" s="447">
        <f t="shared" si="17"/>
        <v>25048.647100528171</v>
      </c>
      <c r="H123" s="447">
        <f t="shared" si="17"/>
        <v>24447.428522804861</v>
      </c>
      <c r="I123" s="447">
        <f t="shared" si="17"/>
        <v>23860.640416186401</v>
      </c>
      <c r="J123" s="447">
        <f t="shared" si="17"/>
        <v>23287.936419958023</v>
      </c>
      <c r="K123" s="447">
        <f t="shared" si="17"/>
        <v>22728.978486767977</v>
      </c>
      <c r="L123" s="448">
        <f t="shared" si="11"/>
        <v>22728.978486767977</v>
      </c>
      <c r="M123" s="449" t="str">
        <f t="shared" si="12"/>
        <v/>
      </c>
      <c r="N123" s="251" t="str">
        <f t="shared" si="13"/>
        <v/>
      </c>
      <c r="O123" s="251" t="str">
        <f t="shared" si="14"/>
        <v/>
      </c>
      <c r="P123" s="251" t="str">
        <f t="shared" si="15"/>
        <v/>
      </c>
      <c r="Q123" s="450" t="str">
        <f t="shared" si="16"/>
        <v/>
      </c>
    </row>
    <row r="124" spans="1:17">
      <c r="A124" s="428" t="s">
        <v>3484</v>
      </c>
      <c r="B124" s="429"/>
      <c r="C124" s="446" t="e">
        <v>#N/A</v>
      </c>
      <c r="D124" s="446" t="e">
        <v>#N/A</v>
      </c>
      <c r="E124" s="432">
        <v>6669.7338234260915</v>
      </c>
      <c r="F124" s="447">
        <f t="shared" si="17"/>
        <v>6504.4440984263583</v>
      </c>
      <c r="G124" s="447">
        <f t="shared" si="17"/>
        <v>6348.7026013054638</v>
      </c>
      <c r="H124" s="447">
        <f t="shared" si="17"/>
        <v>6196.3208006826007</v>
      </c>
      <c r="I124" s="447">
        <f t="shared" si="17"/>
        <v>6047.5964738176508</v>
      </c>
      <c r="J124" s="447">
        <f t="shared" si="17"/>
        <v>5902.441833886759</v>
      </c>
      <c r="K124" s="447">
        <f t="shared" si="17"/>
        <v>5760.7712011287476</v>
      </c>
      <c r="L124" s="448">
        <f t="shared" si="11"/>
        <v>5760.7712011287476</v>
      </c>
      <c r="M124" s="449" t="str">
        <f t="shared" si="12"/>
        <v/>
      </c>
      <c r="N124" s="251" t="str">
        <f t="shared" si="13"/>
        <v/>
      </c>
      <c r="O124" s="251" t="str">
        <f t="shared" si="14"/>
        <v/>
      </c>
      <c r="P124" s="251" t="str">
        <f t="shared" si="15"/>
        <v/>
      </c>
      <c r="Q124" s="450" t="str">
        <f t="shared" si="16"/>
        <v/>
      </c>
    </row>
    <row r="125" spans="1:17">
      <c r="A125" s="428" t="s">
        <v>3485</v>
      </c>
      <c r="B125" s="429"/>
      <c r="C125" s="446" t="e">
        <v>#N/A</v>
      </c>
      <c r="D125" s="446" t="e">
        <v>#N/A</v>
      </c>
      <c r="E125" s="432">
        <v>11539.812982488793</v>
      </c>
      <c r="F125" s="447">
        <f t="shared" si="17"/>
        <v>11253.832677289127</v>
      </c>
      <c r="G125" s="447">
        <f t="shared" si="17"/>
        <v>10984.372486227898</v>
      </c>
      <c r="H125" s="447">
        <f t="shared" si="17"/>
        <v>10720.725161210743</v>
      </c>
      <c r="I125" s="447">
        <f t="shared" si="17"/>
        <v>10463.405909287963</v>
      </c>
      <c r="J125" s="447">
        <f t="shared" si="17"/>
        <v>10212.262843809145</v>
      </c>
      <c r="K125" s="447">
        <f t="shared" si="17"/>
        <v>9967.1477237130148</v>
      </c>
      <c r="L125" s="448">
        <f t="shared" si="11"/>
        <v>9967.1477237130148</v>
      </c>
      <c r="M125" s="449" t="str">
        <f t="shared" si="12"/>
        <v/>
      </c>
      <c r="N125" s="251" t="str">
        <f t="shared" si="13"/>
        <v/>
      </c>
      <c r="O125" s="251" t="str">
        <f t="shared" si="14"/>
        <v/>
      </c>
      <c r="P125" s="251" t="str">
        <f t="shared" si="15"/>
        <v/>
      </c>
      <c r="Q125" s="450" t="str">
        <f t="shared" si="16"/>
        <v/>
      </c>
    </row>
    <row r="126" spans="1:17">
      <c r="A126" s="428" t="s">
        <v>3486</v>
      </c>
      <c r="B126" s="429"/>
      <c r="C126" s="446" t="e">
        <v>#N/A</v>
      </c>
      <c r="D126" s="446" t="e">
        <v>#N/A</v>
      </c>
      <c r="E126" s="432">
        <v>5726.3788337877077</v>
      </c>
      <c r="F126" s="447">
        <f t="shared" si="17"/>
        <v>5584.4673860839575</v>
      </c>
      <c r="G126" s="447">
        <f t="shared" si="17"/>
        <v>5450.7536823191822</v>
      </c>
      <c r="H126" s="447">
        <f t="shared" si="17"/>
        <v>5319.9244857062067</v>
      </c>
      <c r="I126" s="447">
        <f t="shared" si="17"/>
        <v>5192.2354564322777</v>
      </c>
      <c r="J126" s="447">
        <f t="shared" si="17"/>
        <v>5067.6112240818238</v>
      </c>
      <c r="K126" s="447">
        <f t="shared" si="17"/>
        <v>4945.9782272828506</v>
      </c>
      <c r="L126" s="448">
        <f t="shared" si="11"/>
        <v>4945.9782272828506</v>
      </c>
      <c r="M126" s="449" t="str">
        <f t="shared" si="12"/>
        <v/>
      </c>
      <c r="N126" s="251" t="str">
        <f t="shared" si="13"/>
        <v/>
      </c>
      <c r="O126" s="251" t="str">
        <f t="shared" si="14"/>
        <v/>
      </c>
      <c r="P126" s="251" t="str">
        <f t="shared" si="15"/>
        <v/>
      </c>
      <c r="Q126" s="450" t="str">
        <f t="shared" si="16"/>
        <v/>
      </c>
    </row>
    <row r="127" spans="1:17">
      <c r="A127" s="428" t="s">
        <v>3487</v>
      </c>
      <c r="B127" s="429"/>
      <c r="C127" s="446" t="e">
        <v>#N/A</v>
      </c>
      <c r="D127" s="446" t="e">
        <v>#N/A</v>
      </c>
      <c r="E127" s="432">
        <v>12276.103874932331</v>
      </c>
      <c r="F127" s="447">
        <f t="shared" si="17"/>
        <v>11971.876766733669</v>
      </c>
      <c r="G127" s="447">
        <f t="shared" si="17"/>
        <v>11685.223828714101</v>
      </c>
      <c r="H127" s="447">
        <f t="shared" si="17"/>
        <v>11404.754643193502</v>
      </c>
      <c r="I127" s="447">
        <f t="shared" si="17"/>
        <v>11131.017289701087</v>
      </c>
      <c r="J127" s="447">
        <f t="shared" si="17"/>
        <v>10863.850190549192</v>
      </c>
      <c r="K127" s="447">
        <f t="shared" si="17"/>
        <v>10603.095646243948</v>
      </c>
      <c r="L127" s="448">
        <f t="shared" si="11"/>
        <v>10603.095646243948</v>
      </c>
      <c r="M127" s="449" t="str">
        <f t="shared" si="12"/>
        <v/>
      </c>
      <c r="N127" s="251" t="str">
        <f t="shared" si="13"/>
        <v/>
      </c>
      <c r="O127" s="251" t="str">
        <f t="shared" si="14"/>
        <v/>
      </c>
      <c r="P127" s="251" t="str">
        <f t="shared" si="15"/>
        <v/>
      </c>
      <c r="Q127" s="450" t="str">
        <f t="shared" si="16"/>
        <v/>
      </c>
    </row>
    <row r="128" spans="1:17">
      <c r="A128" s="428" t="s">
        <v>3488</v>
      </c>
      <c r="B128" s="429"/>
      <c r="C128" s="446" t="e">
        <v>#N/A</v>
      </c>
      <c r="D128" s="446" t="e">
        <v>#N/A</v>
      </c>
      <c r="E128" s="432">
        <v>-12.818058394082172</v>
      </c>
      <c r="F128" s="447">
        <f t="shared" si="17"/>
        <v>-12.500400537999987</v>
      </c>
      <c r="G128" s="447">
        <f t="shared" si="17"/>
        <v>-12.201092700936716</v>
      </c>
      <c r="H128" s="447">
        <f t="shared" si="17"/>
        <v>-11.908241611179747</v>
      </c>
      <c r="I128" s="447">
        <f t="shared" si="17"/>
        <v>-11.622419544386046</v>
      </c>
      <c r="J128" s="447">
        <f t="shared" si="17"/>
        <v>-11.34345778967986</v>
      </c>
      <c r="K128" s="447">
        <f t="shared" si="17"/>
        <v>-11.071191685590275</v>
      </c>
      <c r="L128" s="448">
        <f t="shared" si="11"/>
        <v>-11.071191685590275</v>
      </c>
      <c r="M128" s="449" t="str">
        <f t="shared" si="12"/>
        <v/>
      </c>
      <c r="N128" s="251" t="str">
        <f t="shared" si="13"/>
        <v/>
      </c>
      <c r="O128" s="251" t="str">
        <f t="shared" si="14"/>
        <v/>
      </c>
      <c r="P128" s="251" t="str">
        <f t="shared" si="15"/>
        <v/>
      </c>
      <c r="Q128" s="450" t="str">
        <f t="shared" si="16"/>
        <v/>
      </c>
    </row>
    <row r="129" spans="1:17">
      <c r="A129" s="428" t="s">
        <v>3489</v>
      </c>
      <c r="B129" s="429"/>
      <c r="C129" s="446" t="e">
        <v>#N/A</v>
      </c>
      <c r="D129" s="446" t="e">
        <v>#N/A</v>
      </c>
      <c r="E129" s="432">
        <v>7383.1067338049434</v>
      </c>
      <c r="F129" s="447">
        <f t="shared" si="17"/>
        <v>7200.1381605482329</v>
      </c>
      <c r="G129" s="447">
        <f t="shared" si="17"/>
        <v>7027.7390623881975</v>
      </c>
      <c r="H129" s="447">
        <f t="shared" si="17"/>
        <v>6859.0590028727083</v>
      </c>
      <c r="I129" s="447">
        <f t="shared" si="17"/>
        <v>6694.4276085432157</v>
      </c>
      <c r="J129" s="447">
        <f t="shared" si="17"/>
        <v>6533.7477031843691</v>
      </c>
      <c r="K129" s="447">
        <f t="shared" si="17"/>
        <v>6376.9244430080298</v>
      </c>
      <c r="L129" s="448">
        <f t="shared" si="11"/>
        <v>6376.9244430080298</v>
      </c>
      <c r="M129" s="449" t="str">
        <f t="shared" si="12"/>
        <v/>
      </c>
      <c r="N129" s="251" t="str">
        <f t="shared" si="13"/>
        <v/>
      </c>
      <c r="O129" s="251" t="str">
        <f t="shared" si="14"/>
        <v/>
      </c>
      <c r="P129" s="251" t="str">
        <f t="shared" si="15"/>
        <v/>
      </c>
      <c r="Q129" s="450" t="str">
        <f t="shared" si="16"/>
        <v/>
      </c>
    </row>
    <row r="130" spans="1:17">
      <c r="A130" s="428" t="s">
        <v>3490</v>
      </c>
      <c r="B130" s="429"/>
      <c r="C130" s="446" t="e">
        <v>#N/A</v>
      </c>
      <c r="D130" s="446" t="e">
        <v>#N/A</v>
      </c>
      <c r="E130" s="432">
        <v>219625.26667949886</v>
      </c>
      <c r="F130" s="447">
        <f t="shared" si="17"/>
        <v>214182.50076207277</v>
      </c>
      <c r="G130" s="447">
        <f t="shared" si="17"/>
        <v>209054.14500698948</v>
      </c>
      <c r="H130" s="447">
        <f t="shared" si="17"/>
        <v>204036.41948976528</v>
      </c>
      <c r="I130" s="447">
        <f t="shared" si="17"/>
        <v>199139.12961071206</v>
      </c>
      <c r="J130" s="447">
        <f t="shared" si="17"/>
        <v>194359.38466907464</v>
      </c>
      <c r="K130" s="447">
        <f t="shared" si="17"/>
        <v>189694.36334680713</v>
      </c>
      <c r="L130" s="448">
        <f t="shared" si="11"/>
        <v>189694.36334680713</v>
      </c>
      <c r="M130" s="449" t="str">
        <f t="shared" si="12"/>
        <v/>
      </c>
      <c r="N130" s="251" t="str">
        <f t="shared" si="13"/>
        <v/>
      </c>
      <c r="O130" s="251" t="str">
        <f t="shared" si="14"/>
        <v/>
      </c>
      <c r="P130" s="251" t="str">
        <f t="shared" si="15"/>
        <v/>
      </c>
      <c r="Q130" s="450" t="str">
        <f t="shared" si="16"/>
        <v/>
      </c>
    </row>
    <row r="131" spans="1:17">
      <c r="A131" s="428" t="s">
        <v>3491</v>
      </c>
      <c r="B131" s="429"/>
      <c r="C131" s="446" t="e">
        <v>#N/A</v>
      </c>
      <c r="D131" s="446" t="e">
        <v>#N/A</v>
      </c>
      <c r="E131" s="432">
        <v>686329.01714449073</v>
      </c>
      <c r="F131" s="447">
        <f t="shared" si="17"/>
        <v>669320.37219606654</v>
      </c>
      <c r="G131" s="447">
        <f t="shared" si="17"/>
        <v>653294.25908909878</v>
      </c>
      <c r="H131" s="447">
        <f t="shared" si="17"/>
        <v>637613.86550504493</v>
      </c>
      <c r="I131" s="447">
        <f t="shared" si="17"/>
        <v>622309.8333225036</v>
      </c>
      <c r="J131" s="447">
        <f t="shared" si="17"/>
        <v>607373.12910084147</v>
      </c>
      <c r="K131" s="447">
        <f t="shared" si="17"/>
        <v>592794.93622040993</v>
      </c>
      <c r="L131" s="448">
        <f t="shared" si="11"/>
        <v>592794.93622040993</v>
      </c>
      <c r="M131" s="449" t="str">
        <f t="shared" si="12"/>
        <v/>
      </c>
      <c r="N131" s="251" t="str">
        <f t="shared" si="13"/>
        <v/>
      </c>
      <c r="O131" s="251" t="str">
        <f t="shared" si="14"/>
        <v/>
      </c>
      <c r="P131" s="251" t="str">
        <f t="shared" si="15"/>
        <v/>
      </c>
      <c r="Q131" s="450" t="str">
        <f t="shared" si="16"/>
        <v/>
      </c>
    </row>
    <row r="132" spans="1:17">
      <c r="A132" s="428" t="s">
        <v>3492</v>
      </c>
      <c r="B132" s="429"/>
      <c r="C132" s="446" t="e">
        <v>#N/A</v>
      </c>
      <c r="D132" s="446" t="e">
        <v>#N/A</v>
      </c>
      <c r="E132" s="432">
        <v>8831.4854771770297</v>
      </c>
      <c r="F132" s="447">
        <f t="shared" si="17"/>
        <v>8612.6230990811237</v>
      </c>
      <c r="G132" s="447">
        <f t="shared" si="17"/>
        <v>8406.4036596806982</v>
      </c>
      <c r="H132" s="447">
        <f t="shared" si="17"/>
        <v>8204.6328402125819</v>
      </c>
      <c r="I132" s="447">
        <f t="shared" si="17"/>
        <v>8007.704931605871</v>
      </c>
      <c r="J132" s="447">
        <f t="shared" si="17"/>
        <v>7815.5036941303952</v>
      </c>
      <c r="K132" s="447">
        <f t="shared" si="17"/>
        <v>7627.9156780463945</v>
      </c>
      <c r="L132" s="448">
        <f t="shared" si="11"/>
        <v>7627.9156780463945</v>
      </c>
      <c r="M132" s="449" t="str">
        <f t="shared" si="12"/>
        <v/>
      </c>
      <c r="N132" s="251" t="str">
        <f t="shared" si="13"/>
        <v/>
      </c>
      <c r="O132" s="251" t="str">
        <f t="shared" si="14"/>
        <v/>
      </c>
      <c r="P132" s="251" t="str">
        <f t="shared" si="15"/>
        <v/>
      </c>
      <c r="Q132" s="450" t="str">
        <f t="shared" si="16"/>
        <v/>
      </c>
    </row>
    <row r="133" spans="1:17">
      <c r="A133" s="428" t="s">
        <v>3493</v>
      </c>
      <c r="B133" s="429"/>
      <c r="C133" s="446" t="e">
        <v>#N/A</v>
      </c>
      <c r="D133" s="446" t="e">
        <v>#N/A</v>
      </c>
      <c r="E133" s="432">
        <v>18932.865614342394</v>
      </c>
      <c r="F133" s="447">
        <f t="shared" si="17"/>
        <v>18463.670256071851</v>
      </c>
      <c r="G133" s="447">
        <f t="shared" si="17"/>
        <v>18021.578725340907</v>
      </c>
      <c r="H133" s="447">
        <f t="shared" si="17"/>
        <v>17589.024109273454</v>
      </c>
      <c r="I133" s="447">
        <f t="shared" si="17"/>
        <v>17166.851685506288</v>
      </c>
      <c r="J133" s="447">
        <f t="shared" si="17"/>
        <v>16754.812260266055</v>
      </c>
      <c r="K133" s="447">
        <f t="shared" si="17"/>
        <v>16352.662620937799</v>
      </c>
      <c r="L133" s="448">
        <f t="shared" si="11"/>
        <v>16352.662620937799</v>
      </c>
      <c r="M133" s="449" t="str">
        <f t="shared" si="12"/>
        <v/>
      </c>
      <c r="N133" s="251" t="str">
        <f t="shared" si="13"/>
        <v/>
      </c>
      <c r="O133" s="251" t="str">
        <f t="shared" si="14"/>
        <v/>
      </c>
      <c r="P133" s="251" t="str">
        <f t="shared" si="15"/>
        <v/>
      </c>
      <c r="Q133" s="450" t="str">
        <f t="shared" si="16"/>
        <v/>
      </c>
    </row>
    <row r="134" spans="1:17">
      <c r="A134" s="428" t="s">
        <v>3494</v>
      </c>
      <c r="B134" s="429"/>
      <c r="C134" s="446" t="e">
        <v>#N/A</v>
      </c>
      <c r="D134" s="446" t="e">
        <v>#N/A</v>
      </c>
      <c r="E134" s="432">
        <v>7208.8133134808977</v>
      </c>
      <c r="F134" s="447">
        <f t="shared" si="17"/>
        <v>7030.1640897330744</v>
      </c>
      <c r="G134" s="447">
        <f t="shared" si="17"/>
        <v>6861.8348268825457</v>
      </c>
      <c r="H134" s="447">
        <f t="shared" si="17"/>
        <v>6697.1368071198895</v>
      </c>
      <c r="I134" s="447">
        <f t="shared" si="17"/>
        <v>6536.3918754740553</v>
      </c>
      <c r="J134" s="447">
        <f t="shared" si="17"/>
        <v>6379.5051497741333</v>
      </c>
      <c r="K134" s="447">
        <f t="shared" si="17"/>
        <v>6226.384025214682</v>
      </c>
      <c r="L134" s="448">
        <f t="shared" ref="L134:L197" si="18">IF(ISERROR(C134),K134,"")</f>
        <v>6226.384025214682</v>
      </c>
      <c r="M134" s="449" t="str">
        <f t="shared" ref="M134:M197" si="19">IF(ISERROR(C134),"",IF(AND(D134="n",$C134=500),$K134,""))</f>
        <v/>
      </c>
      <c r="N134" s="251" t="str">
        <f t="shared" ref="N134:N197" si="20">IF(ISERROR(C134),"",IF(AND(D134="n",OR($C134=240,$C134=260)),$K134,""))</f>
        <v/>
      </c>
      <c r="O134" s="251" t="str">
        <f t="shared" ref="O134:O197" si="21">IF(ISERROR(C134),"",IF(AND(D134="n",OR($C134=138,$C134=144)),$K134,""))</f>
        <v/>
      </c>
      <c r="P134" s="251" t="str">
        <f t="shared" ref="P134:P197" si="22">IF(ISERROR(C134),"",IF(AND(D134="n",OR($C134=69,$C134=72)),$K134,""))</f>
        <v/>
      </c>
      <c r="Q134" s="450" t="str">
        <f t="shared" ref="Q134:Q197" si="23">IF(ISERROR(D134),"",IF(D134="y",K134,""))</f>
        <v/>
      </c>
    </row>
    <row r="135" spans="1:17">
      <c r="A135" s="428" t="s">
        <v>3495</v>
      </c>
      <c r="B135" s="429"/>
      <c r="C135" s="446" t="e">
        <v>#N/A</v>
      </c>
      <c r="D135" s="446" t="e">
        <v>#N/A</v>
      </c>
      <c r="E135" s="432">
        <v>7625.2560693032037</v>
      </c>
      <c r="F135" s="447">
        <f t="shared" si="17"/>
        <v>7436.2865373676332</v>
      </c>
      <c r="G135" s="447">
        <f t="shared" si="17"/>
        <v>7258.2331355973292</v>
      </c>
      <c r="H135" s="447">
        <f t="shared" si="17"/>
        <v>7084.0207485947594</v>
      </c>
      <c r="I135" s="447">
        <f t="shared" si="17"/>
        <v>6913.9898139123534</v>
      </c>
      <c r="J135" s="447">
        <f t="shared" si="17"/>
        <v>6748.0399681729332</v>
      </c>
      <c r="K135" s="447">
        <f t="shared" si="17"/>
        <v>6586.0732569249067</v>
      </c>
      <c r="L135" s="448">
        <f t="shared" si="18"/>
        <v>6586.0732569249067</v>
      </c>
      <c r="M135" s="449" t="str">
        <f t="shared" si="19"/>
        <v/>
      </c>
      <c r="N135" s="251" t="str">
        <f t="shared" si="20"/>
        <v/>
      </c>
      <c r="O135" s="251" t="str">
        <f t="shared" si="21"/>
        <v/>
      </c>
      <c r="P135" s="251" t="str">
        <f t="shared" si="22"/>
        <v/>
      </c>
      <c r="Q135" s="450" t="str">
        <f t="shared" si="23"/>
        <v/>
      </c>
    </row>
    <row r="136" spans="1:17">
      <c r="A136" s="428" t="s">
        <v>3496</v>
      </c>
      <c r="B136" s="429"/>
      <c r="C136" s="446" t="e">
        <v>#N/A</v>
      </c>
      <c r="D136" s="446" t="e">
        <v>#N/A</v>
      </c>
      <c r="E136" s="432">
        <v>23800.783064852891</v>
      </c>
      <c r="F136" s="447">
        <f t="shared" si="17"/>
        <v>23210.950697967368</v>
      </c>
      <c r="G136" s="447">
        <f t="shared" si="17"/>
        <v>22655.190950231925</v>
      </c>
      <c r="H136" s="447">
        <f t="shared" si="17"/>
        <v>22111.420197804295</v>
      </c>
      <c r="I136" s="447">
        <f t="shared" si="17"/>
        <v>21580.701051599946</v>
      </c>
      <c r="J136" s="447">
        <f t="shared" si="17"/>
        <v>21062.720246471305</v>
      </c>
      <c r="K136" s="447">
        <f t="shared" si="17"/>
        <v>20557.172036272743</v>
      </c>
      <c r="L136" s="448">
        <f t="shared" si="18"/>
        <v>20557.172036272743</v>
      </c>
      <c r="M136" s="449" t="str">
        <f t="shared" si="19"/>
        <v/>
      </c>
      <c r="N136" s="251" t="str">
        <f t="shared" si="20"/>
        <v/>
      </c>
      <c r="O136" s="251" t="str">
        <f t="shared" si="21"/>
        <v/>
      </c>
      <c r="P136" s="251" t="str">
        <f t="shared" si="22"/>
        <v/>
      </c>
      <c r="Q136" s="450" t="str">
        <f t="shared" si="23"/>
        <v/>
      </c>
    </row>
    <row r="137" spans="1:17">
      <c r="A137" s="428" t="s">
        <v>3497</v>
      </c>
      <c r="B137" s="429"/>
      <c r="C137" s="446" t="e">
        <v>#N/A</v>
      </c>
      <c r="D137" s="446" t="e">
        <v>#N/A</v>
      </c>
      <c r="E137" s="432">
        <v>11041.961574040077</v>
      </c>
      <c r="F137" s="447">
        <f t="shared" si="17"/>
        <v>10768.319050912642</v>
      </c>
      <c r="G137" s="447">
        <f t="shared" si="17"/>
        <v>10510.483930018863</v>
      </c>
      <c r="H137" s="447">
        <f t="shared" si="17"/>
        <v>10258.21089610094</v>
      </c>
      <c r="I137" s="447">
        <f t="shared" si="17"/>
        <v>10011.992929111038</v>
      </c>
      <c r="J137" s="447">
        <f t="shared" si="17"/>
        <v>9771.6846951031021</v>
      </c>
      <c r="K137" s="447">
        <f t="shared" si="17"/>
        <v>9537.1443484419597</v>
      </c>
      <c r="L137" s="448">
        <f t="shared" si="18"/>
        <v>9537.1443484419597</v>
      </c>
      <c r="M137" s="449" t="str">
        <f t="shared" si="19"/>
        <v/>
      </c>
      <c r="N137" s="251" t="str">
        <f t="shared" si="20"/>
        <v/>
      </c>
      <c r="O137" s="251" t="str">
        <f t="shared" si="21"/>
        <v/>
      </c>
      <c r="P137" s="251" t="str">
        <f t="shared" si="22"/>
        <v/>
      </c>
      <c r="Q137" s="450" t="str">
        <f t="shared" si="23"/>
        <v/>
      </c>
    </row>
    <row r="138" spans="1:17">
      <c r="A138" s="428" t="s">
        <v>3498</v>
      </c>
      <c r="B138" s="429"/>
      <c r="C138" s="446" t="e">
        <v>#N/A</v>
      </c>
      <c r="D138" s="446" t="e">
        <v>#N/A</v>
      </c>
      <c r="E138" s="432">
        <v>29719.398541114817</v>
      </c>
      <c r="F138" s="447">
        <f t="shared" si="17"/>
        <v>28982.890707059305</v>
      </c>
      <c r="G138" s="447">
        <f t="shared" si="17"/>
        <v>28288.928437370381</v>
      </c>
      <c r="H138" s="447">
        <f t="shared" si="17"/>
        <v>27609.936504106503</v>
      </c>
      <c r="I138" s="447">
        <f t="shared" si="17"/>
        <v>26947.241760976853</v>
      </c>
      <c r="J138" s="447">
        <f t="shared" si="17"/>
        <v>26300.453042205729</v>
      </c>
      <c r="K138" s="447">
        <f t="shared" si="17"/>
        <v>25669.188570793212</v>
      </c>
      <c r="L138" s="448">
        <f t="shared" si="18"/>
        <v>25669.188570793212</v>
      </c>
      <c r="M138" s="449" t="str">
        <f t="shared" si="19"/>
        <v/>
      </c>
      <c r="N138" s="251" t="str">
        <f t="shared" si="20"/>
        <v/>
      </c>
      <c r="O138" s="251" t="str">
        <f t="shared" si="21"/>
        <v/>
      </c>
      <c r="P138" s="251" t="str">
        <f t="shared" si="22"/>
        <v/>
      </c>
      <c r="Q138" s="450" t="str">
        <f t="shared" si="23"/>
        <v/>
      </c>
    </row>
    <row r="139" spans="1:17">
      <c r="A139" s="428" t="s">
        <v>3499</v>
      </c>
      <c r="B139" s="429"/>
      <c r="C139" s="446" t="e">
        <v>#N/A</v>
      </c>
      <c r="D139" s="446" t="e">
        <v>#N/A</v>
      </c>
      <c r="E139" s="432">
        <v>22342.474374629575</v>
      </c>
      <c r="F139" s="447">
        <f t="shared" si="17"/>
        <v>21788.781897093926</v>
      </c>
      <c r="G139" s="447">
        <f t="shared" si="17"/>
        <v>21267.074359640414</v>
      </c>
      <c r="H139" s="447">
        <f t="shared" si="17"/>
        <v>20756.621234267055</v>
      </c>
      <c r="I139" s="447">
        <f t="shared" si="17"/>
        <v>20258.420024168794</v>
      </c>
      <c r="J139" s="447">
        <f t="shared" si="17"/>
        <v>19772.176658410517</v>
      </c>
      <c r="K139" s="447">
        <f t="shared" si="17"/>
        <v>19297.604124358852</v>
      </c>
      <c r="L139" s="448">
        <f t="shared" si="18"/>
        <v>19297.604124358852</v>
      </c>
      <c r="M139" s="449" t="str">
        <f t="shared" si="19"/>
        <v/>
      </c>
      <c r="N139" s="251" t="str">
        <f t="shared" si="20"/>
        <v/>
      </c>
      <c r="O139" s="251" t="str">
        <f t="shared" si="21"/>
        <v/>
      </c>
      <c r="P139" s="251" t="str">
        <f t="shared" si="22"/>
        <v/>
      </c>
      <c r="Q139" s="450" t="str">
        <f t="shared" si="23"/>
        <v/>
      </c>
    </row>
    <row r="140" spans="1:17">
      <c r="A140" s="428" t="s">
        <v>3500</v>
      </c>
      <c r="B140" s="429"/>
      <c r="C140" s="446" t="e">
        <v>#N/A</v>
      </c>
      <c r="D140" s="446" t="e">
        <v>#N/A</v>
      </c>
      <c r="E140" s="432">
        <v>3050.586735142736</v>
      </c>
      <c r="F140" s="447">
        <f t="shared" si="17"/>
        <v>2974.9869202342957</v>
      </c>
      <c r="G140" s="447">
        <f t="shared" si="17"/>
        <v>2903.7542507146263</v>
      </c>
      <c r="H140" s="447">
        <f t="shared" si="17"/>
        <v>2834.0582310587042</v>
      </c>
      <c r="I140" s="447">
        <f t="shared" si="17"/>
        <v>2766.0350579099149</v>
      </c>
      <c r="J140" s="447">
        <f t="shared" si="17"/>
        <v>2699.6445795429481</v>
      </c>
      <c r="K140" s="447">
        <f t="shared" si="17"/>
        <v>2634.8476079557272</v>
      </c>
      <c r="L140" s="448">
        <f t="shared" si="18"/>
        <v>2634.8476079557272</v>
      </c>
      <c r="M140" s="449" t="str">
        <f t="shared" si="19"/>
        <v/>
      </c>
      <c r="N140" s="251" t="str">
        <f t="shared" si="20"/>
        <v/>
      </c>
      <c r="O140" s="251" t="str">
        <f t="shared" si="21"/>
        <v/>
      </c>
      <c r="P140" s="251" t="str">
        <f t="shared" si="22"/>
        <v/>
      </c>
      <c r="Q140" s="450" t="str">
        <f t="shared" si="23"/>
        <v/>
      </c>
    </row>
    <row r="141" spans="1:17">
      <c r="A141" s="428" t="s">
        <v>3501</v>
      </c>
      <c r="B141" s="429"/>
      <c r="C141" s="446" t="e">
        <v>#N/A</v>
      </c>
      <c r="D141" s="446" t="e">
        <v>#N/A</v>
      </c>
      <c r="E141" s="432">
        <v>11274.610601471288</v>
      </c>
      <c r="F141" s="447">
        <f t="shared" si="17"/>
        <v>10995.202556842756</v>
      </c>
      <c r="G141" s="447">
        <f t="shared" si="17"/>
        <v>10731.934969107708</v>
      </c>
      <c r="H141" s="447">
        <f t="shared" si="17"/>
        <v>10474.346658950632</v>
      </c>
      <c r="I141" s="447">
        <f t="shared" si="17"/>
        <v>10222.940993183462</v>
      </c>
      <c r="J141" s="447">
        <f t="shared" si="17"/>
        <v>9977.5695757410631</v>
      </c>
      <c r="K141" s="447">
        <f t="shared" si="17"/>
        <v>9738.0875723662812</v>
      </c>
      <c r="L141" s="448">
        <f t="shared" si="18"/>
        <v>9738.0875723662812</v>
      </c>
      <c r="M141" s="449" t="str">
        <f t="shared" si="19"/>
        <v/>
      </c>
      <c r="N141" s="251" t="str">
        <f t="shared" si="20"/>
        <v/>
      </c>
      <c r="O141" s="251" t="str">
        <f t="shared" si="21"/>
        <v/>
      </c>
      <c r="P141" s="251" t="str">
        <f t="shared" si="22"/>
        <v/>
      </c>
      <c r="Q141" s="450" t="str">
        <f t="shared" si="23"/>
        <v/>
      </c>
    </row>
    <row r="142" spans="1:17">
      <c r="A142" s="428" t="s">
        <v>3502</v>
      </c>
      <c r="B142" s="429"/>
      <c r="C142" s="446" t="e">
        <v>#N/A</v>
      </c>
      <c r="D142" s="446" t="e">
        <v>#N/A</v>
      </c>
      <c r="E142" s="432">
        <v>24685.991843555596</v>
      </c>
      <c r="F142" s="447">
        <f t="shared" si="17"/>
        <v>24074.222182098401</v>
      </c>
      <c r="G142" s="447">
        <f t="shared" si="17"/>
        <v>23497.792383037151</v>
      </c>
      <c r="H142" s="447">
        <f t="shared" si="17"/>
        <v>22933.797479062105</v>
      </c>
      <c r="I142" s="447">
        <f t="shared" si="17"/>
        <v>22383.339602162825</v>
      </c>
      <c r="J142" s="447">
        <f t="shared" si="17"/>
        <v>21846.093836102016</v>
      </c>
      <c r="K142" s="447">
        <f t="shared" si="17"/>
        <v>21321.743063294238</v>
      </c>
      <c r="L142" s="448">
        <f t="shared" si="18"/>
        <v>21321.743063294238</v>
      </c>
      <c r="M142" s="449" t="str">
        <f t="shared" si="19"/>
        <v/>
      </c>
      <c r="N142" s="251" t="str">
        <f t="shared" si="20"/>
        <v/>
      </c>
      <c r="O142" s="251" t="str">
        <f t="shared" si="21"/>
        <v/>
      </c>
      <c r="P142" s="251" t="str">
        <f t="shared" si="22"/>
        <v/>
      </c>
      <c r="Q142" s="450" t="str">
        <f t="shared" si="23"/>
        <v/>
      </c>
    </row>
    <row r="143" spans="1:17">
      <c r="A143" s="428" t="s">
        <v>3503</v>
      </c>
      <c r="B143" s="429"/>
      <c r="C143" s="446" t="e">
        <v>#N/A</v>
      </c>
      <c r="D143" s="446" t="e">
        <v>#N/A</v>
      </c>
      <c r="E143" s="432">
        <v>264043.16242182034</v>
      </c>
      <c r="F143" s="447">
        <f t="shared" si="17"/>
        <v>257499.62967221148</v>
      </c>
      <c r="G143" s="447">
        <f t="shared" si="17"/>
        <v>251334.09465855389</v>
      </c>
      <c r="H143" s="447">
        <f t="shared" si="17"/>
        <v>245301.56418624727</v>
      </c>
      <c r="I143" s="447">
        <f t="shared" si="17"/>
        <v>239413.82673913188</v>
      </c>
      <c r="J143" s="447">
        <f t="shared" si="17"/>
        <v>233667.40698952551</v>
      </c>
      <c r="K143" s="447">
        <f t="shared" si="17"/>
        <v>228058.91302469283</v>
      </c>
      <c r="L143" s="448">
        <f t="shared" si="18"/>
        <v>228058.91302469283</v>
      </c>
      <c r="M143" s="449" t="str">
        <f t="shared" si="19"/>
        <v/>
      </c>
      <c r="N143" s="251" t="str">
        <f t="shared" si="20"/>
        <v/>
      </c>
      <c r="O143" s="251" t="str">
        <f t="shared" si="21"/>
        <v/>
      </c>
      <c r="P143" s="251" t="str">
        <f t="shared" si="22"/>
        <v/>
      </c>
      <c r="Q143" s="450" t="str">
        <f t="shared" si="23"/>
        <v/>
      </c>
    </row>
    <row r="144" spans="1:17">
      <c r="A144" s="428" t="s">
        <v>3504</v>
      </c>
      <c r="B144" s="429"/>
      <c r="C144" s="446" t="e">
        <v>#N/A</v>
      </c>
      <c r="D144" s="446" t="e">
        <v>#N/A</v>
      </c>
      <c r="E144" s="432">
        <v>48.204249423573501</v>
      </c>
      <c r="F144" s="447">
        <f t="shared" si="17"/>
        <v>47.009648957951292</v>
      </c>
      <c r="G144" s="447">
        <f t="shared" si="17"/>
        <v>45.884056517298241</v>
      </c>
      <c r="H144" s="447">
        <f t="shared" si="17"/>
        <v>44.782745652532043</v>
      </c>
      <c r="I144" s="447">
        <f t="shared" si="17"/>
        <v>43.707868492911231</v>
      </c>
      <c r="J144" s="447">
        <f t="shared" si="17"/>
        <v>42.658790575642342</v>
      </c>
      <c r="K144" s="447">
        <f t="shared" si="17"/>
        <v>41.634892666331965</v>
      </c>
      <c r="L144" s="448">
        <f t="shared" si="18"/>
        <v>41.634892666331965</v>
      </c>
      <c r="M144" s="449" t="str">
        <f t="shared" si="19"/>
        <v/>
      </c>
      <c r="N144" s="251" t="str">
        <f t="shared" si="20"/>
        <v/>
      </c>
      <c r="O144" s="251" t="str">
        <f t="shared" si="21"/>
        <v/>
      </c>
      <c r="P144" s="251" t="str">
        <f t="shared" si="22"/>
        <v/>
      </c>
      <c r="Q144" s="450" t="str">
        <f t="shared" si="23"/>
        <v/>
      </c>
    </row>
    <row r="145" spans="1:17">
      <c r="A145" s="428" t="s">
        <v>3505</v>
      </c>
      <c r="B145" s="429"/>
      <c r="C145" s="446" t="e">
        <v>#N/A</v>
      </c>
      <c r="D145" s="446" t="e">
        <v>#N/A</v>
      </c>
      <c r="E145" s="432">
        <v>834.77718510615546</v>
      </c>
      <c r="F145" s="447">
        <f t="shared" si="17"/>
        <v>814.08968917076731</v>
      </c>
      <c r="G145" s="447">
        <f t="shared" si="17"/>
        <v>794.59723984480365</v>
      </c>
      <c r="H145" s="447">
        <f t="shared" si="17"/>
        <v>775.52528675747362</v>
      </c>
      <c r="I145" s="447">
        <f t="shared" si="17"/>
        <v>756.91109941148488</v>
      </c>
      <c r="J145" s="447">
        <f t="shared" si="17"/>
        <v>738.74369049615223</v>
      </c>
      <c r="K145" s="447">
        <f t="shared" si="17"/>
        <v>721.01233641863803</v>
      </c>
      <c r="L145" s="448">
        <f t="shared" si="18"/>
        <v>721.01233641863803</v>
      </c>
      <c r="M145" s="449" t="str">
        <f t="shared" si="19"/>
        <v/>
      </c>
      <c r="N145" s="251" t="str">
        <f t="shared" si="20"/>
        <v/>
      </c>
      <c r="O145" s="251" t="str">
        <f t="shared" si="21"/>
        <v/>
      </c>
      <c r="P145" s="251" t="str">
        <f t="shared" si="22"/>
        <v/>
      </c>
      <c r="Q145" s="450" t="str">
        <f t="shared" si="23"/>
        <v/>
      </c>
    </row>
    <row r="146" spans="1:17">
      <c r="A146" s="428" t="s">
        <v>3506</v>
      </c>
      <c r="B146" s="429"/>
      <c r="C146" s="446" t="e">
        <v>#N/A</v>
      </c>
      <c r="D146" s="446" t="e">
        <v>#N/A</v>
      </c>
      <c r="E146" s="432">
        <v>1219.1692467872265</v>
      </c>
      <c r="F146" s="447">
        <f t="shared" si="17"/>
        <v>1188.9557247990165</v>
      </c>
      <c r="G146" s="447">
        <f t="shared" si="17"/>
        <v>1160.4875356980515</v>
      </c>
      <c r="H146" s="447">
        <f t="shared" si="17"/>
        <v>1132.6334698525832</v>
      </c>
      <c r="I146" s="447">
        <f t="shared" si="17"/>
        <v>1105.4479583519551</v>
      </c>
      <c r="J146" s="447">
        <f t="shared" si="17"/>
        <v>1078.9149545294258</v>
      </c>
      <c r="K146" s="447">
        <f t="shared" si="17"/>
        <v>1053.0187968709586</v>
      </c>
      <c r="L146" s="448">
        <f t="shared" si="18"/>
        <v>1053.0187968709586</v>
      </c>
      <c r="M146" s="449" t="str">
        <f t="shared" si="19"/>
        <v/>
      </c>
      <c r="N146" s="251" t="str">
        <f t="shared" si="20"/>
        <v/>
      </c>
      <c r="O146" s="251" t="str">
        <f t="shared" si="21"/>
        <v/>
      </c>
      <c r="P146" s="251" t="str">
        <f t="shared" si="22"/>
        <v/>
      </c>
      <c r="Q146" s="450" t="str">
        <f t="shared" si="23"/>
        <v/>
      </c>
    </row>
    <row r="147" spans="1:17">
      <c r="A147" s="428" t="s">
        <v>3507</v>
      </c>
      <c r="B147" s="429"/>
      <c r="C147" s="446" t="e">
        <v>#N/A</v>
      </c>
      <c r="D147" s="446" t="e">
        <v>#N/A</v>
      </c>
      <c r="E147" s="432">
        <v>8088.8894164838375</v>
      </c>
      <c r="F147" s="447">
        <f t="shared" si="17"/>
        <v>7888.4300964270324</v>
      </c>
      <c r="G147" s="447">
        <f t="shared" si="17"/>
        <v>7699.5506327003332</v>
      </c>
      <c r="H147" s="447">
        <f t="shared" si="17"/>
        <v>7514.7457263945116</v>
      </c>
      <c r="I147" s="447">
        <f t="shared" si="17"/>
        <v>7334.3765144589115</v>
      </c>
      <c r="J147" s="447">
        <f t="shared" si="17"/>
        <v>7158.3365311890275</v>
      </c>
      <c r="K147" s="447">
        <f t="shared" si="17"/>
        <v>6986.52186627423</v>
      </c>
      <c r="L147" s="448">
        <f t="shared" si="18"/>
        <v>6986.52186627423</v>
      </c>
      <c r="M147" s="449" t="str">
        <f t="shared" si="19"/>
        <v/>
      </c>
      <c r="N147" s="251" t="str">
        <f t="shared" si="20"/>
        <v/>
      </c>
      <c r="O147" s="251" t="str">
        <f t="shared" si="21"/>
        <v/>
      </c>
      <c r="P147" s="251" t="str">
        <f t="shared" si="22"/>
        <v/>
      </c>
      <c r="Q147" s="450" t="str">
        <f t="shared" si="23"/>
        <v/>
      </c>
    </row>
    <row r="148" spans="1:17">
      <c r="A148" s="428" t="s">
        <v>3508</v>
      </c>
      <c r="B148" s="429"/>
      <c r="C148" s="446" t="e">
        <v>#N/A</v>
      </c>
      <c r="D148" s="446" t="e">
        <v>#N/A</v>
      </c>
      <c r="E148" s="432">
        <v>49316.721058670453</v>
      </c>
      <c r="F148" s="447">
        <f t="shared" si="17"/>
        <v>48094.551257374107</v>
      </c>
      <c r="G148" s="447">
        <f t="shared" si="17"/>
        <v>46942.982068241829</v>
      </c>
      <c r="H148" s="447">
        <f t="shared" si="17"/>
        <v>45816.254832240171</v>
      </c>
      <c r="I148" s="447">
        <f t="shared" si="17"/>
        <v>44716.571346090248</v>
      </c>
      <c r="J148" s="447">
        <f t="shared" si="17"/>
        <v>43643.282504682429</v>
      </c>
      <c r="K148" s="447">
        <f t="shared" si="17"/>
        <v>42595.754782752549</v>
      </c>
      <c r="L148" s="448">
        <f t="shared" si="18"/>
        <v>42595.754782752549</v>
      </c>
      <c r="M148" s="449" t="str">
        <f t="shared" si="19"/>
        <v/>
      </c>
      <c r="N148" s="251" t="str">
        <f t="shared" si="20"/>
        <v/>
      </c>
      <c r="O148" s="251" t="str">
        <f t="shared" si="21"/>
        <v/>
      </c>
      <c r="P148" s="251" t="str">
        <f t="shared" si="22"/>
        <v/>
      </c>
      <c r="Q148" s="450" t="str">
        <f t="shared" si="23"/>
        <v/>
      </c>
    </row>
    <row r="149" spans="1:17">
      <c r="A149" s="428" t="s">
        <v>3509</v>
      </c>
      <c r="B149" s="429"/>
      <c r="C149" s="446" t="e">
        <v>#N/A</v>
      </c>
      <c r="D149" s="446" t="e">
        <v>#N/A</v>
      </c>
      <c r="E149" s="432">
        <v>59955.815749517802</v>
      </c>
      <c r="F149" s="447">
        <f t="shared" si="17"/>
        <v>58469.98729522997</v>
      </c>
      <c r="G149" s="447">
        <f t="shared" si="17"/>
        <v>57069.990120959243</v>
      </c>
      <c r="H149" s="447">
        <f t="shared" si="17"/>
        <v>55700.194053590683</v>
      </c>
      <c r="I149" s="447">
        <f t="shared" si="17"/>
        <v>54363.275883383161</v>
      </c>
      <c r="J149" s="447">
        <f t="shared" si="17"/>
        <v>53058.446473802069</v>
      </c>
      <c r="K149" s="447">
        <f t="shared" si="17"/>
        <v>51784.935629197811</v>
      </c>
      <c r="L149" s="448">
        <f t="shared" si="18"/>
        <v>51784.935629197811</v>
      </c>
      <c r="M149" s="449" t="str">
        <f t="shared" si="19"/>
        <v/>
      </c>
      <c r="N149" s="251" t="str">
        <f t="shared" si="20"/>
        <v/>
      </c>
      <c r="O149" s="251" t="str">
        <f t="shared" si="21"/>
        <v/>
      </c>
      <c r="P149" s="251" t="str">
        <f t="shared" si="22"/>
        <v/>
      </c>
      <c r="Q149" s="450" t="str">
        <f t="shared" si="23"/>
        <v/>
      </c>
    </row>
    <row r="150" spans="1:17">
      <c r="A150" s="428" t="s">
        <v>3510</v>
      </c>
      <c r="B150" s="429"/>
      <c r="C150" s="446" t="e">
        <v>#N/A</v>
      </c>
      <c r="D150" s="446" t="e">
        <v>#N/A</v>
      </c>
      <c r="E150" s="432">
        <v>14949.374998252464</v>
      </c>
      <c r="F150" s="447">
        <f t="shared" si="17"/>
        <v>14578.898732213147</v>
      </c>
      <c r="G150" s="447">
        <f t="shared" si="17"/>
        <v>14229.823625936484</v>
      </c>
      <c r="H150" s="447">
        <f t="shared" si="17"/>
        <v>13888.278859574286</v>
      </c>
      <c r="I150" s="447">
        <f t="shared" si="17"/>
        <v>13554.931863648033</v>
      </c>
      <c r="J150" s="447">
        <f t="shared" si="17"/>
        <v>13229.585874960803</v>
      </c>
      <c r="K150" s="447">
        <f t="shared" si="17"/>
        <v>12912.048853033397</v>
      </c>
      <c r="L150" s="448">
        <f t="shared" si="18"/>
        <v>12912.048853033397</v>
      </c>
      <c r="M150" s="449" t="str">
        <f t="shared" si="19"/>
        <v/>
      </c>
      <c r="N150" s="251" t="str">
        <f t="shared" si="20"/>
        <v/>
      </c>
      <c r="O150" s="251" t="str">
        <f t="shared" si="21"/>
        <v/>
      </c>
      <c r="P150" s="251" t="str">
        <f t="shared" si="22"/>
        <v/>
      </c>
      <c r="Q150" s="450" t="str">
        <f t="shared" si="23"/>
        <v/>
      </c>
    </row>
    <row r="151" spans="1:17">
      <c r="A151" s="428" t="s">
        <v>3511</v>
      </c>
      <c r="B151" s="429"/>
      <c r="C151" s="446" t="e">
        <v>#N/A</v>
      </c>
      <c r="D151" s="446" t="e">
        <v>#N/A</v>
      </c>
      <c r="E151" s="432">
        <v>85665.307439406286</v>
      </c>
      <c r="F151" s="447">
        <f t="shared" si="17"/>
        <v>83542.344891943838</v>
      </c>
      <c r="G151" s="447">
        <f t="shared" si="17"/>
        <v>81542.018704251765</v>
      </c>
      <c r="H151" s="447">
        <f t="shared" si="17"/>
        <v>79584.844078679904</v>
      </c>
      <c r="I151" s="447">
        <f t="shared" si="17"/>
        <v>77674.645632700514</v>
      </c>
      <c r="J151" s="447">
        <f t="shared" si="17"/>
        <v>75810.295842269348</v>
      </c>
      <c r="K151" s="447">
        <f t="shared" si="17"/>
        <v>73990.694246217026</v>
      </c>
      <c r="L151" s="448">
        <f t="shared" si="18"/>
        <v>73990.694246217026</v>
      </c>
      <c r="M151" s="449" t="str">
        <f t="shared" si="19"/>
        <v/>
      </c>
      <c r="N151" s="251" t="str">
        <f t="shared" si="20"/>
        <v/>
      </c>
      <c r="O151" s="251" t="str">
        <f t="shared" si="21"/>
        <v/>
      </c>
      <c r="P151" s="251" t="str">
        <f t="shared" si="22"/>
        <v/>
      </c>
      <c r="Q151" s="450" t="str">
        <f t="shared" si="23"/>
        <v/>
      </c>
    </row>
    <row r="152" spans="1:17">
      <c r="A152" s="428" t="s">
        <v>3512</v>
      </c>
      <c r="B152" s="429"/>
      <c r="C152" s="446" t="e">
        <v>#N/A</v>
      </c>
      <c r="D152" s="446" t="e">
        <v>#N/A</v>
      </c>
      <c r="E152" s="432">
        <v>19039.131542494502</v>
      </c>
      <c r="F152" s="447">
        <f t="shared" si="17"/>
        <v>18567.302695916012</v>
      </c>
      <c r="G152" s="447">
        <f t="shared" si="17"/>
        <v>18122.729804581861</v>
      </c>
      <c r="H152" s="447">
        <f t="shared" si="17"/>
        <v>17687.747356474123</v>
      </c>
      <c r="I152" s="447">
        <f t="shared" ref="F152:K194" si="24">+$E152*(I$3)</f>
        <v>17263.205373583383</v>
      </c>
      <c r="J152" s="447">
        <f t="shared" si="24"/>
        <v>16848.853263467532</v>
      </c>
      <c r="K152" s="447">
        <f t="shared" si="24"/>
        <v>16444.446448413753</v>
      </c>
      <c r="L152" s="448">
        <f t="shared" si="18"/>
        <v>16444.446448413753</v>
      </c>
      <c r="M152" s="449" t="str">
        <f t="shared" si="19"/>
        <v/>
      </c>
      <c r="N152" s="251" t="str">
        <f t="shared" si="20"/>
        <v/>
      </c>
      <c r="O152" s="251" t="str">
        <f t="shared" si="21"/>
        <v/>
      </c>
      <c r="P152" s="251" t="str">
        <f t="shared" si="22"/>
        <v/>
      </c>
      <c r="Q152" s="450" t="str">
        <f t="shared" si="23"/>
        <v/>
      </c>
    </row>
    <row r="153" spans="1:17">
      <c r="A153" s="428" t="s">
        <v>3513</v>
      </c>
      <c r="B153" s="429"/>
      <c r="C153" s="446" t="e">
        <v>#N/A</v>
      </c>
      <c r="D153" s="446" t="e">
        <v>#N/A</v>
      </c>
      <c r="E153" s="432">
        <v>20074.283247296058</v>
      </c>
      <c r="F153" s="447">
        <f t="shared" si="24"/>
        <v>19576.801211977308</v>
      </c>
      <c r="G153" s="447">
        <f t="shared" si="24"/>
        <v>19108.057029775922</v>
      </c>
      <c r="H153" s="447">
        <f t="shared" si="24"/>
        <v>18649.424720238712</v>
      </c>
      <c r="I153" s="447">
        <f t="shared" si="24"/>
        <v>18201.8005207895</v>
      </c>
      <c r="J153" s="447">
        <f t="shared" si="24"/>
        <v>17764.920214352445</v>
      </c>
      <c r="K153" s="447">
        <f t="shared" si="24"/>
        <v>17338.525925599984</v>
      </c>
      <c r="L153" s="448">
        <f t="shared" si="18"/>
        <v>17338.525925599984</v>
      </c>
      <c r="M153" s="449" t="str">
        <f t="shared" si="19"/>
        <v/>
      </c>
      <c r="N153" s="251" t="str">
        <f t="shared" si="20"/>
        <v/>
      </c>
      <c r="O153" s="251" t="str">
        <f t="shared" si="21"/>
        <v/>
      </c>
      <c r="P153" s="251" t="str">
        <f t="shared" si="22"/>
        <v/>
      </c>
      <c r="Q153" s="450" t="str">
        <f t="shared" si="23"/>
        <v/>
      </c>
    </row>
    <row r="154" spans="1:17">
      <c r="A154" s="428" t="s">
        <v>3514</v>
      </c>
      <c r="B154" s="429"/>
      <c r="C154" s="446" t="e">
        <v>#N/A</v>
      </c>
      <c r="D154" s="446" t="e">
        <v>#N/A</v>
      </c>
      <c r="E154" s="432">
        <v>2721.0415743510403</v>
      </c>
      <c r="F154" s="447">
        <f t="shared" si="24"/>
        <v>2653.6085664613352</v>
      </c>
      <c r="G154" s="447">
        <f t="shared" si="24"/>
        <v>2590.0709351649875</v>
      </c>
      <c r="H154" s="447">
        <f t="shared" si="24"/>
        <v>2527.9039543459098</v>
      </c>
      <c r="I154" s="447">
        <f t="shared" si="24"/>
        <v>2467.2291077582504</v>
      </c>
      <c r="J154" s="447">
        <f t="shared" si="24"/>
        <v>2408.0105811395938</v>
      </c>
      <c r="K154" s="447">
        <f t="shared" si="24"/>
        <v>2350.2134198428107</v>
      </c>
      <c r="L154" s="448">
        <f t="shared" si="18"/>
        <v>2350.2134198428107</v>
      </c>
      <c r="M154" s="449" t="str">
        <f t="shared" si="19"/>
        <v/>
      </c>
      <c r="N154" s="251" t="str">
        <f t="shared" si="20"/>
        <v/>
      </c>
      <c r="O154" s="251" t="str">
        <f t="shared" si="21"/>
        <v/>
      </c>
      <c r="P154" s="251" t="str">
        <f t="shared" si="22"/>
        <v/>
      </c>
      <c r="Q154" s="450" t="str">
        <f t="shared" si="23"/>
        <v/>
      </c>
    </row>
    <row r="155" spans="1:17">
      <c r="A155" s="428" t="s">
        <v>3515</v>
      </c>
      <c r="B155" s="429"/>
      <c r="C155" s="446" t="e">
        <v>#N/A</v>
      </c>
      <c r="D155" s="446" t="e">
        <v>#N/A</v>
      </c>
      <c r="E155" s="432">
        <v>2477620.1124638272</v>
      </c>
      <c r="F155" s="447">
        <f t="shared" si="24"/>
        <v>2416219.5891618957</v>
      </c>
      <c r="G155" s="447">
        <f t="shared" si="24"/>
        <v>2358365.9662396926</v>
      </c>
      <c r="H155" s="447">
        <f t="shared" si="24"/>
        <v>2301760.3768726015</v>
      </c>
      <c r="I155" s="447">
        <f t="shared" si="24"/>
        <v>2246513.4370083711</v>
      </c>
      <c r="J155" s="447">
        <f t="shared" si="24"/>
        <v>2192592.5362901045</v>
      </c>
      <c r="K155" s="447">
        <f t="shared" si="24"/>
        <v>2139965.847075928</v>
      </c>
      <c r="L155" s="448">
        <f t="shared" si="18"/>
        <v>2139965.847075928</v>
      </c>
      <c r="M155" s="449" t="str">
        <f t="shared" si="19"/>
        <v/>
      </c>
      <c r="N155" s="251" t="str">
        <f t="shared" si="20"/>
        <v/>
      </c>
      <c r="O155" s="251" t="str">
        <f t="shared" si="21"/>
        <v/>
      </c>
      <c r="P155" s="251" t="str">
        <f t="shared" si="22"/>
        <v/>
      </c>
      <c r="Q155" s="450" t="str">
        <f t="shared" si="23"/>
        <v/>
      </c>
    </row>
    <row r="156" spans="1:17">
      <c r="A156" s="428" t="s">
        <v>3516</v>
      </c>
      <c r="B156" s="429"/>
      <c r="C156" s="446" t="e">
        <v>#N/A</v>
      </c>
      <c r="D156" s="446" t="e">
        <v>#N/A</v>
      </c>
      <c r="E156" s="432">
        <v>257579.45982189965</v>
      </c>
      <c r="F156" s="447">
        <f t="shared" si="24"/>
        <v>251196.11091972835</v>
      </c>
      <c r="G156" s="447">
        <f t="shared" si="24"/>
        <v>245181.506474892</v>
      </c>
      <c r="H156" s="447">
        <f t="shared" si="24"/>
        <v>239296.65065751795</v>
      </c>
      <c r="I156" s="447">
        <f t="shared" si="24"/>
        <v>233553.04337266661</v>
      </c>
      <c r="J156" s="447">
        <f t="shared" si="24"/>
        <v>227947.29436770323</v>
      </c>
      <c r="K156" s="447">
        <f t="shared" si="24"/>
        <v>222476.09476296543</v>
      </c>
      <c r="L156" s="448">
        <f t="shared" si="18"/>
        <v>222476.09476296543</v>
      </c>
      <c r="M156" s="449" t="str">
        <f t="shared" si="19"/>
        <v/>
      </c>
      <c r="N156" s="251" t="str">
        <f t="shared" si="20"/>
        <v/>
      </c>
      <c r="O156" s="251" t="str">
        <f t="shared" si="21"/>
        <v/>
      </c>
      <c r="P156" s="251" t="str">
        <f t="shared" si="22"/>
        <v/>
      </c>
      <c r="Q156" s="450" t="str">
        <f t="shared" si="23"/>
        <v/>
      </c>
    </row>
    <row r="157" spans="1:17">
      <c r="A157" s="428" t="s">
        <v>3517</v>
      </c>
      <c r="B157" s="429"/>
      <c r="C157" s="446" t="e">
        <v>#N/A</v>
      </c>
      <c r="D157" s="446" t="e">
        <v>#N/A</v>
      </c>
      <c r="E157" s="432">
        <v>57426.504852551203</v>
      </c>
      <c r="F157" s="447">
        <f t="shared" si="24"/>
        <v>56003.357925542623</v>
      </c>
      <c r="G157" s="447">
        <f t="shared" si="24"/>
        <v>54662.421378908068</v>
      </c>
      <c r="H157" s="447">
        <f t="shared" si="24"/>
        <v>53350.411867797731</v>
      </c>
      <c r="I157" s="447">
        <f t="shared" si="24"/>
        <v>52069.893258733471</v>
      </c>
      <c r="J157" s="447">
        <f t="shared" si="24"/>
        <v>50820.109705890005</v>
      </c>
      <c r="K157" s="447">
        <f t="shared" si="24"/>
        <v>49600.323505282249</v>
      </c>
      <c r="L157" s="448">
        <f t="shared" si="18"/>
        <v>49600.323505282249</v>
      </c>
      <c r="M157" s="449" t="str">
        <f t="shared" si="19"/>
        <v/>
      </c>
      <c r="N157" s="251" t="str">
        <f t="shared" si="20"/>
        <v/>
      </c>
      <c r="O157" s="251" t="str">
        <f t="shared" si="21"/>
        <v/>
      </c>
      <c r="P157" s="251" t="str">
        <f t="shared" si="22"/>
        <v/>
      </c>
      <c r="Q157" s="450" t="str">
        <f t="shared" si="23"/>
        <v/>
      </c>
    </row>
    <row r="158" spans="1:17">
      <c r="A158" s="428" t="s">
        <v>3518</v>
      </c>
      <c r="B158" s="429"/>
      <c r="C158" s="446" t="e">
        <v>#N/A</v>
      </c>
      <c r="D158" s="446" t="e">
        <v>#N/A</v>
      </c>
      <c r="E158" s="432">
        <v>16985.525362211825</v>
      </c>
      <c r="F158" s="447">
        <f t="shared" si="24"/>
        <v>16564.589101422062</v>
      </c>
      <c r="G158" s="447">
        <f t="shared" si="24"/>
        <v>16167.968903475852</v>
      </c>
      <c r="H158" s="447">
        <f t="shared" si="24"/>
        <v>15779.904700654395</v>
      </c>
      <c r="I158" s="447">
        <f t="shared" si="24"/>
        <v>15401.154829547117</v>
      </c>
      <c r="J158" s="447">
        <f t="shared" si="24"/>
        <v>15031.495727210946</v>
      </c>
      <c r="K158" s="447">
        <f t="shared" si="24"/>
        <v>14670.709196669055</v>
      </c>
      <c r="L158" s="448">
        <f t="shared" si="18"/>
        <v>14670.709196669055</v>
      </c>
      <c r="M158" s="449" t="str">
        <f t="shared" si="19"/>
        <v/>
      </c>
      <c r="N158" s="251" t="str">
        <f t="shared" si="20"/>
        <v/>
      </c>
      <c r="O158" s="251" t="str">
        <f t="shared" si="21"/>
        <v/>
      </c>
      <c r="P158" s="251" t="str">
        <f t="shared" si="22"/>
        <v/>
      </c>
      <c r="Q158" s="450" t="str">
        <f t="shared" si="23"/>
        <v/>
      </c>
    </row>
    <row r="159" spans="1:17">
      <c r="A159" s="428" t="s">
        <v>3519</v>
      </c>
      <c r="B159" s="429"/>
      <c r="C159" s="446" t="e">
        <v>#N/A</v>
      </c>
      <c r="D159" s="446" t="e">
        <v>#N/A</v>
      </c>
      <c r="E159" s="432">
        <v>10683.329477594087</v>
      </c>
      <c r="F159" s="447">
        <f t="shared" si="24"/>
        <v>10418.574595588016</v>
      </c>
      <c r="G159" s="447">
        <f t="shared" si="24"/>
        <v>10169.113706874228</v>
      </c>
      <c r="H159" s="447">
        <f t="shared" si="24"/>
        <v>9925.0342539993217</v>
      </c>
      <c r="I159" s="447">
        <f t="shared" si="24"/>
        <v>9686.8132054094858</v>
      </c>
      <c r="J159" s="447">
        <f t="shared" si="24"/>
        <v>9454.309947462878</v>
      </c>
      <c r="K159" s="447">
        <f t="shared" si="24"/>
        <v>9227.3872415316218</v>
      </c>
      <c r="L159" s="448">
        <f t="shared" si="18"/>
        <v>9227.3872415316218</v>
      </c>
      <c r="M159" s="449" t="str">
        <f t="shared" si="19"/>
        <v/>
      </c>
      <c r="N159" s="251" t="str">
        <f t="shared" si="20"/>
        <v/>
      </c>
      <c r="O159" s="251" t="str">
        <f t="shared" si="21"/>
        <v/>
      </c>
      <c r="P159" s="251" t="str">
        <f t="shared" si="22"/>
        <v/>
      </c>
      <c r="Q159" s="450" t="str">
        <f t="shared" si="23"/>
        <v/>
      </c>
    </row>
    <row r="160" spans="1:17">
      <c r="A160" s="428" t="s">
        <v>3520</v>
      </c>
      <c r="B160" s="429"/>
      <c r="C160" s="446" t="e">
        <v>#N/A</v>
      </c>
      <c r="D160" s="446" t="e">
        <v>#N/A</v>
      </c>
      <c r="E160" s="432">
        <v>54647.960314363489</v>
      </c>
      <c r="F160" s="447">
        <f t="shared" si="24"/>
        <v>53293.671436982535</v>
      </c>
      <c r="G160" s="447">
        <f t="shared" si="24"/>
        <v>52017.615243545071</v>
      </c>
      <c r="H160" s="447">
        <f t="shared" si="24"/>
        <v>50769.086469604903</v>
      </c>
      <c r="I160" s="447">
        <f t="shared" si="24"/>
        <v>49550.524930649619</v>
      </c>
      <c r="J160" s="447">
        <f t="shared" si="24"/>
        <v>48361.211351968544</v>
      </c>
      <c r="K160" s="447">
        <f t="shared" si="24"/>
        <v>47200.443722909898</v>
      </c>
      <c r="L160" s="448">
        <f t="shared" si="18"/>
        <v>47200.443722909898</v>
      </c>
      <c r="M160" s="449" t="str">
        <f t="shared" si="19"/>
        <v/>
      </c>
      <c r="N160" s="251" t="str">
        <f t="shared" si="20"/>
        <v/>
      </c>
      <c r="O160" s="251" t="str">
        <f t="shared" si="21"/>
        <v/>
      </c>
      <c r="P160" s="251" t="str">
        <f t="shared" si="22"/>
        <v/>
      </c>
      <c r="Q160" s="450" t="str">
        <f t="shared" si="23"/>
        <v/>
      </c>
    </row>
    <row r="161" spans="1:17">
      <c r="A161" s="428" t="s">
        <v>3521</v>
      </c>
      <c r="B161" s="429"/>
      <c r="C161" s="446" t="e">
        <v>#N/A</v>
      </c>
      <c r="D161" s="446" t="e">
        <v>#N/A</v>
      </c>
      <c r="E161" s="432">
        <v>26638.205133037412</v>
      </c>
      <c r="F161" s="447">
        <f t="shared" si="24"/>
        <v>25978.055610209154</v>
      </c>
      <c r="G161" s="447">
        <f t="shared" si="24"/>
        <v>25356.040690594014</v>
      </c>
      <c r="H161" s="447">
        <f t="shared" si="24"/>
        <v>24747.444040263472</v>
      </c>
      <c r="I161" s="447">
        <f t="shared" si="24"/>
        <v>24153.454949816325</v>
      </c>
      <c r="J161" s="447">
        <f t="shared" si="24"/>
        <v>23573.722808046226</v>
      </c>
      <c r="K161" s="447">
        <f t="shared" si="24"/>
        <v>23007.905419130311</v>
      </c>
      <c r="L161" s="448">
        <f t="shared" si="18"/>
        <v>23007.905419130311</v>
      </c>
      <c r="M161" s="449" t="str">
        <f t="shared" si="19"/>
        <v/>
      </c>
      <c r="N161" s="251" t="str">
        <f t="shared" si="20"/>
        <v/>
      </c>
      <c r="O161" s="251" t="str">
        <f t="shared" si="21"/>
        <v/>
      </c>
      <c r="P161" s="251" t="str">
        <f t="shared" si="22"/>
        <v/>
      </c>
      <c r="Q161" s="450" t="str">
        <f t="shared" si="23"/>
        <v/>
      </c>
    </row>
    <row r="162" spans="1:17">
      <c r="A162" s="428" t="s">
        <v>3522</v>
      </c>
      <c r="B162" s="429"/>
      <c r="C162" s="446" t="e">
        <v>#N/A</v>
      </c>
      <c r="D162" s="446" t="e">
        <v>#N/A</v>
      </c>
      <c r="E162" s="432">
        <v>15625.480665379544</v>
      </c>
      <c r="F162" s="447">
        <f t="shared" si="24"/>
        <v>15238.249110036524</v>
      </c>
      <c r="G162" s="447">
        <f t="shared" si="24"/>
        <v>14873.386610799673</v>
      </c>
      <c r="H162" s="447">
        <f t="shared" si="24"/>
        <v>14516.395021266466</v>
      </c>
      <c r="I162" s="447">
        <f t="shared" si="24"/>
        <v>14167.971957404807</v>
      </c>
      <c r="J162" s="447">
        <f t="shared" si="24"/>
        <v>13827.911757136544</v>
      </c>
      <c r="K162" s="447">
        <f t="shared" si="24"/>
        <v>13496.013694692536</v>
      </c>
      <c r="L162" s="448">
        <f t="shared" si="18"/>
        <v>13496.013694692536</v>
      </c>
      <c r="M162" s="449" t="str">
        <f t="shared" si="19"/>
        <v/>
      </c>
      <c r="N162" s="251" t="str">
        <f t="shared" si="20"/>
        <v/>
      </c>
      <c r="O162" s="251" t="str">
        <f t="shared" si="21"/>
        <v/>
      </c>
      <c r="P162" s="251" t="str">
        <f t="shared" si="22"/>
        <v/>
      </c>
      <c r="Q162" s="450" t="str">
        <f t="shared" si="23"/>
        <v/>
      </c>
    </row>
    <row r="163" spans="1:17">
      <c r="A163" s="428" t="s">
        <v>3523</v>
      </c>
      <c r="B163" s="429"/>
      <c r="C163" s="446" t="e">
        <v>#N/A</v>
      </c>
      <c r="D163" s="446" t="e">
        <v>#N/A</v>
      </c>
      <c r="E163" s="432">
        <v>6831.3845165791536</v>
      </c>
      <c r="F163" s="447">
        <f t="shared" si="24"/>
        <v>6662.0887548582186</v>
      </c>
      <c r="G163" s="447">
        <f t="shared" si="24"/>
        <v>6502.5726361963771</v>
      </c>
      <c r="H163" s="447">
        <f t="shared" si="24"/>
        <v>6346.4976411602556</v>
      </c>
      <c r="I163" s="447">
        <f t="shared" si="24"/>
        <v>6194.1687640744249</v>
      </c>
      <c r="J163" s="447">
        <f t="shared" si="24"/>
        <v>6045.4960904737645</v>
      </c>
      <c r="K163" s="447">
        <f t="shared" si="24"/>
        <v>5900.3918640235534</v>
      </c>
      <c r="L163" s="448">
        <f t="shared" si="18"/>
        <v>5900.3918640235534</v>
      </c>
      <c r="M163" s="449" t="str">
        <f t="shared" si="19"/>
        <v/>
      </c>
      <c r="N163" s="251" t="str">
        <f t="shared" si="20"/>
        <v/>
      </c>
      <c r="O163" s="251" t="str">
        <f t="shared" si="21"/>
        <v/>
      </c>
      <c r="P163" s="251" t="str">
        <f t="shared" si="22"/>
        <v/>
      </c>
      <c r="Q163" s="450" t="str">
        <f t="shared" si="23"/>
        <v/>
      </c>
    </row>
    <row r="164" spans="1:17">
      <c r="A164" s="428" t="s">
        <v>3524</v>
      </c>
      <c r="B164" s="429"/>
      <c r="C164" s="446" t="e">
        <v>#N/A</v>
      </c>
      <c r="D164" s="446" t="e">
        <v>#N/A</v>
      </c>
      <c r="E164" s="432">
        <v>4736.2593016873234</v>
      </c>
      <c r="F164" s="447">
        <f t="shared" si="24"/>
        <v>4618.885052844932</v>
      </c>
      <c r="G164" s="447">
        <f t="shared" si="24"/>
        <v>4508.2911170259704</v>
      </c>
      <c r="H164" s="447">
        <f t="shared" si="24"/>
        <v>4400.0829426498049</v>
      </c>
      <c r="I164" s="447">
        <f t="shared" si="24"/>
        <v>4294.4719849790126</v>
      </c>
      <c r="J164" s="447">
        <f t="shared" si="24"/>
        <v>4191.3959055197256</v>
      </c>
      <c r="K164" s="447">
        <f t="shared" si="24"/>
        <v>4090.7938620289724</v>
      </c>
      <c r="L164" s="448">
        <f t="shared" si="18"/>
        <v>4090.7938620289724</v>
      </c>
      <c r="M164" s="449" t="str">
        <f t="shared" si="19"/>
        <v/>
      </c>
      <c r="N164" s="251" t="str">
        <f t="shared" si="20"/>
        <v/>
      </c>
      <c r="O164" s="251" t="str">
        <f t="shared" si="21"/>
        <v/>
      </c>
      <c r="P164" s="251" t="str">
        <f t="shared" si="22"/>
        <v/>
      </c>
      <c r="Q164" s="450" t="str">
        <f t="shared" si="23"/>
        <v/>
      </c>
    </row>
    <row r="165" spans="1:17">
      <c r="A165" s="428" t="s">
        <v>3525</v>
      </c>
      <c r="B165" s="429"/>
      <c r="C165" s="446" t="e">
        <v>#N/A</v>
      </c>
      <c r="D165" s="446" t="e">
        <v>#N/A</v>
      </c>
      <c r="E165" s="432">
        <v>9798.8452227201888</v>
      </c>
      <c r="F165" s="447">
        <f t="shared" si="24"/>
        <v>9556.0096800948322</v>
      </c>
      <c r="G165" s="447">
        <f t="shared" si="24"/>
        <v>9327.2019247264998</v>
      </c>
      <c r="H165" s="447">
        <f t="shared" si="24"/>
        <v>9103.3300703777695</v>
      </c>
      <c r="I165" s="447">
        <f t="shared" si="24"/>
        <v>8884.8315967678755</v>
      </c>
      <c r="J165" s="447">
        <f t="shared" si="24"/>
        <v>8671.5775318085234</v>
      </c>
      <c r="K165" s="447">
        <f t="shared" si="24"/>
        <v>8463.4419990043843</v>
      </c>
      <c r="L165" s="448">
        <f t="shared" si="18"/>
        <v>8463.4419990043843</v>
      </c>
      <c r="M165" s="449" t="str">
        <f t="shared" si="19"/>
        <v/>
      </c>
      <c r="N165" s="251" t="str">
        <f t="shared" si="20"/>
        <v/>
      </c>
      <c r="O165" s="251" t="str">
        <f t="shared" si="21"/>
        <v/>
      </c>
      <c r="P165" s="251" t="str">
        <f t="shared" si="22"/>
        <v/>
      </c>
      <c r="Q165" s="450" t="str">
        <f t="shared" si="23"/>
        <v/>
      </c>
    </row>
    <row r="166" spans="1:17">
      <c r="A166" s="428" t="s">
        <v>3526</v>
      </c>
      <c r="B166" s="429"/>
      <c r="C166" s="446" t="e">
        <v>#N/A</v>
      </c>
      <c r="D166" s="446" t="e">
        <v>#N/A</v>
      </c>
      <c r="E166" s="432">
        <v>12073.309645965172</v>
      </c>
      <c r="F166" s="447">
        <f t="shared" si="24"/>
        <v>11774.108195944918</v>
      </c>
      <c r="G166" s="447">
        <f t="shared" si="24"/>
        <v>11492.190600843518</v>
      </c>
      <c r="H166" s="447">
        <f t="shared" si="24"/>
        <v>11216.354606179413</v>
      </c>
      <c r="I166" s="447">
        <f t="shared" si="24"/>
        <v>10947.139237520831</v>
      </c>
      <c r="J166" s="447">
        <f t="shared" si="24"/>
        <v>10684.385586351282</v>
      </c>
      <c r="K166" s="447">
        <f t="shared" si="24"/>
        <v>10427.938558282525</v>
      </c>
      <c r="L166" s="448">
        <f t="shared" si="18"/>
        <v>10427.938558282525</v>
      </c>
      <c r="M166" s="449" t="str">
        <f t="shared" si="19"/>
        <v/>
      </c>
      <c r="N166" s="251" t="str">
        <f t="shared" si="20"/>
        <v/>
      </c>
      <c r="O166" s="251" t="str">
        <f t="shared" si="21"/>
        <v/>
      </c>
      <c r="P166" s="251" t="str">
        <f t="shared" si="22"/>
        <v/>
      </c>
      <c r="Q166" s="450" t="str">
        <f t="shared" si="23"/>
        <v/>
      </c>
    </row>
    <row r="167" spans="1:17">
      <c r="A167" s="428" t="s">
        <v>3527</v>
      </c>
      <c r="B167" s="429"/>
      <c r="C167" s="446" t="e">
        <v>#N/A</v>
      </c>
      <c r="D167" s="446" t="e">
        <v>#N/A</v>
      </c>
      <c r="E167" s="432">
        <v>8094.6943773761332</v>
      </c>
      <c r="F167" s="447">
        <f t="shared" si="24"/>
        <v>7894.0911984465574</v>
      </c>
      <c r="G167" s="447">
        <f t="shared" si="24"/>
        <v>7705.0761860871789</v>
      </c>
      <c r="H167" s="447">
        <f t="shared" si="24"/>
        <v>7520.1386552393997</v>
      </c>
      <c r="I167" s="447">
        <f t="shared" si="24"/>
        <v>7339.6400020211277</v>
      </c>
      <c r="J167" s="447">
        <f t="shared" si="24"/>
        <v>7163.4736843231476</v>
      </c>
      <c r="K167" s="447">
        <f t="shared" si="24"/>
        <v>6991.5357172639888</v>
      </c>
      <c r="L167" s="448">
        <f t="shared" si="18"/>
        <v>6991.5357172639888</v>
      </c>
      <c r="M167" s="449" t="str">
        <f t="shared" si="19"/>
        <v/>
      </c>
      <c r="N167" s="251" t="str">
        <f t="shared" si="20"/>
        <v/>
      </c>
      <c r="O167" s="251" t="str">
        <f t="shared" si="21"/>
        <v/>
      </c>
      <c r="P167" s="251" t="str">
        <f t="shared" si="22"/>
        <v/>
      </c>
      <c r="Q167" s="450" t="str">
        <f t="shared" si="23"/>
        <v/>
      </c>
    </row>
    <row r="168" spans="1:17">
      <c r="A168" s="428" t="s">
        <v>3528</v>
      </c>
      <c r="B168" s="429"/>
      <c r="C168" s="446" t="e">
        <v>#N/A</v>
      </c>
      <c r="D168" s="446" t="e">
        <v>#N/A</v>
      </c>
      <c r="E168" s="432">
        <v>6613472.1735634124</v>
      </c>
      <c r="F168" s="447">
        <f t="shared" si="24"/>
        <v>6449576.7279877197</v>
      </c>
      <c r="G168" s="447">
        <f t="shared" si="24"/>
        <v>6295148.9674884174</v>
      </c>
      <c r="H168" s="447">
        <f t="shared" si="24"/>
        <v>6144052.5632155519</v>
      </c>
      <c r="I168" s="447">
        <f t="shared" si="24"/>
        <v>5996582.7805686556</v>
      </c>
      <c r="J168" s="447">
        <f t="shared" si="24"/>
        <v>5852652.5732379155</v>
      </c>
      <c r="K168" s="447">
        <f t="shared" si="24"/>
        <v>5712176.9842023477</v>
      </c>
      <c r="L168" s="448">
        <f t="shared" si="18"/>
        <v>5712176.9842023477</v>
      </c>
      <c r="M168" s="449" t="str">
        <f t="shared" si="19"/>
        <v/>
      </c>
      <c r="N168" s="251" t="str">
        <f t="shared" si="20"/>
        <v/>
      </c>
      <c r="O168" s="251" t="str">
        <f t="shared" si="21"/>
        <v/>
      </c>
      <c r="P168" s="251" t="str">
        <f t="shared" si="22"/>
        <v/>
      </c>
      <c r="Q168" s="450" t="str">
        <f t="shared" si="23"/>
        <v/>
      </c>
    </row>
    <row r="169" spans="1:17">
      <c r="A169" s="428" t="s">
        <v>3529</v>
      </c>
      <c r="B169" s="429"/>
      <c r="C169" s="446">
        <v>138</v>
      </c>
      <c r="D169" s="446" t="s">
        <v>2498</v>
      </c>
      <c r="E169" s="432">
        <v>4826.8999566136326</v>
      </c>
      <c r="F169" s="447">
        <f t="shared" si="24"/>
        <v>4707.279445877859</v>
      </c>
      <c r="G169" s="447">
        <f t="shared" si="24"/>
        <v>4594.5690071111094</v>
      </c>
      <c r="H169" s="447">
        <f t="shared" si="24"/>
        <v>4484.2899875448711</v>
      </c>
      <c r="I169" s="447">
        <f t="shared" si="24"/>
        <v>4376.6578891887993</v>
      </c>
      <c r="J169" s="447">
        <f t="shared" si="24"/>
        <v>4271.6091805396163</v>
      </c>
      <c r="K169" s="447">
        <f t="shared" si="24"/>
        <v>4169.0818549795977</v>
      </c>
      <c r="L169" s="448" t="str">
        <f t="shared" si="18"/>
        <v/>
      </c>
      <c r="M169" s="449" t="str">
        <f t="shared" si="19"/>
        <v/>
      </c>
      <c r="N169" s="251" t="str">
        <f t="shared" si="20"/>
        <v/>
      </c>
      <c r="O169" s="251">
        <f t="shared" si="21"/>
        <v>4169.0818549795977</v>
      </c>
      <c r="P169" s="251" t="str">
        <f t="shared" si="22"/>
        <v/>
      </c>
      <c r="Q169" s="450" t="str">
        <f t="shared" si="23"/>
        <v/>
      </c>
    </row>
    <row r="170" spans="1:17">
      <c r="A170" s="428" t="s">
        <v>3530</v>
      </c>
      <c r="B170" s="429"/>
      <c r="C170" s="446">
        <v>138</v>
      </c>
      <c r="D170" s="446" t="s">
        <v>2498</v>
      </c>
      <c r="E170" s="432">
        <v>652235.55183953152</v>
      </c>
      <c r="F170" s="447">
        <f t="shared" si="24"/>
        <v>636071.81309782155</v>
      </c>
      <c r="G170" s="447">
        <f t="shared" si="24"/>
        <v>620841.79882616026</v>
      </c>
      <c r="H170" s="447">
        <f t="shared" si="24"/>
        <v>605940.33042415732</v>
      </c>
      <c r="I170" s="447">
        <f t="shared" si="24"/>
        <v>591396.52763190505</v>
      </c>
      <c r="J170" s="447">
        <f t="shared" si="24"/>
        <v>577201.80574587313</v>
      </c>
      <c r="K170" s="447">
        <f t="shared" si="24"/>
        <v>563347.78611291095</v>
      </c>
      <c r="L170" s="448" t="str">
        <f t="shared" si="18"/>
        <v/>
      </c>
      <c r="M170" s="449" t="str">
        <f t="shared" si="19"/>
        <v/>
      </c>
      <c r="N170" s="251" t="str">
        <f t="shared" si="20"/>
        <v/>
      </c>
      <c r="O170" s="251">
        <f t="shared" si="21"/>
        <v>563347.78611291095</v>
      </c>
      <c r="P170" s="251" t="str">
        <f t="shared" si="22"/>
        <v/>
      </c>
      <c r="Q170" s="450" t="str">
        <f t="shared" si="23"/>
        <v/>
      </c>
    </row>
    <row r="171" spans="1:17">
      <c r="A171" s="428" t="s">
        <v>3531</v>
      </c>
      <c r="B171" s="429"/>
      <c r="C171" s="446">
        <v>138</v>
      </c>
      <c r="D171" s="446" t="s">
        <v>2498</v>
      </c>
      <c r="E171" s="432">
        <v>5052578.1113691945</v>
      </c>
      <c r="F171" s="447">
        <f t="shared" si="24"/>
        <v>4927364.8316975785</v>
      </c>
      <c r="G171" s="447">
        <f t="shared" si="24"/>
        <v>4809384.6993239168</v>
      </c>
      <c r="H171" s="447">
        <f t="shared" si="24"/>
        <v>4693949.6653659036</v>
      </c>
      <c r="I171" s="447">
        <f t="shared" si="24"/>
        <v>4581285.3074710378</v>
      </c>
      <c r="J171" s="447">
        <f t="shared" si="24"/>
        <v>4471325.1237673704</v>
      </c>
      <c r="K171" s="447">
        <f t="shared" si="24"/>
        <v>4364004.2085634014</v>
      </c>
      <c r="L171" s="448" t="str">
        <f t="shared" si="18"/>
        <v/>
      </c>
      <c r="M171" s="449" t="str">
        <f t="shared" si="19"/>
        <v/>
      </c>
      <c r="N171" s="251" t="str">
        <f t="shared" si="20"/>
        <v/>
      </c>
      <c r="O171" s="251">
        <f t="shared" si="21"/>
        <v>4364004.2085634014</v>
      </c>
      <c r="P171" s="251" t="str">
        <f t="shared" si="22"/>
        <v/>
      </c>
      <c r="Q171" s="450" t="str">
        <f t="shared" si="23"/>
        <v/>
      </c>
    </row>
    <row r="172" spans="1:17">
      <c r="A172" s="428" t="s">
        <v>3532</v>
      </c>
      <c r="B172" s="429"/>
      <c r="C172" s="446">
        <v>138</v>
      </c>
      <c r="D172" s="446" t="s">
        <v>2499</v>
      </c>
      <c r="E172" s="432">
        <v>809166.7286152076</v>
      </c>
      <c r="F172" s="447">
        <f t="shared" si="24"/>
        <v>789113.91247703088</v>
      </c>
      <c r="G172" s="447">
        <f t="shared" si="24"/>
        <v>770219.47964489507</v>
      </c>
      <c r="H172" s="447">
        <f t="shared" si="24"/>
        <v>751732.642482455</v>
      </c>
      <c r="I172" s="447">
        <f t="shared" si="24"/>
        <v>733689.52708673547</v>
      </c>
      <c r="J172" s="447">
        <f t="shared" si="24"/>
        <v>716079.48323106265</v>
      </c>
      <c r="K172" s="447">
        <f t="shared" si="24"/>
        <v>698892.11631590722</v>
      </c>
      <c r="L172" s="448" t="str">
        <f t="shared" si="18"/>
        <v/>
      </c>
      <c r="M172" s="449" t="str">
        <f t="shared" si="19"/>
        <v/>
      </c>
      <c r="N172" s="251" t="str">
        <f t="shared" si="20"/>
        <v/>
      </c>
      <c r="O172" s="251" t="str">
        <f t="shared" si="21"/>
        <v/>
      </c>
      <c r="P172" s="251" t="str">
        <f t="shared" si="22"/>
        <v/>
      </c>
      <c r="Q172" s="450">
        <f t="shared" si="23"/>
        <v>698892.11631590722</v>
      </c>
    </row>
    <row r="173" spans="1:17">
      <c r="A173" s="428" t="s">
        <v>3533</v>
      </c>
      <c r="B173" s="429"/>
      <c r="C173" s="446">
        <v>138</v>
      </c>
      <c r="D173" s="446" t="s">
        <v>2499</v>
      </c>
      <c r="E173" s="432">
        <v>9748814.1099999994</v>
      </c>
      <c r="F173" s="447">
        <f t="shared" si="24"/>
        <v>9507218.4412709456</v>
      </c>
      <c r="G173" s="447">
        <f t="shared" si="24"/>
        <v>9279578.9364811145</v>
      </c>
      <c r="H173" s="447">
        <f t="shared" si="24"/>
        <v>9056850.1309024394</v>
      </c>
      <c r="I173" s="447">
        <f t="shared" si="24"/>
        <v>8839467.2705626693</v>
      </c>
      <c r="J173" s="447">
        <f t="shared" si="24"/>
        <v>8627302.0418814234</v>
      </c>
      <c r="K173" s="447">
        <f t="shared" si="24"/>
        <v>8420229.2110657431</v>
      </c>
      <c r="L173" s="448" t="str">
        <f t="shared" si="18"/>
        <v/>
      </c>
      <c r="M173" s="449" t="str">
        <f t="shared" si="19"/>
        <v/>
      </c>
      <c r="N173" s="251" t="str">
        <f t="shared" si="20"/>
        <v/>
      </c>
      <c r="O173" s="251" t="str">
        <f t="shared" si="21"/>
        <v/>
      </c>
      <c r="P173" s="251" t="str">
        <f t="shared" si="22"/>
        <v/>
      </c>
      <c r="Q173" s="450">
        <f t="shared" si="23"/>
        <v>8420229.2110657431</v>
      </c>
    </row>
    <row r="174" spans="1:17">
      <c r="A174" s="428" t="s">
        <v>3534</v>
      </c>
      <c r="B174" s="429"/>
      <c r="C174" s="446">
        <v>138</v>
      </c>
      <c r="D174" s="446" t="s">
        <v>2498</v>
      </c>
      <c r="E174" s="432">
        <v>15631796.992174588</v>
      </c>
      <c r="F174" s="447">
        <f t="shared" si="24"/>
        <v>15244408.905259755</v>
      </c>
      <c r="G174" s="447">
        <f t="shared" si="24"/>
        <v>14879398.916750107</v>
      </c>
      <c r="H174" s="447">
        <f t="shared" si="24"/>
        <v>14522263.01962145</v>
      </c>
      <c r="I174" s="447">
        <f t="shared" si="24"/>
        <v>14173699.111840719</v>
      </c>
      <c r="J174" s="447">
        <f t="shared" si="24"/>
        <v>13833501.448194474</v>
      </c>
      <c r="K174" s="447">
        <f t="shared" si="24"/>
        <v>13501469.221773691</v>
      </c>
      <c r="L174" s="448" t="str">
        <f t="shared" si="18"/>
        <v/>
      </c>
      <c r="M174" s="449" t="str">
        <f t="shared" si="19"/>
        <v/>
      </c>
      <c r="N174" s="251" t="str">
        <f t="shared" si="20"/>
        <v/>
      </c>
      <c r="O174" s="251">
        <f t="shared" si="21"/>
        <v>13501469.221773691</v>
      </c>
      <c r="P174" s="251" t="str">
        <f t="shared" si="22"/>
        <v/>
      </c>
      <c r="Q174" s="450" t="str">
        <f t="shared" si="23"/>
        <v/>
      </c>
    </row>
    <row r="175" spans="1:17">
      <c r="A175" s="428" t="s">
        <v>3535</v>
      </c>
      <c r="B175" s="429"/>
      <c r="C175" s="446">
        <v>138</v>
      </c>
      <c r="D175" s="446" t="s">
        <v>2498</v>
      </c>
      <c r="E175" s="432">
        <v>4967410.4641229333</v>
      </c>
      <c r="F175" s="447">
        <f t="shared" si="24"/>
        <v>4844307.813955416</v>
      </c>
      <c r="G175" s="447">
        <f t="shared" si="24"/>
        <v>4728316.3871642482</v>
      </c>
      <c r="H175" s="447">
        <f t="shared" si="24"/>
        <v>4614827.1579093579</v>
      </c>
      <c r="I175" s="447">
        <f t="shared" si="24"/>
        <v>4504061.9014393324</v>
      </c>
      <c r="J175" s="447">
        <f t="shared" si="24"/>
        <v>4395955.2368560787</v>
      </c>
      <c r="K175" s="447">
        <f t="shared" si="24"/>
        <v>4290443.3525362974</v>
      </c>
      <c r="L175" s="448" t="str">
        <f t="shared" si="18"/>
        <v/>
      </c>
      <c r="M175" s="449" t="str">
        <f t="shared" si="19"/>
        <v/>
      </c>
      <c r="N175" s="251" t="str">
        <f t="shared" si="20"/>
        <v/>
      </c>
      <c r="O175" s="251">
        <f t="shared" si="21"/>
        <v>4290443.3525362974</v>
      </c>
      <c r="P175" s="251" t="str">
        <f t="shared" si="22"/>
        <v/>
      </c>
      <c r="Q175" s="450" t="str">
        <f t="shared" si="23"/>
        <v/>
      </c>
    </row>
    <row r="176" spans="1:17">
      <c r="A176" s="428" t="s">
        <v>3536</v>
      </c>
      <c r="B176" s="429"/>
      <c r="C176" s="446">
        <v>138</v>
      </c>
      <c r="D176" s="446" t="s">
        <v>2499</v>
      </c>
      <c r="E176" s="432">
        <v>460480.8137065731</v>
      </c>
      <c r="F176" s="447">
        <f t="shared" si="24"/>
        <v>449069.15185016103</v>
      </c>
      <c r="G176" s="447">
        <f t="shared" si="24"/>
        <v>438316.70306873869</v>
      </c>
      <c r="H176" s="447">
        <f t="shared" si="24"/>
        <v>427796.20893770835</v>
      </c>
      <c r="I176" s="447">
        <f t="shared" si="24"/>
        <v>417528.22810582025</v>
      </c>
      <c r="J176" s="447">
        <f t="shared" si="24"/>
        <v>407506.69973929139</v>
      </c>
      <c r="K176" s="447">
        <f t="shared" si="24"/>
        <v>397725.70847670099</v>
      </c>
      <c r="L176" s="448" t="str">
        <f t="shared" si="18"/>
        <v/>
      </c>
      <c r="M176" s="449" t="str">
        <f t="shared" si="19"/>
        <v/>
      </c>
      <c r="N176" s="251" t="str">
        <f t="shared" si="20"/>
        <v/>
      </c>
      <c r="O176" s="251" t="str">
        <f t="shared" si="21"/>
        <v/>
      </c>
      <c r="P176" s="251" t="str">
        <f t="shared" si="22"/>
        <v/>
      </c>
      <c r="Q176" s="450">
        <f t="shared" si="23"/>
        <v>397725.70847670099</v>
      </c>
    </row>
    <row r="177" spans="1:17">
      <c r="A177" s="428" t="s">
        <v>3537</v>
      </c>
      <c r="B177" s="429"/>
      <c r="C177" s="446">
        <v>138</v>
      </c>
      <c r="D177" s="446" t="s">
        <v>2499</v>
      </c>
      <c r="E177" s="432">
        <v>501736.90922749124</v>
      </c>
      <c r="F177" s="447">
        <f t="shared" si="24"/>
        <v>489302.8364527807</v>
      </c>
      <c r="G177" s="447">
        <f t="shared" si="24"/>
        <v>477587.03797077166</v>
      </c>
      <c r="H177" s="447">
        <f t="shared" si="24"/>
        <v>466123.97577202239</v>
      </c>
      <c r="I177" s="447">
        <f t="shared" si="24"/>
        <v>454936.05042692542</v>
      </c>
      <c r="J177" s="447">
        <f t="shared" si="24"/>
        <v>444016.65809028433</v>
      </c>
      <c r="K177" s="447">
        <f t="shared" si="24"/>
        <v>433359.35342264548</v>
      </c>
      <c r="L177" s="448" t="str">
        <f t="shared" si="18"/>
        <v/>
      </c>
      <c r="M177" s="449" t="str">
        <f t="shared" si="19"/>
        <v/>
      </c>
      <c r="N177" s="251" t="str">
        <f t="shared" si="20"/>
        <v/>
      </c>
      <c r="O177" s="251" t="str">
        <f t="shared" si="21"/>
        <v/>
      </c>
      <c r="P177" s="251" t="str">
        <f t="shared" si="22"/>
        <v/>
      </c>
      <c r="Q177" s="450">
        <f t="shared" si="23"/>
        <v>433359.35342264548</v>
      </c>
    </row>
    <row r="178" spans="1:17">
      <c r="A178" s="428" t="s">
        <v>3538</v>
      </c>
      <c r="B178" s="429"/>
      <c r="C178" s="446">
        <v>138</v>
      </c>
      <c r="D178" s="446" t="s">
        <v>2499</v>
      </c>
      <c r="E178" s="432">
        <v>1227873.5752174412</v>
      </c>
      <c r="F178" s="447">
        <f t="shared" si="24"/>
        <v>1197444.3420643441</v>
      </c>
      <c r="G178" s="447">
        <f t="shared" si="24"/>
        <v>1168772.902702268</v>
      </c>
      <c r="H178" s="447">
        <f t="shared" si="24"/>
        <v>1140719.9711637264</v>
      </c>
      <c r="I178" s="447">
        <f t="shared" si="24"/>
        <v>1113340.3671519328</v>
      </c>
      <c r="J178" s="447">
        <f t="shared" si="24"/>
        <v>1086617.9294340524</v>
      </c>
      <c r="K178" s="447">
        <f t="shared" si="24"/>
        <v>1060536.8846797745</v>
      </c>
      <c r="L178" s="448" t="str">
        <f t="shared" si="18"/>
        <v/>
      </c>
      <c r="M178" s="449" t="str">
        <f t="shared" si="19"/>
        <v/>
      </c>
      <c r="N178" s="251" t="str">
        <f t="shared" si="20"/>
        <v/>
      </c>
      <c r="O178" s="251" t="str">
        <f t="shared" si="21"/>
        <v/>
      </c>
      <c r="P178" s="251" t="str">
        <f t="shared" si="22"/>
        <v/>
      </c>
      <c r="Q178" s="450">
        <f t="shared" si="23"/>
        <v>1060536.8846797745</v>
      </c>
    </row>
    <row r="179" spans="1:17">
      <c r="A179" s="428" t="s">
        <v>3539</v>
      </c>
      <c r="B179" s="429"/>
      <c r="C179" s="446">
        <v>138</v>
      </c>
      <c r="D179" s="446" t="s">
        <v>2499</v>
      </c>
      <c r="E179" s="432">
        <v>302092.30835299543</v>
      </c>
      <c r="F179" s="447">
        <f t="shared" si="24"/>
        <v>294605.83949320036</v>
      </c>
      <c r="G179" s="447">
        <f t="shared" si="24"/>
        <v>287551.83859643975</v>
      </c>
      <c r="H179" s="447">
        <f t="shared" si="24"/>
        <v>280650.00846051081</v>
      </c>
      <c r="I179" s="447">
        <f t="shared" si="24"/>
        <v>273913.83631326922</v>
      </c>
      <c r="J179" s="447">
        <f t="shared" si="24"/>
        <v>267339.34602538747</v>
      </c>
      <c r="K179" s="447">
        <f t="shared" si="24"/>
        <v>260922.65690274525</v>
      </c>
      <c r="L179" s="448" t="str">
        <f t="shared" si="18"/>
        <v/>
      </c>
      <c r="M179" s="449" t="str">
        <f t="shared" si="19"/>
        <v/>
      </c>
      <c r="N179" s="251" t="str">
        <f t="shared" si="20"/>
        <v/>
      </c>
      <c r="O179" s="251" t="str">
        <f t="shared" si="21"/>
        <v/>
      </c>
      <c r="P179" s="251" t="str">
        <f t="shared" si="22"/>
        <v/>
      </c>
      <c r="Q179" s="450">
        <f t="shared" si="23"/>
        <v>260922.65690274525</v>
      </c>
    </row>
    <row r="180" spans="1:17">
      <c r="A180" s="428" t="s">
        <v>3540</v>
      </c>
      <c r="B180" s="429"/>
      <c r="C180" s="446">
        <v>138</v>
      </c>
      <c r="D180" s="446" t="s">
        <v>2498</v>
      </c>
      <c r="E180" s="432">
        <v>8039690.4086087979</v>
      </c>
      <c r="F180" s="447">
        <f t="shared" si="24"/>
        <v>7840450.3411784414</v>
      </c>
      <c r="G180" s="447">
        <f t="shared" si="24"/>
        <v>7652719.6979813417</v>
      </c>
      <c r="H180" s="447">
        <f t="shared" si="24"/>
        <v>7469038.8295467962</v>
      </c>
      <c r="I180" s="447">
        <f t="shared" si="24"/>
        <v>7289766.6762828538</v>
      </c>
      <c r="J180" s="447">
        <f t="shared" si="24"/>
        <v>7114797.4200407825</v>
      </c>
      <c r="K180" s="447">
        <f t="shared" si="24"/>
        <v>6944027.7825230667</v>
      </c>
      <c r="L180" s="448" t="str">
        <f t="shared" si="18"/>
        <v/>
      </c>
      <c r="M180" s="449" t="str">
        <f t="shared" si="19"/>
        <v/>
      </c>
      <c r="N180" s="251" t="str">
        <f t="shared" si="20"/>
        <v/>
      </c>
      <c r="O180" s="251">
        <f t="shared" si="21"/>
        <v>6944027.7825230667</v>
      </c>
      <c r="P180" s="251" t="str">
        <f t="shared" si="22"/>
        <v/>
      </c>
      <c r="Q180" s="450" t="str">
        <f t="shared" si="23"/>
        <v/>
      </c>
    </row>
    <row r="181" spans="1:17">
      <c r="A181" s="428" t="s">
        <v>3541</v>
      </c>
      <c r="B181" s="429"/>
      <c r="C181" s="446">
        <v>138</v>
      </c>
      <c r="D181" s="446" t="s">
        <v>2498</v>
      </c>
      <c r="E181" s="432">
        <v>44648481.192820467</v>
      </c>
      <c r="F181" s="447">
        <f t="shared" si="24"/>
        <v>43541999.978818111</v>
      </c>
      <c r="G181" s="447">
        <f t="shared" si="24"/>
        <v>42499436.438917801</v>
      </c>
      <c r="H181" s="447">
        <f t="shared" si="24"/>
        <v>41479363.353640892</v>
      </c>
      <c r="I181" s="447">
        <f t="shared" si="24"/>
        <v>40483774.101244964</v>
      </c>
      <c r="J181" s="447">
        <f t="shared" si="24"/>
        <v>39512081.019844614</v>
      </c>
      <c r="K181" s="447">
        <f t="shared" si="24"/>
        <v>38563710.552637294</v>
      </c>
      <c r="L181" s="448" t="str">
        <f t="shared" si="18"/>
        <v/>
      </c>
      <c r="M181" s="449" t="str">
        <f t="shared" si="19"/>
        <v/>
      </c>
      <c r="N181" s="251" t="str">
        <f t="shared" si="20"/>
        <v/>
      </c>
      <c r="O181" s="251">
        <f t="shared" si="21"/>
        <v>38563710.552637294</v>
      </c>
      <c r="P181" s="251" t="str">
        <f t="shared" si="22"/>
        <v/>
      </c>
      <c r="Q181" s="450" t="str">
        <f t="shared" si="23"/>
        <v/>
      </c>
    </row>
    <row r="182" spans="1:17">
      <c r="A182" s="428" t="s">
        <v>3542</v>
      </c>
      <c r="B182" s="429"/>
      <c r="C182" s="446">
        <v>138</v>
      </c>
      <c r="D182" s="446" t="s">
        <v>2498</v>
      </c>
      <c r="E182" s="432">
        <v>1328279.7884111491</v>
      </c>
      <c r="F182" s="447">
        <f t="shared" si="24"/>
        <v>1295362.2827412745</v>
      </c>
      <c r="G182" s="447">
        <f t="shared" si="24"/>
        <v>1264346.3099424809</v>
      </c>
      <c r="H182" s="447">
        <f t="shared" si="24"/>
        <v>1233999.421858561</v>
      </c>
      <c r="I182" s="447">
        <f t="shared" si="24"/>
        <v>1204380.9209333935</v>
      </c>
      <c r="J182" s="447">
        <f t="shared" si="24"/>
        <v>1175473.3243907685</v>
      </c>
      <c r="K182" s="447">
        <f t="shared" si="24"/>
        <v>1147259.5690767337</v>
      </c>
      <c r="L182" s="448" t="str">
        <f t="shared" si="18"/>
        <v/>
      </c>
      <c r="M182" s="449" t="str">
        <f t="shared" si="19"/>
        <v/>
      </c>
      <c r="N182" s="251" t="str">
        <f t="shared" si="20"/>
        <v/>
      </c>
      <c r="O182" s="251">
        <f t="shared" si="21"/>
        <v>1147259.5690767337</v>
      </c>
      <c r="P182" s="251" t="str">
        <f t="shared" si="22"/>
        <v/>
      </c>
      <c r="Q182" s="450" t="str">
        <f t="shared" si="23"/>
        <v/>
      </c>
    </row>
    <row r="183" spans="1:17">
      <c r="A183" s="428" t="s">
        <v>3543</v>
      </c>
      <c r="B183" s="429"/>
      <c r="C183" s="446">
        <v>138</v>
      </c>
      <c r="D183" s="446" t="s">
        <v>2499</v>
      </c>
      <c r="E183" s="432">
        <v>850896.69402469439</v>
      </c>
      <c r="F183" s="447">
        <f t="shared" si="24"/>
        <v>829809.72349754395</v>
      </c>
      <c r="G183" s="447">
        <f t="shared" si="24"/>
        <v>809940.87587469339</v>
      </c>
      <c r="H183" s="447">
        <f t="shared" si="24"/>
        <v>790500.64425343811</v>
      </c>
      <c r="I183" s="447">
        <f t="shared" si="24"/>
        <v>771527.01780886296</v>
      </c>
      <c r="J183" s="447">
        <f t="shared" si="24"/>
        <v>753008.79706582054</v>
      </c>
      <c r="K183" s="447">
        <f t="shared" si="24"/>
        <v>734935.05135939061</v>
      </c>
      <c r="L183" s="448" t="str">
        <f t="shared" si="18"/>
        <v/>
      </c>
      <c r="M183" s="449" t="str">
        <f t="shared" si="19"/>
        <v/>
      </c>
      <c r="N183" s="251" t="str">
        <f t="shared" si="20"/>
        <v/>
      </c>
      <c r="O183" s="251" t="str">
        <f t="shared" si="21"/>
        <v/>
      </c>
      <c r="P183" s="251" t="str">
        <f t="shared" si="22"/>
        <v/>
      </c>
      <c r="Q183" s="450">
        <f t="shared" si="23"/>
        <v>734935.05135939061</v>
      </c>
    </row>
    <row r="184" spans="1:17">
      <c r="A184" s="428" t="s">
        <v>3544</v>
      </c>
      <c r="B184" s="429"/>
      <c r="C184" s="446">
        <v>138</v>
      </c>
      <c r="D184" s="446" t="s">
        <v>2498</v>
      </c>
      <c r="E184" s="432">
        <v>38765247.462249696</v>
      </c>
      <c r="F184" s="447">
        <f t="shared" si="24"/>
        <v>37804564.882972419</v>
      </c>
      <c r="G184" s="447">
        <f t="shared" si="24"/>
        <v>36899377.684222788</v>
      </c>
      <c r="H184" s="447">
        <f t="shared" si="24"/>
        <v>36013717.421568692</v>
      </c>
      <c r="I184" s="447">
        <f t="shared" si="24"/>
        <v>35149314.810129128</v>
      </c>
      <c r="J184" s="447">
        <f t="shared" si="24"/>
        <v>34305659.622953407</v>
      </c>
      <c r="K184" s="447">
        <f t="shared" si="24"/>
        <v>33482253.879577469</v>
      </c>
      <c r="L184" s="448" t="str">
        <f t="shared" si="18"/>
        <v/>
      </c>
      <c r="M184" s="449" t="str">
        <f t="shared" si="19"/>
        <v/>
      </c>
      <c r="N184" s="251" t="str">
        <f t="shared" si="20"/>
        <v/>
      </c>
      <c r="O184" s="251">
        <f t="shared" si="21"/>
        <v>33482253.879577469</v>
      </c>
      <c r="P184" s="251" t="str">
        <f t="shared" si="22"/>
        <v/>
      </c>
      <c r="Q184" s="450" t="str">
        <f t="shared" si="23"/>
        <v/>
      </c>
    </row>
    <row r="185" spans="1:17">
      <c r="A185" s="428" t="s">
        <v>3545</v>
      </c>
      <c r="B185" s="429"/>
      <c r="C185" s="446">
        <v>138</v>
      </c>
      <c r="D185" s="446" t="s">
        <v>2499</v>
      </c>
      <c r="E185" s="432">
        <v>10865677.143837422</v>
      </c>
      <c r="F185" s="447">
        <f t="shared" si="24"/>
        <v>10596403.311539536</v>
      </c>
      <c r="G185" s="447">
        <f t="shared" si="24"/>
        <v>10342684.51699486</v>
      </c>
      <c r="H185" s="447">
        <f t="shared" si="24"/>
        <v>10094439.010952443</v>
      </c>
      <c r="I185" s="447">
        <f t="shared" si="24"/>
        <v>9852151.902961228</v>
      </c>
      <c r="J185" s="447">
        <f t="shared" si="24"/>
        <v>9615680.1793252062</v>
      </c>
      <c r="K185" s="447">
        <f t="shared" si="24"/>
        <v>9384884.2589685246</v>
      </c>
      <c r="L185" s="448" t="str">
        <f t="shared" si="18"/>
        <v/>
      </c>
      <c r="M185" s="449" t="str">
        <f t="shared" si="19"/>
        <v/>
      </c>
      <c r="N185" s="251" t="str">
        <f t="shared" si="20"/>
        <v/>
      </c>
      <c r="O185" s="251" t="str">
        <f t="shared" si="21"/>
        <v/>
      </c>
      <c r="P185" s="251" t="str">
        <f t="shared" si="22"/>
        <v/>
      </c>
      <c r="Q185" s="450">
        <f t="shared" si="23"/>
        <v>9384884.2589685246</v>
      </c>
    </row>
    <row r="186" spans="1:17">
      <c r="A186" s="428" t="s">
        <v>3546</v>
      </c>
      <c r="B186" s="429"/>
      <c r="C186" s="446">
        <v>138</v>
      </c>
      <c r="D186" s="446" t="s">
        <v>2498</v>
      </c>
      <c r="E186" s="432">
        <v>3193557.6835257537</v>
      </c>
      <c r="F186" s="447">
        <f t="shared" si="24"/>
        <v>3114414.7543991446</v>
      </c>
      <c r="G186" s="447">
        <f t="shared" si="24"/>
        <v>3039843.6443756344</v>
      </c>
      <c r="H186" s="447">
        <f t="shared" si="24"/>
        <v>2966881.2019316182</v>
      </c>
      <c r="I186" s="447">
        <f t="shared" si="24"/>
        <v>2895670.0067983796</v>
      </c>
      <c r="J186" s="447">
        <f t="shared" si="24"/>
        <v>2826168.0254715458</v>
      </c>
      <c r="K186" s="447">
        <f t="shared" si="24"/>
        <v>2758334.2333365097</v>
      </c>
      <c r="L186" s="448" t="str">
        <f t="shared" si="18"/>
        <v/>
      </c>
      <c r="M186" s="449" t="str">
        <f t="shared" si="19"/>
        <v/>
      </c>
      <c r="N186" s="251" t="str">
        <f t="shared" si="20"/>
        <v/>
      </c>
      <c r="O186" s="251">
        <f t="shared" si="21"/>
        <v>2758334.2333365097</v>
      </c>
      <c r="P186" s="251" t="str">
        <f t="shared" si="22"/>
        <v/>
      </c>
      <c r="Q186" s="450" t="str">
        <f t="shared" si="23"/>
        <v/>
      </c>
    </row>
    <row r="187" spans="1:17">
      <c r="A187" s="428" t="s">
        <v>3547</v>
      </c>
      <c r="B187" s="429"/>
      <c r="C187" s="446">
        <v>138</v>
      </c>
      <c r="D187" s="446" t="s">
        <v>2498</v>
      </c>
      <c r="E187" s="432">
        <v>2883638.3362588128</v>
      </c>
      <c r="F187" s="447">
        <f t="shared" si="24"/>
        <v>2812175.8461179286</v>
      </c>
      <c r="G187" s="447">
        <f t="shared" si="24"/>
        <v>2744841.5021195561</v>
      </c>
      <c r="H187" s="447">
        <f t="shared" si="24"/>
        <v>2678959.7122824742</v>
      </c>
      <c r="I187" s="447">
        <f t="shared" si="24"/>
        <v>2614659.2196637513</v>
      </c>
      <c r="J187" s="447">
        <f t="shared" si="24"/>
        <v>2551902.0699075782</v>
      </c>
      <c r="K187" s="447">
        <f t="shared" si="24"/>
        <v>2490651.2196400343</v>
      </c>
      <c r="L187" s="448" t="str">
        <f t="shared" si="18"/>
        <v/>
      </c>
      <c r="M187" s="449" t="str">
        <f t="shared" si="19"/>
        <v/>
      </c>
      <c r="N187" s="251" t="str">
        <f t="shared" si="20"/>
        <v/>
      </c>
      <c r="O187" s="251">
        <f t="shared" si="21"/>
        <v>2490651.2196400343</v>
      </c>
      <c r="P187" s="251" t="str">
        <f t="shared" si="22"/>
        <v/>
      </c>
      <c r="Q187" s="450" t="str">
        <f t="shared" si="23"/>
        <v/>
      </c>
    </row>
    <row r="188" spans="1:17">
      <c r="A188" s="428" t="s">
        <v>3548</v>
      </c>
      <c r="B188" s="429"/>
      <c r="C188" s="446">
        <v>138</v>
      </c>
      <c r="D188" s="446" t="s">
        <v>2498</v>
      </c>
      <c r="E188" s="432">
        <v>2001539.7054116586</v>
      </c>
      <c r="F188" s="447">
        <f t="shared" si="24"/>
        <v>1951937.433980443</v>
      </c>
      <c r="G188" s="447">
        <f t="shared" si="24"/>
        <v>1905200.5178575143</v>
      </c>
      <c r="H188" s="447">
        <f t="shared" si="24"/>
        <v>1859471.8227696326</v>
      </c>
      <c r="I188" s="447">
        <f t="shared" si="24"/>
        <v>1814840.7095555959</v>
      </c>
      <c r="J188" s="447">
        <f t="shared" si="24"/>
        <v>1771280.8340136404</v>
      </c>
      <c r="K188" s="447">
        <f t="shared" si="24"/>
        <v>1728766.4842565318</v>
      </c>
      <c r="L188" s="448" t="str">
        <f t="shared" si="18"/>
        <v/>
      </c>
      <c r="M188" s="449" t="str">
        <f t="shared" si="19"/>
        <v/>
      </c>
      <c r="N188" s="251" t="str">
        <f t="shared" si="20"/>
        <v/>
      </c>
      <c r="O188" s="251">
        <f t="shared" si="21"/>
        <v>1728766.4842565318</v>
      </c>
      <c r="P188" s="251" t="str">
        <f t="shared" si="22"/>
        <v/>
      </c>
      <c r="Q188" s="450" t="str">
        <f t="shared" si="23"/>
        <v/>
      </c>
    </row>
    <row r="189" spans="1:17">
      <c r="A189" s="428" t="s">
        <v>3549</v>
      </c>
      <c r="B189" s="429"/>
      <c r="C189" s="446">
        <v>138</v>
      </c>
      <c r="D189" s="446" t="s">
        <v>2498</v>
      </c>
      <c r="E189" s="432">
        <v>548242.95309129509</v>
      </c>
      <c r="F189" s="447">
        <f t="shared" si="24"/>
        <v>534656.3648782511</v>
      </c>
      <c r="G189" s="447">
        <f t="shared" si="24"/>
        <v>521854.62787331635</v>
      </c>
      <c r="H189" s="447">
        <f t="shared" si="24"/>
        <v>509329.05330279568</v>
      </c>
      <c r="I189" s="447">
        <f t="shared" si="24"/>
        <v>497104.11804817233</v>
      </c>
      <c r="J189" s="447">
        <f t="shared" si="24"/>
        <v>485172.60615318385</v>
      </c>
      <c r="K189" s="447">
        <f t="shared" si="24"/>
        <v>473527.47485922353</v>
      </c>
      <c r="L189" s="448" t="str">
        <f t="shared" si="18"/>
        <v/>
      </c>
      <c r="M189" s="449" t="str">
        <f t="shared" si="19"/>
        <v/>
      </c>
      <c r="N189" s="251" t="str">
        <f t="shared" si="20"/>
        <v/>
      </c>
      <c r="O189" s="251">
        <f t="shared" si="21"/>
        <v>473527.47485922353</v>
      </c>
      <c r="P189" s="251" t="str">
        <f t="shared" si="22"/>
        <v/>
      </c>
      <c r="Q189" s="450" t="str">
        <f t="shared" si="23"/>
        <v/>
      </c>
    </row>
    <row r="190" spans="1:17">
      <c r="A190" s="428" t="s">
        <v>3550</v>
      </c>
      <c r="B190" s="429"/>
      <c r="C190" s="446">
        <v>138</v>
      </c>
      <c r="D190" s="446" t="s">
        <v>2498</v>
      </c>
      <c r="E190" s="432">
        <v>8238.9129778668903</v>
      </c>
      <c r="F190" s="447">
        <f t="shared" si="24"/>
        <v>8034.7357653332692</v>
      </c>
      <c r="G190" s="447">
        <f t="shared" si="24"/>
        <v>7842.353179192427</v>
      </c>
      <c r="H190" s="447">
        <f t="shared" si="24"/>
        <v>7654.1207207496509</v>
      </c>
      <c r="I190" s="447">
        <f t="shared" si="24"/>
        <v>7470.406224913484</v>
      </c>
      <c r="J190" s="447">
        <f t="shared" si="24"/>
        <v>7291.1012513740898</v>
      </c>
      <c r="K190" s="447">
        <f t="shared" si="24"/>
        <v>7116.0999626100611</v>
      </c>
      <c r="L190" s="448" t="str">
        <f t="shared" si="18"/>
        <v/>
      </c>
      <c r="M190" s="449" t="str">
        <f t="shared" si="19"/>
        <v/>
      </c>
      <c r="N190" s="251" t="str">
        <f t="shared" si="20"/>
        <v/>
      </c>
      <c r="O190" s="251">
        <f t="shared" si="21"/>
        <v>7116.0999626100611</v>
      </c>
      <c r="P190" s="251" t="str">
        <f t="shared" si="22"/>
        <v/>
      </c>
      <c r="Q190" s="450" t="str">
        <f t="shared" si="23"/>
        <v/>
      </c>
    </row>
    <row r="191" spans="1:17">
      <c r="A191" s="428" t="s">
        <v>3551</v>
      </c>
      <c r="B191" s="429"/>
      <c r="C191" s="446">
        <v>138</v>
      </c>
      <c r="D191" s="446" t="s">
        <v>2498</v>
      </c>
      <c r="E191" s="432">
        <v>1434933.6212590276</v>
      </c>
      <c r="F191" s="447">
        <f t="shared" si="24"/>
        <v>1399373.0142048555</v>
      </c>
      <c r="G191" s="447">
        <f t="shared" si="24"/>
        <v>1365866.6230413786</v>
      </c>
      <c r="H191" s="447">
        <f t="shared" si="24"/>
        <v>1333083.0405521125</v>
      </c>
      <c r="I191" s="447">
        <f t="shared" si="24"/>
        <v>1301086.3308531323</v>
      </c>
      <c r="J191" s="447">
        <f t="shared" si="24"/>
        <v>1269857.6073938815</v>
      </c>
      <c r="K191" s="447">
        <f t="shared" si="24"/>
        <v>1239378.436939507</v>
      </c>
      <c r="L191" s="448" t="str">
        <f t="shared" si="18"/>
        <v/>
      </c>
      <c r="M191" s="449" t="str">
        <f t="shared" si="19"/>
        <v/>
      </c>
      <c r="N191" s="251" t="str">
        <f t="shared" si="20"/>
        <v/>
      </c>
      <c r="O191" s="251">
        <f t="shared" si="21"/>
        <v>1239378.436939507</v>
      </c>
      <c r="P191" s="251" t="str">
        <f t="shared" si="22"/>
        <v/>
      </c>
      <c r="Q191" s="450" t="str">
        <f t="shared" si="23"/>
        <v/>
      </c>
    </row>
    <row r="192" spans="1:17">
      <c r="A192" s="428" t="s">
        <v>3552</v>
      </c>
      <c r="B192" s="429"/>
      <c r="C192" s="446">
        <v>138</v>
      </c>
      <c r="D192" s="446" t="s">
        <v>2499</v>
      </c>
      <c r="E192" s="432">
        <v>11392723.334513813</v>
      </c>
      <c r="F192" s="447">
        <f t="shared" si="24"/>
        <v>11110388.213381119</v>
      </c>
      <c r="G192" s="447">
        <f t="shared" si="24"/>
        <v>10844362.636442892</v>
      </c>
      <c r="H192" s="447">
        <f t="shared" si="24"/>
        <v>10584075.833150409</v>
      </c>
      <c r="I192" s="447">
        <f t="shared" si="24"/>
        <v>10330036.443582414</v>
      </c>
      <c r="J192" s="447">
        <f t="shared" si="24"/>
        <v>10082094.517077746</v>
      </c>
      <c r="K192" s="447">
        <f t="shared" si="24"/>
        <v>9840103.7020966988</v>
      </c>
      <c r="L192" s="448" t="str">
        <f t="shared" si="18"/>
        <v/>
      </c>
      <c r="M192" s="449" t="str">
        <f t="shared" si="19"/>
        <v/>
      </c>
      <c r="N192" s="251" t="str">
        <f t="shared" si="20"/>
        <v/>
      </c>
      <c r="O192" s="251" t="str">
        <f t="shared" si="21"/>
        <v/>
      </c>
      <c r="P192" s="251" t="str">
        <f t="shared" si="22"/>
        <v/>
      </c>
      <c r="Q192" s="450">
        <f t="shared" si="23"/>
        <v>9840103.7020966988</v>
      </c>
    </row>
    <row r="193" spans="1:17">
      <c r="A193" s="428" t="s">
        <v>3553</v>
      </c>
      <c r="B193" s="429"/>
      <c r="C193" s="446">
        <v>138</v>
      </c>
      <c r="D193" s="446" t="s">
        <v>2498</v>
      </c>
      <c r="E193" s="432">
        <v>1760023.6200561184</v>
      </c>
      <c r="F193" s="447">
        <f t="shared" si="24"/>
        <v>1716406.6140625156</v>
      </c>
      <c r="G193" s="447">
        <f t="shared" si="24"/>
        <v>1675309.2148540306</v>
      </c>
      <c r="H193" s="447">
        <f t="shared" si="24"/>
        <v>1635098.3795398928</v>
      </c>
      <c r="I193" s="447">
        <f t="shared" si="24"/>
        <v>1595852.6862200357</v>
      </c>
      <c r="J193" s="447">
        <f t="shared" si="24"/>
        <v>1557548.9695197074</v>
      </c>
      <c r="K193" s="447">
        <f t="shared" si="24"/>
        <v>1520164.62008036</v>
      </c>
      <c r="L193" s="448" t="str">
        <f t="shared" si="18"/>
        <v/>
      </c>
      <c r="M193" s="449" t="str">
        <f t="shared" si="19"/>
        <v/>
      </c>
      <c r="N193" s="251" t="str">
        <f t="shared" si="20"/>
        <v/>
      </c>
      <c r="O193" s="251">
        <f t="shared" si="21"/>
        <v>1520164.62008036</v>
      </c>
      <c r="P193" s="251" t="str">
        <f t="shared" si="22"/>
        <v/>
      </c>
      <c r="Q193" s="450" t="str">
        <f t="shared" si="23"/>
        <v/>
      </c>
    </row>
    <row r="194" spans="1:17">
      <c r="A194" s="428" t="s">
        <v>3554</v>
      </c>
      <c r="B194" s="429"/>
      <c r="C194" s="446">
        <v>138</v>
      </c>
      <c r="D194" s="446" t="s">
        <v>2498</v>
      </c>
      <c r="E194" s="432">
        <v>28972352.480194364</v>
      </c>
      <c r="F194" s="447">
        <f t="shared" si="24"/>
        <v>28254357.984338041</v>
      </c>
      <c r="G194" s="447">
        <f t="shared" si="24"/>
        <v>27577839.599971406</v>
      </c>
      <c r="H194" s="447">
        <f t="shared" si="24"/>
        <v>26915915.247952141</v>
      </c>
      <c r="I194" s="447">
        <f t="shared" si="24"/>
        <v>26269878.429334752</v>
      </c>
      <c r="J194" s="447">
        <f t="shared" si="24"/>
        <v>25639347.810939964</v>
      </c>
      <c r="K194" s="447">
        <f t="shared" si="24"/>
        <v>25023951.212361932</v>
      </c>
      <c r="L194" s="448" t="str">
        <f t="shared" si="18"/>
        <v/>
      </c>
      <c r="M194" s="449" t="str">
        <f t="shared" si="19"/>
        <v/>
      </c>
      <c r="N194" s="251" t="str">
        <f t="shared" si="20"/>
        <v/>
      </c>
      <c r="O194" s="251">
        <f t="shared" si="21"/>
        <v>25023951.212361932</v>
      </c>
      <c r="P194" s="251" t="str">
        <f t="shared" si="22"/>
        <v/>
      </c>
      <c r="Q194" s="450" t="str">
        <f t="shared" si="23"/>
        <v/>
      </c>
    </row>
    <row r="195" spans="1:17">
      <c r="A195" s="428" t="s">
        <v>3555</v>
      </c>
      <c r="B195" s="429"/>
      <c r="C195" s="446">
        <v>138</v>
      </c>
      <c r="D195" s="446" t="s">
        <v>2498</v>
      </c>
      <c r="E195" s="432">
        <v>1054893.6959333445</v>
      </c>
      <c r="F195" s="447">
        <f t="shared" ref="F195:K237" si="25">+$E195*(F$3)</f>
        <v>1028751.260039972</v>
      </c>
      <c r="G195" s="447">
        <f t="shared" si="25"/>
        <v>1004118.9841714787</v>
      </c>
      <c r="H195" s="447">
        <f t="shared" si="25"/>
        <v>980018.08223031869</v>
      </c>
      <c r="I195" s="447">
        <f t="shared" si="25"/>
        <v>956495.651051622</v>
      </c>
      <c r="J195" s="447">
        <f t="shared" si="25"/>
        <v>933537.80615820817</v>
      </c>
      <c r="K195" s="447">
        <f t="shared" si="25"/>
        <v>911130.99632864492</v>
      </c>
      <c r="L195" s="448" t="str">
        <f t="shared" si="18"/>
        <v/>
      </c>
      <c r="M195" s="449" t="str">
        <f t="shared" si="19"/>
        <v/>
      </c>
      <c r="N195" s="251" t="str">
        <f t="shared" si="20"/>
        <v/>
      </c>
      <c r="O195" s="251">
        <f t="shared" si="21"/>
        <v>911130.99632864492</v>
      </c>
      <c r="P195" s="251" t="str">
        <f t="shared" si="22"/>
        <v/>
      </c>
      <c r="Q195" s="450" t="str">
        <f t="shared" si="23"/>
        <v/>
      </c>
    </row>
    <row r="196" spans="1:17">
      <c r="A196" s="428" t="s">
        <v>3556</v>
      </c>
      <c r="B196" s="429"/>
      <c r="C196" s="446">
        <v>138</v>
      </c>
      <c r="D196" s="446" t="s">
        <v>2499</v>
      </c>
      <c r="E196" s="432">
        <v>414367.08583735413</v>
      </c>
      <c r="F196" s="447">
        <f t="shared" si="25"/>
        <v>404098.21702186443</v>
      </c>
      <c r="G196" s="447">
        <f t="shared" si="25"/>
        <v>394422.54599594302</v>
      </c>
      <c r="H196" s="447">
        <f t="shared" si="25"/>
        <v>384955.60108774126</v>
      </c>
      <c r="I196" s="447">
        <f t="shared" si="25"/>
        <v>375715.88215027773</v>
      </c>
      <c r="J196" s="447">
        <f t="shared" si="25"/>
        <v>366697.93529718457</v>
      </c>
      <c r="K196" s="447">
        <f t="shared" si="25"/>
        <v>357896.43754648179</v>
      </c>
      <c r="L196" s="448" t="str">
        <f t="shared" si="18"/>
        <v/>
      </c>
      <c r="M196" s="449" t="str">
        <f t="shared" si="19"/>
        <v/>
      </c>
      <c r="N196" s="251" t="str">
        <f t="shared" si="20"/>
        <v/>
      </c>
      <c r="O196" s="251" t="str">
        <f t="shared" si="21"/>
        <v/>
      </c>
      <c r="P196" s="251" t="str">
        <f t="shared" si="22"/>
        <v/>
      </c>
      <c r="Q196" s="450">
        <f t="shared" si="23"/>
        <v>357896.43754648179</v>
      </c>
    </row>
    <row r="197" spans="1:17">
      <c r="A197" s="428" t="s">
        <v>3557</v>
      </c>
      <c r="B197" s="429"/>
      <c r="C197" s="446">
        <v>138</v>
      </c>
      <c r="D197" s="446" t="s">
        <v>2498</v>
      </c>
      <c r="E197" s="432">
        <v>45456759.941378802</v>
      </c>
      <c r="F197" s="447">
        <f t="shared" si="25"/>
        <v>44330247.917210817</v>
      </c>
      <c r="G197" s="447">
        <f t="shared" si="25"/>
        <v>43268810.679240376</v>
      </c>
      <c r="H197" s="447">
        <f t="shared" si="25"/>
        <v>42230271.044267297</v>
      </c>
      <c r="I197" s="447">
        <f t="shared" si="25"/>
        <v>41216658.477001384</v>
      </c>
      <c r="J197" s="447">
        <f t="shared" si="25"/>
        <v>40227374.677018128</v>
      </c>
      <c r="K197" s="447">
        <f t="shared" si="25"/>
        <v>39261835.704322495</v>
      </c>
      <c r="L197" s="448" t="str">
        <f t="shared" si="18"/>
        <v/>
      </c>
      <c r="M197" s="449" t="str">
        <f t="shared" si="19"/>
        <v/>
      </c>
      <c r="N197" s="251" t="str">
        <f t="shared" si="20"/>
        <v/>
      </c>
      <c r="O197" s="251">
        <f t="shared" si="21"/>
        <v>39261835.704322495</v>
      </c>
      <c r="P197" s="251" t="str">
        <f t="shared" si="22"/>
        <v/>
      </c>
      <c r="Q197" s="450" t="str">
        <f t="shared" si="23"/>
        <v/>
      </c>
    </row>
    <row r="198" spans="1:17">
      <c r="A198" s="428" t="s">
        <v>3558</v>
      </c>
      <c r="B198" s="429"/>
      <c r="C198" s="446">
        <v>138</v>
      </c>
      <c r="D198" s="446" t="s">
        <v>2498</v>
      </c>
      <c r="E198" s="432">
        <v>9618243.598948868</v>
      </c>
      <c r="F198" s="447">
        <f t="shared" si="25"/>
        <v>9379883.7360909432</v>
      </c>
      <c r="G198" s="447">
        <f t="shared" si="25"/>
        <v>9155293.115620831</v>
      </c>
      <c r="H198" s="447">
        <f t="shared" si="25"/>
        <v>8935547.4230282158</v>
      </c>
      <c r="I198" s="447">
        <f t="shared" si="25"/>
        <v>8721076.074883474</v>
      </c>
      <c r="J198" s="447">
        <f t="shared" si="25"/>
        <v>8511752.4761711247</v>
      </c>
      <c r="K198" s="447">
        <f t="shared" si="25"/>
        <v>8307453.0704140551</v>
      </c>
      <c r="L198" s="448" t="str">
        <f t="shared" ref="L198:L261" si="26">IF(ISERROR(C198),K198,"")</f>
        <v/>
      </c>
      <c r="M198" s="449" t="str">
        <f t="shared" ref="M198:M261" si="27">IF(ISERROR(C198),"",IF(AND(D198="n",$C198=500),$K198,""))</f>
        <v/>
      </c>
      <c r="N198" s="251" t="str">
        <f t="shared" ref="N198:N261" si="28">IF(ISERROR(C198),"",IF(AND(D198="n",OR($C198=240,$C198=260)),$K198,""))</f>
        <v/>
      </c>
      <c r="O198" s="251">
        <f t="shared" ref="O198:O261" si="29">IF(ISERROR(C198),"",IF(AND(D198="n",OR($C198=138,$C198=144)),$K198,""))</f>
        <v>8307453.0704140551</v>
      </c>
      <c r="P198" s="251" t="str">
        <f t="shared" ref="P198:P261" si="30">IF(ISERROR(C198),"",IF(AND(D198="n",OR($C198=69,$C198=72)),$K198,""))</f>
        <v/>
      </c>
      <c r="Q198" s="450" t="str">
        <f t="shared" ref="Q198:Q261" si="31">IF(ISERROR(D198),"",IF(D198="y",K198,""))</f>
        <v/>
      </c>
    </row>
    <row r="199" spans="1:17">
      <c r="A199" s="428" t="s">
        <v>3559</v>
      </c>
      <c r="B199" s="429"/>
      <c r="C199" s="446">
        <v>138</v>
      </c>
      <c r="D199" s="446" t="s">
        <v>2498</v>
      </c>
      <c r="E199" s="432">
        <v>18562029.572456062</v>
      </c>
      <c r="F199" s="447">
        <f t="shared" si="25"/>
        <v>18102024.294180628</v>
      </c>
      <c r="G199" s="447">
        <f t="shared" si="25"/>
        <v>17668591.963633496</v>
      </c>
      <c r="H199" s="447">
        <f t="shared" si="25"/>
        <v>17244509.749208219</v>
      </c>
      <c r="I199" s="447">
        <f t="shared" si="25"/>
        <v>16830606.372177687</v>
      </c>
      <c r="J199" s="447">
        <f t="shared" si="25"/>
        <v>16426637.519700695</v>
      </c>
      <c r="K199" s="447">
        <f t="shared" si="25"/>
        <v>16032364.742942123</v>
      </c>
      <c r="L199" s="448" t="str">
        <f t="shared" si="26"/>
        <v/>
      </c>
      <c r="M199" s="449" t="str">
        <f t="shared" si="27"/>
        <v/>
      </c>
      <c r="N199" s="251" t="str">
        <f t="shared" si="28"/>
        <v/>
      </c>
      <c r="O199" s="251">
        <f t="shared" si="29"/>
        <v>16032364.742942123</v>
      </c>
      <c r="P199" s="251" t="str">
        <f t="shared" si="30"/>
        <v/>
      </c>
      <c r="Q199" s="450" t="str">
        <f t="shared" si="31"/>
        <v/>
      </c>
    </row>
    <row r="200" spans="1:17">
      <c r="A200" s="428" t="s">
        <v>3560</v>
      </c>
      <c r="B200" s="429"/>
      <c r="C200" s="446">
        <v>138</v>
      </c>
      <c r="D200" s="446" t="s">
        <v>2498</v>
      </c>
      <c r="E200" s="432">
        <v>2974732.2905259449</v>
      </c>
      <c r="F200" s="447">
        <f t="shared" si="25"/>
        <v>2901012.3048014939</v>
      </c>
      <c r="G200" s="447">
        <f t="shared" si="25"/>
        <v>2831550.8730974025</v>
      </c>
      <c r="H200" s="447">
        <f t="shared" si="25"/>
        <v>2763587.8816494965</v>
      </c>
      <c r="I200" s="447">
        <f t="shared" si="25"/>
        <v>2697256.1404999457</v>
      </c>
      <c r="J200" s="447">
        <f t="shared" si="25"/>
        <v>2632516.4963172209</v>
      </c>
      <c r="K200" s="447">
        <f t="shared" si="25"/>
        <v>2569330.735529541</v>
      </c>
      <c r="L200" s="448" t="str">
        <f t="shared" si="26"/>
        <v/>
      </c>
      <c r="M200" s="449" t="str">
        <f t="shared" si="27"/>
        <v/>
      </c>
      <c r="N200" s="251" t="str">
        <f t="shared" si="28"/>
        <v/>
      </c>
      <c r="O200" s="251">
        <f t="shared" si="29"/>
        <v>2569330.735529541</v>
      </c>
      <c r="P200" s="251" t="str">
        <f t="shared" si="30"/>
        <v/>
      </c>
      <c r="Q200" s="450" t="str">
        <f t="shared" si="31"/>
        <v/>
      </c>
    </row>
    <row r="201" spans="1:17">
      <c r="A201" s="428" t="s">
        <v>3561</v>
      </c>
      <c r="B201" s="429"/>
      <c r="C201" s="446">
        <v>138</v>
      </c>
      <c r="D201" s="446" t="s">
        <v>2498</v>
      </c>
      <c r="E201" s="432">
        <v>5159568.4216857059</v>
      </c>
      <c r="F201" s="447">
        <f t="shared" si="25"/>
        <v>5031703.7020259248</v>
      </c>
      <c r="G201" s="447">
        <f t="shared" si="25"/>
        <v>4911225.2943766294</v>
      </c>
      <c r="H201" s="447">
        <f t="shared" si="25"/>
        <v>4793345.8785936665</v>
      </c>
      <c r="I201" s="447">
        <f t="shared" si="25"/>
        <v>4678295.8090191232</v>
      </c>
      <c r="J201" s="447">
        <f t="shared" si="25"/>
        <v>4566007.1755779944</v>
      </c>
      <c r="K201" s="447">
        <f t="shared" si="25"/>
        <v>4456413.698175475</v>
      </c>
      <c r="L201" s="448" t="str">
        <f t="shared" si="26"/>
        <v/>
      </c>
      <c r="M201" s="449" t="str">
        <f t="shared" si="27"/>
        <v/>
      </c>
      <c r="N201" s="251" t="str">
        <f t="shared" si="28"/>
        <v/>
      </c>
      <c r="O201" s="251">
        <f t="shared" si="29"/>
        <v>4456413.698175475</v>
      </c>
      <c r="P201" s="251" t="str">
        <f t="shared" si="30"/>
        <v/>
      </c>
      <c r="Q201" s="450" t="str">
        <f t="shared" si="31"/>
        <v/>
      </c>
    </row>
    <row r="202" spans="1:17">
      <c r="A202" s="428" t="s">
        <v>3562</v>
      </c>
      <c r="B202" s="429"/>
      <c r="C202" s="446">
        <v>138</v>
      </c>
      <c r="D202" s="446" t="s">
        <v>2498</v>
      </c>
      <c r="E202" s="432">
        <v>811946.74439878634</v>
      </c>
      <c r="F202" s="447">
        <f t="shared" si="25"/>
        <v>791825.03375049459</v>
      </c>
      <c r="G202" s="447">
        <f t="shared" si="25"/>
        <v>772865.68621087319</v>
      </c>
      <c r="H202" s="447">
        <f t="shared" si="25"/>
        <v>754315.33469807426</v>
      </c>
      <c r="I202" s="447">
        <f t="shared" si="25"/>
        <v>736210.22942584206</v>
      </c>
      <c r="J202" s="447">
        <f t="shared" si="25"/>
        <v>718539.68357702368</v>
      </c>
      <c r="K202" s="447">
        <f t="shared" si="25"/>
        <v>701293.26683985686</v>
      </c>
      <c r="L202" s="448" t="str">
        <f t="shared" si="26"/>
        <v/>
      </c>
      <c r="M202" s="449" t="str">
        <f t="shared" si="27"/>
        <v/>
      </c>
      <c r="N202" s="251" t="str">
        <f t="shared" si="28"/>
        <v/>
      </c>
      <c r="O202" s="251">
        <f t="shared" si="29"/>
        <v>701293.26683985686</v>
      </c>
      <c r="P202" s="251" t="str">
        <f t="shared" si="30"/>
        <v/>
      </c>
      <c r="Q202" s="450" t="str">
        <f t="shared" si="31"/>
        <v/>
      </c>
    </row>
    <row r="203" spans="1:17">
      <c r="A203" s="428" t="s">
        <v>3563</v>
      </c>
      <c r="B203" s="429"/>
      <c r="C203" s="446">
        <v>138</v>
      </c>
      <c r="D203" s="446" t="s">
        <v>2498</v>
      </c>
      <c r="E203" s="432">
        <v>3344460.3842617692</v>
      </c>
      <c r="F203" s="447">
        <f t="shared" si="25"/>
        <v>3261577.7757766279</v>
      </c>
      <c r="G203" s="447">
        <f t="shared" si="25"/>
        <v>3183483.0150116635</v>
      </c>
      <c r="H203" s="447">
        <f t="shared" si="25"/>
        <v>3107072.9349458516</v>
      </c>
      <c r="I203" s="447">
        <f t="shared" si="25"/>
        <v>3032496.8525197739</v>
      </c>
      <c r="J203" s="447">
        <f t="shared" si="25"/>
        <v>2959710.748052523</v>
      </c>
      <c r="K203" s="447">
        <f t="shared" si="25"/>
        <v>2888671.6584252431</v>
      </c>
      <c r="L203" s="448" t="str">
        <f t="shared" si="26"/>
        <v/>
      </c>
      <c r="M203" s="449" t="str">
        <f t="shared" si="27"/>
        <v/>
      </c>
      <c r="N203" s="251" t="str">
        <f t="shared" si="28"/>
        <v/>
      </c>
      <c r="O203" s="251">
        <f t="shared" si="29"/>
        <v>2888671.6584252431</v>
      </c>
      <c r="P203" s="251" t="str">
        <f t="shared" si="30"/>
        <v/>
      </c>
      <c r="Q203" s="450" t="str">
        <f t="shared" si="31"/>
        <v/>
      </c>
    </row>
    <row r="204" spans="1:17">
      <c r="A204" s="428" t="s">
        <v>3564</v>
      </c>
      <c r="B204" s="429"/>
      <c r="C204" s="446">
        <v>138</v>
      </c>
      <c r="D204" s="446" t="s">
        <v>2498</v>
      </c>
      <c r="E204" s="432">
        <v>14562316.84646957</v>
      </c>
      <c r="F204" s="447">
        <f t="shared" si="25"/>
        <v>14201432.677680429</v>
      </c>
      <c r="G204" s="447">
        <f t="shared" si="25"/>
        <v>13861395.565666717</v>
      </c>
      <c r="H204" s="447">
        <f t="shared" si="25"/>
        <v>13528693.823580429</v>
      </c>
      <c r="I204" s="447">
        <f t="shared" si="25"/>
        <v>13203977.60132603</v>
      </c>
      <c r="J204" s="447">
        <f t="shared" si="25"/>
        <v>12887055.230153646</v>
      </c>
      <c r="K204" s="447">
        <f t="shared" si="25"/>
        <v>12577739.641754011</v>
      </c>
      <c r="L204" s="448" t="str">
        <f t="shared" si="26"/>
        <v/>
      </c>
      <c r="M204" s="449" t="str">
        <f t="shared" si="27"/>
        <v/>
      </c>
      <c r="N204" s="251" t="str">
        <f t="shared" si="28"/>
        <v/>
      </c>
      <c r="O204" s="251">
        <f t="shared" si="29"/>
        <v>12577739.641754011</v>
      </c>
      <c r="P204" s="251" t="str">
        <f t="shared" si="30"/>
        <v/>
      </c>
      <c r="Q204" s="450" t="str">
        <f t="shared" si="31"/>
        <v/>
      </c>
    </row>
    <row r="205" spans="1:17">
      <c r="A205" s="428" t="s">
        <v>3565</v>
      </c>
      <c r="B205" s="429"/>
      <c r="C205" s="446">
        <v>138</v>
      </c>
      <c r="D205" s="446" t="s">
        <v>2498</v>
      </c>
      <c r="E205" s="432">
        <v>25494760.805860221</v>
      </c>
      <c r="F205" s="447">
        <f t="shared" si="25"/>
        <v>24862948.185732305</v>
      </c>
      <c r="G205" s="447">
        <f t="shared" si="25"/>
        <v>24267633.241873845</v>
      </c>
      <c r="H205" s="447">
        <f t="shared" si="25"/>
        <v>23685160.58840736</v>
      </c>
      <c r="I205" s="447">
        <f t="shared" si="25"/>
        <v>23116668.465660732</v>
      </c>
      <c r="J205" s="447">
        <f t="shared" si="25"/>
        <v>22561821.312405389</v>
      </c>
      <c r="K205" s="447">
        <f t="shared" si="25"/>
        <v>22020291.621566087</v>
      </c>
      <c r="L205" s="448" t="str">
        <f t="shared" si="26"/>
        <v/>
      </c>
      <c r="M205" s="449" t="str">
        <f t="shared" si="27"/>
        <v/>
      </c>
      <c r="N205" s="251" t="str">
        <f t="shared" si="28"/>
        <v/>
      </c>
      <c r="O205" s="251">
        <f t="shared" si="29"/>
        <v>22020291.621566087</v>
      </c>
      <c r="P205" s="251" t="str">
        <f t="shared" si="30"/>
        <v/>
      </c>
      <c r="Q205" s="450" t="str">
        <f t="shared" si="31"/>
        <v/>
      </c>
    </row>
    <row r="206" spans="1:17">
      <c r="A206" s="428" t="s">
        <v>3566</v>
      </c>
      <c r="B206" s="429"/>
      <c r="C206" s="446">
        <v>138</v>
      </c>
      <c r="D206" s="446" t="s">
        <v>2498</v>
      </c>
      <c r="E206" s="432">
        <v>112277589.57000002</v>
      </c>
      <c r="F206" s="447">
        <f t="shared" si="25"/>
        <v>109495119.9250382</v>
      </c>
      <c r="G206" s="447">
        <f t="shared" si="25"/>
        <v>106873384.13232334</v>
      </c>
      <c r="H206" s="447">
        <f t="shared" si="25"/>
        <v>104308205.11300786</v>
      </c>
      <c r="I206" s="447">
        <f t="shared" si="25"/>
        <v>101804595.61780319</v>
      </c>
      <c r="J206" s="447">
        <f t="shared" si="25"/>
        <v>99361077.852656439</v>
      </c>
      <c r="K206" s="447">
        <f t="shared" si="25"/>
        <v>96976209.493583679</v>
      </c>
      <c r="L206" s="448" t="str">
        <f t="shared" si="26"/>
        <v/>
      </c>
      <c r="M206" s="449" t="str">
        <f t="shared" si="27"/>
        <v/>
      </c>
      <c r="N206" s="251" t="str">
        <f t="shared" si="28"/>
        <v/>
      </c>
      <c r="O206" s="251">
        <f t="shared" si="29"/>
        <v>96976209.493583679</v>
      </c>
      <c r="P206" s="251" t="str">
        <f t="shared" si="30"/>
        <v/>
      </c>
      <c r="Q206" s="450" t="str">
        <f t="shared" si="31"/>
        <v/>
      </c>
    </row>
    <row r="207" spans="1:17">
      <c r="A207" s="428" t="s">
        <v>3567</v>
      </c>
      <c r="B207" s="429"/>
      <c r="C207" s="446">
        <v>138</v>
      </c>
      <c r="D207" s="446" t="s">
        <v>2499</v>
      </c>
      <c r="E207" s="432">
        <v>2356850.8888557181</v>
      </c>
      <c r="F207" s="447">
        <f t="shared" si="25"/>
        <v>2298443.275359048</v>
      </c>
      <c r="G207" s="447">
        <f t="shared" si="25"/>
        <v>2243409.6719741756</v>
      </c>
      <c r="H207" s="447">
        <f t="shared" si="25"/>
        <v>2189563.267941976</v>
      </c>
      <c r="I207" s="447">
        <f t="shared" si="25"/>
        <v>2137009.2873415817</v>
      </c>
      <c r="J207" s="447">
        <f t="shared" si="25"/>
        <v>2085716.7093767659</v>
      </c>
      <c r="K207" s="447">
        <f t="shared" si="25"/>
        <v>2035655.2578136274</v>
      </c>
      <c r="L207" s="448" t="str">
        <f t="shared" si="26"/>
        <v/>
      </c>
      <c r="M207" s="449" t="str">
        <f t="shared" si="27"/>
        <v/>
      </c>
      <c r="N207" s="251" t="str">
        <f t="shared" si="28"/>
        <v/>
      </c>
      <c r="O207" s="251" t="str">
        <f t="shared" si="29"/>
        <v/>
      </c>
      <c r="P207" s="251" t="str">
        <f t="shared" si="30"/>
        <v/>
      </c>
      <c r="Q207" s="450">
        <f t="shared" si="31"/>
        <v>2035655.2578136274</v>
      </c>
    </row>
    <row r="208" spans="1:17">
      <c r="A208" s="428" t="s">
        <v>3568</v>
      </c>
      <c r="B208" s="429"/>
      <c r="C208" s="446">
        <v>138</v>
      </c>
      <c r="D208" s="446" t="s">
        <v>2499</v>
      </c>
      <c r="E208" s="432">
        <v>2129386.115039967</v>
      </c>
      <c r="F208" s="447">
        <f t="shared" si="25"/>
        <v>2076615.546574851</v>
      </c>
      <c r="G208" s="447">
        <f t="shared" si="25"/>
        <v>2026893.3552124351</v>
      </c>
      <c r="H208" s="447">
        <f t="shared" si="25"/>
        <v>1978243.7840269338</v>
      </c>
      <c r="I208" s="447">
        <f t="shared" si="25"/>
        <v>1930761.9016941523</v>
      </c>
      <c r="J208" s="447">
        <f t="shared" si="25"/>
        <v>1884419.6813019607</v>
      </c>
      <c r="K208" s="447">
        <f t="shared" si="25"/>
        <v>1839189.7686412372</v>
      </c>
      <c r="L208" s="448" t="str">
        <f t="shared" si="26"/>
        <v/>
      </c>
      <c r="M208" s="449" t="str">
        <f t="shared" si="27"/>
        <v/>
      </c>
      <c r="N208" s="251" t="str">
        <f t="shared" si="28"/>
        <v/>
      </c>
      <c r="O208" s="251" t="str">
        <f t="shared" si="29"/>
        <v/>
      </c>
      <c r="P208" s="251" t="str">
        <f t="shared" si="30"/>
        <v/>
      </c>
      <c r="Q208" s="450">
        <f t="shared" si="31"/>
        <v>1839189.7686412372</v>
      </c>
    </row>
    <row r="209" spans="1:17">
      <c r="A209" s="428" t="s">
        <v>3569</v>
      </c>
      <c r="B209" s="429"/>
      <c r="C209" s="446">
        <v>138</v>
      </c>
      <c r="D209" s="446" t="s">
        <v>2498</v>
      </c>
      <c r="E209" s="432">
        <v>888110.66236030136</v>
      </c>
      <c r="F209" s="447">
        <f t="shared" si="25"/>
        <v>866101.45314189512</v>
      </c>
      <c r="G209" s="447">
        <f t="shared" si="25"/>
        <v>845363.64143504458</v>
      </c>
      <c r="H209" s="447">
        <f t="shared" si="25"/>
        <v>825073.19125133555</v>
      </c>
      <c r="I209" s="447">
        <f t="shared" si="25"/>
        <v>805269.75322248891</v>
      </c>
      <c r="J209" s="447">
        <f t="shared" si="25"/>
        <v>785941.63806429284</v>
      </c>
      <c r="K209" s="447">
        <f t="shared" si="25"/>
        <v>767077.43705917837</v>
      </c>
      <c r="L209" s="448" t="str">
        <f t="shared" si="26"/>
        <v/>
      </c>
      <c r="M209" s="449" t="str">
        <f t="shared" si="27"/>
        <v/>
      </c>
      <c r="N209" s="251" t="str">
        <f t="shared" si="28"/>
        <v/>
      </c>
      <c r="O209" s="251">
        <f t="shared" si="29"/>
        <v>767077.43705917837</v>
      </c>
      <c r="P209" s="251" t="str">
        <f t="shared" si="30"/>
        <v/>
      </c>
      <c r="Q209" s="450" t="str">
        <f t="shared" si="31"/>
        <v/>
      </c>
    </row>
    <row r="210" spans="1:17">
      <c r="A210" s="428" t="s">
        <v>3570</v>
      </c>
      <c r="B210" s="429"/>
      <c r="C210" s="446">
        <v>138</v>
      </c>
      <c r="D210" s="446" t="s">
        <v>2498</v>
      </c>
      <c r="E210" s="432">
        <v>186604.62483919098</v>
      </c>
      <c r="F210" s="447">
        <f t="shared" si="25"/>
        <v>181980.17835603215</v>
      </c>
      <c r="G210" s="447">
        <f t="shared" si="25"/>
        <v>177622.87049165173</v>
      </c>
      <c r="H210" s="447">
        <f t="shared" si="25"/>
        <v>173359.55961743408</v>
      </c>
      <c r="I210" s="447">
        <f t="shared" si="25"/>
        <v>169198.5768925134</v>
      </c>
      <c r="J210" s="447">
        <f t="shared" si="25"/>
        <v>165137.46623276922</v>
      </c>
      <c r="K210" s="447">
        <f t="shared" si="25"/>
        <v>161173.8305051054</v>
      </c>
      <c r="L210" s="448" t="str">
        <f t="shared" si="26"/>
        <v/>
      </c>
      <c r="M210" s="449" t="str">
        <f t="shared" si="27"/>
        <v/>
      </c>
      <c r="N210" s="251" t="str">
        <f t="shared" si="28"/>
        <v/>
      </c>
      <c r="O210" s="251">
        <f t="shared" si="29"/>
        <v>161173.8305051054</v>
      </c>
      <c r="P210" s="251" t="str">
        <f t="shared" si="30"/>
        <v/>
      </c>
      <c r="Q210" s="450" t="str">
        <f t="shared" si="31"/>
        <v/>
      </c>
    </row>
    <row r="211" spans="1:17">
      <c r="A211" s="428" t="s">
        <v>3571</v>
      </c>
      <c r="B211" s="429"/>
      <c r="C211" s="446">
        <v>138</v>
      </c>
      <c r="D211" s="446" t="s">
        <v>2498</v>
      </c>
      <c r="E211" s="432">
        <v>5320484.2329447363</v>
      </c>
      <c r="F211" s="447">
        <f t="shared" si="25"/>
        <v>5188631.6884488733</v>
      </c>
      <c r="G211" s="447">
        <f t="shared" si="25"/>
        <v>5064395.8191047972</v>
      </c>
      <c r="H211" s="447">
        <f t="shared" si="25"/>
        <v>4942839.9985780325</v>
      </c>
      <c r="I211" s="447">
        <f t="shared" si="25"/>
        <v>4824201.765465782</v>
      </c>
      <c r="J211" s="447">
        <f t="shared" si="25"/>
        <v>4708411.0917242672</v>
      </c>
      <c r="K211" s="447">
        <f t="shared" si="25"/>
        <v>4595399.6301254723</v>
      </c>
      <c r="L211" s="448" t="str">
        <f t="shared" si="26"/>
        <v/>
      </c>
      <c r="M211" s="449" t="str">
        <f t="shared" si="27"/>
        <v/>
      </c>
      <c r="N211" s="251" t="str">
        <f t="shared" si="28"/>
        <v/>
      </c>
      <c r="O211" s="251">
        <f t="shared" si="29"/>
        <v>4595399.6301254723</v>
      </c>
      <c r="P211" s="251" t="str">
        <f t="shared" si="30"/>
        <v/>
      </c>
      <c r="Q211" s="450" t="str">
        <f t="shared" si="31"/>
        <v/>
      </c>
    </row>
    <row r="212" spans="1:17">
      <c r="A212" s="428" t="s">
        <v>3572</v>
      </c>
      <c r="B212" s="429"/>
      <c r="C212" s="446">
        <v>138</v>
      </c>
      <c r="D212" s="446" t="s">
        <v>2498</v>
      </c>
      <c r="E212" s="432">
        <v>394529.03853678051</v>
      </c>
      <c r="F212" s="447">
        <f t="shared" si="25"/>
        <v>384751.79734386946</v>
      </c>
      <c r="G212" s="447">
        <f t="shared" si="25"/>
        <v>375539.3542770152</v>
      </c>
      <c r="H212" s="447">
        <f t="shared" si="25"/>
        <v>366525.64445263124</v>
      </c>
      <c r="I212" s="447">
        <f t="shared" si="25"/>
        <v>357728.28203331388</v>
      </c>
      <c r="J212" s="447">
        <f t="shared" si="25"/>
        <v>349142.07424044126</v>
      </c>
      <c r="K212" s="447">
        <f t="shared" si="25"/>
        <v>340761.95293266099</v>
      </c>
      <c r="L212" s="448" t="str">
        <f t="shared" si="26"/>
        <v/>
      </c>
      <c r="M212" s="449" t="str">
        <f t="shared" si="27"/>
        <v/>
      </c>
      <c r="N212" s="251" t="str">
        <f t="shared" si="28"/>
        <v/>
      </c>
      <c r="O212" s="251">
        <f t="shared" si="29"/>
        <v>340761.95293266099</v>
      </c>
      <c r="P212" s="251" t="str">
        <f t="shared" si="30"/>
        <v/>
      </c>
      <c r="Q212" s="450" t="str">
        <f t="shared" si="31"/>
        <v/>
      </c>
    </row>
    <row r="213" spans="1:17">
      <c r="A213" s="428" t="s">
        <v>3573</v>
      </c>
      <c r="B213" s="429"/>
      <c r="C213" s="446">
        <v>138</v>
      </c>
      <c r="D213" s="446" t="s">
        <v>2498</v>
      </c>
      <c r="E213" s="432">
        <v>2783097.3529171343</v>
      </c>
      <c r="F213" s="447">
        <f t="shared" si="25"/>
        <v>2714126.4751745411</v>
      </c>
      <c r="G213" s="447">
        <f t="shared" si="25"/>
        <v>2649139.8115607505</v>
      </c>
      <c r="H213" s="447">
        <f t="shared" si="25"/>
        <v>2585555.0573301255</v>
      </c>
      <c r="I213" s="447">
        <f t="shared" si="25"/>
        <v>2523496.4667821135</v>
      </c>
      <c r="J213" s="447">
        <f t="shared" si="25"/>
        <v>2462927.408878122</v>
      </c>
      <c r="K213" s="447">
        <f t="shared" si="25"/>
        <v>2403812.1317991363</v>
      </c>
      <c r="L213" s="448" t="str">
        <f t="shared" si="26"/>
        <v/>
      </c>
      <c r="M213" s="449" t="str">
        <f t="shared" si="27"/>
        <v/>
      </c>
      <c r="N213" s="251" t="str">
        <f t="shared" si="28"/>
        <v/>
      </c>
      <c r="O213" s="251">
        <f t="shared" si="29"/>
        <v>2403812.1317991363</v>
      </c>
      <c r="P213" s="251" t="str">
        <f t="shared" si="30"/>
        <v/>
      </c>
      <c r="Q213" s="450" t="str">
        <f t="shared" si="31"/>
        <v/>
      </c>
    </row>
    <row r="214" spans="1:17">
      <c r="A214" s="428" t="s">
        <v>3574</v>
      </c>
      <c r="B214" s="429"/>
      <c r="C214" s="446">
        <v>138</v>
      </c>
      <c r="D214" s="446" t="s">
        <v>2498</v>
      </c>
      <c r="E214" s="432">
        <v>6162974.7700000005</v>
      </c>
      <c r="F214" s="447">
        <f t="shared" si="25"/>
        <v>6010243.5768396826</v>
      </c>
      <c r="G214" s="447">
        <f t="shared" si="25"/>
        <v>5866335.14768665</v>
      </c>
      <c r="H214" s="447">
        <f t="shared" si="25"/>
        <v>5725531.1489802264</v>
      </c>
      <c r="I214" s="447">
        <f t="shared" si="25"/>
        <v>5588106.7331910077</v>
      </c>
      <c r="J214" s="447">
        <f t="shared" si="25"/>
        <v>5453980.7834416386</v>
      </c>
      <c r="K214" s="447">
        <f t="shared" si="25"/>
        <v>5323074.1298251282</v>
      </c>
      <c r="L214" s="448" t="str">
        <f t="shared" si="26"/>
        <v/>
      </c>
      <c r="M214" s="449" t="str">
        <f t="shared" si="27"/>
        <v/>
      </c>
      <c r="N214" s="251" t="str">
        <f t="shared" si="28"/>
        <v/>
      </c>
      <c r="O214" s="251">
        <f t="shared" si="29"/>
        <v>5323074.1298251282</v>
      </c>
      <c r="P214" s="251" t="str">
        <f t="shared" si="30"/>
        <v/>
      </c>
      <c r="Q214" s="450" t="str">
        <f t="shared" si="31"/>
        <v/>
      </c>
    </row>
    <row r="215" spans="1:17">
      <c r="A215" s="428" t="s">
        <v>3575</v>
      </c>
      <c r="B215" s="429"/>
      <c r="C215" s="446">
        <v>138</v>
      </c>
      <c r="D215" s="446" t="s">
        <v>2498</v>
      </c>
      <c r="E215" s="432">
        <v>14829132.415265236</v>
      </c>
      <c r="F215" s="447">
        <f t="shared" si="25"/>
        <v>14461636.007793199</v>
      </c>
      <c r="G215" s="447">
        <f t="shared" si="25"/>
        <v>14115368.623741724</v>
      </c>
      <c r="H215" s="447">
        <f t="shared" si="25"/>
        <v>13776571.010683121</v>
      </c>
      <c r="I215" s="447">
        <f t="shared" si="25"/>
        <v>13445905.230782682</v>
      </c>
      <c r="J215" s="447">
        <f t="shared" si="25"/>
        <v>13123176.103472525</v>
      </c>
      <c r="K215" s="447">
        <f t="shared" si="25"/>
        <v>12808193.132916167</v>
      </c>
      <c r="L215" s="448" t="str">
        <f t="shared" si="26"/>
        <v/>
      </c>
      <c r="M215" s="449" t="str">
        <f t="shared" si="27"/>
        <v/>
      </c>
      <c r="N215" s="251" t="str">
        <f t="shared" si="28"/>
        <v/>
      </c>
      <c r="O215" s="251">
        <f t="shared" si="29"/>
        <v>12808193.132916167</v>
      </c>
      <c r="P215" s="251" t="str">
        <f t="shared" si="30"/>
        <v/>
      </c>
      <c r="Q215" s="450" t="str">
        <f t="shared" si="31"/>
        <v/>
      </c>
    </row>
    <row r="216" spans="1:17">
      <c r="A216" s="428" t="s">
        <v>3576</v>
      </c>
      <c r="B216" s="429"/>
      <c r="C216" s="446">
        <v>138</v>
      </c>
      <c r="D216" s="446" t="s">
        <v>2498</v>
      </c>
      <c r="E216" s="432">
        <v>382038.38258574426</v>
      </c>
      <c r="F216" s="447">
        <f t="shared" si="25"/>
        <v>372570.68554285035</v>
      </c>
      <c r="G216" s="447">
        <f t="shared" si="25"/>
        <v>363649.9053083274</v>
      </c>
      <c r="H216" s="447">
        <f t="shared" si="25"/>
        <v>354921.56648901931</v>
      </c>
      <c r="I216" s="447">
        <f t="shared" si="25"/>
        <v>346402.72558909073</v>
      </c>
      <c r="J216" s="447">
        <f t="shared" si="25"/>
        <v>338088.35423153511</v>
      </c>
      <c r="K216" s="447">
        <f t="shared" si="25"/>
        <v>329973.54473064147</v>
      </c>
      <c r="L216" s="448" t="str">
        <f t="shared" si="26"/>
        <v/>
      </c>
      <c r="M216" s="449" t="str">
        <f t="shared" si="27"/>
        <v/>
      </c>
      <c r="N216" s="251" t="str">
        <f t="shared" si="28"/>
        <v/>
      </c>
      <c r="O216" s="251">
        <f t="shared" si="29"/>
        <v>329973.54473064147</v>
      </c>
      <c r="P216" s="251" t="str">
        <f t="shared" si="30"/>
        <v/>
      </c>
      <c r="Q216" s="450" t="str">
        <f t="shared" si="31"/>
        <v/>
      </c>
    </row>
    <row r="217" spans="1:17">
      <c r="A217" s="428" t="s">
        <v>3577</v>
      </c>
      <c r="B217" s="429"/>
      <c r="C217" s="446" t="e">
        <v>#N/A</v>
      </c>
      <c r="D217" s="446" t="e">
        <v>#N/A</v>
      </c>
      <c r="E217" s="432">
        <v>204622.91851671939</v>
      </c>
      <c r="F217" s="447">
        <f t="shared" si="25"/>
        <v>199551.94164932505</v>
      </c>
      <c r="G217" s="447">
        <f t="shared" si="25"/>
        <v>194773.89794942358</v>
      </c>
      <c r="H217" s="447">
        <f t="shared" si="25"/>
        <v>190098.92746367995</v>
      </c>
      <c r="I217" s="447">
        <f t="shared" si="25"/>
        <v>185536.16579684205</v>
      </c>
      <c r="J217" s="447">
        <f t="shared" si="25"/>
        <v>181082.91970858283</v>
      </c>
      <c r="K217" s="447">
        <f t="shared" si="25"/>
        <v>176736.56060183159</v>
      </c>
      <c r="L217" s="448">
        <f t="shared" si="26"/>
        <v>176736.56060183159</v>
      </c>
      <c r="M217" s="449" t="str">
        <f t="shared" si="27"/>
        <v/>
      </c>
      <c r="N217" s="251" t="str">
        <f t="shared" si="28"/>
        <v/>
      </c>
      <c r="O217" s="251" t="str">
        <f t="shared" si="29"/>
        <v/>
      </c>
      <c r="P217" s="251" t="str">
        <f t="shared" si="30"/>
        <v/>
      </c>
      <c r="Q217" s="450" t="str">
        <f t="shared" si="31"/>
        <v/>
      </c>
    </row>
    <row r="218" spans="1:17">
      <c r="A218" s="428" t="s">
        <v>3578</v>
      </c>
      <c r="B218" s="429"/>
      <c r="C218" s="446">
        <v>138</v>
      </c>
      <c r="D218" s="446" t="s">
        <v>2498</v>
      </c>
      <c r="E218" s="432">
        <v>1999337.8324407383</v>
      </c>
      <c r="F218" s="447">
        <f t="shared" si="25"/>
        <v>1949790.1279513952</v>
      </c>
      <c r="G218" s="447">
        <f t="shared" si="25"/>
        <v>1903104.6266228256</v>
      </c>
      <c r="H218" s="447">
        <f t="shared" si="25"/>
        <v>1857426.2371958494</v>
      </c>
      <c r="I218" s="447">
        <f t="shared" si="25"/>
        <v>1812844.2222043374</v>
      </c>
      <c r="J218" s="447">
        <f t="shared" si="25"/>
        <v>1769332.2664275072</v>
      </c>
      <c r="K218" s="447">
        <f t="shared" si="25"/>
        <v>1726864.686263504</v>
      </c>
      <c r="L218" s="448" t="str">
        <f t="shared" si="26"/>
        <v/>
      </c>
      <c r="M218" s="449" t="str">
        <f t="shared" si="27"/>
        <v/>
      </c>
      <c r="N218" s="251" t="str">
        <f t="shared" si="28"/>
        <v/>
      </c>
      <c r="O218" s="251">
        <f t="shared" si="29"/>
        <v>1726864.686263504</v>
      </c>
      <c r="P218" s="251" t="str">
        <f t="shared" si="30"/>
        <v/>
      </c>
      <c r="Q218" s="450" t="str">
        <f t="shared" si="31"/>
        <v/>
      </c>
    </row>
    <row r="219" spans="1:17">
      <c r="A219" s="428" t="s">
        <v>3579</v>
      </c>
      <c r="B219" s="429"/>
      <c r="C219" s="446">
        <v>138</v>
      </c>
      <c r="D219" s="446" t="s">
        <v>2498</v>
      </c>
      <c r="E219" s="432">
        <v>2330856.8204281451</v>
      </c>
      <c r="F219" s="447">
        <f t="shared" si="25"/>
        <v>2273093.3934216355</v>
      </c>
      <c r="G219" s="447">
        <f t="shared" si="25"/>
        <v>2218666.7640540702</v>
      </c>
      <c r="H219" s="447">
        <f t="shared" si="25"/>
        <v>2165414.2402361892</v>
      </c>
      <c r="I219" s="447">
        <f t="shared" si="25"/>
        <v>2113439.8855146863</v>
      </c>
      <c r="J219" s="447">
        <f t="shared" si="25"/>
        <v>2062713.0212264329</v>
      </c>
      <c r="K219" s="447">
        <f t="shared" si="25"/>
        <v>2013203.7050587363</v>
      </c>
      <c r="L219" s="448" t="str">
        <f t="shared" si="26"/>
        <v/>
      </c>
      <c r="M219" s="449" t="str">
        <f t="shared" si="27"/>
        <v/>
      </c>
      <c r="N219" s="251" t="str">
        <f t="shared" si="28"/>
        <v/>
      </c>
      <c r="O219" s="251">
        <f t="shared" si="29"/>
        <v>2013203.7050587363</v>
      </c>
      <c r="P219" s="251" t="str">
        <f t="shared" si="30"/>
        <v/>
      </c>
      <c r="Q219" s="450" t="str">
        <f t="shared" si="31"/>
        <v/>
      </c>
    </row>
    <row r="220" spans="1:17">
      <c r="A220" s="428" t="s">
        <v>3580</v>
      </c>
      <c r="B220" s="429"/>
      <c r="C220" s="446">
        <v>138</v>
      </c>
      <c r="D220" s="446" t="s">
        <v>2498</v>
      </c>
      <c r="E220" s="432">
        <v>1151715.686006675</v>
      </c>
      <c r="F220" s="447">
        <f t="shared" si="25"/>
        <v>1123173.8020188466</v>
      </c>
      <c r="G220" s="447">
        <f t="shared" si="25"/>
        <v>1096280.6860497659</v>
      </c>
      <c r="H220" s="447">
        <f t="shared" si="25"/>
        <v>1069967.7154447197</v>
      </c>
      <c r="I220" s="447">
        <f t="shared" si="25"/>
        <v>1044286.3097581043</v>
      </c>
      <c r="J220" s="447">
        <f t="shared" si="25"/>
        <v>1019221.3101447937</v>
      </c>
      <c r="K220" s="447">
        <f t="shared" si="25"/>
        <v>994757.92160283856</v>
      </c>
      <c r="L220" s="448" t="str">
        <f t="shared" si="26"/>
        <v/>
      </c>
      <c r="M220" s="449" t="str">
        <f t="shared" si="27"/>
        <v/>
      </c>
      <c r="N220" s="251" t="str">
        <f t="shared" si="28"/>
        <v/>
      </c>
      <c r="O220" s="251">
        <f t="shared" si="29"/>
        <v>994757.92160283856</v>
      </c>
      <c r="P220" s="251" t="str">
        <f t="shared" si="30"/>
        <v/>
      </c>
      <c r="Q220" s="450" t="str">
        <f t="shared" si="31"/>
        <v/>
      </c>
    </row>
    <row r="221" spans="1:17">
      <c r="A221" s="428" t="s">
        <v>3581</v>
      </c>
      <c r="B221" s="429"/>
      <c r="C221" s="446">
        <v>138</v>
      </c>
      <c r="D221" s="446" t="s">
        <v>2498</v>
      </c>
      <c r="E221" s="432">
        <v>4331405.4596723961</v>
      </c>
      <c r="F221" s="447">
        <f t="shared" si="25"/>
        <v>4224064.3218931025</v>
      </c>
      <c r="G221" s="447">
        <f t="shared" si="25"/>
        <v>4122923.9182749446</v>
      </c>
      <c r="H221" s="447">
        <f t="shared" si="25"/>
        <v>4023965.3420189675</v>
      </c>
      <c r="I221" s="447">
        <f t="shared" si="25"/>
        <v>3927381.9732634746</v>
      </c>
      <c r="J221" s="447">
        <f t="shared" si="25"/>
        <v>3833116.8021879541</v>
      </c>
      <c r="K221" s="447">
        <f t="shared" si="25"/>
        <v>3741114.18732377</v>
      </c>
      <c r="L221" s="448" t="str">
        <f t="shared" si="26"/>
        <v/>
      </c>
      <c r="M221" s="449" t="str">
        <f t="shared" si="27"/>
        <v/>
      </c>
      <c r="N221" s="251" t="str">
        <f t="shared" si="28"/>
        <v/>
      </c>
      <c r="O221" s="251">
        <f t="shared" si="29"/>
        <v>3741114.18732377</v>
      </c>
      <c r="P221" s="251" t="str">
        <f t="shared" si="30"/>
        <v/>
      </c>
      <c r="Q221" s="450" t="str">
        <f t="shared" si="31"/>
        <v/>
      </c>
    </row>
    <row r="222" spans="1:17">
      <c r="A222" s="428" t="s">
        <v>3582</v>
      </c>
      <c r="B222" s="429"/>
      <c r="C222" s="446">
        <v>138</v>
      </c>
      <c r="D222" s="446" t="s">
        <v>2498</v>
      </c>
      <c r="E222" s="432">
        <v>360633.96012594306</v>
      </c>
      <c r="F222" s="447">
        <f t="shared" si="25"/>
        <v>351696.70870439202</v>
      </c>
      <c r="G222" s="447">
        <f t="shared" si="25"/>
        <v>343275.73204331734</v>
      </c>
      <c r="H222" s="447">
        <f t="shared" si="25"/>
        <v>335036.41490344441</v>
      </c>
      <c r="I222" s="447">
        <f t="shared" si="25"/>
        <v>326994.85816605407</v>
      </c>
      <c r="J222" s="447">
        <f t="shared" si="25"/>
        <v>319146.31517846556</v>
      </c>
      <c r="K222" s="447">
        <f t="shared" si="25"/>
        <v>311486.1532173357</v>
      </c>
      <c r="L222" s="448" t="str">
        <f t="shared" si="26"/>
        <v/>
      </c>
      <c r="M222" s="449" t="str">
        <f t="shared" si="27"/>
        <v/>
      </c>
      <c r="N222" s="251" t="str">
        <f t="shared" si="28"/>
        <v/>
      </c>
      <c r="O222" s="251">
        <f t="shared" si="29"/>
        <v>311486.1532173357</v>
      </c>
      <c r="P222" s="251" t="str">
        <f t="shared" si="30"/>
        <v/>
      </c>
      <c r="Q222" s="450" t="str">
        <f t="shared" si="31"/>
        <v/>
      </c>
    </row>
    <row r="223" spans="1:17">
      <c r="A223" s="428" t="s">
        <v>3583</v>
      </c>
      <c r="B223" s="429"/>
      <c r="C223" s="446">
        <v>138</v>
      </c>
      <c r="D223" s="446" t="s">
        <v>2498</v>
      </c>
      <c r="E223" s="432">
        <v>1207018.198705774</v>
      </c>
      <c r="F223" s="447">
        <f t="shared" si="25"/>
        <v>1177105.8046859377</v>
      </c>
      <c r="G223" s="447">
        <f t="shared" si="25"/>
        <v>1148921.3484099838</v>
      </c>
      <c r="H223" s="447">
        <f t="shared" si="25"/>
        <v>1121344.8946304729</v>
      </c>
      <c r="I223" s="447">
        <f t="shared" si="25"/>
        <v>1094430.3319404661</v>
      </c>
      <c r="J223" s="447">
        <f t="shared" si="25"/>
        <v>1068161.7736049294</v>
      </c>
      <c r="K223" s="447">
        <f t="shared" si="25"/>
        <v>1042523.7142028462</v>
      </c>
      <c r="L223" s="448" t="str">
        <f t="shared" si="26"/>
        <v/>
      </c>
      <c r="M223" s="449" t="str">
        <f t="shared" si="27"/>
        <v/>
      </c>
      <c r="N223" s="251" t="str">
        <f t="shared" si="28"/>
        <v/>
      </c>
      <c r="O223" s="251">
        <f t="shared" si="29"/>
        <v>1042523.7142028462</v>
      </c>
      <c r="P223" s="251" t="str">
        <f t="shared" si="30"/>
        <v/>
      </c>
      <c r="Q223" s="450" t="str">
        <f t="shared" si="31"/>
        <v/>
      </c>
    </row>
    <row r="224" spans="1:17">
      <c r="A224" s="428" t="s">
        <v>3584</v>
      </c>
      <c r="B224" s="429"/>
      <c r="C224" s="446">
        <v>138</v>
      </c>
      <c r="D224" s="446" t="s">
        <v>2498</v>
      </c>
      <c r="E224" s="432">
        <v>11245601.644818176</v>
      </c>
      <c r="F224" s="447">
        <f t="shared" si="25"/>
        <v>10966912.501812207</v>
      </c>
      <c r="G224" s="447">
        <f t="shared" si="25"/>
        <v>10704322.287186591</v>
      </c>
      <c r="H224" s="447">
        <f t="shared" si="25"/>
        <v>10447396.73766825</v>
      </c>
      <c r="I224" s="447">
        <f t="shared" si="25"/>
        <v>10196637.924933825</v>
      </c>
      <c r="J224" s="447">
        <f t="shared" si="25"/>
        <v>9951897.8347331453</v>
      </c>
      <c r="K224" s="447">
        <f t="shared" si="25"/>
        <v>9713032.0054596849</v>
      </c>
      <c r="L224" s="448" t="str">
        <f t="shared" si="26"/>
        <v/>
      </c>
      <c r="M224" s="449" t="str">
        <f t="shared" si="27"/>
        <v/>
      </c>
      <c r="N224" s="251" t="str">
        <f t="shared" si="28"/>
        <v/>
      </c>
      <c r="O224" s="251">
        <f t="shared" si="29"/>
        <v>9713032.0054596849</v>
      </c>
      <c r="P224" s="251" t="str">
        <f t="shared" si="30"/>
        <v/>
      </c>
      <c r="Q224" s="450" t="str">
        <f t="shared" si="31"/>
        <v/>
      </c>
    </row>
    <row r="225" spans="1:17">
      <c r="A225" s="428" t="s">
        <v>3585</v>
      </c>
      <c r="B225" s="429"/>
      <c r="C225" s="446">
        <v>138</v>
      </c>
      <c r="D225" s="446" t="s">
        <v>2498</v>
      </c>
      <c r="E225" s="432">
        <v>4465069.7889081333</v>
      </c>
      <c r="F225" s="447">
        <f t="shared" si="25"/>
        <v>4354416.1740785483</v>
      </c>
      <c r="G225" s="447">
        <f t="shared" si="25"/>
        <v>4250154.6439959854</v>
      </c>
      <c r="H225" s="447">
        <f t="shared" si="25"/>
        <v>4148142.2710357904</v>
      </c>
      <c r="I225" s="447">
        <f t="shared" si="25"/>
        <v>4048578.4029203951</v>
      </c>
      <c r="J225" s="447">
        <f t="shared" si="25"/>
        <v>3951404.2705436503</v>
      </c>
      <c r="K225" s="447">
        <f t="shared" si="25"/>
        <v>3856562.5153777208</v>
      </c>
      <c r="L225" s="448" t="str">
        <f t="shared" si="26"/>
        <v/>
      </c>
      <c r="M225" s="449" t="str">
        <f t="shared" si="27"/>
        <v/>
      </c>
      <c r="N225" s="251" t="str">
        <f t="shared" si="28"/>
        <v/>
      </c>
      <c r="O225" s="251">
        <f t="shared" si="29"/>
        <v>3856562.5153777208</v>
      </c>
      <c r="P225" s="251" t="str">
        <f t="shared" si="30"/>
        <v/>
      </c>
      <c r="Q225" s="450" t="str">
        <f t="shared" si="31"/>
        <v/>
      </c>
    </row>
    <row r="226" spans="1:17">
      <c r="A226" s="428" t="s">
        <v>3586</v>
      </c>
      <c r="B226" s="429"/>
      <c r="C226" s="446">
        <v>138</v>
      </c>
      <c r="D226" s="446" t="s">
        <v>2498</v>
      </c>
      <c r="E226" s="432">
        <v>539134.13784132444</v>
      </c>
      <c r="F226" s="447">
        <f t="shared" si="25"/>
        <v>525773.28480866388</v>
      </c>
      <c r="G226" s="447">
        <f t="shared" si="25"/>
        <v>513184.24302689469</v>
      </c>
      <c r="H226" s="447">
        <f t="shared" si="25"/>
        <v>500866.77536229824</v>
      </c>
      <c r="I226" s="447">
        <f t="shared" si="25"/>
        <v>488844.95202375035</v>
      </c>
      <c r="J226" s="447">
        <f t="shared" si="25"/>
        <v>477111.67694492423</v>
      </c>
      <c r="K226" s="447">
        <f t="shared" si="25"/>
        <v>465660.02437954629</v>
      </c>
      <c r="L226" s="448" t="str">
        <f t="shared" si="26"/>
        <v/>
      </c>
      <c r="M226" s="449" t="str">
        <f t="shared" si="27"/>
        <v/>
      </c>
      <c r="N226" s="251" t="str">
        <f t="shared" si="28"/>
        <v/>
      </c>
      <c r="O226" s="251">
        <f t="shared" si="29"/>
        <v>465660.02437954629</v>
      </c>
      <c r="P226" s="251" t="str">
        <f t="shared" si="30"/>
        <v/>
      </c>
      <c r="Q226" s="450" t="str">
        <f t="shared" si="31"/>
        <v/>
      </c>
    </row>
    <row r="227" spans="1:17">
      <c r="A227" s="428" t="s">
        <v>3587</v>
      </c>
      <c r="B227" s="429"/>
      <c r="C227" s="446">
        <v>138</v>
      </c>
      <c r="D227" s="446" t="s">
        <v>2499</v>
      </c>
      <c r="E227" s="432">
        <v>213089.09282333293</v>
      </c>
      <c r="F227" s="447">
        <f t="shared" si="25"/>
        <v>207808.30674016074</v>
      </c>
      <c r="G227" s="447">
        <f t="shared" si="25"/>
        <v>202832.57379263634</v>
      </c>
      <c r="H227" s="447">
        <f t="shared" si="25"/>
        <v>197964.17866366365</v>
      </c>
      <c r="I227" s="447">
        <f t="shared" si="25"/>
        <v>193212.63493921951</v>
      </c>
      <c r="J227" s="447">
        <f t="shared" si="25"/>
        <v>188575.13794746061</v>
      </c>
      <c r="K227" s="447">
        <f t="shared" si="25"/>
        <v>184048.95033438355</v>
      </c>
      <c r="L227" s="448" t="str">
        <f t="shared" si="26"/>
        <v/>
      </c>
      <c r="M227" s="449" t="str">
        <f t="shared" si="27"/>
        <v/>
      </c>
      <c r="N227" s="251" t="str">
        <f t="shared" si="28"/>
        <v/>
      </c>
      <c r="O227" s="251" t="str">
        <f t="shared" si="29"/>
        <v/>
      </c>
      <c r="P227" s="251" t="str">
        <f t="shared" si="30"/>
        <v/>
      </c>
      <c r="Q227" s="450">
        <f t="shared" si="31"/>
        <v>184048.95033438355</v>
      </c>
    </row>
    <row r="228" spans="1:17">
      <c r="A228" s="428" t="s">
        <v>3588</v>
      </c>
      <c r="B228" s="429"/>
      <c r="C228" s="446">
        <v>138</v>
      </c>
      <c r="D228" s="446" t="s">
        <v>2499</v>
      </c>
      <c r="E228" s="432">
        <v>342100.98985298572</v>
      </c>
      <c r="F228" s="447">
        <f t="shared" si="25"/>
        <v>333623.02356048825</v>
      </c>
      <c r="G228" s="447">
        <f t="shared" si="25"/>
        <v>325634.80068132159</v>
      </c>
      <c r="H228" s="447">
        <f t="shared" si="25"/>
        <v>317818.90184506436</v>
      </c>
      <c r="I228" s="447">
        <f t="shared" si="25"/>
        <v>310190.6005091074</v>
      </c>
      <c r="J228" s="447">
        <f t="shared" si="25"/>
        <v>302745.39395113359</v>
      </c>
      <c r="K228" s="447">
        <f t="shared" si="25"/>
        <v>295478.8875233375</v>
      </c>
      <c r="L228" s="448" t="str">
        <f t="shared" si="26"/>
        <v/>
      </c>
      <c r="M228" s="449" t="str">
        <f t="shared" si="27"/>
        <v/>
      </c>
      <c r="N228" s="251" t="str">
        <f t="shared" si="28"/>
        <v/>
      </c>
      <c r="O228" s="251" t="str">
        <f t="shared" si="29"/>
        <v/>
      </c>
      <c r="P228" s="251" t="str">
        <f t="shared" si="30"/>
        <v/>
      </c>
      <c r="Q228" s="450">
        <f t="shared" si="31"/>
        <v>295478.8875233375</v>
      </c>
    </row>
    <row r="229" spans="1:17">
      <c r="A229" s="428" t="s">
        <v>3589</v>
      </c>
      <c r="B229" s="429"/>
      <c r="C229" s="446">
        <v>138</v>
      </c>
      <c r="D229" s="446" t="s">
        <v>2499</v>
      </c>
      <c r="E229" s="432">
        <v>303259.02331273345</v>
      </c>
      <c r="F229" s="447">
        <f t="shared" si="25"/>
        <v>295743.64085609128</v>
      </c>
      <c r="G229" s="447">
        <f t="shared" si="25"/>
        <v>288662.39660309581</v>
      </c>
      <c r="H229" s="447">
        <f t="shared" si="25"/>
        <v>281733.91081177117</v>
      </c>
      <c r="I229" s="447">
        <f t="shared" si="25"/>
        <v>274971.72279918561</v>
      </c>
      <c r="J229" s="447">
        <f t="shared" si="25"/>
        <v>268371.84107974661</v>
      </c>
      <c r="K229" s="447">
        <f t="shared" si="25"/>
        <v>261930.36997165036</v>
      </c>
      <c r="L229" s="448" t="str">
        <f t="shared" si="26"/>
        <v/>
      </c>
      <c r="M229" s="449" t="str">
        <f t="shared" si="27"/>
        <v/>
      </c>
      <c r="N229" s="251" t="str">
        <f t="shared" si="28"/>
        <v/>
      </c>
      <c r="O229" s="251" t="str">
        <f t="shared" si="29"/>
        <v/>
      </c>
      <c r="P229" s="251" t="str">
        <f t="shared" si="30"/>
        <v/>
      </c>
      <c r="Q229" s="450">
        <f t="shared" si="31"/>
        <v>261930.36997165036</v>
      </c>
    </row>
    <row r="230" spans="1:17">
      <c r="A230" s="428" t="s">
        <v>3590</v>
      </c>
      <c r="B230" s="429"/>
      <c r="C230" s="446">
        <v>138</v>
      </c>
      <c r="D230" s="446" t="s">
        <v>2498</v>
      </c>
      <c r="E230" s="432">
        <v>3847405.3507559313</v>
      </c>
      <c r="F230" s="447">
        <f t="shared" si="25"/>
        <v>3752058.731351818</v>
      </c>
      <c r="G230" s="447">
        <f t="shared" si="25"/>
        <v>3662219.9633858311</v>
      </c>
      <c r="H230" s="447">
        <f t="shared" si="25"/>
        <v>3574319.2209281554</v>
      </c>
      <c r="I230" s="447">
        <f t="shared" si="25"/>
        <v>3488528.2754247477</v>
      </c>
      <c r="J230" s="447">
        <f t="shared" si="25"/>
        <v>3404796.4874490933</v>
      </c>
      <c r="K230" s="447">
        <f t="shared" si="25"/>
        <v>3323074.433024114</v>
      </c>
      <c r="L230" s="448" t="str">
        <f t="shared" si="26"/>
        <v/>
      </c>
      <c r="M230" s="449" t="str">
        <f t="shared" si="27"/>
        <v/>
      </c>
      <c r="N230" s="251" t="str">
        <f t="shared" si="28"/>
        <v/>
      </c>
      <c r="O230" s="251">
        <f t="shared" si="29"/>
        <v>3323074.433024114</v>
      </c>
      <c r="P230" s="251" t="str">
        <f t="shared" si="30"/>
        <v/>
      </c>
      <c r="Q230" s="450" t="str">
        <f t="shared" si="31"/>
        <v/>
      </c>
    </row>
    <row r="231" spans="1:17">
      <c r="A231" s="428" t="s">
        <v>3591</v>
      </c>
      <c r="B231" s="429"/>
      <c r="C231" s="446">
        <v>138</v>
      </c>
      <c r="D231" s="446" t="s">
        <v>2498</v>
      </c>
      <c r="E231" s="432">
        <v>935743.0014182491</v>
      </c>
      <c r="F231" s="447">
        <f t="shared" si="25"/>
        <v>912553.36484960443</v>
      </c>
      <c r="G231" s="447">
        <f t="shared" si="25"/>
        <v>890703.31508458743</v>
      </c>
      <c r="H231" s="447">
        <f t="shared" si="25"/>
        <v>869324.62033435085</v>
      </c>
      <c r="I231" s="447">
        <f t="shared" si="25"/>
        <v>848459.05782633612</v>
      </c>
      <c r="J231" s="447">
        <f t="shared" si="25"/>
        <v>828094.31134100386</v>
      </c>
      <c r="K231" s="447">
        <f t="shared" si="25"/>
        <v>808218.36027318344</v>
      </c>
      <c r="L231" s="448" t="str">
        <f t="shared" si="26"/>
        <v/>
      </c>
      <c r="M231" s="449" t="str">
        <f t="shared" si="27"/>
        <v/>
      </c>
      <c r="N231" s="251" t="str">
        <f t="shared" si="28"/>
        <v/>
      </c>
      <c r="O231" s="251">
        <f t="shared" si="29"/>
        <v>808218.36027318344</v>
      </c>
      <c r="P231" s="251" t="str">
        <f t="shared" si="30"/>
        <v/>
      </c>
      <c r="Q231" s="450" t="str">
        <f t="shared" si="31"/>
        <v/>
      </c>
    </row>
    <row r="232" spans="1:17">
      <c r="A232" s="428" t="s">
        <v>3592</v>
      </c>
      <c r="B232" s="429"/>
      <c r="C232" s="446">
        <v>138</v>
      </c>
      <c r="D232" s="446" t="s">
        <v>2499</v>
      </c>
      <c r="E232" s="432">
        <v>5851692.5522286799</v>
      </c>
      <c r="F232" s="447">
        <f t="shared" si="25"/>
        <v>5706675.5727888579</v>
      </c>
      <c r="G232" s="447">
        <f t="shared" si="25"/>
        <v>5570035.7333436394</v>
      </c>
      <c r="H232" s="447">
        <f t="shared" si="25"/>
        <v>5436343.5244179824</v>
      </c>
      <c r="I232" s="447">
        <f t="shared" si="25"/>
        <v>5305860.2009614846</v>
      </c>
      <c r="J232" s="447">
        <f t="shared" si="25"/>
        <v>5178508.7431834117</v>
      </c>
      <c r="K232" s="447">
        <f t="shared" si="25"/>
        <v>5054213.9799249675</v>
      </c>
      <c r="L232" s="448" t="str">
        <f t="shared" si="26"/>
        <v/>
      </c>
      <c r="M232" s="449" t="str">
        <f t="shared" si="27"/>
        <v/>
      </c>
      <c r="N232" s="251" t="str">
        <f t="shared" si="28"/>
        <v/>
      </c>
      <c r="O232" s="251" t="str">
        <f t="shared" si="29"/>
        <v/>
      </c>
      <c r="P232" s="251" t="str">
        <f t="shared" si="30"/>
        <v/>
      </c>
      <c r="Q232" s="450">
        <f t="shared" si="31"/>
        <v>5054213.9799249675</v>
      </c>
    </row>
    <row r="233" spans="1:17">
      <c r="A233" s="428" t="s">
        <v>3593</v>
      </c>
      <c r="B233" s="429"/>
      <c r="C233" s="446">
        <v>138</v>
      </c>
      <c r="D233" s="446" t="s">
        <v>2498</v>
      </c>
      <c r="E233" s="432">
        <v>6981657.7872036006</v>
      </c>
      <c r="F233" s="447">
        <f t="shared" si="25"/>
        <v>6808637.94469715</v>
      </c>
      <c r="G233" s="447">
        <f t="shared" si="25"/>
        <v>6645612.8727901122</v>
      </c>
      <c r="H233" s="447">
        <f t="shared" si="25"/>
        <v>6486104.6205702014</v>
      </c>
      <c r="I233" s="447">
        <f t="shared" si="25"/>
        <v>6330424.8914697198</v>
      </c>
      <c r="J233" s="447">
        <f t="shared" si="25"/>
        <v>6178481.7931315508</v>
      </c>
      <c r="K233" s="447">
        <f t="shared" si="25"/>
        <v>6030185.6388024176</v>
      </c>
      <c r="L233" s="448" t="str">
        <f t="shared" si="26"/>
        <v/>
      </c>
      <c r="M233" s="449" t="str">
        <f t="shared" si="27"/>
        <v/>
      </c>
      <c r="N233" s="251" t="str">
        <f t="shared" si="28"/>
        <v/>
      </c>
      <c r="O233" s="251">
        <f t="shared" si="29"/>
        <v>6030185.6388024176</v>
      </c>
      <c r="P233" s="251" t="str">
        <f t="shared" si="30"/>
        <v/>
      </c>
      <c r="Q233" s="450" t="str">
        <f t="shared" si="31"/>
        <v/>
      </c>
    </row>
    <row r="234" spans="1:17">
      <c r="A234" s="428" t="s">
        <v>3594</v>
      </c>
      <c r="B234" s="429"/>
      <c r="C234" s="446">
        <v>138</v>
      </c>
      <c r="D234" s="446" t="s">
        <v>2498</v>
      </c>
      <c r="E234" s="432">
        <v>4248589.2596946554</v>
      </c>
      <c r="F234" s="447">
        <f t="shared" si="25"/>
        <v>4143300.4777187924</v>
      </c>
      <c r="G234" s="447">
        <f t="shared" si="25"/>
        <v>4044093.8722568806</v>
      </c>
      <c r="H234" s="447">
        <f t="shared" si="25"/>
        <v>3947027.3777552051</v>
      </c>
      <c r="I234" s="447">
        <f t="shared" si="25"/>
        <v>3852290.6769359862</v>
      </c>
      <c r="J234" s="447">
        <f t="shared" si="25"/>
        <v>3759827.8500028946</v>
      </c>
      <c r="K234" s="447">
        <f t="shared" si="25"/>
        <v>3669584.3193486761</v>
      </c>
      <c r="L234" s="448" t="str">
        <f t="shared" si="26"/>
        <v/>
      </c>
      <c r="M234" s="449" t="str">
        <f t="shared" si="27"/>
        <v/>
      </c>
      <c r="N234" s="251" t="str">
        <f t="shared" si="28"/>
        <v/>
      </c>
      <c r="O234" s="251">
        <f t="shared" si="29"/>
        <v>3669584.3193486761</v>
      </c>
      <c r="P234" s="251" t="str">
        <f t="shared" si="30"/>
        <v/>
      </c>
      <c r="Q234" s="450" t="str">
        <f t="shared" si="31"/>
        <v/>
      </c>
    </row>
    <row r="235" spans="1:17">
      <c r="A235" s="428" t="s">
        <v>3595</v>
      </c>
      <c r="B235" s="429"/>
      <c r="C235" s="446">
        <v>138</v>
      </c>
      <c r="D235" s="446" t="s">
        <v>2498</v>
      </c>
      <c r="E235" s="432">
        <v>705863.60217170732</v>
      </c>
      <c r="F235" s="447">
        <f t="shared" si="25"/>
        <v>688370.85002011526</v>
      </c>
      <c r="G235" s="447">
        <f t="shared" si="25"/>
        <v>671888.59494431992</v>
      </c>
      <c r="H235" s="447">
        <f t="shared" si="25"/>
        <v>655761.89940584428</v>
      </c>
      <c r="I235" s="447">
        <f t="shared" si="25"/>
        <v>640022.27742531814</v>
      </c>
      <c r="J235" s="447">
        <f t="shared" si="25"/>
        <v>624660.43844852294</v>
      </c>
      <c r="K235" s="447">
        <f t="shared" si="25"/>
        <v>609667.31491347495</v>
      </c>
      <c r="L235" s="448" t="str">
        <f t="shared" si="26"/>
        <v/>
      </c>
      <c r="M235" s="449" t="str">
        <f t="shared" si="27"/>
        <v/>
      </c>
      <c r="N235" s="251" t="str">
        <f t="shared" si="28"/>
        <v/>
      </c>
      <c r="O235" s="251">
        <f t="shared" si="29"/>
        <v>609667.31491347495</v>
      </c>
      <c r="P235" s="251" t="str">
        <f t="shared" si="30"/>
        <v/>
      </c>
      <c r="Q235" s="450" t="str">
        <f t="shared" si="31"/>
        <v/>
      </c>
    </row>
    <row r="236" spans="1:17">
      <c r="A236" s="428" t="s">
        <v>3596</v>
      </c>
      <c r="B236" s="429"/>
      <c r="C236" s="446">
        <v>138</v>
      </c>
      <c r="D236" s="446" t="s">
        <v>2498</v>
      </c>
      <c r="E236" s="432">
        <v>4391843.450807604</v>
      </c>
      <c r="F236" s="447">
        <f t="shared" si="25"/>
        <v>4283004.5352760432</v>
      </c>
      <c r="G236" s="447">
        <f t="shared" si="25"/>
        <v>4180452.8754561283</v>
      </c>
      <c r="H236" s="447">
        <f t="shared" si="25"/>
        <v>4080113.4869879959</v>
      </c>
      <c r="I236" s="447">
        <f t="shared" si="25"/>
        <v>3982182.4483274338</v>
      </c>
      <c r="J236" s="447">
        <f t="shared" si="25"/>
        <v>3886601.9541710182</v>
      </c>
      <c r="K236" s="447">
        <f t="shared" si="25"/>
        <v>3793315.5866604131</v>
      </c>
      <c r="L236" s="448" t="str">
        <f t="shared" si="26"/>
        <v/>
      </c>
      <c r="M236" s="449" t="str">
        <f t="shared" si="27"/>
        <v/>
      </c>
      <c r="N236" s="251" t="str">
        <f t="shared" si="28"/>
        <v/>
      </c>
      <c r="O236" s="251">
        <f t="shared" si="29"/>
        <v>3793315.5866604131</v>
      </c>
      <c r="P236" s="251" t="str">
        <f t="shared" si="30"/>
        <v/>
      </c>
      <c r="Q236" s="450" t="str">
        <f t="shared" si="31"/>
        <v/>
      </c>
    </row>
    <row r="237" spans="1:17">
      <c r="A237" s="428" t="s">
        <v>3597</v>
      </c>
      <c r="B237" s="429"/>
      <c r="C237" s="446">
        <v>138</v>
      </c>
      <c r="D237" s="446" t="s">
        <v>2498</v>
      </c>
      <c r="E237" s="432">
        <v>75252.496564798756</v>
      </c>
      <c r="F237" s="447">
        <f t="shared" si="25"/>
        <v>73387.584891854422</v>
      </c>
      <c r="G237" s="447">
        <f t="shared" si="25"/>
        <v>71630.402853206513</v>
      </c>
      <c r="H237" s="447">
        <f t="shared" si="25"/>
        <v>69911.127207207886</v>
      </c>
      <c r="I237" s="447">
        <f t="shared" ref="F237:K279" si="32">+$E237*(I$3)</f>
        <v>68233.11768047123</v>
      </c>
      <c r="J237" s="447">
        <f t="shared" si="32"/>
        <v>66595.383802036929</v>
      </c>
      <c r="K237" s="447">
        <f t="shared" si="32"/>
        <v>64996.958874266908</v>
      </c>
      <c r="L237" s="448" t="str">
        <f t="shared" si="26"/>
        <v/>
      </c>
      <c r="M237" s="449" t="str">
        <f t="shared" si="27"/>
        <v/>
      </c>
      <c r="N237" s="251" t="str">
        <f t="shared" si="28"/>
        <v/>
      </c>
      <c r="O237" s="251">
        <f t="shared" si="29"/>
        <v>64996.958874266908</v>
      </c>
      <c r="P237" s="251" t="str">
        <f t="shared" si="30"/>
        <v/>
      </c>
      <c r="Q237" s="450" t="str">
        <f t="shared" si="31"/>
        <v/>
      </c>
    </row>
    <row r="238" spans="1:17">
      <c r="A238" s="428" t="s">
        <v>3598</v>
      </c>
      <c r="B238" s="429"/>
      <c r="C238" s="446">
        <v>138</v>
      </c>
      <c r="D238" s="446" t="s">
        <v>2498</v>
      </c>
      <c r="E238" s="432">
        <v>1189399.9523540265</v>
      </c>
      <c r="F238" s="447">
        <f t="shared" si="32"/>
        <v>1159924.1747227227</v>
      </c>
      <c r="G238" s="447">
        <f t="shared" si="32"/>
        <v>1132151.1129845583</v>
      </c>
      <c r="H238" s="447">
        <f t="shared" si="32"/>
        <v>1104977.1790317707</v>
      </c>
      <c r="I238" s="447">
        <f t="shared" si="32"/>
        <v>1078455.4748723397</v>
      </c>
      <c r="J238" s="447">
        <f t="shared" si="32"/>
        <v>1052570.3456620285</v>
      </c>
      <c r="K238" s="447">
        <f t="shared" si="32"/>
        <v>1027306.5123047645</v>
      </c>
      <c r="L238" s="448" t="str">
        <f t="shared" si="26"/>
        <v/>
      </c>
      <c r="M238" s="449" t="str">
        <f t="shared" si="27"/>
        <v/>
      </c>
      <c r="N238" s="251" t="str">
        <f t="shared" si="28"/>
        <v/>
      </c>
      <c r="O238" s="251">
        <f t="shared" si="29"/>
        <v>1027306.5123047645</v>
      </c>
      <c r="P238" s="251" t="str">
        <f t="shared" si="30"/>
        <v/>
      </c>
      <c r="Q238" s="450" t="str">
        <f t="shared" si="31"/>
        <v/>
      </c>
    </row>
    <row r="239" spans="1:17">
      <c r="A239" s="428" t="s">
        <v>3599</v>
      </c>
      <c r="B239" s="429"/>
      <c r="C239" s="446" t="e">
        <v>#N/A</v>
      </c>
      <c r="D239" s="446" t="e">
        <v>#N/A</v>
      </c>
      <c r="E239" s="432">
        <v>6060539.3445855891</v>
      </c>
      <c r="F239" s="447">
        <f t="shared" si="32"/>
        <v>5910346.7119953362</v>
      </c>
      <c r="G239" s="447">
        <f t="shared" si="32"/>
        <v>5768830.1993617043</v>
      </c>
      <c r="H239" s="447">
        <f t="shared" si="32"/>
        <v>5630366.5181230316</v>
      </c>
      <c r="I239" s="447">
        <f t="shared" si="32"/>
        <v>5495226.2474129433</v>
      </c>
      <c r="J239" s="447">
        <f t="shared" si="32"/>
        <v>5363329.6186058838</v>
      </c>
      <c r="K239" s="447">
        <f t="shared" si="32"/>
        <v>5234598.7776858751</v>
      </c>
      <c r="L239" s="448">
        <f t="shared" si="26"/>
        <v>5234598.7776858751</v>
      </c>
      <c r="M239" s="449" t="str">
        <f t="shared" si="27"/>
        <v/>
      </c>
      <c r="N239" s="251" t="str">
        <f t="shared" si="28"/>
        <v/>
      </c>
      <c r="O239" s="251" t="str">
        <f t="shared" si="29"/>
        <v/>
      </c>
      <c r="P239" s="251" t="str">
        <f t="shared" si="30"/>
        <v/>
      </c>
      <c r="Q239" s="450" t="str">
        <f t="shared" si="31"/>
        <v/>
      </c>
    </row>
    <row r="240" spans="1:17">
      <c r="A240" s="428" t="s">
        <v>3600</v>
      </c>
      <c r="B240" s="429"/>
      <c r="C240" s="446">
        <v>138</v>
      </c>
      <c r="D240" s="446" t="s">
        <v>2498</v>
      </c>
      <c r="E240" s="432">
        <v>1027973.3453692123</v>
      </c>
      <c r="F240" s="447">
        <f t="shared" si="32"/>
        <v>1002498.0511428751</v>
      </c>
      <c r="G240" s="447">
        <f t="shared" si="32"/>
        <v>978494.37842570257</v>
      </c>
      <c r="H240" s="447">
        <f t="shared" si="32"/>
        <v>955008.51924351347</v>
      </c>
      <c r="I240" s="447">
        <f t="shared" si="32"/>
        <v>932086.36854416016</v>
      </c>
      <c r="J240" s="447">
        <f t="shared" si="32"/>
        <v>909714.39617525775</v>
      </c>
      <c r="K240" s="447">
        <f t="shared" si="32"/>
        <v>887879.39673565235</v>
      </c>
      <c r="L240" s="448" t="str">
        <f t="shared" si="26"/>
        <v/>
      </c>
      <c r="M240" s="449" t="str">
        <f t="shared" si="27"/>
        <v/>
      </c>
      <c r="N240" s="251" t="str">
        <f t="shared" si="28"/>
        <v/>
      </c>
      <c r="O240" s="251">
        <f t="shared" si="29"/>
        <v>887879.39673565235</v>
      </c>
      <c r="P240" s="251" t="str">
        <f t="shared" si="30"/>
        <v/>
      </c>
      <c r="Q240" s="450" t="str">
        <f t="shared" si="31"/>
        <v/>
      </c>
    </row>
    <row r="241" spans="1:17">
      <c r="A241" s="428" t="s">
        <v>3601</v>
      </c>
      <c r="B241" s="429"/>
      <c r="C241" s="446">
        <v>138</v>
      </c>
      <c r="D241" s="446" t="s">
        <v>2498</v>
      </c>
      <c r="E241" s="432">
        <v>3285398.8298347765</v>
      </c>
      <c r="F241" s="447">
        <f t="shared" si="32"/>
        <v>3203979.8881686926</v>
      </c>
      <c r="G241" s="447">
        <f t="shared" si="32"/>
        <v>3127264.2431454151</v>
      </c>
      <c r="H241" s="447">
        <f t="shared" si="32"/>
        <v>3052203.5281741382</v>
      </c>
      <c r="I241" s="447">
        <f t="shared" si="32"/>
        <v>2978944.4233304192</v>
      </c>
      <c r="J241" s="447">
        <f t="shared" si="32"/>
        <v>2907443.6862996463</v>
      </c>
      <c r="K241" s="447">
        <f t="shared" si="32"/>
        <v>2837659.112670884</v>
      </c>
      <c r="L241" s="448" t="str">
        <f t="shared" si="26"/>
        <v/>
      </c>
      <c r="M241" s="449" t="str">
        <f t="shared" si="27"/>
        <v/>
      </c>
      <c r="N241" s="251" t="str">
        <f t="shared" si="28"/>
        <v/>
      </c>
      <c r="O241" s="251">
        <f t="shared" si="29"/>
        <v>2837659.112670884</v>
      </c>
      <c r="P241" s="251" t="str">
        <f t="shared" si="30"/>
        <v/>
      </c>
      <c r="Q241" s="450" t="str">
        <f t="shared" si="31"/>
        <v/>
      </c>
    </row>
    <row r="242" spans="1:17">
      <c r="A242" s="428" t="s">
        <v>3602</v>
      </c>
      <c r="B242" s="429"/>
      <c r="C242" s="446">
        <v>138</v>
      </c>
      <c r="D242" s="446" t="s">
        <v>2498</v>
      </c>
      <c r="E242" s="432">
        <v>3382596.125486657</v>
      </c>
      <c r="F242" s="447">
        <f t="shared" si="32"/>
        <v>3298768.4348818087</v>
      </c>
      <c r="G242" s="447">
        <f t="shared" si="32"/>
        <v>3219783.1861919267</v>
      </c>
      <c r="H242" s="447">
        <f t="shared" si="32"/>
        <v>3142501.8280406948</v>
      </c>
      <c r="I242" s="447">
        <f t="shared" si="32"/>
        <v>3067075.3799788477</v>
      </c>
      <c r="J242" s="447">
        <f t="shared" si="32"/>
        <v>2993459.3203840693</v>
      </c>
      <c r="K242" s="447">
        <f t="shared" si="32"/>
        <v>2921610.1962437104</v>
      </c>
      <c r="L242" s="448" t="str">
        <f t="shared" si="26"/>
        <v/>
      </c>
      <c r="M242" s="449" t="str">
        <f t="shared" si="27"/>
        <v/>
      </c>
      <c r="N242" s="251" t="str">
        <f t="shared" si="28"/>
        <v/>
      </c>
      <c r="O242" s="251">
        <f t="shared" si="29"/>
        <v>2921610.1962437104</v>
      </c>
      <c r="P242" s="251" t="str">
        <f t="shared" si="30"/>
        <v/>
      </c>
      <c r="Q242" s="450" t="str">
        <f t="shared" si="31"/>
        <v/>
      </c>
    </row>
    <row r="243" spans="1:17">
      <c r="A243" s="428" t="s">
        <v>3603</v>
      </c>
      <c r="B243" s="429"/>
      <c r="C243" s="446">
        <v>138</v>
      </c>
      <c r="D243" s="446" t="s">
        <v>2498</v>
      </c>
      <c r="E243" s="432">
        <v>1172525.3364823216</v>
      </c>
      <c r="F243" s="447">
        <f t="shared" si="32"/>
        <v>1143467.746546472</v>
      </c>
      <c r="G243" s="447">
        <f t="shared" si="32"/>
        <v>1116088.7152162329</v>
      </c>
      <c r="H243" s="447">
        <f t="shared" si="32"/>
        <v>1089300.3115438768</v>
      </c>
      <c r="I243" s="447">
        <f t="shared" si="32"/>
        <v>1063154.8841524648</v>
      </c>
      <c r="J243" s="447">
        <f t="shared" si="32"/>
        <v>1037637.0003009152</v>
      </c>
      <c r="K243" s="447">
        <f t="shared" si="32"/>
        <v>1012731.5976653835</v>
      </c>
      <c r="L243" s="448" t="str">
        <f t="shared" si="26"/>
        <v/>
      </c>
      <c r="M243" s="449" t="str">
        <f t="shared" si="27"/>
        <v/>
      </c>
      <c r="N243" s="251" t="str">
        <f t="shared" si="28"/>
        <v/>
      </c>
      <c r="O243" s="251">
        <f t="shared" si="29"/>
        <v>1012731.5976653835</v>
      </c>
      <c r="P243" s="251" t="str">
        <f t="shared" si="30"/>
        <v/>
      </c>
      <c r="Q243" s="450" t="str">
        <f t="shared" si="31"/>
        <v/>
      </c>
    </row>
    <row r="244" spans="1:17">
      <c r="A244" s="428" t="s">
        <v>3604</v>
      </c>
      <c r="B244" s="429"/>
      <c r="C244" s="446">
        <v>138</v>
      </c>
      <c r="D244" s="446" t="s">
        <v>2498</v>
      </c>
      <c r="E244" s="432">
        <v>16654712.70951001</v>
      </c>
      <c r="F244" s="447">
        <f t="shared" si="32"/>
        <v>16241974.666795976</v>
      </c>
      <c r="G244" s="447">
        <f t="shared" si="32"/>
        <v>15853079.10361965</v>
      </c>
      <c r="H244" s="447">
        <f t="shared" si="32"/>
        <v>15472572.897717122</v>
      </c>
      <c r="I244" s="447">
        <f t="shared" si="32"/>
        <v>15101199.616200073</v>
      </c>
      <c r="J244" s="447">
        <f t="shared" si="32"/>
        <v>14738740.050271017</v>
      </c>
      <c r="K244" s="447">
        <f t="shared" si="32"/>
        <v>14384980.25259034</v>
      </c>
      <c r="L244" s="448" t="str">
        <f t="shared" si="26"/>
        <v/>
      </c>
      <c r="M244" s="449" t="str">
        <f t="shared" si="27"/>
        <v/>
      </c>
      <c r="N244" s="251" t="str">
        <f t="shared" si="28"/>
        <v/>
      </c>
      <c r="O244" s="251">
        <f t="shared" si="29"/>
        <v>14384980.25259034</v>
      </c>
      <c r="P244" s="251" t="str">
        <f t="shared" si="30"/>
        <v/>
      </c>
      <c r="Q244" s="450" t="str">
        <f t="shared" si="31"/>
        <v/>
      </c>
    </row>
    <row r="245" spans="1:17">
      <c r="A245" s="428" t="s">
        <v>3605</v>
      </c>
      <c r="B245" s="429"/>
      <c r="C245" s="446">
        <v>138</v>
      </c>
      <c r="D245" s="446" t="s">
        <v>2498</v>
      </c>
      <c r="E245" s="432">
        <v>167658.50935454594</v>
      </c>
      <c r="F245" s="447">
        <f t="shared" si="32"/>
        <v>163503.58658870115</v>
      </c>
      <c r="G245" s="447">
        <f t="shared" si="32"/>
        <v>159588.67964590478</v>
      </c>
      <c r="H245" s="447">
        <f t="shared" si="32"/>
        <v>155758.22610434692</v>
      </c>
      <c r="I245" s="447">
        <f t="shared" si="32"/>
        <v>152019.71125397057</v>
      </c>
      <c r="J245" s="447">
        <f t="shared" si="32"/>
        <v>148370.92837882307</v>
      </c>
      <c r="K245" s="447">
        <f t="shared" si="32"/>
        <v>144809.72372863174</v>
      </c>
      <c r="L245" s="448" t="str">
        <f t="shared" si="26"/>
        <v/>
      </c>
      <c r="M245" s="449" t="str">
        <f t="shared" si="27"/>
        <v/>
      </c>
      <c r="N245" s="251" t="str">
        <f t="shared" si="28"/>
        <v/>
      </c>
      <c r="O245" s="251">
        <f t="shared" si="29"/>
        <v>144809.72372863174</v>
      </c>
      <c r="P245" s="251" t="str">
        <f t="shared" si="30"/>
        <v/>
      </c>
      <c r="Q245" s="450" t="str">
        <f t="shared" si="31"/>
        <v/>
      </c>
    </row>
    <row r="246" spans="1:17">
      <c r="A246" s="428" t="s">
        <v>3606</v>
      </c>
      <c r="B246" s="429"/>
      <c r="C246" s="446">
        <v>138</v>
      </c>
      <c r="D246" s="446" t="s">
        <v>2498</v>
      </c>
      <c r="E246" s="432">
        <v>2663470.667803796</v>
      </c>
      <c r="F246" s="447">
        <f t="shared" si="32"/>
        <v>2597464.3854121543</v>
      </c>
      <c r="G246" s="447">
        <f t="shared" si="32"/>
        <v>2535271.0625115605</v>
      </c>
      <c r="H246" s="447">
        <f t="shared" si="32"/>
        <v>2474419.3903142978</v>
      </c>
      <c r="I246" s="447">
        <f t="shared" si="32"/>
        <v>2415028.2822610261</v>
      </c>
      <c r="J246" s="447">
        <f t="shared" si="32"/>
        <v>2357062.6818357669</v>
      </c>
      <c r="K246" s="447">
        <f t="shared" si="32"/>
        <v>2300488.3739503683</v>
      </c>
      <c r="L246" s="448" t="str">
        <f t="shared" si="26"/>
        <v/>
      </c>
      <c r="M246" s="449" t="str">
        <f t="shared" si="27"/>
        <v/>
      </c>
      <c r="N246" s="251" t="str">
        <f t="shared" si="28"/>
        <v/>
      </c>
      <c r="O246" s="251">
        <f t="shared" si="29"/>
        <v>2300488.3739503683</v>
      </c>
      <c r="P246" s="251" t="str">
        <f t="shared" si="30"/>
        <v/>
      </c>
      <c r="Q246" s="450" t="str">
        <f t="shared" si="31"/>
        <v/>
      </c>
    </row>
    <row r="247" spans="1:17">
      <c r="A247" s="428" t="s">
        <v>3607</v>
      </c>
      <c r="B247" s="429"/>
      <c r="C247" s="446">
        <v>138</v>
      </c>
      <c r="D247" s="446" t="s">
        <v>2498</v>
      </c>
      <c r="E247" s="432">
        <v>1024896.0704913158</v>
      </c>
      <c r="F247" s="447">
        <f t="shared" si="32"/>
        <v>999497.03746696678</v>
      </c>
      <c r="G247" s="447">
        <f t="shared" si="32"/>
        <v>975565.22060030105</v>
      </c>
      <c r="H247" s="447">
        <f t="shared" si="32"/>
        <v>952149.66717533104</v>
      </c>
      <c r="I247" s="447">
        <f t="shared" si="32"/>
        <v>929296.1347517455</v>
      </c>
      <c r="J247" s="447">
        <f t="shared" si="32"/>
        <v>906991.13368015341</v>
      </c>
      <c r="K247" s="447">
        <f t="shared" si="32"/>
        <v>885221.49809024029</v>
      </c>
      <c r="L247" s="448" t="str">
        <f t="shared" si="26"/>
        <v/>
      </c>
      <c r="M247" s="449" t="str">
        <f t="shared" si="27"/>
        <v/>
      </c>
      <c r="N247" s="251" t="str">
        <f t="shared" si="28"/>
        <v/>
      </c>
      <c r="O247" s="251">
        <f t="shared" si="29"/>
        <v>885221.49809024029</v>
      </c>
      <c r="P247" s="251" t="str">
        <f t="shared" si="30"/>
        <v/>
      </c>
      <c r="Q247" s="450" t="str">
        <f t="shared" si="31"/>
        <v/>
      </c>
    </row>
    <row r="248" spans="1:17">
      <c r="A248" s="428" t="s">
        <v>3608</v>
      </c>
      <c r="B248" s="429"/>
      <c r="C248" s="446">
        <v>138</v>
      </c>
      <c r="D248" s="446" t="s">
        <v>2498</v>
      </c>
      <c r="E248" s="432">
        <v>1415598.5607389973</v>
      </c>
      <c r="F248" s="447">
        <f t="shared" si="32"/>
        <v>1380517.1162602466</v>
      </c>
      <c r="G248" s="447">
        <f t="shared" si="32"/>
        <v>1347462.2080722577</v>
      </c>
      <c r="H248" s="447">
        <f t="shared" si="32"/>
        <v>1315120.3690491021</v>
      </c>
      <c r="I248" s="447">
        <f t="shared" si="32"/>
        <v>1283554.8000728048</v>
      </c>
      <c r="J248" s="447">
        <f t="shared" si="32"/>
        <v>1252746.8690802595</v>
      </c>
      <c r="K248" s="447">
        <f t="shared" si="32"/>
        <v>1222678.3912158448</v>
      </c>
      <c r="L248" s="448" t="str">
        <f t="shared" si="26"/>
        <v/>
      </c>
      <c r="M248" s="449" t="str">
        <f t="shared" si="27"/>
        <v/>
      </c>
      <c r="N248" s="251" t="str">
        <f t="shared" si="28"/>
        <v/>
      </c>
      <c r="O248" s="251">
        <f t="shared" si="29"/>
        <v>1222678.3912158448</v>
      </c>
      <c r="P248" s="251" t="str">
        <f t="shared" si="30"/>
        <v/>
      </c>
      <c r="Q248" s="450" t="str">
        <f t="shared" si="31"/>
        <v/>
      </c>
    </row>
    <row r="249" spans="1:17">
      <c r="A249" s="428" t="s">
        <v>3609</v>
      </c>
      <c r="B249" s="429"/>
      <c r="C249" s="446">
        <v>138</v>
      </c>
      <c r="D249" s="446" t="s">
        <v>2499</v>
      </c>
      <c r="E249" s="432">
        <v>8411.566630336205</v>
      </c>
      <c r="F249" s="447">
        <f t="shared" si="32"/>
        <v>8203.1107051144372</v>
      </c>
      <c r="G249" s="447">
        <f t="shared" si="32"/>
        <v>8006.6965730332586</v>
      </c>
      <c r="H249" s="447">
        <f t="shared" si="32"/>
        <v>7814.5195382184856</v>
      </c>
      <c r="I249" s="447">
        <f t="shared" si="32"/>
        <v>7626.955143882009</v>
      </c>
      <c r="J249" s="447">
        <f t="shared" si="32"/>
        <v>7443.8926772521245</v>
      </c>
      <c r="K249" s="447">
        <f t="shared" si="32"/>
        <v>7265.2240828892727</v>
      </c>
      <c r="L249" s="448" t="str">
        <f t="shared" si="26"/>
        <v/>
      </c>
      <c r="M249" s="449" t="str">
        <f t="shared" si="27"/>
        <v/>
      </c>
      <c r="N249" s="251" t="str">
        <f t="shared" si="28"/>
        <v/>
      </c>
      <c r="O249" s="251" t="str">
        <f t="shared" si="29"/>
        <v/>
      </c>
      <c r="P249" s="251" t="str">
        <f t="shared" si="30"/>
        <v/>
      </c>
      <c r="Q249" s="450">
        <f t="shared" si="31"/>
        <v>7265.2240828892727</v>
      </c>
    </row>
    <row r="250" spans="1:17">
      <c r="A250" s="428" t="s">
        <v>3610</v>
      </c>
      <c r="B250" s="429"/>
      <c r="C250" s="446">
        <v>138</v>
      </c>
      <c r="D250" s="446" t="s">
        <v>2498</v>
      </c>
      <c r="E250" s="432">
        <v>357719.29479780432</v>
      </c>
      <c r="F250" s="447">
        <f t="shared" si="32"/>
        <v>348854.27477908111</v>
      </c>
      <c r="G250" s="447">
        <f t="shared" si="32"/>
        <v>340501.35695720877</v>
      </c>
      <c r="H250" s="447">
        <f t="shared" si="32"/>
        <v>332328.6304733759</v>
      </c>
      <c r="I250" s="447">
        <f t="shared" si="32"/>
        <v>324352.06608057383</v>
      </c>
      <c r="J250" s="447">
        <f t="shared" si="32"/>
        <v>316566.9554888538</v>
      </c>
      <c r="K250" s="447">
        <f t="shared" si="32"/>
        <v>308968.70341682102</v>
      </c>
      <c r="L250" s="448" t="str">
        <f t="shared" si="26"/>
        <v/>
      </c>
      <c r="M250" s="449" t="str">
        <f t="shared" si="27"/>
        <v/>
      </c>
      <c r="N250" s="251" t="str">
        <f t="shared" si="28"/>
        <v/>
      </c>
      <c r="O250" s="251">
        <f t="shared" si="29"/>
        <v>308968.70341682102</v>
      </c>
      <c r="P250" s="251" t="str">
        <f t="shared" si="30"/>
        <v/>
      </c>
      <c r="Q250" s="450" t="str">
        <f t="shared" si="31"/>
        <v/>
      </c>
    </row>
    <row r="251" spans="1:17">
      <c r="A251" s="428" t="s">
        <v>3611</v>
      </c>
      <c r="B251" s="429"/>
      <c r="C251" s="446">
        <v>138</v>
      </c>
      <c r="D251" s="446" t="s">
        <v>2498</v>
      </c>
      <c r="E251" s="432">
        <v>170268.99235326514</v>
      </c>
      <c r="F251" s="447">
        <f t="shared" si="32"/>
        <v>166049.37644847389</v>
      </c>
      <c r="G251" s="447">
        <f t="shared" si="32"/>
        <v>162073.51347037053</v>
      </c>
      <c r="H251" s="447">
        <f t="shared" si="32"/>
        <v>158183.41885311587</v>
      </c>
      <c r="I251" s="447">
        <f t="shared" si="32"/>
        <v>154386.69443440365</v>
      </c>
      <c r="J251" s="447">
        <f t="shared" si="32"/>
        <v>150681.09913918716</v>
      </c>
      <c r="K251" s="447">
        <f t="shared" si="32"/>
        <v>147064.44568278806</v>
      </c>
      <c r="L251" s="448" t="str">
        <f t="shared" si="26"/>
        <v/>
      </c>
      <c r="M251" s="449" t="str">
        <f t="shared" si="27"/>
        <v/>
      </c>
      <c r="N251" s="251" t="str">
        <f t="shared" si="28"/>
        <v/>
      </c>
      <c r="O251" s="251">
        <f t="shared" si="29"/>
        <v>147064.44568278806</v>
      </c>
      <c r="P251" s="251" t="str">
        <f t="shared" si="30"/>
        <v/>
      </c>
      <c r="Q251" s="450" t="str">
        <f t="shared" si="31"/>
        <v/>
      </c>
    </row>
    <row r="252" spans="1:17">
      <c r="A252" s="428" t="s">
        <v>3612</v>
      </c>
      <c r="B252" s="429"/>
      <c r="C252" s="446">
        <v>138</v>
      </c>
      <c r="D252" s="446" t="s">
        <v>2498</v>
      </c>
      <c r="E252" s="432">
        <v>1586575.5927945743</v>
      </c>
      <c r="F252" s="447">
        <f t="shared" si="32"/>
        <v>1547256.9857306427</v>
      </c>
      <c r="G252" s="447">
        <f t="shared" si="32"/>
        <v>1510209.6814964882</v>
      </c>
      <c r="H252" s="447">
        <f t="shared" si="32"/>
        <v>1473961.5714437044</v>
      </c>
      <c r="I252" s="447">
        <f t="shared" si="32"/>
        <v>1438583.4899031844</v>
      </c>
      <c r="J252" s="447">
        <f t="shared" si="32"/>
        <v>1404054.5544175794</v>
      </c>
      <c r="K252" s="447">
        <f t="shared" si="32"/>
        <v>1370354.3837510736</v>
      </c>
      <c r="L252" s="448" t="str">
        <f t="shared" si="26"/>
        <v/>
      </c>
      <c r="M252" s="449" t="str">
        <f t="shared" si="27"/>
        <v/>
      </c>
      <c r="N252" s="251" t="str">
        <f t="shared" si="28"/>
        <v/>
      </c>
      <c r="O252" s="251">
        <f t="shared" si="29"/>
        <v>1370354.3837510736</v>
      </c>
      <c r="P252" s="251" t="str">
        <f t="shared" si="30"/>
        <v/>
      </c>
      <c r="Q252" s="450" t="str">
        <f t="shared" si="31"/>
        <v/>
      </c>
    </row>
    <row r="253" spans="1:17">
      <c r="A253" s="428" t="s">
        <v>3613</v>
      </c>
      <c r="B253" s="429"/>
      <c r="C253" s="446">
        <v>138</v>
      </c>
      <c r="D253" s="446" t="s">
        <v>2499</v>
      </c>
      <c r="E253" s="432">
        <v>317944.74577788817</v>
      </c>
      <c r="F253" s="447">
        <f t="shared" si="32"/>
        <v>310065.420907358</v>
      </c>
      <c r="G253" s="447">
        <f t="shared" si="32"/>
        <v>302641.25796171674</v>
      </c>
      <c r="H253" s="447">
        <f t="shared" si="32"/>
        <v>295377.25100988819</v>
      </c>
      <c r="I253" s="447">
        <f t="shared" si="32"/>
        <v>288287.59502841841</v>
      </c>
      <c r="J253" s="447">
        <f t="shared" si="32"/>
        <v>281368.10523870424</v>
      </c>
      <c r="K253" s="447">
        <f t="shared" si="32"/>
        <v>274614.6973053572</v>
      </c>
      <c r="L253" s="448" t="str">
        <f t="shared" si="26"/>
        <v/>
      </c>
      <c r="M253" s="449" t="str">
        <f t="shared" si="27"/>
        <v/>
      </c>
      <c r="N253" s="251" t="str">
        <f t="shared" si="28"/>
        <v/>
      </c>
      <c r="O253" s="251" t="str">
        <f t="shared" si="29"/>
        <v/>
      </c>
      <c r="P253" s="251" t="str">
        <f t="shared" si="30"/>
        <v/>
      </c>
      <c r="Q253" s="450">
        <f t="shared" si="31"/>
        <v>274614.6973053572</v>
      </c>
    </row>
    <row r="254" spans="1:17">
      <c r="A254" s="428" t="s">
        <v>3614</v>
      </c>
      <c r="B254" s="429"/>
      <c r="C254" s="446">
        <v>138</v>
      </c>
      <c r="D254" s="446" t="s">
        <v>2498</v>
      </c>
      <c r="E254" s="432">
        <v>19037361.278499041</v>
      </c>
      <c r="F254" s="447">
        <f t="shared" si="32"/>
        <v>18565576.302704114</v>
      </c>
      <c r="G254" s="447">
        <f t="shared" si="32"/>
        <v>18121044.747886866</v>
      </c>
      <c r="H254" s="447">
        <f t="shared" si="32"/>
        <v>17686102.744573832</v>
      </c>
      <c r="I254" s="447">
        <f t="shared" si="32"/>
        <v>17261600.235720299</v>
      </c>
      <c r="J254" s="447">
        <f t="shared" si="32"/>
        <v>16847286.652184315</v>
      </c>
      <c r="K254" s="447">
        <f t="shared" si="32"/>
        <v>16442917.438993972</v>
      </c>
      <c r="L254" s="448" t="str">
        <f t="shared" si="26"/>
        <v/>
      </c>
      <c r="M254" s="449" t="str">
        <f t="shared" si="27"/>
        <v/>
      </c>
      <c r="N254" s="251" t="str">
        <f t="shared" si="28"/>
        <v/>
      </c>
      <c r="O254" s="251">
        <f t="shared" si="29"/>
        <v>16442917.438993972</v>
      </c>
      <c r="P254" s="251" t="str">
        <f t="shared" si="30"/>
        <v/>
      </c>
      <c r="Q254" s="450" t="str">
        <f t="shared" si="31"/>
        <v/>
      </c>
    </row>
    <row r="255" spans="1:17">
      <c r="A255" s="428" t="s">
        <v>3615</v>
      </c>
      <c r="B255" s="429"/>
      <c r="C255" s="446">
        <v>138</v>
      </c>
      <c r="D255" s="446" t="s">
        <v>2498</v>
      </c>
      <c r="E255" s="432">
        <v>629985.60985034006</v>
      </c>
      <c r="F255" s="447">
        <f t="shared" si="32"/>
        <v>614373.27044329862</v>
      </c>
      <c r="G255" s="447">
        <f t="shared" si="32"/>
        <v>599662.80303332454</v>
      </c>
      <c r="H255" s="447">
        <f t="shared" si="32"/>
        <v>585269.67369159393</v>
      </c>
      <c r="I255" s="447">
        <f t="shared" si="32"/>
        <v>571222.00878620963</v>
      </c>
      <c r="J255" s="447">
        <f t="shared" si="32"/>
        <v>557511.51646666822</v>
      </c>
      <c r="K255" s="447">
        <f t="shared" si="32"/>
        <v>544130.10390377627</v>
      </c>
      <c r="L255" s="448" t="str">
        <f t="shared" si="26"/>
        <v/>
      </c>
      <c r="M255" s="449" t="str">
        <f t="shared" si="27"/>
        <v/>
      </c>
      <c r="N255" s="251" t="str">
        <f t="shared" si="28"/>
        <v/>
      </c>
      <c r="O255" s="251">
        <f t="shared" si="29"/>
        <v>544130.10390377627</v>
      </c>
      <c r="P255" s="251" t="str">
        <f t="shared" si="30"/>
        <v/>
      </c>
      <c r="Q255" s="450" t="str">
        <f t="shared" si="31"/>
        <v/>
      </c>
    </row>
    <row r="256" spans="1:17">
      <c r="A256" s="428" t="s">
        <v>3616</v>
      </c>
      <c r="B256" s="429"/>
      <c r="C256" s="446">
        <v>138</v>
      </c>
      <c r="D256" s="446" t="s">
        <v>2498</v>
      </c>
      <c r="E256" s="432">
        <v>6762387.8986836979</v>
      </c>
      <c r="F256" s="447">
        <f t="shared" si="32"/>
        <v>6594802.0150928013</v>
      </c>
      <c r="G256" s="447">
        <f t="shared" si="32"/>
        <v>6436897.0006896593</v>
      </c>
      <c r="H256" s="447">
        <f t="shared" si="32"/>
        <v>6282398.3547478402</v>
      </c>
      <c r="I256" s="447">
        <f t="shared" si="32"/>
        <v>6131607.9911655653</v>
      </c>
      <c r="J256" s="447">
        <f t="shared" si="32"/>
        <v>5984436.9036089964</v>
      </c>
      <c r="K256" s="447">
        <f t="shared" si="32"/>
        <v>5840798.2220776966</v>
      </c>
      <c r="L256" s="448" t="str">
        <f t="shared" si="26"/>
        <v/>
      </c>
      <c r="M256" s="449" t="str">
        <f t="shared" si="27"/>
        <v/>
      </c>
      <c r="N256" s="251" t="str">
        <f t="shared" si="28"/>
        <v/>
      </c>
      <c r="O256" s="251">
        <f t="shared" si="29"/>
        <v>5840798.2220776966</v>
      </c>
      <c r="P256" s="251" t="str">
        <f t="shared" si="30"/>
        <v/>
      </c>
      <c r="Q256" s="450" t="str">
        <f t="shared" si="31"/>
        <v/>
      </c>
    </row>
    <row r="257" spans="1:17">
      <c r="A257" s="428" t="s">
        <v>3617</v>
      </c>
      <c r="B257" s="429"/>
      <c r="C257" s="446" t="e">
        <v>#N/A</v>
      </c>
      <c r="D257" s="446" t="e">
        <v>#N/A</v>
      </c>
      <c r="E257" s="432">
        <v>12740172.389999997</v>
      </c>
      <c r="F257" s="447">
        <f t="shared" si="32"/>
        <v>12424444.709324641</v>
      </c>
      <c r="G257" s="447">
        <f t="shared" si="32"/>
        <v>12126955.547968924</v>
      </c>
      <c r="H257" s="447">
        <f t="shared" si="32"/>
        <v>11835883.900969278</v>
      </c>
      <c r="I257" s="447">
        <f t="shared" si="32"/>
        <v>11551798.566680349</v>
      </c>
      <c r="J257" s="447">
        <f t="shared" si="32"/>
        <v>11274531.859359488</v>
      </c>
      <c r="K257" s="447">
        <f t="shared" si="32"/>
        <v>11003920.118063595</v>
      </c>
      <c r="L257" s="448">
        <f t="shared" si="26"/>
        <v>11003920.118063595</v>
      </c>
      <c r="M257" s="449" t="str">
        <f t="shared" si="27"/>
        <v/>
      </c>
      <c r="N257" s="251" t="str">
        <f t="shared" si="28"/>
        <v/>
      </c>
      <c r="O257" s="251" t="str">
        <f t="shared" si="29"/>
        <v/>
      </c>
      <c r="P257" s="251" t="str">
        <f t="shared" si="30"/>
        <v/>
      </c>
      <c r="Q257" s="450" t="str">
        <f t="shared" si="31"/>
        <v/>
      </c>
    </row>
    <row r="258" spans="1:17">
      <c r="A258" s="428" t="s">
        <v>3618</v>
      </c>
      <c r="B258" s="429"/>
      <c r="C258" s="446">
        <v>138</v>
      </c>
      <c r="D258" s="446" t="s">
        <v>2498</v>
      </c>
      <c r="E258" s="432">
        <v>748783.15784702485</v>
      </c>
      <c r="F258" s="447">
        <f t="shared" si="32"/>
        <v>730226.77081246837</v>
      </c>
      <c r="G258" s="447">
        <f t="shared" si="32"/>
        <v>712742.32344030868</v>
      </c>
      <c r="H258" s="447">
        <f t="shared" si="32"/>
        <v>695635.05516101897</v>
      </c>
      <c r="I258" s="447">
        <f t="shared" si="32"/>
        <v>678938.39618379367</v>
      </c>
      <c r="J258" s="447">
        <f t="shared" si="32"/>
        <v>662642.49104859144</v>
      </c>
      <c r="K258" s="447">
        <f t="shared" si="32"/>
        <v>646737.72084649687</v>
      </c>
      <c r="L258" s="448" t="str">
        <f t="shared" si="26"/>
        <v/>
      </c>
      <c r="M258" s="449" t="str">
        <f t="shared" si="27"/>
        <v/>
      </c>
      <c r="N258" s="251" t="str">
        <f t="shared" si="28"/>
        <v/>
      </c>
      <c r="O258" s="251">
        <f t="shared" si="29"/>
        <v>646737.72084649687</v>
      </c>
      <c r="P258" s="251" t="str">
        <f t="shared" si="30"/>
        <v/>
      </c>
      <c r="Q258" s="450" t="str">
        <f t="shared" si="31"/>
        <v/>
      </c>
    </row>
    <row r="259" spans="1:17">
      <c r="A259" s="428" t="s">
        <v>3619</v>
      </c>
      <c r="B259" s="429"/>
      <c r="C259" s="446">
        <v>138</v>
      </c>
      <c r="D259" s="446" t="s">
        <v>2499</v>
      </c>
      <c r="E259" s="432">
        <v>527152.06961622287</v>
      </c>
      <c r="F259" s="447">
        <f t="shared" si="32"/>
        <v>514088.15688347339</v>
      </c>
      <c r="G259" s="447">
        <f t="shared" si="32"/>
        <v>501778.9021656838</v>
      </c>
      <c r="H259" s="447">
        <f t="shared" si="32"/>
        <v>489735.18592500692</v>
      </c>
      <c r="I259" s="447">
        <f t="shared" si="32"/>
        <v>477980.54341831902</v>
      </c>
      <c r="J259" s="447">
        <f t="shared" si="32"/>
        <v>466508.03628689336</v>
      </c>
      <c r="K259" s="447">
        <f t="shared" si="32"/>
        <v>455310.89270675223</v>
      </c>
      <c r="L259" s="448" t="str">
        <f t="shared" si="26"/>
        <v/>
      </c>
      <c r="M259" s="449" t="str">
        <f t="shared" si="27"/>
        <v/>
      </c>
      <c r="N259" s="251" t="str">
        <f t="shared" si="28"/>
        <v/>
      </c>
      <c r="O259" s="251" t="str">
        <f t="shared" si="29"/>
        <v/>
      </c>
      <c r="P259" s="251" t="str">
        <f t="shared" si="30"/>
        <v/>
      </c>
      <c r="Q259" s="450">
        <f t="shared" si="31"/>
        <v>455310.89270675223</v>
      </c>
    </row>
    <row r="260" spans="1:17">
      <c r="A260" s="428" t="s">
        <v>3620</v>
      </c>
      <c r="B260" s="429"/>
      <c r="C260" s="446">
        <v>138</v>
      </c>
      <c r="D260" s="446" t="s">
        <v>2498</v>
      </c>
      <c r="E260" s="432">
        <v>195057.27456498315</v>
      </c>
      <c r="F260" s="447">
        <f t="shared" si="32"/>
        <v>190223.35403298176</v>
      </c>
      <c r="G260" s="447">
        <f t="shared" si="32"/>
        <v>185668.67272645442</v>
      </c>
      <c r="H260" s="447">
        <f t="shared" si="32"/>
        <v>181212.24620184506</v>
      </c>
      <c r="I260" s="447">
        <f t="shared" si="32"/>
        <v>176862.78299569761</v>
      </c>
      <c r="J260" s="447">
        <f t="shared" si="32"/>
        <v>172617.71577038558</v>
      </c>
      <c r="K260" s="447">
        <f t="shared" si="32"/>
        <v>168474.53880961754</v>
      </c>
      <c r="L260" s="448" t="str">
        <f t="shared" si="26"/>
        <v/>
      </c>
      <c r="M260" s="449" t="str">
        <f t="shared" si="27"/>
        <v/>
      </c>
      <c r="N260" s="251" t="str">
        <f t="shared" si="28"/>
        <v/>
      </c>
      <c r="O260" s="251">
        <f t="shared" si="29"/>
        <v>168474.53880961754</v>
      </c>
      <c r="P260" s="251" t="str">
        <f t="shared" si="30"/>
        <v/>
      </c>
      <c r="Q260" s="450" t="str">
        <f t="shared" si="31"/>
        <v/>
      </c>
    </row>
    <row r="261" spans="1:17">
      <c r="A261" s="428" t="s">
        <v>3621</v>
      </c>
      <c r="B261" s="429"/>
      <c r="C261" s="446">
        <v>138</v>
      </c>
      <c r="D261" s="446" t="s">
        <v>2498</v>
      </c>
      <c r="E261" s="432">
        <v>924572.61530854995</v>
      </c>
      <c r="F261" s="447">
        <f t="shared" si="32"/>
        <v>901659.80388721905</v>
      </c>
      <c r="G261" s="447">
        <f t="shared" si="32"/>
        <v>880070.58801785647</v>
      </c>
      <c r="H261" s="447">
        <f t="shared" si="32"/>
        <v>858947.10038594145</v>
      </c>
      <c r="I261" s="447">
        <f t="shared" si="32"/>
        <v>838330.6195053152</v>
      </c>
      <c r="J261" s="447">
        <f t="shared" si="32"/>
        <v>818208.97618070396</v>
      </c>
      <c r="K261" s="447">
        <f t="shared" si="32"/>
        <v>798570.29330232064</v>
      </c>
      <c r="L261" s="448" t="str">
        <f t="shared" si="26"/>
        <v/>
      </c>
      <c r="M261" s="449" t="str">
        <f t="shared" si="27"/>
        <v/>
      </c>
      <c r="N261" s="251" t="str">
        <f t="shared" si="28"/>
        <v/>
      </c>
      <c r="O261" s="251">
        <f t="shared" si="29"/>
        <v>798570.29330232064</v>
      </c>
      <c r="P261" s="251" t="str">
        <f t="shared" si="30"/>
        <v/>
      </c>
      <c r="Q261" s="450" t="str">
        <f t="shared" si="31"/>
        <v/>
      </c>
    </row>
    <row r="262" spans="1:17">
      <c r="A262" s="428" t="s">
        <v>3622</v>
      </c>
      <c r="B262" s="429"/>
      <c r="C262" s="446">
        <v>138</v>
      </c>
      <c r="D262" s="446" t="s">
        <v>2498</v>
      </c>
      <c r="E262" s="432">
        <v>1323552.6335262619</v>
      </c>
      <c r="F262" s="447">
        <f t="shared" si="32"/>
        <v>1290752.2764790519</v>
      </c>
      <c r="G262" s="447">
        <f t="shared" si="32"/>
        <v>1259846.68502356</v>
      </c>
      <c r="H262" s="447">
        <f t="shared" si="32"/>
        <v>1229607.7971076008</v>
      </c>
      <c r="I262" s="447">
        <f t="shared" si="32"/>
        <v>1200094.7041262663</v>
      </c>
      <c r="J262" s="447">
        <f t="shared" si="32"/>
        <v>1171289.9855220087</v>
      </c>
      <c r="K262" s="447">
        <f t="shared" si="32"/>
        <v>1143176.6388661629</v>
      </c>
      <c r="L262" s="448" t="str">
        <f t="shared" ref="L262:L325" si="33">IF(ISERROR(C262),K262,"")</f>
        <v/>
      </c>
      <c r="M262" s="449" t="str">
        <f t="shared" ref="M262:M325" si="34">IF(ISERROR(C262),"",IF(AND(D262="n",$C262=500),$K262,""))</f>
        <v/>
      </c>
      <c r="N262" s="251" t="str">
        <f t="shared" ref="N262:N325" si="35">IF(ISERROR(C262),"",IF(AND(D262="n",OR($C262=240,$C262=260)),$K262,""))</f>
        <v/>
      </c>
      <c r="O262" s="251">
        <f t="shared" ref="O262:O325" si="36">IF(ISERROR(C262),"",IF(AND(D262="n",OR($C262=138,$C262=144)),$K262,""))</f>
        <v>1143176.6388661629</v>
      </c>
      <c r="P262" s="251" t="str">
        <f t="shared" ref="P262:P325" si="37">IF(ISERROR(C262),"",IF(AND(D262="n",OR($C262=69,$C262=72)),$K262,""))</f>
        <v/>
      </c>
      <c r="Q262" s="450" t="str">
        <f t="shared" ref="Q262:Q325" si="38">IF(ISERROR(D262),"",IF(D262="y",K262,""))</f>
        <v/>
      </c>
    </row>
    <row r="263" spans="1:17">
      <c r="A263" s="428" t="s">
        <v>3623</v>
      </c>
      <c r="B263" s="429"/>
      <c r="C263" s="446">
        <v>138</v>
      </c>
      <c r="D263" s="446" t="s">
        <v>2498</v>
      </c>
      <c r="E263" s="432">
        <v>8029837.8108454999</v>
      </c>
      <c r="F263" s="447">
        <f t="shared" si="32"/>
        <v>7830841.9110563034</v>
      </c>
      <c r="G263" s="447">
        <f t="shared" si="32"/>
        <v>7643341.3307622829</v>
      </c>
      <c r="H263" s="447">
        <f t="shared" si="32"/>
        <v>7459885.5622534212</v>
      </c>
      <c r="I263" s="447">
        <f t="shared" si="32"/>
        <v>7280833.1060582092</v>
      </c>
      <c r="J263" s="447">
        <f t="shared" si="32"/>
        <v>7106078.2737074913</v>
      </c>
      <c r="K263" s="447">
        <f t="shared" si="32"/>
        <v>6935517.9134707572</v>
      </c>
      <c r="L263" s="448" t="str">
        <f t="shared" si="33"/>
        <v/>
      </c>
      <c r="M263" s="449" t="str">
        <f t="shared" si="34"/>
        <v/>
      </c>
      <c r="N263" s="251" t="str">
        <f t="shared" si="35"/>
        <v/>
      </c>
      <c r="O263" s="251">
        <f t="shared" si="36"/>
        <v>6935517.9134707572</v>
      </c>
      <c r="P263" s="251" t="str">
        <f t="shared" si="37"/>
        <v/>
      </c>
      <c r="Q263" s="450" t="str">
        <f t="shared" si="38"/>
        <v/>
      </c>
    </row>
    <row r="264" spans="1:17">
      <c r="A264" s="428" t="s">
        <v>3624</v>
      </c>
      <c r="B264" s="429"/>
      <c r="C264" s="446">
        <v>138</v>
      </c>
      <c r="D264" s="446" t="s">
        <v>2498</v>
      </c>
      <c r="E264" s="432">
        <v>933235.26235646172</v>
      </c>
      <c r="F264" s="447">
        <f t="shared" si="32"/>
        <v>910107.77272064344</v>
      </c>
      <c r="G264" s="447">
        <f t="shared" si="32"/>
        <v>888316.27987052151</v>
      </c>
      <c r="H264" s="447">
        <f t="shared" si="32"/>
        <v>866994.87883002555</v>
      </c>
      <c r="I264" s="447">
        <f t="shared" si="32"/>
        <v>846185.23486595752</v>
      </c>
      <c r="J264" s="447">
        <f t="shared" si="32"/>
        <v>825875.06476555928</v>
      </c>
      <c r="K264" s="447">
        <f t="shared" si="32"/>
        <v>806052.38013821165</v>
      </c>
      <c r="L264" s="448" t="str">
        <f t="shared" si="33"/>
        <v/>
      </c>
      <c r="M264" s="449" t="str">
        <f t="shared" si="34"/>
        <v/>
      </c>
      <c r="N264" s="251" t="str">
        <f t="shared" si="35"/>
        <v/>
      </c>
      <c r="O264" s="251">
        <f t="shared" si="36"/>
        <v>806052.38013821165</v>
      </c>
      <c r="P264" s="251" t="str">
        <f t="shared" si="37"/>
        <v/>
      </c>
      <c r="Q264" s="450" t="str">
        <f t="shared" si="38"/>
        <v/>
      </c>
    </row>
    <row r="265" spans="1:17">
      <c r="A265" s="428" t="s">
        <v>3625</v>
      </c>
      <c r="B265" s="429"/>
      <c r="C265" s="446">
        <v>138</v>
      </c>
      <c r="D265" s="446" t="s">
        <v>2498</v>
      </c>
      <c r="E265" s="432">
        <v>61994.875755825444</v>
      </c>
      <c r="F265" s="447">
        <f t="shared" si="32"/>
        <v>60458.515199864109</v>
      </c>
      <c r="G265" s="447">
        <f t="shared" si="32"/>
        <v>59010.904992373631</v>
      </c>
      <c r="H265" s="447">
        <f t="shared" si="32"/>
        <v>57594.523012648584</v>
      </c>
      <c r="I265" s="447">
        <f t="shared" si="32"/>
        <v>56212.137086919814</v>
      </c>
      <c r="J265" s="447">
        <f t="shared" si="32"/>
        <v>54862.931240609942</v>
      </c>
      <c r="K265" s="447">
        <f t="shared" si="32"/>
        <v>53546.10908419433</v>
      </c>
      <c r="L265" s="448" t="str">
        <f t="shared" si="33"/>
        <v/>
      </c>
      <c r="M265" s="449" t="str">
        <f t="shared" si="34"/>
        <v/>
      </c>
      <c r="N265" s="251" t="str">
        <f t="shared" si="35"/>
        <v/>
      </c>
      <c r="O265" s="251">
        <f t="shared" si="36"/>
        <v>53546.10908419433</v>
      </c>
      <c r="P265" s="251" t="str">
        <f t="shared" si="37"/>
        <v/>
      </c>
      <c r="Q265" s="450" t="str">
        <f t="shared" si="38"/>
        <v/>
      </c>
    </row>
    <row r="266" spans="1:17">
      <c r="A266" s="428" t="s">
        <v>3626</v>
      </c>
      <c r="B266" s="429"/>
      <c r="C266" s="446">
        <v>138</v>
      </c>
      <c r="D266" s="446" t="s">
        <v>2498</v>
      </c>
      <c r="E266" s="432">
        <v>413689.71485191956</v>
      </c>
      <c r="F266" s="447">
        <f t="shared" si="32"/>
        <v>403437.63268292422</v>
      </c>
      <c r="G266" s="447">
        <f t="shared" si="32"/>
        <v>393777.77859575488</v>
      </c>
      <c r="H266" s="447">
        <f t="shared" si="32"/>
        <v>384326.30941914645</v>
      </c>
      <c r="I266" s="447">
        <f t="shared" si="32"/>
        <v>375101.69476417959</v>
      </c>
      <c r="J266" s="447">
        <f t="shared" si="32"/>
        <v>366098.48966002179</v>
      </c>
      <c r="K266" s="447">
        <f t="shared" si="32"/>
        <v>357311.37982623721</v>
      </c>
      <c r="L266" s="448" t="str">
        <f t="shared" si="33"/>
        <v/>
      </c>
      <c r="M266" s="449" t="str">
        <f t="shared" si="34"/>
        <v/>
      </c>
      <c r="N266" s="251" t="str">
        <f t="shared" si="35"/>
        <v/>
      </c>
      <c r="O266" s="251">
        <f t="shared" si="36"/>
        <v>357311.37982623721</v>
      </c>
      <c r="P266" s="251" t="str">
        <f t="shared" si="37"/>
        <v/>
      </c>
      <c r="Q266" s="450" t="str">
        <f t="shared" si="38"/>
        <v/>
      </c>
    </row>
    <row r="267" spans="1:17">
      <c r="A267" s="428" t="s">
        <v>3627</v>
      </c>
      <c r="B267" s="429"/>
      <c r="C267" s="446">
        <v>138</v>
      </c>
      <c r="D267" s="446" t="s">
        <v>2498</v>
      </c>
      <c r="E267" s="432">
        <v>1605220.8868911266</v>
      </c>
      <c r="F267" s="447">
        <f t="shared" si="32"/>
        <v>1565440.2110827223</v>
      </c>
      <c r="G267" s="447">
        <f t="shared" si="32"/>
        <v>1527957.5302512802</v>
      </c>
      <c r="H267" s="447">
        <f t="shared" si="32"/>
        <v>1491283.4356595636</v>
      </c>
      <c r="I267" s="447">
        <f t="shared" si="32"/>
        <v>1455489.5940771708</v>
      </c>
      <c r="J267" s="447">
        <f t="shared" si="32"/>
        <v>1420554.8776379866</v>
      </c>
      <c r="K267" s="447">
        <f t="shared" si="32"/>
        <v>1386458.6655877393</v>
      </c>
      <c r="L267" s="448" t="str">
        <f t="shared" si="33"/>
        <v/>
      </c>
      <c r="M267" s="449" t="str">
        <f t="shared" si="34"/>
        <v/>
      </c>
      <c r="N267" s="251" t="str">
        <f t="shared" si="35"/>
        <v/>
      </c>
      <c r="O267" s="251">
        <f t="shared" si="36"/>
        <v>1386458.6655877393</v>
      </c>
      <c r="P267" s="251" t="str">
        <f t="shared" si="37"/>
        <v/>
      </c>
      <c r="Q267" s="450" t="str">
        <f t="shared" si="38"/>
        <v/>
      </c>
    </row>
    <row r="268" spans="1:17">
      <c r="A268" s="428" t="s">
        <v>3628</v>
      </c>
      <c r="B268" s="429"/>
      <c r="C268" s="446" t="e">
        <v>#N/A</v>
      </c>
      <c r="D268" s="446" t="e">
        <v>#N/A</v>
      </c>
      <c r="E268" s="432">
        <v>4064673.4685362875</v>
      </c>
      <c r="F268" s="447">
        <f t="shared" si="32"/>
        <v>3963942.4982135524</v>
      </c>
      <c r="G268" s="447">
        <f t="shared" si="32"/>
        <v>3869030.4150545513</v>
      </c>
      <c r="H268" s="447">
        <f t="shared" si="32"/>
        <v>3776165.8002922526</v>
      </c>
      <c r="I268" s="447">
        <f t="shared" si="32"/>
        <v>3685530.1255355417</v>
      </c>
      <c r="J268" s="447">
        <f t="shared" si="32"/>
        <v>3597069.8916818672</v>
      </c>
      <c r="K268" s="447">
        <f t="shared" si="32"/>
        <v>3510732.8837161674</v>
      </c>
      <c r="L268" s="448">
        <f t="shared" si="33"/>
        <v>3510732.8837161674</v>
      </c>
      <c r="M268" s="449" t="str">
        <f t="shared" si="34"/>
        <v/>
      </c>
      <c r="N268" s="251" t="str">
        <f t="shared" si="35"/>
        <v/>
      </c>
      <c r="O268" s="251" t="str">
        <f t="shared" si="36"/>
        <v/>
      </c>
      <c r="P268" s="251" t="str">
        <f t="shared" si="37"/>
        <v/>
      </c>
      <c r="Q268" s="450" t="str">
        <f t="shared" si="38"/>
        <v/>
      </c>
    </row>
    <row r="269" spans="1:17">
      <c r="A269" s="428" t="s">
        <v>3629</v>
      </c>
      <c r="B269" s="429"/>
      <c r="C269" s="446">
        <v>138</v>
      </c>
      <c r="D269" s="446" t="s">
        <v>2498</v>
      </c>
      <c r="E269" s="432">
        <v>812476.32449036266</v>
      </c>
      <c r="F269" s="447">
        <f t="shared" si="32"/>
        <v>792341.48975795915</v>
      </c>
      <c r="G269" s="447">
        <f t="shared" si="32"/>
        <v>773369.77626813774</v>
      </c>
      <c r="H269" s="447">
        <f t="shared" si="32"/>
        <v>754807.32556666574</v>
      </c>
      <c r="I269" s="447">
        <f t="shared" si="32"/>
        <v>736690.411510946</v>
      </c>
      <c r="J269" s="447">
        <f t="shared" si="32"/>
        <v>719008.34031350911</v>
      </c>
      <c r="K269" s="447">
        <f t="shared" si="32"/>
        <v>701750.67485957849</v>
      </c>
      <c r="L269" s="448" t="str">
        <f t="shared" si="33"/>
        <v/>
      </c>
      <c r="M269" s="449" t="str">
        <f t="shared" si="34"/>
        <v/>
      </c>
      <c r="N269" s="251" t="str">
        <f t="shared" si="35"/>
        <v/>
      </c>
      <c r="O269" s="251">
        <f t="shared" si="36"/>
        <v>701750.67485957849</v>
      </c>
      <c r="P269" s="251" t="str">
        <f t="shared" si="37"/>
        <v/>
      </c>
      <c r="Q269" s="450" t="str">
        <f t="shared" si="38"/>
        <v/>
      </c>
    </row>
    <row r="270" spans="1:17">
      <c r="A270" s="428" t="s">
        <v>3630</v>
      </c>
      <c r="B270" s="429"/>
      <c r="C270" s="446">
        <v>138</v>
      </c>
      <c r="D270" s="446" t="s">
        <v>2498</v>
      </c>
      <c r="E270" s="432">
        <v>1831406.1899251188</v>
      </c>
      <c r="F270" s="447">
        <f t="shared" si="32"/>
        <v>1786020.1770032365</v>
      </c>
      <c r="G270" s="447">
        <f t="shared" si="32"/>
        <v>1743255.9604083234</v>
      </c>
      <c r="H270" s="447">
        <f t="shared" si="32"/>
        <v>1701414.264730385</v>
      </c>
      <c r="I270" s="447">
        <f t="shared" si="32"/>
        <v>1660576.8550190327</v>
      </c>
      <c r="J270" s="447">
        <f t="shared" si="32"/>
        <v>1620719.6263644067</v>
      </c>
      <c r="K270" s="447">
        <f t="shared" si="32"/>
        <v>1581819.0524236083</v>
      </c>
      <c r="L270" s="448" t="str">
        <f t="shared" si="33"/>
        <v/>
      </c>
      <c r="M270" s="449" t="str">
        <f t="shared" si="34"/>
        <v/>
      </c>
      <c r="N270" s="251" t="str">
        <f t="shared" si="35"/>
        <v/>
      </c>
      <c r="O270" s="251">
        <f t="shared" si="36"/>
        <v>1581819.0524236083</v>
      </c>
      <c r="P270" s="251" t="str">
        <f t="shared" si="37"/>
        <v/>
      </c>
      <c r="Q270" s="450" t="str">
        <f t="shared" si="38"/>
        <v/>
      </c>
    </row>
    <row r="271" spans="1:17">
      <c r="A271" s="428" t="s">
        <v>3631</v>
      </c>
      <c r="B271" s="429"/>
      <c r="C271" s="446" t="e">
        <v>#N/A</v>
      </c>
      <c r="D271" s="446" t="e">
        <v>#N/A</v>
      </c>
      <c r="E271" s="432">
        <v>1007445.7088195939</v>
      </c>
      <c r="F271" s="447">
        <f t="shared" si="32"/>
        <v>982479.13165603706</v>
      </c>
      <c r="G271" s="447">
        <f t="shared" si="32"/>
        <v>958954.78913902375</v>
      </c>
      <c r="H271" s="447">
        <f t="shared" si="32"/>
        <v>935937.9199199687</v>
      </c>
      <c r="I271" s="447">
        <f t="shared" si="32"/>
        <v>913473.50246886699</v>
      </c>
      <c r="J271" s="447">
        <f t="shared" si="32"/>
        <v>891548.27681743132</v>
      </c>
      <c r="K271" s="447">
        <f t="shared" si="32"/>
        <v>870149.30126363621</v>
      </c>
      <c r="L271" s="448">
        <f t="shared" si="33"/>
        <v>870149.30126363621</v>
      </c>
      <c r="M271" s="449" t="str">
        <f t="shared" si="34"/>
        <v/>
      </c>
      <c r="N271" s="251" t="str">
        <f t="shared" si="35"/>
        <v/>
      </c>
      <c r="O271" s="251" t="str">
        <f t="shared" si="36"/>
        <v/>
      </c>
      <c r="P271" s="251" t="str">
        <f t="shared" si="37"/>
        <v/>
      </c>
      <c r="Q271" s="450" t="str">
        <f t="shared" si="38"/>
        <v/>
      </c>
    </row>
    <row r="272" spans="1:17">
      <c r="A272" s="428" t="s">
        <v>3632</v>
      </c>
      <c r="B272" s="429"/>
      <c r="C272" s="446">
        <v>138</v>
      </c>
      <c r="D272" s="446" t="s">
        <v>2498</v>
      </c>
      <c r="E272" s="432">
        <v>1494580.4204481516</v>
      </c>
      <c r="F272" s="447">
        <f t="shared" si="32"/>
        <v>1457541.6430057616</v>
      </c>
      <c r="G272" s="447">
        <f t="shared" si="32"/>
        <v>1422642.4703535307</v>
      </c>
      <c r="H272" s="447">
        <f t="shared" si="32"/>
        <v>1388496.1518237491</v>
      </c>
      <c r="I272" s="447">
        <f t="shared" si="32"/>
        <v>1355169.414526382</v>
      </c>
      <c r="J272" s="447">
        <f t="shared" si="32"/>
        <v>1322642.5868416044</v>
      </c>
      <c r="K272" s="447">
        <f t="shared" si="32"/>
        <v>1290896.4693085575</v>
      </c>
      <c r="L272" s="448" t="str">
        <f t="shared" si="33"/>
        <v/>
      </c>
      <c r="M272" s="449" t="str">
        <f t="shared" si="34"/>
        <v/>
      </c>
      <c r="N272" s="251" t="str">
        <f t="shared" si="35"/>
        <v/>
      </c>
      <c r="O272" s="251">
        <f t="shared" si="36"/>
        <v>1290896.4693085575</v>
      </c>
      <c r="P272" s="251" t="str">
        <f t="shared" si="37"/>
        <v/>
      </c>
      <c r="Q272" s="450" t="str">
        <f t="shared" si="38"/>
        <v/>
      </c>
    </row>
    <row r="273" spans="1:17">
      <c r="A273" s="428" t="s">
        <v>3633</v>
      </c>
      <c r="B273" s="429"/>
      <c r="C273" s="446">
        <v>138</v>
      </c>
      <c r="D273" s="446" t="s">
        <v>2499</v>
      </c>
      <c r="E273" s="432">
        <v>771725.69962901063</v>
      </c>
      <c r="F273" s="447">
        <f t="shared" si="32"/>
        <v>752600.74921211647</v>
      </c>
      <c r="G273" s="447">
        <f t="shared" si="32"/>
        <v>734580.58243953111</v>
      </c>
      <c r="H273" s="447">
        <f t="shared" si="32"/>
        <v>716949.15143948549</v>
      </c>
      <c r="I273" s="447">
        <f t="shared" si="32"/>
        <v>699740.91071500781</v>
      </c>
      <c r="J273" s="447">
        <f t="shared" si="32"/>
        <v>682945.70283705345</v>
      </c>
      <c r="K273" s="447">
        <f t="shared" si="32"/>
        <v>666553.61417557509</v>
      </c>
      <c r="L273" s="448" t="str">
        <f t="shared" si="33"/>
        <v/>
      </c>
      <c r="M273" s="449" t="str">
        <f t="shared" si="34"/>
        <v/>
      </c>
      <c r="N273" s="251" t="str">
        <f t="shared" si="35"/>
        <v/>
      </c>
      <c r="O273" s="251" t="str">
        <f t="shared" si="36"/>
        <v/>
      </c>
      <c r="P273" s="251" t="str">
        <f t="shared" si="37"/>
        <v/>
      </c>
      <c r="Q273" s="450">
        <f t="shared" si="38"/>
        <v>666553.61417557509</v>
      </c>
    </row>
    <row r="274" spans="1:17">
      <c r="A274" s="428" t="s">
        <v>3634</v>
      </c>
      <c r="B274" s="429"/>
      <c r="C274" s="446">
        <v>138</v>
      </c>
      <c r="D274" s="446" t="s">
        <v>2498</v>
      </c>
      <c r="E274" s="432">
        <v>694269.64478091011</v>
      </c>
      <c r="F274" s="447">
        <f t="shared" si="32"/>
        <v>677064.21474434051</v>
      </c>
      <c r="G274" s="447">
        <f t="shared" si="32"/>
        <v>660852.68415761797</v>
      </c>
      <c r="H274" s="447">
        <f t="shared" si="32"/>
        <v>644990.87296840223</v>
      </c>
      <c r="I274" s="447">
        <f t="shared" si="32"/>
        <v>629509.77757293871</v>
      </c>
      <c r="J274" s="447">
        <f t="shared" si="32"/>
        <v>614400.2600163063</v>
      </c>
      <c r="K274" s="447">
        <f t="shared" si="32"/>
        <v>599653.40167312475</v>
      </c>
      <c r="L274" s="448" t="str">
        <f t="shared" si="33"/>
        <v/>
      </c>
      <c r="M274" s="449" t="str">
        <f t="shared" si="34"/>
        <v/>
      </c>
      <c r="N274" s="251" t="str">
        <f t="shared" si="35"/>
        <v/>
      </c>
      <c r="O274" s="251">
        <f t="shared" si="36"/>
        <v>599653.40167312475</v>
      </c>
      <c r="P274" s="251" t="str">
        <f t="shared" si="37"/>
        <v/>
      </c>
      <c r="Q274" s="450" t="str">
        <f t="shared" si="38"/>
        <v/>
      </c>
    </row>
    <row r="275" spans="1:17">
      <c r="A275" s="428" t="s">
        <v>3635</v>
      </c>
      <c r="B275" s="429"/>
      <c r="C275" s="446">
        <v>138</v>
      </c>
      <c r="D275" s="446" t="s">
        <v>2498</v>
      </c>
      <c r="E275" s="432">
        <v>597142.16708850639</v>
      </c>
      <c r="F275" s="447">
        <f t="shared" si="32"/>
        <v>582343.75575803698</v>
      </c>
      <c r="G275" s="447">
        <f t="shared" si="32"/>
        <v>568400.19855493889</v>
      </c>
      <c r="H275" s="447">
        <f t="shared" si="32"/>
        <v>554757.43543159077</v>
      </c>
      <c r="I275" s="447">
        <f t="shared" si="32"/>
        <v>541442.12642615638</v>
      </c>
      <c r="J275" s="447">
        <f t="shared" si="32"/>
        <v>528446.41197247826</v>
      </c>
      <c r="K275" s="447">
        <f t="shared" si="32"/>
        <v>515762.62115000386</v>
      </c>
      <c r="L275" s="448" t="str">
        <f t="shared" si="33"/>
        <v/>
      </c>
      <c r="M275" s="449" t="str">
        <f t="shared" si="34"/>
        <v/>
      </c>
      <c r="N275" s="251" t="str">
        <f t="shared" si="35"/>
        <v/>
      </c>
      <c r="O275" s="251">
        <f t="shared" si="36"/>
        <v>515762.62115000386</v>
      </c>
      <c r="P275" s="251" t="str">
        <f t="shared" si="37"/>
        <v/>
      </c>
      <c r="Q275" s="450" t="str">
        <f t="shared" si="38"/>
        <v/>
      </c>
    </row>
    <row r="276" spans="1:17">
      <c r="A276" s="428" t="s">
        <v>3636</v>
      </c>
      <c r="B276" s="429"/>
      <c r="C276" s="446">
        <v>138</v>
      </c>
      <c r="D276" s="446" t="s">
        <v>2498</v>
      </c>
      <c r="E276" s="432">
        <v>813693.11665403156</v>
      </c>
      <c r="F276" s="447">
        <f t="shared" si="32"/>
        <v>793528.12730864959</v>
      </c>
      <c r="G276" s="447">
        <f t="shared" si="32"/>
        <v>774528.0011357629</v>
      </c>
      <c r="H276" s="447">
        <f t="shared" si="32"/>
        <v>755937.75067709037</v>
      </c>
      <c r="I276" s="447">
        <f t="shared" si="32"/>
        <v>737793.70411499671</v>
      </c>
      <c r="J276" s="447">
        <f t="shared" si="32"/>
        <v>720085.15164663305</v>
      </c>
      <c r="K276" s="447">
        <f t="shared" si="32"/>
        <v>702801.64052624465</v>
      </c>
      <c r="L276" s="448" t="str">
        <f t="shared" si="33"/>
        <v/>
      </c>
      <c r="M276" s="449" t="str">
        <f t="shared" si="34"/>
        <v/>
      </c>
      <c r="N276" s="251" t="str">
        <f t="shared" si="35"/>
        <v/>
      </c>
      <c r="O276" s="251">
        <f t="shared" si="36"/>
        <v>702801.64052624465</v>
      </c>
      <c r="P276" s="251" t="str">
        <f t="shared" si="37"/>
        <v/>
      </c>
      <c r="Q276" s="450" t="str">
        <f t="shared" si="38"/>
        <v/>
      </c>
    </row>
    <row r="277" spans="1:17">
      <c r="A277" s="428" t="s">
        <v>3637</v>
      </c>
      <c r="B277" s="429"/>
      <c r="C277" s="446">
        <v>138</v>
      </c>
      <c r="D277" s="446" t="s">
        <v>2498</v>
      </c>
      <c r="E277" s="432">
        <v>801344.94259178289</v>
      </c>
      <c r="F277" s="447">
        <f t="shared" si="32"/>
        <v>781485.96640210273</v>
      </c>
      <c r="G277" s="447">
        <f t="shared" si="32"/>
        <v>762774.17604082066</v>
      </c>
      <c r="H277" s="447">
        <f t="shared" si="32"/>
        <v>744466.04133786249</v>
      </c>
      <c r="I277" s="447">
        <f t="shared" si="32"/>
        <v>726597.3391784149</v>
      </c>
      <c r="J277" s="447">
        <f t="shared" si="32"/>
        <v>709157.52228590194</v>
      </c>
      <c r="K277" s="447">
        <f t="shared" si="32"/>
        <v>692136.29653988045</v>
      </c>
      <c r="L277" s="448" t="str">
        <f t="shared" si="33"/>
        <v/>
      </c>
      <c r="M277" s="449" t="str">
        <f t="shared" si="34"/>
        <v/>
      </c>
      <c r="N277" s="251" t="str">
        <f t="shared" si="35"/>
        <v/>
      </c>
      <c r="O277" s="251">
        <f t="shared" si="36"/>
        <v>692136.29653988045</v>
      </c>
      <c r="P277" s="251" t="str">
        <f t="shared" si="37"/>
        <v/>
      </c>
      <c r="Q277" s="450" t="str">
        <f t="shared" si="38"/>
        <v/>
      </c>
    </row>
    <row r="278" spans="1:17">
      <c r="A278" s="428" t="s">
        <v>3638</v>
      </c>
      <c r="B278" s="429"/>
      <c r="C278" s="446">
        <v>138</v>
      </c>
      <c r="D278" s="446" t="s">
        <v>2499</v>
      </c>
      <c r="E278" s="432">
        <v>1019678.218157914</v>
      </c>
      <c r="F278" s="447">
        <f t="shared" si="32"/>
        <v>994408.49424845772</v>
      </c>
      <c r="G278" s="447">
        <f t="shared" si="32"/>
        <v>970598.51674685115</v>
      </c>
      <c r="H278" s="447">
        <f t="shared" si="32"/>
        <v>947302.17433614307</v>
      </c>
      <c r="I278" s="447">
        <f t="shared" si="32"/>
        <v>924564.99161953386</v>
      </c>
      <c r="J278" s="447">
        <f t="shared" si="32"/>
        <v>902373.54762483854</v>
      </c>
      <c r="K278" s="447">
        <f t="shared" si="32"/>
        <v>880714.74351055559</v>
      </c>
      <c r="L278" s="448" t="str">
        <f t="shared" si="33"/>
        <v/>
      </c>
      <c r="M278" s="449" t="str">
        <f t="shared" si="34"/>
        <v/>
      </c>
      <c r="N278" s="251" t="str">
        <f t="shared" si="35"/>
        <v/>
      </c>
      <c r="O278" s="251" t="str">
        <f t="shared" si="36"/>
        <v/>
      </c>
      <c r="P278" s="251" t="str">
        <f t="shared" si="37"/>
        <v/>
      </c>
      <c r="Q278" s="450">
        <f t="shared" si="38"/>
        <v>880714.74351055559</v>
      </c>
    </row>
    <row r="279" spans="1:17">
      <c r="A279" s="428" t="s">
        <v>3639</v>
      </c>
      <c r="B279" s="429"/>
      <c r="C279" s="446">
        <v>138</v>
      </c>
      <c r="D279" s="446" t="s">
        <v>2498</v>
      </c>
      <c r="E279" s="432">
        <v>815823.17081897403</v>
      </c>
      <c r="F279" s="447">
        <f t="shared" si="32"/>
        <v>795605.39434947609</v>
      </c>
      <c r="G279" s="447">
        <f t="shared" si="32"/>
        <v>776555.53038593999</v>
      </c>
      <c r="H279" s="447">
        <f t="shared" si="32"/>
        <v>757916.61509330687</v>
      </c>
      <c r="I279" s="447">
        <f t="shared" si="32"/>
        <v>739725.07175244309</v>
      </c>
      <c r="J279" s="447">
        <f t="shared" si="32"/>
        <v>721970.16252479469</v>
      </c>
      <c r="K279" s="447">
        <f t="shared" si="32"/>
        <v>704641.40730181616</v>
      </c>
      <c r="L279" s="448" t="str">
        <f t="shared" si="33"/>
        <v/>
      </c>
      <c r="M279" s="449" t="str">
        <f t="shared" si="34"/>
        <v/>
      </c>
      <c r="N279" s="251" t="str">
        <f t="shared" si="35"/>
        <v/>
      </c>
      <c r="O279" s="251">
        <f t="shared" si="36"/>
        <v>704641.40730181616</v>
      </c>
      <c r="P279" s="251" t="str">
        <f t="shared" si="37"/>
        <v/>
      </c>
      <c r="Q279" s="450" t="str">
        <f t="shared" si="38"/>
        <v/>
      </c>
    </row>
    <row r="280" spans="1:17">
      <c r="A280" s="428" t="s">
        <v>3640</v>
      </c>
      <c r="B280" s="429"/>
      <c r="C280" s="446">
        <v>138</v>
      </c>
      <c r="D280" s="446" t="s">
        <v>2498</v>
      </c>
      <c r="E280" s="432">
        <v>-67797.204457796091</v>
      </c>
      <c r="F280" s="447">
        <f t="shared" ref="F280:K322" si="39">+$E280*(F$3)</f>
        <v>-66117.050260154749</v>
      </c>
      <c r="G280" s="447">
        <f t="shared" si="39"/>
        <v>-64533.952882897684</v>
      </c>
      <c r="H280" s="447">
        <f t="shared" si="39"/>
        <v>-62985.006498232433</v>
      </c>
      <c r="I280" s="447">
        <f t="shared" si="39"/>
        <v>-61473.237983438594</v>
      </c>
      <c r="J280" s="447">
        <f t="shared" si="39"/>
        <v>-59997.754993873459</v>
      </c>
      <c r="K280" s="447">
        <f t="shared" si="39"/>
        <v>-58557.686602984293</v>
      </c>
      <c r="L280" s="448" t="str">
        <f t="shared" si="33"/>
        <v/>
      </c>
      <c r="M280" s="449" t="str">
        <f t="shared" si="34"/>
        <v/>
      </c>
      <c r="N280" s="251" t="str">
        <f t="shared" si="35"/>
        <v/>
      </c>
      <c r="O280" s="251">
        <f t="shared" si="36"/>
        <v>-58557.686602984293</v>
      </c>
      <c r="P280" s="251" t="str">
        <f t="shared" si="37"/>
        <v/>
      </c>
      <c r="Q280" s="450" t="str">
        <f t="shared" si="38"/>
        <v/>
      </c>
    </row>
    <row r="281" spans="1:17">
      <c r="A281" s="428" t="s">
        <v>3641</v>
      </c>
      <c r="B281" s="429"/>
      <c r="C281" s="446">
        <v>138</v>
      </c>
      <c r="D281" s="446" t="s">
        <v>2499</v>
      </c>
      <c r="E281" s="432">
        <v>29095.5063863014</v>
      </c>
      <c r="F281" s="447">
        <f t="shared" si="39"/>
        <v>28374.45988330177</v>
      </c>
      <c r="G281" s="447">
        <f t="shared" si="39"/>
        <v>27695.065795912917</v>
      </c>
      <c r="H281" s="447">
        <f t="shared" si="39"/>
        <v>27030.327776292641</v>
      </c>
      <c r="I281" s="447">
        <f t="shared" si="39"/>
        <v>26381.544823830718</v>
      </c>
      <c r="J281" s="447">
        <f t="shared" si="39"/>
        <v>25748.333984400084</v>
      </c>
      <c r="K281" s="447">
        <f t="shared" si="39"/>
        <v>25130.321495553158</v>
      </c>
      <c r="L281" s="448" t="str">
        <f t="shared" si="33"/>
        <v/>
      </c>
      <c r="M281" s="449" t="str">
        <f t="shared" si="34"/>
        <v/>
      </c>
      <c r="N281" s="251" t="str">
        <f t="shared" si="35"/>
        <v/>
      </c>
      <c r="O281" s="251" t="str">
        <f t="shared" si="36"/>
        <v/>
      </c>
      <c r="P281" s="251" t="str">
        <f t="shared" si="37"/>
        <v/>
      </c>
      <c r="Q281" s="450">
        <f t="shared" si="38"/>
        <v>25130.321495553158</v>
      </c>
    </row>
    <row r="282" spans="1:17">
      <c r="A282" s="428" t="s">
        <v>3642</v>
      </c>
      <c r="B282" s="429"/>
      <c r="C282" s="446">
        <v>138</v>
      </c>
      <c r="D282" s="446" t="s">
        <v>2499</v>
      </c>
      <c r="E282" s="432">
        <v>4442719.5898529673</v>
      </c>
      <c r="F282" s="447">
        <f t="shared" si="39"/>
        <v>4332619.8589343932</v>
      </c>
      <c r="G282" s="447">
        <f t="shared" si="39"/>
        <v>4228880.2167642945</v>
      </c>
      <c r="H282" s="447">
        <f t="shared" si="39"/>
        <v>4127378.4734133868</v>
      </c>
      <c r="I282" s="447">
        <f t="shared" si="39"/>
        <v>4028312.9787560301</v>
      </c>
      <c r="J282" s="447">
        <f t="shared" si="39"/>
        <v>3931625.2578586815</v>
      </c>
      <c r="K282" s="447">
        <f t="shared" si="39"/>
        <v>3837258.2393053723</v>
      </c>
      <c r="L282" s="448" t="str">
        <f t="shared" si="33"/>
        <v/>
      </c>
      <c r="M282" s="449" t="str">
        <f t="shared" si="34"/>
        <v/>
      </c>
      <c r="N282" s="251" t="str">
        <f t="shared" si="35"/>
        <v/>
      </c>
      <c r="O282" s="251" t="str">
        <f t="shared" si="36"/>
        <v/>
      </c>
      <c r="P282" s="251" t="str">
        <f t="shared" si="37"/>
        <v/>
      </c>
      <c r="Q282" s="450">
        <f t="shared" si="38"/>
        <v>3837258.2393053723</v>
      </c>
    </row>
    <row r="283" spans="1:17">
      <c r="A283" s="428" t="s">
        <v>3643</v>
      </c>
      <c r="B283" s="429"/>
      <c r="C283" s="446" t="e">
        <v>#N/A</v>
      </c>
      <c r="D283" s="446" t="e">
        <v>#N/A</v>
      </c>
      <c r="E283" s="432">
        <v>2703961.4234789633</v>
      </c>
      <c r="F283" s="447">
        <f t="shared" si="39"/>
        <v>2636951.6968648443</v>
      </c>
      <c r="G283" s="447">
        <f t="shared" si="39"/>
        <v>2573812.8953176728</v>
      </c>
      <c r="H283" s="447">
        <f t="shared" si="39"/>
        <v>2512036.1405876265</v>
      </c>
      <c r="I283" s="447">
        <f t="shared" si="39"/>
        <v>2451742.1538676098</v>
      </c>
      <c r="J283" s="447">
        <f t="shared" si="39"/>
        <v>2392895.3457036079</v>
      </c>
      <c r="K283" s="447">
        <f t="shared" si="39"/>
        <v>2335460.9808610328</v>
      </c>
      <c r="L283" s="448">
        <f t="shared" si="33"/>
        <v>2335460.9808610328</v>
      </c>
      <c r="M283" s="449" t="str">
        <f t="shared" si="34"/>
        <v/>
      </c>
      <c r="N283" s="251" t="str">
        <f t="shared" si="35"/>
        <v/>
      </c>
      <c r="O283" s="251" t="str">
        <f t="shared" si="36"/>
        <v/>
      </c>
      <c r="P283" s="251" t="str">
        <f t="shared" si="37"/>
        <v/>
      </c>
      <c r="Q283" s="450" t="str">
        <f t="shared" si="38"/>
        <v/>
      </c>
    </row>
    <row r="284" spans="1:17">
      <c r="A284" s="428" t="s">
        <v>3644</v>
      </c>
      <c r="B284" s="429"/>
      <c r="C284" s="446">
        <v>138</v>
      </c>
      <c r="D284" s="446" t="s">
        <v>2498</v>
      </c>
      <c r="E284" s="432">
        <v>4309055.5033397954</v>
      </c>
      <c r="F284" s="447">
        <f t="shared" si="39"/>
        <v>4202268.2434563478</v>
      </c>
      <c r="G284" s="447">
        <f t="shared" si="39"/>
        <v>4101649.7220829655</v>
      </c>
      <c r="H284" s="447">
        <f t="shared" si="39"/>
        <v>4003201.7698908518</v>
      </c>
      <c r="I284" s="447">
        <f t="shared" si="39"/>
        <v>3907116.7691810746</v>
      </c>
      <c r="J284" s="447">
        <f t="shared" si="39"/>
        <v>3813338.0043025357</v>
      </c>
      <c r="K284" s="447">
        <f t="shared" si="39"/>
        <v>3721810.1208953448</v>
      </c>
      <c r="L284" s="448" t="str">
        <f t="shared" si="33"/>
        <v/>
      </c>
      <c r="M284" s="449" t="str">
        <f t="shared" si="34"/>
        <v/>
      </c>
      <c r="N284" s="251" t="str">
        <f t="shared" si="35"/>
        <v/>
      </c>
      <c r="O284" s="251">
        <f t="shared" si="36"/>
        <v>3721810.1208953448</v>
      </c>
      <c r="P284" s="251" t="str">
        <f t="shared" si="37"/>
        <v/>
      </c>
      <c r="Q284" s="450" t="str">
        <f t="shared" si="38"/>
        <v/>
      </c>
    </row>
    <row r="285" spans="1:17">
      <c r="A285" s="428" t="s">
        <v>3645</v>
      </c>
      <c r="B285" s="429"/>
      <c r="C285" s="446">
        <v>138</v>
      </c>
      <c r="D285" s="446" t="s">
        <v>2498</v>
      </c>
      <c r="E285" s="432">
        <v>1789749.9337680219</v>
      </c>
      <c r="F285" s="447">
        <f t="shared" si="39"/>
        <v>1745396.2485682056</v>
      </c>
      <c r="G285" s="447">
        <f t="shared" si="39"/>
        <v>1703604.7256174635</v>
      </c>
      <c r="H285" s="447">
        <f t="shared" si="39"/>
        <v>1662714.740380822</v>
      </c>
      <c r="I285" s="447">
        <f t="shared" si="39"/>
        <v>1622806.198120659</v>
      </c>
      <c r="J285" s="447">
        <f t="shared" si="39"/>
        <v>1583855.5422054301</v>
      </c>
      <c r="K285" s="447">
        <f t="shared" si="39"/>
        <v>1545839.7814107542</v>
      </c>
      <c r="L285" s="448" t="str">
        <f t="shared" si="33"/>
        <v/>
      </c>
      <c r="M285" s="449" t="str">
        <f t="shared" si="34"/>
        <v/>
      </c>
      <c r="N285" s="251" t="str">
        <f t="shared" si="35"/>
        <v/>
      </c>
      <c r="O285" s="251">
        <f t="shared" si="36"/>
        <v>1545839.7814107542</v>
      </c>
      <c r="P285" s="251" t="str">
        <f t="shared" si="37"/>
        <v/>
      </c>
      <c r="Q285" s="450" t="str">
        <f t="shared" si="38"/>
        <v/>
      </c>
    </row>
    <row r="286" spans="1:17">
      <c r="A286" s="428" t="s">
        <v>3646</v>
      </c>
      <c r="B286" s="429"/>
      <c r="C286" s="446">
        <v>138</v>
      </c>
      <c r="D286" s="446" t="s">
        <v>2498</v>
      </c>
      <c r="E286" s="432">
        <v>5860950.3085751552</v>
      </c>
      <c r="F286" s="447">
        <f t="shared" si="39"/>
        <v>5715703.9028881798</v>
      </c>
      <c r="G286" s="447">
        <f t="shared" si="39"/>
        <v>5578847.8903734582</v>
      </c>
      <c r="H286" s="447">
        <f t="shared" si="39"/>
        <v>5444944.1717205532</v>
      </c>
      <c r="I286" s="447">
        <f t="shared" si="39"/>
        <v>5314254.4152013035</v>
      </c>
      <c r="J286" s="447">
        <f t="shared" si="39"/>
        <v>5186701.4791746801</v>
      </c>
      <c r="K286" s="447">
        <f t="shared" si="39"/>
        <v>5062210.073556249</v>
      </c>
      <c r="L286" s="448" t="str">
        <f t="shared" si="33"/>
        <v/>
      </c>
      <c r="M286" s="449" t="str">
        <f t="shared" si="34"/>
        <v/>
      </c>
      <c r="N286" s="251" t="str">
        <f t="shared" si="35"/>
        <v/>
      </c>
      <c r="O286" s="251">
        <f t="shared" si="36"/>
        <v>5062210.073556249</v>
      </c>
      <c r="P286" s="251" t="str">
        <f t="shared" si="37"/>
        <v/>
      </c>
      <c r="Q286" s="450" t="str">
        <f t="shared" si="38"/>
        <v/>
      </c>
    </row>
    <row r="287" spans="1:17">
      <c r="A287" s="428" t="s">
        <v>3647</v>
      </c>
      <c r="B287" s="429"/>
      <c r="C287" s="446" t="e">
        <v>#N/A</v>
      </c>
      <c r="D287" s="446" t="e">
        <v>#N/A</v>
      </c>
      <c r="E287" s="432">
        <v>115927.86987391325</v>
      </c>
      <c r="F287" s="447">
        <f t="shared" si="39"/>
        <v>113054.93877373014</v>
      </c>
      <c r="G287" s="447">
        <f t="shared" si="39"/>
        <v>110347.96717783441</v>
      </c>
      <c r="H287" s="447">
        <f t="shared" si="39"/>
        <v>107699.39108448057</v>
      </c>
      <c r="I287" s="447">
        <f t="shared" si="39"/>
        <v>105114.38621497157</v>
      </c>
      <c r="J287" s="447">
        <f t="shared" si="39"/>
        <v>102591.42673038165</v>
      </c>
      <c r="K287" s="447">
        <f t="shared" si="39"/>
        <v>100129.02341502876</v>
      </c>
      <c r="L287" s="448">
        <f t="shared" si="33"/>
        <v>100129.02341502876</v>
      </c>
      <c r="M287" s="449" t="str">
        <f t="shared" si="34"/>
        <v/>
      </c>
      <c r="N287" s="251" t="str">
        <f t="shared" si="35"/>
        <v/>
      </c>
      <c r="O287" s="251" t="str">
        <f t="shared" si="36"/>
        <v/>
      </c>
      <c r="P287" s="251" t="str">
        <f t="shared" si="37"/>
        <v/>
      </c>
      <c r="Q287" s="450" t="str">
        <f t="shared" si="38"/>
        <v/>
      </c>
    </row>
    <row r="288" spans="1:17">
      <c r="A288" s="428" t="s">
        <v>3648</v>
      </c>
      <c r="B288" s="429"/>
      <c r="C288" s="446">
        <v>138</v>
      </c>
      <c r="D288" s="446" t="s">
        <v>2498</v>
      </c>
      <c r="E288" s="432">
        <v>426075.39397240954</v>
      </c>
      <c r="F288" s="447">
        <f t="shared" si="39"/>
        <v>415516.36919521441</v>
      </c>
      <c r="G288" s="447">
        <f t="shared" si="39"/>
        <v>405567.30353526701</v>
      </c>
      <c r="H288" s="447">
        <f t="shared" si="39"/>
        <v>395832.86173392081</v>
      </c>
      <c r="I288" s="447">
        <f t="shared" si="39"/>
        <v>386332.06637388736</v>
      </c>
      <c r="J288" s="447">
        <f t="shared" si="39"/>
        <v>377059.30946442066</v>
      </c>
      <c r="K288" s="447">
        <f t="shared" si="39"/>
        <v>368009.11761798151</v>
      </c>
      <c r="L288" s="448" t="str">
        <f t="shared" si="33"/>
        <v/>
      </c>
      <c r="M288" s="449" t="str">
        <f t="shared" si="34"/>
        <v/>
      </c>
      <c r="N288" s="251" t="str">
        <f t="shared" si="35"/>
        <v/>
      </c>
      <c r="O288" s="251">
        <f t="shared" si="36"/>
        <v>368009.11761798151</v>
      </c>
      <c r="P288" s="251" t="str">
        <f t="shared" si="37"/>
        <v/>
      </c>
      <c r="Q288" s="450" t="str">
        <f t="shared" si="38"/>
        <v/>
      </c>
    </row>
    <row r="289" spans="1:17">
      <c r="A289" s="428" t="s">
        <v>3649</v>
      </c>
      <c r="B289" s="429"/>
      <c r="C289" s="446">
        <v>138</v>
      </c>
      <c r="D289" s="446" t="s">
        <v>2498</v>
      </c>
      <c r="E289" s="432">
        <v>1937568.2237302959</v>
      </c>
      <c r="F289" s="447">
        <f t="shared" si="39"/>
        <v>1889551.2972161141</v>
      </c>
      <c r="G289" s="447">
        <f t="shared" si="39"/>
        <v>1844308.14600103</v>
      </c>
      <c r="H289" s="447">
        <f t="shared" si="39"/>
        <v>1800040.9919319039</v>
      </c>
      <c r="I289" s="447">
        <f t="shared" si="39"/>
        <v>1756836.3397736589</v>
      </c>
      <c r="J289" s="447">
        <f t="shared" si="39"/>
        <v>1714668.6873151327</v>
      </c>
      <c r="K289" s="447">
        <f t="shared" si="39"/>
        <v>1673513.1444502026</v>
      </c>
      <c r="L289" s="448" t="str">
        <f t="shared" si="33"/>
        <v/>
      </c>
      <c r="M289" s="449" t="str">
        <f t="shared" si="34"/>
        <v/>
      </c>
      <c r="N289" s="251" t="str">
        <f t="shared" si="35"/>
        <v/>
      </c>
      <c r="O289" s="251">
        <f t="shared" si="36"/>
        <v>1673513.1444502026</v>
      </c>
      <c r="P289" s="251" t="str">
        <f t="shared" si="37"/>
        <v/>
      </c>
      <c r="Q289" s="450" t="str">
        <f t="shared" si="38"/>
        <v/>
      </c>
    </row>
    <row r="290" spans="1:17">
      <c r="A290" s="428" t="s">
        <v>3650</v>
      </c>
      <c r="B290" s="429"/>
      <c r="C290" s="446">
        <v>138</v>
      </c>
      <c r="D290" s="446" t="s">
        <v>2499</v>
      </c>
      <c r="E290" s="432">
        <v>4481553.6102000838</v>
      </c>
      <c r="F290" s="447">
        <f t="shared" si="39"/>
        <v>4370491.4923686674</v>
      </c>
      <c r="G290" s="447">
        <f t="shared" si="39"/>
        <v>4265845.0571198342</v>
      </c>
      <c r="H290" s="447">
        <f t="shared" si="39"/>
        <v>4163456.0822687526</v>
      </c>
      <c r="I290" s="447">
        <f t="shared" si="39"/>
        <v>4063524.6514753387</v>
      </c>
      <c r="J290" s="447">
        <f t="shared" si="39"/>
        <v>3965991.7786739138</v>
      </c>
      <c r="K290" s="447">
        <f t="shared" si="39"/>
        <v>3870799.8935845834</v>
      </c>
      <c r="L290" s="448" t="str">
        <f t="shared" si="33"/>
        <v/>
      </c>
      <c r="M290" s="449" t="str">
        <f t="shared" si="34"/>
        <v/>
      </c>
      <c r="N290" s="251" t="str">
        <f t="shared" si="35"/>
        <v/>
      </c>
      <c r="O290" s="251" t="str">
        <f t="shared" si="36"/>
        <v/>
      </c>
      <c r="P290" s="251" t="str">
        <f t="shared" si="37"/>
        <v/>
      </c>
      <c r="Q290" s="450">
        <f t="shared" si="38"/>
        <v>3870799.8935845834</v>
      </c>
    </row>
    <row r="291" spans="1:17">
      <c r="A291" s="428" t="s">
        <v>3651</v>
      </c>
      <c r="B291" s="429"/>
      <c r="C291" s="446">
        <v>138</v>
      </c>
      <c r="D291" s="446" t="s">
        <v>2498</v>
      </c>
      <c r="E291" s="432">
        <v>241554.81066278409</v>
      </c>
      <c r="F291" s="447">
        <f t="shared" si="39"/>
        <v>235568.58553239278</v>
      </c>
      <c r="G291" s="447">
        <f t="shared" si="39"/>
        <v>229928.16436337354</v>
      </c>
      <c r="H291" s="447">
        <f t="shared" si="39"/>
        <v>224409.41984187145</v>
      </c>
      <c r="I291" s="447">
        <f t="shared" si="39"/>
        <v>219023.13643568312</v>
      </c>
      <c r="J291" s="447">
        <f t="shared" si="39"/>
        <v>213766.13480809491</v>
      </c>
      <c r="K291" s="447">
        <f t="shared" si="39"/>
        <v>208635.3119329536</v>
      </c>
      <c r="L291" s="448" t="str">
        <f t="shared" si="33"/>
        <v/>
      </c>
      <c r="M291" s="449" t="str">
        <f t="shared" si="34"/>
        <v/>
      </c>
      <c r="N291" s="251" t="str">
        <f t="shared" si="35"/>
        <v/>
      </c>
      <c r="O291" s="251">
        <f t="shared" si="36"/>
        <v>208635.3119329536</v>
      </c>
      <c r="P291" s="251" t="str">
        <f t="shared" si="37"/>
        <v/>
      </c>
      <c r="Q291" s="450" t="str">
        <f t="shared" si="38"/>
        <v/>
      </c>
    </row>
    <row r="292" spans="1:17">
      <c r="A292" s="428" t="s">
        <v>3652</v>
      </c>
      <c r="B292" s="429"/>
      <c r="C292" s="446">
        <v>138</v>
      </c>
      <c r="D292" s="446" t="s">
        <v>2499</v>
      </c>
      <c r="E292" s="432">
        <v>576339.12911734008</v>
      </c>
      <c r="F292" s="447">
        <f t="shared" si="39"/>
        <v>562056.25986342784</v>
      </c>
      <c r="G292" s="447">
        <f t="shared" si="39"/>
        <v>548598.46361632377</v>
      </c>
      <c r="H292" s="447">
        <f t="shared" si="39"/>
        <v>535430.98248598981</v>
      </c>
      <c r="I292" s="447">
        <f t="shared" si="39"/>
        <v>522579.54773714737</v>
      </c>
      <c r="J292" s="447">
        <f t="shared" si="39"/>
        <v>510036.5736125611</v>
      </c>
      <c r="K292" s="447">
        <f t="shared" si="39"/>
        <v>497794.65642862872</v>
      </c>
      <c r="L292" s="448" t="str">
        <f t="shared" si="33"/>
        <v/>
      </c>
      <c r="M292" s="449" t="str">
        <f t="shared" si="34"/>
        <v/>
      </c>
      <c r="N292" s="251" t="str">
        <f t="shared" si="35"/>
        <v/>
      </c>
      <c r="O292" s="251" t="str">
        <f t="shared" si="36"/>
        <v/>
      </c>
      <c r="P292" s="251" t="str">
        <f t="shared" si="37"/>
        <v/>
      </c>
      <c r="Q292" s="450">
        <f t="shared" si="38"/>
        <v>497794.65642862872</v>
      </c>
    </row>
    <row r="293" spans="1:17">
      <c r="A293" s="428" t="s">
        <v>3653</v>
      </c>
      <c r="B293" s="429"/>
      <c r="C293" s="446">
        <v>138</v>
      </c>
      <c r="D293" s="446" t="s">
        <v>2498</v>
      </c>
      <c r="E293" s="432">
        <v>1021490.462442503</v>
      </c>
      <c r="F293" s="447">
        <f t="shared" si="39"/>
        <v>996175.82739155856</v>
      </c>
      <c r="G293" s="447">
        <f t="shared" si="39"/>
        <v>972323.53311307554</v>
      </c>
      <c r="H293" s="447">
        <f t="shared" si="39"/>
        <v>948985.78679412091</v>
      </c>
      <c r="I293" s="447">
        <f t="shared" si="39"/>
        <v>926208.19394744118</v>
      </c>
      <c r="J293" s="447">
        <f t="shared" si="39"/>
        <v>903977.30974814994</v>
      </c>
      <c r="K293" s="447">
        <f t="shared" si="39"/>
        <v>882280.0120745576</v>
      </c>
      <c r="L293" s="448" t="str">
        <f t="shared" si="33"/>
        <v/>
      </c>
      <c r="M293" s="449" t="str">
        <f t="shared" si="34"/>
        <v/>
      </c>
      <c r="N293" s="251" t="str">
        <f t="shared" si="35"/>
        <v/>
      </c>
      <c r="O293" s="251">
        <f t="shared" si="36"/>
        <v>882280.0120745576</v>
      </c>
      <c r="P293" s="251" t="str">
        <f t="shared" si="37"/>
        <v/>
      </c>
      <c r="Q293" s="450" t="str">
        <f t="shared" si="38"/>
        <v/>
      </c>
    </row>
    <row r="294" spans="1:17">
      <c r="A294" s="428" t="s">
        <v>3654</v>
      </c>
      <c r="B294" s="429"/>
      <c r="C294" s="446">
        <v>138</v>
      </c>
      <c r="D294" s="446" t="s">
        <v>2498</v>
      </c>
      <c r="E294" s="432">
        <v>741025.45549461851</v>
      </c>
      <c r="F294" s="447">
        <f t="shared" si="39"/>
        <v>722661.32028335903</v>
      </c>
      <c r="G294" s="447">
        <f t="shared" si="39"/>
        <v>705358.01899747015</v>
      </c>
      <c r="H294" s="447">
        <f t="shared" si="39"/>
        <v>688427.98907348095</v>
      </c>
      <c r="I294" s="447">
        <f t="shared" si="39"/>
        <v>671904.31436983007</v>
      </c>
      <c r="J294" s="447">
        <f t="shared" si="39"/>
        <v>655777.24153310724</v>
      </c>
      <c r="K294" s="447">
        <f t="shared" si="39"/>
        <v>640037.25131026062</v>
      </c>
      <c r="L294" s="448" t="str">
        <f t="shared" si="33"/>
        <v/>
      </c>
      <c r="M294" s="449" t="str">
        <f t="shared" si="34"/>
        <v/>
      </c>
      <c r="N294" s="251" t="str">
        <f t="shared" si="35"/>
        <v/>
      </c>
      <c r="O294" s="251">
        <f t="shared" si="36"/>
        <v>640037.25131026062</v>
      </c>
      <c r="P294" s="251" t="str">
        <f t="shared" si="37"/>
        <v/>
      </c>
      <c r="Q294" s="450" t="str">
        <f t="shared" si="38"/>
        <v/>
      </c>
    </row>
    <row r="295" spans="1:17">
      <c r="A295" s="428" t="s">
        <v>3655</v>
      </c>
      <c r="B295" s="429"/>
      <c r="C295" s="446">
        <v>138</v>
      </c>
      <c r="D295" s="446" t="s">
        <v>2498</v>
      </c>
      <c r="E295" s="432">
        <v>449749.19027109275</v>
      </c>
      <c r="F295" s="447">
        <f t="shared" si="39"/>
        <v>438603.48012031266</v>
      </c>
      <c r="G295" s="447">
        <f t="shared" si="39"/>
        <v>428101.61991478055</v>
      </c>
      <c r="H295" s="447">
        <f t="shared" si="39"/>
        <v>417826.30859703745</v>
      </c>
      <c r="I295" s="447">
        <f t="shared" si="39"/>
        <v>407797.62569125317</v>
      </c>
      <c r="J295" s="447">
        <f t="shared" si="39"/>
        <v>398009.65161292988</v>
      </c>
      <c r="K295" s="447">
        <f t="shared" si="39"/>
        <v>388456.60885966162</v>
      </c>
      <c r="L295" s="448" t="str">
        <f t="shared" si="33"/>
        <v/>
      </c>
      <c r="M295" s="449" t="str">
        <f t="shared" si="34"/>
        <v/>
      </c>
      <c r="N295" s="251" t="str">
        <f t="shared" si="35"/>
        <v/>
      </c>
      <c r="O295" s="251">
        <f t="shared" si="36"/>
        <v>388456.60885966162</v>
      </c>
      <c r="P295" s="251" t="str">
        <f t="shared" si="37"/>
        <v/>
      </c>
      <c r="Q295" s="450" t="str">
        <f t="shared" si="38"/>
        <v/>
      </c>
    </row>
    <row r="296" spans="1:17">
      <c r="A296" s="428" t="s">
        <v>3656</v>
      </c>
      <c r="B296" s="429"/>
      <c r="C296" s="446">
        <v>138</v>
      </c>
      <c r="D296" s="446" t="s">
        <v>2498</v>
      </c>
      <c r="E296" s="432">
        <v>1892977.724029819</v>
      </c>
      <c r="F296" s="447">
        <f t="shared" si="39"/>
        <v>1846065.8418289809</v>
      </c>
      <c r="G296" s="447">
        <f t="shared" si="39"/>
        <v>1801863.9002580252</v>
      </c>
      <c r="H296" s="447">
        <f t="shared" si="39"/>
        <v>1758615.4945849993</v>
      </c>
      <c r="I296" s="447">
        <f t="shared" si="39"/>
        <v>1716405.1387852137</v>
      </c>
      <c r="J296" s="447">
        <f t="shared" si="39"/>
        <v>1675207.9175462406</v>
      </c>
      <c r="K296" s="447">
        <f t="shared" si="39"/>
        <v>1634999.5135739262</v>
      </c>
      <c r="L296" s="448" t="str">
        <f t="shared" si="33"/>
        <v/>
      </c>
      <c r="M296" s="449" t="str">
        <f t="shared" si="34"/>
        <v/>
      </c>
      <c r="N296" s="251" t="str">
        <f t="shared" si="35"/>
        <v/>
      </c>
      <c r="O296" s="251">
        <f t="shared" si="36"/>
        <v>1634999.5135739262</v>
      </c>
      <c r="P296" s="251" t="str">
        <f t="shared" si="37"/>
        <v/>
      </c>
      <c r="Q296" s="450" t="str">
        <f t="shared" si="38"/>
        <v/>
      </c>
    </row>
    <row r="297" spans="1:17">
      <c r="A297" s="428" t="s">
        <v>3657</v>
      </c>
      <c r="B297" s="429"/>
      <c r="C297" s="446">
        <v>138</v>
      </c>
      <c r="D297" s="446" t="s">
        <v>2498</v>
      </c>
      <c r="E297" s="432">
        <v>1433833.9926920279</v>
      </c>
      <c r="F297" s="447">
        <f t="shared" si="39"/>
        <v>1398300.6366958821</v>
      </c>
      <c r="G297" s="447">
        <f t="shared" si="39"/>
        <v>1364819.9223890586</v>
      </c>
      <c r="H297" s="447">
        <f t="shared" si="39"/>
        <v>1332061.4628485476</v>
      </c>
      <c r="I297" s="447">
        <f t="shared" si="39"/>
        <v>1300089.2730963537</v>
      </c>
      <c r="J297" s="447">
        <f t="shared" si="39"/>
        <v>1268884.4810551964</v>
      </c>
      <c r="K297" s="447">
        <f t="shared" si="39"/>
        <v>1238428.6676161105</v>
      </c>
      <c r="L297" s="448" t="str">
        <f t="shared" si="33"/>
        <v/>
      </c>
      <c r="M297" s="449" t="str">
        <f t="shared" si="34"/>
        <v/>
      </c>
      <c r="N297" s="251" t="str">
        <f t="shared" si="35"/>
        <v/>
      </c>
      <c r="O297" s="251">
        <f t="shared" si="36"/>
        <v>1238428.6676161105</v>
      </c>
      <c r="P297" s="251" t="str">
        <f t="shared" si="37"/>
        <v/>
      </c>
      <c r="Q297" s="450" t="str">
        <f t="shared" si="38"/>
        <v/>
      </c>
    </row>
    <row r="298" spans="1:17">
      <c r="A298" s="428" t="s">
        <v>3658</v>
      </c>
      <c r="B298" s="429"/>
      <c r="C298" s="446">
        <v>138</v>
      </c>
      <c r="D298" s="446" t="s">
        <v>2499</v>
      </c>
      <c r="E298" s="432">
        <v>4538239.2337961812</v>
      </c>
      <c r="F298" s="447">
        <f t="shared" si="39"/>
        <v>4425772.3295994187</v>
      </c>
      <c r="G298" s="447">
        <f t="shared" si="39"/>
        <v>4319802.257738119</v>
      </c>
      <c r="H298" s="447">
        <f t="shared" si="39"/>
        <v>4216118.2001113705</v>
      </c>
      <c r="I298" s="447">
        <f t="shared" si="39"/>
        <v>4114922.7711681901</v>
      </c>
      <c r="J298" s="447">
        <f t="shared" si="39"/>
        <v>4016156.2387485281</v>
      </c>
      <c r="K298" s="447">
        <f t="shared" si="39"/>
        <v>3919760.3043859066</v>
      </c>
      <c r="L298" s="448" t="str">
        <f t="shared" si="33"/>
        <v/>
      </c>
      <c r="M298" s="449" t="str">
        <f t="shared" si="34"/>
        <v/>
      </c>
      <c r="N298" s="251" t="str">
        <f t="shared" si="35"/>
        <v/>
      </c>
      <c r="O298" s="251" t="str">
        <f t="shared" si="36"/>
        <v/>
      </c>
      <c r="P298" s="251" t="str">
        <f t="shared" si="37"/>
        <v/>
      </c>
      <c r="Q298" s="450">
        <f t="shared" si="38"/>
        <v>3919760.3043859066</v>
      </c>
    </row>
    <row r="299" spans="1:17">
      <c r="A299" s="428" t="s">
        <v>3659</v>
      </c>
      <c r="B299" s="429"/>
      <c r="C299" s="446">
        <v>138</v>
      </c>
      <c r="D299" s="446" t="s">
        <v>2498</v>
      </c>
      <c r="E299" s="432">
        <v>2865638.9850853011</v>
      </c>
      <c r="F299" s="447">
        <f t="shared" si="39"/>
        <v>2794622.5558944349</v>
      </c>
      <c r="G299" s="447">
        <f t="shared" si="39"/>
        <v>2727708.5054149912</v>
      </c>
      <c r="H299" s="447">
        <f t="shared" si="39"/>
        <v>2662237.942414613</v>
      </c>
      <c r="I299" s="447">
        <f t="shared" si="39"/>
        <v>2598338.8063504626</v>
      </c>
      <c r="J299" s="447">
        <f t="shared" si="39"/>
        <v>2535973.3797736173</v>
      </c>
      <c r="K299" s="447">
        <f t="shared" si="39"/>
        <v>2475104.8505307934</v>
      </c>
      <c r="L299" s="448" t="str">
        <f t="shared" si="33"/>
        <v/>
      </c>
      <c r="M299" s="449" t="str">
        <f t="shared" si="34"/>
        <v/>
      </c>
      <c r="N299" s="251" t="str">
        <f t="shared" si="35"/>
        <v/>
      </c>
      <c r="O299" s="251">
        <f t="shared" si="36"/>
        <v>2475104.8505307934</v>
      </c>
      <c r="P299" s="251" t="str">
        <f t="shared" si="37"/>
        <v/>
      </c>
      <c r="Q299" s="450" t="str">
        <f t="shared" si="38"/>
        <v/>
      </c>
    </row>
    <row r="300" spans="1:17">
      <c r="A300" s="428" t="s">
        <v>3660</v>
      </c>
      <c r="B300" s="429"/>
      <c r="C300" s="446" t="e">
        <v>#N/A</v>
      </c>
      <c r="D300" s="446" t="e">
        <v>#N/A</v>
      </c>
      <c r="E300" s="432">
        <v>3159.7383828013781</v>
      </c>
      <c r="F300" s="447">
        <f t="shared" si="39"/>
        <v>3081.4335655191703</v>
      </c>
      <c r="G300" s="447">
        <f t="shared" si="39"/>
        <v>3007.6521524559635</v>
      </c>
      <c r="H300" s="447">
        <f t="shared" si="39"/>
        <v>2935.4623714219256</v>
      </c>
      <c r="I300" s="447">
        <f t="shared" si="39"/>
        <v>2865.0052922501977</v>
      </c>
      <c r="J300" s="447">
        <f t="shared" si="39"/>
        <v>2796.2393265649657</v>
      </c>
      <c r="K300" s="447">
        <f t="shared" si="39"/>
        <v>2729.1238841961872</v>
      </c>
      <c r="L300" s="448">
        <f t="shared" si="33"/>
        <v>2729.1238841961872</v>
      </c>
      <c r="M300" s="449" t="str">
        <f t="shared" si="34"/>
        <v/>
      </c>
      <c r="N300" s="251" t="str">
        <f t="shared" si="35"/>
        <v/>
      </c>
      <c r="O300" s="251" t="str">
        <f t="shared" si="36"/>
        <v/>
      </c>
      <c r="P300" s="251" t="str">
        <f t="shared" si="37"/>
        <v/>
      </c>
      <c r="Q300" s="450" t="str">
        <f t="shared" si="38"/>
        <v/>
      </c>
    </row>
    <row r="301" spans="1:17">
      <c r="A301" s="428" t="s">
        <v>3661</v>
      </c>
      <c r="B301" s="429"/>
      <c r="C301" s="446" t="e">
        <v>#N/A</v>
      </c>
      <c r="D301" s="446" t="e">
        <v>#N/A</v>
      </c>
      <c r="E301" s="432">
        <v>1483012.37122132</v>
      </c>
      <c r="F301" s="447">
        <f t="shared" si="39"/>
        <v>1446260.2738363515</v>
      </c>
      <c r="G301" s="447">
        <f t="shared" si="39"/>
        <v>1411631.2207050866</v>
      </c>
      <c r="H301" s="447">
        <f t="shared" si="39"/>
        <v>1377749.1946069892</v>
      </c>
      <c r="I301" s="447">
        <f t="shared" si="39"/>
        <v>1344680.4061843369</v>
      </c>
      <c r="J301" s="447">
        <f t="shared" si="39"/>
        <v>1312405.3360756005</v>
      </c>
      <c r="K301" s="447">
        <f t="shared" si="39"/>
        <v>1280904.9334237056</v>
      </c>
      <c r="L301" s="448">
        <f t="shared" si="33"/>
        <v>1280904.9334237056</v>
      </c>
      <c r="M301" s="449" t="str">
        <f t="shared" si="34"/>
        <v/>
      </c>
      <c r="N301" s="251" t="str">
        <f t="shared" si="35"/>
        <v/>
      </c>
      <c r="O301" s="251" t="str">
        <f t="shared" si="36"/>
        <v/>
      </c>
      <c r="P301" s="251" t="str">
        <f t="shared" si="37"/>
        <v/>
      </c>
      <c r="Q301" s="450" t="str">
        <f t="shared" si="38"/>
        <v/>
      </c>
    </row>
    <row r="302" spans="1:17">
      <c r="A302" s="428" t="s">
        <v>3662</v>
      </c>
      <c r="B302" s="429"/>
      <c r="C302" s="446">
        <v>138</v>
      </c>
      <c r="D302" s="446" t="s">
        <v>2499</v>
      </c>
      <c r="E302" s="432">
        <v>12310727.65</v>
      </c>
      <c r="F302" s="447">
        <f t="shared" si="39"/>
        <v>12005642.493427761</v>
      </c>
      <c r="G302" s="447">
        <f t="shared" si="39"/>
        <v>11718181.073584514</v>
      </c>
      <c r="H302" s="447">
        <f t="shared" si="39"/>
        <v>11436920.847022573</v>
      </c>
      <c r="I302" s="447">
        <f t="shared" si="39"/>
        <v>11162411.439085888</v>
      </c>
      <c r="J302" s="447">
        <f t="shared" si="39"/>
        <v>10894490.816369778</v>
      </c>
      <c r="K302" s="447">
        <f t="shared" si="39"/>
        <v>10633000.834601484</v>
      </c>
      <c r="L302" s="448" t="str">
        <f t="shared" si="33"/>
        <v/>
      </c>
      <c r="M302" s="449" t="str">
        <f t="shared" si="34"/>
        <v/>
      </c>
      <c r="N302" s="251" t="str">
        <f t="shared" si="35"/>
        <v/>
      </c>
      <c r="O302" s="251" t="str">
        <f t="shared" si="36"/>
        <v/>
      </c>
      <c r="P302" s="251" t="str">
        <f t="shared" si="37"/>
        <v/>
      </c>
      <c r="Q302" s="450">
        <f t="shared" si="38"/>
        <v>10633000.834601484</v>
      </c>
    </row>
    <row r="303" spans="1:17">
      <c r="A303" s="428" t="s">
        <v>3663</v>
      </c>
      <c r="B303" s="429"/>
      <c r="C303" s="446" t="e">
        <v>#N/A</v>
      </c>
      <c r="D303" s="446" t="e">
        <v>#N/A</v>
      </c>
      <c r="E303" s="432">
        <v>910368.00823096372</v>
      </c>
      <c r="F303" s="447">
        <f t="shared" si="39"/>
        <v>887807.21619447495</v>
      </c>
      <c r="G303" s="447">
        <f t="shared" si="39"/>
        <v>866549.68474173895</v>
      </c>
      <c r="H303" s="447">
        <f t="shared" si="39"/>
        <v>845750.72634306271</v>
      </c>
      <c r="I303" s="447">
        <f t="shared" si="39"/>
        <v>825450.98533271055</v>
      </c>
      <c r="J303" s="447">
        <f t="shared" si="39"/>
        <v>805638.47947599425</v>
      </c>
      <c r="K303" s="447">
        <f t="shared" si="39"/>
        <v>786301.51413627679</v>
      </c>
      <c r="L303" s="448">
        <f t="shared" si="33"/>
        <v>786301.51413627679</v>
      </c>
      <c r="M303" s="449" t="str">
        <f t="shared" si="34"/>
        <v/>
      </c>
      <c r="N303" s="251" t="str">
        <f t="shared" si="35"/>
        <v/>
      </c>
      <c r="O303" s="251" t="str">
        <f t="shared" si="36"/>
        <v/>
      </c>
      <c r="P303" s="251" t="str">
        <f t="shared" si="37"/>
        <v/>
      </c>
      <c r="Q303" s="450" t="str">
        <f t="shared" si="38"/>
        <v/>
      </c>
    </row>
    <row r="304" spans="1:17">
      <c r="A304" s="428" t="s">
        <v>3664</v>
      </c>
      <c r="B304" s="429"/>
      <c r="C304" s="446">
        <v>138</v>
      </c>
      <c r="D304" s="446" t="s">
        <v>2499</v>
      </c>
      <c r="E304" s="432">
        <v>2843180.6709729643</v>
      </c>
      <c r="F304" s="447">
        <f t="shared" si="39"/>
        <v>2772720.8050066377</v>
      </c>
      <c r="G304" s="447">
        <f t="shared" si="39"/>
        <v>2706331.166978315</v>
      </c>
      <c r="H304" s="447">
        <f t="shared" si="39"/>
        <v>2641373.7036658688</v>
      </c>
      <c r="I304" s="447">
        <f t="shared" si="39"/>
        <v>2577975.3518514805</v>
      </c>
      <c r="J304" s="447">
        <f t="shared" si="39"/>
        <v>2516098.6896818415</v>
      </c>
      <c r="K304" s="447">
        <f t="shared" si="39"/>
        <v>2455707.1935043857</v>
      </c>
      <c r="L304" s="448" t="str">
        <f t="shared" si="33"/>
        <v/>
      </c>
      <c r="M304" s="449" t="str">
        <f t="shared" si="34"/>
        <v/>
      </c>
      <c r="N304" s="251" t="str">
        <f t="shared" si="35"/>
        <v/>
      </c>
      <c r="O304" s="251" t="str">
        <f t="shared" si="36"/>
        <v/>
      </c>
      <c r="P304" s="251" t="str">
        <f t="shared" si="37"/>
        <v/>
      </c>
      <c r="Q304" s="450">
        <f t="shared" si="38"/>
        <v>2455707.1935043857</v>
      </c>
    </row>
    <row r="305" spans="1:35">
      <c r="A305" s="428" t="s">
        <v>3665</v>
      </c>
      <c r="B305" s="429"/>
      <c r="C305" s="446">
        <v>138</v>
      </c>
      <c r="D305" s="446" t="s">
        <v>2499</v>
      </c>
      <c r="E305" s="432">
        <v>5716489.9800596507</v>
      </c>
      <c r="F305" s="447">
        <f t="shared" si="39"/>
        <v>5574823.5984944524</v>
      </c>
      <c r="G305" s="447">
        <f t="shared" si="39"/>
        <v>5441340.8042269954</v>
      </c>
      <c r="H305" s="447">
        <f t="shared" si="39"/>
        <v>5310737.5358709898</v>
      </c>
      <c r="I305" s="447">
        <f t="shared" si="39"/>
        <v>5183269.0121154375</v>
      </c>
      <c r="J305" s="447">
        <f t="shared" si="39"/>
        <v>5058859.9927015454</v>
      </c>
      <c r="K305" s="447">
        <f t="shared" si="39"/>
        <v>4937437.0432900684</v>
      </c>
      <c r="L305" s="448" t="str">
        <f t="shared" si="33"/>
        <v/>
      </c>
      <c r="M305" s="449" t="str">
        <f t="shared" si="34"/>
        <v/>
      </c>
      <c r="N305" s="251" t="str">
        <f t="shared" si="35"/>
        <v/>
      </c>
      <c r="O305" s="251" t="str">
        <f t="shared" si="36"/>
        <v/>
      </c>
      <c r="P305" s="251" t="str">
        <f t="shared" si="37"/>
        <v/>
      </c>
      <c r="Q305" s="450">
        <f t="shared" si="38"/>
        <v>4937437.0432900684</v>
      </c>
    </row>
    <row r="306" spans="1:35">
      <c r="A306" s="428" t="s">
        <v>3666</v>
      </c>
      <c r="B306" s="429"/>
      <c r="C306" s="446">
        <v>138</v>
      </c>
      <c r="D306" s="446" t="s">
        <v>2498</v>
      </c>
      <c r="E306" s="432">
        <v>3201709.760972599</v>
      </c>
      <c r="F306" s="447">
        <f t="shared" si="39"/>
        <v>3122364.8065965516</v>
      </c>
      <c r="G306" s="447">
        <f t="shared" si="39"/>
        <v>3047603.3416383723</v>
      </c>
      <c r="H306" s="447">
        <f t="shared" si="39"/>
        <v>2974454.650646355</v>
      </c>
      <c r="I306" s="447">
        <f t="shared" si="39"/>
        <v>2903061.6773098283</v>
      </c>
      <c r="J306" s="447">
        <f t="shared" si="39"/>
        <v>2833382.2808270357</v>
      </c>
      <c r="K306" s="447">
        <f t="shared" si="39"/>
        <v>2765375.3318613432</v>
      </c>
      <c r="L306" s="448" t="str">
        <f t="shared" si="33"/>
        <v/>
      </c>
      <c r="M306" s="449" t="str">
        <f t="shared" si="34"/>
        <v/>
      </c>
      <c r="N306" s="251" t="str">
        <f t="shared" si="35"/>
        <v/>
      </c>
      <c r="O306" s="251">
        <f t="shared" si="36"/>
        <v>2765375.3318613432</v>
      </c>
      <c r="P306" s="251" t="str">
        <f t="shared" si="37"/>
        <v/>
      </c>
      <c r="Q306" s="450" t="str">
        <f t="shared" si="38"/>
        <v/>
      </c>
    </row>
    <row r="307" spans="1:35">
      <c r="A307" s="428" t="s">
        <v>3667</v>
      </c>
      <c r="B307" s="429"/>
      <c r="C307" s="446" t="e">
        <v>#N/A</v>
      </c>
      <c r="D307" s="446" t="e">
        <v>#N/A</v>
      </c>
      <c r="E307" s="432">
        <v>589145.78226810216</v>
      </c>
      <c r="F307" s="447">
        <f t="shared" si="39"/>
        <v>574545.53780349984</v>
      </c>
      <c r="G307" s="447">
        <f t="shared" si="39"/>
        <v>560788.70003725716</v>
      </c>
      <c r="H307" s="447">
        <f t="shared" si="39"/>
        <v>547328.62839001056</v>
      </c>
      <c r="I307" s="447">
        <f t="shared" si="39"/>
        <v>534191.62589293951</v>
      </c>
      <c r="J307" s="447">
        <f t="shared" si="39"/>
        <v>521369.93822804833</v>
      </c>
      <c r="K307" s="447">
        <f t="shared" si="39"/>
        <v>508855.99719677615</v>
      </c>
      <c r="L307" s="448">
        <f t="shared" si="33"/>
        <v>508855.99719677615</v>
      </c>
      <c r="M307" s="449" t="str">
        <f t="shared" si="34"/>
        <v/>
      </c>
      <c r="N307" s="251" t="str">
        <f t="shared" si="35"/>
        <v/>
      </c>
      <c r="O307" s="251" t="str">
        <f t="shared" si="36"/>
        <v/>
      </c>
      <c r="P307" s="251" t="str">
        <f t="shared" si="37"/>
        <v/>
      </c>
      <c r="Q307" s="450" t="str">
        <f t="shared" si="38"/>
        <v/>
      </c>
    </row>
    <row r="308" spans="1:35">
      <c r="A308" s="428" t="s">
        <v>3668</v>
      </c>
      <c r="B308" s="429"/>
      <c r="C308" s="446">
        <v>138</v>
      </c>
      <c r="D308" s="446" t="s">
        <v>2499</v>
      </c>
      <c r="E308" s="432">
        <v>2166153.5702480255</v>
      </c>
      <c r="F308" s="447">
        <f t="shared" si="39"/>
        <v>2112471.8286055131</v>
      </c>
      <c r="G308" s="447">
        <f t="shared" si="39"/>
        <v>2061891.0994556795</v>
      </c>
      <c r="H308" s="447">
        <f t="shared" si="39"/>
        <v>2012401.5110854974</v>
      </c>
      <c r="I308" s="447">
        <f t="shared" si="39"/>
        <v>1964099.7736923611</v>
      </c>
      <c r="J308" s="447">
        <f t="shared" si="39"/>
        <v>1916957.3764320679</v>
      </c>
      <c r="K308" s="447">
        <f t="shared" si="39"/>
        <v>1870946.492778779</v>
      </c>
      <c r="L308" s="448" t="str">
        <f t="shared" si="33"/>
        <v/>
      </c>
      <c r="M308" s="449" t="str">
        <f t="shared" si="34"/>
        <v/>
      </c>
      <c r="N308" s="251" t="str">
        <f t="shared" si="35"/>
        <v/>
      </c>
      <c r="O308" s="251" t="str">
        <f t="shared" si="36"/>
        <v/>
      </c>
      <c r="P308" s="251" t="str">
        <f t="shared" si="37"/>
        <v/>
      </c>
      <c r="Q308" s="450">
        <f t="shared" si="38"/>
        <v>1870946.492778779</v>
      </c>
    </row>
    <row r="309" spans="1:35">
      <c r="A309" s="428" t="s">
        <v>3669</v>
      </c>
      <c r="B309" s="429"/>
      <c r="C309" s="446">
        <v>138</v>
      </c>
      <c r="D309" s="446" t="s">
        <v>2499</v>
      </c>
      <c r="E309" s="432">
        <v>7349280.4892983437</v>
      </c>
      <c r="F309" s="447">
        <f t="shared" si="39"/>
        <v>7167150.1999672418</v>
      </c>
      <c r="G309" s="447">
        <f t="shared" si="39"/>
        <v>6995540.9609081699</v>
      </c>
      <c r="H309" s="447">
        <f t="shared" si="39"/>
        <v>6827633.7214455772</v>
      </c>
      <c r="I309" s="447">
        <f t="shared" si="39"/>
        <v>6663756.5979127605</v>
      </c>
      <c r="J309" s="447">
        <f t="shared" si="39"/>
        <v>6503812.8593143215</v>
      </c>
      <c r="K309" s="447">
        <f t="shared" si="39"/>
        <v>6347708.0963958856</v>
      </c>
      <c r="L309" s="448" t="str">
        <f t="shared" si="33"/>
        <v/>
      </c>
      <c r="M309" s="449" t="str">
        <f t="shared" si="34"/>
        <v/>
      </c>
      <c r="N309" s="251" t="str">
        <f t="shared" si="35"/>
        <v/>
      </c>
      <c r="O309" s="251" t="str">
        <f t="shared" si="36"/>
        <v/>
      </c>
      <c r="P309" s="251" t="str">
        <f t="shared" si="37"/>
        <v/>
      </c>
      <c r="Q309" s="450">
        <f t="shared" si="38"/>
        <v>6347708.0963958856</v>
      </c>
    </row>
    <row r="310" spans="1:35">
      <c r="A310" s="428" t="s">
        <v>3670</v>
      </c>
      <c r="B310" s="429"/>
      <c r="C310" s="446">
        <v>138</v>
      </c>
      <c r="D310" s="446" t="s">
        <v>2499</v>
      </c>
      <c r="E310" s="432">
        <v>2174888.7290229681</v>
      </c>
      <c r="F310" s="447">
        <f t="shared" si="39"/>
        <v>2120990.5121762026</v>
      </c>
      <c r="G310" s="447">
        <f t="shared" si="39"/>
        <v>2070205.8128618598</v>
      </c>
      <c r="H310" s="447">
        <f t="shared" si="39"/>
        <v>2020516.6544251516</v>
      </c>
      <c r="I310" s="447">
        <f t="shared" si="39"/>
        <v>1972020.1370537952</v>
      </c>
      <c r="J310" s="447">
        <f t="shared" si="39"/>
        <v>1924687.6349317061</v>
      </c>
      <c r="K310" s="447">
        <f t="shared" si="39"/>
        <v>1878491.2093207245</v>
      </c>
      <c r="L310" s="448" t="str">
        <f t="shared" si="33"/>
        <v/>
      </c>
      <c r="M310" s="449" t="str">
        <f t="shared" si="34"/>
        <v/>
      </c>
      <c r="N310" s="251" t="str">
        <f t="shared" si="35"/>
        <v/>
      </c>
      <c r="O310" s="251" t="str">
        <f t="shared" si="36"/>
        <v/>
      </c>
      <c r="P310" s="251" t="str">
        <f t="shared" si="37"/>
        <v/>
      </c>
      <c r="Q310" s="450">
        <f t="shared" si="38"/>
        <v>1878491.2093207245</v>
      </c>
    </row>
    <row r="311" spans="1:35">
      <c r="A311" s="428" t="s">
        <v>3671</v>
      </c>
      <c r="B311" s="429"/>
      <c r="C311" s="446">
        <v>138</v>
      </c>
      <c r="D311" s="446" t="s">
        <v>2499</v>
      </c>
      <c r="E311" s="432">
        <v>908964.02972725325</v>
      </c>
      <c r="F311" s="447">
        <f t="shared" si="39"/>
        <v>886438.03116632556</v>
      </c>
      <c r="G311" s="447">
        <f t="shared" si="39"/>
        <v>865213.28328784939</v>
      </c>
      <c r="H311" s="447">
        <f t="shared" si="39"/>
        <v>844446.40124755481</v>
      </c>
      <c r="I311" s="447">
        <f t="shared" si="39"/>
        <v>824177.96669761394</v>
      </c>
      <c r="J311" s="447">
        <f t="shared" si="39"/>
        <v>804396.01588245877</v>
      </c>
      <c r="K311" s="447">
        <f t="shared" si="39"/>
        <v>785088.8722010362</v>
      </c>
      <c r="L311" s="448" t="str">
        <f t="shared" si="33"/>
        <v/>
      </c>
      <c r="M311" s="449" t="str">
        <f t="shared" si="34"/>
        <v/>
      </c>
      <c r="N311" s="251" t="str">
        <f t="shared" si="35"/>
        <v/>
      </c>
      <c r="O311" s="251" t="str">
        <f t="shared" si="36"/>
        <v/>
      </c>
      <c r="P311" s="251" t="str">
        <f t="shared" si="37"/>
        <v/>
      </c>
      <c r="Q311" s="450">
        <f t="shared" si="38"/>
        <v>785088.8722010362</v>
      </c>
      <c r="S311" s="77"/>
      <c r="T311" s="77"/>
      <c r="U311" s="77"/>
      <c r="V311" s="77"/>
    </row>
    <row r="312" spans="1:35">
      <c r="A312" s="428" t="s">
        <v>3672</v>
      </c>
      <c r="B312" s="429"/>
      <c r="C312" s="446" t="e">
        <v>#N/A</v>
      </c>
      <c r="D312" s="446" t="e">
        <v>#N/A</v>
      </c>
      <c r="E312" s="432">
        <v>-0.69179158052106615</v>
      </c>
      <c r="F312" s="447">
        <f t="shared" si="39"/>
        <v>-0.67464756201468434</v>
      </c>
      <c r="G312" s="447">
        <f t="shared" si="39"/>
        <v>-0.65849389542193915</v>
      </c>
      <c r="H312" s="447">
        <f t="shared" si="39"/>
        <v>-0.64268869996941858</v>
      </c>
      <c r="I312" s="447">
        <f t="shared" si="39"/>
        <v>-0.62726286141759091</v>
      </c>
      <c r="J312" s="447">
        <f t="shared" si="39"/>
        <v>-0.6122072744277377</v>
      </c>
      <c r="K312" s="447">
        <f t="shared" si="39"/>
        <v>-0.59751305220782591</v>
      </c>
      <c r="L312" s="448">
        <f t="shared" si="33"/>
        <v>-0.59751305220782591</v>
      </c>
      <c r="M312" s="449" t="str">
        <f t="shared" si="34"/>
        <v/>
      </c>
      <c r="N312" s="251" t="str">
        <f t="shared" si="35"/>
        <v/>
      </c>
      <c r="O312" s="251" t="str">
        <f t="shared" si="36"/>
        <v/>
      </c>
      <c r="P312" s="251" t="str">
        <f t="shared" si="37"/>
        <v/>
      </c>
      <c r="Q312" s="450" t="str">
        <f t="shared" si="38"/>
        <v/>
      </c>
    </row>
    <row r="313" spans="1:35" s="77" customFormat="1">
      <c r="A313" s="428" t="s">
        <v>3673</v>
      </c>
      <c r="B313" s="429"/>
      <c r="C313" s="446">
        <v>138</v>
      </c>
      <c r="D313" s="446" t="s">
        <v>2499</v>
      </c>
      <c r="E313" s="432">
        <v>1604099.8817520756</v>
      </c>
      <c r="F313" s="447">
        <f t="shared" si="39"/>
        <v>1564346.9867571283</v>
      </c>
      <c r="G313" s="447">
        <f t="shared" si="39"/>
        <v>1526890.4819355928</v>
      </c>
      <c r="H313" s="447">
        <f t="shared" si="39"/>
        <v>1490241.9986780193</v>
      </c>
      <c r="I313" s="447">
        <f t="shared" si="39"/>
        <v>1454473.1537055559</v>
      </c>
      <c r="J313" s="447">
        <f t="shared" si="39"/>
        <v>1419562.8339067213</v>
      </c>
      <c r="K313" s="447">
        <f t="shared" si="39"/>
        <v>1385490.432927737</v>
      </c>
      <c r="L313" s="448" t="str">
        <f t="shared" si="33"/>
        <v/>
      </c>
      <c r="M313" s="449" t="str">
        <f t="shared" si="34"/>
        <v/>
      </c>
      <c r="N313" s="251" t="str">
        <f t="shared" si="35"/>
        <v/>
      </c>
      <c r="O313" s="251" t="str">
        <f t="shared" si="36"/>
        <v/>
      </c>
      <c r="P313" s="251" t="str">
        <f t="shared" si="37"/>
        <v/>
      </c>
      <c r="Q313" s="450">
        <f t="shared" si="38"/>
        <v>1385490.432927737</v>
      </c>
      <c r="S313" s="4"/>
      <c r="T313" s="4"/>
      <c r="U313" s="4"/>
      <c r="V313" s="4"/>
      <c r="AG313" s="4"/>
      <c r="AH313" s="4"/>
      <c r="AI313" s="4"/>
    </row>
    <row r="314" spans="1:35">
      <c r="A314" s="428" t="s">
        <v>3674</v>
      </c>
      <c r="B314" s="429"/>
      <c r="C314" s="446" t="e">
        <v>#N/A</v>
      </c>
      <c r="D314" s="446" t="e">
        <v>#N/A</v>
      </c>
      <c r="E314" s="432">
        <v>19984.185618274911</v>
      </c>
      <c r="F314" s="447">
        <f t="shared" si="39"/>
        <v>19488.936387550511</v>
      </c>
      <c r="G314" s="447">
        <f t="shared" si="39"/>
        <v>19022.29602838049</v>
      </c>
      <c r="H314" s="447">
        <f t="shared" si="39"/>
        <v>18565.72215765142</v>
      </c>
      <c r="I314" s="447">
        <f t="shared" si="39"/>
        <v>18120.106990283999</v>
      </c>
      <c r="J314" s="447">
        <f t="shared" si="39"/>
        <v>17685.187495064514</v>
      </c>
      <c r="K314" s="447">
        <f t="shared" si="39"/>
        <v>17260.706954064419</v>
      </c>
      <c r="L314" s="448">
        <f t="shared" si="33"/>
        <v>17260.706954064419</v>
      </c>
      <c r="M314" s="449" t="str">
        <f t="shared" si="34"/>
        <v/>
      </c>
      <c r="N314" s="251" t="str">
        <f t="shared" si="35"/>
        <v/>
      </c>
      <c r="O314" s="251" t="str">
        <f t="shared" si="36"/>
        <v/>
      </c>
      <c r="P314" s="251" t="str">
        <f t="shared" si="37"/>
        <v/>
      </c>
      <c r="Q314" s="450" t="str">
        <f t="shared" si="38"/>
        <v/>
      </c>
    </row>
    <row r="315" spans="1:35">
      <c r="A315" s="428" t="s">
        <v>3675</v>
      </c>
      <c r="B315" s="429"/>
      <c r="C315" s="446" t="e">
        <v>#N/A</v>
      </c>
      <c r="D315" s="446" t="e">
        <v>#N/A</v>
      </c>
      <c r="E315" s="432">
        <v>251.09210711995749</v>
      </c>
      <c r="F315" s="447">
        <f t="shared" si="39"/>
        <v>244.86952816340442</v>
      </c>
      <c r="G315" s="447">
        <f t="shared" si="39"/>
        <v>239.0064065286621</v>
      </c>
      <c r="H315" s="447">
        <f t="shared" si="39"/>
        <v>233.26976569439958</v>
      </c>
      <c r="I315" s="447">
        <f t="shared" si="39"/>
        <v>227.67081593101381</v>
      </c>
      <c r="J315" s="447">
        <f t="shared" si="39"/>
        <v>222.20625237219937</v>
      </c>
      <c r="K315" s="447">
        <f t="shared" si="39"/>
        <v>216.8728494751773</v>
      </c>
      <c r="L315" s="448">
        <f t="shared" si="33"/>
        <v>216.8728494751773</v>
      </c>
      <c r="M315" s="449" t="str">
        <f t="shared" si="34"/>
        <v/>
      </c>
      <c r="N315" s="251" t="str">
        <f t="shared" si="35"/>
        <v/>
      </c>
      <c r="O315" s="251" t="str">
        <f t="shared" si="36"/>
        <v/>
      </c>
      <c r="P315" s="251" t="str">
        <f t="shared" si="37"/>
        <v/>
      </c>
      <c r="Q315" s="450" t="str">
        <f t="shared" si="38"/>
        <v/>
      </c>
    </row>
    <row r="316" spans="1:35">
      <c r="A316" s="428" t="s">
        <v>3676</v>
      </c>
      <c r="B316" s="429"/>
      <c r="C316" s="446" t="e">
        <v>#N/A</v>
      </c>
      <c r="D316" s="446" t="e">
        <v>#N/A</v>
      </c>
      <c r="E316" s="432">
        <v>7098.3942664305414</v>
      </c>
      <c r="F316" s="447">
        <f t="shared" si="39"/>
        <v>6922.4814538206829</v>
      </c>
      <c r="G316" s="447">
        <f t="shared" si="39"/>
        <v>6756.7305288999059</v>
      </c>
      <c r="H316" s="447">
        <f t="shared" si="39"/>
        <v>6594.5552264837042</v>
      </c>
      <c r="I316" s="447">
        <f t="shared" si="39"/>
        <v>6436.2724618268967</v>
      </c>
      <c r="J316" s="447">
        <f t="shared" si="39"/>
        <v>6281.7888060905489</v>
      </c>
      <c r="K316" s="447">
        <f t="shared" si="39"/>
        <v>6131.0130729182638</v>
      </c>
      <c r="L316" s="448">
        <f t="shared" si="33"/>
        <v>6131.0130729182638</v>
      </c>
      <c r="M316" s="449" t="str">
        <f t="shared" si="34"/>
        <v/>
      </c>
      <c r="N316" s="251" t="str">
        <f t="shared" si="35"/>
        <v/>
      </c>
      <c r="O316" s="251" t="str">
        <f t="shared" si="36"/>
        <v/>
      </c>
      <c r="P316" s="251" t="str">
        <f t="shared" si="37"/>
        <v/>
      </c>
      <c r="Q316" s="450" t="str">
        <f t="shared" si="38"/>
        <v/>
      </c>
    </row>
    <row r="317" spans="1:35">
      <c r="A317" s="428" t="s">
        <v>3677</v>
      </c>
      <c r="B317" s="429"/>
      <c r="C317" s="446" t="e">
        <v>#N/A</v>
      </c>
      <c r="D317" s="446" t="e">
        <v>#N/A</v>
      </c>
      <c r="E317" s="432">
        <v>5856.5408444693894</v>
      </c>
      <c r="F317" s="447">
        <f t="shared" si="39"/>
        <v>5711.4037143740243</v>
      </c>
      <c r="G317" s="447">
        <f t="shared" si="39"/>
        <v>5574.6506649699022</v>
      </c>
      <c r="H317" s="447">
        <f t="shared" si="39"/>
        <v>5440.8476882803216</v>
      </c>
      <c r="I317" s="447">
        <f t="shared" si="39"/>
        <v>5310.2562557119709</v>
      </c>
      <c r="J317" s="447">
        <f t="shared" si="39"/>
        <v>5182.7992836610483</v>
      </c>
      <c r="K317" s="447">
        <f t="shared" si="39"/>
        <v>5058.4015386873334</v>
      </c>
      <c r="L317" s="448">
        <f t="shared" si="33"/>
        <v>5058.4015386873334</v>
      </c>
      <c r="M317" s="449" t="str">
        <f t="shared" si="34"/>
        <v/>
      </c>
      <c r="N317" s="251" t="str">
        <f t="shared" si="35"/>
        <v/>
      </c>
      <c r="O317" s="251" t="str">
        <f t="shared" si="36"/>
        <v/>
      </c>
      <c r="P317" s="251" t="str">
        <f t="shared" si="37"/>
        <v/>
      </c>
      <c r="Q317" s="450" t="str">
        <f t="shared" si="38"/>
        <v/>
      </c>
    </row>
    <row r="318" spans="1:35">
      <c r="A318" s="428" t="s">
        <v>3678</v>
      </c>
      <c r="B318" s="429"/>
      <c r="C318" s="446" t="e">
        <v>#N/A</v>
      </c>
      <c r="D318" s="446" t="e">
        <v>#N/A</v>
      </c>
      <c r="E318" s="432">
        <v>578.00485367437227</v>
      </c>
      <c r="F318" s="447">
        <f t="shared" si="39"/>
        <v>563.68070433923845</v>
      </c>
      <c r="G318" s="447">
        <f t="shared" si="39"/>
        <v>550.18401262146472</v>
      </c>
      <c r="H318" s="447">
        <f t="shared" si="39"/>
        <v>536.97847508377458</v>
      </c>
      <c r="I318" s="447">
        <f t="shared" si="39"/>
        <v>524.0898973589085</v>
      </c>
      <c r="J318" s="447">
        <f t="shared" si="39"/>
        <v>511.51067176541795</v>
      </c>
      <c r="K318" s="447">
        <f t="shared" si="39"/>
        <v>499.23337322171278</v>
      </c>
      <c r="L318" s="448">
        <f t="shared" si="33"/>
        <v>499.23337322171278</v>
      </c>
      <c r="M318" s="449" t="str">
        <f t="shared" si="34"/>
        <v/>
      </c>
      <c r="N318" s="251" t="str">
        <f t="shared" si="35"/>
        <v/>
      </c>
      <c r="O318" s="251" t="str">
        <f t="shared" si="36"/>
        <v/>
      </c>
      <c r="P318" s="251" t="str">
        <f t="shared" si="37"/>
        <v/>
      </c>
      <c r="Q318" s="450" t="str">
        <f t="shared" si="38"/>
        <v/>
      </c>
    </row>
    <row r="319" spans="1:35">
      <c r="A319" s="428" t="s">
        <v>3679</v>
      </c>
      <c r="B319" s="429"/>
      <c r="C319" s="446" t="e">
        <v>#N/A</v>
      </c>
      <c r="D319" s="446" t="e">
        <v>#N/A</v>
      </c>
      <c r="E319" s="432">
        <v>23281.217859150893</v>
      </c>
      <c r="F319" s="447">
        <f t="shared" si="39"/>
        <v>22704.261386902766</v>
      </c>
      <c r="G319" s="447">
        <f t="shared" si="39"/>
        <v>22160.633736958654</v>
      </c>
      <c r="H319" s="447">
        <f t="shared" si="39"/>
        <v>21628.73336552101</v>
      </c>
      <c r="I319" s="447">
        <f t="shared" si="39"/>
        <v>21109.59968697192</v>
      </c>
      <c r="J319" s="447">
        <f t="shared" si="39"/>
        <v>20602.926274664474</v>
      </c>
      <c r="K319" s="447">
        <f t="shared" si="39"/>
        <v>20108.41405681576</v>
      </c>
      <c r="L319" s="448">
        <f t="shared" si="33"/>
        <v>20108.41405681576</v>
      </c>
      <c r="M319" s="449" t="str">
        <f t="shared" si="34"/>
        <v/>
      </c>
      <c r="N319" s="251" t="str">
        <f t="shared" si="35"/>
        <v/>
      </c>
      <c r="O319" s="251" t="str">
        <f t="shared" si="36"/>
        <v/>
      </c>
      <c r="P319" s="251" t="str">
        <f t="shared" si="37"/>
        <v/>
      </c>
      <c r="Q319" s="450" t="str">
        <f t="shared" si="38"/>
        <v/>
      </c>
    </row>
    <row r="320" spans="1:35">
      <c r="A320" s="428" t="s">
        <v>3680</v>
      </c>
      <c r="B320" s="429"/>
      <c r="C320" s="446" t="e">
        <v>#N/A</v>
      </c>
      <c r="D320" s="446" t="e">
        <v>#N/A</v>
      </c>
      <c r="E320" s="432">
        <v>20628.983121190402</v>
      </c>
      <c r="F320" s="447">
        <f t="shared" si="39"/>
        <v>20117.754481878048</v>
      </c>
      <c r="G320" s="447">
        <f t="shared" si="39"/>
        <v>19636.057790461131</v>
      </c>
      <c r="H320" s="447">
        <f t="shared" si="39"/>
        <v>19164.752386640546</v>
      </c>
      <c r="I320" s="447">
        <f t="shared" si="39"/>
        <v>18704.759272997599</v>
      </c>
      <c r="J320" s="447">
        <f t="shared" si="39"/>
        <v>18255.806931514398</v>
      </c>
      <c r="K320" s="447">
        <f t="shared" si="39"/>
        <v>17817.63036115883</v>
      </c>
      <c r="L320" s="448">
        <f t="shared" si="33"/>
        <v>17817.63036115883</v>
      </c>
      <c r="M320" s="449" t="str">
        <f t="shared" si="34"/>
        <v/>
      </c>
      <c r="N320" s="251" t="str">
        <f t="shared" si="35"/>
        <v/>
      </c>
      <c r="O320" s="251" t="str">
        <f t="shared" si="36"/>
        <v/>
      </c>
      <c r="P320" s="251" t="str">
        <f t="shared" si="37"/>
        <v/>
      </c>
      <c r="Q320" s="450" t="str">
        <f t="shared" si="38"/>
        <v/>
      </c>
    </row>
    <row r="321" spans="1:17">
      <c r="A321" s="428" t="s">
        <v>3681</v>
      </c>
      <c r="B321" s="429"/>
      <c r="C321" s="446" t="e">
        <v>#N/A</v>
      </c>
      <c r="D321" s="446" t="e">
        <v>#N/A</v>
      </c>
      <c r="E321" s="432">
        <v>14594.69558945875</v>
      </c>
      <c r="F321" s="447">
        <f t="shared" si="39"/>
        <v>14233.009008809377</v>
      </c>
      <c r="G321" s="447">
        <f t="shared" si="39"/>
        <v>13892.21583755229</v>
      </c>
      <c r="H321" s="447">
        <f t="shared" si="39"/>
        <v>13558.774346131291</v>
      </c>
      <c r="I321" s="447">
        <f t="shared" si="39"/>
        <v>13233.336130033767</v>
      </c>
      <c r="J321" s="447">
        <f t="shared" si="39"/>
        <v>12915.709094341863</v>
      </c>
      <c r="K321" s="447">
        <f t="shared" si="39"/>
        <v>12605.70575480723</v>
      </c>
      <c r="L321" s="448">
        <f t="shared" si="33"/>
        <v>12605.70575480723</v>
      </c>
      <c r="M321" s="449" t="str">
        <f t="shared" si="34"/>
        <v/>
      </c>
      <c r="N321" s="251" t="str">
        <f t="shared" si="35"/>
        <v/>
      </c>
      <c r="O321" s="251" t="str">
        <f t="shared" si="36"/>
        <v/>
      </c>
      <c r="P321" s="251" t="str">
        <f t="shared" si="37"/>
        <v/>
      </c>
      <c r="Q321" s="450" t="str">
        <f t="shared" si="38"/>
        <v/>
      </c>
    </row>
    <row r="322" spans="1:17">
      <c r="A322" s="428" t="s">
        <v>3682</v>
      </c>
      <c r="B322" s="429"/>
      <c r="C322" s="446" t="e">
        <v>#N/A</v>
      </c>
      <c r="D322" s="446" t="e">
        <v>#N/A</v>
      </c>
      <c r="E322" s="432">
        <v>2723.2915799942557</v>
      </c>
      <c r="F322" s="447">
        <f t="shared" si="39"/>
        <v>2655.8028123360409</v>
      </c>
      <c r="G322" s="447">
        <f t="shared" si="39"/>
        <v>2592.2126423242539</v>
      </c>
      <c r="H322" s="447">
        <f t="shared" si="39"/>
        <v>2529.9942561687117</v>
      </c>
      <c r="I322" s="447">
        <f t="shared" ref="F322:K364" si="40">+$E322*(I$3)</f>
        <v>2469.2692380774224</v>
      </c>
      <c r="J322" s="447">
        <f t="shared" si="40"/>
        <v>2410.0017441734694</v>
      </c>
      <c r="K322" s="447">
        <f t="shared" si="40"/>
        <v>2352.1567909060286</v>
      </c>
      <c r="L322" s="448">
        <f t="shared" si="33"/>
        <v>2352.1567909060286</v>
      </c>
      <c r="M322" s="449" t="str">
        <f t="shared" si="34"/>
        <v/>
      </c>
      <c r="N322" s="251" t="str">
        <f t="shared" si="35"/>
        <v/>
      </c>
      <c r="O322" s="251" t="str">
        <f t="shared" si="36"/>
        <v/>
      </c>
      <c r="P322" s="251" t="str">
        <f t="shared" si="37"/>
        <v/>
      </c>
      <c r="Q322" s="450" t="str">
        <f t="shared" si="38"/>
        <v/>
      </c>
    </row>
    <row r="323" spans="1:17">
      <c r="A323" s="428" t="s">
        <v>3683</v>
      </c>
      <c r="B323" s="429"/>
      <c r="C323" s="446" t="e">
        <v>#N/A</v>
      </c>
      <c r="D323" s="446" t="e">
        <v>#N/A</v>
      </c>
      <c r="E323" s="432">
        <v>16825.200966149223</v>
      </c>
      <c r="F323" s="447">
        <f t="shared" si="40"/>
        <v>16408.237873710324</v>
      </c>
      <c r="G323" s="447">
        <f t="shared" si="40"/>
        <v>16015.361327629214</v>
      </c>
      <c r="H323" s="447">
        <f t="shared" si="40"/>
        <v>15630.960017631156</v>
      </c>
      <c r="I323" s="447">
        <f t="shared" si="40"/>
        <v>15255.785122454805</v>
      </c>
      <c r="J323" s="447">
        <f t="shared" si="40"/>
        <v>14889.615189341679</v>
      </c>
      <c r="K323" s="447">
        <f t="shared" si="40"/>
        <v>14532.234080850809</v>
      </c>
      <c r="L323" s="448">
        <f t="shared" si="33"/>
        <v>14532.234080850809</v>
      </c>
      <c r="M323" s="449" t="str">
        <f t="shared" si="34"/>
        <v/>
      </c>
      <c r="N323" s="251" t="str">
        <f t="shared" si="35"/>
        <v/>
      </c>
      <c r="O323" s="251" t="str">
        <f t="shared" si="36"/>
        <v/>
      </c>
      <c r="P323" s="251" t="str">
        <f t="shared" si="37"/>
        <v/>
      </c>
      <c r="Q323" s="450" t="str">
        <f t="shared" si="38"/>
        <v/>
      </c>
    </row>
    <row r="324" spans="1:17">
      <c r="A324" s="428" t="s">
        <v>3684</v>
      </c>
      <c r="B324" s="429"/>
      <c r="C324" s="446" t="e">
        <v>#N/A</v>
      </c>
      <c r="D324" s="446" t="e">
        <v>#N/A</v>
      </c>
      <c r="E324" s="432">
        <v>98439.899777599174</v>
      </c>
      <c r="F324" s="447">
        <f t="shared" si="40"/>
        <v>96000.356552337063</v>
      </c>
      <c r="G324" s="447">
        <f t="shared" si="40"/>
        <v>93701.737480921278</v>
      </c>
      <c r="H324" s="447">
        <f t="shared" si="40"/>
        <v>91452.70482409191</v>
      </c>
      <c r="I324" s="447">
        <f t="shared" si="40"/>
        <v>89257.653534390498</v>
      </c>
      <c r="J324" s="447">
        <f t="shared" si="40"/>
        <v>87115.287948995887</v>
      </c>
      <c r="K324" s="447">
        <f t="shared" si="40"/>
        <v>85024.3435036351</v>
      </c>
      <c r="L324" s="448">
        <f t="shared" si="33"/>
        <v>85024.3435036351</v>
      </c>
      <c r="M324" s="449" t="str">
        <f t="shared" si="34"/>
        <v/>
      </c>
      <c r="N324" s="251" t="str">
        <f t="shared" si="35"/>
        <v/>
      </c>
      <c r="O324" s="251" t="str">
        <f t="shared" si="36"/>
        <v/>
      </c>
      <c r="P324" s="251" t="str">
        <f t="shared" si="37"/>
        <v/>
      </c>
      <c r="Q324" s="450" t="str">
        <f t="shared" si="38"/>
        <v/>
      </c>
    </row>
    <row r="325" spans="1:17">
      <c r="A325" s="428" t="s">
        <v>3685</v>
      </c>
      <c r="B325" s="429"/>
      <c r="C325" s="446" t="e">
        <v>#N/A</v>
      </c>
      <c r="D325" s="446" t="e">
        <v>#N/A</v>
      </c>
      <c r="E325" s="432">
        <v>30848.379605791917</v>
      </c>
      <c r="F325" s="447">
        <f t="shared" si="40"/>
        <v>30083.893298434374</v>
      </c>
      <c r="G325" s="447">
        <f t="shared" si="40"/>
        <v>29363.568777134089</v>
      </c>
      <c r="H325" s="447">
        <f t="shared" si="40"/>
        <v>28658.783285677473</v>
      </c>
      <c r="I325" s="447">
        <f t="shared" si="40"/>
        <v>27970.914082317096</v>
      </c>
      <c r="J325" s="447">
        <f t="shared" si="40"/>
        <v>27299.555141664492</v>
      </c>
      <c r="K325" s="447">
        <f t="shared" si="40"/>
        <v>26644.310183767964</v>
      </c>
      <c r="L325" s="448">
        <f t="shared" si="33"/>
        <v>26644.310183767964</v>
      </c>
      <c r="M325" s="449" t="str">
        <f t="shared" si="34"/>
        <v/>
      </c>
      <c r="N325" s="251" t="str">
        <f t="shared" si="35"/>
        <v/>
      </c>
      <c r="O325" s="251" t="str">
        <f t="shared" si="36"/>
        <v/>
      </c>
      <c r="P325" s="251" t="str">
        <f t="shared" si="37"/>
        <v/>
      </c>
      <c r="Q325" s="450" t="str">
        <f t="shared" si="38"/>
        <v/>
      </c>
    </row>
    <row r="326" spans="1:17">
      <c r="A326" s="428" t="s">
        <v>3686</v>
      </c>
      <c r="B326" s="429"/>
      <c r="C326" s="446" t="e">
        <v>#N/A</v>
      </c>
      <c r="D326" s="446" t="e">
        <v>#N/A</v>
      </c>
      <c r="E326" s="432">
        <v>1162.0976155584176</v>
      </c>
      <c r="F326" s="447">
        <f t="shared" si="40"/>
        <v>1133.2984459987802</v>
      </c>
      <c r="G326" s="447">
        <f t="shared" si="40"/>
        <v>1106.1629069744176</v>
      </c>
      <c r="H326" s="447">
        <f t="shared" si="40"/>
        <v>1079.6127429279363</v>
      </c>
      <c r="I326" s="447">
        <f t="shared" si="40"/>
        <v>1053.6998369258631</v>
      </c>
      <c r="J326" s="447">
        <f t="shared" si="40"/>
        <v>1028.4088934764466</v>
      </c>
      <c r="K326" s="447">
        <f t="shared" si="40"/>
        <v>1003.7249842109089</v>
      </c>
      <c r="L326" s="448">
        <f t="shared" ref="L326:L389" si="41">IF(ISERROR(C326),K326,"")</f>
        <v>1003.7249842109089</v>
      </c>
      <c r="M326" s="449" t="str">
        <f t="shared" ref="M326:M389" si="42">IF(ISERROR(C326),"",IF(AND(D326="n",$C326=500),$K326,""))</f>
        <v/>
      </c>
      <c r="N326" s="251" t="str">
        <f t="shared" ref="N326:N389" si="43">IF(ISERROR(C326),"",IF(AND(D326="n",OR($C326=240,$C326=260)),$K326,""))</f>
        <v/>
      </c>
      <c r="O326" s="251" t="str">
        <f t="shared" ref="O326:O389" si="44">IF(ISERROR(C326),"",IF(AND(D326="n",OR($C326=138,$C326=144)),$K326,""))</f>
        <v/>
      </c>
      <c r="P326" s="251" t="str">
        <f t="shared" ref="P326:P389" si="45">IF(ISERROR(C326),"",IF(AND(D326="n",OR($C326=69,$C326=72)),$K326,""))</f>
        <v/>
      </c>
      <c r="Q326" s="450" t="str">
        <f t="shared" ref="Q326:Q389" si="46">IF(ISERROR(D326),"",IF(D326="y",K326,""))</f>
        <v/>
      </c>
    </row>
    <row r="327" spans="1:17">
      <c r="A327" s="428" t="s">
        <v>3687</v>
      </c>
      <c r="B327" s="429"/>
      <c r="C327" s="446" t="e">
        <v>#N/A</v>
      </c>
      <c r="D327" s="446" t="e">
        <v>#N/A</v>
      </c>
      <c r="E327" s="432">
        <v>2615.7304503174178</v>
      </c>
      <c r="F327" s="447">
        <f t="shared" si="40"/>
        <v>2550.9072687253965</v>
      </c>
      <c r="G327" s="447">
        <f t="shared" si="40"/>
        <v>2489.8287028962304</v>
      </c>
      <c r="H327" s="447">
        <f t="shared" si="40"/>
        <v>2430.0677399379406</v>
      </c>
      <c r="I327" s="447">
        <f t="shared" si="40"/>
        <v>2371.7411618791211</v>
      </c>
      <c r="J327" s="447">
        <f t="shared" si="40"/>
        <v>2314.814540559013</v>
      </c>
      <c r="K327" s="447">
        <f t="shared" si="40"/>
        <v>2259.2542741628777</v>
      </c>
      <c r="L327" s="448">
        <f t="shared" si="41"/>
        <v>2259.2542741628777</v>
      </c>
      <c r="M327" s="449" t="str">
        <f t="shared" si="42"/>
        <v/>
      </c>
      <c r="N327" s="251" t="str">
        <f t="shared" si="43"/>
        <v/>
      </c>
      <c r="O327" s="251" t="str">
        <f t="shared" si="44"/>
        <v/>
      </c>
      <c r="P327" s="251" t="str">
        <f t="shared" si="45"/>
        <v/>
      </c>
      <c r="Q327" s="450" t="str">
        <f t="shared" si="46"/>
        <v/>
      </c>
    </row>
    <row r="328" spans="1:17">
      <c r="A328" s="428" t="s">
        <v>3688</v>
      </c>
      <c r="B328" s="429"/>
      <c r="C328" s="446" t="e">
        <v>#N/A</v>
      </c>
      <c r="D328" s="446" t="e">
        <v>#N/A</v>
      </c>
      <c r="E328" s="432">
        <v>17015.385559935665</v>
      </c>
      <c r="F328" s="447">
        <f t="shared" si="40"/>
        <v>16593.709302018447</v>
      </c>
      <c r="G328" s="447">
        <f t="shared" si="40"/>
        <v>16196.39185407382</v>
      </c>
      <c r="H328" s="447">
        <f t="shared" si="40"/>
        <v>15807.645442514118</v>
      </c>
      <c r="I328" s="447">
        <f t="shared" si="40"/>
        <v>15428.229737068603</v>
      </c>
      <c r="J328" s="447">
        <f t="shared" si="40"/>
        <v>15057.920781775236</v>
      </c>
      <c r="K328" s="447">
        <f t="shared" si="40"/>
        <v>14696.499996071472</v>
      </c>
      <c r="L328" s="448">
        <f t="shared" si="41"/>
        <v>14696.499996071472</v>
      </c>
      <c r="M328" s="449" t="str">
        <f t="shared" si="42"/>
        <v/>
      </c>
      <c r="N328" s="251" t="str">
        <f t="shared" si="43"/>
        <v/>
      </c>
      <c r="O328" s="251" t="str">
        <f t="shared" si="44"/>
        <v/>
      </c>
      <c r="P328" s="251" t="str">
        <f t="shared" si="45"/>
        <v/>
      </c>
      <c r="Q328" s="450" t="str">
        <f t="shared" si="46"/>
        <v/>
      </c>
    </row>
    <row r="329" spans="1:17">
      <c r="A329" s="428" t="s">
        <v>3689</v>
      </c>
      <c r="B329" s="429"/>
      <c r="C329" s="446" t="e">
        <v>#N/A</v>
      </c>
      <c r="D329" s="446" t="e">
        <v>#N/A</v>
      </c>
      <c r="E329" s="432">
        <v>3624.0381772548135</v>
      </c>
      <c r="F329" s="447">
        <f t="shared" si="40"/>
        <v>3534.2270559169483</v>
      </c>
      <c r="G329" s="447">
        <f t="shared" si="40"/>
        <v>3449.6040190325448</v>
      </c>
      <c r="H329" s="447">
        <f t="shared" si="40"/>
        <v>3366.8064925350905</v>
      </c>
      <c r="I329" s="447">
        <f t="shared" si="40"/>
        <v>3285.9962754088783</v>
      </c>
      <c r="J329" s="447">
        <f t="shared" si="40"/>
        <v>3207.1256681790073</v>
      </c>
      <c r="K329" s="447">
        <f t="shared" si="40"/>
        <v>3130.1481162551813</v>
      </c>
      <c r="L329" s="448">
        <f t="shared" si="41"/>
        <v>3130.1481162551813</v>
      </c>
      <c r="M329" s="449" t="str">
        <f t="shared" si="42"/>
        <v/>
      </c>
      <c r="N329" s="251" t="str">
        <f t="shared" si="43"/>
        <v/>
      </c>
      <c r="O329" s="251" t="str">
        <f t="shared" si="44"/>
        <v/>
      </c>
      <c r="P329" s="251" t="str">
        <f t="shared" si="45"/>
        <v/>
      </c>
      <c r="Q329" s="450" t="str">
        <f t="shared" si="46"/>
        <v/>
      </c>
    </row>
    <row r="330" spans="1:17">
      <c r="A330" s="428" t="s">
        <v>3690</v>
      </c>
      <c r="B330" s="429"/>
      <c r="C330" s="446" t="e">
        <v>#N/A</v>
      </c>
      <c r="D330" s="446" t="e">
        <v>#N/A</v>
      </c>
      <c r="E330" s="432">
        <v>4072.4935086961777</v>
      </c>
      <c r="F330" s="447">
        <f t="shared" si="40"/>
        <v>3971.5687416910359</v>
      </c>
      <c r="G330" s="447">
        <f t="shared" si="40"/>
        <v>3876.4740568279353</v>
      </c>
      <c r="H330" s="447">
        <f t="shared" si="40"/>
        <v>3783.430779493478</v>
      </c>
      <c r="I330" s="447">
        <f t="shared" si="40"/>
        <v>3692.6207304304417</v>
      </c>
      <c r="J330" s="447">
        <f t="shared" si="40"/>
        <v>3603.9903076091555</v>
      </c>
      <c r="K330" s="447">
        <f t="shared" si="40"/>
        <v>3517.4871955578992</v>
      </c>
      <c r="L330" s="448">
        <f t="shared" si="41"/>
        <v>3517.4871955578992</v>
      </c>
      <c r="M330" s="449" t="str">
        <f t="shared" si="42"/>
        <v/>
      </c>
      <c r="N330" s="251" t="str">
        <f t="shared" si="43"/>
        <v/>
      </c>
      <c r="O330" s="251" t="str">
        <f t="shared" si="44"/>
        <v/>
      </c>
      <c r="P330" s="251" t="str">
        <f t="shared" si="45"/>
        <v/>
      </c>
      <c r="Q330" s="450" t="str">
        <f t="shared" si="46"/>
        <v/>
      </c>
    </row>
    <row r="331" spans="1:17">
      <c r="A331" s="428" t="s">
        <v>3691</v>
      </c>
      <c r="B331" s="429"/>
      <c r="C331" s="446" t="e">
        <v>#N/A</v>
      </c>
      <c r="D331" s="446" t="e">
        <v>#N/A</v>
      </c>
      <c r="E331" s="432">
        <v>10973.846155454552</v>
      </c>
      <c r="F331" s="447">
        <f t="shared" si="40"/>
        <v>10701.891672525468</v>
      </c>
      <c r="G331" s="447">
        <f t="shared" si="40"/>
        <v>10445.647079462091</v>
      </c>
      <c r="H331" s="447">
        <f t="shared" si="40"/>
        <v>10194.930262090289</v>
      </c>
      <c r="I331" s="447">
        <f t="shared" si="40"/>
        <v>9950.2311592779461</v>
      </c>
      <c r="J331" s="447">
        <f t="shared" si="40"/>
        <v>9711.4053336119741</v>
      </c>
      <c r="K331" s="447">
        <f t="shared" si="40"/>
        <v>9478.3118144715463</v>
      </c>
      <c r="L331" s="448">
        <f t="shared" si="41"/>
        <v>9478.3118144715463</v>
      </c>
      <c r="M331" s="449" t="str">
        <f t="shared" si="42"/>
        <v/>
      </c>
      <c r="N331" s="251" t="str">
        <f t="shared" si="43"/>
        <v/>
      </c>
      <c r="O331" s="251" t="str">
        <f t="shared" si="44"/>
        <v/>
      </c>
      <c r="P331" s="251" t="str">
        <f t="shared" si="45"/>
        <v/>
      </c>
      <c r="Q331" s="450" t="str">
        <f t="shared" si="46"/>
        <v/>
      </c>
    </row>
    <row r="332" spans="1:17">
      <c r="A332" s="428" t="s">
        <v>3692</v>
      </c>
      <c r="B332" s="429"/>
      <c r="C332" s="446" t="e">
        <v>#N/A</v>
      </c>
      <c r="D332" s="446" t="e">
        <v>#N/A</v>
      </c>
      <c r="E332" s="432">
        <v>26209.700433023027</v>
      </c>
      <c r="F332" s="447">
        <f t="shared" si="40"/>
        <v>25560.170138173205</v>
      </c>
      <c r="G332" s="447">
        <f t="shared" si="40"/>
        <v>24948.161009684121</v>
      </c>
      <c r="H332" s="447">
        <f t="shared" si="40"/>
        <v>24349.354302924374</v>
      </c>
      <c r="I332" s="447">
        <f t="shared" si="40"/>
        <v>23764.920177451131</v>
      </c>
      <c r="J332" s="447">
        <f t="shared" si="40"/>
        <v>23194.513662023244</v>
      </c>
      <c r="K332" s="447">
        <f t="shared" si="40"/>
        <v>22637.798065412382</v>
      </c>
      <c r="L332" s="448">
        <f t="shared" si="41"/>
        <v>22637.798065412382</v>
      </c>
      <c r="M332" s="449" t="str">
        <f t="shared" si="42"/>
        <v/>
      </c>
      <c r="N332" s="251" t="str">
        <f t="shared" si="43"/>
        <v/>
      </c>
      <c r="O332" s="251" t="str">
        <f t="shared" si="44"/>
        <v/>
      </c>
      <c r="P332" s="251" t="str">
        <f t="shared" si="45"/>
        <v/>
      </c>
      <c r="Q332" s="450" t="str">
        <f t="shared" si="46"/>
        <v/>
      </c>
    </row>
    <row r="333" spans="1:17">
      <c r="A333" s="428" t="s">
        <v>3693</v>
      </c>
      <c r="B333" s="429"/>
      <c r="C333" s="446" t="e">
        <v>#N/A</v>
      </c>
      <c r="D333" s="446" t="e">
        <v>#N/A</v>
      </c>
      <c r="E333" s="432">
        <v>331.37</v>
      </c>
      <c r="F333" s="447">
        <f t="shared" si="40"/>
        <v>323.1579697116569</v>
      </c>
      <c r="G333" s="447">
        <f t="shared" si="40"/>
        <v>315.4203206139241</v>
      </c>
      <c r="H333" s="447">
        <f t="shared" si="40"/>
        <v>307.84959011564757</v>
      </c>
      <c r="I333" s="447">
        <f t="shared" si="40"/>
        <v>300.46057257792478</v>
      </c>
      <c r="J333" s="447">
        <f t="shared" si="40"/>
        <v>293.24890651938455</v>
      </c>
      <c r="K333" s="447">
        <f t="shared" si="40"/>
        <v>286.21033514309727</v>
      </c>
      <c r="L333" s="448">
        <f t="shared" si="41"/>
        <v>286.21033514309727</v>
      </c>
      <c r="M333" s="449" t="str">
        <f t="shared" si="42"/>
        <v/>
      </c>
      <c r="N333" s="251" t="str">
        <f t="shared" si="43"/>
        <v/>
      </c>
      <c r="O333" s="251" t="str">
        <f t="shared" si="44"/>
        <v/>
      </c>
      <c r="P333" s="251" t="str">
        <f t="shared" si="45"/>
        <v/>
      </c>
      <c r="Q333" s="450" t="str">
        <f t="shared" si="46"/>
        <v/>
      </c>
    </row>
    <row r="334" spans="1:17">
      <c r="A334" s="428" t="s">
        <v>3694</v>
      </c>
      <c r="B334" s="429"/>
      <c r="C334" s="446" t="e">
        <v>#N/A</v>
      </c>
      <c r="D334" s="446" t="e">
        <v>#N/A</v>
      </c>
      <c r="E334" s="432">
        <v>15871.340191388035</v>
      </c>
      <c r="F334" s="447">
        <f t="shared" si="40"/>
        <v>15478.015731212774</v>
      </c>
      <c r="G334" s="447">
        <f t="shared" si="40"/>
        <v>15107.412293630303</v>
      </c>
      <c r="H334" s="447">
        <f t="shared" si="40"/>
        <v>14744.803610781937</v>
      </c>
      <c r="I334" s="447">
        <f t="shared" si="40"/>
        <v>14390.898275291907</v>
      </c>
      <c r="J334" s="447">
        <f t="shared" si="40"/>
        <v>14045.487389086824</v>
      </c>
      <c r="K334" s="447">
        <f t="shared" si="40"/>
        <v>13708.367068072785</v>
      </c>
      <c r="L334" s="448">
        <f t="shared" si="41"/>
        <v>13708.367068072785</v>
      </c>
      <c r="M334" s="449" t="str">
        <f t="shared" si="42"/>
        <v/>
      </c>
      <c r="N334" s="251" t="str">
        <f t="shared" si="43"/>
        <v/>
      </c>
      <c r="O334" s="251" t="str">
        <f t="shared" si="44"/>
        <v/>
      </c>
      <c r="P334" s="251" t="str">
        <f t="shared" si="45"/>
        <v/>
      </c>
      <c r="Q334" s="450" t="str">
        <f t="shared" si="46"/>
        <v/>
      </c>
    </row>
    <row r="335" spans="1:17">
      <c r="A335" s="428" t="s">
        <v>3695</v>
      </c>
      <c r="B335" s="429"/>
      <c r="C335" s="446" t="e">
        <v>#N/A</v>
      </c>
      <c r="D335" s="446" t="e">
        <v>#N/A</v>
      </c>
      <c r="E335" s="432">
        <v>20318.112982845167</v>
      </c>
      <c r="F335" s="447">
        <f t="shared" si="40"/>
        <v>19814.588345077409</v>
      </c>
      <c r="G335" s="447">
        <f t="shared" si="40"/>
        <v>19340.150621115237</v>
      </c>
      <c r="H335" s="447">
        <f t="shared" si="40"/>
        <v>18875.947592396122</v>
      </c>
      <c r="I335" s="447">
        <f t="shared" si="40"/>
        <v>18422.886382378085</v>
      </c>
      <c r="J335" s="447">
        <f t="shared" si="40"/>
        <v>17980.699564706087</v>
      </c>
      <c r="K335" s="447">
        <f t="shared" si="40"/>
        <v>17549.126131802608</v>
      </c>
      <c r="L335" s="448">
        <f t="shared" si="41"/>
        <v>17549.126131802608</v>
      </c>
      <c r="M335" s="449" t="str">
        <f t="shared" si="42"/>
        <v/>
      </c>
      <c r="N335" s="251" t="str">
        <f t="shared" si="43"/>
        <v/>
      </c>
      <c r="O335" s="251" t="str">
        <f t="shared" si="44"/>
        <v/>
      </c>
      <c r="P335" s="251" t="str">
        <f t="shared" si="45"/>
        <v/>
      </c>
      <c r="Q335" s="450" t="str">
        <f t="shared" si="46"/>
        <v/>
      </c>
    </row>
    <row r="336" spans="1:17">
      <c r="A336" s="428" t="s">
        <v>3696</v>
      </c>
      <c r="B336" s="429"/>
      <c r="C336" s="446" t="e">
        <v>#N/A</v>
      </c>
      <c r="D336" s="446" t="e">
        <v>#N/A</v>
      </c>
      <c r="E336" s="432">
        <v>1964.8711096652478</v>
      </c>
      <c r="F336" s="447">
        <f t="shared" si="40"/>
        <v>1916.1775614705971</v>
      </c>
      <c r="G336" s="447">
        <f t="shared" si="40"/>
        <v>1870.2968747190428</v>
      </c>
      <c r="H336" s="447">
        <f t="shared" si="40"/>
        <v>1825.4059381975562</v>
      </c>
      <c r="I336" s="447">
        <f t="shared" si="40"/>
        <v>1781.5924756370305</v>
      </c>
      <c r="J336" s="447">
        <f t="shared" si="40"/>
        <v>1738.8306254665893</v>
      </c>
      <c r="K336" s="447">
        <f t="shared" si="40"/>
        <v>1697.0951468457613</v>
      </c>
      <c r="L336" s="448">
        <f t="shared" si="41"/>
        <v>1697.0951468457613</v>
      </c>
      <c r="M336" s="449" t="str">
        <f t="shared" si="42"/>
        <v/>
      </c>
      <c r="N336" s="251" t="str">
        <f t="shared" si="43"/>
        <v/>
      </c>
      <c r="O336" s="251" t="str">
        <f t="shared" si="44"/>
        <v/>
      </c>
      <c r="P336" s="251" t="str">
        <f t="shared" si="45"/>
        <v/>
      </c>
      <c r="Q336" s="450" t="str">
        <f t="shared" si="46"/>
        <v/>
      </c>
    </row>
    <row r="337" spans="1:17">
      <c r="A337" s="428" t="s">
        <v>3697</v>
      </c>
      <c r="B337" s="429"/>
      <c r="C337" s="446" t="e">
        <v>#N/A</v>
      </c>
      <c r="D337" s="446" t="e">
        <v>#N/A</v>
      </c>
      <c r="E337" s="432">
        <v>1613.4926781682191</v>
      </c>
      <c r="F337" s="447">
        <f t="shared" si="40"/>
        <v>1573.5070103553896</v>
      </c>
      <c r="G337" s="447">
        <f t="shared" si="40"/>
        <v>1535.8311792136847</v>
      </c>
      <c r="H337" s="447">
        <f t="shared" si="40"/>
        <v>1498.9681010009499</v>
      </c>
      <c r="I337" s="447">
        <f t="shared" si="40"/>
        <v>1462.9898117895777</v>
      </c>
      <c r="J337" s="447">
        <f t="shared" si="40"/>
        <v>1427.8750748404004</v>
      </c>
      <c r="K337" s="447">
        <f t="shared" si="40"/>
        <v>1393.6031631392689</v>
      </c>
      <c r="L337" s="448">
        <f t="shared" si="41"/>
        <v>1393.6031631392689</v>
      </c>
      <c r="M337" s="449" t="str">
        <f t="shared" si="42"/>
        <v/>
      </c>
      <c r="N337" s="251" t="str">
        <f t="shared" si="43"/>
        <v/>
      </c>
      <c r="O337" s="251" t="str">
        <f t="shared" si="44"/>
        <v/>
      </c>
      <c r="P337" s="251" t="str">
        <f t="shared" si="45"/>
        <v/>
      </c>
      <c r="Q337" s="450" t="str">
        <f t="shared" si="46"/>
        <v/>
      </c>
    </row>
    <row r="338" spans="1:17">
      <c r="A338" s="428" t="s">
        <v>3698</v>
      </c>
      <c r="B338" s="429"/>
      <c r="C338" s="446" t="e">
        <v>#N/A</v>
      </c>
      <c r="D338" s="446" t="e">
        <v>#N/A</v>
      </c>
      <c r="E338" s="432">
        <v>13489.915179755368</v>
      </c>
      <c r="F338" s="447">
        <f t="shared" si="40"/>
        <v>13155.60733039263</v>
      </c>
      <c r="G338" s="447">
        <f t="shared" si="40"/>
        <v>12840.611313797506</v>
      </c>
      <c r="H338" s="447">
        <f t="shared" si="40"/>
        <v>12532.410474039722</v>
      </c>
      <c r="I338" s="447">
        <f t="shared" si="40"/>
        <v>12231.607082526894</v>
      </c>
      <c r="J338" s="447">
        <f t="shared" si="40"/>
        <v>11938.023585425683</v>
      </c>
      <c r="K338" s="447">
        <f t="shared" si="40"/>
        <v>11651.486690556594</v>
      </c>
      <c r="L338" s="448">
        <f t="shared" si="41"/>
        <v>11651.486690556594</v>
      </c>
      <c r="M338" s="449" t="str">
        <f t="shared" si="42"/>
        <v/>
      </c>
      <c r="N338" s="251" t="str">
        <f t="shared" si="43"/>
        <v/>
      </c>
      <c r="O338" s="251" t="str">
        <f t="shared" si="44"/>
        <v/>
      </c>
      <c r="P338" s="251" t="str">
        <f t="shared" si="45"/>
        <v/>
      </c>
      <c r="Q338" s="450" t="str">
        <f t="shared" si="46"/>
        <v/>
      </c>
    </row>
    <row r="339" spans="1:17">
      <c r="A339" s="428" t="s">
        <v>3699</v>
      </c>
      <c r="B339" s="429"/>
      <c r="C339" s="446" t="e">
        <v>#N/A</v>
      </c>
      <c r="D339" s="446" t="e">
        <v>#N/A</v>
      </c>
      <c r="E339" s="432">
        <v>2323.3066905694795</v>
      </c>
      <c r="F339" s="447">
        <f t="shared" si="40"/>
        <v>2265.7303713128576</v>
      </c>
      <c r="G339" s="447">
        <f t="shared" si="40"/>
        <v>2211.4800411138613</v>
      </c>
      <c r="H339" s="447">
        <f t="shared" si="40"/>
        <v>2158.4000132925612</v>
      </c>
      <c r="I339" s="447">
        <f t="shared" si="40"/>
        <v>2106.5940143121866</v>
      </c>
      <c r="J339" s="447">
        <f t="shared" si="40"/>
        <v>2056.0314648841777</v>
      </c>
      <c r="K339" s="447">
        <f t="shared" si="40"/>
        <v>2006.6825196852185</v>
      </c>
      <c r="L339" s="448">
        <f t="shared" si="41"/>
        <v>2006.6825196852185</v>
      </c>
      <c r="M339" s="449" t="str">
        <f t="shared" si="42"/>
        <v/>
      </c>
      <c r="N339" s="251" t="str">
        <f t="shared" si="43"/>
        <v/>
      </c>
      <c r="O339" s="251" t="str">
        <f t="shared" si="44"/>
        <v/>
      </c>
      <c r="P339" s="251" t="str">
        <f t="shared" si="45"/>
        <v/>
      </c>
      <c r="Q339" s="450" t="str">
        <f t="shared" si="46"/>
        <v/>
      </c>
    </row>
    <row r="340" spans="1:17">
      <c r="A340" s="428" t="s">
        <v>3700</v>
      </c>
      <c r="B340" s="429"/>
      <c r="C340" s="446" t="e">
        <v>#N/A</v>
      </c>
      <c r="D340" s="446" t="e">
        <v>#N/A</v>
      </c>
      <c r="E340" s="432">
        <v>2378790.8276573746</v>
      </c>
      <c r="F340" s="447">
        <f t="shared" si="40"/>
        <v>2319839.497342756</v>
      </c>
      <c r="G340" s="447">
        <f t="shared" si="40"/>
        <v>2264293.5858199322</v>
      </c>
      <c r="H340" s="447">
        <f t="shared" si="40"/>
        <v>2209945.9252955453</v>
      </c>
      <c r="I340" s="447">
        <f t="shared" si="40"/>
        <v>2156902.719380301</v>
      </c>
      <c r="J340" s="447">
        <f t="shared" si="40"/>
        <v>2105132.6585051962</v>
      </c>
      <c r="K340" s="447">
        <f t="shared" si="40"/>
        <v>2054605.1845946913</v>
      </c>
      <c r="L340" s="448">
        <f t="shared" si="41"/>
        <v>2054605.1845946913</v>
      </c>
      <c r="M340" s="449" t="str">
        <f t="shared" si="42"/>
        <v/>
      </c>
      <c r="N340" s="251" t="str">
        <f t="shared" si="43"/>
        <v/>
      </c>
      <c r="O340" s="251" t="str">
        <f t="shared" si="44"/>
        <v/>
      </c>
      <c r="P340" s="251" t="str">
        <f t="shared" si="45"/>
        <v/>
      </c>
      <c r="Q340" s="450" t="str">
        <f t="shared" si="46"/>
        <v/>
      </c>
    </row>
    <row r="341" spans="1:17">
      <c r="A341" s="428" t="s">
        <v>3701</v>
      </c>
      <c r="B341" s="429"/>
      <c r="C341" s="446" t="e">
        <v>#N/A</v>
      </c>
      <c r="D341" s="446" t="e">
        <v>#N/A</v>
      </c>
      <c r="E341" s="432">
        <v>4783.2311068229656</v>
      </c>
      <c r="F341" s="447">
        <f t="shared" si="40"/>
        <v>4664.6928000197695</v>
      </c>
      <c r="G341" s="447">
        <f t="shared" si="40"/>
        <v>4553.0020499278589</v>
      </c>
      <c r="H341" s="447">
        <f t="shared" si="40"/>
        <v>4443.7207220444379</v>
      </c>
      <c r="I341" s="447">
        <f t="shared" si="40"/>
        <v>4337.0623687375719</v>
      </c>
      <c r="J341" s="447">
        <f t="shared" si="40"/>
        <v>4232.9640332719928</v>
      </c>
      <c r="K341" s="447">
        <f t="shared" si="40"/>
        <v>4131.3642700023811</v>
      </c>
      <c r="L341" s="448">
        <f t="shared" si="41"/>
        <v>4131.3642700023811</v>
      </c>
      <c r="M341" s="449" t="str">
        <f t="shared" si="42"/>
        <v/>
      </c>
      <c r="N341" s="251" t="str">
        <f t="shared" si="43"/>
        <v/>
      </c>
      <c r="O341" s="251" t="str">
        <f t="shared" si="44"/>
        <v/>
      </c>
      <c r="P341" s="251" t="str">
        <f t="shared" si="45"/>
        <v/>
      </c>
      <c r="Q341" s="450" t="str">
        <f t="shared" si="46"/>
        <v/>
      </c>
    </row>
    <row r="342" spans="1:17">
      <c r="A342" s="428" t="s">
        <v>3702</v>
      </c>
      <c r="B342" s="429"/>
      <c r="C342" s="446" t="e">
        <v>#N/A</v>
      </c>
      <c r="D342" s="446" t="e">
        <v>#N/A</v>
      </c>
      <c r="E342" s="432">
        <v>24415.567311258957</v>
      </c>
      <c r="F342" s="447">
        <f t="shared" si="40"/>
        <v>23810.49932602451</v>
      </c>
      <c r="G342" s="447">
        <f t="shared" si="40"/>
        <v>23240.384070036951</v>
      </c>
      <c r="H342" s="447">
        <f t="shared" si="40"/>
        <v>22682.567490153226</v>
      </c>
      <c r="I342" s="447">
        <f t="shared" si="40"/>
        <v>22138.139644976098</v>
      </c>
      <c r="J342" s="447">
        <f t="shared" si="40"/>
        <v>21606.779177587348</v>
      </c>
      <c r="K342" s="447">
        <f t="shared" si="40"/>
        <v>21088.172444289696</v>
      </c>
      <c r="L342" s="448">
        <f t="shared" si="41"/>
        <v>21088.172444289696</v>
      </c>
      <c r="M342" s="449" t="str">
        <f t="shared" si="42"/>
        <v/>
      </c>
      <c r="N342" s="251" t="str">
        <f t="shared" si="43"/>
        <v/>
      </c>
      <c r="O342" s="251" t="str">
        <f t="shared" si="44"/>
        <v/>
      </c>
      <c r="P342" s="251" t="str">
        <f t="shared" si="45"/>
        <v/>
      </c>
      <c r="Q342" s="450" t="str">
        <f t="shared" si="46"/>
        <v/>
      </c>
    </row>
    <row r="343" spans="1:17">
      <c r="A343" s="428" t="s">
        <v>3703</v>
      </c>
      <c r="B343" s="429"/>
      <c r="C343" s="446" t="e">
        <v>#N/A</v>
      </c>
      <c r="D343" s="446" t="e">
        <v>#N/A</v>
      </c>
      <c r="E343" s="432">
        <v>304.87761268910367</v>
      </c>
      <c r="F343" s="447">
        <f t="shared" si="40"/>
        <v>297.32211825798237</v>
      </c>
      <c r="G343" s="447">
        <f t="shared" si="40"/>
        <v>290.20307916348747</v>
      </c>
      <c r="H343" s="447">
        <f t="shared" si="40"/>
        <v>283.23761385091507</v>
      </c>
      <c r="I343" s="447">
        <f t="shared" si="40"/>
        <v>276.43933390095322</v>
      </c>
      <c r="J343" s="447">
        <f t="shared" si="40"/>
        <v>269.80422652418775</v>
      </c>
      <c r="K343" s="447">
        <f t="shared" si="40"/>
        <v>263.32837524632816</v>
      </c>
      <c r="L343" s="448">
        <f t="shared" si="41"/>
        <v>263.32837524632816</v>
      </c>
      <c r="M343" s="449" t="str">
        <f t="shared" si="42"/>
        <v/>
      </c>
      <c r="N343" s="251" t="str">
        <f t="shared" si="43"/>
        <v/>
      </c>
      <c r="O343" s="251" t="str">
        <f t="shared" si="44"/>
        <v/>
      </c>
      <c r="P343" s="251" t="str">
        <f t="shared" si="45"/>
        <v/>
      </c>
      <c r="Q343" s="450" t="str">
        <f t="shared" si="46"/>
        <v/>
      </c>
    </row>
    <row r="344" spans="1:17">
      <c r="A344" s="428" t="s">
        <v>3704</v>
      </c>
      <c r="B344" s="429"/>
      <c r="C344" s="446" t="e">
        <v>#N/A</v>
      </c>
      <c r="D344" s="446" t="e">
        <v>#N/A</v>
      </c>
      <c r="E344" s="432">
        <v>17757.330556104753</v>
      </c>
      <c r="F344" s="447">
        <f t="shared" si="40"/>
        <v>17317.2673748667</v>
      </c>
      <c r="G344" s="447">
        <f t="shared" si="40"/>
        <v>16902.625153918554</v>
      </c>
      <c r="H344" s="447">
        <f t="shared" si="40"/>
        <v>16496.927703910773</v>
      </c>
      <c r="I344" s="447">
        <f t="shared" si="40"/>
        <v>16100.967819484906</v>
      </c>
      <c r="J344" s="447">
        <f t="shared" si="40"/>
        <v>15714.511779222541</v>
      </c>
      <c r="K344" s="447">
        <f t="shared" si="40"/>
        <v>15337.331471495618</v>
      </c>
      <c r="L344" s="448">
        <f t="shared" si="41"/>
        <v>15337.331471495618</v>
      </c>
      <c r="M344" s="449" t="str">
        <f t="shared" si="42"/>
        <v/>
      </c>
      <c r="N344" s="251" t="str">
        <f t="shared" si="43"/>
        <v/>
      </c>
      <c r="O344" s="251" t="str">
        <f t="shared" si="44"/>
        <v/>
      </c>
      <c r="P344" s="251" t="str">
        <f t="shared" si="45"/>
        <v/>
      </c>
      <c r="Q344" s="450" t="str">
        <f t="shared" si="46"/>
        <v/>
      </c>
    </row>
    <row r="345" spans="1:17">
      <c r="A345" s="428" t="s">
        <v>3705</v>
      </c>
      <c r="B345" s="429"/>
      <c r="C345" s="446" t="e">
        <v>#N/A</v>
      </c>
      <c r="D345" s="446" t="e">
        <v>#N/A</v>
      </c>
      <c r="E345" s="432">
        <v>376.52606264604162</v>
      </c>
      <c r="F345" s="447">
        <f t="shared" si="40"/>
        <v>367.19497223109801</v>
      </c>
      <c r="G345" s="447">
        <f t="shared" si="40"/>
        <v>358.40290732206569</v>
      </c>
      <c r="H345" s="447">
        <f t="shared" si="40"/>
        <v>349.800507147426</v>
      </c>
      <c r="I345" s="447">
        <f t="shared" si="40"/>
        <v>341.40458210804007</v>
      </c>
      <c r="J345" s="447">
        <f t="shared" si="40"/>
        <v>333.21017637988047</v>
      </c>
      <c r="K345" s="447">
        <f t="shared" si="40"/>
        <v>325.21245308879622</v>
      </c>
      <c r="L345" s="448">
        <f t="shared" si="41"/>
        <v>325.21245308879622</v>
      </c>
      <c r="M345" s="449" t="str">
        <f t="shared" si="42"/>
        <v/>
      </c>
      <c r="N345" s="251" t="str">
        <f t="shared" si="43"/>
        <v/>
      </c>
      <c r="O345" s="251" t="str">
        <f t="shared" si="44"/>
        <v/>
      </c>
      <c r="P345" s="251" t="str">
        <f t="shared" si="45"/>
        <v/>
      </c>
      <c r="Q345" s="450" t="str">
        <f t="shared" si="46"/>
        <v/>
      </c>
    </row>
    <row r="346" spans="1:17">
      <c r="A346" s="428" t="s">
        <v>3706</v>
      </c>
      <c r="B346" s="429"/>
      <c r="C346" s="446" t="e">
        <v>#N/A</v>
      </c>
      <c r="D346" s="446" t="e">
        <v>#N/A</v>
      </c>
      <c r="E346" s="432">
        <v>77645.40334213413</v>
      </c>
      <c r="F346" s="447">
        <f t="shared" si="40"/>
        <v>75721.190516603077</v>
      </c>
      <c r="G346" s="447">
        <f t="shared" si="40"/>
        <v>73908.132952208704</v>
      </c>
      <c r="H346" s="447">
        <f t="shared" si="40"/>
        <v>72134.18714198668</v>
      </c>
      <c r="I346" s="447">
        <f t="shared" si="40"/>
        <v>70402.819646381788</v>
      </c>
      <c r="J346" s="447">
        <f t="shared" si="40"/>
        <v>68713.00849907173</v>
      </c>
      <c r="K346" s="447">
        <f t="shared" si="40"/>
        <v>67063.756263008632</v>
      </c>
      <c r="L346" s="448">
        <f t="shared" si="41"/>
        <v>67063.756263008632</v>
      </c>
      <c r="M346" s="449" t="str">
        <f t="shared" si="42"/>
        <v/>
      </c>
      <c r="N346" s="251" t="str">
        <f t="shared" si="43"/>
        <v/>
      </c>
      <c r="O346" s="251" t="str">
        <f t="shared" si="44"/>
        <v/>
      </c>
      <c r="P346" s="251" t="str">
        <f t="shared" si="45"/>
        <v/>
      </c>
      <c r="Q346" s="450" t="str">
        <f t="shared" si="46"/>
        <v/>
      </c>
    </row>
    <row r="347" spans="1:17">
      <c r="A347" s="428" t="s">
        <v>3707</v>
      </c>
      <c r="B347" s="429"/>
      <c r="C347" s="446" t="e">
        <v>#N/A</v>
      </c>
      <c r="D347" s="446" t="e">
        <v>#N/A</v>
      </c>
      <c r="E347" s="432">
        <v>5091.6103583132417</v>
      </c>
      <c r="F347" s="447">
        <f t="shared" si="40"/>
        <v>4965.4297792659236</v>
      </c>
      <c r="G347" s="447">
        <f t="shared" si="40"/>
        <v>4846.5382251270166</v>
      </c>
      <c r="H347" s="447">
        <f t="shared" si="40"/>
        <v>4730.2114308335604</v>
      </c>
      <c r="I347" s="447">
        <f t="shared" si="40"/>
        <v>4616.6767166686459</v>
      </c>
      <c r="J347" s="447">
        <f t="shared" si="40"/>
        <v>4505.8670670191323</v>
      </c>
      <c r="K347" s="447">
        <f t="shared" si="40"/>
        <v>4397.7170747831678</v>
      </c>
      <c r="L347" s="448">
        <f t="shared" si="41"/>
        <v>4397.7170747831678</v>
      </c>
      <c r="M347" s="449" t="str">
        <f t="shared" si="42"/>
        <v/>
      </c>
      <c r="N347" s="251" t="str">
        <f t="shared" si="43"/>
        <v/>
      </c>
      <c r="O347" s="251" t="str">
        <f t="shared" si="44"/>
        <v/>
      </c>
      <c r="P347" s="251" t="str">
        <f t="shared" si="45"/>
        <v/>
      </c>
      <c r="Q347" s="450" t="str">
        <f t="shared" si="46"/>
        <v/>
      </c>
    </row>
    <row r="348" spans="1:17">
      <c r="A348" s="428" t="s">
        <v>3708</v>
      </c>
      <c r="B348" s="429"/>
      <c r="C348" s="446" t="e">
        <v>#N/A</v>
      </c>
      <c r="D348" s="446" t="e">
        <v>#N/A</v>
      </c>
      <c r="E348" s="432">
        <v>48977.912781374223</v>
      </c>
      <c r="F348" s="447">
        <f t="shared" si="40"/>
        <v>47764.139346179509</v>
      </c>
      <c r="G348" s="447">
        <f t="shared" si="40"/>
        <v>46620.481493502331</v>
      </c>
      <c r="H348" s="447">
        <f t="shared" si="40"/>
        <v>45501.494928526998</v>
      </c>
      <c r="I348" s="447">
        <f t="shared" si="40"/>
        <v>44409.366321523856</v>
      </c>
      <c r="J348" s="447">
        <f t="shared" si="40"/>
        <v>43343.451026766998</v>
      </c>
      <c r="K348" s="447">
        <f t="shared" si="40"/>
        <v>42303.119871341711</v>
      </c>
      <c r="L348" s="448">
        <f t="shared" si="41"/>
        <v>42303.119871341711</v>
      </c>
      <c r="M348" s="449" t="str">
        <f t="shared" si="42"/>
        <v/>
      </c>
      <c r="N348" s="251" t="str">
        <f t="shared" si="43"/>
        <v/>
      </c>
      <c r="O348" s="251" t="str">
        <f t="shared" si="44"/>
        <v/>
      </c>
      <c r="P348" s="251" t="str">
        <f t="shared" si="45"/>
        <v/>
      </c>
      <c r="Q348" s="450" t="str">
        <f t="shared" si="46"/>
        <v/>
      </c>
    </row>
    <row r="349" spans="1:17">
      <c r="A349" s="428" t="s">
        <v>3709</v>
      </c>
      <c r="B349" s="429"/>
      <c r="C349" s="446" t="e">
        <v>#N/A</v>
      </c>
      <c r="D349" s="446" t="e">
        <v>#N/A</v>
      </c>
      <c r="E349" s="432">
        <v>1227627.782252464</v>
      </c>
      <c r="F349" s="447">
        <f t="shared" si="40"/>
        <v>1197204.6403546799</v>
      </c>
      <c r="G349" s="447">
        <f t="shared" si="40"/>
        <v>1168538.9403767171</v>
      </c>
      <c r="H349" s="447">
        <f t="shared" si="40"/>
        <v>1140491.6244107871</v>
      </c>
      <c r="I349" s="447">
        <f t="shared" si="40"/>
        <v>1113117.5011864179</v>
      </c>
      <c r="J349" s="447">
        <f t="shared" si="40"/>
        <v>1086400.4127058943</v>
      </c>
      <c r="K349" s="447">
        <f t="shared" si="40"/>
        <v>1060324.5887963753</v>
      </c>
      <c r="L349" s="448">
        <f t="shared" si="41"/>
        <v>1060324.5887963753</v>
      </c>
      <c r="M349" s="449" t="str">
        <f t="shared" si="42"/>
        <v/>
      </c>
      <c r="N349" s="251" t="str">
        <f t="shared" si="43"/>
        <v/>
      </c>
      <c r="O349" s="251" t="str">
        <f t="shared" si="44"/>
        <v/>
      </c>
      <c r="P349" s="251" t="str">
        <f t="shared" si="45"/>
        <v/>
      </c>
      <c r="Q349" s="450" t="str">
        <f t="shared" si="46"/>
        <v/>
      </c>
    </row>
    <row r="350" spans="1:17">
      <c r="A350" s="428" t="s">
        <v>3710</v>
      </c>
      <c r="B350" s="429"/>
      <c r="C350" s="446" t="e">
        <v>#N/A</v>
      </c>
      <c r="D350" s="446" t="e">
        <v>#N/A</v>
      </c>
      <c r="E350" s="432">
        <v>22508.645930990351</v>
      </c>
      <c r="F350" s="447">
        <f t="shared" si="40"/>
        <v>21950.835380442975</v>
      </c>
      <c r="G350" s="447">
        <f t="shared" si="40"/>
        <v>21425.247657115233</v>
      </c>
      <c r="H350" s="447">
        <f t="shared" si="40"/>
        <v>20910.998050256869</v>
      </c>
      <c r="I350" s="447">
        <f t="shared" si="40"/>
        <v>20409.091481966192</v>
      </c>
      <c r="J350" s="447">
        <f t="shared" si="40"/>
        <v>19919.231694163369</v>
      </c>
      <c r="K350" s="447">
        <f t="shared" si="40"/>
        <v>19441.129539566227</v>
      </c>
      <c r="L350" s="448">
        <f t="shared" si="41"/>
        <v>19441.129539566227</v>
      </c>
      <c r="M350" s="449" t="str">
        <f t="shared" si="42"/>
        <v/>
      </c>
      <c r="N350" s="251" t="str">
        <f t="shared" si="43"/>
        <v/>
      </c>
      <c r="O350" s="251" t="str">
        <f t="shared" si="44"/>
        <v/>
      </c>
      <c r="P350" s="251" t="str">
        <f t="shared" si="45"/>
        <v/>
      </c>
      <c r="Q350" s="450" t="str">
        <f t="shared" si="46"/>
        <v/>
      </c>
    </row>
    <row r="351" spans="1:17">
      <c r="A351" s="428" t="s">
        <v>3711</v>
      </c>
      <c r="B351" s="429"/>
      <c r="C351" s="446" t="e">
        <v>#N/A</v>
      </c>
      <c r="D351" s="446" t="e">
        <v>#N/A</v>
      </c>
      <c r="E351" s="432">
        <v>107419.02453957658</v>
      </c>
      <c r="F351" s="447">
        <f t="shared" si="40"/>
        <v>104756.96013102036</v>
      </c>
      <c r="G351" s="447">
        <f t="shared" si="40"/>
        <v>102248.67417179655</v>
      </c>
      <c r="H351" s="447">
        <f t="shared" si="40"/>
        <v>99794.497616354347</v>
      </c>
      <c r="I351" s="447">
        <f t="shared" si="40"/>
        <v>97399.22629967508</v>
      </c>
      <c r="J351" s="447">
        <f t="shared" si="40"/>
        <v>95061.446375983855</v>
      </c>
      <c r="K351" s="447">
        <f t="shared" si="40"/>
        <v>92779.777934685699</v>
      </c>
      <c r="L351" s="448">
        <f t="shared" si="41"/>
        <v>92779.777934685699</v>
      </c>
      <c r="M351" s="449" t="str">
        <f t="shared" si="42"/>
        <v/>
      </c>
      <c r="N351" s="251" t="str">
        <f t="shared" si="43"/>
        <v/>
      </c>
      <c r="O351" s="251" t="str">
        <f t="shared" si="44"/>
        <v/>
      </c>
      <c r="P351" s="251" t="str">
        <f t="shared" si="45"/>
        <v/>
      </c>
      <c r="Q351" s="450" t="str">
        <f t="shared" si="46"/>
        <v/>
      </c>
    </row>
    <row r="352" spans="1:17">
      <c r="A352" s="428" t="s">
        <v>3712</v>
      </c>
      <c r="B352" s="429"/>
      <c r="C352" s="446" t="e">
        <v>#N/A</v>
      </c>
      <c r="D352" s="446" t="e">
        <v>#N/A</v>
      </c>
      <c r="E352" s="432">
        <v>15396.896199694402</v>
      </c>
      <c r="F352" s="447">
        <f t="shared" si="40"/>
        <v>15015.329437650869</v>
      </c>
      <c r="G352" s="447">
        <f t="shared" si="40"/>
        <v>14655.804495780902</v>
      </c>
      <c r="H352" s="447">
        <f t="shared" si="40"/>
        <v>14304.035320424582</v>
      </c>
      <c r="I352" s="447">
        <f t="shared" si="40"/>
        <v>13960.709322156665</v>
      </c>
      <c r="J352" s="447">
        <f t="shared" si="40"/>
        <v>13625.623847520448</v>
      </c>
      <c r="K352" s="447">
        <f t="shared" si="40"/>
        <v>13298.581107155189</v>
      </c>
      <c r="L352" s="448">
        <f t="shared" si="41"/>
        <v>13298.581107155189</v>
      </c>
      <c r="M352" s="449" t="str">
        <f t="shared" si="42"/>
        <v/>
      </c>
      <c r="N352" s="251" t="str">
        <f t="shared" si="43"/>
        <v/>
      </c>
      <c r="O352" s="251" t="str">
        <f t="shared" si="44"/>
        <v/>
      </c>
      <c r="P352" s="251" t="str">
        <f t="shared" si="45"/>
        <v/>
      </c>
      <c r="Q352" s="450" t="str">
        <f t="shared" si="46"/>
        <v/>
      </c>
    </row>
    <row r="353" spans="1:17">
      <c r="A353" s="428" t="s">
        <v>3713</v>
      </c>
      <c r="B353" s="429"/>
      <c r="C353" s="446" t="e">
        <v>#N/A</v>
      </c>
      <c r="D353" s="446" t="e">
        <v>#N/A</v>
      </c>
      <c r="E353" s="432">
        <v>103071.88422932282</v>
      </c>
      <c r="F353" s="447">
        <f t="shared" si="40"/>
        <v>100517.55090051275</v>
      </c>
      <c r="G353" s="447">
        <f t="shared" si="40"/>
        <v>98110.772761246553</v>
      </c>
      <c r="H353" s="447">
        <f t="shared" si="40"/>
        <v>95755.91427239796</v>
      </c>
      <c r="I353" s="447">
        <f t="shared" si="40"/>
        <v>93457.5771863111</v>
      </c>
      <c r="J353" s="447">
        <f t="shared" si="40"/>
        <v>91214.404874133194</v>
      </c>
      <c r="K353" s="447">
        <f t="shared" si="40"/>
        <v>89025.073268868655</v>
      </c>
      <c r="L353" s="448">
        <f t="shared" si="41"/>
        <v>89025.073268868655</v>
      </c>
      <c r="M353" s="449" t="str">
        <f t="shared" si="42"/>
        <v/>
      </c>
      <c r="N353" s="251" t="str">
        <f t="shared" si="43"/>
        <v/>
      </c>
      <c r="O353" s="251" t="str">
        <f t="shared" si="44"/>
        <v/>
      </c>
      <c r="P353" s="251" t="str">
        <f t="shared" si="45"/>
        <v/>
      </c>
      <c r="Q353" s="450" t="str">
        <f t="shared" si="46"/>
        <v/>
      </c>
    </row>
    <row r="354" spans="1:17">
      <c r="A354" s="428" t="s">
        <v>3714</v>
      </c>
      <c r="B354" s="429"/>
      <c r="C354" s="446" t="e">
        <v>#N/A</v>
      </c>
      <c r="D354" s="446" t="e">
        <v>#N/A</v>
      </c>
      <c r="E354" s="432">
        <v>11390.748102336493</v>
      </c>
      <c r="F354" s="447">
        <f t="shared" si="40"/>
        <v>11108.461931520564</v>
      </c>
      <c r="G354" s="447">
        <f t="shared" si="40"/>
        <v>10842.482477205009</v>
      </c>
      <c r="H354" s="447">
        <f t="shared" si="40"/>
        <v>10582.240801565862</v>
      </c>
      <c r="I354" s="447">
        <f t="shared" si="40"/>
        <v>10328.245456495557</v>
      </c>
      <c r="J354" s="447">
        <f t="shared" si="40"/>
        <v>10080.346517330872</v>
      </c>
      <c r="K354" s="447">
        <f t="shared" si="40"/>
        <v>9838.3976579060454</v>
      </c>
      <c r="L354" s="448">
        <f t="shared" si="41"/>
        <v>9838.3976579060454</v>
      </c>
      <c r="M354" s="449" t="str">
        <f t="shared" si="42"/>
        <v/>
      </c>
      <c r="N354" s="251" t="str">
        <f t="shared" si="43"/>
        <v/>
      </c>
      <c r="O354" s="251" t="str">
        <f t="shared" si="44"/>
        <v/>
      </c>
      <c r="P354" s="251" t="str">
        <f t="shared" si="45"/>
        <v/>
      </c>
      <c r="Q354" s="450" t="str">
        <f t="shared" si="46"/>
        <v/>
      </c>
    </row>
    <row r="355" spans="1:17">
      <c r="A355" s="428" t="s">
        <v>3715</v>
      </c>
      <c r="B355" s="429"/>
      <c r="C355" s="446" t="e">
        <v>#N/A</v>
      </c>
      <c r="D355" s="446" t="e">
        <v>#N/A</v>
      </c>
      <c r="E355" s="432">
        <v>44805.851580882183</v>
      </c>
      <c r="F355" s="447">
        <f t="shared" si="40"/>
        <v>43695.470404924155</v>
      </c>
      <c r="G355" s="447">
        <f t="shared" si="40"/>
        <v>42649.232190668299</v>
      </c>
      <c r="H355" s="447">
        <f t="shared" si="40"/>
        <v>41625.563702076593</v>
      </c>
      <c r="I355" s="447">
        <f t="shared" si="40"/>
        <v>40626.465343372591</v>
      </c>
      <c r="J355" s="447">
        <f t="shared" si="40"/>
        <v>39651.347381366868</v>
      </c>
      <c r="K355" s="447">
        <f t="shared" si="40"/>
        <v>38699.634237668353</v>
      </c>
      <c r="L355" s="448">
        <f t="shared" si="41"/>
        <v>38699.634237668353</v>
      </c>
      <c r="M355" s="449" t="str">
        <f t="shared" si="42"/>
        <v/>
      </c>
      <c r="N355" s="251" t="str">
        <f t="shared" si="43"/>
        <v/>
      </c>
      <c r="O355" s="251" t="str">
        <f t="shared" si="44"/>
        <v/>
      </c>
      <c r="P355" s="251" t="str">
        <f t="shared" si="45"/>
        <v/>
      </c>
      <c r="Q355" s="450" t="str">
        <f t="shared" si="46"/>
        <v/>
      </c>
    </row>
    <row r="356" spans="1:17">
      <c r="A356" s="428" t="s">
        <v>3716</v>
      </c>
      <c r="B356" s="429"/>
      <c r="C356" s="446" t="e">
        <v>#N/A</v>
      </c>
      <c r="D356" s="446" t="e">
        <v>#N/A</v>
      </c>
      <c r="E356" s="432">
        <v>450782.07878278801</v>
      </c>
      <c r="F356" s="447">
        <f t="shared" si="40"/>
        <v>439610.77152984863</v>
      </c>
      <c r="G356" s="447">
        <f t="shared" si="40"/>
        <v>429084.79288009834</v>
      </c>
      <c r="H356" s="447">
        <f t="shared" si="40"/>
        <v>418785.88340755302</v>
      </c>
      <c r="I356" s="447">
        <f t="shared" si="40"/>
        <v>408734.16875077307</v>
      </c>
      <c r="J356" s="447">
        <f t="shared" si="40"/>
        <v>398923.71573041508</v>
      </c>
      <c r="K356" s="447">
        <f t="shared" si="40"/>
        <v>389348.73357553134</v>
      </c>
      <c r="L356" s="448">
        <f t="shared" si="41"/>
        <v>389348.73357553134</v>
      </c>
      <c r="M356" s="449" t="str">
        <f t="shared" si="42"/>
        <v/>
      </c>
      <c r="N356" s="251" t="str">
        <f t="shared" si="43"/>
        <v/>
      </c>
      <c r="O356" s="251" t="str">
        <f t="shared" si="44"/>
        <v/>
      </c>
      <c r="P356" s="251" t="str">
        <f t="shared" si="45"/>
        <v/>
      </c>
      <c r="Q356" s="450" t="str">
        <f t="shared" si="46"/>
        <v/>
      </c>
    </row>
    <row r="357" spans="1:17">
      <c r="A357" s="428" t="s">
        <v>3717</v>
      </c>
      <c r="B357" s="429"/>
      <c r="C357" s="446" t="e">
        <v>#N/A</v>
      </c>
      <c r="D357" s="446" t="e">
        <v>#N/A</v>
      </c>
      <c r="E357" s="432">
        <v>3906.6713767918213</v>
      </c>
      <c r="F357" s="447">
        <f t="shared" si="40"/>
        <v>3809.8560233415465</v>
      </c>
      <c r="G357" s="447">
        <f t="shared" si="40"/>
        <v>3718.6333651233258</v>
      </c>
      <c r="H357" s="447">
        <f t="shared" si="40"/>
        <v>3629.3785860575636</v>
      </c>
      <c r="I357" s="447">
        <f t="shared" si="40"/>
        <v>3542.2661035840911</v>
      </c>
      <c r="J357" s="447">
        <f t="shared" si="40"/>
        <v>3457.2444982188495</v>
      </c>
      <c r="K357" s="447">
        <f t="shared" si="40"/>
        <v>3374.2635846501867</v>
      </c>
      <c r="L357" s="448">
        <f t="shared" si="41"/>
        <v>3374.2635846501867</v>
      </c>
      <c r="M357" s="449" t="str">
        <f t="shared" si="42"/>
        <v/>
      </c>
      <c r="N357" s="251" t="str">
        <f t="shared" si="43"/>
        <v/>
      </c>
      <c r="O357" s="251" t="str">
        <f t="shared" si="44"/>
        <v/>
      </c>
      <c r="P357" s="251" t="str">
        <f t="shared" si="45"/>
        <v/>
      </c>
      <c r="Q357" s="450" t="str">
        <f t="shared" si="46"/>
        <v/>
      </c>
    </row>
    <row r="358" spans="1:17">
      <c r="A358" s="428" t="s">
        <v>3718</v>
      </c>
      <c r="B358" s="429"/>
      <c r="C358" s="446" t="e">
        <v>#N/A</v>
      </c>
      <c r="D358" s="446" t="e">
        <v>#N/A</v>
      </c>
      <c r="E358" s="432">
        <v>31202.841948112171</v>
      </c>
      <c r="F358" s="447">
        <f t="shared" si="40"/>
        <v>30429.571334718439</v>
      </c>
      <c r="G358" s="447">
        <f t="shared" si="40"/>
        <v>29700.969947005284</v>
      </c>
      <c r="H358" s="447">
        <f t="shared" si="40"/>
        <v>28988.086139872852</v>
      </c>
      <c r="I358" s="447">
        <f t="shared" si="40"/>
        <v>28292.312996916655</v>
      </c>
      <c r="J358" s="447">
        <f t="shared" si="40"/>
        <v>27613.239827326182</v>
      </c>
      <c r="K358" s="447">
        <f t="shared" si="40"/>
        <v>26950.465797707329</v>
      </c>
      <c r="L358" s="448">
        <f t="shared" si="41"/>
        <v>26950.465797707329</v>
      </c>
      <c r="M358" s="449" t="str">
        <f t="shared" si="42"/>
        <v/>
      </c>
      <c r="N358" s="251" t="str">
        <f t="shared" si="43"/>
        <v/>
      </c>
      <c r="O358" s="251" t="str">
        <f t="shared" si="44"/>
        <v/>
      </c>
      <c r="P358" s="251" t="str">
        <f t="shared" si="45"/>
        <v/>
      </c>
      <c r="Q358" s="450" t="str">
        <f t="shared" si="46"/>
        <v/>
      </c>
    </row>
    <row r="359" spans="1:17">
      <c r="A359" s="428" t="s">
        <v>3719</v>
      </c>
      <c r="B359" s="429"/>
      <c r="C359" s="446" t="e">
        <v>#N/A</v>
      </c>
      <c r="D359" s="446" t="e">
        <v>#N/A</v>
      </c>
      <c r="E359" s="432">
        <v>20567.238877561955</v>
      </c>
      <c r="F359" s="447">
        <f t="shared" si="40"/>
        <v>20057.54038762585</v>
      </c>
      <c r="G359" s="447">
        <f t="shared" si="40"/>
        <v>19577.285454035537</v>
      </c>
      <c r="H359" s="447">
        <f t="shared" si="40"/>
        <v>19107.390706062888</v>
      </c>
      <c r="I359" s="447">
        <f t="shared" si="40"/>
        <v>18648.774389652714</v>
      </c>
      <c r="J359" s="447">
        <f t="shared" si="40"/>
        <v>18201.165799462888</v>
      </c>
      <c r="K359" s="447">
        <f t="shared" si="40"/>
        <v>17764.300727631187</v>
      </c>
      <c r="L359" s="448">
        <f t="shared" si="41"/>
        <v>17764.300727631187</v>
      </c>
      <c r="M359" s="449" t="str">
        <f t="shared" si="42"/>
        <v/>
      </c>
      <c r="N359" s="251" t="str">
        <f t="shared" si="43"/>
        <v/>
      </c>
      <c r="O359" s="251" t="str">
        <f t="shared" si="44"/>
        <v/>
      </c>
      <c r="P359" s="251" t="str">
        <f t="shared" si="45"/>
        <v/>
      </c>
      <c r="Q359" s="450" t="str">
        <f t="shared" si="46"/>
        <v/>
      </c>
    </row>
    <row r="360" spans="1:17">
      <c r="A360" s="428" t="s">
        <v>3720</v>
      </c>
      <c r="B360" s="429"/>
      <c r="C360" s="446" t="e">
        <v>#N/A</v>
      </c>
      <c r="D360" s="446" t="e">
        <v>#N/A</v>
      </c>
      <c r="E360" s="432">
        <v>3641.5199442745015</v>
      </c>
      <c r="F360" s="447">
        <f t="shared" si="40"/>
        <v>3551.2755887867152</v>
      </c>
      <c r="G360" s="447">
        <f t="shared" si="40"/>
        <v>3466.2443442226581</v>
      </c>
      <c r="H360" s="447">
        <f t="shared" si="40"/>
        <v>3383.0474160088756</v>
      </c>
      <c r="I360" s="447">
        <f t="shared" si="40"/>
        <v>3301.8473836214789</v>
      </c>
      <c r="J360" s="447">
        <f t="shared" si="40"/>
        <v>3222.5963174911058</v>
      </c>
      <c r="K360" s="447">
        <f t="shared" si="40"/>
        <v>3145.2474384557381</v>
      </c>
      <c r="L360" s="448">
        <f t="shared" si="41"/>
        <v>3145.2474384557381</v>
      </c>
      <c r="M360" s="449" t="str">
        <f t="shared" si="42"/>
        <v/>
      </c>
      <c r="N360" s="251" t="str">
        <f t="shared" si="43"/>
        <v/>
      </c>
      <c r="O360" s="251" t="str">
        <f t="shared" si="44"/>
        <v/>
      </c>
      <c r="P360" s="251" t="str">
        <f t="shared" si="45"/>
        <v/>
      </c>
      <c r="Q360" s="450" t="str">
        <f t="shared" si="46"/>
        <v/>
      </c>
    </row>
    <row r="361" spans="1:17">
      <c r="A361" s="428" t="s">
        <v>3721</v>
      </c>
      <c r="B361" s="429"/>
      <c r="C361" s="446" t="e">
        <v>#N/A</v>
      </c>
      <c r="D361" s="446" t="e">
        <v>#N/A</v>
      </c>
      <c r="E361" s="432">
        <v>132766.67521564642</v>
      </c>
      <c r="F361" s="447">
        <f t="shared" si="40"/>
        <v>129476.44387861078</v>
      </c>
      <c r="G361" s="447">
        <f t="shared" si="40"/>
        <v>126376.27806791177</v>
      </c>
      <c r="H361" s="447">
        <f t="shared" si="40"/>
        <v>123342.98984867084</v>
      </c>
      <c r="I361" s="447">
        <f t="shared" si="40"/>
        <v>120382.50672831124</v>
      </c>
      <c r="J361" s="447">
        <f t="shared" si="40"/>
        <v>117493.08123608833</v>
      </c>
      <c r="K361" s="447">
        <f t="shared" si="40"/>
        <v>114673.00784411657</v>
      </c>
      <c r="L361" s="448">
        <f t="shared" si="41"/>
        <v>114673.00784411657</v>
      </c>
      <c r="M361" s="449" t="str">
        <f t="shared" si="42"/>
        <v/>
      </c>
      <c r="N361" s="251" t="str">
        <f t="shared" si="43"/>
        <v/>
      </c>
      <c r="O361" s="251" t="str">
        <f t="shared" si="44"/>
        <v/>
      </c>
      <c r="P361" s="251" t="str">
        <f t="shared" si="45"/>
        <v/>
      </c>
      <c r="Q361" s="450" t="str">
        <f t="shared" si="46"/>
        <v/>
      </c>
    </row>
    <row r="362" spans="1:17">
      <c r="A362" s="428" t="s">
        <v>3722</v>
      </c>
      <c r="B362" s="429"/>
      <c r="C362" s="446" t="e">
        <v>#N/A</v>
      </c>
      <c r="D362" s="446" t="e">
        <v>#N/A</v>
      </c>
      <c r="E362" s="432">
        <v>4845.2087281560571</v>
      </c>
      <c r="F362" s="447">
        <f t="shared" si="40"/>
        <v>4725.1344883969905</v>
      </c>
      <c r="G362" s="447">
        <f t="shared" si="40"/>
        <v>4611.996530996671</v>
      </c>
      <c r="H362" s="447">
        <f t="shared" si="40"/>
        <v>4501.2992153411606</v>
      </c>
      <c r="I362" s="447">
        <f t="shared" si="40"/>
        <v>4393.2588608544156</v>
      </c>
      <c r="J362" s="447">
        <f t="shared" si="40"/>
        <v>4287.8116950536914</v>
      </c>
      <c r="K362" s="447">
        <f t="shared" si="40"/>
        <v>4184.8954761257964</v>
      </c>
      <c r="L362" s="448">
        <f t="shared" si="41"/>
        <v>4184.8954761257964</v>
      </c>
      <c r="M362" s="449" t="str">
        <f t="shared" si="42"/>
        <v/>
      </c>
      <c r="N362" s="251" t="str">
        <f t="shared" si="43"/>
        <v/>
      </c>
      <c r="O362" s="251" t="str">
        <f t="shared" si="44"/>
        <v/>
      </c>
      <c r="P362" s="251" t="str">
        <f t="shared" si="45"/>
        <v/>
      </c>
      <c r="Q362" s="450" t="str">
        <f t="shared" si="46"/>
        <v/>
      </c>
    </row>
    <row r="363" spans="1:17">
      <c r="A363" s="428" t="s">
        <v>3723</v>
      </c>
      <c r="B363" s="429"/>
      <c r="C363" s="446" t="e">
        <v>#N/A</v>
      </c>
      <c r="D363" s="446" t="e">
        <v>#N/A</v>
      </c>
      <c r="E363" s="432">
        <v>52021.291001171514</v>
      </c>
      <c r="F363" s="447">
        <f t="shared" si="40"/>
        <v>50732.096392907843</v>
      </c>
      <c r="G363" s="447">
        <f t="shared" si="40"/>
        <v>49517.374193016156</v>
      </c>
      <c r="H363" s="447">
        <f t="shared" si="40"/>
        <v>48328.856299597057</v>
      </c>
      <c r="I363" s="447">
        <f t="shared" si="40"/>
        <v>47168.865257732563</v>
      </c>
      <c r="J363" s="447">
        <f t="shared" si="40"/>
        <v>46036.716364849708</v>
      </c>
      <c r="K363" s="447">
        <f t="shared" si="40"/>
        <v>44931.741352632671</v>
      </c>
      <c r="L363" s="448">
        <f t="shared" si="41"/>
        <v>44931.741352632671</v>
      </c>
      <c r="M363" s="449" t="str">
        <f t="shared" si="42"/>
        <v/>
      </c>
      <c r="N363" s="251" t="str">
        <f t="shared" si="43"/>
        <v/>
      </c>
      <c r="O363" s="251" t="str">
        <f t="shared" si="44"/>
        <v/>
      </c>
      <c r="P363" s="251" t="str">
        <f t="shared" si="45"/>
        <v/>
      </c>
      <c r="Q363" s="450" t="str">
        <f t="shared" si="46"/>
        <v/>
      </c>
    </row>
    <row r="364" spans="1:17">
      <c r="A364" s="428" t="s">
        <v>3724</v>
      </c>
      <c r="B364" s="429"/>
      <c r="C364" s="446" t="e">
        <v>#N/A</v>
      </c>
      <c r="D364" s="446" t="e">
        <v>#N/A</v>
      </c>
      <c r="E364" s="432">
        <v>37196.705569210018</v>
      </c>
      <c r="F364" s="447">
        <f t="shared" si="40"/>
        <v>36274.894684818151</v>
      </c>
      <c r="G364" s="447">
        <f t="shared" si="40"/>
        <v>35406.333694727822</v>
      </c>
      <c r="H364" s="447">
        <f t="shared" si="40"/>
        <v>34556.509530536045</v>
      </c>
      <c r="I364" s="447">
        <f t="shared" si="40"/>
        <v>33727.082878164365</v>
      </c>
      <c r="J364" s="447">
        <f t="shared" si="40"/>
        <v>32917.564155760447</v>
      </c>
      <c r="K364" s="447">
        <f t="shared" si="40"/>
        <v>32127.475532434171</v>
      </c>
      <c r="L364" s="448">
        <f t="shared" si="41"/>
        <v>32127.475532434171</v>
      </c>
      <c r="M364" s="449" t="str">
        <f t="shared" si="42"/>
        <v/>
      </c>
      <c r="N364" s="251" t="str">
        <f t="shared" si="43"/>
        <v/>
      </c>
      <c r="O364" s="251" t="str">
        <f t="shared" si="44"/>
        <v/>
      </c>
      <c r="P364" s="251" t="str">
        <f t="shared" si="45"/>
        <v/>
      </c>
      <c r="Q364" s="450" t="str">
        <f t="shared" si="46"/>
        <v/>
      </c>
    </row>
    <row r="365" spans="1:17">
      <c r="A365" s="428" t="s">
        <v>3725</v>
      </c>
      <c r="B365" s="429"/>
      <c r="C365" s="446" t="e">
        <v>#N/A</v>
      </c>
      <c r="D365" s="446" t="e">
        <v>#N/A</v>
      </c>
      <c r="E365" s="432">
        <v>408737.39387030585</v>
      </c>
      <c r="F365" s="447">
        <f t="shared" ref="F365:K407" si="47">+$E365*(F$3)</f>
        <v>398608.04040305963</v>
      </c>
      <c r="G365" s="447">
        <f t="shared" si="47"/>
        <v>389063.82539599732</v>
      </c>
      <c r="H365" s="447">
        <f t="shared" si="47"/>
        <v>379725.50070287491</v>
      </c>
      <c r="I365" s="447">
        <f t="shared" si="47"/>
        <v>370611.3148332102</v>
      </c>
      <c r="J365" s="447">
        <f t="shared" si="47"/>
        <v>361715.88799846149</v>
      </c>
      <c r="K365" s="447">
        <f t="shared" si="47"/>
        <v>353033.96953597601</v>
      </c>
      <c r="L365" s="448">
        <f t="shared" si="41"/>
        <v>353033.96953597601</v>
      </c>
      <c r="M365" s="449" t="str">
        <f t="shared" si="42"/>
        <v/>
      </c>
      <c r="N365" s="251" t="str">
        <f t="shared" si="43"/>
        <v/>
      </c>
      <c r="O365" s="251" t="str">
        <f t="shared" si="44"/>
        <v/>
      </c>
      <c r="P365" s="251" t="str">
        <f t="shared" si="45"/>
        <v/>
      </c>
      <c r="Q365" s="450" t="str">
        <f t="shared" si="46"/>
        <v/>
      </c>
    </row>
    <row r="366" spans="1:17">
      <c r="A366" s="428" t="s">
        <v>3726</v>
      </c>
      <c r="B366" s="429"/>
      <c r="C366" s="446" t="e">
        <v>#N/A</v>
      </c>
      <c r="D366" s="446" t="e">
        <v>#N/A</v>
      </c>
      <c r="E366" s="432">
        <v>15697.973094597877</v>
      </c>
      <c r="F366" s="447">
        <f t="shared" si="47"/>
        <v>15308.945027728718</v>
      </c>
      <c r="G366" s="447">
        <f t="shared" si="47"/>
        <v>14942.389795355091</v>
      </c>
      <c r="H366" s="447">
        <f t="shared" si="47"/>
        <v>14583.741988769112</v>
      </c>
      <c r="I366" s="447">
        <f t="shared" si="47"/>
        <v>14233.702460439194</v>
      </c>
      <c r="J366" s="447">
        <f t="shared" si="47"/>
        <v>13892.064594144149</v>
      </c>
      <c r="K366" s="447">
        <f t="shared" si="47"/>
        <v>13558.626732873168</v>
      </c>
      <c r="L366" s="448">
        <f t="shared" si="41"/>
        <v>13558.626732873168</v>
      </c>
      <c r="M366" s="449" t="str">
        <f t="shared" si="42"/>
        <v/>
      </c>
      <c r="N366" s="251" t="str">
        <f t="shared" si="43"/>
        <v/>
      </c>
      <c r="O366" s="251" t="str">
        <f t="shared" si="44"/>
        <v/>
      </c>
      <c r="P366" s="251" t="str">
        <f t="shared" si="45"/>
        <v/>
      </c>
      <c r="Q366" s="450" t="str">
        <f t="shared" si="46"/>
        <v/>
      </c>
    </row>
    <row r="367" spans="1:17">
      <c r="A367" s="428" t="s">
        <v>3727</v>
      </c>
      <c r="B367" s="429"/>
      <c r="C367" s="446" t="e">
        <v>#N/A</v>
      </c>
      <c r="D367" s="446" t="e">
        <v>#N/A</v>
      </c>
      <c r="E367" s="432">
        <v>79711.134206662071</v>
      </c>
      <c r="F367" s="447">
        <f t="shared" si="47"/>
        <v>77735.728320724025</v>
      </c>
      <c r="G367" s="447">
        <f t="shared" si="47"/>
        <v>75874.434945724963</v>
      </c>
      <c r="H367" s="447">
        <f t="shared" si="47"/>
        <v>74053.293880478901</v>
      </c>
      <c r="I367" s="447">
        <f t="shared" si="47"/>
        <v>72275.86391215105</v>
      </c>
      <c r="J367" s="447">
        <f t="shared" si="47"/>
        <v>70541.095885335308</v>
      </c>
      <c r="K367" s="447">
        <f t="shared" si="47"/>
        <v>68847.965826493513</v>
      </c>
      <c r="L367" s="448">
        <f t="shared" si="41"/>
        <v>68847.965826493513</v>
      </c>
      <c r="M367" s="449" t="str">
        <f t="shared" si="42"/>
        <v/>
      </c>
      <c r="N367" s="251" t="str">
        <f t="shared" si="43"/>
        <v/>
      </c>
      <c r="O367" s="251" t="str">
        <f t="shared" si="44"/>
        <v/>
      </c>
      <c r="P367" s="251" t="str">
        <f t="shared" si="45"/>
        <v/>
      </c>
      <c r="Q367" s="450" t="str">
        <f t="shared" si="46"/>
        <v/>
      </c>
    </row>
    <row r="368" spans="1:17">
      <c r="A368" s="428" t="s">
        <v>3728</v>
      </c>
      <c r="B368" s="429"/>
      <c r="C368" s="446" t="e">
        <v>#N/A</v>
      </c>
      <c r="D368" s="446" t="e">
        <v>#N/A</v>
      </c>
      <c r="E368" s="432">
        <v>2832.329969218626</v>
      </c>
      <c r="F368" s="447">
        <f t="shared" si="47"/>
        <v>2762.1390059636383</v>
      </c>
      <c r="G368" s="447">
        <f t="shared" si="47"/>
        <v>2696.0027370473031</v>
      </c>
      <c r="H368" s="447">
        <f t="shared" si="47"/>
        <v>2631.2931771017857</v>
      </c>
      <c r="I368" s="447">
        <f t="shared" si="47"/>
        <v>2568.1367784683116</v>
      </c>
      <c r="J368" s="447">
        <f t="shared" si="47"/>
        <v>2506.4962621101613</v>
      </c>
      <c r="K368" s="447">
        <f t="shared" si="47"/>
        <v>2446.3352437634708</v>
      </c>
      <c r="L368" s="448">
        <f t="shared" si="41"/>
        <v>2446.3352437634708</v>
      </c>
      <c r="M368" s="449" t="str">
        <f t="shared" si="42"/>
        <v/>
      </c>
      <c r="N368" s="251" t="str">
        <f t="shared" si="43"/>
        <v/>
      </c>
      <c r="O368" s="251" t="str">
        <f t="shared" si="44"/>
        <v/>
      </c>
      <c r="P368" s="251" t="str">
        <f t="shared" si="45"/>
        <v/>
      </c>
      <c r="Q368" s="450" t="str">
        <f t="shared" si="46"/>
        <v/>
      </c>
    </row>
    <row r="369" spans="1:17">
      <c r="A369" s="428" t="s">
        <v>3729</v>
      </c>
      <c r="B369" s="429"/>
      <c r="C369" s="446" t="e">
        <v>#N/A</v>
      </c>
      <c r="D369" s="446" t="e">
        <v>#N/A</v>
      </c>
      <c r="E369" s="432">
        <v>10081.897420281204</v>
      </c>
      <c r="F369" s="447">
        <f t="shared" si="47"/>
        <v>9832.0472619104476</v>
      </c>
      <c r="G369" s="447">
        <f t="shared" si="47"/>
        <v>9596.6301014026358</v>
      </c>
      <c r="H369" s="447">
        <f t="shared" si="47"/>
        <v>9366.2914217387624</v>
      </c>
      <c r="I369" s="447">
        <f t="shared" si="47"/>
        <v>9141.4813398002025</v>
      </c>
      <c r="J369" s="447">
        <f t="shared" si="47"/>
        <v>8922.0671579746722</v>
      </c>
      <c r="K369" s="447">
        <f t="shared" si="47"/>
        <v>8707.919363663008</v>
      </c>
      <c r="L369" s="448">
        <f t="shared" si="41"/>
        <v>8707.919363663008</v>
      </c>
      <c r="M369" s="449" t="str">
        <f t="shared" si="42"/>
        <v/>
      </c>
      <c r="N369" s="251" t="str">
        <f t="shared" si="43"/>
        <v/>
      </c>
      <c r="O369" s="251" t="str">
        <f t="shared" si="44"/>
        <v/>
      </c>
      <c r="P369" s="251" t="str">
        <f t="shared" si="45"/>
        <v/>
      </c>
      <c r="Q369" s="450" t="str">
        <f t="shared" si="46"/>
        <v/>
      </c>
    </row>
    <row r="370" spans="1:17">
      <c r="A370" s="428" t="s">
        <v>3730</v>
      </c>
      <c r="B370" s="429"/>
      <c r="C370" s="446" t="e">
        <v>#N/A</v>
      </c>
      <c r="D370" s="446" t="e">
        <v>#N/A</v>
      </c>
      <c r="E370" s="432">
        <v>4310.6925465674949</v>
      </c>
      <c r="F370" s="447">
        <f t="shared" si="47"/>
        <v>4203.8647173851696</v>
      </c>
      <c r="G370" s="447">
        <f t="shared" si="47"/>
        <v>4103.2079702639712</v>
      </c>
      <c r="H370" s="447">
        <f t="shared" si="47"/>
        <v>4004.7226169399173</v>
      </c>
      <c r="I370" s="447">
        <f t="shared" si="47"/>
        <v>3908.601112801588</v>
      </c>
      <c r="J370" s="447">
        <f t="shared" si="47"/>
        <v>3814.7867206511728</v>
      </c>
      <c r="K370" s="447">
        <f t="shared" si="47"/>
        <v>3723.2240650992367</v>
      </c>
      <c r="L370" s="448">
        <f t="shared" si="41"/>
        <v>3723.2240650992367</v>
      </c>
      <c r="M370" s="449" t="str">
        <f t="shared" si="42"/>
        <v/>
      </c>
      <c r="N370" s="251" t="str">
        <f t="shared" si="43"/>
        <v/>
      </c>
      <c r="O370" s="251" t="str">
        <f t="shared" si="44"/>
        <v/>
      </c>
      <c r="P370" s="251" t="str">
        <f t="shared" si="45"/>
        <v/>
      </c>
      <c r="Q370" s="450" t="str">
        <f t="shared" si="46"/>
        <v/>
      </c>
    </row>
    <row r="371" spans="1:17">
      <c r="A371" s="428" t="s">
        <v>3731</v>
      </c>
      <c r="B371" s="429"/>
      <c r="C371" s="446" t="e">
        <v>#N/A</v>
      </c>
      <c r="D371" s="446" t="e">
        <v>#N/A</v>
      </c>
      <c r="E371" s="432">
        <v>1615048.1521465718</v>
      </c>
      <c r="F371" s="447">
        <f t="shared" si="47"/>
        <v>1575023.9364886661</v>
      </c>
      <c r="G371" s="447">
        <f t="shared" si="47"/>
        <v>1537311.7842804035</v>
      </c>
      <c r="H371" s="447">
        <f t="shared" si="47"/>
        <v>1500413.1685287026</v>
      </c>
      <c r="I371" s="447">
        <f t="shared" si="47"/>
        <v>1464400.1947517225</v>
      </c>
      <c r="J371" s="447">
        <f t="shared" si="47"/>
        <v>1429251.6057371965</v>
      </c>
      <c r="K371" s="447">
        <f t="shared" si="47"/>
        <v>1394946.6544892725</v>
      </c>
      <c r="L371" s="448">
        <f t="shared" si="41"/>
        <v>1394946.6544892725</v>
      </c>
      <c r="M371" s="449" t="str">
        <f t="shared" si="42"/>
        <v/>
      </c>
      <c r="N371" s="251" t="str">
        <f t="shared" si="43"/>
        <v/>
      </c>
      <c r="O371" s="251" t="str">
        <f t="shared" si="44"/>
        <v/>
      </c>
      <c r="P371" s="251" t="str">
        <f t="shared" si="45"/>
        <v/>
      </c>
      <c r="Q371" s="450" t="str">
        <f t="shared" si="46"/>
        <v/>
      </c>
    </row>
    <row r="372" spans="1:17">
      <c r="A372" s="428" t="s">
        <v>3732</v>
      </c>
      <c r="B372" s="429"/>
      <c r="C372" s="446" t="e">
        <v>#N/A</v>
      </c>
      <c r="D372" s="446" t="e">
        <v>#N/A</v>
      </c>
      <c r="E372" s="432">
        <v>49918.861556647505</v>
      </c>
      <c r="F372" s="447">
        <f t="shared" si="47"/>
        <v>48681.769475098794</v>
      </c>
      <c r="G372" s="447">
        <f t="shared" si="47"/>
        <v>47516.140015329831</v>
      </c>
      <c r="H372" s="447">
        <f t="shared" si="47"/>
        <v>46375.655820544082</v>
      </c>
      <c r="I372" s="447">
        <f t="shared" si="47"/>
        <v>45262.54557065657</v>
      </c>
      <c r="J372" s="447">
        <f t="shared" si="47"/>
        <v>44176.152235203619</v>
      </c>
      <c r="K372" s="447">
        <f t="shared" si="47"/>
        <v>43115.834553791698</v>
      </c>
      <c r="L372" s="448">
        <f t="shared" si="41"/>
        <v>43115.834553791698</v>
      </c>
      <c r="M372" s="449" t="str">
        <f t="shared" si="42"/>
        <v/>
      </c>
      <c r="N372" s="251" t="str">
        <f t="shared" si="43"/>
        <v/>
      </c>
      <c r="O372" s="251" t="str">
        <f t="shared" si="44"/>
        <v/>
      </c>
      <c r="P372" s="251" t="str">
        <f t="shared" si="45"/>
        <v/>
      </c>
      <c r="Q372" s="450" t="str">
        <f t="shared" si="46"/>
        <v/>
      </c>
    </row>
    <row r="373" spans="1:17">
      <c r="A373" s="428" t="s">
        <v>3733</v>
      </c>
      <c r="B373" s="429"/>
      <c r="C373" s="446" t="e">
        <v>#N/A</v>
      </c>
      <c r="D373" s="446" t="e">
        <v>#N/A</v>
      </c>
      <c r="E373" s="432">
        <v>19777.476960439617</v>
      </c>
      <c r="F373" s="447">
        <f t="shared" si="47"/>
        <v>19287.350395493671</v>
      </c>
      <c r="G373" s="447">
        <f t="shared" si="47"/>
        <v>18825.536783041196</v>
      </c>
      <c r="H373" s="447">
        <f t="shared" si="47"/>
        <v>18373.685535181216</v>
      </c>
      <c r="I373" s="447">
        <f t="shared" si="47"/>
        <v>17932.679638109672</v>
      </c>
      <c r="J373" s="447">
        <f t="shared" si="47"/>
        <v>17502.258781305609</v>
      </c>
      <c r="K373" s="447">
        <f t="shared" si="47"/>
        <v>17082.16890223106</v>
      </c>
      <c r="L373" s="448">
        <f t="shared" si="41"/>
        <v>17082.16890223106</v>
      </c>
      <c r="M373" s="449" t="str">
        <f t="shared" si="42"/>
        <v/>
      </c>
      <c r="N373" s="251" t="str">
        <f t="shared" si="43"/>
        <v/>
      </c>
      <c r="O373" s="251" t="str">
        <f t="shared" si="44"/>
        <v/>
      </c>
      <c r="P373" s="251" t="str">
        <f t="shared" si="45"/>
        <v/>
      </c>
      <c r="Q373" s="450" t="str">
        <f t="shared" si="46"/>
        <v/>
      </c>
    </row>
    <row r="374" spans="1:17">
      <c r="A374" s="428" t="s">
        <v>3734</v>
      </c>
      <c r="B374" s="429"/>
      <c r="C374" s="446" t="e">
        <v>#N/A</v>
      </c>
      <c r="D374" s="446" t="e">
        <v>#N/A</v>
      </c>
      <c r="E374" s="432">
        <v>1767000.6395533609</v>
      </c>
      <c r="F374" s="447">
        <f t="shared" si="47"/>
        <v>1723210.7286636187</v>
      </c>
      <c r="G374" s="447">
        <f t="shared" si="47"/>
        <v>1681950.4126895312</v>
      </c>
      <c r="H374" s="447">
        <f t="shared" si="47"/>
        <v>1641580.1750930659</v>
      </c>
      <c r="I374" s="447">
        <f t="shared" si="47"/>
        <v>1602178.9054705075</v>
      </c>
      <c r="J374" s="447">
        <f t="shared" si="47"/>
        <v>1563723.3466157957</v>
      </c>
      <c r="K374" s="447">
        <f t="shared" si="47"/>
        <v>1526190.7995432133</v>
      </c>
      <c r="L374" s="448">
        <f t="shared" si="41"/>
        <v>1526190.7995432133</v>
      </c>
      <c r="M374" s="449" t="str">
        <f t="shared" si="42"/>
        <v/>
      </c>
      <c r="N374" s="251" t="str">
        <f t="shared" si="43"/>
        <v/>
      </c>
      <c r="O374" s="251" t="str">
        <f t="shared" si="44"/>
        <v/>
      </c>
      <c r="P374" s="251" t="str">
        <f t="shared" si="45"/>
        <v/>
      </c>
      <c r="Q374" s="450" t="str">
        <f t="shared" si="46"/>
        <v/>
      </c>
    </row>
    <row r="375" spans="1:17">
      <c r="A375" s="428" t="s">
        <v>3735</v>
      </c>
      <c r="B375" s="429"/>
      <c r="C375" s="446" t="e">
        <v>#N/A</v>
      </c>
      <c r="D375" s="446" t="e">
        <v>#N/A</v>
      </c>
      <c r="E375" s="432">
        <v>1696377.3385292611</v>
      </c>
      <c r="F375" s="447">
        <f t="shared" si="47"/>
        <v>1654337.6183238677</v>
      </c>
      <c r="G375" s="447">
        <f t="shared" si="47"/>
        <v>1614726.3904429935</v>
      </c>
      <c r="H375" s="447">
        <f t="shared" si="47"/>
        <v>1575969.6663780855</v>
      </c>
      <c r="I375" s="447">
        <f t="shared" si="47"/>
        <v>1538143.1826741041</v>
      </c>
      <c r="J375" s="447">
        <f t="shared" si="47"/>
        <v>1501224.6116666254</v>
      </c>
      <c r="K375" s="447">
        <f t="shared" si="47"/>
        <v>1465192.1616006733</v>
      </c>
      <c r="L375" s="448">
        <f t="shared" si="41"/>
        <v>1465192.1616006733</v>
      </c>
      <c r="M375" s="449" t="str">
        <f t="shared" si="42"/>
        <v/>
      </c>
      <c r="N375" s="251" t="str">
        <f t="shared" si="43"/>
        <v/>
      </c>
      <c r="O375" s="251" t="str">
        <f t="shared" si="44"/>
        <v/>
      </c>
      <c r="P375" s="251" t="str">
        <f t="shared" si="45"/>
        <v/>
      </c>
      <c r="Q375" s="450" t="str">
        <f t="shared" si="46"/>
        <v/>
      </c>
    </row>
    <row r="376" spans="1:17">
      <c r="A376" s="428" t="s">
        <v>3736</v>
      </c>
      <c r="B376" s="429"/>
      <c r="C376" s="446">
        <v>240</v>
      </c>
      <c r="D376" s="446" t="s">
        <v>2498</v>
      </c>
      <c r="E376" s="432">
        <v>8144936.6493126191</v>
      </c>
      <c r="F376" s="447">
        <f t="shared" si="47"/>
        <v>7943088.3635269683</v>
      </c>
      <c r="G376" s="447">
        <f t="shared" si="47"/>
        <v>7752900.1699196873</v>
      </c>
      <c r="H376" s="447">
        <f t="shared" si="47"/>
        <v>7566814.7659981465</v>
      </c>
      <c r="I376" s="447">
        <f t="shared" si="47"/>
        <v>7385195.7909991657</v>
      </c>
      <c r="J376" s="447">
        <f t="shared" si="47"/>
        <v>7207936.0415263465</v>
      </c>
      <c r="K376" s="447">
        <f t="shared" si="47"/>
        <v>7034930.8872832796</v>
      </c>
      <c r="L376" s="448" t="str">
        <f t="shared" si="41"/>
        <v/>
      </c>
      <c r="M376" s="449" t="str">
        <f t="shared" si="42"/>
        <v/>
      </c>
      <c r="N376" s="251">
        <f t="shared" si="43"/>
        <v>7034930.8872832796</v>
      </c>
      <c r="O376" s="251" t="str">
        <f t="shared" si="44"/>
        <v/>
      </c>
      <c r="P376" s="251" t="str">
        <f t="shared" si="45"/>
        <v/>
      </c>
      <c r="Q376" s="450" t="str">
        <f t="shared" si="46"/>
        <v/>
      </c>
    </row>
    <row r="377" spans="1:17">
      <c r="A377" s="428" t="s">
        <v>3737</v>
      </c>
      <c r="B377" s="429"/>
      <c r="C377" s="446">
        <v>240</v>
      </c>
      <c r="D377" s="446" t="s">
        <v>2498</v>
      </c>
      <c r="E377" s="432">
        <v>3626986.9787468086</v>
      </c>
      <c r="F377" s="447">
        <f t="shared" si="47"/>
        <v>3537102.780041751</v>
      </c>
      <c r="G377" s="447">
        <f t="shared" si="47"/>
        <v>3452410.8872222779</v>
      </c>
      <c r="H377" s="447">
        <f t="shared" si="47"/>
        <v>3369545.9901680783</v>
      </c>
      <c r="I377" s="447">
        <f t="shared" si="47"/>
        <v>3288670.0195157789</v>
      </c>
      <c r="J377" s="447">
        <f t="shared" si="47"/>
        <v>3209735.2369784466</v>
      </c>
      <c r="K377" s="447">
        <f t="shared" si="47"/>
        <v>3132695.0500853239</v>
      </c>
      <c r="L377" s="448" t="str">
        <f t="shared" si="41"/>
        <v/>
      </c>
      <c r="M377" s="449" t="str">
        <f t="shared" si="42"/>
        <v/>
      </c>
      <c r="N377" s="251">
        <f t="shared" si="43"/>
        <v>3132695.0500853239</v>
      </c>
      <c r="O377" s="251" t="str">
        <f t="shared" si="44"/>
        <v/>
      </c>
      <c r="P377" s="251" t="str">
        <f t="shared" si="45"/>
        <v/>
      </c>
      <c r="Q377" s="450" t="str">
        <f t="shared" si="46"/>
        <v/>
      </c>
    </row>
    <row r="378" spans="1:17">
      <c r="A378" s="428" t="s">
        <v>3738</v>
      </c>
      <c r="B378" s="429"/>
      <c r="C378" s="446" t="e">
        <v>#N/A</v>
      </c>
      <c r="D378" s="446" t="e">
        <v>#N/A</v>
      </c>
      <c r="E378" s="432">
        <v>79500.097281113878</v>
      </c>
      <c r="F378" s="447">
        <f t="shared" si="47"/>
        <v>77529.921324332245</v>
      </c>
      <c r="G378" s="447">
        <f t="shared" si="47"/>
        <v>75673.55576318645</v>
      </c>
      <c r="H378" s="447">
        <f t="shared" si="47"/>
        <v>73857.236207698399</v>
      </c>
      <c r="I378" s="447">
        <f t="shared" si="47"/>
        <v>72084.512023068455</v>
      </c>
      <c r="J378" s="447">
        <f t="shared" si="47"/>
        <v>70354.336831551875</v>
      </c>
      <c r="K378" s="447">
        <f t="shared" si="47"/>
        <v>68665.689370602151</v>
      </c>
      <c r="L378" s="448">
        <f t="shared" si="41"/>
        <v>68665.689370602151</v>
      </c>
      <c r="M378" s="449" t="str">
        <f t="shared" si="42"/>
        <v/>
      </c>
      <c r="N378" s="251" t="str">
        <f t="shared" si="43"/>
        <v/>
      </c>
      <c r="O378" s="251" t="str">
        <f t="shared" si="44"/>
        <v/>
      </c>
      <c r="P378" s="251" t="str">
        <f t="shared" si="45"/>
        <v/>
      </c>
      <c r="Q378" s="450" t="str">
        <f t="shared" si="46"/>
        <v/>
      </c>
    </row>
    <row r="379" spans="1:17">
      <c r="A379" s="428" t="s">
        <v>3739</v>
      </c>
      <c r="B379" s="429"/>
      <c r="C379" s="446">
        <v>240</v>
      </c>
      <c r="D379" s="446" t="s">
        <v>2498</v>
      </c>
      <c r="E379" s="432">
        <v>1379213.4190768178</v>
      </c>
      <c r="F379" s="447">
        <f t="shared" si="47"/>
        <v>1345033.6732593083</v>
      </c>
      <c r="G379" s="447">
        <f t="shared" si="47"/>
        <v>1312828.375653307</v>
      </c>
      <c r="H379" s="447">
        <f t="shared" si="47"/>
        <v>1281317.8191894235</v>
      </c>
      <c r="I379" s="447">
        <f t="shared" si="47"/>
        <v>1250563.5802968827</v>
      </c>
      <c r="J379" s="447">
        <f t="shared" si="47"/>
        <v>1220547.5058126519</v>
      </c>
      <c r="K379" s="447">
        <f t="shared" si="47"/>
        <v>1191251.8782866073</v>
      </c>
      <c r="L379" s="448" t="str">
        <f t="shared" si="41"/>
        <v/>
      </c>
      <c r="M379" s="449" t="str">
        <f t="shared" si="42"/>
        <v/>
      </c>
      <c r="N379" s="251">
        <f t="shared" si="43"/>
        <v>1191251.8782866073</v>
      </c>
      <c r="O379" s="251" t="str">
        <f t="shared" si="44"/>
        <v/>
      </c>
      <c r="P379" s="251" t="str">
        <f t="shared" si="45"/>
        <v/>
      </c>
      <c r="Q379" s="450" t="str">
        <f t="shared" si="46"/>
        <v/>
      </c>
    </row>
    <row r="380" spans="1:17">
      <c r="A380" s="428" t="s">
        <v>3740</v>
      </c>
      <c r="B380" s="429"/>
      <c r="C380" s="446">
        <v>240</v>
      </c>
      <c r="D380" s="446" t="s">
        <v>2498</v>
      </c>
      <c r="E380" s="432">
        <v>19329069.09808189</v>
      </c>
      <c r="F380" s="447">
        <f t="shared" si="47"/>
        <v>18850055.002421673</v>
      </c>
      <c r="G380" s="447">
        <f t="shared" si="47"/>
        <v>18398711.929521929</v>
      </c>
      <c r="H380" s="447">
        <f t="shared" si="47"/>
        <v>17957105.347984247</v>
      </c>
      <c r="I380" s="447">
        <f t="shared" si="47"/>
        <v>17526098.224365383</v>
      </c>
      <c r="J380" s="447">
        <f t="shared" si="47"/>
        <v>17105436.150074363</v>
      </c>
      <c r="K380" s="447">
        <f t="shared" si="47"/>
        <v>16694870.822844863</v>
      </c>
      <c r="L380" s="448" t="str">
        <f t="shared" si="41"/>
        <v/>
      </c>
      <c r="M380" s="449" t="str">
        <f t="shared" si="42"/>
        <v/>
      </c>
      <c r="N380" s="251">
        <f t="shared" si="43"/>
        <v>16694870.822844863</v>
      </c>
      <c r="O380" s="251" t="str">
        <f t="shared" si="44"/>
        <v/>
      </c>
      <c r="P380" s="251" t="str">
        <f t="shared" si="45"/>
        <v/>
      </c>
      <c r="Q380" s="450" t="str">
        <f t="shared" si="46"/>
        <v/>
      </c>
    </row>
    <row r="381" spans="1:17">
      <c r="A381" s="428" t="s">
        <v>3741</v>
      </c>
      <c r="B381" s="429"/>
      <c r="C381" s="446">
        <v>240</v>
      </c>
      <c r="D381" s="446" t="s">
        <v>2498</v>
      </c>
      <c r="E381" s="432">
        <v>9151177.5734935701</v>
      </c>
      <c r="F381" s="447">
        <f t="shared" si="47"/>
        <v>8924392.5675861686</v>
      </c>
      <c r="G381" s="447">
        <f t="shared" si="47"/>
        <v>8710708.1637634486</v>
      </c>
      <c r="H381" s="447">
        <f t="shared" si="47"/>
        <v>8501633.4160470236</v>
      </c>
      <c r="I381" s="447">
        <f t="shared" si="47"/>
        <v>8297576.888354837</v>
      </c>
      <c r="J381" s="447">
        <f t="shared" si="47"/>
        <v>8098418.1331795407</v>
      </c>
      <c r="K381" s="447">
        <f t="shared" si="47"/>
        <v>7904039.5939994268</v>
      </c>
      <c r="L381" s="448" t="str">
        <f t="shared" si="41"/>
        <v/>
      </c>
      <c r="M381" s="449" t="str">
        <f t="shared" si="42"/>
        <v/>
      </c>
      <c r="N381" s="251">
        <f t="shared" si="43"/>
        <v>7904039.5939994268</v>
      </c>
      <c r="O381" s="251" t="str">
        <f t="shared" si="44"/>
        <v/>
      </c>
      <c r="P381" s="251" t="str">
        <f t="shared" si="45"/>
        <v/>
      </c>
      <c r="Q381" s="450" t="str">
        <f t="shared" si="46"/>
        <v/>
      </c>
    </row>
    <row r="382" spans="1:17">
      <c r="A382" s="428" t="s">
        <v>3742</v>
      </c>
      <c r="B382" s="429"/>
      <c r="C382" s="446">
        <v>240</v>
      </c>
      <c r="D382" s="446" t="s">
        <v>2498</v>
      </c>
      <c r="E382" s="432">
        <v>9147637.0636859965</v>
      </c>
      <c r="F382" s="447">
        <f t="shared" si="47"/>
        <v>8920939.7988951001</v>
      </c>
      <c r="G382" s="447">
        <f t="shared" si="47"/>
        <v>8707338.0676816013</v>
      </c>
      <c r="H382" s="447">
        <f t="shared" si="47"/>
        <v>8498344.2091391496</v>
      </c>
      <c r="I382" s="447">
        <f t="shared" si="47"/>
        <v>8294366.6291159159</v>
      </c>
      <c r="J382" s="447">
        <f t="shared" si="47"/>
        <v>8095284.9267046275</v>
      </c>
      <c r="K382" s="447">
        <f t="shared" si="47"/>
        <v>7900981.5908651566</v>
      </c>
      <c r="L382" s="448" t="str">
        <f t="shared" si="41"/>
        <v/>
      </c>
      <c r="M382" s="449" t="str">
        <f t="shared" si="42"/>
        <v/>
      </c>
      <c r="N382" s="251">
        <f t="shared" si="43"/>
        <v>7900981.5908651566</v>
      </c>
      <c r="O382" s="251" t="str">
        <f t="shared" si="44"/>
        <v/>
      </c>
      <c r="P382" s="251" t="str">
        <f t="shared" si="45"/>
        <v/>
      </c>
      <c r="Q382" s="450" t="str">
        <f t="shared" si="46"/>
        <v/>
      </c>
    </row>
    <row r="383" spans="1:17">
      <c r="A383" s="428" t="s">
        <v>3743</v>
      </c>
      <c r="B383" s="429"/>
      <c r="C383" s="446">
        <v>240</v>
      </c>
      <c r="D383" s="446" t="s">
        <v>2498</v>
      </c>
      <c r="E383" s="432">
        <v>3220122.1285538943</v>
      </c>
      <c r="F383" s="447">
        <f t="shared" si="47"/>
        <v>3140320.8778315946</v>
      </c>
      <c r="G383" s="447">
        <f t="shared" si="47"/>
        <v>3065129.4752224432</v>
      </c>
      <c r="H383" s="447">
        <f t="shared" si="47"/>
        <v>2991560.1213074299</v>
      </c>
      <c r="I383" s="447">
        <f t="shared" si="47"/>
        <v>2919756.5818153392</v>
      </c>
      <c r="J383" s="447">
        <f t="shared" si="47"/>
        <v>2849676.4736014199</v>
      </c>
      <c r="K383" s="447">
        <f t="shared" si="47"/>
        <v>2781278.4308027695</v>
      </c>
      <c r="L383" s="448" t="str">
        <f t="shared" si="41"/>
        <v/>
      </c>
      <c r="M383" s="449" t="str">
        <f t="shared" si="42"/>
        <v/>
      </c>
      <c r="N383" s="251">
        <f t="shared" si="43"/>
        <v>2781278.4308027695</v>
      </c>
      <c r="O383" s="251" t="str">
        <f t="shared" si="44"/>
        <v/>
      </c>
      <c r="P383" s="251" t="str">
        <f t="shared" si="45"/>
        <v/>
      </c>
      <c r="Q383" s="450" t="str">
        <f t="shared" si="46"/>
        <v/>
      </c>
    </row>
    <row r="384" spans="1:17">
      <c r="A384" s="428" t="s">
        <v>3744</v>
      </c>
      <c r="B384" s="429"/>
      <c r="C384" s="446">
        <v>240</v>
      </c>
      <c r="D384" s="446" t="s">
        <v>2499</v>
      </c>
      <c r="E384" s="432">
        <v>165116.58580066264</v>
      </c>
      <c r="F384" s="447">
        <f t="shared" si="47"/>
        <v>161024.65712968202</v>
      </c>
      <c r="G384" s="447">
        <f t="shared" si="47"/>
        <v>157169.10532613547</v>
      </c>
      <c r="H384" s="447">
        <f t="shared" si="47"/>
        <v>153396.72649916753</v>
      </c>
      <c r="I384" s="447">
        <f t="shared" si="47"/>
        <v>149714.89245187899</v>
      </c>
      <c r="J384" s="447">
        <f t="shared" si="47"/>
        <v>146121.42992503382</v>
      </c>
      <c r="K384" s="447">
        <f t="shared" si="47"/>
        <v>142614.21782204672</v>
      </c>
      <c r="L384" s="448" t="str">
        <f t="shared" si="41"/>
        <v/>
      </c>
      <c r="M384" s="449" t="str">
        <f t="shared" si="42"/>
        <v/>
      </c>
      <c r="N384" s="251" t="str">
        <f t="shared" si="43"/>
        <v/>
      </c>
      <c r="O384" s="251" t="str">
        <f t="shared" si="44"/>
        <v/>
      </c>
      <c r="P384" s="251" t="str">
        <f t="shared" si="45"/>
        <v/>
      </c>
      <c r="Q384" s="450">
        <f t="shared" si="46"/>
        <v>142614.21782204672</v>
      </c>
    </row>
    <row r="385" spans="1:17">
      <c r="A385" s="428" t="s">
        <v>3745</v>
      </c>
      <c r="B385" s="429"/>
      <c r="C385" s="446">
        <v>240</v>
      </c>
      <c r="D385" s="446" t="s">
        <v>2498</v>
      </c>
      <c r="E385" s="432">
        <v>7287040.8086605053</v>
      </c>
      <c r="F385" s="447">
        <f t="shared" si="47"/>
        <v>7106452.9466539491</v>
      </c>
      <c r="G385" s="447">
        <f t="shared" si="47"/>
        <v>6936297.0341142686</v>
      </c>
      <c r="H385" s="447">
        <f t="shared" si="47"/>
        <v>6769811.7696295194</v>
      </c>
      <c r="I385" s="447">
        <f t="shared" si="47"/>
        <v>6607322.4907771954</v>
      </c>
      <c r="J385" s="447">
        <f t="shared" si="47"/>
        <v>6448733.2857585931</v>
      </c>
      <c r="K385" s="447">
        <f t="shared" si="47"/>
        <v>6293950.544853637</v>
      </c>
      <c r="L385" s="448" t="str">
        <f t="shared" si="41"/>
        <v/>
      </c>
      <c r="M385" s="449" t="str">
        <f t="shared" si="42"/>
        <v/>
      </c>
      <c r="N385" s="251">
        <f t="shared" si="43"/>
        <v>6293950.544853637</v>
      </c>
      <c r="O385" s="251" t="str">
        <f t="shared" si="44"/>
        <v/>
      </c>
      <c r="P385" s="251" t="str">
        <f t="shared" si="45"/>
        <v/>
      </c>
      <c r="Q385" s="450" t="str">
        <f t="shared" si="46"/>
        <v/>
      </c>
    </row>
    <row r="386" spans="1:17">
      <c r="A386" s="428" t="s">
        <v>3746</v>
      </c>
      <c r="B386" s="429"/>
      <c r="C386" s="446">
        <v>240</v>
      </c>
      <c r="D386" s="446" t="s">
        <v>2498</v>
      </c>
      <c r="E386" s="432">
        <v>132808825.40993321</v>
      </c>
      <c r="F386" s="447">
        <f t="shared" si="47"/>
        <v>129517549.50437252</v>
      </c>
      <c r="G386" s="447">
        <f t="shared" si="47"/>
        <v>126416399.46633612</v>
      </c>
      <c r="H386" s="447">
        <f t="shared" si="47"/>
        <v>123382148.25176854</v>
      </c>
      <c r="I386" s="447">
        <f t="shared" si="47"/>
        <v>120420725.24993263</v>
      </c>
      <c r="J386" s="447">
        <f t="shared" si="47"/>
        <v>117530382.43530425</v>
      </c>
      <c r="K386" s="447">
        <f t="shared" si="47"/>
        <v>114709413.73853418</v>
      </c>
      <c r="L386" s="448" t="str">
        <f t="shared" si="41"/>
        <v/>
      </c>
      <c r="M386" s="449" t="str">
        <f t="shared" si="42"/>
        <v/>
      </c>
      <c r="N386" s="251">
        <f t="shared" si="43"/>
        <v>114709413.73853418</v>
      </c>
      <c r="O386" s="251" t="str">
        <f t="shared" si="44"/>
        <v/>
      </c>
      <c r="P386" s="251" t="str">
        <f t="shared" si="45"/>
        <v/>
      </c>
      <c r="Q386" s="450" t="str">
        <f t="shared" si="46"/>
        <v/>
      </c>
    </row>
    <row r="387" spans="1:17">
      <c r="A387" s="428" t="s">
        <v>3747</v>
      </c>
      <c r="B387" s="429"/>
      <c r="C387" s="446">
        <v>240</v>
      </c>
      <c r="D387" s="446" t="s">
        <v>2498</v>
      </c>
      <c r="E387" s="432">
        <v>1789860.1654985959</v>
      </c>
      <c r="F387" s="447">
        <f t="shared" si="47"/>
        <v>1745503.7485297294</v>
      </c>
      <c r="G387" s="447">
        <f t="shared" si="47"/>
        <v>1703709.6516149873</v>
      </c>
      <c r="H387" s="447">
        <f t="shared" si="47"/>
        <v>1662817.1479405737</v>
      </c>
      <c r="I387" s="447">
        <f t="shared" si="47"/>
        <v>1622906.1476902778</v>
      </c>
      <c r="J387" s="447">
        <f t="shared" si="47"/>
        <v>1583953.0927816879</v>
      </c>
      <c r="K387" s="447">
        <f t="shared" si="47"/>
        <v>1545934.9905743811</v>
      </c>
      <c r="L387" s="448" t="str">
        <f t="shared" si="41"/>
        <v/>
      </c>
      <c r="M387" s="449" t="str">
        <f t="shared" si="42"/>
        <v/>
      </c>
      <c r="N387" s="251">
        <f t="shared" si="43"/>
        <v>1545934.9905743811</v>
      </c>
      <c r="O387" s="251" t="str">
        <f t="shared" si="44"/>
        <v/>
      </c>
      <c r="P387" s="251" t="str">
        <f t="shared" si="45"/>
        <v/>
      </c>
      <c r="Q387" s="450" t="str">
        <f t="shared" si="46"/>
        <v/>
      </c>
    </row>
    <row r="388" spans="1:17">
      <c r="A388" s="428" t="s">
        <v>3748</v>
      </c>
      <c r="B388" s="429"/>
      <c r="C388" s="446">
        <v>240</v>
      </c>
      <c r="D388" s="446" t="s">
        <v>2498</v>
      </c>
      <c r="E388" s="432">
        <v>17455023.690896135</v>
      </c>
      <c r="F388" s="447">
        <f t="shared" si="47"/>
        <v>17022452.295678142</v>
      </c>
      <c r="G388" s="447">
        <f t="shared" si="47"/>
        <v>16614869.085632674</v>
      </c>
      <c r="H388" s="447">
        <f t="shared" si="47"/>
        <v>16216078.367689572</v>
      </c>
      <c r="I388" s="447">
        <f t="shared" si="47"/>
        <v>15826859.439683419</v>
      </c>
      <c r="J388" s="447">
        <f t="shared" si="47"/>
        <v>15446982.559149118</v>
      </c>
      <c r="K388" s="447">
        <f t="shared" si="47"/>
        <v>15076223.497908939</v>
      </c>
      <c r="L388" s="448" t="str">
        <f t="shared" si="41"/>
        <v/>
      </c>
      <c r="M388" s="449" t="str">
        <f t="shared" si="42"/>
        <v/>
      </c>
      <c r="N388" s="251">
        <f t="shared" si="43"/>
        <v>15076223.497908939</v>
      </c>
      <c r="O388" s="251" t="str">
        <f t="shared" si="44"/>
        <v/>
      </c>
      <c r="P388" s="251" t="str">
        <f t="shared" si="45"/>
        <v/>
      </c>
      <c r="Q388" s="450" t="str">
        <f t="shared" si="46"/>
        <v/>
      </c>
    </row>
    <row r="389" spans="1:17">
      <c r="A389" s="428" t="s">
        <v>3749</v>
      </c>
      <c r="B389" s="429"/>
      <c r="C389" s="446">
        <v>240</v>
      </c>
      <c r="D389" s="446" t="s">
        <v>2498</v>
      </c>
      <c r="E389" s="432">
        <v>136613467.15831047</v>
      </c>
      <c r="F389" s="447">
        <f t="shared" si="47"/>
        <v>133227904.40338512</v>
      </c>
      <c r="G389" s="447">
        <f t="shared" si="47"/>
        <v>130037914.14809451</v>
      </c>
      <c r="H389" s="447">
        <f t="shared" si="47"/>
        <v>126916739.2007827</v>
      </c>
      <c r="I389" s="447">
        <f t="shared" si="47"/>
        <v>123870478.81293263</v>
      </c>
      <c r="J389" s="447">
        <f t="shared" si="47"/>
        <v>120897334.88244681</v>
      </c>
      <c r="K389" s="447">
        <f t="shared" si="47"/>
        <v>117995552.46534252</v>
      </c>
      <c r="L389" s="448" t="str">
        <f t="shared" si="41"/>
        <v/>
      </c>
      <c r="M389" s="449" t="str">
        <f t="shared" si="42"/>
        <v/>
      </c>
      <c r="N389" s="251">
        <f t="shared" si="43"/>
        <v>117995552.46534252</v>
      </c>
      <c r="O389" s="251" t="str">
        <f t="shared" si="44"/>
        <v/>
      </c>
      <c r="P389" s="251" t="str">
        <f t="shared" si="45"/>
        <v/>
      </c>
      <c r="Q389" s="450" t="str">
        <f t="shared" si="46"/>
        <v/>
      </c>
    </row>
    <row r="390" spans="1:17">
      <c r="A390" s="428" t="s">
        <v>3750</v>
      </c>
      <c r="B390" s="429"/>
      <c r="C390" s="446" t="e">
        <v>#N/A</v>
      </c>
      <c r="D390" s="446" t="e">
        <v>#N/A</v>
      </c>
      <c r="E390" s="432">
        <v>344320.24573593424</v>
      </c>
      <c r="F390" s="447">
        <f t="shared" si="47"/>
        <v>335787.28171724442</v>
      </c>
      <c r="G390" s="447">
        <f t="shared" si="47"/>
        <v>327747.2381443507</v>
      </c>
      <c r="H390" s="447">
        <f t="shared" si="47"/>
        <v>319880.63650398771</v>
      </c>
      <c r="I390" s="447">
        <f t="shared" si="47"/>
        <v>312202.84933455219</v>
      </c>
      <c r="J390" s="447">
        <f t="shared" si="47"/>
        <v>304709.34470395179</v>
      </c>
      <c r="K390" s="447">
        <f t="shared" si="47"/>
        <v>297395.69945570006</v>
      </c>
      <c r="L390" s="448">
        <f t="shared" ref="L390:L435" si="48">IF(ISERROR(C390),K390,"")</f>
        <v>297395.69945570006</v>
      </c>
      <c r="M390" s="449" t="str">
        <f t="shared" ref="M390:M435" si="49">IF(ISERROR(C390),"",IF(AND(D390="n",$C390=500),$K390,""))</f>
        <v/>
      </c>
      <c r="N390" s="251" t="str">
        <f t="shared" ref="N390:N435" si="50">IF(ISERROR(C390),"",IF(AND(D390="n",OR($C390=240,$C390=260)),$K390,""))</f>
        <v/>
      </c>
      <c r="O390" s="251" t="str">
        <f t="shared" ref="O390:O435" si="51">IF(ISERROR(C390),"",IF(AND(D390="n",OR($C390=138,$C390=144)),$K390,""))</f>
        <v/>
      </c>
      <c r="P390" s="251" t="str">
        <f t="shared" ref="P390:P435" si="52">IF(ISERROR(C390),"",IF(AND(D390="n",OR($C390=69,$C390=72)),$K390,""))</f>
        <v/>
      </c>
      <c r="Q390" s="450" t="str">
        <f t="shared" ref="Q390:Q435" si="53">IF(ISERROR(D390),"",IF(D390="y",K390,""))</f>
        <v/>
      </c>
    </row>
    <row r="391" spans="1:17">
      <c r="A391" s="428" t="s">
        <v>3751</v>
      </c>
      <c r="B391" s="429"/>
      <c r="C391" s="446">
        <v>240</v>
      </c>
      <c r="D391" s="446" t="s">
        <v>2498</v>
      </c>
      <c r="E391" s="432">
        <v>1206136.7025031496</v>
      </c>
      <c r="F391" s="447">
        <f t="shared" si="47"/>
        <v>1176246.1537726123</v>
      </c>
      <c r="G391" s="447">
        <f t="shared" si="47"/>
        <v>1148082.2808575449</v>
      </c>
      <c r="H391" s="447">
        <f t="shared" si="47"/>
        <v>1120525.9664092506</v>
      </c>
      <c r="I391" s="447">
        <f t="shared" si="47"/>
        <v>1093631.059665469</v>
      </c>
      <c r="J391" s="447">
        <f t="shared" si="47"/>
        <v>1067381.6854933908</v>
      </c>
      <c r="K391" s="447">
        <f t="shared" si="47"/>
        <v>1041762.3497957468</v>
      </c>
      <c r="L391" s="448" t="str">
        <f t="shared" si="48"/>
        <v/>
      </c>
      <c r="M391" s="449" t="str">
        <f t="shared" si="49"/>
        <v/>
      </c>
      <c r="N391" s="251">
        <f t="shared" si="50"/>
        <v>1041762.3497957468</v>
      </c>
      <c r="O391" s="251" t="str">
        <f t="shared" si="51"/>
        <v/>
      </c>
      <c r="P391" s="251" t="str">
        <f t="shared" si="52"/>
        <v/>
      </c>
      <c r="Q391" s="450" t="str">
        <f t="shared" si="53"/>
        <v/>
      </c>
    </row>
    <row r="392" spans="1:17">
      <c r="A392" s="428" t="s">
        <v>3752</v>
      </c>
      <c r="B392" s="429"/>
      <c r="C392" s="446">
        <v>240</v>
      </c>
      <c r="D392" s="446" t="s">
        <v>2498</v>
      </c>
      <c r="E392" s="432">
        <v>50887733.281812675</v>
      </c>
      <c r="F392" s="447">
        <f t="shared" si="47"/>
        <v>49626630.565769061</v>
      </c>
      <c r="G392" s="447">
        <f t="shared" si="47"/>
        <v>48438377.484579802</v>
      </c>
      <c r="H392" s="447">
        <f t="shared" si="47"/>
        <v>47275757.711079553</v>
      </c>
      <c r="I392" s="447">
        <f t="shared" si="47"/>
        <v>46141043.181477368</v>
      </c>
      <c r="J392" s="447">
        <f t="shared" si="47"/>
        <v>45033564.113050848</v>
      </c>
      <c r="K392" s="447">
        <f t="shared" si="47"/>
        <v>43952666.799227901</v>
      </c>
      <c r="L392" s="448" t="str">
        <f t="shared" si="48"/>
        <v/>
      </c>
      <c r="M392" s="449" t="str">
        <f t="shared" si="49"/>
        <v/>
      </c>
      <c r="N392" s="251">
        <f t="shared" si="50"/>
        <v>43952666.799227901</v>
      </c>
      <c r="O392" s="251" t="str">
        <f t="shared" si="51"/>
        <v/>
      </c>
      <c r="P392" s="251" t="str">
        <f t="shared" si="52"/>
        <v/>
      </c>
      <c r="Q392" s="450" t="str">
        <f t="shared" si="53"/>
        <v/>
      </c>
    </row>
    <row r="393" spans="1:17">
      <c r="A393" s="428" t="s">
        <v>3753</v>
      </c>
      <c r="B393" s="429"/>
      <c r="C393" s="446">
        <v>240</v>
      </c>
      <c r="D393" s="446" t="s">
        <v>2498</v>
      </c>
      <c r="E393" s="432">
        <v>6688936.7712872876</v>
      </c>
      <c r="F393" s="447">
        <f t="shared" si="47"/>
        <v>6523171.1577355983</v>
      </c>
      <c r="G393" s="447">
        <f t="shared" si="47"/>
        <v>6366981.2625334291</v>
      </c>
      <c r="H393" s="447">
        <f t="shared" si="47"/>
        <v>6214160.7367905201</v>
      </c>
      <c r="I393" s="447">
        <f t="shared" si="47"/>
        <v>6065008.2151024956</v>
      </c>
      <c r="J393" s="447">
        <f t="shared" si="47"/>
        <v>5919435.6578969117</v>
      </c>
      <c r="K393" s="447">
        <f t="shared" si="47"/>
        <v>5777357.1387304869</v>
      </c>
      <c r="L393" s="448" t="str">
        <f t="shared" si="48"/>
        <v/>
      </c>
      <c r="M393" s="449" t="str">
        <f t="shared" si="49"/>
        <v/>
      </c>
      <c r="N393" s="251">
        <f t="shared" si="50"/>
        <v>5777357.1387304869</v>
      </c>
      <c r="O393" s="251" t="str">
        <f t="shared" si="51"/>
        <v/>
      </c>
      <c r="P393" s="251" t="str">
        <f t="shared" si="52"/>
        <v/>
      </c>
      <c r="Q393" s="450" t="str">
        <f t="shared" si="53"/>
        <v/>
      </c>
    </row>
    <row r="394" spans="1:17">
      <c r="A394" s="428" t="s">
        <v>3754</v>
      </c>
      <c r="B394" s="429"/>
      <c r="C394" s="446">
        <v>240</v>
      </c>
      <c r="D394" s="446" t="s">
        <v>2498</v>
      </c>
      <c r="E394" s="432">
        <v>2904006.8410976753</v>
      </c>
      <c r="F394" s="447">
        <f t="shared" si="47"/>
        <v>2832039.5775051662</v>
      </c>
      <c r="G394" s="447">
        <f t="shared" si="47"/>
        <v>2764229.619108723</v>
      </c>
      <c r="H394" s="447">
        <f t="shared" si="47"/>
        <v>2697882.4749523369</v>
      </c>
      <c r="I394" s="447">
        <f t="shared" si="47"/>
        <v>2633127.7974663312</v>
      </c>
      <c r="J394" s="447">
        <f t="shared" si="47"/>
        <v>2569927.3642052854</v>
      </c>
      <c r="K394" s="447">
        <f t="shared" si="47"/>
        <v>2508243.8701403653</v>
      </c>
      <c r="L394" s="448" t="str">
        <f t="shared" si="48"/>
        <v/>
      </c>
      <c r="M394" s="449" t="str">
        <f t="shared" si="49"/>
        <v/>
      </c>
      <c r="N394" s="251">
        <f t="shared" si="50"/>
        <v>2508243.8701403653</v>
      </c>
      <c r="O394" s="251" t="str">
        <f t="shared" si="51"/>
        <v/>
      </c>
      <c r="P394" s="251" t="str">
        <f t="shared" si="52"/>
        <v/>
      </c>
      <c r="Q394" s="450" t="str">
        <f t="shared" si="53"/>
        <v/>
      </c>
    </row>
    <row r="395" spans="1:17">
      <c r="A395" s="428" t="s">
        <v>3755</v>
      </c>
      <c r="B395" s="429"/>
      <c r="C395" s="446">
        <v>240</v>
      </c>
      <c r="D395" s="446" t="s">
        <v>2498</v>
      </c>
      <c r="E395" s="432">
        <v>2563971.0155523191</v>
      </c>
      <c r="F395" s="447">
        <f t="shared" si="47"/>
        <v>2500430.5392323458</v>
      </c>
      <c r="G395" s="447">
        <f t="shared" si="47"/>
        <v>2440560.5811338415</v>
      </c>
      <c r="H395" s="447">
        <f t="shared" si="47"/>
        <v>2381982.1535026771</v>
      </c>
      <c r="I395" s="447">
        <f t="shared" si="47"/>
        <v>2324809.7275132118</v>
      </c>
      <c r="J395" s="447">
        <f t="shared" si="47"/>
        <v>2269009.5562607162</v>
      </c>
      <c r="K395" s="447">
        <f t="shared" si="47"/>
        <v>2214548.702834948</v>
      </c>
      <c r="L395" s="448" t="str">
        <f t="shared" si="48"/>
        <v/>
      </c>
      <c r="M395" s="449" t="str">
        <f t="shared" si="49"/>
        <v/>
      </c>
      <c r="N395" s="251">
        <f t="shared" si="50"/>
        <v>2214548.702834948</v>
      </c>
      <c r="O395" s="251" t="str">
        <f t="shared" si="51"/>
        <v/>
      </c>
      <c r="P395" s="251" t="str">
        <f t="shared" si="52"/>
        <v/>
      </c>
      <c r="Q395" s="450" t="str">
        <f t="shared" si="53"/>
        <v/>
      </c>
    </row>
    <row r="396" spans="1:17">
      <c r="A396" s="428" t="s">
        <v>3756</v>
      </c>
      <c r="B396" s="429"/>
      <c r="C396" s="446">
        <v>240</v>
      </c>
      <c r="D396" s="446" t="s">
        <v>2499</v>
      </c>
      <c r="E396" s="432">
        <v>11771305.826522913</v>
      </c>
      <c r="F396" s="447">
        <f t="shared" si="47"/>
        <v>11479588.652425209</v>
      </c>
      <c r="G396" s="447">
        <f t="shared" si="47"/>
        <v>11204722.991961885</v>
      </c>
      <c r="H396" s="447">
        <f t="shared" si="47"/>
        <v>10935786.8057489</v>
      </c>
      <c r="I396" s="447">
        <f t="shared" si="47"/>
        <v>10673305.636077305</v>
      </c>
      <c r="J396" s="447">
        <f t="shared" si="47"/>
        <v>10417124.549395252</v>
      </c>
      <c r="K396" s="447">
        <f t="shared" si="47"/>
        <v>10167092.330871884</v>
      </c>
      <c r="L396" s="448" t="str">
        <f t="shared" si="48"/>
        <v/>
      </c>
      <c r="M396" s="449" t="str">
        <f t="shared" si="49"/>
        <v/>
      </c>
      <c r="N396" s="251" t="str">
        <f t="shared" si="50"/>
        <v/>
      </c>
      <c r="O396" s="251" t="str">
        <f t="shared" si="51"/>
        <v/>
      </c>
      <c r="P396" s="251" t="str">
        <f t="shared" si="52"/>
        <v/>
      </c>
      <c r="Q396" s="450">
        <f t="shared" si="53"/>
        <v>10167092.330871884</v>
      </c>
    </row>
    <row r="397" spans="1:17">
      <c r="A397" s="428" t="s">
        <v>3757</v>
      </c>
      <c r="B397" s="429"/>
      <c r="C397" s="446">
        <v>240</v>
      </c>
      <c r="D397" s="446" t="s">
        <v>2498</v>
      </c>
      <c r="E397" s="432">
        <v>5934429.1234462187</v>
      </c>
      <c r="F397" s="447">
        <f t="shared" si="47"/>
        <v>5787361.7615674548</v>
      </c>
      <c r="G397" s="447">
        <f t="shared" si="47"/>
        <v>5648789.9833358927</v>
      </c>
      <c r="H397" s="447">
        <f t="shared" si="47"/>
        <v>5513207.5119150206</v>
      </c>
      <c r="I397" s="447">
        <f t="shared" si="47"/>
        <v>5380879.2961154087</v>
      </c>
      <c r="J397" s="447">
        <f t="shared" si="47"/>
        <v>5251727.2271702131</v>
      </c>
      <c r="K397" s="447">
        <f t="shared" si="47"/>
        <v>5125675.0710821711</v>
      </c>
      <c r="L397" s="448" t="str">
        <f t="shared" si="48"/>
        <v/>
      </c>
      <c r="M397" s="449" t="str">
        <f t="shared" si="49"/>
        <v/>
      </c>
      <c r="N397" s="251">
        <f t="shared" si="50"/>
        <v>5125675.0710821711</v>
      </c>
      <c r="O397" s="251" t="str">
        <f t="shared" si="51"/>
        <v/>
      </c>
      <c r="P397" s="251" t="str">
        <f t="shared" si="52"/>
        <v/>
      </c>
      <c r="Q397" s="450" t="str">
        <f t="shared" si="53"/>
        <v/>
      </c>
    </row>
    <row r="398" spans="1:17">
      <c r="A398" s="428" t="s">
        <v>3758</v>
      </c>
      <c r="B398" s="429"/>
      <c r="C398" s="446">
        <v>240</v>
      </c>
      <c r="D398" s="446" t="s">
        <v>2498</v>
      </c>
      <c r="E398" s="432">
        <v>10830163.93</v>
      </c>
      <c r="F398" s="447">
        <f t="shared" si="47"/>
        <v>10561770.188198144</v>
      </c>
      <c r="G398" s="447">
        <f t="shared" si="47"/>
        <v>10308880.6443008</v>
      </c>
      <c r="H398" s="447">
        <f t="shared" si="47"/>
        <v>10061446.50009286</v>
      </c>
      <c r="I398" s="447">
        <f t="shared" si="47"/>
        <v>9819951.2795985993</v>
      </c>
      <c r="J398" s="447">
        <f t="shared" si="47"/>
        <v>9584252.4365457967</v>
      </c>
      <c r="K398" s="447">
        <f t="shared" si="47"/>
        <v>9354210.8460632619</v>
      </c>
      <c r="L398" s="448" t="str">
        <f t="shared" si="48"/>
        <v/>
      </c>
      <c r="M398" s="449" t="str">
        <f t="shared" si="49"/>
        <v/>
      </c>
      <c r="N398" s="251">
        <f t="shared" si="50"/>
        <v>9354210.8460632619</v>
      </c>
      <c r="O398" s="251" t="str">
        <f t="shared" si="51"/>
        <v/>
      </c>
      <c r="P398" s="251" t="str">
        <f t="shared" si="52"/>
        <v/>
      </c>
      <c r="Q398" s="450" t="str">
        <f t="shared" si="53"/>
        <v/>
      </c>
    </row>
    <row r="399" spans="1:17">
      <c r="A399" s="428" t="s">
        <v>3759</v>
      </c>
      <c r="B399" s="429"/>
      <c r="C399" s="446">
        <v>240</v>
      </c>
      <c r="D399" s="446" t="s">
        <v>2498</v>
      </c>
      <c r="E399" s="432">
        <v>112071349.30175388</v>
      </c>
      <c r="F399" s="447">
        <f t="shared" si="47"/>
        <v>109293990.71491294</v>
      </c>
      <c r="G399" s="447">
        <f t="shared" si="47"/>
        <v>106677070.73179312</v>
      </c>
      <c r="H399" s="447">
        <f t="shared" si="47"/>
        <v>104116603.63416272</v>
      </c>
      <c r="I399" s="447">
        <f t="shared" si="47"/>
        <v>101617592.96492012</v>
      </c>
      <c r="J399" s="447">
        <f t="shared" si="47"/>
        <v>99178563.644540295</v>
      </c>
      <c r="K399" s="447">
        <f t="shared" si="47"/>
        <v>96798075.998412937</v>
      </c>
      <c r="L399" s="448" t="str">
        <f t="shared" si="48"/>
        <v/>
      </c>
      <c r="M399" s="449" t="str">
        <f t="shared" si="49"/>
        <v/>
      </c>
      <c r="N399" s="251">
        <f t="shared" si="50"/>
        <v>96798075.998412937</v>
      </c>
      <c r="O399" s="251" t="str">
        <f t="shared" si="51"/>
        <v/>
      </c>
      <c r="P399" s="251" t="str">
        <f t="shared" si="52"/>
        <v/>
      </c>
      <c r="Q399" s="450" t="str">
        <f t="shared" si="53"/>
        <v/>
      </c>
    </row>
    <row r="400" spans="1:17">
      <c r="A400" s="428" t="s">
        <v>3760</v>
      </c>
      <c r="B400" s="429"/>
      <c r="C400" s="446" t="e">
        <v>#N/A</v>
      </c>
      <c r="D400" s="446" t="e">
        <v>#N/A</v>
      </c>
      <c r="E400" s="432">
        <v>499724.16181782744</v>
      </c>
      <c r="F400" s="447">
        <f t="shared" si="47"/>
        <v>487339.96906451578</v>
      </c>
      <c r="G400" s="447">
        <f t="shared" si="47"/>
        <v>475671.16920392192</v>
      </c>
      <c r="H400" s="447">
        <f t="shared" si="47"/>
        <v>464254.09175997745</v>
      </c>
      <c r="I400" s="447">
        <f t="shared" si="47"/>
        <v>453111.04744185641</v>
      </c>
      <c r="J400" s="447">
        <f t="shared" si="47"/>
        <v>442235.45889607957</v>
      </c>
      <c r="K400" s="447">
        <f t="shared" si="47"/>
        <v>431620.90663905529</v>
      </c>
      <c r="L400" s="448">
        <f t="shared" si="48"/>
        <v>431620.90663905529</v>
      </c>
      <c r="M400" s="449" t="str">
        <f t="shared" si="49"/>
        <v/>
      </c>
      <c r="N400" s="251" t="str">
        <f t="shared" si="50"/>
        <v/>
      </c>
      <c r="O400" s="251" t="str">
        <f t="shared" si="51"/>
        <v/>
      </c>
      <c r="P400" s="251" t="str">
        <f t="shared" si="52"/>
        <v/>
      </c>
      <c r="Q400" s="450" t="str">
        <f t="shared" si="53"/>
        <v/>
      </c>
    </row>
    <row r="401" spans="1:37">
      <c r="A401" s="428" t="s">
        <v>3761</v>
      </c>
      <c r="B401" s="429"/>
      <c r="C401" s="446" t="e">
        <v>#N/A</v>
      </c>
      <c r="D401" s="446" t="e">
        <v>#N/A</v>
      </c>
      <c r="E401" s="432">
        <v>19556706.617435306</v>
      </c>
      <c r="F401" s="447">
        <f t="shared" si="47"/>
        <v>19072051.195753746</v>
      </c>
      <c r="G401" s="447">
        <f t="shared" si="47"/>
        <v>18615392.677140038</v>
      </c>
      <c r="H401" s="447">
        <f t="shared" si="47"/>
        <v>18168585.316080008</v>
      </c>
      <c r="I401" s="447">
        <f t="shared" si="47"/>
        <v>17732502.242246136</v>
      </c>
      <c r="J401" s="447">
        <f t="shared" si="47"/>
        <v>17306886.050889686</v>
      </c>
      <c r="K401" s="447">
        <f t="shared" si="47"/>
        <v>16891485.515500456</v>
      </c>
      <c r="L401" s="448">
        <f t="shared" si="48"/>
        <v>16891485.515500456</v>
      </c>
      <c r="M401" s="449" t="str">
        <f t="shared" si="49"/>
        <v/>
      </c>
      <c r="N401" s="251" t="str">
        <f t="shared" si="50"/>
        <v/>
      </c>
      <c r="O401" s="251" t="str">
        <f t="shared" si="51"/>
        <v/>
      </c>
      <c r="P401" s="251" t="str">
        <f t="shared" si="52"/>
        <v/>
      </c>
      <c r="Q401" s="450" t="str">
        <f t="shared" si="53"/>
        <v/>
      </c>
    </row>
    <row r="402" spans="1:37">
      <c r="A402" s="428" t="s">
        <v>3762</v>
      </c>
      <c r="B402" s="429"/>
      <c r="C402" s="446">
        <v>240</v>
      </c>
      <c r="D402" s="446" t="s">
        <v>2498</v>
      </c>
      <c r="E402" s="432">
        <v>6457714.4271556325</v>
      </c>
      <c r="F402" s="447">
        <f t="shared" si="47"/>
        <v>6297678.9789579306</v>
      </c>
      <c r="G402" s="447">
        <f t="shared" si="47"/>
        <v>6146888.2368548531</v>
      </c>
      <c r="H402" s="447">
        <f t="shared" si="47"/>
        <v>5999350.3922617175</v>
      </c>
      <c r="I402" s="447">
        <f t="shared" si="47"/>
        <v>5855353.7566101542</v>
      </c>
      <c r="J402" s="447">
        <f t="shared" si="47"/>
        <v>5714813.3336688392</v>
      </c>
      <c r="K402" s="447">
        <f t="shared" si="47"/>
        <v>5577646.167289217</v>
      </c>
      <c r="L402" s="448" t="str">
        <f t="shared" si="48"/>
        <v/>
      </c>
      <c r="M402" s="449" t="str">
        <f t="shared" si="49"/>
        <v/>
      </c>
      <c r="N402" s="251">
        <f t="shared" si="50"/>
        <v>5577646.167289217</v>
      </c>
      <c r="O402" s="251" t="str">
        <f t="shared" si="51"/>
        <v/>
      </c>
      <c r="P402" s="251" t="str">
        <f t="shared" si="52"/>
        <v/>
      </c>
      <c r="Q402" s="450" t="str">
        <f t="shared" si="53"/>
        <v/>
      </c>
    </row>
    <row r="403" spans="1:37">
      <c r="A403" s="428" t="s">
        <v>3763</v>
      </c>
      <c r="B403" s="429"/>
      <c r="C403" s="446">
        <v>240</v>
      </c>
      <c r="D403" s="446" t="s">
        <v>2498</v>
      </c>
      <c r="E403" s="432">
        <v>8162622.4061300503</v>
      </c>
      <c r="F403" s="447">
        <f t="shared" si="47"/>
        <v>7960335.8309076456</v>
      </c>
      <c r="G403" s="447">
        <f t="shared" si="47"/>
        <v>7769734.6663606875</v>
      </c>
      <c r="H403" s="447">
        <f t="shared" si="47"/>
        <v>7583245.2002170896</v>
      </c>
      <c r="I403" s="447">
        <f t="shared" si="47"/>
        <v>7401231.8613128308</v>
      </c>
      <c r="J403" s="447">
        <f t="shared" si="47"/>
        <v>7223587.2134721456</v>
      </c>
      <c r="K403" s="447">
        <f t="shared" si="47"/>
        <v>7050206.3992064353</v>
      </c>
      <c r="L403" s="448" t="str">
        <f t="shared" si="48"/>
        <v/>
      </c>
      <c r="M403" s="449" t="str">
        <f t="shared" si="49"/>
        <v/>
      </c>
      <c r="N403" s="251">
        <f t="shared" si="50"/>
        <v>7050206.3992064353</v>
      </c>
      <c r="O403" s="251" t="str">
        <f t="shared" si="51"/>
        <v/>
      </c>
      <c r="P403" s="251" t="str">
        <f t="shared" si="52"/>
        <v/>
      </c>
      <c r="Q403" s="450" t="str">
        <f t="shared" si="53"/>
        <v/>
      </c>
    </row>
    <row r="404" spans="1:37">
      <c r="A404" s="428" t="s">
        <v>3764</v>
      </c>
      <c r="B404" s="429"/>
      <c r="C404" s="446">
        <v>240</v>
      </c>
      <c r="D404" s="446" t="s">
        <v>2498</v>
      </c>
      <c r="E404" s="432">
        <v>837858.98146187572</v>
      </c>
      <c r="F404" s="447">
        <f t="shared" si="47"/>
        <v>817095.11227297736</v>
      </c>
      <c r="G404" s="447">
        <f t="shared" si="47"/>
        <v>797530.7015178221</v>
      </c>
      <c r="H404" s="447">
        <f t="shared" si="47"/>
        <v>778388.33937215921</v>
      </c>
      <c r="I404" s="447">
        <f t="shared" si="47"/>
        <v>759705.43292872631</v>
      </c>
      <c r="J404" s="447">
        <f t="shared" si="47"/>
        <v>741470.95431433246</v>
      </c>
      <c r="K404" s="447">
        <f t="shared" si="47"/>
        <v>723674.14034721779</v>
      </c>
      <c r="L404" s="448" t="str">
        <f t="shared" si="48"/>
        <v/>
      </c>
      <c r="M404" s="449" t="str">
        <f t="shared" si="49"/>
        <v/>
      </c>
      <c r="N404" s="251">
        <f t="shared" si="50"/>
        <v>723674.14034721779</v>
      </c>
      <c r="O404" s="251" t="str">
        <f t="shared" si="51"/>
        <v/>
      </c>
      <c r="P404" s="251" t="str">
        <f t="shared" si="52"/>
        <v/>
      </c>
      <c r="Q404" s="450" t="str">
        <f t="shared" si="53"/>
        <v/>
      </c>
    </row>
    <row r="405" spans="1:37">
      <c r="A405" s="428" t="s">
        <v>3765</v>
      </c>
      <c r="B405" s="429"/>
      <c r="C405" s="446">
        <v>240</v>
      </c>
      <c r="D405" s="446" t="s">
        <v>2498</v>
      </c>
      <c r="E405" s="432">
        <v>3577558.5271050846</v>
      </c>
      <c r="F405" s="447">
        <f t="shared" si="47"/>
        <v>3488899.2671150216</v>
      </c>
      <c r="G405" s="447">
        <f t="shared" si="47"/>
        <v>3405361.5524476077</v>
      </c>
      <c r="H405" s="447">
        <f t="shared" si="47"/>
        <v>3323625.9353111032</v>
      </c>
      <c r="I405" s="447">
        <f t="shared" si="47"/>
        <v>3243852.1395570841</v>
      </c>
      <c r="J405" s="447">
        <f t="shared" si="47"/>
        <v>3165993.0774743222</v>
      </c>
      <c r="K405" s="447">
        <f t="shared" si="47"/>
        <v>3090002.79155262</v>
      </c>
      <c r="L405" s="448" t="str">
        <f t="shared" si="48"/>
        <v/>
      </c>
      <c r="M405" s="449" t="str">
        <f t="shared" si="49"/>
        <v/>
      </c>
      <c r="N405" s="251">
        <f t="shared" si="50"/>
        <v>3090002.79155262</v>
      </c>
      <c r="O405" s="251" t="str">
        <f t="shared" si="51"/>
        <v/>
      </c>
      <c r="P405" s="251" t="str">
        <f t="shared" si="52"/>
        <v/>
      </c>
      <c r="Q405" s="450" t="str">
        <f t="shared" si="53"/>
        <v/>
      </c>
    </row>
    <row r="406" spans="1:37">
      <c r="A406" s="428" t="s">
        <v>3766</v>
      </c>
      <c r="B406" s="429"/>
      <c r="C406" s="446">
        <v>240</v>
      </c>
      <c r="D406" s="446" t="s">
        <v>2498</v>
      </c>
      <c r="E406" s="432">
        <v>10227084.224048702</v>
      </c>
      <c r="F406" s="447">
        <f t="shared" si="47"/>
        <v>9973636.0380049329</v>
      </c>
      <c r="G406" s="447">
        <f t="shared" si="47"/>
        <v>9734828.6957028285</v>
      </c>
      <c r="H406" s="447">
        <f t="shared" si="47"/>
        <v>9501172.9681371246</v>
      </c>
      <c r="I406" s="447">
        <f t="shared" si="47"/>
        <v>9273125.4542062785</v>
      </c>
      <c r="J406" s="447">
        <f t="shared" si="47"/>
        <v>9050551.5453539267</v>
      </c>
      <c r="K406" s="447">
        <f t="shared" si="47"/>
        <v>8833319.8639033753</v>
      </c>
      <c r="L406" s="448" t="str">
        <f t="shared" si="48"/>
        <v/>
      </c>
      <c r="M406" s="449" t="str">
        <f t="shared" si="49"/>
        <v/>
      </c>
      <c r="N406" s="251">
        <f t="shared" si="50"/>
        <v>8833319.8639033753</v>
      </c>
      <c r="O406" s="251" t="str">
        <f t="shared" si="51"/>
        <v/>
      </c>
      <c r="P406" s="251" t="str">
        <f t="shared" si="52"/>
        <v/>
      </c>
      <c r="Q406" s="450" t="str">
        <f t="shared" si="53"/>
        <v/>
      </c>
    </row>
    <row r="407" spans="1:37">
      <c r="A407" s="428" t="s">
        <v>3767</v>
      </c>
      <c r="B407" s="429"/>
      <c r="C407" s="446">
        <v>240</v>
      </c>
      <c r="D407" s="446" t="s">
        <v>2498</v>
      </c>
      <c r="E407" s="432">
        <v>80207880.748437688</v>
      </c>
      <c r="F407" s="447">
        <f t="shared" si="47"/>
        <v>78220164.461296469</v>
      </c>
      <c r="G407" s="447">
        <f t="shared" si="47"/>
        <v>76347271.81529893</v>
      </c>
      <c r="H407" s="447">
        <f t="shared" si="47"/>
        <v>74514781.701576129</v>
      </c>
      <c r="I407" s="447">
        <f t="shared" ref="F407:K435" si="54">+$E407*(I$3)</f>
        <v>72726275.085063517</v>
      </c>
      <c r="J407" s="447">
        <f t="shared" si="54"/>
        <v>70980696.272192866</v>
      </c>
      <c r="K407" s="447">
        <f t="shared" si="54"/>
        <v>69277014.908193037</v>
      </c>
      <c r="L407" s="448" t="str">
        <f t="shared" si="48"/>
        <v/>
      </c>
      <c r="M407" s="449" t="str">
        <f t="shared" si="49"/>
        <v/>
      </c>
      <c r="N407" s="251">
        <f t="shared" si="50"/>
        <v>69277014.908193037</v>
      </c>
      <c r="O407" s="251" t="str">
        <f t="shared" si="51"/>
        <v/>
      </c>
      <c r="P407" s="251" t="str">
        <f t="shared" si="52"/>
        <v/>
      </c>
      <c r="Q407" s="450" t="str">
        <f t="shared" si="53"/>
        <v/>
      </c>
    </row>
    <row r="408" spans="1:37">
      <c r="A408" s="428" t="s">
        <v>3768</v>
      </c>
      <c r="B408" s="429"/>
      <c r="C408" s="446">
        <v>240</v>
      </c>
      <c r="D408" s="446" t="s">
        <v>2498</v>
      </c>
      <c r="E408" s="432">
        <v>10662007.67202753</v>
      </c>
      <c r="F408" s="447">
        <f t="shared" si="54"/>
        <v>10397781.18822623</v>
      </c>
      <c r="G408" s="447">
        <f t="shared" si="54"/>
        <v>10148818.173941642</v>
      </c>
      <c r="H408" s="447">
        <f t="shared" si="54"/>
        <v>9905225.8552179281</v>
      </c>
      <c r="I408" s="447">
        <f t="shared" si="54"/>
        <v>9667480.2485669143</v>
      </c>
      <c r="J408" s="447">
        <f t="shared" si="54"/>
        <v>9435441.0209836811</v>
      </c>
      <c r="K408" s="447">
        <f t="shared" si="54"/>
        <v>9208971.207741417</v>
      </c>
      <c r="L408" s="448" t="str">
        <f t="shared" si="48"/>
        <v/>
      </c>
      <c r="M408" s="449" t="str">
        <f t="shared" si="49"/>
        <v/>
      </c>
      <c r="N408" s="251">
        <f t="shared" si="50"/>
        <v>9208971.207741417</v>
      </c>
      <c r="O408" s="251" t="str">
        <f t="shared" si="51"/>
        <v/>
      </c>
      <c r="P408" s="251" t="str">
        <f t="shared" si="52"/>
        <v/>
      </c>
      <c r="Q408" s="450" t="str">
        <f t="shared" si="53"/>
        <v/>
      </c>
    </row>
    <row r="409" spans="1:37">
      <c r="A409" s="428" t="s">
        <v>3769</v>
      </c>
      <c r="B409" s="429"/>
      <c r="C409" s="446" t="e">
        <v>#N/A</v>
      </c>
      <c r="D409" s="446" t="e">
        <v>#N/A</v>
      </c>
      <c r="E409" s="432">
        <v>6.4521540725370201E-13</v>
      </c>
      <c r="F409" s="447">
        <f t="shared" si="54"/>
        <v>6.2922564213654276E-13</v>
      </c>
      <c r="G409" s="447">
        <f t="shared" si="54"/>
        <v>6.1415955162207283E-13</v>
      </c>
      <c r="H409" s="447">
        <f t="shared" si="54"/>
        <v>5.9941847077089898E-13</v>
      </c>
      <c r="I409" s="447">
        <f t="shared" si="54"/>
        <v>5.8503120590139787E-13</v>
      </c>
      <c r="J409" s="447">
        <f t="shared" si="54"/>
        <v>5.7098926470895831E-13</v>
      </c>
      <c r="K409" s="447">
        <f t="shared" si="54"/>
        <v>5.572843587215862E-13</v>
      </c>
      <c r="L409" s="448">
        <f t="shared" si="48"/>
        <v>5.572843587215862E-13</v>
      </c>
      <c r="M409" s="449" t="str">
        <f t="shared" si="49"/>
        <v/>
      </c>
      <c r="N409" s="251" t="str">
        <f t="shared" si="50"/>
        <v/>
      </c>
      <c r="O409" s="251" t="str">
        <f t="shared" si="51"/>
        <v/>
      </c>
      <c r="P409" s="251" t="str">
        <f t="shared" si="52"/>
        <v/>
      </c>
      <c r="Q409" s="450" t="str">
        <f t="shared" si="53"/>
        <v/>
      </c>
    </row>
    <row r="410" spans="1:37" s="786" customFormat="1">
      <c r="A410" s="428" t="s">
        <v>3770</v>
      </c>
      <c r="B410" s="429"/>
      <c r="C410" s="446">
        <v>240</v>
      </c>
      <c r="D410" s="446" t="s">
        <v>2499</v>
      </c>
      <c r="E410" s="432">
        <v>18045100.512122627</v>
      </c>
      <c r="F410" s="447">
        <f t="shared" si="54"/>
        <v>17597905.799379326</v>
      </c>
      <c r="G410" s="447">
        <f t="shared" si="54"/>
        <v>17176544.01135952</v>
      </c>
      <c r="H410" s="447">
        <f t="shared" si="54"/>
        <v>16764271.950546559</v>
      </c>
      <c r="I410" s="447">
        <f t="shared" si="54"/>
        <v>16361895.259373413</v>
      </c>
      <c r="J410" s="447">
        <f t="shared" si="54"/>
        <v>15969176.428802688</v>
      </c>
      <c r="K410" s="447">
        <f t="shared" si="54"/>
        <v>15585883.650497911</v>
      </c>
      <c r="L410" s="448" t="str">
        <f t="shared" si="48"/>
        <v/>
      </c>
      <c r="M410" s="449" t="str">
        <f t="shared" si="49"/>
        <v/>
      </c>
      <c r="N410" s="251" t="str">
        <f t="shared" si="50"/>
        <v/>
      </c>
      <c r="O410" s="251" t="str">
        <f t="shared" si="51"/>
        <v/>
      </c>
      <c r="P410" s="251" t="str">
        <f t="shared" si="52"/>
        <v/>
      </c>
      <c r="Q410" s="450">
        <f t="shared" si="53"/>
        <v>15585883.650497911</v>
      </c>
      <c r="R410" s="4"/>
      <c r="S410" s="4"/>
      <c r="T410" s="4"/>
      <c r="U410" s="4"/>
      <c r="V410" s="4"/>
      <c r="W410" s="4"/>
      <c r="X410" s="4"/>
      <c r="Y410" s="4"/>
      <c r="Z410" s="4"/>
      <c r="AA410" s="4"/>
      <c r="AB410" s="4"/>
      <c r="AC410" s="4"/>
      <c r="AD410" s="4"/>
      <c r="AE410" s="4"/>
      <c r="AF410" s="4"/>
      <c r="AG410" s="4"/>
      <c r="AH410" s="4"/>
      <c r="AI410" s="4"/>
      <c r="AJ410" s="4"/>
      <c r="AK410" s="4"/>
    </row>
    <row r="411" spans="1:37">
      <c r="A411" s="428" t="s">
        <v>3771</v>
      </c>
      <c r="B411" s="429"/>
      <c r="C411" s="446">
        <v>240</v>
      </c>
      <c r="D411" s="446" t="s">
        <v>2498</v>
      </c>
      <c r="E411" s="432">
        <v>33404.713987092371</v>
      </c>
      <c r="F411" s="447">
        <f t="shared" si="54"/>
        <v>32576.876454921559</v>
      </c>
      <c r="G411" s="447">
        <f t="shared" si="54"/>
        <v>31796.860294610586</v>
      </c>
      <c r="H411" s="447">
        <f t="shared" si="54"/>
        <v>31033.6708478644</v>
      </c>
      <c r="I411" s="447">
        <f t="shared" si="54"/>
        <v>30288.799503164395</v>
      </c>
      <c r="J411" s="447">
        <f t="shared" si="54"/>
        <v>29561.806588730509</v>
      </c>
      <c r="K411" s="447">
        <f t="shared" si="54"/>
        <v>28852.262985801419</v>
      </c>
      <c r="L411" s="448" t="str">
        <f t="shared" si="48"/>
        <v/>
      </c>
      <c r="M411" s="449" t="str">
        <f t="shared" si="49"/>
        <v/>
      </c>
      <c r="N411" s="251">
        <f t="shared" si="50"/>
        <v>28852.262985801419</v>
      </c>
      <c r="O411" s="251" t="str">
        <f t="shared" si="51"/>
        <v/>
      </c>
      <c r="P411" s="251" t="str">
        <f t="shared" si="52"/>
        <v/>
      </c>
      <c r="Q411" s="450" t="str">
        <f t="shared" si="53"/>
        <v/>
      </c>
    </row>
    <row r="412" spans="1:37">
      <c r="A412" s="428" t="s">
        <v>3772</v>
      </c>
      <c r="B412" s="429"/>
      <c r="C412" s="446">
        <v>240</v>
      </c>
      <c r="D412" s="446" t="s">
        <v>2498</v>
      </c>
      <c r="E412" s="432">
        <v>29265.318585340228</v>
      </c>
      <c r="F412" s="447">
        <f t="shared" si="54"/>
        <v>28540.063786713843</v>
      </c>
      <c r="G412" s="447">
        <f t="shared" si="54"/>
        <v>27856.704502690787</v>
      </c>
      <c r="H412" s="447">
        <f t="shared" si="54"/>
        <v>27188.086824699982</v>
      </c>
      <c r="I412" s="447">
        <f t="shared" si="54"/>
        <v>26535.51733357488</v>
      </c>
      <c r="J412" s="447">
        <f t="shared" si="54"/>
        <v>25898.610840125672</v>
      </c>
      <c r="K412" s="447">
        <f t="shared" si="54"/>
        <v>25276.991400488092</v>
      </c>
      <c r="L412" s="448" t="str">
        <f t="shared" si="48"/>
        <v/>
      </c>
      <c r="M412" s="449" t="str">
        <f t="shared" si="49"/>
        <v/>
      </c>
      <c r="N412" s="251">
        <f t="shared" si="50"/>
        <v>25276.991400488092</v>
      </c>
      <c r="O412" s="251" t="str">
        <f t="shared" si="51"/>
        <v/>
      </c>
      <c r="P412" s="251" t="str">
        <f t="shared" si="52"/>
        <v/>
      </c>
      <c r="Q412" s="450" t="str">
        <f t="shared" si="53"/>
        <v/>
      </c>
    </row>
    <row r="413" spans="1:37">
      <c r="A413" s="428" t="s">
        <v>3773</v>
      </c>
      <c r="B413" s="429"/>
      <c r="C413" s="446">
        <v>240</v>
      </c>
      <c r="D413" s="446" t="s">
        <v>2498</v>
      </c>
      <c r="E413" s="432">
        <v>215984560.28103906</v>
      </c>
      <c r="F413" s="447">
        <f t="shared" si="54"/>
        <v>210632018.55776188</v>
      </c>
      <c r="G413" s="447">
        <f t="shared" si="54"/>
        <v>205588675.05055603</v>
      </c>
      <c r="H413" s="447">
        <f t="shared" si="54"/>
        <v>200654127.87466052</v>
      </c>
      <c r="I413" s="447">
        <f t="shared" si="54"/>
        <v>195838019.88723272</v>
      </c>
      <c r="J413" s="447">
        <f t="shared" si="54"/>
        <v>191137508.30637899</v>
      </c>
      <c r="K413" s="447">
        <f t="shared" si="54"/>
        <v>186549818.58276451</v>
      </c>
      <c r="L413" s="448" t="str">
        <f t="shared" si="48"/>
        <v/>
      </c>
      <c r="M413" s="449" t="str">
        <f t="shared" si="49"/>
        <v/>
      </c>
      <c r="N413" s="251">
        <f t="shared" si="50"/>
        <v>186549818.58276451</v>
      </c>
      <c r="O413" s="251" t="str">
        <f t="shared" si="51"/>
        <v/>
      </c>
      <c r="P413" s="251" t="str">
        <f t="shared" si="52"/>
        <v/>
      </c>
      <c r="Q413" s="450" t="str">
        <f t="shared" si="53"/>
        <v/>
      </c>
    </row>
    <row r="414" spans="1:37">
      <c r="A414" s="428" t="s">
        <v>3774</v>
      </c>
      <c r="B414" s="429"/>
      <c r="C414" s="446" t="e">
        <v>#N/A</v>
      </c>
      <c r="D414" s="446" t="e">
        <v>#N/A</v>
      </c>
      <c r="E414" s="432">
        <v>2052673.456901297</v>
      </c>
      <c r="F414" s="447">
        <f t="shared" si="54"/>
        <v>2001803.9859167438</v>
      </c>
      <c r="G414" s="447">
        <f t="shared" si="54"/>
        <v>1953873.0720689832</v>
      </c>
      <c r="H414" s="447">
        <f t="shared" si="54"/>
        <v>1906976.1364889208</v>
      </c>
      <c r="I414" s="447">
        <f t="shared" si="54"/>
        <v>1861204.8229353046</v>
      </c>
      <c r="J414" s="447">
        <f t="shared" si="54"/>
        <v>1816532.1141855642</v>
      </c>
      <c r="K414" s="447">
        <f t="shared" si="54"/>
        <v>1772931.6414855304</v>
      </c>
      <c r="L414" s="448">
        <f t="shared" si="48"/>
        <v>1772931.6414855304</v>
      </c>
      <c r="M414" s="449" t="str">
        <f t="shared" si="49"/>
        <v/>
      </c>
      <c r="N414" s="251" t="str">
        <f t="shared" si="50"/>
        <v/>
      </c>
      <c r="O414" s="251" t="str">
        <f t="shared" si="51"/>
        <v/>
      </c>
      <c r="P414" s="251" t="str">
        <f t="shared" si="52"/>
        <v/>
      </c>
      <c r="Q414" s="450" t="str">
        <f t="shared" si="53"/>
        <v/>
      </c>
    </row>
    <row r="415" spans="1:37">
      <c r="A415" s="428" t="s">
        <v>3775</v>
      </c>
      <c r="B415" s="429"/>
      <c r="C415" s="446">
        <v>240</v>
      </c>
      <c r="D415" s="446" t="s">
        <v>2499</v>
      </c>
      <c r="E415" s="432">
        <v>8524058.6522346232</v>
      </c>
      <c r="F415" s="447">
        <f t="shared" si="54"/>
        <v>8312814.9432936693</v>
      </c>
      <c r="G415" s="447">
        <f t="shared" si="54"/>
        <v>8113774.0683216294</v>
      </c>
      <c r="H415" s="447">
        <f t="shared" si="54"/>
        <v>7919026.9554038327</v>
      </c>
      <c r="I415" s="447">
        <f t="shared" si="54"/>
        <v>7728954.1700764364</v>
      </c>
      <c r="J415" s="447">
        <f t="shared" si="54"/>
        <v>7543443.5189513294</v>
      </c>
      <c r="K415" s="447">
        <f t="shared" si="54"/>
        <v>7362385.501510364</v>
      </c>
      <c r="L415" s="448" t="str">
        <f t="shared" si="48"/>
        <v/>
      </c>
      <c r="M415" s="449" t="str">
        <f t="shared" si="49"/>
        <v/>
      </c>
      <c r="N415" s="251" t="str">
        <f t="shared" si="50"/>
        <v/>
      </c>
      <c r="O415" s="251" t="str">
        <f t="shared" si="51"/>
        <v/>
      </c>
      <c r="P415" s="251" t="str">
        <f t="shared" si="52"/>
        <v/>
      </c>
      <c r="Q415" s="450">
        <f t="shared" si="53"/>
        <v>7362385.501510364</v>
      </c>
    </row>
    <row r="416" spans="1:37">
      <c r="A416" s="428" t="s">
        <v>3776</v>
      </c>
      <c r="B416" s="429"/>
      <c r="C416" s="446">
        <v>240</v>
      </c>
      <c r="D416" s="446" t="s">
        <v>2498</v>
      </c>
      <c r="E416" s="432">
        <v>3907658.3131594127</v>
      </c>
      <c r="F416" s="447">
        <f t="shared" si="54"/>
        <v>3810818.5013956414</v>
      </c>
      <c r="G416" s="447">
        <f t="shared" si="54"/>
        <v>3719572.7977378992</v>
      </c>
      <c r="H416" s="447">
        <f t="shared" si="54"/>
        <v>3630295.4703748925</v>
      </c>
      <c r="I416" s="447">
        <f t="shared" si="54"/>
        <v>3543160.9808092611</v>
      </c>
      <c r="J416" s="447">
        <f t="shared" si="54"/>
        <v>3458117.8965669209</v>
      </c>
      <c r="K416" s="447">
        <f t="shared" si="54"/>
        <v>3375116.019657982</v>
      </c>
      <c r="L416" s="448" t="str">
        <f t="shared" si="48"/>
        <v/>
      </c>
      <c r="M416" s="449" t="str">
        <f t="shared" si="49"/>
        <v/>
      </c>
      <c r="N416" s="251">
        <f t="shared" si="50"/>
        <v>3375116.019657982</v>
      </c>
      <c r="O416" s="251" t="str">
        <f t="shared" si="51"/>
        <v/>
      </c>
      <c r="P416" s="251" t="str">
        <f t="shared" si="52"/>
        <v/>
      </c>
      <c r="Q416" s="450" t="str">
        <f t="shared" si="53"/>
        <v/>
      </c>
    </row>
    <row r="417" spans="1:17">
      <c r="A417" s="428" t="s">
        <v>3777</v>
      </c>
      <c r="B417" s="429"/>
      <c r="C417" s="446" t="e">
        <v>#N/A</v>
      </c>
      <c r="D417" s="446" t="e">
        <v>#N/A</v>
      </c>
      <c r="E417" s="432">
        <v>1170602.9803409025</v>
      </c>
      <c r="F417" s="447">
        <f t="shared" si="54"/>
        <v>1141593.0303448732</v>
      </c>
      <c r="G417" s="447">
        <f t="shared" si="54"/>
        <v>1114258.8869564007</v>
      </c>
      <c r="H417" s="447">
        <f t="shared" si="54"/>
        <v>1087514.4028913369</v>
      </c>
      <c r="I417" s="447">
        <f t="shared" si="54"/>
        <v>1061411.840947137</v>
      </c>
      <c r="J417" s="447">
        <f t="shared" si="54"/>
        <v>1035935.7936847097</v>
      </c>
      <c r="K417" s="447">
        <f t="shared" si="54"/>
        <v>1011071.2234749016</v>
      </c>
      <c r="L417" s="448">
        <f t="shared" si="48"/>
        <v>1011071.2234749016</v>
      </c>
      <c r="M417" s="449" t="str">
        <f t="shared" si="49"/>
        <v/>
      </c>
      <c r="N417" s="251" t="str">
        <f t="shared" si="50"/>
        <v/>
      </c>
      <c r="O417" s="251" t="str">
        <f t="shared" si="51"/>
        <v/>
      </c>
      <c r="P417" s="251" t="str">
        <f t="shared" si="52"/>
        <v/>
      </c>
      <c r="Q417" s="450" t="str">
        <f t="shared" si="53"/>
        <v/>
      </c>
    </row>
    <row r="418" spans="1:17">
      <c r="A418" s="428" t="s">
        <v>3778</v>
      </c>
      <c r="B418" s="429"/>
      <c r="C418" s="446" t="e">
        <v>#N/A</v>
      </c>
      <c r="D418" s="446" t="e">
        <v>#N/A</v>
      </c>
      <c r="E418" s="432">
        <v>966967.30438237393</v>
      </c>
      <c r="F418" s="447">
        <f t="shared" si="54"/>
        <v>943003.86535220954</v>
      </c>
      <c r="G418" s="447">
        <f t="shared" si="54"/>
        <v>920424.71307441918</v>
      </c>
      <c r="H418" s="447">
        <f t="shared" si="54"/>
        <v>898332.6442023915</v>
      </c>
      <c r="I418" s="447">
        <f t="shared" si="54"/>
        <v>876770.83000531292</v>
      </c>
      <c r="J418" s="447">
        <f t="shared" si="54"/>
        <v>855726.54329036444</v>
      </c>
      <c r="K418" s="447">
        <f t="shared" si="54"/>
        <v>835187.36234329164</v>
      </c>
      <c r="L418" s="448">
        <f t="shared" si="48"/>
        <v>835187.36234329164</v>
      </c>
      <c r="M418" s="449" t="str">
        <f t="shared" si="49"/>
        <v/>
      </c>
      <c r="N418" s="251" t="str">
        <f t="shared" si="50"/>
        <v/>
      </c>
      <c r="O418" s="251" t="str">
        <f t="shared" si="51"/>
        <v/>
      </c>
      <c r="P418" s="251" t="str">
        <f t="shared" si="52"/>
        <v/>
      </c>
      <c r="Q418" s="450" t="str">
        <f t="shared" si="53"/>
        <v/>
      </c>
    </row>
    <row r="419" spans="1:17">
      <c r="A419" s="428" t="s">
        <v>3779</v>
      </c>
      <c r="B419" s="429"/>
      <c r="C419" s="446" t="e">
        <v>#N/A</v>
      </c>
      <c r="D419" s="446" t="e">
        <v>#N/A</v>
      </c>
      <c r="E419" s="432">
        <v>1804107.2671342187</v>
      </c>
      <c r="F419" s="447">
        <f t="shared" si="54"/>
        <v>1759397.7776779428</v>
      </c>
      <c r="G419" s="447">
        <f t="shared" si="54"/>
        <v>1717271.0040781773</v>
      </c>
      <c r="H419" s="447">
        <f t="shared" si="54"/>
        <v>1676053.0003076028</v>
      </c>
      <c r="I419" s="447">
        <f t="shared" si="54"/>
        <v>1635824.3126267991</v>
      </c>
      <c r="J419" s="447">
        <f t="shared" si="54"/>
        <v>1596561.1954334576</v>
      </c>
      <c r="K419" s="447">
        <f t="shared" si="54"/>
        <v>1558240.4730681172</v>
      </c>
      <c r="L419" s="448">
        <f t="shared" si="48"/>
        <v>1558240.4730681172</v>
      </c>
      <c r="M419" s="449" t="str">
        <f t="shared" si="49"/>
        <v/>
      </c>
      <c r="N419" s="251" t="str">
        <f t="shared" si="50"/>
        <v/>
      </c>
      <c r="O419" s="251" t="str">
        <f t="shared" si="51"/>
        <v/>
      </c>
      <c r="P419" s="251" t="str">
        <f t="shared" si="52"/>
        <v/>
      </c>
      <c r="Q419" s="450" t="str">
        <f t="shared" si="53"/>
        <v/>
      </c>
    </row>
    <row r="420" spans="1:17">
      <c r="A420" s="428" t="s">
        <v>3780</v>
      </c>
      <c r="B420" s="429"/>
      <c r="C420" s="446" t="e">
        <v>#N/A</v>
      </c>
      <c r="D420" s="446" t="e">
        <v>#N/A</v>
      </c>
      <c r="E420" s="432">
        <v>1824232.758024266</v>
      </c>
      <c r="F420" s="447">
        <f t="shared" si="54"/>
        <v>1779024.5175019405</v>
      </c>
      <c r="G420" s="447">
        <f t="shared" si="54"/>
        <v>1736427.8039968524</v>
      </c>
      <c r="H420" s="447">
        <f t="shared" si="54"/>
        <v>1694749.9979880727</v>
      </c>
      <c r="I420" s="447">
        <f t="shared" si="54"/>
        <v>1654072.5442598239</v>
      </c>
      <c r="J420" s="447">
        <f t="shared" si="54"/>
        <v>1614371.4323187284</v>
      </c>
      <c r="K420" s="447">
        <f t="shared" si="54"/>
        <v>1575623.2279721815</v>
      </c>
      <c r="L420" s="448">
        <f t="shared" si="48"/>
        <v>1575623.2279721815</v>
      </c>
      <c r="M420" s="449" t="str">
        <f t="shared" si="49"/>
        <v/>
      </c>
      <c r="N420" s="251" t="str">
        <f t="shared" si="50"/>
        <v/>
      </c>
      <c r="O420" s="251" t="str">
        <f t="shared" si="51"/>
        <v/>
      </c>
      <c r="P420" s="251" t="str">
        <f t="shared" si="52"/>
        <v/>
      </c>
      <c r="Q420" s="450" t="str">
        <f t="shared" si="53"/>
        <v/>
      </c>
    </row>
    <row r="421" spans="1:17">
      <c r="A421" s="428" t="s">
        <v>3781</v>
      </c>
      <c r="B421" s="429"/>
      <c r="C421" s="446" t="e">
        <v>#N/A</v>
      </c>
      <c r="D421" s="446" t="e">
        <v>#N/A</v>
      </c>
      <c r="E421" s="432">
        <v>1189251.6305883336</v>
      </c>
      <c r="F421" s="447">
        <f t="shared" si="54"/>
        <v>1159779.5286755085</v>
      </c>
      <c r="G421" s="447">
        <f t="shared" si="54"/>
        <v>1132009.9303220091</v>
      </c>
      <c r="H421" s="447">
        <f t="shared" si="54"/>
        <v>1104839.3850408427</v>
      </c>
      <c r="I421" s="447">
        <f t="shared" si="54"/>
        <v>1078320.9882180083</v>
      </c>
      <c r="J421" s="447">
        <f t="shared" si="54"/>
        <v>1052439.0869614747</v>
      </c>
      <c r="K421" s="447">
        <f t="shared" si="54"/>
        <v>1027178.4040805198</v>
      </c>
      <c r="L421" s="448">
        <f t="shared" si="48"/>
        <v>1027178.4040805198</v>
      </c>
      <c r="M421" s="449" t="str">
        <f t="shared" si="49"/>
        <v/>
      </c>
      <c r="N421" s="251" t="str">
        <f t="shared" si="50"/>
        <v/>
      </c>
      <c r="O421" s="251" t="str">
        <f t="shared" si="51"/>
        <v/>
      </c>
      <c r="P421" s="251" t="str">
        <f t="shared" si="52"/>
        <v/>
      </c>
      <c r="Q421" s="450" t="str">
        <f t="shared" si="53"/>
        <v/>
      </c>
    </row>
    <row r="422" spans="1:17">
      <c r="A422" s="428" t="s">
        <v>3782</v>
      </c>
      <c r="B422" s="429"/>
      <c r="C422" s="446" t="e">
        <v>#N/A</v>
      </c>
      <c r="D422" s="446" t="e">
        <v>#N/A</v>
      </c>
      <c r="E422" s="432">
        <v>3725592.5571356663</v>
      </c>
      <c r="F422" s="447">
        <f t="shared" si="54"/>
        <v>3633264.7093485286</v>
      </c>
      <c r="G422" s="447">
        <f t="shared" si="54"/>
        <v>3546270.3287822711</v>
      </c>
      <c r="H422" s="447">
        <f t="shared" si="54"/>
        <v>3461152.6138519547</v>
      </c>
      <c r="I422" s="447">
        <f t="shared" si="54"/>
        <v>3378077.8975436436</v>
      </c>
      <c r="J422" s="447">
        <f t="shared" si="54"/>
        <v>3296997.1437269272</v>
      </c>
      <c r="K422" s="447">
        <f t="shared" si="54"/>
        <v>3217862.4932384575</v>
      </c>
      <c r="L422" s="448">
        <f t="shared" si="48"/>
        <v>3217862.4932384575</v>
      </c>
      <c r="M422" s="449" t="str">
        <f t="shared" si="49"/>
        <v/>
      </c>
      <c r="N422" s="251" t="str">
        <f t="shared" si="50"/>
        <v/>
      </c>
      <c r="O422" s="251" t="str">
        <f t="shared" si="51"/>
        <v/>
      </c>
      <c r="P422" s="251" t="str">
        <f t="shared" si="52"/>
        <v/>
      </c>
      <c r="Q422" s="450" t="str">
        <f t="shared" si="53"/>
        <v/>
      </c>
    </row>
    <row r="423" spans="1:17">
      <c r="A423" s="428" t="s">
        <v>3783</v>
      </c>
      <c r="B423" s="429"/>
      <c r="C423" s="446" t="e">
        <v>#N/A</v>
      </c>
      <c r="D423" s="446" t="e">
        <v>#N/A</v>
      </c>
      <c r="E423" s="432">
        <v>566021.35734877561</v>
      </c>
      <c r="F423" s="447">
        <f t="shared" si="54"/>
        <v>551994.18370482104</v>
      </c>
      <c r="G423" s="447">
        <f t="shared" si="54"/>
        <v>538777.31239786127</v>
      </c>
      <c r="H423" s="447">
        <f t="shared" si="54"/>
        <v>525845.55891155824</v>
      </c>
      <c r="I423" s="447">
        <f t="shared" si="54"/>
        <v>513224.19386289432</v>
      </c>
      <c r="J423" s="447">
        <f t="shared" si="54"/>
        <v>500905.76729681704</v>
      </c>
      <c r="K423" s="447">
        <f t="shared" si="54"/>
        <v>488883.00807237794</v>
      </c>
      <c r="L423" s="448">
        <f t="shared" si="48"/>
        <v>488883.00807237794</v>
      </c>
      <c r="M423" s="449" t="str">
        <f t="shared" si="49"/>
        <v/>
      </c>
      <c r="N423" s="251" t="str">
        <f t="shared" si="50"/>
        <v/>
      </c>
      <c r="O423" s="251" t="str">
        <f t="shared" si="51"/>
        <v/>
      </c>
      <c r="P423" s="251" t="str">
        <f t="shared" si="52"/>
        <v/>
      </c>
      <c r="Q423" s="450" t="str">
        <f t="shared" si="53"/>
        <v/>
      </c>
    </row>
    <row r="424" spans="1:17">
      <c r="A424" s="428" t="s">
        <v>3784</v>
      </c>
      <c r="B424" s="429"/>
      <c r="C424" s="446">
        <v>240</v>
      </c>
      <c r="D424" s="446" t="s">
        <v>2498</v>
      </c>
      <c r="E424" s="432">
        <v>3229148.7849901267</v>
      </c>
      <c r="F424" s="447">
        <f t="shared" si="54"/>
        <v>3149123.8351518633</v>
      </c>
      <c r="G424" s="447">
        <f t="shared" si="54"/>
        <v>3073721.6557674175</v>
      </c>
      <c r="H424" s="447">
        <f t="shared" si="54"/>
        <v>2999946.0720090894</v>
      </c>
      <c r="I424" s="447">
        <f t="shared" si="54"/>
        <v>2927941.2526102047</v>
      </c>
      <c r="J424" s="447">
        <f t="shared" si="54"/>
        <v>2857664.6956174485</v>
      </c>
      <c r="K424" s="447">
        <f t="shared" si="54"/>
        <v>2789074.9192110011</v>
      </c>
      <c r="L424" s="448" t="str">
        <f t="shared" si="48"/>
        <v/>
      </c>
      <c r="M424" s="449" t="str">
        <f t="shared" si="49"/>
        <v/>
      </c>
      <c r="N424" s="251">
        <f t="shared" si="50"/>
        <v>2789074.9192110011</v>
      </c>
      <c r="O424" s="251" t="str">
        <f t="shared" si="51"/>
        <v/>
      </c>
      <c r="P424" s="251" t="str">
        <f t="shared" si="52"/>
        <v/>
      </c>
      <c r="Q424" s="450" t="str">
        <f t="shared" si="53"/>
        <v/>
      </c>
    </row>
    <row r="425" spans="1:17">
      <c r="A425" s="428" t="s">
        <v>3785</v>
      </c>
      <c r="B425" s="429"/>
      <c r="C425" s="446">
        <v>240</v>
      </c>
      <c r="D425" s="446" t="s">
        <v>2498</v>
      </c>
      <c r="E425" s="432">
        <v>1342401.8428012861</v>
      </c>
      <c r="F425" s="447">
        <f t="shared" si="54"/>
        <v>1309134.3635719903</v>
      </c>
      <c r="G425" s="447">
        <f t="shared" si="54"/>
        <v>1277788.6340015819</v>
      </c>
      <c r="H425" s="447">
        <f t="shared" si="54"/>
        <v>1247119.1027457705</v>
      </c>
      <c r="I425" s="447">
        <f t="shared" si="54"/>
        <v>1217185.7027423598</v>
      </c>
      <c r="J425" s="447">
        <f t="shared" si="54"/>
        <v>1187970.765341111</v>
      </c>
      <c r="K425" s="447">
        <f t="shared" si="54"/>
        <v>1159457.0459753973</v>
      </c>
      <c r="L425" s="448" t="str">
        <f t="shared" si="48"/>
        <v/>
      </c>
      <c r="M425" s="449" t="str">
        <f t="shared" si="49"/>
        <v/>
      </c>
      <c r="N425" s="251">
        <f t="shared" si="50"/>
        <v>1159457.0459753973</v>
      </c>
      <c r="O425" s="251" t="str">
        <f t="shared" si="51"/>
        <v/>
      </c>
      <c r="P425" s="251" t="str">
        <f t="shared" si="52"/>
        <v/>
      </c>
      <c r="Q425" s="450" t="str">
        <f t="shared" si="53"/>
        <v/>
      </c>
    </row>
    <row r="426" spans="1:17">
      <c r="A426" s="428" t="s">
        <v>3786</v>
      </c>
      <c r="B426" s="429"/>
      <c r="C426" s="446" t="e">
        <v>#N/A</v>
      </c>
      <c r="D426" s="446" t="e">
        <v>#N/A</v>
      </c>
      <c r="E426" s="432">
        <v>62833795.66150859</v>
      </c>
      <c r="F426" s="447">
        <f t="shared" si="54"/>
        <v>61276644.944473639</v>
      </c>
      <c r="G426" s="447">
        <f t="shared" si="54"/>
        <v>59809445.553136468</v>
      </c>
      <c r="H426" s="447">
        <f t="shared" si="54"/>
        <v>58373896.972585857</v>
      </c>
      <c r="I426" s="447">
        <f t="shared" si="54"/>
        <v>56972804.48351147</v>
      </c>
      <c r="J426" s="447">
        <f t="shared" si="54"/>
        <v>55605341.069498882</v>
      </c>
      <c r="K426" s="447">
        <f t="shared" si="54"/>
        <v>54270699.564213008</v>
      </c>
      <c r="L426" s="448">
        <f t="shared" si="48"/>
        <v>54270699.564213008</v>
      </c>
      <c r="M426" s="449" t="str">
        <f t="shared" si="49"/>
        <v/>
      </c>
      <c r="N426" s="251" t="str">
        <f t="shared" si="50"/>
        <v/>
      </c>
      <c r="O426" s="251" t="str">
        <f t="shared" si="51"/>
        <v/>
      </c>
      <c r="P426" s="251" t="str">
        <f t="shared" si="52"/>
        <v/>
      </c>
      <c r="Q426" s="450" t="str">
        <f t="shared" si="53"/>
        <v/>
      </c>
    </row>
    <row r="427" spans="1:17">
      <c r="A427" s="428" t="s">
        <v>3787</v>
      </c>
      <c r="B427" s="429"/>
      <c r="C427" s="446">
        <v>240</v>
      </c>
      <c r="D427" s="446" t="s">
        <v>2498</v>
      </c>
      <c r="E427" s="432">
        <v>9619575.1754381415</v>
      </c>
      <c r="F427" s="447">
        <f t="shared" si="54"/>
        <v>9381182.3133755177</v>
      </c>
      <c r="G427" s="447">
        <f t="shared" si="54"/>
        <v>9156560.5999530535</v>
      </c>
      <c r="H427" s="447">
        <f t="shared" si="54"/>
        <v>8936784.4851534255</v>
      </c>
      <c r="I427" s="447">
        <f t="shared" si="54"/>
        <v>8722283.4449966364</v>
      </c>
      <c r="J427" s="447">
        <f t="shared" si="54"/>
        <v>8512930.8669410385</v>
      </c>
      <c r="K427" s="447">
        <f t="shared" si="54"/>
        <v>8308603.1774040163</v>
      </c>
      <c r="L427" s="448" t="str">
        <f t="shared" si="48"/>
        <v/>
      </c>
      <c r="M427" s="449" t="str">
        <f t="shared" si="49"/>
        <v/>
      </c>
      <c r="N427" s="251">
        <f t="shared" si="50"/>
        <v>8308603.1774040163</v>
      </c>
      <c r="O427" s="251" t="str">
        <f t="shared" si="51"/>
        <v/>
      </c>
      <c r="P427" s="251" t="str">
        <f t="shared" si="52"/>
        <v/>
      </c>
      <c r="Q427" s="450" t="str">
        <f t="shared" si="53"/>
        <v/>
      </c>
    </row>
    <row r="428" spans="1:17">
      <c r="A428" s="428" t="s">
        <v>3788</v>
      </c>
      <c r="B428" s="429"/>
      <c r="C428" s="446">
        <v>240</v>
      </c>
      <c r="D428" s="446" t="s">
        <v>2499</v>
      </c>
      <c r="E428" s="432">
        <v>41200.876786398752</v>
      </c>
      <c r="F428" s="447">
        <f t="shared" si="54"/>
        <v>40179.834301936673</v>
      </c>
      <c r="G428" s="447">
        <f t="shared" si="54"/>
        <v>39217.773985396008</v>
      </c>
      <c r="H428" s="447">
        <f t="shared" si="54"/>
        <v>38276.467486791669</v>
      </c>
      <c r="I428" s="447">
        <f t="shared" si="54"/>
        <v>37357.754262467628</v>
      </c>
      <c r="J428" s="447">
        <f t="shared" si="54"/>
        <v>36461.092027797713</v>
      </c>
      <c r="K428" s="447">
        <f t="shared" si="54"/>
        <v>35585.951514091925</v>
      </c>
      <c r="L428" s="448" t="str">
        <f t="shared" si="48"/>
        <v/>
      </c>
      <c r="M428" s="449" t="str">
        <f t="shared" si="49"/>
        <v/>
      </c>
      <c r="N428" s="251" t="str">
        <f t="shared" si="50"/>
        <v/>
      </c>
      <c r="O428" s="251" t="str">
        <f t="shared" si="51"/>
        <v/>
      </c>
      <c r="P428" s="251" t="str">
        <f t="shared" si="52"/>
        <v/>
      </c>
      <c r="Q428" s="450">
        <f t="shared" si="53"/>
        <v>35585.951514091925</v>
      </c>
    </row>
    <row r="429" spans="1:17">
      <c r="A429" s="428" t="s">
        <v>3789</v>
      </c>
      <c r="B429" s="429"/>
      <c r="C429" s="446">
        <v>240</v>
      </c>
      <c r="D429" s="446" t="s">
        <v>2498</v>
      </c>
      <c r="E429" s="432">
        <v>26629918.049563888</v>
      </c>
      <c r="F429" s="447">
        <f t="shared" si="54"/>
        <v>25969973.897712141</v>
      </c>
      <c r="G429" s="447">
        <f t="shared" si="54"/>
        <v>25348152.485487416</v>
      </c>
      <c r="H429" s="447">
        <f t="shared" si="54"/>
        <v>24739745.168155018</v>
      </c>
      <c r="I429" s="447">
        <f t="shared" si="54"/>
        <v>24145940.866328213</v>
      </c>
      <c r="J429" s="447">
        <f t="shared" si="54"/>
        <v>23566389.077874981</v>
      </c>
      <c r="K429" s="447">
        <f t="shared" si="54"/>
        <v>23000747.71342878</v>
      </c>
      <c r="L429" s="448" t="str">
        <f t="shared" si="48"/>
        <v/>
      </c>
      <c r="M429" s="449" t="str">
        <f t="shared" si="49"/>
        <v/>
      </c>
      <c r="N429" s="251">
        <f t="shared" si="50"/>
        <v>23000747.71342878</v>
      </c>
      <c r="O429" s="251" t="str">
        <f t="shared" si="51"/>
        <v/>
      </c>
      <c r="P429" s="251" t="str">
        <f t="shared" si="52"/>
        <v/>
      </c>
      <c r="Q429" s="450" t="str">
        <f t="shared" si="53"/>
        <v/>
      </c>
    </row>
    <row r="430" spans="1:17">
      <c r="A430" s="428" t="s">
        <v>3790</v>
      </c>
      <c r="B430" s="429"/>
      <c r="C430" s="446" t="e">
        <v>#N/A</v>
      </c>
      <c r="D430" s="446" t="e">
        <v>#N/A</v>
      </c>
      <c r="E430" s="432">
        <v>318084.73084461602</v>
      </c>
      <c r="F430" s="447">
        <f t="shared" si="54"/>
        <v>310201.93685615761</v>
      </c>
      <c r="G430" s="447">
        <f t="shared" si="54"/>
        <v>302774.5051917872</v>
      </c>
      <c r="H430" s="447">
        <f t="shared" si="54"/>
        <v>295507.3000348889</v>
      </c>
      <c r="I430" s="447">
        <f t="shared" si="54"/>
        <v>288414.52261178871</v>
      </c>
      <c r="J430" s="447">
        <f t="shared" si="54"/>
        <v>281491.98630140448</v>
      </c>
      <c r="K430" s="447">
        <f t="shared" si="54"/>
        <v>274735.60497009213</v>
      </c>
      <c r="L430" s="448">
        <f t="shared" si="48"/>
        <v>274735.60497009213</v>
      </c>
      <c r="M430" s="449" t="str">
        <f t="shared" si="49"/>
        <v/>
      </c>
      <c r="N430" s="251" t="str">
        <f t="shared" si="50"/>
        <v/>
      </c>
      <c r="O430" s="251" t="str">
        <f t="shared" si="51"/>
        <v/>
      </c>
      <c r="P430" s="251" t="str">
        <f t="shared" si="52"/>
        <v/>
      </c>
      <c r="Q430" s="450" t="str">
        <f t="shared" si="53"/>
        <v/>
      </c>
    </row>
    <row r="431" spans="1:17">
      <c r="A431" s="428" t="s">
        <v>3791</v>
      </c>
      <c r="B431" s="429"/>
      <c r="C431" s="446">
        <v>240</v>
      </c>
      <c r="D431" s="446" t="s">
        <v>2498</v>
      </c>
      <c r="E431" s="432">
        <v>74227495.084939793</v>
      </c>
      <c r="F431" s="447">
        <f t="shared" si="54"/>
        <v>72387985.057280779</v>
      </c>
      <c r="G431" s="447">
        <f t="shared" si="54"/>
        <v>70654737.296859056</v>
      </c>
      <c r="H431" s="447">
        <f t="shared" si="54"/>
        <v>68958879.612547785</v>
      </c>
      <c r="I431" s="447">
        <f t="shared" si="54"/>
        <v>67303725.968693927</v>
      </c>
      <c r="J431" s="447">
        <f t="shared" si="54"/>
        <v>65688299.385374613</v>
      </c>
      <c r="K431" s="447">
        <f t="shared" si="54"/>
        <v>64111646.332176179</v>
      </c>
      <c r="L431" s="448" t="str">
        <f t="shared" si="48"/>
        <v/>
      </c>
      <c r="M431" s="449" t="str">
        <f t="shared" si="49"/>
        <v/>
      </c>
      <c r="N431" s="251">
        <f t="shared" si="50"/>
        <v>64111646.332176179</v>
      </c>
      <c r="O431" s="251" t="str">
        <f t="shared" si="51"/>
        <v/>
      </c>
      <c r="P431" s="251" t="str">
        <f t="shared" si="52"/>
        <v/>
      </c>
      <c r="Q431" s="450" t="str">
        <f t="shared" si="53"/>
        <v/>
      </c>
    </row>
    <row r="432" spans="1:17">
      <c r="A432" s="428" t="s">
        <v>3792</v>
      </c>
      <c r="B432" s="429"/>
      <c r="C432" s="446" t="e">
        <v>#N/A</v>
      </c>
      <c r="D432" s="446" t="e">
        <v>#N/A</v>
      </c>
      <c r="E432" s="432">
        <v>790823.72978497157</v>
      </c>
      <c r="F432" s="447">
        <f t="shared" si="54"/>
        <v>771225.490892692</v>
      </c>
      <c r="G432" s="447">
        <f t="shared" si="54"/>
        <v>752759.37591778068</v>
      </c>
      <c r="H432" s="447">
        <f t="shared" si="54"/>
        <v>734691.61682720564</v>
      </c>
      <c r="I432" s="447">
        <f t="shared" si="54"/>
        <v>717057.52077557601</v>
      </c>
      <c r="J432" s="447">
        <f t="shared" si="54"/>
        <v>699846.67896618333</v>
      </c>
      <c r="K432" s="447">
        <f t="shared" si="54"/>
        <v>683048.93243465282</v>
      </c>
      <c r="L432" s="448">
        <f t="shared" si="48"/>
        <v>683048.93243465282</v>
      </c>
      <c r="M432" s="449" t="str">
        <f t="shared" si="49"/>
        <v/>
      </c>
      <c r="N432" s="251" t="str">
        <f t="shared" si="50"/>
        <v/>
      </c>
      <c r="O432" s="251" t="str">
        <f t="shared" si="51"/>
        <v/>
      </c>
      <c r="P432" s="251" t="str">
        <f t="shared" si="52"/>
        <v/>
      </c>
      <c r="Q432" s="450" t="str">
        <f t="shared" si="53"/>
        <v/>
      </c>
    </row>
    <row r="433" spans="1:17">
      <c r="A433" s="428" t="s">
        <v>3793</v>
      </c>
      <c r="B433" s="429"/>
      <c r="C433" s="446" t="e">
        <v>#N/A</v>
      </c>
      <c r="D433" s="446" t="e">
        <v>#N/A</v>
      </c>
      <c r="E433" s="432">
        <v>861733.24073219008</v>
      </c>
      <c r="F433" s="447">
        <f t="shared" si="54"/>
        <v>840377.71828488098</v>
      </c>
      <c r="G433" s="447">
        <f t="shared" si="54"/>
        <v>820255.83207720437</v>
      </c>
      <c r="H433" s="447">
        <f t="shared" si="54"/>
        <v>800568.02048596251</v>
      </c>
      <c r="I433" s="447">
        <f t="shared" si="54"/>
        <v>781352.75649523048</v>
      </c>
      <c r="J433" s="447">
        <f t="shared" si="54"/>
        <v>762598.69799957843</v>
      </c>
      <c r="K433" s="447">
        <f t="shared" si="54"/>
        <v>744294.7751272216</v>
      </c>
      <c r="L433" s="448">
        <f t="shared" si="48"/>
        <v>744294.7751272216</v>
      </c>
      <c r="M433" s="449" t="str">
        <f t="shared" si="49"/>
        <v/>
      </c>
      <c r="N433" s="251" t="str">
        <f t="shared" si="50"/>
        <v/>
      </c>
      <c r="O433" s="251" t="str">
        <f t="shared" si="51"/>
        <v/>
      </c>
      <c r="P433" s="251" t="str">
        <f t="shared" si="52"/>
        <v/>
      </c>
      <c r="Q433" s="450" t="str">
        <f t="shared" si="53"/>
        <v/>
      </c>
    </row>
    <row r="434" spans="1:17">
      <c r="A434" s="428" t="s">
        <v>3794</v>
      </c>
      <c r="B434" s="429"/>
      <c r="C434" s="446" t="e">
        <v>#N/A</v>
      </c>
      <c r="D434" s="446" t="e">
        <v>#N/A</v>
      </c>
      <c r="E434" s="432">
        <v>12816</v>
      </c>
      <c r="F434" s="447">
        <f t="shared" si="54"/>
        <v>12498.393155157662</v>
      </c>
      <c r="G434" s="447">
        <f t="shared" si="54"/>
        <v>12199.133382587594</v>
      </c>
      <c r="H434" s="447">
        <f t="shared" si="54"/>
        <v>11906.329320463952</v>
      </c>
      <c r="I434" s="447">
        <f t="shared" si="54"/>
        <v>11620.553152544539</v>
      </c>
      <c r="J434" s="447">
        <f t="shared" si="54"/>
        <v>11341.63619504612</v>
      </c>
      <c r="K434" s="447">
        <f t="shared" si="54"/>
        <v>11069.41381294002</v>
      </c>
      <c r="L434" s="448">
        <f t="shared" si="48"/>
        <v>11069.41381294002</v>
      </c>
      <c r="M434" s="449" t="str">
        <f t="shared" si="49"/>
        <v/>
      </c>
      <c r="N434" s="251" t="str">
        <f t="shared" si="50"/>
        <v/>
      </c>
      <c r="O434" s="251" t="str">
        <f t="shared" si="51"/>
        <v/>
      </c>
      <c r="P434" s="251" t="str">
        <f t="shared" si="52"/>
        <v/>
      </c>
      <c r="Q434" s="450" t="str">
        <f t="shared" si="53"/>
        <v/>
      </c>
    </row>
    <row r="435" spans="1:17">
      <c r="A435" s="428" t="s">
        <v>3795</v>
      </c>
      <c r="B435" s="429"/>
      <c r="C435" s="446" t="e">
        <v>#N/A</v>
      </c>
      <c r="D435" s="446" t="e">
        <v>#N/A</v>
      </c>
      <c r="E435" s="432">
        <v>2567.2105866122502</v>
      </c>
      <c r="F435" s="447">
        <f t="shared" si="54"/>
        <v>2503.5898270570251</v>
      </c>
      <c r="G435" s="447">
        <f t="shared" si="54"/>
        <v>2443.6442234139968</v>
      </c>
      <c r="H435" s="447">
        <f t="shared" si="54"/>
        <v>2384.9917820838714</v>
      </c>
      <c r="I435" s="447">
        <f t="shared" si="54"/>
        <v>2327.7471188750546</v>
      </c>
      <c r="J435" s="447">
        <f t="shared" si="54"/>
        <v>2271.8764442436859</v>
      </c>
      <c r="K435" s="447">
        <f t="shared" si="54"/>
        <v>2217.3467796638179</v>
      </c>
      <c r="L435" s="448">
        <f t="shared" si="48"/>
        <v>2217.3467796638179</v>
      </c>
      <c r="M435" s="449" t="str">
        <f t="shared" si="49"/>
        <v/>
      </c>
      <c r="N435" s="251" t="str">
        <f t="shared" si="50"/>
        <v/>
      </c>
      <c r="O435" s="251" t="str">
        <f t="shared" si="51"/>
        <v/>
      </c>
      <c r="P435" s="251" t="str">
        <f t="shared" si="52"/>
        <v/>
      </c>
      <c r="Q435" s="450" t="str">
        <f t="shared" si="53"/>
        <v/>
      </c>
    </row>
    <row r="436" spans="1:17" s="777" customFormat="1">
      <c r="A436" s="454" t="s">
        <v>1122</v>
      </c>
      <c r="B436" s="454"/>
      <c r="D436" s="438"/>
      <c r="E436" s="455">
        <f>SUM(E5:E435)</f>
        <v>1904219403.5999992</v>
      </c>
      <c r="F436" s="455">
        <f t="shared" ref="F436:Q436" si="55">SUM(F5:F435)</f>
        <v>1857028929.4532335</v>
      </c>
      <c r="G436" s="455">
        <f t="shared" si="55"/>
        <v>1812564489.2499847</v>
      </c>
      <c r="H436" s="455">
        <f t="shared" si="55"/>
        <v>1769059247.6341333</v>
      </c>
      <c r="I436" s="455">
        <f t="shared" si="55"/>
        <v>1726598220.4775648</v>
      </c>
      <c r="J436" s="455">
        <f t="shared" si="55"/>
        <v>1685156344.5052192</v>
      </c>
      <c r="K436" s="455">
        <f t="shared" si="55"/>
        <v>1644709158.0117235</v>
      </c>
      <c r="L436" s="455">
        <f t="shared" si="55"/>
        <v>141866871.94418585</v>
      </c>
      <c r="M436" s="455">
        <f t="shared" si="55"/>
        <v>0</v>
      </c>
      <c r="N436" s="455">
        <f t="shared" si="55"/>
        <v>862143092.79090655</v>
      </c>
      <c r="O436" s="455">
        <f t="shared" si="55"/>
        <v>507610070.81647336</v>
      </c>
      <c r="P436" s="455">
        <f t="shared" si="55"/>
        <v>11250355.878223808</v>
      </c>
      <c r="Q436" s="455">
        <f t="shared" si="55"/>
        <v>121838766.58193418</v>
      </c>
    </row>
  </sheetData>
  <autoFilter ref="A4:V4"/>
  <mergeCells count="7">
    <mergeCell ref="S1:V1"/>
    <mergeCell ref="M3:N3"/>
    <mergeCell ref="O3:P3"/>
    <mergeCell ref="T12:V12"/>
    <mergeCell ref="A1:E1"/>
    <mergeCell ref="F1:I1"/>
    <mergeCell ref="M1:Q1"/>
  </mergeCells>
  <pageMargins left="0.7" right="0.7" top="0.75" bottom="0.75" header="0.3" footer="0.3"/>
  <pageSetup fitToHeight="0" orientation="portrait" r:id="rId1"/>
  <headerFooter>
    <oddHeader>&amp;LAlberta Electric System Operator&amp;CConfidentiality: Public&amp;R&amp;D</oddHeader>
    <oddFooter>&amp;L&amp;F&amp;CPage &amp;P of &amp;N&amp;RTab &amp;A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K23"/>
  <sheetViews>
    <sheetView showGridLines="0" workbookViewId="0">
      <pane ySplit="4" topLeftCell="A5" activePane="bottomLeft" state="frozenSplit"/>
      <selection activeCell="O24" sqref="A1:XFD1048576"/>
      <selection pane="bottomLeft" activeCell="D23" sqref="A1:D23"/>
    </sheetView>
  </sheetViews>
  <sheetFormatPr defaultColWidth="9.109375" defaultRowHeight="13.8"/>
  <cols>
    <col min="1" max="1" width="36" style="559" customWidth="1"/>
    <col min="2" max="2" width="12.6640625" style="556" customWidth="1"/>
    <col min="3" max="4" width="12.6640625" style="557" customWidth="1"/>
    <col min="5" max="5" width="11.44140625" style="557" bestFit="1" customWidth="1"/>
    <col min="6" max="6" width="16" style="557" bestFit="1" customWidth="1"/>
    <col min="7" max="9" width="12.6640625" style="558" customWidth="1"/>
    <col min="10" max="16384" width="9.109375" style="559"/>
  </cols>
  <sheetData>
    <row r="1" spans="1:11">
      <c r="A1" s="555" t="s">
        <v>208</v>
      </c>
    </row>
    <row r="2" spans="1:11">
      <c r="A2" s="559" t="s">
        <v>2065</v>
      </c>
    </row>
    <row r="4" spans="1:11" s="571" customFormat="1">
      <c r="A4" s="570" t="s">
        <v>1186</v>
      </c>
      <c r="B4" s="570" t="s">
        <v>44</v>
      </c>
      <c r="C4" s="570" t="s">
        <v>61</v>
      </c>
      <c r="D4" s="570" t="s">
        <v>3</v>
      </c>
      <c r="E4" s="560"/>
      <c r="F4" s="560"/>
      <c r="G4" s="560"/>
    </row>
    <row r="5" spans="1:11">
      <c r="A5" s="475" t="s">
        <v>62</v>
      </c>
      <c r="B5" s="561">
        <v>268704206.52500004</v>
      </c>
      <c r="C5" s="561">
        <v>-102535558.99499999</v>
      </c>
      <c r="D5" s="561">
        <f>B5+C5</f>
        <v>166168647.53000003</v>
      </c>
      <c r="E5" s="562"/>
      <c r="F5" s="562"/>
      <c r="G5" s="562"/>
      <c r="H5" s="572"/>
      <c r="I5" s="572"/>
    </row>
    <row r="6" spans="1:11">
      <c r="A6" s="475" t="s">
        <v>63</v>
      </c>
      <c r="B6" s="561">
        <v>116414791.05</v>
      </c>
      <c r="C6" s="561">
        <v>-18501116.232999999</v>
      </c>
      <c r="D6" s="561">
        <f>B6+C6</f>
        <v>97913674.817000002</v>
      </c>
      <c r="E6" s="562"/>
      <c r="F6" s="562"/>
      <c r="G6" s="562"/>
      <c r="H6" s="572"/>
      <c r="I6" s="572"/>
    </row>
    <row r="7" spans="1:11">
      <c r="B7" s="563"/>
      <c r="C7" s="564"/>
      <c r="D7" s="563"/>
      <c r="E7" s="563"/>
      <c r="F7" s="562"/>
      <c r="G7" s="562"/>
      <c r="H7" s="572"/>
      <c r="I7" s="572"/>
    </row>
    <row r="8" spans="1:11">
      <c r="F8" s="562"/>
      <c r="G8" s="562"/>
      <c r="H8" s="572"/>
      <c r="I8" s="572"/>
    </row>
    <row r="9" spans="1:11">
      <c r="A9" s="475" t="s">
        <v>2008</v>
      </c>
      <c r="B9" s="568">
        <f>(1-Depreciation!G8)*(1-Depreciation!H8)*(1-Depreciation!I8)*(1-Depreciation!J8)*(1-Depreciation!K8)*(1-Depreciation!L8)</f>
        <v>0.8488090136452241</v>
      </c>
      <c r="F9" s="563"/>
      <c r="G9" s="562"/>
      <c r="H9" s="562"/>
      <c r="I9" s="562"/>
      <c r="J9" s="572"/>
      <c r="K9" s="572"/>
    </row>
    <row r="10" spans="1:11">
      <c r="A10" s="475" t="s">
        <v>2009</v>
      </c>
      <c r="B10" s="568">
        <f>(1-Depreciation!G16)*(1-Depreciation!H16)*(1-Depreciation!I16)*(1-Depreciation!J16)*(1-Depreciation!K16)*(1-Depreciation!L16)</f>
        <v>0.84407571723632824</v>
      </c>
      <c r="F10" s="563"/>
    </row>
    <row r="11" spans="1:11">
      <c r="E11" s="563"/>
      <c r="F11" s="558"/>
      <c r="I11" s="559"/>
    </row>
    <row r="12" spans="1:11">
      <c r="A12" s="565"/>
      <c r="B12" s="1004" t="s">
        <v>26</v>
      </c>
      <c r="C12" s="1005"/>
      <c r="D12" s="1005"/>
      <c r="E12" s="563"/>
      <c r="F12" s="558"/>
      <c r="I12" s="559"/>
    </row>
    <row r="13" spans="1:11">
      <c r="A13" s="573" t="s">
        <v>2093</v>
      </c>
      <c r="B13" s="574" t="s">
        <v>49</v>
      </c>
      <c r="C13" s="575" t="s">
        <v>74</v>
      </c>
      <c r="D13" s="575" t="s">
        <v>50</v>
      </c>
      <c r="F13" s="558"/>
      <c r="I13" s="559"/>
    </row>
    <row r="14" spans="1:11" ht="13.5" customHeight="1">
      <c r="A14" s="565" t="s">
        <v>219</v>
      </c>
      <c r="B14" s="566">
        <v>0</v>
      </c>
      <c r="C14" s="566">
        <f>+D6*B9</f>
        <v>83110009.743796989</v>
      </c>
      <c r="D14" s="566">
        <f>+D5*B10</f>
        <v>140258920.34607539</v>
      </c>
      <c r="E14" s="567"/>
      <c r="F14" s="558"/>
      <c r="I14" s="559"/>
    </row>
    <row r="15" spans="1:11">
      <c r="A15" s="565" t="s">
        <v>43</v>
      </c>
      <c r="B15" s="568">
        <f>B14/SUM($B14:$D14)</f>
        <v>0</v>
      </c>
      <c r="C15" s="568">
        <f>C14/SUM($B14:$D14)</f>
        <v>0.37207506751434821</v>
      </c>
      <c r="D15" s="568">
        <f>D14/SUM($B14:$D14)</f>
        <v>0.62792493248565184</v>
      </c>
      <c r="E15" s="558"/>
      <c r="F15" s="558"/>
      <c r="H15" s="559"/>
      <c r="I15" s="559"/>
    </row>
    <row r="16" spans="1:11">
      <c r="A16" s="557"/>
      <c r="B16" s="569"/>
      <c r="C16" s="569"/>
      <c r="D16" s="569"/>
      <c r="E16" s="558"/>
      <c r="F16" s="558"/>
      <c r="H16" s="559"/>
      <c r="I16" s="559"/>
    </row>
    <row r="17" spans="1:9">
      <c r="B17" s="574" t="s">
        <v>49</v>
      </c>
      <c r="C17" s="575" t="s">
        <v>74</v>
      </c>
      <c r="D17" s="575" t="s">
        <v>50</v>
      </c>
      <c r="E17" s="558"/>
      <c r="F17" s="558"/>
      <c r="H17" s="559"/>
      <c r="I17" s="559"/>
    </row>
    <row r="18" spans="1:9">
      <c r="A18" s="565" t="s">
        <v>220</v>
      </c>
      <c r="B18" s="566">
        <v>0</v>
      </c>
      <c r="C18" s="566">
        <f>+D6*(1-Depreciation!G8)</f>
        <v>95274866.211131766</v>
      </c>
      <c r="D18" s="566">
        <f>+D5*(1-Depreciation!G16)</f>
        <v>161539717.66881058</v>
      </c>
      <c r="E18" s="558"/>
      <c r="F18" s="558"/>
      <c r="H18" s="559"/>
      <c r="I18" s="559"/>
    </row>
    <row r="19" spans="1:9">
      <c r="A19" s="565" t="s">
        <v>219</v>
      </c>
      <c r="B19" s="566">
        <v>0</v>
      </c>
      <c r="C19" s="566">
        <f>+D6*(1-Depreciation!G8)*(1-Depreciation!H8)</f>
        <v>92707174.442328617</v>
      </c>
      <c r="D19" s="566">
        <f>+D5*(1-Depreciation!G16)*(1-Depreciation!H16)</f>
        <v>157039735.06679612</v>
      </c>
    </row>
    <row r="20" spans="1:9">
      <c r="A20" s="565" t="s">
        <v>1187</v>
      </c>
      <c r="B20" s="566">
        <v>0</v>
      </c>
      <c r="C20" s="566">
        <f>+D6*(1-Depreciation!G8)*(1-Depreciation!H8)*(1-Depreciation!I8)</f>
        <v>90208682.88635987</v>
      </c>
      <c r="D20" s="566">
        <f>+D5*(1-Depreciation!G16)*(1-Depreciation!H16)*(1-Depreciation!I16)</f>
        <v>152665107.66355669</v>
      </c>
    </row>
    <row r="21" spans="1:9">
      <c r="A21" s="565" t="s">
        <v>1188</v>
      </c>
      <c r="B21" s="576">
        <v>0</v>
      </c>
      <c r="C21" s="561">
        <f>+D6*(1-Depreciation!G8)*(1-Depreciation!H8)*(1-Depreciation!I8)*(1-Depreciation!J8)</f>
        <v>87777526.57270433</v>
      </c>
      <c r="D21" s="561">
        <f>+D5*(1-Depreciation!G16)*(1-Depreciation!H16)*(1-Depreciation!I16)*(1-Depreciation!J16)</f>
        <v>148412343.46206701</v>
      </c>
    </row>
    <row r="22" spans="1:9">
      <c r="A22" s="565" t="s">
        <v>1189</v>
      </c>
      <c r="B22" s="576">
        <v>0</v>
      </c>
      <c r="C22" s="561">
        <f>+D6*(1-Depreciation!G8)*(1-Depreciation!H8)*(1-Depreciation!I8)*(1-Depreciation!J8)*(1-Depreciation!K8)</f>
        <v>85411890.792464331</v>
      </c>
      <c r="D22" s="561">
        <f>+D5*(1-Depreciation!G16)*(1-Depreciation!H16)*(1-Depreciation!I16)*(1-Depreciation!J16)*(1-Depreciation!K16)</f>
        <v>144278047.7412293</v>
      </c>
    </row>
    <row r="23" spans="1:9">
      <c r="A23" s="565" t="s">
        <v>1190</v>
      </c>
      <c r="B23" s="576">
        <v>0</v>
      </c>
      <c r="C23" s="561">
        <f>+D6*(1-Depreciation!G8)*(1-Depreciation!H8)*(1-Depreciation!I8)*(1-Depreciation!J8)*(1-Depreciation!K8)*(1-Depreciation!L8)</f>
        <v>83110009.74379696</v>
      </c>
      <c r="D23" s="561">
        <f>+D5*(1-Depreciation!G16)*(1-Depreciation!H16)*(1-Depreciation!I16)*(1-Depreciation!J16)*(1-Depreciation!K16)*(1-Depreciation!L16)</f>
        <v>140258920.34607539</v>
      </c>
    </row>
  </sheetData>
  <mergeCells count="1">
    <mergeCell ref="B12:D12"/>
  </mergeCells>
  <phoneticPr fontId="18" type="noConversion"/>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H30"/>
  <sheetViews>
    <sheetView showGridLines="0" workbookViewId="0">
      <selection activeCell="D26" sqref="A1:D26"/>
    </sheetView>
  </sheetViews>
  <sheetFormatPr defaultColWidth="9.109375" defaultRowHeight="13.8"/>
  <cols>
    <col min="1" max="1" width="26.88671875" style="577" customWidth="1"/>
    <col min="2" max="2" width="13.88671875" style="385" customWidth="1"/>
    <col min="3" max="3" width="11.88671875" style="385" customWidth="1"/>
    <col min="4" max="4" width="12.33203125" style="385" customWidth="1"/>
    <col min="5" max="5" width="5" style="385" customWidth="1"/>
    <col min="6" max="6" width="5.44140625" style="385" customWidth="1"/>
    <col min="7" max="7" width="4.33203125" style="385" bestFit="1" customWidth="1"/>
    <col min="8" max="16384" width="9.109375" style="385"/>
  </cols>
  <sheetData>
    <row r="1" spans="1:8">
      <c r="A1" s="545" t="s">
        <v>17</v>
      </c>
    </row>
    <row r="2" spans="1:8">
      <c r="A2" s="545" t="s">
        <v>18</v>
      </c>
      <c r="B2" s="96"/>
      <c r="C2" s="96"/>
      <c r="D2" s="96"/>
      <c r="E2" s="96"/>
      <c r="F2" s="96"/>
      <c r="G2" s="96"/>
      <c r="H2" s="96"/>
    </row>
    <row r="3" spans="1:8">
      <c r="A3" s="545" t="s">
        <v>19</v>
      </c>
      <c r="B3" s="96"/>
      <c r="C3" s="96"/>
      <c r="D3" s="96"/>
      <c r="E3" s="96"/>
      <c r="F3" s="96"/>
      <c r="G3" s="96"/>
      <c r="H3" s="96"/>
    </row>
    <row r="4" spans="1:8">
      <c r="A4" s="577" t="s">
        <v>55</v>
      </c>
      <c r="B4" s="96"/>
      <c r="C4" s="96"/>
      <c r="D4" s="96"/>
      <c r="E4" s="96"/>
      <c r="F4" s="96"/>
      <c r="G4" s="96"/>
      <c r="H4" s="96"/>
    </row>
    <row r="5" spans="1:8">
      <c r="B5" s="96"/>
      <c r="C5" s="96"/>
      <c r="D5" s="96"/>
      <c r="E5" s="96"/>
      <c r="F5" s="96"/>
      <c r="G5" s="96"/>
      <c r="H5" s="96"/>
    </row>
    <row r="6" spans="1:8" s="581" customFormat="1">
      <c r="A6" s="578"/>
      <c r="B6" s="579" t="s">
        <v>41</v>
      </c>
      <c r="C6" s="579" t="s">
        <v>2143</v>
      </c>
      <c r="D6" s="579" t="s">
        <v>2</v>
      </c>
      <c r="E6" s="580"/>
      <c r="F6" s="580"/>
      <c r="G6" s="580"/>
      <c r="H6" s="580"/>
    </row>
    <row r="7" spans="1:8">
      <c r="A7" s="582"/>
      <c r="B7" s="583" t="s">
        <v>20</v>
      </c>
      <c r="C7" s="583" t="s">
        <v>21</v>
      </c>
      <c r="D7" s="584" t="s">
        <v>48</v>
      </c>
      <c r="E7" s="96"/>
      <c r="F7" s="96"/>
      <c r="G7" s="96"/>
      <c r="H7" s="96"/>
    </row>
    <row r="8" spans="1:8">
      <c r="A8" s="585" t="s">
        <v>22</v>
      </c>
      <c r="B8" s="586" t="s">
        <v>24</v>
      </c>
      <c r="C8" s="586" t="s">
        <v>25</v>
      </c>
      <c r="D8" s="587" t="s">
        <v>23</v>
      </c>
      <c r="E8" s="96"/>
      <c r="F8" s="96"/>
      <c r="G8" s="96"/>
      <c r="H8" s="96"/>
    </row>
    <row r="9" spans="1:8">
      <c r="A9" s="588" t="s">
        <v>2103</v>
      </c>
      <c r="B9" s="476">
        <v>356868.30518057576</v>
      </c>
      <c r="C9" s="476">
        <v>60208.455443683306</v>
      </c>
      <c r="D9" s="476">
        <v>205084.60342611116</v>
      </c>
    </row>
    <row r="10" spans="1:8">
      <c r="A10" s="387" t="s">
        <v>2104</v>
      </c>
      <c r="B10" s="476">
        <v>-25154.684899999997</v>
      </c>
      <c r="C10" s="476">
        <v>-38976.920959999989</v>
      </c>
      <c r="D10" s="476">
        <v>-131207.8303</v>
      </c>
      <c r="G10" s="77"/>
    </row>
    <row r="11" spans="1:8" ht="21.75" customHeight="1">
      <c r="A11" s="77"/>
      <c r="B11" s="589"/>
      <c r="C11" s="589"/>
      <c r="D11" s="589"/>
      <c r="G11" s="77"/>
    </row>
    <row r="12" spans="1:8">
      <c r="A12" s="387" t="s">
        <v>2007</v>
      </c>
      <c r="B12" s="590">
        <f>+(1-Depreciation!G15)*(1-Depreciation!H15)*(1-Depreciation!I15)*(1-Depreciation!J15)*(1-Depreciation!K15)*(1-Depreciation!L15)</f>
        <v>0.77674643748440586</v>
      </c>
      <c r="C12" s="77"/>
      <c r="D12" s="77"/>
    </row>
    <row r="13" spans="1:8">
      <c r="A13" s="387" t="s">
        <v>2006</v>
      </c>
      <c r="B13" s="590">
        <f>+(1-Depreciation!G$7)*(1-Depreciation!H$7)*(1-Depreciation!I$7)*(1-Depreciation!J$7)*(1-Depreciation!K$7)*(1-Depreciation!L$7)</f>
        <v>0.86935765592145553</v>
      </c>
      <c r="C13" s="77"/>
      <c r="D13" s="77"/>
    </row>
    <row r="14" spans="1:8">
      <c r="A14" s="387" t="s">
        <v>2142</v>
      </c>
      <c r="B14" s="773">
        <f>B13*Depreciation!E22+Depreciation!E23*'Func EPCOR'!B12</f>
        <v>0.79619479335618626</v>
      </c>
      <c r="C14" s="77"/>
      <c r="D14" s="77"/>
    </row>
    <row r="15" spans="1:8">
      <c r="A15" s="11"/>
      <c r="B15" s="946"/>
      <c r="C15" s="77"/>
      <c r="D15" s="77"/>
    </row>
    <row r="16" spans="1:8" s="591" customFormat="1">
      <c r="A16" s="77"/>
      <c r="B16" s="947" t="s">
        <v>49</v>
      </c>
      <c r="C16" s="947" t="s">
        <v>74</v>
      </c>
      <c r="D16" s="947" t="s">
        <v>50</v>
      </c>
    </row>
    <row r="17" spans="1:7">
      <c r="A17" s="387" t="s">
        <v>2005</v>
      </c>
      <c r="B17" s="592">
        <f>(B9+B10)*1000*B12</f>
        <v>257657372.81799218</v>
      </c>
      <c r="C17" s="592">
        <f>(C9+C10)*1000*B13</f>
        <v>18457797.05035048</v>
      </c>
      <c r="D17" s="592">
        <f>(D9+D10)*1000*B14</f>
        <v>58820302.112965934</v>
      </c>
      <c r="E17" s="77"/>
    </row>
    <row r="18" spans="1:7">
      <c r="A18" s="387" t="s">
        <v>42</v>
      </c>
      <c r="B18" s="593">
        <f>B17/SUM($B17:$D17)</f>
        <v>0.76927466444154657</v>
      </c>
      <c r="C18" s="593">
        <f>C17/SUM($B17:$D17)</f>
        <v>5.5108516697749278E-2</v>
      </c>
      <c r="D18" s="593">
        <f>D17/SUM($B17:$D17)</f>
        <v>0.17561681886070418</v>
      </c>
    </row>
    <row r="19" spans="1:7">
      <c r="B19" s="581"/>
      <c r="C19" s="581"/>
      <c r="D19" s="581"/>
    </row>
    <row r="20" spans="1:7">
      <c r="B20" s="947" t="s">
        <v>49</v>
      </c>
      <c r="C20" s="947" t="s">
        <v>74</v>
      </c>
      <c r="D20" s="947" t="s">
        <v>50</v>
      </c>
    </row>
    <row r="21" spans="1:7">
      <c r="A21" s="387" t="s">
        <v>222</v>
      </c>
      <c r="B21" s="592">
        <f>(B9+B10)*1000*(1-Depreciation!G15)</f>
        <v>318042034.38324147</v>
      </c>
      <c r="C21" s="592">
        <f>($C$9+$C$10)*1000*(1-Depreciation!G$7)</f>
        <v>20741893.656998068</v>
      </c>
      <c r="D21" s="592">
        <f>($D$9+$D$10)*1000*(1-B30)</f>
        <v>71113568.795113087</v>
      </c>
    </row>
    <row r="22" spans="1:7">
      <c r="A22" s="387" t="s">
        <v>221</v>
      </c>
      <c r="B22" s="592">
        <f>(B9+B10)*1000*(1-Depreciation!G15)*(1-Depreciation!H15)</f>
        <v>304811468.06981087</v>
      </c>
      <c r="C22" s="592">
        <f>($C$9+$C$10)*1000*(1-Depreciation!G$7)*(1-Depreciation!H$7)</f>
        <v>20263537.111105356</v>
      </c>
      <c r="D22" s="592">
        <f>($D$9+$D$10)*1000*(1-B30)*(1-C30)</f>
        <v>68432079.874856561</v>
      </c>
    </row>
    <row r="23" spans="1:7">
      <c r="A23" s="387" t="s">
        <v>1153</v>
      </c>
      <c r="B23" s="592">
        <f>(B9+B10)*1000*(1-Depreciation!G15)*(1-Depreciation!H15)*(1-Depreciation!I15)</f>
        <v>292269919.89866549</v>
      </c>
      <c r="C23" s="592">
        <f>($C$9+$C$10)*1000*(1-Depreciation!G$7)*(1-Depreciation!H$7)*(1-Depreciation!I$7)</f>
        <v>19796180.667888686</v>
      </c>
      <c r="D23" s="592">
        <f>($D$9+$D$10)*1000*(1-B30)*(1-C30)*(1-D30)</f>
        <v>65876266.254950933</v>
      </c>
    </row>
    <row r="24" spans="1:7">
      <c r="A24" s="387" t="s">
        <v>1154</v>
      </c>
      <c r="B24" s="592">
        <f>(B9+B10)*1000*(1-Depreciation!G15)*(1-Depreciation!H15)*(1-Depreciation!I15)*(1-Depreciation!J15)</f>
        <v>280244397.031703</v>
      </c>
      <c r="C24" s="592">
        <f>($C$9+$C$10)*1000*(1-Depreciation!G$7)*(1-Depreciation!H$7)*(1-Depreciation!I$7)*(1-Depreciation!J$7)</f>
        <v>19339603.292700391</v>
      </c>
      <c r="D24" s="592">
        <f>($D$9+$D$10)*1000*(1-B30)*(1-C30)*(1-D30)*(1-E30)</f>
        <v>63415907.62153177</v>
      </c>
    </row>
    <row r="25" spans="1:7">
      <c r="A25" s="387" t="s">
        <v>1155</v>
      </c>
      <c r="B25" s="592">
        <f>(B9+B10)*1000*(1-Depreciation!G15)*(1-Depreciation!H15)*(1-Depreciation!I15)*(1-Depreciation!J15)*(1-Depreciation!K15)</f>
        <v>268713667.47181082</v>
      </c>
      <c r="C25" s="592">
        <f>($C$9+$C$10)*1000*(1-Depreciation!G$7)*(1-Depreciation!H$7)*(1-Depreciation!I$7)*(1-Depreciation!J$7)*(1-Depreciation!K$7)</f>
        <v>18893556.378060579</v>
      </c>
      <c r="D25" s="592">
        <f>($D$9+$D$10)*1000*(1-B30)*(1-C30)*(1-D30)*(1-E30)*(1-F30)</f>
        <v>61047438.904605635</v>
      </c>
    </row>
    <row r="26" spans="1:7">
      <c r="A26" s="387" t="s">
        <v>2005</v>
      </c>
      <c r="B26" s="592">
        <f>(B9+B10)*1000*(1-Depreciation!G15)*(1-Depreciation!H15)*(1-Depreciation!I15)*(1-Depreciation!J15)*(1-Depreciation!K15)*(1-Depreciation!L15)</f>
        <v>257657372.81799218</v>
      </c>
      <c r="C26" s="592">
        <f>($C$9+$C$10)*1000*(1-Depreciation!G$7)*(1-Depreciation!H$7)*(1-Depreciation!I$7)*(1-Depreciation!J$7)*(1-Depreciation!K$7)*(1-Depreciation!L$7)</f>
        <v>18457797.050350476</v>
      </c>
      <c r="D26" s="592">
        <f>($D$9+$D$10)*1000*(1-B30)*(1-C30)*(1-D30)*(1-E30)*(1-F30)*(1-G30)</f>
        <v>58767428.183054045</v>
      </c>
    </row>
    <row r="27" spans="1:7">
      <c r="A27" s="77"/>
    </row>
    <row r="29" spans="1:7">
      <c r="B29" s="774">
        <v>2015</v>
      </c>
      <c r="C29" s="774">
        <v>2016</v>
      </c>
      <c r="D29" s="774">
        <v>2017</v>
      </c>
      <c r="E29" s="774">
        <v>2018</v>
      </c>
      <c r="F29" s="774">
        <v>2019</v>
      </c>
      <c r="G29" s="774">
        <v>2020</v>
      </c>
    </row>
    <row r="30" spans="1:7">
      <c r="A30" s="4" t="s">
        <v>2144</v>
      </c>
      <c r="B30" s="220">
        <f>(Depreciation!$E$22*Depreciation!G7+Depreciation!$E$23*Depreciation!G15)</f>
        <v>3.740288339721011E-2</v>
      </c>
      <c r="C30" s="220">
        <f>(Depreciation!$E$22*Depreciation!H7+Depreciation!$E$23*Depreciation!H15)</f>
        <v>3.770713473798825E-2</v>
      </c>
      <c r="D30" s="220">
        <f>(Depreciation!$E$22*Depreciation!I7+Depreciation!$E$23*Depreciation!I15)</f>
        <v>3.7348179751068626E-2</v>
      </c>
      <c r="E30" s="220">
        <f>(Depreciation!$E$22*Depreciation!J7+Depreciation!$E$23*Depreciation!J15)</f>
        <v>3.7348179751068626E-2</v>
      </c>
      <c r="F30" s="220">
        <f>(Depreciation!$E$22*Depreciation!K7+Depreciation!$E$23*Depreciation!K15)</f>
        <v>3.7348179751068626E-2</v>
      </c>
      <c r="G30" s="220">
        <f>(Depreciation!$E$22*Depreciation!L7+Depreciation!$E$23*Depreciation!L15)</f>
        <v>3.7348179751068626E-2</v>
      </c>
    </row>
  </sheetData>
  <phoneticPr fontId="18" type="noConversion"/>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sheetPr>
  <dimension ref="A1:Y377"/>
  <sheetViews>
    <sheetView showGridLines="0" zoomScale="80" zoomScaleNormal="80" workbookViewId="0">
      <pane ySplit="3" topLeftCell="A4" activePane="bottomLeft" state="frozen"/>
      <selection activeCell="O24" sqref="A1:XFD1048576"/>
      <selection pane="bottomLeft" activeCell="R279" sqref="A1:R279"/>
    </sheetView>
  </sheetViews>
  <sheetFormatPr defaultColWidth="9.109375" defaultRowHeight="13.8"/>
  <cols>
    <col min="1" max="1" width="12.109375" style="366" customWidth="1"/>
    <col min="2" max="2" width="57.5546875" style="366" customWidth="1"/>
    <col min="3" max="3" width="9.109375" style="366" bestFit="1" customWidth="1"/>
    <col min="4" max="4" width="7.44140625" style="366" bestFit="1" customWidth="1"/>
    <col min="5" max="5" width="9.44140625" style="366" bestFit="1" customWidth="1"/>
    <col min="6" max="6" width="43.88671875" style="366" bestFit="1" customWidth="1"/>
    <col min="7" max="7" width="32.6640625" style="366" customWidth="1"/>
    <col min="8" max="14" width="23.33203125" style="366" customWidth="1"/>
    <col min="15" max="15" width="23.44140625" style="366" bestFit="1" customWidth="1"/>
    <col min="16" max="16" width="23.44140625" style="366" customWidth="1"/>
    <col min="17" max="17" width="19.88671875" style="286" bestFit="1" customWidth="1"/>
    <col min="18" max="18" width="30" style="368" bestFit="1" customWidth="1"/>
    <col min="19" max="19" width="9.109375" style="286"/>
    <col min="20" max="20" width="0" style="286" hidden="1" customWidth="1"/>
    <col min="21" max="21" width="27.44140625" style="286" bestFit="1" customWidth="1"/>
    <col min="22" max="22" width="18" style="286" bestFit="1" customWidth="1"/>
    <col min="23" max="23" width="17.6640625" style="286" bestFit="1" customWidth="1"/>
    <col min="24" max="24" width="9.109375" style="286"/>
    <col min="25" max="25" width="10" style="286" bestFit="1" customWidth="1"/>
    <col min="26" max="16384" width="9.109375" style="286"/>
  </cols>
  <sheetData>
    <row r="1" spans="1:25" ht="14.4" thickBot="1">
      <c r="A1" s="1007" t="s">
        <v>2066</v>
      </c>
      <c r="B1" s="1008"/>
      <c r="C1" s="1008"/>
      <c r="D1" s="1008"/>
      <c r="E1" s="1008"/>
      <c r="F1" s="1008"/>
      <c r="G1" s="1008"/>
      <c r="H1" s="1008"/>
      <c r="I1" s="1008"/>
      <c r="J1" s="340"/>
      <c r="K1" s="1009" t="s">
        <v>51</v>
      </c>
      <c r="L1" s="1010"/>
      <c r="M1" s="1010"/>
      <c r="N1" s="1010"/>
      <c r="O1" s="1011"/>
      <c r="P1" s="783"/>
      <c r="Q1" s="1012" t="s">
        <v>119</v>
      </c>
      <c r="R1" s="1013"/>
      <c r="U1" s="986" t="s">
        <v>2067</v>
      </c>
      <c r="V1" s="986"/>
      <c r="W1" s="986"/>
    </row>
    <row r="2" spans="1:25">
      <c r="A2" s="341" t="s">
        <v>3796</v>
      </c>
      <c r="B2" s="342"/>
      <c r="C2" s="342"/>
      <c r="D2" s="342"/>
      <c r="E2" s="342"/>
      <c r="F2" s="342"/>
      <c r="G2" s="342"/>
      <c r="H2" s="343"/>
      <c r="I2" s="343"/>
      <c r="J2" s="344"/>
      <c r="K2" s="345"/>
      <c r="L2" s="344"/>
      <c r="M2" s="344"/>
      <c r="N2" s="344"/>
      <c r="O2" s="346"/>
      <c r="P2" s="344"/>
      <c r="Q2" s="347"/>
      <c r="R2" s="348"/>
      <c r="U2" s="349"/>
      <c r="V2" s="349"/>
      <c r="W2" s="349"/>
    </row>
    <row r="3" spans="1:25" ht="27.6">
      <c r="A3" s="350" t="s">
        <v>120</v>
      </c>
      <c r="B3" s="351" t="s">
        <v>121</v>
      </c>
      <c r="C3" s="351" t="s">
        <v>1205</v>
      </c>
      <c r="D3" s="351" t="s">
        <v>122</v>
      </c>
      <c r="E3" s="351" t="s">
        <v>123</v>
      </c>
      <c r="F3" s="351" t="s">
        <v>1216</v>
      </c>
      <c r="G3" s="352" t="s">
        <v>149</v>
      </c>
      <c r="H3" s="352" t="s">
        <v>148</v>
      </c>
      <c r="I3" s="353" t="s">
        <v>150</v>
      </c>
      <c r="J3" s="354">
        <v>2015</v>
      </c>
      <c r="K3" s="355">
        <v>2016</v>
      </c>
      <c r="L3" s="355">
        <v>2017</v>
      </c>
      <c r="M3" s="355">
        <v>2018</v>
      </c>
      <c r="N3" s="355">
        <v>2019</v>
      </c>
      <c r="O3" s="355">
        <v>2020</v>
      </c>
      <c r="P3" s="355" t="s">
        <v>1217</v>
      </c>
      <c r="Q3" s="356" t="s">
        <v>124</v>
      </c>
      <c r="R3" s="357" t="s">
        <v>125</v>
      </c>
      <c r="U3" s="358" t="s">
        <v>2093</v>
      </c>
      <c r="V3" s="358" t="s">
        <v>49</v>
      </c>
      <c r="W3" s="358" t="s">
        <v>74</v>
      </c>
    </row>
    <row r="4" spans="1:25" ht="15" customHeight="1">
      <c r="A4" s="359" t="s">
        <v>1191</v>
      </c>
      <c r="B4" s="359" t="s">
        <v>1691</v>
      </c>
      <c r="C4" s="359">
        <v>479</v>
      </c>
      <c r="D4" s="359">
        <v>240</v>
      </c>
      <c r="E4" s="359"/>
      <c r="F4" s="359">
        <v>0</v>
      </c>
      <c r="G4" s="360">
        <v>43593801.111914299</v>
      </c>
      <c r="H4" s="359" t="s">
        <v>4</v>
      </c>
      <c r="I4" s="359">
        <v>2019</v>
      </c>
      <c r="J4" s="361">
        <f>+IF($I4=J$3,VLOOKUP($H4,Depreciation!$A$6:$L$10,7,FALSE)/2,IF($I4&lt;J$3,VLOOKUP($H4,Depreciation!$A$6:$L$10,7,FALSE),0))</f>
        <v>0</v>
      </c>
      <c r="K4" s="361">
        <f>+IF($I4=K$3,VLOOKUP($H4,Depreciation!$A$6:$L$10,8,FALSE)/2,IF($I4&lt;K$3,VLOOKUP($H4,Depreciation!$A$6:$L$10,8,FALSE),0))</f>
        <v>0</v>
      </c>
      <c r="L4" s="361">
        <f>+IF($I4=L$3,VLOOKUP($H4,Depreciation!$A$6:$L$10,9,FALSE)/2,IF($I4&lt;L$3,VLOOKUP($H4,Depreciation!$A$6:$L$10,9,FALSE),0))</f>
        <v>0</v>
      </c>
      <c r="M4" s="361">
        <f>+IF($I4=M$3,VLOOKUP($H4,Depreciation!$A$6:$L$10,10,FALSE)/2,IF($I4&lt;M$3,VLOOKUP($H4,Depreciation!$A$6:$L$10,10,FALSE),0))</f>
        <v>0</v>
      </c>
      <c r="N4" s="361">
        <f>+IF($I4=N$3,VLOOKUP($H4,Depreciation!$A$6:$L$10,11,FALSE)/2,IF($I4&lt;N$3,VLOOKUP($H4,Depreciation!$A$6:$L$10,11,FALSE),0))</f>
        <v>1.5338181838063448E-2</v>
      </c>
      <c r="O4" s="361">
        <f>+IF($I4=O$3,VLOOKUP($H4,Depreciation!$A$6:$L$10,12,FALSE)/2,IF($I4&lt;O$3,VLOOKUP($H4,Depreciation!$A$6:$L$10,12,FALSE),0))</f>
        <v>3.0676363676126896E-2</v>
      </c>
      <c r="P4" s="362">
        <f t="shared" ref="P4" si="0">IF(I4&lt;=2015,G4*(1-J4),0)</f>
        <v>0</v>
      </c>
      <c r="Q4" s="362">
        <f t="shared" ref="Q4" si="1">IF(D4&gt;=240,P4,0)</f>
        <v>0</v>
      </c>
      <c r="R4" s="363">
        <f>IF(AND(D4&gt;25,D4&lt;240),P4,0)</f>
        <v>0</v>
      </c>
      <c r="U4" s="369" t="s">
        <v>108</v>
      </c>
      <c r="V4" s="376">
        <f>SUM(Q4:Q277)</f>
        <v>3774960505.141726</v>
      </c>
      <c r="W4" s="376">
        <f>SUM(R4:R277)</f>
        <v>121468930.79420269</v>
      </c>
      <c r="Y4" s="365"/>
    </row>
    <row r="5" spans="1:25" ht="15" customHeight="1">
      <c r="A5" s="359" t="s">
        <v>1191</v>
      </c>
      <c r="B5" s="359" t="s">
        <v>1692</v>
      </c>
      <c r="C5" s="359">
        <v>513</v>
      </c>
      <c r="D5" s="359">
        <v>138</v>
      </c>
      <c r="E5" s="359"/>
      <c r="F5" s="359">
        <v>0</v>
      </c>
      <c r="G5" s="360">
        <v>690724.36500470294</v>
      </c>
      <c r="H5" s="359" t="s">
        <v>4</v>
      </c>
      <c r="I5" s="359">
        <v>2017</v>
      </c>
      <c r="J5" s="361">
        <f>+IF($I5=J$3,VLOOKUP($H5,Depreciation!$A$6:$L$10,7,FALSE)/2,IF($I5&lt;J$3,VLOOKUP($H5,Depreciation!$A$6:$L$10,7,FALSE),0))</f>
        <v>0</v>
      </c>
      <c r="K5" s="361">
        <f>+IF($I5=K$3,VLOOKUP($H5,Depreciation!$A$6:$L$10,8,FALSE)/2,IF($I5&lt;K$3,VLOOKUP($H5,Depreciation!$A$6:$L$10,8,FALSE),0))</f>
        <v>0</v>
      </c>
      <c r="L5" s="361">
        <f>+IF($I5=L$3,VLOOKUP($H5,Depreciation!$A$6:$L$10,9,FALSE)/2,IF($I5&lt;L$3,VLOOKUP($H5,Depreciation!$A$6:$L$10,9,FALSE),0))</f>
        <v>1.5338181838063448E-2</v>
      </c>
      <c r="M5" s="361">
        <f>+IF($I5=M$3,VLOOKUP($H5,Depreciation!$A$6:$L$10,10,FALSE)/2,IF($I5&lt;M$3,VLOOKUP($H5,Depreciation!$A$6:$L$10,10,FALSE),0))</f>
        <v>3.0676363676126896E-2</v>
      </c>
      <c r="N5" s="361">
        <f>+IF($I5=N$3,VLOOKUP($H5,Depreciation!$A$6:$L$10,11,FALSE)/2,IF($I5&lt;N$3,VLOOKUP($H5,Depreciation!$A$6:$L$10,11,FALSE),0))</f>
        <v>3.0676363676126896E-2</v>
      </c>
      <c r="O5" s="361">
        <f>+IF($I5=O$3,VLOOKUP($H5,Depreciation!$A$6:$L$10,12,FALSE)/2,IF($I5&lt;O$3,VLOOKUP($H5,Depreciation!$A$6:$L$10,12,FALSE),0))</f>
        <v>3.0676363676126896E-2</v>
      </c>
      <c r="P5" s="362">
        <f t="shared" ref="P5:P68" si="2">IF(I5&lt;=2015,G5*(1-J5),0)</f>
        <v>0</v>
      </c>
      <c r="Q5" s="362">
        <f t="shared" ref="Q5:Q68" si="3">IF(D5&gt;=240,P5,0)</f>
        <v>0</v>
      </c>
      <c r="R5" s="363">
        <f t="shared" ref="R5:R68" si="4">IF(AND(D5&gt;25,D5&lt;240),P5,0)</f>
        <v>0</v>
      </c>
      <c r="U5" s="369" t="s">
        <v>109</v>
      </c>
      <c r="V5" s="375">
        <f>+V4/SUM($V$4:$W$4)</f>
        <v>0.96882557921518586</v>
      </c>
      <c r="W5" s="375">
        <f>+W4/SUM($V$4:$W$4)</f>
        <v>3.1174420784814149E-2</v>
      </c>
      <c r="Y5" s="365"/>
    </row>
    <row r="6" spans="1:25" ht="15" customHeight="1">
      <c r="A6" s="359" t="s">
        <v>1191</v>
      </c>
      <c r="B6" s="359" t="s">
        <v>1229</v>
      </c>
      <c r="C6" s="359">
        <v>513</v>
      </c>
      <c r="D6" s="359">
        <v>138</v>
      </c>
      <c r="E6" s="359"/>
      <c r="F6" s="359">
        <v>0</v>
      </c>
      <c r="G6" s="360">
        <v>982953.90404515422</v>
      </c>
      <c r="H6" s="359" t="s">
        <v>4</v>
      </c>
      <c r="I6" s="359">
        <v>2017</v>
      </c>
      <c r="J6" s="361">
        <f>+IF($I6=J$3,VLOOKUP($H6,Depreciation!$A$6:$L$10,7,FALSE)/2,IF($I6&lt;J$3,VLOOKUP($H6,Depreciation!$A$6:$L$10,7,FALSE),0))</f>
        <v>0</v>
      </c>
      <c r="K6" s="361">
        <f>+IF($I6=K$3,VLOOKUP($H6,Depreciation!$A$6:$L$10,8,FALSE)/2,IF($I6&lt;K$3,VLOOKUP($H6,Depreciation!$A$6:$L$10,8,FALSE),0))</f>
        <v>0</v>
      </c>
      <c r="L6" s="361">
        <f>+IF($I6=L$3,VLOOKUP($H6,Depreciation!$A$6:$L$10,9,FALSE)/2,IF($I6&lt;L$3,VLOOKUP($H6,Depreciation!$A$6:$L$10,9,FALSE),0))</f>
        <v>1.5338181838063448E-2</v>
      </c>
      <c r="M6" s="361">
        <f>+IF($I6=M$3,VLOOKUP($H6,Depreciation!$A$6:$L$10,10,FALSE)/2,IF($I6&lt;M$3,VLOOKUP($H6,Depreciation!$A$6:$L$10,10,FALSE),0))</f>
        <v>3.0676363676126896E-2</v>
      </c>
      <c r="N6" s="361">
        <f>+IF($I6=N$3,VLOOKUP($H6,Depreciation!$A$6:$L$10,11,FALSE)/2,IF($I6&lt;N$3,VLOOKUP($H6,Depreciation!$A$6:$L$10,11,FALSE),0))</f>
        <v>3.0676363676126896E-2</v>
      </c>
      <c r="O6" s="361">
        <f>+IF($I6=O$3,VLOOKUP($H6,Depreciation!$A$6:$L$10,12,FALSE)/2,IF($I6&lt;O$3,VLOOKUP($H6,Depreciation!$A$6:$L$10,12,FALSE),0))</f>
        <v>3.0676363676126896E-2</v>
      </c>
      <c r="P6" s="362">
        <f t="shared" si="2"/>
        <v>0</v>
      </c>
      <c r="Q6" s="362">
        <f t="shared" si="3"/>
        <v>0</v>
      </c>
      <c r="R6" s="363">
        <f t="shared" si="4"/>
        <v>0</v>
      </c>
      <c r="W6" s="4"/>
      <c r="Y6" s="365"/>
    </row>
    <row r="7" spans="1:25" ht="15" customHeight="1">
      <c r="A7" s="359" t="s">
        <v>1511</v>
      </c>
      <c r="B7" s="359" t="s">
        <v>1693</v>
      </c>
      <c r="C7" s="359">
        <v>559</v>
      </c>
      <c r="D7" s="359">
        <v>240</v>
      </c>
      <c r="E7" s="359"/>
      <c r="F7" s="359" t="s">
        <v>1252</v>
      </c>
      <c r="G7" s="360">
        <v>23861790.750385337</v>
      </c>
      <c r="H7" s="359" t="s">
        <v>4</v>
      </c>
      <c r="I7" s="359">
        <v>2015</v>
      </c>
      <c r="J7" s="361">
        <f>+IF($I7=J$3,VLOOKUP($H7,Depreciation!$A$6:$L$10,7,FALSE)/2,IF($I7&lt;J$3,VLOOKUP($H7,Depreciation!$A$6:$L$10,7,FALSE),0))</f>
        <v>1.595020804044691E-2</v>
      </c>
      <c r="K7" s="361">
        <f>+IF($I7=K$3,VLOOKUP($H7,Depreciation!$A$6:$L$10,8,FALSE)/2,IF($I7&lt;K$3,VLOOKUP($H7,Depreciation!$A$6:$L$10,8,FALSE),0))</f>
        <v>3.0676363676126896E-2</v>
      </c>
      <c r="L7" s="361">
        <f>+IF($I7=L$3,VLOOKUP($H7,Depreciation!$A$6:$L$10,9,FALSE)/2,IF($I7&lt;L$3,VLOOKUP($H7,Depreciation!$A$6:$L$10,9,FALSE),0))</f>
        <v>3.0676363676126896E-2</v>
      </c>
      <c r="M7" s="361">
        <f>+IF($I7=M$3,VLOOKUP($H7,Depreciation!$A$6:$L$10,10,FALSE)/2,IF($I7&lt;M$3,VLOOKUP($H7,Depreciation!$A$6:$L$10,10,FALSE),0))</f>
        <v>3.0676363676126896E-2</v>
      </c>
      <c r="N7" s="361">
        <f>+IF($I7=N$3,VLOOKUP($H7,Depreciation!$A$6:$L$10,11,FALSE)/2,IF($I7&lt;N$3,VLOOKUP($H7,Depreciation!$A$6:$L$10,11,FALSE),0))</f>
        <v>3.0676363676126896E-2</v>
      </c>
      <c r="O7" s="361">
        <f>+IF($I7=O$3,VLOOKUP($H7,Depreciation!$A$6:$L$10,12,FALSE)/2,IF($I7&lt;O$3,VLOOKUP($H7,Depreciation!$A$6:$L$10,12,FALSE),0))</f>
        <v>3.0676363676126896E-2</v>
      </c>
      <c r="P7" s="362">
        <f t="shared" si="2"/>
        <v>23481190.223699078</v>
      </c>
      <c r="Q7" s="362">
        <f t="shared" si="3"/>
        <v>23481190.223699078</v>
      </c>
      <c r="R7" s="363">
        <f t="shared" si="4"/>
        <v>0</v>
      </c>
      <c r="U7" s="286" t="s">
        <v>179</v>
      </c>
      <c r="V7" s="374">
        <f>+SUM(P4:P277)</f>
        <v>3896429435.9359288</v>
      </c>
      <c r="W7" s="4"/>
      <c r="Y7" s="365"/>
    </row>
    <row r="8" spans="1:25" ht="15" customHeight="1">
      <c r="A8" s="359" t="s">
        <v>1511</v>
      </c>
      <c r="B8" s="359" t="s">
        <v>1694</v>
      </c>
      <c r="C8" s="359">
        <v>559</v>
      </c>
      <c r="D8" s="359">
        <v>240</v>
      </c>
      <c r="E8" s="359"/>
      <c r="F8" s="359" t="s">
        <v>1252</v>
      </c>
      <c r="G8" s="360">
        <v>121591.45834265216</v>
      </c>
      <c r="H8" s="359" t="s">
        <v>4</v>
      </c>
      <c r="I8" s="359">
        <v>2015</v>
      </c>
      <c r="J8" s="361">
        <f>+IF($I8=J$3,VLOOKUP($H8,Depreciation!$A$6:$L$10,7,FALSE)/2,IF($I8&lt;J$3,VLOOKUP($H8,Depreciation!$A$6:$L$10,7,FALSE),0))</f>
        <v>1.595020804044691E-2</v>
      </c>
      <c r="K8" s="361">
        <f>+IF($I8=K$3,VLOOKUP($H8,Depreciation!$A$6:$L$10,8,FALSE)/2,IF($I8&lt;K$3,VLOOKUP($H8,Depreciation!$A$6:$L$10,8,FALSE),0))</f>
        <v>3.0676363676126896E-2</v>
      </c>
      <c r="L8" s="361">
        <f>+IF($I8=L$3,VLOOKUP($H8,Depreciation!$A$6:$L$10,9,FALSE)/2,IF($I8&lt;L$3,VLOOKUP($H8,Depreciation!$A$6:$L$10,9,FALSE),0))</f>
        <v>3.0676363676126896E-2</v>
      </c>
      <c r="M8" s="361">
        <f>+IF($I8=M$3,VLOOKUP($H8,Depreciation!$A$6:$L$10,10,FALSE)/2,IF($I8&lt;M$3,VLOOKUP($H8,Depreciation!$A$6:$L$10,10,FALSE),0))</f>
        <v>3.0676363676126896E-2</v>
      </c>
      <c r="N8" s="361">
        <f>+IF($I8=N$3,VLOOKUP($H8,Depreciation!$A$6:$L$10,11,FALSE)/2,IF($I8&lt;N$3,VLOOKUP($H8,Depreciation!$A$6:$L$10,11,FALSE),0))</f>
        <v>3.0676363676126896E-2</v>
      </c>
      <c r="O8" s="361">
        <f>+IF($I8=O$3,VLOOKUP($H8,Depreciation!$A$6:$L$10,12,FALSE)/2,IF($I8&lt;O$3,VLOOKUP($H8,Depreciation!$A$6:$L$10,12,FALSE),0))</f>
        <v>3.0676363676126896E-2</v>
      </c>
      <c r="P8" s="362">
        <f t="shared" si="2"/>
        <v>119652.04928614553</v>
      </c>
      <c r="Q8" s="362">
        <f t="shared" si="3"/>
        <v>119652.04928614553</v>
      </c>
      <c r="R8" s="363">
        <f t="shared" si="4"/>
        <v>0</v>
      </c>
      <c r="U8" s="365"/>
    </row>
    <row r="9" spans="1:25" ht="15" customHeight="1">
      <c r="A9" s="359" t="s">
        <v>1511</v>
      </c>
      <c r="B9" s="359" t="s">
        <v>1695</v>
      </c>
      <c r="C9" s="359">
        <v>559</v>
      </c>
      <c r="D9" s="359">
        <v>138</v>
      </c>
      <c r="E9" s="359"/>
      <c r="F9" s="359" t="s">
        <v>1252</v>
      </c>
      <c r="G9" s="360">
        <v>1655001.6528058015</v>
      </c>
      <c r="H9" s="359" t="s">
        <v>4</v>
      </c>
      <c r="I9" s="359">
        <v>2015</v>
      </c>
      <c r="J9" s="361">
        <f>+IF($I9=J$3,VLOOKUP($H9,Depreciation!$A$6:$L$10,7,FALSE)/2,IF($I9&lt;J$3,VLOOKUP($H9,Depreciation!$A$6:$L$10,7,FALSE),0))</f>
        <v>1.595020804044691E-2</v>
      </c>
      <c r="K9" s="361">
        <f>+IF($I9=K$3,VLOOKUP($H9,Depreciation!$A$6:$L$10,8,FALSE)/2,IF($I9&lt;K$3,VLOOKUP($H9,Depreciation!$A$6:$L$10,8,FALSE),0))</f>
        <v>3.0676363676126896E-2</v>
      </c>
      <c r="L9" s="361">
        <f>+IF($I9=L$3,VLOOKUP($H9,Depreciation!$A$6:$L$10,9,FALSE)/2,IF($I9&lt;L$3,VLOOKUP($H9,Depreciation!$A$6:$L$10,9,FALSE),0))</f>
        <v>3.0676363676126896E-2</v>
      </c>
      <c r="M9" s="361">
        <f>+IF($I9=M$3,VLOOKUP($H9,Depreciation!$A$6:$L$10,10,FALSE)/2,IF($I9&lt;M$3,VLOOKUP($H9,Depreciation!$A$6:$L$10,10,FALSE),0))</f>
        <v>3.0676363676126896E-2</v>
      </c>
      <c r="N9" s="361">
        <f>+IF($I9=N$3,VLOOKUP($H9,Depreciation!$A$6:$L$10,11,FALSE)/2,IF($I9&lt;N$3,VLOOKUP($H9,Depreciation!$A$6:$L$10,11,FALSE),0))</f>
        <v>3.0676363676126896E-2</v>
      </c>
      <c r="O9" s="361">
        <f>+IF($I9=O$3,VLOOKUP($H9,Depreciation!$A$6:$L$10,12,FALSE)/2,IF($I9&lt;O$3,VLOOKUP($H9,Depreciation!$A$6:$L$10,12,FALSE),0))</f>
        <v>3.0676363676126896E-2</v>
      </c>
      <c r="P9" s="362">
        <f t="shared" si="2"/>
        <v>1628604.0321362654</v>
      </c>
      <c r="Q9" s="362">
        <f t="shared" si="3"/>
        <v>0</v>
      </c>
      <c r="R9" s="363">
        <f t="shared" si="4"/>
        <v>1628604.0321362654</v>
      </c>
      <c r="U9" s="365"/>
    </row>
    <row r="10" spans="1:25" ht="15" customHeight="1">
      <c r="A10" s="359" t="s">
        <v>1191</v>
      </c>
      <c r="B10" s="359" t="s">
        <v>1370</v>
      </c>
      <c r="C10" s="359">
        <v>580</v>
      </c>
      <c r="D10" s="359">
        <v>138</v>
      </c>
      <c r="E10" s="359"/>
      <c r="F10" s="359" t="s">
        <v>1212</v>
      </c>
      <c r="G10" s="360">
        <v>1145283.5820895538</v>
      </c>
      <c r="H10" s="359" t="s">
        <v>4</v>
      </c>
      <c r="I10" s="359">
        <v>2019</v>
      </c>
      <c r="J10" s="361">
        <f>+IF($I10=J$3,VLOOKUP($H10,Depreciation!$A$6:$L$10,7,FALSE)/2,IF($I10&lt;J$3,VLOOKUP($H10,Depreciation!$A$6:$L$10,7,FALSE),0))</f>
        <v>0</v>
      </c>
      <c r="K10" s="361">
        <f>+IF($I10=K$3,VLOOKUP($H10,Depreciation!$A$6:$L$10,8,FALSE)/2,IF($I10&lt;K$3,VLOOKUP($H10,Depreciation!$A$6:$L$10,8,FALSE),0))</f>
        <v>0</v>
      </c>
      <c r="L10" s="361">
        <f>+IF($I10=L$3,VLOOKUP($H10,Depreciation!$A$6:$L$10,9,FALSE)/2,IF($I10&lt;L$3,VLOOKUP($H10,Depreciation!$A$6:$L$10,9,FALSE),0))</f>
        <v>0</v>
      </c>
      <c r="M10" s="361">
        <f>+IF($I10=M$3,VLOOKUP($H10,Depreciation!$A$6:$L$10,10,FALSE)/2,IF($I10&lt;M$3,VLOOKUP($H10,Depreciation!$A$6:$L$10,10,FALSE),0))</f>
        <v>0</v>
      </c>
      <c r="N10" s="361">
        <f>+IF($I10=N$3,VLOOKUP($H10,Depreciation!$A$6:$L$10,11,FALSE)/2,IF($I10&lt;N$3,VLOOKUP($H10,Depreciation!$A$6:$L$10,11,FALSE),0))</f>
        <v>1.5338181838063448E-2</v>
      </c>
      <c r="O10" s="361">
        <f>+IF($I10=O$3,VLOOKUP($H10,Depreciation!$A$6:$L$10,12,FALSE)/2,IF($I10&lt;O$3,VLOOKUP($H10,Depreciation!$A$6:$L$10,12,FALSE),0))</f>
        <v>3.0676363676126896E-2</v>
      </c>
      <c r="P10" s="362">
        <f t="shared" si="2"/>
        <v>0</v>
      </c>
      <c r="Q10" s="362">
        <f t="shared" si="3"/>
        <v>0</v>
      </c>
      <c r="R10" s="363">
        <f t="shared" si="4"/>
        <v>0</v>
      </c>
      <c r="U10" s="365"/>
    </row>
    <row r="11" spans="1:25" ht="15" customHeight="1">
      <c r="A11" s="359" t="s">
        <v>1511</v>
      </c>
      <c r="B11" s="359" t="s">
        <v>1696</v>
      </c>
      <c r="C11" s="359">
        <v>629</v>
      </c>
      <c r="D11" s="359">
        <v>240</v>
      </c>
      <c r="E11" s="359"/>
      <c r="F11" s="359">
        <v>0</v>
      </c>
      <c r="G11" s="360">
        <v>61619635.006528027</v>
      </c>
      <c r="H11" s="359" t="s">
        <v>4</v>
      </c>
      <c r="I11" s="359">
        <v>2015</v>
      </c>
      <c r="J11" s="361">
        <f>+IF($I11=J$3,VLOOKUP($H11,Depreciation!$A$6:$L$10,7,FALSE)/2,IF($I11&lt;J$3,VLOOKUP($H11,Depreciation!$A$6:$L$10,7,FALSE),0))</f>
        <v>1.595020804044691E-2</v>
      </c>
      <c r="K11" s="361">
        <f>+IF($I11=K$3,VLOOKUP($H11,Depreciation!$A$6:$L$10,8,FALSE)/2,IF($I11&lt;K$3,VLOOKUP($H11,Depreciation!$A$6:$L$10,8,FALSE),0))</f>
        <v>3.0676363676126896E-2</v>
      </c>
      <c r="L11" s="361">
        <f>+IF($I11=L$3,VLOOKUP($H11,Depreciation!$A$6:$L$10,9,FALSE)/2,IF($I11&lt;L$3,VLOOKUP($H11,Depreciation!$A$6:$L$10,9,FALSE),0))</f>
        <v>3.0676363676126896E-2</v>
      </c>
      <c r="M11" s="361">
        <f>+IF($I11=M$3,VLOOKUP($H11,Depreciation!$A$6:$L$10,10,FALSE)/2,IF($I11&lt;M$3,VLOOKUP($H11,Depreciation!$A$6:$L$10,10,FALSE),0))</f>
        <v>3.0676363676126896E-2</v>
      </c>
      <c r="N11" s="361">
        <f>+IF($I11=N$3,VLOOKUP($H11,Depreciation!$A$6:$L$10,11,FALSE)/2,IF($I11&lt;N$3,VLOOKUP($H11,Depreciation!$A$6:$L$10,11,FALSE),0))</f>
        <v>3.0676363676126896E-2</v>
      </c>
      <c r="O11" s="361">
        <f>+IF($I11=O$3,VLOOKUP($H11,Depreciation!$A$6:$L$10,12,FALSE)/2,IF($I11&lt;O$3,VLOOKUP($H11,Depreciation!$A$6:$L$10,12,FALSE),0))</f>
        <v>3.0676363676126896E-2</v>
      </c>
      <c r="P11" s="362">
        <f t="shared" si="2"/>
        <v>60636789.008797504</v>
      </c>
      <c r="Q11" s="362">
        <f t="shared" si="3"/>
        <v>60636789.008797504</v>
      </c>
      <c r="R11" s="363">
        <f t="shared" si="4"/>
        <v>0</v>
      </c>
      <c r="U11" s="365"/>
    </row>
    <row r="12" spans="1:25" ht="15" customHeight="1">
      <c r="A12" s="359" t="s">
        <v>1511</v>
      </c>
      <c r="B12" s="359" t="s">
        <v>1697</v>
      </c>
      <c r="C12" s="359">
        <v>629</v>
      </c>
      <c r="D12" s="359">
        <v>240</v>
      </c>
      <c r="E12" s="359"/>
      <c r="F12" s="359">
        <v>0</v>
      </c>
      <c r="G12" s="360">
        <v>2898036.7235482754</v>
      </c>
      <c r="H12" s="359" t="s">
        <v>4</v>
      </c>
      <c r="I12" s="359">
        <v>2015</v>
      </c>
      <c r="J12" s="361">
        <f>+IF($I12=J$3,VLOOKUP($H12,Depreciation!$A$6:$L$10,7,FALSE)/2,IF($I12&lt;J$3,VLOOKUP($H12,Depreciation!$A$6:$L$10,7,FALSE),0))</f>
        <v>1.595020804044691E-2</v>
      </c>
      <c r="K12" s="361">
        <f>+IF($I12=K$3,VLOOKUP($H12,Depreciation!$A$6:$L$10,8,FALSE)/2,IF($I12&lt;K$3,VLOOKUP($H12,Depreciation!$A$6:$L$10,8,FALSE),0))</f>
        <v>3.0676363676126896E-2</v>
      </c>
      <c r="L12" s="361">
        <f>+IF($I12=L$3,VLOOKUP($H12,Depreciation!$A$6:$L$10,9,FALSE)/2,IF($I12&lt;L$3,VLOOKUP($H12,Depreciation!$A$6:$L$10,9,FALSE),0))</f>
        <v>3.0676363676126896E-2</v>
      </c>
      <c r="M12" s="361">
        <f>+IF($I12=M$3,VLOOKUP($H12,Depreciation!$A$6:$L$10,10,FALSE)/2,IF($I12&lt;M$3,VLOOKUP($H12,Depreciation!$A$6:$L$10,10,FALSE),0))</f>
        <v>3.0676363676126896E-2</v>
      </c>
      <c r="N12" s="361">
        <f>+IF($I12=N$3,VLOOKUP($H12,Depreciation!$A$6:$L$10,11,FALSE)/2,IF($I12&lt;N$3,VLOOKUP($H12,Depreciation!$A$6:$L$10,11,FALSE),0))</f>
        <v>3.0676363676126896E-2</v>
      </c>
      <c r="O12" s="361">
        <f>+IF($I12=O$3,VLOOKUP($H12,Depreciation!$A$6:$L$10,12,FALSE)/2,IF($I12&lt;O$3,VLOOKUP($H12,Depreciation!$A$6:$L$10,12,FALSE),0))</f>
        <v>3.0676363676126896E-2</v>
      </c>
      <c r="P12" s="362">
        <f t="shared" si="2"/>
        <v>2851812.4348988254</v>
      </c>
      <c r="Q12" s="362">
        <f t="shared" si="3"/>
        <v>2851812.4348988254</v>
      </c>
      <c r="R12" s="363">
        <f t="shared" si="4"/>
        <v>0</v>
      </c>
      <c r="U12" s="365"/>
    </row>
    <row r="13" spans="1:25" ht="15" customHeight="1">
      <c r="A13" s="359" t="s">
        <v>1511</v>
      </c>
      <c r="B13" s="359" t="s">
        <v>1698</v>
      </c>
      <c r="C13" s="359">
        <v>629</v>
      </c>
      <c r="D13" s="359">
        <v>500</v>
      </c>
      <c r="E13" s="359"/>
      <c r="F13" s="359">
        <v>0</v>
      </c>
      <c r="G13" s="360">
        <v>530866409.86294144</v>
      </c>
      <c r="H13" s="359" t="s">
        <v>4</v>
      </c>
      <c r="I13" s="359">
        <v>2015</v>
      </c>
      <c r="J13" s="361">
        <f>+IF($I13=J$3,VLOOKUP($H13,Depreciation!$A$6:$L$10,7,FALSE)/2,IF($I13&lt;J$3,VLOOKUP($H13,Depreciation!$A$6:$L$10,7,FALSE),0))</f>
        <v>1.595020804044691E-2</v>
      </c>
      <c r="K13" s="361">
        <f>+IF($I13=K$3,VLOOKUP($H13,Depreciation!$A$6:$L$10,8,FALSE)/2,IF($I13&lt;K$3,VLOOKUP($H13,Depreciation!$A$6:$L$10,8,FALSE),0))</f>
        <v>3.0676363676126896E-2</v>
      </c>
      <c r="L13" s="361">
        <f>+IF($I13=L$3,VLOOKUP($H13,Depreciation!$A$6:$L$10,9,FALSE)/2,IF($I13&lt;L$3,VLOOKUP($H13,Depreciation!$A$6:$L$10,9,FALSE),0))</f>
        <v>3.0676363676126896E-2</v>
      </c>
      <c r="M13" s="361">
        <f>+IF($I13=M$3,VLOOKUP($H13,Depreciation!$A$6:$L$10,10,FALSE)/2,IF($I13&lt;M$3,VLOOKUP($H13,Depreciation!$A$6:$L$10,10,FALSE),0))</f>
        <v>3.0676363676126896E-2</v>
      </c>
      <c r="N13" s="361">
        <f>+IF($I13=N$3,VLOOKUP($H13,Depreciation!$A$6:$L$10,11,FALSE)/2,IF($I13&lt;N$3,VLOOKUP($H13,Depreciation!$A$6:$L$10,11,FALSE),0))</f>
        <v>3.0676363676126896E-2</v>
      </c>
      <c r="O13" s="361">
        <f>+IF($I13=O$3,VLOOKUP($H13,Depreciation!$A$6:$L$10,12,FALSE)/2,IF($I13&lt;O$3,VLOOKUP($H13,Depreciation!$A$6:$L$10,12,FALSE),0))</f>
        <v>3.0676363676126896E-2</v>
      </c>
      <c r="P13" s="362">
        <f t="shared" si="2"/>
        <v>522398980.18394238</v>
      </c>
      <c r="Q13" s="362">
        <f t="shared" si="3"/>
        <v>522398980.18394238</v>
      </c>
      <c r="R13" s="363">
        <f t="shared" si="4"/>
        <v>0</v>
      </c>
      <c r="U13" s="365"/>
    </row>
    <row r="14" spans="1:25" ht="15" customHeight="1">
      <c r="A14" s="359" t="s">
        <v>1511</v>
      </c>
      <c r="B14" s="359" t="s">
        <v>1699</v>
      </c>
      <c r="C14" s="359">
        <v>629</v>
      </c>
      <c r="D14" s="359">
        <v>138</v>
      </c>
      <c r="E14" s="359"/>
      <c r="F14" s="359">
        <v>0</v>
      </c>
      <c r="G14" s="360">
        <v>702156.82391399238</v>
      </c>
      <c r="H14" s="359" t="s">
        <v>4</v>
      </c>
      <c r="I14" s="359">
        <v>2015</v>
      </c>
      <c r="J14" s="361">
        <f>+IF($I14=J$3,VLOOKUP($H14,Depreciation!$A$6:$L$10,7,FALSE)/2,IF($I14&lt;J$3,VLOOKUP($H14,Depreciation!$A$6:$L$10,7,FALSE),0))</f>
        <v>1.595020804044691E-2</v>
      </c>
      <c r="K14" s="361">
        <f>+IF($I14=K$3,VLOOKUP($H14,Depreciation!$A$6:$L$10,8,FALSE)/2,IF($I14&lt;K$3,VLOOKUP($H14,Depreciation!$A$6:$L$10,8,FALSE),0))</f>
        <v>3.0676363676126896E-2</v>
      </c>
      <c r="L14" s="361">
        <f>+IF($I14=L$3,VLOOKUP($H14,Depreciation!$A$6:$L$10,9,FALSE)/2,IF($I14&lt;L$3,VLOOKUP($H14,Depreciation!$A$6:$L$10,9,FALSE),0))</f>
        <v>3.0676363676126896E-2</v>
      </c>
      <c r="M14" s="361">
        <f>+IF($I14=M$3,VLOOKUP($H14,Depreciation!$A$6:$L$10,10,FALSE)/2,IF($I14&lt;M$3,VLOOKUP($H14,Depreciation!$A$6:$L$10,10,FALSE),0))</f>
        <v>3.0676363676126896E-2</v>
      </c>
      <c r="N14" s="361">
        <f>+IF($I14=N$3,VLOOKUP($H14,Depreciation!$A$6:$L$10,11,FALSE)/2,IF($I14&lt;N$3,VLOOKUP($H14,Depreciation!$A$6:$L$10,11,FALSE),0))</f>
        <v>3.0676363676126896E-2</v>
      </c>
      <c r="O14" s="361">
        <f>+IF($I14=O$3,VLOOKUP($H14,Depreciation!$A$6:$L$10,12,FALSE)/2,IF($I14&lt;O$3,VLOOKUP($H14,Depreciation!$A$6:$L$10,12,FALSE),0))</f>
        <v>3.0676363676126896E-2</v>
      </c>
      <c r="P14" s="362">
        <f t="shared" si="2"/>
        <v>690957.27649554482</v>
      </c>
      <c r="Q14" s="362">
        <f t="shared" si="3"/>
        <v>0</v>
      </c>
      <c r="R14" s="363">
        <f t="shared" si="4"/>
        <v>690957.27649554482</v>
      </c>
      <c r="U14" s="365"/>
    </row>
    <row r="15" spans="1:25" ht="15" customHeight="1">
      <c r="A15" s="359" t="s">
        <v>1511</v>
      </c>
      <c r="B15" s="359" t="s">
        <v>1700</v>
      </c>
      <c r="C15" s="359">
        <v>629</v>
      </c>
      <c r="D15" s="359">
        <v>138</v>
      </c>
      <c r="E15" s="359"/>
      <c r="F15" s="359">
        <v>0</v>
      </c>
      <c r="G15" s="360">
        <v>504109.03864587925</v>
      </c>
      <c r="H15" s="359" t="s">
        <v>4</v>
      </c>
      <c r="I15" s="359">
        <v>2015</v>
      </c>
      <c r="J15" s="361">
        <f>+IF($I15=J$3,VLOOKUP($H15,Depreciation!$A$6:$L$10,7,FALSE)/2,IF($I15&lt;J$3,VLOOKUP($H15,Depreciation!$A$6:$L$10,7,FALSE),0))</f>
        <v>1.595020804044691E-2</v>
      </c>
      <c r="K15" s="361">
        <f>+IF($I15=K$3,VLOOKUP($H15,Depreciation!$A$6:$L$10,8,FALSE)/2,IF($I15&lt;K$3,VLOOKUP($H15,Depreciation!$A$6:$L$10,8,FALSE),0))</f>
        <v>3.0676363676126896E-2</v>
      </c>
      <c r="L15" s="361">
        <f>+IF($I15=L$3,VLOOKUP($H15,Depreciation!$A$6:$L$10,9,FALSE)/2,IF($I15&lt;L$3,VLOOKUP($H15,Depreciation!$A$6:$L$10,9,FALSE),0))</f>
        <v>3.0676363676126896E-2</v>
      </c>
      <c r="M15" s="361">
        <f>+IF($I15=M$3,VLOOKUP($H15,Depreciation!$A$6:$L$10,10,FALSE)/2,IF($I15&lt;M$3,VLOOKUP($H15,Depreciation!$A$6:$L$10,10,FALSE),0))</f>
        <v>3.0676363676126896E-2</v>
      </c>
      <c r="N15" s="361">
        <f>+IF($I15=N$3,VLOOKUP($H15,Depreciation!$A$6:$L$10,11,FALSE)/2,IF($I15&lt;N$3,VLOOKUP($H15,Depreciation!$A$6:$L$10,11,FALSE),0))</f>
        <v>3.0676363676126896E-2</v>
      </c>
      <c r="O15" s="361">
        <f>+IF($I15=O$3,VLOOKUP($H15,Depreciation!$A$6:$L$10,12,FALSE)/2,IF($I15&lt;O$3,VLOOKUP($H15,Depreciation!$A$6:$L$10,12,FALSE),0))</f>
        <v>3.0676363676126896E-2</v>
      </c>
      <c r="P15" s="362">
        <f t="shared" si="2"/>
        <v>496068.39460440777</v>
      </c>
      <c r="Q15" s="362">
        <f t="shared" si="3"/>
        <v>0</v>
      </c>
      <c r="R15" s="363">
        <f t="shared" si="4"/>
        <v>496068.39460440777</v>
      </c>
      <c r="Y15" s="365"/>
    </row>
    <row r="16" spans="1:25" ht="15" customHeight="1">
      <c r="A16" s="359" t="s">
        <v>1511</v>
      </c>
      <c r="B16" s="359" t="s">
        <v>1701</v>
      </c>
      <c r="C16" s="359">
        <v>629</v>
      </c>
      <c r="D16" s="359">
        <v>138</v>
      </c>
      <c r="E16" s="359"/>
      <c r="F16" s="359">
        <v>0</v>
      </c>
      <c r="G16" s="360">
        <v>2727.7774922550475</v>
      </c>
      <c r="H16" s="359" t="s">
        <v>4</v>
      </c>
      <c r="I16" s="359">
        <v>2015</v>
      </c>
      <c r="J16" s="361">
        <f>+IF($I16=J$3,VLOOKUP($H16,Depreciation!$A$6:$L$10,7,FALSE)/2,IF($I16&lt;J$3,VLOOKUP($H16,Depreciation!$A$6:$L$10,7,FALSE),0))</f>
        <v>1.595020804044691E-2</v>
      </c>
      <c r="K16" s="361">
        <f>+IF($I16=K$3,VLOOKUP($H16,Depreciation!$A$6:$L$10,8,FALSE)/2,IF($I16&lt;K$3,VLOOKUP($H16,Depreciation!$A$6:$L$10,8,FALSE),0))</f>
        <v>3.0676363676126896E-2</v>
      </c>
      <c r="L16" s="361">
        <f>+IF($I16=L$3,VLOOKUP($H16,Depreciation!$A$6:$L$10,9,FALSE)/2,IF($I16&lt;L$3,VLOOKUP($H16,Depreciation!$A$6:$L$10,9,FALSE),0))</f>
        <v>3.0676363676126896E-2</v>
      </c>
      <c r="M16" s="361">
        <f>+IF($I16=M$3,VLOOKUP($H16,Depreciation!$A$6:$L$10,10,FALSE)/2,IF($I16&lt;M$3,VLOOKUP($H16,Depreciation!$A$6:$L$10,10,FALSE),0))</f>
        <v>3.0676363676126896E-2</v>
      </c>
      <c r="N16" s="361">
        <f>+IF($I16=N$3,VLOOKUP($H16,Depreciation!$A$6:$L$10,11,FALSE)/2,IF($I16&lt;N$3,VLOOKUP($H16,Depreciation!$A$6:$L$10,11,FALSE),0))</f>
        <v>3.0676363676126896E-2</v>
      </c>
      <c r="O16" s="361">
        <f>+IF($I16=O$3,VLOOKUP($H16,Depreciation!$A$6:$L$10,12,FALSE)/2,IF($I16&lt;O$3,VLOOKUP($H16,Depreciation!$A$6:$L$10,12,FALSE),0))</f>
        <v>3.0676363676126896E-2</v>
      </c>
      <c r="P16" s="362">
        <f t="shared" si="2"/>
        <v>2684.2688737655308</v>
      </c>
      <c r="Q16" s="362">
        <f t="shared" si="3"/>
        <v>0</v>
      </c>
      <c r="R16" s="363">
        <f t="shared" si="4"/>
        <v>2684.2688737655308</v>
      </c>
      <c r="Y16" s="365"/>
    </row>
    <row r="17" spans="1:25" ht="15" customHeight="1">
      <c r="A17" s="359" t="s">
        <v>1511</v>
      </c>
      <c r="B17" s="359" t="s">
        <v>1702</v>
      </c>
      <c r="C17" s="359">
        <v>629</v>
      </c>
      <c r="D17" s="359">
        <v>138</v>
      </c>
      <c r="E17" s="359"/>
      <c r="F17" s="359">
        <v>0</v>
      </c>
      <c r="G17" s="360">
        <v>227994.9241210825</v>
      </c>
      <c r="H17" s="359" t="s">
        <v>4</v>
      </c>
      <c r="I17" s="359">
        <v>2015</v>
      </c>
      <c r="J17" s="361">
        <f>+IF($I17=J$3,VLOOKUP($H17,Depreciation!$A$6:$L$10,7,FALSE)/2,IF($I17&lt;J$3,VLOOKUP($H17,Depreciation!$A$6:$L$10,7,FALSE),0))</f>
        <v>1.595020804044691E-2</v>
      </c>
      <c r="K17" s="361">
        <f>+IF($I17=K$3,VLOOKUP($H17,Depreciation!$A$6:$L$10,8,FALSE)/2,IF($I17&lt;K$3,VLOOKUP($H17,Depreciation!$A$6:$L$10,8,FALSE),0))</f>
        <v>3.0676363676126896E-2</v>
      </c>
      <c r="L17" s="361">
        <f>+IF($I17=L$3,VLOOKUP($H17,Depreciation!$A$6:$L$10,9,FALSE)/2,IF($I17&lt;L$3,VLOOKUP($H17,Depreciation!$A$6:$L$10,9,FALSE),0))</f>
        <v>3.0676363676126896E-2</v>
      </c>
      <c r="M17" s="361">
        <f>+IF($I17=M$3,VLOOKUP($H17,Depreciation!$A$6:$L$10,10,FALSE)/2,IF($I17&lt;M$3,VLOOKUP($H17,Depreciation!$A$6:$L$10,10,FALSE),0))</f>
        <v>3.0676363676126896E-2</v>
      </c>
      <c r="N17" s="361">
        <f>+IF($I17=N$3,VLOOKUP($H17,Depreciation!$A$6:$L$10,11,FALSE)/2,IF($I17&lt;N$3,VLOOKUP($H17,Depreciation!$A$6:$L$10,11,FALSE),0))</f>
        <v>3.0676363676126896E-2</v>
      </c>
      <c r="O17" s="361">
        <f>+IF($I17=O$3,VLOOKUP($H17,Depreciation!$A$6:$L$10,12,FALSE)/2,IF($I17&lt;O$3,VLOOKUP($H17,Depreciation!$A$6:$L$10,12,FALSE),0))</f>
        <v>3.0676363676126896E-2</v>
      </c>
      <c r="P17" s="362">
        <f t="shared" si="2"/>
        <v>224358.35764918532</v>
      </c>
      <c r="Q17" s="362">
        <f t="shared" si="3"/>
        <v>0</v>
      </c>
      <c r="R17" s="363">
        <f t="shared" si="4"/>
        <v>224358.35764918532</v>
      </c>
      <c r="Y17" s="365"/>
    </row>
    <row r="18" spans="1:25" ht="15" customHeight="1">
      <c r="A18" s="359" t="s">
        <v>1511</v>
      </c>
      <c r="B18" s="359" t="s">
        <v>1703</v>
      </c>
      <c r="C18" s="359">
        <v>629</v>
      </c>
      <c r="D18" s="359">
        <v>138</v>
      </c>
      <c r="E18" s="359"/>
      <c r="F18" s="359">
        <v>0</v>
      </c>
      <c r="G18" s="360">
        <v>383859.96701394476</v>
      </c>
      <c r="H18" s="359" t="s">
        <v>4</v>
      </c>
      <c r="I18" s="359">
        <v>2015</v>
      </c>
      <c r="J18" s="361">
        <f>+IF($I18=J$3,VLOOKUP($H18,Depreciation!$A$6:$L$10,7,FALSE)/2,IF($I18&lt;J$3,VLOOKUP($H18,Depreciation!$A$6:$L$10,7,FALSE),0))</f>
        <v>1.595020804044691E-2</v>
      </c>
      <c r="K18" s="361">
        <f>+IF($I18=K$3,VLOOKUP($H18,Depreciation!$A$6:$L$10,8,FALSE)/2,IF($I18&lt;K$3,VLOOKUP($H18,Depreciation!$A$6:$L$10,8,FALSE),0))</f>
        <v>3.0676363676126896E-2</v>
      </c>
      <c r="L18" s="361">
        <f>+IF($I18=L$3,VLOOKUP($H18,Depreciation!$A$6:$L$10,9,FALSE)/2,IF($I18&lt;L$3,VLOOKUP($H18,Depreciation!$A$6:$L$10,9,FALSE),0))</f>
        <v>3.0676363676126896E-2</v>
      </c>
      <c r="M18" s="361">
        <f>+IF($I18=M$3,VLOOKUP($H18,Depreciation!$A$6:$L$10,10,FALSE)/2,IF($I18&lt;M$3,VLOOKUP($H18,Depreciation!$A$6:$L$10,10,FALSE),0))</f>
        <v>3.0676363676126896E-2</v>
      </c>
      <c r="N18" s="361">
        <f>+IF($I18=N$3,VLOOKUP($H18,Depreciation!$A$6:$L$10,11,FALSE)/2,IF($I18&lt;N$3,VLOOKUP($H18,Depreciation!$A$6:$L$10,11,FALSE),0))</f>
        <v>3.0676363676126896E-2</v>
      </c>
      <c r="O18" s="361">
        <f>+IF($I18=O$3,VLOOKUP($H18,Depreciation!$A$6:$L$10,12,FALSE)/2,IF($I18&lt;O$3,VLOOKUP($H18,Depreciation!$A$6:$L$10,12,FALSE),0))</f>
        <v>3.0676363676126896E-2</v>
      </c>
      <c r="P18" s="362">
        <f t="shared" si="2"/>
        <v>377737.32068167324</v>
      </c>
      <c r="Q18" s="362">
        <f t="shared" si="3"/>
        <v>0</v>
      </c>
      <c r="R18" s="363">
        <f t="shared" si="4"/>
        <v>377737.32068167324</v>
      </c>
      <c r="Y18" s="365"/>
    </row>
    <row r="19" spans="1:25" ht="15" customHeight="1">
      <c r="A19" s="359" t="s">
        <v>1511</v>
      </c>
      <c r="B19" s="359" t="s">
        <v>1704</v>
      </c>
      <c r="C19" s="359">
        <v>629</v>
      </c>
      <c r="D19" s="359">
        <v>138</v>
      </c>
      <c r="E19" s="359"/>
      <c r="F19" s="359">
        <v>0</v>
      </c>
      <c r="G19" s="360">
        <v>455201.94438484032</v>
      </c>
      <c r="H19" s="359" t="s">
        <v>4</v>
      </c>
      <c r="I19" s="359">
        <v>2015</v>
      </c>
      <c r="J19" s="361">
        <f>+IF($I19=J$3,VLOOKUP($H19,Depreciation!$A$6:$L$10,7,FALSE)/2,IF($I19&lt;J$3,VLOOKUP($H19,Depreciation!$A$6:$L$10,7,FALSE),0))</f>
        <v>1.595020804044691E-2</v>
      </c>
      <c r="K19" s="361">
        <f>+IF($I19=K$3,VLOOKUP($H19,Depreciation!$A$6:$L$10,8,FALSE)/2,IF($I19&lt;K$3,VLOOKUP($H19,Depreciation!$A$6:$L$10,8,FALSE),0))</f>
        <v>3.0676363676126896E-2</v>
      </c>
      <c r="L19" s="361">
        <f>+IF($I19=L$3,VLOOKUP($H19,Depreciation!$A$6:$L$10,9,FALSE)/2,IF($I19&lt;L$3,VLOOKUP($H19,Depreciation!$A$6:$L$10,9,FALSE),0))</f>
        <v>3.0676363676126896E-2</v>
      </c>
      <c r="M19" s="361">
        <f>+IF($I19=M$3,VLOOKUP($H19,Depreciation!$A$6:$L$10,10,FALSE)/2,IF($I19&lt;M$3,VLOOKUP($H19,Depreciation!$A$6:$L$10,10,FALSE),0))</f>
        <v>3.0676363676126896E-2</v>
      </c>
      <c r="N19" s="361">
        <f>+IF($I19=N$3,VLOOKUP($H19,Depreciation!$A$6:$L$10,11,FALSE)/2,IF($I19&lt;N$3,VLOOKUP($H19,Depreciation!$A$6:$L$10,11,FALSE),0))</f>
        <v>3.0676363676126896E-2</v>
      </c>
      <c r="O19" s="361">
        <f>+IF($I19=O$3,VLOOKUP($H19,Depreciation!$A$6:$L$10,12,FALSE)/2,IF($I19&lt;O$3,VLOOKUP($H19,Depreciation!$A$6:$L$10,12,FALSE),0))</f>
        <v>3.0676363676126896E-2</v>
      </c>
      <c r="P19" s="362">
        <f t="shared" si="2"/>
        <v>447941.37867148616</v>
      </c>
      <c r="Q19" s="362">
        <f t="shared" si="3"/>
        <v>0</v>
      </c>
      <c r="R19" s="363">
        <f t="shared" si="4"/>
        <v>447941.37867148616</v>
      </c>
      <c r="Y19" s="365"/>
    </row>
    <row r="20" spans="1:25" ht="15" customHeight="1">
      <c r="A20" s="359" t="s">
        <v>1511</v>
      </c>
      <c r="B20" s="359" t="s">
        <v>159</v>
      </c>
      <c r="C20" s="359">
        <v>629</v>
      </c>
      <c r="D20" s="359">
        <v>138</v>
      </c>
      <c r="E20" s="359"/>
      <c r="F20" s="359">
        <v>0</v>
      </c>
      <c r="G20" s="360">
        <v>17456.145804520598</v>
      </c>
      <c r="H20" s="359" t="s">
        <v>4</v>
      </c>
      <c r="I20" s="359">
        <v>2015</v>
      </c>
      <c r="J20" s="361">
        <f>+IF($I20=J$3,VLOOKUP($H20,Depreciation!$A$6:$L$10,7,FALSE)/2,IF($I20&lt;J$3,VLOOKUP($H20,Depreciation!$A$6:$L$10,7,FALSE),0))</f>
        <v>1.595020804044691E-2</v>
      </c>
      <c r="K20" s="361">
        <f>+IF($I20=K$3,VLOOKUP($H20,Depreciation!$A$6:$L$10,8,FALSE)/2,IF($I20&lt;K$3,VLOOKUP($H20,Depreciation!$A$6:$L$10,8,FALSE),0))</f>
        <v>3.0676363676126896E-2</v>
      </c>
      <c r="L20" s="361">
        <f>+IF($I20=L$3,VLOOKUP($H20,Depreciation!$A$6:$L$10,9,FALSE)/2,IF($I20&lt;L$3,VLOOKUP($H20,Depreciation!$A$6:$L$10,9,FALSE),0))</f>
        <v>3.0676363676126896E-2</v>
      </c>
      <c r="M20" s="361">
        <f>+IF($I20=M$3,VLOOKUP($H20,Depreciation!$A$6:$L$10,10,FALSE)/2,IF($I20&lt;M$3,VLOOKUP($H20,Depreciation!$A$6:$L$10,10,FALSE),0))</f>
        <v>3.0676363676126896E-2</v>
      </c>
      <c r="N20" s="361">
        <f>+IF($I20=N$3,VLOOKUP($H20,Depreciation!$A$6:$L$10,11,FALSE)/2,IF($I20&lt;N$3,VLOOKUP($H20,Depreciation!$A$6:$L$10,11,FALSE),0))</f>
        <v>3.0676363676126896E-2</v>
      </c>
      <c r="O20" s="361">
        <f>+IF($I20=O$3,VLOOKUP($H20,Depreciation!$A$6:$L$10,12,FALSE)/2,IF($I20&lt;O$3,VLOOKUP($H20,Depreciation!$A$6:$L$10,12,FALSE),0))</f>
        <v>3.0676363676126896E-2</v>
      </c>
      <c r="P20" s="362">
        <f t="shared" si="2"/>
        <v>17177.716647354122</v>
      </c>
      <c r="Q20" s="362">
        <f t="shared" si="3"/>
        <v>0</v>
      </c>
      <c r="R20" s="363">
        <f t="shared" si="4"/>
        <v>17177.716647354122</v>
      </c>
      <c r="Y20" s="365"/>
    </row>
    <row r="21" spans="1:25" ht="15" customHeight="1">
      <c r="A21" s="359" t="s">
        <v>1511</v>
      </c>
      <c r="B21" s="359" t="s">
        <v>1705</v>
      </c>
      <c r="C21" s="359">
        <v>629</v>
      </c>
      <c r="D21" s="359">
        <v>240</v>
      </c>
      <c r="E21" s="359"/>
      <c r="F21" s="359">
        <v>0</v>
      </c>
      <c r="G21" s="360">
        <v>2529823.4403768573</v>
      </c>
      <c r="H21" s="359" t="s">
        <v>4</v>
      </c>
      <c r="I21" s="359">
        <v>2015</v>
      </c>
      <c r="J21" s="361">
        <f>+IF($I21=J$3,VLOOKUP($H21,Depreciation!$A$6:$L$10,7,FALSE)/2,IF($I21&lt;J$3,VLOOKUP($H21,Depreciation!$A$6:$L$10,7,FALSE),0))</f>
        <v>1.595020804044691E-2</v>
      </c>
      <c r="K21" s="361">
        <f>+IF($I21=K$3,VLOOKUP($H21,Depreciation!$A$6:$L$10,8,FALSE)/2,IF($I21&lt;K$3,VLOOKUP($H21,Depreciation!$A$6:$L$10,8,FALSE),0))</f>
        <v>3.0676363676126896E-2</v>
      </c>
      <c r="L21" s="361">
        <f>+IF($I21=L$3,VLOOKUP($H21,Depreciation!$A$6:$L$10,9,FALSE)/2,IF($I21&lt;L$3,VLOOKUP($H21,Depreciation!$A$6:$L$10,9,FALSE),0))</f>
        <v>3.0676363676126896E-2</v>
      </c>
      <c r="M21" s="361">
        <f>+IF($I21=M$3,VLOOKUP($H21,Depreciation!$A$6:$L$10,10,FALSE)/2,IF($I21&lt;M$3,VLOOKUP($H21,Depreciation!$A$6:$L$10,10,FALSE),0))</f>
        <v>3.0676363676126896E-2</v>
      </c>
      <c r="N21" s="361">
        <f>+IF($I21=N$3,VLOOKUP($H21,Depreciation!$A$6:$L$10,11,FALSE)/2,IF($I21&lt;N$3,VLOOKUP($H21,Depreciation!$A$6:$L$10,11,FALSE),0))</f>
        <v>3.0676363676126896E-2</v>
      </c>
      <c r="O21" s="361">
        <f>+IF($I21=O$3,VLOOKUP($H21,Depreciation!$A$6:$L$10,12,FALSE)/2,IF($I21&lt;O$3,VLOOKUP($H21,Depreciation!$A$6:$L$10,12,FALSE),0))</f>
        <v>3.0676363676126896E-2</v>
      </c>
      <c r="P21" s="362">
        <f t="shared" si="2"/>
        <v>2489472.2301972471</v>
      </c>
      <c r="Q21" s="362">
        <f t="shared" si="3"/>
        <v>2489472.2301972471</v>
      </c>
      <c r="R21" s="363">
        <f t="shared" si="4"/>
        <v>0</v>
      </c>
      <c r="Y21" s="365"/>
    </row>
    <row r="22" spans="1:25" ht="15" customHeight="1">
      <c r="A22" s="359" t="s">
        <v>1511</v>
      </c>
      <c r="B22" s="359" t="s">
        <v>1706</v>
      </c>
      <c r="C22" s="359">
        <v>629</v>
      </c>
      <c r="D22" s="359">
        <v>240</v>
      </c>
      <c r="E22" s="359"/>
      <c r="F22" s="359">
        <v>0</v>
      </c>
      <c r="G22" s="360">
        <v>6789772.358134713</v>
      </c>
      <c r="H22" s="359" t="s">
        <v>4</v>
      </c>
      <c r="I22" s="359">
        <v>2015</v>
      </c>
      <c r="J22" s="361">
        <f>+IF($I22=J$3,VLOOKUP($H22,Depreciation!$A$6:$L$10,7,FALSE)/2,IF($I22&lt;J$3,VLOOKUP($H22,Depreciation!$A$6:$L$10,7,FALSE),0))</f>
        <v>1.595020804044691E-2</v>
      </c>
      <c r="K22" s="361">
        <f>+IF($I22=K$3,VLOOKUP($H22,Depreciation!$A$6:$L$10,8,FALSE)/2,IF($I22&lt;K$3,VLOOKUP($H22,Depreciation!$A$6:$L$10,8,FALSE),0))</f>
        <v>3.0676363676126896E-2</v>
      </c>
      <c r="L22" s="361">
        <f>+IF($I22=L$3,VLOOKUP($H22,Depreciation!$A$6:$L$10,9,FALSE)/2,IF($I22&lt;L$3,VLOOKUP($H22,Depreciation!$A$6:$L$10,9,FALSE),0))</f>
        <v>3.0676363676126896E-2</v>
      </c>
      <c r="M22" s="361">
        <f>+IF($I22=M$3,VLOOKUP($H22,Depreciation!$A$6:$L$10,10,FALSE)/2,IF($I22&lt;M$3,VLOOKUP($H22,Depreciation!$A$6:$L$10,10,FALSE),0))</f>
        <v>3.0676363676126896E-2</v>
      </c>
      <c r="N22" s="361">
        <f>+IF($I22=N$3,VLOOKUP($H22,Depreciation!$A$6:$L$10,11,FALSE)/2,IF($I22&lt;N$3,VLOOKUP($H22,Depreciation!$A$6:$L$10,11,FALSE),0))</f>
        <v>3.0676363676126896E-2</v>
      </c>
      <c r="O22" s="361">
        <f>+IF($I22=O$3,VLOOKUP($H22,Depreciation!$A$6:$L$10,12,FALSE)/2,IF($I22&lt;O$3,VLOOKUP($H22,Depreciation!$A$6:$L$10,12,FALSE),0))</f>
        <v>3.0676363676126896E-2</v>
      </c>
      <c r="P22" s="362">
        <f t="shared" si="2"/>
        <v>6681474.0764751891</v>
      </c>
      <c r="Q22" s="362">
        <f t="shared" si="3"/>
        <v>6681474.0764751891</v>
      </c>
      <c r="R22" s="363">
        <f t="shared" si="4"/>
        <v>0</v>
      </c>
      <c r="Y22" s="365"/>
    </row>
    <row r="23" spans="1:25" ht="15" customHeight="1">
      <c r="A23" s="359" t="s">
        <v>1511</v>
      </c>
      <c r="B23" s="359" t="s">
        <v>1707</v>
      </c>
      <c r="C23" s="359">
        <v>629</v>
      </c>
      <c r="D23" s="359">
        <v>240</v>
      </c>
      <c r="E23" s="359"/>
      <c r="F23" s="359">
        <v>0</v>
      </c>
      <c r="G23" s="360">
        <v>2351204.2774664294</v>
      </c>
      <c r="H23" s="359" t="s">
        <v>4</v>
      </c>
      <c r="I23" s="359">
        <v>2015</v>
      </c>
      <c r="J23" s="361">
        <f>+IF($I23=J$3,VLOOKUP($H23,Depreciation!$A$6:$L$10,7,FALSE)/2,IF($I23&lt;J$3,VLOOKUP($H23,Depreciation!$A$6:$L$10,7,FALSE),0))</f>
        <v>1.595020804044691E-2</v>
      </c>
      <c r="K23" s="361">
        <f>+IF($I23=K$3,VLOOKUP($H23,Depreciation!$A$6:$L$10,8,FALSE)/2,IF($I23&lt;K$3,VLOOKUP($H23,Depreciation!$A$6:$L$10,8,FALSE),0))</f>
        <v>3.0676363676126896E-2</v>
      </c>
      <c r="L23" s="361">
        <f>+IF($I23=L$3,VLOOKUP($H23,Depreciation!$A$6:$L$10,9,FALSE)/2,IF($I23&lt;L$3,VLOOKUP($H23,Depreciation!$A$6:$L$10,9,FALSE),0))</f>
        <v>3.0676363676126896E-2</v>
      </c>
      <c r="M23" s="361">
        <f>+IF($I23=M$3,VLOOKUP($H23,Depreciation!$A$6:$L$10,10,FALSE)/2,IF($I23&lt;M$3,VLOOKUP($H23,Depreciation!$A$6:$L$10,10,FALSE),0))</f>
        <v>3.0676363676126896E-2</v>
      </c>
      <c r="N23" s="361">
        <f>+IF($I23=N$3,VLOOKUP($H23,Depreciation!$A$6:$L$10,11,FALSE)/2,IF($I23&lt;N$3,VLOOKUP($H23,Depreciation!$A$6:$L$10,11,FALSE),0))</f>
        <v>3.0676363676126896E-2</v>
      </c>
      <c r="O23" s="361">
        <f>+IF($I23=O$3,VLOOKUP($H23,Depreciation!$A$6:$L$10,12,FALSE)/2,IF($I23&lt;O$3,VLOOKUP($H23,Depreciation!$A$6:$L$10,12,FALSE),0))</f>
        <v>3.0676363676126896E-2</v>
      </c>
      <c r="P23" s="362">
        <f t="shared" si="2"/>
        <v>2313702.0800952511</v>
      </c>
      <c r="Q23" s="362">
        <f t="shared" si="3"/>
        <v>2313702.0800952511</v>
      </c>
      <c r="R23" s="363">
        <f t="shared" si="4"/>
        <v>0</v>
      </c>
      <c r="Y23" s="365"/>
    </row>
    <row r="24" spans="1:25" ht="15" customHeight="1">
      <c r="A24" s="359" t="s">
        <v>1511</v>
      </c>
      <c r="B24" s="359" t="s">
        <v>1708</v>
      </c>
      <c r="C24" s="359">
        <v>629</v>
      </c>
      <c r="D24" s="359">
        <v>240</v>
      </c>
      <c r="E24" s="359"/>
      <c r="F24" s="359">
        <v>0</v>
      </c>
      <c r="G24" s="360">
        <v>1685761.0563939137</v>
      </c>
      <c r="H24" s="359" t="s">
        <v>4</v>
      </c>
      <c r="I24" s="359">
        <v>2015</v>
      </c>
      <c r="J24" s="361">
        <f>+IF($I24=J$3,VLOOKUP($H24,Depreciation!$A$6:$L$10,7,FALSE)/2,IF($I24&lt;J$3,VLOOKUP($H24,Depreciation!$A$6:$L$10,7,FALSE),0))</f>
        <v>1.595020804044691E-2</v>
      </c>
      <c r="K24" s="361">
        <f>+IF($I24=K$3,VLOOKUP($H24,Depreciation!$A$6:$L$10,8,FALSE)/2,IF($I24&lt;K$3,VLOOKUP($H24,Depreciation!$A$6:$L$10,8,FALSE),0))</f>
        <v>3.0676363676126896E-2</v>
      </c>
      <c r="L24" s="361">
        <f>+IF($I24=L$3,VLOOKUP($H24,Depreciation!$A$6:$L$10,9,FALSE)/2,IF($I24&lt;L$3,VLOOKUP($H24,Depreciation!$A$6:$L$10,9,FALSE),0))</f>
        <v>3.0676363676126896E-2</v>
      </c>
      <c r="M24" s="361">
        <f>+IF($I24=M$3,VLOOKUP($H24,Depreciation!$A$6:$L$10,10,FALSE)/2,IF($I24&lt;M$3,VLOOKUP($H24,Depreciation!$A$6:$L$10,10,FALSE),0))</f>
        <v>3.0676363676126896E-2</v>
      </c>
      <c r="N24" s="361">
        <f>+IF($I24=N$3,VLOOKUP($H24,Depreciation!$A$6:$L$10,11,FALSE)/2,IF($I24&lt;N$3,VLOOKUP($H24,Depreciation!$A$6:$L$10,11,FALSE),0))</f>
        <v>3.0676363676126896E-2</v>
      </c>
      <c r="O24" s="361">
        <f>+IF($I24=O$3,VLOOKUP($H24,Depreciation!$A$6:$L$10,12,FALSE)/2,IF($I24&lt;O$3,VLOOKUP($H24,Depreciation!$A$6:$L$10,12,FALSE),0))</f>
        <v>3.0676363676126896E-2</v>
      </c>
      <c r="P24" s="362">
        <f t="shared" si="2"/>
        <v>1658872.8168379473</v>
      </c>
      <c r="Q24" s="362">
        <f t="shared" si="3"/>
        <v>1658872.8168379473</v>
      </c>
      <c r="R24" s="363">
        <f t="shared" si="4"/>
        <v>0</v>
      </c>
      <c r="Y24" s="365"/>
    </row>
    <row r="25" spans="1:25" ht="15" customHeight="1">
      <c r="A25" s="359" t="s">
        <v>1191</v>
      </c>
      <c r="B25" s="359" t="s">
        <v>1356</v>
      </c>
      <c r="C25" s="359">
        <v>635</v>
      </c>
      <c r="D25" s="359">
        <v>240</v>
      </c>
      <c r="E25" s="359"/>
      <c r="F25" s="359" t="s">
        <v>1206</v>
      </c>
      <c r="G25" s="360">
        <v>427021.60758395493</v>
      </c>
      <c r="H25" s="359" t="s">
        <v>66</v>
      </c>
      <c r="I25" s="359">
        <v>2019</v>
      </c>
      <c r="J25" s="361">
        <f>+IF($I25=J$3,VLOOKUP($H25,Depreciation!$A$6:$L$10,7,FALSE)/2,IF($I25&lt;J$3,VLOOKUP($H25,Depreciation!$A$6:$L$10,7,FALSE),0))</f>
        <v>0</v>
      </c>
      <c r="K25" s="361">
        <f>+IF($I25=K$3,VLOOKUP($H25,Depreciation!$A$6:$L$10,8,FALSE)/2,IF($I25&lt;K$3,VLOOKUP($H25,Depreciation!$A$6:$L$10,8,FALSE),0))</f>
        <v>0</v>
      </c>
      <c r="L25" s="361">
        <f>+IF($I25=L$3,VLOOKUP($H25,Depreciation!$A$6:$L$10,9,FALSE)/2,IF($I25&lt;L$3,VLOOKUP($H25,Depreciation!$A$6:$L$10,9,FALSE),0))</f>
        <v>0</v>
      </c>
      <c r="M25" s="361">
        <f>+IF($I25=M$3,VLOOKUP($H25,Depreciation!$A$6:$L$10,10,FALSE)/2,IF($I25&lt;M$3,VLOOKUP($H25,Depreciation!$A$6:$L$10,10,FALSE),0))</f>
        <v>0</v>
      </c>
      <c r="N25" s="361">
        <f>+IF($I25=N$3,VLOOKUP($H25,Depreciation!$A$6:$L$10,11,FALSE)/2,IF($I25&lt;N$3,VLOOKUP($H25,Depreciation!$A$6:$L$10,11,FALSE),0))</f>
        <v>1.2001018963427959E-2</v>
      </c>
      <c r="O25" s="361">
        <f>+IF($I25=O$3,VLOOKUP($H25,Depreciation!$A$6:$L$10,12,FALSE)/2,IF($I25&lt;O$3,VLOOKUP($H25,Depreciation!$A$6:$L$10,12,FALSE),0))</f>
        <v>2.4002037926855919E-2</v>
      </c>
      <c r="P25" s="362">
        <f t="shared" si="2"/>
        <v>0</v>
      </c>
      <c r="Q25" s="362">
        <f t="shared" si="3"/>
        <v>0</v>
      </c>
      <c r="R25" s="363">
        <f t="shared" si="4"/>
        <v>0</v>
      </c>
      <c r="Y25" s="365"/>
    </row>
    <row r="26" spans="1:25" ht="15" customHeight="1">
      <c r="A26" s="359" t="s">
        <v>1191</v>
      </c>
      <c r="B26" s="359" t="s">
        <v>1357</v>
      </c>
      <c r="C26" s="359">
        <v>635</v>
      </c>
      <c r="D26" s="359">
        <v>240</v>
      </c>
      <c r="E26" s="359"/>
      <c r="F26" s="359" t="s">
        <v>1206</v>
      </c>
      <c r="G26" s="360">
        <v>3545608.0808741758</v>
      </c>
      <c r="H26" s="359" t="s">
        <v>66</v>
      </c>
      <c r="I26" s="359">
        <v>2019</v>
      </c>
      <c r="J26" s="361">
        <f>+IF($I26=J$3,VLOOKUP($H26,Depreciation!$A$6:$L$10,7,FALSE)/2,IF($I26&lt;J$3,VLOOKUP($H26,Depreciation!$A$6:$L$10,7,FALSE),0))</f>
        <v>0</v>
      </c>
      <c r="K26" s="361">
        <f>+IF($I26=K$3,VLOOKUP($H26,Depreciation!$A$6:$L$10,8,FALSE)/2,IF($I26&lt;K$3,VLOOKUP($H26,Depreciation!$A$6:$L$10,8,FALSE),0))</f>
        <v>0</v>
      </c>
      <c r="L26" s="361">
        <f>+IF($I26=L$3,VLOOKUP($H26,Depreciation!$A$6:$L$10,9,FALSE)/2,IF($I26&lt;L$3,VLOOKUP($H26,Depreciation!$A$6:$L$10,9,FALSE),0))</f>
        <v>0</v>
      </c>
      <c r="M26" s="361">
        <f>+IF($I26=M$3,VLOOKUP($H26,Depreciation!$A$6:$L$10,10,FALSE)/2,IF($I26&lt;M$3,VLOOKUP($H26,Depreciation!$A$6:$L$10,10,FALSE),0))</f>
        <v>0</v>
      </c>
      <c r="N26" s="361">
        <f>+IF($I26=N$3,VLOOKUP($H26,Depreciation!$A$6:$L$10,11,FALSE)/2,IF($I26&lt;N$3,VLOOKUP($H26,Depreciation!$A$6:$L$10,11,FALSE),0))</f>
        <v>1.2001018963427959E-2</v>
      </c>
      <c r="O26" s="361">
        <f>+IF($I26=O$3,VLOOKUP($H26,Depreciation!$A$6:$L$10,12,FALSE)/2,IF($I26&lt;O$3,VLOOKUP($H26,Depreciation!$A$6:$L$10,12,FALSE),0))</f>
        <v>2.4002037926855919E-2</v>
      </c>
      <c r="P26" s="362">
        <f t="shared" si="2"/>
        <v>0</v>
      </c>
      <c r="Q26" s="362">
        <f t="shared" si="3"/>
        <v>0</v>
      </c>
      <c r="R26" s="363">
        <f t="shared" si="4"/>
        <v>0</v>
      </c>
      <c r="U26" s="366"/>
      <c r="Y26" s="365"/>
    </row>
    <row r="27" spans="1:25" ht="15" customHeight="1">
      <c r="A27" s="359" t="s">
        <v>1191</v>
      </c>
      <c r="B27" s="359" t="s">
        <v>1709</v>
      </c>
      <c r="C27" s="359">
        <v>678</v>
      </c>
      <c r="D27" s="359">
        <v>240</v>
      </c>
      <c r="E27" s="359"/>
      <c r="F27" s="359">
        <v>0</v>
      </c>
      <c r="G27" s="360">
        <v>17467872.448014654</v>
      </c>
      <c r="H27" s="359" t="s">
        <v>66</v>
      </c>
      <c r="I27" s="359">
        <v>2019</v>
      </c>
      <c r="J27" s="361">
        <f>+IF($I27=J$3,VLOOKUP($H27,Depreciation!$A$6:$L$10,7,FALSE)/2,IF($I27&lt;J$3,VLOOKUP($H27,Depreciation!$A$6:$L$10,7,FALSE),0))</f>
        <v>0</v>
      </c>
      <c r="K27" s="361">
        <f>+IF($I27=K$3,VLOOKUP($H27,Depreciation!$A$6:$L$10,8,FALSE)/2,IF($I27&lt;K$3,VLOOKUP($H27,Depreciation!$A$6:$L$10,8,FALSE),0))</f>
        <v>0</v>
      </c>
      <c r="L27" s="361">
        <f>+IF($I27=L$3,VLOOKUP($H27,Depreciation!$A$6:$L$10,9,FALSE)/2,IF($I27&lt;L$3,VLOOKUP($H27,Depreciation!$A$6:$L$10,9,FALSE),0))</f>
        <v>0</v>
      </c>
      <c r="M27" s="361">
        <f>+IF($I27=M$3,VLOOKUP($H27,Depreciation!$A$6:$L$10,10,FALSE)/2,IF($I27&lt;M$3,VLOOKUP($H27,Depreciation!$A$6:$L$10,10,FALSE),0))</f>
        <v>0</v>
      </c>
      <c r="N27" s="361">
        <f>+IF($I27=N$3,VLOOKUP($H27,Depreciation!$A$6:$L$10,11,FALSE)/2,IF($I27&lt;N$3,VLOOKUP($H27,Depreciation!$A$6:$L$10,11,FALSE),0))</f>
        <v>1.2001018963427959E-2</v>
      </c>
      <c r="O27" s="361">
        <f>+IF($I27=O$3,VLOOKUP($H27,Depreciation!$A$6:$L$10,12,FALSE)/2,IF($I27&lt;O$3,VLOOKUP($H27,Depreciation!$A$6:$L$10,12,FALSE),0))</f>
        <v>2.4002037926855919E-2</v>
      </c>
      <c r="P27" s="362">
        <f t="shared" si="2"/>
        <v>0</v>
      </c>
      <c r="Q27" s="362">
        <f t="shared" si="3"/>
        <v>0</v>
      </c>
      <c r="R27" s="363">
        <f t="shared" si="4"/>
        <v>0</v>
      </c>
      <c r="Y27" s="365"/>
    </row>
    <row r="28" spans="1:25" ht="15" customHeight="1">
      <c r="A28" s="359" t="s">
        <v>1191</v>
      </c>
      <c r="B28" s="359" t="s">
        <v>1382</v>
      </c>
      <c r="C28" s="359">
        <v>693</v>
      </c>
      <c r="D28" s="359">
        <v>240</v>
      </c>
      <c r="E28" s="359"/>
      <c r="F28" s="359">
        <v>0</v>
      </c>
      <c r="G28" s="360">
        <v>1771692.0151243901</v>
      </c>
      <c r="H28" s="359" t="s">
        <v>4</v>
      </c>
      <c r="I28" s="359">
        <v>2019</v>
      </c>
      <c r="J28" s="361">
        <f>+IF($I28=J$3,VLOOKUP($H28,Depreciation!$A$6:$L$10,7,FALSE)/2,IF($I28&lt;J$3,VLOOKUP($H28,Depreciation!$A$6:$L$10,7,FALSE),0))</f>
        <v>0</v>
      </c>
      <c r="K28" s="361">
        <f>+IF($I28=K$3,VLOOKUP($H28,Depreciation!$A$6:$L$10,8,FALSE)/2,IF($I28&lt;K$3,VLOOKUP($H28,Depreciation!$A$6:$L$10,8,FALSE),0))</f>
        <v>0</v>
      </c>
      <c r="L28" s="361">
        <f>+IF($I28=L$3,VLOOKUP($H28,Depreciation!$A$6:$L$10,9,FALSE)/2,IF($I28&lt;L$3,VLOOKUP($H28,Depreciation!$A$6:$L$10,9,FALSE),0))</f>
        <v>0</v>
      </c>
      <c r="M28" s="361">
        <f>+IF($I28=M$3,VLOOKUP($H28,Depreciation!$A$6:$L$10,10,FALSE)/2,IF($I28&lt;M$3,VLOOKUP($H28,Depreciation!$A$6:$L$10,10,FALSE),0))</f>
        <v>0</v>
      </c>
      <c r="N28" s="361">
        <f>+IF($I28=N$3,VLOOKUP($H28,Depreciation!$A$6:$L$10,11,FALSE)/2,IF($I28&lt;N$3,VLOOKUP($H28,Depreciation!$A$6:$L$10,11,FALSE),0))</f>
        <v>1.5338181838063448E-2</v>
      </c>
      <c r="O28" s="361">
        <f>+IF($I28=O$3,VLOOKUP($H28,Depreciation!$A$6:$L$10,12,FALSE)/2,IF($I28&lt;O$3,VLOOKUP($H28,Depreciation!$A$6:$L$10,12,FALSE),0))</f>
        <v>3.0676363676126896E-2</v>
      </c>
      <c r="P28" s="362">
        <f t="shared" si="2"/>
        <v>0</v>
      </c>
      <c r="Q28" s="362">
        <f t="shared" si="3"/>
        <v>0</v>
      </c>
      <c r="R28" s="363">
        <f t="shared" si="4"/>
        <v>0</v>
      </c>
      <c r="Y28" s="365"/>
    </row>
    <row r="29" spans="1:25" ht="15" customHeight="1">
      <c r="A29" s="359" t="s">
        <v>1191</v>
      </c>
      <c r="B29" s="359" t="s">
        <v>1363</v>
      </c>
      <c r="C29" s="359">
        <v>719</v>
      </c>
      <c r="D29" s="359">
        <v>240</v>
      </c>
      <c r="E29" s="359"/>
      <c r="F29" s="359" t="s">
        <v>1211</v>
      </c>
      <c r="G29" s="360">
        <v>4216204.8010803293</v>
      </c>
      <c r="H29" s="359" t="s">
        <v>4</v>
      </c>
      <c r="I29" s="359">
        <v>2015</v>
      </c>
      <c r="J29" s="361">
        <f>+IF($I29=J$3,VLOOKUP($H29,Depreciation!$A$6:$L$10,7,FALSE)/2,IF($I29&lt;J$3,VLOOKUP($H29,Depreciation!$A$6:$L$10,7,FALSE),0))</f>
        <v>1.595020804044691E-2</v>
      </c>
      <c r="K29" s="361">
        <f>+IF($I29=K$3,VLOOKUP($H29,Depreciation!$A$6:$L$10,8,FALSE)/2,IF($I29&lt;K$3,VLOOKUP($H29,Depreciation!$A$6:$L$10,8,FALSE),0))</f>
        <v>3.0676363676126896E-2</v>
      </c>
      <c r="L29" s="361">
        <f>+IF($I29=L$3,VLOOKUP($H29,Depreciation!$A$6:$L$10,9,FALSE)/2,IF($I29&lt;L$3,VLOOKUP($H29,Depreciation!$A$6:$L$10,9,FALSE),0))</f>
        <v>3.0676363676126896E-2</v>
      </c>
      <c r="M29" s="361">
        <f>+IF($I29=M$3,VLOOKUP($H29,Depreciation!$A$6:$L$10,10,FALSE)/2,IF($I29&lt;M$3,VLOOKUP($H29,Depreciation!$A$6:$L$10,10,FALSE),0))</f>
        <v>3.0676363676126896E-2</v>
      </c>
      <c r="N29" s="361">
        <f>+IF($I29=N$3,VLOOKUP($H29,Depreciation!$A$6:$L$10,11,FALSE)/2,IF($I29&lt;N$3,VLOOKUP($H29,Depreciation!$A$6:$L$10,11,FALSE),0))</f>
        <v>3.0676363676126896E-2</v>
      </c>
      <c r="O29" s="361">
        <f>+IF($I29=O$3,VLOOKUP($H29,Depreciation!$A$6:$L$10,12,FALSE)/2,IF($I29&lt;O$3,VLOOKUP($H29,Depreciation!$A$6:$L$10,12,FALSE),0))</f>
        <v>3.0676363676126896E-2</v>
      </c>
      <c r="P29" s="362">
        <f t="shared" si="2"/>
        <v>4148955.4573619673</v>
      </c>
      <c r="Q29" s="362">
        <f t="shared" si="3"/>
        <v>4148955.4573619673</v>
      </c>
      <c r="R29" s="363">
        <f t="shared" si="4"/>
        <v>0</v>
      </c>
      <c r="Y29" s="365"/>
    </row>
    <row r="30" spans="1:25" ht="15" customHeight="1">
      <c r="A30" s="359" t="s">
        <v>1191</v>
      </c>
      <c r="B30" s="359" t="s">
        <v>155</v>
      </c>
      <c r="C30" s="359">
        <v>719</v>
      </c>
      <c r="D30" s="359">
        <v>240</v>
      </c>
      <c r="E30" s="359"/>
      <c r="F30" s="359" t="s">
        <v>1211</v>
      </c>
      <c r="G30" s="360">
        <v>5877049.5211357661</v>
      </c>
      <c r="H30" s="359" t="s">
        <v>4</v>
      </c>
      <c r="I30" s="359">
        <v>2015</v>
      </c>
      <c r="J30" s="361">
        <f>+IF($I30=J$3,VLOOKUP($H30,Depreciation!$A$6:$L$10,7,FALSE)/2,IF($I30&lt;J$3,VLOOKUP($H30,Depreciation!$A$6:$L$10,7,FALSE),0))</f>
        <v>1.595020804044691E-2</v>
      </c>
      <c r="K30" s="361">
        <f>+IF($I30=K$3,VLOOKUP($H30,Depreciation!$A$6:$L$10,8,FALSE)/2,IF($I30&lt;K$3,VLOOKUP($H30,Depreciation!$A$6:$L$10,8,FALSE),0))</f>
        <v>3.0676363676126896E-2</v>
      </c>
      <c r="L30" s="361">
        <f>+IF($I30=L$3,VLOOKUP($H30,Depreciation!$A$6:$L$10,9,FALSE)/2,IF($I30&lt;L$3,VLOOKUP($H30,Depreciation!$A$6:$L$10,9,FALSE),0))</f>
        <v>3.0676363676126896E-2</v>
      </c>
      <c r="M30" s="361">
        <f>+IF($I30=M$3,VLOOKUP($H30,Depreciation!$A$6:$L$10,10,FALSE)/2,IF($I30&lt;M$3,VLOOKUP($H30,Depreciation!$A$6:$L$10,10,FALSE),0))</f>
        <v>3.0676363676126896E-2</v>
      </c>
      <c r="N30" s="361">
        <f>+IF($I30=N$3,VLOOKUP($H30,Depreciation!$A$6:$L$10,11,FALSE)/2,IF($I30&lt;N$3,VLOOKUP($H30,Depreciation!$A$6:$L$10,11,FALSE),0))</f>
        <v>3.0676363676126896E-2</v>
      </c>
      <c r="O30" s="361">
        <f>+IF($I30=O$3,VLOOKUP($H30,Depreciation!$A$6:$L$10,12,FALSE)/2,IF($I30&lt;O$3,VLOOKUP($H30,Depreciation!$A$6:$L$10,12,FALSE),0))</f>
        <v>3.0676363676126896E-2</v>
      </c>
      <c r="P30" s="362">
        <f t="shared" si="2"/>
        <v>5783309.3586096419</v>
      </c>
      <c r="Q30" s="362">
        <f t="shared" si="3"/>
        <v>5783309.3586096419</v>
      </c>
      <c r="R30" s="363">
        <f t="shared" si="4"/>
        <v>0</v>
      </c>
      <c r="Y30" s="365"/>
    </row>
    <row r="31" spans="1:25" ht="15" customHeight="1">
      <c r="A31" s="359" t="s">
        <v>1191</v>
      </c>
      <c r="B31" s="359" t="s">
        <v>127</v>
      </c>
      <c r="C31" s="359">
        <v>719</v>
      </c>
      <c r="D31" s="359">
        <v>240</v>
      </c>
      <c r="E31" s="359"/>
      <c r="F31" s="359" t="s">
        <v>1211</v>
      </c>
      <c r="G31" s="360">
        <v>2258581.6201425032</v>
      </c>
      <c r="H31" s="359" t="s">
        <v>4</v>
      </c>
      <c r="I31" s="359">
        <v>2015</v>
      </c>
      <c r="J31" s="361">
        <f>+IF($I31=J$3,VLOOKUP($H31,Depreciation!$A$6:$L$10,7,FALSE)/2,IF($I31&lt;J$3,VLOOKUP($H31,Depreciation!$A$6:$L$10,7,FALSE),0))</f>
        <v>1.595020804044691E-2</v>
      </c>
      <c r="K31" s="361">
        <f>+IF($I31=K$3,VLOOKUP($H31,Depreciation!$A$6:$L$10,8,FALSE)/2,IF($I31&lt;K$3,VLOOKUP($H31,Depreciation!$A$6:$L$10,8,FALSE),0))</f>
        <v>3.0676363676126896E-2</v>
      </c>
      <c r="L31" s="361">
        <f>+IF($I31=L$3,VLOOKUP($H31,Depreciation!$A$6:$L$10,9,FALSE)/2,IF($I31&lt;L$3,VLOOKUP($H31,Depreciation!$A$6:$L$10,9,FALSE),0))</f>
        <v>3.0676363676126896E-2</v>
      </c>
      <c r="M31" s="361">
        <f>+IF($I31=M$3,VLOOKUP($H31,Depreciation!$A$6:$L$10,10,FALSE)/2,IF($I31&lt;M$3,VLOOKUP($H31,Depreciation!$A$6:$L$10,10,FALSE),0))</f>
        <v>3.0676363676126896E-2</v>
      </c>
      <c r="N31" s="361">
        <f>+IF($I31=N$3,VLOOKUP($H31,Depreciation!$A$6:$L$10,11,FALSE)/2,IF($I31&lt;N$3,VLOOKUP($H31,Depreciation!$A$6:$L$10,11,FALSE),0))</f>
        <v>3.0676363676126896E-2</v>
      </c>
      <c r="O31" s="361">
        <f>+IF($I31=O$3,VLOOKUP($H31,Depreciation!$A$6:$L$10,12,FALSE)/2,IF($I31&lt;O$3,VLOOKUP($H31,Depreciation!$A$6:$L$10,12,FALSE),0))</f>
        <v>3.0676363676126896E-2</v>
      </c>
      <c r="P31" s="362">
        <f t="shared" si="2"/>
        <v>2222556.7734249006</v>
      </c>
      <c r="Q31" s="362">
        <f t="shared" si="3"/>
        <v>2222556.7734249006</v>
      </c>
      <c r="R31" s="363">
        <f t="shared" si="4"/>
        <v>0</v>
      </c>
      <c r="Y31" s="365"/>
    </row>
    <row r="32" spans="1:25" ht="15" customHeight="1">
      <c r="A32" s="359" t="s">
        <v>1191</v>
      </c>
      <c r="B32" s="359" t="s">
        <v>158</v>
      </c>
      <c r="C32" s="359">
        <v>719</v>
      </c>
      <c r="D32" s="359">
        <v>138</v>
      </c>
      <c r="E32" s="359"/>
      <c r="F32" s="359" t="s">
        <v>1211</v>
      </c>
      <c r="G32" s="360">
        <v>7170911.0867936574</v>
      </c>
      <c r="H32" s="359" t="s">
        <v>64</v>
      </c>
      <c r="I32" s="359">
        <v>2015</v>
      </c>
      <c r="J32" s="361">
        <f>+IF($I32=J$3,VLOOKUP($H32,Depreciation!$A$6:$L$10,7,FALSE)/2,IF($I32&lt;J$3,VLOOKUP($H32,Depreciation!$A$6:$L$10,7,FALSE),0))</f>
        <v>1.3475179084025525E-2</v>
      </c>
      <c r="K32" s="361">
        <f>+IF($I32=K$3,VLOOKUP($H32,Depreciation!$A$6:$L$10,8,FALSE)/2,IF($I32&lt;K$3,VLOOKUP($H32,Depreciation!$A$6:$L$10,8,FALSE),0))</f>
        <v>2.6950358168051049E-2</v>
      </c>
      <c r="L32" s="361">
        <f>+IF($I32=L$3,VLOOKUP($H32,Depreciation!$A$6:$L$10,9,FALSE)/2,IF($I32&lt;L$3,VLOOKUP($H32,Depreciation!$A$6:$L$10,9,FALSE),0))</f>
        <v>2.6950358168051049E-2</v>
      </c>
      <c r="M32" s="361">
        <f>+IF($I32=M$3,VLOOKUP($H32,Depreciation!$A$6:$L$10,10,FALSE)/2,IF($I32&lt;M$3,VLOOKUP($H32,Depreciation!$A$6:$L$10,10,FALSE),0))</f>
        <v>2.6950358168051049E-2</v>
      </c>
      <c r="N32" s="361">
        <f>+IF($I32=N$3,VLOOKUP($H32,Depreciation!$A$6:$L$10,11,FALSE)/2,IF($I32&lt;N$3,VLOOKUP($H32,Depreciation!$A$6:$L$10,11,FALSE),0))</f>
        <v>2.6950358168051049E-2</v>
      </c>
      <c r="O32" s="361">
        <f>+IF($I32=O$3,VLOOKUP($H32,Depreciation!$A$6:$L$10,12,FALSE)/2,IF($I32&lt;O$3,VLOOKUP($H32,Depreciation!$A$6:$L$10,12,FALSE),0))</f>
        <v>2.6950358168051049E-2</v>
      </c>
      <c r="P32" s="362">
        <f t="shared" si="2"/>
        <v>7074281.7757034888</v>
      </c>
      <c r="Q32" s="362">
        <f t="shared" si="3"/>
        <v>0</v>
      </c>
      <c r="R32" s="363">
        <f t="shared" si="4"/>
        <v>7074281.7757034888</v>
      </c>
      <c r="Y32" s="365"/>
    </row>
    <row r="33" spans="1:25" ht="15" customHeight="1">
      <c r="A33" s="359" t="s">
        <v>1191</v>
      </c>
      <c r="B33" s="359" t="s">
        <v>156</v>
      </c>
      <c r="C33" s="359">
        <v>719</v>
      </c>
      <c r="D33" s="359">
        <v>138</v>
      </c>
      <c r="E33" s="359"/>
      <c r="F33" s="359" t="s">
        <v>1211</v>
      </c>
      <c r="G33" s="360">
        <v>7724058.5663275765</v>
      </c>
      <c r="H33" s="359" t="s">
        <v>64</v>
      </c>
      <c r="I33" s="359">
        <v>2015</v>
      </c>
      <c r="J33" s="361">
        <f>+IF($I33=J$3,VLOOKUP($H33,Depreciation!$A$6:$L$10,7,FALSE)/2,IF($I33&lt;J$3,VLOOKUP($H33,Depreciation!$A$6:$L$10,7,FALSE),0))</f>
        <v>1.3475179084025525E-2</v>
      </c>
      <c r="K33" s="361">
        <f>+IF($I33=K$3,VLOOKUP($H33,Depreciation!$A$6:$L$10,8,FALSE)/2,IF($I33&lt;K$3,VLOOKUP($H33,Depreciation!$A$6:$L$10,8,FALSE),0))</f>
        <v>2.6950358168051049E-2</v>
      </c>
      <c r="L33" s="361">
        <f>+IF($I33=L$3,VLOOKUP($H33,Depreciation!$A$6:$L$10,9,FALSE)/2,IF($I33&lt;L$3,VLOOKUP($H33,Depreciation!$A$6:$L$10,9,FALSE),0))</f>
        <v>2.6950358168051049E-2</v>
      </c>
      <c r="M33" s="361">
        <f>+IF($I33=M$3,VLOOKUP($H33,Depreciation!$A$6:$L$10,10,FALSE)/2,IF($I33&lt;M$3,VLOOKUP($H33,Depreciation!$A$6:$L$10,10,FALSE),0))</f>
        <v>2.6950358168051049E-2</v>
      </c>
      <c r="N33" s="361">
        <f>+IF($I33=N$3,VLOOKUP($H33,Depreciation!$A$6:$L$10,11,FALSE)/2,IF($I33&lt;N$3,VLOOKUP($H33,Depreciation!$A$6:$L$10,11,FALSE),0))</f>
        <v>2.6950358168051049E-2</v>
      </c>
      <c r="O33" s="361">
        <f>+IF($I33=O$3,VLOOKUP($H33,Depreciation!$A$6:$L$10,12,FALSE)/2,IF($I33&lt;O$3,VLOOKUP($H33,Depreciation!$A$6:$L$10,12,FALSE),0))</f>
        <v>2.6950358168051049E-2</v>
      </c>
      <c r="P33" s="362">
        <f t="shared" si="2"/>
        <v>7619975.4938908108</v>
      </c>
      <c r="Q33" s="362">
        <f t="shared" si="3"/>
        <v>0</v>
      </c>
      <c r="R33" s="363">
        <f t="shared" si="4"/>
        <v>7619975.4938908108</v>
      </c>
      <c r="Y33" s="365"/>
    </row>
    <row r="34" spans="1:25" ht="15" customHeight="1">
      <c r="A34" s="359" t="s">
        <v>1191</v>
      </c>
      <c r="B34" s="359" t="s">
        <v>1113</v>
      </c>
      <c r="C34" s="359">
        <v>719</v>
      </c>
      <c r="D34" s="359">
        <v>240</v>
      </c>
      <c r="E34" s="359"/>
      <c r="F34" s="359" t="s">
        <v>1211</v>
      </c>
      <c r="G34" s="360">
        <v>5095063.3611532655</v>
      </c>
      <c r="H34" s="359" t="s">
        <v>64</v>
      </c>
      <c r="I34" s="359">
        <v>2015</v>
      </c>
      <c r="J34" s="361">
        <f>+IF($I34=J$3,VLOOKUP($H34,Depreciation!$A$6:$L$10,7,FALSE)/2,IF($I34&lt;J$3,VLOOKUP($H34,Depreciation!$A$6:$L$10,7,FALSE),0))</f>
        <v>1.3475179084025525E-2</v>
      </c>
      <c r="K34" s="361">
        <f>+IF($I34=K$3,VLOOKUP($H34,Depreciation!$A$6:$L$10,8,FALSE)/2,IF($I34&lt;K$3,VLOOKUP($H34,Depreciation!$A$6:$L$10,8,FALSE),0))</f>
        <v>2.6950358168051049E-2</v>
      </c>
      <c r="L34" s="361">
        <f>+IF($I34=L$3,VLOOKUP($H34,Depreciation!$A$6:$L$10,9,FALSE)/2,IF($I34&lt;L$3,VLOOKUP($H34,Depreciation!$A$6:$L$10,9,FALSE),0))</f>
        <v>2.6950358168051049E-2</v>
      </c>
      <c r="M34" s="361">
        <f>+IF($I34=M$3,VLOOKUP($H34,Depreciation!$A$6:$L$10,10,FALSE)/2,IF($I34&lt;M$3,VLOOKUP($H34,Depreciation!$A$6:$L$10,10,FALSE),0))</f>
        <v>2.6950358168051049E-2</v>
      </c>
      <c r="N34" s="361">
        <f>+IF($I34=N$3,VLOOKUP($H34,Depreciation!$A$6:$L$10,11,FALSE)/2,IF($I34&lt;N$3,VLOOKUP($H34,Depreciation!$A$6:$L$10,11,FALSE),0))</f>
        <v>2.6950358168051049E-2</v>
      </c>
      <c r="O34" s="361">
        <f>+IF($I34=O$3,VLOOKUP($H34,Depreciation!$A$6:$L$10,12,FALSE)/2,IF($I34&lt;O$3,VLOOKUP($H34,Depreciation!$A$6:$L$10,12,FALSE),0))</f>
        <v>2.6950358168051049E-2</v>
      </c>
      <c r="P34" s="362">
        <f t="shared" si="2"/>
        <v>5026406.4699172685</v>
      </c>
      <c r="Q34" s="362">
        <f t="shared" si="3"/>
        <v>5026406.4699172685</v>
      </c>
      <c r="R34" s="363">
        <f t="shared" si="4"/>
        <v>0</v>
      </c>
      <c r="Y34" s="365"/>
    </row>
    <row r="35" spans="1:25" ht="15" customHeight="1">
      <c r="A35" s="359" t="s">
        <v>1191</v>
      </c>
      <c r="B35" s="359" t="s">
        <v>157</v>
      </c>
      <c r="C35" s="359">
        <v>719</v>
      </c>
      <c r="D35" s="359">
        <v>138</v>
      </c>
      <c r="E35" s="359"/>
      <c r="F35" s="359" t="s">
        <v>1211</v>
      </c>
      <c r="G35" s="360">
        <v>18113.239396577752</v>
      </c>
      <c r="H35" s="359" t="s">
        <v>4</v>
      </c>
      <c r="I35" s="359">
        <v>2015</v>
      </c>
      <c r="J35" s="361">
        <f>+IF($I35=J$3,VLOOKUP($H35,Depreciation!$A$6:$L$10,7,FALSE)/2,IF($I35&lt;J$3,VLOOKUP($H35,Depreciation!$A$6:$L$10,7,FALSE),0))</f>
        <v>1.595020804044691E-2</v>
      </c>
      <c r="K35" s="361">
        <f>+IF($I35=K$3,VLOOKUP($H35,Depreciation!$A$6:$L$10,8,FALSE)/2,IF($I35&lt;K$3,VLOOKUP($H35,Depreciation!$A$6:$L$10,8,FALSE),0))</f>
        <v>3.0676363676126896E-2</v>
      </c>
      <c r="L35" s="361">
        <f>+IF($I35=L$3,VLOOKUP($H35,Depreciation!$A$6:$L$10,9,FALSE)/2,IF($I35&lt;L$3,VLOOKUP($H35,Depreciation!$A$6:$L$10,9,FALSE),0))</f>
        <v>3.0676363676126896E-2</v>
      </c>
      <c r="M35" s="361">
        <f>+IF($I35=M$3,VLOOKUP($H35,Depreciation!$A$6:$L$10,10,FALSE)/2,IF($I35&lt;M$3,VLOOKUP($H35,Depreciation!$A$6:$L$10,10,FALSE),0))</f>
        <v>3.0676363676126896E-2</v>
      </c>
      <c r="N35" s="361">
        <f>+IF($I35=N$3,VLOOKUP($H35,Depreciation!$A$6:$L$10,11,FALSE)/2,IF($I35&lt;N$3,VLOOKUP($H35,Depreciation!$A$6:$L$10,11,FALSE),0))</f>
        <v>3.0676363676126896E-2</v>
      </c>
      <c r="O35" s="361">
        <f>+IF($I35=O$3,VLOOKUP($H35,Depreciation!$A$6:$L$10,12,FALSE)/2,IF($I35&lt;O$3,VLOOKUP($H35,Depreciation!$A$6:$L$10,12,FALSE),0))</f>
        <v>3.0676363676126896E-2</v>
      </c>
      <c r="P35" s="362">
        <f t="shared" si="2"/>
        <v>17824.32945991592</v>
      </c>
      <c r="Q35" s="362">
        <f t="shared" si="3"/>
        <v>0</v>
      </c>
      <c r="R35" s="363">
        <f t="shared" si="4"/>
        <v>17824.32945991592</v>
      </c>
      <c r="Y35" s="365"/>
    </row>
    <row r="36" spans="1:25" ht="15" customHeight="1">
      <c r="A36" s="359" t="s">
        <v>1191</v>
      </c>
      <c r="B36" s="359" t="s">
        <v>151</v>
      </c>
      <c r="C36" s="359">
        <v>719</v>
      </c>
      <c r="D36" s="359">
        <v>138</v>
      </c>
      <c r="E36" s="359"/>
      <c r="F36" s="359" t="s">
        <v>1211</v>
      </c>
      <c r="G36" s="360">
        <v>41799.783222871738</v>
      </c>
      <c r="H36" s="359" t="s">
        <v>4</v>
      </c>
      <c r="I36" s="359">
        <v>2015</v>
      </c>
      <c r="J36" s="361">
        <f>+IF($I36=J$3,VLOOKUP($H36,Depreciation!$A$6:$L$10,7,FALSE)/2,IF($I36&lt;J$3,VLOOKUP($H36,Depreciation!$A$6:$L$10,7,FALSE),0))</f>
        <v>1.595020804044691E-2</v>
      </c>
      <c r="K36" s="361">
        <f>+IF($I36=K$3,VLOOKUP($H36,Depreciation!$A$6:$L$10,8,FALSE)/2,IF($I36&lt;K$3,VLOOKUP($H36,Depreciation!$A$6:$L$10,8,FALSE),0))</f>
        <v>3.0676363676126896E-2</v>
      </c>
      <c r="L36" s="361">
        <f>+IF($I36=L$3,VLOOKUP($H36,Depreciation!$A$6:$L$10,9,FALSE)/2,IF($I36&lt;L$3,VLOOKUP($H36,Depreciation!$A$6:$L$10,9,FALSE),0))</f>
        <v>3.0676363676126896E-2</v>
      </c>
      <c r="M36" s="361">
        <f>+IF($I36=M$3,VLOOKUP($H36,Depreciation!$A$6:$L$10,10,FALSE)/2,IF($I36&lt;M$3,VLOOKUP($H36,Depreciation!$A$6:$L$10,10,FALSE),0))</f>
        <v>3.0676363676126896E-2</v>
      </c>
      <c r="N36" s="361">
        <f>+IF($I36=N$3,VLOOKUP($H36,Depreciation!$A$6:$L$10,11,FALSE)/2,IF($I36&lt;N$3,VLOOKUP($H36,Depreciation!$A$6:$L$10,11,FALSE),0))</f>
        <v>3.0676363676126896E-2</v>
      </c>
      <c r="O36" s="361">
        <f>+IF($I36=O$3,VLOOKUP($H36,Depreciation!$A$6:$L$10,12,FALSE)/2,IF($I36&lt;O$3,VLOOKUP($H36,Depreciation!$A$6:$L$10,12,FALSE),0))</f>
        <v>3.0676363676126896E-2</v>
      </c>
      <c r="P36" s="362">
        <f t="shared" si="2"/>
        <v>41133.067984421352</v>
      </c>
      <c r="Q36" s="362">
        <f t="shared" si="3"/>
        <v>0</v>
      </c>
      <c r="R36" s="363">
        <f t="shared" si="4"/>
        <v>41133.067984421352</v>
      </c>
      <c r="Y36" s="365"/>
    </row>
    <row r="37" spans="1:25" ht="15" customHeight="1">
      <c r="A37" s="359" t="s">
        <v>1191</v>
      </c>
      <c r="B37" s="359" t="s">
        <v>160</v>
      </c>
      <c r="C37" s="359">
        <v>719</v>
      </c>
      <c r="D37" s="359">
        <v>240</v>
      </c>
      <c r="E37" s="359"/>
      <c r="F37" s="359" t="s">
        <v>1211</v>
      </c>
      <c r="G37" s="360">
        <v>613063.48726878548</v>
      </c>
      <c r="H37" s="359" t="s">
        <v>4</v>
      </c>
      <c r="I37" s="359">
        <v>2015</v>
      </c>
      <c r="J37" s="361">
        <f>+IF($I37=J$3,VLOOKUP($H37,Depreciation!$A$6:$L$10,7,FALSE)/2,IF($I37&lt;J$3,VLOOKUP($H37,Depreciation!$A$6:$L$10,7,FALSE),0))</f>
        <v>1.595020804044691E-2</v>
      </c>
      <c r="K37" s="361">
        <f>+IF($I37=K$3,VLOOKUP($H37,Depreciation!$A$6:$L$10,8,FALSE)/2,IF($I37&lt;K$3,VLOOKUP($H37,Depreciation!$A$6:$L$10,8,FALSE),0))</f>
        <v>3.0676363676126896E-2</v>
      </c>
      <c r="L37" s="361">
        <f>+IF($I37=L$3,VLOOKUP($H37,Depreciation!$A$6:$L$10,9,FALSE)/2,IF($I37&lt;L$3,VLOOKUP($H37,Depreciation!$A$6:$L$10,9,FALSE),0))</f>
        <v>3.0676363676126896E-2</v>
      </c>
      <c r="M37" s="361">
        <f>+IF($I37=M$3,VLOOKUP($H37,Depreciation!$A$6:$L$10,10,FALSE)/2,IF($I37&lt;M$3,VLOOKUP($H37,Depreciation!$A$6:$L$10,10,FALSE),0))</f>
        <v>3.0676363676126896E-2</v>
      </c>
      <c r="N37" s="361">
        <f>+IF($I37=N$3,VLOOKUP($H37,Depreciation!$A$6:$L$10,11,FALSE)/2,IF($I37&lt;N$3,VLOOKUP($H37,Depreciation!$A$6:$L$10,11,FALSE),0))</f>
        <v>3.0676363676126896E-2</v>
      </c>
      <c r="O37" s="361">
        <f>+IF($I37=O$3,VLOOKUP($H37,Depreciation!$A$6:$L$10,12,FALSE)/2,IF($I37&lt;O$3,VLOOKUP($H37,Depreciation!$A$6:$L$10,12,FALSE),0))</f>
        <v>3.0676363676126896E-2</v>
      </c>
      <c r="P37" s="362">
        <f t="shared" si="2"/>
        <v>603284.99710484652</v>
      </c>
      <c r="Q37" s="362">
        <f t="shared" si="3"/>
        <v>603284.99710484652</v>
      </c>
      <c r="R37" s="363">
        <f t="shared" si="4"/>
        <v>0</v>
      </c>
      <c r="Y37" s="365"/>
    </row>
    <row r="38" spans="1:25" ht="15" customHeight="1">
      <c r="A38" s="359" t="s">
        <v>1191</v>
      </c>
      <c r="B38" s="359" t="s">
        <v>152</v>
      </c>
      <c r="C38" s="359">
        <v>719</v>
      </c>
      <c r="D38" s="359">
        <v>240</v>
      </c>
      <c r="E38" s="359"/>
      <c r="F38" s="359" t="s">
        <v>1211</v>
      </c>
      <c r="G38" s="360">
        <v>5403318.6446098872</v>
      </c>
      <c r="H38" s="359" t="s">
        <v>4</v>
      </c>
      <c r="I38" s="359">
        <v>2015</v>
      </c>
      <c r="J38" s="361">
        <f>+IF($I38=J$3,VLOOKUP($H38,Depreciation!$A$6:$L$10,7,FALSE)/2,IF($I38&lt;J$3,VLOOKUP($H38,Depreciation!$A$6:$L$10,7,FALSE),0))</f>
        <v>1.595020804044691E-2</v>
      </c>
      <c r="K38" s="361">
        <f>+IF($I38=K$3,VLOOKUP($H38,Depreciation!$A$6:$L$10,8,FALSE)/2,IF($I38&lt;K$3,VLOOKUP($H38,Depreciation!$A$6:$L$10,8,FALSE),0))</f>
        <v>3.0676363676126896E-2</v>
      </c>
      <c r="L38" s="361">
        <f>+IF($I38=L$3,VLOOKUP($H38,Depreciation!$A$6:$L$10,9,FALSE)/2,IF($I38&lt;L$3,VLOOKUP($H38,Depreciation!$A$6:$L$10,9,FALSE),0))</f>
        <v>3.0676363676126896E-2</v>
      </c>
      <c r="M38" s="361">
        <f>+IF($I38=M$3,VLOOKUP($H38,Depreciation!$A$6:$L$10,10,FALSE)/2,IF($I38&lt;M$3,VLOOKUP($H38,Depreciation!$A$6:$L$10,10,FALSE),0))</f>
        <v>3.0676363676126896E-2</v>
      </c>
      <c r="N38" s="361">
        <f>+IF($I38=N$3,VLOOKUP($H38,Depreciation!$A$6:$L$10,11,FALSE)/2,IF($I38&lt;N$3,VLOOKUP($H38,Depreciation!$A$6:$L$10,11,FALSE),0))</f>
        <v>3.0676363676126896E-2</v>
      </c>
      <c r="O38" s="361">
        <f>+IF($I38=O$3,VLOOKUP($H38,Depreciation!$A$6:$L$10,12,FALSE)/2,IF($I38&lt;O$3,VLOOKUP($H38,Depreciation!$A$6:$L$10,12,FALSE),0))</f>
        <v>3.0676363676126896E-2</v>
      </c>
      <c r="P38" s="362">
        <f t="shared" si="2"/>
        <v>5317134.5881195338</v>
      </c>
      <c r="Q38" s="362">
        <f t="shared" si="3"/>
        <v>5317134.5881195338</v>
      </c>
      <c r="R38" s="363">
        <f t="shared" si="4"/>
        <v>0</v>
      </c>
      <c r="Y38" s="365"/>
    </row>
    <row r="39" spans="1:25" ht="15" customHeight="1">
      <c r="A39" s="359" t="s">
        <v>1191</v>
      </c>
      <c r="B39" s="359" t="s">
        <v>164</v>
      </c>
      <c r="C39" s="359">
        <v>719</v>
      </c>
      <c r="D39" s="359">
        <v>240</v>
      </c>
      <c r="E39" s="359"/>
      <c r="F39" s="359" t="s">
        <v>1211</v>
      </c>
      <c r="G39" s="360">
        <v>411031.20169157209</v>
      </c>
      <c r="H39" s="359" t="s">
        <v>4</v>
      </c>
      <c r="I39" s="359">
        <v>2015</v>
      </c>
      <c r="J39" s="361">
        <f>+IF($I39=J$3,VLOOKUP($H39,Depreciation!$A$6:$L$10,7,FALSE)/2,IF($I39&lt;J$3,VLOOKUP($H39,Depreciation!$A$6:$L$10,7,FALSE),0))</f>
        <v>1.595020804044691E-2</v>
      </c>
      <c r="K39" s="361">
        <f>+IF($I39=K$3,VLOOKUP($H39,Depreciation!$A$6:$L$10,8,FALSE)/2,IF($I39&lt;K$3,VLOOKUP($H39,Depreciation!$A$6:$L$10,8,FALSE),0))</f>
        <v>3.0676363676126896E-2</v>
      </c>
      <c r="L39" s="361">
        <f>+IF($I39=L$3,VLOOKUP($H39,Depreciation!$A$6:$L$10,9,FALSE)/2,IF($I39&lt;L$3,VLOOKUP($H39,Depreciation!$A$6:$L$10,9,FALSE),0))</f>
        <v>3.0676363676126896E-2</v>
      </c>
      <c r="M39" s="361">
        <f>+IF($I39=M$3,VLOOKUP($H39,Depreciation!$A$6:$L$10,10,FALSE)/2,IF($I39&lt;M$3,VLOOKUP($H39,Depreciation!$A$6:$L$10,10,FALSE),0))</f>
        <v>3.0676363676126896E-2</v>
      </c>
      <c r="N39" s="361">
        <f>+IF($I39=N$3,VLOOKUP($H39,Depreciation!$A$6:$L$10,11,FALSE)/2,IF($I39&lt;N$3,VLOOKUP($H39,Depreciation!$A$6:$L$10,11,FALSE),0))</f>
        <v>3.0676363676126896E-2</v>
      </c>
      <c r="O39" s="361">
        <f>+IF($I39=O$3,VLOOKUP($H39,Depreciation!$A$6:$L$10,12,FALSE)/2,IF($I39&lt;O$3,VLOOKUP($H39,Depreciation!$A$6:$L$10,12,FALSE),0))</f>
        <v>3.0676363676126896E-2</v>
      </c>
      <c r="P39" s="362">
        <f t="shared" si="2"/>
        <v>404475.16851347662</v>
      </c>
      <c r="Q39" s="362">
        <f t="shared" si="3"/>
        <v>404475.16851347662</v>
      </c>
      <c r="R39" s="363">
        <f t="shared" si="4"/>
        <v>0</v>
      </c>
      <c r="Y39" s="365"/>
    </row>
    <row r="40" spans="1:25" ht="15" customHeight="1">
      <c r="A40" s="359" t="s">
        <v>1191</v>
      </c>
      <c r="B40" s="359" t="s">
        <v>165</v>
      </c>
      <c r="C40" s="359">
        <v>719</v>
      </c>
      <c r="D40" s="359">
        <v>240</v>
      </c>
      <c r="E40" s="359"/>
      <c r="F40" s="359" t="s">
        <v>1211</v>
      </c>
      <c r="G40" s="360">
        <v>73846.283693740072</v>
      </c>
      <c r="H40" s="359" t="s">
        <v>4</v>
      </c>
      <c r="I40" s="359">
        <v>2015</v>
      </c>
      <c r="J40" s="361">
        <f>+IF($I40=J$3,VLOOKUP($H40,Depreciation!$A$6:$L$10,7,FALSE)/2,IF($I40&lt;J$3,VLOOKUP($H40,Depreciation!$A$6:$L$10,7,FALSE),0))</f>
        <v>1.595020804044691E-2</v>
      </c>
      <c r="K40" s="361">
        <f>+IF($I40=K$3,VLOOKUP($H40,Depreciation!$A$6:$L$10,8,FALSE)/2,IF($I40&lt;K$3,VLOOKUP($H40,Depreciation!$A$6:$L$10,8,FALSE),0))</f>
        <v>3.0676363676126896E-2</v>
      </c>
      <c r="L40" s="361">
        <f>+IF($I40=L$3,VLOOKUP($H40,Depreciation!$A$6:$L$10,9,FALSE)/2,IF($I40&lt;L$3,VLOOKUP($H40,Depreciation!$A$6:$L$10,9,FALSE),0))</f>
        <v>3.0676363676126896E-2</v>
      </c>
      <c r="M40" s="361">
        <f>+IF($I40=M$3,VLOOKUP($H40,Depreciation!$A$6:$L$10,10,FALSE)/2,IF($I40&lt;M$3,VLOOKUP($H40,Depreciation!$A$6:$L$10,10,FALSE),0))</f>
        <v>3.0676363676126896E-2</v>
      </c>
      <c r="N40" s="361">
        <f>+IF($I40=N$3,VLOOKUP($H40,Depreciation!$A$6:$L$10,11,FALSE)/2,IF($I40&lt;N$3,VLOOKUP($H40,Depreciation!$A$6:$L$10,11,FALSE),0))</f>
        <v>3.0676363676126896E-2</v>
      </c>
      <c r="O40" s="361">
        <f>+IF($I40=O$3,VLOOKUP($H40,Depreciation!$A$6:$L$10,12,FALSE)/2,IF($I40&lt;O$3,VLOOKUP($H40,Depreciation!$A$6:$L$10,12,FALSE),0))</f>
        <v>3.0676363676126896E-2</v>
      </c>
      <c r="P40" s="362">
        <f t="shared" si="2"/>
        <v>72668.420105811063</v>
      </c>
      <c r="Q40" s="362">
        <f t="shared" si="3"/>
        <v>72668.420105811063</v>
      </c>
      <c r="R40" s="363">
        <f t="shared" si="4"/>
        <v>0</v>
      </c>
      <c r="Y40" s="365"/>
    </row>
    <row r="41" spans="1:25" ht="15" customHeight="1">
      <c r="A41" s="359" t="s">
        <v>1191</v>
      </c>
      <c r="B41" s="359" t="s">
        <v>166</v>
      </c>
      <c r="C41" s="359">
        <v>719</v>
      </c>
      <c r="D41" s="359">
        <v>240</v>
      </c>
      <c r="E41" s="359"/>
      <c r="F41" s="359" t="s">
        <v>1211</v>
      </c>
      <c r="G41" s="360">
        <v>69666.305371452894</v>
      </c>
      <c r="H41" s="359" t="s">
        <v>4</v>
      </c>
      <c r="I41" s="359">
        <v>2015</v>
      </c>
      <c r="J41" s="361">
        <f>+IF($I41=J$3,VLOOKUP($H41,Depreciation!$A$6:$L$10,7,FALSE)/2,IF($I41&lt;J$3,VLOOKUP($H41,Depreciation!$A$6:$L$10,7,FALSE),0))</f>
        <v>1.595020804044691E-2</v>
      </c>
      <c r="K41" s="361">
        <f>+IF($I41=K$3,VLOOKUP($H41,Depreciation!$A$6:$L$10,8,FALSE)/2,IF($I41&lt;K$3,VLOOKUP($H41,Depreciation!$A$6:$L$10,8,FALSE),0))</f>
        <v>3.0676363676126896E-2</v>
      </c>
      <c r="L41" s="361">
        <f>+IF($I41=L$3,VLOOKUP($H41,Depreciation!$A$6:$L$10,9,FALSE)/2,IF($I41&lt;L$3,VLOOKUP($H41,Depreciation!$A$6:$L$10,9,FALSE),0))</f>
        <v>3.0676363676126896E-2</v>
      </c>
      <c r="M41" s="361">
        <f>+IF($I41=M$3,VLOOKUP($H41,Depreciation!$A$6:$L$10,10,FALSE)/2,IF($I41&lt;M$3,VLOOKUP($H41,Depreciation!$A$6:$L$10,10,FALSE),0))</f>
        <v>3.0676363676126896E-2</v>
      </c>
      <c r="N41" s="361">
        <f>+IF($I41=N$3,VLOOKUP($H41,Depreciation!$A$6:$L$10,11,FALSE)/2,IF($I41&lt;N$3,VLOOKUP($H41,Depreciation!$A$6:$L$10,11,FALSE),0))</f>
        <v>3.0676363676126896E-2</v>
      </c>
      <c r="O41" s="361">
        <f>+IF($I41=O$3,VLOOKUP($H41,Depreciation!$A$6:$L$10,12,FALSE)/2,IF($I41&lt;O$3,VLOOKUP($H41,Depreciation!$A$6:$L$10,12,FALSE),0))</f>
        <v>3.0676363676126896E-2</v>
      </c>
      <c r="P41" s="362">
        <f t="shared" si="2"/>
        <v>68555.113307368913</v>
      </c>
      <c r="Q41" s="362">
        <f t="shared" si="3"/>
        <v>68555.113307368913</v>
      </c>
      <c r="R41" s="363">
        <f t="shared" si="4"/>
        <v>0</v>
      </c>
      <c r="Y41" s="365"/>
    </row>
    <row r="42" spans="1:25" ht="15" customHeight="1">
      <c r="A42" s="359" t="s">
        <v>1191</v>
      </c>
      <c r="B42" s="359" t="s">
        <v>1114</v>
      </c>
      <c r="C42" s="359">
        <v>719</v>
      </c>
      <c r="D42" s="359">
        <v>240</v>
      </c>
      <c r="E42" s="359"/>
      <c r="F42" s="359" t="s">
        <v>1211</v>
      </c>
      <c r="G42" s="360">
        <v>4393157.2167238202</v>
      </c>
      <c r="H42" s="359" t="s">
        <v>4</v>
      </c>
      <c r="I42" s="359">
        <v>2015</v>
      </c>
      <c r="J42" s="361">
        <f>+IF($I42=J$3,VLOOKUP($H42,Depreciation!$A$6:$L$10,7,FALSE)/2,IF($I42&lt;J$3,VLOOKUP($H42,Depreciation!$A$6:$L$10,7,FALSE),0))</f>
        <v>1.595020804044691E-2</v>
      </c>
      <c r="K42" s="361">
        <f>+IF($I42=K$3,VLOOKUP($H42,Depreciation!$A$6:$L$10,8,FALSE)/2,IF($I42&lt;K$3,VLOOKUP($H42,Depreciation!$A$6:$L$10,8,FALSE),0))</f>
        <v>3.0676363676126896E-2</v>
      </c>
      <c r="L42" s="361">
        <f>+IF($I42=L$3,VLOOKUP($H42,Depreciation!$A$6:$L$10,9,FALSE)/2,IF($I42&lt;L$3,VLOOKUP($H42,Depreciation!$A$6:$L$10,9,FALSE),0))</f>
        <v>3.0676363676126896E-2</v>
      </c>
      <c r="M42" s="361">
        <f>+IF($I42=M$3,VLOOKUP($H42,Depreciation!$A$6:$L$10,10,FALSE)/2,IF($I42&lt;M$3,VLOOKUP($H42,Depreciation!$A$6:$L$10,10,FALSE),0))</f>
        <v>3.0676363676126896E-2</v>
      </c>
      <c r="N42" s="361">
        <f>+IF($I42=N$3,VLOOKUP($H42,Depreciation!$A$6:$L$10,11,FALSE)/2,IF($I42&lt;N$3,VLOOKUP($H42,Depreciation!$A$6:$L$10,11,FALSE),0))</f>
        <v>3.0676363676126896E-2</v>
      </c>
      <c r="O42" s="361">
        <f>+IF($I42=O$3,VLOOKUP($H42,Depreciation!$A$6:$L$10,12,FALSE)/2,IF($I42&lt;O$3,VLOOKUP($H42,Depreciation!$A$6:$L$10,12,FALSE),0))</f>
        <v>3.0676363676126896E-2</v>
      </c>
      <c r="P42" s="362">
        <f t="shared" si="2"/>
        <v>4323085.4451626847</v>
      </c>
      <c r="Q42" s="362">
        <f t="shared" si="3"/>
        <v>4323085.4451626847</v>
      </c>
      <c r="R42" s="363">
        <f t="shared" si="4"/>
        <v>0</v>
      </c>
      <c r="Y42" s="365"/>
    </row>
    <row r="43" spans="1:25" ht="15" customHeight="1">
      <c r="A43" s="359" t="s">
        <v>1191</v>
      </c>
      <c r="B43" s="359" t="s">
        <v>126</v>
      </c>
      <c r="C43" s="359">
        <v>719</v>
      </c>
      <c r="D43" s="359">
        <v>240</v>
      </c>
      <c r="E43" s="359"/>
      <c r="F43" s="359" t="s">
        <v>1211</v>
      </c>
      <c r="G43" s="360">
        <v>9552643.7925336212</v>
      </c>
      <c r="H43" s="359" t="s">
        <v>4</v>
      </c>
      <c r="I43" s="359">
        <v>2015</v>
      </c>
      <c r="J43" s="361">
        <f>+IF($I43=J$3,VLOOKUP($H43,Depreciation!$A$6:$L$10,7,FALSE)/2,IF($I43&lt;J$3,VLOOKUP($H43,Depreciation!$A$6:$L$10,7,FALSE),0))</f>
        <v>1.595020804044691E-2</v>
      </c>
      <c r="K43" s="361">
        <f>+IF($I43=K$3,VLOOKUP($H43,Depreciation!$A$6:$L$10,8,FALSE)/2,IF($I43&lt;K$3,VLOOKUP($H43,Depreciation!$A$6:$L$10,8,FALSE),0))</f>
        <v>3.0676363676126896E-2</v>
      </c>
      <c r="L43" s="361">
        <f>+IF($I43=L$3,VLOOKUP($H43,Depreciation!$A$6:$L$10,9,FALSE)/2,IF($I43&lt;L$3,VLOOKUP($H43,Depreciation!$A$6:$L$10,9,FALSE),0))</f>
        <v>3.0676363676126896E-2</v>
      </c>
      <c r="M43" s="361">
        <f>+IF($I43=M$3,VLOOKUP($H43,Depreciation!$A$6:$L$10,10,FALSE)/2,IF($I43&lt;M$3,VLOOKUP($H43,Depreciation!$A$6:$L$10,10,FALSE),0))</f>
        <v>3.0676363676126896E-2</v>
      </c>
      <c r="N43" s="361">
        <f>+IF($I43=N$3,VLOOKUP($H43,Depreciation!$A$6:$L$10,11,FALSE)/2,IF($I43&lt;N$3,VLOOKUP($H43,Depreciation!$A$6:$L$10,11,FALSE),0))</f>
        <v>3.0676363676126896E-2</v>
      </c>
      <c r="O43" s="361">
        <f>+IF($I43=O$3,VLOOKUP($H43,Depreciation!$A$6:$L$10,12,FALSE)/2,IF($I43&lt;O$3,VLOOKUP($H43,Depreciation!$A$6:$L$10,12,FALSE),0))</f>
        <v>3.0676363676126896E-2</v>
      </c>
      <c r="P43" s="362">
        <f t="shared" si="2"/>
        <v>9400277.1367064267</v>
      </c>
      <c r="Q43" s="362">
        <f t="shared" si="3"/>
        <v>9400277.1367064267</v>
      </c>
      <c r="R43" s="363">
        <f t="shared" si="4"/>
        <v>0</v>
      </c>
      <c r="Y43" s="365"/>
    </row>
    <row r="44" spans="1:25" ht="15" customHeight="1">
      <c r="A44" s="359" t="s">
        <v>1191</v>
      </c>
      <c r="B44" s="359" t="s">
        <v>126</v>
      </c>
      <c r="C44" s="359">
        <v>719</v>
      </c>
      <c r="D44" s="359">
        <v>240</v>
      </c>
      <c r="E44" s="359"/>
      <c r="F44" s="359" t="s">
        <v>1211</v>
      </c>
      <c r="G44" s="360">
        <v>9913515.2543577477</v>
      </c>
      <c r="H44" s="359" t="s">
        <v>4</v>
      </c>
      <c r="I44" s="359">
        <v>2015</v>
      </c>
      <c r="J44" s="361">
        <f>+IF($I44=J$3,VLOOKUP($H44,Depreciation!$A$6:$L$10,7,FALSE)/2,IF($I44&lt;J$3,VLOOKUP($H44,Depreciation!$A$6:$L$10,7,FALSE),0))</f>
        <v>1.595020804044691E-2</v>
      </c>
      <c r="K44" s="361">
        <f>+IF($I44=K$3,VLOOKUP($H44,Depreciation!$A$6:$L$10,8,FALSE)/2,IF($I44&lt;K$3,VLOOKUP($H44,Depreciation!$A$6:$L$10,8,FALSE),0))</f>
        <v>3.0676363676126896E-2</v>
      </c>
      <c r="L44" s="361">
        <f>+IF($I44=L$3,VLOOKUP($H44,Depreciation!$A$6:$L$10,9,FALSE)/2,IF($I44&lt;L$3,VLOOKUP($H44,Depreciation!$A$6:$L$10,9,FALSE),0))</f>
        <v>3.0676363676126896E-2</v>
      </c>
      <c r="M44" s="361">
        <f>+IF($I44=M$3,VLOOKUP($H44,Depreciation!$A$6:$L$10,10,FALSE)/2,IF($I44&lt;M$3,VLOOKUP($H44,Depreciation!$A$6:$L$10,10,FALSE),0))</f>
        <v>3.0676363676126896E-2</v>
      </c>
      <c r="N44" s="361">
        <f>+IF($I44=N$3,VLOOKUP($H44,Depreciation!$A$6:$L$10,11,FALSE)/2,IF($I44&lt;N$3,VLOOKUP($H44,Depreciation!$A$6:$L$10,11,FALSE),0))</f>
        <v>3.0676363676126896E-2</v>
      </c>
      <c r="O44" s="361">
        <f>+IF($I44=O$3,VLOOKUP($H44,Depreciation!$A$6:$L$10,12,FALSE)/2,IF($I44&lt;O$3,VLOOKUP($H44,Depreciation!$A$6:$L$10,12,FALSE),0))</f>
        <v>3.0676363676126896E-2</v>
      </c>
      <c r="P44" s="362">
        <f t="shared" si="2"/>
        <v>9755392.6236385982</v>
      </c>
      <c r="Q44" s="362">
        <f t="shared" si="3"/>
        <v>9755392.6236385982</v>
      </c>
      <c r="R44" s="363">
        <f t="shared" si="4"/>
        <v>0</v>
      </c>
      <c r="Y44" s="365"/>
    </row>
    <row r="45" spans="1:25" ht="15" customHeight="1">
      <c r="A45" s="359" t="s">
        <v>1191</v>
      </c>
      <c r="B45" s="359" t="s">
        <v>153</v>
      </c>
      <c r="C45" s="359">
        <v>719</v>
      </c>
      <c r="D45" s="359">
        <v>240</v>
      </c>
      <c r="E45" s="359"/>
      <c r="F45" s="359" t="s">
        <v>1211</v>
      </c>
      <c r="G45" s="360">
        <v>540610.52968247444</v>
      </c>
      <c r="H45" s="359" t="s">
        <v>4</v>
      </c>
      <c r="I45" s="359">
        <v>2015</v>
      </c>
      <c r="J45" s="361">
        <f>+IF($I45=J$3,VLOOKUP($H45,Depreciation!$A$6:$L$10,7,FALSE)/2,IF($I45&lt;J$3,VLOOKUP($H45,Depreciation!$A$6:$L$10,7,FALSE),0))</f>
        <v>1.595020804044691E-2</v>
      </c>
      <c r="K45" s="361">
        <f>+IF($I45=K$3,VLOOKUP($H45,Depreciation!$A$6:$L$10,8,FALSE)/2,IF($I45&lt;K$3,VLOOKUP($H45,Depreciation!$A$6:$L$10,8,FALSE),0))</f>
        <v>3.0676363676126896E-2</v>
      </c>
      <c r="L45" s="361">
        <f>+IF($I45=L$3,VLOOKUP($H45,Depreciation!$A$6:$L$10,9,FALSE)/2,IF($I45&lt;L$3,VLOOKUP($H45,Depreciation!$A$6:$L$10,9,FALSE),0))</f>
        <v>3.0676363676126896E-2</v>
      </c>
      <c r="M45" s="361">
        <f>+IF($I45=M$3,VLOOKUP($H45,Depreciation!$A$6:$L$10,10,FALSE)/2,IF($I45&lt;M$3,VLOOKUP($H45,Depreciation!$A$6:$L$10,10,FALSE),0))</f>
        <v>3.0676363676126896E-2</v>
      </c>
      <c r="N45" s="361">
        <f>+IF($I45=N$3,VLOOKUP($H45,Depreciation!$A$6:$L$10,11,FALSE)/2,IF($I45&lt;N$3,VLOOKUP($H45,Depreciation!$A$6:$L$10,11,FALSE),0))</f>
        <v>3.0676363676126896E-2</v>
      </c>
      <c r="O45" s="361">
        <f>+IF($I45=O$3,VLOOKUP($H45,Depreciation!$A$6:$L$10,12,FALSE)/2,IF($I45&lt;O$3,VLOOKUP($H45,Depreciation!$A$6:$L$10,12,FALSE),0))</f>
        <v>3.0676363676126896E-2</v>
      </c>
      <c r="P45" s="362">
        <f t="shared" si="2"/>
        <v>531987.67926518281</v>
      </c>
      <c r="Q45" s="362">
        <f t="shared" si="3"/>
        <v>531987.67926518281</v>
      </c>
      <c r="R45" s="363">
        <f t="shared" si="4"/>
        <v>0</v>
      </c>
      <c r="Y45" s="365"/>
    </row>
    <row r="46" spans="1:25" ht="15" customHeight="1">
      <c r="A46" s="359" t="s">
        <v>1191</v>
      </c>
      <c r="B46" s="359" t="s">
        <v>1710</v>
      </c>
      <c r="C46" s="359">
        <v>786</v>
      </c>
      <c r="D46" s="359">
        <v>240</v>
      </c>
      <c r="E46" s="359"/>
      <c r="F46" s="359" t="s">
        <v>1251</v>
      </c>
      <c r="G46" s="360">
        <v>33338680.294401988</v>
      </c>
      <c r="H46" s="359" t="s">
        <v>4</v>
      </c>
      <c r="I46" s="359">
        <v>2016</v>
      </c>
      <c r="J46" s="361">
        <f>+IF($I46=J$3,VLOOKUP($H46,Depreciation!$A$6:$L$10,7,FALSE)/2,IF($I46&lt;J$3,VLOOKUP($H46,Depreciation!$A$6:$L$10,7,FALSE),0))</f>
        <v>0</v>
      </c>
      <c r="K46" s="361">
        <f>+IF($I46=K$3,VLOOKUP($H46,Depreciation!$A$6:$L$10,8,FALSE)/2,IF($I46&lt;K$3,VLOOKUP($H46,Depreciation!$A$6:$L$10,8,FALSE),0))</f>
        <v>1.5338181838063448E-2</v>
      </c>
      <c r="L46" s="361">
        <f>+IF($I46=L$3,VLOOKUP($H46,Depreciation!$A$6:$L$10,9,FALSE)/2,IF($I46&lt;L$3,VLOOKUP($H46,Depreciation!$A$6:$L$10,9,FALSE),0))</f>
        <v>3.0676363676126896E-2</v>
      </c>
      <c r="M46" s="361">
        <f>+IF($I46=M$3,VLOOKUP($H46,Depreciation!$A$6:$L$10,10,FALSE)/2,IF($I46&lt;M$3,VLOOKUP($H46,Depreciation!$A$6:$L$10,10,FALSE),0))</f>
        <v>3.0676363676126896E-2</v>
      </c>
      <c r="N46" s="361">
        <f>+IF($I46=N$3,VLOOKUP($H46,Depreciation!$A$6:$L$10,11,FALSE)/2,IF($I46&lt;N$3,VLOOKUP($H46,Depreciation!$A$6:$L$10,11,FALSE),0))</f>
        <v>3.0676363676126896E-2</v>
      </c>
      <c r="O46" s="361">
        <f>+IF($I46=O$3,VLOOKUP($H46,Depreciation!$A$6:$L$10,12,FALSE)/2,IF($I46&lt;O$3,VLOOKUP($H46,Depreciation!$A$6:$L$10,12,FALSE),0))</f>
        <v>3.0676363676126896E-2</v>
      </c>
      <c r="P46" s="362">
        <f t="shared" si="2"/>
        <v>0</v>
      </c>
      <c r="Q46" s="362">
        <f t="shared" si="3"/>
        <v>0</v>
      </c>
      <c r="R46" s="363">
        <f t="shared" si="4"/>
        <v>0</v>
      </c>
      <c r="Y46" s="365"/>
    </row>
    <row r="47" spans="1:25" ht="15" customHeight="1">
      <c r="A47" s="359" t="s">
        <v>1191</v>
      </c>
      <c r="B47" s="359" t="s">
        <v>1711</v>
      </c>
      <c r="C47" s="359">
        <v>786</v>
      </c>
      <c r="D47" s="359">
        <v>240</v>
      </c>
      <c r="E47" s="359"/>
      <c r="F47" s="359" t="s">
        <v>1251</v>
      </c>
      <c r="G47" s="360">
        <v>8330617.7071102019</v>
      </c>
      <c r="H47" s="359" t="s">
        <v>4</v>
      </c>
      <c r="I47" s="359">
        <v>2016</v>
      </c>
      <c r="J47" s="361">
        <f>+IF($I47=J$3,VLOOKUP($H47,Depreciation!$A$6:$L$10,7,FALSE)/2,IF($I47&lt;J$3,VLOOKUP($H47,Depreciation!$A$6:$L$10,7,FALSE),0))</f>
        <v>0</v>
      </c>
      <c r="K47" s="361">
        <f>+IF($I47=K$3,VLOOKUP($H47,Depreciation!$A$6:$L$10,8,FALSE)/2,IF($I47&lt;K$3,VLOOKUP($H47,Depreciation!$A$6:$L$10,8,FALSE),0))</f>
        <v>1.5338181838063448E-2</v>
      </c>
      <c r="L47" s="361">
        <f>+IF($I47=L$3,VLOOKUP($H47,Depreciation!$A$6:$L$10,9,FALSE)/2,IF($I47&lt;L$3,VLOOKUP($H47,Depreciation!$A$6:$L$10,9,FALSE),0))</f>
        <v>3.0676363676126896E-2</v>
      </c>
      <c r="M47" s="361">
        <f>+IF($I47=M$3,VLOOKUP($H47,Depreciation!$A$6:$L$10,10,FALSE)/2,IF($I47&lt;M$3,VLOOKUP($H47,Depreciation!$A$6:$L$10,10,FALSE),0))</f>
        <v>3.0676363676126896E-2</v>
      </c>
      <c r="N47" s="361">
        <f>+IF($I47=N$3,VLOOKUP($H47,Depreciation!$A$6:$L$10,11,FALSE)/2,IF($I47&lt;N$3,VLOOKUP($H47,Depreciation!$A$6:$L$10,11,FALSE),0))</f>
        <v>3.0676363676126896E-2</v>
      </c>
      <c r="O47" s="361">
        <f>+IF($I47=O$3,VLOOKUP($H47,Depreciation!$A$6:$L$10,12,FALSE)/2,IF($I47&lt;O$3,VLOOKUP($H47,Depreciation!$A$6:$L$10,12,FALSE),0))</f>
        <v>3.0676363676126896E-2</v>
      </c>
      <c r="P47" s="362">
        <f t="shared" si="2"/>
        <v>0</v>
      </c>
      <c r="Q47" s="362">
        <f t="shared" si="3"/>
        <v>0</v>
      </c>
      <c r="R47" s="363">
        <f t="shared" si="4"/>
        <v>0</v>
      </c>
      <c r="Y47" s="365"/>
    </row>
    <row r="48" spans="1:25" ht="15" customHeight="1">
      <c r="A48" s="359" t="s">
        <v>1191</v>
      </c>
      <c r="B48" s="359" t="s">
        <v>1712</v>
      </c>
      <c r="C48" s="359">
        <v>786</v>
      </c>
      <c r="D48" s="359">
        <v>240</v>
      </c>
      <c r="E48" s="359"/>
      <c r="F48" s="359" t="s">
        <v>1251</v>
      </c>
      <c r="G48" s="360">
        <v>289844.87394607428</v>
      </c>
      <c r="H48" s="359" t="s">
        <v>4</v>
      </c>
      <c r="I48" s="359">
        <v>2016</v>
      </c>
      <c r="J48" s="361">
        <f>+IF($I48=J$3,VLOOKUP($H48,Depreciation!$A$6:$L$10,7,FALSE)/2,IF($I48&lt;J$3,VLOOKUP($H48,Depreciation!$A$6:$L$10,7,FALSE),0))</f>
        <v>0</v>
      </c>
      <c r="K48" s="361">
        <f>+IF($I48=K$3,VLOOKUP($H48,Depreciation!$A$6:$L$10,8,FALSE)/2,IF($I48&lt;K$3,VLOOKUP($H48,Depreciation!$A$6:$L$10,8,FALSE),0))</f>
        <v>1.5338181838063448E-2</v>
      </c>
      <c r="L48" s="361">
        <f>+IF($I48=L$3,VLOOKUP($H48,Depreciation!$A$6:$L$10,9,FALSE)/2,IF($I48&lt;L$3,VLOOKUP($H48,Depreciation!$A$6:$L$10,9,FALSE),0))</f>
        <v>3.0676363676126896E-2</v>
      </c>
      <c r="M48" s="361">
        <f>+IF($I48=M$3,VLOOKUP($H48,Depreciation!$A$6:$L$10,10,FALSE)/2,IF($I48&lt;M$3,VLOOKUP($H48,Depreciation!$A$6:$L$10,10,FALSE),0))</f>
        <v>3.0676363676126896E-2</v>
      </c>
      <c r="N48" s="361">
        <f>+IF($I48=N$3,VLOOKUP($H48,Depreciation!$A$6:$L$10,11,FALSE)/2,IF($I48&lt;N$3,VLOOKUP($H48,Depreciation!$A$6:$L$10,11,FALSE),0))</f>
        <v>3.0676363676126896E-2</v>
      </c>
      <c r="O48" s="361">
        <f>+IF($I48=O$3,VLOOKUP($H48,Depreciation!$A$6:$L$10,12,FALSE)/2,IF($I48&lt;O$3,VLOOKUP($H48,Depreciation!$A$6:$L$10,12,FALSE),0))</f>
        <v>3.0676363676126896E-2</v>
      </c>
      <c r="P48" s="362">
        <f t="shared" si="2"/>
        <v>0</v>
      </c>
      <c r="Q48" s="362">
        <f t="shared" si="3"/>
        <v>0</v>
      </c>
      <c r="R48" s="363">
        <f t="shared" si="4"/>
        <v>0</v>
      </c>
      <c r="Y48" s="365"/>
    </row>
    <row r="49" spans="1:25" ht="15" customHeight="1">
      <c r="A49" s="359" t="s">
        <v>1191</v>
      </c>
      <c r="B49" s="359" t="s">
        <v>1713</v>
      </c>
      <c r="C49" s="359">
        <v>786</v>
      </c>
      <c r="D49" s="359">
        <v>240</v>
      </c>
      <c r="E49" s="359"/>
      <c r="F49" s="359" t="s">
        <v>1251</v>
      </c>
      <c r="G49" s="360">
        <v>414192.41502029379</v>
      </c>
      <c r="H49" s="359" t="s">
        <v>4</v>
      </c>
      <c r="I49" s="359">
        <v>2016</v>
      </c>
      <c r="J49" s="361">
        <f>+IF($I49=J$3,VLOOKUP($H49,Depreciation!$A$6:$L$10,7,FALSE)/2,IF($I49&lt;J$3,VLOOKUP($H49,Depreciation!$A$6:$L$10,7,FALSE),0))</f>
        <v>0</v>
      </c>
      <c r="K49" s="361">
        <f>+IF($I49=K$3,VLOOKUP($H49,Depreciation!$A$6:$L$10,8,FALSE)/2,IF($I49&lt;K$3,VLOOKUP($H49,Depreciation!$A$6:$L$10,8,FALSE),0))</f>
        <v>1.5338181838063448E-2</v>
      </c>
      <c r="L49" s="361">
        <f>+IF($I49=L$3,VLOOKUP($H49,Depreciation!$A$6:$L$10,9,FALSE)/2,IF($I49&lt;L$3,VLOOKUP($H49,Depreciation!$A$6:$L$10,9,FALSE),0))</f>
        <v>3.0676363676126896E-2</v>
      </c>
      <c r="M49" s="361">
        <f>+IF($I49=M$3,VLOOKUP($H49,Depreciation!$A$6:$L$10,10,FALSE)/2,IF($I49&lt;M$3,VLOOKUP($H49,Depreciation!$A$6:$L$10,10,FALSE),0))</f>
        <v>3.0676363676126896E-2</v>
      </c>
      <c r="N49" s="361">
        <f>+IF($I49=N$3,VLOOKUP($H49,Depreciation!$A$6:$L$10,11,FALSE)/2,IF($I49&lt;N$3,VLOOKUP($H49,Depreciation!$A$6:$L$10,11,FALSE),0))</f>
        <v>3.0676363676126896E-2</v>
      </c>
      <c r="O49" s="361">
        <f>+IF($I49=O$3,VLOOKUP($H49,Depreciation!$A$6:$L$10,12,FALSE)/2,IF($I49&lt;O$3,VLOOKUP($H49,Depreciation!$A$6:$L$10,12,FALSE),0))</f>
        <v>3.0676363676126896E-2</v>
      </c>
      <c r="P49" s="362">
        <f t="shared" si="2"/>
        <v>0</v>
      </c>
      <c r="Q49" s="362">
        <f t="shared" si="3"/>
        <v>0</v>
      </c>
      <c r="R49" s="363">
        <f t="shared" si="4"/>
        <v>0</v>
      </c>
      <c r="Y49" s="365"/>
    </row>
    <row r="50" spans="1:25" ht="15" customHeight="1">
      <c r="A50" s="359" t="s">
        <v>1191</v>
      </c>
      <c r="B50" s="359" t="s">
        <v>1714</v>
      </c>
      <c r="C50" s="359">
        <v>786</v>
      </c>
      <c r="D50" s="359">
        <v>240</v>
      </c>
      <c r="E50" s="359"/>
      <c r="F50" s="359" t="s">
        <v>1251</v>
      </c>
      <c r="G50" s="360">
        <v>1003247.4189437164</v>
      </c>
      <c r="H50" s="359" t="s">
        <v>4</v>
      </c>
      <c r="I50" s="359">
        <v>2016</v>
      </c>
      <c r="J50" s="361">
        <f>+IF($I50=J$3,VLOOKUP($H50,Depreciation!$A$6:$L$10,7,FALSE)/2,IF($I50&lt;J$3,VLOOKUP($H50,Depreciation!$A$6:$L$10,7,FALSE),0))</f>
        <v>0</v>
      </c>
      <c r="K50" s="361">
        <f>+IF($I50=K$3,VLOOKUP($H50,Depreciation!$A$6:$L$10,8,FALSE)/2,IF($I50&lt;K$3,VLOOKUP($H50,Depreciation!$A$6:$L$10,8,FALSE),0))</f>
        <v>1.5338181838063448E-2</v>
      </c>
      <c r="L50" s="361">
        <f>+IF($I50=L$3,VLOOKUP($H50,Depreciation!$A$6:$L$10,9,FALSE)/2,IF($I50&lt;L$3,VLOOKUP($H50,Depreciation!$A$6:$L$10,9,FALSE),0))</f>
        <v>3.0676363676126896E-2</v>
      </c>
      <c r="M50" s="361">
        <f>+IF($I50=M$3,VLOOKUP($H50,Depreciation!$A$6:$L$10,10,FALSE)/2,IF($I50&lt;M$3,VLOOKUP($H50,Depreciation!$A$6:$L$10,10,FALSE),0))</f>
        <v>3.0676363676126896E-2</v>
      </c>
      <c r="N50" s="361">
        <f>+IF($I50=N$3,VLOOKUP($H50,Depreciation!$A$6:$L$10,11,FALSE)/2,IF($I50&lt;N$3,VLOOKUP($H50,Depreciation!$A$6:$L$10,11,FALSE),0))</f>
        <v>3.0676363676126896E-2</v>
      </c>
      <c r="O50" s="361">
        <f>+IF($I50=O$3,VLOOKUP($H50,Depreciation!$A$6:$L$10,12,FALSE)/2,IF($I50&lt;O$3,VLOOKUP($H50,Depreciation!$A$6:$L$10,12,FALSE),0))</f>
        <v>3.0676363676126896E-2</v>
      </c>
      <c r="P50" s="362">
        <f t="shared" si="2"/>
        <v>0</v>
      </c>
      <c r="Q50" s="362">
        <f t="shared" si="3"/>
        <v>0</v>
      </c>
      <c r="R50" s="363">
        <f t="shared" si="4"/>
        <v>0</v>
      </c>
      <c r="Y50" s="365"/>
    </row>
    <row r="51" spans="1:25" ht="15" customHeight="1">
      <c r="A51" s="359" t="s">
        <v>1191</v>
      </c>
      <c r="B51" s="359" t="s">
        <v>1715</v>
      </c>
      <c r="C51" s="359">
        <v>786</v>
      </c>
      <c r="D51" s="359">
        <v>240</v>
      </c>
      <c r="E51" s="359"/>
      <c r="F51" s="359" t="s">
        <v>1251</v>
      </c>
      <c r="G51" s="360">
        <v>5049558.4464780493</v>
      </c>
      <c r="H51" s="359" t="s">
        <v>4</v>
      </c>
      <c r="I51" s="359">
        <v>2016</v>
      </c>
      <c r="J51" s="361">
        <f>+IF($I51=J$3,VLOOKUP($H51,Depreciation!$A$6:$L$10,7,FALSE)/2,IF($I51&lt;J$3,VLOOKUP($H51,Depreciation!$A$6:$L$10,7,FALSE),0))</f>
        <v>0</v>
      </c>
      <c r="K51" s="361">
        <f>+IF($I51=K$3,VLOOKUP($H51,Depreciation!$A$6:$L$10,8,FALSE)/2,IF($I51&lt;K$3,VLOOKUP($H51,Depreciation!$A$6:$L$10,8,FALSE),0))</f>
        <v>1.5338181838063448E-2</v>
      </c>
      <c r="L51" s="361">
        <f>+IF($I51=L$3,VLOOKUP($H51,Depreciation!$A$6:$L$10,9,FALSE)/2,IF($I51&lt;L$3,VLOOKUP($H51,Depreciation!$A$6:$L$10,9,FALSE),0))</f>
        <v>3.0676363676126896E-2</v>
      </c>
      <c r="M51" s="361">
        <f>+IF($I51=M$3,VLOOKUP($H51,Depreciation!$A$6:$L$10,10,FALSE)/2,IF($I51&lt;M$3,VLOOKUP($H51,Depreciation!$A$6:$L$10,10,FALSE),0))</f>
        <v>3.0676363676126896E-2</v>
      </c>
      <c r="N51" s="361">
        <f>+IF($I51=N$3,VLOOKUP($H51,Depreciation!$A$6:$L$10,11,FALSE)/2,IF($I51&lt;N$3,VLOOKUP($H51,Depreciation!$A$6:$L$10,11,FALSE),0))</f>
        <v>3.0676363676126896E-2</v>
      </c>
      <c r="O51" s="361">
        <f>+IF($I51=O$3,VLOOKUP($H51,Depreciation!$A$6:$L$10,12,FALSE)/2,IF($I51&lt;O$3,VLOOKUP($H51,Depreciation!$A$6:$L$10,12,FALSE),0))</f>
        <v>3.0676363676126896E-2</v>
      </c>
      <c r="P51" s="362">
        <f t="shared" si="2"/>
        <v>0</v>
      </c>
      <c r="Q51" s="362">
        <f t="shared" si="3"/>
        <v>0</v>
      </c>
      <c r="R51" s="363">
        <f t="shared" si="4"/>
        <v>0</v>
      </c>
      <c r="Y51" s="365"/>
    </row>
    <row r="52" spans="1:25" ht="15" customHeight="1">
      <c r="A52" s="359" t="s">
        <v>1191</v>
      </c>
      <c r="B52" s="359" t="s">
        <v>1715</v>
      </c>
      <c r="C52" s="359">
        <v>786</v>
      </c>
      <c r="D52" s="359">
        <v>240</v>
      </c>
      <c r="E52" s="359"/>
      <c r="F52" s="359" t="s">
        <v>1251</v>
      </c>
      <c r="G52" s="360">
        <v>1156144.4203365908</v>
      </c>
      <c r="H52" s="359" t="s">
        <v>4</v>
      </c>
      <c r="I52" s="359">
        <v>2016</v>
      </c>
      <c r="J52" s="361">
        <f>+IF($I52=J$3,VLOOKUP($H52,Depreciation!$A$6:$L$10,7,FALSE)/2,IF($I52&lt;J$3,VLOOKUP($H52,Depreciation!$A$6:$L$10,7,FALSE),0))</f>
        <v>0</v>
      </c>
      <c r="K52" s="361">
        <f>+IF($I52=K$3,VLOOKUP($H52,Depreciation!$A$6:$L$10,8,FALSE)/2,IF($I52&lt;K$3,VLOOKUP($H52,Depreciation!$A$6:$L$10,8,FALSE),0))</f>
        <v>1.5338181838063448E-2</v>
      </c>
      <c r="L52" s="361">
        <f>+IF($I52=L$3,VLOOKUP($H52,Depreciation!$A$6:$L$10,9,FALSE)/2,IF($I52&lt;L$3,VLOOKUP($H52,Depreciation!$A$6:$L$10,9,FALSE),0))</f>
        <v>3.0676363676126896E-2</v>
      </c>
      <c r="M52" s="361">
        <f>+IF($I52=M$3,VLOOKUP($H52,Depreciation!$A$6:$L$10,10,FALSE)/2,IF($I52&lt;M$3,VLOOKUP($H52,Depreciation!$A$6:$L$10,10,FALSE),0))</f>
        <v>3.0676363676126896E-2</v>
      </c>
      <c r="N52" s="361">
        <f>+IF($I52=N$3,VLOOKUP($H52,Depreciation!$A$6:$L$10,11,FALSE)/2,IF($I52&lt;N$3,VLOOKUP($H52,Depreciation!$A$6:$L$10,11,FALSE),0))</f>
        <v>3.0676363676126896E-2</v>
      </c>
      <c r="O52" s="361">
        <f>+IF($I52=O$3,VLOOKUP($H52,Depreciation!$A$6:$L$10,12,FALSE)/2,IF($I52&lt;O$3,VLOOKUP($H52,Depreciation!$A$6:$L$10,12,FALSE),0))</f>
        <v>3.0676363676126896E-2</v>
      </c>
      <c r="P52" s="362">
        <f t="shared" si="2"/>
        <v>0</v>
      </c>
      <c r="Q52" s="362">
        <f t="shared" si="3"/>
        <v>0</v>
      </c>
      <c r="R52" s="363">
        <f t="shared" si="4"/>
        <v>0</v>
      </c>
      <c r="Y52" s="365"/>
    </row>
    <row r="53" spans="1:25" ht="15" customHeight="1">
      <c r="A53" s="359" t="s">
        <v>1191</v>
      </c>
      <c r="B53" s="359" t="s">
        <v>1716</v>
      </c>
      <c r="C53" s="359">
        <v>786</v>
      </c>
      <c r="D53" s="359">
        <v>240</v>
      </c>
      <c r="E53" s="359"/>
      <c r="F53" s="359" t="s">
        <v>1251</v>
      </c>
      <c r="G53" s="360">
        <v>74703.733323158798</v>
      </c>
      <c r="H53" s="359" t="s">
        <v>4</v>
      </c>
      <c r="I53" s="359">
        <v>2016</v>
      </c>
      <c r="J53" s="361">
        <f>+IF($I53=J$3,VLOOKUP($H53,Depreciation!$A$6:$L$10,7,FALSE)/2,IF($I53&lt;J$3,VLOOKUP($H53,Depreciation!$A$6:$L$10,7,FALSE),0))</f>
        <v>0</v>
      </c>
      <c r="K53" s="361">
        <f>+IF($I53=K$3,VLOOKUP($H53,Depreciation!$A$6:$L$10,8,FALSE)/2,IF($I53&lt;K$3,VLOOKUP($H53,Depreciation!$A$6:$L$10,8,FALSE),0))</f>
        <v>1.5338181838063448E-2</v>
      </c>
      <c r="L53" s="361">
        <f>+IF($I53=L$3,VLOOKUP($H53,Depreciation!$A$6:$L$10,9,FALSE)/2,IF($I53&lt;L$3,VLOOKUP($H53,Depreciation!$A$6:$L$10,9,FALSE),0))</f>
        <v>3.0676363676126896E-2</v>
      </c>
      <c r="M53" s="361">
        <f>+IF($I53=M$3,VLOOKUP($H53,Depreciation!$A$6:$L$10,10,FALSE)/2,IF($I53&lt;M$3,VLOOKUP($H53,Depreciation!$A$6:$L$10,10,FALSE),0))</f>
        <v>3.0676363676126896E-2</v>
      </c>
      <c r="N53" s="361">
        <f>+IF($I53=N$3,VLOOKUP($H53,Depreciation!$A$6:$L$10,11,FALSE)/2,IF($I53&lt;N$3,VLOOKUP($H53,Depreciation!$A$6:$L$10,11,FALSE),0))</f>
        <v>3.0676363676126896E-2</v>
      </c>
      <c r="O53" s="361">
        <f>+IF($I53=O$3,VLOOKUP($H53,Depreciation!$A$6:$L$10,12,FALSE)/2,IF($I53&lt;O$3,VLOOKUP($H53,Depreciation!$A$6:$L$10,12,FALSE),0))</f>
        <v>3.0676363676126896E-2</v>
      </c>
      <c r="P53" s="362">
        <f t="shared" si="2"/>
        <v>0</v>
      </c>
      <c r="Q53" s="362">
        <f t="shared" si="3"/>
        <v>0</v>
      </c>
      <c r="R53" s="363">
        <f t="shared" si="4"/>
        <v>0</v>
      </c>
      <c r="Y53" s="365"/>
    </row>
    <row r="54" spans="1:25" ht="15" customHeight="1">
      <c r="A54" s="359" t="s">
        <v>1191</v>
      </c>
      <c r="B54" s="359" t="s">
        <v>1717</v>
      </c>
      <c r="C54" s="359">
        <v>786</v>
      </c>
      <c r="D54" s="359">
        <v>240</v>
      </c>
      <c r="E54" s="359"/>
      <c r="F54" s="359" t="s">
        <v>1251</v>
      </c>
      <c r="G54" s="360">
        <v>49162456.433123253</v>
      </c>
      <c r="H54" s="359" t="s">
        <v>4</v>
      </c>
      <c r="I54" s="359">
        <v>2016</v>
      </c>
      <c r="J54" s="361">
        <f>+IF($I54=J$3,VLOOKUP($H54,Depreciation!$A$6:$L$10,7,FALSE)/2,IF($I54&lt;J$3,VLOOKUP($H54,Depreciation!$A$6:$L$10,7,FALSE),0))</f>
        <v>0</v>
      </c>
      <c r="K54" s="361">
        <f>+IF($I54=K$3,VLOOKUP($H54,Depreciation!$A$6:$L$10,8,FALSE)/2,IF($I54&lt;K$3,VLOOKUP($H54,Depreciation!$A$6:$L$10,8,FALSE),0))</f>
        <v>1.5338181838063448E-2</v>
      </c>
      <c r="L54" s="361">
        <f>+IF($I54=L$3,VLOOKUP($H54,Depreciation!$A$6:$L$10,9,FALSE)/2,IF($I54&lt;L$3,VLOOKUP($H54,Depreciation!$A$6:$L$10,9,FALSE),0))</f>
        <v>3.0676363676126896E-2</v>
      </c>
      <c r="M54" s="361">
        <f>+IF($I54=M$3,VLOOKUP($H54,Depreciation!$A$6:$L$10,10,FALSE)/2,IF($I54&lt;M$3,VLOOKUP($H54,Depreciation!$A$6:$L$10,10,FALSE),0))</f>
        <v>3.0676363676126896E-2</v>
      </c>
      <c r="N54" s="361">
        <f>+IF($I54=N$3,VLOOKUP($H54,Depreciation!$A$6:$L$10,11,FALSE)/2,IF($I54&lt;N$3,VLOOKUP($H54,Depreciation!$A$6:$L$10,11,FALSE),0))</f>
        <v>3.0676363676126896E-2</v>
      </c>
      <c r="O54" s="361">
        <f>+IF($I54=O$3,VLOOKUP($H54,Depreciation!$A$6:$L$10,12,FALSE)/2,IF($I54&lt;O$3,VLOOKUP($H54,Depreciation!$A$6:$L$10,12,FALSE),0))</f>
        <v>3.0676363676126896E-2</v>
      </c>
      <c r="P54" s="362">
        <f t="shared" si="2"/>
        <v>0</v>
      </c>
      <c r="Q54" s="362">
        <f t="shared" si="3"/>
        <v>0</v>
      </c>
      <c r="R54" s="363">
        <f t="shared" si="4"/>
        <v>0</v>
      </c>
      <c r="Y54" s="365"/>
    </row>
    <row r="55" spans="1:25" ht="15" customHeight="1">
      <c r="A55" s="359" t="s">
        <v>1191</v>
      </c>
      <c r="B55" s="359" t="s">
        <v>1718</v>
      </c>
      <c r="C55" s="359">
        <v>786</v>
      </c>
      <c r="D55" s="359">
        <v>240</v>
      </c>
      <c r="E55" s="359"/>
      <c r="F55" s="359" t="s">
        <v>1251</v>
      </c>
      <c r="G55" s="360">
        <v>3984477.4999999995</v>
      </c>
      <c r="H55" s="359" t="s">
        <v>38</v>
      </c>
      <c r="I55" s="359">
        <v>2016</v>
      </c>
      <c r="J55" s="361">
        <f>+IF($I55=J$3,VLOOKUP($H55,Depreciation!$A$6:$L$10,7,FALSE)/2,IF($I55&lt;J$3,VLOOKUP($H55,Depreciation!$A$6:$L$10,7,FALSE),0))</f>
        <v>0</v>
      </c>
      <c r="K55" s="361">
        <f>+IF($I55=K$3,VLOOKUP($H55,Depreciation!$A$6:$L$10,8,FALSE)/2,IF($I55&lt;K$3,VLOOKUP($H55,Depreciation!$A$6:$L$10,8,FALSE),0))</f>
        <v>1.1531168605025642E-2</v>
      </c>
      <c r="L55" s="361">
        <f>+IF($I55=L$3,VLOOKUP($H55,Depreciation!$A$6:$L$10,9,FALSE)/2,IF($I55&lt;L$3,VLOOKUP($H55,Depreciation!$A$6:$L$10,9,FALSE),0))</f>
        <v>2.3063912319658014E-2</v>
      </c>
      <c r="M55" s="361">
        <f>+IF($I55=M$3,VLOOKUP($H55,Depreciation!$A$6:$L$10,10,FALSE)/2,IF($I55&lt;M$3,VLOOKUP($H55,Depreciation!$A$6:$L$10,10,FALSE),0))</f>
        <v>2.3063912319658014E-2</v>
      </c>
      <c r="N55" s="361">
        <f>+IF($I55=N$3,VLOOKUP($H55,Depreciation!$A$6:$L$10,11,FALSE)/2,IF($I55&lt;N$3,VLOOKUP($H55,Depreciation!$A$6:$L$10,11,FALSE),0))</f>
        <v>2.3063912319658014E-2</v>
      </c>
      <c r="O55" s="361">
        <f>+IF($I55=O$3,VLOOKUP($H55,Depreciation!$A$6:$L$10,12,FALSE)/2,IF($I55&lt;O$3,VLOOKUP($H55,Depreciation!$A$6:$L$10,12,FALSE),0))</f>
        <v>2.3063912319658014E-2</v>
      </c>
      <c r="P55" s="362">
        <f t="shared" si="2"/>
        <v>0</v>
      </c>
      <c r="Q55" s="362">
        <f t="shared" si="3"/>
        <v>0</v>
      </c>
      <c r="R55" s="363">
        <f t="shared" si="4"/>
        <v>0</v>
      </c>
      <c r="Y55" s="365"/>
    </row>
    <row r="56" spans="1:25" ht="15" customHeight="1">
      <c r="A56" s="359" t="s">
        <v>1191</v>
      </c>
      <c r="B56" s="359" t="s">
        <v>1718</v>
      </c>
      <c r="C56" s="359">
        <v>786</v>
      </c>
      <c r="D56" s="359">
        <v>240</v>
      </c>
      <c r="E56" s="359"/>
      <c r="F56" s="359" t="s">
        <v>1251</v>
      </c>
      <c r="G56" s="360">
        <v>3984477.4999999995</v>
      </c>
      <c r="H56" s="359" t="s">
        <v>38</v>
      </c>
      <c r="I56" s="359">
        <v>2016</v>
      </c>
      <c r="J56" s="361">
        <f>+IF($I56=J$3,VLOOKUP($H56,Depreciation!$A$6:$L$10,7,FALSE)/2,IF($I56&lt;J$3,VLOOKUP($H56,Depreciation!$A$6:$L$10,7,FALSE),0))</f>
        <v>0</v>
      </c>
      <c r="K56" s="361">
        <f>+IF($I56=K$3,VLOOKUP($H56,Depreciation!$A$6:$L$10,8,FALSE)/2,IF($I56&lt;K$3,VLOOKUP($H56,Depreciation!$A$6:$L$10,8,FALSE),0))</f>
        <v>1.1531168605025642E-2</v>
      </c>
      <c r="L56" s="361">
        <f>+IF($I56=L$3,VLOOKUP($H56,Depreciation!$A$6:$L$10,9,FALSE)/2,IF($I56&lt;L$3,VLOOKUP($H56,Depreciation!$A$6:$L$10,9,FALSE),0))</f>
        <v>2.3063912319658014E-2</v>
      </c>
      <c r="M56" s="361">
        <f>+IF($I56=M$3,VLOOKUP($H56,Depreciation!$A$6:$L$10,10,FALSE)/2,IF($I56&lt;M$3,VLOOKUP($H56,Depreciation!$A$6:$L$10,10,FALSE),0))</f>
        <v>2.3063912319658014E-2</v>
      </c>
      <c r="N56" s="361">
        <f>+IF($I56=N$3,VLOOKUP($H56,Depreciation!$A$6:$L$10,11,FALSE)/2,IF($I56&lt;N$3,VLOOKUP($H56,Depreciation!$A$6:$L$10,11,FALSE),0))</f>
        <v>2.3063912319658014E-2</v>
      </c>
      <c r="O56" s="361">
        <f>+IF($I56=O$3,VLOOKUP($H56,Depreciation!$A$6:$L$10,12,FALSE)/2,IF($I56&lt;O$3,VLOOKUP($H56,Depreciation!$A$6:$L$10,12,FALSE),0))</f>
        <v>2.3063912319658014E-2</v>
      </c>
      <c r="P56" s="362">
        <f t="shared" si="2"/>
        <v>0</v>
      </c>
      <c r="Q56" s="362">
        <f t="shared" si="3"/>
        <v>0</v>
      </c>
      <c r="R56" s="363">
        <f t="shared" si="4"/>
        <v>0</v>
      </c>
      <c r="Y56" s="365"/>
    </row>
    <row r="57" spans="1:25" ht="15" customHeight="1">
      <c r="A57" s="359" t="s">
        <v>1191</v>
      </c>
      <c r="B57" s="359" t="s">
        <v>1719</v>
      </c>
      <c r="C57" s="359">
        <v>786</v>
      </c>
      <c r="D57" s="359">
        <v>240</v>
      </c>
      <c r="E57" s="359"/>
      <c r="F57" s="359" t="s">
        <v>1251</v>
      </c>
      <c r="G57" s="360">
        <v>3109824.4563445696</v>
      </c>
      <c r="H57" s="359" t="s">
        <v>4</v>
      </c>
      <c r="I57" s="359">
        <v>2016</v>
      </c>
      <c r="J57" s="361">
        <f>+IF($I57=J$3,VLOOKUP($H57,Depreciation!$A$6:$L$10,7,FALSE)/2,IF($I57&lt;J$3,VLOOKUP($H57,Depreciation!$A$6:$L$10,7,FALSE),0))</f>
        <v>0</v>
      </c>
      <c r="K57" s="361">
        <f>+IF($I57=K$3,VLOOKUP($H57,Depreciation!$A$6:$L$10,8,FALSE)/2,IF($I57&lt;K$3,VLOOKUP($H57,Depreciation!$A$6:$L$10,8,FALSE),0))</f>
        <v>1.5338181838063448E-2</v>
      </c>
      <c r="L57" s="361">
        <f>+IF($I57=L$3,VLOOKUP($H57,Depreciation!$A$6:$L$10,9,FALSE)/2,IF($I57&lt;L$3,VLOOKUP($H57,Depreciation!$A$6:$L$10,9,FALSE),0))</f>
        <v>3.0676363676126896E-2</v>
      </c>
      <c r="M57" s="361">
        <f>+IF($I57=M$3,VLOOKUP($H57,Depreciation!$A$6:$L$10,10,FALSE)/2,IF($I57&lt;M$3,VLOOKUP($H57,Depreciation!$A$6:$L$10,10,FALSE),0))</f>
        <v>3.0676363676126896E-2</v>
      </c>
      <c r="N57" s="361">
        <f>+IF($I57=N$3,VLOOKUP($H57,Depreciation!$A$6:$L$10,11,FALSE)/2,IF($I57&lt;N$3,VLOOKUP($H57,Depreciation!$A$6:$L$10,11,FALSE),0))</f>
        <v>3.0676363676126896E-2</v>
      </c>
      <c r="O57" s="361">
        <f>+IF($I57=O$3,VLOOKUP($H57,Depreciation!$A$6:$L$10,12,FALSE)/2,IF($I57&lt;O$3,VLOOKUP($H57,Depreciation!$A$6:$L$10,12,FALSE),0))</f>
        <v>3.0676363676126896E-2</v>
      </c>
      <c r="P57" s="362">
        <f t="shared" si="2"/>
        <v>0</v>
      </c>
      <c r="Q57" s="362">
        <f t="shared" si="3"/>
        <v>0</v>
      </c>
      <c r="R57" s="363">
        <f t="shared" si="4"/>
        <v>0</v>
      </c>
      <c r="Y57" s="365"/>
    </row>
    <row r="58" spans="1:25" ht="15" customHeight="1">
      <c r="A58" s="359" t="s">
        <v>1191</v>
      </c>
      <c r="B58" s="359" t="s">
        <v>1720</v>
      </c>
      <c r="C58" s="359">
        <v>786</v>
      </c>
      <c r="D58" s="359">
        <v>240</v>
      </c>
      <c r="E58" s="359"/>
      <c r="F58" s="359" t="s">
        <v>1805</v>
      </c>
      <c r="G58" s="360">
        <v>346386.25820651586</v>
      </c>
      <c r="H58" s="359" t="s">
        <v>66</v>
      </c>
      <c r="I58" s="359">
        <v>2016</v>
      </c>
      <c r="J58" s="361">
        <f>+IF($I58=J$3,VLOOKUP($H58,Depreciation!$A$6:$L$10,7,FALSE)/2,IF($I58&lt;J$3,VLOOKUP($H58,Depreciation!$A$6:$L$10,7,FALSE),0))</f>
        <v>0</v>
      </c>
      <c r="K58" s="361">
        <f>+IF($I58=K$3,VLOOKUP($H58,Depreciation!$A$6:$L$10,8,FALSE)/2,IF($I58&lt;K$3,VLOOKUP($H58,Depreciation!$A$6:$L$10,8,FALSE),0))</f>
        <v>1.1971929865503333E-2</v>
      </c>
      <c r="L58" s="361">
        <f>+IF($I58=L$3,VLOOKUP($H58,Depreciation!$A$6:$L$10,9,FALSE)/2,IF($I58&lt;L$3,VLOOKUP($H58,Depreciation!$A$6:$L$10,9,FALSE),0))</f>
        <v>2.4002037926855919E-2</v>
      </c>
      <c r="M58" s="361">
        <f>+IF($I58=M$3,VLOOKUP($H58,Depreciation!$A$6:$L$10,10,FALSE)/2,IF($I58&lt;M$3,VLOOKUP($H58,Depreciation!$A$6:$L$10,10,FALSE),0))</f>
        <v>2.4002037926855919E-2</v>
      </c>
      <c r="N58" s="361">
        <f>+IF($I58=N$3,VLOOKUP($H58,Depreciation!$A$6:$L$10,11,FALSE)/2,IF($I58&lt;N$3,VLOOKUP($H58,Depreciation!$A$6:$L$10,11,FALSE),0))</f>
        <v>2.4002037926855919E-2</v>
      </c>
      <c r="O58" s="361">
        <f>+IF($I58=O$3,VLOOKUP($H58,Depreciation!$A$6:$L$10,12,FALSE)/2,IF($I58&lt;O$3,VLOOKUP($H58,Depreciation!$A$6:$L$10,12,FALSE),0))</f>
        <v>2.4002037926855919E-2</v>
      </c>
      <c r="P58" s="362">
        <f t="shared" si="2"/>
        <v>0</v>
      </c>
      <c r="Q58" s="362">
        <f t="shared" si="3"/>
        <v>0</v>
      </c>
      <c r="R58" s="363">
        <f t="shared" si="4"/>
        <v>0</v>
      </c>
      <c r="Y58" s="365"/>
    </row>
    <row r="59" spans="1:25" ht="15" customHeight="1">
      <c r="A59" s="359" t="s">
        <v>1191</v>
      </c>
      <c r="B59" s="359" t="s">
        <v>1721</v>
      </c>
      <c r="C59" s="359">
        <v>786</v>
      </c>
      <c r="D59" s="359">
        <v>240</v>
      </c>
      <c r="E59" s="359"/>
      <c r="F59" s="359" t="s">
        <v>1251</v>
      </c>
      <c r="G59" s="360">
        <v>1657515.1531787047</v>
      </c>
      <c r="H59" s="359" t="s">
        <v>4</v>
      </c>
      <c r="I59" s="359">
        <v>2016</v>
      </c>
      <c r="J59" s="361">
        <f>+IF($I59=J$3,VLOOKUP($H59,Depreciation!$A$6:$L$10,7,FALSE)/2,IF($I59&lt;J$3,VLOOKUP($H59,Depreciation!$A$6:$L$10,7,FALSE),0))</f>
        <v>0</v>
      </c>
      <c r="K59" s="361">
        <f>+IF($I59=K$3,VLOOKUP($H59,Depreciation!$A$6:$L$10,8,FALSE)/2,IF($I59&lt;K$3,VLOOKUP($H59,Depreciation!$A$6:$L$10,8,FALSE),0))</f>
        <v>1.5338181838063448E-2</v>
      </c>
      <c r="L59" s="361">
        <f>+IF($I59=L$3,VLOOKUP($H59,Depreciation!$A$6:$L$10,9,FALSE)/2,IF($I59&lt;L$3,VLOOKUP($H59,Depreciation!$A$6:$L$10,9,FALSE),0))</f>
        <v>3.0676363676126896E-2</v>
      </c>
      <c r="M59" s="361">
        <f>+IF($I59=M$3,VLOOKUP($H59,Depreciation!$A$6:$L$10,10,FALSE)/2,IF($I59&lt;M$3,VLOOKUP($H59,Depreciation!$A$6:$L$10,10,FALSE),0))</f>
        <v>3.0676363676126896E-2</v>
      </c>
      <c r="N59" s="361">
        <f>+IF($I59=N$3,VLOOKUP($H59,Depreciation!$A$6:$L$10,11,FALSE)/2,IF($I59&lt;N$3,VLOOKUP($H59,Depreciation!$A$6:$L$10,11,FALSE),0))</f>
        <v>3.0676363676126896E-2</v>
      </c>
      <c r="O59" s="361">
        <f>+IF($I59=O$3,VLOOKUP($H59,Depreciation!$A$6:$L$10,12,FALSE)/2,IF($I59&lt;O$3,VLOOKUP($H59,Depreciation!$A$6:$L$10,12,FALSE),0))</f>
        <v>3.0676363676126896E-2</v>
      </c>
      <c r="P59" s="362">
        <f t="shared" si="2"/>
        <v>0</v>
      </c>
      <c r="Q59" s="362">
        <f t="shared" si="3"/>
        <v>0</v>
      </c>
      <c r="R59" s="363">
        <f t="shared" si="4"/>
        <v>0</v>
      </c>
      <c r="Y59" s="365"/>
    </row>
    <row r="60" spans="1:25" ht="15" customHeight="1">
      <c r="A60" s="359" t="s">
        <v>1191</v>
      </c>
      <c r="B60" s="359" t="s">
        <v>1721</v>
      </c>
      <c r="C60" s="359">
        <v>786</v>
      </c>
      <c r="D60" s="359">
        <v>240</v>
      </c>
      <c r="E60" s="359"/>
      <c r="F60" s="359" t="s">
        <v>1251</v>
      </c>
      <c r="G60" s="360">
        <v>1321477.0395329923</v>
      </c>
      <c r="H60" s="359" t="s">
        <v>4</v>
      </c>
      <c r="I60" s="359">
        <v>2016</v>
      </c>
      <c r="J60" s="361">
        <f>+IF($I60=J$3,VLOOKUP($H60,Depreciation!$A$6:$L$10,7,FALSE)/2,IF($I60&lt;J$3,VLOOKUP($H60,Depreciation!$A$6:$L$10,7,FALSE),0))</f>
        <v>0</v>
      </c>
      <c r="K60" s="361">
        <f>+IF($I60=K$3,VLOOKUP($H60,Depreciation!$A$6:$L$10,8,FALSE)/2,IF($I60&lt;K$3,VLOOKUP($H60,Depreciation!$A$6:$L$10,8,FALSE),0))</f>
        <v>1.5338181838063448E-2</v>
      </c>
      <c r="L60" s="361">
        <f>+IF($I60=L$3,VLOOKUP($H60,Depreciation!$A$6:$L$10,9,FALSE)/2,IF($I60&lt;L$3,VLOOKUP($H60,Depreciation!$A$6:$L$10,9,FALSE),0))</f>
        <v>3.0676363676126896E-2</v>
      </c>
      <c r="M60" s="361">
        <f>+IF($I60=M$3,VLOOKUP($H60,Depreciation!$A$6:$L$10,10,FALSE)/2,IF($I60&lt;M$3,VLOOKUP($H60,Depreciation!$A$6:$L$10,10,FALSE),0))</f>
        <v>3.0676363676126896E-2</v>
      </c>
      <c r="N60" s="361">
        <f>+IF($I60=N$3,VLOOKUP($H60,Depreciation!$A$6:$L$10,11,FALSE)/2,IF($I60&lt;N$3,VLOOKUP($H60,Depreciation!$A$6:$L$10,11,FALSE),0))</f>
        <v>3.0676363676126896E-2</v>
      </c>
      <c r="O60" s="361">
        <f>+IF($I60=O$3,VLOOKUP($H60,Depreciation!$A$6:$L$10,12,FALSE)/2,IF($I60&lt;O$3,VLOOKUP($H60,Depreciation!$A$6:$L$10,12,FALSE),0))</f>
        <v>3.0676363676126896E-2</v>
      </c>
      <c r="P60" s="362">
        <f t="shared" si="2"/>
        <v>0</v>
      </c>
      <c r="Q60" s="362">
        <f t="shared" si="3"/>
        <v>0</v>
      </c>
      <c r="R60" s="363">
        <f t="shared" si="4"/>
        <v>0</v>
      </c>
      <c r="Y60" s="365"/>
    </row>
    <row r="61" spans="1:25" ht="15" customHeight="1">
      <c r="A61" s="359" t="s">
        <v>1191</v>
      </c>
      <c r="B61" s="359" t="s">
        <v>1359</v>
      </c>
      <c r="C61" s="359">
        <v>803</v>
      </c>
      <c r="D61" s="359">
        <v>138</v>
      </c>
      <c r="E61" s="359"/>
      <c r="F61" s="359" t="s">
        <v>1207</v>
      </c>
      <c r="G61" s="360">
        <v>12917630.079449499</v>
      </c>
      <c r="H61" s="359" t="s">
        <v>66</v>
      </c>
      <c r="I61" s="359">
        <v>2017</v>
      </c>
      <c r="J61" s="361">
        <f>+IF($I61=J$3,VLOOKUP($H61,Depreciation!$A$6:$L$10,7,FALSE)/2,IF($I61&lt;J$3,VLOOKUP($H61,Depreciation!$A$6:$L$10,7,FALSE),0))</f>
        <v>0</v>
      </c>
      <c r="K61" s="361">
        <f>+IF($I61=K$3,VLOOKUP($H61,Depreciation!$A$6:$L$10,8,FALSE)/2,IF($I61&lt;K$3,VLOOKUP($H61,Depreciation!$A$6:$L$10,8,FALSE),0))</f>
        <v>0</v>
      </c>
      <c r="L61" s="361">
        <f>+IF($I61=L$3,VLOOKUP($H61,Depreciation!$A$6:$L$10,9,FALSE)/2,IF($I61&lt;L$3,VLOOKUP($H61,Depreciation!$A$6:$L$10,9,FALSE),0))</f>
        <v>1.2001018963427959E-2</v>
      </c>
      <c r="M61" s="361">
        <f>+IF($I61=M$3,VLOOKUP($H61,Depreciation!$A$6:$L$10,10,FALSE)/2,IF($I61&lt;M$3,VLOOKUP($H61,Depreciation!$A$6:$L$10,10,FALSE),0))</f>
        <v>2.4002037926855919E-2</v>
      </c>
      <c r="N61" s="361">
        <f>+IF($I61=N$3,VLOOKUP($H61,Depreciation!$A$6:$L$10,11,FALSE)/2,IF($I61&lt;N$3,VLOOKUP($H61,Depreciation!$A$6:$L$10,11,FALSE),0))</f>
        <v>2.4002037926855919E-2</v>
      </c>
      <c r="O61" s="361">
        <f>+IF($I61=O$3,VLOOKUP($H61,Depreciation!$A$6:$L$10,12,FALSE)/2,IF($I61&lt;O$3,VLOOKUP($H61,Depreciation!$A$6:$L$10,12,FALSE),0))</f>
        <v>2.4002037926855919E-2</v>
      </c>
      <c r="P61" s="362">
        <f t="shared" si="2"/>
        <v>0</v>
      </c>
      <c r="Q61" s="362">
        <f t="shared" si="3"/>
        <v>0</v>
      </c>
      <c r="R61" s="363">
        <f t="shared" si="4"/>
        <v>0</v>
      </c>
      <c r="Y61" s="365"/>
    </row>
    <row r="62" spans="1:25" ht="15" customHeight="1">
      <c r="A62" s="359" t="s">
        <v>1191</v>
      </c>
      <c r="B62" s="359" t="s">
        <v>1722</v>
      </c>
      <c r="C62" s="359">
        <v>811</v>
      </c>
      <c r="D62" s="359">
        <v>69</v>
      </c>
      <c r="E62" s="359"/>
      <c r="F62" s="359" t="s">
        <v>1248</v>
      </c>
      <c r="G62" s="360">
        <v>243484.314248574</v>
      </c>
      <c r="H62" s="359" t="s">
        <v>66</v>
      </c>
      <c r="I62" s="359">
        <v>2017</v>
      </c>
      <c r="J62" s="361">
        <f>+IF($I62=J$3,VLOOKUP($H62,Depreciation!$A$6:$L$10,7,FALSE)/2,IF($I62&lt;J$3,VLOOKUP($H62,Depreciation!$A$6:$L$10,7,FALSE),0))</f>
        <v>0</v>
      </c>
      <c r="K62" s="361">
        <f>+IF($I62=K$3,VLOOKUP($H62,Depreciation!$A$6:$L$10,8,FALSE)/2,IF($I62&lt;K$3,VLOOKUP($H62,Depreciation!$A$6:$L$10,8,FALSE),0))</f>
        <v>0</v>
      </c>
      <c r="L62" s="361">
        <f>+IF($I62=L$3,VLOOKUP($H62,Depreciation!$A$6:$L$10,9,FALSE)/2,IF($I62&lt;L$3,VLOOKUP($H62,Depreciation!$A$6:$L$10,9,FALSE),0))</f>
        <v>1.2001018963427959E-2</v>
      </c>
      <c r="M62" s="361">
        <f>+IF($I62=M$3,VLOOKUP($H62,Depreciation!$A$6:$L$10,10,FALSE)/2,IF($I62&lt;M$3,VLOOKUP($H62,Depreciation!$A$6:$L$10,10,FALSE),0))</f>
        <v>2.4002037926855919E-2</v>
      </c>
      <c r="N62" s="361">
        <f>+IF($I62=N$3,VLOOKUP($H62,Depreciation!$A$6:$L$10,11,FALSE)/2,IF($I62&lt;N$3,VLOOKUP($H62,Depreciation!$A$6:$L$10,11,FALSE),0))</f>
        <v>2.4002037926855919E-2</v>
      </c>
      <c r="O62" s="361">
        <f>+IF($I62=O$3,VLOOKUP($H62,Depreciation!$A$6:$L$10,12,FALSE)/2,IF($I62&lt;O$3,VLOOKUP($H62,Depreciation!$A$6:$L$10,12,FALSE),0))</f>
        <v>2.4002037926855919E-2</v>
      </c>
      <c r="P62" s="362">
        <f t="shared" si="2"/>
        <v>0</v>
      </c>
      <c r="Q62" s="362">
        <f t="shared" si="3"/>
        <v>0</v>
      </c>
      <c r="R62" s="363">
        <f t="shared" si="4"/>
        <v>0</v>
      </c>
      <c r="Y62" s="365"/>
    </row>
    <row r="63" spans="1:25" ht="15" customHeight="1">
      <c r="A63" s="359" t="s">
        <v>1191</v>
      </c>
      <c r="B63" s="359" t="s">
        <v>1723</v>
      </c>
      <c r="C63" s="359">
        <v>811</v>
      </c>
      <c r="D63" s="359">
        <v>144</v>
      </c>
      <c r="E63" s="359"/>
      <c r="F63" s="359" t="s">
        <v>1248</v>
      </c>
      <c r="G63" s="360">
        <v>2439411.4217569879</v>
      </c>
      <c r="H63" s="359" t="s">
        <v>66</v>
      </c>
      <c r="I63" s="359">
        <v>2017</v>
      </c>
      <c r="J63" s="361">
        <f>+IF($I63=J$3,VLOOKUP($H63,Depreciation!$A$6:$L$10,7,FALSE)/2,IF($I63&lt;J$3,VLOOKUP($H63,Depreciation!$A$6:$L$10,7,FALSE),0))</f>
        <v>0</v>
      </c>
      <c r="K63" s="361">
        <f>+IF($I63=K$3,VLOOKUP($H63,Depreciation!$A$6:$L$10,8,FALSE)/2,IF($I63&lt;K$3,VLOOKUP($H63,Depreciation!$A$6:$L$10,8,FALSE),0))</f>
        <v>0</v>
      </c>
      <c r="L63" s="361">
        <f>+IF($I63=L$3,VLOOKUP($H63,Depreciation!$A$6:$L$10,9,FALSE)/2,IF($I63&lt;L$3,VLOOKUP($H63,Depreciation!$A$6:$L$10,9,FALSE),0))</f>
        <v>1.2001018963427959E-2</v>
      </c>
      <c r="M63" s="361">
        <f>+IF($I63=M$3,VLOOKUP($H63,Depreciation!$A$6:$L$10,10,FALSE)/2,IF($I63&lt;M$3,VLOOKUP($H63,Depreciation!$A$6:$L$10,10,FALSE),0))</f>
        <v>2.4002037926855919E-2</v>
      </c>
      <c r="N63" s="361">
        <f>+IF($I63=N$3,VLOOKUP($H63,Depreciation!$A$6:$L$10,11,FALSE)/2,IF($I63&lt;N$3,VLOOKUP($H63,Depreciation!$A$6:$L$10,11,FALSE),0))</f>
        <v>2.4002037926855919E-2</v>
      </c>
      <c r="O63" s="361">
        <f>+IF($I63=O$3,VLOOKUP($H63,Depreciation!$A$6:$L$10,12,FALSE)/2,IF($I63&lt;O$3,VLOOKUP($H63,Depreciation!$A$6:$L$10,12,FALSE),0))</f>
        <v>2.4002037926855919E-2</v>
      </c>
      <c r="P63" s="362">
        <f t="shared" si="2"/>
        <v>0</v>
      </c>
      <c r="Q63" s="362">
        <f t="shared" si="3"/>
        <v>0</v>
      </c>
      <c r="R63" s="363">
        <f t="shared" si="4"/>
        <v>0</v>
      </c>
      <c r="Y63" s="365"/>
    </row>
    <row r="64" spans="1:25" ht="15" customHeight="1">
      <c r="A64" s="359" t="s">
        <v>1191</v>
      </c>
      <c r="B64" s="359" t="s">
        <v>1724</v>
      </c>
      <c r="C64" s="359">
        <v>811</v>
      </c>
      <c r="D64" s="359">
        <v>144</v>
      </c>
      <c r="E64" s="359"/>
      <c r="F64" s="359" t="s">
        <v>1248</v>
      </c>
      <c r="G64" s="360">
        <v>14367348.961213691</v>
      </c>
      <c r="H64" s="359" t="s">
        <v>66</v>
      </c>
      <c r="I64" s="359">
        <v>2017</v>
      </c>
      <c r="J64" s="361">
        <f>+IF($I64=J$3,VLOOKUP($H64,Depreciation!$A$6:$L$10,7,FALSE)/2,IF($I64&lt;J$3,VLOOKUP($H64,Depreciation!$A$6:$L$10,7,FALSE),0))</f>
        <v>0</v>
      </c>
      <c r="K64" s="361">
        <f>+IF($I64=K$3,VLOOKUP($H64,Depreciation!$A$6:$L$10,8,FALSE)/2,IF($I64&lt;K$3,VLOOKUP($H64,Depreciation!$A$6:$L$10,8,FALSE),0))</f>
        <v>0</v>
      </c>
      <c r="L64" s="361">
        <f>+IF($I64=L$3,VLOOKUP($H64,Depreciation!$A$6:$L$10,9,FALSE)/2,IF($I64&lt;L$3,VLOOKUP($H64,Depreciation!$A$6:$L$10,9,FALSE),0))</f>
        <v>1.2001018963427959E-2</v>
      </c>
      <c r="M64" s="361">
        <f>+IF($I64=M$3,VLOOKUP($H64,Depreciation!$A$6:$L$10,10,FALSE)/2,IF($I64&lt;M$3,VLOOKUP($H64,Depreciation!$A$6:$L$10,10,FALSE),0))</f>
        <v>2.4002037926855919E-2</v>
      </c>
      <c r="N64" s="361">
        <f>+IF($I64=N$3,VLOOKUP($H64,Depreciation!$A$6:$L$10,11,FALSE)/2,IF($I64&lt;N$3,VLOOKUP($H64,Depreciation!$A$6:$L$10,11,FALSE),0))</f>
        <v>2.4002037926855919E-2</v>
      </c>
      <c r="O64" s="361">
        <f>+IF($I64=O$3,VLOOKUP($H64,Depreciation!$A$6:$L$10,12,FALSE)/2,IF($I64&lt;O$3,VLOOKUP($H64,Depreciation!$A$6:$L$10,12,FALSE),0))</f>
        <v>2.4002037926855919E-2</v>
      </c>
      <c r="P64" s="362">
        <f t="shared" si="2"/>
        <v>0</v>
      </c>
      <c r="Q64" s="362">
        <f t="shared" si="3"/>
        <v>0</v>
      </c>
      <c r="R64" s="363">
        <f t="shared" si="4"/>
        <v>0</v>
      </c>
      <c r="Y64" s="365"/>
    </row>
    <row r="65" spans="1:25" ht="15" customHeight="1">
      <c r="A65" s="359" t="s">
        <v>1191</v>
      </c>
      <c r="B65" s="359" t="s">
        <v>1725</v>
      </c>
      <c r="C65" s="359">
        <v>811</v>
      </c>
      <c r="D65" s="359">
        <v>144</v>
      </c>
      <c r="E65" s="359"/>
      <c r="F65" s="359" t="s">
        <v>1248</v>
      </c>
      <c r="G65" s="360">
        <v>6851824.4335497497</v>
      </c>
      <c r="H65" s="359" t="s">
        <v>66</v>
      </c>
      <c r="I65" s="359">
        <v>2017</v>
      </c>
      <c r="J65" s="361">
        <f>+IF($I65=J$3,VLOOKUP($H65,Depreciation!$A$6:$L$10,7,FALSE)/2,IF($I65&lt;J$3,VLOOKUP($H65,Depreciation!$A$6:$L$10,7,FALSE),0))</f>
        <v>0</v>
      </c>
      <c r="K65" s="361">
        <f>+IF($I65=K$3,VLOOKUP($H65,Depreciation!$A$6:$L$10,8,FALSE)/2,IF($I65&lt;K$3,VLOOKUP($H65,Depreciation!$A$6:$L$10,8,FALSE),0))</f>
        <v>0</v>
      </c>
      <c r="L65" s="361">
        <f>+IF($I65=L$3,VLOOKUP($H65,Depreciation!$A$6:$L$10,9,FALSE)/2,IF($I65&lt;L$3,VLOOKUP($H65,Depreciation!$A$6:$L$10,9,FALSE),0))</f>
        <v>1.2001018963427959E-2</v>
      </c>
      <c r="M65" s="361">
        <f>+IF($I65=M$3,VLOOKUP($H65,Depreciation!$A$6:$L$10,10,FALSE)/2,IF($I65&lt;M$3,VLOOKUP($H65,Depreciation!$A$6:$L$10,10,FALSE),0))</f>
        <v>2.4002037926855919E-2</v>
      </c>
      <c r="N65" s="361">
        <f>+IF($I65=N$3,VLOOKUP($H65,Depreciation!$A$6:$L$10,11,FALSE)/2,IF($I65&lt;N$3,VLOOKUP($H65,Depreciation!$A$6:$L$10,11,FALSE),0))</f>
        <v>2.4002037926855919E-2</v>
      </c>
      <c r="O65" s="361">
        <f>+IF($I65=O$3,VLOOKUP($H65,Depreciation!$A$6:$L$10,12,FALSE)/2,IF($I65&lt;O$3,VLOOKUP($H65,Depreciation!$A$6:$L$10,12,FALSE),0))</f>
        <v>2.4002037926855919E-2</v>
      </c>
      <c r="P65" s="362">
        <f t="shared" si="2"/>
        <v>0</v>
      </c>
      <c r="Q65" s="362">
        <f t="shared" si="3"/>
        <v>0</v>
      </c>
      <c r="R65" s="363">
        <f t="shared" si="4"/>
        <v>0</v>
      </c>
      <c r="Y65" s="365"/>
    </row>
    <row r="66" spans="1:25" ht="15" customHeight="1">
      <c r="A66" s="359" t="s">
        <v>1191</v>
      </c>
      <c r="B66" s="359" t="s">
        <v>1726</v>
      </c>
      <c r="C66" s="359">
        <v>811</v>
      </c>
      <c r="D66" s="359">
        <v>144</v>
      </c>
      <c r="E66" s="359"/>
      <c r="F66" s="359" t="s">
        <v>1248</v>
      </c>
      <c r="G66" s="360">
        <v>918753.56140999962</v>
      </c>
      <c r="H66" s="359" t="s">
        <v>66</v>
      </c>
      <c r="I66" s="359">
        <v>2017</v>
      </c>
      <c r="J66" s="361">
        <f>+IF($I66=J$3,VLOOKUP($H66,Depreciation!$A$6:$L$10,7,FALSE)/2,IF($I66&lt;J$3,VLOOKUP($H66,Depreciation!$A$6:$L$10,7,FALSE),0))</f>
        <v>0</v>
      </c>
      <c r="K66" s="361">
        <f>+IF($I66=K$3,VLOOKUP($H66,Depreciation!$A$6:$L$10,8,FALSE)/2,IF($I66&lt;K$3,VLOOKUP($H66,Depreciation!$A$6:$L$10,8,FALSE),0))</f>
        <v>0</v>
      </c>
      <c r="L66" s="361">
        <f>+IF($I66=L$3,VLOOKUP($H66,Depreciation!$A$6:$L$10,9,FALSE)/2,IF($I66&lt;L$3,VLOOKUP($H66,Depreciation!$A$6:$L$10,9,FALSE),0))</f>
        <v>1.2001018963427959E-2</v>
      </c>
      <c r="M66" s="361">
        <f>+IF($I66=M$3,VLOOKUP($H66,Depreciation!$A$6:$L$10,10,FALSE)/2,IF($I66&lt;M$3,VLOOKUP($H66,Depreciation!$A$6:$L$10,10,FALSE),0))</f>
        <v>2.4002037926855919E-2</v>
      </c>
      <c r="N66" s="361">
        <f>+IF($I66=N$3,VLOOKUP($H66,Depreciation!$A$6:$L$10,11,FALSE)/2,IF($I66&lt;N$3,VLOOKUP($H66,Depreciation!$A$6:$L$10,11,FALSE),0))</f>
        <v>2.4002037926855919E-2</v>
      </c>
      <c r="O66" s="361">
        <f>+IF($I66=O$3,VLOOKUP($H66,Depreciation!$A$6:$L$10,12,FALSE)/2,IF($I66&lt;O$3,VLOOKUP($H66,Depreciation!$A$6:$L$10,12,FALSE),0))</f>
        <v>2.4002037926855919E-2</v>
      </c>
      <c r="P66" s="362">
        <f t="shared" si="2"/>
        <v>0</v>
      </c>
      <c r="Q66" s="362">
        <f t="shared" si="3"/>
        <v>0</v>
      </c>
      <c r="R66" s="363">
        <f t="shared" si="4"/>
        <v>0</v>
      </c>
      <c r="Y66" s="365"/>
    </row>
    <row r="67" spans="1:25" ht="15" customHeight="1">
      <c r="A67" s="359" t="s">
        <v>1191</v>
      </c>
      <c r="B67" s="359" t="s">
        <v>1727</v>
      </c>
      <c r="C67" s="359">
        <v>811</v>
      </c>
      <c r="D67" s="359">
        <v>144</v>
      </c>
      <c r="E67" s="359"/>
      <c r="F67" s="359" t="s">
        <v>1248</v>
      </c>
      <c r="G67" s="360">
        <v>956623.00131934194</v>
      </c>
      <c r="H67" s="359" t="s">
        <v>66</v>
      </c>
      <c r="I67" s="359">
        <v>2017</v>
      </c>
      <c r="J67" s="361">
        <f>+IF($I67=J$3,VLOOKUP($H67,Depreciation!$A$6:$L$10,7,FALSE)/2,IF($I67&lt;J$3,VLOOKUP($H67,Depreciation!$A$6:$L$10,7,FALSE),0))</f>
        <v>0</v>
      </c>
      <c r="K67" s="361">
        <f>+IF($I67=K$3,VLOOKUP($H67,Depreciation!$A$6:$L$10,8,FALSE)/2,IF($I67&lt;K$3,VLOOKUP($H67,Depreciation!$A$6:$L$10,8,FALSE),0))</f>
        <v>0</v>
      </c>
      <c r="L67" s="361">
        <f>+IF($I67=L$3,VLOOKUP($H67,Depreciation!$A$6:$L$10,9,FALSE)/2,IF($I67&lt;L$3,VLOOKUP($H67,Depreciation!$A$6:$L$10,9,FALSE),0))</f>
        <v>1.2001018963427959E-2</v>
      </c>
      <c r="M67" s="361">
        <f>+IF($I67=M$3,VLOOKUP($H67,Depreciation!$A$6:$L$10,10,FALSE)/2,IF($I67&lt;M$3,VLOOKUP($H67,Depreciation!$A$6:$L$10,10,FALSE),0))</f>
        <v>2.4002037926855919E-2</v>
      </c>
      <c r="N67" s="361">
        <f>+IF($I67=N$3,VLOOKUP($H67,Depreciation!$A$6:$L$10,11,FALSE)/2,IF($I67&lt;N$3,VLOOKUP($H67,Depreciation!$A$6:$L$10,11,FALSE),0))</f>
        <v>2.4002037926855919E-2</v>
      </c>
      <c r="O67" s="361">
        <f>+IF($I67=O$3,VLOOKUP($H67,Depreciation!$A$6:$L$10,12,FALSE)/2,IF($I67&lt;O$3,VLOOKUP($H67,Depreciation!$A$6:$L$10,12,FALSE),0))</f>
        <v>2.4002037926855919E-2</v>
      </c>
      <c r="P67" s="362">
        <f t="shared" si="2"/>
        <v>0</v>
      </c>
      <c r="Q67" s="362">
        <f t="shared" si="3"/>
        <v>0</v>
      </c>
      <c r="R67" s="363">
        <f t="shared" si="4"/>
        <v>0</v>
      </c>
      <c r="Y67" s="365"/>
    </row>
    <row r="68" spans="1:25" ht="15" customHeight="1">
      <c r="A68" s="359" t="s">
        <v>1191</v>
      </c>
      <c r="B68" s="359" t="s">
        <v>1728</v>
      </c>
      <c r="C68" s="359">
        <v>811</v>
      </c>
      <c r="D68" s="359">
        <v>144</v>
      </c>
      <c r="E68" s="359"/>
      <c r="F68" s="359" t="s">
        <v>1248</v>
      </c>
      <c r="G68" s="360">
        <v>2787898.7677222718</v>
      </c>
      <c r="H68" s="359" t="s">
        <v>66</v>
      </c>
      <c r="I68" s="359">
        <v>2017</v>
      </c>
      <c r="J68" s="361">
        <f>+IF($I68=J$3,VLOOKUP($H68,Depreciation!$A$6:$L$10,7,FALSE)/2,IF($I68&lt;J$3,VLOOKUP($H68,Depreciation!$A$6:$L$10,7,FALSE),0))</f>
        <v>0</v>
      </c>
      <c r="K68" s="361">
        <f>+IF($I68=K$3,VLOOKUP($H68,Depreciation!$A$6:$L$10,8,FALSE)/2,IF($I68&lt;K$3,VLOOKUP($H68,Depreciation!$A$6:$L$10,8,FALSE),0))</f>
        <v>0</v>
      </c>
      <c r="L68" s="361">
        <f>+IF($I68=L$3,VLOOKUP($H68,Depreciation!$A$6:$L$10,9,FALSE)/2,IF($I68&lt;L$3,VLOOKUP($H68,Depreciation!$A$6:$L$10,9,FALSE),0))</f>
        <v>1.2001018963427959E-2</v>
      </c>
      <c r="M68" s="361">
        <f>+IF($I68=M$3,VLOOKUP($H68,Depreciation!$A$6:$L$10,10,FALSE)/2,IF($I68&lt;M$3,VLOOKUP($H68,Depreciation!$A$6:$L$10,10,FALSE),0))</f>
        <v>2.4002037926855919E-2</v>
      </c>
      <c r="N68" s="361">
        <f>+IF($I68=N$3,VLOOKUP($H68,Depreciation!$A$6:$L$10,11,FALSE)/2,IF($I68&lt;N$3,VLOOKUP($H68,Depreciation!$A$6:$L$10,11,FALSE),0))</f>
        <v>2.4002037926855919E-2</v>
      </c>
      <c r="O68" s="361">
        <f>+IF($I68=O$3,VLOOKUP($H68,Depreciation!$A$6:$L$10,12,FALSE)/2,IF($I68&lt;O$3,VLOOKUP($H68,Depreciation!$A$6:$L$10,12,FALSE),0))</f>
        <v>2.4002037926855919E-2</v>
      </c>
      <c r="P68" s="362">
        <f t="shared" si="2"/>
        <v>0</v>
      </c>
      <c r="Q68" s="362">
        <f t="shared" si="3"/>
        <v>0</v>
      </c>
      <c r="R68" s="363">
        <f t="shared" si="4"/>
        <v>0</v>
      </c>
      <c r="Y68" s="365"/>
    </row>
    <row r="69" spans="1:25" ht="15" customHeight="1">
      <c r="A69" s="359" t="s">
        <v>1191</v>
      </c>
      <c r="B69" s="359" t="s">
        <v>1729</v>
      </c>
      <c r="C69" s="359">
        <v>811</v>
      </c>
      <c r="D69" s="359">
        <v>144</v>
      </c>
      <c r="E69" s="359"/>
      <c r="F69" s="359" t="s">
        <v>1248</v>
      </c>
      <c r="G69" s="360">
        <v>1203865.376970981</v>
      </c>
      <c r="H69" s="359" t="s">
        <v>66</v>
      </c>
      <c r="I69" s="359">
        <v>2017</v>
      </c>
      <c r="J69" s="361">
        <f>+IF($I69=J$3,VLOOKUP($H69,Depreciation!$A$6:$L$10,7,FALSE)/2,IF($I69&lt;J$3,VLOOKUP($H69,Depreciation!$A$6:$L$10,7,FALSE),0))</f>
        <v>0</v>
      </c>
      <c r="K69" s="361">
        <f>+IF($I69=K$3,VLOOKUP($H69,Depreciation!$A$6:$L$10,8,FALSE)/2,IF($I69&lt;K$3,VLOOKUP($H69,Depreciation!$A$6:$L$10,8,FALSE),0))</f>
        <v>0</v>
      </c>
      <c r="L69" s="361">
        <f>+IF($I69=L$3,VLOOKUP($H69,Depreciation!$A$6:$L$10,9,FALSE)/2,IF($I69&lt;L$3,VLOOKUP($H69,Depreciation!$A$6:$L$10,9,FALSE),0))</f>
        <v>1.2001018963427959E-2</v>
      </c>
      <c r="M69" s="361">
        <f>+IF($I69=M$3,VLOOKUP($H69,Depreciation!$A$6:$L$10,10,FALSE)/2,IF($I69&lt;M$3,VLOOKUP($H69,Depreciation!$A$6:$L$10,10,FALSE),0))</f>
        <v>2.4002037926855919E-2</v>
      </c>
      <c r="N69" s="361">
        <f>+IF($I69=N$3,VLOOKUP($H69,Depreciation!$A$6:$L$10,11,FALSE)/2,IF($I69&lt;N$3,VLOOKUP($H69,Depreciation!$A$6:$L$10,11,FALSE),0))</f>
        <v>2.4002037926855919E-2</v>
      </c>
      <c r="O69" s="361">
        <f>+IF($I69=O$3,VLOOKUP($H69,Depreciation!$A$6:$L$10,12,FALSE)/2,IF($I69&lt;O$3,VLOOKUP($H69,Depreciation!$A$6:$L$10,12,FALSE),0))</f>
        <v>2.4002037926855919E-2</v>
      </c>
      <c r="P69" s="362">
        <f t="shared" ref="P69:P132" si="5">IF(I69&lt;=2015,G69*(1-J69),0)</f>
        <v>0</v>
      </c>
      <c r="Q69" s="362">
        <f t="shared" ref="Q69:Q132" si="6">IF(D69&gt;=240,P69,0)</f>
        <v>0</v>
      </c>
      <c r="R69" s="363">
        <f t="shared" ref="R69:R132" si="7">IF(AND(D69&gt;25,D69&lt;240),P69,0)</f>
        <v>0</v>
      </c>
      <c r="Y69" s="365"/>
    </row>
    <row r="70" spans="1:25" ht="15" customHeight="1">
      <c r="A70" s="359" t="s">
        <v>1191</v>
      </c>
      <c r="B70" s="359" t="s">
        <v>1730</v>
      </c>
      <c r="C70" s="359">
        <v>811</v>
      </c>
      <c r="D70" s="359">
        <v>144</v>
      </c>
      <c r="E70" s="359"/>
      <c r="F70" s="359" t="s">
        <v>1248</v>
      </c>
      <c r="G70" s="360">
        <v>17920449.216898397</v>
      </c>
      <c r="H70" s="359" t="s">
        <v>66</v>
      </c>
      <c r="I70" s="359">
        <v>2017</v>
      </c>
      <c r="J70" s="361">
        <f>+IF($I70=J$3,VLOOKUP($H70,Depreciation!$A$6:$L$10,7,FALSE)/2,IF($I70&lt;J$3,VLOOKUP($H70,Depreciation!$A$6:$L$10,7,FALSE),0))</f>
        <v>0</v>
      </c>
      <c r="K70" s="361">
        <f>+IF($I70=K$3,VLOOKUP($H70,Depreciation!$A$6:$L$10,8,FALSE)/2,IF($I70&lt;K$3,VLOOKUP($H70,Depreciation!$A$6:$L$10,8,FALSE),0))</f>
        <v>0</v>
      </c>
      <c r="L70" s="361">
        <f>+IF($I70=L$3,VLOOKUP($H70,Depreciation!$A$6:$L$10,9,FALSE)/2,IF($I70&lt;L$3,VLOOKUP($H70,Depreciation!$A$6:$L$10,9,FALSE),0))</f>
        <v>1.2001018963427959E-2</v>
      </c>
      <c r="M70" s="361">
        <f>+IF($I70=M$3,VLOOKUP($H70,Depreciation!$A$6:$L$10,10,FALSE)/2,IF($I70&lt;M$3,VLOOKUP($H70,Depreciation!$A$6:$L$10,10,FALSE),0))</f>
        <v>2.4002037926855919E-2</v>
      </c>
      <c r="N70" s="361">
        <f>+IF($I70=N$3,VLOOKUP($H70,Depreciation!$A$6:$L$10,11,FALSE)/2,IF($I70&lt;N$3,VLOOKUP($H70,Depreciation!$A$6:$L$10,11,FALSE),0))</f>
        <v>2.4002037926855919E-2</v>
      </c>
      <c r="O70" s="361">
        <f>+IF($I70=O$3,VLOOKUP($H70,Depreciation!$A$6:$L$10,12,FALSE)/2,IF($I70&lt;O$3,VLOOKUP($H70,Depreciation!$A$6:$L$10,12,FALSE),0))</f>
        <v>2.4002037926855919E-2</v>
      </c>
      <c r="P70" s="362">
        <f t="shared" si="5"/>
        <v>0</v>
      </c>
      <c r="Q70" s="362">
        <f t="shared" si="6"/>
        <v>0</v>
      </c>
      <c r="R70" s="363">
        <f t="shared" si="7"/>
        <v>0</v>
      </c>
      <c r="Y70" s="365"/>
    </row>
    <row r="71" spans="1:25" ht="15" customHeight="1">
      <c r="A71" s="359" t="s">
        <v>1191</v>
      </c>
      <c r="B71" s="359" t="s">
        <v>1731</v>
      </c>
      <c r="C71" s="359">
        <v>811</v>
      </c>
      <c r="D71" s="359">
        <v>144</v>
      </c>
      <c r="E71" s="359"/>
      <c r="F71" s="359" t="s">
        <v>1248</v>
      </c>
      <c r="G71" s="360">
        <v>34200999.99999997</v>
      </c>
      <c r="H71" s="359" t="s">
        <v>66</v>
      </c>
      <c r="I71" s="359">
        <v>2017</v>
      </c>
      <c r="J71" s="361">
        <f>+IF($I71=J$3,VLOOKUP($H71,Depreciation!$A$6:$L$10,7,FALSE)/2,IF($I71&lt;J$3,VLOOKUP($H71,Depreciation!$A$6:$L$10,7,FALSE),0))</f>
        <v>0</v>
      </c>
      <c r="K71" s="361">
        <f>+IF($I71=K$3,VLOOKUP($H71,Depreciation!$A$6:$L$10,8,FALSE)/2,IF($I71&lt;K$3,VLOOKUP($H71,Depreciation!$A$6:$L$10,8,FALSE),0))</f>
        <v>0</v>
      </c>
      <c r="L71" s="361">
        <f>+IF($I71=L$3,VLOOKUP($H71,Depreciation!$A$6:$L$10,9,FALSE)/2,IF($I71&lt;L$3,VLOOKUP($H71,Depreciation!$A$6:$L$10,9,FALSE),0))</f>
        <v>1.2001018963427959E-2</v>
      </c>
      <c r="M71" s="361">
        <f>+IF($I71=M$3,VLOOKUP($H71,Depreciation!$A$6:$L$10,10,FALSE)/2,IF($I71&lt;M$3,VLOOKUP($H71,Depreciation!$A$6:$L$10,10,FALSE),0))</f>
        <v>2.4002037926855919E-2</v>
      </c>
      <c r="N71" s="361">
        <f>+IF($I71=N$3,VLOOKUP($H71,Depreciation!$A$6:$L$10,11,FALSE)/2,IF($I71&lt;N$3,VLOOKUP($H71,Depreciation!$A$6:$L$10,11,FALSE),0))</f>
        <v>2.4002037926855919E-2</v>
      </c>
      <c r="O71" s="361">
        <f>+IF($I71=O$3,VLOOKUP($H71,Depreciation!$A$6:$L$10,12,FALSE)/2,IF($I71&lt;O$3,VLOOKUP($H71,Depreciation!$A$6:$L$10,12,FALSE),0))</f>
        <v>2.4002037926855919E-2</v>
      </c>
      <c r="P71" s="362">
        <f t="shared" si="5"/>
        <v>0</v>
      </c>
      <c r="Q71" s="362">
        <f t="shared" si="6"/>
        <v>0</v>
      </c>
      <c r="R71" s="363">
        <f t="shared" si="7"/>
        <v>0</v>
      </c>
      <c r="Y71" s="365"/>
    </row>
    <row r="72" spans="1:25" ht="15" customHeight="1">
      <c r="A72" s="359" t="s">
        <v>1191</v>
      </c>
      <c r="B72" s="359" t="s">
        <v>1732</v>
      </c>
      <c r="C72" s="359">
        <v>811</v>
      </c>
      <c r="D72" s="359">
        <v>144</v>
      </c>
      <c r="E72" s="359"/>
      <c r="F72" s="359" t="s">
        <v>1248</v>
      </c>
      <c r="G72" s="360">
        <v>7546228.6782723581</v>
      </c>
      <c r="H72" s="359" t="s">
        <v>66</v>
      </c>
      <c r="I72" s="359">
        <v>2017</v>
      </c>
      <c r="J72" s="361">
        <f>+IF($I72=J$3,VLOOKUP($H72,Depreciation!$A$6:$L$10,7,FALSE)/2,IF($I72&lt;J$3,VLOOKUP($H72,Depreciation!$A$6:$L$10,7,FALSE),0))</f>
        <v>0</v>
      </c>
      <c r="K72" s="361">
        <f>+IF($I72=K$3,VLOOKUP($H72,Depreciation!$A$6:$L$10,8,FALSE)/2,IF($I72&lt;K$3,VLOOKUP($H72,Depreciation!$A$6:$L$10,8,FALSE),0))</f>
        <v>0</v>
      </c>
      <c r="L72" s="361">
        <f>+IF($I72=L$3,VLOOKUP($H72,Depreciation!$A$6:$L$10,9,FALSE)/2,IF($I72&lt;L$3,VLOOKUP($H72,Depreciation!$A$6:$L$10,9,FALSE),0))</f>
        <v>1.2001018963427959E-2</v>
      </c>
      <c r="M72" s="361">
        <f>+IF($I72=M$3,VLOOKUP($H72,Depreciation!$A$6:$L$10,10,FALSE)/2,IF($I72&lt;M$3,VLOOKUP($H72,Depreciation!$A$6:$L$10,10,FALSE),0))</f>
        <v>2.4002037926855919E-2</v>
      </c>
      <c r="N72" s="361">
        <f>+IF($I72=N$3,VLOOKUP($H72,Depreciation!$A$6:$L$10,11,FALSE)/2,IF($I72&lt;N$3,VLOOKUP($H72,Depreciation!$A$6:$L$10,11,FALSE),0))</f>
        <v>2.4002037926855919E-2</v>
      </c>
      <c r="O72" s="361">
        <f>+IF($I72=O$3,VLOOKUP($H72,Depreciation!$A$6:$L$10,12,FALSE)/2,IF($I72&lt;O$3,VLOOKUP($H72,Depreciation!$A$6:$L$10,12,FALSE),0))</f>
        <v>2.4002037926855919E-2</v>
      </c>
      <c r="P72" s="362">
        <f t="shared" si="5"/>
        <v>0</v>
      </c>
      <c r="Q72" s="362">
        <f t="shared" si="6"/>
        <v>0</v>
      </c>
      <c r="R72" s="363">
        <f t="shared" si="7"/>
        <v>0</v>
      </c>
      <c r="Y72" s="365"/>
    </row>
    <row r="73" spans="1:25" ht="15" customHeight="1">
      <c r="A73" s="359" t="s">
        <v>1191</v>
      </c>
      <c r="B73" s="359" t="s">
        <v>1733</v>
      </c>
      <c r="C73" s="359">
        <v>811</v>
      </c>
      <c r="D73" s="359">
        <v>144</v>
      </c>
      <c r="E73" s="359"/>
      <c r="F73" s="359" t="s">
        <v>1248</v>
      </c>
      <c r="G73" s="360">
        <v>12282104.825654209</v>
      </c>
      <c r="H73" s="359" t="s">
        <v>66</v>
      </c>
      <c r="I73" s="359">
        <v>2017</v>
      </c>
      <c r="J73" s="361">
        <f>+IF($I73=J$3,VLOOKUP($H73,Depreciation!$A$6:$L$10,7,FALSE)/2,IF($I73&lt;J$3,VLOOKUP($H73,Depreciation!$A$6:$L$10,7,FALSE),0))</f>
        <v>0</v>
      </c>
      <c r="K73" s="361">
        <f>+IF($I73=K$3,VLOOKUP($H73,Depreciation!$A$6:$L$10,8,FALSE)/2,IF($I73&lt;K$3,VLOOKUP($H73,Depreciation!$A$6:$L$10,8,FALSE),0))</f>
        <v>0</v>
      </c>
      <c r="L73" s="361">
        <f>+IF($I73=L$3,VLOOKUP($H73,Depreciation!$A$6:$L$10,9,FALSE)/2,IF($I73&lt;L$3,VLOOKUP($H73,Depreciation!$A$6:$L$10,9,FALSE),0))</f>
        <v>1.2001018963427959E-2</v>
      </c>
      <c r="M73" s="361">
        <f>+IF($I73=M$3,VLOOKUP($H73,Depreciation!$A$6:$L$10,10,FALSE)/2,IF($I73&lt;M$3,VLOOKUP($H73,Depreciation!$A$6:$L$10,10,FALSE),0))</f>
        <v>2.4002037926855919E-2</v>
      </c>
      <c r="N73" s="361">
        <f>+IF($I73=N$3,VLOOKUP($H73,Depreciation!$A$6:$L$10,11,FALSE)/2,IF($I73&lt;N$3,VLOOKUP($H73,Depreciation!$A$6:$L$10,11,FALSE),0))</f>
        <v>2.4002037926855919E-2</v>
      </c>
      <c r="O73" s="361">
        <f>+IF($I73=O$3,VLOOKUP($H73,Depreciation!$A$6:$L$10,12,FALSE)/2,IF($I73&lt;O$3,VLOOKUP($H73,Depreciation!$A$6:$L$10,12,FALSE),0))</f>
        <v>2.4002037926855919E-2</v>
      </c>
      <c r="P73" s="362">
        <f t="shared" si="5"/>
        <v>0</v>
      </c>
      <c r="Q73" s="362">
        <f t="shared" si="6"/>
        <v>0</v>
      </c>
      <c r="R73" s="363">
        <f t="shared" si="7"/>
        <v>0</v>
      </c>
      <c r="Y73" s="365"/>
    </row>
    <row r="74" spans="1:25" ht="15" customHeight="1">
      <c r="A74" s="359" t="s">
        <v>1191</v>
      </c>
      <c r="B74" s="359" t="s">
        <v>1734</v>
      </c>
      <c r="C74" s="359">
        <v>811</v>
      </c>
      <c r="D74" s="359">
        <v>144</v>
      </c>
      <c r="E74" s="359"/>
      <c r="F74" s="359" t="s">
        <v>1248</v>
      </c>
      <c r="G74" s="360">
        <v>3334547.5681531723</v>
      </c>
      <c r="H74" s="359" t="s">
        <v>66</v>
      </c>
      <c r="I74" s="359">
        <v>2017</v>
      </c>
      <c r="J74" s="361">
        <f>+IF($I74=J$3,VLOOKUP($H74,Depreciation!$A$6:$L$10,7,FALSE)/2,IF($I74&lt;J$3,VLOOKUP($H74,Depreciation!$A$6:$L$10,7,FALSE),0))</f>
        <v>0</v>
      </c>
      <c r="K74" s="361">
        <f>+IF($I74=K$3,VLOOKUP($H74,Depreciation!$A$6:$L$10,8,FALSE)/2,IF($I74&lt;K$3,VLOOKUP($H74,Depreciation!$A$6:$L$10,8,FALSE),0))</f>
        <v>0</v>
      </c>
      <c r="L74" s="361">
        <f>+IF($I74=L$3,VLOOKUP($H74,Depreciation!$A$6:$L$10,9,FALSE)/2,IF($I74&lt;L$3,VLOOKUP($H74,Depreciation!$A$6:$L$10,9,FALSE),0))</f>
        <v>1.2001018963427959E-2</v>
      </c>
      <c r="M74" s="361">
        <f>+IF($I74=M$3,VLOOKUP($H74,Depreciation!$A$6:$L$10,10,FALSE)/2,IF($I74&lt;M$3,VLOOKUP($H74,Depreciation!$A$6:$L$10,10,FALSE),0))</f>
        <v>2.4002037926855919E-2</v>
      </c>
      <c r="N74" s="361">
        <f>+IF($I74=N$3,VLOOKUP($H74,Depreciation!$A$6:$L$10,11,FALSE)/2,IF($I74&lt;N$3,VLOOKUP($H74,Depreciation!$A$6:$L$10,11,FALSE),0))</f>
        <v>2.4002037926855919E-2</v>
      </c>
      <c r="O74" s="361">
        <f>+IF($I74=O$3,VLOOKUP($H74,Depreciation!$A$6:$L$10,12,FALSE)/2,IF($I74&lt;O$3,VLOOKUP($H74,Depreciation!$A$6:$L$10,12,FALSE),0))</f>
        <v>2.4002037926855919E-2</v>
      </c>
      <c r="P74" s="362">
        <f t="shared" si="5"/>
        <v>0</v>
      </c>
      <c r="Q74" s="362">
        <f t="shared" si="6"/>
        <v>0</v>
      </c>
      <c r="R74" s="363">
        <f t="shared" si="7"/>
        <v>0</v>
      </c>
      <c r="Y74" s="365"/>
    </row>
    <row r="75" spans="1:25" ht="15" customHeight="1">
      <c r="A75" s="359" t="s">
        <v>1191</v>
      </c>
      <c r="B75" s="359" t="s">
        <v>1735</v>
      </c>
      <c r="C75" s="359">
        <v>811</v>
      </c>
      <c r="D75" s="359">
        <v>0</v>
      </c>
      <c r="E75" s="359"/>
      <c r="F75" s="359" t="s">
        <v>1248</v>
      </c>
      <c r="G75" s="360">
        <v>45416104.026721418</v>
      </c>
      <c r="H75" s="359" t="s">
        <v>66</v>
      </c>
      <c r="I75" s="359">
        <v>2017</v>
      </c>
      <c r="J75" s="361">
        <f>+IF($I75=J$3,VLOOKUP($H75,Depreciation!$A$6:$L$10,7,FALSE)/2,IF($I75&lt;J$3,VLOOKUP($H75,Depreciation!$A$6:$L$10,7,FALSE),0))</f>
        <v>0</v>
      </c>
      <c r="K75" s="361">
        <f>+IF($I75=K$3,VLOOKUP($H75,Depreciation!$A$6:$L$10,8,FALSE)/2,IF($I75&lt;K$3,VLOOKUP($H75,Depreciation!$A$6:$L$10,8,FALSE),0))</f>
        <v>0</v>
      </c>
      <c r="L75" s="361">
        <f>+IF($I75=L$3,VLOOKUP($H75,Depreciation!$A$6:$L$10,9,FALSE)/2,IF($I75&lt;L$3,VLOOKUP($H75,Depreciation!$A$6:$L$10,9,FALSE),0))</f>
        <v>1.2001018963427959E-2</v>
      </c>
      <c r="M75" s="361">
        <f>+IF($I75=M$3,VLOOKUP($H75,Depreciation!$A$6:$L$10,10,FALSE)/2,IF($I75&lt;M$3,VLOOKUP($H75,Depreciation!$A$6:$L$10,10,FALSE),0))</f>
        <v>2.4002037926855919E-2</v>
      </c>
      <c r="N75" s="361">
        <f>+IF($I75=N$3,VLOOKUP($H75,Depreciation!$A$6:$L$10,11,FALSE)/2,IF($I75&lt;N$3,VLOOKUP($H75,Depreciation!$A$6:$L$10,11,FALSE),0))</f>
        <v>2.4002037926855919E-2</v>
      </c>
      <c r="O75" s="361">
        <f>+IF($I75=O$3,VLOOKUP($H75,Depreciation!$A$6:$L$10,12,FALSE)/2,IF($I75&lt;O$3,VLOOKUP($H75,Depreciation!$A$6:$L$10,12,FALSE),0))</f>
        <v>2.4002037926855919E-2</v>
      </c>
      <c r="P75" s="362">
        <f t="shared" si="5"/>
        <v>0</v>
      </c>
      <c r="Q75" s="362">
        <f t="shared" si="6"/>
        <v>0</v>
      </c>
      <c r="R75" s="363">
        <f t="shared" si="7"/>
        <v>0</v>
      </c>
      <c r="Y75" s="365"/>
    </row>
    <row r="76" spans="1:25" ht="15" customHeight="1">
      <c r="A76" s="359" t="s">
        <v>1191</v>
      </c>
      <c r="B76" s="359" t="s">
        <v>1736</v>
      </c>
      <c r="C76" s="359">
        <v>813</v>
      </c>
      <c r="D76" s="359">
        <v>138</v>
      </c>
      <c r="E76" s="359"/>
      <c r="F76" s="359" t="s">
        <v>1214</v>
      </c>
      <c r="G76" s="360">
        <v>583496.13042435877</v>
      </c>
      <c r="H76" s="359" t="s">
        <v>4</v>
      </c>
      <c r="I76" s="359">
        <v>2017</v>
      </c>
      <c r="J76" s="361">
        <f>+IF($I76=J$3,VLOOKUP($H76,Depreciation!$A$6:$L$10,7,FALSE)/2,IF($I76&lt;J$3,VLOOKUP($H76,Depreciation!$A$6:$L$10,7,FALSE),0))</f>
        <v>0</v>
      </c>
      <c r="K76" s="361">
        <f>+IF($I76=K$3,VLOOKUP($H76,Depreciation!$A$6:$L$10,8,FALSE)/2,IF($I76&lt;K$3,VLOOKUP($H76,Depreciation!$A$6:$L$10,8,FALSE),0))</f>
        <v>0</v>
      </c>
      <c r="L76" s="361">
        <f>+IF($I76=L$3,VLOOKUP($H76,Depreciation!$A$6:$L$10,9,FALSE)/2,IF($I76&lt;L$3,VLOOKUP($H76,Depreciation!$A$6:$L$10,9,FALSE),0))</f>
        <v>1.5338181838063448E-2</v>
      </c>
      <c r="M76" s="361">
        <f>+IF($I76=M$3,VLOOKUP($H76,Depreciation!$A$6:$L$10,10,FALSE)/2,IF($I76&lt;M$3,VLOOKUP($H76,Depreciation!$A$6:$L$10,10,FALSE),0))</f>
        <v>3.0676363676126896E-2</v>
      </c>
      <c r="N76" s="361">
        <f>+IF($I76=N$3,VLOOKUP($H76,Depreciation!$A$6:$L$10,11,FALSE)/2,IF($I76&lt;N$3,VLOOKUP($H76,Depreciation!$A$6:$L$10,11,FALSE),0))</f>
        <v>3.0676363676126896E-2</v>
      </c>
      <c r="O76" s="361">
        <f>+IF($I76=O$3,VLOOKUP($H76,Depreciation!$A$6:$L$10,12,FALSE)/2,IF($I76&lt;O$3,VLOOKUP($H76,Depreciation!$A$6:$L$10,12,FALSE),0))</f>
        <v>3.0676363676126896E-2</v>
      </c>
      <c r="P76" s="362">
        <f t="shared" si="5"/>
        <v>0</v>
      </c>
      <c r="Q76" s="362">
        <f t="shared" si="6"/>
        <v>0</v>
      </c>
      <c r="R76" s="363">
        <f t="shared" si="7"/>
        <v>0</v>
      </c>
      <c r="Y76" s="365"/>
    </row>
    <row r="77" spans="1:25" ht="15" customHeight="1">
      <c r="A77" s="359" t="s">
        <v>1191</v>
      </c>
      <c r="B77" s="359" t="s">
        <v>1737</v>
      </c>
      <c r="C77" s="359">
        <v>813</v>
      </c>
      <c r="D77" s="359">
        <v>138</v>
      </c>
      <c r="E77" s="359"/>
      <c r="F77" s="359" t="s">
        <v>1214</v>
      </c>
      <c r="G77" s="360">
        <v>1650657.1949172863</v>
      </c>
      <c r="H77" s="359" t="s">
        <v>4</v>
      </c>
      <c r="I77" s="359">
        <v>2017</v>
      </c>
      <c r="J77" s="361">
        <f>+IF($I77=J$3,VLOOKUP($H77,Depreciation!$A$6:$L$10,7,FALSE)/2,IF($I77&lt;J$3,VLOOKUP($H77,Depreciation!$A$6:$L$10,7,FALSE),0))</f>
        <v>0</v>
      </c>
      <c r="K77" s="361">
        <f>+IF($I77=K$3,VLOOKUP($H77,Depreciation!$A$6:$L$10,8,FALSE)/2,IF($I77&lt;K$3,VLOOKUP($H77,Depreciation!$A$6:$L$10,8,FALSE),0))</f>
        <v>0</v>
      </c>
      <c r="L77" s="361">
        <f>+IF($I77=L$3,VLOOKUP($H77,Depreciation!$A$6:$L$10,9,FALSE)/2,IF($I77&lt;L$3,VLOOKUP($H77,Depreciation!$A$6:$L$10,9,FALSE),0))</f>
        <v>1.5338181838063448E-2</v>
      </c>
      <c r="M77" s="361">
        <f>+IF($I77=M$3,VLOOKUP($H77,Depreciation!$A$6:$L$10,10,FALSE)/2,IF($I77&lt;M$3,VLOOKUP($H77,Depreciation!$A$6:$L$10,10,FALSE),0))</f>
        <v>3.0676363676126896E-2</v>
      </c>
      <c r="N77" s="361">
        <f>+IF($I77=N$3,VLOOKUP($H77,Depreciation!$A$6:$L$10,11,FALSE)/2,IF($I77&lt;N$3,VLOOKUP($H77,Depreciation!$A$6:$L$10,11,FALSE),0))</f>
        <v>3.0676363676126896E-2</v>
      </c>
      <c r="O77" s="361">
        <f>+IF($I77=O$3,VLOOKUP($H77,Depreciation!$A$6:$L$10,12,FALSE)/2,IF($I77&lt;O$3,VLOOKUP($H77,Depreciation!$A$6:$L$10,12,FALSE),0))</f>
        <v>3.0676363676126896E-2</v>
      </c>
      <c r="P77" s="362">
        <f t="shared" si="5"/>
        <v>0</v>
      </c>
      <c r="Q77" s="362">
        <f t="shared" si="6"/>
        <v>0</v>
      </c>
      <c r="R77" s="363">
        <f t="shared" si="7"/>
        <v>0</v>
      </c>
      <c r="Y77" s="365"/>
    </row>
    <row r="78" spans="1:25" ht="15" customHeight="1">
      <c r="A78" s="359" t="s">
        <v>1191</v>
      </c>
      <c r="B78" s="359" t="s">
        <v>1737</v>
      </c>
      <c r="C78" s="359">
        <v>813</v>
      </c>
      <c r="D78" s="359">
        <v>138</v>
      </c>
      <c r="E78" s="359"/>
      <c r="F78" s="359" t="s">
        <v>1214</v>
      </c>
      <c r="G78" s="360">
        <v>1827943.6298249823</v>
      </c>
      <c r="H78" s="359" t="s">
        <v>4</v>
      </c>
      <c r="I78" s="359">
        <v>2017</v>
      </c>
      <c r="J78" s="361">
        <f>+IF($I78=J$3,VLOOKUP($H78,Depreciation!$A$6:$L$10,7,FALSE)/2,IF($I78&lt;J$3,VLOOKUP($H78,Depreciation!$A$6:$L$10,7,FALSE),0))</f>
        <v>0</v>
      </c>
      <c r="K78" s="361">
        <f>+IF($I78=K$3,VLOOKUP($H78,Depreciation!$A$6:$L$10,8,FALSE)/2,IF($I78&lt;K$3,VLOOKUP($H78,Depreciation!$A$6:$L$10,8,FALSE),0))</f>
        <v>0</v>
      </c>
      <c r="L78" s="361">
        <f>+IF($I78=L$3,VLOOKUP($H78,Depreciation!$A$6:$L$10,9,FALSE)/2,IF($I78&lt;L$3,VLOOKUP($H78,Depreciation!$A$6:$L$10,9,FALSE),0))</f>
        <v>1.5338181838063448E-2</v>
      </c>
      <c r="M78" s="361">
        <f>+IF($I78=M$3,VLOOKUP($H78,Depreciation!$A$6:$L$10,10,FALSE)/2,IF($I78&lt;M$3,VLOOKUP($H78,Depreciation!$A$6:$L$10,10,FALSE),0))</f>
        <v>3.0676363676126896E-2</v>
      </c>
      <c r="N78" s="361">
        <f>+IF($I78=N$3,VLOOKUP($H78,Depreciation!$A$6:$L$10,11,FALSE)/2,IF($I78&lt;N$3,VLOOKUP($H78,Depreciation!$A$6:$L$10,11,FALSE),0))</f>
        <v>3.0676363676126896E-2</v>
      </c>
      <c r="O78" s="361">
        <f>+IF($I78=O$3,VLOOKUP($H78,Depreciation!$A$6:$L$10,12,FALSE)/2,IF($I78&lt;O$3,VLOOKUP($H78,Depreciation!$A$6:$L$10,12,FALSE),0))</f>
        <v>3.0676363676126896E-2</v>
      </c>
      <c r="P78" s="362">
        <f t="shared" si="5"/>
        <v>0</v>
      </c>
      <c r="Q78" s="362">
        <f t="shared" si="6"/>
        <v>0</v>
      </c>
      <c r="R78" s="363">
        <f t="shared" si="7"/>
        <v>0</v>
      </c>
      <c r="Y78" s="365"/>
    </row>
    <row r="79" spans="1:25" ht="15" customHeight="1">
      <c r="A79" s="359" t="s">
        <v>1191</v>
      </c>
      <c r="B79" s="359" t="s">
        <v>1738</v>
      </c>
      <c r="C79" s="359">
        <v>813</v>
      </c>
      <c r="D79" s="359">
        <v>138</v>
      </c>
      <c r="E79" s="359"/>
      <c r="F79" s="359" t="s">
        <v>1214</v>
      </c>
      <c r="G79" s="360">
        <v>8144848.6406137627</v>
      </c>
      <c r="H79" s="359" t="s">
        <v>4</v>
      </c>
      <c r="I79" s="359">
        <v>2017</v>
      </c>
      <c r="J79" s="361">
        <f>+IF($I79=J$3,VLOOKUP($H79,Depreciation!$A$6:$L$10,7,FALSE)/2,IF($I79&lt;J$3,VLOOKUP($H79,Depreciation!$A$6:$L$10,7,FALSE),0))</f>
        <v>0</v>
      </c>
      <c r="K79" s="361">
        <f>+IF($I79=K$3,VLOOKUP($H79,Depreciation!$A$6:$L$10,8,FALSE)/2,IF($I79&lt;K$3,VLOOKUP($H79,Depreciation!$A$6:$L$10,8,FALSE),0))</f>
        <v>0</v>
      </c>
      <c r="L79" s="361">
        <f>+IF($I79=L$3,VLOOKUP($H79,Depreciation!$A$6:$L$10,9,FALSE)/2,IF($I79&lt;L$3,VLOOKUP($H79,Depreciation!$A$6:$L$10,9,FALSE),0))</f>
        <v>1.5338181838063448E-2</v>
      </c>
      <c r="M79" s="361">
        <f>+IF($I79=M$3,VLOOKUP($H79,Depreciation!$A$6:$L$10,10,FALSE)/2,IF($I79&lt;M$3,VLOOKUP($H79,Depreciation!$A$6:$L$10,10,FALSE),0))</f>
        <v>3.0676363676126896E-2</v>
      </c>
      <c r="N79" s="361">
        <f>+IF($I79=N$3,VLOOKUP($H79,Depreciation!$A$6:$L$10,11,FALSE)/2,IF($I79&lt;N$3,VLOOKUP($H79,Depreciation!$A$6:$L$10,11,FALSE),0))</f>
        <v>3.0676363676126896E-2</v>
      </c>
      <c r="O79" s="361">
        <f>+IF($I79=O$3,VLOOKUP($H79,Depreciation!$A$6:$L$10,12,FALSE)/2,IF($I79&lt;O$3,VLOOKUP($H79,Depreciation!$A$6:$L$10,12,FALSE),0))</f>
        <v>3.0676363676126896E-2</v>
      </c>
      <c r="P79" s="362">
        <f t="shared" si="5"/>
        <v>0</v>
      </c>
      <c r="Q79" s="362">
        <f t="shared" si="6"/>
        <v>0</v>
      </c>
      <c r="R79" s="363">
        <f t="shared" si="7"/>
        <v>0</v>
      </c>
      <c r="Y79" s="365"/>
    </row>
    <row r="80" spans="1:25" ht="15" customHeight="1">
      <c r="A80" s="359" t="s">
        <v>1191</v>
      </c>
      <c r="B80" s="359" t="s">
        <v>1738</v>
      </c>
      <c r="C80" s="359">
        <v>813</v>
      </c>
      <c r="D80" s="359">
        <v>138</v>
      </c>
      <c r="E80" s="359"/>
      <c r="F80" s="359" t="s">
        <v>1214</v>
      </c>
      <c r="G80" s="360">
        <v>8079441.9947254863</v>
      </c>
      <c r="H80" s="359" t="s">
        <v>4</v>
      </c>
      <c r="I80" s="359">
        <v>2017</v>
      </c>
      <c r="J80" s="361">
        <f>+IF($I80=J$3,VLOOKUP($H80,Depreciation!$A$6:$L$10,7,FALSE)/2,IF($I80&lt;J$3,VLOOKUP($H80,Depreciation!$A$6:$L$10,7,FALSE),0))</f>
        <v>0</v>
      </c>
      <c r="K80" s="361">
        <f>+IF($I80=K$3,VLOOKUP($H80,Depreciation!$A$6:$L$10,8,FALSE)/2,IF($I80&lt;K$3,VLOOKUP($H80,Depreciation!$A$6:$L$10,8,FALSE),0))</f>
        <v>0</v>
      </c>
      <c r="L80" s="361">
        <f>+IF($I80=L$3,VLOOKUP($H80,Depreciation!$A$6:$L$10,9,FALSE)/2,IF($I80&lt;L$3,VLOOKUP($H80,Depreciation!$A$6:$L$10,9,FALSE),0))</f>
        <v>1.5338181838063448E-2</v>
      </c>
      <c r="M80" s="361">
        <f>+IF($I80=M$3,VLOOKUP($H80,Depreciation!$A$6:$L$10,10,FALSE)/2,IF($I80&lt;M$3,VLOOKUP($H80,Depreciation!$A$6:$L$10,10,FALSE),0))</f>
        <v>3.0676363676126896E-2</v>
      </c>
      <c r="N80" s="361">
        <f>+IF($I80=N$3,VLOOKUP($H80,Depreciation!$A$6:$L$10,11,FALSE)/2,IF($I80&lt;N$3,VLOOKUP($H80,Depreciation!$A$6:$L$10,11,FALSE),0))</f>
        <v>3.0676363676126896E-2</v>
      </c>
      <c r="O80" s="361">
        <f>+IF($I80=O$3,VLOOKUP($H80,Depreciation!$A$6:$L$10,12,FALSE)/2,IF($I80&lt;O$3,VLOOKUP($H80,Depreciation!$A$6:$L$10,12,FALSE),0))</f>
        <v>3.0676363676126896E-2</v>
      </c>
      <c r="P80" s="362">
        <f t="shared" si="5"/>
        <v>0</v>
      </c>
      <c r="Q80" s="362">
        <f t="shared" si="6"/>
        <v>0</v>
      </c>
      <c r="R80" s="363">
        <f t="shared" si="7"/>
        <v>0</v>
      </c>
      <c r="Y80" s="365"/>
    </row>
    <row r="81" spans="1:25" ht="15" customHeight="1">
      <c r="A81" s="359" t="s">
        <v>1191</v>
      </c>
      <c r="B81" s="359" t="s">
        <v>1739</v>
      </c>
      <c r="C81" s="359">
        <v>813</v>
      </c>
      <c r="D81" s="359">
        <v>138</v>
      </c>
      <c r="E81" s="359"/>
      <c r="F81" s="359" t="s">
        <v>1214</v>
      </c>
      <c r="G81" s="360">
        <v>3903744.023016064</v>
      </c>
      <c r="H81" s="359" t="s">
        <v>4</v>
      </c>
      <c r="I81" s="359">
        <v>2017</v>
      </c>
      <c r="J81" s="361">
        <f>+IF($I81=J$3,VLOOKUP($H81,Depreciation!$A$6:$L$10,7,FALSE)/2,IF($I81&lt;J$3,VLOOKUP($H81,Depreciation!$A$6:$L$10,7,FALSE),0))</f>
        <v>0</v>
      </c>
      <c r="K81" s="361">
        <f>+IF($I81=K$3,VLOOKUP($H81,Depreciation!$A$6:$L$10,8,FALSE)/2,IF($I81&lt;K$3,VLOOKUP($H81,Depreciation!$A$6:$L$10,8,FALSE),0))</f>
        <v>0</v>
      </c>
      <c r="L81" s="361">
        <f>+IF($I81=L$3,VLOOKUP($H81,Depreciation!$A$6:$L$10,9,FALSE)/2,IF($I81&lt;L$3,VLOOKUP($H81,Depreciation!$A$6:$L$10,9,FALSE),0))</f>
        <v>1.5338181838063448E-2</v>
      </c>
      <c r="M81" s="361">
        <f>+IF($I81=M$3,VLOOKUP($H81,Depreciation!$A$6:$L$10,10,FALSE)/2,IF($I81&lt;M$3,VLOOKUP($H81,Depreciation!$A$6:$L$10,10,FALSE),0))</f>
        <v>3.0676363676126896E-2</v>
      </c>
      <c r="N81" s="361">
        <f>+IF($I81=N$3,VLOOKUP($H81,Depreciation!$A$6:$L$10,11,FALSE)/2,IF($I81&lt;N$3,VLOOKUP($H81,Depreciation!$A$6:$L$10,11,FALSE),0))</f>
        <v>3.0676363676126896E-2</v>
      </c>
      <c r="O81" s="361">
        <f>+IF($I81=O$3,VLOOKUP($H81,Depreciation!$A$6:$L$10,12,FALSE)/2,IF($I81&lt;O$3,VLOOKUP($H81,Depreciation!$A$6:$L$10,12,FALSE),0))</f>
        <v>3.0676363676126896E-2</v>
      </c>
      <c r="P81" s="362">
        <f t="shared" si="5"/>
        <v>0</v>
      </c>
      <c r="Q81" s="362">
        <f t="shared" si="6"/>
        <v>0</v>
      </c>
      <c r="R81" s="363">
        <f t="shared" si="7"/>
        <v>0</v>
      </c>
      <c r="Y81" s="365"/>
    </row>
    <row r="82" spans="1:25" ht="15" customHeight="1">
      <c r="A82" s="359" t="s">
        <v>1191</v>
      </c>
      <c r="B82" s="359" t="s">
        <v>1739</v>
      </c>
      <c r="C82" s="359">
        <v>813</v>
      </c>
      <c r="D82" s="359">
        <v>138</v>
      </c>
      <c r="E82" s="359"/>
      <c r="F82" s="359" t="s">
        <v>1214</v>
      </c>
      <c r="G82" s="360">
        <v>3860713.3349316716</v>
      </c>
      <c r="H82" s="359" t="s">
        <v>4</v>
      </c>
      <c r="I82" s="359">
        <v>2017</v>
      </c>
      <c r="J82" s="361">
        <f>+IF($I82=J$3,VLOOKUP($H82,Depreciation!$A$6:$L$10,7,FALSE)/2,IF($I82&lt;J$3,VLOOKUP($H82,Depreciation!$A$6:$L$10,7,FALSE),0))</f>
        <v>0</v>
      </c>
      <c r="K82" s="361">
        <f>+IF($I82=K$3,VLOOKUP($H82,Depreciation!$A$6:$L$10,8,FALSE)/2,IF($I82&lt;K$3,VLOOKUP($H82,Depreciation!$A$6:$L$10,8,FALSE),0))</f>
        <v>0</v>
      </c>
      <c r="L82" s="361">
        <f>+IF($I82=L$3,VLOOKUP($H82,Depreciation!$A$6:$L$10,9,FALSE)/2,IF($I82&lt;L$3,VLOOKUP($H82,Depreciation!$A$6:$L$10,9,FALSE),0))</f>
        <v>1.5338181838063448E-2</v>
      </c>
      <c r="M82" s="361">
        <f>+IF($I82=M$3,VLOOKUP($H82,Depreciation!$A$6:$L$10,10,FALSE)/2,IF($I82&lt;M$3,VLOOKUP($H82,Depreciation!$A$6:$L$10,10,FALSE),0))</f>
        <v>3.0676363676126896E-2</v>
      </c>
      <c r="N82" s="361">
        <f>+IF($I82=N$3,VLOOKUP($H82,Depreciation!$A$6:$L$10,11,FALSE)/2,IF($I82&lt;N$3,VLOOKUP($H82,Depreciation!$A$6:$L$10,11,FALSE),0))</f>
        <v>3.0676363676126896E-2</v>
      </c>
      <c r="O82" s="361">
        <f>+IF($I82=O$3,VLOOKUP($H82,Depreciation!$A$6:$L$10,12,FALSE)/2,IF($I82&lt;O$3,VLOOKUP($H82,Depreciation!$A$6:$L$10,12,FALSE),0))</f>
        <v>3.0676363676126896E-2</v>
      </c>
      <c r="P82" s="362">
        <f t="shared" si="5"/>
        <v>0</v>
      </c>
      <c r="Q82" s="362">
        <f t="shared" si="6"/>
        <v>0</v>
      </c>
      <c r="R82" s="363">
        <f t="shared" si="7"/>
        <v>0</v>
      </c>
      <c r="Y82" s="365"/>
    </row>
    <row r="83" spans="1:25" ht="15" customHeight="1">
      <c r="A83" s="359" t="s">
        <v>1191</v>
      </c>
      <c r="B83" s="359" t="s">
        <v>1740</v>
      </c>
      <c r="C83" s="359">
        <v>813</v>
      </c>
      <c r="D83" s="359">
        <v>138</v>
      </c>
      <c r="E83" s="359"/>
      <c r="F83" s="359" t="s">
        <v>1214</v>
      </c>
      <c r="G83" s="360">
        <v>27816758.005274519</v>
      </c>
      <c r="H83" s="359" t="s">
        <v>4</v>
      </c>
      <c r="I83" s="359">
        <v>2017</v>
      </c>
      <c r="J83" s="361">
        <f>+IF($I83=J$3,VLOOKUP($H83,Depreciation!$A$6:$L$10,7,FALSE)/2,IF($I83&lt;J$3,VLOOKUP($H83,Depreciation!$A$6:$L$10,7,FALSE),0))</f>
        <v>0</v>
      </c>
      <c r="K83" s="361">
        <f>+IF($I83=K$3,VLOOKUP($H83,Depreciation!$A$6:$L$10,8,FALSE)/2,IF($I83&lt;K$3,VLOOKUP($H83,Depreciation!$A$6:$L$10,8,FALSE),0))</f>
        <v>0</v>
      </c>
      <c r="L83" s="361">
        <f>+IF($I83=L$3,VLOOKUP($H83,Depreciation!$A$6:$L$10,9,FALSE)/2,IF($I83&lt;L$3,VLOOKUP($H83,Depreciation!$A$6:$L$10,9,FALSE),0))</f>
        <v>1.5338181838063448E-2</v>
      </c>
      <c r="M83" s="361">
        <f>+IF($I83=M$3,VLOOKUP($H83,Depreciation!$A$6:$L$10,10,FALSE)/2,IF($I83&lt;M$3,VLOOKUP($H83,Depreciation!$A$6:$L$10,10,FALSE),0))</f>
        <v>3.0676363676126896E-2</v>
      </c>
      <c r="N83" s="361">
        <f>+IF($I83=N$3,VLOOKUP($H83,Depreciation!$A$6:$L$10,11,FALSE)/2,IF($I83&lt;N$3,VLOOKUP($H83,Depreciation!$A$6:$L$10,11,FALSE),0))</f>
        <v>3.0676363676126896E-2</v>
      </c>
      <c r="O83" s="361">
        <f>+IF($I83=O$3,VLOOKUP($H83,Depreciation!$A$6:$L$10,12,FALSE)/2,IF($I83&lt;O$3,VLOOKUP($H83,Depreciation!$A$6:$L$10,12,FALSE),0))</f>
        <v>3.0676363676126896E-2</v>
      </c>
      <c r="P83" s="362">
        <f t="shared" si="5"/>
        <v>0</v>
      </c>
      <c r="Q83" s="362">
        <f t="shared" si="6"/>
        <v>0</v>
      </c>
      <c r="R83" s="363">
        <f t="shared" si="7"/>
        <v>0</v>
      </c>
      <c r="Y83" s="365"/>
    </row>
    <row r="84" spans="1:25" ht="15" customHeight="1">
      <c r="A84" s="359" t="s">
        <v>1191</v>
      </c>
      <c r="B84" s="359" t="s">
        <v>1741</v>
      </c>
      <c r="C84" s="359">
        <v>813</v>
      </c>
      <c r="D84" s="359">
        <v>138</v>
      </c>
      <c r="E84" s="359"/>
      <c r="F84" s="359" t="s">
        <v>1214</v>
      </c>
      <c r="G84" s="360">
        <v>2516434.6391752581</v>
      </c>
      <c r="H84" s="359" t="s">
        <v>4</v>
      </c>
      <c r="I84" s="359">
        <v>2017</v>
      </c>
      <c r="J84" s="361">
        <f>+IF($I84=J$3,VLOOKUP($H84,Depreciation!$A$6:$L$10,7,FALSE)/2,IF($I84&lt;J$3,VLOOKUP($H84,Depreciation!$A$6:$L$10,7,FALSE),0))</f>
        <v>0</v>
      </c>
      <c r="K84" s="361">
        <f>+IF($I84=K$3,VLOOKUP($H84,Depreciation!$A$6:$L$10,8,FALSE)/2,IF($I84&lt;K$3,VLOOKUP($H84,Depreciation!$A$6:$L$10,8,FALSE),0))</f>
        <v>0</v>
      </c>
      <c r="L84" s="361">
        <f>+IF($I84=L$3,VLOOKUP($H84,Depreciation!$A$6:$L$10,9,FALSE)/2,IF($I84&lt;L$3,VLOOKUP($H84,Depreciation!$A$6:$L$10,9,FALSE),0))</f>
        <v>1.5338181838063448E-2</v>
      </c>
      <c r="M84" s="361">
        <f>+IF($I84=M$3,VLOOKUP($H84,Depreciation!$A$6:$L$10,10,FALSE)/2,IF($I84&lt;M$3,VLOOKUP($H84,Depreciation!$A$6:$L$10,10,FALSE),0))</f>
        <v>3.0676363676126896E-2</v>
      </c>
      <c r="N84" s="361">
        <f>+IF($I84=N$3,VLOOKUP($H84,Depreciation!$A$6:$L$10,11,FALSE)/2,IF($I84&lt;N$3,VLOOKUP($H84,Depreciation!$A$6:$L$10,11,FALSE),0))</f>
        <v>3.0676363676126896E-2</v>
      </c>
      <c r="O84" s="361">
        <f>+IF($I84=O$3,VLOOKUP($H84,Depreciation!$A$6:$L$10,12,FALSE)/2,IF($I84&lt;O$3,VLOOKUP($H84,Depreciation!$A$6:$L$10,12,FALSE),0))</f>
        <v>3.0676363676126896E-2</v>
      </c>
      <c r="P84" s="362">
        <f t="shared" si="5"/>
        <v>0</v>
      </c>
      <c r="Q84" s="362">
        <f t="shared" si="6"/>
        <v>0</v>
      </c>
      <c r="R84" s="363">
        <f t="shared" si="7"/>
        <v>0</v>
      </c>
      <c r="Y84" s="365"/>
    </row>
    <row r="85" spans="1:25" ht="15" customHeight="1">
      <c r="A85" s="359" t="s">
        <v>1191</v>
      </c>
      <c r="B85" s="359" t="s">
        <v>1742</v>
      </c>
      <c r="C85" s="359">
        <v>813</v>
      </c>
      <c r="D85" s="359">
        <v>138</v>
      </c>
      <c r="E85" s="359"/>
      <c r="F85" s="359" t="s">
        <v>1214</v>
      </c>
      <c r="G85" s="360">
        <v>2922644.3346919208</v>
      </c>
      <c r="H85" s="359" t="s">
        <v>4</v>
      </c>
      <c r="I85" s="359">
        <v>2017</v>
      </c>
      <c r="J85" s="361">
        <f>+IF($I85=J$3,VLOOKUP($H85,Depreciation!$A$6:$L$10,7,FALSE)/2,IF($I85&lt;J$3,VLOOKUP($H85,Depreciation!$A$6:$L$10,7,FALSE),0))</f>
        <v>0</v>
      </c>
      <c r="K85" s="361">
        <f>+IF($I85=K$3,VLOOKUP($H85,Depreciation!$A$6:$L$10,8,FALSE)/2,IF($I85&lt;K$3,VLOOKUP($H85,Depreciation!$A$6:$L$10,8,FALSE),0))</f>
        <v>0</v>
      </c>
      <c r="L85" s="361">
        <f>+IF($I85=L$3,VLOOKUP($H85,Depreciation!$A$6:$L$10,9,FALSE)/2,IF($I85&lt;L$3,VLOOKUP($H85,Depreciation!$A$6:$L$10,9,FALSE),0))</f>
        <v>1.5338181838063448E-2</v>
      </c>
      <c r="M85" s="361">
        <f>+IF($I85=M$3,VLOOKUP($H85,Depreciation!$A$6:$L$10,10,FALSE)/2,IF($I85&lt;M$3,VLOOKUP($H85,Depreciation!$A$6:$L$10,10,FALSE),0))</f>
        <v>3.0676363676126896E-2</v>
      </c>
      <c r="N85" s="361">
        <f>+IF($I85=N$3,VLOOKUP($H85,Depreciation!$A$6:$L$10,11,FALSE)/2,IF($I85&lt;N$3,VLOOKUP($H85,Depreciation!$A$6:$L$10,11,FALSE),0))</f>
        <v>3.0676363676126896E-2</v>
      </c>
      <c r="O85" s="361">
        <f>+IF($I85=O$3,VLOOKUP($H85,Depreciation!$A$6:$L$10,12,FALSE)/2,IF($I85&lt;O$3,VLOOKUP($H85,Depreciation!$A$6:$L$10,12,FALSE),0))</f>
        <v>3.0676363676126896E-2</v>
      </c>
      <c r="P85" s="362">
        <f t="shared" si="5"/>
        <v>0</v>
      </c>
      <c r="Q85" s="362">
        <f t="shared" si="6"/>
        <v>0</v>
      </c>
      <c r="R85" s="363">
        <f t="shared" si="7"/>
        <v>0</v>
      </c>
      <c r="Y85" s="365"/>
    </row>
    <row r="86" spans="1:25" ht="15" customHeight="1">
      <c r="A86" s="359" t="s">
        <v>1191</v>
      </c>
      <c r="B86" s="359" t="s">
        <v>1743</v>
      </c>
      <c r="C86" s="359">
        <v>813</v>
      </c>
      <c r="D86" s="359">
        <v>138</v>
      </c>
      <c r="E86" s="359"/>
      <c r="F86" s="359" t="s">
        <v>1214</v>
      </c>
      <c r="G86" s="360">
        <v>246135.53584272359</v>
      </c>
      <c r="H86" s="359" t="s">
        <v>4</v>
      </c>
      <c r="I86" s="359">
        <v>2017</v>
      </c>
      <c r="J86" s="361">
        <f>+IF($I86=J$3,VLOOKUP($H86,Depreciation!$A$6:$L$10,7,FALSE)/2,IF($I86&lt;J$3,VLOOKUP($H86,Depreciation!$A$6:$L$10,7,FALSE),0))</f>
        <v>0</v>
      </c>
      <c r="K86" s="361">
        <f>+IF($I86=K$3,VLOOKUP($H86,Depreciation!$A$6:$L$10,8,FALSE)/2,IF($I86&lt;K$3,VLOOKUP($H86,Depreciation!$A$6:$L$10,8,FALSE),0))</f>
        <v>0</v>
      </c>
      <c r="L86" s="361">
        <f>+IF($I86=L$3,VLOOKUP($H86,Depreciation!$A$6:$L$10,9,FALSE)/2,IF($I86&lt;L$3,VLOOKUP($H86,Depreciation!$A$6:$L$10,9,FALSE),0))</f>
        <v>1.5338181838063448E-2</v>
      </c>
      <c r="M86" s="361">
        <f>+IF($I86=M$3,VLOOKUP($H86,Depreciation!$A$6:$L$10,10,FALSE)/2,IF($I86&lt;M$3,VLOOKUP($H86,Depreciation!$A$6:$L$10,10,FALSE),0))</f>
        <v>3.0676363676126896E-2</v>
      </c>
      <c r="N86" s="361">
        <f>+IF($I86=N$3,VLOOKUP($H86,Depreciation!$A$6:$L$10,11,FALSE)/2,IF($I86&lt;N$3,VLOOKUP($H86,Depreciation!$A$6:$L$10,11,FALSE),0))</f>
        <v>3.0676363676126896E-2</v>
      </c>
      <c r="O86" s="361">
        <f>+IF($I86=O$3,VLOOKUP($H86,Depreciation!$A$6:$L$10,12,FALSE)/2,IF($I86&lt;O$3,VLOOKUP($H86,Depreciation!$A$6:$L$10,12,FALSE),0))</f>
        <v>3.0676363676126896E-2</v>
      </c>
      <c r="P86" s="362">
        <f t="shared" si="5"/>
        <v>0</v>
      </c>
      <c r="Q86" s="362">
        <f t="shared" si="6"/>
        <v>0</v>
      </c>
      <c r="R86" s="363">
        <f t="shared" si="7"/>
        <v>0</v>
      </c>
      <c r="Y86" s="365"/>
    </row>
    <row r="87" spans="1:25" ht="15" customHeight="1">
      <c r="A87" s="359" t="s">
        <v>1191</v>
      </c>
      <c r="B87" s="359" t="s">
        <v>1744</v>
      </c>
      <c r="C87" s="359">
        <v>813</v>
      </c>
      <c r="D87" s="359">
        <v>138</v>
      </c>
      <c r="E87" s="359"/>
      <c r="F87" s="359" t="s">
        <v>1214</v>
      </c>
      <c r="G87" s="360">
        <v>17472564.238193929</v>
      </c>
      <c r="H87" s="359" t="s">
        <v>4</v>
      </c>
      <c r="I87" s="359">
        <v>2017</v>
      </c>
      <c r="J87" s="361">
        <f>+IF($I87=J$3,VLOOKUP($H87,Depreciation!$A$6:$L$10,7,FALSE)/2,IF($I87&lt;J$3,VLOOKUP($H87,Depreciation!$A$6:$L$10,7,FALSE),0))</f>
        <v>0</v>
      </c>
      <c r="K87" s="361">
        <f>+IF($I87=K$3,VLOOKUP($H87,Depreciation!$A$6:$L$10,8,FALSE)/2,IF($I87&lt;K$3,VLOOKUP($H87,Depreciation!$A$6:$L$10,8,FALSE),0))</f>
        <v>0</v>
      </c>
      <c r="L87" s="361">
        <f>+IF($I87=L$3,VLOOKUP($H87,Depreciation!$A$6:$L$10,9,FALSE)/2,IF($I87&lt;L$3,VLOOKUP($H87,Depreciation!$A$6:$L$10,9,FALSE),0))</f>
        <v>1.5338181838063448E-2</v>
      </c>
      <c r="M87" s="361">
        <f>+IF($I87=M$3,VLOOKUP($H87,Depreciation!$A$6:$L$10,10,FALSE)/2,IF($I87&lt;M$3,VLOOKUP($H87,Depreciation!$A$6:$L$10,10,FALSE),0))</f>
        <v>3.0676363676126896E-2</v>
      </c>
      <c r="N87" s="361">
        <f>+IF($I87=N$3,VLOOKUP($H87,Depreciation!$A$6:$L$10,11,FALSE)/2,IF($I87&lt;N$3,VLOOKUP($H87,Depreciation!$A$6:$L$10,11,FALSE),0))</f>
        <v>3.0676363676126896E-2</v>
      </c>
      <c r="O87" s="361">
        <f>+IF($I87=O$3,VLOOKUP($H87,Depreciation!$A$6:$L$10,12,FALSE)/2,IF($I87&lt;O$3,VLOOKUP($H87,Depreciation!$A$6:$L$10,12,FALSE),0))</f>
        <v>3.0676363676126896E-2</v>
      </c>
      <c r="P87" s="362">
        <f t="shared" si="5"/>
        <v>0</v>
      </c>
      <c r="Q87" s="362">
        <f t="shared" si="6"/>
        <v>0</v>
      </c>
      <c r="R87" s="363">
        <f t="shared" si="7"/>
        <v>0</v>
      </c>
      <c r="Y87" s="365"/>
    </row>
    <row r="88" spans="1:25" ht="15" customHeight="1">
      <c r="A88" s="359" t="s">
        <v>1191</v>
      </c>
      <c r="B88" s="359" t="s">
        <v>1745</v>
      </c>
      <c r="C88" s="359">
        <v>813</v>
      </c>
      <c r="D88" s="359">
        <v>138</v>
      </c>
      <c r="E88" s="359"/>
      <c r="F88" s="359" t="s">
        <v>1214</v>
      </c>
      <c r="G88" s="360">
        <v>16434659.559384897</v>
      </c>
      <c r="H88" s="359" t="s">
        <v>4</v>
      </c>
      <c r="I88" s="359">
        <v>2017</v>
      </c>
      <c r="J88" s="361">
        <f>+IF($I88=J$3,VLOOKUP($H88,Depreciation!$A$6:$L$10,7,FALSE)/2,IF($I88&lt;J$3,VLOOKUP($H88,Depreciation!$A$6:$L$10,7,FALSE),0))</f>
        <v>0</v>
      </c>
      <c r="K88" s="361">
        <f>+IF($I88=K$3,VLOOKUP($H88,Depreciation!$A$6:$L$10,8,FALSE)/2,IF($I88&lt;K$3,VLOOKUP($H88,Depreciation!$A$6:$L$10,8,FALSE),0))</f>
        <v>0</v>
      </c>
      <c r="L88" s="361">
        <f>+IF($I88=L$3,VLOOKUP($H88,Depreciation!$A$6:$L$10,9,FALSE)/2,IF($I88&lt;L$3,VLOOKUP($H88,Depreciation!$A$6:$L$10,9,FALSE),0))</f>
        <v>1.5338181838063448E-2</v>
      </c>
      <c r="M88" s="361">
        <f>+IF($I88=M$3,VLOOKUP($H88,Depreciation!$A$6:$L$10,10,FALSE)/2,IF($I88&lt;M$3,VLOOKUP($H88,Depreciation!$A$6:$L$10,10,FALSE),0))</f>
        <v>3.0676363676126896E-2</v>
      </c>
      <c r="N88" s="361">
        <f>+IF($I88=N$3,VLOOKUP($H88,Depreciation!$A$6:$L$10,11,FALSE)/2,IF($I88&lt;N$3,VLOOKUP($H88,Depreciation!$A$6:$L$10,11,FALSE),0))</f>
        <v>3.0676363676126896E-2</v>
      </c>
      <c r="O88" s="361">
        <f>+IF($I88=O$3,VLOOKUP($H88,Depreciation!$A$6:$L$10,12,FALSE)/2,IF($I88&lt;O$3,VLOOKUP($H88,Depreciation!$A$6:$L$10,12,FALSE),0))</f>
        <v>3.0676363676126896E-2</v>
      </c>
      <c r="P88" s="362">
        <f t="shared" si="5"/>
        <v>0</v>
      </c>
      <c r="Q88" s="362">
        <f t="shared" si="6"/>
        <v>0</v>
      </c>
      <c r="R88" s="363">
        <f t="shared" si="7"/>
        <v>0</v>
      </c>
      <c r="Y88" s="365"/>
    </row>
    <row r="89" spans="1:25" ht="15" customHeight="1">
      <c r="A89" s="359" t="s">
        <v>1191</v>
      </c>
      <c r="B89" s="359" t="s">
        <v>1746</v>
      </c>
      <c r="C89" s="359">
        <v>813</v>
      </c>
      <c r="D89" s="359">
        <v>240</v>
      </c>
      <c r="E89" s="359"/>
      <c r="F89" s="359" t="s">
        <v>1214</v>
      </c>
      <c r="G89" s="360">
        <v>22442935.461882446</v>
      </c>
      <c r="H89" s="359" t="s">
        <v>4</v>
      </c>
      <c r="I89" s="359">
        <v>2017</v>
      </c>
      <c r="J89" s="361">
        <f>+IF($I89=J$3,VLOOKUP($H89,Depreciation!$A$6:$L$10,7,FALSE)/2,IF($I89&lt;J$3,VLOOKUP($H89,Depreciation!$A$6:$L$10,7,FALSE),0))</f>
        <v>0</v>
      </c>
      <c r="K89" s="361">
        <f>+IF($I89=K$3,VLOOKUP($H89,Depreciation!$A$6:$L$10,8,FALSE)/2,IF($I89&lt;K$3,VLOOKUP($H89,Depreciation!$A$6:$L$10,8,FALSE),0))</f>
        <v>0</v>
      </c>
      <c r="L89" s="361">
        <f>+IF($I89=L$3,VLOOKUP($H89,Depreciation!$A$6:$L$10,9,FALSE)/2,IF($I89&lt;L$3,VLOOKUP($H89,Depreciation!$A$6:$L$10,9,FALSE),0))</f>
        <v>1.5338181838063448E-2</v>
      </c>
      <c r="M89" s="361">
        <f>+IF($I89=M$3,VLOOKUP($H89,Depreciation!$A$6:$L$10,10,FALSE)/2,IF($I89&lt;M$3,VLOOKUP($H89,Depreciation!$A$6:$L$10,10,FALSE),0))</f>
        <v>3.0676363676126896E-2</v>
      </c>
      <c r="N89" s="361">
        <f>+IF($I89=N$3,VLOOKUP($H89,Depreciation!$A$6:$L$10,11,FALSE)/2,IF($I89&lt;N$3,VLOOKUP($H89,Depreciation!$A$6:$L$10,11,FALSE),0))</f>
        <v>3.0676363676126896E-2</v>
      </c>
      <c r="O89" s="361">
        <f>+IF($I89=O$3,VLOOKUP($H89,Depreciation!$A$6:$L$10,12,FALSE)/2,IF($I89&lt;O$3,VLOOKUP($H89,Depreciation!$A$6:$L$10,12,FALSE),0))</f>
        <v>3.0676363676126896E-2</v>
      </c>
      <c r="P89" s="362">
        <f t="shared" si="5"/>
        <v>0</v>
      </c>
      <c r="Q89" s="362">
        <f t="shared" si="6"/>
        <v>0</v>
      </c>
      <c r="R89" s="363">
        <f t="shared" si="7"/>
        <v>0</v>
      </c>
      <c r="Y89" s="365"/>
    </row>
    <row r="90" spans="1:25" ht="15" customHeight="1">
      <c r="A90" s="359" t="s">
        <v>1191</v>
      </c>
      <c r="B90" s="359" t="s">
        <v>1747</v>
      </c>
      <c r="C90" s="359">
        <v>813</v>
      </c>
      <c r="D90" s="359">
        <v>240</v>
      </c>
      <c r="E90" s="359"/>
      <c r="F90" s="359" t="s">
        <v>1214</v>
      </c>
      <c r="G90" s="360">
        <v>37092819.745882899</v>
      </c>
      <c r="H90" s="359" t="s">
        <v>4</v>
      </c>
      <c r="I90" s="359">
        <v>2017</v>
      </c>
      <c r="J90" s="361">
        <f>+IF($I90=J$3,VLOOKUP($H90,Depreciation!$A$6:$L$10,7,FALSE)/2,IF($I90&lt;J$3,VLOOKUP($H90,Depreciation!$A$6:$L$10,7,FALSE),0))</f>
        <v>0</v>
      </c>
      <c r="K90" s="361">
        <f>+IF($I90=K$3,VLOOKUP($H90,Depreciation!$A$6:$L$10,8,FALSE)/2,IF($I90&lt;K$3,VLOOKUP($H90,Depreciation!$A$6:$L$10,8,FALSE),0))</f>
        <v>0</v>
      </c>
      <c r="L90" s="361">
        <f>+IF($I90=L$3,VLOOKUP($H90,Depreciation!$A$6:$L$10,9,FALSE)/2,IF($I90&lt;L$3,VLOOKUP($H90,Depreciation!$A$6:$L$10,9,FALSE),0))</f>
        <v>1.5338181838063448E-2</v>
      </c>
      <c r="M90" s="361">
        <f>+IF($I90=M$3,VLOOKUP($H90,Depreciation!$A$6:$L$10,10,FALSE)/2,IF($I90&lt;M$3,VLOOKUP($H90,Depreciation!$A$6:$L$10,10,FALSE),0))</f>
        <v>3.0676363676126896E-2</v>
      </c>
      <c r="N90" s="361">
        <f>+IF($I90=N$3,VLOOKUP($H90,Depreciation!$A$6:$L$10,11,FALSE)/2,IF($I90&lt;N$3,VLOOKUP($H90,Depreciation!$A$6:$L$10,11,FALSE),0))</f>
        <v>3.0676363676126896E-2</v>
      </c>
      <c r="O90" s="361">
        <f>+IF($I90=O$3,VLOOKUP($H90,Depreciation!$A$6:$L$10,12,FALSE)/2,IF($I90&lt;O$3,VLOOKUP($H90,Depreciation!$A$6:$L$10,12,FALSE),0))</f>
        <v>3.0676363676126896E-2</v>
      </c>
      <c r="P90" s="362">
        <f t="shared" si="5"/>
        <v>0</v>
      </c>
      <c r="Q90" s="362">
        <f t="shared" si="6"/>
        <v>0</v>
      </c>
      <c r="R90" s="363">
        <f t="shared" si="7"/>
        <v>0</v>
      </c>
      <c r="Y90" s="365"/>
    </row>
    <row r="91" spans="1:25" ht="15" customHeight="1">
      <c r="A91" s="359" t="s">
        <v>1511</v>
      </c>
      <c r="B91" s="359" t="s">
        <v>1748</v>
      </c>
      <c r="C91" s="359">
        <v>813</v>
      </c>
      <c r="D91" s="359">
        <v>138</v>
      </c>
      <c r="E91" s="359"/>
      <c r="F91" s="359" t="s">
        <v>1214</v>
      </c>
      <c r="G91" s="360">
        <v>1301580.81090504</v>
      </c>
      <c r="H91" s="359" t="s">
        <v>4</v>
      </c>
      <c r="I91" s="359">
        <v>2017</v>
      </c>
      <c r="J91" s="361">
        <f>+IF($I91=J$3,VLOOKUP($H91,Depreciation!$A$6:$L$10,7,FALSE)/2,IF($I91&lt;J$3,VLOOKUP($H91,Depreciation!$A$6:$L$10,7,FALSE),0))</f>
        <v>0</v>
      </c>
      <c r="K91" s="361">
        <f>+IF($I91=K$3,VLOOKUP($H91,Depreciation!$A$6:$L$10,8,FALSE)/2,IF($I91&lt;K$3,VLOOKUP($H91,Depreciation!$A$6:$L$10,8,FALSE),0))</f>
        <v>0</v>
      </c>
      <c r="L91" s="361">
        <f>+IF($I91=L$3,VLOOKUP($H91,Depreciation!$A$6:$L$10,9,FALSE)/2,IF($I91&lt;L$3,VLOOKUP($H91,Depreciation!$A$6:$L$10,9,FALSE),0))</f>
        <v>1.5338181838063448E-2</v>
      </c>
      <c r="M91" s="361">
        <f>+IF($I91=M$3,VLOOKUP($H91,Depreciation!$A$6:$L$10,10,FALSE)/2,IF($I91&lt;M$3,VLOOKUP($H91,Depreciation!$A$6:$L$10,10,FALSE),0))</f>
        <v>3.0676363676126896E-2</v>
      </c>
      <c r="N91" s="361">
        <f>+IF($I91=N$3,VLOOKUP($H91,Depreciation!$A$6:$L$10,11,FALSE)/2,IF($I91&lt;N$3,VLOOKUP($H91,Depreciation!$A$6:$L$10,11,FALSE),0))</f>
        <v>3.0676363676126896E-2</v>
      </c>
      <c r="O91" s="361">
        <f>+IF($I91=O$3,VLOOKUP($H91,Depreciation!$A$6:$L$10,12,FALSE)/2,IF($I91&lt;O$3,VLOOKUP($H91,Depreciation!$A$6:$L$10,12,FALSE),0))</f>
        <v>3.0676363676126896E-2</v>
      </c>
      <c r="P91" s="362">
        <f t="shared" si="5"/>
        <v>0</v>
      </c>
      <c r="Q91" s="362">
        <f t="shared" si="6"/>
        <v>0</v>
      </c>
      <c r="R91" s="363">
        <f t="shared" si="7"/>
        <v>0</v>
      </c>
      <c r="Y91" s="365"/>
    </row>
    <row r="92" spans="1:25" ht="15" customHeight="1">
      <c r="A92" s="359" t="s">
        <v>1511</v>
      </c>
      <c r="B92" s="359" t="s">
        <v>1749</v>
      </c>
      <c r="C92" s="359">
        <v>813</v>
      </c>
      <c r="D92" s="359">
        <v>138</v>
      </c>
      <c r="E92" s="359"/>
      <c r="F92" s="359" t="s">
        <v>1214</v>
      </c>
      <c r="G92" s="360">
        <v>629225.31498373614</v>
      </c>
      <c r="H92" s="359" t="s">
        <v>4</v>
      </c>
      <c r="I92" s="359">
        <v>2017</v>
      </c>
      <c r="J92" s="361">
        <f>+IF($I92=J$3,VLOOKUP($H92,Depreciation!$A$6:$L$10,7,FALSE)/2,IF($I92&lt;J$3,VLOOKUP($H92,Depreciation!$A$6:$L$10,7,FALSE),0))</f>
        <v>0</v>
      </c>
      <c r="K92" s="361">
        <f>+IF($I92=K$3,VLOOKUP($H92,Depreciation!$A$6:$L$10,8,FALSE)/2,IF($I92&lt;K$3,VLOOKUP($H92,Depreciation!$A$6:$L$10,8,FALSE),0))</f>
        <v>0</v>
      </c>
      <c r="L92" s="361">
        <f>+IF($I92=L$3,VLOOKUP($H92,Depreciation!$A$6:$L$10,9,FALSE)/2,IF($I92&lt;L$3,VLOOKUP($H92,Depreciation!$A$6:$L$10,9,FALSE),0))</f>
        <v>1.5338181838063448E-2</v>
      </c>
      <c r="M92" s="361">
        <f>+IF($I92=M$3,VLOOKUP($H92,Depreciation!$A$6:$L$10,10,FALSE)/2,IF($I92&lt;M$3,VLOOKUP($H92,Depreciation!$A$6:$L$10,10,FALSE),0))</f>
        <v>3.0676363676126896E-2</v>
      </c>
      <c r="N92" s="361">
        <f>+IF($I92=N$3,VLOOKUP($H92,Depreciation!$A$6:$L$10,11,FALSE)/2,IF($I92&lt;N$3,VLOOKUP($H92,Depreciation!$A$6:$L$10,11,FALSE),0))</f>
        <v>3.0676363676126896E-2</v>
      </c>
      <c r="O92" s="361">
        <f>+IF($I92=O$3,VLOOKUP($H92,Depreciation!$A$6:$L$10,12,FALSE)/2,IF($I92&lt;O$3,VLOOKUP($H92,Depreciation!$A$6:$L$10,12,FALSE),0))</f>
        <v>3.0676363676126896E-2</v>
      </c>
      <c r="P92" s="362">
        <f t="shared" si="5"/>
        <v>0</v>
      </c>
      <c r="Q92" s="362">
        <f t="shared" si="6"/>
        <v>0</v>
      </c>
      <c r="R92" s="363">
        <f t="shared" si="7"/>
        <v>0</v>
      </c>
      <c r="Y92" s="365"/>
    </row>
    <row r="93" spans="1:25" ht="15" customHeight="1">
      <c r="A93" s="359" t="s">
        <v>1191</v>
      </c>
      <c r="B93" s="359" t="s">
        <v>1750</v>
      </c>
      <c r="C93" s="359">
        <v>813</v>
      </c>
      <c r="D93" s="359">
        <v>138</v>
      </c>
      <c r="E93" s="359"/>
      <c r="F93" s="359" t="s">
        <v>1214</v>
      </c>
      <c r="G93" s="360">
        <v>442355.47350755217</v>
      </c>
      <c r="H93" s="359" t="s">
        <v>4</v>
      </c>
      <c r="I93" s="359">
        <v>2017</v>
      </c>
      <c r="J93" s="361">
        <f>+IF($I93=J$3,VLOOKUP($H93,Depreciation!$A$6:$L$10,7,FALSE)/2,IF($I93&lt;J$3,VLOOKUP($H93,Depreciation!$A$6:$L$10,7,FALSE),0))</f>
        <v>0</v>
      </c>
      <c r="K93" s="361">
        <f>+IF($I93=K$3,VLOOKUP($H93,Depreciation!$A$6:$L$10,8,FALSE)/2,IF($I93&lt;K$3,VLOOKUP($H93,Depreciation!$A$6:$L$10,8,FALSE),0))</f>
        <v>0</v>
      </c>
      <c r="L93" s="361">
        <f>+IF($I93=L$3,VLOOKUP($H93,Depreciation!$A$6:$L$10,9,FALSE)/2,IF($I93&lt;L$3,VLOOKUP($H93,Depreciation!$A$6:$L$10,9,FALSE),0))</f>
        <v>1.5338181838063448E-2</v>
      </c>
      <c r="M93" s="361">
        <f>+IF($I93=M$3,VLOOKUP($H93,Depreciation!$A$6:$L$10,10,FALSE)/2,IF($I93&lt;M$3,VLOOKUP($H93,Depreciation!$A$6:$L$10,10,FALSE),0))</f>
        <v>3.0676363676126896E-2</v>
      </c>
      <c r="N93" s="361">
        <f>+IF($I93=N$3,VLOOKUP($H93,Depreciation!$A$6:$L$10,11,FALSE)/2,IF($I93&lt;N$3,VLOOKUP($H93,Depreciation!$A$6:$L$10,11,FALSE),0))</f>
        <v>3.0676363676126896E-2</v>
      </c>
      <c r="O93" s="361">
        <f>+IF($I93=O$3,VLOOKUP($H93,Depreciation!$A$6:$L$10,12,FALSE)/2,IF($I93&lt;O$3,VLOOKUP($H93,Depreciation!$A$6:$L$10,12,FALSE),0))</f>
        <v>3.0676363676126896E-2</v>
      </c>
      <c r="P93" s="362">
        <f t="shared" si="5"/>
        <v>0</v>
      </c>
      <c r="Q93" s="362">
        <f t="shared" si="6"/>
        <v>0</v>
      </c>
      <c r="R93" s="363">
        <f t="shared" si="7"/>
        <v>0</v>
      </c>
      <c r="Y93" s="365"/>
    </row>
    <row r="94" spans="1:25" ht="15" customHeight="1">
      <c r="A94" s="359" t="s">
        <v>1191</v>
      </c>
      <c r="B94" s="359" t="s">
        <v>1751</v>
      </c>
      <c r="C94" s="359">
        <v>813</v>
      </c>
      <c r="D94" s="359">
        <v>138</v>
      </c>
      <c r="E94" s="359"/>
      <c r="F94" s="359" t="s">
        <v>1214</v>
      </c>
      <c r="G94" s="360">
        <v>14334305.158686891</v>
      </c>
      <c r="H94" s="359" t="s">
        <v>4</v>
      </c>
      <c r="I94" s="359">
        <v>2017</v>
      </c>
      <c r="J94" s="361">
        <f>+IF($I94=J$3,VLOOKUP($H94,Depreciation!$A$6:$L$10,7,FALSE)/2,IF($I94&lt;J$3,VLOOKUP($H94,Depreciation!$A$6:$L$10,7,FALSE),0))</f>
        <v>0</v>
      </c>
      <c r="K94" s="361">
        <f>+IF($I94=K$3,VLOOKUP($H94,Depreciation!$A$6:$L$10,8,FALSE)/2,IF($I94&lt;K$3,VLOOKUP($H94,Depreciation!$A$6:$L$10,8,FALSE),0))</f>
        <v>0</v>
      </c>
      <c r="L94" s="361">
        <f>+IF($I94=L$3,VLOOKUP($H94,Depreciation!$A$6:$L$10,9,FALSE)/2,IF($I94&lt;L$3,VLOOKUP($H94,Depreciation!$A$6:$L$10,9,FALSE),0))</f>
        <v>1.5338181838063448E-2</v>
      </c>
      <c r="M94" s="361">
        <f>+IF($I94=M$3,VLOOKUP($H94,Depreciation!$A$6:$L$10,10,FALSE)/2,IF($I94&lt;M$3,VLOOKUP($H94,Depreciation!$A$6:$L$10,10,FALSE),0))</f>
        <v>3.0676363676126896E-2</v>
      </c>
      <c r="N94" s="361">
        <f>+IF($I94=N$3,VLOOKUP($H94,Depreciation!$A$6:$L$10,11,FALSE)/2,IF($I94&lt;N$3,VLOOKUP($H94,Depreciation!$A$6:$L$10,11,FALSE),0))</f>
        <v>3.0676363676126896E-2</v>
      </c>
      <c r="O94" s="361">
        <f>+IF($I94=O$3,VLOOKUP($H94,Depreciation!$A$6:$L$10,12,FALSE)/2,IF($I94&lt;O$3,VLOOKUP($H94,Depreciation!$A$6:$L$10,12,FALSE),0))</f>
        <v>3.0676363676126896E-2</v>
      </c>
      <c r="P94" s="362">
        <f t="shared" si="5"/>
        <v>0</v>
      </c>
      <c r="Q94" s="362">
        <f t="shared" si="6"/>
        <v>0</v>
      </c>
      <c r="R94" s="363">
        <f t="shared" si="7"/>
        <v>0</v>
      </c>
      <c r="Y94" s="365"/>
    </row>
    <row r="95" spans="1:25" ht="15" customHeight="1">
      <c r="A95" s="359" t="s">
        <v>1191</v>
      </c>
      <c r="B95" s="359" t="s">
        <v>1752</v>
      </c>
      <c r="C95" s="359">
        <v>813</v>
      </c>
      <c r="D95" s="359">
        <v>138</v>
      </c>
      <c r="E95" s="359"/>
      <c r="F95" s="359" t="s">
        <v>1214</v>
      </c>
      <c r="G95" s="360">
        <v>10724430.608572371</v>
      </c>
      <c r="H95" s="359" t="s">
        <v>4</v>
      </c>
      <c r="I95" s="359">
        <v>2017</v>
      </c>
      <c r="J95" s="361">
        <f>+IF($I95=J$3,VLOOKUP($H95,Depreciation!$A$6:$L$10,7,FALSE)/2,IF($I95&lt;J$3,VLOOKUP($H95,Depreciation!$A$6:$L$10,7,FALSE),0))</f>
        <v>0</v>
      </c>
      <c r="K95" s="361">
        <f>+IF($I95=K$3,VLOOKUP($H95,Depreciation!$A$6:$L$10,8,FALSE)/2,IF($I95&lt;K$3,VLOOKUP($H95,Depreciation!$A$6:$L$10,8,FALSE),0))</f>
        <v>0</v>
      </c>
      <c r="L95" s="361">
        <f>+IF($I95=L$3,VLOOKUP($H95,Depreciation!$A$6:$L$10,9,FALSE)/2,IF($I95&lt;L$3,VLOOKUP($H95,Depreciation!$A$6:$L$10,9,FALSE),0))</f>
        <v>1.5338181838063448E-2</v>
      </c>
      <c r="M95" s="361">
        <f>+IF($I95=M$3,VLOOKUP($H95,Depreciation!$A$6:$L$10,10,FALSE)/2,IF($I95&lt;M$3,VLOOKUP($H95,Depreciation!$A$6:$L$10,10,FALSE),0))</f>
        <v>3.0676363676126896E-2</v>
      </c>
      <c r="N95" s="361">
        <f>+IF($I95=N$3,VLOOKUP($H95,Depreciation!$A$6:$L$10,11,FALSE)/2,IF($I95&lt;N$3,VLOOKUP($H95,Depreciation!$A$6:$L$10,11,FALSE),0))</f>
        <v>3.0676363676126896E-2</v>
      </c>
      <c r="O95" s="361">
        <f>+IF($I95=O$3,VLOOKUP($H95,Depreciation!$A$6:$L$10,12,FALSE)/2,IF($I95&lt;O$3,VLOOKUP($H95,Depreciation!$A$6:$L$10,12,FALSE),0))</f>
        <v>3.0676363676126896E-2</v>
      </c>
      <c r="P95" s="362">
        <f t="shared" si="5"/>
        <v>0</v>
      </c>
      <c r="Q95" s="362">
        <f t="shared" si="6"/>
        <v>0</v>
      </c>
      <c r="R95" s="363">
        <f t="shared" si="7"/>
        <v>0</v>
      </c>
      <c r="Y95" s="365"/>
    </row>
    <row r="96" spans="1:25" ht="15" customHeight="1">
      <c r="A96" s="359" t="s">
        <v>1191</v>
      </c>
      <c r="B96" s="359" t="s">
        <v>1753</v>
      </c>
      <c r="C96" s="359">
        <v>813</v>
      </c>
      <c r="D96" s="359">
        <v>138</v>
      </c>
      <c r="E96" s="359"/>
      <c r="F96" s="359" t="s">
        <v>1214</v>
      </c>
      <c r="G96" s="360">
        <v>8700999.9999999944</v>
      </c>
      <c r="H96" s="359" t="s">
        <v>4</v>
      </c>
      <c r="I96" s="359">
        <v>2017</v>
      </c>
      <c r="J96" s="361">
        <f>+IF($I96=J$3,VLOOKUP($H96,Depreciation!$A$6:$L$10,7,FALSE)/2,IF($I96&lt;J$3,VLOOKUP($H96,Depreciation!$A$6:$L$10,7,FALSE),0))</f>
        <v>0</v>
      </c>
      <c r="K96" s="361">
        <f>+IF($I96=K$3,VLOOKUP($H96,Depreciation!$A$6:$L$10,8,FALSE)/2,IF($I96&lt;K$3,VLOOKUP($H96,Depreciation!$A$6:$L$10,8,FALSE),0))</f>
        <v>0</v>
      </c>
      <c r="L96" s="361">
        <f>+IF($I96=L$3,VLOOKUP($H96,Depreciation!$A$6:$L$10,9,FALSE)/2,IF($I96&lt;L$3,VLOOKUP($H96,Depreciation!$A$6:$L$10,9,FALSE),0))</f>
        <v>1.5338181838063448E-2</v>
      </c>
      <c r="M96" s="361">
        <f>+IF($I96=M$3,VLOOKUP($H96,Depreciation!$A$6:$L$10,10,FALSE)/2,IF($I96&lt;M$3,VLOOKUP($H96,Depreciation!$A$6:$L$10,10,FALSE),0))</f>
        <v>3.0676363676126896E-2</v>
      </c>
      <c r="N96" s="361">
        <f>+IF($I96=N$3,VLOOKUP($H96,Depreciation!$A$6:$L$10,11,FALSE)/2,IF($I96&lt;N$3,VLOOKUP($H96,Depreciation!$A$6:$L$10,11,FALSE),0))</f>
        <v>3.0676363676126896E-2</v>
      </c>
      <c r="O96" s="361">
        <f>+IF($I96=O$3,VLOOKUP($H96,Depreciation!$A$6:$L$10,12,FALSE)/2,IF($I96&lt;O$3,VLOOKUP($H96,Depreciation!$A$6:$L$10,12,FALSE),0))</f>
        <v>3.0676363676126896E-2</v>
      </c>
      <c r="P96" s="362">
        <f t="shared" si="5"/>
        <v>0</v>
      </c>
      <c r="Q96" s="362">
        <f t="shared" si="6"/>
        <v>0</v>
      </c>
      <c r="R96" s="363">
        <f t="shared" si="7"/>
        <v>0</v>
      </c>
      <c r="Y96" s="365"/>
    </row>
    <row r="97" spans="1:25" ht="15" customHeight="1">
      <c r="A97" s="359" t="s">
        <v>1191</v>
      </c>
      <c r="B97" s="359" t="s">
        <v>1754</v>
      </c>
      <c r="C97" s="359">
        <v>813</v>
      </c>
      <c r="D97" s="359">
        <v>138</v>
      </c>
      <c r="E97" s="359"/>
      <c r="F97" s="359" t="s">
        <v>1214</v>
      </c>
      <c r="G97" s="360">
        <v>2041375.8427235677</v>
      </c>
      <c r="H97" s="359" t="s">
        <v>4</v>
      </c>
      <c r="I97" s="359">
        <v>2017</v>
      </c>
      <c r="J97" s="361">
        <f>+IF($I97=J$3,VLOOKUP($H97,Depreciation!$A$6:$L$10,7,FALSE)/2,IF($I97&lt;J$3,VLOOKUP($H97,Depreciation!$A$6:$L$10,7,FALSE),0))</f>
        <v>0</v>
      </c>
      <c r="K97" s="361">
        <f>+IF($I97=K$3,VLOOKUP($H97,Depreciation!$A$6:$L$10,8,FALSE)/2,IF($I97&lt;K$3,VLOOKUP($H97,Depreciation!$A$6:$L$10,8,FALSE),0))</f>
        <v>0</v>
      </c>
      <c r="L97" s="361">
        <f>+IF($I97=L$3,VLOOKUP($H97,Depreciation!$A$6:$L$10,9,FALSE)/2,IF($I97&lt;L$3,VLOOKUP($H97,Depreciation!$A$6:$L$10,9,FALSE),0))</f>
        <v>1.5338181838063448E-2</v>
      </c>
      <c r="M97" s="361">
        <f>+IF($I97=M$3,VLOOKUP($H97,Depreciation!$A$6:$L$10,10,FALSE)/2,IF($I97&lt;M$3,VLOOKUP($H97,Depreciation!$A$6:$L$10,10,FALSE),0))</f>
        <v>3.0676363676126896E-2</v>
      </c>
      <c r="N97" s="361">
        <f>+IF($I97=N$3,VLOOKUP($H97,Depreciation!$A$6:$L$10,11,FALSE)/2,IF($I97&lt;N$3,VLOOKUP($H97,Depreciation!$A$6:$L$10,11,FALSE),0))</f>
        <v>3.0676363676126896E-2</v>
      </c>
      <c r="O97" s="361">
        <f>+IF($I97=O$3,VLOOKUP($H97,Depreciation!$A$6:$L$10,12,FALSE)/2,IF($I97&lt;O$3,VLOOKUP($H97,Depreciation!$A$6:$L$10,12,FALSE),0))</f>
        <v>3.0676363676126896E-2</v>
      </c>
      <c r="P97" s="362">
        <f t="shared" si="5"/>
        <v>0</v>
      </c>
      <c r="Q97" s="362">
        <f t="shared" si="6"/>
        <v>0</v>
      </c>
      <c r="R97" s="363">
        <f t="shared" si="7"/>
        <v>0</v>
      </c>
      <c r="Y97" s="365"/>
    </row>
    <row r="98" spans="1:25" ht="15" customHeight="1">
      <c r="A98" s="359" t="s">
        <v>1191</v>
      </c>
      <c r="B98" s="359" t="s">
        <v>1755</v>
      </c>
      <c r="C98" s="359">
        <v>813</v>
      </c>
      <c r="D98" s="359">
        <v>240</v>
      </c>
      <c r="E98" s="359"/>
      <c r="F98" s="359" t="s">
        <v>1214</v>
      </c>
      <c r="G98" s="360">
        <v>1595577.9141692643</v>
      </c>
      <c r="H98" s="359" t="s">
        <v>4</v>
      </c>
      <c r="I98" s="359">
        <v>2017</v>
      </c>
      <c r="J98" s="361">
        <f>+IF($I98=J$3,VLOOKUP($H98,Depreciation!$A$6:$L$10,7,FALSE)/2,IF($I98&lt;J$3,VLOOKUP($H98,Depreciation!$A$6:$L$10,7,FALSE),0))</f>
        <v>0</v>
      </c>
      <c r="K98" s="361">
        <f>+IF($I98=K$3,VLOOKUP($H98,Depreciation!$A$6:$L$10,8,FALSE)/2,IF($I98&lt;K$3,VLOOKUP($H98,Depreciation!$A$6:$L$10,8,FALSE),0))</f>
        <v>0</v>
      </c>
      <c r="L98" s="361">
        <f>+IF($I98=L$3,VLOOKUP($H98,Depreciation!$A$6:$L$10,9,FALSE)/2,IF($I98&lt;L$3,VLOOKUP($H98,Depreciation!$A$6:$L$10,9,FALSE),0))</f>
        <v>1.5338181838063448E-2</v>
      </c>
      <c r="M98" s="361">
        <f>+IF($I98=M$3,VLOOKUP($H98,Depreciation!$A$6:$L$10,10,FALSE)/2,IF($I98&lt;M$3,VLOOKUP($H98,Depreciation!$A$6:$L$10,10,FALSE),0))</f>
        <v>3.0676363676126896E-2</v>
      </c>
      <c r="N98" s="361">
        <f>+IF($I98=N$3,VLOOKUP($H98,Depreciation!$A$6:$L$10,11,FALSE)/2,IF($I98&lt;N$3,VLOOKUP($H98,Depreciation!$A$6:$L$10,11,FALSE),0))</f>
        <v>3.0676363676126896E-2</v>
      </c>
      <c r="O98" s="361">
        <f>+IF($I98=O$3,VLOOKUP($H98,Depreciation!$A$6:$L$10,12,FALSE)/2,IF($I98&lt;O$3,VLOOKUP($H98,Depreciation!$A$6:$L$10,12,FALSE),0))</f>
        <v>3.0676363676126896E-2</v>
      </c>
      <c r="P98" s="362">
        <f t="shared" si="5"/>
        <v>0</v>
      </c>
      <c r="Q98" s="362">
        <f t="shared" si="6"/>
        <v>0</v>
      </c>
      <c r="R98" s="363">
        <f t="shared" si="7"/>
        <v>0</v>
      </c>
      <c r="Y98" s="365"/>
    </row>
    <row r="99" spans="1:25" ht="15" customHeight="1">
      <c r="A99" s="359" t="s">
        <v>1191</v>
      </c>
      <c r="B99" s="359" t="s">
        <v>1755</v>
      </c>
      <c r="C99" s="359">
        <v>813</v>
      </c>
      <c r="D99" s="359">
        <v>240</v>
      </c>
      <c r="E99" s="359"/>
      <c r="F99" s="359" t="s">
        <v>1214</v>
      </c>
      <c r="G99" s="360">
        <v>1626560.0095900265</v>
      </c>
      <c r="H99" s="359" t="s">
        <v>4</v>
      </c>
      <c r="I99" s="359">
        <v>2017</v>
      </c>
      <c r="J99" s="361">
        <f>+IF($I99=J$3,VLOOKUP($H99,Depreciation!$A$6:$L$10,7,FALSE)/2,IF($I99&lt;J$3,VLOOKUP($H99,Depreciation!$A$6:$L$10,7,FALSE),0))</f>
        <v>0</v>
      </c>
      <c r="K99" s="361">
        <f>+IF($I99=K$3,VLOOKUP($H99,Depreciation!$A$6:$L$10,8,FALSE)/2,IF($I99&lt;K$3,VLOOKUP($H99,Depreciation!$A$6:$L$10,8,FALSE),0))</f>
        <v>0</v>
      </c>
      <c r="L99" s="361">
        <f>+IF($I99=L$3,VLOOKUP($H99,Depreciation!$A$6:$L$10,9,FALSE)/2,IF($I99&lt;L$3,VLOOKUP($H99,Depreciation!$A$6:$L$10,9,FALSE),0))</f>
        <v>1.5338181838063448E-2</v>
      </c>
      <c r="M99" s="361">
        <f>+IF($I99=M$3,VLOOKUP($H99,Depreciation!$A$6:$L$10,10,FALSE)/2,IF($I99&lt;M$3,VLOOKUP($H99,Depreciation!$A$6:$L$10,10,FALSE),0))</f>
        <v>3.0676363676126896E-2</v>
      </c>
      <c r="N99" s="361">
        <f>+IF($I99=N$3,VLOOKUP($H99,Depreciation!$A$6:$L$10,11,FALSE)/2,IF($I99&lt;N$3,VLOOKUP($H99,Depreciation!$A$6:$L$10,11,FALSE),0))</f>
        <v>3.0676363676126896E-2</v>
      </c>
      <c r="O99" s="361">
        <f>+IF($I99=O$3,VLOOKUP($H99,Depreciation!$A$6:$L$10,12,FALSE)/2,IF($I99&lt;O$3,VLOOKUP($H99,Depreciation!$A$6:$L$10,12,FALSE),0))</f>
        <v>3.0676363676126896E-2</v>
      </c>
      <c r="P99" s="362">
        <f t="shared" si="5"/>
        <v>0</v>
      </c>
      <c r="Q99" s="362">
        <f t="shared" si="6"/>
        <v>0</v>
      </c>
      <c r="R99" s="363">
        <f t="shared" si="7"/>
        <v>0</v>
      </c>
      <c r="Y99" s="365"/>
    </row>
    <row r="100" spans="1:25" ht="15" customHeight="1">
      <c r="A100" s="359" t="s">
        <v>1191</v>
      </c>
      <c r="B100" s="359" t="s">
        <v>1756</v>
      </c>
      <c r="C100" s="359">
        <v>813</v>
      </c>
      <c r="D100" s="359">
        <v>240</v>
      </c>
      <c r="E100" s="359"/>
      <c r="F100" s="359" t="s">
        <v>1214</v>
      </c>
      <c r="G100" s="360">
        <v>1543941.0884679935</v>
      </c>
      <c r="H100" s="359" t="s">
        <v>4</v>
      </c>
      <c r="I100" s="359">
        <v>2017</v>
      </c>
      <c r="J100" s="361">
        <f>+IF($I100=J$3,VLOOKUP($H100,Depreciation!$A$6:$L$10,7,FALSE)/2,IF($I100&lt;J$3,VLOOKUP($H100,Depreciation!$A$6:$L$10,7,FALSE),0))</f>
        <v>0</v>
      </c>
      <c r="K100" s="361">
        <f>+IF($I100=K$3,VLOOKUP($H100,Depreciation!$A$6:$L$10,8,FALSE)/2,IF($I100&lt;K$3,VLOOKUP($H100,Depreciation!$A$6:$L$10,8,FALSE),0))</f>
        <v>0</v>
      </c>
      <c r="L100" s="361">
        <f>+IF($I100=L$3,VLOOKUP($H100,Depreciation!$A$6:$L$10,9,FALSE)/2,IF($I100&lt;L$3,VLOOKUP($H100,Depreciation!$A$6:$L$10,9,FALSE),0))</f>
        <v>1.5338181838063448E-2</v>
      </c>
      <c r="M100" s="361">
        <f>+IF($I100=M$3,VLOOKUP($H100,Depreciation!$A$6:$L$10,10,FALSE)/2,IF($I100&lt;M$3,VLOOKUP($H100,Depreciation!$A$6:$L$10,10,FALSE),0))</f>
        <v>3.0676363676126896E-2</v>
      </c>
      <c r="N100" s="361">
        <f>+IF($I100=N$3,VLOOKUP($H100,Depreciation!$A$6:$L$10,11,FALSE)/2,IF($I100&lt;N$3,VLOOKUP($H100,Depreciation!$A$6:$L$10,11,FALSE),0))</f>
        <v>3.0676363676126896E-2</v>
      </c>
      <c r="O100" s="361">
        <f>+IF($I100=O$3,VLOOKUP($H100,Depreciation!$A$6:$L$10,12,FALSE)/2,IF($I100&lt;O$3,VLOOKUP($H100,Depreciation!$A$6:$L$10,12,FALSE),0))</f>
        <v>3.0676363676126896E-2</v>
      </c>
      <c r="P100" s="362">
        <f t="shared" si="5"/>
        <v>0</v>
      </c>
      <c r="Q100" s="362">
        <f t="shared" si="6"/>
        <v>0</v>
      </c>
      <c r="R100" s="363">
        <f t="shared" si="7"/>
        <v>0</v>
      </c>
      <c r="Y100" s="365"/>
    </row>
    <row r="101" spans="1:25" ht="15" customHeight="1">
      <c r="A101" s="359" t="s">
        <v>1191</v>
      </c>
      <c r="B101" s="359" t="s">
        <v>1756</v>
      </c>
      <c r="C101" s="359">
        <v>813</v>
      </c>
      <c r="D101" s="359">
        <v>240</v>
      </c>
      <c r="E101" s="359"/>
      <c r="F101" s="359" t="s">
        <v>1214</v>
      </c>
      <c r="G101" s="360">
        <v>1657542.1050107889</v>
      </c>
      <c r="H101" s="359" t="s">
        <v>4</v>
      </c>
      <c r="I101" s="359">
        <v>2017</v>
      </c>
      <c r="J101" s="361">
        <f>+IF($I101=J$3,VLOOKUP($H101,Depreciation!$A$6:$L$10,7,FALSE)/2,IF($I101&lt;J$3,VLOOKUP($H101,Depreciation!$A$6:$L$10,7,FALSE),0))</f>
        <v>0</v>
      </c>
      <c r="K101" s="361">
        <f>+IF($I101=K$3,VLOOKUP($H101,Depreciation!$A$6:$L$10,8,FALSE)/2,IF($I101&lt;K$3,VLOOKUP($H101,Depreciation!$A$6:$L$10,8,FALSE),0))</f>
        <v>0</v>
      </c>
      <c r="L101" s="361">
        <f>+IF($I101=L$3,VLOOKUP($H101,Depreciation!$A$6:$L$10,9,FALSE)/2,IF($I101&lt;L$3,VLOOKUP($H101,Depreciation!$A$6:$L$10,9,FALSE),0))</f>
        <v>1.5338181838063448E-2</v>
      </c>
      <c r="M101" s="361">
        <f>+IF($I101=M$3,VLOOKUP($H101,Depreciation!$A$6:$L$10,10,FALSE)/2,IF($I101&lt;M$3,VLOOKUP($H101,Depreciation!$A$6:$L$10,10,FALSE),0))</f>
        <v>3.0676363676126896E-2</v>
      </c>
      <c r="N101" s="361">
        <f>+IF($I101=N$3,VLOOKUP($H101,Depreciation!$A$6:$L$10,11,FALSE)/2,IF($I101&lt;N$3,VLOOKUP($H101,Depreciation!$A$6:$L$10,11,FALSE),0))</f>
        <v>3.0676363676126896E-2</v>
      </c>
      <c r="O101" s="361">
        <f>+IF($I101=O$3,VLOOKUP($H101,Depreciation!$A$6:$L$10,12,FALSE)/2,IF($I101&lt;O$3,VLOOKUP($H101,Depreciation!$A$6:$L$10,12,FALSE),0))</f>
        <v>3.0676363676126896E-2</v>
      </c>
      <c r="P101" s="362">
        <f t="shared" si="5"/>
        <v>0</v>
      </c>
      <c r="Q101" s="362">
        <f t="shared" si="6"/>
        <v>0</v>
      </c>
      <c r="R101" s="363">
        <f t="shared" si="7"/>
        <v>0</v>
      </c>
      <c r="Y101" s="365"/>
    </row>
    <row r="102" spans="1:25" ht="15" customHeight="1">
      <c r="A102" s="359" t="s">
        <v>1191</v>
      </c>
      <c r="B102" s="359" t="s">
        <v>1757</v>
      </c>
      <c r="C102" s="359">
        <v>813</v>
      </c>
      <c r="D102" s="359">
        <v>240</v>
      </c>
      <c r="E102" s="359"/>
      <c r="F102" s="359" t="s">
        <v>1214</v>
      </c>
      <c r="G102" s="360">
        <v>1650657.1949172863</v>
      </c>
      <c r="H102" s="359" t="s">
        <v>4</v>
      </c>
      <c r="I102" s="359">
        <v>2017</v>
      </c>
      <c r="J102" s="361">
        <f>+IF($I102=J$3,VLOOKUP($H102,Depreciation!$A$6:$L$10,7,FALSE)/2,IF($I102&lt;J$3,VLOOKUP($H102,Depreciation!$A$6:$L$10,7,FALSE),0))</f>
        <v>0</v>
      </c>
      <c r="K102" s="361">
        <f>+IF($I102=K$3,VLOOKUP($H102,Depreciation!$A$6:$L$10,8,FALSE)/2,IF($I102&lt;K$3,VLOOKUP($H102,Depreciation!$A$6:$L$10,8,FALSE),0))</f>
        <v>0</v>
      </c>
      <c r="L102" s="361">
        <f>+IF($I102=L$3,VLOOKUP($H102,Depreciation!$A$6:$L$10,9,FALSE)/2,IF($I102&lt;L$3,VLOOKUP($H102,Depreciation!$A$6:$L$10,9,FALSE),0))</f>
        <v>1.5338181838063448E-2</v>
      </c>
      <c r="M102" s="361">
        <f>+IF($I102=M$3,VLOOKUP($H102,Depreciation!$A$6:$L$10,10,FALSE)/2,IF($I102&lt;M$3,VLOOKUP($H102,Depreciation!$A$6:$L$10,10,FALSE),0))</f>
        <v>3.0676363676126896E-2</v>
      </c>
      <c r="N102" s="361">
        <f>+IF($I102=N$3,VLOOKUP($H102,Depreciation!$A$6:$L$10,11,FALSE)/2,IF($I102&lt;N$3,VLOOKUP($H102,Depreciation!$A$6:$L$10,11,FALSE),0))</f>
        <v>3.0676363676126896E-2</v>
      </c>
      <c r="O102" s="361">
        <f>+IF($I102=O$3,VLOOKUP($H102,Depreciation!$A$6:$L$10,12,FALSE)/2,IF($I102&lt;O$3,VLOOKUP($H102,Depreciation!$A$6:$L$10,12,FALSE),0))</f>
        <v>3.0676363676126896E-2</v>
      </c>
      <c r="P102" s="362">
        <f t="shared" si="5"/>
        <v>0</v>
      </c>
      <c r="Q102" s="362">
        <f t="shared" si="6"/>
        <v>0</v>
      </c>
      <c r="R102" s="363">
        <f t="shared" si="7"/>
        <v>0</v>
      </c>
      <c r="Y102" s="365"/>
    </row>
    <row r="103" spans="1:25" ht="15" customHeight="1">
      <c r="A103" s="359" t="s">
        <v>1191</v>
      </c>
      <c r="B103" s="359" t="s">
        <v>1757</v>
      </c>
      <c r="C103" s="359">
        <v>813</v>
      </c>
      <c r="D103" s="359">
        <v>240</v>
      </c>
      <c r="E103" s="359"/>
      <c r="F103" s="359" t="s">
        <v>1214</v>
      </c>
      <c r="G103" s="360">
        <v>1645493.5123471592</v>
      </c>
      <c r="H103" s="359" t="s">
        <v>4</v>
      </c>
      <c r="I103" s="359">
        <v>2017</v>
      </c>
      <c r="J103" s="361">
        <f>+IF($I103=J$3,VLOOKUP($H103,Depreciation!$A$6:$L$10,7,FALSE)/2,IF($I103&lt;J$3,VLOOKUP($H103,Depreciation!$A$6:$L$10,7,FALSE),0))</f>
        <v>0</v>
      </c>
      <c r="K103" s="361">
        <f>+IF($I103=K$3,VLOOKUP($H103,Depreciation!$A$6:$L$10,8,FALSE)/2,IF($I103&lt;K$3,VLOOKUP($H103,Depreciation!$A$6:$L$10,8,FALSE),0))</f>
        <v>0</v>
      </c>
      <c r="L103" s="361">
        <f>+IF($I103=L$3,VLOOKUP($H103,Depreciation!$A$6:$L$10,9,FALSE)/2,IF($I103&lt;L$3,VLOOKUP($H103,Depreciation!$A$6:$L$10,9,FALSE),0))</f>
        <v>1.5338181838063448E-2</v>
      </c>
      <c r="M103" s="361">
        <f>+IF($I103=M$3,VLOOKUP($H103,Depreciation!$A$6:$L$10,10,FALSE)/2,IF($I103&lt;M$3,VLOOKUP($H103,Depreciation!$A$6:$L$10,10,FALSE),0))</f>
        <v>3.0676363676126896E-2</v>
      </c>
      <c r="N103" s="361">
        <f>+IF($I103=N$3,VLOOKUP($H103,Depreciation!$A$6:$L$10,11,FALSE)/2,IF($I103&lt;N$3,VLOOKUP($H103,Depreciation!$A$6:$L$10,11,FALSE),0))</f>
        <v>3.0676363676126896E-2</v>
      </c>
      <c r="O103" s="361">
        <f>+IF($I103=O$3,VLOOKUP($H103,Depreciation!$A$6:$L$10,12,FALSE)/2,IF($I103&lt;O$3,VLOOKUP($H103,Depreciation!$A$6:$L$10,12,FALSE),0))</f>
        <v>3.0676363676126896E-2</v>
      </c>
      <c r="P103" s="362">
        <f t="shared" si="5"/>
        <v>0</v>
      </c>
      <c r="Q103" s="362">
        <f t="shared" si="6"/>
        <v>0</v>
      </c>
      <c r="R103" s="363">
        <f t="shared" si="7"/>
        <v>0</v>
      </c>
      <c r="Y103" s="365"/>
    </row>
    <row r="104" spans="1:25" ht="15" customHeight="1">
      <c r="A104" s="359" t="s">
        <v>1191</v>
      </c>
      <c r="B104" s="359" t="s">
        <v>1222</v>
      </c>
      <c r="C104" s="359">
        <v>813</v>
      </c>
      <c r="D104" s="359">
        <v>138</v>
      </c>
      <c r="E104" s="359"/>
      <c r="F104" s="359" t="s">
        <v>1214</v>
      </c>
      <c r="G104" s="360">
        <v>178318.62548469054</v>
      </c>
      <c r="H104" s="359" t="s">
        <v>4</v>
      </c>
      <c r="I104" s="359">
        <v>2017</v>
      </c>
      <c r="J104" s="361">
        <f>+IF($I104=J$3,VLOOKUP($H104,Depreciation!$A$6:$L$10,7,FALSE)/2,IF($I104&lt;J$3,VLOOKUP($H104,Depreciation!$A$6:$L$10,7,FALSE),0))</f>
        <v>0</v>
      </c>
      <c r="K104" s="361">
        <f>+IF($I104=K$3,VLOOKUP($H104,Depreciation!$A$6:$L$10,8,FALSE)/2,IF($I104&lt;K$3,VLOOKUP($H104,Depreciation!$A$6:$L$10,8,FALSE),0))</f>
        <v>0</v>
      </c>
      <c r="L104" s="361">
        <f>+IF($I104=L$3,VLOOKUP($H104,Depreciation!$A$6:$L$10,9,FALSE)/2,IF($I104&lt;L$3,VLOOKUP($H104,Depreciation!$A$6:$L$10,9,FALSE),0))</f>
        <v>1.5338181838063448E-2</v>
      </c>
      <c r="M104" s="361">
        <f>+IF($I104=M$3,VLOOKUP($H104,Depreciation!$A$6:$L$10,10,FALSE)/2,IF($I104&lt;M$3,VLOOKUP($H104,Depreciation!$A$6:$L$10,10,FALSE),0))</f>
        <v>3.0676363676126896E-2</v>
      </c>
      <c r="N104" s="361">
        <f>+IF($I104=N$3,VLOOKUP($H104,Depreciation!$A$6:$L$10,11,FALSE)/2,IF($I104&lt;N$3,VLOOKUP($H104,Depreciation!$A$6:$L$10,11,FALSE),0))</f>
        <v>3.0676363676126896E-2</v>
      </c>
      <c r="O104" s="361">
        <f>+IF($I104=O$3,VLOOKUP($H104,Depreciation!$A$6:$L$10,12,FALSE)/2,IF($I104&lt;O$3,VLOOKUP($H104,Depreciation!$A$6:$L$10,12,FALSE),0))</f>
        <v>3.0676363676126896E-2</v>
      </c>
      <c r="P104" s="362">
        <f t="shared" si="5"/>
        <v>0</v>
      </c>
      <c r="Q104" s="362">
        <f t="shared" si="6"/>
        <v>0</v>
      </c>
      <c r="R104" s="363">
        <f t="shared" si="7"/>
        <v>0</v>
      </c>
      <c r="Y104" s="365"/>
    </row>
    <row r="105" spans="1:25" ht="15" customHeight="1">
      <c r="A105" s="359" t="s">
        <v>1191</v>
      </c>
      <c r="B105" s="359" t="s">
        <v>1223</v>
      </c>
      <c r="C105" s="359">
        <v>813</v>
      </c>
      <c r="D105" s="359">
        <v>138</v>
      </c>
      <c r="E105" s="359"/>
      <c r="F105" s="359" t="s">
        <v>1214</v>
      </c>
      <c r="G105" s="360">
        <v>24543692.672817234</v>
      </c>
      <c r="H105" s="359" t="s">
        <v>4</v>
      </c>
      <c r="I105" s="359">
        <v>2017</v>
      </c>
      <c r="J105" s="361">
        <f>+IF($I105=J$3,VLOOKUP($H105,Depreciation!$A$6:$L$10,7,FALSE)/2,IF($I105&lt;J$3,VLOOKUP($H105,Depreciation!$A$6:$L$10,7,FALSE),0))</f>
        <v>0</v>
      </c>
      <c r="K105" s="361">
        <f>+IF($I105=K$3,VLOOKUP($H105,Depreciation!$A$6:$L$10,8,FALSE)/2,IF($I105&lt;K$3,VLOOKUP($H105,Depreciation!$A$6:$L$10,8,FALSE),0))</f>
        <v>0</v>
      </c>
      <c r="L105" s="361">
        <f>+IF($I105=L$3,VLOOKUP($H105,Depreciation!$A$6:$L$10,9,FALSE)/2,IF($I105&lt;L$3,VLOOKUP($H105,Depreciation!$A$6:$L$10,9,FALSE),0))</f>
        <v>1.5338181838063448E-2</v>
      </c>
      <c r="M105" s="361">
        <f>+IF($I105=M$3,VLOOKUP($H105,Depreciation!$A$6:$L$10,10,FALSE)/2,IF($I105&lt;M$3,VLOOKUP($H105,Depreciation!$A$6:$L$10,10,FALSE),0))</f>
        <v>3.0676363676126896E-2</v>
      </c>
      <c r="N105" s="361">
        <f>+IF($I105=N$3,VLOOKUP($H105,Depreciation!$A$6:$L$10,11,FALSE)/2,IF($I105&lt;N$3,VLOOKUP($H105,Depreciation!$A$6:$L$10,11,FALSE),0))</f>
        <v>3.0676363676126896E-2</v>
      </c>
      <c r="O105" s="361">
        <f>+IF($I105=O$3,VLOOKUP($H105,Depreciation!$A$6:$L$10,12,FALSE)/2,IF($I105&lt;O$3,VLOOKUP($H105,Depreciation!$A$6:$L$10,12,FALSE),0))</f>
        <v>3.0676363676126896E-2</v>
      </c>
      <c r="P105" s="362">
        <f t="shared" si="5"/>
        <v>0</v>
      </c>
      <c r="Q105" s="362">
        <f t="shared" si="6"/>
        <v>0</v>
      </c>
      <c r="R105" s="363">
        <f t="shared" si="7"/>
        <v>0</v>
      </c>
      <c r="Y105" s="365"/>
    </row>
    <row r="106" spans="1:25" ht="15" customHeight="1">
      <c r="A106" s="359" t="s">
        <v>1191</v>
      </c>
      <c r="B106" s="359" t="s">
        <v>1241</v>
      </c>
      <c r="C106" s="359">
        <v>850</v>
      </c>
      <c r="D106" s="359">
        <v>240</v>
      </c>
      <c r="E106" s="359"/>
      <c r="F106" s="359" t="s">
        <v>1251</v>
      </c>
      <c r="G106" s="360">
        <v>15139710.076689346</v>
      </c>
      <c r="H106" s="359" t="s">
        <v>4</v>
      </c>
      <c r="I106" s="359">
        <v>2017</v>
      </c>
      <c r="J106" s="361">
        <f>+IF($I106=J$3,VLOOKUP($H106,Depreciation!$A$6:$L$10,7,FALSE)/2,IF($I106&lt;J$3,VLOOKUP($H106,Depreciation!$A$6:$L$10,7,FALSE),0))</f>
        <v>0</v>
      </c>
      <c r="K106" s="361">
        <f>+IF($I106=K$3,VLOOKUP($H106,Depreciation!$A$6:$L$10,8,FALSE)/2,IF($I106&lt;K$3,VLOOKUP($H106,Depreciation!$A$6:$L$10,8,FALSE),0))</f>
        <v>0</v>
      </c>
      <c r="L106" s="361">
        <f>+IF($I106=L$3,VLOOKUP($H106,Depreciation!$A$6:$L$10,9,FALSE)/2,IF($I106&lt;L$3,VLOOKUP($H106,Depreciation!$A$6:$L$10,9,FALSE),0))</f>
        <v>1.5338181838063448E-2</v>
      </c>
      <c r="M106" s="361">
        <f>+IF($I106=M$3,VLOOKUP($H106,Depreciation!$A$6:$L$10,10,FALSE)/2,IF($I106&lt;M$3,VLOOKUP($H106,Depreciation!$A$6:$L$10,10,FALSE),0))</f>
        <v>3.0676363676126896E-2</v>
      </c>
      <c r="N106" s="361">
        <f>+IF($I106=N$3,VLOOKUP($H106,Depreciation!$A$6:$L$10,11,FALSE)/2,IF($I106&lt;N$3,VLOOKUP($H106,Depreciation!$A$6:$L$10,11,FALSE),0))</f>
        <v>3.0676363676126896E-2</v>
      </c>
      <c r="O106" s="361">
        <f>+IF($I106=O$3,VLOOKUP($H106,Depreciation!$A$6:$L$10,12,FALSE)/2,IF($I106&lt;O$3,VLOOKUP($H106,Depreciation!$A$6:$L$10,12,FALSE),0))</f>
        <v>3.0676363676126896E-2</v>
      </c>
      <c r="P106" s="362">
        <f t="shared" si="5"/>
        <v>0</v>
      </c>
      <c r="Q106" s="362">
        <f t="shared" si="6"/>
        <v>0</v>
      </c>
      <c r="R106" s="363">
        <f t="shared" si="7"/>
        <v>0</v>
      </c>
      <c r="Y106" s="365"/>
    </row>
    <row r="107" spans="1:25" ht="15" customHeight="1">
      <c r="A107" s="359" t="s">
        <v>1191</v>
      </c>
      <c r="B107" s="359" t="s">
        <v>1234</v>
      </c>
      <c r="C107" s="359">
        <v>850</v>
      </c>
      <c r="D107" s="359">
        <v>240</v>
      </c>
      <c r="E107" s="359"/>
      <c r="F107" s="359" t="s">
        <v>1251</v>
      </c>
      <c r="G107" s="360">
        <v>20197707.055992737</v>
      </c>
      <c r="H107" s="359" t="s">
        <v>4</v>
      </c>
      <c r="I107" s="359">
        <v>2017</v>
      </c>
      <c r="J107" s="361">
        <f>+IF($I107=J$3,VLOOKUP($H107,Depreciation!$A$6:$L$10,7,FALSE)/2,IF($I107&lt;J$3,VLOOKUP($H107,Depreciation!$A$6:$L$10,7,FALSE),0))</f>
        <v>0</v>
      </c>
      <c r="K107" s="361">
        <f>+IF($I107=K$3,VLOOKUP($H107,Depreciation!$A$6:$L$10,8,FALSE)/2,IF($I107&lt;K$3,VLOOKUP($H107,Depreciation!$A$6:$L$10,8,FALSE),0))</f>
        <v>0</v>
      </c>
      <c r="L107" s="361">
        <f>+IF($I107=L$3,VLOOKUP($H107,Depreciation!$A$6:$L$10,9,FALSE)/2,IF($I107&lt;L$3,VLOOKUP($H107,Depreciation!$A$6:$L$10,9,FALSE),0))</f>
        <v>1.5338181838063448E-2</v>
      </c>
      <c r="M107" s="361">
        <f>+IF($I107=M$3,VLOOKUP($H107,Depreciation!$A$6:$L$10,10,FALSE)/2,IF($I107&lt;M$3,VLOOKUP($H107,Depreciation!$A$6:$L$10,10,FALSE),0))</f>
        <v>3.0676363676126896E-2</v>
      </c>
      <c r="N107" s="361">
        <f>+IF($I107=N$3,VLOOKUP($H107,Depreciation!$A$6:$L$10,11,FALSE)/2,IF($I107&lt;N$3,VLOOKUP($H107,Depreciation!$A$6:$L$10,11,FALSE),0))</f>
        <v>3.0676363676126896E-2</v>
      </c>
      <c r="O107" s="361">
        <f>+IF($I107=O$3,VLOOKUP($H107,Depreciation!$A$6:$L$10,12,FALSE)/2,IF($I107&lt;O$3,VLOOKUP($H107,Depreciation!$A$6:$L$10,12,FALSE),0))</f>
        <v>3.0676363676126896E-2</v>
      </c>
      <c r="P107" s="362">
        <f t="shared" si="5"/>
        <v>0</v>
      </c>
      <c r="Q107" s="362">
        <f t="shared" si="6"/>
        <v>0</v>
      </c>
      <c r="R107" s="363">
        <f t="shared" si="7"/>
        <v>0</v>
      </c>
      <c r="Y107" s="365"/>
    </row>
    <row r="108" spans="1:25" ht="15" customHeight="1">
      <c r="A108" s="359" t="s">
        <v>1191</v>
      </c>
      <c r="B108" s="359" t="s">
        <v>1240</v>
      </c>
      <c r="C108" s="359">
        <v>850</v>
      </c>
      <c r="D108" s="359">
        <v>138</v>
      </c>
      <c r="E108" s="359"/>
      <c r="F108" s="359" t="s">
        <v>1251</v>
      </c>
      <c r="G108" s="360">
        <v>19650687.416100234</v>
      </c>
      <c r="H108" s="359" t="s">
        <v>4</v>
      </c>
      <c r="I108" s="359">
        <v>2017</v>
      </c>
      <c r="J108" s="361">
        <f>+IF($I108=J$3,VLOOKUP($H108,Depreciation!$A$6:$L$10,7,FALSE)/2,IF($I108&lt;J$3,VLOOKUP($H108,Depreciation!$A$6:$L$10,7,FALSE),0))</f>
        <v>0</v>
      </c>
      <c r="K108" s="361">
        <f>+IF($I108=K$3,VLOOKUP($H108,Depreciation!$A$6:$L$10,8,FALSE)/2,IF($I108&lt;K$3,VLOOKUP($H108,Depreciation!$A$6:$L$10,8,FALSE),0))</f>
        <v>0</v>
      </c>
      <c r="L108" s="361">
        <f>+IF($I108=L$3,VLOOKUP($H108,Depreciation!$A$6:$L$10,9,FALSE)/2,IF($I108&lt;L$3,VLOOKUP($H108,Depreciation!$A$6:$L$10,9,FALSE),0))</f>
        <v>1.5338181838063448E-2</v>
      </c>
      <c r="M108" s="361">
        <f>+IF($I108=M$3,VLOOKUP($H108,Depreciation!$A$6:$L$10,10,FALSE)/2,IF($I108&lt;M$3,VLOOKUP($H108,Depreciation!$A$6:$L$10,10,FALSE),0))</f>
        <v>3.0676363676126896E-2</v>
      </c>
      <c r="N108" s="361">
        <f>+IF($I108=N$3,VLOOKUP($H108,Depreciation!$A$6:$L$10,11,FALSE)/2,IF($I108&lt;N$3,VLOOKUP($H108,Depreciation!$A$6:$L$10,11,FALSE),0))</f>
        <v>3.0676363676126896E-2</v>
      </c>
      <c r="O108" s="361">
        <f>+IF($I108=O$3,VLOOKUP($H108,Depreciation!$A$6:$L$10,12,FALSE)/2,IF($I108&lt;O$3,VLOOKUP($H108,Depreciation!$A$6:$L$10,12,FALSE),0))</f>
        <v>3.0676363676126896E-2</v>
      </c>
      <c r="P108" s="362">
        <f t="shared" si="5"/>
        <v>0</v>
      </c>
      <c r="Q108" s="362">
        <f t="shared" si="6"/>
        <v>0</v>
      </c>
      <c r="R108" s="363">
        <f t="shared" si="7"/>
        <v>0</v>
      </c>
      <c r="Y108" s="365"/>
    </row>
    <row r="109" spans="1:25" ht="15" customHeight="1">
      <c r="A109" s="359" t="s">
        <v>1191</v>
      </c>
      <c r="B109" s="359" t="s">
        <v>1239</v>
      </c>
      <c r="C109" s="359">
        <v>850</v>
      </c>
      <c r="D109" s="359">
        <v>138</v>
      </c>
      <c r="E109" s="359"/>
      <c r="F109" s="359" t="s">
        <v>1251</v>
      </c>
      <c r="G109" s="360">
        <v>11579761.499715252</v>
      </c>
      <c r="H109" s="359" t="s">
        <v>4</v>
      </c>
      <c r="I109" s="359">
        <v>2017</v>
      </c>
      <c r="J109" s="361">
        <f>+IF($I109=J$3,VLOOKUP($H109,Depreciation!$A$6:$L$10,7,FALSE)/2,IF($I109&lt;J$3,VLOOKUP($H109,Depreciation!$A$6:$L$10,7,FALSE),0))</f>
        <v>0</v>
      </c>
      <c r="K109" s="361">
        <f>+IF($I109=K$3,VLOOKUP($H109,Depreciation!$A$6:$L$10,8,FALSE)/2,IF($I109&lt;K$3,VLOOKUP($H109,Depreciation!$A$6:$L$10,8,FALSE),0))</f>
        <v>0</v>
      </c>
      <c r="L109" s="361">
        <f>+IF($I109=L$3,VLOOKUP($H109,Depreciation!$A$6:$L$10,9,FALSE)/2,IF($I109&lt;L$3,VLOOKUP($H109,Depreciation!$A$6:$L$10,9,FALSE),0))</f>
        <v>1.5338181838063448E-2</v>
      </c>
      <c r="M109" s="361">
        <f>+IF($I109=M$3,VLOOKUP($H109,Depreciation!$A$6:$L$10,10,FALSE)/2,IF($I109&lt;M$3,VLOOKUP($H109,Depreciation!$A$6:$L$10,10,FALSE),0))</f>
        <v>3.0676363676126896E-2</v>
      </c>
      <c r="N109" s="361">
        <f>+IF($I109=N$3,VLOOKUP($H109,Depreciation!$A$6:$L$10,11,FALSE)/2,IF($I109&lt;N$3,VLOOKUP($H109,Depreciation!$A$6:$L$10,11,FALSE),0))</f>
        <v>3.0676363676126896E-2</v>
      </c>
      <c r="O109" s="361">
        <f>+IF($I109=O$3,VLOOKUP($H109,Depreciation!$A$6:$L$10,12,FALSE)/2,IF($I109&lt;O$3,VLOOKUP($H109,Depreciation!$A$6:$L$10,12,FALSE),0))</f>
        <v>3.0676363676126896E-2</v>
      </c>
      <c r="P109" s="362">
        <f t="shared" si="5"/>
        <v>0</v>
      </c>
      <c r="Q109" s="362">
        <f t="shared" si="6"/>
        <v>0</v>
      </c>
      <c r="R109" s="363">
        <f t="shared" si="7"/>
        <v>0</v>
      </c>
      <c r="Y109" s="365"/>
    </row>
    <row r="110" spans="1:25" ht="15" customHeight="1">
      <c r="A110" s="359" t="s">
        <v>1191</v>
      </c>
      <c r="B110" s="359" t="s">
        <v>1238</v>
      </c>
      <c r="C110" s="359">
        <v>850</v>
      </c>
      <c r="D110" s="359">
        <v>138</v>
      </c>
      <c r="E110" s="359"/>
      <c r="F110" s="359" t="s">
        <v>1251</v>
      </c>
      <c r="G110" s="360">
        <v>4288035.0624691956</v>
      </c>
      <c r="H110" s="359" t="s">
        <v>4</v>
      </c>
      <c r="I110" s="359">
        <v>2017</v>
      </c>
      <c r="J110" s="361">
        <f>+IF($I110=J$3,VLOOKUP($H110,Depreciation!$A$6:$L$10,7,FALSE)/2,IF($I110&lt;J$3,VLOOKUP($H110,Depreciation!$A$6:$L$10,7,FALSE),0))</f>
        <v>0</v>
      </c>
      <c r="K110" s="361">
        <f>+IF($I110=K$3,VLOOKUP($H110,Depreciation!$A$6:$L$10,8,FALSE)/2,IF($I110&lt;K$3,VLOOKUP($H110,Depreciation!$A$6:$L$10,8,FALSE),0))</f>
        <v>0</v>
      </c>
      <c r="L110" s="361">
        <f>+IF($I110=L$3,VLOOKUP($H110,Depreciation!$A$6:$L$10,9,FALSE)/2,IF($I110&lt;L$3,VLOOKUP($H110,Depreciation!$A$6:$L$10,9,FALSE),0))</f>
        <v>1.5338181838063448E-2</v>
      </c>
      <c r="M110" s="361">
        <f>+IF($I110=M$3,VLOOKUP($H110,Depreciation!$A$6:$L$10,10,FALSE)/2,IF($I110&lt;M$3,VLOOKUP($H110,Depreciation!$A$6:$L$10,10,FALSE),0))</f>
        <v>3.0676363676126896E-2</v>
      </c>
      <c r="N110" s="361">
        <f>+IF($I110=N$3,VLOOKUP($H110,Depreciation!$A$6:$L$10,11,FALSE)/2,IF($I110&lt;N$3,VLOOKUP($H110,Depreciation!$A$6:$L$10,11,FALSE),0))</f>
        <v>3.0676363676126896E-2</v>
      </c>
      <c r="O110" s="361">
        <f>+IF($I110=O$3,VLOOKUP($H110,Depreciation!$A$6:$L$10,12,FALSE)/2,IF($I110&lt;O$3,VLOOKUP($H110,Depreciation!$A$6:$L$10,12,FALSE),0))</f>
        <v>3.0676363676126896E-2</v>
      </c>
      <c r="P110" s="362">
        <f t="shared" si="5"/>
        <v>0</v>
      </c>
      <c r="Q110" s="362">
        <f t="shared" si="6"/>
        <v>0</v>
      </c>
      <c r="R110" s="363">
        <f t="shared" si="7"/>
        <v>0</v>
      </c>
      <c r="Y110" s="365"/>
    </row>
    <row r="111" spans="1:25" ht="15" customHeight="1">
      <c r="A111" s="359" t="s">
        <v>1191</v>
      </c>
      <c r="B111" s="359" t="s">
        <v>1233</v>
      </c>
      <c r="C111" s="359">
        <v>850</v>
      </c>
      <c r="D111" s="359">
        <v>138</v>
      </c>
      <c r="E111" s="359"/>
      <c r="F111" s="359" t="s">
        <v>1251</v>
      </c>
      <c r="G111" s="360">
        <v>7815341.9759696973</v>
      </c>
      <c r="H111" s="359" t="s">
        <v>4</v>
      </c>
      <c r="I111" s="359">
        <v>2017</v>
      </c>
      <c r="J111" s="361">
        <f>+IF($I111=J$3,VLOOKUP($H111,Depreciation!$A$6:$L$10,7,FALSE)/2,IF($I111&lt;J$3,VLOOKUP($H111,Depreciation!$A$6:$L$10,7,FALSE),0))</f>
        <v>0</v>
      </c>
      <c r="K111" s="361">
        <f>+IF($I111=K$3,VLOOKUP($H111,Depreciation!$A$6:$L$10,8,FALSE)/2,IF($I111&lt;K$3,VLOOKUP($H111,Depreciation!$A$6:$L$10,8,FALSE),0))</f>
        <v>0</v>
      </c>
      <c r="L111" s="361">
        <f>+IF($I111=L$3,VLOOKUP($H111,Depreciation!$A$6:$L$10,9,FALSE)/2,IF($I111&lt;L$3,VLOOKUP($H111,Depreciation!$A$6:$L$10,9,FALSE),0))</f>
        <v>1.5338181838063448E-2</v>
      </c>
      <c r="M111" s="361">
        <f>+IF($I111=M$3,VLOOKUP($H111,Depreciation!$A$6:$L$10,10,FALSE)/2,IF($I111&lt;M$3,VLOOKUP($H111,Depreciation!$A$6:$L$10,10,FALSE),0))</f>
        <v>3.0676363676126896E-2</v>
      </c>
      <c r="N111" s="361">
        <f>+IF($I111=N$3,VLOOKUP($H111,Depreciation!$A$6:$L$10,11,FALSE)/2,IF($I111&lt;N$3,VLOOKUP($H111,Depreciation!$A$6:$L$10,11,FALSE),0))</f>
        <v>3.0676363676126896E-2</v>
      </c>
      <c r="O111" s="361">
        <f>+IF($I111=O$3,VLOOKUP($H111,Depreciation!$A$6:$L$10,12,FALSE)/2,IF($I111&lt;O$3,VLOOKUP($H111,Depreciation!$A$6:$L$10,12,FALSE),0))</f>
        <v>3.0676363676126896E-2</v>
      </c>
      <c r="P111" s="362">
        <f t="shared" si="5"/>
        <v>0</v>
      </c>
      <c r="Q111" s="362">
        <f t="shared" si="6"/>
        <v>0</v>
      </c>
      <c r="R111" s="363">
        <f t="shared" si="7"/>
        <v>0</v>
      </c>
      <c r="Y111" s="365"/>
    </row>
    <row r="112" spans="1:25" ht="15" customHeight="1">
      <c r="A112" s="359" t="s">
        <v>1191</v>
      </c>
      <c r="B112" s="359" t="s">
        <v>1237</v>
      </c>
      <c r="C112" s="359">
        <v>850</v>
      </c>
      <c r="D112" s="359">
        <v>138</v>
      </c>
      <c r="E112" s="359"/>
      <c r="F112" s="359" t="s">
        <v>1251</v>
      </c>
      <c r="G112" s="360">
        <v>318689.25924461719</v>
      </c>
      <c r="H112" s="359" t="s">
        <v>4</v>
      </c>
      <c r="I112" s="359">
        <v>2017</v>
      </c>
      <c r="J112" s="361">
        <f>+IF($I112=J$3,VLOOKUP($H112,Depreciation!$A$6:$L$10,7,FALSE)/2,IF($I112&lt;J$3,VLOOKUP($H112,Depreciation!$A$6:$L$10,7,FALSE),0))</f>
        <v>0</v>
      </c>
      <c r="K112" s="361">
        <f>+IF($I112=K$3,VLOOKUP($H112,Depreciation!$A$6:$L$10,8,FALSE)/2,IF($I112&lt;K$3,VLOOKUP($H112,Depreciation!$A$6:$L$10,8,FALSE),0))</f>
        <v>0</v>
      </c>
      <c r="L112" s="361">
        <f>+IF($I112=L$3,VLOOKUP($H112,Depreciation!$A$6:$L$10,9,FALSE)/2,IF($I112&lt;L$3,VLOOKUP($H112,Depreciation!$A$6:$L$10,9,FALSE),0))</f>
        <v>1.5338181838063448E-2</v>
      </c>
      <c r="M112" s="361">
        <f>+IF($I112=M$3,VLOOKUP($H112,Depreciation!$A$6:$L$10,10,FALSE)/2,IF($I112&lt;M$3,VLOOKUP($H112,Depreciation!$A$6:$L$10,10,FALSE),0))</f>
        <v>3.0676363676126896E-2</v>
      </c>
      <c r="N112" s="361">
        <f>+IF($I112=N$3,VLOOKUP($H112,Depreciation!$A$6:$L$10,11,FALSE)/2,IF($I112&lt;N$3,VLOOKUP($H112,Depreciation!$A$6:$L$10,11,FALSE),0))</f>
        <v>3.0676363676126896E-2</v>
      </c>
      <c r="O112" s="361">
        <f>+IF($I112=O$3,VLOOKUP($H112,Depreciation!$A$6:$L$10,12,FALSE)/2,IF($I112&lt;O$3,VLOOKUP($H112,Depreciation!$A$6:$L$10,12,FALSE),0))</f>
        <v>3.0676363676126896E-2</v>
      </c>
      <c r="P112" s="362">
        <f t="shared" si="5"/>
        <v>0</v>
      </c>
      <c r="Q112" s="362">
        <f t="shared" si="6"/>
        <v>0</v>
      </c>
      <c r="R112" s="363">
        <f t="shared" si="7"/>
        <v>0</v>
      </c>
      <c r="Y112" s="365"/>
    </row>
    <row r="113" spans="1:25" ht="15" customHeight="1">
      <c r="A113" s="359" t="s">
        <v>1191</v>
      </c>
      <c r="B113" s="359" t="s">
        <v>1231</v>
      </c>
      <c r="C113" s="359">
        <v>850</v>
      </c>
      <c r="D113" s="359">
        <v>138</v>
      </c>
      <c r="E113" s="359"/>
      <c r="F113" s="359" t="s">
        <v>1251</v>
      </c>
      <c r="G113" s="360">
        <v>61607075.013380922</v>
      </c>
      <c r="H113" s="359" t="s">
        <v>4</v>
      </c>
      <c r="I113" s="359">
        <v>2017</v>
      </c>
      <c r="J113" s="361">
        <f>+IF($I113=J$3,VLOOKUP($H113,Depreciation!$A$6:$L$10,7,FALSE)/2,IF($I113&lt;J$3,VLOOKUP($H113,Depreciation!$A$6:$L$10,7,FALSE),0))</f>
        <v>0</v>
      </c>
      <c r="K113" s="361">
        <f>+IF($I113=K$3,VLOOKUP($H113,Depreciation!$A$6:$L$10,8,FALSE)/2,IF($I113&lt;K$3,VLOOKUP($H113,Depreciation!$A$6:$L$10,8,FALSE),0))</f>
        <v>0</v>
      </c>
      <c r="L113" s="361">
        <f>+IF($I113=L$3,VLOOKUP($H113,Depreciation!$A$6:$L$10,9,FALSE)/2,IF($I113&lt;L$3,VLOOKUP($H113,Depreciation!$A$6:$L$10,9,FALSE),0))</f>
        <v>1.5338181838063448E-2</v>
      </c>
      <c r="M113" s="361">
        <f>+IF($I113=M$3,VLOOKUP($H113,Depreciation!$A$6:$L$10,10,FALSE)/2,IF($I113&lt;M$3,VLOOKUP($H113,Depreciation!$A$6:$L$10,10,FALSE),0))</f>
        <v>3.0676363676126896E-2</v>
      </c>
      <c r="N113" s="361">
        <f>+IF($I113=N$3,VLOOKUP($H113,Depreciation!$A$6:$L$10,11,FALSE)/2,IF($I113&lt;N$3,VLOOKUP($H113,Depreciation!$A$6:$L$10,11,FALSE),0))</f>
        <v>3.0676363676126896E-2</v>
      </c>
      <c r="O113" s="361">
        <f>+IF($I113=O$3,VLOOKUP($H113,Depreciation!$A$6:$L$10,12,FALSE)/2,IF($I113&lt;O$3,VLOOKUP($H113,Depreciation!$A$6:$L$10,12,FALSE),0))</f>
        <v>3.0676363676126896E-2</v>
      </c>
      <c r="P113" s="362">
        <f t="shared" si="5"/>
        <v>0</v>
      </c>
      <c r="Q113" s="362">
        <f t="shared" si="6"/>
        <v>0</v>
      </c>
      <c r="R113" s="363">
        <f t="shared" si="7"/>
        <v>0</v>
      </c>
      <c r="Y113" s="365"/>
    </row>
    <row r="114" spans="1:25" ht="15" customHeight="1">
      <c r="A114" s="359" t="s">
        <v>1191</v>
      </c>
      <c r="B114" s="359" t="s">
        <v>1232</v>
      </c>
      <c r="C114" s="359">
        <v>850</v>
      </c>
      <c r="D114" s="359">
        <v>138</v>
      </c>
      <c r="E114" s="359"/>
      <c r="F114" s="359" t="s">
        <v>1251</v>
      </c>
      <c r="G114" s="360">
        <v>6668353.1939536864</v>
      </c>
      <c r="H114" s="359" t="s">
        <v>4</v>
      </c>
      <c r="I114" s="359">
        <v>2017</v>
      </c>
      <c r="J114" s="361">
        <f>+IF($I114=J$3,VLOOKUP($H114,Depreciation!$A$6:$L$10,7,FALSE)/2,IF($I114&lt;J$3,VLOOKUP($H114,Depreciation!$A$6:$L$10,7,FALSE),0))</f>
        <v>0</v>
      </c>
      <c r="K114" s="361">
        <f>+IF($I114=K$3,VLOOKUP($H114,Depreciation!$A$6:$L$10,8,FALSE)/2,IF($I114&lt;K$3,VLOOKUP($H114,Depreciation!$A$6:$L$10,8,FALSE),0))</f>
        <v>0</v>
      </c>
      <c r="L114" s="361">
        <f>+IF($I114=L$3,VLOOKUP($H114,Depreciation!$A$6:$L$10,9,FALSE)/2,IF($I114&lt;L$3,VLOOKUP($H114,Depreciation!$A$6:$L$10,9,FALSE),0))</f>
        <v>1.5338181838063448E-2</v>
      </c>
      <c r="M114" s="361">
        <f>+IF($I114=M$3,VLOOKUP($H114,Depreciation!$A$6:$L$10,10,FALSE)/2,IF($I114&lt;M$3,VLOOKUP($H114,Depreciation!$A$6:$L$10,10,FALSE),0))</f>
        <v>3.0676363676126896E-2</v>
      </c>
      <c r="N114" s="361">
        <f>+IF($I114=N$3,VLOOKUP($H114,Depreciation!$A$6:$L$10,11,FALSE)/2,IF($I114&lt;N$3,VLOOKUP($H114,Depreciation!$A$6:$L$10,11,FALSE),0))</f>
        <v>3.0676363676126896E-2</v>
      </c>
      <c r="O114" s="361">
        <f>+IF($I114=O$3,VLOOKUP($H114,Depreciation!$A$6:$L$10,12,FALSE)/2,IF($I114&lt;O$3,VLOOKUP($H114,Depreciation!$A$6:$L$10,12,FALSE),0))</f>
        <v>3.0676363676126896E-2</v>
      </c>
      <c r="P114" s="362">
        <f t="shared" si="5"/>
        <v>0</v>
      </c>
      <c r="Q114" s="362">
        <f t="shared" si="6"/>
        <v>0</v>
      </c>
      <c r="R114" s="363">
        <f t="shared" si="7"/>
        <v>0</v>
      </c>
      <c r="Y114" s="365"/>
    </row>
    <row r="115" spans="1:25" ht="15" customHeight="1">
      <c r="A115" s="359" t="s">
        <v>1191</v>
      </c>
      <c r="B115" s="359" t="s">
        <v>1236</v>
      </c>
      <c r="C115" s="359">
        <v>850</v>
      </c>
      <c r="D115" s="359">
        <v>138</v>
      </c>
      <c r="E115" s="359"/>
      <c r="F115" s="359" t="s">
        <v>1251</v>
      </c>
      <c r="G115" s="360">
        <v>139024.45893739656</v>
      </c>
      <c r="H115" s="359" t="s">
        <v>4</v>
      </c>
      <c r="I115" s="359">
        <v>2017</v>
      </c>
      <c r="J115" s="361">
        <f>+IF($I115=J$3,VLOOKUP($H115,Depreciation!$A$6:$L$10,7,FALSE)/2,IF($I115&lt;J$3,VLOOKUP($H115,Depreciation!$A$6:$L$10,7,FALSE),0))</f>
        <v>0</v>
      </c>
      <c r="K115" s="361">
        <f>+IF($I115=K$3,VLOOKUP($H115,Depreciation!$A$6:$L$10,8,FALSE)/2,IF($I115&lt;K$3,VLOOKUP($H115,Depreciation!$A$6:$L$10,8,FALSE),0))</f>
        <v>0</v>
      </c>
      <c r="L115" s="361">
        <f>+IF($I115=L$3,VLOOKUP($H115,Depreciation!$A$6:$L$10,9,FALSE)/2,IF($I115&lt;L$3,VLOOKUP($H115,Depreciation!$A$6:$L$10,9,FALSE),0))</f>
        <v>1.5338181838063448E-2</v>
      </c>
      <c r="M115" s="361">
        <f>+IF($I115=M$3,VLOOKUP($H115,Depreciation!$A$6:$L$10,10,FALSE)/2,IF($I115&lt;M$3,VLOOKUP($H115,Depreciation!$A$6:$L$10,10,FALSE),0))</f>
        <v>3.0676363676126896E-2</v>
      </c>
      <c r="N115" s="361">
        <f>+IF($I115=N$3,VLOOKUP($H115,Depreciation!$A$6:$L$10,11,FALSE)/2,IF($I115&lt;N$3,VLOOKUP($H115,Depreciation!$A$6:$L$10,11,FALSE),0))</f>
        <v>3.0676363676126896E-2</v>
      </c>
      <c r="O115" s="361">
        <f>+IF($I115=O$3,VLOOKUP($H115,Depreciation!$A$6:$L$10,12,FALSE)/2,IF($I115&lt;O$3,VLOOKUP($H115,Depreciation!$A$6:$L$10,12,FALSE),0))</f>
        <v>3.0676363676126896E-2</v>
      </c>
      <c r="P115" s="362">
        <f t="shared" si="5"/>
        <v>0</v>
      </c>
      <c r="Q115" s="362">
        <f t="shared" si="6"/>
        <v>0</v>
      </c>
      <c r="R115" s="363">
        <f t="shared" si="7"/>
        <v>0</v>
      </c>
      <c r="Y115" s="365"/>
    </row>
    <row r="116" spans="1:25" ht="15" customHeight="1">
      <c r="A116" s="359" t="s">
        <v>1191</v>
      </c>
      <c r="B116" s="359" t="s">
        <v>159</v>
      </c>
      <c r="C116" s="359">
        <v>850</v>
      </c>
      <c r="D116" s="359">
        <v>138</v>
      </c>
      <c r="E116" s="359"/>
      <c r="F116" s="359" t="s">
        <v>1251</v>
      </c>
      <c r="G116" s="360">
        <v>187987.90275759264</v>
      </c>
      <c r="H116" s="359" t="s">
        <v>4</v>
      </c>
      <c r="I116" s="359">
        <v>2017</v>
      </c>
      <c r="J116" s="361">
        <f>+IF($I116=J$3,VLOOKUP($H116,Depreciation!$A$6:$L$10,7,FALSE)/2,IF($I116&lt;J$3,VLOOKUP($H116,Depreciation!$A$6:$L$10,7,FALSE),0))</f>
        <v>0</v>
      </c>
      <c r="K116" s="361">
        <f>+IF($I116=K$3,VLOOKUP($H116,Depreciation!$A$6:$L$10,8,FALSE)/2,IF($I116&lt;K$3,VLOOKUP($H116,Depreciation!$A$6:$L$10,8,FALSE),0))</f>
        <v>0</v>
      </c>
      <c r="L116" s="361">
        <f>+IF($I116=L$3,VLOOKUP($H116,Depreciation!$A$6:$L$10,9,FALSE)/2,IF($I116&lt;L$3,VLOOKUP($H116,Depreciation!$A$6:$L$10,9,FALSE),0))</f>
        <v>1.5338181838063448E-2</v>
      </c>
      <c r="M116" s="361">
        <f>+IF($I116=M$3,VLOOKUP($H116,Depreciation!$A$6:$L$10,10,FALSE)/2,IF($I116&lt;M$3,VLOOKUP($H116,Depreciation!$A$6:$L$10,10,FALSE),0))</f>
        <v>3.0676363676126896E-2</v>
      </c>
      <c r="N116" s="361">
        <f>+IF($I116=N$3,VLOOKUP($H116,Depreciation!$A$6:$L$10,11,FALSE)/2,IF($I116&lt;N$3,VLOOKUP($H116,Depreciation!$A$6:$L$10,11,FALSE),0))</f>
        <v>3.0676363676126896E-2</v>
      </c>
      <c r="O116" s="361">
        <f>+IF($I116=O$3,VLOOKUP($H116,Depreciation!$A$6:$L$10,12,FALSE)/2,IF($I116&lt;O$3,VLOOKUP($H116,Depreciation!$A$6:$L$10,12,FALSE),0))</f>
        <v>3.0676363676126896E-2</v>
      </c>
      <c r="P116" s="362">
        <f t="shared" si="5"/>
        <v>0</v>
      </c>
      <c r="Q116" s="362">
        <f t="shared" si="6"/>
        <v>0</v>
      </c>
      <c r="R116" s="363">
        <f t="shared" si="7"/>
        <v>0</v>
      </c>
      <c r="Y116" s="365"/>
    </row>
    <row r="117" spans="1:25" ht="15" customHeight="1">
      <c r="A117" s="359" t="s">
        <v>1191</v>
      </c>
      <c r="B117" s="359" t="s">
        <v>1235</v>
      </c>
      <c r="C117" s="359">
        <v>850</v>
      </c>
      <c r="D117" s="359">
        <v>240</v>
      </c>
      <c r="E117" s="359"/>
      <c r="F117" s="359" t="s">
        <v>1251</v>
      </c>
      <c r="G117" s="360">
        <v>14418523.778933475</v>
      </c>
      <c r="H117" s="359" t="s">
        <v>4</v>
      </c>
      <c r="I117" s="359">
        <v>2017</v>
      </c>
      <c r="J117" s="361">
        <f>+IF($I117=J$3,VLOOKUP($H117,Depreciation!$A$6:$L$10,7,FALSE)/2,IF($I117&lt;J$3,VLOOKUP($H117,Depreciation!$A$6:$L$10,7,FALSE),0))</f>
        <v>0</v>
      </c>
      <c r="K117" s="361">
        <f>+IF($I117=K$3,VLOOKUP($H117,Depreciation!$A$6:$L$10,8,FALSE)/2,IF($I117&lt;K$3,VLOOKUP($H117,Depreciation!$A$6:$L$10,8,FALSE),0))</f>
        <v>0</v>
      </c>
      <c r="L117" s="361">
        <f>+IF($I117=L$3,VLOOKUP($H117,Depreciation!$A$6:$L$10,9,FALSE)/2,IF($I117&lt;L$3,VLOOKUP($H117,Depreciation!$A$6:$L$10,9,FALSE),0))</f>
        <v>1.5338181838063448E-2</v>
      </c>
      <c r="M117" s="361">
        <f>+IF($I117=M$3,VLOOKUP($H117,Depreciation!$A$6:$L$10,10,FALSE)/2,IF($I117&lt;M$3,VLOOKUP($H117,Depreciation!$A$6:$L$10,10,FALSE),0))</f>
        <v>3.0676363676126896E-2</v>
      </c>
      <c r="N117" s="361">
        <f>+IF($I117=N$3,VLOOKUP($H117,Depreciation!$A$6:$L$10,11,FALSE)/2,IF($I117&lt;N$3,VLOOKUP($H117,Depreciation!$A$6:$L$10,11,FALSE),0))</f>
        <v>3.0676363676126896E-2</v>
      </c>
      <c r="O117" s="361">
        <f>+IF($I117=O$3,VLOOKUP($H117,Depreciation!$A$6:$L$10,12,FALSE)/2,IF($I117&lt;O$3,VLOOKUP($H117,Depreciation!$A$6:$L$10,12,FALSE),0))</f>
        <v>3.0676363676126896E-2</v>
      </c>
      <c r="P117" s="362">
        <f t="shared" si="5"/>
        <v>0</v>
      </c>
      <c r="Q117" s="362">
        <f t="shared" si="6"/>
        <v>0</v>
      </c>
      <c r="R117" s="363">
        <f t="shared" si="7"/>
        <v>0</v>
      </c>
      <c r="Y117" s="365"/>
    </row>
    <row r="118" spans="1:25" ht="15" customHeight="1">
      <c r="A118" s="359" t="s">
        <v>1191</v>
      </c>
      <c r="B118" s="359" t="s">
        <v>1758</v>
      </c>
      <c r="C118" s="359">
        <v>859</v>
      </c>
      <c r="D118" s="359">
        <v>144</v>
      </c>
      <c r="E118" s="359"/>
      <c r="F118" s="359">
        <v>0</v>
      </c>
      <c r="G118" s="360">
        <v>277558.40845329966</v>
      </c>
      <c r="H118" s="359" t="s">
        <v>64</v>
      </c>
      <c r="I118" s="359">
        <v>2015</v>
      </c>
      <c r="J118" s="361">
        <f>+IF($I118=J$3,VLOOKUP($H118,Depreciation!$A$6:$L$10,7,FALSE)/2,IF($I118&lt;J$3,VLOOKUP($H118,Depreciation!$A$6:$L$10,7,FALSE),0))</f>
        <v>1.3475179084025525E-2</v>
      </c>
      <c r="K118" s="361">
        <f>+IF($I118=K$3,VLOOKUP($H118,Depreciation!$A$6:$L$10,8,FALSE)/2,IF($I118&lt;K$3,VLOOKUP($H118,Depreciation!$A$6:$L$10,8,FALSE),0))</f>
        <v>2.6950358168051049E-2</v>
      </c>
      <c r="L118" s="361">
        <f>+IF($I118=L$3,VLOOKUP($H118,Depreciation!$A$6:$L$10,9,FALSE)/2,IF($I118&lt;L$3,VLOOKUP($H118,Depreciation!$A$6:$L$10,9,FALSE),0))</f>
        <v>2.6950358168051049E-2</v>
      </c>
      <c r="M118" s="361">
        <f>+IF($I118=M$3,VLOOKUP($H118,Depreciation!$A$6:$L$10,10,FALSE)/2,IF($I118&lt;M$3,VLOOKUP($H118,Depreciation!$A$6:$L$10,10,FALSE),0))</f>
        <v>2.6950358168051049E-2</v>
      </c>
      <c r="N118" s="361">
        <f>+IF($I118=N$3,VLOOKUP($H118,Depreciation!$A$6:$L$10,11,FALSE)/2,IF($I118&lt;N$3,VLOOKUP($H118,Depreciation!$A$6:$L$10,11,FALSE),0))</f>
        <v>2.6950358168051049E-2</v>
      </c>
      <c r="O118" s="361">
        <f>+IF($I118=O$3,VLOOKUP($H118,Depreciation!$A$6:$L$10,12,FALSE)/2,IF($I118&lt;O$3,VLOOKUP($H118,Depreciation!$A$6:$L$10,12,FALSE),0))</f>
        <v>2.6950358168051049E-2</v>
      </c>
      <c r="P118" s="362">
        <f t="shared" si="5"/>
        <v>273818.25919311435</v>
      </c>
      <c r="Q118" s="362">
        <f t="shared" si="6"/>
        <v>0</v>
      </c>
      <c r="R118" s="363">
        <f t="shared" si="7"/>
        <v>273818.25919311435</v>
      </c>
      <c r="Y118" s="365"/>
    </row>
    <row r="119" spans="1:25" ht="15" customHeight="1">
      <c r="A119" s="359" t="s">
        <v>1191</v>
      </c>
      <c r="B119" s="359" t="s">
        <v>133</v>
      </c>
      <c r="C119" s="359">
        <v>882</v>
      </c>
      <c r="D119" s="359">
        <v>240</v>
      </c>
      <c r="E119" s="359"/>
      <c r="F119" s="359">
        <v>0</v>
      </c>
      <c r="G119" s="360">
        <v>175713694.57219195</v>
      </c>
      <c r="H119" s="359" t="s">
        <v>4</v>
      </c>
      <c r="I119" s="359">
        <v>2015</v>
      </c>
      <c r="J119" s="361">
        <f>+IF($I119=J$3,VLOOKUP($H119,Depreciation!$A$6:$L$10,7,FALSE)/2,IF($I119&lt;J$3,VLOOKUP($H119,Depreciation!$A$6:$L$10,7,FALSE),0))</f>
        <v>1.595020804044691E-2</v>
      </c>
      <c r="K119" s="361">
        <f>+IF($I119=K$3,VLOOKUP($H119,Depreciation!$A$6:$L$10,8,FALSE)/2,IF($I119&lt;K$3,VLOOKUP($H119,Depreciation!$A$6:$L$10,8,FALSE),0))</f>
        <v>3.0676363676126896E-2</v>
      </c>
      <c r="L119" s="361">
        <f>+IF($I119=L$3,VLOOKUP($H119,Depreciation!$A$6:$L$10,9,FALSE)/2,IF($I119&lt;L$3,VLOOKUP($H119,Depreciation!$A$6:$L$10,9,FALSE),0))</f>
        <v>3.0676363676126896E-2</v>
      </c>
      <c r="M119" s="361">
        <f>+IF($I119=M$3,VLOOKUP($H119,Depreciation!$A$6:$L$10,10,FALSE)/2,IF($I119&lt;M$3,VLOOKUP($H119,Depreciation!$A$6:$L$10,10,FALSE),0))</f>
        <v>3.0676363676126896E-2</v>
      </c>
      <c r="N119" s="361">
        <f>+IF($I119=N$3,VLOOKUP($H119,Depreciation!$A$6:$L$10,11,FALSE)/2,IF($I119&lt;N$3,VLOOKUP($H119,Depreciation!$A$6:$L$10,11,FALSE),0))</f>
        <v>3.0676363676126896E-2</v>
      </c>
      <c r="O119" s="361">
        <f>+IF($I119=O$3,VLOOKUP($H119,Depreciation!$A$6:$L$10,12,FALSE)/2,IF($I119&lt;O$3,VLOOKUP($H119,Depreciation!$A$6:$L$10,12,FALSE),0))</f>
        <v>3.0676363676126896E-2</v>
      </c>
      <c r="P119" s="362">
        <f t="shared" si="5"/>
        <v>172911024.58820996</v>
      </c>
      <c r="Q119" s="362">
        <f t="shared" si="6"/>
        <v>172911024.58820996</v>
      </c>
      <c r="R119" s="363">
        <f t="shared" si="7"/>
        <v>0</v>
      </c>
      <c r="Y119" s="365"/>
    </row>
    <row r="120" spans="1:25" ht="15" customHeight="1">
      <c r="A120" s="359" t="s">
        <v>1191</v>
      </c>
      <c r="B120" s="359" t="s">
        <v>133</v>
      </c>
      <c r="C120" s="359">
        <v>882</v>
      </c>
      <c r="D120" s="359">
        <v>240</v>
      </c>
      <c r="E120" s="359"/>
      <c r="F120" s="359">
        <v>0</v>
      </c>
      <c r="G120" s="360">
        <v>175713694.57219195</v>
      </c>
      <c r="H120" s="359" t="s">
        <v>4</v>
      </c>
      <c r="I120" s="359">
        <v>2015</v>
      </c>
      <c r="J120" s="361">
        <f>+IF($I120=J$3,VLOOKUP($H120,Depreciation!$A$6:$L$10,7,FALSE)/2,IF($I120&lt;J$3,VLOOKUP($H120,Depreciation!$A$6:$L$10,7,FALSE),0))</f>
        <v>1.595020804044691E-2</v>
      </c>
      <c r="K120" s="361">
        <f>+IF($I120=K$3,VLOOKUP($H120,Depreciation!$A$6:$L$10,8,FALSE)/2,IF($I120&lt;K$3,VLOOKUP($H120,Depreciation!$A$6:$L$10,8,FALSE),0))</f>
        <v>3.0676363676126896E-2</v>
      </c>
      <c r="L120" s="361">
        <f>+IF($I120=L$3,VLOOKUP($H120,Depreciation!$A$6:$L$10,9,FALSE)/2,IF($I120&lt;L$3,VLOOKUP($H120,Depreciation!$A$6:$L$10,9,FALSE),0))</f>
        <v>3.0676363676126896E-2</v>
      </c>
      <c r="M120" s="361">
        <f>+IF($I120=M$3,VLOOKUP($H120,Depreciation!$A$6:$L$10,10,FALSE)/2,IF($I120&lt;M$3,VLOOKUP($H120,Depreciation!$A$6:$L$10,10,FALSE),0))</f>
        <v>3.0676363676126896E-2</v>
      </c>
      <c r="N120" s="361">
        <f>+IF($I120=N$3,VLOOKUP($H120,Depreciation!$A$6:$L$10,11,FALSE)/2,IF($I120&lt;N$3,VLOOKUP($H120,Depreciation!$A$6:$L$10,11,FALSE),0))</f>
        <v>3.0676363676126896E-2</v>
      </c>
      <c r="O120" s="361">
        <f>+IF($I120=O$3,VLOOKUP($H120,Depreciation!$A$6:$L$10,12,FALSE)/2,IF($I120&lt;O$3,VLOOKUP($H120,Depreciation!$A$6:$L$10,12,FALSE),0))</f>
        <v>3.0676363676126896E-2</v>
      </c>
      <c r="P120" s="362">
        <f t="shared" si="5"/>
        <v>172911024.58820996</v>
      </c>
      <c r="Q120" s="362">
        <f t="shared" si="6"/>
        <v>172911024.58820996</v>
      </c>
      <c r="R120" s="363">
        <f t="shared" si="7"/>
        <v>0</v>
      </c>
      <c r="Y120" s="365"/>
    </row>
    <row r="121" spans="1:25" ht="15" customHeight="1">
      <c r="A121" s="359" t="s">
        <v>1191</v>
      </c>
      <c r="B121" s="359" t="s">
        <v>134</v>
      </c>
      <c r="C121" s="359">
        <v>882</v>
      </c>
      <c r="D121" s="359">
        <v>240</v>
      </c>
      <c r="E121" s="359"/>
      <c r="F121" s="359">
        <v>0</v>
      </c>
      <c r="G121" s="360">
        <v>1408640.4351352858</v>
      </c>
      <c r="H121" s="359" t="s">
        <v>4</v>
      </c>
      <c r="I121" s="359">
        <v>2015</v>
      </c>
      <c r="J121" s="361">
        <f>+IF($I121=J$3,VLOOKUP($H121,Depreciation!$A$6:$L$10,7,FALSE)/2,IF($I121&lt;J$3,VLOOKUP($H121,Depreciation!$A$6:$L$10,7,FALSE),0))</f>
        <v>1.595020804044691E-2</v>
      </c>
      <c r="K121" s="361">
        <f>+IF($I121=K$3,VLOOKUP($H121,Depreciation!$A$6:$L$10,8,FALSE)/2,IF($I121&lt;K$3,VLOOKUP($H121,Depreciation!$A$6:$L$10,8,FALSE),0))</f>
        <v>3.0676363676126896E-2</v>
      </c>
      <c r="L121" s="361">
        <f>+IF($I121=L$3,VLOOKUP($H121,Depreciation!$A$6:$L$10,9,FALSE)/2,IF($I121&lt;L$3,VLOOKUP($H121,Depreciation!$A$6:$L$10,9,FALSE),0))</f>
        <v>3.0676363676126896E-2</v>
      </c>
      <c r="M121" s="361">
        <f>+IF($I121=M$3,VLOOKUP($H121,Depreciation!$A$6:$L$10,10,FALSE)/2,IF($I121&lt;M$3,VLOOKUP($H121,Depreciation!$A$6:$L$10,10,FALSE),0))</f>
        <v>3.0676363676126896E-2</v>
      </c>
      <c r="N121" s="361">
        <f>+IF($I121=N$3,VLOOKUP($H121,Depreciation!$A$6:$L$10,11,FALSE)/2,IF($I121&lt;N$3,VLOOKUP($H121,Depreciation!$A$6:$L$10,11,FALSE),0))</f>
        <v>3.0676363676126896E-2</v>
      </c>
      <c r="O121" s="361">
        <f>+IF($I121=O$3,VLOOKUP($H121,Depreciation!$A$6:$L$10,12,FALSE)/2,IF($I121&lt;O$3,VLOOKUP($H121,Depreciation!$A$6:$L$10,12,FALSE),0))</f>
        <v>3.0676363676126896E-2</v>
      </c>
      <c r="P121" s="362">
        <f t="shared" si="5"/>
        <v>1386172.3271406924</v>
      </c>
      <c r="Q121" s="362">
        <f t="shared" si="6"/>
        <v>1386172.3271406924</v>
      </c>
      <c r="R121" s="363">
        <f t="shared" si="7"/>
        <v>0</v>
      </c>
      <c r="Y121" s="365"/>
    </row>
    <row r="122" spans="1:25" ht="15" customHeight="1">
      <c r="A122" s="359" t="s">
        <v>1191</v>
      </c>
      <c r="B122" s="359" t="s">
        <v>134</v>
      </c>
      <c r="C122" s="359">
        <v>882</v>
      </c>
      <c r="D122" s="359">
        <v>240</v>
      </c>
      <c r="E122" s="359"/>
      <c r="F122" s="359">
        <v>0</v>
      </c>
      <c r="G122" s="360">
        <v>1408640.4351352858</v>
      </c>
      <c r="H122" s="359" t="s">
        <v>4</v>
      </c>
      <c r="I122" s="359">
        <v>2015</v>
      </c>
      <c r="J122" s="361">
        <f>+IF($I122=J$3,VLOOKUP($H122,Depreciation!$A$6:$L$10,7,FALSE)/2,IF($I122&lt;J$3,VLOOKUP($H122,Depreciation!$A$6:$L$10,7,FALSE),0))</f>
        <v>1.595020804044691E-2</v>
      </c>
      <c r="K122" s="361">
        <f>+IF($I122=K$3,VLOOKUP($H122,Depreciation!$A$6:$L$10,8,FALSE)/2,IF($I122&lt;K$3,VLOOKUP($H122,Depreciation!$A$6:$L$10,8,FALSE),0))</f>
        <v>3.0676363676126896E-2</v>
      </c>
      <c r="L122" s="361">
        <f>+IF($I122=L$3,VLOOKUP($H122,Depreciation!$A$6:$L$10,9,FALSE)/2,IF($I122&lt;L$3,VLOOKUP($H122,Depreciation!$A$6:$L$10,9,FALSE),0))</f>
        <v>3.0676363676126896E-2</v>
      </c>
      <c r="M122" s="361">
        <f>+IF($I122=M$3,VLOOKUP($H122,Depreciation!$A$6:$L$10,10,FALSE)/2,IF($I122&lt;M$3,VLOOKUP($H122,Depreciation!$A$6:$L$10,10,FALSE),0))</f>
        <v>3.0676363676126896E-2</v>
      </c>
      <c r="N122" s="361">
        <f>+IF($I122=N$3,VLOOKUP($H122,Depreciation!$A$6:$L$10,11,FALSE)/2,IF($I122&lt;N$3,VLOOKUP($H122,Depreciation!$A$6:$L$10,11,FALSE),0))</f>
        <v>3.0676363676126896E-2</v>
      </c>
      <c r="O122" s="361">
        <f>+IF($I122=O$3,VLOOKUP($H122,Depreciation!$A$6:$L$10,12,FALSE)/2,IF($I122&lt;O$3,VLOOKUP($H122,Depreciation!$A$6:$L$10,12,FALSE),0))</f>
        <v>3.0676363676126896E-2</v>
      </c>
      <c r="P122" s="362">
        <f t="shared" si="5"/>
        <v>1386172.3271406924</v>
      </c>
      <c r="Q122" s="362">
        <f t="shared" si="6"/>
        <v>1386172.3271406924</v>
      </c>
      <c r="R122" s="363">
        <f t="shared" si="7"/>
        <v>0</v>
      </c>
      <c r="Y122" s="365"/>
    </row>
    <row r="123" spans="1:25" ht="15" customHeight="1">
      <c r="A123" s="359" t="s">
        <v>1191</v>
      </c>
      <c r="B123" s="359" t="s">
        <v>128</v>
      </c>
      <c r="C123" s="359">
        <v>882</v>
      </c>
      <c r="D123" s="359">
        <v>138</v>
      </c>
      <c r="E123" s="359"/>
      <c r="F123" s="359">
        <v>0</v>
      </c>
      <c r="G123" s="360">
        <v>408645.45604728005</v>
      </c>
      <c r="H123" s="359" t="s">
        <v>4</v>
      </c>
      <c r="I123" s="359">
        <v>2015</v>
      </c>
      <c r="J123" s="361">
        <f>+IF($I123=J$3,VLOOKUP($H123,Depreciation!$A$6:$L$10,7,FALSE)/2,IF($I123&lt;J$3,VLOOKUP($H123,Depreciation!$A$6:$L$10,7,FALSE),0))</f>
        <v>1.595020804044691E-2</v>
      </c>
      <c r="K123" s="361">
        <f>+IF($I123=K$3,VLOOKUP($H123,Depreciation!$A$6:$L$10,8,FALSE)/2,IF($I123&lt;K$3,VLOOKUP($H123,Depreciation!$A$6:$L$10,8,FALSE),0))</f>
        <v>3.0676363676126896E-2</v>
      </c>
      <c r="L123" s="361">
        <f>+IF($I123=L$3,VLOOKUP($H123,Depreciation!$A$6:$L$10,9,FALSE)/2,IF($I123&lt;L$3,VLOOKUP($H123,Depreciation!$A$6:$L$10,9,FALSE),0))</f>
        <v>3.0676363676126896E-2</v>
      </c>
      <c r="M123" s="361">
        <f>+IF($I123=M$3,VLOOKUP($H123,Depreciation!$A$6:$L$10,10,FALSE)/2,IF($I123&lt;M$3,VLOOKUP($H123,Depreciation!$A$6:$L$10,10,FALSE),0))</f>
        <v>3.0676363676126896E-2</v>
      </c>
      <c r="N123" s="361">
        <f>+IF($I123=N$3,VLOOKUP($H123,Depreciation!$A$6:$L$10,11,FALSE)/2,IF($I123&lt;N$3,VLOOKUP($H123,Depreciation!$A$6:$L$10,11,FALSE),0))</f>
        <v>3.0676363676126896E-2</v>
      </c>
      <c r="O123" s="361">
        <f>+IF($I123=O$3,VLOOKUP($H123,Depreciation!$A$6:$L$10,12,FALSE)/2,IF($I123&lt;O$3,VLOOKUP($H123,Depreciation!$A$6:$L$10,12,FALSE),0))</f>
        <v>3.0676363676126896E-2</v>
      </c>
      <c r="P123" s="362">
        <f t="shared" si="5"/>
        <v>402127.47600854264</v>
      </c>
      <c r="Q123" s="362">
        <f t="shared" si="6"/>
        <v>0</v>
      </c>
      <c r="R123" s="363">
        <f t="shared" si="7"/>
        <v>402127.47600854264</v>
      </c>
      <c r="Y123" s="365"/>
    </row>
    <row r="124" spans="1:25" ht="15" customHeight="1">
      <c r="A124" s="359" t="s">
        <v>1191</v>
      </c>
      <c r="B124" s="359" t="s">
        <v>1197</v>
      </c>
      <c r="C124" s="359">
        <v>882</v>
      </c>
      <c r="D124" s="359">
        <v>138</v>
      </c>
      <c r="E124" s="359"/>
      <c r="F124" s="359">
        <v>0</v>
      </c>
      <c r="G124" s="360">
        <v>6799479.65835247</v>
      </c>
      <c r="H124" s="359" t="s">
        <v>4</v>
      </c>
      <c r="I124" s="359">
        <v>2015</v>
      </c>
      <c r="J124" s="361">
        <f>+IF($I124=J$3,VLOOKUP($H124,Depreciation!$A$6:$L$10,7,FALSE)/2,IF($I124&lt;J$3,VLOOKUP($H124,Depreciation!$A$6:$L$10,7,FALSE),0))</f>
        <v>1.595020804044691E-2</v>
      </c>
      <c r="K124" s="361">
        <f>+IF($I124=K$3,VLOOKUP($H124,Depreciation!$A$6:$L$10,8,FALSE)/2,IF($I124&lt;K$3,VLOOKUP($H124,Depreciation!$A$6:$L$10,8,FALSE),0))</f>
        <v>3.0676363676126896E-2</v>
      </c>
      <c r="L124" s="361">
        <f>+IF($I124=L$3,VLOOKUP($H124,Depreciation!$A$6:$L$10,9,FALSE)/2,IF($I124&lt;L$3,VLOOKUP($H124,Depreciation!$A$6:$L$10,9,FALSE),0))</f>
        <v>3.0676363676126896E-2</v>
      </c>
      <c r="M124" s="361">
        <f>+IF($I124=M$3,VLOOKUP($H124,Depreciation!$A$6:$L$10,10,FALSE)/2,IF($I124&lt;M$3,VLOOKUP($H124,Depreciation!$A$6:$L$10,10,FALSE),0))</f>
        <v>3.0676363676126896E-2</v>
      </c>
      <c r="N124" s="361">
        <f>+IF($I124=N$3,VLOOKUP($H124,Depreciation!$A$6:$L$10,11,FALSE)/2,IF($I124&lt;N$3,VLOOKUP($H124,Depreciation!$A$6:$L$10,11,FALSE),0))</f>
        <v>3.0676363676126896E-2</v>
      </c>
      <c r="O124" s="361">
        <f>+IF($I124=O$3,VLOOKUP($H124,Depreciation!$A$6:$L$10,12,FALSE)/2,IF($I124&lt;O$3,VLOOKUP($H124,Depreciation!$A$6:$L$10,12,FALSE),0))</f>
        <v>3.0676363676126896E-2</v>
      </c>
      <c r="P124" s="362">
        <f t="shared" si="5"/>
        <v>6691026.5432349611</v>
      </c>
      <c r="Q124" s="362">
        <f t="shared" si="6"/>
        <v>0</v>
      </c>
      <c r="R124" s="363">
        <f t="shared" si="7"/>
        <v>6691026.5432349611</v>
      </c>
      <c r="Y124" s="365"/>
    </row>
    <row r="125" spans="1:25" ht="15" customHeight="1">
      <c r="A125" s="359" t="s">
        <v>1191</v>
      </c>
      <c r="B125" s="359" t="s">
        <v>1196</v>
      </c>
      <c r="C125" s="359">
        <v>882</v>
      </c>
      <c r="D125" s="359">
        <v>138</v>
      </c>
      <c r="E125" s="359"/>
      <c r="F125" s="359">
        <v>0</v>
      </c>
      <c r="G125" s="360">
        <v>2371991.3149319356</v>
      </c>
      <c r="H125" s="359" t="s">
        <v>4</v>
      </c>
      <c r="I125" s="359">
        <v>2015</v>
      </c>
      <c r="J125" s="361">
        <f>+IF($I125=J$3,VLOOKUP($H125,Depreciation!$A$6:$L$10,7,FALSE)/2,IF($I125&lt;J$3,VLOOKUP($H125,Depreciation!$A$6:$L$10,7,FALSE),0))</f>
        <v>1.595020804044691E-2</v>
      </c>
      <c r="K125" s="361">
        <f>+IF($I125=K$3,VLOOKUP($H125,Depreciation!$A$6:$L$10,8,FALSE)/2,IF($I125&lt;K$3,VLOOKUP($H125,Depreciation!$A$6:$L$10,8,FALSE),0))</f>
        <v>3.0676363676126896E-2</v>
      </c>
      <c r="L125" s="361">
        <f>+IF($I125=L$3,VLOOKUP($H125,Depreciation!$A$6:$L$10,9,FALSE)/2,IF($I125&lt;L$3,VLOOKUP($H125,Depreciation!$A$6:$L$10,9,FALSE),0))</f>
        <v>3.0676363676126896E-2</v>
      </c>
      <c r="M125" s="361">
        <f>+IF($I125=M$3,VLOOKUP($H125,Depreciation!$A$6:$L$10,10,FALSE)/2,IF($I125&lt;M$3,VLOOKUP($H125,Depreciation!$A$6:$L$10,10,FALSE),0))</f>
        <v>3.0676363676126896E-2</v>
      </c>
      <c r="N125" s="361">
        <f>+IF($I125=N$3,VLOOKUP($H125,Depreciation!$A$6:$L$10,11,FALSE)/2,IF($I125&lt;N$3,VLOOKUP($H125,Depreciation!$A$6:$L$10,11,FALSE),0))</f>
        <v>3.0676363676126896E-2</v>
      </c>
      <c r="O125" s="361">
        <f>+IF($I125=O$3,VLOOKUP($H125,Depreciation!$A$6:$L$10,12,FALSE)/2,IF($I125&lt;O$3,VLOOKUP($H125,Depreciation!$A$6:$L$10,12,FALSE),0))</f>
        <v>3.0676363676126896E-2</v>
      </c>
      <c r="P125" s="362">
        <f t="shared" si="5"/>
        <v>2334157.5599886379</v>
      </c>
      <c r="Q125" s="362">
        <f t="shared" si="6"/>
        <v>0</v>
      </c>
      <c r="R125" s="363">
        <f t="shared" si="7"/>
        <v>2334157.5599886379</v>
      </c>
      <c r="Y125" s="365"/>
    </row>
    <row r="126" spans="1:25" ht="15" customHeight="1">
      <c r="A126" s="359" t="s">
        <v>1191</v>
      </c>
      <c r="B126" s="359" t="s">
        <v>162</v>
      </c>
      <c r="C126" s="359">
        <v>882</v>
      </c>
      <c r="D126" s="359">
        <v>240</v>
      </c>
      <c r="E126" s="359"/>
      <c r="F126" s="359">
        <v>0</v>
      </c>
      <c r="G126" s="360">
        <v>11928878.215178415</v>
      </c>
      <c r="H126" s="359" t="s">
        <v>4</v>
      </c>
      <c r="I126" s="359">
        <v>2015</v>
      </c>
      <c r="J126" s="361">
        <f>+IF($I126=J$3,VLOOKUP($H126,Depreciation!$A$6:$L$10,7,FALSE)/2,IF($I126&lt;J$3,VLOOKUP($H126,Depreciation!$A$6:$L$10,7,FALSE),0))</f>
        <v>1.595020804044691E-2</v>
      </c>
      <c r="K126" s="361">
        <f>+IF($I126=K$3,VLOOKUP($H126,Depreciation!$A$6:$L$10,8,FALSE)/2,IF($I126&lt;K$3,VLOOKUP($H126,Depreciation!$A$6:$L$10,8,FALSE),0))</f>
        <v>3.0676363676126896E-2</v>
      </c>
      <c r="L126" s="361">
        <f>+IF($I126=L$3,VLOOKUP($H126,Depreciation!$A$6:$L$10,9,FALSE)/2,IF($I126&lt;L$3,VLOOKUP($H126,Depreciation!$A$6:$L$10,9,FALSE),0))</f>
        <v>3.0676363676126896E-2</v>
      </c>
      <c r="M126" s="361">
        <f>+IF($I126=M$3,VLOOKUP($H126,Depreciation!$A$6:$L$10,10,FALSE)/2,IF($I126&lt;M$3,VLOOKUP($H126,Depreciation!$A$6:$L$10,10,FALSE),0))</f>
        <v>3.0676363676126896E-2</v>
      </c>
      <c r="N126" s="361">
        <f>+IF($I126=N$3,VLOOKUP($H126,Depreciation!$A$6:$L$10,11,FALSE)/2,IF($I126&lt;N$3,VLOOKUP($H126,Depreciation!$A$6:$L$10,11,FALSE),0))</f>
        <v>3.0676363676126896E-2</v>
      </c>
      <c r="O126" s="361">
        <f>+IF($I126=O$3,VLOOKUP($H126,Depreciation!$A$6:$L$10,12,FALSE)/2,IF($I126&lt;O$3,VLOOKUP($H126,Depreciation!$A$6:$L$10,12,FALSE),0))</f>
        <v>3.0676363676126896E-2</v>
      </c>
      <c r="P126" s="362">
        <f t="shared" si="5"/>
        <v>11738610.125957165</v>
      </c>
      <c r="Q126" s="362">
        <f t="shared" si="6"/>
        <v>11738610.125957165</v>
      </c>
      <c r="R126" s="363">
        <f t="shared" si="7"/>
        <v>0</v>
      </c>
      <c r="Y126" s="365"/>
    </row>
    <row r="127" spans="1:25" ht="15" customHeight="1">
      <c r="A127" s="359" t="s">
        <v>1191</v>
      </c>
      <c r="B127" s="359" t="s">
        <v>161</v>
      </c>
      <c r="C127" s="359">
        <v>882</v>
      </c>
      <c r="D127" s="359">
        <v>240</v>
      </c>
      <c r="E127" s="359"/>
      <c r="F127" s="359">
        <v>0</v>
      </c>
      <c r="G127" s="360">
        <v>4366097.6160243107</v>
      </c>
      <c r="H127" s="359" t="s">
        <v>4</v>
      </c>
      <c r="I127" s="359">
        <v>2015</v>
      </c>
      <c r="J127" s="361">
        <f>+IF($I127=J$3,VLOOKUP($H127,Depreciation!$A$6:$L$10,7,FALSE)/2,IF($I127&lt;J$3,VLOOKUP($H127,Depreciation!$A$6:$L$10,7,FALSE),0))</f>
        <v>1.595020804044691E-2</v>
      </c>
      <c r="K127" s="361">
        <f>+IF($I127=K$3,VLOOKUP($H127,Depreciation!$A$6:$L$10,8,FALSE)/2,IF($I127&lt;K$3,VLOOKUP($H127,Depreciation!$A$6:$L$10,8,FALSE),0))</f>
        <v>3.0676363676126896E-2</v>
      </c>
      <c r="L127" s="361">
        <f>+IF($I127=L$3,VLOOKUP($H127,Depreciation!$A$6:$L$10,9,FALSE)/2,IF($I127&lt;L$3,VLOOKUP($H127,Depreciation!$A$6:$L$10,9,FALSE),0))</f>
        <v>3.0676363676126896E-2</v>
      </c>
      <c r="M127" s="361">
        <f>+IF($I127=M$3,VLOOKUP($H127,Depreciation!$A$6:$L$10,10,FALSE)/2,IF($I127&lt;M$3,VLOOKUP($H127,Depreciation!$A$6:$L$10,10,FALSE),0))</f>
        <v>3.0676363676126896E-2</v>
      </c>
      <c r="N127" s="361">
        <f>+IF($I127=N$3,VLOOKUP($H127,Depreciation!$A$6:$L$10,11,FALSE)/2,IF($I127&lt;N$3,VLOOKUP($H127,Depreciation!$A$6:$L$10,11,FALSE),0))</f>
        <v>3.0676363676126896E-2</v>
      </c>
      <c r="O127" s="361">
        <f>+IF($I127=O$3,VLOOKUP($H127,Depreciation!$A$6:$L$10,12,FALSE)/2,IF($I127&lt;O$3,VLOOKUP($H127,Depreciation!$A$6:$L$10,12,FALSE),0))</f>
        <v>3.0676363676126896E-2</v>
      </c>
      <c r="P127" s="362">
        <f t="shared" si="5"/>
        <v>4296457.4507238241</v>
      </c>
      <c r="Q127" s="362">
        <f t="shared" si="6"/>
        <v>4296457.4507238241</v>
      </c>
      <c r="R127" s="363">
        <f t="shared" si="7"/>
        <v>0</v>
      </c>
      <c r="Y127" s="365"/>
    </row>
    <row r="128" spans="1:25" ht="15" customHeight="1">
      <c r="A128" s="359" t="s">
        <v>1191</v>
      </c>
      <c r="B128" s="359" t="s">
        <v>129</v>
      </c>
      <c r="C128" s="359">
        <v>882</v>
      </c>
      <c r="D128" s="359">
        <v>240</v>
      </c>
      <c r="E128" s="359"/>
      <c r="F128" s="359">
        <v>0</v>
      </c>
      <c r="G128" s="360">
        <v>1457386.3381379189</v>
      </c>
      <c r="H128" s="359" t="s">
        <v>4</v>
      </c>
      <c r="I128" s="359">
        <v>2015</v>
      </c>
      <c r="J128" s="361">
        <f>+IF($I128=J$3,VLOOKUP($H128,Depreciation!$A$6:$L$10,7,FALSE)/2,IF($I128&lt;J$3,VLOOKUP($H128,Depreciation!$A$6:$L$10,7,FALSE),0))</f>
        <v>1.595020804044691E-2</v>
      </c>
      <c r="K128" s="361">
        <f>+IF($I128=K$3,VLOOKUP($H128,Depreciation!$A$6:$L$10,8,FALSE)/2,IF($I128&lt;K$3,VLOOKUP($H128,Depreciation!$A$6:$L$10,8,FALSE),0))</f>
        <v>3.0676363676126896E-2</v>
      </c>
      <c r="L128" s="361">
        <f>+IF($I128=L$3,VLOOKUP($H128,Depreciation!$A$6:$L$10,9,FALSE)/2,IF($I128&lt;L$3,VLOOKUP($H128,Depreciation!$A$6:$L$10,9,FALSE),0))</f>
        <v>3.0676363676126896E-2</v>
      </c>
      <c r="M128" s="361">
        <f>+IF($I128=M$3,VLOOKUP($H128,Depreciation!$A$6:$L$10,10,FALSE)/2,IF($I128&lt;M$3,VLOOKUP($H128,Depreciation!$A$6:$L$10,10,FALSE),0))</f>
        <v>3.0676363676126896E-2</v>
      </c>
      <c r="N128" s="361">
        <f>+IF($I128=N$3,VLOOKUP($H128,Depreciation!$A$6:$L$10,11,FALSE)/2,IF($I128&lt;N$3,VLOOKUP($H128,Depreciation!$A$6:$L$10,11,FALSE),0))</f>
        <v>3.0676363676126896E-2</v>
      </c>
      <c r="O128" s="361">
        <f>+IF($I128=O$3,VLOOKUP($H128,Depreciation!$A$6:$L$10,12,FALSE)/2,IF($I128&lt;O$3,VLOOKUP($H128,Depreciation!$A$6:$L$10,12,FALSE),0))</f>
        <v>3.0676363676126896E-2</v>
      </c>
      <c r="P128" s="362">
        <f t="shared" si="5"/>
        <v>1434140.7228493139</v>
      </c>
      <c r="Q128" s="362">
        <f t="shared" si="6"/>
        <v>1434140.7228493139</v>
      </c>
      <c r="R128" s="363">
        <f t="shared" si="7"/>
        <v>0</v>
      </c>
      <c r="Y128" s="365"/>
    </row>
    <row r="129" spans="1:25" ht="15" customHeight="1">
      <c r="A129" s="359" t="s">
        <v>1191</v>
      </c>
      <c r="B129" s="359" t="s">
        <v>129</v>
      </c>
      <c r="C129" s="359">
        <v>882</v>
      </c>
      <c r="D129" s="359">
        <v>240</v>
      </c>
      <c r="E129" s="359"/>
      <c r="F129" s="359">
        <v>0</v>
      </c>
      <c r="G129" s="360">
        <v>1445486.0678757485</v>
      </c>
      <c r="H129" s="359" t="s">
        <v>4</v>
      </c>
      <c r="I129" s="359">
        <v>2015</v>
      </c>
      <c r="J129" s="361">
        <f>+IF($I129=J$3,VLOOKUP($H129,Depreciation!$A$6:$L$10,7,FALSE)/2,IF($I129&lt;J$3,VLOOKUP($H129,Depreciation!$A$6:$L$10,7,FALSE),0))</f>
        <v>1.595020804044691E-2</v>
      </c>
      <c r="K129" s="361">
        <f>+IF($I129=K$3,VLOOKUP($H129,Depreciation!$A$6:$L$10,8,FALSE)/2,IF($I129&lt;K$3,VLOOKUP($H129,Depreciation!$A$6:$L$10,8,FALSE),0))</f>
        <v>3.0676363676126896E-2</v>
      </c>
      <c r="L129" s="361">
        <f>+IF($I129=L$3,VLOOKUP($H129,Depreciation!$A$6:$L$10,9,FALSE)/2,IF($I129&lt;L$3,VLOOKUP($H129,Depreciation!$A$6:$L$10,9,FALSE),0))</f>
        <v>3.0676363676126896E-2</v>
      </c>
      <c r="M129" s="361">
        <f>+IF($I129=M$3,VLOOKUP($H129,Depreciation!$A$6:$L$10,10,FALSE)/2,IF($I129&lt;M$3,VLOOKUP($H129,Depreciation!$A$6:$L$10,10,FALSE),0))</f>
        <v>3.0676363676126896E-2</v>
      </c>
      <c r="N129" s="361">
        <f>+IF($I129=N$3,VLOOKUP($H129,Depreciation!$A$6:$L$10,11,FALSE)/2,IF($I129&lt;N$3,VLOOKUP($H129,Depreciation!$A$6:$L$10,11,FALSE),0))</f>
        <v>3.0676363676126896E-2</v>
      </c>
      <c r="O129" s="361">
        <f>+IF($I129=O$3,VLOOKUP($H129,Depreciation!$A$6:$L$10,12,FALSE)/2,IF($I129&lt;O$3,VLOOKUP($H129,Depreciation!$A$6:$L$10,12,FALSE),0))</f>
        <v>3.0676363676126896E-2</v>
      </c>
      <c r="P129" s="362">
        <f t="shared" si="5"/>
        <v>1422430.2643735628</v>
      </c>
      <c r="Q129" s="362">
        <f t="shared" si="6"/>
        <v>1422430.2643735628</v>
      </c>
      <c r="R129" s="363">
        <f t="shared" si="7"/>
        <v>0</v>
      </c>
      <c r="Y129" s="365"/>
    </row>
    <row r="130" spans="1:25" ht="15" customHeight="1">
      <c r="A130" s="359" t="s">
        <v>1191</v>
      </c>
      <c r="B130" s="359" t="s">
        <v>163</v>
      </c>
      <c r="C130" s="359">
        <v>882</v>
      </c>
      <c r="D130" s="359">
        <v>138</v>
      </c>
      <c r="E130" s="359"/>
      <c r="F130" s="359">
        <v>0</v>
      </c>
      <c r="G130" s="360">
        <v>19309.423592515817</v>
      </c>
      <c r="H130" s="359" t="s">
        <v>4</v>
      </c>
      <c r="I130" s="359">
        <v>2015</v>
      </c>
      <c r="J130" s="361">
        <f>+IF($I130=J$3,VLOOKUP($H130,Depreciation!$A$6:$L$10,7,FALSE)/2,IF($I130&lt;J$3,VLOOKUP($H130,Depreciation!$A$6:$L$10,7,FALSE),0))</f>
        <v>1.595020804044691E-2</v>
      </c>
      <c r="K130" s="361">
        <f>+IF($I130=K$3,VLOOKUP($H130,Depreciation!$A$6:$L$10,8,FALSE)/2,IF($I130&lt;K$3,VLOOKUP($H130,Depreciation!$A$6:$L$10,8,FALSE),0))</f>
        <v>3.0676363676126896E-2</v>
      </c>
      <c r="L130" s="361">
        <f>+IF($I130=L$3,VLOOKUP($H130,Depreciation!$A$6:$L$10,9,FALSE)/2,IF($I130&lt;L$3,VLOOKUP($H130,Depreciation!$A$6:$L$10,9,FALSE),0))</f>
        <v>3.0676363676126896E-2</v>
      </c>
      <c r="M130" s="361">
        <f>+IF($I130=M$3,VLOOKUP($H130,Depreciation!$A$6:$L$10,10,FALSE)/2,IF($I130&lt;M$3,VLOOKUP($H130,Depreciation!$A$6:$L$10,10,FALSE),0))</f>
        <v>3.0676363676126896E-2</v>
      </c>
      <c r="N130" s="361">
        <f>+IF($I130=N$3,VLOOKUP($H130,Depreciation!$A$6:$L$10,11,FALSE)/2,IF($I130&lt;N$3,VLOOKUP($H130,Depreciation!$A$6:$L$10,11,FALSE),0))</f>
        <v>3.0676363676126896E-2</v>
      </c>
      <c r="O130" s="361">
        <f>+IF($I130=O$3,VLOOKUP($H130,Depreciation!$A$6:$L$10,12,FALSE)/2,IF($I130&lt;O$3,VLOOKUP($H130,Depreciation!$A$6:$L$10,12,FALSE),0))</f>
        <v>3.0676363676126896E-2</v>
      </c>
      <c r="P130" s="362">
        <f t="shared" si="5"/>
        <v>19001.434269074078</v>
      </c>
      <c r="Q130" s="362">
        <f t="shared" si="6"/>
        <v>0</v>
      </c>
      <c r="R130" s="363">
        <f t="shared" si="7"/>
        <v>19001.434269074078</v>
      </c>
      <c r="Y130" s="365"/>
    </row>
    <row r="131" spans="1:25" ht="15" customHeight="1">
      <c r="A131" s="359" t="s">
        <v>1191</v>
      </c>
      <c r="B131" s="359" t="s">
        <v>1198</v>
      </c>
      <c r="C131" s="359">
        <v>882</v>
      </c>
      <c r="D131" s="359">
        <v>138</v>
      </c>
      <c r="E131" s="359"/>
      <c r="F131" s="359">
        <v>0</v>
      </c>
      <c r="G131" s="360">
        <v>34179.513153324726</v>
      </c>
      <c r="H131" s="359" t="s">
        <v>4</v>
      </c>
      <c r="I131" s="359">
        <v>2015</v>
      </c>
      <c r="J131" s="361">
        <f>+IF($I131=J$3,VLOOKUP($H131,Depreciation!$A$6:$L$10,7,FALSE)/2,IF($I131&lt;J$3,VLOOKUP($H131,Depreciation!$A$6:$L$10,7,FALSE),0))</f>
        <v>1.595020804044691E-2</v>
      </c>
      <c r="K131" s="361">
        <f>+IF($I131=K$3,VLOOKUP($H131,Depreciation!$A$6:$L$10,8,FALSE)/2,IF($I131&lt;K$3,VLOOKUP($H131,Depreciation!$A$6:$L$10,8,FALSE),0))</f>
        <v>3.0676363676126896E-2</v>
      </c>
      <c r="L131" s="361">
        <f>+IF($I131=L$3,VLOOKUP($H131,Depreciation!$A$6:$L$10,9,FALSE)/2,IF($I131&lt;L$3,VLOOKUP($H131,Depreciation!$A$6:$L$10,9,FALSE),0))</f>
        <v>3.0676363676126896E-2</v>
      </c>
      <c r="M131" s="361">
        <f>+IF($I131=M$3,VLOOKUP($H131,Depreciation!$A$6:$L$10,10,FALSE)/2,IF($I131&lt;M$3,VLOOKUP($H131,Depreciation!$A$6:$L$10,10,FALSE),0))</f>
        <v>3.0676363676126896E-2</v>
      </c>
      <c r="N131" s="361">
        <f>+IF($I131=N$3,VLOOKUP($H131,Depreciation!$A$6:$L$10,11,FALSE)/2,IF($I131&lt;N$3,VLOOKUP($H131,Depreciation!$A$6:$L$10,11,FALSE),0))</f>
        <v>3.0676363676126896E-2</v>
      </c>
      <c r="O131" s="361">
        <f>+IF($I131=O$3,VLOOKUP($H131,Depreciation!$A$6:$L$10,12,FALSE)/2,IF($I131&lt;O$3,VLOOKUP($H131,Depreciation!$A$6:$L$10,12,FALSE),0))</f>
        <v>3.0676363676126896E-2</v>
      </c>
      <c r="P131" s="362">
        <f t="shared" si="5"/>
        <v>33634.342807808003</v>
      </c>
      <c r="Q131" s="362">
        <f t="shared" si="6"/>
        <v>0</v>
      </c>
      <c r="R131" s="363">
        <f t="shared" si="7"/>
        <v>33634.342807808003</v>
      </c>
      <c r="Y131" s="365"/>
    </row>
    <row r="132" spans="1:25" ht="15" customHeight="1">
      <c r="A132" s="359" t="s">
        <v>1191</v>
      </c>
      <c r="B132" s="359" t="s">
        <v>1229</v>
      </c>
      <c r="C132" s="359">
        <v>888</v>
      </c>
      <c r="D132" s="359">
        <v>138</v>
      </c>
      <c r="E132" s="359"/>
      <c r="F132" s="359" t="s">
        <v>1254</v>
      </c>
      <c r="G132" s="360">
        <v>428091.81000980013</v>
      </c>
      <c r="H132" s="359" t="s">
        <v>4</v>
      </c>
      <c r="I132" s="359">
        <v>2016</v>
      </c>
      <c r="J132" s="361">
        <f>+IF($I132=J$3,VLOOKUP($H132,Depreciation!$A$6:$L$10,7,FALSE)/2,IF($I132&lt;J$3,VLOOKUP($H132,Depreciation!$A$6:$L$10,7,FALSE),0))</f>
        <v>0</v>
      </c>
      <c r="K132" s="361">
        <f>+IF($I132=K$3,VLOOKUP($H132,Depreciation!$A$6:$L$10,8,FALSE)/2,IF($I132&lt;K$3,VLOOKUP($H132,Depreciation!$A$6:$L$10,8,FALSE),0))</f>
        <v>1.5338181838063448E-2</v>
      </c>
      <c r="L132" s="361">
        <f>+IF($I132=L$3,VLOOKUP($H132,Depreciation!$A$6:$L$10,9,FALSE)/2,IF($I132&lt;L$3,VLOOKUP($H132,Depreciation!$A$6:$L$10,9,FALSE),0))</f>
        <v>3.0676363676126896E-2</v>
      </c>
      <c r="M132" s="361">
        <f>+IF($I132=M$3,VLOOKUP($H132,Depreciation!$A$6:$L$10,10,FALSE)/2,IF($I132&lt;M$3,VLOOKUP($H132,Depreciation!$A$6:$L$10,10,FALSE),0))</f>
        <v>3.0676363676126896E-2</v>
      </c>
      <c r="N132" s="361">
        <f>+IF($I132=N$3,VLOOKUP($H132,Depreciation!$A$6:$L$10,11,FALSE)/2,IF($I132&lt;N$3,VLOOKUP($H132,Depreciation!$A$6:$L$10,11,FALSE),0))</f>
        <v>3.0676363676126896E-2</v>
      </c>
      <c r="O132" s="361">
        <f>+IF($I132=O$3,VLOOKUP($H132,Depreciation!$A$6:$L$10,12,FALSE)/2,IF($I132&lt;O$3,VLOOKUP($H132,Depreciation!$A$6:$L$10,12,FALSE),0))</f>
        <v>3.0676363676126896E-2</v>
      </c>
      <c r="P132" s="362">
        <f t="shared" si="5"/>
        <v>0</v>
      </c>
      <c r="Q132" s="362">
        <f t="shared" si="6"/>
        <v>0</v>
      </c>
      <c r="R132" s="363">
        <f t="shared" si="7"/>
        <v>0</v>
      </c>
      <c r="Y132" s="365"/>
    </row>
    <row r="133" spans="1:25" ht="15" customHeight="1">
      <c r="A133" s="359" t="s">
        <v>1191</v>
      </c>
      <c r="B133" s="359" t="s">
        <v>132</v>
      </c>
      <c r="C133" s="359">
        <v>888</v>
      </c>
      <c r="D133" s="359">
        <v>138</v>
      </c>
      <c r="E133" s="359"/>
      <c r="F133" s="359" t="s">
        <v>1254</v>
      </c>
      <c r="G133" s="360">
        <v>1327232.7396843631</v>
      </c>
      <c r="H133" s="359" t="s">
        <v>4</v>
      </c>
      <c r="I133" s="359">
        <v>2016</v>
      </c>
      <c r="J133" s="361">
        <f>+IF($I133=J$3,VLOOKUP($H133,Depreciation!$A$6:$L$10,7,FALSE)/2,IF($I133&lt;J$3,VLOOKUP($H133,Depreciation!$A$6:$L$10,7,FALSE),0))</f>
        <v>0</v>
      </c>
      <c r="K133" s="361">
        <f>+IF($I133=K$3,VLOOKUP($H133,Depreciation!$A$6:$L$10,8,FALSE)/2,IF($I133&lt;K$3,VLOOKUP($H133,Depreciation!$A$6:$L$10,8,FALSE),0))</f>
        <v>1.5338181838063448E-2</v>
      </c>
      <c r="L133" s="361">
        <f>+IF($I133=L$3,VLOOKUP($H133,Depreciation!$A$6:$L$10,9,FALSE)/2,IF($I133&lt;L$3,VLOOKUP($H133,Depreciation!$A$6:$L$10,9,FALSE),0))</f>
        <v>3.0676363676126896E-2</v>
      </c>
      <c r="M133" s="361">
        <f>+IF($I133=M$3,VLOOKUP($H133,Depreciation!$A$6:$L$10,10,FALSE)/2,IF($I133&lt;M$3,VLOOKUP($H133,Depreciation!$A$6:$L$10,10,FALSE),0))</f>
        <v>3.0676363676126896E-2</v>
      </c>
      <c r="N133" s="361">
        <f>+IF($I133=N$3,VLOOKUP($H133,Depreciation!$A$6:$L$10,11,FALSE)/2,IF($I133&lt;N$3,VLOOKUP($H133,Depreciation!$A$6:$L$10,11,FALSE),0))</f>
        <v>3.0676363676126896E-2</v>
      </c>
      <c r="O133" s="361">
        <f>+IF($I133=O$3,VLOOKUP($H133,Depreciation!$A$6:$L$10,12,FALSE)/2,IF($I133&lt;O$3,VLOOKUP($H133,Depreciation!$A$6:$L$10,12,FALSE),0))</f>
        <v>3.0676363676126896E-2</v>
      </c>
      <c r="P133" s="362">
        <f t="shared" ref="P133:P196" si="8">IF(I133&lt;=2015,G133*(1-J133),0)</f>
        <v>0</v>
      </c>
      <c r="Q133" s="362">
        <f t="shared" ref="Q133:Q196" si="9">IF(D133&gt;=240,P133,0)</f>
        <v>0</v>
      </c>
      <c r="R133" s="363">
        <f t="shared" ref="R133:R196" si="10">IF(AND(D133&gt;25,D133&lt;240),P133,0)</f>
        <v>0</v>
      </c>
      <c r="Y133" s="365"/>
    </row>
    <row r="134" spans="1:25" ht="15" customHeight="1">
      <c r="A134" s="359" t="s">
        <v>1191</v>
      </c>
      <c r="B134" s="359" t="s">
        <v>131</v>
      </c>
      <c r="C134" s="359">
        <v>888</v>
      </c>
      <c r="D134" s="359">
        <v>138</v>
      </c>
      <c r="E134" s="359"/>
      <c r="F134" s="359" t="s">
        <v>1254</v>
      </c>
      <c r="G134" s="360">
        <v>32638667.61853265</v>
      </c>
      <c r="H134" s="359" t="s">
        <v>4</v>
      </c>
      <c r="I134" s="359">
        <v>2016</v>
      </c>
      <c r="J134" s="361">
        <f>+IF($I134=J$3,VLOOKUP($H134,Depreciation!$A$6:$L$10,7,FALSE)/2,IF($I134&lt;J$3,VLOOKUP($H134,Depreciation!$A$6:$L$10,7,FALSE),0))</f>
        <v>0</v>
      </c>
      <c r="K134" s="361">
        <f>+IF($I134=K$3,VLOOKUP($H134,Depreciation!$A$6:$L$10,8,FALSE)/2,IF($I134&lt;K$3,VLOOKUP($H134,Depreciation!$A$6:$L$10,8,FALSE),0))</f>
        <v>1.5338181838063448E-2</v>
      </c>
      <c r="L134" s="361">
        <f>+IF($I134=L$3,VLOOKUP($H134,Depreciation!$A$6:$L$10,9,FALSE)/2,IF($I134&lt;L$3,VLOOKUP($H134,Depreciation!$A$6:$L$10,9,FALSE),0))</f>
        <v>3.0676363676126896E-2</v>
      </c>
      <c r="M134" s="361">
        <f>+IF($I134=M$3,VLOOKUP($H134,Depreciation!$A$6:$L$10,10,FALSE)/2,IF($I134&lt;M$3,VLOOKUP($H134,Depreciation!$A$6:$L$10,10,FALSE),0))</f>
        <v>3.0676363676126896E-2</v>
      </c>
      <c r="N134" s="361">
        <f>+IF($I134=N$3,VLOOKUP($H134,Depreciation!$A$6:$L$10,11,FALSE)/2,IF($I134&lt;N$3,VLOOKUP($H134,Depreciation!$A$6:$L$10,11,FALSE),0))</f>
        <v>3.0676363676126896E-2</v>
      </c>
      <c r="O134" s="361">
        <f>+IF($I134=O$3,VLOOKUP($H134,Depreciation!$A$6:$L$10,12,FALSE)/2,IF($I134&lt;O$3,VLOOKUP($H134,Depreciation!$A$6:$L$10,12,FALSE),0))</f>
        <v>3.0676363676126896E-2</v>
      </c>
      <c r="P134" s="362">
        <f t="shared" si="8"/>
        <v>0</v>
      </c>
      <c r="Q134" s="362">
        <f t="shared" si="9"/>
        <v>0</v>
      </c>
      <c r="R134" s="363">
        <f t="shared" si="10"/>
        <v>0</v>
      </c>
      <c r="Y134" s="365"/>
    </row>
    <row r="135" spans="1:25" ht="15" customHeight="1">
      <c r="A135" s="359" t="s">
        <v>1191</v>
      </c>
      <c r="B135" s="359" t="s">
        <v>131</v>
      </c>
      <c r="C135" s="359">
        <v>888</v>
      </c>
      <c r="D135" s="359">
        <v>138</v>
      </c>
      <c r="E135" s="359"/>
      <c r="F135" s="359" t="s">
        <v>1254</v>
      </c>
      <c r="G135" s="360">
        <v>26144707.427934162</v>
      </c>
      <c r="H135" s="359" t="s">
        <v>4</v>
      </c>
      <c r="I135" s="359">
        <v>2016</v>
      </c>
      <c r="J135" s="361">
        <f>+IF($I135=J$3,VLOOKUP($H135,Depreciation!$A$6:$L$10,7,FALSE)/2,IF($I135&lt;J$3,VLOOKUP($H135,Depreciation!$A$6:$L$10,7,FALSE),0))</f>
        <v>0</v>
      </c>
      <c r="K135" s="361">
        <f>+IF($I135=K$3,VLOOKUP($H135,Depreciation!$A$6:$L$10,8,FALSE)/2,IF($I135&lt;K$3,VLOOKUP($H135,Depreciation!$A$6:$L$10,8,FALSE),0))</f>
        <v>1.5338181838063448E-2</v>
      </c>
      <c r="L135" s="361">
        <f>+IF($I135=L$3,VLOOKUP($H135,Depreciation!$A$6:$L$10,9,FALSE)/2,IF($I135&lt;L$3,VLOOKUP($H135,Depreciation!$A$6:$L$10,9,FALSE),0))</f>
        <v>3.0676363676126896E-2</v>
      </c>
      <c r="M135" s="361">
        <f>+IF($I135=M$3,VLOOKUP($H135,Depreciation!$A$6:$L$10,10,FALSE)/2,IF($I135&lt;M$3,VLOOKUP($H135,Depreciation!$A$6:$L$10,10,FALSE),0))</f>
        <v>3.0676363676126896E-2</v>
      </c>
      <c r="N135" s="361">
        <f>+IF($I135=N$3,VLOOKUP($H135,Depreciation!$A$6:$L$10,11,FALSE)/2,IF($I135&lt;N$3,VLOOKUP($H135,Depreciation!$A$6:$L$10,11,FALSE),0))</f>
        <v>3.0676363676126896E-2</v>
      </c>
      <c r="O135" s="361">
        <f>+IF($I135=O$3,VLOOKUP($H135,Depreciation!$A$6:$L$10,12,FALSE)/2,IF($I135&lt;O$3,VLOOKUP($H135,Depreciation!$A$6:$L$10,12,FALSE),0))</f>
        <v>3.0676363676126896E-2</v>
      </c>
      <c r="P135" s="362">
        <f t="shared" si="8"/>
        <v>0</v>
      </c>
      <c r="Q135" s="362">
        <f t="shared" si="9"/>
        <v>0</v>
      </c>
      <c r="R135" s="363">
        <f t="shared" si="10"/>
        <v>0</v>
      </c>
      <c r="Y135" s="365"/>
    </row>
    <row r="136" spans="1:25" ht="15" customHeight="1">
      <c r="A136" s="359" t="s">
        <v>1191</v>
      </c>
      <c r="B136" s="359" t="s">
        <v>130</v>
      </c>
      <c r="C136" s="359">
        <v>888</v>
      </c>
      <c r="D136" s="359">
        <v>138</v>
      </c>
      <c r="E136" s="359"/>
      <c r="F136" s="359" t="s">
        <v>1254</v>
      </c>
      <c r="G136" s="360">
        <v>38066101.500456207</v>
      </c>
      <c r="H136" s="359" t="s">
        <v>4</v>
      </c>
      <c r="I136" s="359">
        <v>2016</v>
      </c>
      <c r="J136" s="361">
        <f>+IF($I136=J$3,VLOOKUP($H136,Depreciation!$A$6:$L$10,7,FALSE)/2,IF($I136&lt;J$3,VLOOKUP($H136,Depreciation!$A$6:$L$10,7,FALSE),0))</f>
        <v>0</v>
      </c>
      <c r="K136" s="361">
        <f>+IF($I136=K$3,VLOOKUP($H136,Depreciation!$A$6:$L$10,8,FALSE)/2,IF($I136&lt;K$3,VLOOKUP($H136,Depreciation!$A$6:$L$10,8,FALSE),0))</f>
        <v>1.5338181838063448E-2</v>
      </c>
      <c r="L136" s="361">
        <f>+IF($I136=L$3,VLOOKUP($H136,Depreciation!$A$6:$L$10,9,FALSE)/2,IF($I136&lt;L$3,VLOOKUP($H136,Depreciation!$A$6:$L$10,9,FALSE),0))</f>
        <v>3.0676363676126896E-2</v>
      </c>
      <c r="M136" s="361">
        <f>+IF($I136=M$3,VLOOKUP($H136,Depreciation!$A$6:$L$10,10,FALSE)/2,IF($I136&lt;M$3,VLOOKUP($H136,Depreciation!$A$6:$L$10,10,FALSE),0))</f>
        <v>3.0676363676126896E-2</v>
      </c>
      <c r="N136" s="361">
        <f>+IF($I136=N$3,VLOOKUP($H136,Depreciation!$A$6:$L$10,11,FALSE)/2,IF($I136&lt;N$3,VLOOKUP($H136,Depreciation!$A$6:$L$10,11,FALSE),0))</f>
        <v>3.0676363676126896E-2</v>
      </c>
      <c r="O136" s="361">
        <f>+IF($I136=O$3,VLOOKUP($H136,Depreciation!$A$6:$L$10,12,FALSE)/2,IF($I136&lt;O$3,VLOOKUP($H136,Depreciation!$A$6:$L$10,12,FALSE),0))</f>
        <v>3.0676363676126896E-2</v>
      </c>
      <c r="P136" s="362">
        <f t="shared" si="8"/>
        <v>0</v>
      </c>
      <c r="Q136" s="362">
        <f t="shared" si="9"/>
        <v>0</v>
      </c>
      <c r="R136" s="363">
        <f t="shared" si="10"/>
        <v>0</v>
      </c>
      <c r="Y136" s="365"/>
    </row>
    <row r="137" spans="1:25" ht="15" customHeight="1">
      <c r="A137" s="359" t="s">
        <v>1191</v>
      </c>
      <c r="B137" s="359" t="s">
        <v>130</v>
      </c>
      <c r="C137" s="359">
        <v>888</v>
      </c>
      <c r="D137" s="359">
        <v>138</v>
      </c>
      <c r="E137" s="359"/>
      <c r="F137" s="359" t="s">
        <v>1254</v>
      </c>
      <c r="G137" s="360">
        <v>42259623.694704458</v>
      </c>
      <c r="H137" s="359" t="s">
        <v>4</v>
      </c>
      <c r="I137" s="359">
        <v>2016</v>
      </c>
      <c r="J137" s="361">
        <f>+IF($I137=J$3,VLOOKUP($H137,Depreciation!$A$6:$L$10,7,FALSE)/2,IF($I137&lt;J$3,VLOOKUP($H137,Depreciation!$A$6:$L$10,7,FALSE),0))</f>
        <v>0</v>
      </c>
      <c r="K137" s="361">
        <f>+IF($I137=K$3,VLOOKUP($H137,Depreciation!$A$6:$L$10,8,FALSE)/2,IF($I137&lt;K$3,VLOOKUP($H137,Depreciation!$A$6:$L$10,8,FALSE),0))</f>
        <v>1.5338181838063448E-2</v>
      </c>
      <c r="L137" s="361">
        <f>+IF($I137=L$3,VLOOKUP($H137,Depreciation!$A$6:$L$10,9,FALSE)/2,IF($I137&lt;L$3,VLOOKUP($H137,Depreciation!$A$6:$L$10,9,FALSE),0))</f>
        <v>3.0676363676126896E-2</v>
      </c>
      <c r="M137" s="361">
        <f>+IF($I137=M$3,VLOOKUP($H137,Depreciation!$A$6:$L$10,10,FALSE)/2,IF($I137&lt;M$3,VLOOKUP($H137,Depreciation!$A$6:$L$10,10,FALSE),0))</f>
        <v>3.0676363676126896E-2</v>
      </c>
      <c r="N137" s="361">
        <f>+IF($I137=N$3,VLOOKUP($H137,Depreciation!$A$6:$L$10,11,FALSE)/2,IF($I137&lt;N$3,VLOOKUP($H137,Depreciation!$A$6:$L$10,11,FALSE),0))</f>
        <v>3.0676363676126896E-2</v>
      </c>
      <c r="O137" s="361">
        <f>+IF($I137=O$3,VLOOKUP($H137,Depreciation!$A$6:$L$10,12,FALSE)/2,IF($I137&lt;O$3,VLOOKUP($H137,Depreciation!$A$6:$L$10,12,FALSE),0))</f>
        <v>3.0676363676126896E-2</v>
      </c>
      <c r="P137" s="362">
        <f t="shared" si="8"/>
        <v>0</v>
      </c>
      <c r="Q137" s="362">
        <f t="shared" si="9"/>
        <v>0</v>
      </c>
      <c r="R137" s="363">
        <f t="shared" si="10"/>
        <v>0</v>
      </c>
      <c r="Y137" s="365"/>
    </row>
    <row r="138" spans="1:25" ht="15" customHeight="1">
      <c r="A138" s="359" t="s">
        <v>1191</v>
      </c>
      <c r="B138" s="359" t="s">
        <v>1759</v>
      </c>
      <c r="C138" s="359">
        <v>948</v>
      </c>
      <c r="D138" s="359">
        <v>240</v>
      </c>
      <c r="E138" s="359"/>
      <c r="F138" s="359">
        <v>0</v>
      </c>
      <c r="G138" s="360">
        <v>9503247.7097484916</v>
      </c>
      <c r="H138" s="359" t="s">
        <v>66</v>
      </c>
      <c r="I138" s="359">
        <v>2015</v>
      </c>
      <c r="J138" s="361">
        <f>+IF($I138=J$3,VLOOKUP($H138,Depreciation!$A$6:$L$10,7,FALSE)/2,IF($I138&lt;J$3,VLOOKUP($H138,Depreciation!$A$6:$L$10,7,FALSE),0))</f>
        <v>1.239102859091515E-2</v>
      </c>
      <c r="K138" s="361">
        <f>+IF($I138=K$3,VLOOKUP($H138,Depreciation!$A$6:$L$10,8,FALSE)/2,IF($I138&lt;K$3,VLOOKUP($H138,Depreciation!$A$6:$L$10,8,FALSE),0))</f>
        <v>2.3943859731006666E-2</v>
      </c>
      <c r="L138" s="361">
        <f>+IF($I138=L$3,VLOOKUP($H138,Depreciation!$A$6:$L$10,9,FALSE)/2,IF($I138&lt;L$3,VLOOKUP($H138,Depreciation!$A$6:$L$10,9,FALSE),0))</f>
        <v>2.4002037926855919E-2</v>
      </c>
      <c r="M138" s="361">
        <f>+IF($I138=M$3,VLOOKUP($H138,Depreciation!$A$6:$L$10,10,FALSE)/2,IF($I138&lt;M$3,VLOOKUP($H138,Depreciation!$A$6:$L$10,10,FALSE),0))</f>
        <v>2.4002037926855919E-2</v>
      </c>
      <c r="N138" s="361">
        <f>+IF($I138=N$3,VLOOKUP($H138,Depreciation!$A$6:$L$10,11,FALSE)/2,IF($I138&lt;N$3,VLOOKUP($H138,Depreciation!$A$6:$L$10,11,FALSE),0))</f>
        <v>2.4002037926855919E-2</v>
      </c>
      <c r="O138" s="361">
        <f>+IF($I138=O$3,VLOOKUP($H138,Depreciation!$A$6:$L$10,12,FALSE)/2,IF($I138&lt;O$3,VLOOKUP($H138,Depreciation!$A$6:$L$10,12,FALSE),0))</f>
        <v>2.4002037926855919E-2</v>
      </c>
      <c r="P138" s="362">
        <f t="shared" si="8"/>
        <v>9385492.6956704501</v>
      </c>
      <c r="Q138" s="362">
        <f t="shared" si="9"/>
        <v>9385492.6956704501</v>
      </c>
      <c r="R138" s="363">
        <f t="shared" si="10"/>
        <v>0</v>
      </c>
      <c r="Y138" s="365"/>
    </row>
    <row r="139" spans="1:25" ht="15" customHeight="1">
      <c r="A139" s="359" t="s">
        <v>1191</v>
      </c>
      <c r="B139" s="359" t="s">
        <v>1760</v>
      </c>
      <c r="C139" s="359">
        <v>961</v>
      </c>
      <c r="D139" s="359">
        <v>240</v>
      </c>
      <c r="E139" s="359"/>
      <c r="F139" s="359">
        <v>0</v>
      </c>
      <c r="G139" s="360">
        <v>12067928.360521985</v>
      </c>
      <c r="H139" s="359" t="s">
        <v>4</v>
      </c>
      <c r="I139" s="359">
        <v>2015</v>
      </c>
      <c r="J139" s="361">
        <f>+IF($I139=J$3,VLOOKUP($H139,Depreciation!$A$6:$L$10,7,FALSE)/2,IF($I139&lt;J$3,VLOOKUP($H139,Depreciation!$A$6:$L$10,7,FALSE),0))</f>
        <v>1.595020804044691E-2</v>
      </c>
      <c r="K139" s="361">
        <f>+IF($I139=K$3,VLOOKUP($H139,Depreciation!$A$6:$L$10,8,FALSE)/2,IF($I139&lt;K$3,VLOOKUP($H139,Depreciation!$A$6:$L$10,8,FALSE),0))</f>
        <v>3.0676363676126896E-2</v>
      </c>
      <c r="L139" s="361">
        <f>+IF($I139=L$3,VLOOKUP($H139,Depreciation!$A$6:$L$10,9,FALSE)/2,IF($I139&lt;L$3,VLOOKUP($H139,Depreciation!$A$6:$L$10,9,FALSE),0))</f>
        <v>3.0676363676126896E-2</v>
      </c>
      <c r="M139" s="361">
        <f>+IF($I139=M$3,VLOOKUP($H139,Depreciation!$A$6:$L$10,10,FALSE)/2,IF($I139&lt;M$3,VLOOKUP($H139,Depreciation!$A$6:$L$10,10,FALSE),0))</f>
        <v>3.0676363676126896E-2</v>
      </c>
      <c r="N139" s="361">
        <f>+IF($I139=N$3,VLOOKUP($H139,Depreciation!$A$6:$L$10,11,FALSE)/2,IF($I139&lt;N$3,VLOOKUP($H139,Depreciation!$A$6:$L$10,11,FALSE),0))</f>
        <v>3.0676363676126896E-2</v>
      </c>
      <c r="O139" s="361">
        <f>+IF($I139=O$3,VLOOKUP($H139,Depreciation!$A$6:$L$10,12,FALSE)/2,IF($I139&lt;O$3,VLOOKUP($H139,Depreciation!$A$6:$L$10,12,FALSE),0))</f>
        <v>3.0676363676126896E-2</v>
      </c>
      <c r="P139" s="362">
        <f t="shared" si="8"/>
        <v>11875442.392554451</v>
      </c>
      <c r="Q139" s="362">
        <f t="shared" si="9"/>
        <v>11875442.392554451</v>
      </c>
      <c r="R139" s="363">
        <f t="shared" si="10"/>
        <v>0</v>
      </c>
      <c r="Y139" s="365"/>
    </row>
    <row r="140" spans="1:25" ht="15" customHeight="1">
      <c r="A140" s="359" t="s">
        <v>1191</v>
      </c>
      <c r="B140" s="359" t="s">
        <v>1761</v>
      </c>
      <c r="C140" s="359">
        <v>961</v>
      </c>
      <c r="D140" s="359">
        <v>240</v>
      </c>
      <c r="E140" s="359"/>
      <c r="F140" s="359">
        <v>0</v>
      </c>
      <c r="G140" s="360">
        <v>2180206.2000116054</v>
      </c>
      <c r="H140" s="359" t="s">
        <v>4</v>
      </c>
      <c r="I140" s="359">
        <v>2015</v>
      </c>
      <c r="J140" s="361">
        <f>+IF($I140=J$3,VLOOKUP($H140,Depreciation!$A$6:$L$10,7,FALSE)/2,IF($I140&lt;J$3,VLOOKUP($H140,Depreciation!$A$6:$L$10,7,FALSE),0))</f>
        <v>1.595020804044691E-2</v>
      </c>
      <c r="K140" s="361">
        <f>+IF($I140=K$3,VLOOKUP($H140,Depreciation!$A$6:$L$10,8,FALSE)/2,IF($I140&lt;K$3,VLOOKUP($H140,Depreciation!$A$6:$L$10,8,FALSE),0))</f>
        <v>3.0676363676126896E-2</v>
      </c>
      <c r="L140" s="361">
        <f>+IF($I140=L$3,VLOOKUP($H140,Depreciation!$A$6:$L$10,9,FALSE)/2,IF($I140&lt;L$3,VLOOKUP($H140,Depreciation!$A$6:$L$10,9,FALSE),0))</f>
        <v>3.0676363676126896E-2</v>
      </c>
      <c r="M140" s="361">
        <f>+IF($I140=M$3,VLOOKUP($H140,Depreciation!$A$6:$L$10,10,FALSE)/2,IF($I140&lt;M$3,VLOOKUP($H140,Depreciation!$A$6:$L$10,10,FALSE),0))</f>
        <v>3.0676363676126896E-2</v>
      </c>
      <c r="N140" s="361">
        <f>+IF($I140=N$3,VLOOKUP($H140,Depreciation!$A$6:$L$10,11,FALSE)/2,IF($I140&lt;N$3,VLOOKUP($H140,Depreciation!$A$6:$L$10,11,FALSE),0))</f>
        <v>3.0676363676126896E-2</v>
      </c>
      <c r="O140" s="361">
        <f>+IF($I140=O$3,VLOOKUP($H140,Depreciation!$A$6:$L$10,12,FALSE)/2,IF($I140&lt;O$3,VLOOKUP($H140,Depreciation!$A$6:$L$10,12,FALSE),0))</f>
        <v>3.0676363676126896E-2</v>
      </c>
      <c r="P140" s="362">
        <f t="shared" si="8"/>
        <v>2145431.4575503482</v>
      </c>
      <c r="Q140" s="362">
        <f t="shared" si="9"/>
        <v>2145431.4575503482</v>
      </c>
      <c r="R140" s="363">
        <f t="shared" si="10"/>
        <v>0</v>
      </c>
      <c r="Y140" s="365"/>
    </row>
    <row r="141" spans="1:25" ht="15" customHeight="1">
      <c r="A141" s="359" t="s">
        <v>1191</v>
      </c>
      <c r="B141" s="359" t="s">
        <v>1762</v>
      </c>
      <c r="C141" s="359">
        <v>961</v>
      </c>
      <c r="D141" s="359">
        <v>240</v>
      </c>
      <c r="E141" s="359"/>
      <c r="F141" s="359">
        <v>0</v>
      </c>
      <c r="G141" s="360">
        <v>12147807.385961929</v>
      </c>
      <c r="H141" s="359" t="s">
        <v>4</v>
      </c>
      <c r="I141" s="359">
        <v>2015</v>
      </c>
      <c r="J141" s="361">
        <f>+IF($I141=J$3,VLOOKUP($H141,Depreciation!$A$6:$L$10,7,FALSE)/2,IF($I141&lt;J$3,VLOOKUP($H141,Depreciation!$A$6:$L$10,7,FALSE),0))</f>
        <v>1.595020804044691E-2</v>
      </c>
      <c r="K141" s="361">
        <f>+IF($I141=K$3,VLOOKUP($H141,Depreciation!$A$6:$L$10,8,FALSE)/2,IF($I141&lt;K$3,VLOOKUP($H141,Depreciation!$A$6:$L$10,8,FALSE),0))</f>
        <v>3.0676363676126896E-2</v>
      </c>
      <c r="L141" s="361">
        <f>+IF($I141=L$3,VLOOKUP($H141,Depreciation!$A$6:$L$10,9,FALSE)/2,IF($I141&lt;L$3,VLOOKUP($H141,Depreciation!$A$6:$L$10,9,FALSE),0))</f>
        <v>3.0676363676126896E-2</v>
      </c>
      <c r="M141" s="361">
        <f>+IF($I141=M$3,VLOOKUP($H141,Depreciation!$A$6:$L$10,10,FALSE)/2,IF($I141&lt;M$3,VLOOKUP($H141,Depreciation!$A$6:$L$10,10,FALSE),0))</f>
        <v>3.0676363676126896E-2</v>
      </c>
      <c r="N141" s="361">
        <f>+IF($I141=N$3,VLOOKUP($H141,Depreciation!$A$6:$L$10,11,FALSE)/2,IF($I141&lt;N$3,VLOOKUP($H141,Depreciation!$A$6:$L$10,11,FALSE),0))</f>
        <v>3.0676363676126896E-2</v>
      </c>
      <c r="O141" s="361">
        <f>+IF($I141=O$3,VLOOKUP($H141,Depreciation!$A$6:$L$10,12,FALSE)/2,IF($I141&lt;O$3,VLOOKUP($H141,Depreciation!$A$6:$L$10,12,FALSE),0))</f>
        <v>3.0676363676126896E-2</v>
      </c>
      <c r="P141" s="362">
        <f t="shared" si="8"/>
        <v>11954047.330920558</v>
      </c>
      <c r="Q141" s="362">
        <f t="shared" si="9"/>
        <v>11954047.330920558</v>
      </c>
      <c r="R141" s="363">
        <f t="shared" si="10"/>
        <v>0</v>
      </c>
      <c r="Y141" s="365"/>
    </row>
    <row r="142" spans="1:25" ht="15" customHeight="1">
      <c r="A142" s="359" t="s">
        <v>1191</v>
      </c>
      <c r="B142" s="359" t="s">
        <v>1763</v>
      </c>
      <c r="C142" s="359">
        <v>961</v>
      </c>
      <c r="D142" s="359">
        <v>138</v>
      </c>
      <c r="E142" s="359"/>
      <c r="F142" s="359">
        <v>0</v>
      </c>
      <c r="G142" s="360">
        <v>386437.04663201742</v>
      </c>
      <c r="H142" s="359" t="s">
        <v>66</v>
      </c>
      <c r="I142" s="359">
        <v>2015</v>
      </c>
      <c r="J142" s="361">
        <f>+IF($I142=J$3,VLOOKUP($H142,Depreciation!$A$6:$L$10,7,FALSE)/2,IF($I142&lt;J$3,VLOOKUP($H142,Depreciation!$A$6:$L$10,7,FALSE),0))</f>
        <v>1.239102859091515E-2</v>
      </c>
      <c r="K142" s="361">
        <f>+IF($I142=K$3,VLOOKUP($H142,Depreciation!$A$6:$L$10,8,FALSE)/2,IF($I142&lt;K$3,VLOOKUP($H142,Depreciation!$A$6:$L$10,8,FALSE),0))</f>
        <v>2.3943859731006666E-2</v>
      </c>
      <c r="L142" s="361">
        <f>+IF($I142=L$3,VLOOKUP($H142,Depreciation!$A$6:$L$10,9,FALSE)/2,IF($I142&lt;L$3,VLOOKUP($H142,Depreciation!$A$6:$L$10,9,FALSE),0))</f>
        <v>2.4002037926855919E-2</v>
      </c>
      <c r="M142" s="361">
        <f>+IF($I142=M$3,VLOOKUP($H142,Depreciation!$A$6:$L$10,10,FALSE)/2,IF($I142&lt;M$3,VLOOKUP($H142,Depreciation!$A$6:$L$10,10,FALSE),0))</f>
        <v>2.4002037926855919E-2</v>
      </c>
      <c r="N142" s="361">
        <f>+IF($I142=N$3,VLOOKUP($H142,Depreciation!$A$6:$L$10,11,FALSE)/2,IF($I142&lt;N$3,VLOOKUP($H142,Depreciation!$A$6:$L$10,11,FALSE),0))</f>
        <v>2.4002037926855919E-2</v>
      </c>
      <c r="O142" s="361">
        <f>+IF($I142=O$3,VLOOKUP($H142,Depreciation!$A$6:$L$10,12,FALSE)/2,IF($I142&lt;O$3,VLOOKUP($H142,Depreciation!$A$6:$L$10,12,FALSE),0))</f>
        <v>2.4002037926855919E-2</v>
      </c>
      <c r="P142" s="362">
        <f t="shared" si="8"/>
        <v>381648.69413861132</v>
      </c>
      <c r="Q142" s="362">
        <f t="shared" si="9"/>
        <v>0</v>
      </c>
      <c r="R142" s="363">
        <f t="shared" si="10"/>
        <v>381648.69413861132</v>
      </c>
      <c r="Y142" s="365"/>
    </row>
    <row r="143" spans="1:25" ht="15" customHeight="1">
      <c r="A143" s="359" t="s">
        <v>1191</v>
      </c>
      <c r="B143" s="359" t="s">
        <v>1764</v>
      </c>
      <c r="C143" s="359">
        <v>961</v>
      </c>
      <c r="D143" s="359">
        <v>240</v>
      </c>
      <c r="E143" s="359"/>
      <c r="F143" s="359">
        <v>0</v>
      </c>
      <c r="G143" s="360">
        <v>24745691.127936423</v>
      </c>
      <c r="H143" s="359" t="s">
        <v>66</v>
      </c>
      <c r="I143" s="359">
        <v>2015</v>
      </c>
      <c r="J143" s="361">
        <f>+IF($I143=J$3,VLOOKUP($H143,Depreciation!$A$6:$L$10,7,FALSE)/2,IF($I143&lt;J$3,VLOOKUP($H143,Depreciation!$A$6:$L$10,7,FALSE),0))</f>
        <v>1.239102859091515E-2</v>
      </c>
      <c r="K143" s="361">
        <f>+IF($I143=K$3,VLOOKUP($H143,Depreciation!$A$6:$L$10,8,FALSE)/2,IF($I143&lt;K$3,VLOOKUP($H143,Depreciation!$A$6:$L$10,8,FALSE),0))</f>
        <v>2.3943859731006666E-2</v>
      </c>
      <c r="L143" s="361">
        <f>+IF($I143=L$3,VLOOKUP($H143,Depreciation!$A$6:$L$10,9,FALSE)/2,IF($I143&lt;L$3,VLOOKUP($H143,Depreciation!$A$6:$L$10,9,FALSE),0))</f>
        <v>2.4002037926855919E-2</v>
      </c>
      <c r="M143" s="361">
        <f>+IF($I143=M$3,VLOOKUP($H143,Depreciation!$A$6:$L$10,10,FALSE)/2,IF($I143&lt;M$3,VLOOKUP($H143,Depreciation!$A$6:$L$10,10,FALSE),0))</f>
        <v>2.4002037926855919E-2</v>
      </c>
      <c r="N143" s="361">
        <f>+IF($I143=N$3,VLOOKUP($H143,Depreciation!$A$6:$L$10,11,FALSE)/2,IF($I143&lt;N$3,VLOOKUP($H143,Depreciation!$A$6:$L$10,11,FALSE),0))</f>
        <v>2.4002037926855919E-2</v>
      </c>
      <c r="O143" s="361">
        <f>+IF($I143=O$3,VLOOKUP($H143,Depreciation!$A$6:$L$10,12,FALSE)/2,IF($I143&lt;O$3,VLOOKUP($H143,Depreciation!$A$6:$L$10,12,FALSE),0))</f>
        <v>2.4002037926855919E-2</v>
      </c>
      <c r="P143" s="362">
        <f t="shared" si="8"/>
        <v>24439066.56166821</v>
      </c>
      <c r="Q143" s="362">
        <f t="shared" si="9"/>
        <v>24439066.56166821</v>
      </c>
      <c r="R143" s="363">
        <f t="shared" si="10"/>
        <v>0</v>
      </c>
      <c r="Y143" s="365"/>
    </row>
    <row r="144" spans="1:25" ht="15" customHeight="1">
      <c r="A144" s="359" t="s">
        <v>2051</v>
      </c>
      <c r="B144" s="359" t="s">
        <v>1765</v>
      </c>
      <c r="C144" s="359">
        <v>961</v>
      </c>
      <c r="D144" s="359">
        <v>500</v>
      </c>
      <c r="E144" s="359"/>
      <c r="F144" s="359">
        <v>0</v>
      </c>
      <c r="G144" s="360">
        <v>1297658759.5</v>
      </c>
      <c r="H144" s="359" t="s">
        <v>66</v>
      </c>
      <c r="I144" s="359">
        <v>2015</v>
      </c>
      <c r="J144" s="361">
        <f>+IF($I144=J$3,VLOOKUP($H144,Depreciation!$A$6:$L$10,7,FALSE)/2,IF($I144&lt;J$3,VLOOKUP($H144,Depreciation!$A$6:$L$10,7,FALSE),0))</f>
        <v>1.239102859091515E-2</v>
      </c>
      <c r="K144" s="361">
        <f>+IF($I144=K$3,VLOOKUP($H144,Depreciation!$A$6:$L$10,8,FALSE)/2,IF($I144&lt;K$3,VLOOKUP($H144,Depreciation!$A$6:$L$10,8,FALSE),0))</f>
        <v>2.3943859731006666E-2</v>
      </c>
      <c r="L144" s="361">
        <f>+IF($I144=L$3,VLOOKUP($H144,Depreciation!$A$6:$L$10,9,FALSE)/2,IF($I144&lt;L$3,VLOOKUP($H144,Depreciation!$A$6:$L$10,9,FALSE),0))</f>
        <v>2.4002037926855919E-2</v>
      </c>
      <c r="M144" s="361">
        <f>+IF($I144=M$3,VLOOKUP($H144,Depreciation!$A$6:$L$10,10,FALSE)/2,IF($I144&lt;M$3,VLOOKUP($H144,Depreciation!$A$6:$L$10,10,FALSE),0))</f>
        <v>2.4002037926855919E-2</v>
      </c>
      <c r="N144" s="361">
        <f>+IF($I144=N$3,VLOOKUP($H144,Depreciation!$A$6:$L$10,11,FALSE)/2,IF($I144&lt;N$3,VLOOKUP($H144,Depreciation!$A$6:$L$10,11,FALSE),0))</f>
        <v>2.4002037926855919E-2</v>
      </c>
      <c r="O144" s="361">
        <f>+IF($I144=O$3,VLOOKUP($H144,Depreciation!$A$6:$L$10,12,FALSE)/2,IF($I144&lt;O$3,VLOOKUP($H144,Depreciation!$A$6:$L$10,12,FALSE),0))</f>
        <v>2.4002037926855919E-2</v>
      </c>
      <c r="P144" s="362">
        <f t="shared" si="8"/>
        <v>1281579432.709784</v>
      </c>
      <c r="Q144" s="362">
        <f t="shared" si="9"/>
        <v>1281579432.709784</v>
      </c>
      <c r="R144" s="363">
        <f t="shared" si="10"/>
        <v>0</v>
      </c>
      <c r="Y144" s="365"/>
    </row>
    <row r="145" spans="1:25" ht="15" customHeight="1">
      <c r="A145" s="359" t="s">
        <v>1191</v>
      </c>
      <c r="B145" s="359" t="s">
        <v>1766</v>
      </c>
      <c r="C145" s="359">
        <v>961</v>
      </c>
      <c r="D145" s="359">
        <v>500</v>
      </c>
      <c r="E145" s="359"/>
      <c r="F145" s="359">
        <v>0</v>
      </c>
      <c r="G145" s="360">
        <v>22941771.346200299</v>
      </c>
      <c r="H145" s="359" t="s">
        <v>66</v>
      </c>
      <c r="I145" s="359">
        <v>2015</v>
      </c>
      <c r="J145" s="361">
        <f>+IF($I145=J$3,VLOOKUP($H145,Depreciation!$A$6:$L$10,7,FALSE)/2,IF($I145&lt;J$3,VLOOKUP($H145,Depreciation!$A$6:$L$10,7,FALSE),0))</f>
        <v>1.239102859091515E-2</v>
      </c>
      <c r="K145" s="361">
        <f>+IF($I145=K$3,VLOOKUP($H145,Depreciation!$A$6:$L$10,8,FALSE)/2,IF($I145&lt;K$3,VLOOKUP($H145,Depreciation!$A$6:$L$10,8,FALSE),0))</f>
        <v>2.3943859731006666E-2</v>
      </c>
      <c r="L145" s="361">
        <f>+IF($I145=L$3,VLOOKUP($H145,Depreciation!$A$6:$L$10,9,FALSE)/2,IF($I145&lt;L$3,VLOOKUP($H145,Depreciation!$A$6:$L$10,9,FALSE),0))</f>
        <v>2.4002037926855919E-2</v>
      </c>
      <c r="M145" s="361">
        <f>+IF($I145=M$3,VLOOKUP($H145,Depreciation!$A$6:$L$10,10,FALSE)/2,IF($I145&lt;M$3,VLOOKUP($H145,Depreciation!$A$6:$L$10,10,FALSE),0))</f>
        <v>2.4002037926855919E-2</v>
      </c>
      <c r="N145" s="361">
        <f>+IF($I145=N$3,VLOOKUP($H145,Depreciation!$A$6:$L$10,11,FALSE)/2,IF($I145&lt;N$3,VLOOKUP($H145,Depreciation!$A$6:$L$10,11,FALSE),0))</f>
        <v>2.4002037926855919E-2</v>
      </c>
      <c r="O145" s="361">
        <f>+IF($I145=O$3,VLOOKUP($H145,Depreciation!$A$6:$L$10,12,FALSE)/2,IF($I145&lt;O$3,VLOOKUP($H145,Depreciation!$A$6:$L$10,12,FALSE),0))</f>
        <v>2.4002037926855919E-2</v>
      </c>
      <c r="P145" s="362">
        <f t="shared" si="8"/>
        <v>22657499.201523293</v>
      </c>
      <c r="Q145" s="362">
        <f t="shared" si="9"/>
        <v>22657499.201523293</v>
      </c>
      <c r="R145" s="363">
        <f t="shared" si="10"/>
        <v>0</v>
      </c>
      <c r="Y145" s="365"/>
    </row>
    <row r="146" spans="1:25" ht="15" customHeight="1">
      <c r="A146" s="359" t="s">
        <v>1191</v>
      </c>
      <c r="B146" s="359" t="s">
        <v>1767</v>
      </c>
      <c r="C146" s="359">
        <v>961</v>
      </c>
      <c r="D146" s="359">
        <v>240</v>
      </c>
      <c r="E146" s="359"/>
      <c r="F146" s="359">
        <v>0</v>
      </c>
      <c r="G146" s="360">
        <v>9328355.294053847</v>
      </c>
      <c r="H146" s="359" t="s">
        <v>4</v>
      </c>
      <c r="I146" s="359">
        <v>2015</v>
      </c>
      <c r="J146" s="361">
        <f>+IF($I146=J$3,VLOOKUP($H146,Depreciation!$A$6:$L$10,7,FALSE)/2,IF($I146&lt;J$3,VLOOKUP($H146,Depreciation!$A$6:$L$10,7,FALSE),0))</f>
        <v>1.595020804044691E-2</v>
      </c>
      <c r="K146" s="361">
        <f>+IF($I146=K$3,VLOOKUP($H146,Depreciation!$A$6:$L$10,8,FALSE)/2,IF($I146&lt;K$3,VLOOKUP($H146,Depreciation!$A$6:$L$10,8,FALSE),0))</f>
        <v>3.0676363676126896E-2</v>
      </c>
      <c r="L146" s="361">
        <f>+IF($I146=L$3,VLOOKUP($H146,Depreciation!$A$6:$L$10,9,FALSE)/2,IF($I146&lt;L$3,VLOOKUP($H146,Depreciation!$A$6:$L$10,9,FALSE),0))</f>
        <v>3.0676363676126896E-2</v>
      </c>
      <c r="M146" s="361">
        <f>+IF($I146=M$3,VLOOKUP($H146,Depreciation!$A$6:$L$10,10,FALSE)/2,IF($I146&lt;M$3,VLOOKUP($H146,Depreciation!$A$6:$L$10,10,FALSE),0))</f>
        <v>3.0676363676126896E-2</v>
      </c>
      <c r="N146" s="361">
        <f>+IF($I146=N$3,VLOOKUP($H146,Depreciation!$A$6:$L$10,11,FALSE)/2,IF($I146&lt;N$3,VLOOKUP($H146,Depreciation!$A$6:$L$10,11,FALSE),0))</f>
        <v>3.0676363676126896E-2</v>
      </c>
      <c r="O146" s="361">
        <f>+IF($I146=O$3,VLOOKUP($H146,Depreciation!$A$6:$L$10,12,FALSE)/2,IF($I146&lt;O$3,VLOOKUP($H146,Depreciation!$A$6:$L$10,12,FALSE),0))</f>
        <v>3.0676363676126896E-2</v>
      </c>
      <c r="P146" s="362">
        <f t="shared" si="8"/>
        <v>9179566.0864384845</v>
      </c>
      <c r="Q146" s="362">
        <f t="shared" si="9"/>
        <v>9179566.0864384845</v>
      </c>
      <c r="R146" s="363">
        <f t="shared" si="10"/>
        <v>0</v>
      </c>
      <c r="Y146" s="365"/>
    </row>
    <row r="147" spans="1:25" ht="15" customHeight="1">
      <c r="A147" s="359" t="s">
        <v>1191</v>
      </c>
      <c r="B147" s="359" t="s">
        <v>1768</v>
      </c>
      <c r="C147" s="359">
        <v>961</v>
      </c>
      <c r="D147" s="359">
        <v>240</v>
      </c>
      <c r="E147" s="359"/>
      <c r="F147" s="359">
        <v>0</v>
      </c>
      <c r="G147" s="360">
        <v>15784803.775025563</v>
      </c>
      <c r="H147" s="359" t="s">
        <v>4</v>
      </c>
      <c r="I147" s="359">
        <v>2015</v>
      </c>
      <c r="J147" s="361">
        <f>+IF($I147=J$3,VLOOKUP($H147,Depreciation!$A$6:$L$10,7,FALSE)/2,IF($I147&lt;J$3,VLOOKUP($H147,Depreciation!$A$6:$L$10,7,FALSE),0))</f>
        <v>1.595020804044691E-2</v>
      </c>
      <c r="K147" s="361">
        <f>+IF($I147=K$3,VLOOKUP($H147,Depreciation!$A$6:$L$10,8,FALSE)/2,IF($I147&lt;K$3,VLOOKUP($H147,Depreciation!$A$6:$L$10,8,FALSE),0))</f>
        <v>3.0676363676126896E-2</v>
      </c>
      <c r="L147" s="361">
        <f>+IF($I147=L$3,VLOOKUP($H147,Depreciation!$A$6:$L$10,9,FALSE)/2,IF($I147&lt;L$3,VLOOKUP($H147,Depreciation!$A$6:$L$10,9,FALSE),0))</f>
        <v>3.0676363676126896E-2</v>
      </c>
      <c r="M147" s="361">
        <f>+IF($I147=M$3,VLOOKUP($H147,Depreciation!$A$6:$L$10,10,FALSE)/2,IF($I147&lt;M$3,VLOOKUP($H147,Depreciation!$A$6:$L$10,10,FALSE),0))</f>
        <v>3.0676363676126896E-2</v>
      </c>
      <c r="N147" s="361">
        <f>+IF($I147=N$3,VLOOKUP($H147,Depreciation!$A$6:$L$10,11,FALSE)/2,IF($I147&lt;N$3,VLOOKUP($H147,Depreciation!$A$6:$L$10,11,FALSE),0))</f>
        <v>3.0676363676126896E-2</v>
      </c>
      <c r="O147" s="361">
        <f>+IF($I147=O$3,VLOOKUP($H147,Depreciation!$A$6:$L$10,12,FALSE)/2,IF($I147&lt;O$3,VLOOKUP($H147,Depreciation!$A$6:$L$10,12,FALSE),0))</f>
        <v>3.0676363676126896E-2</v>
      </c>
      <c r="P147" s="362">
        <f t="shared" si="8"/>
        <v>15533032.870936275</v>
      </c>
      <c r="Q147" s="362">
        <f t="shared" si="9"/>
        <v>15533032.870936275</v>
      </c>
      <c r="R147" s="363">
        <f t="shared" si="10"/>
        <v>0</v>
      </c>
      <c r="Y147" s="365"/>
    </row>
    <row r="148" spans="1:25" ht="15" customHeight="1">
      <c r="A148" s="359" t="s">
        <v>1191</v>
      </c>
      <c r="B148" s="359" t="s">
        <v>1769</v>
      </c>
      <c r="C148" s="359">
        <v>961</v>
      </c>
      <c r="D148" s="359">
        <v>240</v>
      </c>
      <c r="E148" s="359"/>
      <c r="F148" s="359">
        <v>0</v>
      </c>
      <c r="G148" s="360">
        <v>4171061.3966196976</v>
      </c>
      <c r="H148" s="359" t="s">
        <v>4</v>
      </c>
      <c r="I148" s="359">
        <v>2015</v>
      </c>
      <c r="J148" s="361">
        <f>+IF($I148=J$3,VLOOKUP($H148,Depreciation!$A$6:$L$10,7,FALSE)/2,IF($I148&lt;J$3,VLOOKUP($H148,Depreciation!$A$6:$L$10,7,FALSE),0))</f>
        <v>1.595020804044691E-2</v>
      </c>
      <c r="K148" s="361">
        <f>+IF($I148=K$3,VLOOKUP($H148,Depreciation!$A$6:$L$10,8,FALSE)/2,IF($I148&lt;K$3,VLOOKUP($H148,Depreciation!$A$6:$L$10,8,FALSE),0))</f>
        <v>3.0676363676126896E-2</v>
      </c>
      <c r="L148" s="361">
        <f>+IF($I148=L$3,VLOOKUP($H148,Depreciation!$A$6:$L$10,9,FALSE)/2,IF($I148&lt;L$3,VLOOKUP($H148,Depreciation!$A$6:$L$10,9,FALSE),0))</f>
        <v>3.0676363676126896E-2</v>
      </c>
      <c r="M148" s="361">
        <f>+IF($I148=M$3,VLOOKUP($H148,Depreciation!$A$6:$L$10,10,FALSE)/2,IF($I148&lt;M$3,VLOOKUP($H148,Depreciation!$A$6:$L$10,10,FALSE),0))</f>
        <v>3.0676363676126896E-2</v>
      </c>
      <c r="N148" s="361">
        <f>+IF($I148=N$3,VLOOKUP($H148,Depreciation!$A$6:$L$10,11,FALSE)/2,IF($I148&lt;N$3,VLOOKUP($H148,Depreciation!$A$6:$L$10,11,FALSE),0))</f>
        <v>3.0676363676126896E-2</v>
      </c>
      <c r="O148" s="361">
        <f>+IF($I148=O$3,VLOOKUP($H148,Depreciation!$A$6:$L$10,12,FALSE)/2,IF($I148&lt;O$3,VLOOKUP($H148,Depreciation!$A$6:$L$10,12,FALSE),0))</f>
        <v>3.0676363676126896E-2</v>
      </c>
      <c r="P148" s="362">
        <f t="shared" si="8"/>
        <v>4104532.0995941362</v>
      </c>
      <c r="Q148" s="362">
        <f t="shared" si="9"/>
        <v>4104532.0995941362</v>
      </c>
      <c r="R148" s="363">
        <f t="shared" si="10"/>
        <v>0</v>
      </c>
      <c r="Y148" s="365"/>
    </row>
    <row r="149" spans="1:25" ht="15" customHeight="1">
      <c r="A149" s="359" t="s">
        <v>1191</v>
      </c>
      <c r="B149" s="359" t="s">
        <v>1770</v>
      </c>
      <c r="C149" s="359">
        <v>962</v>
      </c>
      <c r="D149" s="359">
        <v>240</v>
      </c>
      <c r="E149" s="359"/>
      <c r="F149" s="359">
        <v>0</v>
      </c>
      <c r="G149" s="360">
        <v>5050035.9456107607</v>
      </c>
      <c r="H149" s="359" t="s">
        <v>4</v>
      </c>
      <c r="I149" s="359">
        <v>2015</v>
      </c>
      <c r="J149" s="361">
        <f>+IF($I149=J$3,VLOOKUP($H149,Depreciation!$A$6:$L$10,7,FALSE)/2,IF($I149&lt;J$3,VLOOKUP($H149,Depreciation!$A$6:$L$10,7,FALSE),0))</f>
        <v>1.595020804044691E-2</v>
      </c>
      <c r="K149" s="361">
        <f>+IF($I149=K$3,VLOOKUP($H149,Depreciation!$A$6:$L$10,8,FALSE)/2,IF($I149&lt;K$3,VLOOKUP($H149,Depreciation!$A$6:$L$10,8,FALSE),0))</f>
        <v>3.0676363676126896E-2</v>
      </c>
      <c r="L149" s="361">
        <f>+IF($I149=L$3,VLOOKUP($H149,Depreciation!$A$6:$L$10,9,FALSE)/2,IF($I149&lt;L$3,VLOOKUP($H149,Depreciation!$A$6:$L$10,9,FALSE),0))</f>
        <v>3.0676363676126896E-2</v>
      </c>
      <c r="M149" s="361">
        <f>+IF($I149=M$3,VLOOKUP($H149,Depreciation!$A$6:$L$10,10,FALSE)/2,IF($I149&lt;M$3,VLOOKUP($H149,Depreciation!$A$6:$L$10,10,FALSE),0))</f>
        <v>3.0676363676126896E-2</v>
      </c>
      <c r="N149" s="361">
        <f>+IF($I149=N$3,VLOOKUP($H149,Depreciation!$A$6:$L$10,11,FALSE)/2,IF($I149&lt;N$3,VLOOKUP($H149,Depreciation!$A$6:$L$10,11,FALSE),0))</f>
        <v>3.0676363676126896E-2</v>
      </c>
      <c r="O149" s="361">
        <f>+IF($I149=O$3,VLOOKUP($H149,Depreciation!$A$6:$L$10,12,FALSE)/2,IF($I149&lt;O$3,VLOOKUP($H149,Depreciation!$A$6:$L$10,12,FALSE),0))</f>
        <v>3.0676363676126896E-2</v>
      </c>
      <c r="P149" s="362">
        <f t="shared" si="8"/>
        <v>4969486.8216665341</v>
      </c>
      <c r="Q149" s="362">
        <f t="shared" si="9"/>
        <v>4969486.8216665341</v>
      </c>
      <c r="R149" s="363">
        <f t="shared" si="10"/>
        <v>0</v>
      </c>
      <c r="Y149" s="365"/>
    </row>
    <row r="150" spans="1:25" ht="15" customHeight="1">
      <c r="A150" s="359" t="s">
        <v>1191</v>
      </c>
      <c r="B150" s="359" t="s">
        <v>1771</v>
      </c>
      <c r="C150" s="359">
        <v>962</v>
      </c>
      <c r="D150" s="359">
        <v>240</v>
      </c>
      <c r="E150" s="359"/>
      <c r="F150" s="359">
        <v>0</v>
      </c>
      <c r="G150" s="360">
        <v>508638.67860466533</v>
      </c>
      <c r="H150" s="359" t="s">
        <v>4</v>
      </c>
      <c r="I150" s="359">
        <v>2015</v>
      </c>
      <c r="J150" s="361">
        <f>+IF($I150=J$3,VLOOKUP($H150,Depreciation!$A$6:$L$10,7,FALSE)/2,IF($I150&lt;J$3,VLOOKUP($H150,Depreciation!$A$6:$L$10,7,FALSE),0))</f>
        <v>1.595020804044691E-2</v>
      </c>
      <c r="K150" s="361">
        <f>+IF($I150=K$3,VLOOKUP($H150,Depreciation!$A$6:$L$10,8,FALSE)/2,IF($I150&lt;K$3,VLOOKUP($H150,Depreciation!$A$6:$L$10,8,FALSE),0))</f>
        <v>3.0676363676126896E-2</v>
      </c>
      <c r="L150" s="361">
        <f>+IF($I150=L$3,VLOOKUP($H150,Depreciation!$A$6:$L$10,9,FALSE)/2,IF($I150&lt;L$3,VLOOKUP($H150,Depreciation!$A$6:$L$10,9,FALSE),0))</f>
        <v>3.0676363676126896E-2</v>
      </c>
      <c r="M150" s="361">
        <f>+IF($I150=M$3,VLOOKUP($H150,Depreciation!$A$6:$L$10,10,FALSE)/2,IF($I150&lt;M$3,VLOOKUP($H150,Depreciation!$A$6:$L$10,10,FALSE),0))</f>
        <v>3.0676363676126896E-2</v>
      </c>
      <c r="N150" s="361">
        <f>+IF($I150=N$3,VLOOKUP($H150,Depreciation!$A$6:$L$10,11,FALSE)/2,IF($I150&lt;N$3,VLOOKUP($H150,Depreciation!$A$6:$L$10,11,FALSE),0))</f>
        <v>3.0676363676126896E-2</v>
      </c>
      <c r="O150" s="361">
        <f>+IF($I150=O$3,VLOOKUP($H150,Depreciation!$A$6:$L$10,12,FALSE)/2,IF($I150&lt;O$3,VLOOKUP($H150,Depreciation!$A$6:$L$10,12,FALSE),0))</f>
        <v>3.0676363676126896E-2</v>
      </c>
      <c r="P150" s="362">
        <f t="shared" si="8"/>
        <v>500525.78586350294</v>
      </c>
      <c r="Q150" s="362">
        <f t="shared" si="9"/>
        <v>500525.78586350294</v>
      </c>
      <c r="R150" s="363">
        <f t="shared" si="10"/>
        <v>0</v>
      </c>
      <c r="Y150" s="365"/>
    </row>
    <row r="151" spans="1:25" ht="15" customHeight="1">
      <c r="A151" s="359" t="s">
        <v>1191</v>
      </c>
      <c r="B151" s="359" t="s">
        <v>1772</v>
      </c>
      <c r="C151" s="359">
        <v>962</v>
      </c>
      <c r="D151" s="359">
        <v>500</v>
      </c>
      <c r="E151" s="359"/>
      <c r="F151" s="359">
        <v>0</v>
      </c>
      <c r="G151" s="360">
        <v>17806288.979760934</v>
      </c>
      <c r="H151" s="359" t="s">
        <v>4</v>
      </c>
      <c r="I151" s="359">
        <v>2015</v>
      </c>
      <c r="J151" s="361">
        <f>+IF($I151=J$3,VLOOKUP($H151,Depreciation!$A$6:$L$10,7,FALSE)/2,IF($I151&lt;J$3,VLOOKUP($H151,Depreciation!$A$6:$L$10,7,FALSE),0))</f>
        <v>1.595020804044691E-2</v>
      </c>
      <c r="K151" s="361">
        <f>+IF($I151=K$3,VLOOKUP($H151,Depreciation!$A$6:$L$10,8,FALSE)/2,IF($I151&lt;K$3,VLOOKUP($H151,Depreciation!$A$6:$L$10,8,FALSE),0))</f>
        <v>3.0676363676126896E-2</v>
      </c>
      <c r="L151" s="361">
        <f>+IF($I151=L$3,VLOOKUP($H151,Depreciation!$A$6:$L$10,9,FALSE)/2,IF($I151&lt;L$3,VLOOKUP($H151,Depreciation!$A$6:$L$10,9,FALSE),0))</f>
        <v>3.0676363676126896E-2</v>
      </c>
      <c r="M151" s="361">
        <f>+IF($I151=M$3,VLOOKUP($H151,Depreciation!$A$6:$L$10,10,FALSE)/2,IF($I151&lt;M$3,VLOOKUP($H151,Depreciation!$A$6:$L$10,10,FALSE),0))</f>
        <v>3.0676363676126896E-2</v>
      </c>
      <c r="N151" s="361">
        <f>+IF($I151=N$3,VLOOKUP($H151,Depreciation!$A$6:$L$10,11,FALSE)/2,IF($I151&lt;N$3,VLOOKUP($H151,Depreciation!$A$6:$L$10,11,FALSE),0))</f>
        <v>3.0676363676126896E-2</v>
      </c>
      <c r="O151" s="361">
        <f>+IF($I151=O$3,VLOOKUP($H151,Depreciation!$A$6:$L$10,12,FALSE)/2,IF($I151&lt;O$3,VLOOKUP($H151,Depreciation!$A$6:$L$10,12,FALSE),0))</f>
        <v>3.0676363676126896E-2</v>
      </c>
      <c r="P151" s="362">
        <f t="shared" si="8"/>
        <v>17522274.966105431</v>
      </c>
      <c r="Q151" s="362">
        <f t="shared" si="9"/>
        <v>17522274.966105431</v>
      </c>
      <c r="R151" s="363">
        <f t="shared" si="10"/>
        <v>0</v>
      </c>
      <c r="Y151" s="365"/>
    </row>
    <row r="152" spans="1:25" ht="15" customHeight="1">
      <c r="A152" s="359" t="s">
        <v>1191</v>
      </c>
      <c r="B152" s="359" t="s">
        <v>1773</v>
      </c>
      <c r="C152" s="359">
        <v>962</v>
      </c>
      <c r="D152" s="359">
        <v>500</v>
      </c>
      <c r="E152" s="359"/>
      <c r="F152" s="359" t="s">
        <v>1805</v>
      </c>
      <c r="G152" s="360">
        <v>4282968.0875220895</v>
      </c>
      <c r="H152" s="359" t="s">
        <v>38</v>
      </c>
      <c r="I152" s="359">
        <v>2015</v>
      </c>
      <c r="J152" s="361">
        <f>+IF($I152=J$3,VLOOKUP($H152,Depreciation!$A$6:$L$10,7,FALSE)/2,IF($I152&lt;J$3,VLOOKUP($H152,Depreciation!$A$6:$L$10,7,FALSE),0))</f>
        <v>1.1530980651952941E-2</v>
      </c>
      <c r="K152" s="361">
        <f>+IF($I152=K$3,VLOOKUP($H152,Depreciation!$A$6:$L$10,8,FALSE)/2,IF($I152&lt;K$3,VLOOKUP($H152,Depreciation!$A$6:$L$10,8,FALSE),0))</f>
        <v>2.3062337210051284E-2</v>
      </c>
      <c r="L152" s="361">
        <f>+IF($I152=L$3,VLOOKUP($H152,Depreciation!$A$6:$L$10,9,FALSE)/2,IF($I152&lt;L$3,VLOOKUP($H152,Depreciation!$A$6:$L$10,9,FALSE),0))</f>
        <v>2.3063912319658014E-2</v>
      </c>
      <c r="M152" s="361">
        <f>+IF($I152=M$3,VLOOKUP($H152,Depreciation!$A$6:$L$10,10,FALSE)/2,IF($I152&lt;M$3,VLOOKUP($H152,Depreciation!$A$6:$L$10,10,FALSE),0))</f>
        <v>2.3063912319658014E-2</v>
      </c>
      <c r="N152" s="361">
        <f>+IF($I152=N$3,VLOOKUP($H152,Depreciation!$A$6:$L$10,11,FALSE)/2,IF($I152&lt;N$3,VLOOKUP($H152,Depreciation!$A$6:$L$10,11,FALSE),0))</f>
        <v>2.3063912319658014E-2</v>
      </c>
      <c r="O152" s="361">
        <f>+IF($I152=O$3,VLOOKUP($H152,Depreciation!$A$6:$L$10,12,FALSE)/2,IF($I152&lt;O$3,VLOOKUP($H152,Depreciation!$A$6:$L$10,12,FALSE),0))</f>
        <v>2.3063912319658014E-2</v>
      </c>
      <c r="P152" s="362">
        <f t="shared" si="8"/>
        <v>4233581.2653719401</v>
      </c>
      <c r="Q152" s="362">
        <f t="shared" si="9"/>
        <v>4233581.2653719401</v>
      </c>
      <c r="R152" s="363">
        <f t="shared" si="10"/>
        <v>0</v>
      </c>
      <c r="Y152" s="365"/>
    </row>
    <row r="153" spans="1:25" ht="15" customHeight="1">
      <c r="A153" s="359" t="s">
        <v>1191</v>
      </c>
      <c r="B153" s="359" t="s">
        <v>1774</v>
      </c>
      <c r="C153" s="359">
        <v>962</v>
      </c>
      <c r="D153" s="359">
        <v>500</v>
      </c>
      <c r="E153" s="359"/>
      <c r="F153" s="359" t="s">
        <v>1805</v>
      </c>
      <c r="G153" s="360">
        <v>7200931.5202669203</v>
      </c>
      <c r="H153" s="359" t="s">
        <v>38</v>
      </c>
      <c r="I153" s="359">
        <v>2015</v>
      </c>
      <c r="J153" s="361">
        <f>+IF($I153=J$3,VLOOKUP($H153,Depreciation!$A$6:$L$10,7,FALSE)/2,IF($I153&lt;J$3,VLOOKUP($H153,Depreciation!$A$6:$L$10,7,FALSE),0))</f>
        <v>1.1530980651952941E-2</v>
      </c>
      <c r="K153" s="361">
        <f>+IF($I153=K$3,VLOOKUP($H153,Depreciation!$A$6:$L$10,8,FALSE)/2,IF($I153&lt;K$3,VLOOKUP($H153,Depreciation!$A$6:$L$10,8,FALSE),0))</f>
        <v>2.3062337210051284E-2</v>
      </c>
      <c r="L153" s="361">
        <f>+IF($I153=L$3,VLOOKUP($H153,Depreciation!$A$6:$L$10,9,FALSE)/2,IF($I153&lt;L$3,VLOOKUP($H153,Depreciation!$A$6:$L$10,9,FALSE),0))</f>
        <v>2.3063912319658014E-2</v>
      </c>
      <c r="M153" s="361">
        <f>+IF($I153=M$3,VLOOKUP($H153,Depreciation!$A$6:$L$10,10,FALSE)/2,IF($I153&lt;M$3,VLOOKUP($H153,Depreciation!$A$6:$L$10,10,FALSE),0))</f>
        <v>2.3063912319658014E-2</v>
      </c>
      <c r="N153" s="361">
        <f>+IF($I153=N$3,VLOOKUP($H153,Depreciation!$A$6:$L$10,11,FALSE)/2,IF($I153&lt;N$3,VLOOKUP($H153,Depreciation!$A$6:$L$10,11,FALSE),0))</f>
        <v>2.3063912319658014E-2</v>
      </c>
      <c r="O153" s="361">
        <f>+IF($I153=O$3,VLOOKUP($H153,Depreciation!$A$6:$L$10,12,FALSE)/2,IF($I153&lt;O$3,VLOOKUP($H153,Depreciation!$A$6:$L$10,12,FALSE),0))</f>
        <v>2.3063912319658014E-2</v>
      </c>
      <c r="P153" s="362">
        <f t="shared" si="8"/>
        <v>7117897.7182306843</v>
      </c>
      <c r="Q153" s="362">
        <f t="shared" si="9"/>
        <v>7117897.7182306843</v>
      </c>
      <c r="R153" s="363">
        <f t="shared" si="10"/>
        <v>0</v>
      </c>
      <c r="Y153" s="365"/>
    </row>
    <row r="154" spans="1:25" ht="15" customHeight="1">
      <c r="A154" s="359" t="s">
        <v>1191</v>
      </c>
      <c r="B154" s="359" t="s">
        <v>1775</v>
      </c>
      <c r="C154" s="359">
        <v>962</v>
      </c>
      <c r="D154" s="359">
        <v>500</v>
      </c>
      <c r="E154" s="359"/>
      <c r="F154" s="359">
        <v>0</v>
      </c>
      <c r="G154" s="360">
        <v>5797511.6642460758</v>
      </c>
      <c r="H154" s="359" t="s">
        <v>4</v>
      </c>
      <c r="I154" s="359">
        <v>2015</v>
      </c>
      <c r="J154" s="361">
        <f>+IF($I154=J$3,VLOOKUP($H154,Depreciation!$A$6:$L$10,7,FALSE)/2,IF($I154&lt;J$3,VLOOKUP($H154,Depreciation!$A$6:$L$10,7,FALSE),0))</f>
        <v>1.595020804044691E-2</v>
      </c>
      <c r="K154" s="361">
        <f>+IF($I154=K$3,VLOOKUP($H154,Depreciation!$A$6:$L$10,8,FALSE)/2,IF($I154&lt;K$3,VLOOKUP($H154,Depreciation!$A$6:$L$10,8,FALSE),0))</f>
        <v>3.0676363676126896E-2</v>
      </c>
      <c r="L154" s="361">
        <f>+IF($I154=L$3,VLOOKUP($H154,Depreciation!$A$6:$L$10,9,FALSE)/2,IF($I154&lt;L$3,VLOOKUP($H154,Depreciation!$A$6:$L$10,9,FALSE),0))</f>
        <v>3.0676363676126896E-2</v>
      </c>
      <c r="M154" s="361">
        <f>+IF($I154=M$3,VLOOKUP($H154,Depreciation!$A$6:$L$10,10,FALSE)/2,IF($I154&lt;M$3,VLOOKUP($H154,Depreciation!$A$6:$L$10,10,FALSE),0))</f>
        <v>3.0676363676126896E-2</v>
      </c>
      <c r="N154" s="361">
        <f>+IF($I154=N$3,VLOOKUP($H154,Depreciation!$A$6:$L$10,11,FALSE)/2,IF($I154&lt;N$3,VLOOKUP($H154,Depreciation!$A$6:$L$10,11,FALSE),0))</f>
        <v>3.0676363676126896E-2</v>
      </c>
      <c r="O154" s="361">
        <f>+IF($I154=O$3,VLOOKUP($H154,Depreciation!$A$6:$L$10,12,FALSE)/2,IF($I154&lt;O$3,VLOOKUP($H154,Depreciation!$A$6:$L$10,12,FALSE),0))</f>
        <v>3.0676363676126896E-2</v>
      </c>
      <c r="P154" s="362">
        <f t="shared" si="8"/>
        <v>5705040.1470844336</v>
      </c>
      <c r="Q154" s="362">
        <f t="shared" si="9"/>
        <v>5705040.1470844336</v>
      </c>
      <c r="R154" s="363">
        <f t="shared" si="10"/>
        <v>0</v>
      </c>
      <c r="Y154" s="365"/>
    </row>
    <row r="155" spans="1:25" ht="15" customHeight="1">
      <c r="A155" s="359" t="s">
        <v>1191</v>
      </c>
      <c r="B155" s="359" t="s">
        <v>1775</v>
      </c>
      <c r="C155" s="359">
        <v>962</v>
      </c>
      <c r="D155" s="359">
        <v>500</v>
      </c>
      <c r="E155" s="359"/>
      <c r="F155" s="359">
        <v>0</v>
      </c>
      <c r="G155" s="360">
        <v>5797512.9227138078</v>
      </c>
      <c r="H155" s="359" t="s">
        <v>4</v>
      </c>
      <c r="I155" s="359">
        <v>2015</v>
      </c>
      <c r="J155" s="361">
        <f>+IF($I155=J$3,VLOOKUP($H155,Depreciation!$A$6:$L$10,7,FALSE)/2,IF($I155&lt;J$3,VLOOKUP($H155,Depreciation!$A$6:$L$10,7,FALSE),0))</f>
        <v>1.595020804044691E-2</v>
      </c>
      <c r="K155" s="361">
        <f>+IF($I155=K$3,VLOOKUP($H155,Depreciation!$A$6:$L$10,8,FALSE)/2,IF($I155&lt;K$3,VLOOKUP($H155,Depreciation!$A$6:$L$10,8,FALSE),0))</f>
        <v>3.0676363676126896E-2</v>
      </c>
      <c r="L155" s="361">
        <f>+IF($I155=L$3,VLOOKUP($H155,Depreciation!$A$6:$L$10,9,FALSE)/2,IF($I155&lt;L$3,VLOOKUP($H155,Depreciation!$A$6:$L$10,9,FALSE),0))</f>
        <v>3.0676363676126896E-2</v>
      </c>
      <c r="M155" s="361">
        <f>+IF($I155=M$3,VLOOKUP($H155,Depreciation!$A$6:$L$10,10,FALSE)/2,IF($I155&lt;M$3,VLOOKUP($H155,Depreciation!$A$6:$L$10,10,FALSE),0))</f>
        <v>3.0676363676126896E-2</v>
      </c>
      <c r="N155" s="361">
        <f>+IF($I155=N$3,VLOOKUP($H155,Depreciation!$A$6:$L$10,11,FALSE)/2,IF($I155&lt;N$3,VLOOKUP($H155,Depreciation!$A$6:$L$10,11,FALSE),0))</f>
        <v>3.0676363676126896E-2</v>
      </c>
      <c r="O155" s="361">
        <f>+IF($I155=O$3,VLOOKUP($H155,Depreciation!$A$6:$L$10,12,FALSE)/2,IF($I155&lt;O$3,VLOOKUP($H155,Depreciation!$A$6:$L$10,12,FALSE),0))</f>
        <v>3.0676363676126896E-2</v>
      </c>
      <c r="P155" s="362">
        <f t="shared" si="8"/>
        <v>5705041.3854793431</v>
      </c>
      <c r="Q155" s="362">
        <f t="shared" si="9"/>
        <v>5705041.3854793431</v>
      </c>
      <c r="R155" s="363">
        <f t="shared" si="10"/>
        <v>0</v>
      </c>
      <c r="Y155" s="365"/>
    </row>
    <row r="156" spans="1:25" ht="15" customHeight="1">
      <c r="A156" s="359" t="s">
        <v>1191</v>
      </c>
      <c r="B156" s="359" t="s">
        <v>1776</v>
      </c>
      <c r="C156" s="359">
        <v>962</v>
      </c>
      <c r="D156" s="359">
        <v>138</v>
      </c>
      <c r="E156" s="359"/>
      <c r="F156" s="359">
        <v>0</v>
      </c>
      <c r="G156" s="360">
        <v>1759.3378891942859</v>
      </c>
      <c r="H156" s="359" t="s">
        <v>4</v>
      </c>
      <c r="I156" s="359">
        <v>2015</v>
      </c>
      <c r="J156" s="361">
        <f>+IF($I156=J$3,VLOOKUP($H156,Depreciation!$A$6:$L$10,7,FALSE)/2,IF($I156&lt;J$3,VLOOKUP($H156,Depreciation!$A$6:$L$10,7,FALSE),0))</f>
        <v>1.595020804044691E-2</v>
      </c>
      <c r="K156" s="361">
        <f>+IF($I156=K$3,VLOOKUP($H156,Depreciation!$A$6:$L$10,8,FALSE)/2,IF($I156&lt;K$3,VLOOKUP($H156,Depreciation!$A$6:$L$10,8,FALSE),0))</f>
        <v>3.0676363676126896E-2</v>
      </c>
      <c r="L156" s="361">
        <f>+IF($I156=L$3,VLOOKUP($H156,Depreciation!$A$6:$L$10,9,FALSE)/2,IF($I156&lt;L$3,VLOOKUP($H156,Depreciation!$A$6:$L$10,9,FALSE),0))</f>
        <v>3.0676363676126896E-2</v>
      </c>
      <c r="M156" s="361">
        <f>+IF($I156=M$3,VLOOKUP($H156,Depreciation!$A$6:$L$10,10,FALSE)/2,IF($I156&lt;M$3,VLOOKUP($H156,Depreciation!$A$6:$L$10,10,FALSE),0))</f>
        <v>3.0676363676126896E-2</v>
      </c>
      <c r="N156" s="361">
        <f>+IF($I156=N$3,VLOOKUP($H156,Depreciation!$A$6:$L$10,11,FALSE)/2,IF($I156&lt;N$3,VLOOKUP($H156,Depreciation!$A$6:$L$10,11,FALSE),0))</f>
        <v>3.0676363676126896E-2</v>
      </c>
      <c r="O156" s="361">
        <f>+IF($I156=O$3,VLOOKUP($H156,Depreciation!$A$6:$L$10,12,FALSE)/2,IF($I156&lt;O$3,VLOOKUP($H156,Depreciation!$A$6:$L$10,12,FALSE),0))</f>
        <v>3.0676363676126896E-2</v>
      </c>
      <c r="P156" s="362">
        <f t="shared" si="8"/>
        <v>1731.2760838481963</v>
      </c>
      <c r="Q156" s="362">
        <f t="shared" si="9"/>
        <v>0</v>
      </c>
      <c r="R156" s="363">
        <f t="shared" si="10"/>
        <v>1731.2760838481963</v>
      </c>
      <c r="Y156" s="365"/>
    </row>
    <row r="157" spans="1:25" ht="15" customHeight="1">
      <c r="A157" s="359" t="s">
        <v>1191</v>
      </c>
      <c r="B157" s="359" t="s">
        <v>1777</v>
      </c>
      <c r="C157" s="359">
        <v>962</v>
      </c>
      <c r="D157" s="359">
        <v>138</v>
      </c>
      <c r="E157" s="359"/>
      <c r="F157" s="359">
        <v>0</v>
      </c>
      <c r="G157" s="360">
        <v>6009.1834198159622</v>
      </c>
      <c r="H157" s="359" t="s">
        <v>4</v>
      </c>
      <c r="I157" s="359">
        <v>2015</v>
      </c>
      <c r="J157" s="361">
        <f>+IF($I157=J$3,VLOOKUP($H157,Depreciation!$A$6:$L$10,7,FALSE)/2,IF($I157&lt;J$3,VLOOKUP($H157,Depreciation!$A$6:$L$10,7,FALSE),0))</f>
        <v>1.595020804044691E-2</v>
      </c>
      <c r="K157" s="361">
        <f>+IF($I157=K$3,VLOOKUP($H157,Depreciation!$A$6:$L$10,8,FALSE)/2,IF($I157&lt;K$3,VLOOKUP($H157,Depreciation!$A$6:$L$10,8,FALSE),0))</f>
        <v>3.0676363676126896E-2</v>
      </c>
      <c r="L157" s="361">
        <f>+IF($I157=L$3,VLOOKUP($H157,Depreciation!$A$6:$L$10,9,FALSE)/2,IF($I157&lt;L$3,VLOOKUP($H157,Depreciation!$A$6:$L$10,9,FALSE),0))</f>
        <v>3.0676363676126896E-2</v>
      </c>
      <c r="M157" s="361">
        <f>+IF($I157=M$3,VLOOKUP($H157,Depreciation!$A$6:$L$10,10,FALSE)/2,IF($I157&lt;M$3,VLOOKUP($H157,Depreciation!$A$6:$L$10,10,FALSE),0))</f>
        <v>3.0676363676126896E-2</v>
      </c>
      <c r="N157" s="361">
        <f>+IF($I157=N$3,VLOOKUP($H157,Depreciation!$A$6:$L$10,11,FALSE)/2,IF($I157&lt;N$3,VLOOKUP($H157,Depreciation!$A$6:$L$10,11,FALSE),0))</f>
        <v>3.0676363676126896E-2</v>
      </c>
      <c r="O157" s="361">
        <f>+IF($I157=O$3,VLOOKUP($H157,Depreciation!$A$6:$L$10,12,FALSE)/2,IF($I157&lt;O$3,VLOOKUP($H157,Depreciation!$A$6:$L$10,12,FALSE),0))</f>
        <v>3.0676363676126896E-2</v>
      </c>
      <c r="P157" s="362">
        <f t="shared" si="8"/>
        <v>5913.335694116694</v>
      </c>
      <c r="Q157" s="362">
        <f t="shared" si="9"/>
        <v>0</v>
      </c>
      <c r="R157" s="363">
        <f t="shared" si="10"/>
        <v>5913.335694116694</v>
      </c>
      <c r="Y157" s="365"/>
    </row>
    <row r="158" spans="1:25" ht="15" customHeight="1">
      <c r="A158" s="359" t="s">
        <v>1191</v>
      </c>
      <c r="B158" s="359" t="s">
        <v>1778</v>
      </c>
      <c r="C158" s="359">
        <v>962</v>
      </c>
      <c r="D158" s="359">
        <v>138</v>
      </c>
      <c r="E158" s="359"/>
      <c r="F158" s="359">
        <v>0</v>
      </c>
      <c r="G158" s="360">
        <v>649.36934965969351</v>
      </c>
      <c r="H158" s="359" t="s">
        <v>4</v>
      </c>
      <c r="I158" s="359">
        <v>2015</v>
      </c>
      <c r="J158" s="361">
        <f>+IF($I158=J$3,VLOOKUP($H158,Depreciation!$A$6:$L$10,7,FALSE)/2,IF($I158&lt;J$3,VLOOKUP($H158,Depreciation!$A$6:$L$10,7,FALSE),0))</f>
        <v>1.595020804044691E-2</v>
      </c>
      <c r="K158" s="361">
        <f>+IF($I158=K$3,VLOOKUP($H158,Depreciation!$A$6:$L$10,8,FALSE)/2,IF($I158&lt;K$3,VLOOKUP($H158,Depreciation!$A$6:$L$10,8,FALSE),0))</f>
        <v>3.0676363676126896E-2</v>
      </c>
      <c r="L158" s="361">
        <f>+IF($I158=L$3,VLOOKUP($H158,Depreciation!$A$6:$L$10,9,FALSE)/2,IF($I158&lt;L$3,VLOOKUP($H158,Depreciation!$A$6:$L$10,9,FALSE),0))</f>
        <v>3.0676363676126896E-2</v>
      </c>
      <c r="M158" s="361">
        <f>+IF($I158=M$3,VLOOKUP($H158,Depreciation!$A$6:$L$10,10,FALSE)/2,IF($I158&lt;M$3,VLOOKUP($H158,Depreciation!$A$6:$L$10,10,FALSE),0))</f>
        <v>3.0676363676126896E-2</v>
      </c>
      <c r="N158" s="361">
        <f>+IF($I158=N$3,VLOOKUP($H158,Depreciation!$A$6:$L$10,11,FALSE)/2,IF($I158&lt;N$3,VLOOKUP($H158,Depreciation!$A$6:$L$10,11,FALSE),0))</f>
        <v>3.0676363676126896E-2</v>
      </c>
      <c r="O158" s="361">
        <f>+IF($I158=O$3,VLOOKUP($H158,Depreciation!$A$6:$L$10,12,FALSE)/2,IF($I158&lt;O$3,VLOOKUP($H158,Depreciation!$A$6:$L$10,12,FALSE),0))</f>
        <v>3.0676363676126896E-2</v>
      </c>
      <c r="P158" s="362">
        <f t="shared" si="8"/>
        <v>639.0117734375317</v>
      </c>
      <c r="Q158" s="362">
        <f t="shared" si="9"/>
        <v>0</v>
      </c>
      <c r="R158" s="363">
        <f t="shared" si="10"/>
        <v>639.0117734375317</v>
      </c>
      <c r="Y158" s="365"/>
    </row>
    <row r="159" spans="1:25" ht="15" customHeight="1">
      <c r="A159" s="359" t="s">
        <v>1191</v>
      </c>
      <c r="B159" s="359" t="s">
        <v>1779</v>
      </c>
      <c r="C159" s="359">
        <v>962</v>
      </c>
      <c r="D159" s="359">
        <v>138</v>
      </c>
      <c r="E159" s="359"/>
      <c r="F159" s="359">
        <v>0</v>
      </c>
      <c r="G159" s="360">
        <v>36306.794065275499</v>
      </c>
      <c r="H159" s="359" t="s">
        <v>4</v>
      </c>
      <c r="I159" s="359">
        <v>2015</v>
      </c>
      <c r="J159" s="361">
        <f>+IF($I159=J$3,VLOOKUP($H159,Depreciation!$A$6:$L$10,7,FALSE)/2,IF($I159&lt;J$3,VLOOKUP($H159,Depreciation!$A$6:$L$10,7,FALSE),0))</f>
        <v>1.595020804044691E-2</v>
      </c>
      <c r="K159" s="361">
        <f>+IF($I159=K$3,VLOOKUP($H159,Depreciation!$A$6:$L$10,8,FALSE)/2,IF($I159&lt;K$3,VLOOKUP($H159,Depreciation!$A$6:$L$10,8,FALSE),0))</f>
        <v>3.0676363676126896E-2</v>
      </c>
      <c r="L159" s="361">
        <f>+IF($I159=L$3,VLOOKUP($H159,Depreciation!$A$6:$L$10,9,FALSE)/2,IF($I159&lt;L$3,VLOOKUP($H159,Depreciation!$A$6:$L$10,9,FALSE),0))</f>
        <v>3.0676363676126896E-2</v>
      </c>
      <c r="M159" s="361">
        <f>+IF($I159=M$3,VLOOKUP($H159,Depreciation!$A$6:$L$10,10,FALSE)/2,IF($I159&lt;M$3,VLOOKUP($H159,Depreciation!$A$6:$L$10,10,FALSE),0))</f>
        <v>3.0676363676126896E-2</v>
      </c>
      <c r="N159" s="361">
        <f>+IF($I159=N$3,VLOOKUP($H159,Depreciation!$A$6:$L$10,11,FALSE)/2,IF($I159&lt;N$3,VLOOKUP($H159,Depreciation!$A$6:$L$10,11,FALSE),0))</f>
        <v>3.0676363676126896E-2</v>
      </c>
      <c r="O159" s="361">
        <f>+IF($I159=O$3,VLOOKUP($H159,Depreciation!$A$6:$L$10,12,FALSE)/2,IF($I159&lt;O$3,VLOOKUP($H159,Depreciation!$A$6:$L$10,12,FALSE),0))</f>
        <v>3.0676363676126896E-2</v>
      </c>
      <c r="P159" s="362">
        <f t="shared" si="8"/>
        <v>35727.693146652695</v>
      </c>
      <c r="Q159" s="362">
        <f t="shared" si="9"/>
        <v>0</v>
      </c>
      <c r="R159" s="363">
        <f t="shared" si="10"/>
        <v>35727.693146652695</v>
      </c>
      <c r="Y159" s="365"/>
    </row>
    <row r="160" spans="1:25" ht="15" customHeight="1">
      <c r="A160" s="359" t="s">
        <v>1191</v>
      </c>
      <c r="B160" s="359" t="s">
        <v>1780</v>
      </c>
      <c r="C160" s="359">
        <v>962</v>
      </c>
      <c r="D160" s="359">
        <v>138</v>
      </c>
      <c r="E160" s="359"/>
      <c r="F160" s="359" t="s">
        <v>1805</v>
      </c>
      <c r="G160" s="360">
        <v>1102453.8091297615</v>
      </c>
      <c r="H160" s="359" t="s">
        <v>38</v>
      </c>
      <c r="I160" s="359">
        <v>2015</v>
      </c>
      <c r="J160" s="361">
        <f>+IF($I160=J$3,VLOOKUP($H160,Depreciation!$A$6:$L$10,7,FALSE)/2,IF($I160&lt;J$3,VLOOKUP($H160,Depreciation!$A$6:$L$10,7,FALSE),0))</f>
        <v>1.1530980651952941E-2</v>
      </c>
      <c r="K160" s="361">
        <f>+IF($I160=K$3,VLOOKUP($H160,Depreciation!$A$6:$L$10,8,FALSE)/2,IF($I160&lt;K$3,VLOOKUP($H160,Depreciation!$A$6:$L$10,8,FALSE),0))</f>
        <v>2.3062337210051284E-2</v>
      </c>
      <c r="L160" s="361">
        <f>+IF($I160=L$3,VLOOKUP($H160,Depreciation!$A$6:$L$10,9,FALSE)/2,IF($I160&lt;L$3,VLOOKUP($H160,Depreciation!$A$6:$L$10,9,FALSE),0))</f>
        <v>2.3063912319658014E-2</v>
      </c>
      <c r="M160" s="361">
        <f>+IF($I160=M$3,VLOOKUP($H160,Depreciation!$A$6:$L$10,10,FALSE)/2,IF($I160&lt;M$3,VLOOKUP($H160,Depreciation!$A$6:$L$10,10,FALSE),0))</f>
        <v>2.3063912319658014E-2</v>
      </c>
      <c r="N160" s="361">
        <f>+IF($I160=N$3,VLOOKUP($H160,Depreciation!$A$6:$L$10,11,FALSE)/2,IF($I160&lt;N$3,VLOOKUP($H160,Depreciation!$A$6:$L$10,11,FALSE),0))</f>
        <v>2.3063912319658014E-2</v>
      </c>
      <c r="O160" s="361">
        <f>+IF($I160=O$3,VLOOKUP($H160,Depreciation!$A$6:$L$10,12,FALSE)/2,IF($I160&lt;O$3,VLOOKUP($H160,Depreciation!$A$6:$L$10,12,FALSE),0))</f>
        <v>2.3063912319658014E-2</v>
      </c>
      <c r="P160" s="362">
        <f t="shared" si="8"/>
        <v>1089741.4355870145</v>
      </c>
      <c r="Q160" s="362">
        <f t="shared" si="9"/>
        <v>0</v>
      </c>
      <c r="R160" s="363">
        <f t="shared" si="10"/>
        <v>1089741.4355870145</v>
      </c>
      <c r="Y160" s="365"/>
    </row>
    <row r="161" spans="1:25" ht="15" customHeight="1">
      <c r="A161" s="359" t="s">
        <v>1191</v>
      </c>
      <c r="B161" s="359" t="s">
        <v>1781</v>
      </c>
      <c r="C161" s="359">
        <v>962</v>
      </c>
      <c r="D161" s="359">
        <v>138</v>
      </c>
      <c r="E161" s="359"/>
      <c r="F161" s="359">
        <v>0</v>
      </c>
      <c r="G161" s="360">
        <v>357.40483585921118</v>
      </c>
      <c r="H161" s="359" t="s">
        <v>4</v>
      </c>
      <c r="I161" s="359">
        <v>2015</v>
      </c>
      <c r="J161" s="361">
        <f>+IF($I161=J$3,VLOOKUP($H161,Depreciation!$A$6:$L$10,7,FALSE)/2,IF($I161&lt;J$3,VLOOKUP($H161,Depreciation!$A$6:$L$10,7,FALSE),0))</f>
        <v>1.595020804044691E-2</v>
      </c>
      <c r="K161" s="361">
        <f>+IF($I161=K$3,VLOOKUP($H161,Depreciation!$A$6:$L$10,8,FALSE)/2,IF($I161&lt;K$3,VLOOKUP($H161,Depreciation!$A$6:$L$10,8,FALSE),0))</f>
        <v>3.0676363676126896E-2</v>
      </c>
      <c r="L161" s="361">
        <f>+IF($I161=L$3,VLOOKUP($H161,Depreciation!$A$6:$L$10,9,FALSE)/2,IF($I161&lt;L$3,VLOOKUP($H161,Depreciation!$A$6:$L$10,9,FALSE),0))</f>
        <v>3.0676363676126896E-2</v>
      </c>
      <c r="M161" s="361">
        <f>+IF($I161=M$3,VLOOKUP($H161,Depreciation!$A$6:$L$10,10,FALSE)/2,IF($I161&lt;M$3,VLOOKUP($H161,Depreciation!$A$6:$L$10,10,FALSE),0))</f>
        <v>3.0676363676126896E-2</v>
      </c>
      <c r="N161" s="361">
        <f>+IF($I161=N$3,VLOOKUP($H161,Depreciation!$A$6:$L$10,11,FALSE)/2,IF($I161&lt;N$3,VLOOKUP($H161,Depreciation!$A$6:$L$10,11,FALSE),0))</f>
        <v>3.0676363676126896E-2</v>
      </c>
      <c r="O161" s="361">
        <f>+IF($I161=O$3,VLOOKUP($H161,Depreciation!$A$6:$L$10,12,FALSE)/2,IF($I161&lt;O$3,VLOOKUP($H161,Depreciation!$A$6:$L$10,12,FALSE),0))</f>
        <v>3.0676363676126896E-2</v>
      </c>
      <c r="P161" s="362">
        <f t="shared" si="8"/>
        <v>351.70415437259499</v>
      </c>
      <c r="Q161" s="362">
        <f t="shared" si="9"/>
        <v>0</v>
      </c>
      <c r="R161" s="363">
        <f t="shared" si="10"/>
        <v>351.70415437259499</v>
      </c>
      <c r="Y161" s="365"/>
    </row>
    <row r="162" spans="1:25" ht="15" customHeight="1">
      <c r="A162" s="359" t="s">
        <v>1191</v>
      </c>
      <c r="B162" s="359" t="s">
        <v>1782</v>
      </c>
      <c r="C162" s="359">
        <v>962</v>
      </c>
      <c r="D162" s="359">
        <v>240</v>
      </c>
      <c r="E162" s="359"/>
      <c r="F162" s="359">
        <v>0</v>
      </c>
      <c r="G162" s="360">
        <v>3139139.5289961915</v>
      </c>
      <c r="H162" s="359" t="s">
        <v>4</v>
      </c>
      <c r="I162" s="359">
        <v>2015</v>
      </c>
      <c r="J162" s="361">
        <f>+IF($I162=J$3,VLOOKUP($H162,Depreciation!$A$6:$L$10,7,FALSE)/2,IF($I162&lt;J$3,VLOOKUP($H162,Depreciation!$A$6:$L$10,7,FALSE),0))</f>
        <v>1.595020804044691E-2</v>
      </c>
      <c r="K162" s="361">
        <f>+IF($I162=K$3,VLOOKUP($H162,Depreciation!$A$6:$L$10,8,FALSE)/2,IF($I162&lt;K$3,VLOOKUP($H162,Depreciation!$A$6:$L$10,8,FALSE),0))</f>
        <v>3.0676363676126896E-2</v>
      </c>
      <c r="L162" s="361">
        <f>+IF($I162=L$3,VLOOKUP($H162,Depreciation!$A$6:$L$10,9,FALSE)/2,IF($I162&lt;L$3,VLOOKUP($H162,Depreciation!$A$6:$L$10,9,FALSE),0))</f>
        <v>3.0676363676126896E-2</v>
      </c>
      <c r="M162" s="361">
        <f>+IF($I162=M$3,VLOOKUP($H162,Depreciation!$A$6:$L$10,10,FALSE)/2,IF($I162&lt;M$3,VLOOKUP($H162,Depreciation!$A$6:$L$10,10,FALSE),0))</f>
        <v>3.0676363676126896E-2</v>
      </c>
      <c r="N162" s="361">
        <f>+IF($I162=N$3,VLOOKUP($H162,Depreciation!$A$6:$L$10,11,FALSE)/2,IF($I162&lt;N$3,VLOOKUP($H162,Depreciation!$A$6:$L$10,11,FALSE),0))</f>
        <v>3.0676363676126896E-2</v>
      </c>
      <c r="O162" s="361">
        <f>+IF($I162=O$3,VLOOKUP($H162,Depreciation!$A$6:$L$10,12,FALSE)/2,IF($I162&lt;O$3,VLOOKUP($H162,Depreciation!$A$6:$L$10,12,FALSE),0))</f>
        <v>3.0676363676126896E-2</v>
      </c>
      <c r="P162" s="362">
        <f t="shared" si="8"/>
        <v>3089069.6004407117</v>
      </c>
      <c r="Q162" s="362">
        <f t="shared" si="9"/>
        <v>3089069.6004407117</v>
      </c>
      <c r="R162" s="363">
        <f t="shared" si="10"/>
        <v>0</v>
      </c>
      <c r="Y162" s="365"/>
    </row>
    <row r="163" spans="1:25" ht="15" customHeight="1">
      <c r="A163" s="359" t="s">
        <v>1191</v>
      </c>
      <c r="B163" s="359" t="s">
        <v>1783</v>
      </c>
      <c r="C163" s="359">
        <v>962</v>
      </c>
      <c r="D163" s="359">
        <v>240</v>
      </c>
      <c r="E163" s="359"/>
      <c r="F163" s="359">
        <v>0</v>
      </c>
      <c r="G163" s="360">
        <v>2722397.9395779595</v>
      </c>
      <c r="H163" s="359" t="s">
        <v>4</v>
      </c>
      <c r="I163" s="359">
        <v>2015</v>
      </c>
      <c r="J163" s="361">
        <f>+IF($I163=J$3,VLOOKUP($H163,Depreciation!$A$6:$L$10,7,FALSE)/2,IF($I163&lt;J$3,VLOOKUP($H163,Depreciation!$A$6:$L$10,7,FALSE),0))</f>
        <v>1.595020804044691E-2</v>
      </c>
      <c r="K163" s="361">
        <f>+IF($I163=K$3,VLOOKUP($H163,Depreciation!$A$6:$L$10,8,FALSE)/2,IF($I163&lt;K$3,VLOOKUP($H163,Depreciation!$A$6:$L$10,8,FALSE),0))</f>
        <v>3.0676363676126896E-2</v>
      </c>
      <c r="L163" s="361">
        <f>+IF($I163=L$3,VLOOKUP($H163,Depreciation!$A$6:$L$10,9,FALSE)/2,IF($I163&lt;L$3,VLOOKUP($H163,Depreciation!$A$6:$L$10,9,FALSE),0))</f>
        <v>3.0676363676126896E-2</v>
      </c>
      <c r="M163" s="361">
        <f>+IF($I163=M$3,VLOOKUP($H163,Depreciation!$A$6:$L$10,10,FALSE)/2,IF($I163&lt;M$3,VLOOKUP($H163,Depreciation!$A$6:$L$10,10,FALSE),0))</f>
        <v>3.0676363676126896E-2</v>
      </c>
      <c r="N163" s="361">
        <f>+IF($I163=N$3,VLOOKUP($H163,Depreciation!$A$6:$L$10,11,FALSE)/2,IF($I163&lt;N$3,VLOOKUP($H163,Depreciation!$A$6:$L$10,11,FALSE),0))</f>
        <v>3.0676363676126896E-2</v>
      </c>
      <c r="O163" s="361">
        <f>+IF($I163=O$3,VLOOKUP($H163,Depreciation!$A$6:$L$10,12,FALSE)/2,IF($I163&lt;O$3,VLOOKUP($H163,Depreciation!$A$6:$L$10,12,FALSE),0))</f>
        <v>3.0676363676126896E-2</v>
      </c>
      <c r="P163" s="362">
        <f t="shared" si="8"/>
        <v>2678975.1260728072</v>
      </c>
      <c r="Q163" s="362">
        <f t="shared" si="9"/>
        <v>2678975.1260728072</v>
      </c>
      <c r="R163" s="363">
        <f t="shared" si="10"/>
        <v>0</v>
      </c>
      <c r="Y163" s="365"/>
    </row>
    <row r="164" spans="1:25">
      <c r="A164" s="377" t="s">
        <v>1191</v>
      </c>
      <c r="B164" s="377" t="s">
        <v>1784</v>
      </c>
      <c r="C164" s="377">
        <v>962</v>
      </c>
      <c r="D164" s="377">
        <v>240</v>
      </c>
      <c r="E164" s="377"/>
      <c r="F164" s="377">
        <v>0</v>
      </c>
      <c r="G164" s="360">
        <v>1942419.7748308987</v>
      </c>
      <c r="H164" s="377" t="s">
        <v>4</v>
      </c>
      <c r="I164" s="377">
        <v>2015</v>
      </c>
      <c r="J164" s="361">
        <f>+IF($I164=J$3,VLOOKUP($H164,Depreciation!$A$6:$L$10,7,FALSE)/2,IF($I164&lt;J$3,VLOOKUP($H164,Depreciation!$A$6:$L$10,7,FALSE),0))</f>
        <v>1.595020804044691E-2</v>
      </c>
      <c r="K164" s="361">
        <f>+IF($I164=K$3,VLOOKUP($H164,Depreciation!$A$6:$L$10,8,FALSE)/2,IF($I164&lt;K$3,VLOOKUP($H164,Depreciation!$A$6:$L$10,8,FALSE),0))</f>
        <v>3.0676363676126896E-2</v>
      </c>
      <c r="L164" s="361">
        <f>+IF($I164=L$3,VLOOKUP($H164,Depreciation!$A$6:$L$10,9,FALSE)/2,IF($I164&lt;L$3,VLOOKUP($H164,Depreciation!$A$6:$L$10,9,FALSE),0))</f>
        <v>3.0676363676126896E-2</v>
      </c>
      <c r="M164" s="361">
        <f>+IF($I164=M$3,VLOOKUP($H164,Depreciation!$A$6:$L$10,10,FALSE)/2,IF($I164&lt;M$3,VLOOKUP($H164,Depreciation!$A$6:$L$10,10,FALSE),0))</f>
        <v>3.0676363676126896E-2</v>
      </c>
      <c r="N164" s="361">
        <f>+IF($I164=N$3,VLOOKUP($H164,Depreciation!$A$6:$L$10,11,FALSE)/2,IF($I164&lt;N$3,VLOOKUP($H164,Depreciation!$A$6:$L$10,11,FALSE),0))</f>
        <v>3.0676363676126896E-2</v>
      </c>
      <c r="O164" s="361">
        <f>+IF($I164=O$3,VLOOKUP($H164,Depreciation!$A$6:$L$10,12,FALSE)/2,IF($I164&lt;O$3,VLOOKUP($H164,Depreciation!$A$6:$L$10,12,FALSE),0))</f>
        <v>3.0676363676126896E-2</v>
      </c>
      <c r="P164" s="362">
        <f t="shared" si="8"/>
        <v>1911437.775320468</v>
      </c>
      <c r="Q164" s="362">
        <f t="shared" si="9"/>
        <v>1911437.775320468</v>
      </c>
      <c r="R164" s="363">
        <f t="shared" si="10"/>
        <v>0</v>
      </c>
    </row>
    <row r="165" spans="1:25">
      <c r="A165" s="377" t="s">
        <v>1191</v>
      </c>
      <c r="B165" s="377" t="s">
        <v>1785</v>
      </c>
      <c r="C165" s="377">
        <v>962</v>
      </c>
      <c r="D165" s="377">
        <v>240</v>
      </c>
      <c r="E165" s="377"/>
      <c r="F165" s="377">
        <v>0</v>
      </c>
      <c r="G165" s="360">
        <v>5765561.6854686337</v>
      </c>
      <c r="H165" s="377" t="s">
        <v>4</v>
      </c>
      <c r="I165" s="377">
        <v>2015</v>
      </c>
      <c r="J165" s="361">
        <f>+IF($I165=J$3,VLOOKUP($H165,Depreciation!$A$6:$L$10,7,FALSE)/2,IF($I165&lt;J$3,VLOOKUP($H165,Depreciation!$A$6:$L$10,7,FALSE),0))</f>
        <v>1.595020804044691E-2</v>
      </c>
      <c r="K165" s="361">
        <f>+IF($I165=K$3,VLOOKUP($H165,Depreciation!$A$6:$L$10,8,FALSE)/2,IF($I165&lt;K$3,VLOOKUP($H165,Depreciation!$A$6:$L$10,8,FALSE),0))</f>
        <v>3.0676363676126896E-2</v>
      </c>
      <c r="L165" s="361">
        <f>+IF($I165=L$3,VLOOKUP($H165,Depreciation!$A$6:$L$10,9,FALSE)/2,IF($I165&lt;L$3,VLOOKUP($H165,Depreciation!$A$6:$L$10,9,FALSE),0))</f>
        <v>3.0676363676126896E-2</v>
      </c>
      <c r="M165" s="361">
        <f>+IF($I165=M$3,VLOOKUP($H165,Depreciation!$A$6:$L$10,10,FALSE)/2,IF($I165&lt;M$3,VLOOKUP($H165,Depreciation!$A$6:$L$10,10,FALSE),0))</f>
        <v>3.0676363676126896E-2</v>
      </c>
      <c r="N165" s="361">
        <f>+IF($I165=N$3,VLOOKUP($H165,Depreciation!$A$6:$L$10,11,FALSE)/2,IF($I165&lt;N$3,VLOOKUP($H165,Depreciation!$A$6:$L$10,11,FALSE),0))</f>
        <v>3.0676363676126896E-2</v>
      </c>
      <c r="O165" s="361">
        <f>+IF($I165=O$3,VLOOKUP($H165,Depreciation!$A$6:$L$10,12,FALSE)/2,IF($I165&lt;O$3,VLOOKUP($H165,Depreciation!$A$6:$L$10,12,FALSE),0))</f>
        <v>3.0676363676126896E-2</v>
      </c>
      <c r="P165" s="362">
        <f t="shared" si="8"/>
        <v>5673599.7771153795</v>
      </c>
      <c r="Q165" s="362">
        <f t="shared" si="9"/>
        <v>5673599.7771153795</v>
      </c>
      <c r="R165" s="363">
        <f t="shared" si="10"/>
        <v>0</v>
      </c>
    </row>
    <row r="166" spans="1:25">
      <c r="A166" s="377" t="s">
        <v>1191</v>
      </c>
      <c r="B166" s="377" t="s">
        <v>1786</v>
      </c>
      <c r="C166" s="377">
        <v>962</v>
      </c>
      <c r="D166" s="377">
        <v>240</v>
      </c>
      <c r="E166" s="377"/>
      <c r="F166" s="377">
        <v>0</v>
      </c>
      <c r="G166" s="360">
        <v>2839515.9805793739</v>
      </c>
      <c r="H166" s="377" t="s">
        <v>4</v>
      </c>
      <c r="I166" s="377">
        <v>2015</v>
      </c>
      <c r="J166" s="361">
        <f>+IF($I166=J$3,VLOOKUP($H166,Depreciation!$A$6:$L$10,7,FALSE)/2,IF($I166&lt;J$3,VLOOKUP($H166,Depreciation!$A$6:$L$10,7,FALSE),0))</f>
        <v>1.595020804044691E-2</v>
      </c>
      <c r="K166" s="361">
        <f>+IF($I166=K$3,VLOOKUP($H166,Depreciation!$A$6:$L$10,8,FALSE)/2,IF($I166&lt;K$3,VLOOKUP($H166,Depreciation!$A$6:$L$10,8,FALSE),0))</f>
        <v>3.0676363676126896E-2</v>
      </c>
      <c r="L166" s="361">
        <f>+IF($I166=L$3,VLOOKUP($H166,Depreciation!$A$6:$L$10,9,FALSE)/2,IF($I166&lt;L$3,VLOOKUP($H166,Depreciation!$A$6:$L$10,9,FALSE),0))</f>
        <v>3.0676363676126896E-2</v>
      </c>
      <c r="M166" s="361">
        <f>+IF($I166=M$3,VLOOKUP($H166,Depreciation!$A$6:$L$10,10,FALSE)/2,IF($I166&lt;M$3,VLOOKUP($H166,Depreciation!$A$6:$L$10,10,FALSE),0))</f>
        <v>3.0676363676126896E-2</v>
      </c>
      <c r="N166" s="361">
        <f>+IF($I166=N$3,VLOOKUP($H166,Depreciation!$A$6:$L$10,11,FALSE)/2,IF($I166&lt;N$3,VLOOKUP($H166,Depreciation!$A$6:$L$10,11,FALSE),0))</f>
        <v>3.0676363676126896E-2</v>
      </c>
      <c r="O166" s="361">
        <f>+IF($I166=O$3,VLOOKUP($H166,Depreciation!$A$6:$L$10,12,FALSE)/2,IF($I166&lt;O$3,VLOOKUP($H166,Depreciation!$A$6:$L$10,12,FALSE),0))</f>
        <v>3.0676363676126896E-2</v>
      </c>
      <c r="P166" s="362">
        <f t="shared" si="8"/>
        <v>2794225.1099549592</v>
      </c>
      <c r="Q166" s="362">
        <f t="shared" si="9"/>
        <v>2794225.1099549592</v>
      </c>
      <c r="R166" s="363">
        <f t="shared" si="10"/>
        <v>0</v>
      </c>
    </row>
    <row r="167" spans="1:25">
      <c r="A167" s="377" t="s">
        <v>2052</v>
      </c>
      <c r="B167" s="377" t="s">
        <v>1787</v>
      </c>
      <c r="C167" s="377">
        <v>962</v>
      </c>
      <c r="D167" s="377">
        <v>500</v>
      </c>
      <c r="E167" s="377"/>
      <c r="F167" s="377">
        <v>0</v>
      </c>
      <c r="G167" s="360">
        <v>968825472.25300002</v>
      </c>
      <c r="H167" s="377" t="s">
        <v>4</v>
      </c>
      <c r="I167" s="377">
        <v>2015</v>
      </c>
      <c r="J167" s="361">
        <f>+IF($I167=J$3,VLOOKUP($H167,Depreciation!$A$6:$L$10,7,FALSE)/2,IF($I167&lt;J$3,VLOOKUP($H167,Depreciation!$A$6:$L$10,7,FALSE),0))</f>
        <v>1.595020804044691E-2</v>
      </c>
      <c r="K167" s="361">
        <f>+IF($I167=K$3,VLOOKUP($H167,Depreciation!$A$6:$L$10,8,FALSE)/2,IF($I167&lt;K$3,VLOOKUP($H167,Depreciation!$A$6:$L$10,8,FALSE),0))</f>
        <v>3.0676363676126896E-2</v>
      </c>
      <c r="L167" s="361">
        <f>+IF($I167=L$3,VLOOKUP($H167,Depreciation!$A$6:$L$10,9,FALSE)/2,IF($I167&lt;L$3,VLOOKUP($H167,Depreciation!$A$6:$L$10,9,FALSE),0))</f>
        <v>3.0676363676126896E-2</v>
      </c>
      <c r="M167" s="361">
        <f>+IF($I167=M$3,VLOOKUP($H167,Depreciation!$A$6:$L$10,10,FALSE)/2,IF($I167&lt;M$3,VLOOKUP($H167,Depreciation!$A$6:$L$10,10,FALSE),0))</f>
        <v>3.0676363676126896E-2</v>
      </c>
      <c r="N167" s="361">
        <f>+IF($I167=N$3,VLOOKUP($H167,Depreciation!$A$6:$L$10,11,FALSE)/2,IF($I167&lt;N$3,VLOOKUP($H167,Depreciation!$A$6:$L$10,11,FALSE),0))</f>
        <v>3.0676363676126896E-2</v>
      </c>
      <c r="O167" s="361">
        <f>+IF($I167=O$3,VLOOKUP($H167,Depreciation!$A$6:$L$10,12,FALSE)/2,IF($I167&lt;O$3,VLOOKUP($H167,Depreciation!$A$6:$L$10,12,FALSE),0))</f>
        <v>3.0676363676126896E-2</v>
      </c>
      <c r="P167" s="362">
        <f t="shared" si="8"/>
        <v>953372504.41568041</v>
      </c>
      <c r="Q167" s="362">
        <f t="shared" si="9"/>
        <v>953372504.41568041</v>
      </c>
      <c r="R167" s="363">
        <f t="shared" si="10"/>
        <v>0</v>
      </c>
    </row>
    <row r="168" spans="1:25">
      <c r="A168" s="377" t="s">
        <v>1191</v>
      </c>
      <c r="B168" s="377" t="s">
        <v>1788</v>
      </c>
      <c r="C168" s="377">
        <v>1101</v>
      </c>
      <c r="D168" s="377">
        <v>240</v>
      </c>
      <c r="E168" s="377"/>
      <c r="F168" s="377" t="s">
        <v>1209</v>
      </c>
      <c r="G168" s="360">
        <v>1698665.125113552</v>
      </c>
      <c r="H168" s="377" t="s">
        <v>4</v>
      </c>
      <c r="I168" s="377">
        <v>2016</v>
      </c>
      <c r="J168" s="361">
        <f>+IF($I168=J$3,VLOOKUP($H168,Depreciation!$A$6:$L$10,7,FALSE)/2,IF($I168&lt;J$3,VLOOKUP($H168,Depreciation!$A$6:$L$10,7,FALSE),0))</f>
        <v>0</v>
      </c>
      <c r="K168" s="361">
        <f>+IF($I168=K$3,VLOOKUP($H168,Depreciation!$A$6:$L$10,8,FALSE)/2,IF($I168&lt;K$3,VLOOKUP($H168,Depreciation!$A$6:$L$10,8,FALSE),0))</f>
        <v>1.5338181838063448E-2</v>
      </c>
      <c r="L168" s="361">
        <f>+IF($I168=L$3,VLOOKUP($H168,Depreciation!$A$6:$L$10,9,FALSE)/2,IF($I168&lt;L$3,VLOOKUP($H168,Depreciation!$A$6:$L$10,9,FALSE),0))</f>
        <v>3.0676363676126896E-2</v>
      </c>
      <c r="M168" s="361">
        <f>+IF($I168=M$3,VLOOKUP($H168,Depreciation!$A$6:$L$10,10,FALSE)/2,IF($I168&lt;M$3,VLOOKUP($H168,Depreciation!$A$6:$L$10,10,FALSE),0))</f>
        <v>3.0676363676126896E-2</v>
      </c>
      <c r="N168" s="361">
        <f>+IF($I168=N$3,VLOOKUP($H168,Depreciation!$A$6:$L$10,11,FALSE)/2,IF($I168&lt;N$3,VLOOKUP($H168,Depreciation!$A$6:$L$10,11,FALSE),0))</f>
        <v>3.0676363676126896E-2</v>
      </c>
      <c r="O168" s="361">
        <f>+IF($I168=O$3,VLOOKUP($H168,Depreciation!$A$6:$L$10,12,FALSE)/2,IF($I168&lt;O$3,VLOOKUP($H168,Depreciation!$A$6:$L$10,12,FALSE),0))</f>
        <v>3.0676363676126896E-2</v>
      </c>
      <c r="P168" s="362">
        <f t="shared" si="8"/>
        <v>0</v>
      </c>
      <c r="Q168" s="362">
        <f t="shared" si="9"/>
        <v>0</v>
      </c>
      <c r="R168" s="363">
        <f t="shared" si="10"/>
        <v>0</v>
      </c>
    </row>
    <row r="169" spans="1:25">
      <c r="A169" s="377" t="s">
        <v>1191</v>
      </c>
      <c r="B169" s="377" t="s">
        <v>1789</v>
      </c>
      <c r="C169" s="377">
        <v>1101</v>
      </c>
      <c r="D169" s="377">
        <v>240</v>
      </c>
      <c r="E169" s="377"/>
      <c r="F169" s="377" t="s">
        <v>1209</v>
      </c>
      <c r="G169" s="360">
        <v>84737752.660274148</v>
      </c>
      <c r="H169" s="377" t="s">
        <v>4</v>
      </c>
      <c r="I169" s="377">
        <v>2016</v>
      </c>
      <c r="J169" s="361">
        <f>+IF($I169=J$3,VLOOKUP($H169,Depreciation!$A$6:$L$10,7,FALSE)/2,IF($I169&lt;J$3,VLOOKUP($H169,Depreciation!$A$6:$L$10,7,FALSE),0))</f>
        <v>0</v>
      </c>
      <c r="K169" s="361">
        <f>+IF($I169=K$3,VLOOKUP($H169,Depreciation!$A$6:$L$10,8,FALSE)/2,IF($I169&lt;K$3,VLOOKUP($H169,Depreciation!$A$6:$L$10,8,FALSE),0))</f>
        <v>1.5338181838063448E-2</v>
      </c>
      <c r="L169" s="361">
        <f>+IF($I169=L$3,VLOOKUP($H169,Depreciation!$A$6:$L$10,9,FALSE)/2,IF($I169&lt;L$3,VLOOKUP($H169,Depreciation!$A$6:$L$10,9,FALSE),0))</f>
        <v>3.0676363676126896E-2</v>
      </c>
      <c r="M169" s="361">
        <f>+IF($I169=M$3,VLOOKUP($H169,Depreciation!$A$6:$L$10,10,FALSE)/2,IF($I169&lt;M$3,VLOOKUP($H169,Depreciation!$A$6:$L$10,10,FALSE),0))</f>
        <v>3.0676363676126896E-2</v>
      </c>
      <c r="N169" s="361">
        <f>+IF($I169=N$3,VLOOKUP($H169,Depreciation!$A$6:$L$10,11,FALSE)/2,IF($I169&lt;N$3,VLOOKUP($H169,Depreciation!$A$6:$L$10,11,FALSE),0))</f>
        <v>3.0676363676126896E-2</v>
      </c>
      <c r="O169" s="361">
        <f>+IF($I169=O$3,VLOOKUP($H169,Depreciation!$A$6:$L$10,12,FALSE)/2,IF($I169&lt;O$3,VLOOKUP($H169,Depreciation!$A$6:$L$10,12,FALSE),0))</f>
        <v>3.0676363676126896E-2</v>
      </c>
      <c r="P169" s="362">
        <f t="shared" si="8"/>
        <v>0</v>
      </c>
      <c r="Q169" s="362">
        <f t="shared" si="9"/>
        <v>0</v>
      </c>
      <c r="R169" s="363">
        <f t="shared" si="10"/>
        <v>0</v>
      </c>
    </row>
    <row r="170" spans="1:25">
      <c r="A170" s="377" t="s">
        <v>1191</v>
      </c>
      <c r="B170" s="377" t="s">
        <v>1221</v>
      </c>
      <c r="C170" s="377">
        <v>1101</v>
      </c>
      <c r="D170" s="377">
        <v>240</v>
      </c>
      <c r="E170" s="377"/>
      <c r="F170" s="377" t="s">
        <v>1209</v>
      </c>
      <c r="G170" s="360">
        <v>87576930.822218701</v>
      </c>
      <c r="H170" s="377" t="s">
        <v>4</v>
      </c>
      <c r="I170" s="377">
        <v>2016</v>
      </c>
      <c r="J170" s="361">
        <f>+IF($I170=J$3,VLOOKUP($H170,Depreciation!$A$6:$L$10,7,FALSE)/2,IF($I170&lt;J$3,VLOOKUP($H170,Depreciation!$A$6:$L$10,7,FALSE),0))</f>
        <v>0</v>
      </c>
      <c r="K170" s="361">
        <f>+IF($I170=K$3,VLOOKUP($H170,Depreciation!$A$6:$L$10,8,FALSE)/2,IF($I170&lt;K$3,VLOOKUP($H170,Depreciation!$A$6:$L$10,8,FALSE),0))</f>
        <v>1.5338181838063448E-2</v>
      </c>
      <c r="L170" s="361">
        <f>+IF($I170=L$3,VLOOKUP($H170,Depreciation!$A$6:$L$10,9,FALSE)/2,IF($I170&lt;L$3,VLOOKUP($H170,Depreciation!$A$6:$L$10,9,FALSE),0))</f>
        <v>3.0676363676126896E-2</v>
      </c>
      <c r="M170" s="361">
        <f>+IF($I170=M$3,VLOOKUP($H170,Depreciation!$A$6:$L$10,10,FALSE)/2,IF($I170&lt;M$3,VLOOKUP($H170,Depreciation!$A$6:$L$10,10,FALSE),0))</f>
        <v>3.0676363676126896E-2</v>
      </c>
      <c r="N170" s="361">
        <f>+IF($I170=N$3,VLOOKUP($H170,Depreciation!$A$6:$L$10,11,FALSE)/2,IF($I170&lt;N$3,VLOOKUP($H170,Depreciation!$A$6:$L$10,11,FALSE),0))</f>
        <v>3.0676363676126896E-2</v>
      </c>
      <c r="O170" s="361">
        <f>+IF($I170=O$3,VLOOKUP($H170,Depreciation!$A$6:$L$10,12,FALSE)/2,IF($I170&lt;O$3,VLOOKUP($H170,Depreciation!$A$6:$L$10,12,FALSE),0))</f>
        <v>3.0676363676126896E-2</v>
      </c>
      <c r="P170" s="362">
        <f t="shared" si="8"/>
        <v>0</v>
      </c>
      <c r="Q170" s="362">
        <f t="shared" si="9"/>
        <v>0</v>
      </c>
      <c r="R170" s="363">
        <f t="shared" si="10"/>
        <v>0</v>
      </c>
    </row>
    <row r="171" spans="1:25">
      <c r="A171" s="377" t="s">
        <v>1191</v>
      </c>
      <c r="B171" s="377" t="s">
        <v>1220</v>
      </c>
      <c r="C171" s="377">
        <v>1101</v>
      </c>
      <c r="D171" s="377">
        <v>240</v>
      </c>
      <c r="E171" s="377"/>
      <c r="F171" s="378" t="s">
        <v>1209</v>
      </c>
      <c r="G171" s="379">
        <v>191472515.65566897</v>
      </c>
      <c r="H171" s="378" t="s">
        <v>4</v>
      </c>
      <c r="I171" s="378">
        <v>2016</v>
      </c>
      <c r="J171" s="361">
        <f>+IF($I171=J$3,VLOOKUP($H171,Depreciation!$A$6:$L$10,7,FALSE)/2,IF($I171&lt;J$3,VLOOKUP($H171,Depreciation!$A$6:$L$10,7,FALSE),0))</f>
        <v>0</v>
      </c>
      <c r="K171" s="361">
        <f>+IF($I171=K$3,VLOOKUP($H171,Depreciation!$A$6:$L$10,8,FALSE)/2,IF($I171&lt;K$3,VLOOKUP($H171,Depreciation!$A$6:$L$10,8,FALSE),0))</f>
        <v>1.5338181838063448E-2</v>
      </c>
      <c r="L171" s="361">
        <f>+IF($I171=L$3,VLOOKUP($H171,Depreciation!$A$6:$L$10,9,FALSE)/2,IF($I171&lt;L$3,VLOOKUP($H171,Depreciation!$A$6:$L$10,9,FALSE),0))</f>
        <v>3.0676363676126896E-2</v>
      </c>
      <c r="M171" s="361">
        <f>+IF($I171=M$3,VLOOKUP($H171,Depreciation!$A$6:$L$10,10,FALSE)/2,IF($I171&lt;M$3,VLOOKUP($H171,Depreciation!$A$6:$L$10,10,FALSE),0))</f>
        <v>3.0676363676126896E-2</v>
      </c>
      <c r="N171" s="361">
        <f>+IF($I171=N$3,VLOOKUP($H171,Depreciation!$A$6:$L$10,11,FALSE)/2,IF($I171&lt;N$3,VLOOKUP($H171,Depreciation!$A$6:$L$10,11,FALSE),0))</f>
        <v>3.0676363676126896E-2</v>
      </c>
      <c r="O171" s="361">
        <f>+IF($I171=O$3,VLOOKUP($H171,Depreciation!$A$6:$L$10,12,FALSE)/2,IF($I171&lt;O$3,VLOOKUP($H171,Depreciation!$A$6:$L$10,12,FALSE),0))</f>
        <v>3.0676363676126896E-2</v>
      </c>
      <c r="P171" s="362">
        <f t="shared" si="8"/>
        <v>0</v>
      </c>
      <c r="Q171" s="362">
        <f t="shared" si="9"/>
        <v>0</v>
      </c>
      <c r="R171" s="363">
        <f t="shared" si="10"/>
        <v>0</v>
      </c>
    </row>
    <row r="172" spans="1:25">
      <c r="A172" s="377" t="s">
        <v>1191</v>
      </c>
      <c r="B172" s="377" t="s">
        <v>1219</v>
      </c>
      <c r="C172" s="377">
        <v>1101</v>
      </c>
      <c r="D172" s="377">
        <v>138</v>
      </c>
      <c r="E172" s="377"/>
      <c r="F172" s="378" t="s">
        <v>1209</v>
      </c>
      <c r="G172" s="379">
        <v>2172995.8566099619</v>
      </c>
      <c r="H172" s="378" t="s">
        <v>4</v>
      </c>
      <c r="I172" s="378">
        <v>2016</v>
      </c>
      <c r="J172" s="361">
        <f>+IF($I172=J$3,VLOOKUP($H172,Depreciation!$A$6:$L$10,7,FALSE)/2,IF($I172&lt;J$3,VLOOKUP($H172,Depreciation!$A$6:$L$10,7,FALSE),0))</f>
        <v>0</v>
      </c>
      <c r="K172" s="361">
        <f>+IF($I172=K$3,VLOOKUP($H172,Depreciation!$A$6:$L$10,8,FALSE)/2,IF($I172&lt;K$3,VLOOKUP($H172,Depreciation!$A$6:$L$10,8,FALSE),0))</f>
        <v>1.5338181838063448E-2</v>
      </c>
      <c r="L172" s="361">
        <f>+IF($I172=L$3,VLOOKUP($H172,Depreciation!$A$6:$L$10,9,FALSE)/2,IF($I172&lt;L$3,VLOOKUP($H172,Depreciation!$A$6:$L$10,9,FALSE),0))</f>
        <v>3.0676363676126896E-2</v>
      </c>
      <c r="M172" s="361">
        <f>+IF($I172=M$3,VLOOKUP($H172,Depreciation!$A$6:$L$10,10,FALSE)/2,IF($I172&lt;M$3,VLOOKUP($H172,Depreciation!$A$6:$L$10,10,FALSE),0))</f>
        <v>3.0676363676126896E-2</v>
      </c>
      <c r="N172" s="361">
        <f>+IF($I172=N$3,VLOOKUP($H172,Depreciation!$A$6:$L$10,11,FALSE)/2,IF($I172&lt;N$3,VLOOKUP($H172,Depreciation!$A$6:$L$10,11,FALSE),0))</f>
        <v>3.0676363676126896E-2</v>
      </c>
      <c r="O172" s="361">
        <f>+IF($I172=O$3,VLOOKUP($H172,Depreciation!$A$6:$L$10,12,FALSE)/2,IF($I172&lt;O$3,VLOOKUP($H172,Depreciation!$A$6:$L$10,12,FALSE),0))</f>
        <v>3.0676363676126896E-2</v>
      </c>
      <c r="P172" s="362">
        <f t="shared" si="8"/>
        <v>0</v>
      </c>
      <c r="Q172" s="362">
        <f t="shared" si="9"/>
        <v>0</v>
      </c>
      <c r="R172" s="363">
        <f t="shared" si="10"/>
        <v>0</v>
      </c>
    </row>
    <row r="173" spans="1:25">
      <c r="A173" s="377" t="s">
        <v>1191</v>
      </c>
      <c r="B173" s="377" t="s">
        <v>1219</v>
      </c>
      <c r="C173" s="377">
        <v>1101</v>
      </c>
      <c r="D173" s="377">
        <v>138</v>
      </c>
      <c r="E173" s="377"/>
      <c r="F173" s="378" t="s">
        <v>1209</v>
      </c>
      <c r="G173" s="379">
        <v>2175159.297149288</v>
      </c>
      <c r="H173" s="378" t="s">
        <v>4</v>
      </c>
      <c r="I173" s="378">
        <v>2016</v>
      </c>
      <c r="J173" s="361">
        <f>+IF($I173=J$3,VLOOKUP($H173,Depreciation!$A$6:$L$10,7,FALSE)/2,IF($I173&lt;J$3,VLOOKUP($H173,Depreciation!$A$6:$L$10,7,FALSE),0))</f>
        <v>0</v>
      </c>
      <c r="K173" s="361">
        <f>+IF($I173=K$3,VLOOKUP($H173,Depreciation!$A$6:$L$10,8,FALSE)/2,IF($I173&lt;K$3,VLOOKUP($H173,Depreciation!$A$6:$L$10,8,FALSE),0))</f>
        <v>1.5338181838063448E-2</v>
      </c>
      <c r="L173" s="361">
        <f>+IF($I173=L$3,VLOOKUP($H173,Depreciation!$A$6:$L$10,9,FALSE)/2,IF($I173&lt;L$3,VLOOKUP($H173,Depreciation!$A$6:$L$10,9,FALSE),0))</f>
        <v>3.0676363676126896E-2</v>
      </c>
      <c r="M173" s="361">
        <f>+IF($I173=M$3,VLOOKUP($H173,Depreciation!$A$6:$L$10,10,FALSE)/2,IF($I173&lt;M$3,VLOOKUP($H173,Depreciation!$A$6:$L$10,10,FALSE),0))</f>
        <v>3.0676363676126896E-2</v>
      </c>
      <c r="N173" s="361">
        <f>+IF($I173=N$3,VLOOKUP($H173,Depreciation!$A$6:$L$10,11,FALSE)/2,IF($I173&lt;N$3,VLOOKUP($H173,Depreciation!$A$6:$L$10,11,FALSE),0))</f>
        <v>3.0676363676126896E-2</v>
      </c>
      <c r="O173" s="361">
        <f>+IF($I173=O$3,VLOOKUP($H173,Depreciation!$A$6:$L$10,12,FALSE)/2,IF($I173&lt;O$3,VLOOKUP($H173,Depreciation!$A$6:$L$10,12,FALSE),0))</f>
        <v>3.0676363676126896E-2</v>
      </c>
      <c r="P173" s="362">
        <f t="shared" si="8"/>
        <v>0</v>
      </c>
      <c r="Q173" s="362">
        <f t="shared" si="9"/>
        <v>0</v>
      </c>
      <c r="R173" s="363">
        <f t="shared" si="10"/>
        <v>0</v>
      </c>
    </row>
    <row r="174" spans="1:25">
      <c r="A174" s="377" t="s">
        <v>1191</v>
      </c>
      <c r="B174" s="377" t="s">
        <v>1790</v>
      </c>
      <c r="C174" s="377">
        <v>1101</v>
      </c>
      <c r="D174" s="377">
        <v>240</v>
      </c>
      <c r="E174" s="377"/>
      <c r="F174" s="378" t="s">
        <v>1209</v>
      </c>
      <c r="G174" s="379">
        <v>1786314.2703774052</v>
      </c>
      <c r="H174" s="378" t="s">
        <v>4</v>
      </c>
      <c r="I174" s="378">
        <v>2016</v>
      </c>
      <c r="J174" s="361">
        <f>+IF($I174=J$3,VLOOKUP($H174,Depreciation!$A$6:$L$10,7,FALSE)/2,IF($I174&lt;J$3,VLOOKUP($H174,Depreciation!$A$6:$L$10,7,FALSE),0))</f>
        <v>0</v>
      </c>
      <c r="K174" s="361">
        <f>+IF($I174=K$3,VLOOKUP($H174,Depreciation!$A$6:$L$10,8,FALSE)/2,IF($I174&lt;K$3,VLOOKUP($H174,Depreciation!$A$6:$L$10,8,FALSE),0))</f>
        <v>1.5338181838063448E-2</v>
      </c>
      <c r="L174" s="361">
        <f>+IF($I174=L$3,VLOOKUP($H174,Depreciation!$A$6:$L$10,9,FALSE)/2,IF($I174&lt;L$3,VLOOKUP($H174,Depreciation!$A$6:$L$10,9,FALSE),0))</f>
        <v>3.0676363676126896E-2</v>
      </c>
      <c r="M174" s="361">
        <f>+IF($I174=M$3,VLOOKUP($H174,Depreciation!$A$6:$L$10,10,FALSE)/2,IF($I174&lt;M$3,VLOOKUP($H174,Depreciation!$A$6:$L$10,10,FALSE),0))</f>
        <v>3.0676363676126896E-2</v>
      </c>
      <c r="N174" s="361">
        <f>+IF($I174=N$3,VLOOKUP($H174,Depreciation!$A$6:$L$10,11,FALSE)/2,IF($I174&lt;N$3,VLOOKUP($H174,Depreciation!$A$6:$L$10,11,FALSE),0))</f>
        <v>3.0676363676126896E-2</v>
      </c>
      <c r="O174" s="361">
        <f>+IF($I174=O$3,VLOOKUP($H174,Depreciation!$A$6:$L$10,12,FALSE)/2,IF($I174&lt;O$3,VLOOKUP($H174,Depreciation!$A$6:$L$10,12,FALSE),0))</f>
        <v>3.0676363676126896E-2</v>
      </c>
      <c r="P174" s="362">
        <f t="shared" si="8"/>
        <v>0</v>
      </c>
      <c r="Q174" s="362">
        <f t="shared" si="9"/>
        <v>0</v>
      </c>
      <c r="R174" s="363">
        <f t="shared" si="10"/>
        <v>0</v>
      </c>
    </row>
    <row r="175" spans="1:25">
      <c r="A175" s="377" t="s">
        <v>1191</v>
      </c>
      <c r="B175" s="377" t="s">
        <v>1193</v>
      </c>
      <c r="C175" s="377">
        <v>1101</v>
      </c>
      <c r="D175" s="377">
        <v>240</v>
      </c>
      <c r="E175" s="377"/>
      <c r="F175" s="378" t="s">
        <v>1209</v>
      </c>
      <c r="G175" s="379">
        <v>4698744.242259468</v>
      </c>
      <c r="H175" s="378" t="s">
        <v>66</v>
      </c>
      <c r="I175" s="378">
        <v>2016</v>
      </c>
      <c r="J175" s="361">
        <f>+IF($I175=J$3,VLOOKUP($H175,Depreciation!$A$6:$L$10,7,FALSE)/2,IF($I175&lt;J$3,VLOOKUP($H175,Depreciation!$A$6:$L$10,7,FALSE),0))</f>
        <v>0</v>
      </c>
      <c r="K175" s="361">
        <f>+IF($I175=K$3,VLOOKUP($H175,Depreciation!$A$6:$L$10,8,FALSE)/2,IF($I175&lt;K$3,VLOOKUP($H175,Depreciation!$A$6:$L$10,8,FALSE),0))</f>
        <v>1.1971929865503333E-2</v>
      </c>
      <c r="L175" s="361">
        <f>+IF($I175=L$3,VLOOKUP($H175,Depreciation!$A$6:$L$10,9,FALSE)/2,IF($I175&lt;L$3,VLOOKUP($H175,Depreciation!$A$6:$L$10,9,FALSE),0))</f>
        <v>2.4002037926855919E-2</v>
      </c>
      <c r="M175" s="361">
        <f>+IF($I175=M$3,VLOOKUP($H175,Depreciation!$A$6:$L$10,10,FALSE)/2,IF($I175&lt;M$3,VLOOKUP($H175,Depreciation!$A$6:$L$10,10,FALSE),0))</f>
        <v>2.4002037926855919E-2</v>
      </c>
      <c r="N175" s="361">
        <f>+IF($I175=N$3,VLOOKUP($H175,Depreciation!$A$6:$L$10,11,FALSE)/2,IF($I175&lt;N$3,VLOOKUP($H175,Depreciation!$A$6:$L$10,11,FALSE),0))</f>
        <v>2.4002037926855919E-2</v>
      </c>
      <c r="O175" s="361">
        <f>+IF($I175=O$3,VLOOKUP($H175,Depreciation!$A$6:$L$10,12,FALSE)/2,IF($I175&lt;O$3,VLOOKUP($H175,Depreciation!$A$6:$L$10,12,FALSE),0))</f>
        <v>2.4002037926855919E-2</v>
      </c>
      <c r="P175" s="362">
        <f t="shared" si="8"/>
        <v>0</v>
      </c>
      <c r="Q175" s="362">
        <f t="shared" si="9"/>
        <v>0</v>
      </c>
      <c r="R175" s="363">
        <f t="shared" si="10"/>
        <v>0</v>
      </c>
    </row>
    <row r="176" spans="1:25">
      <c r="A176" s="377" t="s">
        <v>1191</v>
      </c>
      <c r="B176" s="377" t="s">
        <v>1791</v>
      </c>
      <c r="C176" s="377">
        <v>1117</v>
      </c>
      <c r="D176" s="377">
        <v>240</v>
      </c>
      <c r="E176" s="377"/>
      <c r="F176" s="378" t="s">
        <v>1211</v>
      </c>
      <c r="G176" s="379">
        <v>22476180.185840409</v>
      </c>
      <c r="H176" s="378" t="s">
        <v>4</v>
      </c>
      <c r="I176" s="378">
        <v>2015</v>
      </c>
      <c r="J176" s="361">
        <f>+IF($I176=J$3,VLOOKUP($H176,Depreciation!$A$6:$L$10,7,FALSE)/2,IF($I176&lt;J$3,VLOOKUP($H176,Depreciation!$A$6:$L$10,7,FALSE),0))</f>
        <v>1.595020804044691E-2</v>
      </c>
      <c r="K176" s="361">
        <f>+IF($I176=K$3,VLOOKUP($H176,Depreciation!$A$6:$L$10,8,FALSE)/2,IF($I176&lt;K$3,VLOOKUP($H176,Depreciation!$A$6:$L$10,8,FALSE),0))</f>
        <v>3.0676363676126896E-2</v>
      </c>
      <c r="L176" s="361">
        <f>+IF($I176=L$3,VLOOKUP($H176,Depreciation!$A$6:$L$10,9,FALSE)/2,IF($I176&lt;L$3,VLOOKUP($H176,Depreciation!$A$6:$L$10,9,FALSE),0))</f>
        <v>3.0676363676126896E-2</v>
      </c>
      <c r="M176" s="361">
        <f>+IF($I176=M$3,VLOOKUP($H176,Depreciation!$A$6:$L$10,10,FALSE)/2,IF($I176&lt;M$3,VLOOKUP($H176,Depreciation!$A$6:$L$10,10,FALSE),0))</f>
        <v>3.0676363676126896E-2</v>
      </c>
      <c r="N176" s="361">
        <f>+IF($I176=N$3,VLOOKUP($H176,Depreciation!$A$6:$L$10,11,FALSE)/2,IF($I176&lt;N$3,VLOOKUP($H176,Depreciation!$A$6:$L$10,11,FALSE),0))</f>
        <v>3.0676363676126896E-2</v>
      </c>
      <c r="O176" s="361">
        <f>+IF($I176=O$3,VLOOKUP($H176,Depreciation!$A$6:$L$10,12,FALSE)/2,IF($I176&lt;O$3,VLOOKUP($H176,Depreciation!$A$6:$L$10,12,FALSE),0))</f>
        <v>3.0676363676126896E-2</v>
      </c>
      <c r="P176" s="362">
        <f t="shared" si="8"/>
        <v>22117680.435921684</v>
      </c>
      <c r="Q176" s="362">
        <f t="shared" si="9"/>
        <v>22117680.435921684</v>
      </c>
      <c r="R176" s="363">
        <f t="shared" si="10"/>
        <v>0</v>
      </c>
    </row>
    <row r="177" spans="1:18">
      <c r="A177" s="377" t="s">
        <v>1191</v>
      </c>
      <c r="B177" s="377" t="s">
        <v>1791</v>
      </c>
      <c r="C177" s="377">
        <v>1117</v>
      </c>
      <c r="D177" s="377">
        <v>240</v>
      </c>
      <c r="E177" s="377"/>
      <c r="F177" s="378" t="s">
        <v>1211</v>
      </c>
      <c r="G177" s="379">
        <v>22476180.185840409</v>
      </c>
      <c r="H177" s="378" t="s">
        <v>4</v>
      </c>
      <c r="I177" s="378">
        <v>2015</v>
      </c>
      <c r="J177" s="361">
        <f>+IF($I177=J$3,VLOOKUP($H177,Depreciation!$A$6:$L$10,7,FALSE)/2,IF($I177&lt;J$3,VLOOKUP($H177,Depreciation!$A$6:$L$10,7,FALSE),0))</f>
        <v>1.595020804044691E-2</v>
      </c>
      <c r="K177" s="361">
        <f>+IF($I177=K$3,VLOOKUP($H177,Depreciation!$A$6:$L$10,8,FALSE)/2,IF($I177&lt;K$3,VLOOKUP($H177,Depreciation!$A$6:$L$10,8,FALSE),0))</f>
        <v>3.0676363676126896E-2</v>
      </c>
      <c r="L177" s="361">
        <f>+IF($I177=L$3,VLOOKUP($H177,Depreciation!$A$6:$L$10,9,FALSE)/2,IF($I177&lt;L$3,VLOOKUP($H177,Depreciation!$A$6:$L$10,9,FALSE),0))</f>
        <v>3.0676363676126896E-2</v>
      </c>
      <c r="M177" s="361">
        <f>+IF($I177=M$3,VLOOKUP($H177,Depreciation!$A$6:$L$10,10,FALSE)/2,IF($I177&lt;M$3,VLOOKUP($H177,Depreciation!$A$6:$L$10,10,FALSE),0))</f>
        <v>3.0676363676126896E-2</v>
      </c>
      <c r="N177" s="361">
        <f>+IF($I177=N$3,VLOOKUP($H177,Depreciation!$A$6:$L$10,11,FALSE)/2,IF($I177&lt;N$3,VLOOKUP($H177,Depreciation!$A$6:$L$10,11,FALSE),0))</f>
        <v>3.0676363676126896E-2</v>
      </c>
      <c r="O177" s="361">
        <f>+IF($I177=O$3,VLOOKUP($H177,Depreciation!$A$6:$L$10,12,FALSE)/2,IF($I177&lt;O$3,VLOOKUP($H177,Depreciation!$A$6:$L$10,12,FALSE),0))</f>
        <v>3.0676363676126896E-2</v>
      </c>
      <c r="P177" s="362">
        <f t="shared" si="8"/>
        <v>22117680.435921684</v>
      </c>
      <c r="Q177" s="362">
        <f t="shared" si="9"/>
        <v>22117680.435921684</v>
      </c>
      <c r="R177" s="363">
        <f t="shared" si="10"/>
        <v>0</v>
      </c>
    </row>
    <row r="178" spans="1:18">
      <c r="A178" s="377" t="s">
        <v>1191</v>
      </c>
      <c r="B178" s="377" t="s">
        <v>1791</v>
      </c>
      <c r="C178" s="377">
        <v>1117</v>
      </c>
      <c r="D178" s="377">
        <v>240</v>
      </c>
      <c r="E178" s="377"/>
      <c r="F178" s="378" t="s">
        <v>1211</v>
      </c>
      <c r="G178" s="379">
        <v>17889351.244998507</v>
      </c>
      <c r="H178" s="378" t="s">
        <v>4</v>
      </c>
      <c r="I178" s="378">
        <v>2015</v>
      </c>
      <c r="J178" s="361">
        <f>+IF($I178=J$3,VLOOKUP($H178,Depreciation!$A$6:$L$10,7,FALSE)/2,IF($I178&lt;J$3,VLOOKUP($H178,Depreciation!$A$6:$L$10,7,FALSE),0))</f>
        <v>1.595020804044691E-2</v>
      </c>
      <c r="K178" s="361">
        <f>+IF($I178=K$3,VLOOKUP($H178,Depreciation!$A$6:$L$10,8,FALSE)/2,IF($I178&lt;K$3,VLOOKUP($H178,Depreciation!$A$6:$L$10,8,FALSE),0))</f>
        <v>3.0676363676126896E-2</v>
      </c>
      <c r="L178" s="361">
        <f>+IF($I178=L$3,VLOOKUP($H178,Depreciation!$A$6:$L$10,9,FALSE)/2,IF($I178&lt;L$3,VLOOKUP($H178,Depreciation!$A$6:$L$10,9,FALSE),0))</f>
        <v>3.0676363676126896E-2</v>
      </c>
      <c r="M178" s="361">
        <f>+IF($I178=M$3,VLOOKUP($H178,Depreciation!$A$6:$L$10,10,FALSE)/2,IF($I178&lt;M$3,VLOOKUP($H178,Depreciation!$A$6:$L$10,10,FALSE),0))</f>
        <v>3.0676363676126896E-2</v>
      </c>
      <c r="N178" s="361">
        <f>+IF($I178=N$3,VLOOKUP($H178,Depreciation!$A$6:$L$10,11,FALSE)/2,IF($I178&lt;N$3,VLOOKUP($H178,Depreciation!$A$6:$L$10,11,FALSE),0))</f>
        <v>3.0676363676126896E-2</v>
      </c>
      <c r="O178" s="361">
        <f>+IF($I178=O$3,VLOOKUP($H178,Depreciation!$A$6:$L$10,12,FALSE)/2,IF($I178&lt;O$3,VLOOKUP($H178,Depreciation!$A$6:$L$10,12,FALSE),0))</f>
        <v>3.0676363676126896E-2</v>
      </c>
      <c r="P178" s="362">
        <f t="shared" si="8"/>
        <v>17604012.370932154</v>
      </c>
      <c r="Q178" s="362">
        <f t="shared" si="9"/>
        <v>17604012.370932154</v>
      </c>
      <c r="R178" s="363">
        <f t="shared" si="10"/>
        <v>0</v>
      </c>
    </row>
    <row r="179" spans="1:18">
      <c r="A179" s="377" t="s">
        <v>1191</v>
      </c>
      <c r="B179" s="377" t="s">
        <v>1791</v>
      </c>
      <c r="C179" s="377">
        <v>1117</v>
      </c>
      <c r="D179" s="377">
        <v>240</v>
      </c>
      <c r="E179" s="377"/>
      <c r="F179" s="378" t="s">
        <v>1211</v>
      </c>
      <c r="G179" s="379">
        <v>17889351.244998507</v>
      </c>
      <c r="H179" s="378" t="s">
        <v>4</v>
      </c>
      <c r="I179" s="378">
        <v>2015</v>
      </c>
      <c r="J179" s="361">
        <f>+IF($I179=J$3,VLOOKUP($H179,Depreciation!$A$6:$L$10,7,FALSE)/2,IF($I179&lt;J$3,VLOOKUP($H179,Depreciation!$A$6:$L$10,7,FALSE),0))</f>
        <v>1.595020804044691E-2</v>
      </c>
      <c r="K179" s="361">
        <f>+IF($I179=K$3,VLOOKUP($H179,Depreciation!$A$6:$L$10,8,FALSE)/2,IF($I179&lt;K$3,VLOOKUP($H179,Depreciation!$A$6:$L$10,8,FALSE),0))</f>
        <v>3.0676363676126896E-2</v>
      </c>
      <c r="L179" s="361">
        <f>+IF($I179=L$3,VLOOKUP($H179,Depreciation!$A$6:$L$10,9,FALSE)/2,IF($I179&lt;L$3,VLOOKUP($H179,Depreciation!$A$6:$L$10,9,FALSE),0))</f>
        <v>3.0676363676126896E-2</v>
      </c>
      <c r="M179" s="361">
        <f>+IF($I179=M$3,VLOOKUP($H179,Depreciation!$A$6:$L$10,10,FALSE)/2,IF($I179&lt;M$3,VLOOKUP($H179,Depreciation!$A$6:$L$10,10,FALSE),0))</f>
        <v>3.0676363676126896E-2</v>
      </c>
      <c r="N179" s="361">
        <f>+IF($I179=N$3,VLOOKUP($H179,Depreciation!$A$6:$L$10,11,FALSE)/2,IF($I179&lt;N$3,VLOOKUP($H179,Depreciation!$A$6:$L$10,11,FALSE),0))</f>
        <v>3.0676363676126896E-2</v>
      </c>
      <c r="O179" s="361">
        <f>+IF($I179=O$3,VLOOKUP($H179,Depreciation!$A$6:$L$10,12,FALSE)/2,IF($I179&lt;O$3,VLOOKUP($H179,Depreciation!$A$6:$L$10,12,FALSE),0))</f>
        <v>3.0676363676126896E-2</v>
      </c>
      <c r="P179" s="362">
        <f t="shared" si="8"/>
        <v>17604012.370932154</v>
      </c>
      <c r="Q179" s="362">
        <f t="shared" si="9"/>
        <v>17604012.370932154</v>
      </c>
      <c r="R179" s="363">
        <f t="shared" si="10"/>
        <v>0</v>
      </c>
    </row>
    <row r="180" spans="1:18">
      <c r="A180" s="377" t="s">
        <v>1191</v>
      </c>
      <c r="B180" s="377" t="s">
        <v>1203</v>
      </c>
      <c r="C180" s="377">
        <v>1117</v>
      </c>
      <c r="D180" s="377">
        <v>240</v>
      </c>
      <c r="E180" s="377"/>
      <c r="F180" s="378" t="s">
        <v>1211</v>
      </c>
      <c r="G180" s="379">
        <v>2104869.8933907058</v>
      </c>
      <c r="H180" s="378" t="s">
        <v>4</v>
      </c>
      <c r="I180" s="378">
        <v>2015</v>
      </c>
      <c r="J180" s="361">
        <f>+IF($I180=J$3,VLOOKUP($H180,Depreciation!$A$6:$L$10,7,FALSE)/2,IF($I180&lt;J$3,VLOOKUP($H180,Depreciation!$A$6:$L$10,7,FALSE),0))</f>
        <v>1.595020804044691E-2</v>
      </c>
      <c r="K180" s="361">
        <f>+IF($I180=K$3,VLOOKUP($H180,Depreciation!$A$6:$L$10,8,FALSE)/2,IF($I180&lt;K$3,VLOOKUP($H180,Depreciation!$A$6:$L$10,8,FALSE),0))</f>
        <v>3.0676363676126896E-2</v>
      </c>
      <c r="L180" s="361">
        <f>+IF($I180=L$3,VLOOKUP($H180,Depreciation!$A$6:$L$10,9,FALSE)/2,IF($I180&lt;L$3,VLOOKUP($H180,Depreciation!$A$6:$L$10,9,FALSE),0))</f>
        <v>3.0676363676126896E-2</v>
      </c>
      <c r="M180" s="361">
        <f>+IF($I180=M$3,VLOOKUP($H180,Depreciation!$A$6:$L$10,10,FALSE)/2,IF($I180&lt;M$3,VLOOKUP($H180,Depreciation!$A$6:$L$10,10,FALSE),0))</f>
        <v>3.0676363676126896E-2</v>
      </c>
      <c r="N180" s="361">
        <f>+IF($I180=N$3,VLOOKUP($H180,Depreciation!$A$6:$L$10,11,FALSE)/2,IF($I180&lt;N$3,VLOOKUP($H180,Depreciation!$A$6:$L$10,11,FALSE),0))</f>
        <v>3.0676363676126896E-2</v>
      </c>
      <c r="O180" s="361">
        <f>+IF($I180=O$3,VLOOKUP($H180,Depreciation!$A$6:$L$10,12,FALSE)/2,IF($I180&lt;O$3,VLOOKUP($H180,Depreciation!$A$6:$L$10,12,FALSE),0))</f>
        <v>3.0676363676126896E-2</v>
      </c>
      <c r="P180" s="362">
        <f t="shared" si="8"/>
        <v>2071296.7806930507</v>
      </c>
      <c r="Q180" s="362">
        <f t="shared" si="9"/>
        <v>2071296.7806930507</v>
      </c>
      <c r="R180" s="363">
        <f t="shared" si="10"/>
        <v>0</v>
      </c>
    </row>
    <row r="181" spans="1:18">
      <c r="A181" s="377" t="s">
        <v>2051</v>
      </c>
      <c r="B181" s="377" t="s">
        <v>2053</v>
      </c>
      <c r="C181" s="377">
        <v>1117</v>
      </c>
      <c r="D181" s="377">
        <v>240</v>
      </c>
      <c r="E181" s="377"/>
      <c r="F181" s="378">
        <v>0</v>
      </c>
      <c r="G181" s="379">
        <v>83540470.165999994</v>
      </c>
      <c r="H181" s="378" t="s">
        <v>4</v>
      </c>
      <c r="I181" s="378">
        <v>2015</v>
      </c>
      <c r="J181" s="361">
        <f>+IF($I181=J$3,VLOOKUP($H181,Depreciation!$A$6:$L$10,7,FALSE)/2,IF($I181&lt;J$3,VLOOKUP($H181,Depreciation!$A$6:$L$10,7,FALSE),0))</f>
        <v>1.595020804044691E-2</v>
      </c>
      <c r="K181" s="361">
        <f>+IF($I181=K$3,VLOOKUP($H181,Depreciation!$A$6:$L$10,8,FALSE)/2,IF($I181&lt;K$3,VLOOKUP($H181,Depreciation!$A$6:$L$10,8,FALSE),0))</f>
        <v>3.0676363676126896E-2</v>
      </c>
      <c r="L181" s="361">
        <f>+IF($I181=L$3,VLOOKUP($H181,Depreciation!$A$6:$L$10,9,FALSE)/2,IF($I181&lt;L$3,VLOOKUP($H181,Depreciation!$A$6:$L$10,9,FALSE),0))</f>
        <v>3.0676363676126896E-2</v>
      </c>
      <c r="M181" s="361">
        <f>+IF($I181=M$3,VLOOKUP($H181,Depreciation!$A$6:$L$10,10,FALSE)/2,IF($I181&lt;M$3,VLOOKUP($H181,Depreciation!$A$6:$L$10,10,FALSE),0))</f>
        <v>3.0676363676126896E-2</v>
      </c>
      <c r="N181" s="361">
        <f>+IF($I181=N$3,VLOOKUP($H181,Depreciation!$A$6:$L$10,11,FALSE)/2,IF($I181&lt;N$3,VLOOKUP($H181,Depreciation!$A$6:$L$10,11,FALSE),0))</f>
        <v>3.0676363676126896E-2</v>
      </c>
      <c r="O181" s="361">
        <f>+IF($I181=O$3,VLOOKUP($H181,Depreciation!$A$6:$L$10,12,FALSE)/2,IF($I181&lt;O$3,VLOOKUP($H181,Depreciation!$A$6:$L$10,12,FALSE),0))</f>
        <v>3.0676363676126896E-2</v>
      </c>
      <c r="P181" s="362">
        <f t="shared" si="8"/>
        <v>82207982.287055552</v>
      </c>
      <c r="Q181" s="362">
        <f t="shared" si="9"/>
        <v>82207982.287055552</v>
      </c>
      <c r="R181" s="363">
        <f t="shared" si="10"/>
        <v>0</v>
      </c>
    </row>
    <row r="182" spans="1:18">
      <c r="A182" s="377" t="s">
        <v>2051</v>
      </c>
      <c r="B182" s="377" t="s">
        <v>2054</v>
      </c>
      <c r="C182" s="377">
        <v>1117</v>
      </c>
      <c r="D182" s="377">
        <v>240</v>
      </c>
      <c r="E182" s="377"/>
      <c r="F182" s="378">
        <v>0</v>
      </c>
      <c r="G182" s="379">
        <v>81881919.074000001</v>
      </c>
      <c r="H182" s="378" t="s">
        <v>4</v>
      </c>
      <c r="I182" s="378">
        <v>2015</v>
      </c>
      <c r="J182" s="361">
        <f>+IF($I182=J$3,VLOOKUP($H182,Depreciation!$A$6:$L$10,7,FALSE)/2,IF($I182&lt;J$3,VLOOKUP($H182,Depreciation!$A$6:$L$10,7,FALSE),0))</f>
        <v>1.595020804044691E-2</v>
      </c>
      <c r="K182" s="361">
        <f>+IF($I182=K$3,VLOOKUP($H182,Depreciation!$A$6:$L$10,8,FALSE)/2,IF($I182&lt;K$3,VLOOKUP($H182,Depreciation!$A$6:$L$10,8,FALSE),0))</f>
        <v>3.0676363676126896E-2</v>
      </c>
      <c r="L182" s="361">
        <f>+IF($I182=L$3,VLOOKUP($H182,Depreciation!$A$6:$L$10,9,FALSE)/2,IF($I182&lt;L$3,VLOOKUP($H182,Depreciation!$A$6:$L$10,9,FALSE),0))</f>
        <v>3.0676363676126896E-2</v>
      </c>
      <c r="M182" s="361">
        <f>+IF($I182=M$3,VLOOKUP($H182,Depreciation!$A$6:$L$10,10,FALSE)/2,IF($I182&lt;M$3,VLOOKUP($H182,Depreciation!$A$6:$L$10,10,FALSE),0))</f>
        <v>3.0676363676126896E-2</v>
      </c>
      <c r="N182" s="361">
        <f>+IF($I182=N$3,VLOOKUP($H182,Depreciation!$A$6:$L$10,11,FALSE)/2,IF($I182&lt;N$3,VLOOKUP($H182,Depreciation!$A$6:$L$10,11,FALSE),0))</f>
        <v>3.0676363676126896E-2</v>
      </c>
      <c r="O182" s="361">
        <f>+IF($I182=O$3,VLOOKUP($H182,Depreciation!$A$6:$L$10,12,FALSE)/2,IF($I182&lt;O$3,VLOOKUP($H182,Depreciation!$A$6:$L$10,12,FALSE),0))</f>
        <v>3.0676363676126896E-2</v>
      </c>
      <c r="P182" s="362">
        <f t="shared" si="8"/>
        <v>80575885.430018663</v>
      </c>
      <c r="Q182" s="362">
        <f t="shared" si="9"/>
        <v>80575885.430018663</v>
      </c>
      <c r="R182" s="363">
        <f t="shared" si="10"/>
        <v>0</v>
      </c>
    </row>
    <row r="183" spans="1:18">
      <c r="A183" s="377" t="s">
        <v>1191</v>
      </c>
      <c r="B183" s="377" t="s">
        <v>1204</v>
      </c>
      <c r="C183" s="377">
        <v>1117</v>
      </c>
      <c r="D183" s="377">
        <v>138</v>
      </c>
      <c r="E183" s="377"/>
      <c r="F183" s="378" t="s">
        <v>1211</v>
      </c>
      <c r="G183" s="379">
        <v>23035758.945204999</v>
      </c>
      <c r="H183" s="378" t="s">
        <v>4</v>
      </c>
      <c r="I183" s="378">
        <v>2015</v>
      </c>
      <c r="J183" s="361">
        <f>+IF($I183=J$3,VLOOKUP($H183,Depreciation!$A$6:$L$10,7,FALSE)/2,IF($I183&lt;J$3,VLOOKUP($H183,Depreciation!$A$6:$L$10,7,FALSE),0))</f>
        <v>1.595020804044691E-2</v>
      </c>
      <c r="K183" s="361">
        <f>+IF($I183=K$3,VLOOKUP($H183,Depreciation!$A$6:$L$10,8,FALSE)/2,IF($I183&lt;K$3,VLOOKUP($H183,Depreciation!$A$6:$L$10,8,FALSE),0))</f>
        <v>3.0676363676126896E-2</v>
      </c>
      <c r="L183" s="361">
        <f>+IF($I183=L$3,VLOOKUP($H183,Depreciation!$A$6:$L$10,9,FALSE)/2,IF($I183&lt;L$3,VLOOKUP($H183,Depreciation!$A$6:$L$10,9,FALSE),0))</f>
        <v>3.0676363676126896E-2</v>
      </c>
      <c r="M183" s="361">
        <f>+IF($I183=M$3,VLOOKUP($H183,Depreciation!$A$6:$L$10,10,FALSE)/2,IF($I183&lt;M$3,VLOOKUP($H183,Depreciation!$A$6:$L$10,10,FALSE),0))</f>
        <v>3.0676363676126896E-2</v>
      </c>
      <c r="N183" s="361">
        <f>+IF($I183=N$3,VLOOKUP($H183,Depreciation!$A$6:$L$10,11,FALSE)/2,IF($I183&lt;N$3,VLOOKUP($H183,Depreciation!$A$6:$L$10,11,FALSE),0))</f>
        <v>3.0676363676126896E-2</v>
      </c>
      <c r="O183" s="361">
        <f>+IF($I183=O$3,VLOOKUP($H183,Depreciation!$A$6:$L$10,12,FALSE)/2,IF($I183&lt;O$3,VLOOKUP($H183,Depreciation!$A$6:$L$10,12,FALSE),0))</f>
        <v>3.0676363676126896E-2</v>
      </c>
      <c r="P183" s="362">
        <f t="shared" si="8"/>
        <v>22668333.797659393</v>
      </c>
      <c r="Q183" s="362">
        <f t="shared" si="9"/>
        <v>0</v>
      </c>
      <c r="R183" s="363">
        <f t="shared" si="10"/>
        <v>22668333.797659393</v>
      </c>
    </row>
    <row r="184" spans="1:18">
      <c r="A184" s="377" t="s">
        <v>1191</v>
      </c>
      <c r="B184" s="377" t="s">
        <v>1204</v>
      </c>
      <c r="C184" s="377">
        <v>1117</v>
      </c>
      <c r="D184" s="377">
        <v>138</v>
      </c>
      <c r="E184" s="377"/>
      <c r="F184" s="378" t="s">
        <v>1211</v>
      </c>
      <c r="G184" s="379">
        <v>23035758.945204999</v>
      </c>
      <c r="H184" s="378" t="s">
        <v>4</v>
      </c>
      <c r="I184" s="378">
        <v>2015</v>
      </c>
      <c r="J184" s="361">
        <f>+IF($I184=J$3,VLOOKUP($H184,Depreciation!$A$6:$L$10,7,FALSE)/2,IF($I184&lt;J$3,VLOOKUP($H184,Depreciation!$A$6:$L$10,7,FALSE),0))</f>
        <v>1.595020804044691E-2</v>
      </c>
      <c r="K184" s="361">
        <f>+IF($I184=K$3,VLOOKUP($H184,Depreciation!$A$6:$L$10,8,FALSE)/2,IF($I184&lt;K$3,VLOOKUP($H184,Depreciation!$A$6:$L$10,8,FALSE),0))</f>
        <v>3.0676363676126896E-2</v>
      </c>
      <c r="L184" s="361">
        <f>+IF($I184=L$3,VLOOKUP($H184,Depreciation!$A$6:$L$10,9,FALSE)/2,IF($I184&lt;L$3,VLOOKUP($H184,Depreciation!$A$6:$L$10,9,FALSE),0))</f>
        <v>3.0676363676126896E-2</v>
      </c>
      <c r="M184" s="361">
        <f>+IF($I184=M$3,VLOOKUP($H184,Depreciation!$A$6:$L$10,10,FALSE)/2,IF($I184&lt;M$3,VLOOKUP($H184,Depreciation!$A$6:$L$10,10,FALSE),0))</f>
        <v>3.0676363676126896E-2</v>
      </c>
      <c r="N184" s="361">
        <f>+IF($I184=N$3,VLOOKUP($H184,Depreciation!$A$6:$L$10,11,FALSE)/2,IF($I184&lt;N$3,VLOOKUP($H184,Depreciation!$A$6:$L$10,11,FALSE),0))</f>
        <v>3.0676363676126896E-2</v>
      </c>
      <c r="O184" s="361">
        <f>+IF($I184=O$3,VLOOKUP($H184,Depreciation!$A$6:$L$10,12,FALSE)/2,IF($I184&lt;O$3,VLOOKUP($H184,Depreciation!$A$6:$L$10,12,FALSE),0))</f>
        <v>3.0676363676126896E-2</v>
      </c>
      <c r="P184" s="362">
        <f t="shared" si="8"/>
        <v>22668333.797659393</v>
      </c>
      <c r="Q184" s="362">
        <f t="shared" si="9"/>
        <v>0</v>
      </c>
      <c r="R184" s="363">
        <f t="shared" si="10"/>
        <v>22668333.797659393</v>
      </c>
    </row>
    <row r="185" spans="1:18">
      <c r="A185" s="377" t="s">
        <v>1191</v>
      </c>
      <c r="B185" s="377" t="s">
        <v>1201</v>
      </c>
      <c r="C185" s="377">
        <v>1117</v>
      </c>
      <c r="D185" s="377">
        <v>138</v>
      </c>
      <c r="E185" s="377"/>
      <c r="F185" s="378" t="s">
        <v>1211</v>
      </c>
      <c r="G185" s="379">
        <v>1379161.0196992834</v>
      </c>
      <c r="H185" s="378" t="s">
        <v>4</v>
      </c>
      <c r="I185" s="378">
        <v>2015</v>
      </c>
      <c r="J185" s="361">
        <f>+IF($I185=J$3,VLOOKUP($H185,Depreciation!$A$6:$L$10,7,FALSE)/2,IF($I185&lt;J$3,VLOOKUP($H185,Depreciation!$A$6:$L$10,7,FALSE),0))</f>
        <v>1.595020804044691E-2</v>
      </c>
      <c r="K185" s="361">
        <f>+IF($I185=K$3,VLOOKUP($H185,Depreciation!$A$6:$L$10,8,FALSE)/2,IF($I185&lt;K$3,VLOOKUP($H185,Depreciation!$A$6:$L$10,8,FALSE),0))</f>
        <v>3.0676363676126896E-2</v>
      </c>
      <c r="L185" s="361">
        <f>+IF($I185=L$3,VLOOKUP($H185,Depreciation!$A$6:$L$10,9,FALSE)/2,IF($I185&lt;L$3,VLOOKUP($H185,Depreciation!$A$6:$L$10,9,FALSE),0))</f>
        <v>3.0676363676126896E-2</v>
      </c>
      <c r="M185" s="361">
        <f>+IF($I185=M$3,VLOOKUP($H185,Depreciation!$A$6:$L$10,10,FALSE)/2,IF($I185&lt;M$3,VLOOKUP($H185,Depreciation!$A$6:$L$10,10,FALSE),0))</f>
        <v>3.0676363676126896E-2</v>
      </c>
      <c r="N185" s="361">
        <f>+IF($I185=N$3,VLOOKUP($H185,Depreciation!$A$6:$L$10,11,FALSE)/2,IF($I185&lt;N$3,VLOOKUP($H185,Depreciation!$A$6:$L$10,11,FALSE),0))</f>
        <v>3.0676363676126896E-2</v>
      </c>
      <c r="O185" s="361">
        <f>+IF($I185=O$3,VLOOKUP($H185,Depreciation!$A$6:$L$10,12,FALSE)/2,IF($I185&lt;O$3,VLOOKUP($H185,Depreciation!$A$6:$L$10,12,FALSE),0))</f>
        <v>3.0676363676126896E-2</v>
      </c>
      <c r="P185" s="362">
        <f t="shared" si="8"/>
        <v>1357163.1145138049</v>
      </c>
      <c r="Q185" s="362">
        <f t="shared" si="9"/>
        <v>0</v>
      </c>
      <c r="R185" s="363">
        <f t="shared" si="10"/>
        <v>1357163.1145138049</v>
      </c>
    </row>
    <row r="186" spans="1:18">
      <c r="A186" s="377" t="s">
        <v>1191</v>
      </c>
      <c r="B186" s="377" t="s">
        <v>1200</v>
      </c>
      <c r="C186" s="377">
        <v>1117</v>
      </c>
      <c r="D186" s="377">
        <v>138</v>
      </c>
      <c r="E186" s="377"/>
      <c r="F186" s="378" t="s">
        <v>1211</v>
      </c>
      <c r="G186" s="379">
        <v>58119.541832429939</v>
      </c>
      <c r="H186" s="378" t="s">
        <v>4</v>
      </c>
      <c r="I186" s="378">
        <v>2015</v>
      </c>
      <c r="J186" s="361">
        <f>+IF($I186=J$3,VLOOKUP($H186,Depreciation!$A$6:$L$10,7,FALSE)/2,IF($I186&lt;J$3,VLOOKUP($H186,Depreciation!$A$6:$L$10,7,FALSE),0))</f>
        <v>1.595020804044691E-2</v>
      </c>
      <c r="K186" s="361">
        <f>+IF($I186=K$3,VLOOKUP($H186,Depreciation!$A$6:$L$10,8,FALSE)/2,IF($I186&lt;K$3,VLOOKUP($H186,Depreciation!$A$6:$L$10,8,FALSE),0))</f>
        <v>3.0676363676126896E-2</v>
      </c>
      <c r="L186" s="361">
        <f>+IF($I186=L$3,VLOOKUP($H186,Depreciation!$A$6:$L$10,9,FALSE)/2,IF($I186&lt;L$3,VLOOKUP($H186,Depreciation!$A$6:$L$10,9,FALSE),0))</f>
        <v>3.0676363676126896E-2</v>
      </c>
      <c r="M186" s="361">
        <f>+IF($I186=M$3,VLOOKUP($H186,Depreciation!$A$6:$L$10,10,FALSE)/2,IF($I186&lt;M$3,VLOOKUP($H186,Depreciation!$A$6:$L$10,10,FALSE),0))</f>
        <v>3.0676363676126896E-2</v>
      </c>
      <c r="N186" s="361">
        <f>+IF($I186=N$3,VLOOKUP($H186,Depreciation!$A$6:$L$10,11,FALSE)/2,IF($I186&lt;N$3,VLOOKUP($H186,Depreciation!$A$6:$L$10,11,FALSE),0))</f>
        <v>3.0676363676126896E-2</v>
      </c>
      <c r="O186" s="361">
        <f>+IF($I186=O$3,VLOOKUP($H186,Depreciation!$A$6:$L$10,12,FALSE)/2,IF($I186&lt;O$3,VLOOKUP($H186,Depreciation!$A$6:$L$10,12,FALSE),0))</f>
        <v>3.0676363676126896E-2</v>
      </c>
      <c r="P186" s="362">
        <f t="shared" si="8"/>
        <v>57192.523048987227</v>
      </c>
      <c r="Q186" s="362">
        <f t="shared" si="9"/>
        <v>0</v>
      </c>
      <c r="R186" s="363">
        <f t="shared" si="10"/>
        <v>57192.523048987227</v>
      </c>
    </row>
    <row r="187" spans="1:18">
      <c r="A187" s="377" t="s">
        <v>1191</v>
      </c>
      <c r="B187" s="377" t="s">
        <v>1199</v>
      </c>
      <c r="C187" s="377">
        <v>1117</v>
      </c>
      <c r="D187" s="377">
        <v>138</v>
      </c>
      <c r="E187" s="377"/>
      <c r="F187" s="378" t="s">
        <v>1211</v>
      </c>
      <c r="G187" s="379">
        <v>113097.48680905285</v>
      </c>
      <c r="H187" s="378" t="s">
        <v>4</v>
      </c>
      <c r="I187" s="378">
        <v>2015</v>
      </c>
      <c r="J187" s="361">
        <f>+IF($I187=J$3,VLOOKUP($H187,Depreciation!$A$6:$L$10,7,FALSE)/2,IF($I187&lt;J$3,VLOOKUP($H187,Depreciation!$A$6:$L$10,7,FALSE),0))</f>
        <v>1.595020804044691E-2</v>
      </c>
      <c r="K187" s="361">
        <f>+IF($I187=K$3,VLOOKUP($H187,Depreciation!$A$6:$L$10,8,FALSE)/2,IF($I187&lt;K$3,VLOOKUP($H187,Depreciation!$A$6:$L$10,8,FALSE),0))</f>
        <v>3.0676363676126896E-2</v>
      </c>
      <c r="L187" s="361">
        <f>+IF($I187=L$3,VLOOKUP($H187,Depreciation!$A$6:$L$10,9,FALSE)/2,IF($I187&lt;L$3,VLOOKUP($H187,Depreciation!$A$6:$L$10,9,FALSE),0))</f>
        <v>3.0676363676126896E-2</v>
      </c>
      <c r="M187" s="361">
        <f>+IF($I187=M$3,VLOOKUP($H187,Depreciation!$A$6:$L$10,10,FALSE)/2,IF($I187&lt;M$3,VLOOKUP($H187,Depreciation!$A$6:$L$10,10,FALSE),0))</f>
        <v>3.0676363676126896E-2</v>
      </c>
      <c r="N187" s="361">
        <f>+IF($I187=N$3,VLOOKUP($H187,Depreciation!$A$6:$L$10,11,FALSE)/2,IF($I187&lt;N$3,VLOOKUP($H187,Depreciation!$A$6:$L$10,11,FALSE),0))</f>
        <v>3.0676363676126896E-2</v>
      </c>
      <c r="O187" s="361">
        <f>+IF($I187=O$3,VLOOKUP($H187,Depreciation!$A$6:$L$10,12,FALSE)/2,IF($I187&lt;O$3,VLOOKUP($H187,Depreciation!$A$6:$L$10,12,FALSE),0))</f>
        <v>3.0676363676126896E-2</v>
      </c>
      <c r="P187" s="362">
        <f t="shared" si="8"/>
        <v>111293.55836559675</v>
      </c>
      <c r="Q187" s="362">
        <f t="shared" si="9"/>
        <v>0</v>
      </c>
      <c r="R187" s="363">
        <f t="shared" si="10"/>
        <v>111293.55836559675</v>
      </c>
    </row>
    <row r="188" spans="1:18">
      <c r="A188" s="377" t="s">
        <v>1191</v>
      </c>
      <c r="B188" s="377" t="s">
        <v>1202</v>
      </c>
      <c r="C188" s="377">
        <v>1117</v>
      </c>
      <c r="D188" s="377">
        <v>138</v>
      </c>
      <c r="E188" s="377"/>
      <c r="F188" s="378" t="s">
        <v>1211</v>
      </c>
      <c r="G188" s="379">
        <v>10552623.838655792</v>
      </c>
      <c r="H188" s="378" t="s">
        <v>4</v>
      </c>
      <c r="I188" s="378">
        <v>2015</v>
      </c>
      <c r="J188" s="361">
        <f>+IF($I188=J$3,VLOOKUP($H188,Depreciation!$A$6:$L$10,7,FALSE)/2,IF($I188&lt;J$3,VLOOKUP($H188,Depreciation!$A$6:$L$10,7,FALSE),0))</f>
        <v>1.595020804044691E-2</v>
      </c>
      <c r="K188" s="361">
        <f>+IF($I188=K$3,VLOOKUP($H188,Depreciation!$A$6:$L$10,8,FALSE)/2,IF($I188&lt;K$3,VLOOKUP($H188,Depreciation!$A$6:$L$10,8,FALSE),0))</f>
        <v>3.0676363676126896E-2</v>
      </c>
      <c r="L188" s="361">
        <f>+IF($I188=L$3,VLOOKUP($H188,Depreciation!$A$6:$L$10,9,FALSE)/2,IF($I188&lt;L$3,VLOOKUP($H188,Depreciation!$A$6:$L$10,9,FALSE),0))</f>
        <v>3.0676363676126896E-2</v>
      </c>
      <c r="M188" s="361">
        <f>+IF($I188=M$3,VLOOKUP($H188,Depreciation!$A$6:$L$10,10,FALSE)/2,IF($I188&lt;M$3,VLOOKUP($H188,Depreciation!$A$6:$L$10,10,FALSE),0))</f>
        <v>3.0676363676126896E-2</v>
      </c>
      <c r="N188" s="361">
        <f>+IF($I188=N$3,VLOOKUP($H188,Depreciation!$A$6:$L$10,11,FALSE)/2,IF($I188&lt;N$3,VLOOKUP($H188,Depreciation!$A$6:$L$10,11,FALSE),0))</f>
        <v>3.0676363676126896E-2</v>
      </c>
      <c r="O188" s="361">
        <f>+IF($I188=O$3,VLOOKUP($H188,Depreciation!$A$6:$L$10,12,FALSE)/2,IF($I188&lt;O$3,VLOOKUP($H188,Depreciation!$A$6:$L$10,12,FALSE),0))</f>
        <v>3.0676363676126896E-2</v>
      </c>
      <c r="P188" s="362">
        <f t="shared" si="8"/>
        <v>10384307.293056654</v>
      </c>
      <c r="Q188" s="362">
        <f t="shared" si="9"/>
        <v>0</v>
      </c>
      <c r="R188" s="363">
        <f t="shared" si="10"/>
        <v>10384307.293056654</v>
      </c>
    </row>
    <row r="189" spans="1:18">
      <c r="A189" s="377" t="s">
        <v>1191</v>
      </c>
      <c r="B189" s="377" t="s">
        <v>1202</v>
      </c>
      <c r="C189" s="377">
        <v>1117</v>
      </c>
      <c r="D189" s="377">
        <v>138</v>
      </c>
      <c r="E189" s="377"/>
      <c r="F189" s="378" t="s">
        <v>1211</v>
      </c>
      <c r="G189" s="379">
        <v>6925650.2686265837</v>
      </c>
      <c r="H189" s="378" t="s">
        <v>4</v>
      </c>
      <c r="I189" s="378">
        <v>2015</v>
      </c>
      <c r="J189" s="361">
        <f>+IF($I189=J$3,VLOOKUP($H189,Depreciation!$A$6:$L$10,7,FALSE)/2,IF($I189&lt;J$3,VLOOKUP($H189,Depreciation!$A$6:$L$10,7,FALSE),0))</f>
        <v>1.595020804044691E-2</v>
      </c>
      <c r="K189" s="361">
        <f>+IF($I189=K$3,VLOOKUP($H189,Depreciation!$A$6:$L$10,8,FALSE)/2,IF($I189&lt;K$3,VLOOKUP($H189,Depreciation!$A$6:$L$10,8,FALSE),0))</f>
        <v>3.0676363676126896E-2</v>
      </c>
      <c r="L189" s="361">
        <f>+IF($I189=L$3,VLOOKUP($H189,Depreciation!$A$6:$L$10,9,FALSE)/2,IF($I189&lt;L$3,VLOOKUP($H189,Depreciation!$A$6:$L$10,9,FALSE),0))</f>
        <v>3.0676363676126896E-2</v>
      </c>
      <c r="M189" s="361">
        <f>+IF($I189=M$3,VLOOKUP($H189,Depreciation!$A$6:$L$10,10,FALSE)/2,IF($I189&lt;M$3,VLOOKUP($H189,Depreciation!$A$6:$L$10,10,FALSE),0))</f>
        <v>3.0676363676126896E-2</v>
      </c>
      <c r="N189" s="361">
        <f>+IF($I189=N$3,VLOOKUP($H189,Depreciation!$A$6:$L$10,11,FALSE)/2,IF($I189&lt;N$3,VLOOKUP($H189,Depreciation!$A$6:$L$10,11,FALSE),0))</f>
        <v>3.0676363676126896E-2</v>
      </c>
      <c r="O189" s="361">
        <f>+IF($I189=O$3,VLOOKUP($H189,Depreciation!$A$6:$L$10,12,FALSE)/2,IF($I189&lt;O$3,VLOOKUP($H189,Depreciation!$A$6:$L$10,12,FALSE),0))</f>
        <v>3.0676363676126896E-2</v>
      </c>
      <c r="P189" s="362">
        <f t="shared" si="8"/>
        <v>6815184.7060266128</v>
      </c>
      <c r="Q189" s="362">
        <f t="shared" si="9"/>
        <v>0</v>
      </c>
      <c r="R189" s="363">
        <f t="shared" si="10"/>
        <v>6815184.7060266128</v>
      </c>
    </row>
    <row r="190" spans="1:18">
      <c r="A190" s="377" t="s">
        <v>1191</v>
      </c>
      <c r="B190" s="377" t="s">
        <v>1792</v>
      </c>
      <c r="C190" s="377">
        <v>1117</v>
      </c>
      <c r="D190" s="377">
        <v>240</v>
      </c>
      <c r="E190" s="377"/>
      <c r="F190" s="378">
        <v>0</v>
      </c>
      <c r="G190" s="379">
        <v>6383232.2672256418</v>
      </c>
      <c r="H190" s="378" t="s">
        <v>4</v>
      </c>
      <c r="I190" s="378">
        <v>2015</v>
      </c>
      <c r="J190" s="361">
        <f>+IF($I190=J$3,VLOOKUP($H190,Depreciation!$A$6:$L$10,7,FALSE)/2,IF($I190&lt;J$3,VLOOKUP($H190,Depreciation!$A$6:$L$10,7,FALSE),0))</f>
        <v>1.595020804044691E-2</v>
      </c>
      <c r="K190" s="361">
        <f>+IF($I190=K$3,VLOOKUP($H190,Depreciation!$A$6:$L$10,8,FALSE)/2,IF($I190&lt;K$3,VLOOKUP($H190,Depreciation!$A$6:$L$10,8,FALSE),0))</f>
        <v>3.0676363676126896E-2</v>
      </c>
      <c r="L190" s="361">
        <f>+IF($I190=L$3,VLOOKUP($H190,Depreciation!$A$6:$L$10,9,FALSE)/2,IF($I190&lt;L$3,VLOOKUP($H190,Depreciation!$A$6:$L$10,9,FALSE),0))</f>
        <v>3.0676363676126896E-2</v>
      </c>
      <c r="M190" s="361">
        <f>+IF($I190=M$3,VLOOKUP($H190,Depreciation!$A$6:$L$10,10,FALSE)/2,IF($I190&lt;M$3,VLOOKUP($H190,Depreciation!$A$6:$L$10,10,FALSE),0))</f>
        <v>3.0676363676126896E-2</v>
      </c>
      <c r="N190" s="361">
        <f>+IF($I190=N$3,VLOOKUP($H190,Depreciation!$A$6:$L$10,11,FALSE)/2,IF($I190&lt;N$3,VLOOKUP($H190,Depreciation!$A$6:$L$10,11,FALSE),0))</f>
        <v>3.0676363676126896E-2</v>
      </c>
      <c r="O190" s="361">
        <f>+IF($I190=O$3,VLOOKUP($H190,Depreciation!$A$6:$L$10,12,FALSE)/2,IF($I190&lt;O$3,VLOOKUP($H190,Depreciation!$A$6:$L$10,12,FALSE),0))</f>
        <v>3.0676363676126896E-2</v>
      </c>
      <c r="P190" s="362">
        <f t="shared" si="8"/>
        <v>6281418.3845928991</v>
      </c>
      <c r="Q190" s="362">
        <f t="shared" si="9"/>
        <v>6281418.3845928991</v>
      </c>
      <c r="R190" s="363">
        <f t="shared" si="10"/>
        <v>0</v>
      </c>
    </row>
    <row r="191" spans="1:18">
      <c r="A191" s="377" t="s">
        <v>1191</v>
      </c>
      <c r="B191" s="377" t="s">
        <v>1793</v>
      </c>
      <c r="C191" s="377">
        <v>1117</v>
      </c>
      <c r="D191" s="377">
        <v>240</v>
      </c>
      <c r="E191" s="377"/>
      <c r="F191" s="378">
        <v>0</v>
      </c>
      <c r="G191" s="379">
        <v>40534.58651700589</v>
      </c>
      <c r="H191" s="378" t="s">
        <v>4</v>
      </c>
      <c r="I191" s="378">
        <v>2015</v>
      </c>
      <c r="J191" s="361">
        <f>+IF($I191=J$3,VLOOKUP($H191,Depreciation!$A$6:$L$10,7,FALSE)/2,IF($I191&lt;J$3,VLOOKUP($H191,Depreciation!$A$6:$L$10,7,FALSE),0))</f>
        <v>1.595020804044691E-2</v>
      </c>
      <c r="K191" s="361">
        <f>+IF($I191=K$3,VLOOKUP($H191,Depreciation!$A$6:$L$10,8,FALSE)/2,IF($I191&lt;K$3,VLOOKUP($H191,Depreciation!$A$6:$L$10,8,FALSE),0))</f>
        <v>3.0676363676126896E-2</v>
      </c>
      <c r="L191" s="361">
        <f>+IF($I191=L$3,VLOOKUP($H191,Depreciation!$A$6:$L$10,9,FALSE)/2,IF($I191&lt;L$3,VLOOKUP($H191,Depreciation!$A$6:$L$10,9,FALSE),0))</f>
        <v>3.0676363676126896E-2</v>
      </c>
      <c r="M191" s="361">
        <f>+IF($I191=M$3,VLOOKUP($H191,Depreciation!$A$6:$L$10,10,FALSE)/2,IF($I191&lt;M$3,VLOOKUP($H191,Depreciation!$A$6:$L$10,10,FALSE),0))</f>
        <v>3.0676363676126896E-2</v>
      </c>
      <c r="N191" s="361">
        <f>+IF($I191=N$3,VLOOKUP($H191,Depreciation!$A$6:$L$10,11,FALSE)/2,IF($I191&lt;N$3,VLOOKUP($H191,Depreciation!$A$6:$L$10,11,FALSE),0))</f>
        <v>3.0676363676126896E-2</v>
      </c>
      <c r="O191" s="361">
        <f>+IF($I191=O$3,VLOOKUP($H191,Depreciation!$A$6:$L$10,12,FALSE)/2,IF($I191&lt;O$3,VLOOKUP($H191,Depreciation!$A$6:$L$10,12,FALSE),0))</f>
        <v>3.0676363676126896E-2</v>
      </c>
      <c r="P191" s="362">
        <f t="shared" si="8"/>
        <v>39888.051429226151</v>
      </c>
      <c r="Q191" s="362">
        <f t="shared" si="9"/>
        <v>39888.051429226151</v>
      </c>
      <c r="R191" s="363">
        <f t="shared" si="10"/>
        <v>0</v>
      </c>
    </row>
    <row r="192" spans="1:18">
      <c r="A192" s="377" t="s">
        <v>1191</v>
      </c>
      <c r="B192" s="377" t="s">
        <v>1794</v>
      </c>
      <c r="C192" s="377">
        <v>1117</v>
      </c>
      <c r="D192" s="377">
        <v>240</v>
      </c>
      <c r="E192" s="377"/>
      <c r="F192" s="378" t="s">
        <v>1211</v>
      </c>
      <c r="G192" s="379">
        <v>4954996.4948249059</v>
      </c>
      <c r="H192" s="378" t="s">
        <v>4</v>
      </c>
      <c r="I192" s="378">
        <v>2015</v>
      </c>
      <c r="J192" s="361">
        <f>+IF($I192=J$3,VLOOKUP($H192,Depreciation!$A$6:$L$10,7,FALSE)/2,IF($I192&lt;J$3,VLOOKUP($H192,Depreciation!$A$6:$L$10,7,FALSE),0))</f>
        <v>1.595020804044691E-2</v>
      </c>
      <c r="K192" s="361">
        <f>+IF($I192=K$3,VLOOKUP($H192,Depreciation!$A$6:$L$10,8,FALSE)/2,IF($I192&lt;K$3,VLOOKUP($H192,Depreciation!$A$6:$L$10,8,FALSE),0))</f>
        <v>3.0676363676126896E-2</v>
      </c>
      <c r="L192" s="361">
        <f>+IF($I192=L$3,VLOOKUP($H192,Depreciation!$A$6:$L$10,9,FALSE)/2,IF($I192&lt;L$3,VLOOKUP($H192,Depreciation!$A$6:$L$10,9,FALSE),0))</f>
        <v>3.0676363676126896E-2</v>
      </c>
      <c r="M192" s="361">
        <f>+IF($I192=M$3,VLOOKUP($H192,Depreciation!$A$6:$L$10,10,FALSE)/2,IF($I192&lt;M$3,VLOOKUP($H192,Depreciation!$A$6:$L$10,10,FALSE),0))</f>
        <v>3.0676363676126896E-2</v>
      </c>
      <c r="N192" s="361">
        <f>+IF($I192=N$3,VLOOKUP($H192,Depreciation!$A$6:$L$10,11,FALSE)/2,IF($I192&lt;N$3,VLOOKUP($H192,Depreciation!$A$6:$L$10,11,FALSE),0))</f>
        <v>3.0676363676126896E-2</v>
      </c>
      <c r="O192" s="361">
        <f>+IF($I192=O$3,VLOOKUP($H192,Depreciation!$A$6:$L$10,12,FALSE)/2,IF($I192&lt;O$3,VLOOKUP($H192,Depreciation!$A$6:$L$10,12,FALSE),0))</f>
        <v>3.0676363676126896E-2</v>
      </c>
      <c r="P192" s="362">
        <f t="shared" si="8"/>
        <v>4875963.2698927633</v>
      </c>
      <c r="Q192" s="362">
        <f t="shared" si="9"/>
        <v>4875963.2698927633</v>
      </c>
      <c r="R192" s="363">
        <f t="shared" si="10"/>
        <v>0</v>
      </c>
    </row>
    <row r="193" spans="1:18">
      <c r="A193" s="377" t="s">
        <v>1191</v>
      </c>
      <c r="B193" s="377" t="s">
        <v>1794</v>
      </c>
      <c r="C193" s="377">
        <v>1117</v>
      </c>
      <c r="D193" s="377">
        <v>240</v>
      </c>
      <c r="E193" s="377"/>
      <c r="F193" s="378" t="s">
        <v>1211</v>
      </c>
      <c r="G193" s="379">
        <v>6050519.460335305</v>
      </c>
      <c r="H193" s="378" t="s">
        <v>4</v>
      </c>
      <c r="I193" s="378">
        <v>2015</v>
      </c>
      <c r="J193" s="361">
        <f>+IF($I193=J$3,VLOOKUP($H193,Depreciation!$A$6:$L$10,7,FALSE)/2,IF($I193&lt;J$3,VLOOKUP($H193,Depreciation!$A$6:$L$10,7,FALSE),0))</f>
        <v>1.595020804044691E-2</v>
      </c>
      <c r="K193" s="361">
        <f>+IF($I193=K$3,VLOOKUP($H193,Depreciation!$A$6:$L$10,8,FALSE)/2,IF($I193&lt;K$3,VLOOKUP($H193,Depreciation!$A$6:$L$10,8,FALSE),0))</f>
        <v>3.0676363676126896E-2</v>
      </c>
      <c r="L193" s="361">
        <f>+IF($I193=L$3,VLOOKUP($H193,Depreciation!$A$6:$L$10,9,FALSE)/2,IF($I193&lt;L$3,VLOOKUP($H193,Depreciation!$A$6:$L$10,9,FALSE),0))</f>
        <v>3.0676363676126896E-2</v>
      </c>
      <c r="M193" s="361">
        <f>+IF($I193=M$3,VLOOKUP($H193,Depreciation!$A$6:$L$10,10,FALSE)/2,IF($I193&lt;M$3,VLOOKUP($H193,Depreciation!$A$6:$L$10,10,FALSE),0))</f>
        <v>3.0676363676126896E-2</v>
      </c>
      <c r="N193" s="361">
        <f>+IF($I193=N$3,VLOOKUP($H193,Depreciation!$A$6:$L$10,11,FALSE)/2,IF($I193&lt;N$3,VLOOKUP($H193,Depreciation!$A$6:$L$10,11,FALSE),0))</f>
        <v>3.0676363676126896E-2</v>
      </c>
      <c r="O193" s="361">
        <f>+IF($I193=O$3,VLOOKUP($H193,Depreciation!$A$6:$L$10,12,FALSE)/2,IF($I193&lt;O$3,VLOOKUP($H193,Depreciation!$A$6:$L$10,12,FALSE),0))</f>
        <v>3.0676363676126896E-2</v>
      </c>
      <c r="P193" s="362">
        <f t="shared" si="8"/>
        <v>5954012.4161901847</v>
      </c>
      <c r="Q193" s="362">
        <f t="shared" si="9"/>
        <v>5954012.4161901847</v>
      </c>
      <c r="R193" s="363">
        <f t="shared" si="10"/>
        <v>0</v>
      </c>
    </row>
    <row r="194" spans="1:18">
      <c r="A194" s="377" t="s">
        <v>1191</v>
      </c>
      <c r="B194" s="377" t="s">
        <v>1795</v>
      </c>
      <c r="C194" s="377">
        <v>1117</v>
      </c>
      <c r="D194" s="377">
        <v>240</v>
      </c>
      <c r="E194" s="377"/>
      <c r="F194" s="378">
        <v>0</v>
      </c>
      <c r="G194" s="379">
        <v>5690283.8596253982</v>
      </c>
      <c r="H194" s="378" t="s">
        <v>4</v>
      </c>
      <c r="I194" s="378">
        <v>2015</v>
      </c>
      <c r="J194" s="361">
        <f>+IF($I194=J$3,VLOOKUP($H194,Depreciation!$A$6:$L$10,7,FALSE)/2,IF($I194&lt;J$3,VLOOKUP($H194,Depreciation!$A$6:$L$10,7,FALSE),0))</f>
        <v>1.595020804044691E-2</v>
      </c>
      <c r="K194" s="361">
        <f>+IF($I194=K$3,VLOOKUP($H194,Depreciation!$A$6:$L$10,8,FALSE)/2,IF($I194&lt;K$3,VLOOKUP($H194,Depreciation!$A$6:$L$10,8,FALSE),0))</f>
        <v>3.0676363676126896E-2</v>
      </c>
      <c r="L194" s="361">
        <f>+IF($I194=L$3,VLOOKUP($H194,Depreciation!$A$6:$L$10,9,FALSE)/2,IF($I194&lt;L$3,VLOOKUP($H194,Depreciation!$A$6:$L$10,9,FALSE),0))</f>
        <v>3.0676363676126896E-2</v>
      </c>
      <c r="M194" s="361">
        <f>+IF($I194=M$3,VLOOKUP($H194,Depreciation!$A$6:$L$10,10,FALSE)/2,IF($I194&lt;M$3,VLOOKUP($H194,Depreciation!$A$6:$L$10,10,FALSE),0))</f>
        <v>3.0676363676126896E-2</v>
      </c>
      <c r="N194" s="361">
        <f>+IF($I194=N$3,VLOOKUP($H194,Depreciation!$A$6:$L$10,11,FALSE)/2,IF($I194&lt;N$3,VLOOKUP($H194,Depreciation!$A$6:$L$10,11,FALSE),0))</f>
        <v>3.0676363676126896E-2</v>
      </c>
      <c r="O194" s="361">
        <f>+IF($I194=O$3,VLOOKUP($H194,Depreciation!$A$6:$L$10,12,FALSE)/2,IF($I194&lt;O$3,VLOOKUP($H194,Depreciation!$A$6:$L$10,12,FALSE),0))</f>
        <v>3.0676363676126896E-2</v>
      </c>
      <c r="P194" s="362">
        <f t="shared" si="8"/>
        <v>5599522.6482551759</v>
      </c>
      <c r="Q194" s="362">
        <f t="shared" si="9"/>
        <v>5599522.6482551759</v>
      </c>
      <c r="R194" s="363">
        <f t="shared" si="10"/>
        <v>0</v>
      </c>
    </row>
    <row r="195" spans="1:18">
      <c r="A195" s="377" t="s">
        <v>1191</v>
      </c>
      <c r="B195" s="377" t="s">
        <v>1796</v>
      </c>
      <c r="C195" s="377">
        <v>1117</v>
      </c>
      <c r="D195" s="377">
        <v>240</v>
      </c>
      <c r="E195" s="377"/>
      <c r="F195" s="378" t="s">
        <v>1211</v>
      </c>
      <c r="G195" s="379">
        <v>5966110.3138123723</v>
      </c>
      <c r="H195" s="378" t="s">
        <v>4</v>
      </c>
      <c r="I195" s="378">
        <v>2015</v>
      </c>
      <c r="J195" s="361">
        <f>+IF($I195=J$3,VLOOKUP($H195,Depreciation!$A$6:$L$10,7,FALSE)/2,IF($I195&lt;J$3,VLOOKUP($H195,Depreciation!$A$6:$L$10,7,FALSE),0))</f>
        <v>1.595020804044691E-2</v>
      </c>
      <c r="K195" s="361">
        <f>+IF($I195=K$3,VLOOKUP($H195,Depreciation!$A$6:$L$10,8,FALSE)/2,IF($I195&lt;K$3,VLOOKUP($H195,Depreciation!$A$6:$L$10,8,FALSE),0))</f>
        <v>3.0676363676126896E-2</v>
      </c>
      <c r="L195" s="361">
        <f>+IF($I195=L$3,VLOOKUP($H195,Depreciation!$A$6:$L$10,9,FALSE)/2,IF($I195&lt;L$3,VLOOKUP($H195,Depreciation!$A$6:$L$10,9,FALSE),0))</f>
        <v>3.0676363676126896E-2</v>
      </c>
      <c r="M195" s="361">
        <f>+IF($I195=M$3,VLOOKUP($H195,Depreciation!$A$6:$L$10,10,FALSE)/2,IF($I195&lt;M$3,VLOOKUP($H195,Depreciation!$A$6:$L$10,10,FALSE),0))</f>
        <v>3.0676363676126896E-2</v>
      </c>
      <c r="N195" s="361">
        <f>+IF($I195=N$3,VLOOKUP($H195,Depreciation!$A$6:$L$10,11,FALSE)/2,IF($I195&lt;N$3,VLOOKUP($H195,Depreciation!$A$6:$L$10,11,FALSE),0))</f>
        <v>3.0676363676126896E-2</v>
      </c>
      <c r="O195" s="361">
        <f>+IF($I195=O$3,VLOOKUP($H195,Depreciation!$A$6:$L$10,12,FALSE)/2,IF($I195&lt;O$3,VLOOKUP($H195,Depreciation!$A$6:$L$10,12,FALSE),0))</f>
        <v>3.0676363676126896E-2</v>
      </c>
      <c r="P195" s="362">
        <f t="shared" si="8"/>
        <v>5870949.6131148087</v>
      </c>
      <c r="Q195" s="362">
        <f t="shared" si="9"/>
        <v>5870949.6131148087</v>
      </c>
      <c r="R195" s="363">
        <f t="shared" si="10"/>
        <v>0</v>
      </c>
    </row>
    <row r="196" spans="1:18">
      <c r="A196" s="377" t="s">
        <v>1191</v>
      </c>
      <c r="B196" s="377" t="s">
        <v>1796</v>
      </c>
      <c r="C196" s="377">
        <v>1117</v>
      </c>
      <c r="D196" s="377">
        <v>240</v>
      </c>
      <c r="E196" s="377"/>
      <c r="F196" s="378" t="s">
        <v>1211</v>
      </c>
      <c r="G196" s="379">
        <v>5966110.3138123723</v>
      </c>
      <c r="H196" s="378" t="s">
        <v>4</v>
      </c>
      <c r="I196" s="378">
        <v>2015</v>
      </c>
      <c r="J196" s="361">
        <f>+IF($I196=J$3,VLOOKUP($H196,Depreciation!$A$6:$L$10,7,FALSE)/2,IF($I196&lt;J$3,VLOOKUP($H196,Depreciation!$A$6:$L$10,7,FALSE),0))</f>
        <v>1.595020804044691E-2</v>
      </c>
      <c r="K196" s="361">
        <f>+IF($I196=K$3,VLOOKUP($H196,Depreciation!$A$6:$L$10,8,FALSE)/2,IF($I196&lt;K$3,VLOOKUP($H196,Depreciation!$A$6:$L$10,8,FALSE),0))</f>
        <v>3.0676363676126896E-2</v>
      </c>
      <c r="L196" s="361">
        <f>+IF($I196=L$3,VLOOKUP($H196,Depreciation!$A$6:$L$10,9,FALSE)/2,IF($I196&lt;L$3,VLOOKUP($H196,Depreciation!$A$6:$L$10,9,FALSE),0))</f>
        <v>3.0676363676126896E-2</v>
      </c>
      <c r="M196" s="361">
        <f>+IF($I196=M$3,VLOOKUP($H196,Depreciation!$A$6:$L$10,10,FALSE)/2,IF($I196&lt;M$3,VLOOKUP($H196,Depreciation!$A$6:$L$10,10,FALSE),0))</f>
        <v>3.0676363676126896E-2</v>
      </c>
      <c r="N196" s="361">
        <f>+IF($I196=N$3,VLOOKUP($H196,Depreciation!$A$6:$L$10,11,FALSE)/2,IF($I196&lt;N$3,VLOOKUP($H196,Depreciation!$A$6:$L$10,11,FALSE),0))</f>
        <v>3.0676363676126896E-2</v>
      </c>
      <c r="O196" s="361">
        <f>+IF($I196=O$3,VLOOKUP($H196,Depreciation!$A$6:$L$10,12,FALSE)/2,IF($I196&lt;O$3,VLOOKUP($H196,Depreciation!$A$6:$L$10,12,FALSE),0))</f>
        <v>3.0676363676126896E-2</v>
      </c>
      <c r="P196" s="362">
        <f t="shared" si="8"/>
        <v>5870949.6131148087</v>
      </c>
      <c r="Q196" s="362">
        <f t="shared" si="9"/>
        <v>5870949.6131148087</v>
      </c>
      <c r="R196" s="363">
        <f t="shared" si="10"/>
        <v>0</v>
      </c>
    </row>
    <row r="197" spans="1:18">
      <c r="A197" s="377" t="s">
        <v>1191</v>
      </c>
      <c r="B197" s="377" t="s">
        <v>1797</v>
      </c>
      <c r="C197" s="377">
        <v>1117</v>
      </c>
      <c r="D197" s="377">
        <v>240</v>
      </c>
      <c r="E197" s="377"/>
      <c r="F197" s="378" t="s">
        <v>1211</v>
      </c>
      <c r="G197" s="379">
        <v>6197786.4819285059</v>
      </c>
      <c r="H197" s="378" t="s">
        <v>4</v>
      </c>
      <c r="I197" s="378">
        <v>2015</v>
      </c>
      <c r="J197" s="361">
        <f>+IF($I197=J$3,VLOOKUP($H197,Depreciation!$A$6:$L$10,7,FALSE)/2,IF($I197&lt;J$3,VLOOKUP($H197,Depreciation!$A$6:$L$10,7,FALSE),0))</f>
        <v>1.595020804044691E-2</v>
      </c>
      <c r="K197" s="361">
        <f>+IF($I197=K$3,VLOOKUP($H197,Depreciation!$A$6:$L$10,8,FALSE)/2,IF($I197&lt;K$3,VLOOKUP($H197,Depreciation!$A$6:$L$10,8,FALSE),0))</f>
        <v>3.0676363676126896E-2</v>
      </c>
      <c r="L197" s="361">
        <f>+IF($I197=L$3,VLOOKUP($H197,Depreciation!$A$6:$L$10,9,FALSE)/2,IF($I197&lt;L$3,VLOOKUP($H197,Depreciation!$A$6:$L$10,9,FALSE),0))</f>
        <v>3.0676363676126896E-2</v>
      </c>
      <c r="M197" s="361">
        <f>+IF($I197=M$3,VLOOKUP($H197,Depreciation!$A$6:$L$10,10,FALSE)/2,IF($I197&lt;M$3,VLOOKUP($H197,Depreciation!$A$6:$L$10,10,FALSE),0))</f>
        <v>3.0676363676126896E-2</v>
      </c>
      <c r="N197" s="361">
        <f>+IF($I197=N$3,VLOOKUP($H197,Depreciation!$A$6:$L$10,11,FALSE)/2,IF($I197&lt;N$3,VLOOKUP($H197,Depreciation!$A$6:$L$10,11,FALSE),0))</f>
        <v>3.0676363676126896E-2</v>
      </c>
      <c r="O197" s="361">
        <f>+IF($I197=O$3,VLOOKUP($H197,Depreciation!$A$6:$L$10,12,FALSE)/2,IF($I197&lt;O$3,VLOOKUP($H197,Depreciation!$A$6:$L$10,12,FALSE),0))</f>
        <v>3.0676363676126896E-2</v>
      </c>
      <c r="P197" s="362">
        <f t="shared" ref="P197:P260" si="11">IF(I197&lt;=2015,G197*(1-J197),0)</f>
        <v>6098930.4981514765</v>
      </c>
      <c r="Q197" s="362">
        <f t="shared" ref="Q197:Q260" si="12">IF(D197&gt;=240,P197,0)</f>
        <v>6098930.4981514765</v>
      </c>
      <c r="R197" s="363">
        <f t="shared" ref="R197:R260" si="13">IF(AND(D197&gt;25,D197&lt;240),P197,0)</f>
        <v>0</v>
      </c>
    </row>
    <row r="198" spans="1:18">
      <c r="A198" s="377" t="s">
        <v>1191</v>
      </c>
      <c r="B198" s="377" t="s">
        <v>1798</v>
      </c>
      <c r="C198" s="377">
        <v>1128</v>
      </c>
      <c r="D198" s="377">
        <v>144</v>
      </c>
      <c r="E198" s="377"/>
      <c r="F198" s="378" t="s">
        <v>1209</v>
      </c>
      <c r="G198" s="379">
        <v>5836667.1107417718</v>
      </c>
      <c r="H198" s="378" t="s">
        <v>66</v>
      </c>
      <c r="I198" s="378">
        <v>2015</v>
      </c>
      <c r="J198" s="361">
        <f>+IF($I198=J$3,VLOOKUP($H198,Depreciation!$A$6:$L$10,7,FALSE)/2,IF($I198&lt;J$3,VLOOKUP($H198,Depreciation!$A$6:$L$10,7,FALSE),0))</f>
        <v>1.239102859091515E-2</v>
      </c>
      <c r="K198" s="361">
        <f>+IF($I198=K$3,VLOOKUP($H198,Depreciation!$A$6:$L$10,8,FALSE)/2,IF($I198&lt;K$3,VLOOKUP($H198,Depreciation!$A$6:$L$10,8,FALSE),0))</f>
        <v>2.3943859731006666E-2</v>
      </c>
      <c r="L198" s="361">
        <f>+IF($I198=L$3,VLOOKUP($H198,Depreciation!$A$6:$L$10,9,FALSE)/2,IF($I198&lt;L$3,VLOOKUP($H198,Depreciation!$A$6:$L$10,9,FALSE),0))</f>
        <v>2.4002037926855919E-2</v>
      </c>
      <c r="M198" s="361">
        <f>+IF($I198=M$3,VLOOKUP($H198,Depreciation!$A$6:$L$10,10,FALSE)/2,IF($I198&lt;M$3,VLOOKUP($H198,Depreciation!$A$6:$L$10,10,FALSE),0))</f>
        <v>2.4002037926855919E-2</v>
      </c>
      <c r="N198" s="361">
        <f>+IF($I198=N$3,VLOOKUP($H198,Depreciation!$A$6:$L$10,11,FALSE)/2,IF($I198&lt;N$3,VLOOKUP($H198,Depreciation!$A$6:$L$10,11,FALSE),0))</f>
        <v>2.4002037926855919E-2</v>
      </c>
      <c r="O198" s="361">
        <f>+IF($I198=O$3,VLOOKUP($H198,Depreciation!$A$6:$L$10,12,FALSE)/2,IF($I198&lt;O$3,VLOOKUP($H198,Depreciation!$A$6:$L$10,12,FALSE),0))</f>
        <v>2.4002037926855919E-2</v>
      </c>
      <c r="P198" s="362">
        <f t="shared" si="11"/>
        <v>5764344.8016969161</v>
      </c>
      <c r="Q198" s="362">
        <f t="shared" si="12"/>
        <v>0</v>
      </c>
      <c r="R198" s="363">
        <f t="shared" si="13"/>
        <v>5764344.8016969161</v>
      </c>
    </row>
    <row r="199" spans="1:18">
      <c r="A199" s="377" t="s">
        <v>1191</v>
      </c>
      <c r="B199" s="377" t="s">
        <v>1358</v>
      </c>
      <c r="C199" s="377">
        <v>1128</v>
      </c>
      <c r="D199" s="377">
        <v>144</v>
      </c>
      <c r="E199" s="377"/>
      <c r="F199" s="378">
        <v>0</v>
      </c>
      <c r="G199" s="379">
        <v>9964313.8981428742</v>
      </c>
      <c r="H199" s="378" t="s">
        <v>66</v>
      </c>
      <c r="I199" s="378">
        <v>2015</v>
      </c>
      <c r="J199" s="361">
        <f>+IF($I199=J$3,VLOOKUP($H199,Depreciation!$A$6:$L$10,7,FALSE)/2,IF($I199&lt;J$3,VLOOKUP($H199,Depreciation!$A$6:$L$10,7,FALSE),0))</f>
        <v>1.239102859091515E-2</v>
      </c>
      <c r="K199" s="361">
        <f>+IF($I199=K$3,VLOOKUP($H199,Depreciation!$A$6:$L$10,8,FALSE)/2,IF($I199&lt;K$3,VLOOKUP($H199,Depreciation!$A$6:$L$10,8,FALSE),0))</f>
        <v>2.3943859731006666E-2</v>
      </c>
      <c r="L199" s="361">
        <f>+IF($I199=L$3,VLOOKUP($H199,Depreciation!$A$6:$L$10,9,FALSE)/2,IF($I199&lt;L$3,VLOOKUP($H199,Depreciation!$A$6:$L$10,9,FALSE),0))</f>
        <v>2.4002037926855919E-2</v>
      </c>
      <c r="M199" s="361">
        <f>+IF($I199=M$3,VLOOKUP($H199,Depreciation!$A$6:$L$10,10,FALSE)/2,IF($I199&lt;M$3,VLOOKUP($H199,Depreciation!$A$6:$L$10,10,FALSE),0))</f>
        <v>2.4002037926855919E-2</v>
      </c>
      <c r="N199" s="361">
        <f>+IF($I199=N$3,VLOOKUP($H199,Depreciation!$A$6:$L$10,11,FALSE)/2,IF($I199&lt;N$3,VLOOKUP($H199,Depreciation!$A$6:$L$10,11,FALSE),0))</f>
        <v>2.4002037926855919E-2</v>
      </c>
      <c r="O199" s="361">
        <f>+IF($I199=O$3,VLOOKUP($H199,Depreciation!$A$6:$L$10,12,FALSE)/2,IF($I199&lt;O$3,VLOOKUP($H199,Depreciation!$A$6:$L$10,12,FALSE),0))</f>
        <v>2.4002037926855919E-2</v>
      </c>
      <c r="P199" s="362">
        <f t="shared" si="11"/>
        <v>9840845.7997421324</v>
      </c>
      <c r="Q199" s="362">
        <f t="shared" si="12"/>
        <v>0</v>
      </c>
      <c r="R199" s="363">
        <f t="shared" si="13"/>
        <v>9840845.7997421324</v>
      </c>
    </row>
    <row r="200" spans="1:18">
      <c r="A200" s="377" t="s">
        <v>1191</v>
      </c>
      <c r="B200" s="377" t="s">
        <v>1230</v>
      </c>
      <c r="C200" s="377">
        <v>1180</v>
      </c>
      <c r="D200" s="377">
        <v>240</v>
      </c>
      <c r="E200" s="377"/>
      <c r="F200" s="378" t="s">
        <v>1209</v>
      </c>
      <c r="G200" s="379">
        <v>0</v>
      </c>
      <c r="H200" s="378" t="s">
        <v>66</v>
      </c>
      <c r="I200" s="378">
        <v>2100</v>
      </c>
      <c r="J200" s="361">
        <f>+IF($I200=J$3,VLOOKUP($H200,Depreciation!$A$6:$L$10,7,FALSE)/2,IF($I200&lt;J$3,VLOOKUP($H200,Depreciation!$A$6:$L$10,7,FALSE),0))</f>
        <v>0</v>
      </c>
      <c r="K200" s="361">
        <f>+IF($I200=K$3,VLOOKUP($H200,Depreciation!$A$6:$L$10,8,FALSE)/2,IF($I200&lt;K$3,VLOOKUP($H200,Depreciation!$A$6:$L$10,8,FALSE),0))</f>
        <v>0</v>
      </c>
      <c r="L200" s="361">
        <f>+IF($I200=L$3,VLOOKUP($H200,Depreciation!$A$6:$L$10,9,FALSE)/2,IF($I200&lt;L$3,VLOOKUP($H200,Depreciation!$A$6:$L$10,9,FALSE),0))</f>
        <v>0</v>
      </c>
      <c r="M200" s="361">
        <f>+IF($I200=M$3,VLOOKUP($H200,Depreciation!$A$6:$L$10,10,FALSE)/2,IF($I200&lt;M$3,VLOOKUP($H200,Depreciation!$A$6:$L$10,10,FALSE),0))</f>
        <v>0</v>
      </c>
      <c r="N200" s="361">
        <f>+IF($I200=N$3,VLOOKUP($H200,Depreciation!$A$6:$L$10,11,FALSE)/2,IF($I200&lt;N$3,VLOOKUP($H200,Depreciation!$A$6:$L$10,11,FALSE),0))</f>
        <v>0</v>
      </c>
      <c r="O200" s="361">
        <f>+IF($I200=O$3,VLOOKUP($H200,Depreciation!$A$6:$L$10,12,FALSE)/2,IF($I200&lt;O$3,VLOOKUP($H200,Depreciation!$A$6:$L$10,12,FALSE),0))</f>
        <v>0</v>
      </c>
      <c r="P200" s="362">
        <f t="shared" si="11"/>
        <v>0</v>
      </c>
      <c r="Q200" s="362">
        <f t="shared" si="12"/>
        <v>0</v>
      </c>
      <c r="R200" s="363">
        <f t="shared" si="13"/>
        <v>0</v>
      </c>
    </row>
    <row r="201" spans="1:18">
      <c r="A201" s="377" t="s">
        <v>1191</v>
      </c>
      <c r="B201" s="377" t="s">
        <v>1115</v>
      </c>
      <c r="C201" s="377">
        <v>1180</v>
      </c>
      <c r="D201" s="377">
        <v>240</v>
      </c>
      <c r="E201" s="377"/>
      <c r="F201" s="378" t="s">
        <v>1209</v>
      </c>
      <c r="G201" s="379">
        <v>0</v>
      </c>
      <c r="H201" s="378" t="s">
        <v>66</v>
      </c>
      <c r="I201" s="378">
        <v>2100</v>
      </c>
      <c r="J201" s="361">
        <f>+IF($I201=J$3,VLOOKUP($H201,Depreciation!$A$6:$L$10,7,FALSE)/2,IF($I201&lt;J$3,VLOOKUP($H201,Depreciation!$A$6:$L$10,7,FALSE),0))</f>
        <v>0</v>
      </c>
      <c r="K201" s="361">
        <f>+IF($I201=K$3,VLOOKUP($H201,Depreciation!$A$6:$L$10,8,FALSE)/2,IF($I201&lt;K$3,VLOOKUP($H201,Depreciation!$A$6:$L$10,8,FALSE),0))</f>
        <v>0</v>
      </c>
      <c r="L201" s="361">
        <f>+IF($I201=L$3,VLOOKUP($H201,Depreciation!$A$6:$L$10,9,FALSE)/2,IF($I201&lt;L$3,VLOOKUP($H201,Depreciation!$A$6:$L$10,9,FALSE),0))</f>
        <v>0</v>
      </c>
      <c r="M201" s="361">
        <f>+IF($I201=M$3,VLOOKUP($H201,Depreciation!$A$6:$L$10,10,FALSE)/2,IF($I201&lt;M$3,VLOOKUP($H201,Depreciation!$A$6:$L$10,10,FALSE),0))</f>
        <v>0</v>
      </c>
      <c r="N201" s="361">
        <f>+IF($I201=N$3,VLOOKUP($H201,Depreciation!$A$6:$L$10,11,FALSE)/2,IF($I201&lt;N$3,VLOOKUP($H201,Depreciation!$A$6:$L$10,11,FALSE),0))</f>
        <v>0</v>
      </c>
      <c r="O201" s="361">
        <f>+IF($I201=O$3,VLOOKUP($H201,Depreciation!$A$6:$L$10,12,FALSE)/2,IF($I201&lt;O$3,VLOOKUP($H201,Depreciation!$A$6:$L$10,12,FALSE),0))</f>
        <v>0</v>
      </c>
      <c r="P201" s="362">
        <f t="shared" si="11"/>
        <v>0</v>
      </c>
      <c r="Q201" s="362">
        <f t="shared" si="12"/>
        <v>0</v>
      </c>
      <c r="R201" s="363">
        <f t="shared" si="13"/>
        <v>0</v>
      </c>
    </row>
    <row r="202" spans="1:18">
      <c r="A202" s="377" t="s">
        <v>1191</v>
      </c>
      <c r="B202" s="377" t="s">
        <v>1192</v>
      </c>
      <c r="C202" s="377">
        <v>1180</v>
      </c>
      <c r="D202" s="377">
        <v>240</v>
      </c>
      <c r="E202" s="377"/>
      <c r="F202" s="378" t="s">
        <v>1209</v>
      </c>
      <c r="G202" s="379">
        <v>0</v>
      </c>
      <c r="H202" s="378" t="s">
        <v>66</v>
      </c>
      <c r="I202" s="378">
        <v>2100</v>
      </c>
      <c r="J202" s="361">
        <f>+IF($I202=J$3,VLOOKUP($H202,Depreciation!$A$6:$L$10,7,FALSE)/2,IF($I202&lt;J$3,VLOOKUP($H202,Depreciation!$A$6:$L$10,7,FALSE),0))</f>
        <v>0</v>
      </c>
      <c r="K202" s="361">
        <f>+IF($I202=K$3,VLOOKUP($H202,Depreciation!$A$6:$L$10,8,FALSE)/2,IF($I202&lt;K$3,VLOOKUP($H202,Depreciation!$A$6:$L$10,8,FALSE),0))</f>
        <v>0</v>
      </c>
      <c r="L202" s="361">
        <f>+IF($I202=L$3,VLOOKUP($H202,Depreciation!$A$6:$L$10,9,FALSE)/2,IF($I202&lt;L$3,VLOOKUP($H202,Depreciation!$A$6:$L$10,9,FALSE),0))</f>
        <v>0</v>
      </c>
      <c r="M202" s="361">
        <f>+IF($I202=M$3,VLOOKUP($H202,Depreciation!$A$6:$L$10,10,FALSE)/2,IF($I202&lt;M$3,VLOOKUP($H202,Depreciation!$A$6:$L$10,10,FALSE),0))</f>
        <v>0</v>
      </c>
      <c r="N202" s="361">
        <f>+IF($I202=N$3,VLOOKUP($H202,Depreciation!$A$6:$L$10,11,FALSE)/2,IF($I202&lt;N$3,VLOOKUP($H202,Depreciation!$A$6:$L$10,11,FALSE),0))</f>
        <v>0</v>
      </c>
      <c r="O202" s="361">
        <f>+IF($I202=O$3,VLOOKUP($H202,Depreciation!$A$6:$L$10,12,FALSE)/2,IF($I202&lt;O$3,VLOOKUP($H202,Depreciation!$A$6:$L$10,12,FALSE),0))</f>
        <v>0</v>
      </c>
      <c r="P202" s="362">
        <f t="shared" si="11"/>
        <v>0</v>
      </c>
      <c r="Q202" s="362">
        <f t="shared" si="12"/>
        <v>0</v>
      </c>
      <c r="R202" s="363">
        <f t="shared" si="13"/>
        <v>0</v>
      </c>
    </row>
    <row r="203" spans="1:18">
      <c r="A203" s="377" t="s">
        <v>1191</v>
      </c>
      <c r="B203" s="377" t="s">
        <v>1246</v>
      </c>
      <c r="C203" s="377">
        <v>1186</v>
      </c>
      <c r="D203" s="377">
        <v>240</v>
      </c>
      <c r="E203" s="377"/>
      <c r="F203" s="378" t="s">
        <v>1209</v>
      </c>
      <c r="G203" s="379">
        <v>24561972.623612437</v>
      </c>
      <c r="H203" s="378" t="s">
        <v>66</v>
      </c>
      <c r="I203" s="378">
        <v>2018</v>
      </c>
      <c r="J203" s="361">
        <f>+IF($I203=J$3,VLOOKUP($H203,Depreciation!$A$6:$L$10,7,FALSE)/2,IF($I203&lt;J$3,VLOOKUP($H203,Depreciation!$A$6:$L$10,7,FALSE),0))</f>
        <v>0</v>
      </c>
      <c r="K203" s="361">
        <f>+IF($I203=K$3,VLOOKUP($H203,Depreciation!$A$6:$L$10,8,FALSE)/2,IF($I203&lt;K$3,VLOOKUP($H203,Depreciation!$A$6:$L$10,8,FALSE),0))</f>
        <v>0</v>
      </c>
      <c r="L203" s="361">
        <f>+IF($I203=L$3,VLOOKUP($H203,Depreciation!$A$6:$L$10,9,FALSE)/2,IF($I203&lt;L$3,VLOOKUP($H203,Depreciation!$A$6:$L$10,9,FALSE),0))</f>
        <v>0</v>
      </c>
      <c r="M203" s="361">
        <f>+IF($I203=M$3,VLOOKUP($H203,Depreciation!$A$6:$L$10,10,FALSE)/2,IF($I203&lt;M$3,VLOOKUP($H203,Depreciation!$A$6:$L$10,10,FALSE),0))</f>
        <v>1.2001018963427959E-2</v>
      </c>
      <c r="N203" s="361">
        <f>+IF($I203=N$3,VLOOKUP($H203,Depreciation!$A$6:$L$10,11,FALSE)/2,IF($I203&lt;N$3,VLOOKUP($H203,Depreciation!$A$6:$L$10,11,FALSE),0))</f>
        <v>2.4002037926855919E-2</v>
      </c>
      <c r="O203" s="361">
        <f>+IF($I203=O$3,VLOOKUP($H203,Depreciation!$A$6:$L$10,12,FALSE)/2,IF($I203&lt;O$3,VLOOKUP($H203,Depreciation!$A$6:$L$10,12,FALSE),0))</f>
        <v>2.4002037926855919E-2</v>
      </c>
      <c r="P203" s="362">
        <f t="shared" si="11"/>
        <v>0</v>
      </c>
      <c r="Q203" s="362">
        <f t="shared" si="12"/>
        <v>0</v>
      </c>
      <c r="R203" s="363">
        <f t="shared" si="13"/>
        <v>0</v>
      </c>
    </row>
    <row r="204" spans="1:18">
      <c r="A204" s="377" t="s">
        <v>1191</v>
      </c>
      <c r="B204" s="377" t="s">
        <v>1245</v>
      </c>
      <c r="C204" s="377">
        <v>1186</v>
      </c>
      <c r="D204" s="377">
        <v>240</v>
      </c>
      <c r="E204" s="377"/>
      <c r="F204" s="378" t="s">
        <v>1209</v>
      </c>
      <c r="G204" s="379">
        <v>5710678.2441424122</v>
      </c>
      <c r="H204" s="378" t="s">
        <v>66</v>
      </c>
      <c r="I204" s="378">
        <v>2018</v>
      </c>
      <c r="J204" s="361">
        <f>+IF($I204=J$3,VLOOKUP($H204,Depreciation!$A$6:$L$10,7,FALSE)/2,IF($I204&lt;J$3,VLOOKUP($H204,Depreciation!$A$6:$L$10,7,FALSE),0))</f>
        <v>0</v>
      </c>
      <c r="K204" s="361">
        <f>+IF($I204=K$3,VLOOKUP($H204,Depreciation!$A$6:$L$10,8,FALSE)/2,IF($I204&lt;K$3,VLOOKUP($H204,Depreciation!$A$6:$L$10,8,FALSE),0))</f>
        <v>0</v>
      </c>
      <c r="L204" s="361">
        <f>+IF($I204=L$3,VLOOKUP($H204,Depreciation!$A$6:$L$10,9,FALSE)/2,IF($I204&lt;L$3,VLOOKUP($H204,Depreciation!$A$6:$L$10,9,FALSE),0))</f>
        <v>0</v>
      </c>
      <c r="M204" s="361">
        <f>+IF($I204=M$3,VLOOKUP($H204,Depreciation!$A$6:$L$10,10,FALSE)/2,IF($I204&lt;M$3,VLOOKUP($H204,Depreciation!$A$6:$L$10,10,FALSE),0))</f>
        <v>1.2001018963427959E-2</v>
      </c>
      <c r="N204" s="361">
        <f>+IF($I204=N$3,VLOOKUP($H204,Depreciation!$A$6:$L$10,11,FALSE)/2,IF($I204&lt;N$3,VLOOKUP($H204,Depreciation!$A$6:$L$10,11,FALSE),0))</f>
        <v>2.4002037926855919E-2</v>
      </c>
      <c r="O204" s="361">
        <f>+IF($I204=O$3,VLOOKUP($H204,Depreciation!$A$6:$L$10,12,FALSE)/2,IF($I204&lt;O$3,VLOOKUP($H204,Depreciation!$A$6:$L$10,12,FALSE),0))</f>
        <v>2.4002037926855919E-2</v>
      </c>
      <c r="P204" s="362">
        <f t="shared" si="11"/>
        <v>0</v>
      </c>
      <c r="Q204" s="362">
        <f t="shared" si="12"/>
        <v>0</v>
      </c>
      <c r="R204" s="363">
        <f t="shared" si="13"/>
        <v>0</v>
      </c>
    </row>
    <row r="205" spans="1:18">
      <c r="A205" s="377" t="s">
        <v>1191</v>
      </c>
      <c r="B205" s="377" t="s">
        <v>1243</v>
      </c>
      <c r="C205" s="377">
        <v>1186</v>
      </c>
      <c r="D205" s="377">
        <v>240</v>
      </c>
      <c r="E205" s="377"/>
      <c r="F205" s="378" t="s">
        <v>1209</v>
      </c>
      <c r="G205" s="379">
        <v>4958275.2426534528</v>
      </c>
      <c r="H205" s="378" t="s">
        <v>66</v>
      </c>
      <c r="I205" s="378">
        <v>2018</v>
      </c>
      <c r="J205" s="361">
        <f>+IF($I205=J$3,VLOOKUP($H205,Depreciation!$A$6:$L$10,7,FALSE)/2,IF($I205&lt;J$3,VLOOKUP($H205,Depreciation!$A$6:$L$10,7,FALSE),0))</f>
        <v>0</v>
      </c>
      <c r="K205" s="361">
        <f>+IF($I205=K$3,VLOOKUP($H205,Depreciation!$A$6:$L$10,8,FALSE)/2,IF($I205&lt;K$3,VLOOKUP($H205,Depreciation!$A$6:$L$10,8,FALSE),0))</f>
        <v>0</v>
      </c>
      <c r="L205" s="361">
        <f>+IF($I205=L$3,VLOOKUP($H205,Depreciation!$A$6:$L$10,9,FALSE)/2,IF($I205&lt;L$3,VLOOKUP($H205,Depreciation!$A$6:$L$10,9,FALSE),0))</f>
        <v>0</v>
      </c>
      <c r="M205" s="361">
        <f>+IF($I205=M$3,VLOOKUP($H205,Depreciation!$A$6:$L$10,10,FALSE)/2,IF($I205&lt;M$3,VLOOKUP($H205,Depreciation!$A$6:$L$10,10,FALSE),0))</f>
        <v>1.2001018963427959E-2</v>
      </c>
      <c r="N205" s="361">
        <f>+IF($I205=N$3,VLOOKUP($H205,Depreciation!$A$6:$L$10,11,FALSE)/2,IF($I205&lt;N$3,VLOOKUP($H205,Depreciation!$A$6:$L$10,11,FALSE),0))</f>
        <v>2.4002037926855919E-2</v>
      </c>
      <c r="O205" s="361">
        <f>+IF($I205=O$3,VLOOKUP($H205,Depreciation!$A$6:$L$10,12,FALSE)/2,IF($I205&lt;O$3,VLOOKUP($H205,Depreciation!$A$6:$L$10,12,FALSE),0))</f>
        <v>2.4002037926855919E-2</v>
      </c>
      <c r="P205" s="362">
        <f t="shared" si="11"/>
        <v>0</v>
      </c>
      <c r="Q205" s="362">
        <f t="shared" si="12"/>
        <v>0</v>
      </c>
      <c r="R205" s="363">
        <f t="shared" si="13"/>
        <v>0</v>
      </c>
    </row>
    <row r="206" spans="1:18">
      <c r="A206" s="377" t="s">
        <v>1191</v>
      </c>
      <c r="B206" s="377" t="s">
        <v>1244</v>
      </c>
      <c r="C206" s="377">
        <v>1186</v>
      </c>
      <c r="D206" s="377">
        <v>240</v>
      </c>
      <c r="E206" s="377"/>
      <c r="F206" s="378" t="s">
        <v>1209</v>
      </c>
      <c r="G206" s="379">
        <v>24561820.810818728</v>
      </c>
      <c r="H206" s="378" t="s">
        <v>66</v>
      </c>
      <c r="I206" s="378">
        <v>2018</v>
      </c>
      <c r="J206" s="361">
        <f>+IF($I206=J$3,VLOOKUP($H206,Depreciation!$A$6:$L$10,7,FALSE)/2,IF($I206&lt;J$3,VLOOKUP($H206,Depreciation!$A$6:$L$10,7,FALSE),0))</f>
        <v>0</v>
      </c>
      <c r="K206" s="361">
        <f>+IF($I206=K$3,VLOOKUP($H206,Depreciation!$A$6:$L$10,8,FALSE)/2,IF($I206&lt;K$3,VLOOKUP($H206,Depreciation!$A$6:$L$10,8,FALSE),0))</f>
        <v>0</v>
      </c>
      <c r="L206" s="361">
        <f>+IF($I206=L$3,VLOOKUP($H206,Depreciation!$A$6:$L$10,9,FALSE)/2,IF($I206&lt;L$3,VLOOKUP($H206,Depreciation!$A$6:$L$10,9,FALSE),0))</f>
        <v>0</v>
      </c>
      <c r="M206" s="361">
        <f>+IF($I206=M$3,VLOOKUP($H206,Depreciation!$A$6:$L$10,10,FALSE)/2,IF($I206&lt;M$3,VLOOKUP($H206,Depreciation!$A$6:$L$10,10,FALSE),0))</f>
        <v>1.2001018963427959E-2</v>
      </c>
      <c r="N206" s="361">
        <f>+IF($I206=N$3,VLOOKUP($H206,Depreciation!$A$6:$L$10,11,FALSE)/2,IF($I206&lt;N$3,VLOOKUP($H206,Depreciation!$A$6:$L$10,11,FALSE),0))</f>
        <v>2.4002037926855919E-2</v>
      </c>
      <c r="O206" s="361">
        <f>+IF($I206=O$3,VLOOKUP($H206,Depreciation!$A$6:$L$10,12,FALSE)/2,IF($I206&lt;O$3,VLOOKUP($H206,Depreciation!$A$6:$L$10,12,FALSE),0))</f>
        <v>2.4002037926855919E-2</v>
      </c>
      <c r="P206" s="362">
        <f t="shared" si="11"/>
        <v>0</v>
      </c>
      <c r="Q206" s="362">
        <f t="shared" si="12"/>
        <v>0</v>
      </c>
      <c r="R206" s="363">
        <f t="shared" si="13"/>
        <v>0</v>
      </c>
    </row>
    <row r="207" spans="1:18">
      <c r="A207" s="377" t="s">
        <v>1191</v>
      </c>
      <c r="B207" s="377" t="s">
        <v>1242</v>
      </c>
      <c r="C207" s="377">
        <v>1186</v>
      </c>
      <c r="D207" s="377">
        <v>240</v>
      </c>
      <c r="E207" s="377"/>
      <c r="F207" s="378" t="s">
        <v>1209</v>
      </c>
      <c r="G207" s="379">
        <v>424792.43850217451</v>
      </c>
      <c r="H207" s="378" t="s">
        <v>66</v>
      </c>
      <c r="I207" s="378">
        <v>2018</v>
      </c>
      <c r="J207" s="361">
        <f>+IF($I207=J$3,VLOOKUP($H207,Depreciation!$A$6:$L$10,7,FALSE)/2,IF($I207&lt;J$3,VLOOKUP($H207,Depreciation!$A$6:$L$10,7,FALSE),0))</f>
        <v>0</v>
      </c>
      <c r="K207" s="361">
        <f>+IF($I207=K$3,VLOOKUP($H207,Depreciation!$A$6:$L$10,8,FALSE)/2,IF($I207&lt;K$3,VLOOKUP($H207,Depreciation!$A$6:$L$10,8,FALSE),0))</f>
        <v>0</v>
      </c>
      <c r="L207" s="361">
        <f>+IF($I207=L$3,VLOOKUP($H207,Depreciation!$A$6:$L$10,9,FALSE)/2,IF($I207&lt;L$3,VLOOKUP($H207,Depreciation!$A$6:$L$10,9,FALSE),0))</f>
        <v>0</v>
      </c>
      <c r="M207" s="361">
        <f>+IF($I207=M$3,VLOOKUP($H207,Depreciation!$A$6:$L$10,10,FALSE)/2,IF($I207&lt;M$3,VLOOKUP($H207,Depreciation!$A$6:$L$10,10,FALSE),0))</f>
        <v>1.2001018963427959E-2</v>
      </c>
      <c r="N207" s="361">
        <f>+IF($I207=N$3,VLOOKUP($H207,Depreciation!$A$6:$L$10,11,FALSE)/2,IF($I207&lt;N$3,VLOOKUP($H207,Depreciation!$A$6:$L$10,11,FALSE),0))</f>
        <v>2.4002037926855919E-2</v>
      </c>
      <c r="O207" s="361">
        <f>+IF($I207=O$3,VLOOKUP($H207,Depreciation!$A$6:$L$10,12,FALSE)/2,IF($I207&lt;O$3,VLOOKUP($H207,Depreciation!$A$6:$L$10,12,FALSE),0))</f>
        <v>2.4002037926855919E-2</v>
      </c>
      <c r="P207" s="362">
        <f t="shared" si="11"/>
        <v>0</v>
      </c>
      <c r="Q207" s="362">
        <f t="shared" si="12"/>
        <v>0</v>
      </c>
      <c r="R207" s="363">
        <f t="shared" si="13"/>
        <v>0</v>
      </c>
    </row>
    <row r="208" spans="1:18">
      <c r="A208" s="377" t="s">
        <v>1191</v>
      </c>
      <c r="B208" s="377" t="s">
        <v>1393</v>
      </c>
      <c r="C208" s="377">
        <v>1250</v>
      </c>
      <c r="D208" s="377">
        <v>138</v>
      </c>
      <c r="E208" s="377"/>
      <c r="F208" s="378" t="s">
        <v>1407</v>
      </c>
      <c r="G208" s="379">
        <v>257636.33243920893</v>
      </c>
      <c r="H208" s="378" t="s">
        <v>66</v>
      </c>
      <c r="I208" s="378">
        <v>2017</v>
      </c>
      <c r="J208" s="361">
        <f>+IF($I208=J$3,VLOOKUP($H208,Depreciation!$A$6:$L$10,7,FALSE)/2,IF($I208&lt;J$3,VLOOKUP($H208,Depreciation!$A$6:$L$10,7,FALSE),0))</f>
        <v>0</v>
      </c>
      <c r="K208" s="361">
        <f>+IF($I208=K$3,VLOOKUP($H208,Depreciation!$A$6:$L$10,8,FALSE)/2,IF($I208&lt;K$3,VLOOKUP($H208,Depreciation!$A$6:$L$10,8,FALSE),0))</f>
        <v>0</v>
      </c>
      <c r="L208" s="361">
        <f>+IF($I208=L$3,VLOOKUP($H208,Depreciation!$A$6:$L$10,9,FALSE)/2,IF($I208&lt;L$3,VLOOKUP($H208,Depreciation!$A$6:$L$10,9,FALSE),0))</f>
        <v>1.2001018963427959E-2</v>
      </c>
      <c r="M208" s="361">
        <f>+IF($I208=M$3,VLOOKUP($H208,Depreciation!$A$6:$L$10,10,FALSE)/2,IF($I208&lt;M$3,VLOOKUP($H208,Depreciation!$A$6:$L$10,10,FALSE),0))</f>
        <v>2.4002037926855919E-2</v>
      </c>
      <c r="N208" s="361">
        <f>+IF($I208=N$3,VLOOKUP($H208,Depreciation!$A$6:$L$10,11,FALSE)/2,IF($I208&lt;N$3,VLOOKUP($H208,Depreciation!$A$6:$L$10,11,FALSE),0))</f>
        <v>2.4002037926855919E-2</v>
      </c>
      <c r="O208" s="361">
        <f>+IF($I208=O$3,VLOOKUP($H208,Depreciation!$A$6:$L$10,12,FALSE)/2,IF($I208&lt;O$3,VLOOKUP($H208,Depreciation!$A$6:$L$10,12,FALSE),0))</f>
        <v>2.4002037926855919E-2</v>
      </c>
      <c r="P208" s="362">
        <f t="shared" si="11"/>
        <v>0</v>
      </c>
      <c r="Q208" s="362">
        <f t="shared" si="12"/>
        <v>0</v>
      </c>
      <c r="R208" s="363">
        <f t="shared" si="13"/>
        <v>0</v>
      </c>
    </row>
    <row r="209" spans="1:18">
      <c r="A209" s="377" t="s">
        <v>1191</v>
      </c>
      <c r="B209" s="377" t="s">
        <v>1394</v>
      </c>
      <c r="C209" s="377">
        <v>1250</v>
      </c>
      <c r="D209" s="377">
        <v>138</v>
      </c>
      <c r="E209" s="377"/>
      <c r="F209" s="378" t="s">
        <v>1407</v>
      </c>
      <c r="G209" s="379">
        <v>15341741.522818552</v>
      </c>
      <c r="H209" s="378" t="s">
        <v>66</v>
      </c>
      <c r="I209" s="378">
        <v>2017</v>
      </c>
      <c r="J209" s="361">
        <f>+IF($I209=J$3,VLOOKUP($H209,Depreciation!$A$6:$L$10,7,FALSE)/2,IF($I209&lt;J$3,VLOOKUP($H209,Depreciation!$A$6:$L$10,7,FALSE),0))</f>
        <v>0</v>
      </c>
      <c r="K209" s="361">
        <f>+IF($I209=K$3,VLOOKUP($H209,Depreciation!$A$6:$L$10,8,FALSE)/2,IF($I209&lt;K$3,VLOOKUP($H209,Depreciation!$A$6:$L$10,8,FALSE),0))</f>
        <v>0</v>
      </c>
      <c r="L209" s="361">
        <f>+IF($I209=L$3,VLOOKUP($H209,Depreciation!$A$6:$L$10,9,FALSE)/2,IF($I209&lt;L$3,VLOOKUP($H209,Depreciation!$A$6:$L$10,9,FALSE),0))</f>
        <v>1.2001018963427959E-2</v>
      </c>
      <c r="M209" s="361">
        <f>+IF($I209=M$3,VLOOKUP($H209,Depreciation!$A$6:$L$10,10,FALSE)/2,IF($I209&lt;M$3,VLOOKUP($H209,Depreciation!$A$6:$L$10,10,FALSE),0))</f>
        <v>2.4002037926855919E-2</v>
      </c>
      <c r="N209" s="361">
        <f>+IF($I209=N$3,VLOOKUP($H209,Depreciation!$A$6:$L$10,11,FALSE)/2,IF($I209&lt;N$3,VLOOKUP($H209,Depreciation!$A$6:$L$10,11,FALSE),0))</f>
        <v>2.4002037926855919E-2</v>
      </c>
      <c r="O209" s="361">
        <f>+IF($I209=O$3,VLOOKUP($H209,Depreciation!$A$6:$L$10,12,FALSE)/2,IF($I209&lt;O$3,VLOOKUP($H209,Depreciation!$A$6:$L$10,12,FALSE),0))</f>
        <v>2.4002037926855919E-2</v>
      </c>
      <c r="P209" s="362">
        <f t="shared" si="11"/>
        <v>0</v>
      </c>
      <c r="Q209" s="362">
        <f t="shared" si="12"/>
        <v>0</v>
      </c>
      <c r="R209" s="363">
        <f t="shared" si="13"/>
        <v>0</v>
      </c>
    </row>
    <row r="210" spans="1:18">
      <c r="A210" s="377" t="s">
        <v>1191</v>
      </c>
      <c r="B210" s="377" t="s">
        <v>1224</v>
      </c>
      <c r="C210" s="377">
        <v>1258</v>
      </c>
      <c r="D210" s="377">
        <v>138</v>
      </c>
      <c r="E210" s="377"/>
      <c r="F210" s="378" t="s">
        <v>1209</v>
      </c>
      <c r="G210" s="379">
        <v>11720551.545892363</v>
      </c>
      <c r="H210" s="378" t="s">
        <v>4</v>
      </c>
      <c r="I210" s="378">
        <v>2019</v>
      </c>
      <c r="J210" s="361">
        <f>+IF($I210=J$3,VLOOKUP($H210,Depreciation!$A$6:$L$10,7,FALSE)/2,IF($I210&lt;J$3,VLOOKUP($H210,Depreciation!$A$6:$L$10,7,FALSE),0))</f>
        <v>0</v>
      </c>
      <c r="K210" s="361">
        <f>+IF($I210=K$3,VLOOKUP($H210,Depreciation!$A$6:$L$10,8,FALSE)/2,IF($I210&lt;K$3,VLOOKUP($H210,Depreciation!$A$6:$L$10,8,FALSE),0))</f>
        <v>0</v>
      </c>
      <c r="L210" s="361">
        <f>+IF($I210=L$3,VLOOKUP($H210,Depreciation!$A$6:$L$10,9,FALSE)/2,IF($I210&lt;L$3,VLOOKUP($H210,Depreciation!$A$6:$L$10,9,FALSE),0))</f>
        <v>0</v>
      </c>
      <c r="M210" s="361">
        <f>+IF($I210=M$3,VLOOKUP($H210,Depreciation!$A$6:$L$10,10,FALSE)/2,IF($I210&lt;M$3,VLOOKUP($H210,Depreciation!$A$6:$L$10,10,FALSE),0))</f>
        <v>0</v>
      </c>
      <c r="N210" s="361">
        <f>+IF($I210=N$3,VLOOKUP($H210,Depreciation!$A$6:$L$10,11,FALSE)/2,IF($I210&lt;N$3,VLOOKUP($H210,Depreciation!$A$6:$L$10,11,FALSE),0))</f>
        <v>1.5338181838063448E-2</v>
      </c>
      <c r="O210" s="361">
        <f>+IF($I210=O$3,VLOOKUP($H210,Depreciation!$A$6:$L$10,12,FALSE)/2,IF($I210&lt;O$3,VLOOKUP($H210,Depreciation!$A$6:$L$10,12,FALSE),0))</f>
        <v>3.0676363676126896E-2</v>
      </c>
      <c r="P210" s="362">
        <f t="shared" si="11"/>
        <v>0</v>
      </c>
      <c r="Q210" s="362">
        <f t="shared" si="12"/>
        <v>0</v>
      </c>
      <c r="R210" s="363">
        <f t="shared" si="13"/>
        <v>0</v>
      </c>
    </row>
    <row r="211" spans="1:18">
      <c r="A211" s="377" t="s">
        <v>1191</v>
      </c>
      <c r="B211" s="377" t="s">
        <v>1225</v>
      </c>
      <c r="C211" s="377">
        <v>1258</v>
      </c>
      <c r="D211" s="377">
        <v>138</v>
      </c>
      <c r="E211" s="377"/>
      <c r="F211" s="378" t="s">
        <v>1209</v>
      </c>
      <c r="G211" s="379">
        <v>11959135.439218925</v>
      </c>
      <c r="H211" s="378" t="s">
        <v>4</v>
      </c>
      <c r="I211" s="378">
        <v>2019</v>
      </c>
      <c r="J211" s="361">
        <f>+IF($I211=J$3,VLOOKUP($H211,Depreciation!$A$6:$L$10,7,FALSE)/2,IF($I211&lt;J$3,VLOOKUP($H211,Depreciation!$A$6:$L$10,7,FALSE),0))</f>
        <v>0</v>
      </c>
      <c r="K211" s="361">
        <f>+IF($I211=K$3,VLOOKUP($H211,Depreciation!$A$6:$L$10,8,FALSE)/2,IF($I211&lt;K$3,VLOOKUP($H211,Depreciation!$A$6:$L$10,8,FALSE),0))</f>
        <v>0</v>
      </c>
      <c r="L211" s="361">
        <f>+IF($I211=L$3,VLOOKUP($H211,Depreciation!$A$6:$L$10,9,FALSE)/2,IF($I211&lt;L$3,VLOOKUP($H211,Depreciation!$A$6:$L$10,9,FALSE),0))</f>
        <v>0</v>
      </c>
      <c r="M211" s="361">
        <f>+IF($I211=M$3,VLOOKUP($H211,Depreciation!$A$6:$L$10,10,FALSE)/2,IF($I211&lt;M$3,VLOOKUP($H211,Depreciation!$A$6:$L$10,10,FALSE),0))</f>
        <v>0</v>
      </c>
      <c r="N211" s="361">
        <f>+IF($I211=N$3,VLOOKUP($H211,Depreciation!$A$6:$L$10,11,FALSE)/2,IF($I211&lt;N$3,VLOOKUP($H211,Depreciation!$A$6:$L$10,11,FALSE),0))</f>
        <v>1.5338181838063448E-2</v>
      </c>
      <c r="O211" s="361">
        <f>+IF($I211=O$3,VLOOKUP($H211,Depreciation!$A$6:$L$10,12,FALSE)/2,IF($I211&lt;O$3,VLOOKUP($H211,Depreciation!$A$6:$L$10,12,FALSE),0))</f>
        <v>3.0676363676126896E-2</v>
      </c>
      <c r="P211" s="362">
        <f t="shared" si="11"/>
        <v>0</v>
      </c>
      <c r="Q211" s="362">
        <f t="shared" si="12"/>
        <v>0</v>
      </c>
      <c r="R211" s="363">
        <f t="shared" si="13"/>
        <v>0</v>
      </c>
    </row>
    <row r="212" spans="1:18">
      <c r="A212" s="377" t="s">
        <v>1191</v>
      </c>
      <c r="B212" s="377" t="s">
        <v>1361</v>
      </c>
      <c r="C212" s="377">
        <v>1260</v>
      </c>
      <c r="D212" s="377">
        <v>138</v>
      </c>
      <c r="E212" s="377"/>
      <c r="F212" s="378" t="s">
        <v>1210</v>
      </c>
      <c r="G212" s="379">
        <v>2113680.3025660682</v>
      </c>
      <c r="H212" s="378" t="s">
        <v>64</v>
      </c>
      <c r="I212" s="378">
        <v>2016</v>
      </c>
      <c r="J212" s="361">
        <f>+IF($I212=J$3,VLOOKUP($H212,Depreciation!$A$6:$L$10,7,FALSE)/2,IF($I212&lt;J$3,VLOOKUP($H212,Depreciation!$A$6:$L$10,7,FALSE),0))</f>
        <v>0</v>
      </c>
      <c r="K212" s="361">
        <f>+IF($I212=K$3,VLOOKUP($H212,Depreciation!$A$6:$L$10,8,FALSE)/2,IF($I212&lt;K$3,VLOOKUP($H212,Depreciation!$A$6:$L$10,8,FALSE),0))</f>
        <v>1.3475179084025525E-2</v>
      </c>
      <c r="L212" s="361">
        <f>+IF($I212=L$3,VLOOKUP($H212,Depreciation!$A$6:$L$10,9,FALSE)/2,IF($I212&lt;L$3,VLOOKUP($H212,Depreciation!$A$6:$L$10,9,FALSE),0))</f>
        <v>2.6950358168051049E-2</v>
      </c>
      <c r="M212" s="361">
        <f>+IF($I212=M$3,VLOOKUP($H212,Depreciation!$A$6:$L$10,10,FALSE)/2,IF($I212&lt;M$3,VLOOKUP($H212,Depreciation!$A$6:$L$10,10,FALSE),0))</f>
        <v>2.6950358168051049E-2</v>
      </c>
      <c r="N212" s="361">
        <f>+IF($I212=N$3,VLOOKUP($H212,Depreciation!$A$6:$L$10,11,FALSE)/2,IF($I212&lt;N$3,VLOOKUP($H212,Depreciation!$A$6:$L$10,11,FALSE),0))</f>
        <v>2.6950358168051049E-2</v>
      </c>
      <c r="O212" s="361">
        <f>+IF($I212=O$3,VLOOKUP($H212,Depreciation!$A$6:$L$10,12,FALSE)/2,IF($I212&lt;O$3,VLOOKUP($H212,Depreciation!$A$6:$L$10,12,FALSE),0))</f>
        <v>2.6950358168051049E-2</v>
      </c>
      <c r="P212" s="362">
        <f t="shared" si="11"/>
        <v>0</v>
      </c>
      <c r="Q212" s="362">
        <f t="shared" si="12"/>
        <v>0</v>
      </c>
      <c r="R212" s="363">
        <f t="shared" si="13"/>
        <v>0</v>
      </c>
    </row>
    <row r="213" spans="1:18">
      <c r="A213" s="377" t="s">
        <v>1191</v>
      </c>
      <c r="B213" s="377" t="s">
        <v>1362</v>
      </c>
      <c r="C213" s="377">
        <v>1260</v>
      </c>
      <c r="D213" s="377">
        <v>138</v>
      </c>
      <c r="E213" s="377"/>
      <c r="F213" s="378" t="s">
        <v>1210</v>
      </c>
      <c r="G213" s="379">
        <v>605625.19167995139</v>
      </c>
      <c r="H213" s="378" t="s">
        <v>4</v>
      </c>
      <c r="I213" s="378">
        <v>2016</v>
      </c>
      <c r="J213" s="361">
        <f>+IF($I213=J$3,VLOOKUP($H213,Depreciation!$A$6:$L$10,7,FALSE)/2,IF($I213&lt;J$3,VLOOKUP($H213,Depreciation!$A$6:$L$10,7,FALSE),0))</f>
        <v>0</v>
      </c>
      <c r="K213" s="361">
        <f>+IF($I213=K$3,VLOOKUP($H213,Depreciation!$A$6:$L$10,8,FALSE)/2,IF($I213&lt;K$3,VLOOKUP($H213,Depreciation!$A$6:$L$10,8,FALSE),0))</f>
        <v>1.5338181838063448E-2</v>
      </c>
      <c r="L213" s="361">
        <f>+IF($I213=L$3,VLOOKUP($H213,Depreciation!$A$6:$L$10,9,FALSE)/2,IF($I213&lt;L$3,VLOOKUP($H213,Depreciation!$A$6:$L$10,9,FALSE),0))</f>
        <v>3.0676363676126896E-2</v>
      </c>
      <c r="M213" s="361">
        <f>+IF($I213=M$3,VLOOKUP($H213,Depreciation!$A$6:$L$10,10,FALSE)/2,IF($I213&lt;M$3,VLOOKUP($H213,Depreciation!$A$6:$L$10,10,FALSE),0))</f>
        <v>3.0676363676126896E-2</v>
      </c>
      <c r="N213" s="361">
        <f>+IF($I213=N$3,VLOOKUP($H213,Depreciation!$A$6:$L$10,11,FALSE)/2,IF($I213&lt;N$3,VLOOKUP($H213,Depreciation!$A$6:$L$10,11,FALSE),0))</f>
        <v>3.0676363676126896E-2</v>
      </c>
      <c r="O213" s="361">
        <f>+IF($I213=O$3,VLOOKUP($H213,Depreciation!$A$6:$L$10,12,FALSE)/2,IF($I213&lt;O$3,VLOOKUP($H213,Depreciation!$A$6:$L$10,12,FALSE),0))</f>
        <v>3.0676363676126896E-2</v>
      </c>
      <c r="P213" s="362">
        <f t="shared" si="11"/>
        <v>0</v>
      </c>
      <c r="Q213" s="362">
        <f t="shared" si="12"/>
        <v>0</v>
      </c>
      <c r="R213" s="363">
        <f t="shared" si="13"/>
        <v>0</v>
      </c>
    </row>
    <row r="214" spans="1:18">
      <c r="A214" s="377" t="s">
        <v>1191</v>
      </c>
      <c r="B214" s="377" t="s">
        <v>1367</v>
      </c>
      <c r="C214" s="377">
        <v>1263</v>
      </c>
      <c r="D214" s="377">
        <v>138</v>
      </c>
      <c r="E214" s="377"/>
      <c r="F214" s="378" t="s">
        <v>1214</v>
      </c>
      <c r="G214" s="379">
        <v>763058.82352941227</v>
      </c>
      <c r="H214" s="378" t="s">
        <v>4</v>
      </c>
      <c r="I214" s="378">
        <v>2016</v>
      </c>
      <c r="J214" s="361">
        <f>+IF($I214=J$3,VLOOKUP($H214,Depreciation!$A$6:$L$10,7,FALSE)/2,IF($I214&lt;J$3,VLOOKUP($H214,Depreciation!$A$6:$L$10,7,FALSE),0))</f>
        <v>0</v>
      </c>
      <c r="K214" s="361">
        <f>+IF($I214=K$3,VLOOKUP($H214,Depreciation!$A$6:$L$10,8,FALSE)/2,IF($I214&lt;K$3,VLOOKUP($H214,Depreciation!$A$6:$L$10,8,FALSE),0))</f>
        <v>1.5338181838063448E-2</v>
      </c>
      <c r="L214" s="361">
        <f>+IF($I214=L$3,VLOOKUP($H214,Depreciation!$A$6:$L$10,9,FALSE)/2,IF($I214&lt;L$3,VLOOKUP($H214,Depreciation!$A$6:$L$10,9,FALSE),0))</f>
        <v>3.0676363676126896E-2</v>
      </c>
      <c r="M214" s="361">
        <f>+IF($I214=M$3,VLOOKUP($H214,Depreciation!$A$6:$L$10,10,FALSE)/2,IF($I214&lt;M$3,VLOOKUP($H214,Depreciation!$A$6:$L$10,10,FALSE),0))</f>
        <v>3.0676363676126896E-2</v>
      </c>
      <c r="N214" s="361">
        <f>+IF($I214=N$3,VLOOKUP($H214,Depreciation!$A$6:$L$10,11,FALSE)/2,IF($I214&lt;N$3,VLOOKUP($H214,Depreciation!$A$6:$L$10,11,FALSE),0))</f>
        <v>3.0676363676126896E-2</v>
      </c>
      <c r="O214" s="361">
        <f>+IF($I214=O$3,VLOOKUP($H214,Depreciation!$A$6:$L$10,12,FALSE)/2,IF($I214&lt;O$3,VLOOKUP($H214,Depreciation!$A$6:$L$10,12,FALSE),0))</f>
        <v>3.0676363676126896E-2</v>
      </c>
      <c r="P214" s="362">
        <f t="shared" si="11"/>
        <v>0</v>
      </c>
      <c r="Q214" s="362">
        <f t="shared" si="12"/>
        <v>0</v>
      </c>
      <c r="R214" s="363">
        <f t="shared" si="13"/>
        <v>0</v>
      </c>
    </row>
    <row r="215" spans="1:18">
      <c r="A215" s="377" t="s">
        <v>1191</v>
      </c>
      <c r="B215" s="377" t="s">
        <v>1368</v>
      </c>
      <c r="C215" s="377">
        <v>1263</v>
      </c>
      <c r="D215" s="377">
        <v>138</v>
      </c>
      <c r="E215" s="377"/>
      <c r="F215" s="378" t="s">
        <v>1214</v>
      </c>
      <c r="G215" s="379">
        <v>763058.82352941227</v>
      </c>
      <c r="H215" s="378" t="s">
        <v>4</v>
      </c>
      <c r="I215" s="378">
        <v>2016</v>
      </c>
      <c r="J215" s="361">
        <f>+IF($I215=J$3,VLOOKUP($H215,Depreciation!$A$6:$L$10,7,FALSE)/2,IF($I215&lt;J$3,VLOOKUP($H215,Depreciation!$A$6:$L$10,7,FALSE),0))</f>
        <v>0</v>
      </c>
      <c r="K215" s="361">
        <f>+IF($I215=K$3,VLOOKUP($H215,Depreciation!$A$6:$L$10,8,FALSE)/2,IF($I215&lt;K$3,VLOOKUP($H215,Depreciation!$A$6:$L$10,8,FALSE),0))</f>
        <v>1.5338181838063448E-2</v>
      </c>
      <c r="L215" s="361">
        <f>+IF($I215=L$3,VLOOKUP($H215,Depreciation!$A$6:$L$10,9,FALSE)/2,IF($I215&lt;L$3,VLOOKUP($H215,Depreciation!$A$6:$L$10,9,FALSE),0))</f>
        <v>3.0676363676126896E-2</v>
      </c>
      <c r="M215" s="361">
        <f>+IF($I215=M$3,VLOOKUP($H215,Depreciation!$A$6:$L$10,10,FALSE)/2,IF($I215&lt;M$3,VLOOKUP($H215,Depreciation!$A$6:$L$10,10,FALSE),0))</f>
        <v>3.0676363676126896E-2</v>
      </c>
      <c r="N215" s="361">
        <f>+IF($I215=N$3,VLOOKUP($H215,Depreciation!$A$6:$L$10,11,FALSE)/2,IF($I215&lt;N$3,VLOOKUP($H215,Depreciation!$A$6:$L$10,11,FALSE),0))</f>
        <v>3.0676363676126896E-2</v>
      </c>
      <c r="O215" s="361">
        <f>+IF($I215=O$3,VLOOKUP($H215,Depreciation!$A$6:$L$10,12,FALSE)/2,IF($I215&lt;O$3,VLOOKUP($H215,Depreciation!$A$6:$L$10,12,FALSE),0))</f>
        <v>3.0676363676126896E-2</v>
      </c>
      <c r="P215" s="362">
        <f t="shared" si="11"/>
        <v>0</v>
      </c>
      <c r="Q215" s="362">
        <f t="shared" si="12"/>
        <v>0</v>
      </c>
      <c r="R215" s="363">
        <f t="shared" si="13"/>
        <v>0</v>
      </c>
    </row>
    <row r="216" spans="1:18">
      <c r="A216" s="377" t="s">
        <v>1191</v>
      </c>
      <c r="B216" s="377" t="s">
        <v>1366</v>
      </c>
      <c r="C216" s="377">
        <v>1263</v>
      </c>
      <c r="D216" s="377">
        <v>138</v>
      </c>
      <c r="E216" s="377"/>
      <c r="F216" s="378" t="s">
        <v>1214</v>
      </c>
      <c r="G216" s="379">
        <v>331764.70588235313</v>
      </c>
      <c r="H216" s="378" t="s">
        <v>4</v>
      </c>
      <c r="I216" s="378">
        <v>2016</v>
      </c>
      <c r="J216" s="361">
        <f>+IF($I216=J$3,VLOOKUP($H216,Depreciation!$A$6:$L$10,7,FALSE)/2,IF($I216&lt;J$3,VLOOKUP($H216,Depreciation!$A$6:$L$10,7,FALSE),0))</f>
        <v>0</v>
      </c>
      <c r="K216" s="361">
        <f>+IF($I216=K$3,VLOOKUP($H216,Depreciation!$A$6:$L$10,8,FALSE)/2,IF($I216&lt;K$3,VLOOKUP($H216,Depreciation!$A$6:$L$10,8,FALSE),0))</f>
        <v>1.5338181838063448E-2</v>
      </c>
      <c r="L216" s="361">
        <f>+IF($I216=L$3,VLOOKUP($H216,Depreciation!$A$6:$L$10,9,FALSE)/2,IF($I216&lt;L$3,VLOOKUP($H216,Depreciation!$A$6:$L$10,9,FALSE),0))</f>
        <v>3.0676363676126896E-2</v>
      </c>
      <c r="M216" s="361">
        <f>+IF($I216=M$3,VLOOKUP($H216,Depreciation!$A$6:$L$10,10,FALSE)/2,IF($I216&lt;M$3,VLOOKUP($H216,Depreciation!$A$6:$L$10,10,FALSE),0))</f>
        <v>3.0676363676126896E-2</v>
      </c>
      <c r="N216" s="361">
        <f>+IF($I216=N$3,VLOOKUP($H216,Depreciation!$A$6:$L$10,11,FALSE)/2,IF($I216&lt;N$3,VLOOKUP($H216,Depreciation!$A$6:$L$10,11,FALSE),0))</f>
        <v>3.0676363676126896E-2</v>
      </c>
      <c r="O216" s="361">
        <f>+IF($I216=O$3,VLOOKUP($H216,Depreciation!$A$6:$L$10,12,FALSE)/2,IF($I216&lt;O$3,VLOOKUP($H216,Depreciation!$A$6:$L$10,12,FALSE),0))</f>
        <v>3.0676363676126896E-2</v>
      </c>
      <c r="P216" s="362">
        <f t="shared" si="11"/>
        <v>0</v>
      </c>
      <c r="Q216" s="362">
        <f t="shared" si="12"/>
        <v>0</v>
      </c>
      <c r="R216" s="363">
        <f t="shared" si="13"/>
        <v>0</v>
      </c>
    </row>
    <row r="217" spans="1:18">
      <c r="A217" s="377" t="s">
        <v>1191</v>
      </c>
      <c r="B217" s="377" t="s">
        <v>1194</v>
      </c>
      <c r="C217" s="377">
        <v>1267</v>
      </c>
      <c r="D217" s="377">
        <v>240</v>
      </c>
      <c r="E217" s="377"/>
      <c r="F217" s="378">
        <v>0</v>
      </c>
      <c r="G217" s="379">
        <v>6518260.7904942483</v>
      </c>
      <c r="H217" s="378" t="s">
        <v>66</v>
      </c>
      <c r="I217" s="378">
        <v>2015</v>
      </c>
      <c r="J217" s="361">
        <f>+IF($I217=J$3,VLOOKUP($H217,Depreciation!$A$6:$L$10,7,FALSE)/2,IF($I217&lt;J$3,VLOOKUP($H217,Depreciation!$A$6:$L$10,7,FALSE),0))</f>
        <v>1.239102859091515E-2</v>
      </c>
      <c r="K217" s="361">
        <f>+IF($I217=K$3,VLOOKUP($H217,Depreciation!$A$6:$L$10,8,FALSE)/2,IF($I217&lt;K$3,VLOOKUP($H217,Depreciation!$A$6:$L$10,8,FALSE),0))</f>
        <v>2.3943859731006666E-2</v>
      </c>
      <c r="L217" s="361">
        <f>+IF($I217=L$3,VLOOKUP($H217,Depreciation!$A$6:$L$10,9,FALSE)/2,IF($I217&lt;L$3,VLOOKUP($H217,Depreciation!$A$6:$L$10,9,FALSE),0))</f>
        <v>2.4002037926855919E-2</v>
      </c>
      <c r="M217" s="361">
        <f>+IF($I217=M$3,VLOOKUP($H217,Depreciation!$A$6:$L$10,10,FALSE)/2,IF($I217&lt;M$3,VLOOKUP($H217,Depreciation!$A$6:$L$10,10,FALSE),0))</f>
        <v>2.4002037926855919E-2</v>
      </c>
      <c r="N217" s="361">
        <f>+IF($I217=N$3,VLOOKUP($H217,Depreciation!$A$6:$L$10,11,FALSE)/2,IF($I217&lt;N$3,VLOOKUP($H217,Depreciation!$A$6:$L$10,11,FALSE),0))</f>
        <v>2.4002037926855919E-2</v>
      </c>
      <c r="O217" s="361">
        <f>+IF($I217=O$3,VLOOKUP($H217,Depreciation!$A$6:$L$10,12,FALSE)/2,IF($I217&lt;O$3,VLOOKUP($H217,Depreciation!$A$6:$L$10,12,FALSE),0))</f>
        <v>2.4002037926855919E-2</v>
      </c>
      <c r="P217" s="362">
        <f t="shared" si="11"/>
        <v>6437492.8346761931</v>
      </c>
      <c r="Q217" s="362">
        <f t="shared" si="12"/>
        <v>6437492.8346761931</v>
      </c>
      <c r="R217" s="363">
        <f t="shared" si="13"/>
        <v>0</v>
      </c>
    </row>
    <row r="218" spans="1:18">
      <c r="A218" s="377" t="s">
        <v>1191</v>
      </c>
      <c r="B218" s="377" t="s">
        <v>1195</v>
      </c>
      <c r="C218" s="377">
        <v>1267</v>
      </c>
      <c r="D218" s="377">
        <v>144</v>
      </c>
      <c r="E218" s="377"/>
      <c r="F218" s="378">
        <v>0</v>
      </c>
      <c r="G218" s="379">
        <v>3456133.2958460073</v>
      </c>
      <c r="H218" s="378" t="s">
        <v>66</v>
      </c>
      <c r="I218" s="378">
        <v>2015</v>
      </c>
      <c r="J218" s="361">
        <f>+IF($I218=J$3,VLOOKUP($H218,Depreciation!$A$6:$L$10,7,FALSE)/2,IF($I218&lt;J$3,VLOOKUP($H218,Depreciation!$A$6:$L$10,7,FALSE),0))</f>
        <v>1.239102859091515E-2</v>
      </c>
      <c r="K218" s="361">
        <f>+IF($I218=K$3,VLOOKUP($H218,Depreciation!$A$6:$L$10,8,FALSE)/2,IF($I218&lt;K$3,VLOOKUP($H218,Depreciation!$A$6:$L$10,8,FALSE),0))</f>
        <v>2.3943859731006666E-2</v>
      </c>
      <c r="L218" s="361">
        <f>+IF($I218=L$3,VLOOKUP($H218,Depreciation!$A$6:$L$10,9,FALSE)/2,IF($I218&lt;L$3,VLOOKUP($H218,Depreciation!$A$6:$L$10,9,FALSE),0))</f>
        <v>2.4002037926855919E-2</v>
      </c>
      <c r="M218" s="361">
        <f>+IF($I218=M$3,VLOOKUP($H218,Depreciation!$A$6:$L$10,10,FALSE)/2,IF($I218&lt;M$3,VLOOKUP($H218,Depreciation!$A$6:$L$10,10,FALSE),0))</f>
        <v>2.4002037926855919E-2</v>
      </c>
      <c r="N218" s="361">
        <f>+IF($I218=N$3,VLOOKUP($H218,Depreciation!$A$6:$L$10,11,FALSE)/2,IF($I218&lt;N$3,VLOOKUP($H218,Depreciation!$A$6:$L$10,11,FALSE),0))</f>
        <v>2.4002037926855919E-2</v>
      </c>
      <c r="O218" s="361">
        <f>+IF($I218=O$3,VLOOKUP($H218,Depreciation!$A$6:$L$10,12,FALSE)/2,IF($I218&lt;O$3,VLOOKUP($H218,Depreciation!$A$6:$L$10,12,FALSE),0))</f>
        <v>2.4002037926855919E-2</v>
      </c>
      <c r="P218" s="362">
        <f t="shared" si="11"/>
        <v>3413308.2493631658</v>
      </c>
      <c r="Q218" s="362">
        <f t="shared" si="12"/>
        <v>0</v>
      </c>
      <c r="R218" s="363">
        <f t="shared" si="13"/>
        <v>3413308.2493631658</v>
      </c>
    </row>
    <row r="219" spans="1:18">
      <c r="A219" s="377" t="s">
        <v>1191</v>
      </c>
      <c r="B219" s="377" t="s">
        <v>1218</v>
      </c>
      <c r="C219" s="377">
        <v>1287</v>
      </c>
      <c r="D219" s="377">
        <v>240</v>
      </c>
      <c r="E219" s="377"/>
      <c r="F219" s="378">
        <v>0</v>
      </c>
      <c r="G219" s="379">
        <v>28342949.806082249</v>
      </c>
      <c r="H219" s="378" t="s">
        <v>4</v>
      </c>
      <c r="I219" s="378">
        <v>2019</v>
      </c>
      <c r="J219" s="361">
        <f>+IF($I219=J$3,VLOOKUP($H219,Depreciation!$A$6:$L$10,7,FALSE)/2,IF($I219&lt;J$3,VLOOKUP($H219,Depreciation!$A$6:$L$10,7,FALSE),0))</f>
        <v>0</v>
      </c>
      <c r="K219" s="361">
        <f>+IF($I219=K$3,VLOOKUP($H219,Depreciation!$A$6:$L$10,8,FALSE)/2,IF($I219&lt;K$3,VLOOKUP($H219,Depreciation!$A$6:$L$10,8,FALSE),0))</f>
        <v>0</v>
      </c>
      <c r="L219" s="361">
        <f>+IF($I219=L$3,VLOOKUP($H219,Depreciation!$A$6:$L$10,9,FALSE)/2,IF($I219&lt;L$3,VLOOKUP($H219,Depreciation!$A$6:$L$10,9,FALSE),0))</f>
        <v>0</v>
      </c>
      <c r="M219" s="361">
        <f>+IF($I219=M$3,VLOOKUP($H219,Depreciation!$A$6:$L$10,10,FALSE)/2,IF($I219&lt;M$3,VLOOKUP($H219,Depreciation!$A$6:$L$10,10,FALSE),0))</f>
        <v>0</v>
      </c>
      <c r="N219" s="361">
        <f>+IF($I219=N$3,VLOOKUP($H219,Depreciation!$A$6:$L$10,11,FALSE)/2,IF($I219&lt;N$3,VLOOKUP($H219,Depreciation!$A$6:$L$10,11,FALSE),0))</f>
        <v>1.5338181838063448E-2</v>
      </c>
      <c r="O219" s="361">
        <f>+IF($I219=O$3,VLOOKUP($H219,Depreciation!$A$6:$L$10,12,FALSE)/2,IF($I219&lt;O$3,VLOOKUP($H219,Depreciation!$A$6:$L$10,12,FALSE),0))</f>
        <v>3.0676363676126896E-2</v>
      </c>
      <c r="P219" s="362">
        <f t="shared" si="11"/>
        <v>0</v>
      </c>
      <c r="Q219" s="362">
        <f t="shared" si="12"/>
        <v>0</v>
      </c>
      <c r="R219" s="363">
        <f t="shared" si="13"/>
        <v>0</v>
      </c>
    </row>
    <row r="220" spans="1:18">
      <c r="A220" s="377" t="s">
        <v>1191</v>
      </c>
      <c r="B220" s="377" t="s">
        <v>1376</v>
      </c>
      <c r="C220" s="377">
        <v>1287</v>
      </c>
      <c r="D220" s="377">
        <v>240</v>
      </c>
      <c r="E220" s="377"/>
      <c r="F220" s="378">
        <v>0</v>
      </c>
      <c r="G220" s="379">
        <v>1903119.3553939713</v>
      </c>
      <c r="H220" s="378" t="s">
        <v>66</v>
      </c>
      <c r="I220" s="378">
        <v>2019</v>
      </c>
      <c r="J220" s="361">
        <f>+IF($I220=J$3,VLOOKUP($H220,Depreciation!$A$6:$L$10,7,FALSE)/2,IF($I220&lt;J$3,VLOOKUP($H220,Depreciation!$A$6:$L$10,7,FALSE),0))</f>
        <v>0</v>
      </c>
      <c r="K220" s="361">
        <f>+IF($I220=K$3,VLOOKUP($H220,Depreciation!$A$6:$L$10,8,FALSE)/2,IF($I220&lt;K$3,VLOOKUP($H220,Depreciation!$A$6:$L$10,8,FALSE),0))</f>
        <v>0</v>
      </c>
      <c r="L220" s="361">
        <f>+IF($I220=L$3,VLOOKUP($H220,Depreciation!$A$6:$L$10,9,FALSE)/2,IF($I220&lt;L$3,VLOOKUP($H220,Depreciation!$A$6:$L$10,9,FALSE),0))</f>
        <v>0</v>
      </c>
      <c r="M220" s="361">
        <f>+IF($I220=M$3,VLOOKUP($H220,Depreciation!$A$6:$L$10,10,FALSE)/2,IF($I220&lt;M$3,VLOOKUP($H220,Depreciation!$A$6:$L$10,10,FALSE),0))</f>
        <v>0</v>
      </c>
      <c r="N220" s="361">
        <f>+IF($I220=N$3,VLOOKUP($H220,Depreciation!$A$6:$L$10,11,FALSE)/2,IF($I220&lt;N$3,VLOOKUP($H220,Depreciation!$A$6:$L$10,11,FALSE),0))</f>
        <v>1.2001018963427959E-2</v>
      </c>
      <c r="O220" s="361">
        <f>+IF($I220=O$3,VLOOKUP($H220,Depreciation!$A$6:$L$10,12,FALSE)/2,IF($I220&lt;O$3,VLOOKUP($H220,Depreciation!$A$6:$L$10,12,FALSE),0))</f>
        <v>2.4002037926855919E-2</v>
      </c>
      <c r="P220" s="362">
        <f t="shared" si="11"/>
        <v>0</v>
      </c>
      <c r="Q220" s="362">
        <f t="shared" si="12"/>
        <v>0</v>
      </c>
      <c r="R220" s="363">
        <f t="shared" si="13"/>
        <v>0</v>
      </c>
    </row>
    <row r="221" spans="1:18">
      <c r="A221" s="377" t="s">
        <v>1191</v>
      </c>
      <c r="B221" s="377" t="s">
        <v>1375</v>
      </c>
      <c r="C221" s="377">
        <v>1289</v>
      </c>
      <c r="D221" s="377">
        <v>138</v>
      </c>
      <c r="E221" s="377"/>
      <c r="F221" s="378" t="s">
        <v>1251</v>
      </c>
      <c r="G221" s="379">
        <v>1490787.1125611733</v>
      </c>
      <c r="H221" s="378" t="s">
        <v>4</v>
      </c>
      <c r="I221" s="378">
        <v>2017</v>
      </c>
      <c r="J221" s="361">
        <f>+IF($I221=J$3,VLOOKUP($H221,Depreciation!$A$6:$L$10,7,FALSE)/2,IF($I221&lt;J$3,VLOOKUP($H221,Depreciation!$A$6:$L$10,7,FALSE),0))</f>
        <v>0</v>
      </c>
      <c r="K221" s="361">
        <f>+IF($I221=K$3,VLOOKUP($H221,Depreciation!$A$6:$L$10,8,FALSE)/2,IF($I221&lt;K$3,VLOOKUP($H221,Depreciation!$A$6:$L$10,8,FALSE),0))</f>
        <v>0</v>
      </c>
      <c r="L221" s="361">
        <f>+IF($I221=L$3,VLOOKUP($H221,Depreciation!$A$6:$L$10,9,FALSE)/2,IF($I221&lt;L$3,VLOOKUP($H221,Depreciation!$A$6:$L$10,9,FALSE),0))</f>
        <v>1.5338181838063448E-2</v>
      </c>
      <c r="M221" s="361">
        <f>+IF($I221=M$3,VLOOKUP($H221,Depreciation!$A$6:$L$10,10,FALSE)/2,IF($I221&lt;M$3,VLOOKUP($H221,Depreciation!$A$6:$L$10,10,FALSE),0))</f>
        <v>3.0676363676126896E-2</v>
      </c>
      <c r="N221" s="361">
        <f>+IF($I221=N$3,VLOOKUP($H221,Depreciation!$A$6:$L$10,11,FALSE)/2,IF($I221&lt;N$3,VLOOKUP($H221,Depreciation!$A$6:$L$10,11,FALSE),0))</f>
        <v>3.0676363676126896E-2</v>
      </c>
      <c r="O221" s="361">
        <f>+IF($I221=O$3,VLOOKUP($H221,Depreciation!$A$6:$L$10,12,FALSE)/2,IF($I221&lt;O$3,VLOOKUP($H221,Depreciation!$A$6:$L$10,12,FALSE),0))</f>
        <v>3.0676363676126896E-2</v>
      </c>
      <c r="P221" s="362">
        <f t="shared" si="11"/>
        <v>0</v>
      </c>
      <c r="Q221" s="362">
        <f t="shared" si="12"/>
        <v>0</v>
      </c>
      <c r="R221" s="363">
        <f t="shared" si="13"/>
        <v>0</v>
      </c>
    </row>
    <row r="222" spans="1:18">
      <c r="A222" s="377" t="s">
        <v>1191</v>
      </c>
      <c r="B222" s="377" t="s">
        <v>1374</v>
      </c>
      <c r="C222" s="377">
        <v>1289</v>
      </c>
      <c r="D222" s="377">
        <v>138</v>
      </c>
      <c r="E222" s="377"/>
      <c r="F222" s="378" t="s">
        <v>1251</v>
      </c>
      <c r="G222" s="379">
        <v>437379.69004893926</v>
      </c>
      <c r="H222" s="378" t="s">
        <v>4</v>
      </c>
      <c r="I222" s="378">
        <v>2017</v>
      </c>
      <c r="J222" s="361">
        <f>+IF($I222=J$3,VLOOKUP($H222,Depreciation!$A$6:$L$10,7,FALSE)/2,IF($I222&lt;J$3,VLOOKUP($H222,Depreciation!$A$6:$L$10,7,FALSE),0))</f>
        <v>0</v>
      </c>
      <c r="K222" s="361">
        <f>+IF($I222=K$3,VLOOKUP($H222,Depreciation!$A$6:$L$10,8,FALSE)/2,IF($I222&lt;K$3,VLOOKUP($H222,Depreciation!$A$6:$L$10,8,FALSE),0))</f>
        <v>0</v>
      </c>
      <c r="L222" s="361">
        <f>+IF($I222=L$3,VLOOKUP($H222,Depreciation!$A$6:$L$10,9,FALSE)/2,IF($I222&lt;L$3,VLOOKUP($H222,Depreciation!$A$6:$L$10,9,FALSE),0))</f>
        <v>1.5338181838063448E-2</v>
      </c>
      <c r="M222" s="361">
        <f>+IF($I222=M$3,VLOOKUP($H222,Depreciation!$A$6:$L$10,10,FALSE)/2,IF($I222&lt;M$3,VLOOKUP($H222,Depreciation!$A$6:$L$10,10,FALSE),0))</f>
        <v>3.0676363676126896E-2</v>
      </c>
      <c r="N222" s="361">
        <f>+IF($I222=N$3,VLOOKUP($H222,Depreciation!$A$6:$L$10,11,FALSE)/2,IF($I222&lt;N$3,VLOOKUP($H222,Depreciation!$A$6:$L$10,11,FALSE),0))</f>
        <v>3.0676363676126896E-2</v>
      </c>
      <c r="O222" s="361">
        <f>+IF($I222=O$3,VLOOKUP($H222,Depreciation!$A$6:$L$10,12,FALSE)/2,IF($I222&lt;O$3,VLOOKUP($H222,Depreciation!$A$6:$L$10,12,FALSE),0))</f>
        <v>3.0676363676126896E-2</v>
      </c>
      <c r="P222" s="362">
        <f t="shared" si="11"/>
        <v>0</v>
      </c>
      <c r="Q222" s="362">
        <f t="shared" si="12"/>
        <v>0</v>
      </c>
      <c r="R222" s="363">
        <f t="shared" si="13"/>
        <v>0</v>
      </c>
    </row>
    <row r="223" spans="1:18">
      <c r="A223" s="377" t="s">
        <v>1191</v>
      </c>
      <c r="B223" s="377" t="s">
        <v>1377</v>
      </c>
      <c r="C223" s="377">
        <v>1290</v>
      </c>
      <c r="D223" s="377">
        <v>144</v>
      </c>
      <c r="E223" s="377"/>
      <c r="F223" s="378" t="s">
        <v>1213</v>
      </c>
      <c r="G223" s="379">
        <v>5368376.5324647576</v>
      </c>
      <c r="H223" s="378" t="s">
        <v>66</v>
      </c>
      <c r="I223" s="378">
        <v>2018</v>
      </c>
      <c r="J223" s="361">
        <f>+IF($I223=J$3,VLOOKUP($H223,Depreciation!$A$6:$L$10,7,FALSE)/2,IF($I223&lt;J$3,VLOOKUP($H223,Depreciation!$A$6:$L$10,7,FALSE),0))</f>
        <v>0</v>
      </c>
      <c r="K223" s="361">
        <f>+IF($I223=K$3,VLOOKUP($H223,Depreciation!$A$6:$L$10,8,FALSE)/2,IF($I223&lt;K$3,VLOOKUP($H223,Depreciation!$A$6:$L$10,8,FALSE),0))</f>
        <v>0</v>
      </c>
      <c r="L223" s="361">
        <f>+IF($I223=L$3,VLOOKUP($H223,Depreciation!$A$6:$L$10,9,FALSE)/2,IF($I223&lt;L$3,VLOOKUP($H223,Depreciation!$A$6:$L$10,9,FALSE),0))</f>
        <v>0</v>
      </c>
      <c r="M223" s="361">
        <f>+IF($I223=M$3,VLOOKUP($H223,Depreciation!$A$6:$L$10,10,FALSE)/2,IF($I223&lt;M$3,VLOOKUP($H223,Depreciation!$A$6:$L$10,10,FALSE),0))</f>
        <v>1.2001018963427959E-2</v>
      </c>
      <c r="N223" s="361">
        <f>+IF($I223=N$3,VLOOKUP($H223,Depreciation!$A$6:$L$10,11,FALSE)/2,IF($I223&lt;N$3,VLOOKUP($H223,Depreciation!$A$6:$L$10,11,FALSE),0))</f>
        <v>2.4002037926855919E-2</v>
      </c>
      <c r="O223" s="361">
        <f>+IF($I223=O$3,VLOOKUP($H223,Depreciation!$A$6:$L$10,12,FALSE)/2,IF($I223&lt;O$3,VLOOKUP($H223,Depreciation!$A$6:$L$10,12,FALSE),0))</f>
        <v>2.4002037926855919E-2</v>
      </c>
      <c r="P223" s="362">
        <f t="shared" si="11"/>
        <v>0</v>
      </c>
      <c r="Q223" s="362">
        <f t="shared" si="12"/>
        <v>0</v>
      </c>
      <c r="R223" s="363">
        <f t="shared" si="13"/>
        <v>0</v>
      </c>
    </row>
    <row r="224" spans="1:18">
      <c r="A224" s="377" t="s">
        <v>1191</v>
      </c>
      <c r="B224" s="377" t="s">
        <v>154</v>
      </c>
      <c r="C224" s="377">
        <v>1314</v>
      </c>
      <c r="D224" s="377">
        <v>138</v>
      </c>
      <c r="E224" s="377"/>
      <c r="F224" s="378" t="s">
        <v>1209</v>
      </c>
      <c r="G224" s="379">
        <v>334297.27388090419</v>
      </c>
      <c r="H224" s="378" t="s">
        <v>64</v>
      </c>
      <c r="I224" s="378">
        <v>2015</v>
      </c>
      <c r="J224" s="361">
        <f>+IF($I224=J$3,VLOOKUP($H224,Depreciation!$A$6:$L$10,7,FALSE)/2,IF($I224&lt;J$3,VLOOKUP($H224,Depreciation!$A$6:$L$10,7,FALSE),0))</f>
        <v>1.3475179084025525E-2</v>
      </c>
      <c r="K224" s="361">
        <f>+IF($I224=K$3,VLOOKUP($H224,Depreciation!$A$6:$L$10,8,FALSE)/2,IF($I224&lt;K$3,VLOOKUP($H224,Depreciation!$A$6:$L$10,8,FALSE),0))</f>
        <v>2.6950358168051049E-2</v>
      </c>
      <c r="L224" s="361">
        <f>+IF($I224=L$3,VLOOKUP($H224,Depreciation!$A$6:$L$10,9,FALSE)/2,IF($I224&lt;L$3,VLOOKUP($H224,Depreciation!$A$6:$L$10,9,FALSE),0))</f>
        <v>2.6950358168051049E-2</v>
      </c>
      <c r="M224" s="361">
        <f>+IF($I224=M$3,VLOOKUP($H224,Depreciation!$A$6:$L$10,10,FALSE)/2,IF($I224&lt;M$3,VLOOKUP($H224,Depreciation!$A$6:$L$10,10,FALSE),0))</f>
        <v>2.6950358168051049E-2</v>
      </c>
      <c r="N224" s="361">
        <f>+IF($I224=N$3,VLOOKUP($H224,Depreciation!$A$6:$L$10,11,FALSE)/2,IF($I224&lt;N$3,VLOOKUP($H224,Depreciation!$A$6:$L$10,11,FALSE),0))</f>
        <v>2.6950358168051049E-2</v>
      </c>
      <c r="O224" s="361">
        <f>+IF($I224=O$3,VLOOKUP($H224,Depreciation!$A$6:$L$10,12,FALSE)/2,IF($I224&lt;O$3,VLOOKUP($H224,Depreciation!$A$6:$L$10,12,FALSE),0))</f>
        <v>2.6950358168051049E-2</v>
      </c>
      <c r="P224" s="362">
        <f t="shared" si="11"/>
        <v>329792.5582480575</v>
      </c>
      <c r="Q224" s="362">
        <f t="shared" si="12"/>
        <v>0</v>
      </c>
      <c r="R224" s="363">
        <f t="shared" si="13"/>
        <v>329792.5582480575</v>
      </c>
    </row>
    <row r="225" spans="1:19">
      <c r="A225" s="377" t="s">
        <v>1191</v>
      </c>
      <c r="B225" s="377" t="s">
        <v>1364</v>
      </c>
      <c r="C225" s="377">
        <v>1321</v>
      </c>
      <c r="D225" s="377">
        <v>240</v>
      </c>
      <c r="E225" s="377"/>
      <c r="F225" s="378" t="s">
        <v>1213</v>
      </c>
      <c r="G225" s="379">
        <v>39192318.192983381</v>
      </c>
      <c r="H225" s="378" t="s">
        <v>66</v>
      </c>
      <c r="I225" s="378">
        <v>2017</v>
      </c>
      <c r="J225" s="361">
        <f>+IF($I225=J$3,VLOOKUP($H225,Depreciation!$A$6:$L$10,7,FALSE)/2,IF($I225&lt;J$3,VLOOKUP($H225,Depreciation!$A$6:$L$10,7,FALSE),0))</f>
        <v>0</v>
      </c>
      <c r="K225" s="361">
        <f>+IF($I225=K$3,VLOOKUP($H225,Depreciation!$A$6:$L$10,8,FALSE)/2,IF($I225&lt;K$3,VLOOKUP($H225,Depreciation!$A$6:$L$10,8,FALSE),0))</f>
        <v>0</v>
      </c>
      <c r="L225" s="361">
        <f>+IF($I225=L$3,VLOOKUP($H225,Depreciation!$A$6:$L$10,9,FALSE)/2,IF($I225&lt;L$3,VLOOKUP($H225,Depreciation!$A$6:$L$10,9,FALSE),0))</f>
        <v>1.2001018963427959E-2</v>
      </c>
      <c r="M225" s="361">
        <f>+IF($I225=M$3,VLOOKUP($H225,Depreciation!$A$6:$L$10,10,FALSE)/2,IF($I225&lt;M$3,VLOOKUP($H225,Depreciation!$A$6:$L$10,10,FALSE),0))</f>
        <v>2.4002037926855919E-2</v>
      </c>
      <c r="N225" s="361">
        <f>+IF($I225=N$3,VLOOKUP($H225,Depreciation!$A$6:$L$10,11,FALSE)/2,IF($I225&lt;N$3,VLOOKUP($H225,Depreciation!$A$6:$L$10,11,FALSE),0))</f>
        <v>2.4002037926855919E-2</v>
      </c>
      <c r="O225" s="361">
        <f>+IF($I225=O$3,VLOOKUP($H225,Depreciation!$A$6:$L$10,12,FALSE)/2,IF($I225&lt;O$3,VLOOKUP($H225,Depreciation!$A$6:$L$10,12,FALSE),0))</f>
        <v>2.4002037926855919E-2</v>
      </c>
      <c r="P225" s="362">
        <f t="shared" si="11"/>
        <v>0</v>
      </c>
      <c r="Q225" s="362">
        <f t="shared" si="12"/>
        <v>0</v>
      </c>
      <c r="R225" s="363">
        <f t="shared" si="13"/>
        <v>0</v>
      </c>
    </row>
    <row r="226" spans="1:19">
      <c r="A226" s="380" t="s">
        <v>1191</v>
      </c>
      <c r="B226" s="380" t="s">
        <v>1389</v>
      </c>
      <c r="C226" s="380">
        <v>1326</v>
      </c>
      <c r="D226" s="380">
        <v>138</v>
      </c>
      <c r="E226" s="380"/>
      <c r="F226" s="380">
        <v>0</v>
      </c>
      <c r="G226" s="250">
        <v>174412.28457799382</v>
      </c>
      <c r="H226" s="380" t="s">
        <v>4</v>
      </c>
      <c r="I226" s="380">
        <v>2017</v>
      </c>
      <c r="J226" s="361">
        <f>+IF($I226=J$3,VLOOKUP($H226,Depreciation!$A$6:$L$10,7,FALSE)/2,IF($I226&lt;J$3,VLOOKUP($H226,Depreciation!$A$6:$L$10,7,FALSE),0))</f>
        <v>0</v>
      </c>
      <c r="K226" s="361">
        <f>+IF($I226=K$3,VLOOKUP($H226,Depreciation!$A$6:$L$10,8,FALSE)/2,IF($I226&lt;K$3,VLOOKUP($H226,Depreciation!$A$6:$L$10,8,FALSE),0))</f>
        <v>0</v>
      </c>
      <c r="L226" s="361">
        <f>+IF($I226=L$3,VLOOKUP($H226,Depreciation!$A$6:$L$10,9,FALSE)/2,IF($I226&lt;L$3,VLOOKUP($H226,Depreciation!$A$6:$L$10,9,FALSE),0))</f>
        <v>1.5338181838063448E-2</v>
      </c>
      <c r="M226" s="361">
        <f>+IF($I226=M$3,VLOOKUP($H226,Depreciation!$A$6:$L$10,10,FALSE)/2,IF($I226&lt;M$3,VLOOKUP($H226,Depreciation!$A$6:$L$10,10,FALSE),0))</f>
        <v>3.0676363676126896E-2</v>
      </c>
      <c r="N226" s="361">
        <f>+IF($I226=N$3,VLOOKUP($H226,Depreciation!$A$6:$L$10,11,FALSE)/2,IF($I226&lt;N$3,VLOOKUP($H226,Depreciation!$A$6:$L$10,11,FALSE),0))</f>
        <v>3.0676363676126896E-2</v>
      </c>
      <c r="O226" s="361">
        <f>+IF($I226=O$3,VLOOKUP($H226,Depreciation!$A$6:$L$10,12,FALSE)/2,IF($I226&lt;O$3,VLOOKUP($H226,Depreciation!$A$6:$L$10,12,FALSE),0))</f>
        <v>3.0676363676126896E-2</v>
      </c>
      <c r="P226" s="362">
        <f t="shared" si="11"/>
        <v>0</v>
      </c>
      <c r="Q226" s="362">
        <f t="shared" si="12"/>
        <v>0</v>
      </c>
      <c r="R226" s="363">
        <f t="shared" si="13"/>
        <v>0</v>
      </c>
      <c r="S226" s="368"/>
    </row>
    <row r="227" spans="1:19">
      <c r="A227" s="380" t="s">
        <v>1191</v>
      </c>
      <c r="B227" s="380" t="s">
        <v>1388</v>
      </c>
      <c r="C227" s="380">
        <v>1326</v>
      </c>
      <c r="D227" s="380">
        <v>138</v>
      </c>
      <c r="E227" s="380"/>
      <c r="F227" s="380">
        <v>0</v>
      </c>
      <c r="G227" s="250">
        <v>450149.80114891741</v>
      </c>
      <c r="H227" s="380" t="s">
        <v>4</v>
      </c>
      <c r="I227" s="380">
        <v>2017</v>
      </c>
      <c r="J227" s="361">
        <f>+IF($I227=J$3,VLOOKUP($H227,Depreciation!$A$6:$L$10,7,FALSE)/2,IF($I227&lt;J$3,VLOOKUP($H227,Depreciation!$A$6:$L$10,7,FALSE),0))</f>
        <v>0</v>
      </c>
      <c r="K227" s="361">
        <f>+IF($I227=K$3,VLOOKUP($H227,Depreciation!$A$6:$L$10,8,FALSE)/2,IF($I227&lt;K$3,VLOOKUP($H227,Depreciation!$A$6:$L$10,8,FALSE),0))</f>
        <v>0</v>
      </c>
      <c r="L227" s="361">
        <f>+IF($I227=L$3,VLOOKUP($H227,Depreciation!$A$6:$L$10,9,FALSE)/2,IF($I227&lt;L$3,VLOOKUP($H227,Depreciation!$A$6:$L$10,9,FALSE),0))</f>
        <v>1.5338181838063448E-2</v>
      </c>
      <c r="M227" s="361">
        <f>+IF($I227=M$3,VLOOKUP($H227,Depreciation!$A$6:$L$10,10,FALSE)/2,IF($I227&lt;M$3,VLOOKUP($H227,Depreciation!$A$6:$L$10,10,FALSE),0))</f>
        <v>3.0676363676126896E-2</v>
      </c>
      <c r="N227" s="361">
        <f>+IF($I227=N$3,VLOOKUP($H227,Depreciation!$A$6:$L$10,11,FALSE)/2,IF($I227&lt;N$3,VLOOKUP($H227,Depreciation!$A$6:$L$10,11,FALSE),0))</f>
        <v>3.0676363676126896E-2</v>
      </c>
      <c r="O227" s="361">
        <f>+IF($I227=O$3,VLOOKUP($H227,Depreciation!$A$6:$L$10,12,FALSE)/2,IF($I227&lt;O$3,VLOOKUP($H227,Depreciation!$A$6:$L$10,12,FALSE),0))</f>
        <v>3.0676363676126896E-2</v>
      </c>
      <c r="P227" s="362">
        <f t="shared" si="11"/>
        <v>0</v>
      </c>
      <c r="Q227" s="362">
        <f t="shared" si="12"/>
        <v>0</v>
      </c>
      <c r="R227" s="363">
        <f t="shared" si="13"/>
        <v>0</v>
      </c>
      <c r="S227" s="368"/>
    </row>
    <row r="228" spans="1:19">
      <c r="A228" s="380" t="s">
        <v>1191</v>
      </c>
      <c r="B228" s="380" t="s">
        <v>1387</v>
      </c>
      <c r="C228" s="380">
        <v>1326</v>
      </c>
      <c r="D228" s="380">
        <v>138</v>
      </c>
      <c r="E228" s="380"/>
      <c r="F228" s="380">
        <v>0</v>
      </c>
      <c r="G228" s="250">
        <v>292348.21034025634</v>
      </c>
      <c r="H228" s="380" t="s">
        <v>4</v>
      </c>
      <c r="I228" s="380">
        <v>2017</v>
      </c>
      <c r="J228" s="361">
        <f>+IF($I228=J$3,VLOOKUP($H228,Depreciation!$A$6:$L$10,7,FALSE)/2,IF($I228&lt;J$3,VLOOKUP($H228,Depreciation!$A$6:$L$10,7,FALSE),0))</f>
        <v>0</v>
      </c>
      <c r="K228" s="361">
        <f>+IF($I228=K$3,VLOOKUP($H228,Depreciation!$A$6:$L$10,8,FALSE)/2,IF($I228&lt;K$3,VLOOKUP($H228,Depreciation!$A$6:$L$10,8,FALSE),0))</f>
        <v>0</v>
      </c>
      <c r="L228" s="361">
        <f>+IF($I228=L$3,VLOOKUP($H228,Depreciation!$A$6:$L$10,9,FALSE)/2,IF($I228&lt;L$3,VLOOKUP($H228,Depreciation!$A$6:$L$10,9,FALSE),0))</f>
        <v>1.5338181838063448E-2</v>
      </c>
      <c r="M228" s="361">
        <f>+IF($I228=M$3,VLOOKUP($H228,Depreciation!$A$6:$L$10,10,FALSE)/2,IF($I228&lt;M$3,VLOOKUP($H228,Depreciation!$A$6:$L$10,10,FALSE),0))</f>
        <v>3.0676363676126896E-2</v>
      </c>
      <c r="N228" s="361">
        <f>+IF($I228=N$3,VLOOKUP($H228,Depreciation!$A$6:$L$10,11,FALSE)/2,IF($I228&lt;N$3,VLOOKUP($H228,Depreciation!$A$6:$L$10,11,FALSE),0))</f>
        <v>3.0676363676126896E-2</v>
      </c>
      <c r="O228" s="361">
        <f>+IF($I228=O$3,VLOOKUP($H228,Depreciation!$A$6:$L$10,12,FALSE)/2,IF($I228&lt;O$3,VLOOKUP($H228,Depreciation!$A$6:$L$10,12,FALSE),0))</f>
        <v>3.0676363676126896E-2</v>
      </c>
      <c r="P228" s="362">
        <f t="shared" si="11"/>
        <v>0</v>
      </c>
      <c r="Q228" s="362">
        <f t="shared" si="12"/>
        <v>0</v>
      </c>
      <c r="R228" s="363">
        <f t="shared" si="13"/>
        <v>0</v>
      </c>
      <c r="S228" s="368"/>
    </row>
    <row r="229" spans="1:19">
      <c r="A229" s="380" t="s">
        <v>1191</v>
      </c>
      <c r="B229" s="380" t="s">
        <v>1381</v>
      </c>
      <c r="C229" s="380">
        <v>1336</v>
      </c>
      <c r="D229" s="380">
        <v>138</v>
      </c>
      <c r="E229" s="380"/>
      <c r="F229" s="245" t="s">
        <v>1253</v>
      </c>
      <c r="G229" s="251">
        <v>623924.51330949506</v>
      </c>
      <c r="H229" s="245" t="s">
        <v>4</v>
      </c>
      <c r="I229" s="245">
        <v>2018</v>
      </c>
      <c r="J229" s="361">
        <f>+IF($I229=J$3,VLOOKUP($H229,Depreciation!$A$6:$L$10,7,FALSE)/2,IF($I229&lt;J$3,VLOOKUP($H229,Depreciation!$A$6:$L$10,7,FALSE),0))</f>
        <v>0</v>
      </c>
      <c r="K229" s="361">
        <f>+IF($I229=K$3,VLOOKUP($H229,Depreciation!$A$6:$L$10,8,FALSE)/2,IF($I229&lt;K$3,VLOOKUP($H229,Depreciation!$A$6:$L$10,8,FALSE),0))</f>
        <v>0</v>
      </c>
      <c r="L229" s="361">
        <f>+IF($I229=L$3,VLOOKUP($H229,Depreciation!$A$6:$L$10,9,FALSE)/2,IF($I229&lt;L$3,VLOOKUP($H229,Depreciation!$A$6:$L$10,9,FALSE),0))</f>
        <v>0</v>
      </c>
      <c r="M229" s="361">
        <f>+IF($I229=M$3,VLOOKUP($H229,Depreciation!$A$6:$L$10,10,FALSE)/2,IF($I229&lt;M$3,VLOOKUP($H229,Depreciation!$A$6:$L$10,10,FALSE),0))</f>
        <v>1.5338181838063448E-2</v>
      </c>
      <c r="N229" s="361">
        <f>+IF($I229=N$3,VLOOKUP($H229,Depreciation!$A$6:$L$10,11,FALSE)/2,IF($I229&lt;N$3,VLOOKUP($H229,Depreciation!$A$6:$L$10,11,FALSE),0))</f>
        <v>3.0676363676126896E-2</v>
      </c>
      <c r="O229" s="361">
        <f>+IF($I229=O$3,VLOOKUP($H229,Depreciation!$A$6:$L$10,12,FALSE)/2,IF($I229&lt;O$3,VLOOKUP($H229,Depreciation!$A$6:$L$10,12,FALSE),0))</f>
        <v>3.0676363676126896E-2</v>
      </c>
      <c r="P229" s="362">
        <f t="shared" si="11"/>
        <v>0</v>
      </c>
      <c r="Q229" s="362">
        <f t="shared" si="12"/>
        <v>0</v>
      </c>
      <c r="R229" s="363">
        <f t="shared" si="13"/>
        <v>0</v>
      </c>
      <c r="S229" s="368"/>
    </row>
    <row r="230" spans="1:19">
      <c r="A230" s="380" t="s">
        <v>1191</v>
      </c>
      <c r="B230" s="380" t="s">
        <v>1799</v>
      </c>
      <c r="C230" s="380">
        <v>1343</v>
      </c>
      <c r="D230" s="380">
        <v>240</v>
      </c>
      <c r="E230" s="380"/>
      <c r="F230" s="245">
        <v>0</v>
      </c>
      <c r="G230" s="251">
        <v>19796706.182093833</v>
      </c>
      <c r="H230" s="245" t="s">
        <v>4</v>
      </c>
      <c r="I230" s="245">
        <v>2015</v>
      </c>
      <c r="J230" s="361">
        <f>+IF($I230=J$3,VLOOKUP($H230,Depreciation!$A$6:$L$10,7,FALSE)/2,IF($I230&lt;J$3,VLOOKUP($H230,Depreciation!$A$6:$L$10,7,FALSE),0))</f>
        <v>1.595020804044691E-2</v>
      </c>
      <c r="K230" s="361">
        <f>+IF($I230=K$3,VLOOKUP($H230,Depreciation!$A$6:$L$10,8,FALSE)/2,IF($I230&lt;K$3,VLOOKUP($H230,Depreciation!$A$6:$L$10,8,FALSE),0))</f>
        <v>3.0676363676126896E-2</v>
      </c>
      <c r="L230" s="361">
        <f>+IF($I230=L$3,VLOOKUP($H230,Depreciation!$A$6:$L$10,9,FALSE)/2,IF($I230&lt;L$3,VLOOKUP($H230,Depreciation!$A$6:$L$10,9,FALSE),0))</f>
        <v>3.0676363676126896E-2</v>
      </c>
      <c r="M230" s="361">
        <f>+IF($I230=M$3,VLOOKUP($H230,Depreciation!$A$6:$L$10,10,FALSE)/2,IF($I230&lt;M$3,VLOOKUP($H230,Depreciation!$A$6:$L$10,10,FALSE),0))</f>
        <v>3.0676363676126896E-2</v>
      </c>
      <c r="N230" s="361">
        <f>+IF($I230=N$3,VLOOKUP($H230,Depreciation!$A$6:$L$10,11,FALSE)/2,IF($I230&lt;N$3,VLOOKUP($H230,Depreciation!$A$6:$L$10,11,FALSE),0))</f>
        <v>3.0676363676126896E-2</v>
      </c>
      <c r="O230" s="361">
        <f>+IF($I230=O$3,VLOOKUP($H230,Depreciation!$A$6:$L$10,12,FALSE)/2,IF($I230&lt;O$3,VLOOKUP($H230,Depreciation!$A$6:$L$10,12,FALSE),0))</f>
        <v>3.0676363676126896E-2</v>
      </c>
      <c r="P230" s="362">
        <f t="shared" si="11"/>
        <v>19480944.599973835</v>
      </c>
      <c r="Q230" s="362">
        <f t="shared" si="12"/>
        <v>19480944.599973835</v>
      </c>
      <c r="R230" s="363">
        <f t="shared" si="13"/>
        <v>0</v>
      </c>
      <c r="S230" s="368"/>
    </row>
    <row r="231" spans="1:19">
      <c r="A231" s="380" t="s">
        <v>1191</v>
      </c>
      <c r="B231" s="380" t="s">
        <v>1800</v>
      </c>
      <c r="C231" s="380">
        <v>1343</v>
      </c>
      <c r="D231" s="380">
        <v>138</v>
      </c>
      <c r="E231" s="380"/>
      <c r="F231" s="245">
        <v>0</v>
      </c>
      <c r="G231" s="251">
        <v>3112543.7968499968</v>
      </c>
      <c r="H231" s="245" t="s">
        <v>4</v>
      </c>
      <c r="I231" s="245">
        <v>2015</v>
      </c>
      <c r="J231" s="361">
        <f>+IF($I231=J$3,VLOOKUP($H231,Depreciation!$A$6:$L$10,7,FALSE)/2,IF($I231&lt;J$3,VLOOKUP($H231,Depreciation!$A$6:$L$10,7,FALSE),0))</f>
        <v>1.595020804044691E-2</v>
      </c>
      <c r="K231" s="361">
        <f>+IF($I231=K$3,VLOOKUP($H231,Depreciation!$A$6:$L$10,8,FALSE)/2,IF($I231&lt;K$3,VLOOKUP($H231,Depreciation!$A$6:$L$10,8,FALSE),0))</f>
        <v>3.0676363676126896E-2</v>
      </c>
      <c r="L231" s="361">
        <f>+IF($I231=L$3,VLOOKUP($H231,Depreciation!$A$6:$L$10,9,FALSE)/2,IF($I231&lt;L$3,VLOOKUP($H231,Depreciation!$A$6:$L$10,9,FALSE),0))</f>
        <v>3.0676363676126896E-2</v>
      </c>
      <c r="M231" s="361">
        <f>+IF($I231=M$3,VLOOKUP($H231,Depreciation!$A$6:$L$10,10,FALSE)/2,IF($I231&lt;M$3,VLOOKUP($H231,Depreciation!$A$6:$L$10,10,FALSE),0))</f>
        <v>3.0676363676126896E-2</v>
      </c>
      <c r="N231" s="361">
        <f>+IF($I231=N$3,VLOOKUP($H231,Depreciation!$A$6:$L$10,11,FALSE)/2,IF($I231&lt;N$3,VLOOKUP($H231,Depreciation!$A$6:$L$10,11,FALSE),0))</f>
        <v>3.0676363676126896E-2</v>
      </c>
      <c r="O231" s="361">
        <f>+IF($I231=O$3,VLOOKUP($H231,Depreciation!$A$6:$L$10,12,FALSE)/2,IF($I231&lt;O$3,VLOOKUP($H231,Depreciation!$A$6:$L$10,12,FALSE),0))</f>
        <v>3.0676363676126896E-2</v>
      </c>
      <c r="P231" s="362">
        <f t="shared" si="11"/>
        <v>3062898.0757552367</v>
      </c>
      <c r="Q231" s="362">
        <f t="shared" si="12"/>
        <v>0</v>
      </c>
      <c r="R231" s="363">
        <f t="shared" si="13"/>
        <v>3062898.0757552367</v>
      </c>
      <c r="S231" s="368"/>
    </row>
    <row r="232" spans="1:19">
      <c r="A232" s="380" t="s">
        <v>1191</v>
      </c>
      <c r="B232" s="380" t="s">
        <v>1801</v>
      </c>
      <c r="C232" s="380">
        <v>1343</v>
      </c>
      <c r="D232" s="380">
        <v>138</v>
      </c>
      <c r="E232" s="380"/>
      <c r="F232" s="245">
        <v>0</v>
      </c>
      <c r="G232" s="251">
        <v>39755.748336561956</v>
      </c>
      <c r="H232" s="245" t="s">
        <v>4</v>
      </c>
      <c r="I232" s="245">
        <v>2015</v>
      </c>
      <c r="J232" s="361">
        <f>+IF($I232=J$3,VLOOKUP($H232,Depreciation!$A$6:$L$10,7,FALSE)/2,IF($I232&lt;J$3,VLOOKUP($H232,Depreciation!$A$6:$L$10,7,FALSE),0))</f>
        <v>1.595020804044691E-2</v>
      </c>
      <c r="K232" s="361">
        <f>+IF($I232=K$3,VLOOKUP($H232,Depreciation!$A$6:$L$10,8,FALSE)/2,IF($I232&lt;K$3,VLOOKUP($H232,Depreciation!$A$6:$L$10,8,FALSE),0))</f>
        <v>3.0676363676126896E-2</v>
      </c>
      <c r="L232" s="361">
        <f>+IF($I232=L$3,VLOOKUP($H232,Depreciation!$A$6:$L$10,9,FALSE)/2,IF($I232&lt;L$3,VLOOKUP($H232,Depreciation!$A$6:$L$10,9,FALSE),0))</f>
        <v>3.0676363676126896E-2</v>
      </c>
      <c r="M232" s="361">
        <f>+IF($I232=M$3,VLOOKUP($H232,Depreciation!$A$6:$L$10,10,FALSE)/2,IF($I232&lt;M$3,VLOOKUP($H232,Depreciation!$A$6:$L$10,10,FALSE),0))</f>
        <v>3.0676363676126896E-2</v>
      </c>
      <c r="N232" s="361">
        <f>+IF($I232=N$3,VLOOKUP($H232,Depreciation!$A$6:$L$10,11,FALSE)/2,IF($I232&lt;N$3,VLOOKUP($H232,Depreciation!$A$6:$L$10,11,FALSE),0))</f>
        <v>3.0676363676126896E-2</v>
      </c>
      <c r="O232" s="361">
        <f>+IF($I232=O$3,VLOOKUP($H232,Depreciation!$A$6:$L$10,12,FALSE)/2,IF($I232&lt;O$3,VLOOKUP($H232,Depreciation!$A$6:$L$10,12,FALSE),0))</f>
        <v>3.0676363676126896E-2</v>
      </c>
      <c r="P232" s="362">
        <f t="shared" si="11"/>
        <v>39121.635879790141</v>
      </c>
      <c r="Q232" s="362">
        <f t="shared" si="12"/>
        <v>0</v>
      </c>
      <c r="R232" s="363">
        <f t="shared" si="13"/>
        <v>39121.635879790141</v>
      </c>
      <c r="S232" s="368"/>
    </row>
    <row r="233" spans="1:19">
      <c r="A233" s="380" t="s">
        <v>1191</v>
      </c>
      <c r="B233" s="380" t="s">
        <v>1802</v>
      </c>
      <c r="C233" s="380">
        <v>1343</v>
      </c>
      <c r="D233" s="380">
        <v>138</v>
      </c>
      <c r="E233" s="380"/>
      <c r="F233" s="245">
        <v>0</v>
      </c>
      <c r="G233" s="251">
        <v>4325094.121115136</v>
      </c>
      <c r="H233" s="245" t="s">
        <v>4</v>
      </c>
      <c r="I233" s="245">
        <v>2015</v>
      </c>
      <c r="J233" s="361">
        <f>+IF($I233=J$3,VLOOKUP($H233,Depreciation!$A$6:$L$10,7,FALSE)/2,IF($I233&lt;J$3,VLOOKUP($H233,Depreciation!$A$6:$L$10,7,FALSE),0))</f>
        <v>1.595020804044691E-2</v>
      </c>
      <c r="K233" s="361">
        <f>+IF($I233=K$3,VLOOKUP($H233,Depreciation!$A$6:$L$10,8,FALSE)/2,IF($I233&lt;K$3,VLOOKUP($H233,Depreciation!$A$6:$L$10,8,FALSE),0))</f>
        <v>3.0676363676126896E-2</v>
      </c>
      <c r="L233" s="361">
        <f>+IF($I233=L$3,VLOOKUP($H233,Depreciation!$A$6:$L$10,9,FALSE)/2,IF($I233&lt;L$3,VLOOKUP($H233,Depreciation!$A$6:$L$10,9,FALSE),0))</f>
        <v>3.0676363676126896E-2</v>
      </c>
      <c r="M233" s="361">
        <f>+IF($I233=M$3,VLOOKUP($H233,Depreciation!$A$6:$L$10,10,FALSE)/2,IF($I233&lt;M$3,VLOOKUP($H233,Depreciation!$A$6:$L$10,10,FALSE),0))</f>
        <v>3.0676363676126896E-2</v>
      </c>
      <c r="N233" s="361">
        <f>+IF($I233=N$3,VLOOKUP($H233,Depreciation!$A$6:$L$10,11,FALSE)/2,IF($I233&lt;N$3,VLOOKUP($H233,Depreciation!$A$6:$L$10,11,FALSE),0))</f>
        <v>3.0676363676126896E-2</v>
      </c>
      <c r="O233" s="361">
        <f>+IF($I233=O$3,VLOOKUP($H233,Depreciation!$A$6:$L$10,12,FALSE)/2,IF($I233&lt;O$3,VLOOKUP($H233,Depreciation!$A$6:$L$10,12,FALSE),0))</f>
        <v>3.0676363676126896E-2</v>
      </c>
      <c r="P233" s="362">
        <f t="shared" si="11"/>
        <v>4256107.9700888358</v>
      </c>
      <c r="Q233" s="362">
        <f t="shared" si="12"/>
        <v>0</v>
      </c>
      <c r="R233" s="363">
        <f t="shared" si="13"/>
        <v>4256107.9700888358</v>
      </c>
      <c r="S233" s="368"/>
    </row>
    <row r="234" spans="1:19">
      <c r="A234" s="380" t="s">
        <v>1191</v>
      </c>
      <c r="B234" s="380" t="s">
        <v>1803</v>
      </c>
      <c r="C234" s="380">
        <v>1343</v>
      </c>
      <c r="D234" s="380">
        <v>138</v>
      </c>
      <c r="E234" s="380"/>
      <c r="F234" s="245">
        <v>0</v>
      </c>
      <c r="G234" s="251">
        <v>57171.622130222037</v>
      </c>
      <c r="H234" s="245" t="s">
        <v>4</v>
      </c>
      <c r="I234" s="245">
        <v>2015</v>
      </c>
      <c r="J234" s="361">
        <f>+IF($I234=J$3,VLOOKUP($H234,Depreciation!$A$6:$L$10,7,FALSE)/2,IF($I234&lt;J$3,VLOOKUP($H234,Depreciation!$A$6:$L$10,7,FALSE),0))</f>
        <v>1.595020804044691E-2</v>
      </c>
      <c r="K234" s="361">
        <f>+IF($I234=K$3,VLOOKUP($H234,Depreciation!$A$6:$L$10,8,FALSE)/2,IF($I234&lt;K$3,VLOOKUP($H234,Depreciation!$A$6:$L$10,8,FALSE),0))</f>
        <v>3.0676363676126896E-2</v>
      </c>
      <c r="L234" s="361">
        <f>+IF($I234=L$3,VLOOKUP($H234,Depreciation!$A$6:$L$10,9,FALSE)/2,IF($I234&lt;L$3,VLOOKUP($H234,Depreciation!$A$6:$L$10,9,FALSE),0))</f>
        <v>3.0676363676126896E-2</v>
      </c>
      <c r="M234" s="361">
        <f>+IF($I234=M$3,VLOOKUP($H234,Depreciation!$A$6:$L$10,10,FALSE)/2,IF($I234&lt;M$3,VLOOKUP($H234,Depreciation!$A$6:$L$10,10,FALSE),0))</f>
        <v>3.0676363676126896E-2</v>
      </c>
      <c r="N234" s="361">
        <f>+IF($I234=N$3,VLOOKUP($H234,Depreciation!$A$6:$L$10,11,FALSE)/2,IF($I234&lt;N$3,VLOOKUP($H234,Depreciation!$A$6:$L$10,11,FALSE),0))</f>
        <v>3.0676363676126896E-2</v>
      </c>
      <c r="O234" s="361">
        <f>+IF($I234=O$3,VLOOKUP($H234,Depreciation!$A$6:$L$10,12,FALSE)/2,IF($I234&lt;O$3,VLOOKUP($H234,Depreciation!$A$6:$L$10,12,FALSE),0))</f>
        <v>3.0676363676126896E-2</v>
      </c>
      <c r="P234" s="362">
        <f t="shared" si="11"/>
        <v>56259.722863235176</v>
      </c>
      <c r="Q234" s="362">
        <f t="shared" si="12"/>
        <v>0</v>
      </c>
      <c r="R234" s="363">
        <f t="shared" si="13"/>
        <v>56259.722863235176</v>
      </c>
      <c r="S234" s="368"/>
    </row>
    <row r="235" spans="1:19">
      <c r="A235" s="380" t="s">
        <v>1191</v>
      </c>
      <c r="B235" s="380" t="s">
        <v>1804</v>
      </c>
      <c r="C235" s="380">
        <v>1343</v>
      </c>
      <c r="D235" s="380">
        <v>240</v>
      </c>
      <c r="E235" s="380"/>
      <c r="F235" s="245">
        <v>0</v>
      </c>
      <c r="G235" s="251">
        <v>18544400.109492131</v>
      </c>
      <c r="H235" s="245" t="s">
        <v>4</v>
      </c>
      <c r="I235" s="245">
        <v>2015</v>
      </c>
      <c r="J235" s="361">
        <f>+IF($I235=J$3,VLOOKUP($H235,Depreciation!$A$6:$L$10,7,FALSE)/2,IF($I235&lt;J$3,VLOOKUP($H235,Depreciation!$A$6:$L$10,7,FALSE),0))</f>
        <v>1.595020804044691E-2</v>
      </c>
      <c r="K235" s="361">
        <f>+IF($I235=K$3,VLOOKUP($H235,Depreciation!$A$6:$L$10,8,FALSE)/2,IF($I235&lt;K$3,VLOOKUP($H235,Depreciation!$A$6:$L$10,8,FALSE),0))</f>
        <v>3.0676363676126896E-2</v>
      </c>
      <c r="L235" s="361">
        <f>+IF($I235=L$3,VLOOKUP($H235,Depreciation!$A$6:$L$10,9,FALSE)/2,IF($I235&lt;L$3,VLOOKUP($H235,Depreciation!$A$6:$L$10,9,FALSE),0))</f>
        <v>3.0676363676126896E-2</v>
      </c>
      <c r="M235" s="361">
        <f>+IF($I235=M$3,VLOOKUP($H235,Depreciation!$A$6:$L$10,10,FALSE)/2,IF($I235&lt;M$3,VLOOKUP($H235,Depreciation!$A$6:$L$10,10,FALSE),0))</f>
        <v>3.0676363676126896E-2</v>
      </c>
      <c r="N235" s="361">
        <f>+IF($I235=N$3,VLOOKUP($H235,Depreciation!$A$6:$L$10,11,FALSE)/2,IF($I235&lt;N$3,VLOOKUP($H235,Depreciation!$A$6:$L$10,11,FALSE),0))</f>
        <v>3.0676363676126896E-2</v>
      </c>
      <c r="O235" s="361">
        <f>+IF($I235=O$3,VLOOKUP($H235,Depreciation!$A$6:$L$10,12,FALSE)/2,IF($I235&lt;O$3,VLOOKUP($H235,Depreciation!$A$6:$L$10,12,FALSE),0))</f>
        <v>3.0676363676126896E-2</v>
      </c>
      <c r="P235" s="362">
        <f t="shared" si="11"/>
        <v>18248613.069760446</v>
      </c>
      <c r="Q235" s="362">
        <f t="shared" si="12"/>
        <v>18248613.069760446</v>
      </c>
      <c r="R235" s="363">
        <f t="shared" si="13"/>
        <v>0</v>
      </c>
      <c r="S235" s="368"/>
    </row>
    <row r="236" spans="1:19">
      <c r="A236" s="380" t="s">
        <v>1191</v>
      </c>
      <c r="B236" s="380" t="s">
        <v>1365</v>
      </c>
      <c r="C236" s="380">
        <v>1348</v>
      </c>
      <c r="D236" s="380">
        <v>240</v>
      </c>
      <c r="E236" s="380"/>
      <c r="F236" s="245">
        <v>0</v>
      </c>
      <c r="G236" s="251">
        <v>1573745.900388991</v>
      </c>
      <c r="H236" s="245" t="s">
        <v>66</v>
      </c>
      <c r="I236" s="245">
        <v>2016</v>
      </c>
      <c r="J236" s="361">
        <f>+IF($I236=J$3,VLOOKUP($H236,Depreciation!$A$6:$L$10,7,FALSE)/2,IF($I236&lt;J$3,VLOOKUP($H236,Depreciation!$A$6:$L$10,7,FALSE),0))</f>
        <v>0</v>
      </c>
      <c r="K236" s="361">
        <f>+IF($I236=K$3,VLOOKUP($H236,Depreciation!$A$6:$L$10,8,FALSE)/2,IF($I236&lt;K$3,VLOOKUP($H236,Depreciation!$A$6:$L$10,8,FALSE),0))</f>
        <v>1.1971929865503333E-2</v>
      </c>
      <c r="L236" s="361">
        <f>+IF($I236=L$3,VLOOKUP($H236,Depreciation!$A$6:$L$10,9,FALSE)/2,IF($I236&lt;L$3,VLOOKUP($H236,Depreciation!$A$6:$L$10,9,FALSE),0))</f>
        <v>2.4002037926855919E-2</v>
      </c>
      <c r="M236" s="361">
        <f>+IF($I236=M$3,VLOOKUP($H236,Depreciation!$A$6:$L$10,10,FALSE)/2,IF($I236&lt;M$3,VLOOKUP($H236,Depreciation!$A$6:$L$10,10,FALSE),0))</f>
        <v>2.4002037926855919E-2</v>
      </c>
      <c r="N236" s="361">
        <f>+IF($I236=N$3,VLOOKUP($H236,Depreciation!$A$6:$L$10,11,FALSE)/2,IF($I236&lt;N$3,VLOOKUP($H236,Depreciation!$A$6:$L$10,11,FALSE),0))</f>
        <v>2.4002037926855919E-2</v>
      </c>
      <c r="O236" s="361">
        <f>+IF($I236=O$3,VLOOKUP($H236,Depreciation!$A$6:$L$10,12,FALSE)/2,IF($I236&lt;O$3,VLOOKUP($H236,Depreciation!$A$6:$L$10,12,FALSE),0))</f>
        <v>2.4002037926855919E-2</v>
      </c>
      <c r="P236" s="362">
        <f t="shared" si="11"/>
        <v>0</v>
      </c>
      <c r="Q236" s="362">
        <f t="shared" si="12"/>
        <v>0</v>
      </c>
      <c r="R236" s="363">
        <f t="shared" si="13"/>
        <v>0</v>
      </c>
      <c r="S236" s="368"/>
    </row>
    <row r="237" spans="1:19">
      <c r="A237" s="380" t="s">
        <v>1511</v>
      </c>
      <c r="B237" s="380" t="s">
        <v>1360</v>
      </c>
      <c r="C237" s="380">
        <v>1349</v>
      </c>
      <c r="D237" s="380">
        <v>138</v>
      </c>
      <c r="E237" s="380"/>
      <c r="F237" s="245" t="s">
        <v>1208</v>
      </c>
      <c r="G237" s="251">
        <v>696425.98546757339</v>
      </c>
      <c r="H237" s="245" t="s">
        <v>4</v>
      </c>
      <c r="I237" s="245">
        <v>2015</v>
      </c>
      <c r="J237" s="361">
        <f>+IF($I237=J$3,VLOOKUP($H237,Depreciation!$A$6:$L$10,7,FALSE)/2,IF($I237&lt;J$3,VLOOKUP($H237,Depreciation!$A$6:$L$10,7,FALSE),0))</f>
        <v>1.595020804044691E-2</v>
      </c>
      <c r="K237" s="361">
        <f>+IF($I237=K$3,VLOOKUP($H237,Depreciation!$A$6:$L$10,8,FALSE)/2,IF($I237&lt;K$3,VLOOKUP($H237,Depreciation!$A$6:$L$10,8,FALSE),0))</f>
        <v>3.0676363676126896E-2</v>
      </c>
      <c r="L237" s="361">
        <f>+IF($I237=L$3,VLOOKUP($H237,Depreciation!$A$6:$L$10,9,FALSE)/2,IF($I237&lt;L$3,VLOOKUP($H237,Depreciation!$A$6:$L$10,9,FALSE),0))</f>
        <v>3.0676363676126896E-2</v>
      </c>
      <c r="M237" s="361">
        <f>+IF($I237=M$3,VLOOKUP($H237,Depreciation!$A$6:$L$10,10,FALSE)/2,IF($I237&lt;M$3,VLOOKUP($H237,Depreciation!$A$6:$L$10,10,FALSE),0))</f>
        <v>3.0676363676126896E-2</v>
      </c>
      <c r="N237" s="361">
        <f>+IF($I237=N$3,VLOOKUP($H237,Depreciation!$A$6:$L$10,11,FALSE)/2,IF($I237&lt;N$3,VLOOKUP($H237,Depreciation!$A$6:$L$10,11,FALSE),0))</f>
        <v>3.0676363676126896E-2</v>
      </c>
      <c r="O237" s="361">
        <f>+IF($I237=O$3,VLOOKUP($H237,Depreciation!$A$6:$L$10,12,FALSE)/2,IF($I237&lt;O$3,VLOOKUP($H237,Depreciation!$A$6:$L$10,12,FALSE),0))</f>
        <v>3.0676363676126896E-2</v>
      </c>
      <c r="P237" s="362">
        <f t="shared" si="11"/>
        <v>685317.84611459239</v>
      </c>
      <c r="Q237" s="362">
        <f t="shared" si="12"/>
        <v>0</v>
      </c>
      <c r="R237" s="363">
        <f t="shared" si="13"/>
        <v>685317.84611459239</v>
      </c>
      <c r="S237" s="368"/>
    </row>
    <row r="238" spans="1:19">
      <c r="A238" s="380" t="s">
        <v>1191</v>
      </c>
      <c r="B238" s="380" t="s">
        <v>1226</v>
      </c>
      <c r="C238" s="380">
        <v>1354</v>
      </c>
      <c r="D238" s="380">
        <v>138</v>
      </c>
      <c r="E238" s="380"/>
      <c r="F238" s="245" t="s">
        <v>1211</v>
      </c>
      <c r="G238" s="251">
        <v>5392.2554130521503</v>
      </c>
      <c r="H238" s="245" t="s">
        <v>64</v>
      </c>
      <c r="I238" s="245">
        <v>2017</v>
      </c>
      <c r="J238" s="361">
        <f>+IF($I238=J$3,VLOOKUP($H238,Depreciation!$A$6:$L$10,7,FALSE)/2,IF($I238&lt;J$3,VLOOKUP($H238,Depreciation!$A$6:$L$10,7,FALSE),0))</f>
        <v>0</v>
      </c>
      <c r="K238" s="361">
        <f>+IF($I238=K$3,VLOOKUP($H238,Depreciation!$A$6:$L$10,8,FALSE)/2,IF($I238&lt;K$3,VLOOKUP($H238,Depreciation!$A$6:$L$10,8,FALSE),0))</f>
        <v>0</v>
      </c>
      <c r="L238" s="361">
        <f>+IF($I238=L$3,VLOOKUP($H238,Depreciation!$A$6:$L$10,9,FALSE)/2,IF($I238&lt;L$3,VLOOKUP($H238,Depreciation!$A$6:$L$10,9,FALSE),0))</f>
        <v>1.3475179084025525E-2</v>
      </c>
      <c r="M238" s="361">
        <f>+IF($I238=M$3,VLOOKUP($H238,Depreciation!$A$6:$L$10,10,FALSE)/2,IF($I238&lt;M$3,VLOOKUP($H238,Depreciation!$A$6:$L$10,10,FALSE),0))</f>
        <v>2.6950358168051049E-2</v>
      </c>
      <c r="N238" s="361">
        <f>+IF($I238=N$3,VLOOKUP($H238,Depreciation!$A$6:$L$10,11,FALSE)/2,IF($I238&lt;N$3,VLOOKUP($H238,Depreciation!$A$6:$L$10,11,FALSE),0))</f>
        <v>2.6950358168051049E-2</v>
      </c>
      <c r="O238" s="361">
        <f>+IF($I238=O$3,VLOOKUP($H238,Depreciation!$A$6:$L$10,12,FALSE)/2,IF($I238&lt;O$3,VLOOKUP($H238,Depreciation!$A$6:$L$10,12,FALSE),0))</f>
        <v>2.6950358168051049E-2</v>
      </c>
      <c r="P238" s="362">
        <f t="shared" si="11"/>
        <v>0</v>
      </c>
      <c r="Q238" s="362">
        <f t="shared" si="12"/>
        <v>0</v>
      </c>
      <c r="R238" s="363">
        <f t="shared" si="13"/>
        <v>0</v>
      </c>
      <c r="S238" s="368"/>
    </row>
    <row r="239" spans="1:19">
      <c r="A239" s="380" t="s">
        <v>1191</v>
      </c>
      <c r="B239" s="380" t="s">
        <v>1228</v>
      </c>
      <c r="C239" s="380">
        <v>1354</v>
      </c>
      <c r="D239" s="380">
        <v>138</v>
      </c>
      <c r="E239" s="380"/>
      <c r="F239" s="245" t="s">
        <v>1211</v>
      </c>
      <c r="G239" s="251">
        <v>10940358.319965452</v>
      </c>
      <c r="H239" s="245" t="s">
        <v>64</v>
      </c>
      <c r="I239" s="245">
        <v>2017</v>
      </c>
      <c r="J239" s="361">
        <f>+IF($I239=J$3,VLOOKUP($H239,Depreciation!$A$6:$L$10,7,FALSE)/2,IF($I239&lt;J$3,VLOOKUP($H239,Depreciation!$A$6:$L$10,7,FALSE),0))</f>
        <v>0</v>
      </c>
      <c r="K239" s="361">
        <f>+IF($I239=K$3,VLOOKUP($H239,Depreciation!$A$6:$L$10,8,FALSE)/2,IF($I239&lt;K$3,VLOOKUP($H239,Depreciation!$A$6:$L$10,8,FALSE),0))</f>
        <v>0</v>
      </c>
      <c r="L239" s="361">
        <f>+IF($I239=L$3,VLOOKUP($H239,Depreciation!$A$6:$L$10,9,FALSE)/2,IF($I239&lt;L$3,VLOOKUP($H239,Depreciation!$A$6:$L$10,9,FALSE),0))</f>
        <v>1.3475179084025525E-2</v>
      </c>
      <c r="M239" s="361">
        <f>+IF($I239=M$3,VLOOKUP($H239,Depreciation!$A$6:$L$10,10,FALSE)/2,IF($I239&lt;M$3,VLOOKUP($H239,Depreciation!$A$6:$L$10,10,FALSE),0))</f>
        <v>2.6950358168051049E-2</v>
      </c>
      <c r="N239" s="361">
        <f>+IF($I239=N$3,VLOOKUP($H239,Depreciation!$A$6:$L$10,11,FALSE)/2,IF($I239&lt;N$3,VLOOKUP($H239,Depreciation!$A$6:$L$10,11,FALSE),0))</f>
        <v>2.6950358168051049E-2</v>
      </c>
      <c r="O239" s="361">
        <f>+IF($I239=O$3,VLOOKUP($H239,Depreciation!$A$6:$L$10,12,FALSE)/2,IF($I239&lt;O$3,VLOOKUP($H239,Depreciation!$A$6:$L$10,12,FALSE),0))</f>
        <v>2.6950358168051049E-2</v>
      </c>
      <c r="P239" s="362">
        <f t="shared" si="11"/>
        <v>0</v>
      </c>
      <c r="Q239" s="362">
        <f t="shared" si="12"/>
        <v>0</v>
      </c>
      <c r="R239" s="363">
        <f t="shared" si="13"/>
        <v>0</v>
      </c>
      <c r="S239" s="368"/>
    </row>
    <row r="240" spans="1:19">
      <c r="A240" s="380" t="s">
        <v>1191</v>
      </c>
      <c r="B240" s="380" t="s">
        <v>1227</v>
      </c>
      <c r="C240" s="380">
        <v>1354</v>
      </c>
      <c r="D240" s="380">
        <v>138</v>
      </c>
      <c r="E240" s="380"/>
      <c r="F240" s="245" t="s">
        <v>1211</v>
      </c>
      <c r="G240" s="251">
        <v>9176948.6694427244</v>
      </c>
      <c r="H240" s="245" t="s">
        <v>64</v>
      </c>
      <c r="I240" s="245">
        <v>2017</v>
      </c>
      <c r="J240" s="361">
        <f>+IF($I240=J$3,VLOOKUP($H240,Depreciation!$A$6:$L$10,7,FALSE)/2,IF($I240&lt;J$3,VLOOKUP($H240,Depreciation!$A$6:$L$10,7,FALSE),0))</f>
        <v>0</v>
      </c>
      <c r="K240" s="361">
        <f>+IF($I240=K$3,VLOOKUP($H240,Depreciation!$A$6:$L$10,8,FALSE)/2,IF($I240&lt;K$3,VLOOKUP($H240,Depreciation!$A$6:$L$10,8,FALSE),0))</f>
        <v>0</v>
      </c>
      <c r="L240" s="361">
        <f>+IF($I240=L$3,VLOOKUP($H240,Depreciation!$A$6:$L$10,9,FALSE)/2,IF($I240&lt;L$3,VLOOKUP($H240,Depreciation!$A$6:$L$10,9,FALSE),0))</f>
        <v>1.3475179084025525E-2</v>
      </c>
      <c r="M240" s="361">
        <f>+IF($I240=M$3,VLOOKUP($H240,Depreciation!$A$6:$L$10,10,FALSE)/2,IF($I240&lt;M$3,VLOOKUP($H240,Depreciation!$A$6:$L$10,10,FALSE),0))</f>
        <v>2.6950358168051049E-2</v>
      </c>
      <c r="N240" s="361">
        <f>+IF($I240=N$3,VLOOKUP($H240,Depreciation!$A$6:$L$10,11,FALSE)/2,IF($I240&lt;N$3,VLOOKUP($H240,Depreciation!$A$6:$L$10,11,FALSE),0))</f>
        <v>2.6950358168051049E-2</v>
      </c>
      <c r="O240" s="361">
        <f>+IF($I240=O$3,VLOOKUP($H240,Depreciation!$A$6:$L$10,12,FALSE)/2,IF($I240&lt;O$3,VLOOKUP($H240,Depreciation!$A$6:$L$10,12,FALSE),0))</f>
        <v>2.6950358168051049E-2</v>
      </c>
      <c r="P240" s="362">
        <f t="shared" si="11"/>
        <v>0</v>
      </c>
      <c r="Q240" s="362">
        <f t="shared" si="12"/>
        <v>0</v>
      </c>
      <c r="R240" s="363">
        <f t="shared" si="13"/>
        <v>0</v>
      </c>
      <c r="S240" s="368"/>
    </row>
    <row r="241" spans="1:19">
      <c r="A241" s="380" t="s">
        <v>1512</v>
      </c>
      <c r="B241" s="380" t="s">
        <v>1514</v>
      </c>
      <c r="C241" s="380">
        <v>1381</v>
      </c>
      <c r="D241" s="380">
        <v>138</v>
      </c>
      <c r="E241" s="380"/>
      <c r="F241" s="245" t="s">
        <v>1252</v>
      </c>
      <c r="G241" s="251">
        <v>2854379.6561085959</v>
      </c>
      <c r="H241" s="245" t="s">
        <v>4</v>
      </c>
      <c r="I241" s="245">
        <v>2019</v>
      </c>
      <c r="J241" s="361">
        <f>+IF($I241=J$3,VLOOKUP($H241,Depreciation!$A$6:$L$10,7,FALSE)/2,IF($I241&lt;J$3,VLOOKUP($H241,Depreciation!$A$6:$L$10,7,FALSE),0))</f>
        <v>0</v>
      </c>
      <c r="K241" s="361">
        <f>+IF($I241=K$3,VLOOKUP($H241,Depreciation!$A$6:$L$10,8,FALSE)/2,IF($I241&lt;K$3,VLOOKUP($H241,Depreciation!$A$6:$L$10,8,FALSE),0))</f>
        <v>0</v>
      </c>
      <c r="L241" s="361">
        <f>+IF($I241=L$3,VLOOKUP($H241,Depreciation!$A$6:$L$10,9,FALSE)/2,IF($I241&lt;L$3,VLOOKUP($H241,Depreciation!$A$6:$L$10,9,FALSE),0))</f>
        <v>0</v>
      </c>
      <c r="M241" s="361">
        <f>+IF($I241=M$3,VLOOKUP($H241,Depreciation!$A$6:$L$10,10,FALSE)/2,IF($I241&lt;M$3,VLOOKUP($H241,Depreciation!$A$6:$L$10,10,FALSE),0))</f>
        <v>0</v>
      </c>
      <c r="N241" s="361">
        <f>+IF($I241=N$3,VLOOKUP($H241,Depreciation!$A$6:$L$10,11,FALSE)/2,IF($I241&lt;N$3,VLOOKUP($H241,Depreciation!$A$6:$L$10,11,FALSE),0))</f>
        <v>1.5338181838063448E-2</v>
      </c>
      <c r="O241" s="361">
        <f>+IF($I241=O$3,VLOOKUP($H241,Depreciation!$A$6:$L$10,12,FALSE)/2,IF($I241&lt;O$3,VLOOKUP($H241,Depreciation!$A$6:$L$10,12,FALSE),0))</f>
        <v>3.0676363676126896E-2</v>
      </c>
      <c r="P241" s="362">
        <f t="shared" si="11"/>
        <v>0</v>
      </c>
      <c r="Q241" s="362">
        <f t="shared" si="12"/>
        <v>0</v>
      </c>
      <c r="R241" s="363">
        <f t="shared" si="13"/>
        <v>0</v>
      </c>
      <c r="S241" s="368"/>
    </row>
    <row r="242" spans="1:19">
      <c r="A242" s="380" t="s">
        <v>1512</v>
      </c>
      <c r="B242" s="380" t="s">
        <v>1515</v>
      </c>
      <c r="C242" s="380">
        <v>1381</v>
      </c>
      <c r="D242" s="380">
        <v>240</v>
      </c>
      <c r="E242" s="380"/>
      <c r="F242" s="245" t="s">
        <v>1252</v>
      </c>
      <c r="G242" s="251">
        <v>534701.55370326247</v>
      </c>
      <c r="H242" s="245" t="s">
        <v>4</v>
      </c>
      <c r="I242" s="245">
        <v>2019</v>
      </c>
      <c r="J242" s="361">
        <f>+IF($I242=J$3,VLOOKUP($H242,Depreciation!$A$6:$L$10,7,FALSE)/2,IF($I242&lt;J$3,VLOOKUP($H242,Depreciation!$A$6:$L$10,7,FALSE),0))</f>
        <v>0</v>
      </c>
      <c r="K242" s="361">
        <f>+IF($I242=K$3,VLOOKUP($H242,Depreciation!$A$6:$L$10,8,FALSE)/2,IF($I242&lt;K$3,VLOOKUP($H242,Depreciation!$A$6:$L$10,8,FALSE),0))</f>
        <v>0</v>
      </c>
      <c r="L242" s="361">
        <f>+IF($I242=L$3,VLOOKUP($H242,Depreciation!$A$6:$L$10,9,FALSE)/2,IF($I242&lt;L$3,VLOOKUP($H242,Depreciation!$A$6:$L$10,9,FALSE),0))</f>
        <v>0</v>
      </c>
      <c r="M242" s="361">
        <f>+IF($I242=M$3,VLOOKUP($H242,Depreciation!$A$6:$L$10,10,FALSE)/2,IF($I242&lt;M$3,VLOOKUP($H242,Depreciation!$A$6:$L$10,10,FALSE),0))</f>
        <v>0</v>
      </c>
      <c r="N242" s="361">
        <f>+IF($I242=N$3,VLOOKUP($H242,Depreciation!$A$6:$L$10,11,FALSE)/2,IF($I242&lt;N$3,VLOOKUP($H242,Depreciation!$A$6:$L$10,11,FALSE),0))</f>
        <v>1.5338181838063448E-2</v>
      </c>
      <c r="O242" s="361">
        <f>+IF($I242=O$3,VLOOKUP($H242,Depreciation!$A$6:$L$10,12,FALSE)/2,IF($I242&lt;O$3,VLOOKUP($H242,Depreciation!$A$6:$L$10,12,FALSE),0))</f>
        <v>3.0676363676126896E-2</v>
      </c>
      <c r="P242" s="362">
        <f t="shared" si="11"/>
        <v>0</v>
      </c>
      <c r="Q242" s="362">
        <f t="shared" si="12"/>
        <v>0</v>
      </c>
      <c r="R242" s="363">
        <f t="shared" si="13"/>
        <v>0</v>
      </c>
      <c r="S242" s="368"/>
    </row>
    <row r="243" spans="1:19">
      <c r="A243" s="380" t="s">
        <v>1191</v>
      </c>
      <c r="B243" s="380" t="s">
        <v>1385</v>
      </c>
      <c r="C243" s="380">
        <v>1404</v>
      </c>
      <c r="D243" s="380">
        <v>240</v>
      </c>
      <c r="E243" s="380"/>
      <c r="F243" s="245" t="s">
        <v>1209</v>
      </c>
      <c r="G243" s="251">
        <v>33123608.699931756</v>
      </c>
      <c r="H243" s="245" t="s">
        <v>4</v>
      </c>
      <c r="I243" s="245">
        <v>2017</v>
      </c>
      <c r="J243" s="361">
        <f>+IF($I243=J$3,VLOOKUP($H243,Depreciation!$A$6:$L$10,7,FALSE)/2,IF($I243&lt;J$3,VLOOKUP($H243,Depreciation!$A$6:$L$10,7,FALSE),0))</f>
        <v>0</v>
      </c>
      <c r="K243" s="361">
        <f>+IF($I243=K$3,VLOOKUP($H243,Depreciation!$A$6:$L$10,8,FALSE)/2,IF($I243&lt;K$3,VLOOKUP($H243,Depreciation!$A$6:$L$10,8,FALSE),0))</f>
        <v>0</v>
      </c>
      <c r="L243" s="361">
        <f>+IF($I243=L$3,VLOOKUP($H243,Depreciation!$A$6:$L$10,9,FALSE)/2,IF($I243&lt;L$3,VLOOKUP($H243,Depreciation!$A$6:$L$10,9,FALSE),0))</f>
        <v>1.5338181838063448E-2</v>
      </c>
      <c r="M243" s="361">
        <f>+IF($I243=M$3,VLOOKUP($H243,Depreciation!$A$6:$L$10,10,FALSE)/2,IF($I243&lt;M$3,VLOOKUP($H243,Depreciation!$A$6:$L$10,10,FALSE),0))</f>
        <v>3.0676363676126896E-2</v>
      </c>
      <c r="N243" s="361">
        <f>+IF($I243=N$3,VLOOKUP($H243,Depreciation!$A$6:$L$10,11,FALSE)/2,IF($I243&lt;N$3,VLOOKUP($H243,Depreciation!$A$6:$L$10,11,FALSE),0))</f>
        <v>3.0676363676126896E-2</v>
      </c>
      <c r="O243" s="361">
        <f>+IF($I243=O$3,VLOOKUP($H243,Depreciation!$A$6:$L$10,12,FALSE)/2,IF($I243&lt;O$3,VLOOKUP($H243,Depreciation!$A$6:$L$10,12,FALSE),0))</f>
        <v>3.0676363676126896E-2</v>
      </c>
      <c r="P243" s="362">
        <f t="shared" si="11"/>
        <v>0</v>
      </c>
      <c r="Q243" s="362">
        <f t="shared" si="12"/>
        <v>0</v>
      </c>
      <c r="R243" s="363">
        <f t="shared" si="13"/>
        <v>0</v>
      </c>
      <c r="S243" s="368"/>
    </row>
    <row r="244" spans="1:19">
      <c r="A244" s="380" t="s">
        <v>1191</v>
      </c>
      <c r="B244" s="380" t="s">
        <v>1379</v>
      </c>
      <c r="C244" s="380">
        <v>1410</v>
      </c>
      <c r="D244" s="380">
        <v>144</v>
      </c>
      <c r="E244" s="380"/>
      <c r="F244" s="245" t="s">
        <v>1248</v>
      </c>
      <c r="G244" s="251">
        <v>1252661.4598423878</v>
      </c>
      <c r="H244" s="245" t="s">
        <v>66</v>
      </c>
      <c r="I244" s="245">
        <v>2017</v>
      </c>
      <c r="J244" s="361">
        <f>+IF($I244=J$3,VLOOKUP($H244,Depreciation!$A$6:$L$10,7,FALSE)/2,IF($I244&lt;J$3,VLOOKUP($H244,Depreciation!$A$6:$L$10,7,FALSE),0))</f>
        <v>0</v>
      </c>
      <c r="K244" s="361">
        <f>+IF($I244=K$3,VLOOKUP($H244,Depreciation!$A$6:$L$10,8,FALSE)/2,IF($I244&lt;K$3,VLOOKUP($H244,Depreciation!$A$6:$L$10,8,FALSE),0))</f>
        <v>0</v>
      </c>
      <c r="L244" s="361">
        <f>+IF($I244=L$3,VLOOKUP($H244,Depreciation!$A$6:$L$10,9,FALSE)/2,IF($I244&lt;L$3,VLOOKUP($H244,Depreciation!$A$6:$L$10,9,FALSE),0))</f>
        <v>1.2001018963427959E-2</v>
      </c>
      <c r="M244" s="361">
        <f>+IF($I244=M$3,VLOOKUP($H244,Depreciation!$A$6:$L$10,10,FALSE)/2,IF($I244&lt;M$3,VLOOKUP($H244,Depreciation!$A$6:$L$10,10,FALSE),0))</f>
        <v>2.4002037926855919E-2</v>
      </c>
      <c r="N244" s="361">
        <f>+IF($I244=N$3,VLOOKUP($H244,Depreciation!$A$6:$L$10,11,FALSE)/2,IF($I244&lt;N$3,VLOOKUP($H244,Depreciation!$A$6:$L$10,11,FALSE),0))</f>
        <v>2.4002037926855919E-2</v>
      </c>
      <c r="O244" s="361">
        <f>+IF($I244=O$3,VLOOKUP($H244,Depreciation!$A$6:$L$10,12,FALSE)/2,IF($I244&lt;O$3,VLOOKUP($H244,Depreciation!$A$6:$L$10,12,FALSE),0))</f>
        <v>2.4002037926855919E-2</v>
      </c>
      <c r="P244" s="362">
        <f t="shared" si="11"/>
        <v>0</v>
      </c>
      <c r="Q244" s="362">
        <f t="shared" si="12"/>
        <v>0</v>
      </c>
      <c r="R244" s="363">
        <f t="shared" si="13"/>
        <v>0</v>
      </c>
      <c r="S244" s="368"/>
    </row>
    <row r="245" spans="1:19">
      <c r="A245" s="380" t="s">
        <v>1191</v>
      </c>
      <c r="B245" s="380" t="s">
        <v>1401</v>
      </c>
      <c r="C245" s="380">
        <v>1421</v>
      </c>
      <c r="D245" s="380">
        <v>240</v>
      </c>
      <c r="E245" s="380"/>
      <c r="F245" s="245" t="s">
        <v>1252</v>
      </c>
      <c r="G245" s="251">
        <v>539203.14735113864</v>
      </c>
      <c r="H245" s="245" t="s">
        <v>4</v>
      </c>
      <c r="I245" s="245">
        <v>2019</v>
      </c>
      <c r="J245" s="361">
        <f>+IF($I245=J$3,VLOOKUP($H245,Depreciation!$A$6:$L$10,7,FALSE)/2,IF($I245&lt;J$3,VLOOKUP($H245,Depreciation!$A$6:$L$10,7,FALSE),0))</f>
        <v>0</v>
      </c>
      <c r="K245" s="361">
        <f>+IF($I245=K$3,VLOOKUP($H245,Depreciation!$A$6:$L$10,8,FALSE)/2,IF($I245&lt;K$3,VLOOKUP($H245,Depreciation!$A$6:$L$10,8,FALSE),0))</f>
        <v>0</v>
      </c>
      <c r="L245" s="361">
        <f>+IF($I245=L$3,VLOOKUP($H245,Depreciation!$A$6:$L$10,9,FALSE)/2,IF($I245&lt;L$3,VLOOKUP($H245,Depreciation!$A$6:$L$10,9,FALSE),0))</f>
        <v>0</v>
      </c>
      <c r="M245" s="361">
        <f>+IF($I245=M$3,VLOOKUP($H245,Depreciation!$A$6:$L$10,10,FALSE)/2,IF($I245&lt;M$3,VLOOKUP($H245,Depreciation!$A$6:$L$10,10,FALSE),0))</f>
        <v>0</v>
      </c>
      <c r="N245" s="361">
        <f>+IF($I245=N$3,VLOOKUP($H245,Depreciation!$A$6:$L$10,11,FALSE)/2,IF($I245&lt;N$3,VLOOKUP($H245,Depreciation!$A$6:$L$10,11,FALSE),0))</f>
        <v>1.5338181838063448E-2</v>
      </c>
      <c r="O245" s="361">
        <f>+IF($I245=O$3,VLOOKUP($H245,Depreciation!$A$6:$L$10,12,FALSE)/2,IF($I245&lt;O$3,VLOOKUP($H245,Depreciation!$A$6:$L$10,12,FALSE),0))</f>
        <v>3.0676363676126896E-2</v>
      </c>
      <c r="P245" s="362">
        <f t="shared" si="11"/>
        <v>0</v>
      </c>
      <c r="Q245" s="362">
        <f t="shared" si="12"/>
        <v>0</v>
      </c>
      <c r="R245" s="363">
        <f t="shared" si="13"/>
        <v>0</v>
      </c>
      <c r="S245" s="368"/>
    </row>
    <row r="246" spans="1:19">
      <c r="A246" s="380" t="s">
        <v>1191</v>
      </c>
      <c r="B246" s="380" t="s">
        <v>1403</v>
      </c>
      <c r="C246" s="380">
        <v>1421</v>
      </c>
      <c r="D246" s="380">
        <v>240</v>
      </c>
      <c r="E246" s="380"/>
      <c r="F246" s="245" t="s">
        <v>1252</v>
      </c>
      <c r="G246" s="251">
        <v>19967023.256146636</v>
      </c>
      <c r="H246" s="245" t="s">
        <v>4</v>
      </c>
      <c r="I246" s="245">
        <v>2019</v>
      </c>
      <c r="J246" s="361">
        <f>+IF($I246=J$3,VLOOKUP($H246,Depreciation!$A$6:$L$10,7,FALSE)/2,IF($I246&lt;J$3,VLOOKUP($H246,Depreciation!$A$6:$L$10,7,FALSE),0))</f>
        <v>0</v>
      </c>
      <c r="K246" s="361">
        <f>+IF($I246=K$3,VLOOKUP($H246,Depreciation!$A$6:$L$10,8,FALSE)/2,IF($I246&lt;K$3,VLOOKUP($H246,Depreciation!$A$6:$L$10,8,FALSE),0))</f>
        <v>0</v>
      </c>
      <c r="L246" s="361">
        <f>+IF($I246=L$3,VLOOKUP($H246,Depreciation!$A$6:$L$10,9,FALSE)/2,IF($I246&lt;L$3,VLOOKUP($H246,Depreciation!$A$6:$L$10,9,FALSE),0))</f>
        <v>0</v>
      </c>
      <c r="M246" s="361">
        <f>+IF($I246=M$3,VLOOKUP($H246,Depreciation!$A$6:$L$10,10,FALSE)/2,IF($I246&lt;M$3,VLOOKUP($H246,Depreciation!$A$6:$L$10,10,FALSE),0))</f>
        <v>0</v>
      </c>
      <c r="N246" s="361">
        <f>+IF($I246=N$3,VLOOKUP($H246,Depreciation!$A$6:$L$10,11,FALSE)/2,IF($I246&lt;N$3,VLOOKUP($H246,Depreciation!$A$6:$L$10,11,FALSE),0))</f>
        <v>1.5338181838063448E-2</v>
      </c>
      <c r="O246" s="361">
        <f>+IF($I246=O$3,VLOOKUP($H246,Depreciation!$A$6:$L$10,12,FALSE)/2,IF($I246&lt;O$3,VLOOKUP($H246,Depreciation!$A$6:$L$10,12,FALSE),0))</f>
        <v>3.0676363676126896E-2</v>
      </c>
      <c r="P246" s="362">
        <f t="shared" si="11"/>
        <v>0</v>
      </c>
      <c r="Q246" s="362">
        <f t="shared" si="12"/>
        <v>0</v>
      </c>
      <c r="R246" s="363">
        <f t="shared" si="13"/>
        <v>0</v>
      </c>
      <c r="S246" s="368"/>
    </row>
    <row r="247" spans="1:19">
      <c r="A247" s="380" t="s">
        <v>1191</v>
      </c>
      <c r="B247" s="380" t="s">
        <v>1400</v>
      </c>
      <c r="C247" s="380">
        <v>1421</v>
      </c>
      <c r="D247" s="380">
        <v>240</v>
      </c>
      <c r="E247" s="380"/>
      <c r="F247" s="245" t="s">
        <v>1252</v>
      </c>
      <c r="G247" s="251">
        <v>499439.58032038546</v>
      </c>
      <c r="H247" s="245" t="s">
        <v>4</v>
      </c>
      <c r="I247" s="245">
        <v>2019</v>
      </c>
      <c r="J247" s="361">
        <f>+IF($I247=J$3,VLOOKUP($H247,Depreciation!$A$6:$L$10,7,FALSE)/2,IF($I247&lt;J$3,VLOOKUP($H247,Depreciation!$A$6:$L$10,7,FALSE),0))</f>
        <v>0</v>
      </c>
      <c r="K247" s="361">
        <f>+IF($I247=K$3,VLOOKUP($H247,Depreciation!$A$6:$L$10,8,FALSE)/2,IF($I247&lt;K$3,VLOOKUP($H247,Depreciation!$A$6:$L$10,8,FALSE),0))</f>
        <v>0</v>
      </c>
      <c r="L247" s="361">
        <f>+IF($I247=L$3,VLOOKUP($H247,Depreciation!$A$6:$L$10,9,FALSE)/2,IF($I247&lt;L$3,VLOOKUP($H247,Depreciation!$A$6:$L$10,9,FALSE),0))</f>
        <v>0</v>
      </c>
      <c r="M247" s="361">
        <f>+IF($I247=M$3,VLOOKUP($H247,Depreciation!$A$6:$L$10,10,FALSE)/2,IF($I247&lt;M$3,VLOOKUP($H247,Depreciation!$A$6:$L$10,10,FALSE),0))</f>
        <v>0</v>
      </c>
      <c r="N247" s="361">
        <f>+IF($I247=N$3,VLOOKUP($H247,Depreciation!$A$6:$L$10,11,FALSE)/2,IF($I247&lt;N$3,VLOOKUP($H247,Depreciation!$A$6:$L$10,11,FALSE),0))</f>
        <v>1.5338181838063448E-2</v>
      </c>
      <c r="O247" s="361">
        <f>+IF($I247=O$3,VLOOKUP($H247,Depreciation!$A$6:$L$10,12,FALSE)/2,IF($I247&lt;O$3,VLOOKUP($H247,Depreciation!$A$6:$L$10,12,FALSE),0))</f>
        <v>3.0676363676126896E-2</v>
      </c>
      <c r="P247" s="362">
        <f t="shared" si="11"/>
        <v>0</v>
      </c>
      <c r="Q247" s="362">
        <f t="shared" si="12"/>
        <v>0</v>
      </c>
      <c r="R247" s="363">
        <f t="shared" si="13"/>
        <v>0</v>
      </c>
      <c r="S247" s="368"/>
    </row>
    <row r="248" spans="1:19">
      <c r="A248" s="380" t="s">
        <v>1191</v>
      </c>
      <c r="B248" s="380" t="s">
        <v>1396</v>
      </c>
      <c r="C248" s="380">
        <v>1421</v>
      </c>
      <c r="D248" s="380">
        <v>240</v>
      </c>
      <c r="E248" s="380"/>
      <c r="F248" s="245" t="s">
        <v>1252</v>
      </c>
      <c r="G248" s="251">
        <v>152011.1100611416</v>
      </c>
      <c r="H248" s="245" t="s">
        <v>4</v>
      </c>
      <c r="I248" s="245">
        <v>2019</v>
      </c>
      <c r="J248" s="361">
        <f>+IF($I248=J$3,VLOOKUP($H248,Depreciation!$A$6:$L$10,7,FALSE)/2,IF($I248&lt;J$3,VLOOKUP($H248,Depreciation!$A$6:$L$10,7,FALSE),0))</f>
        <v>0</v>
      </c>
      <c r="K248" s="361">
        <f>+IF($I248=K$3,VLOOKUP($H248,Depreciation!$A$6:$L$10,8,FALSE)/2,IF($I248&lt;K$3,VLOOKUP($H248,Depreciation!$A$6:$L$10,8,FALSE),0))</f>
        <v>0</v>
      </c>
      <c r="L248" s="361">
        <f>+IF($I248=L$3,VLOOKUP($H248,Depreciation!$A$6:$L$10,9,FALSE)/2,IF($I248&lt;L$3,VLOOKUP($H248,Depreciation!$A$6:$L$10,9,FALSE),0))</f>
        <v>0</v>
      </c>
      <c r="M248" s="361">
        <f>+IF($I248=M$3,VLOOKUP($H248,Depreciation!$A$6:$L$10,10,FALSE)/2,IF($I248&lt;M$3,VLOOKUP($H248,Depreciation!$A$6:$L$10,10,FALSE),0))</f>
        <v>0</v>
      </c>
      <c r="N248" s="361">
        <f>+IF($I248=N$3,VLOOKUP($H248,Depreciation!$A$6:$L$10,11,FALSE)/2,IF($I248&lt;N$3,VLOOKUP($H248,Depreciation!$A$6:$L$10,11,FALSE),0))</f>
        <v>1.5338181838063448E-2</v>
      </c>
      <c r="O248" s="361">
        <f>+IF($I248=O$3,VLOOKUP($H248,Depreciation!$A$6:$L$10,12,FALSE)/2,IF($I248&lt;O$3,VLOOKUP($H248,Depreciation!$A$6:$L$10,12,FALSE),0))</f>
        <v>3.0676363676126896E-2</v>
      </c>
      <c r="P248" s="362">
        <f t="shared" si="11"/>
        <v>0</v>
      </c>
      <c r="Q248" s="362">
        <f t="shared" si="12"/>
        <v>0</v>
      </c>
      <c r="R248" s="363">
        <f t="shared" si="13"/>
        <v>0</v>
      </c>
      <c r="S248" s="368"/>
    </row>
    <row r="249" spans="1:19">
      <c r="A249" s="380" t="s">
        <v>1191</v>
      </c>
      <c r="B249" s="380" t="s">
        <v>1399</v>
      </c>
      <c r="C249" s="380">
        <v>1421</v>
      </c>
      <c r="D249" s="380">
        <v>240</v>
      </c>
      <c r="E249" s="380"/>
      <c r="F249" s="245" t="s">
        <v>1252</v>
      </c>
      <c r="G249" s="251">
        <v>552930.93167308858</v>
      </c>
      <c r="H249" s="245" t="s">
        <v>4</v>
      </c>
      <c r="I249" s="245">
        <v>2019</v>
      </c>
      <c r="J249" s="361">
        <f>+IF($I249=J$3,VLOOKUP($H249,Depreciation!$A$6:$L$10,7,FALSE)/2,IF($I249&lt;J$3,VLOOKUP($H249,Depreciation!$A$6:$L$10,7,FALSE),0))</f>
        <v>0</v>
      </c>
      <c r="K249" s="361">
        <f>+IF($I249=K$3,VLOOKUP($H249,Depreciation!$A$6:$L$10,8,FALSE)/2,IF($I249&lt;K$3,VLOOKUP($H249,Depreciation!$A$6:$L$10,8,FALSE),0))</f>
        <v>0</v>
      </c>
      <c r="L249" s="361">
        <f>+IF($I249=L$3,VLOOKUP($H249,Depreciation!$A$6:$L$10,9,FALSE)/2,IF($I249&lt;L$3,VLOOKUP($H249,Depreciation!$A$6:$L$10,9,FALSE),0))</f>
        <v>0</v>
      </c>
      <c r="M249" s="361">
        <f>+IF($I249=M$3,VLOOKUP($H249,Depreciation!$A$6:$L$10,10,FALSE)/2,IF($I249&lt;M$3,VLOOKUP($H249,Depreciation!$A$6:$L$10,10,FALSE),0))</f>
        <v>0</v>
      </c>
      <c r="N249" s="361">
        <f>+IF($I249=N$3,VLOOKUP($H249,Depreciation!$A$6:$L$10,11,FALSE)/2,IF($I249&lt;N$3,VLOOKUP($H249,Depreciation!$A$6:$L$10,11,FALSE),0))</f>
        <v>1.5338181838063448E-2</v>
      </c>
      <c r="O249" s="361">
        <f>+IF($I249=O$3,VLOOKUP($H249,Depreciation!$A$6:$L$10,12,FALSE)/2,IF($I249&lt;O$3,VLOOKUP($H249,Depreciation!$A$6:$L$10,12,FALSE),0))</f>
        <v>3.0676363676126896E-2</v>
      </c>
      <c r="P249" s="362">
        <f t="shared" si="11"/>
        <v>0</v>
      </c>
      <c r="Q249" s="362">
        <f t="shared" si="12"/>
        <v>0</v>
      </c>
      <c r="R249" s="363">
        <f t="shared" si="13"/>
        <v>0</v>
      </c>
      <c r="S249" s="368"/>
    </row>
    <row r="250" spans="1:19">
      <c r="A250" s="380" t="s">
        <v>1191</v>
      </c>
      <c r="B250" s="380" t="s">
        <v>1402</v>
      </c>
      <c r="C250" s="380">
        <v>1421</v>
      </c>
      <c r="D250" s="380">
        <v>240</v>
      </c>
      <c r="E250" s="380"/>
      <c r="F250" s="245" t="s">
        <v>1252</v>
      </c>
      <c r="G250" s="251">
        <v>19778650.647485077</v>
      </c>
      <c r="H250" s="245" t="s">
        <v>4</v>
      </c>
      <c r="I250" s="245">
        <v>2019</v>
      </c>
      <c r="J250" s="361">
        <f>+IF($I250=J$3,VLOOKUP($H250,Depreciation!$A$6:$L$10,7,FALSE)/2,IF($I250&lt;J$3,VLOOKUP($H250,Depreciation!$A$6:$L$10,7,FALSE),0))</f>
        <v>0</v>
      </c>
      <c r="K250" s="361">
        <f>+IF($I250=K$3,VLOOKUP($H250,Depreciation!$A$6:$L$10,8,FALSE)/2,IF($I250&lt;K$3,VLOOKUP($H250,Depreciation!$A$6:$L$10,8,FALSE),0))</f>
        <v>0</v>
      </c>
      <c r="L250" s="361">
        <f>+IF($I250=L$3,VLOOKUP($H250,Depreciation!$A$6:$L$10,9,FALSE)/2,IF($I250&lt;L$3,VLOOKUP($H250,Depreciation!$A$6:$L$10,9,FALSE),0))</f>
        <v>0</v>
      </c>
      <c r="M250" s="361">
        <f>+IF($I250=M$3,VLOOKUP($H250,Depreciation!$A$6:$L$10,10,FALSE)/2,IF($I250&lt;M$3,VLOOKUP($H250,Depreciation!$A$6:$L$10,10,FALSE),0))</f>
        <v>0</v>
      </c>
      <c r="N250" s="361">
        <f>+IF($I250=N$3,VLOOKUP($H250,Depreciation!$A$6:$L$10,11,FALSE)/2,IF($I250&lt;N$3,VLOOKUP($H250,Depreciation!$A$6:$L$10,11,FALSE),0))</f>
        <v>1.5338181838063448E-2</v>
      </c>
      <c r="O250" s="361">
        <f>+IF($I250=O$3,VLOOKUP($H250,Depreciation!$A$6:$L$10,12,FALSE)/2,IF($I250&lt;O$3,VLOOKUP($H250,Depreciation!$A$6:$L$10,12,FALSE),0))</f>
        <v>3.0676363676126896E-2</v>
      </c>
      <c r="P250" s="362">
        <f t="shared" si="11"/>
        <v>0</v>
      </c>
      <c r="Q250" s="362">
        <f t="shared" si="12"/>
        <v>0</v>
      </c>
      <c r="R250" s="363">
        <f t="shared" si="13"/>
        <v>0</v>
      </c>
      <c r="S250" s="368"/>
    </row>
    <row r="251" spans="1:19">
      <c r="A251" s="380" t="s">
        <v>1191</v>
      </c>
      <c r="B251" s="380" t="s">
        <v>1398</v>
      </c>
      <c r="C251" s="380">
        <v>1421</v>
      </c>
      <c r="D251" s="380">
        <v>240</v>
      </c>
      <c r="E251" s="380"/>
      <c r="F251" s="245" t="s">
        <v>1252</v>
      </c>
      <c r="G251" s="251">
        <v>987104.97626991919</v>
      </c>
      <c r="H251" s="245" t="s">
        <v>4</v>
      </c>
      <c r="I251" s="245">
        <v>2019</v>
      </c>
      <c r="J251" s="361">
        <f>+IF($I251=J$3,VLOOKUP($H251,Depreciation!$A$6:$L$10,7,FALSE)/2,IF($I251&lt;J$3,VLOOKUP($H251,Depreciation!$A$6:$L$10,7,FALSE),0))</f>
        <v>0</v>
      </c>
      <c r="K251" s="361">
        <f>+IF($I251=K$3,VLOOKUP($H251,Depreciation!$A$6:$L$10,8,FALSE)/2,IF($I251&lt;K$3,VLOOKUP($H251,Depreciation!$A$6:$L$10,8,FALSE),0))</f>
        <v>0</v>
      </c>
      <c r="L251" s="361">
        <f>+IF($I251=L$3,VLOOKUP($H251,Depreciation!$A$6:$L$10,9,FALSE)/2,IF($I251&lt;L$3,VLOOKUP($H251,Depreciation!$A$6:$L$10,9,FALSE),0))</f>
        <v>0</v>
      </c>
      <c r="M251" s="361">
        <f>+IF($I251=M$3,VLOOKUP($H251,Depreciation!$A$6:$L$10,10,FALSE)/2,IF($I251&lt;M$3,VLOOKUP($H251,Depreciation!$A$6:$L$10,10,FALSE),0))</f>
        <v>0</v>
      </c>
      <c r="N251" s="361">
        <f>+IF($I251=N$3,VLOOKUP($H251,Depreciation!$A$6:$L$10,11,FALSE)/2,IF($I251&lt;N$3,VLOOKUP($H251,Depreciation!$A$6:$L$10,11,FALSE),0))</f>
        <v>1.5338181838063448E-2</v>
      </c>
      <c r="O251" s="361">
        <f>+IF($I251=O$3,VLOOKUP($H251,Depreciation!$A$6:$L$10,12,FALSE)/2,IF($I251&lt;O$3,VLOOKUP($H251,Depreciation!$A$6:$L$10,12,FALSE),0))</f>
        <v>3.0676363676126896E-2</v>
      </c>
      <c r="P251" s="362">
        <f t="shared" si="11"/>
        <v>0</v>
      </c>
      <c r="Q251" s="362">
        <f t="shared" si="12"/>
        <v>0</v>
      </c>
      <c r="R251" s="363">
        <f t="shared" si="13"/>
        <v>0</v>
      </c>
      <c r="S251" s="368"/>
    </row>
    <row r="252" spans="1:19">
      <c r="A252" s="380" t="s">
        <v>1191</v>
      </c>
      <c r="B252" s="380" t="s">
        <v>1397</v>
      </c>
      <c r="C252" s="380">
        <v>1421</v>
      </c>
      <c r="D252" s="380">
        <v>240</v>
      </c>
      <c r="E252" s="380"/>
      <c r="F252" s="245" t="s">
        <v>1252</v>
      </c>
      <c r="G252" s="251">
        <v>339650.72037236777</v>
      </c>
      <c r="H252" s="245" t="s">
        <v>4</v>
      </c>
      <c r="I252" s="245">
        <v>2019</v>
      </c>
      <c r="J252" s="361">
        <f>+IF($I252=J$3,VLOOKUP($H252,Depreciation!$A$6:$L$10,7,FALSE)/2,IF($I252&lt;J$3,VLOOKUP($H252,Depreciation!$A$6:$L$10,7,FALSE),0))</f>
        <v>0</v>
      </c>
      <c r="K252" s="361">
        <f>+IF($I252=K$3,VLOOKUP($H252,Depreciation!$A$6:$L$10,8,FALSE)/2,IF($I252&lt;K$3,VLOOKUP($H252,Depreciation!$A$6:$L$10,8,FALSE),0))</f>
        <v>0</v>
      </c>
      <c r="L252" s="361">
        <f>+IF($I252=L$3,VLOOKUP($H252,Depreciation!$A$6:$L$10,9,FALSE)/2,IF($I252&lt;L$3,VLOOKUP($H252,Depreciation!$A$6:$L$10,9,FALSE),0))</f>
        <v>0</v>
      </c>
      <c r="M252" s="361">
        <f>+IF($I252=M$3,VLOOKUP($H252,Depreciation!$A$6:$L$10,10,FALSE)/2,IF($I252&lt;M$3,VLOOKUP($H252,Depreciation!$A$6:$L$10,10,FALSE),0))</f>
        <v>0</v>
      </c>
      <c r="N252" s="361">
        <f>+IF($I252=N$3,VLOOKUP($H252,Depreciation!$A$6:$L$10,11,FALSE)/2,IF($I252&lt;N$3,VLOOKUP($H252,Depreciation!$A$6:$L$10,11,FALSE),0))</f>
        <v>1.5338181838063448E-2</v>
      </c>
      <c r="O252" s="361">
        <f>+IF($I252=O$3,VLOOKUP($H252,Depreciation!$A$6:$L$10,12,FALSE)/2,IF($I252&lt;O$3,VLOOKUP($H252,Depreciation!$A$6:$L$10,12,FALSE),0))</f>
        <v>3.0676363676126896E-2</v>
      </c>
      <c r="P252" s="362">
        <f t="shared" si="11"/>
        <v>0</v>
      </c>
      <c r="Q252" s="362">
        <f t="shared" si="12"/>
        <v>0</v>
      </c>
      <c r="R252" s="363">
        <f t="shared" si="13"/>
        <v>0</v>
      </c>
      <c r="S252" s="368"/>
    </row>
    <row r="253" spans="1:19">
      <c r="A253" s="380" t="s">
        <v>1191</v>
      </c>
      <c r="B253" s="380" t="s">
        <v>1405</v>
      </c>
      <c r="C253" s="380">
        <v>1442</v>
      </c>
      <c r="D253" s="380">
        <v>138</v>
      </c>
      <c r="E253" s="380"/>
      <c r="F253" s="245" t="s">
        <v>1249</v>
      </c>
      <c r="G253" s="251">
        <v>1662085.6643356658</v>
      </c>
      <c r="H253" s="245" t="s">
        <v>4</v>
      </c>
      <c r="I253" s="245">
        <v>2019</v>
      </c>
      <c r="J253" s="361">
        <f>+IF($I253=J$3,VLOOKUP($H253,Depreciation!$A$6:$L$10,7,FALSE)/2,IF($I253&lt;J$3,VLOOKUP($H253,Depreciation!$A$6:$L$10,7,FALSE),0))</f>
        <v>0</v>
      </c>
      <c r="K253" s="361">
        <f>+IF($I253=K$3,VLOOKUP($H253,Depreciation!$A$6:$L$10,8,FALSE)/2,IF($I253&lt;K$3,VLOOKUP($H253,Depreciation!$A$6:$L$10,8,FALSE),0))</f>
        <v>0</v>
      </c>
      <c r="L253" s="361">
        <f>+IF($I253=L$3,VLOOKUP($H253,Depreciation!$A$6:$L$10,9,FALSE)/2,IF($I253&lt;L$3,VLOOKUP($H253,Depreciation!$A$6:$L$10,9,FALSE),0))</f>
        <v>0</v>
      </c>
      <c r="M253" s="361">
        <f>+IF($I253=M$3,VLOOKUP($H253,Depreciation!$A$6:$L$10,10,FALSE)/2,IF($I253&lt;M$3,VLOOKUP($H253,Depreciation!$A$6:$L$10,10,FALSE),0))</f>
        <v>0</v>
      </c>
      <c r="N253" s="361">
        <f>+IF($I253=N$3,VLOOKUP($H253,Depreciation!$A$6:$L$10,11,FALSE)/2,IF($I253&lt;N$3,VLOOKUP($H253,Depreciation!$A$6:$L$10,11,FALSE),0))</f>
        <v>1.5338181838063448E-2</v>
      </c>
      <c r="O253" s="361">
        <f>+IF($I253=O$3,VLOOKUP($H253,Depreciation!$A$6:$L$10,12,FALSE)/2,IF($I253&lt;O$3,VLOOKUP($H253,Depreciation!$A$6:$L$10,12,FALSE),0))</f>
        <v>3.0676363676126896E-2</v>
      </c>
      <c r="P253" s="362">
        <f t="shared" si="11"/>
        <v>0</v>
      </c>
      <c r="Q253" s="362">
        <f t="shared" si="12"/>
        <v>0</v>
      </c>
      <c r="R253" s="363">
        <f t="shared" si="13"/>
        <v>0</v>
      </c>
      <c r="S253" s="368"/>
    </row>
    <row r="254" spans="1:19">
      <c r="A254" s="380" t="s">
        <v>1191</v>
      </c>
      <c r="B254" s="380" t="s">
        <v>1404</v>
      </c>
      <c r="C254" s="380">
        <v>1460</v>
      </c>
      <c r="D254" s="380">
        <v>138</v>
      </c>
      <c r="E254" s="380"/>
      <c r="F254" s="245" t="s">
        <v>1250</v>
      </c>
      <c r="G254" s="251">
        <v>1744293.0518617025</v>
      </c>
      <c r="H254" s="245" t="s">
        <v>4</v>
      </c>
      <c r="I254" s="245">
        <v>2019</v>
      </c>
      <c r="J254" s="361">
        <f>+IF($I254=J$3,VLOOKUP($H254,Depreciation!$A$6:$L$10,7,FALSE)/2,IF($I254&lt;J$3,VLOOKUP($H254,Depreciation!$A$6:$L$10,7,FALSE),0))</f>
        <v>0</v>
      </c>
      <c r="K254" s="361">
        <f>+IF($I254=K$3,VLOOKUP($H254,Depreciation!$A$6:$L$10,8,FALSE)/2,IF($I254&lt;K$3,VLOOKUP($H254,Depreciation!$A$6:$L$10,8,FALSE),0))</f>
        <v>0</v>
      </c>
      <c r="L254" s="361">
        <f>+IF($I254=L$3,VLOOKUP($H254,Depreciation!$A$6:$L$10,9,FALSE)/2,IF($I254&lt;L$3,VLOOKUP($H254,Depreciation!$A$6:$L$10,9,FALSE),0))</f>
        <v>0</v>
      </c>
      <c r="M254" s="361">
        <f>+IF($I254=M$3,VLOOKUP($H254,Depreciation!$A$6:$L$10,10,FALSE)/2,IF($I254&lt;M$3,VLOOKUP($H254,Depreciation!$A$6:$L$10,10,FALSE),0))</f>
        <v>0</v>
      </c>
      <c r="N254" s="361">
        <f>+IF($I254=N$3,VLOOKUP($H254,Depreciation!$A$6:$L$10,11,FALSE)/2,IF($I254&lt;N$3,VLOOKUP($H254,Depreciation!$A$6:$L$10,11,FALSE),0))</f>
        <v>1.5338181838063448E-2</v>
      </c>
      <c r="O254" s="361">
        <f>+IF($I254=O$3,VLOOKUP($H254,Depreciation!$A$6:$L$10,12,FALSE)/2,IF($I254&lt;O$3,VLOOKUP($H254,Depreciation!$A$6:$L$10,12,FALSE),0))</f>
        <v>3.0676363676126896E-2</v>
      </c>
      <c r="P254" s="362">
        <f t="shared" si="11"/>
        <v>0</v>
      </c>
      <c r="Q254" s="362">
        <f t="shared" si="12"/>
        <v>0</v>
      </c>
      <c r="R254" s="363">
        <f t="shared" si="13"/>
        <v>0</v>
      </c>
      <c r="S254" s="368"/>
    </row>
    <row r="255" spans="1:19">
      <c r="A255" s="380" t="s">
        <v>1191</v>
      </c>
      <c r="B255" s="380" t="s">
        <v>1372</v>
      </c>
      <c r="C255" s="380">
        <v>1482</v>
      </c>
      <c r="D255" s="380">
        <v>240</v>
      </c>
      <c r="E255" s="380"/>
      <c r="F255" s="245">
        <v>0</v>
      </c>
      <c r="G255" s="251">
        <v>2696306.3908610074</v>
      </c>
      <c r="H255" s="245" t="s">
        <v>66</v>
      </c>
      <c r="I255" s="245">
        <v>2016</v>
      </c>
      <c r="J255" s="361">
        <f>+IF($I255=J$3,VLOOKUP($H255,Depreciation!$A$6:$L$10,7,FALSE)/2,IF($I255&lt;J$3,VLOOKUP($H255,Depreciation!$A$6:$L$10,7,FALSE),0))</f>
        <v>0</v>
      </c>
      <c r="K255" s="361">
        <f>+IF($I255=K$3,VLOOKUP($H255,Depreciation!$A$6:$L$10,8,FALSE)/2,IF($I255&lt;K$3,VLOOKUP($H255,Depreciation!$A$6:$L$10,8,FALSE),0))</f>
        <v>1.1971929865503333E-2</v>
      </c>
      <c r="L255" s="361">
        <f>+IF($I255=L$3,VLOOKUP($H255,Depreciation!$A$6:$L$10,9,FALSE)/2,IF($I255&lt;L$3,VLOOKUP($H255,Depreciation!$A$6:$L$10,9,FALSE),0))</f>
        <v>2.4002037926855919E-2</v>
      </c>
      <c r="M255" s="361">
        <f>+IF($I255=M$3,VLOOKUP($H255,Depreciation!$A$6:$L$10,10,FALSE)/2,IF($I255&lt;M$3,VLOOKUP($H255,Depreciation!$A$6:$L$10,10,FALSE),0))</f>
        <v>2.4002037926855919E-2</v>
      </c>
      <c r="N255" s="361">
        <f>+IF($I255=N$3,VLOOKUP($H255,Depreciation!$A$6:$L$10,11,FALSE)/2,IF($I255&lt;N$3,VLOOKUP($H255,Depreciation!$A$6:$L$10,11,FALSE),0))</f>
        <v>2.4002037926855919E-2</v>
      </c>
      <c r="O255" s="361">
        <f>+IF($I255=O$3,VLOOKUP($H255,Depreciation!$A$6:$L$10,12,FALSE)/2,IF($I255&lt;O$3,VLOOKUP($H255,Depreciation!$A$6:$L$10,12,FALSE),0))</f>
        <v>2.4002037926855919E-2</v>
      </c>
      <c r="P255" s="362">
        <f t="shared" si="11"/>
        <v>0</v>
      </c>
      <c r="Q255" s="362">
        <f t="shared" si="12"/>
        <v>0</v>
      </c>
      <c r="R255" s="363">
        <f t="shared" si="13"/>
        <v>0</v>
      </c>
      <c r="S255" s="368"/>
    </row>
    <row r="256" spans="1:19">
      <c r="A256" s="380" t="s">
        <v>1191</v>
      </c>
      <c r="B256" s="380" t="s">
        <v>1371</v>
      </c>
      <c r="C256" s="380">
        <v>1482</v>
      </c>
      <c r="D256" s="380">
        <v>240</v>
      </c>
      <c r="E256" s="380"/>
      <c r="F256" s="245">
        <v>0</v>
      </c>
      <c r="G256" s="251">
        <v>1212513.1677151551</v>
      </c>
      <c r="H256" s="245" t="s">
        <v>66</v>
      </c>
      <c r="I256" s="245">
        <v>2016</v>
      </c>
      <c r="J256" s="361">
        <f>+IF($I256=J$3,VLOOKUP($H256,Depreciation!$A$6:$L$10,7,FALSE)/2,IF($I256&lt;J$3,VLOOKUP($H256,Depreciation!$A$6:$L$10,7,FALSE),0))</f>
        <v>0</v>
      </c>
      <c r="K256" s="361">
        <f>+IF($I256=K$3,VLOOKUP($H256,Depreciation!$A$6:$L$10,8,FALSE)/2,IF($I256&lt;K$3,VLOOKUP($H256,Depreciation!$A$6:$L$10,8,FALSE),0))</f>
        <v>1.1971929865503333E-2</v>
      </c>
      <c r="L256" s="361">
        <f>+IF($I256=L$3,VLOOKUP($H256,Depreciation!$A$6:$L$10,9,FALSE)/2,IF($I256&lt;L$3,VLOOKUP($H256,Depreciation!$A$6:$L$10,9,FALSE),0))</f>
        <v>2.4002037926855919E-2</v>
      </c>
      <c r="M256" s="361">
        <f>+IF($I256=M$3,VLOOKUP($H256,Depreciation!$A$6:$L$10,10,FALSE)/2,IF($I256&lt;M$3,VLOOKUP($H256,Depreciation!$A$6:$L$10,10,FALSE),0))</f>
        <v>2.4002037926855919E-2</v>
      </c>
      <c r="N256" s="361">
        <f>+IF($I256=N$3,VLOOKUP($H256,Depreciation!$A$6:$L$10,11,FALSE)/2,IF($I256&lt;N$3,VLOOKUP($H256,Depreciation!$A$6:$L$10,11,FALSE),0))</f>
        <v>2.4002037926855919E-2</v>
      </c>
      <c r="O256" s="361">
        <f>+IF($I256=O$3,VLOOKUP($H256,Depreciation!$A$6:$L$10,12,FALSE)/2,IF($I256&lt;O$3,VLOOKUP($H256,Depreciation!$A$6:$L$10,12,FALSE),0))</f>
        <v>2.4002037926855919E-2</v>
      </c>
      <c r="P256" s="362">
        <f t="shared" si="11"/>
        <v>0</v>
      </c>
      <c r="Q256" s="362">
        <f t="shared" si="12"/>
        <v>0</v>
      </c>
      <c r="R256" s="363">
        <f t="shared" si="13"/>
        <v>0</v>
      </c>
      <c r="S256" s="368"/>
    </row>
    <row r="257" spans="1:19">
      <c r="A257" s="380" t="s">
        <v>1191</v>
      </c>
      <c r="B257" s="380" t="s">
        <v>1369</v>
      </c>
      <c r="C257" s="380">
        <v>1494</v>
      </c>
      <c r="D257" s="380">
        <v>138</v>
      </c>
      <c r="E257" s="380"/>
      <c r="F257" s="245" t="s">
        <v>1215</v>
      </c>
      <c r="G257" s="251">
        <v>51687.593104915919</v>
      </c>
      <c r="H257" s="245" t="s">
        <v>4</v>
      </c>
      <c r="I257" s="245">
        <v>2015</v>
      </c>
      <c r="J257" s="361">
        <f>+IF($I257=J$3,VLOOKUP($H257,Depreciation!$A$6:$L$10,7,FALSE)/2,IF($I257&lt;J$3,VLOOKUP($H257,Depreciation!$A$6:$L$10,7,FALSE),0))</f>
        <v>1.595020804044691E-2</v>
      </c>
      <c r="K257" s="361">
        <f>+IF($I257=K$3,VLOOKUP($H257,Depreciation!$A$6:$L$10,8,FALSE)/2,IF($I257&lt;K$3,VLOOKUP($H257,Depreciation!$A$6:$L$10,8,FALSE),0))</f>
        <v>3.0676363676126896E-2</v>
      </c>
      <c r="L257" s="361">
        <f>+IF($I257=L$3,VLOOKUP($H257,Depreciation!$A$6:$L$10,9,FALSE)/2,IF($I257&lt;L$3,VLOOKUP($H257,Depreciation!$A$6:$L$10,9,FALSE),0))</f>
        <v>3.0676363676126896E-2</v>
      </c>
      <c r="M257" s="361">
        <f>+IF($I257=M$3,VLOOKUP($H257,Depreciation!$A$6:$L$10,10,FALSE)/2,IF($I257&lt;M$3,VLOOKUP($H257,Depreciation!$A$6:$L$10,10,FALSE),0))</f>
        <v>3.0676363676126896E-2</v>
      </c>
      <c r="N257" s="361">
        <f>+IF($I257=N$3,VLOOKUP($H257,Depreciation!$A$6:$L$10,11,FALSE)/2,IF($I257&lt;N$3,VLOOKUP($H257,Depreciation!$A$6:$L$10,11,FALSE),0))</f>
        <v>3.0676363676126896E-2</v>
      </c>
      <c r="O257" s="361">
        <f>+IF($I257=O$3,VLOOKUP($H257,Depreciation!$A$6:$L$10,12,FALSE)/2,IF($I257&lt;O$3,VLOOKUP($H257,Depreciation!$A$6:$L$10,12,FALSE),0))</f>
        <v>3.0676363676126896E-2</v>
      </c>
      <c r="P257" s="362">
        <f t="shared" si="11"/>
        <v>50863.165241782539</v>
      </c>
      <c r="Q257" s="362">
        <f t="shared" si="12"/>
        <v>0</v>
      </c>
      <c r="R257" s="363">
        <f t="shared" si="13"/>
        <v>50863.165241782539</v>
      </c>
      <c r="S257" s="368"/>
    </row>
    <row r="258" spans="1:19">
      <c r="A258" s="380" t="s">
        <v>1191</v>
      </c>
      <c r="B258" s="380" t="s">
        <v>1378</v>
      </c>
      <c r="C258" s="380">
        <v>1503</v>
      </c>
      <c r="D258" s="380">
        <v>25</v>
      </c>
      <c r="E258" s="380"/>
      <c r="F258" s="245" t="s">
        <v>1252</v>
      </c>
      <c r="G258" s="251">
        <v>391589.7435897438</v>
      </c>
      <c r="H258" s="245" t="s">
        <v>4</v>
      </c>
      <c r="I258" s="245">
        <v>2016</v>
      </c>
      <c r="J258" s="361">
        <f>+IF($I258=J$3,VLOOKUP($H258,Depreciation!$A$6:$L$10,7,FALSE)/2,IF($I258&lt;J$3,VLOOKUP($H258,Depreciation!$A$6:$L$10,7,FALSE),0))</f>
        <v>0</v>
      </c>
      <c r="K258" s="361">
        <f>+IF($I258=K$3,VLOOKUP($H258,Depreciation!$A$6:$L$10,8,FALSE)/2,IF($I258&lt;K$3,VLOOKUP($H258,Depreciation!$A$6:$L$10,8,FALSE),0))</f>
        <v>1.5338181838063448E-2</v>
      </c>
      <c r="L258" s="361">
        <f>+IF($I258=L$3,VLOOKUP($H258,Depreciation!$A$6:$L$10,9,FALSE)/2,IF($I258&lt;L$3,VLOOKUP($H258,Depreciation!$A$6:$L$10,9,FALSE),0))</f>
        <v>3.0676363676126896E-2</v>
      </c>
      <c r="M258" s="361">
        <f>+IF($I258=M$3,VLOOKUP($H258,Depreciation!$A$6:$L$10,10,FALSE)/2,IF($I258&lt;M$3,VLOOKUP($H258,Depreciation!$A$6:$L$10,10,FALSE),0))</f>
        <v>3.0676363676126896E-2</v>
      </c>
      <c r="N258" s="361">
        <f>+IF($I258=N$3,VLOOKUP($H258,Depreciation!$A$6:$L$10,11,FALSE)/2,IF($I258&lt;N$3,VLOOKUP($H258,Depreciation!$A$6:$L$10,11,FALSE),0))</f>
        <v>3.0676363676126896E-2</v>
      </c>
      <c r="O258" s="361">
        <f>+IF($I258=O$3,VLOOKUP($H258,Depreciation!$A$6:$L$10,12,FALSE)/2,IF($I258&lt;O$3,VLOOKUP($H258,Depreciation!$A$6:$L$10,12,FALSE),0))</f>
        <v>3.0676363676126896E-2</v>
      </c>
      <c r="P258" s="362">
        <f t="shared" si="11"/>
        <v>0</v>
      </c>
      <c r="Q258" s="362">
        <f t="shared" si="12"/>
        <v>0</v>
      </c>
      <c r="R258" s="363">
        <f t="shared" si="13"/>
        <v>0</v>
      </c>
      <c r="S258" s="368"/>
    </row>
    <row r="259" spans="1:19">
      <c r="A259" s="380" t="s">
        <v>1191</v>
      </c>
      <c r="B259" s="380" t="s">
        <v>1373</v>
      </c>
      <c r="C259" s="380">
        <v>1515</v>
      </c>
      <c r="D259" s="380">
        <v>138</v>
      </c>
      <c r="E259" s="380"/>
      <c r="F259" s="245" t="s">
        <v>1406</v>
      </c>
      <c r="G259" s="251">
        <v>1401330.1096067054</v>
      </c>
      <c r="H259" s="245" t="s">
        <v>4</v>
      </c>
      <c r="I259" s="245">
        <v>2016</v>
      </c>
      <c r="J259" s="361">
        <f>+IF($I259=J$3,VLOOKUP($H259,Depreciation!$A$6:$L$10,7,FALSE)/2,IF($I259&lt;J$3,VLOOKUP($H259,Depreciation!$A$6:$L$10,7,FALSE),0))</f>
        <v>0</v>
      </c>
      <c r="K259" s="361">
        <f>+IF($I259=K$3,VLOOKUP($H259,Depreciation!$A$6:$L$10,8,FALSE)/2,IF($I259&lt;K$3,VLOOKUP($H259,Depreciation!$A$6:$L$10,8,FALSE),0))</f>
        <v>1.5338181838063448E-2</v>
      </c>
      <c r="L259" s="361">
        <f>+IF($I259=L$3,VLOOKUP($H259,Depreciation!$A$6:$L$10,9,FALSE)/2,IF($I259&lt;L$3,VLOOKUP($H259,Depreciation!$A$6:$L$10,9,FALSE),0))</f>
        <v>3.0676363676126896E-2</v>
      </c>
      <c r="M259" s="361">
        <f>+IF($I259=M$3,VLOOKUP($H259,Depreciation!$A$6:$L$10,10,FALSE)/2,IF($I259&lt;M$3,VLOOKUP($H259,Depreciation!$A$6:$L$10,10,FALSE),0))</f>
        <v>3.0676363676126896E-2</v>
      </c>
      <c r="N259" s="361">
        <f>+IF($I259=N$3,VLOOKUP($H259,Depreciation!$A$6:$L$10,11,FALSE)/2,IF($I259&lt;N$3,VLOOKUP($H259,Depreciation!$A$6:$L$10,11,FALSE),0))</f>
        <v>3.0676363676126896E-2</v>
      </c>
      <c r="O259" s="361">
        <f>+IF($I259=O$3,VLOOKUP($H259,Depreciation!$A$6:$L$10,12,FALSE)/2,IF($I259&lt;O$3,VLOOKUP($H259,Depreciation!$A$6:$L$10,12,FALSE),0))</f>
        <v>3.0676363676126896E-2</v>
      </c>
      <c r="P259" s="362">
        <f t="shared" si="11"/>
        <v>0</v>
      </c>
      <c r="Q259" s="362">
        <f t="shared" si="12"/>
        <v>0</v>
      </c>
      <c r="R259" s="363">
        <f t="shared" si="13"/>
        <v>0</v>
      </c>
      <c r="S259" s="368"/>
    </row>
    <row r="260" spans="1:19">
      <c r="A260" s="380" t="s">
        <v>1191</v>
      </c>
      <c r="B260" s="380" t="s">
        <v>1392</v>
      </c>
      <c r="C260" s="380">
        <v>1533</v>
      </c>
      <c r="D260" s="380">
        <v>240</v>
      </c>
      <c r="E260" s="380"/>
      <c r="F260" s="245">
        <v>0</v>
      </c>
      <c r="G260" s="251">
        <v>9435770.9999999963</v>
      </c>
      <c r="H260" s="245" t="s">
        <v>4</v>
      </c>
      <c r="I260" s="245">
        <v>2017</v>
      </c>
      <c r="J260" s="361">
        <f>+IF($I260=J$3,VLOOKUP($H260,Depreciation!$A$6:$L$10,7,FALSE)/2,IF($I260&lt;J$3,VLOOKUP($H260,Depreciation!$A$6:$L$10,7,FALSE),0))</f>
        <v>0</v>
      </c>
      <c r="K260" s="361">
        <f>+IF($I260=K$3,VLOOKUP($H260,Depreciation!$A$6:$L$10,8,FALSE)/2,IF($I260&lt;K$3,VLOOKUP($H260,Depreciation!$A$6:$L$10,8,FALSE),0))</f>
        <v>0</v>
      </c>
      <c r="L260" s="361">
        <f>+IF($I260=L$3,VLOOKUP($H260,Depreciation!$A$6:$L$10,9,FALSE)/2,IF($I260&lt;L$3,VLOOKUP($H260,Depreciation!$A$6:$L$10,9,FALSE),0))</f>
        <v>1.5338181838063448E-2</v>
      </c>
      <c r="M260" s="361">
        <f>+IF($I260=M$3,VLOOKUP($H260,Depreciation!$A$6:$L$10,10,FALSE)/2,IF($I260&lt;M$3,VLOOKUP($H260,Depreciation!$A$6:$L$10,10,FALSE),0))</f>
        <v>3.0676363676126896E-2</v>
      </c>
      <c r="N260" s="361">
        <f>+IF($I260=N$3,VLOOKUP($H260,Depreciation!$A$6:$L$10,11,FALSE)/2,IF($I260&lt;N$3,VLOOKUP($H260,Depreciation!$A$6:$L$10,11,FALSE),0))</f>
        <v>3.0676363676126896E-2</v>
      </c>
      <c r="O260" s="361">
        <f>+IF($I260=O$3,VLOOKUP($H260,Depreciation!$A$6:$L$10,12,FALSE)/2,IF($I260&lt;O$3,VLOOKUP($H260,Depreciation!$A$6:$L$10,12,FALSE),0))</f>
        <v>3.0676363676126896E-2</v>
      </c>
      <c r="P260" s="362">
        <f t="shared" si="11"/>
        <v>0</v>
      </c>
      <c r="Q260" s="362">
        <f t="shared" si="12"/>
        <v>0</v>
      </c>
      <c r="R260" s="363">
        <f t="shared" si="13"/>
        <v>0</v>
      </c>
      <c r="S260" s="368"/>
    </row>
    <row r="261" spans="1:19">
      <c r="A261" s="380" t="s">
        <v>1191</v>
      </c>
      <c r="B261" s="380" t="s">
        <v>1392</v>
      </c>
      <c r="C261" s="380">
        <v>1533</v>
      </c>
      <c r="D261" s="380">
        <v>240</v>
      </c>
      <c r="E261" s="380"/>
      <c r="F261" s="245">
        <v>0</v>
      </c>
      <c r="G261" s="251">
        <v>130006.54878847413</v>
      </c>
      <c r="H261" s="245" t="s">
        <v>4</v>
      </c>
      <c r="I261" s="245">
        <v>2017</v>
      </c>
      <c r="J261" s="361">
        <f>+IF($I261=J$3,VLOOKUP($H261,Depreciation!$A$6:$L$10,7,FALSE)/2,IF($I261&lt;J$3,VLOOKUP($H261,Depreciation!$A$6:$L$10,7,FALSE),0))</f>
        <v>0</v>
      </c>
      <c r="K261" s="361">
        <f>+IF($I261=K$3,VLOOKUP($H261,Depreciation!$A$6:$L$10,8,FALSE)/2,IF($I261&lt;K$3,VLOOKUP($H261,Depreciation!$A$6:$L$10,8,FALSE),0))</f>
        <v>0</v>
      </c>
      <c r="L261" s="361">
        <f>+IF($I261=L$3,VLOOKUP($H261,Depreciation!$A$6:$L$10,9,FALSE)/2,IF($I261&lt;L$3,VLOOKUP($H261,Depreciation!$A$6:$L$10,9,FALSE),0))</f>
        <v>1.5338181838063448E-2</v>
      </c>
      <c r="M261" s="361">
        <f>+IF($I261=M$3,VLOOKUP($H261,Depreciation!$A$6:$L$10,10,FALSE)/2,IF($I261&lt;M$3,VLOOKUP($H261,Depreciation!$A$6:$L$10,10,FALSE),0))</f>
        <v>3.0676363676126896E-2</v>
      </c>
      <c r="N261" s="361">
        <f>+IF($I261=N$3,VLOOKUP($H261,Depreciation!$A$6:$L$10,11,FALSE)/2,IF($I261&lt;N$3,VLOOKUP($H261,Depreciation!$A$6:$L$10,11,FALSE),0))</f>
        <v>3.0676363676126896E-2</v>
      </c>
      <c r="O261" s="361">
        <f>+IF($I261=O$3,VLOOKUP($H261,Depreciation!$A$6:$L$10,12,FALSE)/2,IF($I261&lt;O$3,VLOOKUP($H261,Depreciation!$A$6:$L$10,12,FALSE),0))</f>
        <v>3.0676363676126896E-2</v>
      </c>
      <c r="P261" s="362">
        <f t="shared" ref="P261:P277" si="14">IF(I261&lt;=2015,G261*(1-J261),0)</f>
        <v>0</v>
      </c>
      <c r="Q261" s="362">
        <f t="shared" ref="Q261:Q277" si="15">IF(D261&gt;=240,P261,0)</f>
        <v>0</v>
      </c>
      <c r="R261" s="363">
        <f t="shared" ref="R261:R277" si="16">IF(AND(D261&gt;25,D261&lt;240),P261,0)</f>
        <v>0</v>
      </c>
      <c r="S261" s="368"/>
    </row>
    <row r="262" spans="1:19">
      <c r="A262" s="380" t="s">
        <v>1191</v>
      </c>
      <c r="B262" s="380" t="s">
        <v>1390</v>
      </c>
      <c r="C262" s="380">
        <v>1558</v>
      </c>
      <c r="D262" s="380">
        <v>138</v>
      </c>
      <c r="E262" s="380"/>
      <c r="F262" s="245" t="s">
        <v>1354</v>
      </c>
      <c r="G262" s="251">
        <v>3292161.5302869286</v>
      </c>
      <c r="H262" s="245" t="s">
        <v>4</v>
      </c>
      <c r="I262" s="245">
        <v>2018</v>
      </c>
      <c r="J262" s="361">
        <f>+IF($I262=J$3,VLOOKUP($H262,Depreciation!$A$6:$L$10,7,FALSE)/2,IF($I262&lt;J$3,VLOOKUP($H262,Depreciation!$A$6:$L$10,7,FALSE),0))</f>
        <v>0</v>
      </c>
      <c r="K262" s="361">
        <f>+IF($I262=K$3,VLOOKUP($H262,Depreciation!$A$6:$L$10,8,FALSE)/2,IF($I262&lt;K$3,VLOOKUP($H262,Depreciation!$A$6:$L$10,8,FALSE),0))</f>
        <v>0</v>
      </c>
      <c r="L262" s="361">
        <f>+IF($I262=L$3,VLOOKUP($H262,Depreciation!$A$6:$L$10,9,FALSE)/2,IF($I262&lt;L$3,VLOOKUP($H262,Depreciation!$A$6:$L$10,9,FALSE),0))</f>
        <v>0</v>
      </c>
      <c r="M262" s="361">
        <f>+IF($I262=M$3,VLOOKUP($H262,Depreciation!$A$6:$L$10,10,FALSE)/2,IF($I262&lt;M$3,VLOOKUP($H262,Depreciation!$A$6:$L$10,10,FALSE),0))</f>
        <v>1.5338181838063448E-2</v>
      </c>
      <c r="N262" s="361">
        <f>+IF($I262=N$3,VLOOKUP($H262,Depreciation!$A$6:$L$10,11,FALSE)/2,IF($I262&lt;N$3,VLOOKUP($H262,Depreciation!$A$6:$L$10,11,FALSE),0))</f>
        <v>3.0676363676126896E-2</v>
      </c>
      <c r="O262" s="361">
        <f>+IF($I262=O$3,VLOOKUP($H262,Depreciation!$A$6:$L$10,12,FALSE)/2,IF($I262&lt;O$3,VLOOKUP($H262,Depreciation!$A$6:$L$10,12,FALSE),0))</f>
        <v>3.0676363676126896E-2</v>
      </c>
      <c r="P262" s="362">
        <f t="shared" si="14"/>
        <v>0</v>
      </c>
      <c r="Q262" s="362">
        <f t="shared" si="15"/>
        <v>0</v>
      </c>
      <c r="R262" s="363">
        <f t="shared" si="16"/>
        <v>0</v>
      </c>
      <c r="S262" s="368"/>
    </row>
    <row r="263" spans="1:19">
      <c r="A263" s="380" t="s">
        <v>1191</v>
      </c>
      <c r="B263" s="380" t="s">
        <v>1391</v>
      </c>
      <c r="C263" s="380">
        <v>1558</v>
      </c>
      <c r="D263" s="380">
        <v>138</v>
      </c>
      <c r="E263" s="380"/>
      <c r="F263" s="245" t="s">
        <v>1354</v>
      </c>
      <c r="G263" s="251">
        <v>96108.749557208634</v>
      </c>
      <c r="H263" s="245" t="s">
        <v>4</v>
      </c>
      <c r="I263" s="245">
        <v>2018</v>
      </c>
      <c r="J263" s="361">
        <f>+IF($I263=J$3,VLOOKUP($H263,Depreciation!$A$6:$L$10,7,FALSE)/2,IF($I263&lt;J$3,VLOOKUP($H263,Depreciation!$A$6:$L$10,7,FALSE),0))</f>
        <v>0</v>
      </c>
      <c r="K263" s="361">
        <f>+IF($I263=K$3,VLOOKUP($H263,Depreciation!$A$6:$L$10,8,FALSE)/2,IF($I263&lt;K$3,VLOOKUP($H263,Depreciation!$A$6:$L$10,8,FALSE),0))</f>
        <v>0</v>
      </c>
      <c r="L263" s="361">
        <f>+IF($I263=L$3,VLOOKUP($H263,Depreciation!$A$6:$L$10,9,FALSE)/2,IF($I263&lt;L$3,VLOOKUP($H263,Depreciation!$A$6:$L$10,9,FALSE),0))</f>
        <v>0</v>
      </c>
      <c r="M263" s="361">
        <f>+IF($I263=M$3,VLOOKUP($H263,Depreciation!$A$6:$L$10,10,FALSE)/2,IF($I263&lt;M$3,VLOOKUP($H263,Depreciation!$A$6:$L$10,10,FALSE),0))</f>
        <v>1.5338181838063448E-2</v>
      </c>
      <c r="N263" s="361">
        <f>+IF($I263=N$3,VLOOKUP($H263,Depreciation!$A$6:$L$10,11,FALSE)/2,IF($I263&lt;N$3,VLOOKUP($H263,Depreciation!$A$6:$L$10,11,FALSE),0))</f>
        <v>3.0676363676126896E-2</v>
      </c>
      <c r="O263" s="361">
        <f>+IF($I263=O$3,VLOOKUP($H263,Depreciation!$A$6:$L$10,12,FALSE)/2,IF($I263&lt;O$3,VLOOKUP($H263,Depreciation!$A$6:$L$10,12,FALSE),0))</f>
        <v>3.0676363676126896E-2</v>
      </c>
      <c r="P263" s="362">
        <f t="shared" si="14"/>
        <v>0</v>
      </c>
      <c r="Q263" s="362">
        <f t="shared" si="15"/>
        <v>0</v>
      </c>
      <c r="R263" s="363">
        <f t="shared" si="16"/>
        <v>0</v>
      </c>
      <c r="S263" s="368"/>
    </row>
    <row r="264" spans="1:19">
      <c r="A264" s="380" t="s">
        <v>1191</v>
      </c>
      <c r="B264" s="380" t="s">
        <v>1384</v>
      </c>
      <c r="C264" s="380">
        <v>1570</v>
      </c>
      <c r="D264" s="380">
        <v>138</v>
      </c>
      <c r="E264" s="380"/>
      <c r="F264" s="245" t="s">
        <v>1209</v>
      </c>
      <c r="G264" s="251">
        <v>304434.26965509646</v>
      </c>
      <c r="H264" s="245" t="s">
        <v>66</v>
      </c>
      <c r="I264" s="245">
        <v>2017</v>
      </c>
      <c r="J264" s="361">
        <f>+IF($I264=J$3,VLOOKUP($H264,Depreciation!$A$6:$L$10,7,FALSE)/2,IF($I264&lt;J$3,VLOOKUP($H264,Depreciation!$A$6:$L$10,7,FALSE),0))</f>
        <v>0</v>
      </c>
      <c r="K264" s="361">
        <f>+IF($I264=K$3,VLOOKUP($H264,Depreciation!$A$6:$L$10,8,FALSE)/2,IF($I264&lt;K$3,VLOOKUP($H264,Depreciation!$A$6:$L$10,8,FALSE),0))</f>
        <v>0</v>
      </c>
      <c r="L264" s="361">
        <f>+IF($I264=L$3,VLOOKUP($H264,Depreciation!$A$6:$L$10,9,FALSE)/2,IF($I264&lt;L$3,VLOOKUP($H264,Depreciation!$A$6:$L$10,9,FALSE),0))</f>
        <v>1.2001018963427959E-2</v>
      </c>
      <c r="M264" s="361">
        <f>+IF($I264=M$3,VLOOKUP($H264,Depreciation!$A$6:$L$10,10,FALSE)/2,IF($I264&lt;M$3,VLOOKUP($H264,Depreciation!$A$6:$L$10,10,FALSE),0))</f>
        <v>2.4002037926855919E-2</v>
      </c>
      <c r="N264" s="361">
        <f>+IF($I264=N$3,VLOOKUP($H264,Depreciation!$A$6:$L$10,11,FALSE)/2,IF($I264&lt;N$3,VLOOKUP($H264,Depreciation!$A$6:$L$10,11,FALSE),0))</f>
        <v>2.4002037926855919E-2</v>
      </c>
      <c r="O264" s="361">
        <f>+IF($I264=O$3,VLOOKUP($H264,Depreciation!$A$6:$L$10,12,FALSE)/2,IF($I264&lt;O$3,VLOOKUP($H264,Depreciation!$A$6:$L$10,12,FALSE),0))</f>
        <v>2.4002037926855919E-2</v>
      </c>
      <c r="P264" s="362">
        <f t="shared" si="14"/>
        <v>0</v>
      </c>
      <c r="Q264" s="362">
        <f t="shared" si="15"/>
        <v>0</v>
      </c>
      <c r="R264" s="363">
        <f t="shared" si="16"/>
        <v>0</v>
      </c>
      <c r="S264" s="368"/>
    </row>
    <row r="265" spans="1:19">
      <c r="A265" s="380" t="s">
        <v>1191</v>
      </c>
      <c r="B265" s="380" t="s">
        <v>1395</v>
      </c>
      <c r="C265" s="380">
        <v>1594</v>
      </c>
      <c r="D265" s="380">
        <v>138</v>
      </c>
      <c r="E265" s="380"/>
      <c r="F265" s="245">
        <v>0</v>
      </c>
      <c r="G265" s="251">
        <v>14086571.090359084</v>
      </c>
      <c r="H265" s="245" t="s">
        <v>4</v>
      </c>
      <c r="I265" s="245">
        <v>2018</v>
      </c>
      <c r="J265" s="361">
        <f>+IF($I265=J$3,VLOOKUP($H265,Depreciation!$A$6:$L$10,7,FALSE)/2,IF($I265&lt;J$3,VLOOKUP($H265,Depreciation!$A$6:$L$10,7,FALSE),0))</f>
        <v>0</v>
      </c>
      <c r="K265" s="361">
        <f>+IF($I265=K$3,VLOOKUP($H265,Depreciation!$A$6:$L$10,8,FALSE)/2,IF($I265&lt;K$3,VLOOKUP($H265,Depreciation!$A$6:$L$10,8,FALSE),0))</f>
        <v>0</v>
      </c>
      <c r="L265" s="361">
        <f>+IF($I265=L$3,VLOOKUP($H265,Depreciation!$A$6:$L$10,9,FALSE)/2,IF($I265&lt;L$3,VLOOKUP($H265,Depreciation!$A$6:$L$10,9,FALSE),0))</f>
        <v>0</v>
      </c>
      <c r="M265" s="361">
        <f>+IF($I265=M$3,VLOOKUP($H265,Depreciation!$A$6:$L$10,10,FALSE)/2,IF($I265&lt;M$3,VLOOKUP($H265,Depreciation!$A$6:$L$10,10,FALSE),0))</f>
        <v>1.5338181838063448E-2</v>
      </c>
      <c r="N265" s="361">
        <f>+IF($I265=N$3,VLOOKUP($H265,Depreciation!$A$6:$L$10,11,FALSE)/2,IF($I265&lt;N$3,VLOOKUP($H265,Depreciation!$A$6:$L$10,11,FALSE),0))</f>
        <v>3.0676363676126896E-2</v>
      </c>
      <c r="O265" s="361">
        <f>+IF($I265=O$3,VLOOKUP($H265,Depreciation!$A$6:$L$10,12,FALSE)/2,IF($I265&lt;O$3,VLOOKUP($H265,Depreciation!$A$6:$L$10,12,FALSE),0))</f>
        <v>3.0676363676126896E-2</v>
      </c>
      <c r="P265" s="362">
        <f t="shared" si="14"/>
        <v>0</v>
      </c>
      <c r="Q265" s="362">
        <f t="shared" si="15"/>
        <v>0</v>
      </c>
      <c r="R265" s="363">
        <f t="shared" si="16"/>
        <v>0</v>
      </c>
      <c r="S265" s="368"/>
    </row>
    <row r="266" spans="1:19">
      <c r="A266" s="380" t="s">
        <v>1191</v>
      </c>
      <c r="B266" s="380" t="s">
        <v>1386</v>
      </c>
      <c r="C266" s="380">
        <v>1618</v>
      </c>
      <c r="D266" s="380">
        <v>144</v>
      </c>
      <c r="E266" s="380"/>
      <c r="F266" s="245">
        <v>0</v>
      </c>
      <c r="G266" s="251">
        <v>994089.50036748685</v>
      </c>
      <c r="H266" s="245" t="s">
        <v>66</v>
      </c>
      <c r="I266" s="245">
        <v>2017</v>
      </c>
      <c r="J266" s="361">
        <f>+IF($I266=J$3,VLOOKUP($H266,Depreciation!$A$6:$L$10,7,FALSE)/2,IF($I266&lt;J$3,VLOOKUP($H266,Depreciation!$A$6:$L$10,7,FALSE),0))</f>
        <v>0</v>
      </c>
      <c r="K266" s="361">
        <f>+IF($I266=K$3,VLOOKUP($H266,Depreciation!$A$6:$L$10,8,FALSE)/2,IF($I266&lt;K$3,VLOOKUP($H266,Depreciation!$A$6:$L$10,8,FALSE),0))</f>
        <v>0</v>
      </c>
      <c r="L266" s="361">
        <f>+IF($I266=L$3,VLOOKUP($H266,Depreciation!$A$6:$L$10,9,FALSE)/2,IF($I266&lt;L$3,VLOOKUP($H266,Depreciation!$A$6:$L$10,9,FALSE),0))</f>
        <v>1.2001018963427959E-2</v>
      </c>
      <c r="M266" s="361">
        <f>+IF($I266=M$3,VLOOKUP($H266,Depreciation!$A$6:$L$10,10,FALSE)/2,IF($I266&lt;M$3,VLOOKUP($H266,Depreciation!$A$6:$L$10,10,FALSE),0))</f>
        <v>2.4002037926855919E-2</v>
      </c>
      <c r="N266" s="361">
        <f>+IF($I266=N$3,VLOOKUP($H266,Depreciation!$A$6:$L$10,11,FALSE)/2,IF($I266&lt;N$3,VLOOKUP($H266,Depreciation!$A$6:$L$10,11,FALSE),0))</f>
        <v>2.4002037926855919E-2</v>
      </c>
      <c r="O266" s="361">
        <f>+IF($I266=O$3,VLOOKUP($H266,Depreciation!$A$6:$L$10,12,FALSE)/2,IF($I266&lt;O$3,VLOOKUP($H266,Depreciation!$A$6:$L$10,12,FALSE),0))</f>
        <v>2.4002037926855919E-2</v>
      </c>
      <c r="P266" s="362">
        <f t="shared" si="14"/>
        <v>0</v>
      </c>
      <c r="Q266" s="362">
        <f t="shared" si="15"/>
        <v>0</v>
      </c>
      <c r="R266" s="363">
        <f t="shared" si="16"/>
        <v>0</v>
      </c>
      <c r="S266" s="368"/>
    </row>
    <row r="267" spans="1:19">
      <c r="A267" s="380" t="s">
        <v>1191</v>
      </c>
      <c r="B267" s="380" t="s">
        <v>1380</v>
      </c>
      <c r="C267" s="380">
        <v>1634</v>
      </c>
      <c r="D267" s="380">
        <v>144</v>
      </c>
      <c r="E267" s="380"/>
      <c r="F267" s="245" t="s">
        <v>138</v>
      </c>
      <c r="G267" s="251">
        <v>2547123.3415767057</v>
      </c>
      <c r="H267" s="245" t="s">
        <v>66</v>
      </c>
      <c r="I267" s="245">
        <v>2016</v>
      </c>
      <c r="J267" s="361">
        <f>+IF($I267=J$3,VLOOKUP($H267,Depreciation!$A$6:$L$10,7,FALSE)/2,IF($I267&lt;J$3,VLOOKUP($H267,Depreciation!$A$6:$L$10,7,FALSE),0))</f>
        <v>0</v>
      </c>
      <c r="K267" s="361">
        <f>+IF($I267=K$3,VLOOKUP($H267,Depreciation!$A$6:$L$10,8,FALSE)/2,IF($I267&lt;K$3,VLOOKUP($H267,Depreciation!$A$6:$L$10,8,FALSE),0))</f>
        <v>1.1971929865503333E-2</v>
      </c>
      <c r="L267" s="361">
        <f>+IF($I267=L$3,VLOOKUP($H267,Depreciation!$A$6:$L$10,9,FALSE)/2,IF($I267&lt;L$3,VLOOKUP($H267,Depreciation!$A$6:$L$10,9,FALSE),0))</f>
        <v>2.4002037926855919E-2</v>
      </c>
      <c r="M267" s="361">
        <f>+IF($I267=M$3,VLOOKUP($H267,Depreciation!$A$6:$L$10,10,FALSE)/2,IF($I267&lt;M$3,VLOOKUP($H267,Depreciation!$A$6:$L$10,10,FALSE),0))</f>
        <v>2.4002037926855919E-2</v>
      </c>
      <c r="N267" s="361">
        <f>+IF($I267=N$3,VLOOKUP($H267,Depreciation!$A$6:$L$10,11,FALSE)/2,IF($I267&lt;N$3,VLOOKUP($H267,Depreciation!$A$6:$L$10,11,FALSE),0))</f>
        <v>2.4002037926855919E-2</v>
      </c>
      <c r="O267" s="361">
        <f>+IF($I267=O$3,VLOOKUP($H267,Depreciation!$A$6:$L$10,12,FALSE)/2,IF($I267&lt;O$3,VLOOKUP($H267,Depreciation!$A$6:$L$10,12,FALSE),0))</f>
        <v>2.4002037926855919E-2</v>
      </c>
      <c r="P267" s="362">
        <f t="shared" si="14"/>
        <v>0</v>
      </c>
      <c r="Q267" s="362">
        <f t="shared" si="15"/>
        <v>0</v>
      </c>
      <c r="R267" s="363">
        <f t="shared" si="16"/>
        <v>0</v>
      </c>
      <c r="S267" s="368"/>
    </row>
    <row r="268" spans="1:19">
      <c r="A268" s="380" t="s">
        <v>1191</v>
      </c>
      <c r="B268" s="380" t="s">
        <v>1380</v>
      </c>
      <c r="C268" s="380">
        <v>1634</v>
      </c>
      <c r="D268" s="380">
        <v>144</v>
      </c>
      <c r="E268" s="380"/>
      <c r="F268" s="245" t="s">
        <v>138</v>
      </c>
      <c r="G268" s="251">
        <v>2545264.0744639053</v>
      </c>
      <c r="H268" s="245" t="s">
        <v>66</v>
      </c>
      <c r="I268" s="245">
        <v>2016</v>
      </c>
      <c r="J268" s="361">
        <f>+IF($I268=J$3,VLOOKUP($H268,Depreciation!$A$6:$L$10,7,FALSE)/2,IF($I268&lt;J$3,VLOOKUP($H268,Depreciation!$A$6:$L$10,7,FALSE),0))</f>
        <v>0</v>
      </c>
      <c r="K268" s="361">
        <f>+IF($I268=K$3,VLOOKUP($H268,Depreciation!$A$6:$L$10,8,FALSE)/2,IF($I268&lt;K$3,VLOOKUP($H268,Depreciation!$A$6:$L$10,8,FALSE),0))</f>
        <v>1.1971929865503333E-2</v>
      </c>
      <c r="L268" s="361">
        <f>+IF($I268=L$3,VLOOKUP($H268,Depreciation!$A$6:$L$10,9,FALSE)/2,IF($I268&lt;L$3,VLOOKUP($H268,Depreciation!$A$6:$L$10,9,FALSE),0))</f>
        <v>2.4002037926855919E-2</v>
      </c>
      <c r="M268" s="361">
        <f>+IF($I268=M$3,VLOOKUP($H268,Depreciation!$A$6:$L$10,10,FALSE)/2,IF($I268&lt;M$3,VLOOKUP($H268,Depreciation!$A$6:$L$10,10,FALSE),0))</f>
        <v>2.4002037926855919E-2</v>
      </c>
      <c r="N268" s="361">
        <f>+IF($I268=N$3,VLOOKUP($H268,Depreciation!$A$6:$L$10,11,FALSE)/2,IF($I268&lt;N$3,VLOOKUP($H268,Depreciation!$A$6:$L$10,11,FALSE),0))</f>
        <v>2.4002037926855919E-2</v>
      </c>
      <c r="O268" s="361">
        <f>+IF($I268=O$3,VLOOKUP($H268,Depreciation!$A$6:$L$10,12,FALSE)/2,IF($I268&lt;O$3,VLOOKUP($H268,Depreciation!$A$6:$L$10,12,FALSE),0))</f>
        <v>2.4002037926855919E-2</v>
      </c>
      <c r="P268" s="362">
        <f t="shared" si="14"/>
        <v>0</v>
      </c>
      <c r="Q268" s="362">
        <f t="shared" si="15"/>
        <v>0</v>
      </c>
      <c r="R268" s="363">
        <f t="shared" si="16"/>
        <v>0</v>
      </c>
      <c r="S268" s="368"/>
    </row>
    <row r="269" spans="1:19">
      <c r="A269" s="380" t="s">
        <v>1191</v>
      </c>
      <c r="B269" s="380" t="s">
        <v>1383</v>
      </c>
      <c r="C269" s="380">
        <v>1636</v>
      </c>
      <c r="D269" s="380">
        <v>138</v>
      </c>
      <c r="E269" s="380"/>
      <c r="F269" s="245" t="s">
        <v>1355</v>
      </c>
      <c r="G269" s="251">
        <v>357000.61337149848</v>
      </c>
      <c r="H269" s="245" t="s">
        <v>4</v>
      </c>
      <c r="I269" s="245">
        <v>2016</v>
      </c>
      <c r="J269" s="361">
        <f>+IF($I269=J$3,VLOOKUP($H269,Depreciation!$A$6:$L$10,7,FALSE)/2,IF($I269&lt;J$3,VLOOKUP($H269,Depreciation!$A$6:$L$10,7,FALSE),0))</f>
        <v>0</v>
      </c>
      <c r="K269" s="361">
        <f>+IF($I269=K$3,VLOOKUP($H269,Depreciation!$A$6:$L$10,8,FALSE)/2,IF($I269&lt;K$3,VLOOKUP($H269,Depreciation!$A$6:$L$10,8,FALSE),0))</f>
        <v>1.5338181838063448E-2</v>
      </c>
      <c r="L269" s="361">
        <f>+IF($I269=L$3,VLOOKUP($H269,Depreciation!$A$6:$L$10,9,FALSE)/2,IF($I269&lt;L$3,VLOOKUP($H269,Depreciation!$A$6:$L$10,9,FALSE),0))</f>
        <v>3.0676363676126896E-2</v>
      </c>
      <c r="M269" s="361">
        <f>+IF($I269=M$3,VLOOKUP($H269,Depreciation!$A$6:$L$10,10,FALSE)/2,IF($I269&lt;M$3,VLOOKUP($H269,Depreciation!$A$6:$L$10,10,FALSE),0))</f>
        <v>3.0676363676126896E-2</v>
      </c>
      <c r="N269" s="361">
        <f>+IF($I269=N$3,VLOOKUP($H269,Depreciation!$A$6:$L$10,11,FALSE)/2,IF($I269&lt;N$3,VLOOKUP($H269,Depreciation!$A$6:$L$10,11,FALSE),0))</f>
        <v>3.0676363676126896E-2</v>
      </c>
      <c r="O269" s="361">
        <f>+IF($I269=O$3,VLOOKUP($H269,Depreciation!$A$6:$L$10,12,FALSE)/2,IF($I269&lt;O$3,VLOOKUP($H269,Depreciation!$A$6:$L$10,12,FALSE),0))</f>
        <v>3.0676363676126896E-2</v>
      </c>
      <c r="P269" s="362">
        <f t="shared" si="14"/>
        <v>0</v>
      </c>
      <c r="Q269" s="362">
        <f t="shared" si="15"/>
        <v>0</v>
      </c>
      <c r="R269" s="363">
        <f t="shared" si="16"/>
        <v>0</v>
      </c>
      <c r="S269" s="368"/>
    </row>
    <row r="270" spans="1:19">
      <c r="A270" s="380" t="s">
        <v>1191</v>
      </c>
      <c r="B270" s="380" t="s">
        <v>1247</v>
      </c>
      <c r="C270" s="380">
        <v>1655</v>
      </c>
      <c r="D270" s="380">
        <v>500</v>
      </c>
      <c r="E270" s="380"/>
      <c r="F270" s="245" t="s">
        <v>1209</v>
      </c>
      <c r="G270" s="251">
        <v>816333.28402366897</v>
      </c>
      <c r="H270" s="245" t="s">
        <v>4</v>
      </c>
      <c r="I270" s="245">
        <v>2018</v>
      </c>
      <c r="J270" s="361">
        <f>+IF($I270=J$3,VLOOKUP($H270,Depreciation!$A$6:$L$10,7,FALSE)/2,IF($I270&lt;J$3,VLOOKUP($H270,Depreciation!$A$6:$L$10,7,FALSE),0))</f>
        <v>0</v>
      </c>
      <c r="K270" s="361">
        <f>+IF($I270=K$3,VLOOKUP($H270,Depreciation!$A$6:$L$10,8,FALSE)/2,IF($I270&lt;K$3,VLOOKUP($H270,Depreciation!$A$6:$L$10,8,FALSE),0))</f>
        <v>0</v>
      </c>
      <c r="L270" s="361">
        <f>+IF($I270=L$3,VLOOKUP($H270,Depreciation!$A$6:$L$10,9,FALSE)/2,IF($I270&lt;L$3,VLOOKUP($H270,Depreciation!$A$6:$L$10,9,FALSE),0))</f>
        <v>0</v>
      </c>
      <c r="M270" s="361">
        <f>+IF($I270=M$3,VLOOKUP($H270,Depreciation!$A$6:$L$10,10,FALSE)/2,IF($I270&lt;M$3,VLOOKUP($H270,Depreciation!$A$6:$L$10,10,FALSE),0))</f>
        <v>1.5338181838063448E-2</v>
      </c>
      <c r="N270" s="361">
        <f>+IF($I270=N$3,VLOOKUP($H270,Depreciation!$A$6:$L$10,11,FALSE)/2,IF($I270&lt;N$3,VLOOKUP($H270,Depreciation!$A$6:$L$10,11,FALSE),0))</f>
        <v>3.0676363676126896E-2</v>
      </c>
      <c r="O270" s="361">
        <f>+IF($I270=O$3,VLOOKUP($H270,Depreciation!$A$6:$L$10,12,FALSE)/2,IF($I270&lt;O$3,VLOOKUP($H270,Depreciation!$A$6:$L$10,12,FALSE),0))</f>
        <v>3.0676363676126896E-2</v>
      </c>
      <c r="P270" s="362">
        <f t="shared" si="14"/>
        <v>0</v>
      </c>
      <c r="Q270" s="362">
        <f t="shared" si="15"/>
        <v>0</v>
      </c>
      <c r="R270" s="363">
        <f t="shared" si="16"/>
        <v>0</v>
      </c>
      <c r="S270" s="368"/>
    </row>
    <row r="271" spans="1:19">
      <c r="A271" s="380" t="s">
        <v>1513</v>
      </c>
      <c r="B271" s="380" t="s">
        <v>1516</v>
      </c>
      <c r="C271" s="380">
        <v>1722</v>
      </c>
      <c r="D271" s="380">
        <v>144</v>
      </c>
      <c r="E271" s="380"/>
      <c r="F271" s="245">
        <v>0</v>
      </c>
      <c r="G271" s="251">
        <v>5595520.8321615737</v>
      </c>
      <c r="H271" s="245" t="s">
        <v>66</v>
      </c>
      <c r="I271" s="245">
        <v>2017</v>
      </c>
      <c r="J271" s="361">
        <f>+IF($I271=J$3,VLOOKUP($H271,Depreciation!$A$6:$L$10,7,FALSE)/2,IF($I271&lt;J$3,VLOOKUP($H271,Depreciation!$A$6:$L$10,7,FALSE),0))</f>
        <v>0</v>
      </c>
      <c r="K271" s="361">
        <f>+IF($I271=K$3,VLOOKUP($H271,Depreciation!$A$6:$L$10,8,FALSE)/2,IF($I271&lt;K$3,VLOOKUP($H271,Depreciation!$A$6:$L$10,8,FALSE),0))</f>
        <v>0</v>
      </c>
      <c r="L271" s="361">
        <f>+IF($I271=L$3,VLOOKUP($H271,Depreciation!$A$6:$L$10,9,FALSE)/2,IF($I271&lt;L$3,VLOOKUP($H271,Depreciation!$A$6:$L$10,9,FALSE),0))</f>
        <v>1.2001018963427959E-2</v>
      </c>
      <c r="M271" s="361">
        <f>+IF($I271=M$3,VLOOKUP($H271,Depreciation!$A$6:$L$10,10,FALSE)/2,IF($I271&lt;M$3,VLOOKUP($H271,Depreciation!$A$6:$L$10,10,FALSE),0))</f>
        <v>2.4002037926855919E-2</v>
      </c>
      <c r="N271" s="361">
        <f>+IF($I271=N$3,VLOOKUP($H271,Depreciation!$A$6:$L$10,11,FALSE)/2,IF($I271&lt;N$3,VLOOKUP($H271,Depreciation!$A$6:$L$10,11,FALSE),0))</f>
        <v>2.4002037926855919E-2</v>
      </c>
      <c r="O271" s="361">
        <f>+IF($I271=O$3,VLOOKUP($H271,Depreciation!$A$6:$L$10,12,FALSE)/2,IF($I271&lt;O$3,VLOOKUP($H271,Depreciation!$A$6:$L$10,12,FALSE),0))</f>
        <v>2.4002037926855919E-2</v>
      </c>
      <c r="P271" s="362">
        <f t="shared" si="14"/>
        <v>0</v>
      </c>
      <c r="Q271" s="362">
        <f t="shared" si="15"/>
        <v>0</v>
      </c>
      <c r="R271" s="363">
        <f t="shared" si="16"/>
        <v>0</v>
      </c>
      <c r="S271" s="368"/>
    </row>
    <row r="272" spans="1:19">
      <c r="A272" s="380" t="s">
        <v>1512</v>
      </c>
      <c r="B272" s="380" t="s">
        <v>2000</v>
      </c>
      <c r="C272" s="380">
        <v>1456</v>
      </c>
      <c r="D272" s="380">
        <v>138</v>
      </c>
      <c r="E272" s="380"/>
      <c r="F272" s="245" t="s">
        <v>1211</v>
      </c>
      <c r="G272" s="251">
        <f>(144480966-41456951-39354640)*(41456951/(41456951+39354640))+41456951</f>
        <v>74119816.894765332</v>
      </c>
      <c r="H272" s="245" t="s">
        <v>64</v>
      </c>
      <c r="I272" s="245">
        <v>2021</v>
      </c>
      <c r="J272" s="361">
        <f>+IF($I272=J$3,VLOOKUP($H272,Depreciation!$A$6:$L$10,7,FALSE)/2,IF($I272&lt;J$3,VLOOKUP($H272,Depreciation!$A$6:$L$10,7,FALSE),0))</f>
        <v>0</v>
      </c>
      <c r="K272" s="361">
        <f>+IF($I272=K$3,VLOOKUP($H272,Depreciation!$A$6:$L$10,8,FALSE)/2,IF($I272&lt;K$3,VLOOKUP($H272,Depreciation!$A$6:$L$10,8,FALSE),0))</f>
        <v>0</v>
      </c>
      <c r="L272" s="361">
        <f>+IF($I272=L$3,VLOOKUP($H272,Depreciation!$A$6:$L$10,9,FALSE)/2,IF($I272&lt;L$3,VLOOKUP($H272,Depreciation!$A$6:$L$10,9,FALSE),0))</f>
        <v>0</v>
      </c>
      <c r="M272" s="361">
        <f>+IF($I272=M$3,VLOOKUP($H272,Depreciation!$A$6:$L$10,10,FALSE)/2,IF($I272&lt;M$3,VLOOKUP($H272,Depreciation!$A$6:$L$10,10,FALSE),0))</f>
        <v>0</v>
      </c>
      <c r="N272" s="361">
        <f>+IF($I272=N$3,VLOOKUP($H272,Depreciation!$A$6:$L$10,11,FALSE)/2,IF($I272&lt;N$3,VLOOKUP($H272,Depreciation!$A$6:$L$10,11,FALSE),0))</f>
        <v>0</v>
      </c>
      <c r="O272" s="361">
        <f>+IF($I272=O$3,VLOOKUP($H272,Depreciation!$A$6:$L$10,12,FALSE)/2,IF($I272&lt;O$3,VLOOKUP($H272,Depreciation!$A$6:$L$10,12,FALSE),0))</f>
        <v>0</v>
      </c>
      <c r="P272" s="362">
        <f t="shared" si="14"/>
        <v>0</v>
      </c>
      <c r="Q272" s="362">
        <f t="shared" si="15"/>
        <v>0</v>
      </c>
      <c r="R272" s="363">
        <f t="shared" si="16"/>
        <v>0</v>
      </c>
      <c r="S272" s="368"/>
    </row>
    <row r="273" spans="1:21">
      <c r="A273" s="380" t="s">
        <v>2004</v>
      </c>
      <c r="B273" s="380" t="s">
        <v>2002</v>
      </c>
      <c r="C273" s="380">
        <v>1784</v>
      </c>
      <c r="D273" s="380">
        <v>144</v>
      </c>
      <c r="E273" s="380"/>
      <c r="F273" s="245" t="s">
        <v>138</v>
      </c>
      <c r="G273" s="251">
        <v>35000000</v>
      </c>
      <c r="H273" s="245" t="s">
        <v>66</v>
      </c>
      <c r="I273" s="245">
        <v>2020</v>
      </c>
      <c r="J273" s="361">
        <f>+IF($I273=J$3,VLOOKUP($H273,Depreciation!$A$6:$L$10,7,FALSE)/2,IF($I273&lt;J$3,VLOOKUP($H273,Depreciation!$A$6:$L$10,7,FALSE),0))</f>
        <v>0</v>
      </c>
      <c r="K273" s="361">
        <f>+IF($I273=K$3,VLOOKUP($H273,Depreciation!$A$6:$L$10,8,FALSE)/2,IF($I273&lt;K$3,VLOOKUP($H273,Depreciation!$A$6:$L$10,8,FALSE),0))</f>
        <v>0</v>
      </c>
      <c r="L273" s="361">
        <f>+IF($I273=L$3,VLOOKUP($H273,Depreciation!$A$6:$L$10,9,FALSE)/2,IF($I273&lt;L$3,VLOOKUP($H273,Depreciation!$A$6:$L$10,9,FALSE),0))</f>
        <v>0</v>
      </c>
      <c r="M273" s="361">
        <f>+IF($I273=M$3,VLOOKUP($H273,Depreciation!$A$6:$L$10,10,FALSE)/2,IF($I273&lt;M$3,VLOOKUP($H273,Depreciation!$A$6:$L$10,10,FALSE),0))</f>
        <v>0</v>
      </c>
      <c r="N273" s="361">
        <f>+IF($I273=N$3,VLOOKUP($H273,Depreciation!$A$6:$L$10,11,FALSE)/2,IF($I273&lt;N$3,VLOOKUP($H273,Depreciation!$A$6:$L$10,11,FALSE),0))</f>
        <v>0</v>
      </c>
      <c r="O273" s="361">
        <f>+IF($I273=O$3,VLOOKUP($H273,Depreciation!$A$6:$L$10,12,FALSE)/2,IF($I273&lt;O$3,VLOOKUP($H273,Depreciation!$A$6:$L$10,12,FALSE),0))</f>
        <v>1.2001018963427959E-2</v>
      </c>
      <c r="P273" s="362">
        <f t="shared" si="14"/>
        <v>0</v>
      </c>
      <c r="Q273" s="362">
        <f t="shared" si="15"/>
        <v>0</v>
      </c>
      <c r="R273" s="363">
        <f t="shared" si="16"/>
        <v>0</v>
      </c>
      <c r="S273" s="368"/>
    </row>
    <row r="274" spans="1:21">
      <c r="A274" s="380" t="s">
        <v>2004</v>
      </c>
      <c r="B274" s="380" t="s">
        <v>2003</v>
      </c>
      <c r="C274" s="380">
        <v>1785</v>
      </c>
      <c r="D274" s="380">
        <v>144</v>
      </c>
      <c r="E274" s="380"/>
      <c r="F274" s="245" t="s">
        <v>138</v>
      </c>
      <c r="G274" s="251">
        <v>40000000</v>
      </c>
      <c r="H274" s="245" t="s">
        <v>66</v>
      </c>
      <c r="I274" s="245">
        <v>2020</v>
      </c>
      <c r="J274" s="361">
        <f>+IF($I274=J$3,VLOOKUP($H274,Depreciation!$A$6:$L$10,7,FALSE)/2,IF($I274&lt;J$3,VLOOKUP($H274,Depreciation!$A$6:$L$10,7,FALSE),0))</f>
        <v>0</v>
      </c>
      <c r="K274" s="361">
        <f>+IF($I274=K$3,VLOOKUP($H274,Depreciation!$A$6:$L$10,8,FALSE)/2,IF($I274&lt;K$3,VLOOKUP($H274,Depreciation!$A$6:$L$10,8,FALSE),0))</f>
        <v>0</v>
      </c>
      <c r="L274" s="361">
        <f>+IF($I274=L$3,VLOOKUP($H274,Depreciation!$A$6:$L$10,9,FALSE)/2,IF($I274&lt;L$3,VLOOKUP($H274,Depreciation!$A$6:$L$10,9,FALSE),0))</f>
        <v>0</v>
      </c>
      <c r="M274" s="361">
        <f>+IF($I274=M$3,VLOOKUP($H274,Depreciation!$A$6:$L$10,10,FALSE)/2,IF($I274&lt;M$3,VLOOKUP($H274,Depreciation!$A$6:$L$10,10,FALSE),0))</f>
        <v>0</v>
      </c>
      <c r="N274" s="361">
        <f>+IF($I274=N$3,VLOOKUP($H274,Depreciation!$A$6:$L$10,11,FALSE)/2,IF($I274&lt;N$3,VLOOKUP($H274,Depreciation!$A$6:$L$10,11,FALSE),0))</f>
        <v>0</v>
      </c>
      <c r="O274" s="361">
        <f>+IF($I274=O$3,VLOOKUP($H274,Depreciation!$A$6:$L$10,12,FALSE)/2,IF($I274&lt;O$3,VLOOKUP($H274,Depreciation!$A$6:$L$10,12,FALSE),0))</f>
        <v>1.2001018963427959E-2</v>
      </c>
      <c r="P274" s="362">
        <f t="shared" si="14"/>
        <v>0</v>
      </c>
      <c r="Q274" s="362">
        <f t="shared" si="15"/>
        <v>0</v>
      </c>
      <c r="R274" s="363">
        <f t="shared" si="16"/>
        <v>0</v>
      </c>
      <c r="S274" s="368"/>
    </row>
    <row r="275" spans="1:21">
      <c r="A275" s="380" t="s">
        <v>2004</v>
      </c>
      <c r="B275" s="380" t="s">
        <v>2011</v>
      </c>
      <c r="C275" s="380">
        <v>1781</v>
      </c>
      <c r="D275" s="380">
        <v>144</v>
      </c>
      <c r="E275" s="380"/>
      <c r="F275" s="245" t="s">
        <v>2010</v>
      </c>
      <c r="G275" s="251">
        <v>150186554.50853476</v>
      </c>
      <c r="H275" s="245" t="s">
        <v>4</v>
      </c>
      <c r="I275" s="245">
        <v>2021</v>
      </c>
      <c r="J275" s="361">
        <f>+IF($I275=J$3,VLOOKUP($H275,Depreciation!$A$6:$L$10,7,FALSE)/2,IF($I275&lt;J$3,VLOOKUP($H275,Depreciation!$A$6:$L$10,7,FALSE),0))</f>
        <v>0</v>
      </c>
      <c r="K275" s="361">
        <f>+IF($I275=K$3,VLOOKUP($H275,Depreciation!$A$6:$L$10,8,FALSE)/2,IF($I275&lt;K$3,VLOOKUP($H275,Depreciation!$A$6:$L$10,8,FALSE),0))</f>
        <v>0</v>
      </c>
      <c r="L275" s="361">
        <f>+IF($I275=L$3,VLOOKUP($H275,Depreciation!$A$6:$L$10,9,FALSE)/2,IF($I275&lt;L$3,VLOOKUP($H275,Depreciation!$A$6:$L$10,9,FALSE),0))</f>
        <v>0</v>
      </c>
      <c r="M275" s="361">
        <f>+IF($I275=M$3,VLOOKUP($H275,Depreciation!$A$6:$L$10,10,FALSE)/2,IF($I275&lt;M$3,VLOOKUP($H275,Depreciation!$A$6:$L$10,10,FALSE),0))</f>
        <v>0</v>
      </c>
      <c r="N275" s="361">
        <f>+IF($I275=N$3,VLOOKUP($H275,Depreciation!$A$6:$L$10,11,FALSE)/2,IF($I275&lt;N$3,VLOOKUP($H275,Depreciation!$A$6:$L$10,11,FALSE),0))</f>
        <v>0</v>
      </c>
      <c r="O275" s="361">
        <f>+IF($I275=O$3,VLOOKUP($H275,Depreciation!$A$6:$L$10,12,FALSE)/2,IF($I275&lt;O$3,VLOOKUP($H275,Depreciation!$A$6:$L$10,12,FALSE),0))</f>
        <v>0</v>
      </c>
      <c r="P275" s="362">
        <f t="shared" si="14"/>
        <v>0</v>
      </c>
      <c r="Q275" s="362">
        <f t="shared" si="15"/>
        <v>0</v>
      </c>
      <c r="R275" s="363">
        <f t="shared" si="16"/>
        <v>0</v>
      </c>
      <c r="S275" s="368"/>
    </row>
    <row r="276" spans="1:21">
      <c r="A276" s="380" t="s">
        <v>2004</v>
      </c>
      <c r="B276" s="380" t="s">
        <v>2002</v>
      </c>
      <c r="C276" s="380">
        <v>1781</v>
      </c>
      <c r="D276" s="380">
        <v>144</v>
      </c>
      <c r="E276" s="380"/>
      <c r="F276" s="245" t="s">
        <v>2010</v>
      </c>
      <c r="G276" s="251">
        <v>43590130.403618827</v>
      </c>
      <c r="H276" s="245" t="s">
        <v>66</v>
      </c>
      <c r="I276" s="245">
        <v>2021</v>
      </c>
      <c r="J276" s="361">
        <f>+IF($I276=J$3,VLOOKUP($H276,Depreciation!$A$6:$L$10,7,FALSE)/2,IF($I276&lt;J$3,VLOOKUP($H276,Depreciation!$A$6:$L$10,7,FALSE),0))</f>
        <v>0</v>
      </c>
      <c r="K276" s="361">
        <f>+IF($I276=K$3,VLOOKUP($H276,Depreciation!$A$6:$L$10,8,FALSE)/2,IF($I276&lt;K$3,VLOOKUP($H276,Depreciation!$A$6:$L$10,8,FALSE),0))</f>
        <v>0</v>
      </c>
      <c r="L276" s="361">
        <f>+IF($I276=L$3,VLOOKUP($H276,Depreciation!$A$6:$L$10,9,FALSE)/2,IF($I276&lt;L$3,VLOOKUP($H276,Depreciation!$A$6:$L$10,9,FALSE),0))</f>
        <v>0</v>
      </c>
      <c r="M276" s="361">
        <f>+IF($I276=M$3,VLOOKUP($H276,Depreciation!$A$6:$L$10,10,FALSE)/2,IF($I276&lt;M$3,VLOOKUP($H276,Depreciation!$A$6:$L$10,10,FALSE),0))</f>
        <v>0</v>
      </c>
      <c r="N276" s="361">
        <f>+IF($I276=N$3,VLOOKUP($H276,Depreciation!$A$6:$L$10,11,FALSE)/2,IF($I276&lt;N$3,VLOOKUP($H276,Depreciation!$A$6:$L$10,11,FALSE),0))</f>
        <v>0</v>
      </c>
      <c r="O276" s="361">
        <f>+IF($I276=O$3,VLOOKUP($H276,Depreciation!$A$6:$L$10,12,FALSE)/2,IF($I276&lt;O$3,VLOOKUP($H276,Depreciation!$A$6:$L$10,12,FALSE),0))</f>
        <v>0</v>
      </c>
      <c r="P276" s="362">
        <f t="shared" si="14"/>
        <v>0</v>
      </c>
      <c r="Q276" s="362">
        <f t="shared" si="15"/>
        <v>0</v>
      </c>
      <c r="R276" s="363">
        <f t="shared" si="16"/>
        <v>0</v>
      </c>
      <c r="S276" s="368"/>
    </row>
    <row r="277" spans="1:21">
      <c r="A277" s="380" t="s">
        <v>2004</v>
      </c>
      <c r="B277" s="380" t="s">
        <v>2012</v>
      </c>
      <c r="C277" s="380">
        <v>1590</v>
      </c>
      <c r="D277" s="380">
        <v>500</v>
      </c>
      <c r="E277" s="380"/>
      <c r="F277" s="380" t="s">
        <v>2013</v>
      </c>
      <c r="G277" s="251">
        <v>0</v>
      </c>
      <c r="H277" s="245" t="s">
        <v>12</v>
      </c>
      <c r="I277" s="245">
        <v>2019</v>
      </c>
      <c r="J277" s="361">
        <f>+IF($I277=J$3,VLOOKUP($H277,Depreciation!$A$6:$L$10,7,FALSE)/2,IF($I277&lt;J$3,VLOOKUP($H277,Depreciation!$A$6:$L$10,7,FALSE),0))</f>
        <v>0</v>
      </c>
      <c r="K277" s="361">
        <f>+IF($I277=K$3,VLOOKUP($H277,Depreciation!$A$6:$L$10,8,FALSE)/2,IF($I277&lt;K$3,VLOOKUP($H277,Depreciation!$A$6:$L$10,8,FALSE),0))</f>
        <v>0</v>
      </c>
      <c r="L277" s="361">
        <f>+IF($I277=L$3,VLOOKUP($H277,Depreciation!$A$6:$L$10,9,FALSE)/2,IF($I277&lt;L$3,VLOOKUP($H277,Depreciation!$A$6:$L$10,9,FALSE),0))</f>
        <v>0</v>
      </c>
      <c r="M277" s="361">
        <f>+IF($I277=M$3,VLOOKUP($H277,Depreciation!$A$6:$L$10,10,FALSE)/2,IF($I277&lt;M$3,VLOOKUP($H277,Depreciation!$A$6:$L$10,10,FALSE),0))</f>
        <v>0</v>
      </c>
      <c r="N277" s="361">
        <f>+IF($I277=N$3,VLOOKUP($H277,Depreciation!$A$6:$L$10,11,FALSE)/2,IF($I277&lt;N$3,VLOOKUP($H277,Depreciation!$A$6:$L$10,11,FALSE),0))</f>
        <v>1.3732050514778531E-2</v>
      </c>
      <c r="O277" s="361">
        <f>+IF($I277=O$3,VLOOKUP($H277,Depreciation!$A$6:$L$10,12,FALSE)/2,IF($I277&lt;O$3,VLOOKUP($H277,Depreciation!$A$6:$L$10,12,FALSE),0))</f>
        <v>2.7464101029557063E-2</v>
      </c>
      <c r="P277" s="362">
        <f t="shared" si="14"/>
        <v>0</v>
      </c>
      <c r="Q277" s="362">
        <f t="shared" si="15"/>
        <v>0</v>
      </c>
      <c r="R277" s="363">
        <f t="shared" si="16"/>
        <v>0</v>
      </c>
      <c r="S277" s="368"/>
    </row>
    <row r="278" spans="1:21">
      <c r="F278" s="4"/>
      <c r="G278" s="4"/>
      <c r="H278" s="4"/>
      <c r="I278" s="4"/>
      <c r="J278" s="381"/>
      <c r="K278" s="381"/>
      <c r="L278" s="381"/>
      <c r="M278" s="381"/>
      <c r="N278" s="381"/>
      <c r="O278" s="381"/>
      <c r="P278" s="382"/>
      <c r="Q278" s="383"/>
      <c r="R278" s="383"/>
      <c r="S278" s="368"/>
    </row>
    <row r="279" spans="1:21">
      <c r="F279" s="4"/>
      <c r="G279" s="101">
        <f>SUM(G4:G277)</f>
        <v>5884356833.6935625</v>
      </c>
      <c r="H279" s="4"/>
      <c r="I279" s="4"/>
      <c r="J279" s="4"/>
      <c r="P279" s="384">
        <f>SUM(P4:P277)</f>
        <v>3896429435.9359288</v>
      </c>
      <c r="Q279" s="384">
        <f>SUM(Q4:Q277)</f>
        <v>3774960505.141726</v>
      </c>
      <c r="R279" s="384">
        <f>SUM(R4:R277)</f>
        <v>121468930.79420269</v>
      </c>
      <c r="U279" s="594"/>
    </row>
    <row r="280" spans="1:21">
      <c r="F280" s="4"/>
      <c r="G280" s="101">
        <f>SUMIF(I4:I277,"&lt;=2015",G4:G277)</f>
        <v>3954482373.2793474</v>
      </c>
      <c r="H280" s="4"/>
      <c r="I280" s="4"/>
      <c r="J280" s="4"/>
      <c r="L280" s="594"/>
      <c r="M280" s="594"/>
      <c r="N280" s="594"/>
      <c r="O280" s="594"/>
      <c r="P280" s="595"/>
      <c r="Q280" s="595"/>
      <c r="R280" s="595"/>
      <c r="S280" s="594"/>
      <c r="T280" s="594"/>
      <c r="U280" s="594"/>
    </row>
    <row r="281" spans="1:21">
      <c r="F281" s="4"/>
      <c r="G281" s="4"/>
      <c r="H281" s="4"/>
      <c r="I281" s="4"/>
      <c r="J281" s="4"/>
      <c r="L281" s="594"/>
      <c r="M281" s="594"/>
      <c r="N281" s="594"/>
      <c r="O281" s="594"/>
      <c r="P281" s="594"/>
      <c r="Q281" s="1006"/>
      <c r="R281" s="1006"/>
      <c r="S281" s="594"/>
      <c r="T281" s="594"/>
      <c r="U281" s="594"/>
    </row>
    <row r="282" spans="1:21">
      <c r="F282" s="4"/>
      <c r="G282" s="4"/>
      <c r="H282" s="4"/>
      <c r="I282" s="4"/>
      <c r="J282" s="4"/>
      <c r="L282" s="594"/>
      <c r="M282" s="594"/>
      <c r="N282" s="594"/>
      <c r="O282" s="594"/>
      <c r="P282" s="594"/>
      <c r="Q282" s="594"/>
      <c r="R282" s="594"/>
      <c r="S282" s="594"/>
      <c r="T282" s="594"/>
      <c r="U282" s="594"/>
    </row>
    <row r="283" spans="1:21">
      <c r="F283" s="4"/>
      <c r="G283" s="4"/>
      <c r="H283" s="4"/>
      <c r="I283" s="4"/>
      <c r="J283" s="4"/>
      <c r="L283" s="594"/>
      <c r="M283" s="594"/>
      <c r="N283" s="594"/>
      <c r="O283" s="594"/>
      <c r="P283" s="594"/>
      <c r="Q283" s="594"/>
      <c r="R283" s="594"/>
      <c r="S283" s="594"/>
      <c r="T283" s="594"/>
      <c r="U283" s="594"/>
    </row>
    <row r="284" spans="1:21">
      <c r="F284" s="4"/>
      <c r="G284" s="4"/>
      <c r="H284" s="4"/>
      <c r="I284" s="4"/>
      <c r="J284" s="4"/>
      <c r="L284" s="594"/>
      <c r="M284" s="594"/>
      <c r="N284" s="594"/>
      <c r="O284" s="594"/>
      <c r="P284" s="594"/>
      <c r="Q284" s="594"/>
      <c r="R284" s="594"/>
      <c r="S284" s="594"/>
      <c r="T284" s="594"/>
      <c r="U284" s="594"/>
    </row>
    <row r="285" spans="1:21">
      <c r="F285" s="4"/>
      <c r="G285" s="4"/>
      <c r="H285" s="4"/>
      <c r="I285" s="4"/>
      <c r="J285" s="4"/>
      <c r="L285" s="594"/>
      <c r="M285" s="594"/>
      <c r="N285" s="594"/>
      <c r="O285" s="594"/>
      <c r="P285" s="594"/>
      <c r="Q285" s="594"/>
      <c r="R285" s="594"/>
      <c r="S285" s="594"/>
      <c r="T285" s="594"/>
      <c r="U285" s="594"/>
    </row>
    <row r="286" spans="1:21">
      <c r="F286" s="4"/>
      <c r="G286" s="4"/>
      <c r="H286" s="4"/>
      <c r="I286" s="4"/>
      <c r="J286" s="4"/>
      <c r="L286" s="594"/>
      <c r="M286" s="594"/>
      <c r="N286" s="594"/>
      <c r="O286" s="594"/>
      <c r="P286" s="594"/>
      <c r="Q286" s="594"/>
      <c r="R286" s="594"/>
      <c r="S286" s="594"/>
      <c r="T286" s="594"/>
    </row>
    <row r="287" spans="1:21">
      <c r="F287" s="4"/>
      <c r="G287" s="4"/>
      <c r="H287" s="4"/>
      <c r="I287" s="4"/>
      <c r="J287" s="4"/>
    </row>
    <row r="288" spans="1:21">
      <c r="F288" s="4"/>
      <c r="G288" s="4"/>
      <c r="H288" s="4"/>
      <c r="I288" s="4"/>
      <c r="J288" s="4"/>
    </row>
    <row r="289" spans="6:10">
      <c r="F289" s="4"/>
      <c r="G289" s="4"/>
      <c r="H289" s="4"/>
      <c r="I289" s="4"/>
      <c r="J289" s="4"/>
    </row>
    <row r="290" spans="6:10">
      <c r="F290" s="4"/>
      <c r="G290" s="4"/>
      <c r="H290" s="4"/>
      <c r="I290" s="4"/>
      <c r="J290" s="4"/>
    </row>
    <row r="291" spans="6:10">
      <c r="F291" s="4"/>
      <c r="G291" s="4"/>
      <c r="H291" s="4"/>
      <c r="I291" s="4"/>
      <c r="J291" s="4"/>
    </row>
    <row r="292" spans="6:10">
      <c r="F292" s="4"/>
      <c r="G292" s="4"/>
      <c r="H292" s="4"/>
      <c r="I292" s="4"/>
      <c r="J292" s="4"/>
    </row>
    <row r="293" spans="6:10">
      <c r="F293" s="4"/>
      <c r="G293" s="4"/>
      <c r="H293" s="4"/>
      <c r="I293" s="4"/>
      <c r="J293" s="4"/>
    </row>
    <row r="294" spans="6:10">
      <c r="F294" s="4"/>
      <c r="G294" s="4"/>
      <c r="H294" s="4"/>
      <c r="I294" s="4"/>
      <c r="J294" s="4"/>
    </row>
    <row r="295" spans="6:10">
      <c r="F295" s="4"/>
      <c r="G295" s="4"/>
      <c r="H295" s="4"/>
      <c r="I295" s="4"/>
      <c r="J295" s="4"/>
    </row>
    <row r="296" spans="6:10">
      <c r="F296" s="4"/>
      <c r="G296" s="4"/>
      <c r="H296" s="4"/>
      <c r="I296" s="4"/>
      <c r="J296" s="4"/>
    </row>
    <row r="297" spans="6:10">
      <c r="F297" s="4"/>
      <c r="G297" s="4"/>
      <c r="H297" s="4"/>
      <c r="I297" s="4"/>
      <c r="J297" s="4"/>
    </row>
    <row r="298" spans="6:10">
      <c r="F298" s="4"/>
      <c r="G298" s="4"/>
      <c r="H298" s="4"/>
      <c r="I298" s="4"/>
      <c r="J298" s="4"/>
    </row>
    <row r="299" spans="6:10">
      <c r="F299" s="4"/>
      <c r="G299" s="4"/>
      <c r="H299" s="4"/>
      <c r="I299" s="4"/>
      <c r="J299" s="4"/>
    </row>
    <row r="300" spans="6:10">
      <c r="F300" s="4"/>
      <c r="G300" s="4"/>
      <c r="H300" s="4"/>
      <c r="I300" s="4"/>
      <c r="J300" s="4"/>
    </row>
    <row r="301" spans="6:10">
      <c r="F301" s="4"/>
      <c r="G301" s="4"/>
      <c r="H301" s="4"/>
      <c r="I301" s="4"/>
      <c r="J301" s="4"/>
    </row>
    <row r="302" spans="6:10">
      <c r="F302" s="4"/>
      <c r="G302" s="4"/>
      <c r="H302" s="4"/>
      <c r="I302" s="4"/>
      <c r="J302" s="4"/>
    </row>
    <row r="303" spans="6:10">
      <c r="F303" s="4"/>
      <c r="G303" s="4"/>
      <c r="H303" s="4"/>
      <c r="I303" s="4"/>
      <c r="J303" s="4"/>
    </row>
    <row r="304" spans="6:10">
      <c r="F304" s="4"/>
      <c r="G304" s="4"/>
      <c r="H304" s="4"/>
      <c r="I304" s="4"/>
      <c r="J304" s="4"/>
    </row>
    <row r="305" spans="6:10">
      <c r="F305" s="4"/>
      <c r="G305" s="4"/>
      <c r="H305" s="4"/>
      <c r="I305" s="4"/>
      <c r="J305" s="4"/>
    </row>
    <row r="306" spans="6:10">
      <c r="F306" s="4"/>
      <c r="G306" s="4"/>
      <c r="H306" s="4"/>
      <c r="I306" s="4"/>
      <c r="J306" s="4"/>
    </row>
    <row r="307" spans="6:10">
      <c r="F307" s="4"/>
      <c r="G307" s="4"/>
      <c r="H307" s="4"/>
      <c r="I307" s="4"/>
      <c r="J307" s="4"/>
    </row>
    <row r="308" spans="6:10">
      <c r="F308" s="4"/>
      <c r="G308" s="4"/>
      <c r="H308" s="4"/>
      <c r="I308" s="4"/>
      <c r="J308" s="4"/>
    </row>
    <row r="309" spans="6:10">
      <c r="F309" s="4"/>
      <c r="G309" s="4"/>
      <c r="H309" s="4"/>
      <c r="I309" s="4"/>
      <c r="J309" s="4"/>
    </row>
    <row r="310" spans="6:10">
      <c r="F310" s="4"/>
      <c r="G310" s="4"/>
      <c r="H310" s="4"/>
      <c r="I310" s="4"/>
      <c r="J310" s="4"/>
    </row>
    <row r="311" spans="6:10">
      <c r="F311" s="4"/>
      <c r="G311" s="4"/>
      <c r="H311" s="4"/>
      <c r="I311" s="4"/>
      <c r="J311" s="4"/>
    </row>
    <row r="312" spans="6:10">
      <c r="F312" s="4"/>
      <c r="G312" s="4"/>
      <c r="H312" s="4"/>
      <c r="I312" s="4"/>
      <c r="J312" s="4"/>
    </row>
    <row r="313" spans="6:10">
      <c r="F313" s="4"/>
      <c r="G313" s="4"/>
      <c r="H313" s="4"/>
      <c r="I313" s="4"/>
      <c r="J313" s="4"/>
    </row>
    <row r="314" spans="6:10">
      <c r="F314" s="4"/>
      <c r="G314" s="4"/>
      <c r="H314" s="4"/>
      <c r="I314" s="4"/>
      <c r="J314" s="4"/>
    </row>
    <row r="315" spans="6:10">
      <c r="F315" s="4"/>
      <c r="G315" s="4"/>
      <c r="H315" s="4"/>
      <c r="I315" s="4"/>
      <c r="J315" s="4"/>
    </row>
    <row r="316" spans="6:10">
      <c r="F316" s="4"/>
      <c r="G316" s="4"/>
      <c r="H316" s="4"/>
      <c r="I316" s="4"/>
      <c r="J316" s="4"/>
    </row>
    <row r="317" spans="6:10">
      <c r="F317" s="4"/>
      <c r="G317" s="4"/>
      <c r="H317" s="4"/>
      <c r="I317" s="4"/>
      <c r="J317" s="4"/>
    </row>
    <row r="318" spans="6:10">
      <c r="F318" s="4"/>
      <c r="G318" s="4"/>
      <c r="H318" s="4"/>
      <c r="I318" s="4"/>
      <c r="J318" s="4"/>
    </row>
    <row r="319" spans="6:10">
      <c r="F319" s="4"/>
      <c r="G319" s="4"/>
      <c r="H319" s="4"/>
      <c r="I319" s="4"/>
      <c r="J319" s="4"/>
    </row>
    <row r="320" spans="6:10">
      <c r="F320" s="4"/>
      <c r="G320" s="4"/>
      <c r="H320" s="4"/>
      <c r="I320" s="4"/>
      <c r="J320" s="4"/>
    </row>
    <row r="321" spans="6:10">
      <c r="F321" s="4"/>
      <c r="G321" s="4"/>
      <c r="H321" s="4"/>
      <c r="I321" s="4"/>
      <c r="J321" s="4"/>
    </row>
    <row r="322" spans="6:10">
      <c r="F322" s="4"/>
      <c r="G322" s="4"/>
      <c r="H322" s="4"/>
      <c r="I322" s="4"/>
      <c r="J322" s="4"/>
    </row>
    <row r="323" spans="6:10">
      <c r="F323" s="4"/>
      <c r="G323" s="4"/>
      <c r="H323" s="4"/>
      <c r="I323" s="4"/>
      <c r="J323" s="4"/>
    </row>
    <row r="324" spans="6:10">
      <c r="F324" s="4"/>
      <c r="G324" s="4"/>
      <c r="H324" s="4"/>
      <c r="I324" s="4"/>
      <c r="J324" s="4"/>
    </row>
    <row r="325" spans="6:10">
      <c r="F325" s="4"/>
      <c r="G325" s="4"/>
      <c r="H325" s="4"/>
      <c r="I325" s="4"/>
      <c r="J325" s="4"/>
    </row>
    <row r="326" spans="6:10">
      <c r="F326" s="4"/>
      <c r="G326" s="4"/>
      <c r="H326" s="4"/>
      <c r="I326" s="4"/>
      <c r="J326" s="4"/>
    </row>
    <row r="327" spans="6:10">
      <c r="F327" s="4"/>
      <c r="G327" s="4"/>
      <c r="H327" s="4"/>
      <c r="I327" s="4"/>
      <c r="J327" s="4"/>
    </row>
    <row r="328" spans="6:10">
      <c r="F328" s="4"/>
      <c r="G328" s="4"/>
      <c r="H328" s="4"/>
      <c r="I328" s="4"/>
      <c r="J328" s="4"/>
    </row>
    <row r="329" spans="6:10">
      <c r="F329" s="4"/>
      <c r="G329" s="4"/>
      <c r="H329" s="4"/>
      <c r="I329" s="4"/>
      <c r="J329" s="4"/>
    </row>
    <row r="330" spans="6:10">
      <c r="F330" s="4"/>
      <c r="G330" s="4"/>
      <c r="H330" s="4"/>
      <c r="I330" s="4"/>
      <c r="J330" s="4"/>
    </row>
    <row r="331" spans="6:10">
      <c r="F331" s="4"/>
      <c r="G331" s="4"/>
      <c r="H331" s="4"/>
      <c r="I331" s="4"/>
      <c r="J331" s="4"/>
    </row>
    <row r="332" spans="6:10">
      <c r="F332" s="4"/>
      <c r="G332" s="4"/>
      <c r="H332" s="4"/>
      <c r="I332" s="4"/>
      <c r="J332" s="4"/>
    </row>
    <row r="333" spans="6:10">
      <c r="F333" s="4"/>
      <c r="G333" s="4"/>
      <c r="H333" s="4"/>
      <c r="I333" s="4"/>
      <c r="J333" s="4"/>
    </row>
    <row r="334" spans="6:10">
      <c r="F334" s="4"/>
      <c r="G334" s="4"/>
      <c r="H334" s="4"/>
      <c r="I334" s="4"/>
      <c r="J334" s="4"/>
    </row>
    <row r="335" spans="6:10">
      <c r="F335" s="4"/>
      <c r="G335" s="4"/>
      <c r="H335" s="4"/>
      <c r="I335" s="4"/>
      <c r="J335" s="4"/>
    </row>
    <row r="336" spans="6:10">
      <c r="F336" s="4"/>
      <c r="G336" s="4"/>
      <c r="H336" s="4"/>
      <c r="I336" s="4"/>
      <c r="J336" s="4"/>
    </row>
    <row r="337" spans="6:10">
      <c r="F337" s="4"/>
      <c r="G337" s="4"/>
      <c r="H337" s="4"/>
      <c r="I337" s="4"/>
      <c r="J337" s="4"/>
    </row>
    <row r="338" spans="6:10">
      <c r="F338" s="4"/>
      <c r="G338" s="4"/>
      <c r="H338" s="4"/>
      <c r="I338" s="4"/>
      <c r="J338" s="4"/>
    </row>
    <row r="339" spans="6:10">
      <c r="F339" s="4"/>
      <c r="G339" s="4"/>
      <c r="H339" s="4"/>
      <c r="I339" s="4"/>
      <c r="J339" s="4"/>
    </row>
    <row r="340" spans="6:10">
      <c r="F340" s="4"/>
      <c r="G340" s="4"/>
      <c r="H340" s="4"/>
      <c r="I340" s="4"/>
      <c r="J340" s="4"/>
    </row>
    <row r="341" spans="6:10">
      <c r="F341" s="4"/>
      <c r="G341" s="4"/>
      <c r="H341" s="4"/>
      <c r="I341" s="4"/>
      <c r="J341" s="4"/>
    </row>
    <row r="342" spans="6:10">
      <c r="F342" s="4"/>
      <c r="G342" s="4"/>
      <c r="H342" s="4"/>
      <c r="I342" s="4"/>
      <c r="J342" s="4"/>
    </row>
    <row r="343" spans="6:10">
      <c r="F343" s="4"/>
      <c r="G343" s="4"/>
      <c r="H343" s="4"/>
      <c r="I343" s="4"/>
      <c r="J343" s="4"/>
    </row>
    <row r="344" spans="6:10">
      <c r="F344" s="4"/>
      <c r="G344" s="4"/>
      <c r="H344" s="4"/>
      <c r="I344" s="4"/>
      <c r="J344" s="4"/>
    </row>
    <row r="345" spans="6:10">
      <c r="F345" s="4"/>
      <c r="G345" s="4"/>
      <c r="H345" s="4"/>
      <c r="I345" s="4"/>
      <c r="J345" s="4"/>
    </row>
    <row r="346" spans="6:10">
      <c r="F346" s="4"/>
      <c r="G346" s="4"/>
      <c r="H346" s="4"/>
      <c r="I346" s="4"/>
      <c r="J346" s="4"/>
    </row>
    <row r="347" spans="6:10">
      <c r="F347" s="4"/>
      <c r="G347" s="4"/>
      <c r="H347" s="4"/>
      <c r="I347" s="4"/>
      <c r="J347" s="4"/>
    </row>
    <row r="348" spans="6:10">
      <c r="F348" s="4"/>
      <c r="G348" s="4"/>
      <c r="H348" s="4"/>
      <c r="I348" s="4"/>
      <c r="J348" s="4"/>
    </row>
    <row r="349" spans="6:10">
      <c r="F349" s="4"/>
      <c r="G349" s="4"/>
      <c r="H349" s="4"/>
      <c r="I349" s="4"/>
      <c r="J349" s="4"/>
    </row>
    <row r="350" spans="6:10">
      <c r="F350" s="4"/>
      <c r="G350" s="4"/>
      <c r="H350" s="4"/>
      <c r="I350" s="4"/>
      <c r="J350" s="4"/>
    </row>
    <row r="351" spans="6:10">
      <c r="F351" s="4"/>
      <c r="G351" s="4"/>
      <c r="H351" s="4"/>
      <c r="I351" s="4"/>
      <c r="J351" s="4"/>
    </row>
    <row r="352" spans="6:10">
      <c r="F352" s="4"/>
      <c r="G352" s="4"/>
      <c r="H352" s="4"/>
      <c r="I352" s="4"/>
      <c r="J352" s="4"/>
    </row>
    <row r="353" spans="6:10">
      <c r="F353" s="4"/>
      <c r="G353" s="4"/>
      <c r="H353" s="4"/>
      <c r="I353" s="4"/>
      <c r="J353" s="4"/>
    </row>
    <row r="354" spans="6:10">
      <c r="F354" s="4"/>
      <c r="G354" s="4"/>
      <c r="H354" s="4"/>
      <c r="I354" s="4"/>
      <c r="J354" s="4"/>
    </row>
    <row r="355" spans="6:10">
      <c r="F355" s="4"/>
      <c r="G355" s="4"/>
      <c r="H355" s="4"/>
      <c r="I355" s="4"/>
      <c r="J355" s="4"/>
    </row>
    <row r="356" spans="6:10">
      <c r="F356" s="4"/>
      <c r="G356" s="4"/>
      <c r="H356" s="4"/>
      <c r="I356" s="4"/>
      <c r="J356" s="4"/>
    </row>
    <row r="357" spans="6:10">
      <c r="F357" s="4"/>
      <c r="G357" s="4"/>
      <c r="H357" s="4"/>
      <c r="I357" s="4"/>
      <c r="J357" s="4"/>
    </row>
    <row r="358" spans="6:10">
      <c r="F358" s="4"/>
      <c r="G358" s="4"/>
      <c r="H358" s="4"/>
      <c r="I358" s="4"/>
      <c r="J358" s="4"/>
    </row>
    <row r="359" spans="6:10">
      <c r="F359" s="4"/>
      <c r="G359" s="4"/>
      <c r="H359" s="4"/>
      <c r="I359" s="4"/>
      <c r="J359" s="4"/>
    </row>
    <row r="360" spans="6:10">
      <c r="F360" s="4"/>
      <c r="G360" s="4"/>
      <c r="H360" s="4"/>
      <c r="I360" s="4"/>
      <c r="J360" s="4"/>
    </row>
    <row r="361" spans="6:10">
      <c r="F361" s="4"/>
      <c r="G361" s="4"/>
      <c r="H361" s="4"/>
      <c r="I361" s="4"/>
      <c r="J361" s="4"/>
    </row>
    <row r="362" spans="6:10">
      <c r="F362" s="4"/>
      <c r="G362" s="4"/>
      <c r="H362" s="4"/>
      <c r="I362" s="4"/>
      <c r="J362" s="4"/>
    </row>
    <row r="363" spans="6:10">
      <c r="F363" s="4"/>
      <c r="G363" s="4"/>
      <c r="H363" s="4"/>
      <c r="I363" s="4"/>
      <c r="J363" s="4"/>
    </row>
    <row r="364" spans="6:10">
      <c r="F364" s="4"/>
      <c r="G364" s="4"/>
      <c r="H364" s="4"/>
      <c r="I364" s="4"/>
      <c r="J364" s="4"/>
    </row>
    <row r="365" spans="6:10">
      <c r="F365" s="4"/>
      <c r="G365" s="4"/>
      <c r="H365" s="4"/>
      <c r="I365" s="4"/>
      <c r="J365" s="4"/>
    </row>
    <row r="366" spans="6:10">
      <c r="F366" s="4"/>
      <c r="G366" s="4"/>
      <c r="H366" s="4"/>
      <c r="I366" s="4"/>
      <c r="J366" s="4"/>
    </row>
    <row r="367" spans="6:10">
      <c r="F367" s="4"/>
      <c r="G367" s="4"/>
      <c r="H367" s="4"/>
      <c r="I367" s="4"/>
      <c r="J367" s="4"/>
    </row>
    <row r="368" spans="6:10">
      <c r="F368" s="4"/>
      <c r="G368" s="4"/>
      <c r="H368" s="4"/>
      <c r="I368" s="4"/>
      <c r="J368" s="4"/>
    </row>
    <row r="369" spans="6:10">
      <c r="F369" s="4"/>
      <c r="G369" s="4"/>
      <c r="H369" s="4"/>
      <c r="I369" s="4"/>
      <c r="J369" s="4"/>
    </row>
    <row r="370" spans="6:10">
      <c r="F370" s="4"/>
      <c r="G370" s="4"/>
      <c r="H370" s="4"/>
      <c r="I370" s="4"/>
      <c r="J370" s="4"/>
    </row>
    <row r="371" spans="6:10">
      <c r="F371" s="4"/>
      <c r="G371" s="4"/>
      <c r="H371" s="4"/>
      <c r="I371" s="4"/>
      <c r="J371" s="4"/>
    </row>
    <row r="372" spans="6:10">
      <c r="F372" s="4"/>
      <c r="G372" s="4"/>
      <c r="H372" s="4"/>
      <c r="I372" s="4"/>
      <c r="J372" s="4"/>
    </row>
    <row r="373" spans="6:10">
      <c r="F373" s="4"/>
      <c r="G373" s="4"/>
      <c r="H373" s="4"/>
      <c r="I373" s="4"/>
      <c r="J373" s="4"/>
    </row>
    <row r="374" spans="6:10">
      <c r="F374" s="4"/>
      <c r="G374" s="4"/>
      <c r="H374" s="4"/>
      <c r="I374" s="4"/>
      <c r="J374" s="4"/>
    </row>
    <row r="375" spans="6:10">
      <c r="F375" s="4"/>
      <c r="G375" s="4"/>
      <c r="H375" s="4"/>
      <c r="I375" s="4"/>
      <c r="J375" s="4"/>
    </row>
    <row r="376" spans="6:10">
      <c r="F376" s="4"/>
      <c r="G376" s="4"/>
      <c r="H376" s="4"/>
      <c r="I376" s="4"/>
      <c r="J376" s="4"/>
    </row>
    <row r="377" spans="6:10">
      <c r="F377" s="4"/>
      <c r="G377" s="4"/>
      <c r="H377" s="4"/>
      <c r="I377" s="4"/>
      <c r="J377" s="4"/>
    </row>
  </sheetData>
  <autoFilter ref="A3:W277"/>
  <mergeCells count="5">
    <mergeCell ref="Q281:R281"/>
    <mergeCell ref="A1:I1"/>
    <mergeCell ref="K1:O1"/>
    <mergeCell ref="Q1:R1"/>
    <mergeCell ref="U1:W1"/>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Y387"/>
  <sheetViews>
    <sheetView showGridLines="0" zoomScale="60" zoomScaleNormal="60" workbookViewId="0">
      <pane ySplit="3" topLeftCell="A4" activePane="bottomLeft" state="frozen"/>
      <selection activeCell="F18" sqref="F18"/>
      <selection pane="bottomLeft" activeCell="R279" sqref="A1:R279"/>
    </sheetView>
  </sheetViews>
  <sheetFormatPr defaultColWidth="9.109375" defaultRowHeight="13.8"/>
  <cols>
    <col min="1" max="1" width="12.109375" style="366" customWidth="1"/>
    <col min="2" max="2" width="101.6640625" style="366" customWidth="1"/>
    <col min="3" max="3" width="62.109375" style="366" bestFit="1" customWidth="1"/>
    <col min="4" max="4" width="7.44140625" style="366" bestFit="1" customWidth="1"/>
    <col min="5" max="5" width="9.44140625" style="366" bestFit="1" customWidth="1"/>
    <col min="6" max="6" width="43.88671875" style="366" bestFit="1" customWidth="1"/>
    <col min="7" max="7" width="32.6640625" style="366" customWidth="1"/>
    <col min="8" max="14" width="23.33203125" style="366" customWidth="1"/>
    <col min="15" max="15" width="23.44140625" style="366" bestFit="1" customWidth="1"/>
    <col min="16" max="16" width="23.44140625" style="366" customWidth="1"/>
    <col min="17" max="17" width="19.88671875" style="286" bestFit="1" customWidth="1"/>
    <col min="18" max="18" width="30" style="368" bestFit="1" customWidth="1"/>
    <col min="19" max="19" width="9.109375" style="286"/>
    <col min="20" max="20" width="0" style="286" hidden="1" customWidth="1"/>
    <col min="21" max="21" width="27.44140625" style="286" bestFit="1" customWidth="1"/>
    <col min="22" max="22" width="18.44140625" style="286" bestFit="1" customWidth="1"/>
    <col min="23" max="23" width="16.88671875" style="286" bestFit="1" customWidth="1"/>
    <col min="24" max="24" width="9.109375" style="286"/>
    <col min="25" max="25" width="10" style="286" bestFit="1" customWidth="1"/>
    <col min="26" max="16384" width="9.109375" style="286"/>
  </cols>
  <sheetData>
    <row r="1" spans="1:25" ht="14.4" thickBot="1">
      <c r="A1" s="1007" t="s">
        <v>2066</v>
      </c>
      <c r="B1" s="1008"/>
      <c r="C1" s="1008"/>
      <c r="D1" s="1008"/>
      <c r="E1" s="1008"/>
      <c r="F1" s="1008"/>
      <c r="G1" s="1008"/>
      <c r="H1" s="1008"/>
      <c r="I1" s="1008"/>
      <c r="J1" s="340"/>
      <c r="K1" s="1009" t="s">
        <v>51</v>
      </c>
      <c r="L1" s="1010"/>
      <c r="M1" s="1010"/>
      <c r="N1" s="1010"/>
      <c r="O1" s="1011"/>
      <c r="P1" s="783"/>
      <c r="Q1" s="1012" t="s">
        <v>119</v>
      </c>
      <c r="R1" s="1013"/>
      <c r="U1" s="986" t="s">
        <v>2071</v>
      </c>
      <c r="V1" s="986"/>
      <c r="W1" s="986"/>
    </row>
    <row r="2" spans="1:25">
      <c r="A2" s="341" t="s">
        <v>3797</v>
      </c>
      <c r="B2" s="342"/>
      <c r="C2" s="342"/>
      <c r="D2" s="342"/>
      <c r="E2" s="342"/>
      <c r="F2" s="342"/>
      <c r="G2" s="342"/>
      <c r="H2" s="343"/>
      <c r="I2" s="343"/>
      <c r="J2" s="344"/>
      <c r="K2" s="345"/>
      <c r="L2" s="344"/>
      <c r="M2" s="344"/>
      <c r="N2" s="344"/>
      <c r="O2" s="346"/>
      <c r="P2" s="344"/>
      <c r="Q2" s="347"/>
      <c r="R2" s="348"/>
      <c r="U2" s="349"/>
      <c r="V2" s="349"/>
      <c r="W2" s="349"/>
    </row>
    <row r="3" spans="1:25" ht="27.6">
      <c r="A3" s="350" t="s">
        <v>120</v>
      </c>
      <c r="B3" s="351" t="s">
        <v>121</v>
      </c>
      <c r="C3" s="351" t="s">
        <v>1205</v>
      </c>
      <c r="D3" s="351" t="s">
        <v>122</v>
      </c>
      <c r="E3" s="351" t="s">
        <v>123</v>
      </c>
      <c r="F3" s="351" t="s">
        <v>1216</v>
      </c>
      <c r="G3" s="352" t="s">
        <v>149</v>
      </c>
      <c r="H3" s="352" t="s">
        <v>148</v>
      </c>
      <c r="I3" s="353" t="s">
        <v>150</v>
      </c>
      <c r="J3" s="354">
        <v>2015</v>
      </c>
      <c r="K3" s="355">
        <v>2016</v>
      </c>
      <c r="L3" s="355">
        <v>2017</v>
      </c>
      <c r="M3" s="355">
        <v>2018</v>
      </c>
      <c r="N3" s="355">
        <v>2019</v>
      </c>
      <c r="O3" s="355">
        <v>2020</v>
      </c>
      <c r="P3" s="355" t="s">
        <v>1497</v>
      </c>
      <c r="Q3" s="356" t="s">
        <v>124</v>
      </c>
      <c r="R3" s="357" t="s">
        <v>125</v>
      </c>
      <c r="U3" s="358" t="s">
        <v>2093</v>
      </c>
      <c r="V3" s="358" t="s">
        <v>49</v>
      </c>
      <c r="W3" s="358" t="s">
        <v>74</v>
      </c>
    </row>
    <row r="4" spans="1:25" ht="15" customHeight="1">
      <c r="A4" s="359" t="str">
        <f>'Func Future Lines 2015'!A4</f>
        <v>PPS</v>
      </c>
      <c r="B4" s="359" t="str">
        <f>'Func Future Lines 2015'!B4</f>
        <v>978L_(v1)</v>
      </c>
      <c r="C4" s="359">
        <f>'Func Future Lines 2015'!C4</f>
        <v>479</v>
      </c>
      <c r="D4" s="359">
        <f>'Func Future Lines 2015'!D4</f>
        <v>240</v>
      </c>
      <c r="E4" s="359">
        <f>'Func Future Lines 2015'!E4</f>
        <v>0</v>
      </c>
      <c r="F4" s="359">
        <f>'Func Future Lines 2015'!F4</f>
        <v>0</v>
      </c>
      <c r="G4" s="359">
        <f>'Func Future Lines 2015'!G4</f>
        <v>43593801.111914299</v>
      </c>
      <c r="H4" s="359" t="str">
        <f>'Func Future Lines 2015'!H4</f>
        <v>AltaLink</v>
      </c>
      <c r="I4" s="359">
        <f>'Func Future Lines 2015'!I4</f>
        <v>2019</v>
      </c>
      <c r="J4" s="361">
        <f>+IF($I4=J$3,VLOOKUP($H4,Depreciation!$A$6:$L$10,7,FALSE)/2,IF($I4&lt;J$3,VLOOKUP($H4,Depreciation!$A$6:$L$10,7,FALSE),0))</f>
        <v>0</v>
      </c>
      <c r="K4" s="361">
        <f>+IF($I4=K$3,VLOOKUP($H4,Depreciation!$A$6:$L$10,8,FALSE)/2,IF($I4&lt;K$3,VLOOKUP($H4,Depreciation!$A$6:$L$10,8,FALSE),0))</f>
        <v>0</v>
      </c>
      <c r="L4" s="361">
        <f>+IF($I4=L$3,VLOOKUP($H4,Depreciation!$A$6:$L$10,9,FALSE)/2,IF($I4&lt;L$3,VLOOKUP($H4,Depreciation!$A$6:$L$10,9,FALSE),0))</f>
        <v>0</v>
      </c>
      <c r="M4" s="361">
        <f>+IF($I4=M$3,VLOOKUP($H4,Depreciation!$A$6:$L$10,10,FALSE)/2,IF($I4&lt;M$3,VLOOKUP($H4,Depreciation!$A$6:$L$10,10,FALSE),0))</f>
        <v>0</v>
      </c>
      <c r="N4" s="361">
        <f>+IF($I4=N$3,VLOOKUP($H4,Depreciation!$A$6:$L$10,11,FALSE)/2,IF($I4&lt;N$3,VLOOKUP($H4,Depreciation!$A$6:$L$10,11,FALSE),0))</f>
        <v>1.5338181838063448E-2</v>
      </c>
      <c r="O4" s="361">
        <f>+IF($I4=O$3,VLOOKUP($H4,Depreciation!$A$6:$L$10,12,FALSE)/2,IF($I4&lt;O$3,VLOOKUP($H4,Depreciation!$A$6:$L$10,12,FALSE),0))</f>
        <v>3.0676363676126896E-2</v>
      </c>
      <c r="P4" s="362">
        <f t="shared" ref="P4" si="0">IF(I4&lt;=2016,G4*(1-J4)*(1-K4),0)</f>
        <v>0</v>
      </c>
      <c r="Q4" s="362">
        <f t="shared" ref="Q4" si="1">IF(D4&gt;=240,P4,0)</f>
        <v>0</v>
      </c>
      <c r="R4" s="363">
        <f>IF(AND(D4&gt;25,D4&lt;240),P4,0)</f>
        <v>0</v>
      </c>
      <c r="U4" s="369" t="s">
        <v>108</v>
      </c>
      <c r="V4" s="376">
        <f>SUM(Q4:Q277)</f>
        <v>4151532221.6367512</v>
      </c>
      <c r="W4" s="376">
        <f>SUM(R4:R277)</f>
        <v>272197600.25485688</v>
      </c>
      <c r="Y4" s="365"/>
    </row>
    <row r="5" spans="1:25" ht="15" customHeight="1">
      <c r="A5" s="359" t="str">
        <f>'Func Future Lines 2015'!A5</f>
        <v>PPS</v>
      </c>
      <c r="B5" s="359" t="str">
        <f>'Func Future Lines 2015'!B5</f>
        <v>600AL</v>
      </c>
      <c r="C5" s="359">
        <f>'Func Future Lines 2015'!C5</f>
        <v>513</v>
      </c>
      <c r="D5" s="359">
        <f>'Func Future Lines 2015'!D5</f>
        <v>138</v>
      </c>
      <c r="E5" s="359">
        <f>'Func Future Lines 2015'!E5</f>
        <v>0</v>
      </c>
      <c r="F5" s="359">
        <f>'Func Future Lines 2015'!F5</f>
        <v>0</v>
      </c>
      <c r="G5" s="359">
        <f>'Func Future Lines 2015'!G5</f>
        <v>690724.36500470294</v>
      </c>
      <c r="H5" s="359" t="str">
        <f>'Func Future Lines 2015'!H5</f>
        <v>AltaLink</v>
      </c>
      <c r="I5" s="359">
        <f>'Func Future Lines 2015'!I5</f>
        <v>2017</v>
      </c>
      <c r="J5" s="361">
        <f>+IF($I5=J$3,VLOOKUP($H5,Depreciation!$A$6:$L$10,7,FALSE)/2,IF($I5&lt;J$3,VLOOKUP($H5,Depreciation!$A$6:$L$10,7,FALSE),0))</f>
        <v>0</v>
      </c>
      <c r="K5" s="361">
        <f>+IF($I5=K$3,VLOOKUP($H5,Depreciation!$A$6:$L$10,8,FALSE)/2,IF($I5&lt;K$3,VLOOKUP($H5,Depreciation!$A$6:$L$10,8,FALSE),0))</f>
        <v>0</v>
      </c>
      <c r="L5" s="361">
        <f>+IF($I5=L$3,VLOOKUP($H5,Depreciation!$A$6:$L$10,9,FALSE)/2,IF($I5&lt;L$3,VLOOKUP($H5,Depreciation!$A$6:$L$10,9,FALSE),0))</f>
        <v>1.5338181838063448E-2</v>
      </c>
      <c r="M5" s="361">
        <f>+IF($I5=M$3,VLOOKUP($H5,Depreciation!$A$6:$L$10,10,FALSE)/2,IF($I5&lt;M$3,VLOOKUP($H5,Depreciation!$A$6:$L$10,10,FALSE),0))</f>
        <v>3.0676363676126896E-2</v>
      </c>
      <c r="N5" s="361">
        <f>+IF($I5=N$3,VLOOKUP($H5,Depreciation!$A$6:$L$10,11,FALSE)/2,IF($I5&lt;N$3,VLOOKUP($H5,Depreciation!$A$6:$L$10,11,FALSE),0))</f>
        <v>3.0676363676126896E-2</v>
      </c>
      <c r="O5" s="361">
        <f>+IF($I5=O$3,VLOOKUP($H5,Depreciation!$A$6:$L$10,12,FALSE)/2,IF($I5&lt;O$3,VLOOKUP($H5,Depreciation!$A$6:$L$10,12,FALSE),0))</f>
        <v>3.0676363676126896E-2</v>
      </c>
      <c r="P5" s="362">
        <f t="shared" ref="P5:P68" si="2">IF(I5&lt;=2016,G5*(1-J5)*(1-K5),0)</f>
        <v>0</v>
      </c>
      <c r="Q5" s="362">
        <f t="shared" ref="Q5:Q68" si="3">IF(D5&gt;=240,P5,0)</f>
        <v>0</v>
      </c>
      <c r="R5" s="363">
        <f t="shared" ref="R5:R68" si="4">IF(AND(D5&gt;25,D5&lt;240),P5,0)</f>
        <v>0</v>
      </c>
      <c r="U5" s="369" t="s">
        <v>109</v>
      </c>
      <c r="V5" s="375">
        <f>+V4/SUM($V$4:$W$4)</f>
        <v>0.93846875573009925</v>
      </c>
      <c r="W5" s="375">
        <f>+W4/SUM($V$4:$W$4)</f>
        <v>6.1531244269900705E-2</v>
      </c>
      <c r="Y5" s="365"/>
    </row>
    <row r="6" spans="1:25" ht="15" customHeight="1">
      <c r="A6" s="359" t="str">
        <f>'Func Future Lines 2015'!A6</f>
        <v>PPS</v>
      </c>
      <c r="B6" s="359" t="str">
        <f>'Func Future Lines 2015'!B6</f>
        <v>600L</v>
      </c>
      <c r="C6" s="359">
        <f>'Func Future Lines 2015'!C6</f>
        <v>513</v>
      </c>
      <c r="D6" s="359">
        <f>'Func Future Lines 2015'!D6</f>
        <v>138</v>
      </c>
      <c r="E6" s="359">
        <f>'Func Future Lines 2015'!E6</f>
        <v>0</v>
      </c>
      <c r="F6" s="359">
        <f>'Func Future Lines 2015'!F6</f>
        <v>0</v>
      </c>
      <c r="G6" s="359">
        <f>'Func Future Lines 2015'!G6</f>
        <v>982953.90404515422</v>
      </c>
      <c r="H6" s="359" t="str">
        <f>'Func Future Lines 2015'!H6</f>
        <v>AltaLink</v>
      </c>
      <c r="I6" s="359">
        <f>'Func Future Lines 2015'!I6</f>
        <v>2017</v>
      </c>
      <c r="J6" s="361">
        <f>+IF($I6=J$3,VLOOKUP($H6,Depreciation!$A$6:$L$10,7,FALSE)/2,IF($I6&lt;J$3,VLOOKUP($H6,Depreciation!$A$6:$L$10,7,FALSE),0))</f>
        <v>0</v>
      </c>
      <c r="K6" s="361">
        <f>+IF($I6=K$3,VLOOKUP($H6,Depreciation!$A$6:$L$10,8,FALSE)/2,IF($I6&lt;K$3,VLOOKUP($H6,Depreciation!$A$6:$L$10,8,FALSE),0))</f>
        <v>0</v>
      </c>
      <c r="L6" s="361">
        <f>+IF($I6=L$3,VLOOKUP($H6,Depreciation!$A$6:$L$10,9,FALSE)/2,IF($I6&lt;L$3,VLOOKUP($H6,Depreciation!$A$6:$L$10,9,FALSE),0))</f>
        <v>1.5338181838063448E-2</v>
      </c>
      <c r="M6" s="361">
        <f>+IF($I6=M$3,VLOOKUP($H6,Depreciation!$A$6:$L$10,10,FALSE)/2,IF($I6&lt;M$3,VLOOKUP($H6,Depreciation!$A$6:$L$10,10,FALSE),0))</f>
        <v>3.0676363676126896E-2</v>
      </c>
      <c r="N6" s="361">
        <f>+IF($I6=N$3,VLOOKUP($H6,Depreciation!$A$6:$L$10,11,FALSE)/2,IF($I6&lt;N$3,VLOOKUP($H6,Depreciation!$A$6:$L$10,11,FALSE),0))</f>
        <v>3.0676363676126896E-2</v>
      </c>
      <c r="O6" s="361">
        <f>+IF($I6=O$3,VLOOKUP($H6,Depreciation!$A$6:$L$10,12,FALSE)/2,IF($I6&lt;O$3,VLOOKUP($H6,Depreciation!$A$6:$L$10,12,FALSE),0))</f>
        <v>3.0676363676126896E-2</v>
      </c>
      <c r="P6" s="362">
        <f t="shared" si="2"/>
        <v>0</v>
      </c>
      <c r="Q6" s="362">
        <f t="shared" si="3"/>
        <v>0</v>
      </c>
      <c r="R6" s="363">
        <f t="shared" si="4"/>
        <v>0</v>
      </c>
      <c r="W6" s="4"/>
      <c r="Y6" s="365"/>
    </row>
    <row r="7" spans="1:25" ht="15" customHeight="1">
      <c r="A7" s="359" t="str">
        <f>'Func Future Lines 2015'!A7</f>
        <v>FINAL</v>
      </c>
      <c r="B7" s="359" t="str">
        <f>'Func Future Lines 2015'!B7</f>
        <v>807L_942L_1061L (942L/1001L )</v>
      </c>
      <c r="C7" s="359">
        <f>'Func Future Lines 2015'!C7</f>
        <v>559</v>
      </c>
      <c r="D7" s="359">
        <f>'Func Future Lines 2015'!D7</f>
        <v>240</v>
      </c>
      <c r="E7" s="359">
        <f>'Func Future Lines 2015'!E7</f>
        <v>0</v>
      </c>
      <c r="F7" s="359" t="str">
        <f>'Func Future Lines 2015'!F7</f>
        <v>Fort_Saskatchewan</v>
      </c>
      <c r="G7" s="359">
        <f>'Func Future Lines 2015'!G7</f>
        <v>23861790.750385337</v>
      </c>
      <c r="H7" s="359" t="str">
        <f>'Func Future Lines 2015'!H7</f>
        <v>AltaLink</v>
      </c>
      <c r="I7" s="359">
        <f>'Func Future Lines 2015'!I7</f>
        <v>2015</v>
      </c>
      <c r="J7" s="361">
        <f>+IF($I7=J$3,VLOOKUP($H7,Depreciation!$A$6:$L$10,7,FALSE)/2,IF($I7&lt;J$3,VLOOKUP($H7,Depreciation!$A$6:$L$10,7,FALSE),0))</f>
        <v>1.595020804044691E-2</v>
      </c>
      <c r="K7" s="361">
        <f>+IF($I7=K$3,VLOOKUP($H7,Depreciation!$A$6:$L$10,8,FALSE)/2,IF($I7&lt;K$3,VLOOKUP($H7,Depreciation!$A$6:$L$10,8,FALSE),0))</f>
        <v>3.0676363676126896E-2</v>
      </c>
      <c r="L7" s="361">
        <f>+IF($I7=L$3,VLOOKUP($H7,Depreciation!$A$6:$L$10,9,FALSE)/2,IF($I7&lt;L$3,VLOOKUP($H7,Depreciation!$A$6:$L$10,9,FALSE),0))</f>
        <v>3.0676363676126896E-2</v>
      </c>
      <c r="M7" s="361">
        <f>+IF($I7=M$3,VLOOKUP($H7,Depreciation!$A$6:$L$10,10,FALSE)/2,IF($I7&lt;M$3,VLOOKUP($H7,Depreciation!$A$6:$L$10,10,FALSE),0))</f>
        <v>3.0676363676126896E-2</v>
      </c>
      <c r="N7" s="361">
        <f>+IF($I7=N$3,VLOOKUP($H7,Depreciation!$A$6:$L$10,11,FALSE)/2,IF($I7&lt;N$3,VLOOKUP($H7,Depreciation!$A$6:$L$10,11,FALSE),0))</f>
        <v>3.0676363676126896E-2</v>
      </c>
      <c r="O7" s="361">
        <f>+IF($I7=O$3,VLOOKUP($H7,Depreciation!$A$6:$L$10,12,FALSE)/2,IF($I7&lt;O$3,VLOOKUP($H7,Depreciation!$A$6:$L$10,12,FALSE),0))</f>
        <v>3.0676363676126896E-2</v>
      </c>
      <c r="P7" s="362">
        <f t="shared" si="2"/>
        <v>22760872.692848571</v>
      </c>
      <c r="Q7" s="362">
        <f t="shared" si="3"/>
        <v>22760872.692848571</v>
      </c>
      <c r="R7" s="363">
        <f t="shared" si="4"/>
        <v>0</v>
      </c>
      <c r="U7" s="286" t="s">
        <v>179</v>
      </c>
      <c r="V7" s="374">
        <f>+SUM(P4:P277)</f>
        <v>4424115405.3605032</v>
      </c>
      <c r="W7" s="4"/>
      <c r="Y7" s="365"/>
    </row>
    <row r="8" spans="1:25" ht="15" customHeight="1">
      <c r="A8" s="359" t="str">
        <f>'Func Future Lines 2015'!A8</f>
        <v>FINAL</v>
      </c>
      <c r="B8" s="359" t="str">
        <f>'Func Future Lines 2015'!B8</f>
        <v>942L temp</v>
      </c>
      <c r="C8" s="359">
        <f>'Func Future Lines 2015'!C8</f>
        <v>559</v>
      </c>
      <c r="D8" s="359">
        <f>'Func Future Lines 2015'!D8</f>
        <v>240</v>
      </c>
      <c r="E8" s="359">
        <f>'Func Future Lines 2015'!E8</f>
        <v>0</v>
      </c>
      <c r="F8" s="359" t="str">
        <f>'Func Future Lines 2015'!F8</f>
        <v>Fort_Saskatchewan</v>
      </c>
      <c r="G8" s="359">
        <f>'Func Future Lines 2015'!G8</f>
        <v>121591.45834265216</v>
      </c>
      <c r="H8" s="359" t="str">
        <f>'Func Future Lines 2015'!H8</f>
        <v>AltaLink</v>
      </c>
      <c r="I8" s="359">
        <f>'Func Future Lines 2015'!I8</f>
        <v>2015</v>
      </c>
      <c r="J8" s="361">
        <f>+IF($I8=J$3,VLOOKUP($H8,Depreciation!$A$6:$L$10,7,FALSE)/2,IF($I8&lt;J$3,VLOOKUP($H8,Depreciation!$A$6:$L$10,7,FALSE),0))</f>
        <v>1.595020804044691E-2</v>
      </c>
      <c r="K8" s="361">
        <f>+IF($I8=K$3,VLOOKUP($H8,Depreciation!$A$6:$L$10,8,FALSE)/2,IF($I8&lt;K$3,VLOOKUP($H8,Depreciation!$A$6:$L$10,8,FALSE),0))</f>
        <v>3.0676363676126896E-2</v>
      </c>
      <c r="L8" s="361">
        <f>+IF($I8=L$3,VLOOKUP($H8,Depreciation!$A$6:$L$10,9,FALSE)/2,IF($I8&lt;L$3,VLOOKUP($H8,Depreciation!$A$6:$L$10,9,FALSE),0))</f>
        <v>3.0676363676126896E-2</v>
      </c>
      <c r="M8" s="361">
        <f>+IF($I8=M$3,VLOOKUP($H8,Depreciation!$A$6:$L$10,10,FALSE)/2,IF($I8&lt;M$3,VLOOKUP($H8,Depreciation!$A$6:$L$10,10,FALSE),0))</f>
        <v>3.0676363676126896E-2</v>
      </c>
      <c r="N8" s="361">
        <f>+IF($I8=N$3,VLOOKUP($H8,Depreciation!$A$6:$L$10,11,FALSE)/2,IF($I8&lt;N$3,VLOOKUP($H8,Depreciation!$A$6:$L$10,11,FALSE),0))</f>
        <v>3.0676363676126896E-2</v>
      </c>
      <c r="O8" s="361">
        <f>+IF($I8=O$3,VLOOKUP($H8,Depreciation!$A$6:$L$10,12,FALSE)/2,IF($I8&lt;O$3,VLOOKUP($H8,Depreciation!$A$6:$L$10,12,FALSE),0))</f>
        <v>3.0676363676126896E-2</v>
      </c>
      <c r="P8" s="362">
        <f t="shared" si="2"/>
        <v>115981.55950764987</v>
      </c>
      <c r="Q8" s="362">
        <f t="shared" si="3"/>
        <v>115981.55950764987</v>
      </c>
      <c r="R8" s="363">
        <f t="shared" si="4"/>
        <v>0</v>
      </c>
      <c r="U8" s="365"/>
    </row>
    <row r="9" spans="1:25" ht="15" customHeight="1">
      <c r="A9" s="359" t="str">
        <f>'Func Future Lines 2015'!A9</f>
        <v>FINAL</v>
      </c>
      <c r="B9" s="359" t="str">
        <f>'Func Future Lines 2015'!B9</f>
        <v>942L_943L mod</v>
      </c>
      <c r="C9" s="359">
        <f>'Func Future Lines 2015'!C9</f>
        <v>559</v>
      </c>
      <c r="D9" s="359">
        <f>'Func Future Lines 2015'!D9</f>
        <v>138</v>
      </c>
      <c r="E9" s="359">
        <f>'Func Future Lines 2015'!E9</f>
        <v>0</v>
      </c>
      <c r="F9" s="359" t="str">
        <f>'Func Future Lines 2015'!F9</f>
        <v>Fort_Saskatchewan</v>
      </c>
      <c r="G9" s="359">
        <f>'Func Future Lines 2015'!G9</f>
        <v>1655001.6528058015</v>
      </c>
      <c r="H9" s="359" t="str">
        <f>'Func Future Lines 2015'!H9</f>
        <v>AltaLink</v>
      </c>
      <c r="I9" s="359">
        <f>'Func Future Lines 2015'!I9</f>
        <v>2015</v>
      </c>
      <c r="J9" s="361">
        <f>+IF($I9=J$3,VLOOKUP($H9,Depreciation!$A$6:$L$10,7,FALSE)/2,IF($I9&lt;J$3,VLOOKUP($H9,Depreciation!$A$6:$L$10,7,FALSE),0))</f>
        <v>1.595020804044691E-2</v>
      </c>
      <c r="K9" s="361">
        <f>+IF($I9=K$3,VLOOKUP($H9,Depreciation!$A$6:$L$10,8,FALSE)/2,IF($I9&lt;K$3,VLOOKUP($H9,Depreciation!$A$6:$L$10,8,FALSE),0))</f>
        <v>3.0676363676126896E-2</v>
      </c>
      <c r="L9" s="361">
        <f>+IF($I9=L$3,VLOOKUP($H9,Depreciation!$A$6:$L$10,9,FALSE)/2,IF($I9&lt;L$3,VLOOKUP($H9,Depreciation!$A$6:$L$10,9,FALSE),0))</f>
        <v>3.0676363676126896E-2</v>
      </c>
      <c r="M9" s="361">
        <f>+IF($I9=M$3,VLOOKUP($H9,Depreciation!$A$6:$L$10,10,FALSE)/2,IF($I9&lt;M$3,VLOOKUP($H9,Depreciation!$A$6:$L$10,10,FALSE),0))</f>
        <v>3.0676363676126896E-2</v>
      </c>
      <c r="N9" s="361">
        <f>+IF($I9=N$3,VLOOKUP($H9,Depreciation!$A$6:$L$10,11,FALSE)/2,IF($I9&lt;N$3,VLOOKUP($H9,Depreciation!$A$6:$L$10,11,FALSE),0))</f>
        <v>3.0676363676126896E-2</v>
      </c>
      <c r="O9" s="361">
        <f>+IF($I9=O$3,VLOOKUP($H9,Depreciation!$A$6:$L$10,12,FALSE)/2,IF($I9&lt;O$3,VLOOKUP($H9,Depreciation!$A$6:$L$10,12,FALSE),0))</f>
        <v>3.0676363676126896E-2</v>
      </c>
      <c r="P9" s="362">
        <f t="shared" si="2"/>
        <v>1578644.3825620466</v>
      </c>
      <c r="Q9" s="362">
        <f t="shared" si="3"/>
        <v>0</v>
      </c>
      <c r="R9" s="363">
        <f t="shared" si="4"/>
        <v>1578644.3825620466</v>
      </c>
      <c r="U9" s="365"/>
    </row>
    <row r="10" spans="1:25" ht="15" customHeight="1">
      <c r="A10" s="359" t="str">
        <f>'Func Future Lines 2015'!A10</f>
        <v>PPS</v>
      </c>
      <c r="B10" s="359" t="str">
        <f>'Func Future Lines 2015'!B10</f>
        <v>New 100m 138kV line 130L</v>
      </c>
      <c r="C10" s="359">
        <f>'Func Future Lines 2015'!C10</f>
        <v>580</v>
      </c>
      <c r="D10" s="359">
        <f>'Func Future Lines 2015'!D10</f>
        <v>138</v>
      </c>
      <c r="E10" s="359">
        <f>'Func Future Lines 2015'!E10</f>
        <v>0</v>
      </c>
      <c r="F10" s="359" t="str">
        <f>'Func Future Lines 2015'!F10</f>
        <v>Fort_MacLeod</v>
      </c>
      <c r="G10" s="359">
        <f>'Func Future Lines 2015'!G10</f>
        <v>1145283.5820895538</v>
      </c>
      <c r="H10" s="359" t="str">
        <f>'Func Future Lines 2015'!H10</f>
        <v>AltaLink</v>
      </c>
      <c r="I10" s="359">
        <f>'Func Future Lines 2015'!I10</f>
        <v>2019</v>
      </c>
      <c r="J10" s="361">
        <f>+IF($I10=J$3,VLOOKUP($H10,Depreciation!$A$6:$L$10,7,FALSE)/2,IF($I10&lt;J$3,VLOOKUP($H10,Depreciation!$A$6:$L$10,7,FALSE),0))</f>
        <v>0</v>
      </c>
      <c r="K10" s="361">
        <f>+IF($I10=K$3,VLOOKUP($H10,Depreciation!$A$6:$L$10,8,FALSE)/2,IF($I10&lt;K$3,VLOOKUP($H10,Depreciation!$A$6:$L$10,8,FALSE),0))</f>
        <v>0</v>
      </c>
      <c r="L10" s="361">
        <f>+IF($I10=L$3,VLOOKUP($H10,Depreciation!$A$6:$L$10,9,FALSE)/2,IF($I10&lt;L$3,VLOOKUP($H10,Depreciation!$A$6:$L$10,9,FALSE),0))</f>
        <v>0</v>
      </c>
      <c r="M10" s="361">
        <f>+IF($I10=M$3,VLOOKUP($H10,Depreciation!$A$6:$L$10,10,FALSE)/2,IF($I10&lt;M$3,VLOOKUP($H10,Depreciation!$A$6:$L$10,10,FALSE),0))</f>
        <v>0</v>
      </c>
      <c r="N10" s="361">
        <f>+IF($I10=N$3,VLOOKUP($H10,Depreciation!$A$6:$L$10,11,FALSE)/2,IF($I10&lt;N$3,VLOOKUP($H10,Depreciation!$A$6:$L$10,11,FALSE),0))</f>
        <v>1.5338181838063448E-2</v>
      </c>
      <c r="O10" s="361">
        <f>+IF($I10=O$3,VLOOKUP($H10,Depreciation!$A$6:$L$10,12,FALSE)/2,IF($I10&lt;O$3,VLOOKUP($H10,Depreciation!$A$6:$L$10,12,FALSE),0))</f>
        <v>3.0676363676126896E-2</v>
      </c>
      <c r="P10" s="362">
        <f t="shared" si="2"/>
        <v>0</v>
      </c>
      <c r="Q10" s="362">
        <f t="shared" si="3"/>
        <v>0</v>
      </c>
      <c r="R10" s="363">
        <f t="shared" si="4"/>
        <v>0</v>
      </c>
      <c r="U10" s="365"/>
    </row>
    <row r="11" spans="1:25" ht="15" customHeight="1">
      <c r="A11" s="359" t="str">
        <f>'Func Future Lines 2015'!A11</f>
        <v>FINAL</v>
      </c>
      <c r="B11" s="359" t="str">
        <f>'Func Future Lines 2015'!B11</f>
        <v>1054L/1061L</v>
      </c>
      <c r="C11" s="359">
        <f>'Func Future Lines 2015'!C11</f>
        <v>629</v>
      </c>
      <c r="D11" s="359">
        <f>'Func Future Lines 2015'!D11</f>
        <v>240</v>
      </c>
      <c r="E11" s="359">
        <f>'Func Future Lines 2015'!E11</f>
        <v>0</v>
      </c>
      <c r="F11" s="359">
        <f>'Func Future Lines 2015'!F11</f>
        <v>0</v>
      </c>
      <c r="G11" s="359">
        <f>'Func Future Lines 2015'!G11</f>
        <v>61619635.006528027</v>
      </c>
      <c r="H11" s="359" t="str">
        <f>'Func Future Lines 2015'!H11</f>
        <v>AltaLink</v>
      </c>
      <c r="I11" s="359">
        <f>'Func Future Lines 2015'!I11</f>
        <v>2015</v>
      </c>
      <c r="J11" s="361">
        <f>+IF($I11=J$3,VLOOKUP($H11,Depreciation!$A$6:$L$10,7,FALSE)/2,IF($I11&lt;J$3,VLOOKUP($H11,Depreciation!$A$6:$L$10,7,FALSE),0))</f>
        <v>1.595020804044691E-2</v>
      </c>
      <c r="K11" s="361">
        <f>+IF($I11=K$3,VLOOKUP($H11,Depreciation!$A$6:$L$10,8,FALSE)/2,IF($I11&lt;K$3,VLOOKUP($H11,Depreciation!$A$6:$L$10,8,FALSE),0))</f>
        <v>3.0676363676126896E-2</v>
      </c>
      <c r="L11" s="361">
        <f>+IF($I11=L$3,VLOOKUP($H11,Depreciation!$A$6:$L$10,9,FALSE)/2,IF($I11&lt;L$3,VLOOKUP($H11,Depreciation!$A$6:$L$10,9,FALSE),0))</f>
        <v>3.0676363676126896E-2</v>
      </c>
      <c r="M11" s="361">
        <f>+IF($I11=M$3,VLOOKUP($H11,Depreciation!$A$6:$L$10,10,FALSE)/2,IF($I11&lt;M$3,VLOOKUP($H11,Depreciation!$A$6:$L$10,10,FALSE),0))</f>
        <v>3.0676363676126896E-2</v>
      </c>
      <c r="N11" s="361">
        <f>+IF($I11=N$3,VLOOKUP($H11,Depreciation!$A$6:$L$10,11,FALSE)/2,IF($I11&lt;N$3,VLOOKUP($H11,Depreciation!$A$6:$L$10,11,FALSE),0))</f>
        <v>3.0676363676126896E-2</v>
      </c>
      <c r="O11" s="361">
        <f>+IF($I11=O$3,VLOOKUP($H11,Depreciation!$A$6:$L$10,12,FALSE)/2,IF($I11&lt;O$3,VLOOKUP($H11,Depreciation!$A$6:$L$10,12,FALSE),0))</f>
        <v>3.0676363676126896E-2</v>
      </c>
      <c r="P11" s="362">
        <f t="shared" si="2"/>
        <v>58776672.817011058</v>
      </c>
      <c r="Q11" s="362">
        <f t="shared" si="3"/>
        <v>58776672.817011058</v>
      </c>
      <c r="R11" s="363">
        <f t="shared" si="4"/>
        <v>0</v>
      </c>
      <c r="U11" s="365"/>
    </row>
    <row r="12" spans="1:25" ht="15" customHeight="1">
      <c r="A12" s="359" t="str">
        <f>'Func Future Lines 2015'!A12</f>
        <v>FINAL</v>
      </c>
      <c r="B12" s="359" t="str">
        <f>'Func Future Lines 2015'!B12</f>
        <v>1058L</v>
      </c>
      <c r="C12" s="359">
        <f>'Func Future Lines 2015'!C12</f>
        <v>629</v>
      </c>
      <c r="D12" s="359">
        <f>'Func Future Lines 2015'!D12</f>
        <v>240</v>
      </c>
      <c r="E12" s="359">
        <f>'Func Future Lines 2015'!E12</f>
        <v>0</v>
      </c>
      <c r="F12" s="359">
        <f>'Func Future Lines 2015'!F12</f>
        <v>0</v>
      </c>
      <c r="G12" s="359">
        <f>'Func Future Lines 2015'!G12</f>
        <v>2898036.7235482754</v>
      </c>
      <c r="H12" s="359" t="str">
        <f>'Func Future Lines 2015'!H12</f>
        <v>AltaLink</v>
      </c>
      <c r="I12" s="359">
        <f>'Func Future Lines 2015'!I12</f>
        <v>2015</v>
      </c>
      <c r="J12" s="361">
        <f>+IF($I12=J$3,VLOOKUP($H12,Depreciation!$A$6:$L$10,7,FALSE)/2,IF($I12&lt;J$3,VLOOKUP($H12,Depreciation!$A$6:$L$10,7,FALSE),0))</f>
        <v>1.595020804044691E-2</v>
      </c>
      <c r="K12" s="361">
        <f>+IF($I12=K$3,VLOOKUP($H12,Depreciation!$A$6:$L$10,8,FALSE)/2,IF($I12&lt;K$3,VLOOKUP($H12,Depreciation!$A$6:$L$10,8,FALSE),0))</f>
        <v>3.0676363676126896E-2</v>
      </c>
      <c r="L12" s="361">
        <f>+IF($I12=L$3,VLOOKUP($H12,Depreciation!$A$6:$L$10,9,FALSE)/2,IF($I12&lt;L$3,VLOOKUP($H12,Depreciation!$A$6:$L$10,9,FALSE),0))</f>
        <v>3.0676363676126896E-2</v>
      </c>
      <c r="M12" s="361">
        <f>+IF($I12=M$3,VLOOKUP($H12,Depreciation!$A$6:$L$10,10,FALSE)/2,IF($I12&lt;M$3,VLOOKUP($H12,Depreciation!$A$6:$L$10,10,FALSE),0))</f>
        <v>3.0676363676126896E-2</v>
      </c>
      <c r="N12" s="361">
        <f>+IF($I12=N$3,VLOOKUP($H12,Depreciation!$A$6:$L$10,11,FALSE)/2,IF($I12&lt;N$3,VLOOKUP($H12,Depreciation!$A$6:$L$10,11,FALSE),0))</f>
        <v>3.0676363676126896E-2</v>
      </c>
      <c r="O12" s="361">
        <f>+IF($I12=O$3,VLOOKUP($H12,Depreciation!$A$6:$L$10,12,FALSE)/2,IF($I12&lt;O$3,VLOOKUP($H12,Depreciation!$A$6:$L$10,12,FALSE),0))</f>
        <v>3.0676363676126896E-2</v>
      </c>
      <c r="P12" s="362">
        <f t="shared" si="2"/>
        <v>2764329.1995097678</v>
      </c>
      <c r="Q12" s="362">
        <f t="shared" si="3"/>
        <v>2764329.1995097678</v>
      </c>
      <c r="R12" s="363">
        <f t="shared" si="4"/>
        <v>0</v>
      </c>
      <c r="U12" s="365"/>
    </row>
    <row r="13" spans="1:25" ht="15" customHeight="1">
      <c r="A13" s="359" t="str">
        <f>'Func Future Lines 2015'!A13</f>
        <v>FINAL</v>
      </c>
      <c r="B13" s="359" t="str">
        <f>'Func Future Lines 2015'!B13</f>
        <v>1206L/1212L</v>
      </c>
      <c r="C13" s="359">
        <f>'Func Future Lines 2015'!C13</f>
        <v>629</v>
      </c>
      <c r="D13" s="359">
        <f>'Func Future Lines 2015'!D13</f>
        <v>500</v>
      </c>
      <c r="E13" s="359">
        <f>'Func Future Lines 2015'!E13</f>
        <v>0</v>
      </c>
      <c r="F13" s="359">
        <f>'Func Future Lines 2015'!F13</f>
        <v>0</v>
      </c>
      <c r="G13" s="359">
        <f>'Func Future Lines 2015'!G13</f>
        <v>530866409.86294144</v>
      </c>
      <c r="H13" s="359" t="str">
        <f>'Func Future Lines 2015'!H13</f>
        <v>AltaLink</v>
      </c>
      <c r="I13" s="359">
        <f>'Func Future Lines 2015'!I13</f>
        <v>2015</v>
      </c>
      <c r="J13" s="361">
        <f>+IF($I13=J$3,VLOOKUP($H13,Depreciation!$A$6:$L$10,7,FALSE)/2,IF($I13&lt;J$3,VLOOKUP($H13,Depreciation!$A$6:$L$10,7,FALSE),0))</f>
        <v>1.595020804044691E-2</v>
      </c>
      <c r="K13" s="361">
        <f>+IF($I13=K$3,VLOOKUP($H13,Depreciation!$A$6:$L$10,8,FALSE)/2,IF($I13&lt;K$3,VLOOKUP($H13,Depreciation!$A$6:$L$10,8,FALSE),0))</f>
        <v>3.0676363676126896E-2</v>
      </c>
      <c r="L13" s="361">
        <f>+IF($I13=L$3,VLOOKUP($H13,Depreciation!$A$6:$L$10,9,FALSE)/2,IF($I13&lt;L$3,VLOOKUP($H13,Depreciation!$A$6:$L$10,9,FALSE),0))</f>
        <v>3.0676363676126896E-2</v>
      </c>
      <c r="M13" s="361">
        <f>+IF($I13=M$3,VLOOKUP($H13,Depreciation!$A$6:$L$10,10,FALSE)/2,IF($I13&lt;M$3,VLOOKUP($H13,Depreciation!$A$6:$L$10,10,FALSE),0))</f>
        <v>3.0676363676126896E-2</v>
      </c>
      <c r="N13" s="361">
        <f>+IF($I13=N$3,VLOOKUP($H13,Depreciation!$A$6:$L$10,11,FALSE)/2,IF($I13&lt;N$3,VLOOKUP($H13,Depreciation!$A$6:$L$10,11,FALSE),0))</f>
        <v>3.0676363676126896E-2</v>
      </c>
      <c r="O13" s="361">
        <f>+IF($I13=O$3,VLOOKUP($H13,Depreciation!$A$6:$L$10,12,FALSE)/2,IF($I13&lt;O$3,VLOOKUP($H13,Depreciation!$A$6:$L$10,12,FALSE),0))</f>
        <v>3.0676363676126896E-2</v>
      </c>
      <c r="P13" s="362">
        <f t="shared" si="2"/>
        <v>506373679.08378196</v>
      </c>
      <c r="Q13" s="362">
        <f t="shared" si="3"/>
        <v>506373679.08378196</v>
      </c>
      <c r="R13" s="363">
        <f t="shared" si="4"/>
        <v>0</v>
      </c>
      <c r="U13" s="365"/>
    </row>
    <row r="14" spans="1:25" ht="15" customHeight="1">
      <c r="A14" s="359" t="str">
        <f>'Func Future Lines 2015'!A14</f>
        <v>FINAL</v>
      </c>
      <c r="B14" s="359" t="str">
        <f>'Func Future Lines 2015'!B14</f>
        <v>726L</v>
      </c>
      <c r="C14" s="359">
        <f>'Func Future Lines 2015'!C14</f>
        <v>629</v>
      </c>
      <c r="D14" s="359">
        <f>'Func Future Lines 2015'!D14</f>
        <v>138</v>
      </c>
      <c r="E14" s="359">
        <f>'Func Future Lines 2015'!E14</f>
        <v>0</v>
      </c>
      <c r="F14" s="359">
        <f>'Func Future Lines 2015'!F14</f>
        <v>0</v>
      </c>
      <c r="G14" s="359">
        <f>'Func Future Lines 2015'!G14</f>
        <v>702156.82391399238</v>
      </c>
      <c r="H14" s="359" t="str">
        <f>'Func Future Lines 2015'!H14</f>
        <v>AltaLink</v>
      </c>
      <c r="I14" s="359">
        <f>'Func Future Lines 2015'!I14</f>
        <v>2015</v>
      </c>
      <c r="J14" s="361">
        <f>+IF($I14=J$3,VLOOKUP($H14,Depreciation!$A$6:$L$10,7,FALSE)/2,IF($I14&lt;J$3,VLOOKUP($H14,Depreciation!$A$6:$L$10,7,FALSE),0))</f>
        <v>1.595020804044691E-2</v>
      </c>
      <c r="K14" s="361">
        <f>+IF($I14=K$3,VLOOKUP($H14,Depreciation!$A$6:$L$10,8,FALSE)/2,IF($I14&lt;K$3,VLOOKUP($H14,Depreciation!$A$6:$L$10,8,FALSE),0))</f>
        <v>3.0676363676126896E-2</v>
      </c>
      <c r="L14" s="361">
        <f>+IF($I14=L$3,VLOOKUP($H14,Depreciation!$A$6:$L$10,9,FALSE)/2,IF($I14&lt;L$3,VLOOKUP($H14,Depreciation!$A$6:$L$10,9,FALSE),0))</f>
        <v>3.0676363676126896E-2</v>
      </c>
      <c r="M14" s="361">
        <f>+IF($I14=M$3,VLOOKUP($H14,Depreciation!$A$6:$L$10,10,FALSE)/2,IF($I14&lt;M$3,VLOOKUP($H14,Depreciation!$A$6:$L$10,10,FALSE),0))</f>
        <v>3.0676363676126896E-2</v>
      </c>
      <c r="N14" s="361">
        <f>+IF($I14=N$3,VLOOKUP($H14,Depreciation!$A$6:$L$10,11,FALSE)/2,IF($I14&lt;N$3,VLOOKUP($H14,Depreciation!$A$6:$L$10,11,FALSE),0))</f>
        <v>3.0676363676126896E-2</v>
      </c>
      <c r="O14" s="361">
        <f>+IF($I14=O$3,VLOOKUP($H14,Depreciation!$A$6:$L$10,12,FALSE)/2,IF($I14&lt;O$3,VLOOKUP($H14,Depreciation!$A$6:$L$10,12,FALSE),0))</f>
        <v>3.0676363676126896E-2</v>
      </c>
      <c r="P14" s="362">
        <f t="shared" si="2"/>
        <v>669761.21979710134</v>
      </c>
      <c r="Q14" s="362">
        <f t="shared" si="3"/>
        <v>0</v>
      </c>
      <c r="R14" s="363">
        <f t="shared" si="4"/>
        <v>669761.21979710134</v>
      </c>
      <c r="Y14" s="365"/>
    </row>
    <row r="15" spans="1:25" ht="15" customHeight="1">
      <c r="A15" s="359" t="str">
        <f>'Func Future Lines 2015'!A15</f>
        <v>FINAL</v>
      </c>
      <c r="B15" s="359" t="str">
        <f>'Func Future Lines 2015'!B15</f>
        <v>731L</v>
      </c>
      <c r="C15" s="359">
        <f>'Func Future Lines 2015'!C15</f>
        <v>629</v>
      </c>
      <c r="D15" s="359">
        <f>'Func Future Lines 2015'!D15</f>
        <v>138</v>
      </c>
      <c r="E15" s="359">
        <f>'Func Future Lines 2015'!E15</f>
        <v>0</v>
      </c>
      <c r="F15" s="359">
        <f>'Func Future Lines 2015'!F15</f>
        <v>0</v>
      </c>
      <c r="G15" s="359">
        <f>'Func Future Lines 2015'!G15</f>
        <v>504109.03864587925</v>
      </c>
      <c r="H15" s="359" t="str">
        <f>'Func Future Lines 2015'!H15</f>
        <v>AltaLink</v>
      </c>
      <c r="I15" s="359">
        <f>'Func Future Lines 2015'!I15</f>
        <v>2015</v>
      </c>
      <c r="J15" s="361">
        <f>+IF($I15=J$3,VLOOKUP($H15,Depreciation!$A$6:$L$10,7,FALSE)/2,IF($I15&lt;J$3,VLOOKUP($H15,Depreciation!$A$6:$L$10,7,FALSE),0))</f>
        <v>1.595020804044691E-2</v>
      </c>
      <c r="K15" s="361">
        <f>+IF($I15=K$3,VLOOKUP($H15,Depreciation!$A$6:$L$10,8,FALSE)/2,IF($I15&lt;K$3,VLOOKUP($H15,Depreciation!$A$6:$L$10,8,FALSE),0))</f>
        <v>3.0676363676126896E-2</v>
      </c>
      <c r="L15" s="361">
        <f>+IF($I15=L$3,VLOOKUP($H15,Depreciation!$A$6:$L$10,9,FALSE)/2,IF($I15&lt;L$3,VLOOKUP($H15,Depreciation!$A$6:$L$10,9,FALSE),0))</f>
        <v>3.0676363676126896E-2</v>
      </c>
      <c r="M15" s="361">
        <f>+IF($I15=M$3,VLOOKUP($H15,Depreciation!$A$6:$L$10,10,FALSE)/2,IF($I15&lt;M$3,VLOOKUP($H15,Depreciation!$A$6:$L$10,10,FALSE),0))</f>
        <v>3.0676363676126896E-2</v>
      </c>
      <c r="N15" s="361">
        <f>+IF($I15=N$3,VLOOKUP($H15,Depreciation!$A$6:$L$10,11,FALSE)/2,IF($I15&lt;N$3,VLOOKUP($H15,Depreciation!$A$6:$L$10,11,FALSE),0))</f>
        <v>3.0676363676126896E-2</v>
      </c>
      <c r="O15" s="361">
        <f>+IF($I15=O$3,VLOOKUP($H15,Depreciation!$A$6:$L$10,12,FALSE)/2,IF($I15&lt;O$3,VLOOKUP($H15,Depreciation!$A$6:$L$10,12,FALSE),0))</f>
        <v>3.0676363676126896E-2</v>
      </c>
      <c r="P15" s="362">
        <f t="shared" si="2"/>
        <v>480850.82012329053</v>
      </c>
      <c r="Q15" s="362">
        <f t="shared" si="3"/>
        <v>0</v>
      </c>
      <c r="R15" s="363">
        <f t="shared" si="4"/>
        <v>480850.82012329053</v>
      </c>
      <c r="Y15" s="365"/>
    </row>
    <row r="16" spans="1:25" ht="15" customHeight="1">
      <c r="A16" s="359" t="str">
        <f>'Func Future Lines 2015'!A16</f>
        <v>FINAL</v>
      </c>
      <c r="B16" s="359" t="str">
        <f>'Func Future Lines 2015'!B16</f>
        <v>735L</v>
      </c>
      <c r="C16" s="359">
        <f>'Func Future Lines 2015'!C16</f>
        <v>629</v>
      </c>
      <c r="D16" s="359">
        <f>'Func Future Lines 2015'!D16</f>
        <v>138</v>
      </c>
      <c r="E16" s="359">
        <f>'Func Future Lines 2015'!E16</f>
        <v>0</v>
      </c>
      <c r="F16" s="359">
        <f>'Func Future Lines 2015'!F16</f>
        <v>0</v>
      </c>
      <c r="G16" s="359">
        <f>'Func Future Lines 2015'!G16</f>
        <v>2727.7774922550475</v>
      </c>
      <c r="H16" s="359" t="str">
        <f>'Func Future Lines 2015'!H16</f>
        <v>AltaLink</v>
      </c>
      <c r="I16" s="359">
        <f>'Func Future Lines 2015'!I16</f>
        <v>2015</v>
      </c>
      <c r="J16" s="361">
        <f>+IF($I16=J$3,VLOOKUP($H16,Depreciation!$A$6:$L$10,7,FALSE)/2,IF($I16&lt;J$3,VLOOKUP($H16,Depreciation!$A$6:$L$10,7,FALSE),0))</f>
        <v>1.595020804044691E-2</v>
      </c>
      <c r="K16" s="361">
        <f>+IF($I16=K$3,VLOOKUP($H16,Depreciation!$A$6:$L$10,8,FALSE)/2,IF($I16&lt;K$3,VLOOKUP($H16,Depreciation!$A$6:$L$10,8,FALSE),0))</f>
        <v>3.0676363676126896E-2</v>
      </c>
      <c r="L16" s="361">
        <f>+IF($I16=L$3,VLOOKUP($H16,Depreciation!$A$6:$L$10,9,FALSE)/2,IF($I16&lt;L$3,VLOOKUP($H16,Depreciation!$A$6:$L$10,9,FALSE),0))</f>
        <v>3.0676363676126896E-2</v>
      </c>
      <c r="M16" s="361">
        <f>+IF($I16=M$3,VLOOKUP($H16,Depreciation!$A$6:$L$10,10,FALSE)/2,IF($I16&lt;M$3,VLOOKUP($H16,Depreciation!$A$6:$L$10,10,FALSE),0))</f>
        <v>3.0676363676126896E-2</v>
      </c>
      <c r="N16" s="361">
        <f>+IF($I16=N$3,VLOOKUP($H16,Depreciation!$A$6:$L$10,11,FALSE)/2,IF($I16&lt;N$3,VLOOKUP($H16,Depreciation!$A$6:$L$10,11,FALSE),0))</f>
        <v>3.0676363676126896E-2</v>
      </c>
      <c r="O16" s="361">
        <f>+IF($I16=O$3,VLOOKUP($H16,Depreciation!$A$6:$L$10,12,FALSE)/2,IF($I16&lt;O$3,VLOOKUP($H16,Depreciation!$A$6:$L$10,12,FALSE),0))</f>
        <v>3.0676363676126896E-2</v>
      </c>
      <c r="P16" s="362">
        <f t="shared" si="2"/>
        <v>2601.9252655893915</v>
      </c>
      <c r="Q16" s="362">
        <f t="shared" si="3"/>
        <v>0</v>
      </c>
      <c r="R16" s="363">
        <f t="shared" si="4"/>
        <v>2601.9252655893915</v>
      </c>
      <c r="Y16" s="365"/>
    </row>
    <row r="17" spans="1:25" ht="15" customHeight="1">
      <c r="A17" s="359" t="str">
        <f>'Func Future Lines 2015'!A17</f>
        <v>FINAL</v>
      </c>
      <c r="B17" s="359" t="str">
        <f>'Func Future Lines 2015'!B17</f>
        <v>746L</v>
      </c>
      <c r="C17" s="359">
        <f>'Func Future Lines 2015'!C17</f>
        <v>629</v>
      </c>
      <c r="D17" s="359">
        <f>'Func Future Lines 2015'!D17</f>
        <v>138</v>
      </c>
      <c r="E17" s="359">
        <f>'Func Future Lines 2015'!E17</f>
        <v>0</v>
      </c>
      <c r="F17" s="359">
        <f>'Func Future Lines 2015'!F17</f>
        <v>0</v>
      </c>
      <c r="G17" s="359">
        <f>'Func Future Lines 2015'!G17</f>
        <v>227994.9241210825</v>
      </c>
      <c r="H17" s="359" t="str">
        <f>'Func Future Lines 2015'!H17</f>
        <v>AltaLink</v>
      </c>
      <c r="I17" s="359">
        <f>'Func Future Lines 2015'!I17</f>
        <v>2015</v>
      </c>
      <c r="J17" s="361">
        <f>+IF($I17=J$3,VLOOKUP($H17,Depreciation!$A$6:$L$10,7,FALSE)/2,IF($I17&lt;J$3,VLOOKUP($H17,Depreciation!$A$6:$L$10,7,FALSE),0))</f>
        <v>1.595020804044691E-2</v>
      </c>
      <c r="K17" s="361">
        <f>+IF($I17=K$3,VLOOKUP($H17,Depreciation!$A$6:$L$10,8,FALSE)/2,IF($I17&lt;K$3,VLOOKUP($H17,Depreciation!$A$6:$L$10,8,FALSE),0))</f>
        <v>3.0676363676126896E-2</v>
      </c>
      <c r="L17" s="361">
        <f>+IF($I17=L$3,VLOOKUP($H17,Depreciation!$A$6:$L$10,9,FALSE)/2,IF($I17&lt;L$3,VLOOKUP($H17,Depreciation!$A$6:$L$10,9,FALSE),0))</f>
        <v>3.0676363676126896E-2</v>
      </c>
      <c r="M17" s="361">
        <f>+IF($I17=M$3,VLOOKUP($H17,Depreciation!$A$6:$L$10,10,FALSE)/2,IF($I17&lt;M$3,VLOOKUP($H17,Depreciation!$A$6:$L$10,10,FALSE),0))</f>
        <v>3.0676363676126896E-2</v>
      </c>
      <c r="N17" s="361">
        <f>+IF($I17=N$3,VLOOKUP($H17,Depreciation!$A$6:$L$10,11,FALSE)/2,IF($I17&lt;N$3,VLOOKUP($H17,Depreciation!$A$6:$L$10,11,FALSE),0))</f>
        <v>3.0676363676126896E-2</v>
      </c>
      <c r="O17" s="361">
        <f>+IF($I17=O$3,VLOOKUP($H17,Depreciation!$A$6:$L$10,12,FALSE)/2,IF($I17&lt;O$3,VLOOKUP($H17,Depreciation!$A$6:$L$10,12,FALSE),0))</f>
        <v>3.0676363676126896E-2</v>
      </c>
      <c r="P17" s="362">
        <f t="shared" si="2"/>
        <v>217475.85907616036</v>
      </c>
      <c r="Q17" s="362">
        <f t="shared" si="3"/>
        <v>0</v>
      </c>
      <c r="R17" s="363">
        <f t="shared" si="4"/>
        <v>217475.85907616036</v>
      </c>
      <c r="Y17" s="365"/>
    </row>
    <row r="18" spans="1:25" ht="15" customHeight="1">
      <c r="A18" s="359" t="str">
        <f>'Func Future Lines 2015'!A18</f>
        <v>FINAL</v>
      </c>
      <c r="B18" s="359" t="str">
        <f>'Func Future Lines 2015'!B18</f>
        <v>780L</v>
      </c>
      <c r="C18" s="359">
        <f>'Func Future Lines 2015'!C18</f>
        <v>629</v>
      </c>
      <c r="D18" s="359">
        <f>'Func Future Lines 2015'!D18</f>
        <v>138</v>
      </c>
      <c r="E18" s="359">
        <f>'Func Future Lines 2015'!E18</f>
        <v>0</v>
      </c>
      <c r="F18" s="359">
        <f>'Func Future Lines 2015'!F18</f>
        <v>0</v>
      </c>
      <c r="G18" s="359">
        <f>'Func Future Lines 2015'!G18</f>
        <v>383859.96701394476</v>
      </c>
      <c r="H18" s="359" t="str">
        <f>'Func Future Lines 2015'!H18</f>
        <v>AltaLink</v>
      </c>
      <c r="I18" s="359">
        <f>'Func Future Lines 2015'!I18</f>
        <v>2015</v>
      </c>
      <c r="J18" s="361">
        <f>+IF($I18=J$3,VLOOKUP($H18,Depreciation!$A$6:$L$10,7,FALSE)/2,IF($I18&lt;J$3,VLOOKUP($H18,Depreciation!$A$6:$L$10,7,FALSE),0))</f>
        <v>1.595020804044691E-2</v>
      </c>
      <c r="K18" s="361">
        <f>+IF($I18=K$3,VLOOKUP($H18,Depreciation!$A$6:$L$10,8,FALSE)/2,IF($I18&lt;K$3,VLOOKUP($H18,Depreciation!$A$6:$L$10,8,FALSE),0))</f>
        <v>3.0676363676126896E-2</v>
      </c>
      <c r="L18" s="361">
        <f>+IF($I18=L$3,VLOOKUP($H18,Depreciation!$A$6:$L$10,9,FALSE)/2,IF($I18&lt;L$3,VLOOKUP($H18,Depreciation!$A$6:$L$10,9,FALSE),0))</f>
        <v>3.0676363676126896E-2</v>
      </c>
      <c r="M18" s="361">
        <f>+IF($I18=M$3,VLOOKUP($H18,Depreciation!$A$6:$L$10,10,FALSE)/2,IF($I18&lt;M$3,VLOOKUP($H18,Depreciation!$A$6:$L$10,10,FALSE),0))</f>
        <v>3.0676363676126896E-2</v>
      </c>
      <c r="N18" s="361">
        <f>+IF($I18=N$3,VLOOKUP($H18,Depreciation!$A$6:$L$10,11,FALSE)/2,IF($I18&lt;N$3,VLOOKUP($H18,Depreciation!$A$6:$L$10,11,FALSE),0))</f>
        <v>3.0676363676126896E-2</v>
      </c>
      <c r="O18" s="361">
        <f>+IF($I18=O$3,VLOOKUP($H18,Depreciation!$A$6:$L$10,12,FALSE)/2,IF($I18&lt;O$3,VLOOKUP($H18,Depreciation!$A$6:$L$10,12,FALSE),0))</f>
        <v>3.0676363676126896E-2</v>
      </c>
      <c r="P18" s="362">
        <f t="shared" si="2"/>
        <v>366149.71325839648</v>
      </c>
      <c r="Q18" s="362">
        <f t="shared" si="3"/>
        <v>0</v>
      </c>
      <c r="R18" s="363">
        <f t="shared" si="4"/>
        <v>366149.71325839648</v>
      </c>
      <c r="Y18" s="365"/>
    </row>
    <row r="19" spans="1:25" ht="15" customHeight="1">
      <c r="A19" s="359" t="str">
        <f>'Func Future Lines 2015'!A19</f>
        <v>FINAL</v>
      </c>
      <c r="B19" s="359" t="str">
        <f>'Func Future Lines 2015'!B19</f>
        <v>783L</v>
      </c>
      <c r="C19" s="359">
        <f>'Func Future Lines 2015'!C19</f>
        <v>629</v>
      </c>
      <c r="D19" s="359">
        <f>'Func Future Lines 2015'!D19</f>
        <v>138</v>
      </c>
      <c r="E19" s="359">
        <f>'Func Future Lines 2015'!E19</f>
        <v>0</v>
      </c>
      <c r="F19" s="359">
        <f>'Func Future Lines 2015'!F19</f>
        <v>0</v>
      </c>
      <c r="G19" s="359">
        <f>'Func Future Lines 2015'!G19</f>
        <v>455201.94438484032</v>
      </c>
      <c r="H19" s="359" t="str">
        <f>'Func Future Lines 2015'!H19</f>
        <v>AltaLink</v>
      </c>
      <c r="I19" s="359">
        <f>'Func Future Lines 2015'!I19</f>
        <v>2015</v>
      </c>
      <c r="J19" s="361">
        <f>+IF($I19=J$3,VLOOKUP($H19,Depreciation!$A$6:$L$10,7,FALSE)/2,IF($I19&lt;J$3,VLOOKUP($H19,Depreciation!$A$6:$L$10,7,FALSE),0))</f>
        <v>1.595020804044691E-2</v>
      </c>
      <c r="K19" s="361">
        <f>+IF($I19=K$3,VLOOKUP($H19,Depreciation!$A$6:$L$10,8,FALSE)/2,IF($I19&lt;K$3,VLOOKUP($H19,Depreciation!$A$6:$L$10,8,FALSE),0))</f>
        <v>3.0676363676126896E-2</v>
      </c>
      <c r="L19" s="361">
        <f>+IF($I19=L$3,VLOOKUP($H19,Depreciation!$A$6:$L$10,9,FALSE)/2,IF($I19&lt;L$3,VLOOKUP($H19,Depreciation!$A$6:$L$10,9,FALSE),0))</f>
        <v>3.0676363676126896E-2</v>
      </c>
      <c r="M19" s="361">
        <f>+IF($I19=M$3,VLOOKUP($H19,Depreciation!$A$6:$L$10,10,FALSE)/2,IF($I19&lt;M$3,VLOOKUP($H19,Depreciation!$A$6:$L$10,10,FALSE),0))</f>
        <v>3.0676363676126896E-2</v>
      </c>
      <c r="N19" s="361">
        <f>+IF($I19=N$3,VLOOKUP($H19,Depreciation!$A$6:$L$10,11,FALSE)/2,IF($I19&lt;N$3,VLOOKUP($H19,Depreciation!$A$6:$L$10,11,FALSE),0))</f>
        <v>3.0676363676126896E-2</v>
      </c>
      <c r="O19" s="361">
        <f>+IF($I19=O$3,VLOOKUP($H19,Depreciation!$A$6:$L$10,12,FALSE)/2,IF($I19&lt;O$3,VLOOKUP($H19,Depreciation!$A$6:$L$10,12,FALSE),0))</f>
        <v>3.0676363676126896E-2</v>
      </c>
      <c r="P19" s="362">
        <f t="shared" si="2"/>
        <v>434200.16603377397</v>
      </c>
      <c r="Q19" s="362">
        <f t="shared" si="3"/>
        <v>0</v>
      </c>
      <c r="R19" s="363">
        <f t="shared" si="4"/>
        <v>434200.16603377397</v>
      </c>
      <c r="Y19" s="365"/>
    </row>
    <row r="20" spans="1:25" ht="15" customHeight="1">
      <c r="A20" s="359" t="str">
        <f>'Func Future Lines 2015'!A20</f>
        <v>FINAL</v>
      </c>
      <c r="B20" s="359" t="str">
        <f>'Func Future Lines 2015'!B20</f>
        <v>874L</v>
      </c>
      <c r="C20" s="359">
        <f>'Func Future Lines 2015'!C20</f>
        <v>629</v>
      </c>
      <c r="D20" s="359">
        <f>'Func Future Lines 2015'!D20</f>
        <v>138</v>
      </c>
      <c r="E20" s="359">
        <f>'Func Future Lines 2015'!E20</f>
        <v>0</v>
      </c>
      <c r="F20" s="359">
        <f>'Func Future Lines 2015'!F20</f>
        <v>0</v>
      </c>
      <c r="G20" s="359">
        <f>'Func Future Lines 2015'!G20</f>
        <v>17456.145804520598</v>
      </c>
      <c r="H20" s="359" t="str">
        <f>'Func Future Lines 2015'!H20</f>
        <v>AltaLink</v>
      </c>
      <c r="I20" s="359">
        <f>'Func Future Lines 2015'!I20</f>
        <v>2015</v>
      </c>
      <c r="J20" s="361">
        <f>+IF($I20=J$3,VLOOKUP($H20,Depreciation!$A$6:$L$10,7,FALSE)/2,IF($I20&lt;J$3,VLOOKUP($H20,Depreciation!$A$6:$L$10,7,FALSE),0))</f>
        <v>1.595020804044691E-2</v>
      </c>
      <c r="K20" s="361">
        <f>+IF($I20=K$3,VLOOKUP($H20,Depreciation!$A$6:$L$10,8,FALSE)/2,IF($I20&lt;K$3,VLOOKUP($H20,Depreciation!$A$6:$L$10,8,FALSE),0))</f>
        <v>3.0676363676126896E-2</v>
      </c>
      <c r="L20" s="361">
        <f>+IF($I20=L$3,VLOOKUP($H20,Depreciation!$A$6:$L$10,9,FALSE)/2,IF($I20&lt;L$3,VLOOKUP($H20,Depreciation!$A$6:$L$10,9,FALSE),0))</f>
        <v>3.0676363676126896E-2</v>
      </c>
      <c r="M20" s="361">
        <f>+IF($I20=M$3,VLOOKUP($H20,Depreciation!$A$6:$L$10,10,FALSE)/2,IF($I20&lt;M$3,VLOOKUP($H20,Depreciation!$A$6:$L$10,10,FALSE),0))</f>
        <v>3.0676363676126896E-2</v>
      </c>
      <c r="N20" s="361">
        <f>+IF($I20=N$3,VLOOKUP($H20,Depreciation!$A$6:$L$10,11,FALSE)/2,IF($I20&lt;N$3,VLOOKUP($H20,Depreciation!$A$6:$L$10,11,FALSE),0))</f>
        <v>3.0676363676126896E-2</v>
      </c>
      <c r="O20" s="361">
        <f>+IF($I20=O$3,VLOOKUP($H20,Depreciation!$A$6:$L$10,12,FALSE)/2,IF($I20&lt;O$3,VLOOKUP($H20,Depreciation!$A$6:$L$10,12,FALSE),0))</f>
        <v>3.0676363676126896E-2</v>
      </c>
      <c r="P20" s="362">
        <f t="shared" si="2"/>
        <v>16650.766764354426</v>
      </c>
      <c r="Q20" s="362">
        <f t="shared" si="3"/>
        <v>0</v>
      </c>
      <c r="R20" s="363">
        <f t="shared" si="4"/>
        <v>16650.766764354426</v>
      </c>
      <c r="Y20" s="365"/>
    </row>
    <row r="21" spans="1:25" ht="15" customHeight="1">
      <c r="A21" s="359" t="str">
        <f>'Func Future Lines 2015'!A21</f>
        <v>FINAL</v>
      </c>
      <c r="B21" s="359" t="str">
        <f>'Func Future Lines 2015'!B21</f>
        <v>908L</v>
      </c>
      <c r="C21" s="359">
        <f>'Func Future Lines 2015'!C21</f>
        <v>629</v>
      </c>
      <c r="D21" s="359">
        <f>'Func Future Lines 2015'!D21</f>
        <v>240</v>
      </c>
      <c r="E21" s="359">
        <f>'Func Future Lines 2015'!E21</f>
        <v>0</v>
      </c>
      <c r="F21" s="359">
        <f>'Func Future Lines 2015'!F21</f>
        <v>0</v>
      </c>
      <c r="G21" s="359">
        <f>'Func Future Lines 2015'!G21</f>
        <v>2529823.4403768573</v>
      </c>
      <c r="H21" s="359" t="str">
        <f>'Func Future Lines 2015'!H21</f>
        <v>AltaLink</v>
      </c>
      <c r="I21" s="359">
        <f>'Func Future Lines 2015'!I21</f>
        <v>2015</v>
      </c>
      <c r="J21" s="361">
        <f>+IF($I21=J$3,VLOOKUP($H21,Depreciation!$A$6:$L$10,7,FALSE)/2,IF($I21&lt;J$3,VLOOKUP($H21,Depreciation!$A$6:$L$10,7,FALSE),0))</f>
        <v>1.595020804044691E-2</v>
      </c>
      <c r="K21" s="361">
        <f>+IF($I21=K$3,VLOOKUP($H21,Depreciation!$A$6:$L$10,8,FALSE)/2,IF($I21&lt;K$3,VLOOKUP($H21,Depreciation!$A$6:$L$10,8,FALSE),0))</f>
        <v>3.0676363676126896E-2</v>
      </c>
      <c r="L21" s="361">
        <f>+IF($I21=L$3,VLOOKUP($H21,Depreciation!$A$6:$L$10,9,FALSE)/2,IF($I21&lt;L$3,VLOOKUP($H21,Depreciation!$A$6:$L$10,9,FALSE),0))</f>
        <v>3.0676363676126896E-2</v>
      </c>
      <c r="M21" s="361">
        <f>+IF($I21=M$3,VLOOKUP($H21,Depreciation!$A$6:$L$10,10,FALSE)/2,IF($I21&lt;M$3,VLOOKUP($H21,Depreciation!$A$6:$L$10,10,FALSE),0))</f>
        <v>3.0676363676126896E-2</v>
      </c>
      <c r="N21" s="361">
        <f>+IF($I21=N$3,VLOOKUP($H21,Depreciation!$A$6:$L$10,11,FALSE)/2,IF($I21&lt;N$3,VLOOKUP($H21,Depreciation!$A$6:$L$10,11,FALSE),0))</f>
        <v>3.0676363676126896E-2</v>
      </c>
      <c r="O21" s="361">
        <f>+IF($I21=O$3,VLOOKUP($H21,Depreciation!$A$6:$L$10,12,FALSE)/2,IF($I21&lt;O$3,VLOOKUP($H21,Depreciation!$A$6:$L$10,12,FALSE),0))</f>
        <v>3.0676363676126896E-2</v>
      </c>
      <c r="P21" s="362">
        <f t="shared" si="2"/>
        <v>2413104.2747020978</v>
      </c>
      <c r="Q21" s="362">
        <f t="shared" si="3"/>
        <v>2413104.2747020978</v>
      </c>
      <c r="R21" s="363">
        <f t="shared" si="4"/>
        <v>0</v>
      </c>
      <c r="Y21" s="365"/>
    </row>
    <row r="22" spans="1:25" ht="15" customHeight="1">
      <c r="A22" s="359" t="str">
        <f>'Func Future Lines 2015'!A22</f>
        <v>FINAL</v>
      </c>
      <c r="B22" s="359" t="str">
        <f>'Func Future Lines 2015'!B22</f>
        <v>920/921L</v>
      </c>
      <c r="C22" s="359">
        <f>'Func Future Lines 2015'!C22</f>
        <v>629</v>
      </c>
      <c r="D22" s="359">
        <f>'Func Future Lines 2015'!D22</f>
        <v>240</v>
      </c>
      <c r="E22" s="359">
        <f>'Func Future Lines 2015'!E22</f>
        <v>0</v>
      </c>
      <c r="F22" s="359">
        <f>'Func Future Lines 2015'!F22</f>
        <v>0</v>
      </c>
      <c r="G22" s="359">
        <f>'Func Future Lines 2015'!G22</f>
        <v>6789772.358134713</v>
      </c>
      <c r="H22" s="359" t="str">
        <f>'Func Future Lines 2015'!H22</f>
        <v>AltaLink</v>
      </c>
      <c r="I22" s="359">
        <f>'Func Future Lines 2015'!I22</f>
        <v>2015</v>
      </c>
      <c r="J22" s="361">
        <f>+IF($I22=J$3,VLOOKUP($H22,Depreciation!$A$6:$L$10,7,FALSE)/2,IF($I22&lt;J$3,VLOOKUP($H22,Depreciation!$A$6:$L$10,7,FALSE),0))</f>
        <v>1.595020804044691E-2</v>
      </c>
      <c r="K22" s="361">
        <f>+IF($I22=K$3,VLOOKUP($H22,Depreciation!$A$6:$L$10,8,FALSE)/2,IF($I22&lt;K$3,VLOOKUP($H22,Depreciation!$A$6:$L$10,8,FALSE),0))</f>
        <v>3.0676363676126896E-2</v>
      </c>
      <c r="L22" s="361">
        <f>+IF($I22=L$3,VLOOKUP($H22,Depreciation!$A$6:$L$10,9,FALSE)/2,IF($I22&lt;L$3,VLOOKUP($H22,Depreciation!$A$6:$L$10,9,FALSE),0))</f>
        <v>3.0676363676126896E-2</v>
      </c>
      <c r="M22" s="361">
        <f>+IF($I22=M$3,VLOOKUP($H22,Depreciation!$A$6:$L$10,10,FALSE)/2,IF($I22&lt;M$3,VLOOKUP($H22,Depreciation!$A$6:$L$10,10,FALSE),0))</f>
        <v>3.0676363676126896E-2</v>
      </c>
      <c r="N22" s="361">
        <f>+IF($I22=N$3,VLOOKUP($H22,Depreciation!$A$6:$L$10,11,FALSE)/2,IF($I22&lt;N$3,VLOOKUP($H22,Depreciation!$A$6:$L$10,11,FALSE),0))</f>
        <v>3.0676363676126896E-2</v>
      </c>
      <c r="O22" s="361">
        <f>+IF($I22=O$3,VLOOKUP($H22,Depreciation!$A$6:$L$10,12,FALSE)/2,IF($I22&lt;O$3,VLOOKUP($H22,Depreciation!$A$6:$L$10,12,FALSE),0))</f>
        <v>3.0676363676126896E-2</v>
      </c>
      <c r="P22" s="362">
        <f t="shared" si="2"/>
        <v>6476510.7478126222</v>
      </c>
      <c r="Q22" s="362">
        <f t="shared" si="3"/>
        <v>6476510.7478126222</v>
      </c>
      <c r="R22" s="363">
        <f t="shared" si="4"/>
        <v>0</v>
      </c>
      <c r="Y22" s="365"/>
    </row>
    <row r="23" spans="1:25" ht="15" customHeight="1">
      <c r="A23" s="359" t="str">
        <f>'Func Future Lines 2015'!A23</f>
        <v>FINAL</v>
      </c>
      <c r="B23" s="359" t="str">
        <f>'Func Future Lines 2015'!B23</f>
        <v>946L</v>
      </c>
      <c r="C23" s="359">
        <f>'Func Future Lines 2015'!C23</f>
        <v>629</v>
      </c>
      <c r="D23" s="359">
        <f>'Func Future Lines 2015'!D23</f>
        <v>240</v>
      </c>
      <c r="E23" s="359">
        <f>'Func Future Lines 2015'!E23</f>
        <v>0</v>
      </c>
      <c r="F23" s="359">
        <f>'Func Future Lines 2015'!F23</f>
        <v>0</v>
      </c>
      <c r="G23" s="359">
        <f>'Func Future Lines 2015'!G23</f>
        <v>2351204.2774664294</v>
      </c>
      <c r="H23" s="359" t="str">
        <f>'Func Future Lines 2015'!H23</f>
        <v>AltaLink</v>
      </c>
      <c r="I23" s="359">
        <f>'Func Future Lines 2015'!I23</f>
        <v>2015</v>
      </c>
      <c r="J23" s="361">
        <f>+IF($I23=J$3,VLOOKUP($H23,Depreciation!$A$6:$L$10,7,FALSE)/2,IF($I23&lt;J$3,VLOOKUP($H23,Depreciation!$A$6:$L$10,7,FALSE),0))</f>
        <v>1.595020804044691E-2</v>
      </c>
      <c r="K23" s="361">
        <f>+IF($I23=K$3,VLOOKUP($H23,Depreciation!$A$6:$L$10,8,FALSE)/2,IF($I23&lt;K$3,VLOOKUP($H23,Depreciation!$A$6:$L$10,8,FALSE),0))</f>
        <v>3.0676363676126896E-2</v>
      </c>
      <c r="L23" s="361">
        <f>+IF($I23=L$3,VLOOKUP($H23,Depreciation!$A$6:$L$10,9,FALSE)/2,IF($I23&lt;L$3,VLOOKUP($H23,Depreciation!$A$6:$L$10,9,FALSE),0))</f>
        <v>3.0676363676126896E-2</v>
      </c>
      <c r="M23" s="361">
        <f>+IF($I23=M$3,VLOOKUP($H23,Depreciation!$A$6:$L$10,10,FALSE)/2,IF($I23&lt;M$3,VLOOKUP($H23,Depreciation!$A$6:$L$10,10,FALSE),0))</f>
        <v>3.0676363676126896E-2</v>
      </c>
      <c r="N23" s="361">
        <f>+IF($I23=N$3,VLOOKUP($H23,Depreciation!$A$6:$L$10,11,FALSE)/2,IF($I23&lt;N$3,VLOOKUP($H23,Depreciation!$A$6:$L$10,11,FALSE),0))</f>
        <v>3.0676363676126896E-2</v>
      </c>
      <c r="O23" s="361">
        <f>+IF($I23=O$3,VLOOKUP($H23,Depreciation!$A$6:$L$10,12,FALSE)/2,IF($I23&lt;O$3,VLOOKUP($H23,Depreciation!$A$6:$L$10,12,FALSE),0))</f>
        <v>3.0676363676126896E-2</v>
      </c>
      <c r="P23" s="362">
        <f t="shared" si="2"/>
        <v>2242726.1136480379</v>
      </c>
      <c r="Q23" s="362">
        <f t="shared" si="3"/>
        <v>2242726.1136480379</v>
      </c>
      <c r="R23" s="363">
        <f t="shared" si="4"/>
        <v>0</v>
      </c>
      <c r="Y23" s="365"/>
    </row>
    <row r="24" spans="1:25" ht="15" customHeight="1">
      <c r="A24" s="359" t="str">
        <f>'Func Future Lines 2015'!A24</f>
        <v>FINAL</v>
      </c>
      <c r="B24" s="359" t="str">
        <f>'Func Future Lines 2015'!B24</f>
        <v>947L</v>
      </c>
      <c r="C24" s="359">
        <f>'Func Future Lines 2015'!C24</f>
        <v>629</v>
      </c>
      <c r="D24" s="359">
        <f>'Func Future Lines 2015'!D24</f>
        <v>240</v>
      </c>
      <c r="E24" s="359">
        <f>'Func Future Lines 2015'!E24</f>
        <v>0</v>
      </c>
      <c r="F24" s="359">
        <f>'Func Future Lines 2015'!F24</f>
        <v>0</v>
      </c>
      <c r="G24" s="359">
        <f>'Func Future Lines 2015'!G24</f>
        <v>1685761.0563939137</v>
      </c>
      <c r="H24" s="359" t="str">
        <f>'Func Future Lines 2015'!H24</f>
        <v>AltaLink</v>
      </c>
      <c r="I24" s="359">
        <f>'Func Future Lines 2015'!I24</f>
        <v>2015</v>
      </c>
      <c r="J24" s="361">
        <f>+IF($I24=J$3,VLOOKUP($H24,Depreciation!$A$6:$L$10,7,FALSE)/2,IF($I24&lt;J$3,VLOOKUP($H24,Depreciation!$A$6:$L$10,7,FALSE),0))</f>
        <v>1.595020804044691E-2</v>
      </c>
      <c r="K24" s="361">
        <f>+IF($I24=K$3,VLOOKUP($H24,Depreciation!$A$6:$L$10,8,FALSE)/2,IF($I24&lt;K$3,VLOOKUP($H24,Depreciation!$A$6:$L$10,8,FALSE),0))</f>
        <v>3.0676363676126896E-2</v>
      </c>
      <c r="L24" s="361">
        <f>+IF($I24=L$3,VLOOKUP($H24,Depreciation!$A$6:$L$10,9,FALSE)/2,IF($I24&lt;L$3,VLOOKUP($H24,Depreciation!$A$6:$L$10,9,FALSE),0))</f>
        <v>3.0676363676126896E-2</v>
      </c>
      <c r="M24" s="361">
        <f>+IF($I24=M$3,VLOOKUP($H24,Depreciation!$A$6:$L$10,10,FALSE)/2,IF($I24&lt;M$3,VLOOKUP($H24,Depreciation!$A$6:$L$10,10,FALSE),0))</f>
        <v>3.0676363676126896E-2</v>
      </c>
      <c r="N24" s="361">
        <f>+IF($I24=N$3,VLOOKUP($H24,Depreciation!$A$6:$L$10,11,FALSE)/2,IF($I24&lt;N$3,VLOOKUP($H24,Depreciation!$A$6:$L$10,11,FALSE),0))</f>
        <v>3.0676363676126896E-2</v>
      </c>
      <c r="O24" s="361">
        <f>+IF($I24=O$3,VLOOKUP($H24,Depreciation!$A$6:$L$10,12,FALSE)/2,IF($I24&lt;O$3,VLOOKUP($H24,Depreciation!$A$6:$L$10,12,FALSE),0))</f>
        <v>3.0676363676126896E-2</v>
      </c>
      <c r="P24" s="362">
        <f t="shared" si="2"/>
        <v>1607984.6310161855</v>
      </c>
      <c r="Q24" s="362">
        <f t="shared" si="3"/>
        <v>1607984.6310161855</v>
      </c>
      <c r="R24" s="363">
        <f t="shared" si="4"/>
        <v>0</v>
      </c>
      <c r="Y24" s="365"/>
    </row>
    <row r="25" spans="1:25" ht="15" customHeight="1">
      <c r="A25" s="359" t="str">
        <f>'Func Future Lines 2015'!A25</f>
        <v>PPS</v>
      </c>
      <c r="B25" s="359" t="str">
        <f>'Func Future Lines 2015'!B25</f>
        <v>9L12</v>
      </c>
      <c r="C25" s="359">
        <f>'Func Future Lines 2015'!C25</f>
        <v>635</v>
      </c>
      <c r="D25" s="359">
        <f>'Func Future Lines 2015'!D25</f>
        <v>240</v>
      </c>
      <c r="E25" s="359">
        <f>'Func Future Lines 2015'!E25</f>
        <v>0</v>
      </c>
      <c r="F25" s="359" t="str">
        <f>'Func Future Lines 2015'!F25</f>
        <v>Hanna</v>
      </c>
      <c r="G25" s="359">
        <f>'Func Future Lines 2015'!G25</f>
        <v>427021.60758395493</v>
      </c>
      <c r="H25" s="359" t="str">
        <f>'Func Future Lines 2015'!H25</f>
        <v>ATCO</v>
      </c>
      <c r="I25" s="359">
        <f>'Func Future Lines 2015'!I25</f>
        <v>2019</v>
      </c>
      <c r="J25" s="361">
        <f>+IF($I25=J$3,VLOOKUP($H25,Depreciation!$A$6:$L$10,7,FALSE)/2,IF($I25&lt;J$3,VLOOKUP($H25,Depreciation!$A$6:$L$10,7,FALSE),0))</f>
        <v>0</v>
      </c>
      <c r="K25" s="361">
        <f>+IF($I25=K$3,VLOOKUP($H25,Depreciation!$A$6:$L$10,8,FALSE)/2,IF($I25&lt;K$3,VLOOKUP($H25,Depreciation!$A$6:$L$10,8,FALSE),0))</f>
        <v>0</v>
      </c>
      <c r="L25" s="361">
        <f>+IF($I25=L$3,VLOOKUP($H25,Depreciation!$A$6:$L$10,9,FALSE)/2,IF($I25&lt;L$3,VLOOKUP($H25,Depreciation!$A$6:$L$10,9,FALSE),0))</f>
        <v>0</v>
      </c>
      <c r="M25" s="361">
        <f>+IF($I25=M$3,VLOOKUP($H25,Depreciation!$A$6:$L$10,10,FALSE)/2,IF($I25&lt;M$3,VLOOKUP($H25,Depreciation!$A$6:$L$10,10,FALSE),0))</f>
        <v>0</v>
      </c>
      <c r="N25" s="361">
        <f>+IF($I25=N$3,VLOOKUP($H25,Depreciation!$A$6:$L$10,11,FALSE)/2,IF($I25&lt;N$3,VLOOKUP($H25,Depreciation!$A$6:$L$10,11,FALSE),0))</f>
        <v>1.2001018963427959E-2</v>
      </c>
      <c r="O25" s="361">
        <f>+IF($I25=O$3,VLOOKUP($H25,Depreciation!$A$6:$L$10,12,FALSE)/2,IF($I25&lt;O$3,VLOOKUP($H25,Depreciation!$A$6:$L$10,12,FALSE),0))</f>
        <v>2.4002037926855919E-2</v>
      </c>
      <c r="P25" s="362">
        <f t="shared" si="2"/>
        <v>0</v>
      </c>
      <c r="Q25" s="362">
        <f t="shared" si="3"/>
        <v>0</v>
      </c>
      <c r="R25" s="363">
        <f t="shared" si="4"/>
        <v>0</v>
      </c>
      <c r="Y25" s="365"/>
    </row>
    <row r="26" spans="1:25" ht="15" customHeight="1">
      <c r="A26" s="359" t="str">
        <f>'Func Future Lines 2015'!A26</f>
        <v>PPS</v>
      </c>
      <c r="B26" s="359" t="str">
        <f>'Func Future Lines 2015'!B26</f>
        <v>9L38 &amp; 9L94</v>
      </c>
      <c r="C26" s="359">
        <f>'Func Future Lines 2015'!C26</f>
        <v>635</v>
      </c>
      <c r="D26" s="359">
        <f>'Func Future Lines 2015'!D26</f>
        <v>240</v>
      </c>
      <c r="E26" s="359">
        <f>'Func Future Lines 2015'!E26</f>
        <v>0</v>
      </c>
      <c r="F26" s="359" t="str">
        <f>'Func Future Lines 2015'!F26</f>
        <v>Hanna</v>
      </c>
      <c r="G26" s="359">
        <f>'Func Future Lines 2015'!G26</f>
        <v>3545608.0808741758</v>
      </c>
      <c r="H26" s="359" t="str">
        <f>'Func Future Lines 2015'!H26</f>
        <v>ATCO</v>
      </c>
      <c r="I26" s="359">
        <f>'Func Future Lines 2015'!I26</f>
        <v>2019</v>
      </c>
      <c r="J26" s="361">
        <f>+IF($I26=J$3,VLOOKUP($H26,Depreciation!$A$6:$L$10,7,FALSE)/2,IF($I26&lt;J$3,VLOOKUP($H26,Depreciation!$A$6:$L$10,7,FALSE),0))</f>
        <v>0</v>
      </c>
      <c r="K26" s="361">
        <f>+IF($I26=K$3,VLOOKUP($H26,Depreciation!$A$6:$L$10,8,FALSE)/2,IF($I26&lt;K$3,VLOOKUP($H26,Depreciation!$A$6:$L$10,8,FALSE),0))</f>
        <v>0</v>
      </c>
      <c r="L26" s="361">
        <f>+IF($I26=L$3,VLOOKUP($H26,Depreciation!$A$6:$L$10,9,FALSE)/2,IF($I26&lt;L$3,VLOOKUP($H26,Depreciation!$A$6:$L$10,9,FALSE),0))</f>
        <v>0</v>
      </c>
      <c r="M26" s="361">
        <f>+IF($I26=M$3,VLOOKUP($H26,Depreciation!$A$6:$L$10,10,FALSE)/2,IF($I26&lt;M$3,VLOOKUP($H26,Depreciation!$A$6:$L$10,10,FALSE),0))</f>
        <v>0</v>
      </c>
      <c r="N26" s="361">
        <f>+IF($I26=N$3,VLOOKUP($H26,Depreciation!$A$6:$L$10,11,FALSE)/2,IF($I26&lt;N$3,VLOOKUP($H26,Depreciation!$A$6:$L$10,11,FALSE),0))</f>
        <v>1.2001018963427959E-2</v>
      </c>
      <c r="O26" s="361">
        <f>+IF($I26=O$3,VLOOKUP($H26,Depreciation!$A$6:$L$10,12,FALSE)/2,IF($I26&lt;O$3,VLOOKUP($H26,Depreciation!$A$6:$L$10,12,FALSE),0))</f>
        <v>2.4002037926855919E-2</v>
      </c>
      <c r="P26" s="362">
        <f t="shared" si="2"/>
        <v>0</v>
      </c>
      <c r="Q26" s="362">
        <f t="shared" si="3"/>
        <v>0</v>
      </c>
      <c r="R26" s="363">
        <f t="shared" si="4"/>
        <v>0</v>
      </c>
      <c r="U26" s="366"/>
      <c r="Y26" s="365"/>
    </row>
    <row r="27" spans="1:25" ht="15" customHeight="1">
      <c r="A27" s="359" t="str">
        <f>'Func Future Lines 2015'!A27</f>
        <v>PPS</v>
      </c>
      <c r="B27" s="359" t="str">
        <f>'Func Future Lines 2015'!B27</f>
        <v>9L94 line version 2</v>
      </c>
      <c r="C27" s="359">
        <f>'Func Future Lines 2015'!C27</f>
        <v>678</v>
      </c>
      <c r="D27" s="359">
        <f>'Func Future Lines 2015'!D27</f>
        <v>240</v>
      </c>
      <c r="E27" s="359">
        <f>'Func Future Lines 2015'!E27</f>
        <v>0</v>
      </c>
      <c r="F27" s="359">
        <f>'Func Future Lines 2015'!F27</f>
        <v>0</v>
      </c>
      <c r="G27" s="359">
        <f>'Func Future Lines 2015'!G27</f>
        <v>17467872.448014654</v>
      </c>
      <c r="H27" s="359" t="str">
        <f>'Func Future Lines 2015'!H27</f>
        <v>ATCO</v>
      </c>
      <c r="I27" s="359">
        <f>'Func Future Lines 2015'!I27</f>
        <v>2019</v>
      </c>
      <c r="J27" s="361">
        <f>+IF($I27=J$3,VLOOKUP($H27,Depreciation!$A$6:$L$10,7,FALSE)/2,IF($I27&lt;J$3,VLOOKUP($H27,Depreciation!$A$6:$L$10,7,FALSE),0))</f>
        <v>0</v>
      </c>
      <c r="K27" s="361">
        <f>+IF($I27=K$3,VLOOKUP($H27,Depreciation!$A$6:$L$10,8,FALSE)/2,IF($I27&lt;K$3,VLOOKUP($H27,Depreciation!$A$6:$L$10,8,FALSE),0))</f>
        <v>0</v>
      </c>
      <c r="L27" s="361">
        <f>+IF($I27=L$3,VLOOKUP($H27,Depreciation!$A$6:$L$10,9,FALSE)/2,IF($I27&lt;L$3,VLOOKUP($H27,Depreciation!$A$6:$L$10,9,FALSE),0))</f>
        <v>0</v>
      </c>
      <c r="M27" s="361">
        <f>+IF($I27=M$3,VLOOKUP($H27,Depreciation!$A$6:$L$10,10,FALSE)/2,IF($I27&lt;M$3,VLOOKUP($H27,Depreciation!$A$6:$L$10,10,FALSE),0))</f>
        <v>0</v>
      </c>
      <c r="N27" s="361">
        <f>+IF($I27=N$3,VLOOKUP($H27,Depreciation!$A$6:$L$10,11,FALSE)/2,IF($I27&lt;N$3,VLOOKUP($H27,Depreciation!$A$6:$L$10,11,FALSE),0))</f>
        <v>1.2001018963427959E-2</v>
      </c>
      <c r="O27" s="361">
        <f>+IF($I27=O$3,VLOOKUP($H27,Depreciation!$A$6:$L$10,12,FALSE)/2,IF($I27&lt;O$3,VLOOKUP($H27,Depreciation!$A$6:$L$10,12,FALSE),0))</f>
        <v>2.4002037926855919E-2</v>
      </c>
      <c r="P27" s="362">
        <f t="shared" si="2"/>
        <v>0</v>
      </c>
      <c r="Q27" s="362">
        <f t="shared" si="3"/>
        <v>0</v>
      </c>
      <c r="R27" s="363">
        <f t="shared" si="4"/>
        <v>0</v>
      </c>
      <c r="Y27" s="365"/>
    </row>
    <row r="28" spans="1:25" ht="15" customHeight="1">
      <c r="A28" s="359" t="str">
        <f>'Func Future Lines 2015'!A28</f>
        <v>PPS</v>
      </c>
      <c r="B28" s="359" t="str">
        <f>'Func Future Lines 2015'!B28</f>
        <v>983L/1074L_(v1)</v>
      </c>
      <c r="C28" s="359">
        <f>'Func Future Lines 2015'!C28</f>
        <v>693</v>
      </c>
      <c r="D28" s="359">
        <f>'Func Future Lines 2015'!D28</f>
        <v>240</v>
      </c>
      <c r="E28" s="359">
        <f>'Func Future Lines 2015'!E28</f>
        <v>0</v>
      </c>
      <c r="F28" s="359">
        <f>'Func Future Lines 2015'!F28</f>
        <v>0</v>
      </c>
      <c r="G28" s="359">
        <f>'Func Future Lines 2015'!G28</f>
        <v>1771692.0151243901</v>
      </c>
      <c r="H28" s="359" t="str">
        <f>'Func Future Lines 2015'!H28</f>
        <v>AltaLink</v>
      </c>
      <c r="I28" s="359">
        <f>'Func Future Lines 2015'!I28</f>
        <v>2019</v>
      </c>
      <c r="J28" s="361">
        <f>+IF($I28=J$3,VLOOKUP($H28,Depreciation!$A$6:$L$10,7,FALSE)/2,IF($I28&lt;J$3,VLOOKUP($H28,Depreciation!$A$6:$L$10,7,FALSE),0))</f>
        <v>0</v>
      </c>
      <c r="K28" s="361">
        <f>+IF($I28=K$3,VLOOKUP($H28,Depreciation!$A$6:$L$10,8,FALSE)/2,IF($I28&lt;K$3,VLOOKUP($H28,Depreciation!$A$6:$L$10,8,FALSE),0))</f>
        <v>0</v>
      </c>
      <c r="L28" s="361">
        <f>+IF($I28=L$3,VLOOKUP($H28,Depreciation!$A$6:$L$10,9,FALSE)/2,IF($I28&lt;L$3,VLOOKUP($H28,Depreciation!$A$6:$L$10,9,FALSE),0))</f>
        <v>0</v>
      </c>
      <c r="M28" s="361">
        <f>+IF($I28=M$3,VLOOKUP($H28,Depreciation!$A$6:$L$10,10,FALSE)/2,IF($I28&lt;M$3,VLOOKUP($H28,Depreciation!$A$6:$L$10,10,FALSE),0))</f>
        <v>0</v>
      </c>
      <c r="N28" s="361">
        <f>+IF($I28=N$3,VLOOKUP($H28,Depreciation!$A$6:$L$10,11,FALSE)/2,IF($I28&lt;N$3,VLOOKUP($H28,Depreciation!$A$6:$L$10,11,FALSE),0))</f>
        <v>1.5338181838063448E-2</v>
      </c>
      <c r="O28" s="361">
        <f>+IF($I28=O$3,VLOOKUP($H28,Depreciation!$A$6:$L$10,12,FALSE)/2,IF($I28&lt;O$3,VLOOKUP($H28,Depreciation!$A$6:$L$10,12,FALSE),0))</f>
        <v>3.0676363676126896E-2</v>
      </c>
      <c r="P28" s="362">
        <f t="shared" si="2"/>
        <v>0</v>
      </c>
      <c r="Q28" s="362">
        <f t="shared" si="3"/>
        <v>0</v>
      </c>
      <c r="R28" s="363">
        <f t="shared" si="4"/>
        <v>0</v>
      </c>
      <c r="Y28" s="365"/>
    </row>
    <row r="29" spans="1:25" ht="15" customHeight="1">
      <c r="A29" s="359" t="str">
        <f>'Func Future Lines 2015'!A29</f>
        <v>PPS</v>
      </c>
      <c r="B29" s="359" t="str">
        <f>'Func Future Lines 2015'!B29</f>
        <v>1003 UG</v>
      </c>
      <c r="C29" s="359">
        <f>'Func Future Lines 2015'!C29</f>
        <v>719</v>
      </c>
      <c r="D29" s="359">
        <f>'Func Future Lines 2015'!D29</f>
        <v>240</v>
      </c>
      <c r="E29" s="359">
        <f>'Func Future Lines 2015'!E29</f>
        <v>0</v>
      </c>
      <c r="F29" s="359" t="str">
        <f>'Func Future Lines 2015'!F29</f>
        <v>Calgary</v>
      </c>
      <c r="G29" s="359">
        <f>'Func Future Lines 2015'!G29</f>
        <v>4216204.8010803293</v>
      </c>
      <c r="H29" s="359" t="str">
        <f>'Func Future Lines 2015'!H29</f>
        <v>AltaLink</v>
      </c>
      <c r="I29" s="359">
        <f>'Func Future Lines 2015'!I29</f>
        <v>2015</v>
      </c>
      <c r="J29" s="361">
        <f>+IF($I29=J$3,VLOOKUP($H29,Depreciation!$A$6:$L$10,7,FALSE)/2,IF($I29&lt;J$3,VLOOKUP($H29,Depreciation!$A$6:$L$10,7,FALSE),0))</f>
        <v>1.595020804044691E-2</v>
      </c>
      <c r="K29" s="361">
        <f>+IF($I29=K$3,VLOOKUP($H29,Depreciation!$A$6:$L$10,8,FALSE)/2,IF($I29&lt;K$3,VLOOKUP($H29,Depreciation!$A$6:$L$10,8,FALSE),0))</f>
        <v>3.0676363676126896E-2</v>
      </c>
      <c r="L29" s="361">
        <f>+IF($I29=L$3,VLOOKUP($H29,Depreciation!$A$6:$L$10,9,FALSE)/2,IF($I29&lt;L$3,VLOOKUP($H29,Depreciation!$A$6:$L$10,9,FALSE),0))</f>
        <v>3.0676363676126896E-2</v>
      </c>
      <c r="M29" s="361">
        <f>+IF($I29=M$3,VLOOKUP($H29,Depreciation!$A$6:$L$10,10,FALSE)/2,IF($I29&lt;M$3,VLOOKUP($H29,Depreciation!$A$6:$L$10,10,FALSE),0))</f>
        <v>3.0676363676126896E-2</v>
      </c>
      <c r="N29" s="361">
        <f>+IF($I29=N$3,VLOOKUP($H29,Depreciation!$A$6:$L$10,11,FALSE)/2,IF($I29&lt;N$3,VLOOKUP($H29,Depreciation!$A$6:$L$10,11,FALSE),0))</f>
        <v>3.0676363676126896E-2</v>
      </c>
      <c r="O29" s="361">
        <f>+IF($I29=O$3,VLOOKUP($H29,Depreciation!$A$6:$L$10,12,FALSE)/2,IF($I29&lt;O$3,VLOOKUP($H29,Depreciation!$A$6:$L$10,12,FALSE),0))</f>
        <v>3.0676363676126896E-2</v>
      </c>
      <c r="P29" s="362">
        <f t="shared" si="2"/>
        <v>4021680.5908758803</v>
      </c>
      <c r="Q29" s="362">
        <f t="shared" si="3"/>
        <v>4021680.5908758803</v>
      </c>
      <c r="R29" s="363">
        <f t="shared" si="4"/>
        <v>0</v>
      </c>
      <c r="Y29" s="365"/>
    </row>
    <row r="30" spans="1:25" ht="15" customHeight="1">
      <c r="A30" s="359" t="str">
        <f>'Func Future Lines 2015'!A30</f>
        <v>PPS</v>
      </c>
      <c r="B30" s="359" t="str">
        <f>'Func Future Lines 2015'!B30</f>
        <v>1077L</v>
      </c>
      <c r="C30" s="359">
        <f>'Func Future Lines 2015'!C30</f>
        <v>719</v>
      </c>
      <c r="D30" s="359">
        <f>'Func Future Lines 2015'!D30</f>
        <v>240</v>
      </c>
      <c r="E30" s="359">
        <f>'Func Future Lines 2015'!E30</f>
        <v>0</v>
      </c>
      <c r="F30" s="359" t="str">
        <f>'Func Future Lines 2015'!F30</f>
        <v>Calgary</v>
      </c>
      <c r="G30" s="359">
        <f>'Func Future Lines 2015'!G30</f>
        <v>5877049.5211357661</v>
      </c>
      <c r="H30" s="359" t="str">
        <f>'Func Future Lines 2015'!H30</f>
        <v>AltaLink</v>
      </c>
      <c r="I30" s="359">
        <f>'Func Future Lines 2015'!I30</f>
        <v>2015</v>
      </c>
      <c r="J30" s="361">
        <f>+IF($I30=J$3,VLOOKUP($H30,Depreciation!$A$6:$L$10,7,FALSE)/2,IF($I30&lt;J$3,VLOOKUP($H30,Depreciation!$A$6:$L$10,7,FALSE),0))</f>
        <v>1.595020804044691E-2</v>
      </c>
      <c r="K30" s="361">
        <f>+IF($I30=K$3,VLOOKUP($H30,Depreciation!$A$6:$L$10,8,FALSE)/2,IF($I30&lt;K$3,VLOOKUP($H30,Depreciation!$A$6:$L$10,8,FALSE),0))</f>
        <v>3.0676363676126896E-2</v>
      </c>
      <c r="L30" s="361">
        <f>+IF($I30=L$3,VLOOKUP($H30,Depreciation!$A$6:$L$10,9,FALSE)/2,IF($I30&lt;L$3,VLOOKUP($H30,Depreciation!$A$6:$L$10,9,FALSE),0))</f>
        <v>3.0676363676126896E-2</v>
      </c>
      <c r="M30" s="361">
        <f>+IF($I30=M$3,VLOOKUP($H30,Depreciation!$A$6:$L$10,10,FALSE)/2,IF($I30&lt;M$3,VLOOKUP($H30,Depreciation!$A$6:$L$10,10,FALSE),0))</f>
        <v>3.0676363676126896E-2</v>
      </c>
      <c r="N30" s="361">
        <f>+IF($I30=N$3,VLOOKUP($H30,Depreciation!$A$6:$L$10,11,FALSE)/2,IF($I30&lt;N$3,VLOOKUP($H30,Depreciation!$A$6:$L$10,11,FALSE),0))</f>
        <v>3.0676363676126896E-2</v>
      </c>
      <c r="O30" s="361">
        <f>+IF($I30=O$3,VLOOKUP($H30,Depreciation!$A$6:$L$10,12,FALSE)/2,IF($I30&lt;O$3,VLOOKUP($H30,Depreciation!$A$6:$L$10,12,FALSE),0))</f>
        <v>3.0676363676126896E-2</v>
      </c>
      <c r="P30" s="362">
        <f t="shared" si="2"/>
        <v>5605898.4574733842</v>
      </c>
      <c r="Q30" s="362">
        <f t="shared" si="3"/>
        <v>5605898.4574733842</v>
      </c>
      <c r="R30" s="363">
        <f t="shared" si="4"/>
        <v>0</v>
      </c>
      <c r="Y30" s="365"/>
    </row>
    <row r="31" spans="1:25" ht="15" customHeight="1">
      <c r="A31" s="359" t="str">
        <f>'Func Future Lines 2015'!A31</f>
        <v>PPS</v>
      </c>
      <c r="B31" s="359" t="str">
        <f>'Func Future Lines 2015'!B31</f>
        <v>1077L UG</v>
      </c>
      <c r="C31" s="359">
        <f>'Func Future Lines 2015'!C31</f>
        <v>719</v>
      </c>
      <c r="D31" s="359">
        <f>'Func Future Lines 2015'!D31</f>
        <v>240</v>
      </c>
      <c r="E31" s="359">
        <f>'Func Future Lines 2015'!E31</f>
        <v>0</v>
      </c>
      <c r="F31" s="359" t="str">
        <f>'Func Future Lines 2015'!F31</f>
        <v>Calgary</v>
      </c>
      <c r="G31" s="359">
        <f>'Func Future Lines 2015'!G31</f>
        <v>2258581.6201425032</v>
      </c>
      <c r="H31" s="359" t="str">
        <f>'Func Future Lines 2015'!H31</f>
        <v>AltaLink</v>
      </c>
      <c r="I31" s="359">
        <f>'Func Future Lines 2015'!I31</f>
        <v>2015</v>
      </c>
      <c r="J31" s="361">
        <f>+IF($I31=J$3,VLOOKUP($H31,Depreciation!$A$6:$L$10,7,FALSE)/2,IF($I31&lt;J$3,VLOOKUP($H31,Depreciation!$A$6:$L$10,7,FALSE),0))</f>
        <v>1.595020804044691E-2</v>
      </c>
      <c r="K31" s="361">
        <f>+IF($I31=K$3,VLOOKUP($H31,Depreciation!$A$6:$L$10,8,FALSE)/2,IF($I31&lt;K$3,VLOOKUP($H31,Depreciation!$A$6:$L$10,8,FALSE),0))</f>
        <v>3.0676363676126896E-2</v>
      </c>
      <c r="L31" s="361">
        <f>+IF($I31=L$3,VLOOKUP($H31,Depreciation!$A$6:$L$10,9,FALSE)/2,IF($I31&lt;L$3,VLOOKUP($H31,Depreciation!$A$6:$L$10,9,FALSE),0))</f>
        <v>3.0676363676126896E-2</v>
      </c>
      <c r="M31" s="361">
        <f>+IF($I31=M$3,VLOOKUP($H31,Depreciation!$A$6:$L$10,10,FALSE)/2,IF($I31&lt;M$3,VLOOKUP($H31,Depreciation!$A$6:$L$10,10,FALSE),0))</f>
        <v>3.0676363676126896E-2</v>
      </c>
      <c r="N31" s="361">
        <f>+IF($I31=N$3,VLOOKUP($H31,Depreciation!$A$6:$L$10,11,FALSE)/2,IF($I31&lt;N$3,VLOOKUP($H31,Depreciation!$A$6:$L$10,11,FALSE),0))</f>
        <v>3.0676363676126896E-2</v>
      </c>
      <c r="O31" s="361">
        <f>+IF($I31=O$3,VLOOKUP($H31,Depreciation!$A$6:$L$10,12,FALSE)/2,IF($I31&lt;O$3,VLOOKUP($H31,Depreciation!$A$6:$L$10,12,FALSE),0))</f>
        <v>3.0676363676126896E-2</v>
      </c>
      <c r="P31" s="362">
        <f t="shared" si="2"/>
        <v>2154376.8135524793</v>
      </c>
      <c r="Q31" s="362">
        <f t="shared" si="3"/>
        <v>2154376.8135524793</v>
      </c>
      <c r="R31" s="363">
        <f t="shared" si="4"/>
        <v>0</v>
      </c>
      <c r="Y31" s="365"/>
    </row>
    <row r="32" spans="1:25" ht="15" customHeight="1">
      <c r="A32" s="359" t="str">
        <f>'Func Future Lines 2015'!A32</f>
        <v>PPS</v>
      </c>
      <c r="B32" s="359" t="str">
        <f>'Func Future Lines 2015'!B32</f>
        <v>138-2.80</v>
      </c>
      <c r="C32" s="359">
        <f>'Func Future Lines 2015'!C32</f>
        <v>719</v>
      </c>
      <c r="D32" s="359">
        <f>'Func Future Lines 2015'!D32</f>
        <v>138</v>
      </c>
      <c r="E32" s="359">
        <f>'Func Future Lines 2015'!E32</f>
        <v>0</v>
      </c>
      <c r="F32" s="359" t="str">
        <f>'Func Future Lines 2015'!F32</f>
        <v>Calgary</v>
      </c>
      <c r="G32" s="359">
        <f>'Func Future Lines 2015'!G32</f>
        <v>7170911.0867936574</v>
      </c>
      <c r="H32" s="359" t="str">
        <f>'Func Future Lines 2015'!H32</f>
        <v>ENMAX</v>
      </c>
      <c r="I32" s="359">
        <f>'Func Future Lines 2015'!I32</f>
        <v>2015</v>
      </c>
      <c r="J32" s="361">
        <f>+IF($I32=J$3,VLOOKUP($H32,Depreciation!$A$6:$L$10,7,FALSE)/2,IF($I32&lt;J$3,VLOOKUP($H32,Depreciation!$A$6:$L$10,7,FALSE),0))</f>
        <v>1.3475179084025525E-2</v>
      </c>
      <c r="K32" s="361">
        <f>+IF($I32=K$3,VLOOKUP($H32,Depreciation!$A$6:$L$10,8,FALSE)/2,IF($I32&lt;K$3,VLOOKUP($H32,Depreciation!$A$6:$L$10,8,FALSE),0))</f>
        <v>2.6950358168051049E-2</v>
      </c>
      <c r="L32" s="361">
        <f>+IF($I32=L$3,VLOOKUP($H32,Depreciation!$A$6:$L$10,9,FALSE)/2,IF($I32&lt;L$3,VLOOKUP($H32,Depreciation!$A$6:$L$10,9,FALSE),0))</f>
        <v>2.6950358168051049E-2</v>
      </c>
      <c r="M32" s="361">
        <f>+IF($I32=M$3,VLOOKUP($H32,Depreciation!$A$6:$L$10,10,FALSE)/2,IF($I32&lt;M$3,VLOOKUP($H32,Depreciation!$A$6:$L$10,10,FALSE),0))</f>
        <v>2.6950358168051049E-2</v>
      </c>
      <c r="N32" s="361">
        <f>+IF($I32=N$3,VLOOKUP($H32,Depreciation!$A$6:$L$10,11,FALSE)/2,IF($I32&lt;N$3,VLOOKUP($H32,Depreciation!$A$6:$L$10,11,FALSE),0))</f>
        <v>2.6950358168051049E-2</v>
      </c>
      <c r="O32" s="361">
        <f>+IF($I32=O$3,VLOOKUP($H32,Depreciation!$A$6:$L$10,12,FALSE)/2,IF($I32&lt;O$3,VLOOKUP($H32,Depreciation!$A$6:$L$10,12,FALSE),0))</f>
        <v>2.6950358168051049E-2</v>
      </c>
      <c r="P32" s="362">
        <f t="shared" si="2"/>
        <v>6883627.3480665637</v>
      </c>
      <c r="Q32" s="362">
        <f t="shared" si="3"/>
        <v>0</v>
      </c>
      <c r="R32" s="363">
        <f t="shared" si="4"/>
        <v>6883627.3480665637</v>
      </c>
      <c r="Y32" s="365"/>
    </row>
    <row r="33" spans="1:25" ht="15" customHeight="1">
      <c r="A33" s="359" t="str">
        <f>'Func Future Lines 2015'!A33</f>
        <v>PPS</v>
      </c>
      <c r="B33" s="359" t="str">
        <f>'Func Future Lines 2015'!B33</f>
        <v>138-23.80</v>
      </c>
      <c r="C33" s="359">
        <f>'Func Future Lines 2015'!C33</f>
        <v>719</v>
      </c>
      <c r="D33" s="359">
        <f>'Func Future Lines 2015'!D33</f>
        <v>138</v>
      </c>
      <c r="E33" s="359">
        <f>'Func Future Lines 2015'!E33</f>
        <v>0</v>
      </c>
      <c r="F33" s="359" t="str">
        <f>'Func Future Lines 2015'!F33</f>
        <v>Calgary</v>
      </c>
      <c r="G33" s="359">
        <f>'Func Future Lines 2015'!G33</f>
        <v>7724058.5663275765</v>
      </c>
      <c r="H33" s="359" t="str">
        <f>'Func Future Lines 2015'!H33</f>
        <v>ENMAX</v>
      </c>
      <c r="I33" s="359">
        <f>'Func Future Lines 2015'!I33</f>
        <v>2015</v>
      </c>
      <c r="J33" s="361">
        <f>+IF($I33=J$3,VLOOKUP($H33,Depreciation!$A$6:$L$10,7,FALSE)/2,IF($I33&lt;J$3,VLOOKUP($H33,Depreciation!$A$6:$L$10,7,FALSE),0))</f>
        <v>1.3475179084025525E-2</v>
      </c>
      <c r="K33" s="361">
        <f>+IF($I33=K$3,VLOOKUP($H33,Depreciation!$A$6:$L$10,8,FALSE)/2,IF($I33&lt;K$3,VLOOKUP($H33,Depreciation!$A$6:$L$10,8,FALSE),0))</f>
        <v>2.6950358168051049E-2</v>
      </c>
      <c r="L33" s="361">
        <f>+IF($I33=L$3,VLOOKUP($H33,Depreciation!$A$6:$L$10,9,FALSE)/2,IF($I33&lt;L$3,VLOOKUP($H33,Depreciation!$A$6:$L$10,9,FALSE),0))</f>
        <v>2.6950358168051049E-2</v>
      </c>
      <c r="M33" s="361">
        <f>+IF($I33=M$3,VLOOKUP($H33,Depreciation!$A$6:$L$10,10,FALSE)/2,IF($I33&lt;M$3,VLOOKUP($H33,Depreciation!$A$6:$L$10,10,FALSE),0))</f>
        <v>2.6950358168051049E-2</v>
      </c>
      <c r="N33" s="361">
        <f>+IF($I33=N$3,VLOOKUP($H33,Depreciation!$A$6:$L$10,11,FALSE)/2,IF($I33&lt;N$3,VLOOKUP($H33,Depreciation!$A$6:$L$10,11,FALSE),0))</f>
        <v>2.6950358168051049E-2</v>
      </c>
      <c r="O33" s="361">
        <f>+IF($I33=O$3,VLOOKUP($H33,Depreciation!$A$6:$L$10,12,FALSE)/2,IF($I33&lt;O$3,VLOOKUP($H33,Depreciation!$A$6:$L$10,12,FALSE),0))</f>
        <v>2.6950358168051049E-2</v>
      </c>
      <c r="P33" s="362">
        <f t="shared" si="2"/>
        <v>7414614.4250986818</v>
      </c>
      <c r="Q33" s="362">
        <f t="shared" si="3"/>
        <v>0</v>
      </c>
      <c r="R33" s="363">
        <f t="shared" si="4"/>
        <v>7414614.4250986818</v>
      </c>
      <c r="Y33" s="365"/>
    </row>
    <row r="34" spans="1:25" ht="15" customHeight="1">
      <c r="A34" s="359" t="str">
        <f>'Func Future Lines 2015'!A34</f>
        <v>PPS</v>
      </c>
      <c r="B34" s="359" t="str">
        <f>'Func Future Lines 2015'!B34</f>
        <v>2.80/2.81/2.82/2.83/833L U/G</v>
      </c>
      <c r="C34" s="359">
        <f>'Func Future Lines 2015'!C34</f>
        <v>719</v>
      </c>
      <c r="D34" s="359">
        <f>'Func Future Lines 2015'!D34</f>
        <v>240</v>
      </c>
      <c r="E34" s="359">
        <f>'Func Future Lines 2015'!E34</f>
        <v>0</v>
      </c>
      <c r="F34" s="359" t="str">
        <f>'Func Future Lines 2015'!F34</f>
        <v>Calgary</v>
      </c>
      <c r="G34" s="359">
        <f>'Func Future Lines 2015'!G34</f>
        <v>5095063.3611532655</v>
      </c>
      <c r="H34" s="359" t="str">
        <f>'Func Future Lines 2015'!H34</f>
        <v>ENMAX</v>
      </c>
      <c r="I34" s="359">
        <f>'Func Future Lines 2015'!I34</f>
        <v>2015</v>
      </c>
      <c r="J34" s="361">
        <f>+IF($I34=J$3,VLOOKUP($H34,Depreciation!$A$6:$L$10,7,FALSE)/2,IF($I34&lt;J$3,VLOOKUP($H34,Depreciation!$A$6:$L$10,7,FALSE),0))</f>
        <v>1.3475179084025525E-2</v>
      </c>
      <c r="K34" s="361">
        <f>+IF($I34=K$3,VLOOKUP($H34,Depreciation!$A$6:$L$10,8,FALSE)/2,IF($I34&lt;K$3,VLOOKUP($H34,Depreciation!$A$6:$L$10,8,FALSE),0))</f>
        <v>2.6950358168051049E-2</v>
      </c>
      <c r="L34" s="361">
        <f>+IF($I34=L$3,VLOOKUP($H34,Depreciation!$A$6:$L$10,9,FALSE)/2,IF($I34&lt;L$3,VLOOKUP($H34,Depreciation!$A$6:$L$10,9,FALSE),0))</f>
        <v>2.6950358168051049E-2</v>
      </c>
      <c r="M34" s="361">
        <f>+IF($I34=M$3,VLOOKUP($H34,Depreciation!$A$6:$L$10,10,FALSE)/2,IF($I34&lt;M$3,VLOOKUP($H34,Depreciation!$A$6:$L$10,10,FALSE),0))</f>
        <v>2.6950358168051049E-2</v>
      </c>
      <c r="N34" s="361">
        <f>+IF($I34=N$3,VLOOKUP($H34,Depreciation!$A$6:$L$10,11,FALSE)/2,IF($I34&lt;N$3,VLOOKUP($H34,Depreciation!$A$6:$L$10,11,FALSE),0))</f>
        <v>2.6950358168051049E-2</v>
      </c>
      <c r="O34" s="361">
        <f>+IF($I34=O$3,VLOOKUP($H34,Depreciation!$A$6:$L$10,12,FALSE)/2,IF($I34&lt;O$3,VLOOKUP($H34,Depreciation!$A$6:$L$10,12,FALSE),0))</f>
        <v>2.6950358168051049E-2</v>
      </c>
      <c r="P34" s="362">
        <f t="shared" si="2"/>
        <v>4890943.015254789</v>
      </c>
      <c r="Q34" s="362">
        <f t="shared" si="3"/>
        <v>4890943.015254789</v>
      </c>
      <c r="R34" s="363">
        <f t="shared" si="4"/>
        <v>0</v>
      </c>
      <c r="Y34" s="365"/>
    </row>
    <row r="35" spans="1:25" ht="15" customHeight="1">
      <c r="A35" s="359" t="str">
        <f>'Func Future Lines 2015'!A35</f>
        <v>PPS</v>
      </c>
      <c r="B35" s="359" t="str">
        <f>'Func Future Lines 2015'!B35</f>
        <v>23.80L</v>
      </c>
      <c r="C35" s="359">
        <f>'Func Future Lines 2015'!C35</f>
        <v>719</v>
      </c>
      <c r="D35" s="359">
        <f>'Func Future Lines 2015'!D35</f>
        <v>138</v>
      </c>
      <c r="E35" s="359">
        <f>'Func Future Lines 2015'!E35</f>
        <v>0</v>
      </c>
      <c r="F35" s="359" t="str">
        <f>'Func Future Lines 2015'!F35</f>
        <v>Calgary</v>
      </c>
      <c r="G35" s="359">
        <f>'Func Future Lines 2015'!G35</f>
        <v>18113.239396577752</v>
      </c>
      <c r="H35" s="359" t="str">
        <f>'Func Future Lines 2015'!H35</f>
        <v>AltaLink</v>
      </c>
      <c r="I35" s="359">
        <f>'Func Future Lines 2015'!I35</f>
        <v>2015</v>
      </c>
      <c r="J35" s="361">
        <f>+IF($I35=J$3,VLOOKUP($H35,Depreciation!$A$6:$L$10,7,FALSE)/2,IF($I35&lt;J$3,VLOOKUP($H35,Depreciation!$A$6:$L$10,7,FALSE),0))</f>
        <v>1.595020804044691E-2</v>
      </c>
      <c r="K35" s="361">
        <f>+IF($I35=K$3,VLOOKUP($H35,Depreciation!$A$6:$L$10,8,FALSE)/2,IF($I35&lt;K$3,VLOOKUP($H35,Depreciation!$A$6:$L$10,8,FALSE),0))</f>
        <v>3.0676363676126896E-2</v>
      </c>
      <c r="L35" s="361">
        <f>+IF($I35=L$3,VLOOKUP($H35,Depreciation!$A$6:$L$10,9,FALSE)/2,IF($I35&lt;L$3,VLOOKUP($H35,Depreciation!$A$6:$L$10,9,FALSE),0))</f>
        <v>3.0676363676126896E-2</v>
      </c>
      <c r="M35" s="361">
        <f>+IF($I35=M$3,VLOOKUP($H35,Depreciation!$A$6:$L$10,10,FALSE)/2,IF($I35&lt;M$3,VLOOKUP($H35,Depreciation!$A$6:$L$10,10,FALSE),0))</f>
        <v>3.0676363676126896E-2</v>
      </c>
      <c r="N35" s="361">
        <f>+IF($I35=N$3,VLOOKUP($H35,Depreciation!$A$6:$L$10,11,FALSE)/2,IF($I35&lt;N$3,VLOOKUP($H35,Depreciation!$A$6:$L$10,11,FALSE),0))</f>
        <v>3.0676363676126896E-2</v>
      </c>
      <c r="O35" s="361">
        <f>+IF($I35=O$3,VLOOKUP($H35,Depreciation!$A$6:$L$10,12,FALSE)/2,IF($I35&lt;O$3,VLOOKUP($H35,Depreciation!$A$6:$L$10,12,FALSE),0))</f>
        <v>3.0676363676126896E-2</v>
      </c>
      <c r="P35" s="362">
        <f t="shared" si="2"/>
        <v>17277.543847120436</v>
      </c>
      <c r="Q35" s="362">
        <f t="shared" si="3"/>
        <v>0</v>
      </c>
      <c r="R35" s="363">
        <f t="shared" si="4"/>
        <v>17277.543847120436</v>
      </c>
      <c r="Y35" s="365"/>
    </row>
    <row r="36" spans="1:25" ht="15" customHeight="1">
      <c r="A36" s="359" t="str">
        <f>'Func Future Lines 2015'!A36</f>
        <v>PPS</v>
      </c>
      <c r="B36" s="359" t="str">
        <f>'Func Future Lines 2015'!B36</f>
        <v>850L</v>
      </c>
      <c r="C36" s="359">
        <f>'Func Future Lines 2015'!C36</f>
        <v>719</v>
      </c>
      <c r="D36" s="359">
        <f>'Func Future Lines 2015'!D36</f>
        <v>138</v>
      </c>
      <c r="E36" s="359">
        <f>'Func Future Lines 2015'!E36</f>
        <v>0</v>
      </c>
      <c r="F36" s="359" t="str">
        <f>'Func Future Lines 2015'!F36</f>
        <v>Calgary</v>
      </c>
      <c r="G36" s="359">
        <f>'Func Future Lines 2015'!G36</f>
        <v>41799.783222871738</v>
      </c>
      <c r="H36" s="359" t="str">
        <f>'Func Future Lines 2015'!H36</f>
        <v>AltaLink</v>
      </c>
      <c r="I36" s="359">
        <f>'Func Future Lines 2015'!I36</f>
        <v>2015</v>
      </c>
      <c r="J36" s="361">
        <f>+IF($I36=J$3,VLOOKUP($H36,Depreciation!$A$6:$L$10,7,FALSE)/2,IF($I36&lt;J$3,VLOOKUP($H36,Depreciation!$A$6:$L$10,7,FALSE),0))</f>
        <v>1.595020804044691E-2</v>
      </c>
      <c r="K36" s="361">
        <f>+IF($I36=K$3,VLOOKUP($H36,Depreciation!$A$6:$L$10,8,FALSE)/2,IF($I36&lt;K$3,VLOOKUP($H36,Depreciation!$A$6:$L$10,8,FALSE),0))</f>
        <v>3.0676363676126896E-2</v>
      </c>
      <c r="L36" s="361">
        <f>+IF($I36=L$3,VLOOKUP($H36,Depreciation!$A$6:$L$10,9,FALSE)/2,IF($I36&lt;L$3,VLOOKUP($H36,Depreciation!$A$6:$L$10,9,FALSE),0))</f>
        <v>3.0676363676126896E-2</v>
      </c>
      <c r="M36" s="361">
        <f>+IF($I36=M$3,VLOOKUP($H36,Depreciation!$A$6:$L$10,10,FALSE)/2,IF($I36&lt;M$3,VLOOKUP($H36,Depreciation!$A$6:$L$10,10,FALSE),0))</f>
        <v>3.0676363676126896E-2</v>
      </c>
      <c r="N36" s="361">
        <f>+IF($I36=N$3,VLOOKUP($H36,Depreciation!$A$6:$L$10,11,FALSE)/2,IF($I36&lt;N$3,VLOOKUP($H36,Depreciation!$A$6:$L$10,11,FALSE),0))</f>
        <v>3.0676363676126896E-2</v>
      </c>
      <c r="O36" s="361">
        <f>+IF($I36=O$3,VLOOKUP($H36,Depreciation!$A$6:$L$10,12,FALSE)/2,IF($I36&lt;O$3,VLOOKUP($H36,Depreciation!$A$6:$L$10,12,FALSE),0))</f>
        <v>3.0676363676126896E-2</v>
      </c>
      <c r="P36" s="362">
        <f t="shared" si="2"/>
        <v>39871.255031816392</v>
      </c>
      <c r="Q36" s="362">
        <f t="shared" si="3"/>
        <v>0</v>
      </c>
      <c r="R36" s="363">
        <f t="shared" si="4"/>
        <v>39871.255031816392</v>
      </c>
      <c r="Y36" s="365"/>
    </row>
    <row r="37" spans="1:25" ht="15" customHeight="1">
      <c r="A37" s="359" t="str">
        <f>'Func Future Lines 2015'!A37</f>
        <v>PPS</v>
      </c>
      <c r="B37" s="359" t="str">
        <f>'Func Future Lines 2015'!B37</f>
        <v>911L</v>
      </c>
      <c r="C37" s="359">
        <f>'Func Future Lines 2015'!C37</f>
        <v>719</v>
      </c>
      <c r="D37" s="359">
        <f>'Func Future Lines 2015'!D37</f>
        <v>240</v>
      </c>
      <c r="E37" s="359">
        <f>'Func Future Lines 2015'!E37</f>
        <v>0</v>
      </c>
      <c r="F37" s="359" t="str">
        <f>'Func Future Lines 2015'!F37</f>
        <v>Calgary</v>
      </c>
      <c r="G37" s="359">
        <f>'Func Future Lines 2015'!G37</f>
        <v>613063.48726878548</v>
      </c>
      <c r="H37" s="359" t="str">
        <f>'Func Future Lines 2015'!H37</f>
        <v>AltaLink</v>
      </c>
      <c r="I37" s="359">
        <f>'Func Future Lines 2015'!I37</f>
        <v>2015</v>
      </c>
      <c r="J37" s="361">
        <f>+IF($I37=J$3,VLOOKUP($H37,Depreciation!$A$6:$L$10,7,FALSE)/2,IF($I37&lt;J$3,VLOOKUP($H37,Depreciation!$A$6:$L$10,7,FALSE),0))</f>
        <v>1.595020804044691E-2</v>
      </c>
      <c r="K37" s="361">
        <f>+IF($I37=K$3,VLOOKUP($H37,Depreciation!$A$6:$L$10,8,FALSE)/2,IF($I37&lt;K$3,VLOOKUP($H37,Depreciation!$A$6:$L$10,8,FALSE),0))</f>
        <v>3.0676363676126896E-2</v>
      </c>
      <c r="L37" s="361">
        <f>+IF($I37=L$3,VLOOKUP($H37,Depreciation!$A$6:$L$10,9,FALSE)/2,IF($I37&lt;L$3,VLOOKUP($H37,Depreciation!$A$6:$L$10,9,FALSE),0))</f>
        <v>3.0676363676126896E-2</v>
      </c>
      <c r="M37" s="361">
        <f>+IF($I37=M$3,VLOOKUP($H37,Depreciation!$A$6:$L$10,10,FALSE)/2,IF($I37&lt;M$3,VLOOKUP($H37,Depreciation!$A$6:$L$10,10,FALSE),0))</f>
        <v>3.0676363676126896E-2</v>
      </c>
      <c r="N37" s="361">
        <f>+IF($I37=N$3,VLOOKUP($H37,Depreciation!$A$6:$L$10,11,FALSE)/2,IF($I37&lt;N$3,VLOOKUP($H37,Depreciation!$A$6:$L$10,11,FALSE),0))</f>
        <v>3.0676363676126896E-2</v>
      </c>
      <c r="O37" s="361">
        <f>+IF($I37=O$3,VLOOKUP($H37,Depreciation!$A$6:$L$10,12,FALSE)/2,IF($I37&lt;O$3,VLOOKUP($H37,Depreciation!$A$6:$L$10,12,FALSE),0))</f>
        <v>3.0676363676126896E-2</v>
      </c>
      <c r="P37" s="362">
        <f t="shared" si="2"/>
        <v>584778.40713330708</v>
      </c>
      <c r="Q37" s="362">
        <f t="shared" si="3"/>
        <v>584778.40713330708</v>
      </c>
      <c r="R37" s="363">
        <f t="shared" si="4"/>
        <v>0</v>
      </c>
      <c r="Y37" s="365"/>
    </row>
    <row r="38" spans="1:25" ht="15" customHeight="1">
      <c r="A38" s="359" t="str">
        <f>'Func Future Lines 2015'!A38</f>
        <v>PPS</v>
      </c>
      <c r="B38" s="359" t="str">
        <f>'Func Future Lines 2015'!B38</f>
        <v>911L UG</v>
      </c>
      <c r="C38" s="359">
        <f>'Func Future Lines 2015'!C38</f>
        <v>719</v>
      </c>
      <c r="D38" s="359">
        <f>'Func Future Lines 2015'!D38</f>
        <v>240</v>
      </c>
      <c r="E38" s="359">
        <f>'Func Future Lines 2015'!E38</f>
        <v>0</v>
      </c>
      <c r="F38" s="359" t="str">
        <f>'Func Future Lines 2015'!F38</f>
        <v>Calgary</v>
      </c>
      <c r="G38" s="359">
        <f>'Func Future Lines 2015'!G38</f>
        <v>5403318.6446098872</v>
      </c>
      <c r="H38" s="359" t="str">
        <f>'Func Future Lines 2015'!H38</f>
        <v>AltaLink</v>
      </c>
      <c r="I38" s="359">
        <f>'Func Future Lines 2015'!I38</f>
        <v>2015</v>
      </c>
      <c r="J38" s="361">
        <f>+IF($I38=J$3,VLOOKUP($H38,Depreciation!$A$6:$L$10,7,FALSE)/2,IF($I38&lt;J$3,VLOOKUP($H38,Depreciation!$A$6:$L$10,7,FALSE),0))</f>
        <v>1.595020804044691E-2</v>
      </c>
      <c r="K38" s="361">
        <f>+IF($I38=K$3,VLOOKUP($H38,Depreciation!$A$6:$L$10,8,FALSE)/2,IF($I38&lt;K$3,VLOOKUP($H38,Depreciation!$A$6:$L$10,8,FALSE),0))</f>
        <v>3.0676363676126896E-2</v>
      </c>
      <c r="L38" s="361">
        <f>+IF($I38=L$3,VLOOKUP($H38,Depreciation!$A$6:$L$10,9,FALSE)/2,IF($I38&lt;L$3,VLOOKUP($H38,Depreciation!$A$6:$L$10,9,FALSE),0))</f>
        <v>3.0676363676126896E-2</v>
      </c>
      <c r="M38" s="361">
        <f>+IF($I38=M$3,VLOOKUP($H38,Depreciation!$A$6:$L$10,10,FALSE)/2,IF($I38&lt;M$3,VLOOKUP($H38,Depreciation!$A$6:$L$10,10,FALSE),0))</f>
        <v>3.0676363676126896E-2</v>
      </c>
      <c r="N38" s="361">
        <f>+IF($I38=N$3,VLOOKUP($H38,Depreciation!$A$6:$L$10,11,FALSE)/2,IF($I38&lt;N$3,VLOOKUP($H38,Depreciation!$A$6:$L$10,11,FALSE),0))</f>
        <v>3.0676363676126896E-2</v>
      </c>
      <c r="O38" s="361">
        <f>+IF($I38=O$3,VLOOKUP($H38,Depreciation!$A$6:$L$10,12,FALSE)/2,IF($I38&lt;O$3,VLOOKUP($H38,Depreciation!$A$6:$L$10,12,FALSE),0))</f>
        <v>3.0676363676126896E-2</v>
      </c>
      <c r="P38" s="362">
        <f t="shared" si="2"/>
        <v>5154024.2337794658</v>
      </c>
      <c r="Q38" s="362">
        <f t="shared" si="3"/>
        <v>5154024.2337794658</v>
      </c>
      <c r="R38" s="363">
        <f t="shared" si="4"/>
        <v>0</v>
      </c>
      <c r="Y38" s="365"/>
    </row>
    <row r="39" spans="1:25" ht="15" customHeight="1">
      <c r="A39" s="359" t="str">
        <f>'Func Future Lines 2015'!A39</f>
        <v>PPS</v>
      </c>
      <c r="B39" s="359" t="str">
        <f>'Func Future Lines 2015'!B39</f>
        <v>916L</v>
      </c>
      <c r="C39" s="359">
        <f>'Func Future Lines 2015'!C39</f>
        <v>719</v>
      </c>
      <c r="D39" s="359">
        <f>'Func Future Lines 2015'!D39</f>
        <v>240</v>
      </c>
      <c r="E39" s="359">
        <f>'Func Future Lines 2015'!E39</f>
        <v>0</v>
      </c>
      <c r="F39" s="359" t="str">
        <f>'Func Future Lines 2015'!F39</f>
        <v>Calgary</v>
      </c>
      <c r="G39" s="359">
        <f>'Func Future Lines 2015'!G39</f>
        <v>411031.20169157209</v>
      </c>
      <c r="H39" s="359" t="str">
        <f>'Func Future Lines 2015'!H39</f>
        <v>AltaLink</v>
      </c>
      <c r="I39" s="359">
        <f>'Func Future Lines 2015'!I39</f>
        <v>2015</v>
      </c>
      <c r="J39" s="361">
        <f>+IF($I39=J$3,VLOOKUP($H39,Depreciation!$A$6:$L$10,7,FALSE)/2,IF($I39&lt;J$3,VLOOKUP($H39,Depreciation!$A$6:$L$10,7,FALSE),0))</f>
        <v>1.595020804044691E-2</v>
      </c>
      <c r="K39" s="361">
        <f>+IF($I39=K$3,VLOOKUP($H39,Depreciation!$A$6:$L$10,8,FALSE)/2,IF($I39&lt;K$3,VLOOKUP($H39,Depreciation!$A$6:$L$10,8,FALSE),0))</f>
        <v>3.0676363676126896E-2</v>
      </c>
      <c r="L39" s="361">
        <f>+IF($I39=L$3,VLOOKUP($H39,Depreciation!$A$6:$L$10,9,FALSE)/2,IF($I39&lt;L$3,VLOOKUP($H39,Depreciation!$A$6:$L$10,9,FALSE),0))</f>
        <v>3.0676363676126896E-2</v>
      </c>
      <c r="M39" s="361">
        <f>+IF($I39=M$3,VLOOKUP($H39,Depreciation!$A$6:$L$10,10,FALSE)/2,IF($I39&lt;M$3,VLOOKUP($H39,Depreciation!$A$6:$L$10,10,FALSE),0))</f>
        <v>3.0676363676126896E-2</v>
      </c>
      <c r="N39" s="361">
        <f>+IF($I39=N$3,VLOOKUP($H39,Depreciation!$A$6:$L$10,11,FALSE)/2,IF($I39&lt;N$3,VLOOKUP($H39,Depreciation!$A$6:$L$10,11,FALSE),0))</f>
        <v>3.0676363676126896E-2</v>
      </c>
      <c r="O39" s="361">
        <f>+IF($I39=O$3,VLOOKUP($H39,Depreciation!$A$6:$L$10,12,FALSE)/2,IF($I39&lt;O$3,VLOOKUP($H39,Depreciation!$A$6:$L$10,12,FALSE),0))</f>
        <v>3.0676363676126896E-2</v>
      </c>
      <c r="P39" s="362">
        <f t="shared" si="2"/>
        <v>392067.34114619449</v>
      </c>
      <c r="Q39" s="362">
        <f t="shared" si="3"/>
        <v>392067.34114619449</v>
      </c>
      <c r="R39" s="363">
        <f t="shared" si="4"/>
        <v>0</v>
      </c>
      <c r="Y39" s="365"/>
    </row>
    <row r="40" spans="1:25" ht="15" customHeight="1">
      <c r="A40" s="359" t="str">
        <f>'Func Future Lines 2015'!A40</f>
        <v>PPS</v>
      </c>
      <c r="B40" s="359" t="str">
        <f>'Func Future Lines 2015'!B40</f>
        <v>936L</v>
      </c>
      <c r="C40" s="359">
        <f>'Func Future Lines 2015'!C40</f>
        <v>719</v>
      </c>
      <c r="D40" s="359">
        <f>'Func Future Lines 2015'!D40</f>
        <v>240</v>
      </c>
      <c r="E40" s="359">
        <f>'Func Future Lines 2015'!E40</f>
        <v>0</v>
      </c>
      <c r="F40" s="359" t="str">
        <f>'Func Future Lines 2015'!F40</f>
        <v>Calgary</v>
      </c>
      <c r="G40" s="359">
        <f>'Func Future Lines 2015'!G40</f>
        <v>73846.283693740072</v>
      </c>
      <c r="H40" s="359" t="str">
        <f>'Func Future Lines 2015'!H40</f>
        <v>AltaLink</v>
      </c>
      <c r="I40" s="359">
        <f>'Func Future Lines 2015'!I40</f>
        <v>2015</v>
      </c>
      <c r="J40" s="361">
        <f>+IF($I40=J$3,VLOOKUP($H40,Depreciation!$A$6:$L$10,7,FALSE)/2,IF($I40&lt;J$3,VLOOKUP($H40,Depreciation!$A$6:$L$10,7,FALSE),0))</f>
        <v>1.595020804044691E-2</v>
      </c>
      <c r="K40" s="361">
        <f>+IF($I40=K$3,VLOOKUP($H40,Depreciation!$A$6:$L$10,8,FALSE)/2,IF($I40&lt;K$3,VLOOKUP($H40,Depreciation!$A$6:$L$10,8,FALSE),0))</f>
        <v>3.0676363676126896E-2</v>
      </c>
      <c r="L40" s="361">
        <f>+IF($I40=L$3,VLOOKUP($H40,Depreciation!$A$6:$L$10,9,FALSE)/2,IF($I40&lt;L$3,VLOOKUP($H40,Depreciation!$A$6:$L$10,9,FALSE),0))</f>
        <v>3.0676363676126896E-2</v>
      </c>
      <c r="M40" s="361">
        <f>+IF($I40=M$3,VLOOKUP($H40,Depreciation!$A$6:$L$10,10,FALSE)/2,IF($I40&lt;M$3,VLOOKUP($H40,Depreciation!$A$6:$L$10,10,FALSE),0))</f>
        <v>3.0676363676126896E-2</v>
      </c>
      <c r="N40" s="361">
        <f>+IF($I40=N$3,VLOOKUP($H40,Depreciation!$A$6:$L$10,11,FALSE)/2,IF($I40&lt;N$3,VLOOKUP($H40,Depreciation!$A$6:$L$10,11,FALSE),0))</f>
        <v>3.0676363676126896E-2</v>
      </c>
      <c r="O40" s="361">
        <f>+IF($I40=O$3,VLOOKUP($H40,Depreciation!$A$6:$L$10,12,FALSE)/2,IF($I40&lt;O$3,VLOOKUP($H40,Depreciation!$A$6:$L$10,12,FALSE),0))</f>
        <v>3.0676363676126896E-2</v>
      </c>
      <c r="P40" s="362">
        <f t="shared" si="2"/>
        <v>70439.217222875624</v>
      </c>
      <c r="Q40" s="362">
        <f t="shared" si="3"/>
        <v>70439.217222875624</v>
      </c>
      <c r="R40" s="363">
        <f t="shared" si="4"/>
        <v>0</v>
      </c>
      <c r="Y40" s="365"/>
    </row>
    <row r="41" spans="1:25" ht="15" customHeight="1">
      <c r="A41" s="359" t="str">
        <f>'Func Future Lines 2015'!A41</f>
        <v>PPS</v>
      </c>
      <c r="B41" s="359" t="str">
        <f>'Func Future Lines 2015'!B41</f>
        <v>937L</v>
      </c>
      <c r="C41" s="359">
        <f>'Func Future Lines 2015'!C41</f>
        <v>719</v>
      </c>
      <c r="D41" s="359">
        <f>'Func Future Lines 2015'!D41</f>
        <v>240</v>
      </c>
      <c r="E41" s="359">
        <f>'Func Future Lines 2015'!E41</f>
        <v>0</v>
      </c>
      <c r="F41" s="359" t="str">
        <f>'Func Future Lines 2015'!F41</f>
        <v>Calgary</v>
      </c>
      <c r="G41" s="359">
        <f>'Func Future Lines 2015'!G41</f>
        <v>69666.305371452894</v>
      </c>
      <c r="H41" s="359" t="str">
        <f>'Func Future Lines 2015'!H41</f>
        <v>AltaLink</v>
      </c>
      <c r="I41" s="359">
        <f>'Func Future Lines 2015'!I41</f>
        <v>2015</v>
      </c>
      <c r="J41" s="361">
        <f>+IF($I41=J$3,VLOOKUP($H41,Depreciation!$A$6:$L$10,7,FALSE)/2,IF($I41&lt;J$3,VLOOKUP($H41,Depreciation!$A$6:$L$10,7,FALSE),0))</f>
        <v>1.595020804044691E-2</v>
      </c>
      <c r="K41" s="361">
        <f>+IF($I41=K$3,VLOOKUP($H41,Depreciation!$A$6:$L$10,8,FALSE)/2,IF($I41&lt;K$3,VLOOKUP($H41,Depreciation!$A$6:$L$10,8,FALSE),0))</f>
        <v>3.0676363676126896E-2</v>
      </c>
      <c r="L41" s="361">
        <f>+IF($I41=L$3,VLOOKUP($H41,Depreciation!$A$6:$L$10,9,FALSE)/2,IF($I41&lt;L$3,VLOOKUP($H41,Depreciation!$A$6:$L$10,9,FALSE),0))</f>
        <v>3.0676363676126896E-2</v>
      </c>
      <c r="M41" s="361">
        <f>+IF($I41=M$3,VLOOKUP($H41,Depreciation!$A$6:$L$10,10,FALSE)/2,IF($I41&lt;M$3,VLOOKUP($H41,Depreciation!$A$6:$L$10,10,FALSE),0))</f>
        <v>3.0676363676126896E-2</v>
      </c>
      <c r="N41" s="361">
        <f>+IF($I41=N$3,VLOOKUP($H41,Depreciation!$A$6:$L$10,11,FALSE)/2,IF($I41&lt;N$3,VLOOKUP($H41,Depreciation!$A$6:$L$10,11,FALSE),0))</f>
        <v>3.0676363676126896E-2</v>
      </c>
      <c r="O41" s="361">
        <f>+IF($I41=O$3,VLOOKUP($H41,Depreciation!$A$6:$L$10,12,FALSE)/2,IF($I41&lt;O$3,VLOOKUP($H41,Depreciation!$A$6:$L$10,12,FALSE),0))</f>
        <v>3.0676363676126896E-2</v>
      </c>
      <c r="P41" s="362">
        <f t="shared" si="2"/>
        <v>66452.09171969397</v>
      </c>
      <c r="Q41" s="362">
        <f t="shared" si="3"/>
        <v>66452.09171969397</v>
      </c>
      <c r="R41" s="363">
        <f t="shared" si="4"/>
        <v>0</v>
      </c>
      <c r="Y41" s="365"/>
    </row>
    <row r="42" spans="1:25" ht="15" customHeight="1">
      <c r="A42" s="359" t="str">
        <f>'Func Future Lines 2015'!A42</f>
        <v>PPS</v>
      </c>
      <c r="B42" s="359" t="str">
        <f>'Func Future Lines 2015'!B42</f>
        <v>985 UG</v>
      </c>
      <c r="C42" s="359">
        <f>'Func Future Lines 2015'!C42</f>
        <v>719</v>
      </c>
      <c r="D42" s="359">
        <f>'Func Future Lines 2015'!D42</f>
        <v>240</v>
      </c>
      <c r="E42" s="359">
        <f>'Func Future Lines 2015'!E42</f>
        <v>0</v>
      </c>
      <c r="F42" s="359" t="str">
        <f>'Func Future Lines 2015'!F42</f>
        <v>Calgary</v>
      </c>
      <c r="G42" s="359">
        <f>'Func Future Lines 2015'!G42</f>
        <v>4393157.2167238202</v>
      </c>
      <c r="H42" s="359" t="str">
        <f>'Func Future Lines 2015'!H42</f>
        <v>AltaLink</v>
      </c>
      <c r="I42" s="359">
        <f>'Func Future Lines 2015'!I42</f>
        <v>2015</v>
      </c>
      <c r="J42" s="361">
        <f>+IF($I42=J$3,VLOOKUP($H42,Depreciation!$A$6:$L$10,7,FALSE)/2,IF($I42&lt;J$3,VLOOKUP($H42,Depreciation!$A$6:$L$10,7,FALSE),0))</f>
        <v>1.595020804044691E-2</v>
      </c>
      <c r="K42" s="361">
        <f>+IF($I42=K$3,VLOOKUP($H42,Depreciation!$A$6:$L$10,8,FALSE)/2,IF($I42&lt;K$3,VLOOKUP($H42,Depreciation!$A$6:$L$10,8,FALSE),0))</f>
        <v>3.0676363676126896E-2</v>
      </c>
      <c r="L42" s="361">
        <f>+IF($I42=L$3,VLOOKUP($H42,Depreciation!$A$6:$L$10,9,FALSE)/2,IF($I42&lt;L$3,VLOOKUP($H42,Depreciation!$A$6:$L$10,9,FALSE),0))</f>
        <v>3.0676363676126896E-2</v>
      </c>
      <c r="M42" s="361">
        <f>+IF($I42=M$3,VLOOKUP($H42,Depreciation!$A$6:$L$10,10,FALSE)/2,IF($I42&lt;M$3,VLOOKUP($H42,Depreciation!$A$6:$L$10,10,FALSE),0))</f>
        <v>3.0676363676126896E-2</v>
      </c>
      <c r="N42" s="361">
        <f>+IF($I42=N$3,VLOOKUP($H42,Depreciation!$A$6:$L$10,11,FALSE)/2,IF($I42&lt;N$3,VLOOKUP($H42,Depreciation!$A$6:$L$10,11,FALSE),0))</f>
        <v>3.0676363676126896E-2</v>
      </c>
      <c r="O42" s="361">
        <f>+IF($I42=O$3,VLOOKUP($H42,Depreciation!$A$6:$L$10,12,FALSE)/2,IF($I42&lt;O$3,VLOOKUP($H42,Depreciation!$A$6:$L$10,12,FALSE),0))</f>
        <v>3.0676363676126896E-2</v>
      </c>
      <c r="P42" s="362">
        <f t="shared" si="2"/>
        <v>4190468.903843903</v>
      </c>
      <c r="Q42" s="362">
        <f t="shared" si="3"/>
        <v>4190468.903843903</v>
      </c>
      <c r="R42" s="363">
        <f t="shared" si="4"/>
        <v>0</v>
      </c>
      <c r="Y42" s="365"/>
    </row>
    <row r="43" spans="1:25" ht="15" customHeight="1">
      <c r="A43" s="359" t="str">
        <f>'Func Future Lines 2015'!A43</f>
        <v>PPS</v>
      </c>
      <c r="B43" s="359" t="str">
        <f>'Func Future Lines 2015'!B43</f>
        <v>985/1003L</v>
      </c>
      <c r="C43" s="359">
        <f>'Func Future Lines 2015'!C43</f>
        <v>719</v>
      </c>
      <c r="D43" s="359">
        <f>'Func Future Lines 2015'!D43</f>
        <v>240</v>
      </c>
      <c r="E43" s="359">
        <f>'Func Future Lines 2015'!E43</f>
        <v>0</v>
      </c>
      <c r="F43" s="359" t="str">
        <f>'Func Future Lines 2015'!F43</f>
        <v>Calgary</v>
      </c>
      <c r="G43" s="359">
        <f>'Func Future Lines 2015'!G43</f>
        <v>9552643.7925336212</v>
      </c>
      <c r="H43" s="359" t="str">
        <f>'Func Future Lines 2015'!H43</f>
        <v>AltaLink</v>
      </c>
      <c r="I43" s="359">
        <f>'Func Future Lines 2015'!I43</f>
        <v>2015</v>
      </c>
      <c r="J43" s="361">
        <f>+IF($I43=J$3,VLOOKUP($H43,Depreciation!$A$6:$L$10,7,FALSE)/2,IF($I43&lt;J$3,VLOOKUP($H43,Depreciation!$A$6:$L$10,7,FALSE),0))</f>
        <v>1.595020804044691E-2</v>
      </c>
      <c r="K43" s="361">
        <f>+IF($I43=K$3,VLOOKUP($H43,Depreciation!$A$6:$L$10,8,FALSE)/2,IF($I43&lt;K$3,VLOOKUP($H43,Depreciation!$A$6:$L$10,8,FALSE),0))</f>
        <v>3.0676363676126896E-2</v>
      </c>
      <c r="L43" s="361">
        <f>+IF($I43=L$3,VLOOKUP($H43,Depreciation!$A$6:$L$10,9,FALSE)/2,IF($I43&lt;L$3,VLOOKUP($H43,Depreciation!$A$6:$L$10,9,FALSE),0))</f>
        <v>3.0676363676126896E-2</v>
      </c>
      <c r="M43" s="361">
        <f>+IF($I43=M$3,VLOOKUP($H43,Depreciation!$A$6:$L$10,10,FALSE)/2,IF($I43&lt;M$3,VLOOKUP($H43,Depreciation!$A$6:$L$10,10,FALSE),0))</f>
        <v>3.0676363676126896E-2</v>
      </c>
      <c r="N43" s="361">
        <f>+IF($I43=N$3,VLOOKUP($H43,Depreciation!$A$6:$L$10,11,FALSE)/2,IF($I43&lt;N$3,VLOOKUP($H43,Depreciation!$A$6:$L$10,11,FALSE),0))</f>
        <v>3.0676363676126896E-2</v>
      </c>
      <c r="O43" s="361">
        <f>+IF($I43=O$3,VLOOKUP($H43,Depreciation!$A$6:$L$10,12,FALSE)/2,IF($I43&lt;O$3,VLOOKUP($H43,Depreciation!$A$6:$L$10,12,FALSE),0))</f>
        <v>3.0676363676126896E-2</v>
      </c>
      <c r="P43" s="362">
        <f t="shared" si="2"/>
        <v>9111910.8166044392</v>
      </c>
      <c r="Q43" s="362">
        <f t="shared" si="3"/>
        <v>9111910.8166044392</v>
      </c>
      <c r="R43" s="363">
        <f t="shared" si="4"/>
        <v>0</v>
      </c>
      <c r="Y43" s="365"/>
    </row>
    <row r="44" spans="1:25" ht="15" customHeight="1">
      <c r="A44" s="359" t="str">
        <f>'Func Future Lines 2015'!A44</f>
        <v>PPS</v>
      </c>
      <c r="B44" s="359" t="str">
        <f>'Func Future Lines 2015'!B44</f>
        <v>985/1003L</v>
      </c>
      <c r="C44" s="359">
        <f>'Func Future Lines 2015'!C44</f>
        <v>719</v>
      </c>
      <c r="D44" s="359">
        <f>'Func Future Lines 2015'!D44</f>
        <v>240</v>
      </c>
      <c r="E44" s="359">
        <f>'Func Future Lines 2015'!E44</f>
        <v>0</v>
      </c>
      <c r="F44" s="359" t="str">
        <f>'Func Future Lines 2015'!F44</f>
        <v>Calgary</v>
      </c>
      <c r="G44" s="359">
        <f>'Func Future Lines 2015'!G44</f>
        <v>9913515.2543577477</v>
      </c>
      <c r="H44" s="359" t="str">
        <f>'Func Future Lines 2015'!H44</f>
        <v>AltaLink</v>
      </c>
      <c r="I44" s="359">
        <f>'Func Future Lines 2015'!I44</f>
        <v>2015</v>
      </c>
      <c r="J44" s="361">
        <f>+IF($I44=J$3,VLOOKUP($H44,Depreciation!$A$6:$L$10,7,FALSE)/2,IF($I44&lt;J$3,VLOOKUP($H44,Depreciation!$A$6:$L$10,7,FALSE),0))</f>
        <v>1.595020804044691E-2</v>
      </c>
      <c r="K44" s="361">
        <f>+IF($I44=K$3,VLOOKUP($H44,Depreciation!$A$6:$L$10,8,FALSE)/2,IF($I44&lt;K$3,VLOOKUP($H44,Depreciation!$A$6:$L$10,8,FALSE),0))</f>
        <v>3.0676363676126896E-2</v>
      </c>
      <c r="L44" s="361">
        <f>+IF($I44=L$3,VLOOKUP($H44,Depreciation!$A$6:$L$10,9,FALSE)/2,IF($I44&lt;L$3,VLOOKUP($H44,Depreciation!$A$6:$L$10,9,FALSE),0))</f>
        <v>3.0676363676126896E-2</v>
      </c>
      <c r="M44" s="361">
        <f>+IF($I44=M$3,VLOOKUP($H44,Depreciation!$A$6:$L$10,10,FALSE)/2,IF($I44&lt;M$3,VLOOKUP($H44,Depreciation!$A$6:$L$10,10,FALSE),0))</f>
        <v>3.0676363676126896E-2</v>
      </c>
      <c r="N44" s="361">
        <f>+IF($I44=N$3,VLOOKUP($H44,Depreciation!$A$6:$L$10,11,FALSE)/2,IF($I44&lt;N$3,VLOOKUP($H44,Depreciation!$A$6:$L$10,11,FALSE),0))</f>
        <v>3.0676363676126896E-2</v>
      </c>
      <c r="O44" s="361">
        <f>+IF($I44=O$3,VLOOKUP($H44,Depreciation!$A$6:$L$10,12,FALSE)/2,IF($I44&lt;O$3,VLOOKUP($H44,Depreciation!$A$6:$L$10,12,FALSE),0))</f>
        <v>3.0676363676126896E-2</v>
      </c>
      <c r="P44" s="362">
        <f t="shared" si="2"/>
        <v>9456132.6517124549</v>
      </c>
      <c r="Q44" s="362">
        <f t="shared" si="3"/>
        <v>9456132.6517124549</v>
      </c>
      <c r="R44" s="363">
        <f t="shared" si="4"/>
        <v>0</v>
      </c>
      <c r="Y44" s="365"/>
    </row>
    <row r="45" spans="1:25" ht="15" customHeight="1">
      <c r="A45" s="359" t="str">
        <f>'Func Future Lines 2015'!A45</f>
        <v>PPS</v>
      </c>
      <c r="B45" s="359" t="str">
        <f>'Func Future Lines 2015'!B45</f>
        <v>Reconfigure 917L</v>
      </c>
      <c r="C45" s="359">
        <f>'Func Future Lines 2015'!C45</f>
        <v>719</v>
      </c>
      <c r="D45" s="359">
        <f>'Func Future Lines 2015'!D45</f>
        <v>240</v>
      </c>
      <c r="E45" s="359">
        <f>'Func Future Lines 2015'!E45</f>
        <v>0</v>
      </c>
      <c r="F45" s="359" t="str">
        <f>'Func Future Lines 2015'!F45</f>
        <v>Calgary</v>
      </c>
      <c r="G45" s="359">
        <f>'Func Future Lines 2015'!G45</f>
        <v>540610.52968247444</v>
      </c>
      <c r="H45" s="359" t="str">
        <f>'Func Future Lines 2015'!H45</f>
        <v>AltaLink</v>
      </c>
      <c r="I45" s="359">
        <f>'Func Future Lines 2015'!I45</f>
        <v>2015</v>
      </c>
      <c r="J45" s="361">
        <f>+IF($I45=J$3,VLOOKUP($H45,Depreciation!$A$6:$L$10,7,FALSE)/2,IF($I45&lt;J$3,VLOOKUP($H45,Depreciation!$A$6:$L$10,7,FALSE),0))</f>
        <v>1.595020804044691E-2</v>
      </c>
      <c r="K45" s="361">
        <f>+IF($I45=K$3,VLOOKUP($H45,Depreciation!$A$6:$L$10,8,FALSE)/2,IF($I45&lt;K$3,VLOOKUP($H45,Depreciation!$A$6:$L$10,8,FALSE),0))</f>
        <v>3.0676363676126896E-2</v>
      </c>
      <c r="L45" s="361">
        <f>+IF($I45=L$3,VLOOKUP($H45,Depreciation!$A$6:$L$10,9,FALSE)/2,IF($I45&lt;L$3,VLOOKUP($H45,Depreciation!$A$6:$L$10,9,FALSE),0))</f>
        <v>3.0676363676126896E-2</v>
      </c>
      <c r="M45" s="361">
        <f>+IF($I45=M$3,VLOOKUP($H45,Depreciation!$A$6:$L$10,10,FALSE)/2,IF($I45&lt;M$3,VLOOKUP($H45,Depreciation!$A$6:$L$10,10,FALSE),0))</f>
        <v>3.0676363676126896E-2</v>
      </c>
      <c r="N45" s="361">
        <f>+IF($I45=N$3,VLOOKUP($H45,Depreciation!$A$6:$L$10,11,FALSE)/2,IF($I45&lt;N$3,VLOOKUP($H45,Depreciation!$A$6:$L$10,11,FALSE),0))</f>
        <v>3.0676363676126896E-2</v>
      </c>
      <c r="O45" s="361">
        <f>+IF($I45=O$3,VLOOKUP($H45,Depreciation!$A$6:$L$10,12,FALSE)/2,IF($I45&lt;O$3,VLOOKUP($H45,Depreciation!$A$6:$L$10,12,FALSE),0))</f>
        <v>3.0676363676126896E-2</v>
      </c>
      <c r="P45" s="362">
        <f t="shared" si="2"/>
        <v>515668.23174482532</v>
      </c>
      <c r="Q45" s="362">
        <f t="shared" si="3"/>
        <v>515668.23174482532</v>
      </c>
      <c r="R45" s="363">
        <f t="shared" si="4"/>
        <v>0</v>
      </c>
      <c r="Y45" s="365"/>
    </row>
    <row r="46" spans="1:25" ht="15" customHeight="1">
      <c r="A46" s="359" t="str">
        <f>'Func Future Lines 2015'!A46</f>
        <v>PPS</v>
      </c>
      <c r="B46" s="359" t="str">
        <f>'Func Future Lines 2015'!B46</f>
        <v>1043L</v>
      </c>
      <c r="C46" s="359">
        <f>'Func Future Lines 2015'!C46</f>
        <v>786</v>
      </c>
      <c r="D46" s="359">
        <f>'Func Future Lines 2015'!D46</f>
        <v>240</v>
      </c>
      <c r="E46" s="359">
        <f>'Func Future Lines 2015'!E46</f>
        <v>0</v>
      </c>
      <c r="F46" s="359" t="str">
        <f>'Func Future Lines 2015'!F46</f>
        <v>edmonton</v>
      </c>
      <c r="G46" s="359">
        <f>'Func Future Lines 2015'!G46</f>
        <v>33338680.294401988</v>
      </c>
      <c r="H46" s="359" t="str">
        <f>'Func Future Lines 2015'!H46</f>
        <v>AltaLink</v>
      </c>
      <c r="I46" s="359">
        <f>'Func Future Lines 2015'!I46</f>
        <v>2016</v>
      </c>
      <c r="J46" s="361">
        <f>+IF($I46=J$3,VLOOKUP($H46,Depreciation!$A$6:$L$10,7,FALSE)/2,IF($I46&lt;J$3,VLOOKUP($H46,Depreciation!$A$6:$L$10,7,FALSE),0))</f>
        <v>0</v>
      </c>
      <c r="K46" s="361">
        <f>+IF($I46=K$3,VLOOKUP($H46,Depreciation!$A$6:$L$10,8,FALSE)/2,IF($I46&lt;K$3,VLOOKUP($H46,Depreciation!$A$6:$L$10,8,FALSE),0))</f>
        <v>1.5338181838063448E-2</v>
      </c>
      <c r="L46" s="361">
        <f>+IF($I46=L$3,VLOOKUP($H46,Depreciation!$A$6:$L$10,9,FALSE)/2,IF($I46&lt;L$3,VLOOKUP($H46,Depreciation!$A$6:$L$10,9,FALSE),0))</f>
        <v>3.0676363676126896E-2</v>
      </c>
      <c r="M46" s="361">
        <f>+IF($I46=M$3,VLOOKUP($H46,Depreciation!$A$6:$L$10,10,FALSE)/2,IF($I46&lt;M$3,VLOOKUP($H46,Depreciation!$A$6:$L$10,10,FALSE),0))</f>
        <v>3.0676363676126896E-2</v>
      </c>
      <c r="N46" s="361">
        <f>+IF($I46=N$3,VLOOKUP($H46,Depreciation!$A$6:$L$10,11,FALSE)/2,IF($I46&lt;N$3,VLOOKUP($H46,Depreciation!$A$6:$L$10,11,FALSE),0))</f>
        <v>3.0676363676126896E-2</v>
      </c>
      <c r="O46" s="361">
        <f>+IF($I46=O$3,VLOOKUP($H46,Depreciation!$A$6:$L$10,12,FALSE)/2,IF($I46&lt;O$3,VLOOKUP($H46,Depreciation!$A$6:$L$10,12,FALSE),0))</f>
        <v>3.0676363676126896E-2</v>
      </c>
      <c r="P46" s="362">
        <f t="shared" si="2"/>
        <v>32827325.553805389</v>
      </c>
      <c r="Q46" s="362">
        <f t="shared" si="3"/>
        <v>32827325.553805389</v>
      </c>
      <c r="R46" s="363">
        <f t="shared" si="4"/>
        <v>0</v>
      </c>
      <c r="Y46" s="365"/>
    </row>
    <row r="47" spans="1:25" ht="15" customHeight="1">
      <c r="A47" s="359" t="str">
        <f>'Func Future Lines 2015'!A47</f>
        <v>PPS</v>
      </c>
      <c r="B47" s="359" t="str">
        <f>'Func Future Lines 2015'!B47</f>
        <v>1043LB</v>
      </c>
      <c r="C47" s="359">
        <f>'Func Future Lines 2015'!C47</f>
        <v>786</v>
      </c>
      <c r="D47" s="359">
        <f>'Func Future Lines 2015'!D47</f>
        <v>240</v>
      </c>
      <c r="E47" s="359">
        <f>'Func Future Lines 2015'!E47</f>
        <v>0</v>
      </c>
      <c r="F47" s="359" t="str">
        <f>'Func Future Lines 2015'!F47</f>
        <v>edmonton</v>
      </c>
      <c r="G47" s="359">
        <f>'Func Future Lines 2015'!G47</f>
        <v>8330617.7071102019</v>
      </c>
      <c r="H47" s="359" t="str">
        <f>'Func Future Lines 2015'!H47</f>
        <v>AltaLink</v>
      </c>
      <c r="I47" s="359">
        <f>'Func Future Lines 2015'!I47</f>
        <v>2016</v>
      </c>
      <c r="J47" s="361">
        <f>+IF($I47=J$3,VLOOKUP($H47,Depreciation!$A$6:$L$10,7,FALSE)/2,IF($I47&lt;J$3,VLOOKUP($H47,Depreciation!$A$6:$L$10,7,FALSE),0))</f>
        <v>0</v>
      </c>
      <c r="K47" s="361">
        <f>+IF($I47=K$3,VLOOKUP($H47,Depreciation!$A$6:$L$10,8,FALSE)/2,IF($I47&lt;K$3,VLOOKUP($H47,Depreciation!$A$6:$L$10,8,FALSE),0))</f>
        <v>1.5338181838063448E-2</v>
      </c>
      <c r="L47" s="361">
        <f>+IF($I47=L$3,VLOOKUP($H47,Depreciation!$A$6:$L$10,9,FALSE)/2,IF($I47&lt;L$3,VLOOKUP($H47,Depreciation!$A$6:$L$10,9,FALSE),0))</f>
        <v>3.0676363676126896E-2</v>
      </c>
      <c r="M47" s="361">
        <f>+IF($I47=M$3,VLOOKUP($H47,Depreciation!$A$6:$L$10,10,FALSE)/2,IF($I47&lt;M$3,VLOOKUP($H47,Depreciation!$A$6:$L$10,10,FALSE),0))</f>
        <v>3.0676363676126896E-2</v>
      </c>
      <c r="N47" s="361">
        <f>+IF($I47=N$3,VLOOKUP($H47,Depreciation!$A$6:$L$10,11,FALSE)/2,IF($I47&lt;N$3,VLOOKUP($H47,Depreciation!$A$6:$L$10,11,FALSE),0))</f>
        <v>3.0676363676126896E-2</v>
      </c>
      <c r="O47" s="361">
        <f>+IF($I47=O$3,VLOOKUP($H47,Depreciation!$A$6:$L$10,12,FALSE)/2,IF($I47&lt;O$3,VLOOKUP($H47,Depreciation!$A$6:$L$10,12,FALSE),0))</f>
        <v>3.0676363676126896E-2</v>
      </c>
      <c r="P47" s="362">
        <f t="shared" si="2"/>
        <v>8202841.1778951548</v>
      </c>
      <c r="Q47" s="362">
        <f t="shared" si="3"/>
        <v>8202841.1778951548</v>
      </c>
      <c r="R47" s="363">
        <f t="shared" si="4"/>
        <v>0</v>
      </c>
      <c r="Y47" s="365"/>
    </row>
    <row r="48" spans="1:25" ht="15" customHeight="1">
      <c r="A48" s="359" t="str">
        <f>'Func Future Lines 2015'!A48</f>
        <v>PPS</v>
      </c>
      <c r="B48" s="359" t="str">
        <f>'Func Future Lines 2015'!B48</f>
        <v>1045L/909L</v>
      </c>
      <c r="C48" s="359">
        <f>'Func Future Lines 2015'!C48</f>
        <v>786</v>
      </c>
      <c r="D48" s="359">
        <f>'Func Future Lines 2015'!D48</f>
        <v>240</v>
      </c>
      <c r="E48" s="359">
        <f>'Func Future Lines 2015'!E48</f>
        <v>0</v>
      </c>
      <c r="F48" s="359" t="str">
        <f>'Func Future Lines 2015'!F48</f>
        <v>edmonton</v>
      </c>
      <c r="G48" s="359">
        <f>'Func Future Lines 2015'!G48</f>
        <v>289844.87394607428</v>
      </c>
      <c r="H48" s="359" t="str">
        <f>'Func Future Lines 2015'!H48</f>
        <v>AltaLink</v>
      </c>
      <c r="I48" s="359">
        <f>'Func Future Lines 2015'!I48</f>
        <v>2016</v>
      </c>
      <c r="J48" s="361">
        <f>+IF($I48=J$3,VLOOKUP($H48,Depreciation!$A$6:$L$10,7,FALSE)/2,IF($I48&lt;J$3,VLOOKUP($H48,Depreciation!$A$6:$L$10,7,FALSE),0))</f>
        <v>0</v>
      </c>
      <c r="K48" s="361">
        <f>+IF($I48=K$3,VLOOKUP($H48,Depreciation!$A$6:$L$10,8,FALSE)/2,IF($I48&lt;K$3,VLOOKUP($H48,Depreciation!$A$6:$L$10,8,FALSE),0))</f>
        <v>1.5338181838063448E-2</v>
      </c>
      <c r="L48" s="361">
        <f>+IF($I48=L$3,VLOOKUP($H48,Depreciation!$A$6:$L$10,9,FALSE)/2,IF($I48&lt;L$3,VLOOKUP($H48,Depreciation!$A$6:$L$10,9,FALSE),0))</f>
        <v>3.0676363676126896E-2</v>
      </c>
      <c r="M48" s="361">
        <f>+IF($I48=M$3,VLOOKUP($H48,Depreciation!$A$6:$L$10,10,FALSE)/2,IF($I48&lt;M$3,VLOOKUP($H48,Depreciation!$A$6:$L$10,10,FALSE),0))</f>
        <v>3.0676363676126896E-2</v>
      </c>
      <c r="N48" s="361">
        <f>+IF($I48=N$3,VLOOKUP($H48,Depreciation!$A$6:$L$10,11,FALSE)/2,IF($I48&lt;N$3,VLOOKUP($H48,Depreciation!$A$6:$L$10,11,FALSE),0))</f>
        <v>3.0676363676126896E-2</v>
      </c>
      <c r="O48" s="361">
        <f>+IF($I48=O$3,VLOOKUP($H48,Depreciation!$A$6:$L$10,12,FALSE)/2,IF($I48&lt;O$3,VLOOKUP($H48,Depreciation!$A$6:$L$10,12,FALSE),0))</f>
        <v>3.0676363676126896E-2</v>
      </c>
      <c r="P48" s="362">
        <f t="shared" si="2"/>
        <v>285399.18056465883</v>
      </c>
      <c r="Q48" s="362">
        <f t="shared" si="3"/>
        <v>285399.18056465883</v>
      </c>
      <c r="R48" s="363">
        <f t="shared" si="4"/>
        <v>0</v>
      </c>
      <c r="Y48" s="365"/>
    </row>
    <row r="49" spans="1:25" ht="15" customHeight="1">
      <c r="A49" s="359" t="str">
        <f>'Func Future Lines 2015'!A49</f>
        <v>PPS</v>
      </c>
      <c r="B49" s="359" t="str">
        <f>'Func Future Lines 2015'!B49</f>
        <v>190L / 903L</v>
      </c>
      <c r="C49" s="359">
        <f>'Func Future Lines 2015'!C49</f>
        <v>786</v>
      </c>
      <c r="D49" s="359">
        <f>'Func Future Lines 2015'!D49</f>
        <v>240</v>
      </c>
      <c r="E49" s="359">
        <f>'Func Future Lines 2015'!E49</f>
        <v>0</v>
      </c>
      <c r="F49" s="359" t="str">
        <f>'Func Future Lines 2015'!F49</f>
        <v>edmonton</v>
      </c>
      <c r="G49" s="359">
        <f>'Func Future Lines 2015'!G49</f>
        <v>414192.41502029379</v>
      </c>
      <c r="H49" s="359" t="str">
        <f>'Func Future Lines 2015'!H49</f>
        <v>AltaLink</v>
      </c>
      <c r="I49" s="359">
        <f>'Func Future Lines 2015'!I49</f>
        <v>2016</v>
      </c>
      <c r="J49" s="361">
        <f>+IF($I49=J$3,VLOOKUP($H49,Depreciation!$A$6:$L$10,7,FALSE)/2,IF($I49&lt;J$3,VLOOKUP($H49,Depreciation!$A$6:$L$10,7,FALSE),0))</f>
        <v>0</v>
      </c>
      <c r="K49" s="361">
        <f>+IF($I49=K$3,VLOOKUP($H49,Depreciation!$A$6:$L$10,8,FALSE)/2,IF($I49&lt;K$3,VLOOKUP($H49,Depreciation!$A$6:$L$10,8,FALSE),0))</f>
        <v>1.5338181838063448E-2</v>
      </c>
      <c r="L49" s="361">
        <f>+IF($I49=L$3,VLOOKUP($H49,Depreciation!$A$6:$L$10,9,FALSE)/2,IF($I49&lt;L$3,VLOOKUP($H49,Depreciation!$A$6:$L$10,9,FALSE),0))</f>
        <v>3.0676363676126896E-2</v>
      </c>
      <c r="M49" s="361">
        <f>+IF($I49=M$3,VLOOKUP($H49,Depreciation!$A$6:$L$10,10,FALSE)/2,IF($I49&lt;M$3,VLOOKUP($H49,Depreciation!$A$6:$L$10,10,FALSE),0))</f>
        <v>3.0676363676126896E-2</v>
      </c>
      <c r="N49" s="361">
        <f>+IF($I49=N$3,VLOOKUP($H49,Depreciation!$A$6:$L$10,11,FALSE)/2,IF($I49&lt;N$3,VLOOKUP($H49,Depreciation!$A$6:$L$10,11,FALSE),0))</f>
        <v>3.0676363676126896E-2</v>
      </c>
      <c r="O49" s="361">
        <f>+IF($I49=O$3,VLOOKUP($H49,Depreciation!$A$6:$L$10,12,FALSE)/2,IF($I49&lt;O$3,VLOOKUP($H49,Depreciation!$A$6:$L$10,12,FALSE),0))</f>
        <v>3.0676363676126896E-2</v>
      </c>
      <c r="P49" s="362">
        <f t="shared" si="2"/>
        <v>407839.45644276589</v>
      </c>
      <c r="Q49" s="362">
        <f t="shared" si="3"/>
        <v>407839.45644276589</v>
      </c>
      <c r="R49" s="363">
        <f t="shared" si="4"/>
        <v>0</v>
      </c>
      <c r="Y49" s="365"/>
    </row>
    <row r="50" spans="1:25" ht="15" customHeight="1">
      <c r="A50" s="359" t="str">
        <f>'Func Future Lines 2015'!A50</f>
        <v>PPS</v>
      </c>
      <c r="B50" s="359" t="str">
        <f>'Func Future Lines 2015'!B50</f>
        <v>902L</v>
      </c>
      <c r="C50" s="359">
        <f>'Func Future Lines 2015'!C50</f>
        <v>786</v>
      </c>
      <c r="D50" s="359">
        <f>'Func Future Lines 2015'!D50</f>
        <v>240</v>
      </c>
      <c r="E50" s="359">
        <f>'Func Future Lines 2015'!E50</f>
        <v>0</v>
      </c>
      <c r="F50" s="359" t="str">
        <f>'Func Future Lines 2015'!F50</f>
        <v>edmonton</v>
      </c>
      <c r="G50" s="359">
        <f>'Func Future Lines 2015'!G50</f>
        <v>1003247.4189437164</v>
      </c>
      <c r="H50" s="359" t="str">
        <f>'Func Future Lines 2015'!H50</f>
        <v>AltaLink</v>
      </c>
      <c r="I50" s="359">
        <f>'Func Future Lines 2015'!I50</f>
        <v>2016</v>
      </c>
      <c r="J50" s="361">
        <f>+IF($I50=J$3,VLOOKUP($H50,Depreciation!$A$6:$L$10,7,FALSE)/2,IF($I50&lt;J$3,VLOOKUP($H50,Depreciation!$A$6:$L$10,7,FALSE),0))</f>
        <v>0</v>
      </c>
      <c r="K50" s="361">
        <f>+IF($I50=K$3,VLOOKUP($H50,Depreciation!$A$6:$L$10,8,FALSE)/2,IF($I50&lt;K$3,VLOOKUP($H50,Depreciation!$A$6:$L$10,8,FALSE),0))</f>
        <v>1.5338181838063448E-2</v>
      </c>
      <c r="L50" s="361">
        <f>+IF($I50=L$3,VLOOKUP($H50,Depreciation!$A$6:$L$10,9,FALSE)/2,IF($I50&lt;L$3,VLOOKUP($H50,Depreciation!$A$6:$L$10,9,FALSE),0))</f>
        <v>3.0676363676126896E-2</v>
      </c>
      <c r="M50" s="361">
        <f>+IF($I50=M$3,VLOOKUP($H50,Depreciation!$A$6:$L$10,10,FALSE)/2,IF($I50&lt;M$3,VLOOKUP($H50,Depreciation!$A$6:$L$10,10,FALSE),0))</f>
        <v>3.0676363676126896E-2</v>
      </c>
      <c r="N50" s="361">
        <f>+IF($I50=N$3,VLOOKUP($H50,Depreciation!$A$6:$L$10,11,FALSE)/2,IF($I50&lt;N$3,VLOOKUP($H50,Depreciation!$A$6:$L$10,11,FALSE),0))</f>
        <v>3.0676363676126896E-2</v>
      </c>
      <c r="O50" s="361">
        <f>+IF($I50=O$3,VLOOKUP($H50,Depreciation!$A$6:$L$10,12,FALSE)/2,IF($I50&lt;O$3,VLOOKUP($H50,Depreciation!$A$6:$L$10,12,FALSE),0))</f>
        <v>3.0676363676126896E-2</v>
      </c>
      <c r="P50" s="362">
        <f t="shared" si="2"/>
        <v>987859.42760338983</v>
      </c>
      <c r="Q50" s="362">
        <f t="shared" si="3"/>
        <v>987859.42760338983</v>
      </c>
      <c r="R50" s="363">
        <f t="shared" si="4"/>
        <v>0</v>
      </c>
      <c r="Y50" s="365"/>
    </row>
    <row r="51" spans="1:25" ht="15" customHeight="1">
      <c r="A51" s="359" t="str">
        <f>'Func Future Lines 2015'!A51</f>
        <v>PPS</v>
      </c>
      <c r="B51" s="359" t="str">
        <f>'Func Future Lines 2015'!B51</f>
        <v>902L / 913L</v>
      </c>
      <c r="C51" s="359">
        <f>'Func Future Lines 2015'!C51</f>
        <v>786</v>
      </c>
      <c r="D51" s="359">
        <f>'Func Future Lines 2015'!D51</f>
        <v>240</v>
      </c>
      <c r="E51" s="359">
        <f>'Func Future Lines 2015'!E51</f>
        <v>0</v>
      </c>
      <c r="F51" s="359" t="str">
        <f>'Func Future Lines 2015'!F51</f>
        <v>edmonton</v>
      </c>
      <c r="G51" s="359">
        <f>'Func Future Lines 2015'!G51</f>
        <v>5049558.4464780493</v>
      </c>
      <c r="H51" s="359" t="str">
        <f>'Func Future Lines 2015'!H51</f>
        <v>AltaLink</v>
      </c>
      <c r="I51" s="359">
        <f>'Func Future Lines 2015'!I51</f>
        <v>2016</v>
      </c>
      <c r="J51" s="361">
        <f>+IF($I51=J$3,VLOOKUP($H51,Depreciation!$A$6:$L$10,7,FALSE)/2,IF($I51&lt;J$3,VLOOKUP($H51,Depreciation!$A$6:$L$10,7,FALSE),0))</f>
        <v>0</v>
      </c>
      <c r="K51" s="361">
        <f>+IF($I51=K$3,VLOOKUP($H51,Depreciation!$A$6:$L$10,8,FALSE)/2,IF($I51&lt;K$3,VLOOKUP($H51,Depreciation!$A$6:$L$10,8,FALSE),0))</f>
        <v>1.5338181838063448E-2</v>
      </c>
      <c r="L51" s="361">
        <f>+IF($I51=L$3,VLOOKUP($H51,Depreciation!$A$6:$L$10,9,FALSE)/2,IF($I51&lt;L$3,VLOOKUP($H51,Depreciation!$A$6:$L$10,9,FALSE),0))</f>
        <v>3.0676363676126896E-2</v>
      </c>
      <c r="M51" s="361">
        <f>+IF($I51=M$3,VLOOKUP($H51,Depreciation!$A$6:$L$10,10,FALSE)/2,IF($I51&lt;M$3,VLOOKUP($H51,Depreciation!$A$6:$L$10,10,FALSE),0))</f>
        <v>3.0676363676126896E-2</v>
      </c>
      <c r="N51" s="361">
        <f>+IF($I51=N$3,VLOOKUP($H51,Depreciation!$A$6:$L$10,11,FALSE)/2,IF($I51&lt;N$3,VLOOKUP($H51,Depreciation!$A$6:$L$10,11,FALSE),0))</f>
        <v>3.0676363676126896E-2</v>
      </c>
      <c r="O51" s="361">
        <f>+IF($I51=O$3,VLOOKUP($H51,Depreciation!$A$6:$L$10,12,FALSE)/2,IF($I51&lt;O$3,VLOOKUP($H51,Depreciation!$A$6:$L$10,12,FALSE),0))</f>
        <v>3.0676363676126896E-2</v>
      </c>
      <c r="P51" s="362">
        <f t="shared" si="2"/>
        <v>4972107.4008240402</v>
      </c>
      <c r="Q51" s="362">
        <f t="shared" si="3"/>
        <v>4972107.4008240402</v>
      </c>
      <c r="R51" s="363">
        <f t="shared" si="4"/>
        <v>0</v>
      </c>
      <c r="Y51" s="365"/>
    </row>
    <row r="52" spans="1:25" ht="15" customHeight="1">
      <c r="A52" s="359" t="str">
        <f>'Func Future Lines 2015'!A52</f>
        <v>PPS</v>
      </c>
      <c r="B52" s="359" t="str">
        <f>'Func Future Lines 2015'!B52</f>
        <v>902L / 913L</v>
      </c>
      <c r="C52" s="359">
        <f>'Func Future Lines 2015'!C52</f>
        <v>786</v>
      </c>
      <c r="D52" s="359">
        <f>'Func Future Lines 2015'!D52</f>
        <v>240</v>
      </c>
      <c r="E52" s="359">
        <f>'Func Future Lines 2015'!E52</f>
        <v>0</v>
      </c>
      <c r="F52" s="359" t="str">
        <f>'Func Future Lines 2015'!F52</f>
        <v>edmonton</v>
      </c>
      <c r="G52" s="359">
        <f>'Func Future Lines 2015'!G52</f>
        <v>1156144.4203365908</v>
      </c>
      <c r="H52" s="359" t="str">
        <f>'Func Future Lines 2015'!H52</f>
        <v>AltaLink</v>
      </c>
      <c r="I52" s="359">
        <f>'Func Future Lines 2015'!I52</f>
        <v>2016</v>
      </c>
      <c r="J52" s="361">
        <f>+IF($I52=J$3,VLOOKUP($H52,Depreciation!$A$6:$L$10,7,FALSE)/2,IF($I52&lt;J$3,VLOOKUP($H52,Depreciation!$A$6:$L$10,7,FALSE),0))</f>
        <v>0</v>
      </c>
      <c r="K52" s="361">
        <f>+IF($I52=K$3,VLOOKUP($H52,Depreciation!$A$6:$L$10,8,FALSE)/2,IF($I52&lt;K$3,VLOOKUP($H52,Depreciation!$A$6:$L$10,8,FALSE),0))</f>
        <v>1.5338181838063448E-2</v>
      </c>
      <c r="L52" s="361">
        <f>+IF($I52=L$3,VLOOKUP($H52,Depreciation!$A$6:$L$10,9,FALSE)/2,IF($I52&lt;L$3,VLOOKUP($H52,Depreciation!$A$6:$L$10,9,FALSE),0))</f>
        <v>3.0676363676126896E-2</v>
      </c>
      <c r="M52" s="361">
        <f>+IF($I52=M$3,VLOOKUP($H52,Depreciation!$A$6:$L$10,10,FALSE)/2,IF($I52&lt;M$3,VLOOKUP($H52,Depreciation!$A$6:$L$10,10,FALSE),0))</f>
        <v>3.0676363676126896E-2</v>
      </c>
      <c r="N52" s="361">
        <f>+IF($I52=N$3,VLOOKUP($H52,Depreciation!$A$6:$L$10,11,FALSE)/2,IF($I52&lt;N$3,VLOOKUP($H52,Depreciation!$A$6:$L$10,11,FALSE),0))</f>
        <v>3.0676363676126896E-2</v>
      </c>
      <c r="O52" s="361">
        <f>+IF($I52=O$3,VLOOKUP($H52,Depreciation!$A$6:$L$10,12,FALSE)/2,IF($I52&lt;O$3,VLOOKUP($H52,Depreciation!$A$6:$L$10,12,FALSE),0))</f>
        <v>3.0676363676126896E-2</v>
      </c>
      <c r="P52" s="362">
        <f t="shared" si="2"/>
        <v>1138411.2669864057</v>
      </c>
      <c r="Q52" s="362">
        <f t="shared" si="3"/>
        <v>1138411.2669864057</v>
      </c>
      <c r="R52" s="363">
        <f t="shared" si="4"/>
        <v>0</v>
      </c>
      <c r="Y52" s="365"/>
    </row>
    <row r="53" spans="1:25" ht="15" customHeight="1">
      <c r="A53" s="359" t="str">
        <f>'Func Future Lines 2015'!A53</f>
        <v>PPS</v>
      </c>
      <c r="B53" s="359" t="str">
        <f>'Func Future Lines 2015'!B53</f>
        <v>902L T</v>
      </c>
      <c r="C53" s="359">
        <f>'Func Future Lines 2015'!C53</f>
        <v>786</v>
      </c>
      <c r="D53" s="359">
        <f>'Func Future Lines 2015'!D53</f>
        <v>240</v>
      </c>
      <c r="E53" s="359">
        <f>'Func Future Lines 2015'!E53</f>
        <v>0</v>
      </c>
      <c r="F53" s="359" t="str">
        <f>'Func Future Lines 2015'!F53</f>
        <v>edmonton</v>
      </c>
      <c r="G53" s="359">
        <f>'Func Future Lines 2015'!G53</f>
        <v>74703.733323158798</v>
      </c>
      <c r="H53" s="359" t="str">
        <f>'Func Future Lines 2015'!H53</f>
        <v>AltaLink</v>
      </c>
      <c r="I53" s="359">
        <f>'Func Future Lines 2015'!I53</f>
        <v>2016</v>
      </c>
      <c r="J53" s="361">
        <f>+IF($I53=J$3,VLOOKUP($H53,Depreciation!$A$6:$L$10,7,FALSE)/2,IF($I53&lt;J$3,VLOOKUP($H53,Depreciation!$A$6:$L$10,7,FALSE),0))</f>
        <v>0</v>
      </c>
      <c r="K53" s="361">
        <f>+IF($I53=K$3,VLOOKUP($H53,Depreciation!$A$6:$L$10,8,FALSE)/2,IF($I53&lt;K$3,VLOOKUP($H53,Depreciation!$A$6:$L$10,8,FALSE),0))</f>
        <v>1.5338181838063448E-2</v>
      </c>
      <c r="L53" s="361">
        <f>+IF($I53=L$3,VLOOKUP($H53,Depreciation!$A$6:$L$10,9,FALSE)/2,IF($I53&lt;L$3,VLOOKUP($H53,Depreciation!$A$6:$L$10,9,FALSE),0))</f>
        <v>3.0676363676126896E-2</v>
      </c>
      <c r="M53" s="361">
        <f>+IF($I53=M$3,VLOOKUP($H53,Depreciation!$A$6:$L$10,10,FALSE)/2,IF($I53&lt;M$3,VLOOKUP($H53,Depreciation!$A$6:$L$10,10,FALSE),0))</f>
        <v>3.0676363676126896E-2</v>
      </c>
      <c r="N53" s="361">
        <f>+IF($I53=N$3,VLOOKUP($H53,Depreciation!$A$6:$L$10,11,FALSE)/2,IF($I53&lt;N$3,VLOOKUP($H53,Depreciation!$A$6:$L$10,11,FALSE),0))</f>
        <v>3.0676363676126896E-2</v>
      </c>
      <c r="O53" s="361">
        <f>+IF($I53=O$3,VLOOKUP($H53,Depreciation!$A$6:$L$10,12,FALSE)/2,IF($I53&lt;O$3,VLOOKUP($H53,Depreciation!$A$6:$L$10,12,FALSE),0))</f>
        <v>3.0676363676126896E-2</v>
      </c>
      <c r="P53" s="362">
        <f t="shared" si="2"/>
        <v>73557.913877465995</v>
      </c>
      <c r="Q53" s="362">
        <f t="shared" si="3"/>
        <v>73557.913877465995</v>
      </c>
      <c r="R53" s="363">
        <f t="shared" si="4"/>
        <v>0</v>
      </c>
      <c r="Y53" s="365"/>
    </row>
    <row r="54" spans="1:25" ht="15" customHeight="1">
      <c r="A54" s="359" t="str">
        <f>'Func Future Lines 2015'!A54</f>
        <v>PPS</v>
      </c>
      <c r="B54" s="359" t="str">
        <f>'Func Future Lines 2015'!B54</f>
        <v>904L AML</v>
      </c>
      <c r="C54" s="359">
        <f>'Func Future Lines 2015'!C54</f>
        <v>786</v>
      </c>
      <c r="D54" s="359">
        <f>'Func Future Lines 2015'!D54</f>
        <v>240</v>
      </c>
      <c r="E54" s="359">
        <f>'Func Future Lines 2015'!E54</f>
        <v>0</v>
      </c>
      <c r="F54" s="359" t="str">
        <f>'Func Future Lines 2015'!F54</f>
        <v>edmonton</v>
      </c>
      <c r="G54" s="359">
        <f>'Func Future Lines 2015'!G54</f>
        <v>49162456.433123253</v>
      </c>
      <c r="H54" s="359" t="str">
        <f>'Func Future Lines 2015'!H54</f>
        <v>AltaLink</v>
      </c>
      <c r="I54" s="359">
        <f>'Func Future Lines 2015'!I54</f>
        <v>2016</v>
      </c>
      <c r="J54" s="361">
        <f>+IF($I54=J$3,VLOOKUP($H54,Depreciation!$A$6:$L$10,7,FALSE)/2,IF($I54&lt;J$3,VLOOKUP($H54,Depreciation!$A$6:$L$10,7,FALSE),0))</f>
        <v>0</v>
      </c>
      <c r="K54" s="361">
        <f>+IF($I54=K$3,VLOOKUP($H54,Depreciation!$A$6:$L$10,8,FALSE)/2,IF($I54&lt;K$3,VLOOKUP($H54,Depreciation!$A$6:$L$10,8,FALSE),0))</f>
        <v>1.5338181838063448E-2</v>
      </c>
      <c r="L54" s="361">
        <f>+IF($I54=L$3,VLOOKUP($H54,Depreciation!$A$6:$L$10,9,FALSE)/2,IF($I54&lt;L$3,VLOOKUP($H54,Depreciation!$A$6:$L$10,9,FALSE),0))</f>
        <v>3.0676363676126896E-2</v>
      </c>
      <c r="M54" s="361">
        <f>+IF($I54=M$3,VLOOKUP($H54,Depreciation!$A$6:$L$10,10,FALSE)/2,IF($I54&lt;M$3,VLOOKUP($H54,Depreciation!$A$6:$L$10,10,FALSE),0))</f>
        <v>3.0676363676126896E-2</v>
      </c>
      <c r="N54" s="361">
        <f>+IF($I54=N$3,VLOOKUP($H54,Depreciation!$A$6:$L$10,11,FALSE)/2,IF($I54&lt;N$3,VLOOKUP($H54,Depreciation!$A$6:$L$10,11,FALSE),0))</f>
        <v>3.0676363676126896E-2</v>
      </c>
      <c r="O54" s="361">
        <f>+IF($I54=O$3,VLOOKUP($H54,Depreciation!$A$6:$L$10,12,FALSE)/2,IF($I54&lt;O$3,VLOOKUP($H54,Depreciation!$A$6:$L$10,12,FALSE),0))</f>
        <v>3.0676363676126896E-2</v>
      </c>
      <c r="P54" s="362">
        <f t="shared" si="2"/>
        <v>48408393.73674614</v>
      </c>
      <c r="Q54" s="362">
        <f t="shared" si="3"/>
        <v>48408393.73674614</v>
      </c>
      <c r="R54" s="363">
        <f t="shared" si="4"/>
        <v>0</v>
      </c>
      <c r="Y54" s="365"/>
    </row>
    <row r="55" spans="1:25" ht="15" customHeight="1">
      <c r="A55" s="359" t="str">
        <f>'Func Future Lines 2015'!A55</f>
        <v>PPS</v>
      </c>
      <c r="B55" s="359" t="str">
        <f>'Func Future Lines 2015'!B55</f>
        <v>904L EDTI</v>
      </c>
      <c r="C55" s="359">
        <f>'Func Future Lines 2015'!C55</f>
        <v>786</v>
      </c>
      <c r="D55" s="359">
        <f>'Func Future Lines 2015'!D55</f>
        <v>240</v>
      </c>
      <c r="E55" s="359">
        <f>'Func Future Lines 2015'!E55</f>
        <v>0</v>
      </c>
      <c r="F55" s="359" t="str">
        <f>'Func Future Lines 2015'!F55</f>
        <v>edmonton</v>
      </c>
      <c r="G55" s="359">
        <f>'Func Future Lines 2015'!G55</f>
        <v>3984477.4999999995</v>
      </c>
      <c r="H55" s="359" t="str">
        <f>'Func Future Lines 2015'!H55</f>
        <v>EPCOR</v>
      </c>
      <c r="I55" s="359">
        <f>'Func Future Lines 2015'!I55</f>
        <v>2016</v>
      </c>
      <c r="J55" s="361">
        <f>+IF($I55=J$3,VLOOKUP($H55,Depreciation!$A$6:$L$10,7,FALSE)/2,IF($I55&lt;J$3,VLOOKUP($H55,Depreciation!$A$6:$L$10,7,FALSE),0))</f>
        <v>0</v>
      </c>
      <c r="K55" s="361">
        <f>+IF($I55=K$3,VLOOKUP($H55,Depreciation!$A$6:$L$10,8,FALSE)/2,IF($I55&lt;K$3,VLOOKUP($H55,Depreciation!$A$6:$L$10,8,FALSE),0))</f>
        <v>1.1531168605025642E-2</v>
      </c>
      <c r="L55" s="361">
        <f>+IF($I55=L$3,VLOOKUP($H55,Depreciation!$A$6:$L$10,9,FALSE)/2,IF($I55&lt;L$3,VLOOKUP($H55,Depreciation!$A$6:$L$10,9,FALSE),0))</f>
        <v>2.3063912319658014E-2</v>
      </c>
      <c r="M55" s="361">
        <f>+IF($I55=M$3,VLOOKUP($H55,Depreciation!$A$6:$L$10,10,FALSE)/2,IF($I55&lt;M$3,VLOOKUP($H55,Depreciation!$A$6:$L$10,10,FALSE),0))</f>
        <v>2.3063912319658014E-2</v>
      </c>
      <c r="N55" s="361">
        <f>+IF($I55=N$3,VLOOKUP($H55,Depreciation!$A$6:$L$10,11,FALSE)/2,IF($I55&lt;N$3,VLOOKUP($H55,Depreciation!$A$6:$L$10,11,FALSE),0))</f>
        <v>2.3063912319658014E-2</v>
      </c>
      <c r="O55" s="361">
        <f>+IF($I55=O$3,VLOOKUP($H55,Depreciation!$A$6:$L$10,12,FALSE)/2,IF($I55&lt;O$3,VLOOKUP($H55,Depreciation!$A$6:$L$10,12,FALSE),0))</f>
        <v>2.3063912319658014E-2</v>
      </c>
      <c r="P55" s="362">
        <f t="shared" si="2"/>
        <v>3938531.8181445682</v>
      </c>
      <c r="Q55" s="362">
        <f t="shared" si="3"/>
        <v>3938531.8181445682</v>
      </c>
      <c r="R55" s="363">
        <f t="shared" si="4"/>
        <v>0</v>
      </c>
      <c r="Y55" s="365"/>
    </row>
    <row r="56" spans="1:25" ht="15" customHeight="1">
      <c r="A56" s="359" t="str">
        <f>'Func Future Lines 2015'!A56</f>
        <v>PPS</v>
      </c>
      <c r="B56" s="359" t="str">
        <f>'Func Future Lines 2015'!B56</f>
        <v>904L EDTI</v>
      </c>
      <c r="C56" s="359">
        <f>'Func Future Lines 2015'!C56</f>
        <v>786</v>
      </c>
      <c r="D56" s="359">
        <f>'Func Future Lines 2015'!D56</f>
        <v>240</v>
      </c>
      <c r="E56" s="359">
        <f>'Func Future Lines 2015'!E56</f>
        <v>0</v>
      </c>
      <c r="F56" s="359" t="str">
        <f>'Func Future Lines 2015'!F56</f>
        <v>edmonton</v>
      </c>
      <c r="G56" s="359">
        <f>'Func Future Lines 2015'!G56</f>
        <v>3984477.4999999995</v>
      </c>
      <c r="H56" s="359" t="str">
        <f>'Func Future Lines 2015'!H56</f>
        <v>EPCOR</v>
      </c>
      <c r="I56" s="359">
        <f>'Func Future Lines 2015'!I56</f>
        <v>2016</v>
      </c>
      <c r="J56" s="361">
        <f>+IF($I56=J$3,VLOOKUP($H56,Depreciation!$A$6:$L$10,7,FALSE)/2,IF($I56&lt;J$3,VLOOKUP($H56,Depreciation!$A$6:$L$10,7,FALSE),0))</f>
        <v>0</v>
      </c>
      <c r="K56" s="361">
        <f>+IF($I56=K$3,VLOOKUP($H56,Depreciation!$A$6:$L$10,8,FALSE)/2,IF($I56&lt;K$3,VLOOKUP($H56,Depreciation!$A$6:$L$10,8,FALSE),0))</f>
        <v>1.1531168605025642E-2</v>
      </c>
      <c r="L56" s="361">
        <f>+IF($I56=L$3,VLOOKUP($H56,Depreciation!$A$6:$L$10,9,FALSE)/2,IF($I56&lt;L$3,VLOOKUP($H56,Depreciation!$A$6:$L$10,9,FALSE),0))</f>
        <v>2.3063912319658014E-2</v>
      </c>
      <c r="M56" s="361">
        <f>+IF($I56=M$3,VLOOKUP($H56,Depreciation!$A$6:$L$10,10,FALSE)/2,IF($I56&lt;M$3,VLOOKUP($H56,Depreciation!$A$6:$L$10,10,FALSE),0))</f>
        <v>2.3063912319658014E-2</v>
      </c>
      <c r="N56" s="361">
        <f>+IF($I56=N$3,VLOOKUP($H56,Depreciation!$A$6:$L$10,11,FALSE)/2,IF($I56&lt;N$3,VLOOKUP($H56,Depreciation!$A$6:$L$10,11,FALSE),0))</f>
        <v>2.3063912319658014E-2</v>
      </c>
      <c r="O56" s="361">
        <f>+IF($I56=O$3,VLOOKUP($H56,Depreciation!$A$6:$L$10,12,FALSE)/2,IF($I56&lt;O$3,VLOOKUP($H56,Depreciation!$A$6:$L$10,12,FALSE),0))</f>
        <v>2.3063912319658014E-2</v>
      </c>
      <c r="P56" s="362">
        <f t="shared" si="2"/>
        <v>3938531.8181445682</v>
      </c>
      <c r="Q56" s="362">
        <f t="shared" si="3"/>
        <v>3938531.8181445682</v>
      </c>
      <c r="R56" s="363">
        <f t="shared" si="4"/>
        <v>0</v>
      </c>
      <c r="Y56" s="365"/>
    </row>
    <row r="57" spans="1:25" ht="15" customHeight="1">
      <c r="A57" s="359" t="str">
        <f>'Func Future Lines 2015'!A57</f>
        <v>PPS</v>
      </c>
      <c r="B57" s="359" t="str">
        <f>'Func Future Lines 2015'!B57</f>
        <v>908L/909L</v>
      </c>
      <c r="C57" s="359">
        <f>'Func Future Lines 2015'!C57</f>
        <v>786</v>
      </c>
      <c r="D57" s="359">
        <f>'Func Future Lines 2015'!D57</f>
        <v>240</v>
      </c>
      <c r="E57" s="359">
        <f>'Func Future Lines 2015'!E57</f>
        <v>0</v>
      </c>
      <c r="F57" s="359" t="str">
        <f>'Func Future Lines 2015'!F57</f>
        <v>edmonton</v>
      </c>
      <c r="G57" s="359">
        <f>'Func Future Lines 2015'!G57</f>
        <v>3109824.4563445696</v>
      </c>
      <c r="H57" s="359" t="str">
        <f>'Func Future Lines 2015'!H57</f>
        <v>AltaLink</v>
      </c>
      <c r="I57" s="359">
        <f>'Func Future Lines 2015'!I57</f>
        <v>2016</v>
      </c>
      <c r="J57" s="361">
        <f>+IF($I57=J$3,VLOOKUP($H57,Depreciation!$A$6:$L$10,7,FALSE)/2,IF($I57&lt;J$3,VLOOKUP($H57,Depreciation!$A$6:$L$10,7,FALSE),0))</f>
        <v>0</v>
      </c>
      <c r="K57" s="361">
        <f>+IF($I57=K$3,VLOOKUP($H57,Depreciation!$A$6:$L$10,8,FALSE)/2,IF($I57&lt;K$3,VLOOKUP($H57,Depreciation!$A$6:$L$10,8,FALSE),0))</f>
        <v>1.5338181838063448E-2</v>
      </c>
      <c r="L57" s="361">
        <f>+IF($I57=L$3,VLOOKUP($H57,Depreciation!$A$6:$L$10,9,FALSE)/2,IF($I57&lt;L$3,VLOOKUP($H57,Depreciation!$A$6:$L$10,9,FALSE),0))</f>
        <v>3.0676363676126896E-2</v>
      </c>
      <c r="M57" s="361">
        <f>+IF($I57=M$3,VLOOKUP($H57,Depreciation!$A$6:$L$10,10,FALSE)/2,IF($I57&lt;M$3,VLOOKUP($H57,Depreciation!$A$6:$L$10,10,FALSE),0))</f>
        <v>3.0676363676126896E-2</v>
      </c>
      <c r="N57" s="361">
        <f>+IF($I57=N$3,VLOOKUP($H57,Depreciation!$A$6:$L$10,11,FALSE)/2,IF($I57&lt;N$3,VLOOKUP($H57,Depreciation!$A$6:$L$10,11,FALSE),0))</f>
        <v>3.0676363676126896E-2</v>
      </c>
      <c r="O57" s="361">
        <f>+IF($I57=O$3,VLOOKUP($H57,Depreciation!$A$6:$L$10,12,FALSE)/2,IF($I57&lt;O$3,VLOOKUP($H57,Depreciation!$A$6:$L$10,12,FALSE),0))</f>
        <v>3.0676363676126896E-2</v>
      </c>
      <c r="P57" s="362">
        <f t="shared" si="2"/>
        <v>3062125.4033486997</v>
      </c>
      <c r="Q57" s="362">
        <f t="shared" si="3"/>
        <v>3062125.4033486997</v>
      </c>
      <c r="R57" s="363">
        <f t="shared" si="4"/>
        <v>0</v>
      </c>
      <c r="Y57" s="365"/>
    </row>
    <row r="58" spans="1:25" ht="15" customHeight="1">
      <c r="A58" s="359" t="str">
        <f>'Func Future Lines 2015'!A58</f>
        <v>PPS</v>
      </c>
      <c r="B58" s="359" t="str">
        <f>'Func Future Lines 2015'!B58</f>
        <v>910L</v>
      </c>
      <c r="C58" s="359">
        <f>'Func Future Lines 2015'!C58</f>
        <v>786</v>
      </c>
      <c r="D58" s="359">
        <f>'Func Future Lines 2015'!D58</f>
        <v>240</v>
      </c>
      <c r="E58" s="359">
        <f>'Func Future Lines 2015'!E58</f>
        <v>0</v>
      </c>
      <c r="F58" s="359" t="str">
        <f>'Func Future Lines 2015'!F58</f>
        <v>northwest</v>
      </c>
      <c r="G58" s="359">
        <f>'Func Future Lines 2015'!G58</f>
        <v>346386.25820651586</v>
      </c>
      <c r="H58" s="359" t="str">
        <f>'Func Future Lines 2015'!H58</f>
        <v>ATCO</v>
      </c>
      <c r="I58" s="359">
        <f>'Func Future Lines 2015'!I58</f>
        <v>2016</v>
      </c>
      <c r="J58" s="361">
        <f>+IF($I58=J$3,VLOOKUP($H58,Depreciation!$A$6:$L$10,7,FALSE)/2,IF($I58&lt;J$3,VLOOKUP($H58,Depreciation!$A$6:$L$10,7,FALSE),0))</f>
        <v>0</v>
      </c>
      <c r="K58" s="361">
        <f>+IF($I58=K$3,VLOOKUP($H58,Depreciation!$A$6:$L$10,8,FALSE)/2,IF($I58&lt;K$3,VLOOKUP($H58,Depreciation!$A$6:$L$10,8,FALSE),0))</f>
        <v>1.1971929865503333E-2</v>
      </c>
      <c r="L58" s="361">
        <f>+IF($I58=L$3,VLOOKUP($H58,Depreciation!$A$6:$L$10,9,FALSE)/2,IF($I58&lt;L$3,VLOOKUP($H58,Depreciation!$A$6:$L$10,9,FALSE),0))</f>
        <v>2.4002037926855919E-2</v>
      </c>
      <c r="M58" s="361">
        <f>+IF($I58=M$3,VLOOKUP($H58,Depreciation!$A$6:$L$10,10,FALSE)/2,IF($I58&lt;M$3,VLOOKUP($H58,Depreciation!$A$6:$L$10,10,FALSE),0))</f>
        <v>2.4002037926855919E-2</v>
      </c>
      <c r="N58" s="361">
        <f>+IF($I58=N$3,VLOOKUP($H58,Depreciation!$A$6:$L$10,11,FALSE)/2,IF($I58&lt;N$3,VLOOKUP($H58,Depreciation!$A$6:$L$10,11,FALSE),0))</f>
        <v>2.4002037926855919E-2</v>
      </c>
      <c r="O58" s="361">
        <f>+IF($I58=O$3,VLOOKUP($H58,Depreciation!$A$6:$L$10,12,FALSE)/2,IF($I58&lt;O$3,VLOOKUP($H58,Depreciation!$A$6:$L$10,12,FALSE),0))</f>
        <v>2.4002037926855919E-2</v>
      </c>
      <c r="P58" s="362">
        <f t="shared" si="2"/>
        <v>342239.34621689335</v>
      </c>
      <c r="Q58" s="362">
        <f t="shared" si="3"/>
        <v>342239.34621689335</v>
      </c>
      <c r="R58" s="363">
        <f t="shared" si="4"/>
        <v>0</v>
      </c>
      <c r="Y58" s="365"/>
    </row>
    <row r="59" spans="1:25" ht="15" customHeight="1">
      <c r="A59" s="359" t="str">
        <f>'Func Future Lines 2015'!A59</f>
        <v>PPS</v>
      </c>
      <c r="B59" s="359" t="str">
        <f>'Func Future Lines 2015'!B59</f>
        <v>Jasper Tap</v>
      </c>
      <c r="C59" s="359">
        <f>'Func Future Lines 2015'!C59</f>
        <v>786</v>
      </c>
      <c r="D59" s="359">
        <f>'Func Future Lines 2015'!D59</f>
        <v>240</v>
      </c>
      <c r="E59" s="359">
        <f>'Func Future Lines 2015'!E59</f>
        <v>0</v>
      </c>
      <c r="F59" s="359" t="str">
        <f>'Func Future Lines 2015'!F59</f>
        <v>edmonton</v>
      </c>
      <c r="G59" s="359">
        <f>'Func Future Lines 2015'!G59</f>
        <v>1657515.1531787047</v>
      </c>
      <c r="H59" s="359" t="str">
        <f>'Func Future Lines 2015'!H59</f>
        <v>AltaLink</v>
      </c>
      <c r="I59" s="359">
        <f>'Func Future Lines 2015'!I59</f>
        <v>2016</v>
      </c>
      <c r="J59" s="361">
        <f>+IF($I59=J$3,VLOOKUP($H59,Depreciation!$A$6:$L$10,7,FALSE)/2,IF($I59&lt;J$3,VLOOKUP($H59,Depreciation!$A$6:$L$10,7,FALSE),0))</f>
        <v>0</v>
      </c>
      <c r="K59" s="361">
        <f>+IF($I59=K$3,VLOOKUP($H59,Depreciation!$A$6:$L$10,8,FALSE)/2,IF($I59&lt;K$3,VLOOKUP($H59,Depreciation!$A$6:$L$10,8,FALSE),0))</f>
        <v>1.5338181838063448E-2</v>
      </c>
      <c r="L59" s="361">
        <f>+IF($I59=L$3,VLOOKUP($H59,Depreciation!$A$6:$L$10,9,FALSE)/2,IF($I59&lt;L$3,VLOOKUP($H59,Depreciation!$A$6:$L$10,9,FALSE),0))</f>
        <v>3.0676363676126896E-2</v>
      </c>
      <c r="M59" s="361">
        <f>+IF($I59=M$3,VLOOKUP($H59,Depreciation!$A$6:$L$10,10,FALSE)/2,IF($I59&lt;M$3,VLOOKUP($H59,Depreciation!$A$6:$L$10,10,FALSE),0))</f>
        <v>3.0676363676126896E-2</v>
      </c>
      <c r="N59" s="361">
        <f>+IF($I59=N$3,VLOOKUP($H59,Depreciation!$A$6:$L$10,11,FALSE)/2,IF($I59&lt;N$3,VLOOKUP($H59,Depreciation!$A$6:$L$10,11,FALSE),0))</f>
        <v>3.0676363676126896E-2</v>
      </c>
      <c r="O59" s="361">
        <f>+IF($I59=O$3,VLOOKUP($H59,Depreciation!$A$6:$L$10,12,FALSE)/2,IF($I59&lt;O$3,VLOOKUP($H59,Depreciation!$A$6:$L$10,12,FALSE),0))</f>
        <v>3.0676363676126896E-2</v>
      </c>
      <c r="P59" s="362">
        <f t="shared" si="2"/>
        <v>1632091.8843599041</v>
      </c>
      <c r="Q59" s="362">
        <f t="shared" si="3"/>
        <v>1632091.8843599041</v>
      </c>
      <c r="R59" s="363">
        <f t="shared" si="4"/>
        <v>0</v>
      </c>
      <c r="Y59" s="365"/>
    </row>
    <row r="60" spans="1:25" ht="15" customHeight="1">
      <c r="A60" s="359" t="str">
        <f>'Func Future Lines 2015'!A60</f>
        <v>PPS</v>
      </c>
      <c r="B60" s="359" t="str">
        <f>'Func Future Lines 2015'!B60</f>
        <v>Jasper Tap</v>
      </c>
      <c r="C60" s="359">
        <f>'Func Future Lines 2015'!C60</f>
        <v>786</v>
      </c>
      <c r="D60" s="359">
        <f>'Func Future Lines 2015'!D60</f>
        <v>240</v>
      </c>
      <c r="E60" s="359">
        <f>'Func Future Lines 2015'!E60</f>
        <v>0</v>
      </c>
      <c r="F60" s="359" t="str">
        <f>'Func Future Lines 2015'!F60</f>
        <v>edmonton</v>
      </c>
      <c r="G60" s="359">
        <f>'Func Future Lines 2015'!G60</f>
        <v>1321477.0395329923</v>
      </c>
      <c r="H60" s="359" t="str">
        <f>'Func Future Lines 2015'!H60</f>
        <v>AltaLink</v>
      </c>
      <c r="I60" s="359">
        <f>'Func Future Lines 2015'!I60</f>
        <v>2016</v>
      </c>
      <c r="J60" s="361">
        <f>+IF($I60=J$3,VLOOKUP($H60,Depreciation!$A$6:$L$10,7,FALSE)/2,IF($I60&lt;J$3,VLOOKUP($H60,Depreciation!$A$6:$L$10,7,FALSE),0))</f>
        <v>0</v>
      </c>
      <c r="K60" s="361">
        <f>+IF($I60=K$3,VLOOKUP($H60,Depreciation!$A$6:$L$10,8,FALSE)/2,IF($I60&lt;K$3,VLOOKUP($H60,Depreciation!$A$6:$L$10,8,FALSE),0))</f>
        <v>1.5338181838063448E-2</v>
      </c>
      <c r="L60" s="361">
        <f>+IF($I60=L$3,VLOOKUP($H60,Depreciation!$A$6:$L$10,9,FALSE)/2,IF($I60&lt;L$3,VLOOKUP($H60,Depreciation!$A$6:$L$10,9,FALSE),0))</f>
        <v>3.0676363676126896E-2</v>
      </c>
      <c r="M60" s="361">
        <f>+IF($I60=M$3,VLOOKUP($H60,Depreciation!$A$6:$L$10,10,FALSE)/2,IF($I60&lt;M$3,VLOOKUP($H60,Depreciation!$A$6:$L$10,10,FALSE),0))</f>
        <v>3.0676363676126896E-2</v>
      </c>
      <c r="N60" s="361">
        <f>+IF($I60=N$3,VLOOKUP($H60,Depreciation!$A$6:$L$10,11,FALSE)/2,IF($I60&lt;N$3,VLOOKUP($H60,Depreciation!$A$6:$L$10,11,FALSE),0))</f>
        <v>3.0676363676126896E-2</v>
      </c>
      <c r="O60" s="361">
        <f>+IF($I60=O$3,VLOOKUP($H60,Depreciation!$A$6:$L$10,12,FALSE)/2,IF($I60&lt;O$3,VLOOKUP($H60,Depreciation!$A$6:$L$10,12,FALSE),0))</f>
        <v>3.0676363676126896E-2</v>
      </c>
      <c r="P60" s="362">
        <f t="shared" si="2"/>
        <v>1301207.9844058095</v>
      </c>
      <c r="Q60" s="362">
        <f t="shared" si="3"/>
        <v>1301207.9844058095</v>
      </c>
      <c r="R60" s="363">
        <f t="shared" si="4"/>
        <v>0</v>
      </c>
      <c r="Y60" s="365"/>
    </row>
    <row r="61" spans="1:25" ht="15" customHeight="1">
      <c r="A61" s="359" t="str">
        <f>'Func Future Lines 2015'!A61</f>
        <v>PPS</v>
      </c>
      <c r="B61" s="359" t="str">
        <f>'Func Future Lines 2015'!B61</f>
        <v>7L180</v>
      </c>
      <c r="C61" s="359">
        <f>'Func Future Lines 2015'!C61</f>
        <v>803</v>
      </c>
      <c r="D61" s="359">
        <f>'Func Future Lines 2015'!D61</f>
        <v>138</v>
      </c>
      <c r="E61" s="359">
        <f>'Func Future Lines 2015'!E61</f>
        <v>0</v>
      </c>
      <c r="F61" s="359" t="str">
        <f>'Func Future Lines 2015'!F61</f>
        <v>High_Level</v>
      </c>
      <c r="G61" s="359">
        <f>'Func Future Lines 2015'!G61</f>
        <v>12917630.079449499</v>
      </c>
      <c r="H61" s="359" t="str">
        <f>'Func Future Lines 2015'!H61</f>
        <v>ATCO</v>
      </c>
      <c r="I61" s="359">
        <f>'Func Future Lines 2015'!I61</f>
        <v>2017</v>
      </c>
      <c r="J61" s="361">
        <f>+IF($I61=J$3,VLOOKUP($H61,Depreciation!$A$6:$L$10,7,FALSE)/2,IF($I61&lt;J$3,VLOOKUP($H61,Depreciation!$A$6:$L$10,7,FALSE),0))</f>
        <v>0</v>
      </c>
      <c r="K61" s="361">
        <f>+IF($I61=K$3,VLOOKUP($H61,Depreciation!$A$6:$L$10,8,FALSE)/2,IF($I61&lt;K$3,VLOOKUP($H61,Depreciation!$A$6:$L$10,8,FALSE),0))</f>
        <v>0</v>
      </c>
      <c r="L61" s="361">
        <f>+IF($I61=L$3,VLOOKUP($H61,Depreciation!$A$6:$L$10,9,FALSE)/2,IF($I61&lt;L$3,VLOOKUP($H61,Depreciation!$A$6:$L$10,9,FALSE),0))</f>
        <v>1.2001018963427959E-2</v>
      </c>
      <c r="M61" s="361">
        <f>+IF($I61=M$3,VLOOKUP($H61,Depreciation!$A$6:$L$10,10,FALSE)/2,IF($I61&lt;M$3,VLOOKUP($H61,Depreciation!$A$6:$L$10,10,FALSE),0))</f>
        <v>2.4002037926855919E-2</v>
      </c>
      <c r="N61" s="361">
        <f>+IF($I61=N$3,VLOOKUP($H61,Depreciation!$A$6:$L$10,11,FALSE)/2,IF($I61&lt;N$3,VLOOKUP($H61,Depreciation!$A$6:$L$10,11,FALSE),0))</f>
        <v>2.4002037926855919E-2</v>
      </c>
      <c r="O61" s="361">
        <f>+IF($I61=O$3,VLOOKUP($H61,Depreciation!$A$6:$L$10,12,FALSE)/2,IF($I61&lt;O$3,VLOOKUP($H61,Depreciation!$A$6:$L$10,12,FALSE),0))</f>
        <v>2.4002037926855919E-2</v>
      </c>
      <c r="P61" s="362">
        <f t="shared" si="2"/>
        <v>0</v>
      </c>
      <c r="Q61" s="362">
        <f t="shared" si="3"/>
        <v>0</v>
      </c>
      <c r="R61" s="363">
        <f t="shared" si="4"/>
        <v>0</v>
      </c>
      <c r="Y61" s="365"/>
    </row>
    <row r="62" spans="1:25" ht="15" customHeight="1">
      <c r="A62" s="359" t="str">
        <f>'Func Future Lines 2015'!A62</f>
        <v>PPS</v>
      </c>
      <c r="B62" s="359" t="str">
        <f>'Func Future Lines 2015'!B62</f>
        <v>6L05 Dead End180</v>
      </c>
      <c r="C62" s="359">
        <f>'Func Future Lines 2015'!C62</f>
        <v>811</v>
      </c>
      <c r="D62" s="359">
        <f>'Func Future Lines 2015'!D62</f>
        <v>69</v>
      </c>
      <c r="E62" s="359">
        <f>'Func Future Lines 2015'!E62</f>
        <v>0</v>
      </c>
      <c r="F62" s="359" t="str">
        <f>'Func Future Lines 2015'!F62</f>
        <v>central</v>
      </c>
      <c r="G62" s="359">
        <f>'Func Future Lines 2015'!G62</f>
        <v>243484.314248574</v>
      </c>
      <c r="H62" s="359" t="str">
        <f>'Func Future Lines 2015'!H62</f>
        <v>ATCO</v>
      </c>
      <c r="I62" s="359">
        <f>'Func Future Lines 2015'!I62</f>
        <v>2017</v>
      </c>
      <c r="J62" s="361">
        <f>+IF($I62=J$3,VLOOKUP($H62,Depreciation!$A$6:$L$10,7,FALSE)/2,IF($I62&lt;J$3,VLOOKUP($H62,Depreciation!$A$6:$L$10,7,FALSE),0))</f>
        <v>0</v>
      </c>
      <c r="K62" s="361">
        <f>+IF($I62=K$3,VLOOKUP($H62,Depreciation!$A$6:$L$10,8,FALSE)/2,IF($I62&lt;K$3,VLOOKUP($H62,Depreciation!$A$6:$L$10,8,FALSE),0))</f>
        <v>0</v>
      </c>
      <c r="L62" s="361">
        <f>+IF($I62=L$3,VLOOKUP($H62,Depreciation!$A$6:$L$10,9,FALSE)/2,IF($I62&lt;L$3,VLOOKUP($H62,Depreciation!$A$6:$L$10,9,FALSE),0))</f>
        <v>1.2001018963427959E-2</v>
      </c>
      <c r="M62" s="361">
        <f>+IF($I62=M$3,VLOOKUP($H62,Depreciation!$A$6:$L$10,10,FALSE)/2,IF($I62&lt;M$3,VLOOKUP($H62,Depreciation!$A$6:$L$10,10,FALSE),0))</f>
        <v>2.4002037926855919E-2</v>
      </c>
      <c r="N62" s="361">
        <f>+IF($I62=N$3,VLOOKUP($H62,Depreciation!$A$6:$L$10,11,FALSE)/2,IF($I62&lt;N$3,VLOOKUP($H62,Depreciation!$A$6:$L$10,11,FALSE),0))</f>
        <v>2.4002037926855919E-2</v>
      </c>
      <c r="O62" s="361">
        <f>+IF($I62=O$3,VLOOKUP($H62,Depreciation!$A$6:$L$10,12,FALSE)/2,IF($I62&lt;O$3,VLOOKUP($H62,Depreciation!$A$6:$L$10,12,FALSE),0))</f>
        <v>2.4002037926855919E-2</v>
      </c>
      <c r="P62" s="362">
        <f t="shared" si="2"/>
        <v>0</v>
      </c>
      <c r="Q62" s="362">
        <f t="shared" si="3"/>
        <v>0</v>
      </c>
      <c r="R62" s="363">
        <f t="shared" si="4"/>
        <v>0</v>
      </c>
      <c r="Y62" s="365"/>
    </row>
    <row r="63" spans="1:25" ht="15" customHeight="1">
      <c r="A63" s="359" t="str">
        <f>'Func Future Lines 2015'!A63</f>
        <v>PPS</v>
      </c>
      <c r="B63" s="359" t="str">
        <f>'Func Future Lines 2015'!B63</f>
        <v>7L1170</v>
      </c>
      <c r="C63" s="359">
        <f>'Func Future Lines 2015'!C63</f>
        <v>811</v>
      </c>
      <c r="D63" s="359">
        <f>'Func Future Lines 2015'!D63</f>
        <v>144</v>
      </c>
      <c r="E63" s="359">
        <f>'Func Future Lines 2015'!E63</f>
        <v>0</v>
      </c>
      <c r="F63" s="359" t="str">
        <f>'Func Future Lines 2015'!F63</f>
        <v>central</v>
      </c>
      <c r="G63" s="359">
        <f>'Func Future Lines 2015'!G63</f>
        <v>2439411.4217569879</v>
      </c>
      <c r="H63" s="359" t="str">
        <f>'Func Future Lines 2015'!H63</f>
        <v>ATCO</v>
      </c>
      <c r="I63" s="359">
        <f>'Func Future Lines 2015'!I63</f>
        <v>2017</v>
      </c>
      <c r="J63" s="361">
        <f>+IF($I63=J$3,VLOOKUP($H63,Depreciation!$A$6:$L$10,7,FALSE)/2,IF($I63&lt;J$3,VLOOKUP($H63,Depreciation!$A$6:$L$10,7,FALSE),0))</f>
        <v>0</v>
      </c>
      <c r="K63" s="361">
        <f>+IF($I63=K$3,VLOOKUP($H63,Depreciation!$A$6:$L$10,8,FALSE)/2,IF($I63&lt;K$3,VLOOKUP($H63,Depreciation!$A$6:$L$10,8,FALSE),0))</f>
        <v>0</v>
      </c>
      <c r="L63" s="361">
        <f>+IF($I63=L$3,VLOOKUP($H63,Depreciation!$A$6:$L$10,9,FALSE)/2,IF($I63&lt;L$3,VLOOKUP($H63,Depreciation!$A$6:$L$10,9,FALSE),0))</f>
        <v>1.2001018963427959E-2</v>
      </c>
      <c r="M63" s="361">
        <f>+IF($I63=M$3,VLOOKUP($H63,Depreciation!$A$6:$L$10,10,FALSE)/2,IF($I63&lt;M$3,VLOOKUP($H63,Depreciation!$A$6:$L$10,10,FALSE),0))</f>
        <v>2.4002037926855919E-2</v>
      </c>
      <c r="N63" s="361">
        <f>+IF($I63=N$3,VLOOKUP($H63,Depreciation!$A$6:$L$10,11,FALSE)/2,IF($I63&lt;N$3,VLOOKUP($H63,Depreciation!$A$6:$L$10,11,FALSE),0))</f>
        <v>2.4002037926855919E-2</v>
      </c>
      <c r="O63" s="361">
        <f>+IF($I63=O$3,VLOOKUP($H63,Depreciation!$A$6:$L$10,12,FALSE)/2,IF($I63&lt;O$3,VLOOKUP($H63,Depreciation!$A$6:$L$10,12,FALSE),0))</f>
        <v>2.4002037926855919E-2</v>
      </c>
      <c r="P63" s="362">
        <f t="shared" si="2"/>
        <v>0</v>
      </c>
      <c r="Q63" s="362">
        <f t="shared" si="3"/>
        <v>0</v>
      </c>
      <c r="R63" s="363">
        <f t="shared" si="4"/>
        <v>0</v>
      </c>
      <c r="Y63" s="365"/>
    </row>
    <row r="64" spans="1:25" ht="15" customHeight="1">
      <c r="A64" s="359" t="str">
        <f>'Func Future Lines 2015'!A64</f>
        <v>PPS</v>
      </c>
      <c r="B64" s="359" t="str">
        <f>'Func Future Lines 2015'!B64</f>
        <v>7L14/7L130180</v>
      </c>
      <c r="C64" s="359">
        <f>'Func Future Lines 2015'!C64</f>
        <v>811</v>
      </c>
      <c r="D64" s="359">
        <f>'Func Future Lines 2015'!D64</f>
        <v>144</v>
      </c>
      <c r="E64" s="359">
        <f>'Func Future Lines 2015'!E64</f>
        <v>0</v>
      </c>
      <c r="F64" s="359" t="str">
        <f>'Func Future Lines 2015'!F64</f>
        <v>central</v>
      </c>
      <c r="G64" s="359">
        <f>'Func Future Lines 2015'!G64</f>
        <v>14367348.961213691</v>
      </c>
      <c r="H64" s="359" t="str">
        <f>'Func Future Lines 2015'!H64</f>
        <v>ATCO</v>
      </c>
      <c r="I64" s="359">
        <f>'Func Future Lines 2015'!I64</f>
        <v>2017</v>
      </c>
      <c r="J64" s="361">
        <f>+IF($I64=J$3,VLOOKUP($H64,Depreciation!$A$6:$L$10,7,FALSE)/2,IF($I64&lt;J$3,VLOOKUP($H64,Depreciation!$A$6:$L$10,7,FALSE),0))</f>
        <v>0</v>
      </c>
      <c r="K64" s="361">
        <f>+IF($I64=K$3,VLOOKUP($H64,Depreciation!$A$6:$L$10,8,FALSE)/2,IF($I64&lt;K$3,VLOOKUP($H64,Depreciation!$A$6:$L$10,8,FALSE),0))</f>
        <v>0</v>
      </c>
      <c r="L64" s="361">
        <f>+IF($I64=L$3,VLOOKUP($H64,Depreciation!$A$6:$L$10,9,FALSE)/2,IF($I64&lt;L$3,VLOOKUP($H64,Depreciation!$A$6:$L$10,9,FALSE),0))</f>
        <v>1.2001018963427959E-2</v>
      </c>
      <c r="M64" s="361">
        <f>+IF($I64=M$3,VLOOKUP($H64,Depreciation!$A$6:$L$10,10,FALSE)/2,IF($I64&lt;M$3,VLOOKUP($H64,Depreciation!$A$6:$L$10,10,FALSE),0))</f>
        <v>2.4002037926855919E-2</v>
      </c>
      <c r="N64" s="361">
        <f>+IF($I64=N$3,VLOOKUP($H64,Depreciation!$A$6:$L$10,11,FALSE)/2,IF($I64&lt;N$3,VLOOKUP($H64,Depreciation!$A$6:$L$10,11,FALSE),0))</f>
        <v>2.4002037926855919E-2</v>
      </c>
      <c r="O64" s="361">
        <f>+IF($I64=O$3,VLOOKUP($H64,Depreciation!$A$6:$L$10,12,FALSE)/2,IF($I64&lt;O$3,VLOOKUP($H64,Depreciation!$A$6:$L$10,12,FALSE),0))</f>
        <v>2.4002037926855919E-2</v>
      </c>
      <c r="P64" s="362">
        <f t="shared" si="2"/>
        <v>0</v>
      </c>
      <c r="Q64" s="362">
        <f t="shared" si="3"/>
        <v>0</v>
      </c>
      <c r="R64" s="363">
        <f t="shared" si="4"/>
        <v>0</v>
      </c>
      <c r="Y64" s="365"/>
    </row>
    <row r="65" spans="1:25" ht="15" customHeight="1">
      <c r="A65" s="359" t="str">
        <f>'Func Future Lines 2015'!A65</f>
        <v>PPS</v>
      </c>
      <c r="B65" s="359" t="str">
        <f>'Func Future Lines 2015'!B65</f>
        <v>7L140</v>
      </c>
      <c r="C65" s="359">
        <f>'Func Future Lines 2015'!C65</f>
        <v>811</v>
      </c>
      <c r="D65" s="359">
        <f>'Func Future Lines 2015'!D65</f>
        <v>144</v>
      </c>
      <c r="E65" s="359">
        <f>'Func Future Lines 2015'!E65</f>
        <v>0</v>
      </c>
      <c r="F65" s="359" t="str">
        <f>'Func Future Lines 2015'!F65</f>
        <v>central</v>
      </c>
      <c r="G65" s="359">
        <f>'Func Future Lines 2015'!G65</f>
        <v>6851824.4335497497</v>
      </c>
      <c r="H65" s="359" t="str">
        <f>'Func Future Lines 2015'!H65</f>
        <v>ATCO</v>
      </c>
      <c r="I65" s="359">
        <f>'Func Future Lines 2015'!I65</f>
        <v>2017</v>
      </c>
      <c r="J65" s="361">
        <f>+IF($I65=J$3,VLOOKUP($H65,Depreciation!$A$6:$L$10,7,FALSE)/2,IF($I65&lt;J$3,VLOOKUP($H65,Depreciation!$A$6:$L$10,7,FALSE),0))</f>
        <v>0</v>
      </c>
      <c r="K65" s="361">
        <f>+IF($I65=K$3,VLOOKUP($H65,Depreciation!$A$6:$L$10,8,FALSE)/2,IF($I65&lt;K$3,VLOOKUP($H65,Depreciation!$A$6:$L$10,8,FALSE),0))</f>
        <v>0</v>
      </c>
      <c r="L65" s="361">
        <f>+IF($I65=L$3,VLOOKUP($H65,Depreciation!$A$6:$L$10,9,FALSE)/2,IF($I65&lt;L$3,VLOOKUP($H65,Depreciation!$A$6:$L$10,9,FALSE),0))</f>
        <v>1.2001018963427959E-2</v>
      </c>
      <c r="M65" s="361">
        <f>+IF($I65=M$3,VLOOKUP($H65,Depreciation!$A$6:$L$10,10,FALSE)/2,IF($I65&lt;M$3,VLOOKUP($H65,Depreciation!$A$6:$L$10,10,FALSE),0))</f>
        <v>2.4002037926855919E-2</v>
      </c>
      <c r="N65" s="361">
        <f>+IF($I65=N$3,VLOOKUP($H65,Depreciation!$A$6:$L$10,11,FALSE)/2,IF($I65&lt;N$3,VLOOKUP($H65,Depreciation!$A$6:$L$10,11,FALSE),0))</f>
        <v>2.4002037926855919E-2</v>
      </c>
      <c r="O65" s="361">
        <f>+IF($I65=O$3,VLOOKUP($H65,Depreciation!$A$6:$L$10,12,FALSE)/2,IF($I65&lt;O$3,VLOOKUP($H65,Depreciation!$A$6:$L$10,12,FALSE),0))</f>
        <v>2.4002037926855919E-2</v>
      </c>
      <c r="P65" s="362">
        <f t="shared" si="2"/>
        <v>0</v>
      </c>
      <c r="Q65" s="362">
        <f t="shared" si="3"/>
        <v>0</v>
      </c>
      <c r="R65" s="363">
        <f t="shared" si="4"/>
        <v>0</v>
      </c>
      <c r="Y65" s="365"/>
    </row>
    <row r="66" spans="1:25" ht="15" customHeight="1">
      <c r="A66" s="359" t="str">
        <f>'Func Future Lines 2015'!A66</f>
        <v>PPS</v>
      </c>
      <c r="B66" s="359" t="str">
        <f>'Func Future Lines 2015'!B66</f>
        <v>7L157(180)</v>
      </c>
      <c r="C66" s="359">
        <f>'Func Future Lines 2015'!C66</f>
        <v>811</v>
      </c>
      <c r="D66" s="359">
        <f>'Func Future Lines 2015'!D66</f>
        <v>144</v>
      </c>
      <c r="E66" s="359">
        <f>'Func Future Lines 2015'!E66</f>
        <v>0</v>
      </c>
      <c r="F66" s="359" t="str">
        <f>'Func Future Lines 2015'!F66</f>
        <v>central</v>
      </c>
      <c r="G66" s="359">
        <f>'Func Future Lines 2015'!G66</f>
        <v>918753.56140999962</v>
      </c>
      <c r="H66" s="359" t="str">
        <f>'Func Future Lines 2015'!H66</f>
        <v>ATCO</v>
      </c>
      <c r="I66" s="359">
        <f>'Func Future Lines 2015'!I66</f>
        <v>2017</v>
      </c>
      <c r="J66" s="361">
        <f>+IF($I66=J$3,VLOOKUP($H66,Depreciation!$A$6:$L$10,7,FALSE)/2,IF($I66&lt;J$3,VLOOKUP($H66,Depreciation!$A$6:$L$10,7,FALSE),0))</f>
        <v>0</v>
      </c>
      <c r="K66" s="361">
        <f>+IF($I66=K$3,VLOOKUP($H66,Depreciation!$A$6:$L$10,8,FALSE)/2,IF($I66&lt;K$3,VLOOKUP($H66,Depreciation!$A$6:$L$10,8,FALSE),0))</f>
        <v>0</v>
      </c>
      <c r="L66" s="361">
        <f>+IF($I66=L$3,VLOOKUP($H66,Depreciation!$A$6:$L$10,9,FALSE)/2,IF($I66&lt;L$3,VLOOKUP($H66,Depreciation!$A$6:$L$10,9,FALSE),0))</f>
        <v>1.2001018963427959E-2</v>
      </c>
      <c r="M66" s="361">
        <f>+IF($I66=M$3,VLOOKUP($H66,Depreciation!$A$6:$L$10,10,FALSE)/2,IF($I66&lt;M$3,VLOOKUP($H66,Depreciation!$A$6:$L$10,10,FALSE),0))</f>
        <v>2.4002037926855919E-2</v>
      </c>
      <c r="N66" s="361">
        <f>+IF($I66=N$3,VLOOKUP($H66,Depreciation!$A$6:$L$10,11,FALSE)/2,IF($I66&lt;N$3,VLOOKUP($H66,Depreciation!$A$6:$L$10,11,FALSE),0))</f>
        <v>2.4002037926855919E-2</v>
      </c>
      <c r="O66" s="361">
        <f>+IF($I66=O$3,VLOOKUP($H66,Depreciation!$A$6:$L$10,12,FALSE)/2,IF($I66&lt;O$3,VLOOKUP($H66,Depreciation!$A$6:$L$10,12,FALSE),0))</f>
        <v>2.4002037926855919E-2</v>
      </c>
      <c r="P66" s="362">
        <f t="shared" si="2"/>
        <v>0</v>
      </c>
      <c r="Q66" s="362">
        <f t="shared" si="3"/>
        <v>0</v>
      </c>
      <c r="R66" s="363">
        <f t="shared" si="4"/>
        <v>0</v>
      </c>
      <c r="Y66" s="365"/>
    </row>
    <row r="67" spans="1:25" ht="15" customHeight="1">
      <c r="A67" s="359" t="str">
        <f>'Func Future Lines 2015'!A67</f>
        <v>PPS</v>
      </c>
      <c r="B67" s="359" t="str">
        <f>'Func Future Lines 2015'!B67</f>
        <v>7L160(180)</v>
      </c>
      <c r="C67" s="359">
        <f>'Func Future Lines 2015'!C67</f>
        <v>811</v>
      </c>
      <c r="D67" s="359">
        <f>'Func Future Lines 2015'!D67</f>
        <v>144</v>
      </c>
      <c r="E67" s="359">
        <f>'Func Future Lines 2015'!E67</f>
        <v>0</v>
      </c>
      <c r="F67" s="359" t="str">
        <f>'Func Future Lines 2015'!F67</f>
        <v>central</v>
      </c>
      <c r="G67" s="359">
        <f>'Func Future Lines 2015'!G67</f>
        <v>956623.00131934194</v>
      </c>
      <c r="H67" s="359" t="str">
        <f>'Func Future Lines 2015'!H67</f>
        <v>ATCO</v>
      </c>
      <c r="I67" s="359">
        <f>'Func Future Lines 2015'!I67</f>
        <v>2017</v>
      </c>
      <c r="J67" s="361">
        <f>+IF($I67=J$3,VLOOKUP($H67,Depreciation!$A$6:$L$10,7,FALSE)/2,IF($I67&lt;J$3,VLOOKUP($H67,Depreciation!$A$6:$L$10,7,FALSE),0))</f>
        <v>0</v>
      </c>
      <c r="K67" s="361">
        <f>+IF($I67=K$3,VLOOKUP($H67,Depreciation!$A$6:$L$10,8,FALSE)/2,IF($I67&lt;K$3,VLOOKUP($H67,Depreciation!$A$6:$L$10,8,FALSE),0))</f>
        <v>0</v>
      </c>
      <c r="L67" s="361">
        <f>+IF($I67=L$3,VLOOKUP($H67,Depreciation!$A$6:$L$10,9,FALSE)/2,IF($I67&lt;L$3,VLOOKUP($H67,Depreciation!$A$6:$L$10,9,FALSE),0))</f>
        <v>1.2001018963427959E-2</v>
      </c>
      <c r="M67" s="361">
        <f>+IF($I67=M$3,VLOOKUP($H67,Depreciation!$A$6:$L$10,10,FALSE)/2,IF($I67&lt;M$3,VLOOKUP($H67,Depreciation!$A$6:$L$10,10,FALSE),0))</f>
        <v>2.4002037926855919E-2</v>
      </c>
      <c r="N67" s="361">
        <f>+IF($I67=N$3,VLOOKUP($H67,Depreciation!$A$6:$L$10,11,FALSE)/2,IF($I67&lt;N$3,VLOOKUP($H67,Depreciation!$A$6:$L$10,11,FALSE),0))</f>
        <v>2.4002037926855919E-2</v>
      </c>
      <c r="O67" s="361">
        <f>+IF($I67=O$3,VLOOKUP($H67,Depreciation!$A$6:$L$10,12,FALSE)/2,IF($I67&lt;O$3,VLOOKUP($H67,Depreciation!$A$6:$L$10,12,FALSE),0))</f>
        <v>2.4002037926855919E-2</v>
      </c>
      <c r="P67" s="362">
        <f t="shared" si="2"/>
        <v>0</v>
      </c>
      <c r="Q67" s="362">
        <f t="shared" si="3"/>
        <v>0</v>
      </c>
      <c r="R67" s="363">
        <f t="shared" si="4"/>
        <v>0</v>
      </c>
      <c r="Y67" s="365"/>
    </row>
    <row r="68" spans="1:25" ht="15" customHeight="1">
      <c r="A68" s="359" t="str">
        <f>'Func Future Lines 2015'!A68</f>
        <v>PPS</v>
      </c>
      <c r="B68" s="359" t="str">
        <f>'Func Future Lines 2015'!B68</f>
        <v>7L530</v>
      </c>
      <c r="C68" s="359">
        <f>'Func Future Lines 2015'!C68</f>
        <v>811</v>
      </c>
      <c r="D68" s="359">
        <f>'Func Future Lines 2015'!D68</f>
        <v>144</v>
      </c>
      <c r="E68" s="359">
        <f>'Func Future Lines 2015'!E68</f>
        <v>0</v>
      </c>
      <c r="F68" s="359" t="str">
        <f>'Func Future Lines 2015'!F68</f>
        <v>central</v>
      </c>
      <c r="G68" s="359">
        <f>'Func Future Lines 2015'!G68</f>
        <v>2787898.7677222718</v>
      </c>
      <c r="H68" s="359" t="str">
        <f>'Func Future Lines 2015'!H68</f>
        <v>ATCO</v>
      </c>
      <c r="I68" s="359">
        <f>'Func Future Lines 2015'!I68</f>
        <v>2017</v>
      </c>
      <c r="J68" s="361">
        <f>+IF($I68=J$3,VLOOKUP($H68,Depreciation!$A$6:$L$10,7,FALSE)/2,IF($I68&lt;J$3,VLOOKUP($H68,Depreciation!$A$6:$L$10,7,FALSE),0))</f>
        <v>0</v>
      </c>
      <c r="K68" s="361">
        <f>+IF($I68=K$3,VLOOKUP($H68,Depreciation!$A$6:$L$10,8,FALSE)/2,IF($I68&lt;K$3,VLOOKUP($H68,Depreciation!$A$6:$L$10,8,FALSE),0))</f>
        <v>0</v>
      </c>
      <c r="L68" s="361">
        <f>+IF($I68=L$3,VLOOKUP($H68,Depreciation!$A$6:$L$10,9,FALSE)/2,IF($I68&lt;L$3,VLOOKUP($H68,Depreciation!$A$6:$L$10,9,FALSE),0))</f>
        <v>1.2001018963427959E-2</v>
      </c>
      <c r="M68" s="361">
        <f>+IF($I68=M$3,VLOOKUP($H68,Depreciation!$A$6:$L$10,10,FALSE)/2,IF($I68&lt;M$3,VLOOKUP($H68,Depreciation!$A$6:$L$10,10,FALSE),0))</f>
        <v>2.4002037926855919E-2</v>
      </c>
      <c r="N68" s="361">
        <f>+IF($I68=N$3,VLOOKUP($H68,Depreciation!$A$6:$L$10,11,FALSE)/2,IF($I68&lt;N$3,VLOOKUP($H68,Depreciation!$A$6:$L$10,11,FALSE),0))</f>
        <v>2.4002037926855919E-2</v>
      </c>
      <c r="O68" s="361">
        <f>+IF($I68=O$3,VLOOKUP($H68,Depreciation!$A$6:$L$10,12,FALSE)/2,IF($I68&lt;O$3,VLOOKUP($H68,Depreciation!$A$6:$L$10,12,FALSE),0))</f>
        <v>2.4002037926855919E-2</v>
      </c>
      <c r="P68" s="362">
        <f t="shared" si="2"/>
        <v>0</v>
      </c>
      <c r="Q68" s="362">
        <f t="shared" si="3"/>
        <v>0</v>
      </c>
      <c r="R68" s="363">
        <f t="shared" si="4"/>
        <v>0</v>
      </c>
      <c r="Y68" s="365"/>
    </row>
    <row r="69" spans="1:25" ht="15" customHeight="1">
      <c r="A69" s="359" t="str">
        <f>'Func Future Lines 2015'!A69</f>
        <v>PPS</v>
      </c>
      <c r="B69" s="359" t="str">
        <f>'Func Future Lines 2015'!B69</f>
        <v>7L7010</v>
      </c>
      <c r="C69" s="359">
        <f>'Func Future Lines 2015'!C69</f>
        <v>811</v>
      </c>
      <c r="D69" s="359">
        <f>'Func Future Lines 2015'!D69</f>
        <v>144</v>
      </c>
      <c r="E69" s="359">
        <f>'Func Future Lines 2015'!E69</f>
        <v>0</v>
      </c>
      <c r="F69" s="359" t="str">
        <f>'Func Future Lines 2015'!F69</f>
        <v>central</v>
      </c>
      <c r="G69" s="359">
        <f>'Func Future Lines 2015'!G69</f>
        <v>1203865.376970981</v>
      </c>
      <c r="H69" s="359" t="str">
        <f>'Func Future Lines 2015'!H69</f>
        <v>ATCO</v>
      </c>
      <c r="I69" s="359">
        <f>'Func Future Lines 2015'!I69</f>
        <v>2017</v>
      </c>
      <c r="J69" s="361">
        <f>+IF($I69=J$3,VLOOKUP($H69,Depreciation!$A$6:$L$10,7,FALSE)/2,IF($I69&lt;J$3,VLOOKUP($H69,Depreciation!$A$6:$L$10,7,FALSE),0))</f>
        <v>0</v>
      </c>
      <c r="K69" s="361">
        <f>+IF($I69=K$3,VLOOKUP($H69,Depreciation!$A$6:$L$10,8,FALSE)/2,IF($I69&lt;K$3,VLOOKUP($H69,Depreciation!$A$6:$L$10,8,FALSE),0))</f>
        <v>0</v>
      </c>
      <c r="L69" s="361">
        <f>+IF($I69=L$3,VLOOKUP($H69,Depreciation!$A$6:$L$10,9,FALSE)/2,IF($I69&lt;L$3,VLOOKUP($H69,Depreciation!$A$6:$L$10,9,FALSE),0))</f>
        <v>1.2001018963427959E-2</v>
      </c>
      <c r="M69" s="361">
        <f>+IF($I69=M$3,VLOOKUP($H69,Depreciation!$A$6:$L$10,10,FALSE)/2,IF($I69&lt;M$3,VLOOKUP($H69,Depreciation!$A$6:$L$10,10,FALSE),0))</f>
        <v>2.4002037926855919E-2</v>
      </c>
      <c r="N69" s="361">
        <f>+IF($I69=N$3,VLOOKUP($H69,Depreciation!$A$6:$L$10,11,FALSE)/2,IF($I69&lt;N$3,VLOOKUP($H69,Depreciation!$A$6:$L$10,11,FALSE),0))</f>
        <v>2.4002037926855919E-2</v>
      </c>
      <c r="O69" s="361">
        <f>+IF($I69=O$3,VLOOKUP($H69,Depreciation!$A$6:$L$10,12,FALSE)/2,IF($I69&lt;O$3,VLOOKUP($H69,Depreciation!$A$6:$L$10,12,FALSE),0))</f>
        <v>2.4002037926855919E-2</v>
      </c>
      <c r="P69" s="362">
        <f t="shared" ref="P69:P132" si="5">IF(I69&lt;=2016,G69*(1-J69)*(1-K69),0)</f>
        <v>0</v>
      </c>
      <c r="Q69" s="362">
        <f t="shared" ref="Q69:Q132" si="6">IF(D69&gt;=240,P69,0)</f>
        <v>0</v>
      </c>
      <c r="R69" s="363">
        <f t="shared" ref="R69:R132" si="7">IF(AND(D69&gt;25,D69&lt;240),P69,0)</f>
        <v>0</v>
      </c>
      <c r="Y69" s="365"/>
    </row>
    <row r="70" spans="1:25" ht="15" customHeight="1">
      <c r="A70" s="359" t="str">
        <f>'Func Future Lines 2015'!A70</f>
        <v>PPS</v>
      </c>
      <c r="B70" s="359" t="str">
        <f>'Func Future Lines 2015'!B70</f>
        <v>7L74(180)</v>
      </c>
      <c r="C70" s="359">
        <f>'Func Future Lines 2015'!C70</f>
        <v>811</v>
      </c>
      <c r="D70" s="359">
        <f>'Func Future Lines 2015'!D70</f>
        <v>144</v>
      </c>
      <c r="E70" s="359">
        <f>'Func Future Lines 2015'!E70</f>
        <v>0</v>
      </c>
      <c r="F70" s="359" t="str">
        <f>'Func Future Lines 2015'!F70</f>
        <v>central</v>
      </c>
      <c r="G70" s="359">
        <f>'Func Future Lines 2015'!G70</f>
        <v>17920449.216898397</v>
      </c>
      <c r="H70" s="359" t="str">
        <f>'Func Future Lines 2015'!H70</f>
        <v>ATCO</v>
      </c>
      <c r="I70" s="359">
        <f>'Func Future Lines 2015'!I70</f>
        <v>2017</v>
      </c>
      <c r="J70" s="361">
        <f>+IF($I70=J$3,VLOOKUP($H70,Depreciation!$A$6:$L$10,7,FALSE)/2,IF($I70&lt;J$3,VLOOKUP($H70,Depreciation!$A$6:$L$10,7,FALSE),0))</f>
        <v>0</v>
      </c>
      <c r="K70" s="361">
        <f>+IF($I70=K$3,VLOOKUP($H70,Depreciation!$A$6:$L$10,8,FALSE)/2,IF($I70&lt;K$3,VLOOKUP($H70,Depreciation!$A$6:$L$10,8,FALSE),0))</f>
        <v>0</v>
      </c>
      <c r="L70" s="361">
        <f>+IF($I70=L$3,VLOOKUP($H70,Depreciation!$A$6:$L$10,9,FALSE)/2,IF($I70&lt;L$3,VLOOKUP($H70,Depreciation!$A$6:$L$10,9,FALSE),0))</f>
        <v>1.2001018963427959E-2</v>
      </c>
      <c r="M70" s="361">
        <f>+IF($I70=M$3,VLOOKUP($H70,Depreciation!$A$6:$L$10,10,FALSE)/2,IF($I70&lt;M$3,VLOOKUP($H70,Depreciation!$A$6:$L$10,10,FALSE),0))</f>
        <v>2.4002037926855919E-2</v>
      </c>
      <c r="N70" s="361">
        <f>+IF($I70=N$3,VLOOKUP($H70,Depreciation!$A$6:$L$10,11,FALSE)/2,IF($I70&lt;N$3,VLOOKUP($H70,Depreciation!$A$6:$L$10,11,FALSE),0))</f>
        <v>2.4002037926855919E-2</v>
      </c>
      <c r="O70" s="361">
        <f>+IF($I70=O$3,VLOOKUP($H70,Depreciation!$A$6:$L$10,12,FALSE)/2,IF($I70&lt;O$3,VLOOKUP($H70,Depreciation!$A$6:$L$10,12,FALSE),0))</f>
        <v>2.4002037926855919E-2</v>
      </c>
      <c r="P70" s="362">
        <f t="shared" si="5"/>
        <v>0</v>
      </c>
      <c r="Q70" s="362">
        <f t="shared" si="6"/>
        <v>0</v>
      </c>
      <c r="R70" s="363">
        <f t="shared" si="7"/>
        <v>0</v>
      </c>
      <c r="Y70" s="365"/>
    </row>
    <row r="71" spans="1:25" ht="15" customHeight="1">
      <c r="A71" s="359" t="str">
        <f>'Func Future Lines 2015'!A71</f>
        <v>PPS</v>
      </c>
      <c r="B71" s="359" t="str">
        <f>'Func Future Lines 2015'!B71</f>
        <v>7L7491</v>
      </c>
      <c r="C71" s="359">
        <f>'Func Future Lines 2015'!C71</f>
        <v>811</v>
      </c>
      <c r="D71" s="359">
        <f>'Func Future Lines 2015'!D71</f>
        <v>144</v>
      </c>
      <c r="E71" s="359">
        <f>'Func Future Lines 2015'!E71</f>
        <v>0</v>
      </c>
      <c r="F71" s="359" t="str">
        <f>'Func Future Lines 2015'!F71</f>
        <v>central</v>
      </c>
      <c r="G71" s="359">
        <f>'Func Future Lines 2015'!G71</f>
        <v>34200999.99999997</v>
      </c>
      <c r="H71" s="359" t="str">
        <f>'Func Future Lines 2015'!H71</f>
        <v>ATCO</v>
      </c>
      <c r="I71" s="359">
        <f>'Func Future Lines 2015'!I71</f>
        <v>2017</v>
      </c>
      <c r="J71" s="361">
        <f>+IF($I71=J$3,VLOOKUP($H71,Depreciation!$A$6:$L$10,7,FALSE)/2,IF($I71&lt;J$3,VLOOKUP($H71,Depreciation!$A$6:$L$10,7,FALSE),0))</f>
        <v>0</v>
      </c>
      <c r="K71" s="361">
        <f>+IF($I71=K$3,VLOOKUP($H71,Depreciation!$A$6:$L$10,8,FALSE)/2,IF($I71&lt;K$3,VLOOKUP($H71,Depreciation!$A$6:$L$10,8,FALSE),0))</f>
        <v>0</v>
      </c>
      <c r="L71" s="361">
        <f>+IF($I71=L$3,VLOOKUP($H71,Depreciation!$A$6:$L$10,9,FALSE)/2,IF($I71&lt;L$3,VLOOKUP($H71,Depreciation!$A$6:$L$10,9,FALSE),0))</f>
        <v>1.2001018963427959E-2</v>
      </c>
      <c r="M71" s="361">
        <f>+IF($I71=M$3,VLOOKUP($H71,Depreciation!$A$6:$L$10,10,FALSE)/2,IF($I71&lt;M$3,VLOOKUP($H71,Depreciation!$A$6:$L$10,10,FALSE),0))</f>
        <v>2.4002037926855919E-2</v>
      </c>
      <c r="N71" s="361">
        <f>+IF($I71=N$3,VLOOKUP($H71,Depreciation!$A$6:$L$10,11,FALSE)/2,IF($I71&lt;N$3,VLOOKUP($H71,Depreciation!$A$6:$L$10,11,FALSE),0))</f>
        <v>2.4002037926855919E-2</v>
      </c>
      <c r="O71" s="361">
        <f>+IF($I71=O$3,VLOOKUP($H71,Depreciation!$A$6:$L$10,12,FALSE)/2,IF($I71&lt;O$3,VLOOKUP($H71,Depreciation!$A$6:$L$10,12,FALSE),0))</f>
        <v>2.4002037926855919E-2</v>
      </c>
      <c r="P71" s="362">
        <f t="shared" si="5"/>
        <v>0</v>
      </c>
      <c r="Q71" s="362">
        <f t="shared" si="6"/>
        <v>0</v>
      </c>
      <c r="R71" s="363">
        <f t="shared" si="7"/>
        <v>0</v>
      </c>
      <c r="Y71" s="365"/>
    </row>
    <row r="72" spans="1:25" ht="15" customHeight="1">
      <c r="A72" s="359" t="str">
        <f>'Func Future Lines 2015'!A72</f>
        <v>PPS</v>
      </c>
      <c r="B72" s="359" t="str">
        <f>'Func Future Lines 2015'!B72</f>
        <v>7L83(180)</v>
      </c>
      <c r="C72" s="359">
        <f>'Func Future Lines 2015'!C72</f>
        <v>811</v>
      </c>
      <c r="D72" s="359">
        <f>'Func Future Lines 2015'!D72</f>
        <v>144</v>
      </c>
      <c r="E72" s="359">
        <f>'Func Future Lines 2015'!E72</f>
        <v>0</v>
      </c>
      <c r="F72" s="359" t="str">
        <f>'Func Future Lines 2015'!F72</f>
        <v>central</v>
      </c>
      <c r="G72" s="359">
        <f>'Func Future Lines 2015'!G72</f>
        <v>7546228.6782723581</v>
      </c>
      <c r="H72" s="359" t="str">
        <f>'Func Future Lines 2015'!H72</f>
        <v>ATCO</v>
      </c>
      <c r="I72" s="359">
        <f>'Func Future Lines 2015'!I72</f>
        <v>2017</v>
      </c>
      <c r="J72" s="361">
        <f>+IF($I72=J$3,VLOOKUP($H72,Depreciation!$A$6:$L$10,7,FALSE)/2,IF($I72&lt;J$3,VLOOKUP($H72,Depreciation!$A$6:$L$10,7,FALSE),0))</f>
        <v>0</v>
      </c>
      <c r="K72" s="361">
        <f>+IF($I72=K$3,VLOOKUP($H72,Depreciation!$A$6:$L$10,8,FALSE)/2,IF($I72&lt;K$3,VLOOKUP($H72,Depreciation!$A$6:$L$10,8,FALSE),0))</f>
        <v>0</v>
      </c>
      <c r="L72" s="361">
        <f>+IF($I72=L$3,VLOOKUP($H72,Depreciation!$A$6:$L$10,9,FALSE)/2,IF($I72&lt;L$3,VLOOKUP($H72,Depreciation!$A$6:$L$10,9,FALSE),0))</f>
        <v>1.2001018963427959E-2</v>
      </c>
      <c r="M72" s="361">
        <f>+IF($I72=M$3,VLOOKUP($H72,Depreciation!$A$6:$L$10,10,FALSE)/2,IF($I72&lt;M$3,VLOOKUP($H72,Depreciation!$A$6:$L$10,10,FALSE),0))</f>
        <v>2.4002037926855919E-2</v>
      </c>
      <c r="N72" s="361">
        <f>+IF($I72=N$3,VLOOKUP($H72,Depreciation!$A$6:$L$10,11,FALSE)/2,IF($I72&lt;N$3,VLOOKUP($H72,Depreciation!$A$6:$L$10,11,FALSE),0))</f>
        <v>2.4002037926855919E-2</v>
      </c>
      <c r="O72" s="361">
        <f>+IF($I72=O$3,VLOOKUP($H72,Depreciation!$A$6:$L$10,12,FALSE)/2,IF($I72&lt;O$3,VLOOKUP($H72,Depreciation!$A$6:$L$10,12,FALSE),0))</f>
        <v>2.4002037926855919E-2</v>
      </c>
      <c r="P72" s="362">
        <f t="shared" si="5"/>
        <v>0</v>
      </c>
      <c r="Q72" s="362">
        <f t="shared" si="6"/>
        <v>0</v>
      </c>
      <c r="R72" s="363">
        <f t="shared" si="7"/>
        <v>0</v>
      </c>
      <c r="Y72" s="365"/>
    </row>
    <row r="73" spans="1:25" ht="15" customHeight="1">
      <c r="A73" s="359" t="str">
        <f>'Func Future Lines 2015'!A73</f>
        <v>PPS</v>
      </c>
      <c r="B73" s="359" t="str">
        <f>'Func Future Lines 2015'!B73</f>
        <v>7L87(180)</v>
      </c>
      <c r="C73" s="359">
        <f>'Func Future Lines 2015'!C73</f>
        <v>811</v>
      </c>
      <c r="D73" s="359">
        <f>'Func Future Lines 2015'!D73</f>
        <v>144</v>
      </c>
      <c r="E73" s="359">
        <f>'Func Future Lines 2015'!E73</f>
        <v>0</v>
      </c>
      <c r="F73" s="359" t="str">
        <f>'Func Future Lines 2015'!F73</f>
        <v>central</v>
      </c>
      <c r="G73" s="359">
        <f>'Func Future Lines 2015'!G73</f>
        <v>12282104.825654209</v>
      </c>
      <c r="H73" s="359" t="str">
        <f>'Func Future Lines 2015'!H73</f>
        <v>ATCO</v>
      </c>
      <c r="I73" s="359">
        <f>'Func Future Lines 2015'!I73</f>
        <v>2017</v>
      </c>
      <c r="J73" s="361">
        <f>+IF($I73=J$3,VLOOKUP($H73,Depreciation!$A$6:$L$10,7,FALSE)/2,IF($I73&lt;J$3,VLOOKUP($H73,Depreciation!$A$6:$L$10,7,FALSE),0))</f>
        <v>0</v>
      </c>
      <c r="K73" s="361">
        <f>+IF($I73=K$3,VLOOKUP($H73,Depreciation!$A$6:$L$10,8,FALSE)/2,IF($I73&lt;K$3,VLOOKUP($H73,Depreciation!$A$6:$L$10,8,FALSE),0))</f>
        <v>0</v>
      </c>
      <c r="L73" s="361">
        <f>+IF($I73=L$3,VLOOKUP($H73,Depreciation!$A$6:$L$10,9,FALSE)/2,IF($I73&lt;L$3,VLOOKUP($H73,Depreciation!$A$6:$L$10,9,FALSE),0))</f>
        <v>1.2001018963427959E-2</v>
      </c>
      <c r="M73" s="361">
        <f>+IF($I73=M$3,VLOOKUP($H73,Depreciation!$A$6:$L$10,10,FALSE)/2,IF($I73&lt;M$3,VLOOKUP($H73,Depreciation!$A$6:$L$10,10,FALSE),0))</f>
        <v>2.4002037926855919E-2</v>
      </c>
      <c r="N73" s="361">
        <f>+IF($I73=N$3,VLOOKUP($H73,Depreciation!$A$6:$L$10,11,FALSE)/2,IF($I73&lt;N$3,VLOOKUP($H73,Depreciation!$A$6:$L$10,11,FALSE),0))</f>
        <v>2.4002037926855919E-2</v>
      </c>
      <c r="O73" s="361">
        <f>+IF($I73=O$3,VLOOKUP($H73,Depreciation!$A$6:$L$10,12,FALSE)/2,IF($I73&lt;O$3,VLOOKUP($H73,Depreciation!$A$6:$L$10,12,FALSE),0))</f>
        <v>2.4002037926855919E-2</v>
      </c>
      <c r="P73" s="362">
        <f t="shared" si="5"/>
        <v>0</v>
      </c>
      <c r="Q73" s="362">
        <f t="shared" si="6"/>
        <v>0</v>
      </c>
      <c r="R73" s="363">
        <f t="shared" si="7"/>
        <v>0</v>
      </c>
      <c r="Y73" s="365"/>
    </row>
    <row r="74" spans="1:25" ht="15" customHeight="1">
      <c r="A74" s="359" t="str">
        <f>'Func Future Lines 2015'!A74</f>
        <v>PPS</v>
      </c>
      <c r="B74" s="359" t="str">
        <f>'Func Future Lines 2015'!B74</f>
        <v>7LA701180</v>
      </c>
      <c r="C74" s="359">
        <f>'Func Future Lines 2015'!C74</f>
        <v>811</v>
      </c>
      <c r="D74" s="359">
        <f>'Func Future Lines 2015'!D74</f>
        <v>144</v>
      </c>
      <c r="E74" s="359">
        <f>'Func Future Lines 2015'!E74</f>
        <v>0</v>
      </c>
      <c r="F74" s="359" t="str">
        <f>'Func Future Lines 2015'!F74</f>
        <v>central</v>
      </c>
      <c r="G74" s="359">
        <f>'Func Future Lines 2015'!G74</f>
        <v>3334547.5681531723</v>
      </c>
      <c r="H74" s="359" t="str">
        <f>'Func Future Lines 2015'!H74</f>
        <v>ATCO</v>
      </c>
      <c r="I74" s="359">
        <f>'Func Future Lines 2015'!I74</f>
        <v>2017</v>
      </c>
      <c r="J74" s="361">
        <f>+IF($I74=J$3,VLOOKUP($H74,Depreciation!$A$6:$L$10,7,FALSE)/2,IF($I74&lt;J$3,VLOOKUP($H74,Depreciation!$A$6:$L$10,7,FALSE),0))</f>
        <v>0</v>
      </c>
      <c r="K74" s="361">
        <f>+IF($I74=K$3,VLOOKUP($H74,Depreciation!$A$6:$L$10,8,FALSE)/2,IF($I74&lt;K$3,VLOOKUP($H74,Depreciation!$A$6:$L$10,8,FALSE),0))</f>
        <v>0</v>
      </c>
      <c r="L74" s="361">
        <f>+IF($I74=L$3,VLOOKUP($H74,Depreciation!$A$6:$L$10,9,FALSE)/2,IF($I74&lt;L$3,VLOOKUP($H74,Depreciation!$A$6:$L$10,9,FALSE),0))</f>
        <v>1.2001018963427959E-2</v>
      </c>
      <c r="M74" s="361">
        <f>+IF($I74=M$3,VLOOKUP($H74,Depreciation!$A$6:$L$10,10,FALSE)/2,IF($I74&lt;M$3,VLOOKUP($H74,Depreciation!$A$6:$L$10,10,FALSE),0))</f>
        <v>2.4002037926855919E-2</v>
      </c>
      <c r="N74" s="361">
        <f>+IF($I74=N$3,VLOOKUP($H74,Depreciation!$A$6:$L$10,11,FALSE)/2,IF($I74&lt;N$3,VLOOKUP($H74,Depreciation!$A$6:$L$10,11,FALSE),0))</f>
        <v>2.4002037926855919E-2</v>
      </c>
      <c r="O74" s="361">
        <f>+IF($I74=O$3,VLOOKUP($H74,Depreciation!$A$6:$L$10,12,FALSE)/2,IF($I74&lt;O$3,VLOOKUP($H74,Depreciation!$A$6:$L$10,12,FALSE),0))</f>
        <v>2.4002037926855919E-2</v>
      </c>
      <c r="P74" s="362">
        <f t="shared" si="5"/>
        <v>0</v>
      </c>
      <c r="Q74" s="362">
        <f t="shared" si="6"/>
        <v>0</v>
      </c>
      <c r="R74" s="363">
        <f t="shared" si="7"/>
        <v>0</v>
      </c>
      <c r="Y74" s="365"/>
    </row>
    <row r="75" spans="1:25" ht="15" customHeight="1">
      <c r="A75" s="359" t="str">
        <f>'Func Future Lines 2015'!A75</f>
        <v>PPS</v>
      </c>
      <c r="B75" s="359" t="str">
        <f>'Func Future Lines 2015'!B75</f>
        <v>unknown line St.Paul</v>
      </c>
      <c r="C75" s="359">
        <f>'Func Future Lines 2015'!C75</f>
        <v>811</v>
      </c>
      <c r="D75" s="359">
        <f>'Func Future Lines 2015'!D75</f>
        <v>0</v>
      </c>
      <c r="E75" s="359">
        <f>'Func Future Lines 2015'!E75</f>
        <v>0</v>
      </c>
      <c r="F75" s="359" t="str">
        <f>'Func Future Lines 2015'!F75</f>
        <v>central</v>
      </c>
      <c r="G75" s="359">
        <f>'Func Future Lines 2015'!G75</f>
        <v>45416104.026721418</v>
      </c>
      <c r="H75" s="359" t="str">
        <f>'Func Future Lines 2015'!H75</f>
        <v>ATCO</v>
      </c>
      <c r="I75" s="359">
        <f>'Func Future Lines 2015'!I75</f>
        <v>2017</v>
      </c>
      <c r="J75" s="361">
        <f>+IF($I75=J$3,VLOOKUP($H75,Depreciation!$A$6:$L$10,7,FALSE)/2,IF($I75&lt;J$3,VLOOKUP($H75,Depreciation!$A$6:$L$10,7,FALSE),0))</f>
        <v>0</v>
      </c>
      <c r="K75" s="361">
        <f>+IF($I75=K$3,VLOOKUP($H75,Depreciation!$A$6:$L$10,8,FALSE)/2,IF($I75&lt;K$3,VLOOKUP($H75,Depreciation!$A$6:$L$10,8,FALSE),0))</f>
        <v>0</v>
      </c>
      <c r="L75" s="361">
        <f>+IF($I75=L$3,VLOOKUP($H75,Depreciation!$A$6:$L$10,9,FALSE)/2,IF($I75&lt;L$3,VLOOKUP($H75,Depreciation!$A$6:$L$10,9,FALSE),0))</f>
        <v>1.2001018963427959E-2</v>
      </c>
      <c r="M75" s="361">
        <f>+IF($I75=M$3,VLOOKUP($H75,Depreciation!$A$6:$L$10,10,FALSE)/2,IF($I75&lt;M$3,VLOOKUP($H75,Depreciation!$A$6:$L$10,10,FALSE),0))</f>
        <v>2.4002037926855919E-2</v>
      </c>
      <c r="N75" s="361">
        <f>+IF($I75=N$3,VLOOKUP($H75,Depreciation!$A$6:$L$10,11,FALSE)/2,IF($I75&lt;N$3,VLOOKUP($H75,Depreciation!$A$6:$L$10,11,FALSE),0))</f>
        <v>2.4002037926855919E-2</v>
      </c>
      <c r="O75" s="361">
        <f>+IF($I75=O$3,VLOOKUP($H75,Depreciation!$A$6:$L$10,12,FALSE)/2,IF($I75&lt;O$3,VLOOKUP($H75,Depreciation!$A$6:$L$10,12,FALSE),0))</f>
        <v>2.4002037926855919E-2</v>
      </c>
      <c r="P75" s="362">
        <f t="shared" si="5"/>
        <v>0</v>
      </c>
      <c r="Q75" s="362">
        <f t="shared" si="6"/>
        <v>0</v>
      </c>
      <c r="R75" s="363">
        <f t="shared" si="7"/>
        <v>0</v>
      </c>
      <c r="Y75" s="365"/>
    </row>
    <row r="76" spans="1:25" ht="15" customHeight="1">
      <c r="A76" s="359" t="str">
        <f>'Func Future Lines 2015'!A76</f>
        <v>PPS</v>
      </c>
      <c r="B76" s="359" t="str">
        <f>'Func Future Lines 2015'!B76</f>
        <v>166L</v>
      </c>
      <c r="C76" s="359">
        <f>'Func Future Lines 2015'!C76</f>
        <v>813</v>
      </c>
      <c r="D76" s="359">
        <f>'Func Future Lines 2015'!D76</f>
        <v>138</v>
      </c>
      <c r="E76" s="359">
        <f>'Func Future Lines 2015'!E76</f>
        <v>0</v>
      </c>
      <c r="F76" s="359" t="str">
        <f>'Func Future Lines 2015'!F76</f>
        <v>Red_Deer</v>
      </c>
      <c r="G76" s="359">
        <f>'Func Future Lines 2015'!G76</f>
        <v>583496.13042435877</v>
      </c>
      <c r="H76" s="359" t="str">
        <f>'Func Future Lines 2015'!H76</f>
        <v>AltaLink</v>
      </c>
      <c r="I76" s="359">
        <f>'Func Future Lines 2015'!I76</f>
        <v>2017</v>
      </c>
      <c r="J76" s="361">
        <f>+IF($I76=J$3,VLOOKUP($H76,Depreciation!$A$6:$L$10,7,FALSE)/2,IF($I76&lt;J$3,VLOOKUP($H76,Depreciation!$A$6:$L$10,7,FALSE),0))</f>
        <v>0</v>
      </c>
      <c r="K76" s="361">
        <f>+IF($I76=K$3,VLOOKUP($H76,Depreciation!$A$6:$L$10,8,FALSE)/2,IF($I76&lt;K$3,VLOOKUP($H76,Depreciation!$A$6:$L$10,8,FALSE),0))</f>
        <v>0</v>
      </c>
      <c r="L76" s="361">
        <f>+IF($I76=L$3,VLOOKUP($H76,Depreciation!$A$6:$L$10,9,FALSE)/2,IF($I76&lt;L$3,VLOOKUP($H76,Depreciation!$A$6:$L$10,9,FALSE),0))</f>
        <v>1.5338181838063448E-2</v>
      </c>
      <c r="M76" s="361">
        <f>+IF($I76=M$3,VLOOKUP($H76,Depreciation!$A$6:$L$10,10,FALSE)/2,IF($I76&lt;M$3,VLOOKUP($H76,Depreciation!$A$6:$L$10,10,FALSE),0))</f>
        <v>3.0676363676126896E-2</v>
      </c>
      <c r="N76" s="361">
        <f>+IF($I76=N$3,VLOOKUP($H76,Depreciation!$A$6:$L$10,11,FALSE)/2,IF($I76&lt;N$3,VLOOKUP($H76,Depreciation!$A$6:$L$10,11,FALSE),0))</f>
        <v>3.0676363676126896E-2</v>
      </c>
      <c r="O76" s="361">
        <f>+IF($I76=O$3,VLOOKUP($H76,Depreciation!$A$6:$L$10,12,FALSE)/2,IF($I76&lt;O$3,VLOOKUP($H76,Depreciation!$A$6:$L$10,12,FALSE),0))</f>
        <v>3.0676363676126896E-2</v>
      </c>
      <c r="P76" s="362">
        <f t="shared" si="5"/>
        <v>0</v>
      </c>
      <c r="Q76" s="362">
        <f t="shared" si="6"/>
        <v>0</v>
      </c>
      <c r="R76" s="363">
        <f t="shared" si="7"/>
        <v>0</v>
      </c>
      <c r="Y76" s="365"/>
    </row>
    <row r="77" spans="1:25" ht="15" customHeight="1">
      <c r="A77" s="359" t="str">
        <f>'Func Future Lines 2015'!A77</f>
        <v>PPS</v>
      </c>
      <c r="B77" s="359" t="str">
        <f>'Func Future Lines 2015'!B77</f>
        <v>417L/418L</v>
      </c>
      <c r="C77" s="359">
        <f>'Func Future Lines 2015'!C77</f>
        <v>813</v>
      </c>
      <c r="D77" s="359">
        <f>'Func Future Lines 2015'!D77</f>
        <v>138</v>
      </c>
      <c r="E77" s="359">
        <f>'Func Future Lines 2015'!E77</f>
        <v>0</v>
      </c>
      <c r="F77" s="359" t="str">
        <f>'Func Future Lines 2015'!F77</f>
        <v>Red_Deer</v>
      </c>
      <c r="G77" s="359">
        <f>'Func Future Lines 2015'!G77</f>
        <v>1650657.1949172863</v>
      </c>
      <c r="H77" s="359" t="str">
        <f>'Func Future Lines 2015'!H77</f>
        <v>AltaLink</v>
      </c>
      <c r="I77" s="359">
        <f>'Func Future Lines 2015'!I77</f>
        <v>2017</v>
      </c>
      <c r="J77" s="361">
        <f>+IF($I77=J$3,VLOOKUP($H77,Depreciation!$A$6:$L$10,7,FALSE)/2,IF($I77&lt;J$3,VLOOKUP($H77,Depreciation!$A$6:$L$10,7,FALSE),0))</f>
        <v>0</v>
      </c>
      <c r="K77" s="361">
        <f>+IF($I77=K$3,VLOOKUP($H77,Depreciation!$A$6:$L$10,8,FALSE)/2,IF($I77&lt;K$3,VLOOKUP($H77,Depreciation!$A$6:$L$10,8,FALSE),0))</f>
        <v>0</v>
      </c>
      <c r="L77" s="361">
        <f>+IF($I77=L$3,VLOOKUP($H77,Depreciation!$A$6:$L$10,9,FALSE)/2,IF($I77&lt;L$3,VLOOKUP($H77,Depreciation!$A$6:$L$10,9,FALSE),0))</f>
        <v>1.5338181838063448E-2</v>
      </c>
      <c r="M77" s="361">
        <f>+IF($I77=M$3,VLOOKUP($H77,Depreciation!$A$6:$L$10,10,FALSE)/2,IF($I77&lt;M$3,VLOOKUP($H77,Depreciation!$A$6:$L$10,10,FALSE),0))</f>
        <v>3.0676363676126896E-2</v>
      </c>
      <c r="N77" s="361">
        <f>+IF($I77=N$3,VLOOKUP($H77,Depreciation!$A$6:$L$10,11,FALSE)/2,IF($I77&lt;N$3,VLOOKUP($H77,Depreciation!$A$6:$L$10,11,FALSE),0))</f>
        <v>3.0676363676126896E-2</v>
      </c>
      <c r="O77" s="361">
        <f>+IF($I77=O$3,VLOOKUP($H77,Depreciation!$A$6:$L$10,12,FALSE)/2,IF($I77&lt;O$3,VLOOKUP($H77,Depreciation!$A$6:$L$10,12,FALSE),0))</f>
        <v>3.0676363676126896E-2</v>
      </c>
      <c r="P77" s="362">
        <f t="shared" si="5"/>
        <v>0</v>
      </c>
      <c r="Q77" s="362">
        <f t="shared" si="6"/>
        <v>0</v>
      </c>
      <c r="R77" s="363">
        <f t="shared" si="7"/>
        <v>0</v>
      </c>
      <c r="Y77" s="365"/>
    </row>
    <row r="78" spans="1:25" ht="15" customHeight="1">
      <c r="A78" s="359" t="str">
        <f>'Func Future Lines 2015'!A78</f>
        <v>PPS</v>
      </c>
      <c r="B78" s="359" t="str">
        <f>'Func Future Lines 2015'!B78</f>
        <v>417L/418L</v>
      </c>
      <c r="C78" s="359">
        <f>'Func Future Lines 2015'!C78</f>
        <v>813</v>
      </c>
      <c r="D78" s="359">
        <f>'Func Future Lines 2015'!D78</f>
        <v>138</v>
      </c>
      <c r="E78" s="359">
        <f>'Func Future Lines 2015'!E78</f>
        <v>0</v>
      </c>
      <c r="F78" s="359" t="str">
        <f>'Func Future Lines 2015'!F78</f>
        <v>Red_Deer</v>
      </c>
      <c r="G78" s="359">
        <f>'Func Future Lines 2015'!G78</f>
        <v>1827943.6298249823</v>
      </c>
      <c r="H78" s="359" t="str">
        <f>'Func Future Lines 2015'!H78</f>
        <v>AltaLink</v>
      </c>
      <c r="I78" s="359">
        <f>'Func Future Lines 2015'!I78</f>
        <v>2017</v>
      </c>
      <c r="J78" s="361">
        <f>+IF($I78=J$3,VLOOKUP($H78,Depreciation!$A$6:$L$10,7,FALSE)/2,IF($I78&lt;J$3,VLOOKUP($H78,Depreciation!$A$6:$L$10,7,FALSE),0))</f>
        <v>0</v>
      </c>
      <c r="K78" s="361">
        <f>+IF($I78=K$3,VLOOKUP($H78,Depreciation!$A$6:$L$10,8,FALSE)/2,IF($I78&lt;K$3,VLOOKUP($H78,Depreciation!$A$6:$L$10,8,FALSE),0))</f>
        <v>0</v>
      </c>
      <c r="L78" s="361">
        <f>+IF($I78=L$3,VLOOKUP($H78,Depreciation!$A$6:$L$10,9,FALSE)/2,IF($I78&lt;L$3,VLOOKUP($H78,Depreciation!$A$6:$L$10,9,FALSE),0))</f>
        <v>1.5338181838063448E-2</v>
      </c>
      <c r="M78" s="361">
        <f>+IF($I78=M$3,VLOOKUP($H78,Depreciation!$A$6:$L$10,10,FALSE)/2,IF($I78&lt;M$3,VLOOKUP($H78,Depreciation!$A$6:$L$10,10,FALSE),0))</f>
        <v>3.0676363676126896E-2</v>
      </c>
      <c r="N78" s="361">
        <f>+IF($I78=N$3,VLOOKUP($H78,Depreciation!$A$6:$L$10,11,FALSE)/2,IF($I78&lt;N$3,VLOOKUP($H78,Depreciation!$A$6:$L$10,11,FALSE),0))</f>
        <v>3.0676363676126896E-2</v>
      </c>
      <c r="O78" s="361">
        <f>+IF($I78=O$3,VLOOKUP($H78,Depreciation!$A$6:$L$10,12,FALSE)/2,IF($I78&lt;O$3,VLOOKUP($H78,Depreciation!$A$6:$L$10,12,FALSE),0))</f>
        <v>3.0676363676126896E-2</v>
      </c>
      <c r="P78" s="362">
        <f t="shared" si="5"/>
        <v>0</v>
      </c>
      <c r="Q78" s="362">
        <f t="shared" si="6"/>
        <v>0</v>
      </c>
      <c r="R78" s="363">
        <f t="shared" si="7"/>
        <v>0</v>
      </c>
      <c r="Y78" s="365"/>
    </row>
    <row r="79" spans="1:25" ht="15" customHeight="1">
      <c r="A79" s="359" t="str">
        <f>'Func Future Lines 2015'!A79</f>
        <v>PPS</v>
      </c>
      <c r="B79" s="359" t="str">
        <f>'Func Future Lines 2015'!B79</f>
        <v>419L/420L</v>
      </c>
      <c r="C79" s="359">
        <f>'Func Future Lines 2015'!C79</f>
        <v>813</v>
      </c>
      <c r="D79" s="359">
        <f>'Func Future Lines 2015'!D79</f>
        <v>138</v>
      </c>
      <c r="E79" s="359">
        <f>'Func Future Lines 2015'!E79</f>
        <v>0</v>
      </c>
      <c r="F79" s="359" t="str">
        <f>'Func Future Lines 2015'!F79</f>
        <v>Red_Deer</v>
      </c>
      <c r="G79" s="359">
        <f>'Func Future Lines 2015'!G79</f>
        <v>8144848.6406137627</v>
      </c>
      <c r="H79" s="359" t="str">
        <f>'Func Future Lines 2015'!H79</f>
        <v>AltaLink</v>
      </c>
      <c r="I79" s="359">
        <f>'Func Future Lines 2015'!I79</f>
        <v>2017</v>
      </c>
      <c r="J79" s="361">
        <f>+IF($I79=J$3,VLOOKUP($H79,Depreciation!$A$6:$L$10,7,FALSE)/2,IF($I79&lt;J$3,VLOOKUP($H79,Depreciation!$A$6:$L$10,7,FALSE),0))</f>
        <v>0</v>
      </c>
      <c r="K79" s="361">
        <f>+IF($I79=K$3,VLOOKUP($H79,Depreciation!$A$6:$L$10,8,FALSE)/2,IF($I79&lt;K$3,VLOOKUP($H79,Depreciation!$A$6:$L$10,8,FALSE),0))</f>
        <v>0</v>
      </c>
      <c r="L79" s="361">
        <f>+IF($I79=L$3,VLOOKUP($H79,Depreciation!$A$6:$L$10,9,FALSE)/2,IF($I79&lt;L$3,VLOOKUP($H79,Depreciation!$A$6:$L$10,9,FALSE),0))</f>
        <v>1.5338181838063448E-2</v>
      </c>
      <c r="M79" s="361">
        <f>+IF($I79=M$3,VLOOKUP($H79,Depreciation!$A$6:$L$10,10,FALSE)/2,IF($I79&lt;M$3,VLOOKUP($H79,Depreciation!$A$6:$L$10,10,FALSE),0))</f>
        <v>3.0676363676126896E-2</v>
      </c>
      <c r="N79" s="361">
        <f>+IF($I79=N$3,VLOOKUP($H79,Depreciation!$A$6:$L$10,11,FALSE)/2,IF($I79&lt;N$3,VLOOKUP($H79,Depreciation!$A$6:$L$10,11,FALSE),0))</f>
        <v>3.0676363676126896E-2</v>
      </c>
      <c r="O79" s="361">
        <f>+IF($I79=O$3,VLOOKUP($H79,Depreciation!$A$6:$L$10,12,FALSE)/2,IF($I79&lt;O$3,VLOOKUP($H79,Depreciation!$A$6:$L$10,12,FALSE),0))</f>
        <v>3.0676363676126896E-2</v>
      </c>
      <c r="P79" s="362">
        <f t="shared" si="5"/>
        <v>0</v>
      </c>
      <c r="Q79" s="362">
        <f t="shared" si="6"/>
        <v>0</v>
      </c>
      <c r="R79" s="363">
        <f t="shared" si="7"/>
        <v>0</v>
      </c>
      <c r="Y79" s="365"/>
    </row>
    <row r="80" spans="1:25" ht="15" customHeight="1">
      <c r="A80" s="359" t="str">
        <f>'Func Future Lines 2015'!A80</f>
        <v>PPS</v>
      </c>
      <c r="B80" s="359" t="str">
        <f>'Func Future Lines 2015'!B80</f>
        <v>419L/420L</v>
      </c>
      <c r="C80" s="359">
        <f>'Func Future Lines 2015'!C80</f>
        <v>813</v>
      </c>
      <c r="D80" s="359">
        <f>'Func Future Lines 2015'!D80</f>
        <v>138</v>
      </c>
      <c r="E80" s="359">
        <f>'Func Future Lines 2015'!E80</f>
        <v>0</v>
      </c>
      <c r="F80" s="359" t="str">
        <f>'Func Future Lines 2015'!F80</f>
        <v>Red_Deer</v>
      </c>
      <c r="G80" s="359">
        <f>'Func Future Lines 2015'!G80</f>
        <v>8079441.9947254863</v>
      </c>
      <c r="H80" s="359" t="str">
        <f>'Func Future Lines 2015'!H80</f>
        <v>AltaLink</v>
      </c>
      <c r="I80" s="359">
        <f>'Func Future Lines 2015'!I80</f>
        <v>2017</v>
      </c>
      <c r="J80" s="361">
        <f>+IF($I80=J$3,VLOOKUP($H80,Depreciation!$A$6:$L$10,7,FALSE)/2,IF($I80&lt;J$3,VLOOKUP($H80,Depreciation!$A$6:$L$10,7,FALSE),0))</f>
        <v>0</v>
      </c>
      <c r="K80" s="361">
        <f>+IF($I80=K$3,VLOOKUP($H80,Depreciation!$A$6:$L$10,8,FALSE)/2,IF($I80&lt;K$3,VLOOKUP($H80,Depreciation!$A$6:$L$10,8,FALSE),0))</f>
        <v>0</v>
      </c>
      <c r="L80" s="361">
        <f>+IF($I80=L$3,VLOOKUP($H80,Depreciation!$A$6:$L$10,9,FALSE)/2,IF($I80&lt;L$3,VLOOKUP($H80,Depreciation!$A$6:$L$10,9,FALSE),0))</f>
        <v>1.5338181838063448E-2</v>
      </c>
      <c r="M80" s="361">
        <f>+IF($I80=M$3,VLOOKUP($H80,Depreciation!$A$6:$L$10,10,FALSE)/2,IF($I80&lt;M$3,VLOOKUP($H80,Depreciation!$A$6:$L$10,10,FALSE),0))</f>
        <v>3.0676363676126896E-2</v>
      </c>
      <c r="N80" s="361">
        <f>+IF($I80=N$3,VLOOKUP($H80,Depreciation!$A$6:$L$10,11,FALSE)/2,IF($I80&lt;N$3,VLOOKUP($H80,Depreciation!$A$6:$L$10,11,FALSE),0))</f>
        <v>3.0676363676126896E-2</v>
      </c>
      <c r="O80" s="361">
        <f>+IF($I80=O$3,VLOOKUP($H80,Depreciation!$A$6:$L$10,12,FALSE)/2,IF($I80&lt;O$3,VLOOKUP($H80,Depreciation!$A$6:$L$10,12,FALSE),0))</f>
        <v>3.0676363676126896E-2</v>
      </c>
      <c r="P80" s="362">
        <f t="shared" si="5"/>
        <v>0</v>
      </c>
      <c r="Q80" s="362">
        <f t="shared" si="6"/>
        <v>0</v>
      </c>
      <c r="R80" s="363">
        <f t="shared" si="7"/>
        <v>0</v>
      </c>
      <c r="Y80" s="365"/>
    </row>
    <row r="81" spans="1:25" ht="15" customHeight="1">
      <c r="A81" s="359" t="str">
        <f>'Func Future Lines 2015'!A81</f>
        <v>PPS</v>
      </c>
      <c r="B81" s="359" t="str">
        <f>'Func Future Lines 2015'!B81</f>
        <v>421L/422L</v>
      </c>
      <c r="C81" s="359">
        <f>'Func Future Lines 2015'!C81</f>
        <v>813</v>
      </c>
      <c r="D81" s="359">
        <f>'Func Future Lines 2015'!D81</f>
        <v>138</v>
      </c>
      <c r="E81" s="359">
        <f>'Func Future Lines 2015'!E81</f>
        <v>0</v>
      </c>
      <c r="F81" s="359" t="str">
        <f>'Func Future Lines 2015'!F81</f>
        <v>Red_Deer</v>
      </c>
      <c r="G81" s="359">
        <f>'Func Future Lines 2015'!G81</f>
        <v>3903744.023016064</v>
      </c>
      <c r="H81" s="359" t="str">
        <f>'Func Future Lines 2015'!H81</f>
        <v>AltaLink</v>
      </c>
      <c r="I81" s="359">
        <f>'Func Future Lines 2015'!I81</f>
        <v>2017</v>
      </c>
      <c r="J81" s="361">
        <f>+IF($I81=J$3,VLOOKUP($H81,Depreciation!$A$6:$L$10,7,FALSE)/2,IF($I81&lt;J$3,VLOOKUP($H81,Depreciation!$A$6:$L$10,7,FALSE),0))</f>
        <v>0</v>
      </c>
      <c r="K81" s="361">
        <f>+IF($I81=K$3,VLOOKUP($H81,Depreciation!$A$6:$L$10,8,FALSE)/2,IF($I81&lt;K$3,VLOOKUP($H81,Depreciation!$A$6:$L$10,8,FALSE),0))</f>
        <v>0</v>
      </c>
      <c r="L81" s="361">
        <f>+IF($I81=L$3,VLOOKUP($H81,Depreciation!$A$6:$L$10,9,FALSE)/2,IF($I81&lt;L$3,VLOOKUP($H81,Depreciation!$A$6:$L$10,9,FALSE),0))</f>
        <v>1.5338181838063448E-2</v>
      </c>
      <c r="M81" s="361">
        <f>+IF($I81=M$3,VLOOKUP($H81,Depreciation!$A$6:$L$10,10,FALSE)/2,IF($I81&lt;M$3,VLOOKUP($H81,Depreciation!$A$6:$L$10,10,FALSE),0))</f>
        <v>3.0676363676126896E-2</v>
      </c>
      <c r="N81" s="361">
        <f>+IF($I81=N$3,VLOOKUP($H81,Depreciation!$A$6:$L$10,11,FALSE)/2,IF($I81&lt;N$3,VLOOKUP($H81,Depreciation!$A$6:$L$10,11,FALSE),0))</f>
        <v>3.0676363676126896E-2</v>
      </c>
      <c r="O81" s="361">
        <f>+IF($I81=O$3,VLOOKUP($H81,Depreciation!$A$6:$L$10,12,FALSE)/2,IF($I81&lt;O$3,VLOOKUP($H81,Depreciation!$A$6:$L$10,12,FALSE),0))</f>
        <v>3.0676363676126896E-2</v>
      </c>
      <c r="P81" s="362">
        <f t="shared" si="5"/>
        <v>0</v>
      </c>
      <c r="Q81" s="362">
        <f t="shared" si="6"/>
        <v>0</v>
      </c>
      <c r="R81" s="363">
        <f t="shared" si="7"/>
        <v>0</v>
      </c>
      <c r="Y81" s="365"/>
    </row>
    <row r="82" spans="1:25" ht="15" customHeight="1">
      <c r="A82" s="359" t="str">
        <f>'Func Future Lines 2015'!A82</f>
        <v>PPS</v>
      </c>
      <c r="B82" s="359" t="str">
        <f>'Func Future Lines 2015'!B82</f>
        <v>421L/422L</v>
      </c>
      <c r="C82" s="359">
        <f>'Func Future Lines 2015'!C82</f>
        <v>813</v>
      </c>
      <c r="D82" s="359">
        <f>'Func Future Lines 2015'!D82</f>
        <v>138</v>
      </c>
      <c r="E82" s="359">
        <f>'Func Future Lines 2015'!E82</f>
        <v>0</v>
      </c>
      <c r="F82" s="359" t="str">
        <f>'Func Future Lines 2015'!F82</f>
        <v>Red_Deer</v>
      </c>
      <c r="G82" s="359">
        <f>'Func Future Lines 2015'!G82</f>
        <v>3860713.3349316716</v>
      </c>
      <c r="H82" s="359" t="str">
        <f>'Func Future Lines 2015'!H82</f>
        <v>AltaLink</v>
      </c>
      <c r="I82" s="359">
        <f>'Func Future Lines 2015'!I82</f>
        <v>2017</v>
      </c>
      <c r="J82" s="361">
        <f>+IF($I82=J$3,VLOOKUP($H82,Depreciation!$A$6:$L$10,7,FALSE)/2,IF($I82&lt;J$3,VLOOKUP($H82,Depreciation!$A$6:$L$10,7,FALSE),0))</f>
        <v>0</v>
      </c>
      <c r="K82" s="361">
        <f>+IF($I82=K$3,VLOOKUP($H82,Depreciation!$A$6:$L$10,8,FALSE)/2,IF($I82&lt;K$3,VLOOKUP($H82,Depreciation!$A$6:$L$10,8,FALSE),0))</f>
        <v>0</v>
      </c>
      <c r="L82" s="361">
        <f>+IF($I82=L$3,VLOOKUP($H82,Depreciation!$A$6:$L$10,9,FALSE)/2,IF($I82&lt;L$3,VLOOKUP($H82,Depreciation!$A$6:$L$10,9,FALSE),0))</f>
        <v>1.5338181838063448E-2</v>
      </c>
      <c r="M82" s="361">
        <f>+IF($I82=M$3,VLOOKUP($H82,Depreciation!$A$6:$L$10,10,FALSE)/2,IF($I82&lt;M$3,VLOOKUP($H82,Depreciation!$A$6:$L$10,10,FALSE),0))</f>
        <v>3.0676363676126896E-2</v>
      </c>
      <c r="N82" s="361">
        <f>+IF($I82=N$3,VLOOKUP($H82,Depreciation!$A$6:$L$10,11,FALSE)/2,IF($I82&lt;N$3,VLOOKUP($H82,Depreciation!$A$6:$L$10,11,FALSE),0))</f>
        <v>3.0676363676126896E-2</v>
      </c>
      <c r="O82" s="361">
        <f>+IF($I82=O$3,VLOOKUP($H82,Depreciation!$A$6:$L$10,12,FALSE)/2,IF($I82&lt;O$3,VLOOKUP($H82,Depreciation!$A$6:$L$10,12,FALSE),0))</f>
        <v>3.0676363676126896E-2</v>
      </c>
      <c r="P82" s="362">
        <f t="shared" si="5"/>
        <v>0</v>
      </c>
      <c r="Q82" s="362">
        <f t="shared" si="6"/>
        <v>0</v>
      </c>
      <c r="R82" s="363">
        <f t="shared" si="7"/>
        <v>0</v>
      </c>
      <c r="Y82" s="365"/>
    </row>
    <row r="83" spans="1:25" ht="15" customHeight="1">
      <c r="A83" s="359" t="str">
        <f>'Func Future Lines 2015'!A83</f>
        <v>PPS</v>
      </c>
      <c r="B83" s="359" t="str">
        <f>'Func Future Lines 2015'!B83</f>
        <v>423L</v>
      </c>
      <c r="C83" s="359">
        <f>'Func Future Lines 2015'!C83</f>
        <v>813</v>
      </c>
      <c r="D83" s="359">
        <f>'Func Future Lines 2015'!D83</f>
        <v>138</v>
      </c>
      <c r="E83" s="359">
        <f>'Func Future Lines 2015'!E83</f>
        <v>0</v>
      </c>
      <c r="F83" s="359" t="str">
        <f>'Func Future Lines 2015'!F83</f>
        <v>Red_Deer</v>
      </c>
      <c r="G83" s="359">
        <f>'Func Future Lines 2015'!G83</f>
        <v>27816758.005274519</v>
      </c>
      <c r="H83" s="359" t="str">
        <f>'Func Future Lines 2015'!H83</f>
        <v>AltaLink</v>
      </c>
      <c r="I83" s="359">
        <f>'Func Future Lines 2015'!I83</f>
        <v>2017</v>
      </c>
      <c r="J83" s="361">
        <f>+IF($I83=J$3,VLOOKUP($H83,Depreciation!$A$6:$L$10,7,FALSE)/2,IF($I83&lt;J$3,VLOOKUP($H83,Depreciation!$A$6:$L$10,7,FALSE),0))</f>
        <v>0</v>
      </c>
      <c r="K83" s="361">
        <f>+IF($I83=K$3,VLOOKUP($H83,Depreciation!$A$6:$L$10,8,FALSE)/2,IF($I83&lt;K$3,VLOOKUP($H83,Depreciation!$A$6:$L$10,8,FALSE),0))</f>
        <v>0</v>
      </c>
      <c r="L83" s="361">
        <f>+IF($I83=L$3,VLOOKUP($H83,Depreciation!$A$6:$L$10,9,FALSE)/2,IF($I83&lt;L$3,VLOOKUP($H83,Depreciation!$A$6:$L$10,9,FALSE),0))</f>
        <v>1.5338181838063448E-2</v>
      </c>
      <c r="M83" s="361">
        <f>+IF($I83=M$3,VLOOKUP($H83,Depreciation!$A$6:$L$10,10,FALSE)/2,IF($I83&lt;M$3,VLOOKUP($H83,Depreciation!$A$6:$L$10,10,FALSE),0))</f>
        <v>3.0676363676126896E-2</v>
      </c>
      <c r="N83" s="361">
        <f>+IF($I83=N$3,VLOOKUP($H83,Depreciation!$A$6:$L$10,11,FALSE)/2,IF($I83&lt;N$3,VLOOKUP($H83,Depreciation!$A$6:$L$10,11,FALSE),0))</f>
        <v>3.0676363676126896E-2</v>
      </c>
      <c r="O83" s="361">
        <f>+IF($I83=O$3,VLOOKUP($H83,Depreciation!$A$6:$L$10,12,FALSE)/2,IF($I83&lt;O$3,VLOOKUP($H83,Depreciation!$A$6:$L$10,12,FALSE),0))</f>
        <v>3.0676363676126896E-2</v>
      </c>
      <c r="P83" s="362">
        <f t="shared" si="5"/>
        <v>0</v>
      </c>
      <c r="Q83" s="362">
        <f t="shared" si="6"/>
        <v>0</v>
      </c>
      <c r="R83" s="363">
        <f t="shared" si="7"/>
        <v>0</v>
      </c>
      <c r="Y83" s="365"/>
    </row>
    <row r="84" spans="1:25" ht="15" customHeight="1">
      <c r="A84" s="359" t="str">
        <f>'Func Future Lines 2015'!A84</f>
        <v>PPS</v>
      </c>
      <c r="B84" s="359" t="str">
        <f>'Func Future Lines 2015'!B84</f>
        <v>423L/784L shared route</v>
      </c>
      <c r="C84" s="359">
        <f>'Func Future Lines 2015'!C84</f>
        <v>813</v>
      </c>
      <c r="D84" s="359">
        <f>'Func Future Lines 2015'!D84</f>
        <v>138</v>
      </c>
      <c r="E84" s="359">
        <f>'Func Future Lines 2015'!E84</f>
        <v>0</v>
      </c>
      <c r="F84" s="359" t="str">
        <f>'Func Future Lines 2015'!F84</f>
        <v>Red_Deer</v>
      </c>
      <c r="G84" s="359">
        <f>'Func Future Lines 2015'!G84</f>
        <v>2516434.6391752581</v>
      </c>
      <c r="H84" s="359" t="str">
        <f>'Func Future Lines 2015'!H84</f>
        <v>AltaLink</v>
      </c>
      <c r="I84" s="359">
        <f>'Func Future Lines 2015'!I84</f>
        <v>2017</v>
      </c>
      <c r="J84" s="361">
        <f>+IF($I84=J$3,VLOOKUP($H84,Depreciation!$A$6:$L$10,7,FALSE)/2,IF($I84&lt;J$3,VLOOKUP($H84,Depreciation!$A$6:$L$10,7,FALSE),0))</f>
        <v>0</v>
      </c>
      <c r="K84" s="361">
        <f>+IF($I84=K$3,VLOOKUP($H84,Depreciation!$A$6:$L$10,8,FALSE)/2,IF($I84&lt;K$3,VLOOKUP($H84,Depreciation!$A$6:$L$10,8,FALSE),0))</f>
        <v>0</v>
      </c>
      <c r="L84" s="361">
        <f>+IF($I84=L$3,VLOOKUP($H84,Depreciation!$A$6:$L$10,9,FALSE)/2,IF($I84&lt;L$3,VLOOKUP($H84,Depreciation!$A$6:$L$10,9,FALSE),0))</f>
        <v>1.5338181838063448E-2</v>
      </c>
      <c r="M84" s="361">
        <f>+IF($I84=M$3,VLOOKUP($H84,Depreciation!$A$6:$L$10,10,FALSE)/2,IF($I84&lt;M$3,VLOOKUP($H84,Depreciation!$A$6:$L$10,10,FALSE),0))</f>
        <v>3.0676363676126896E-2</v>
      </c>
      <c r="N84" s="361">
        <f>+IF($I84=N$3,VLOOKUP($H84,Depreciation!$A$6:$L$10,11,FALSE)/2,IF($I84&lt;N$3,VLOOKUP($H84,Depreciation!$A$6:$L$10,11,FALSE),0))</f>
        <v>3.0676363676126896E-2</v>
      </c>
      <c r="O84" s="361">
        <f>+IF($I84=O$3,VLOOKUP($H84,Depreciation!$A$6:$L$10,12,FALSE)/2,IF($I84&lt;O$3,VLOOKUP($H84,Depreciation!$A$6:$L$10,12,FALSE),0))</f>
        <v>3.0676363676126896E-2</v>
      </c>
      <c r="P84" s="362">
        <f t="shared" si="5"/>
        <v>0</v>
      </c>
      <c r="Q84" s="362">
        <f t="shared" si="6"/>
        <v>0</v>
      </c>
      <c r="R84" s="363">
        <f t="shared" si="7"/>
        <v>0</v>
      </c>
      <c r="Y84" s="365"/>
    </row>
    <row r="85" spans="1:25" ht="15" customHeight="1">
      <c r="A85" s="359" t="str">
        <f>'Func Future Lines 2015'!A85</f>
        <v>PPS</v>
      </c>
      <c r="B85" s="359" t="str">
        <f>'Func Future Lines 2015'!B85</f>
        <v>423L/80AL shared route</v>
      </c>
      <c r="C85" s="359">
        <f>'Func Future Lines 2015'!C85</f>
        <v>813</v>
      </c>
      <c r="D85" s="359">
        <f>'Func Future Lines 2015'!D85</f>
        <v>138</v>
      </c>
      <c r="E85" s="359">
        <f>'Func Future Lines 2015'!E85</f>
        <v>0</v>
      </c>
      <c r="F85" s="359" t="str">
        <f>'Func Future Lines 2015'!F85</f>
        <v>Red_Deer</v>
      </c>
      <c r="G85" s="359">
        <f>'Func Future Lines 2015'!G85</f>
        <v>2922644.3346919208</v>
      </c>
      <c r="H85" s="359" t="str">
        <f>'Func Future Lines 2015'!H85</f>
        <v>AltaLink</v>
      </c>
      <c r="I85" s="359">
        <f>'Func Future Lines 2015'!I85</f>
        <v>2017</v>
      </c>
      <c r="J85" s="361">
        <f>+IF($I85=J$3,VLOOKUP($H85,Depreciation!$A$6:$L$10,7,FALSE)/2,IF($I85&lt;J$3,VLOOKUP($H85,Depreciation!$A$6:$L$10,7,FALSE),0))</f>
        <v>0</v>
      </c>
      <c r="K85" s="361">
        <f>+IF($I85=K$3,VLOOKUP($H85,Depreciation!$A$6:$L$10,8,FALSE)/2,IF($I85&lt;K$3,VLOOKUP($H85,Depreciation!$A$6:$L$10,8,FALSE),0))</f>
        <v>0</v>
      </c>
      <c r="L85" s="361">
        <f>+IF($I85=L$3,VLOOKUP($H85,Depreciation!$A$6:$L$10,9,FALSE)/2,IF($I85&lt;L$3,VLOOKUP($H85,Depreciation!$A$6:$L$10,9,FALSE),0))</f>
        <v>1.5338181838063448E-2</v>
      </c>
      <c r="M85" s="361">
        <f>+IF($I85=M$3,VLOOKUP($H85,Depreciation!$A$6:$L$10,10,FALSE)/2,IF($I85&lt;M$3,VLOOKUP($H85,Depreciation!$A$6:$L$10,10,FALSE),0))</f>
        <v>3.0676363676126896E-2</v>
      </c>
      <c r="N85" s="361">
        <f>+IF($I85=N$3,VLOOKUP($H85,Depreciation!$A$6:$L$10,11,FALSE)/2,IF($I85&lt;N$3,VLOOKUP($H85,Depreciation!$A$6:$L$10,11,FALSE),0))</f>
        <v>3.0676363676126896E-2</v>
      </c>
      <c r="O85" s="361">
        <f>+IF($I85=O$3,VLOOKUP($H85,Depreciation!$A$6:$L$10,12,FALSE)/2,IF($I85&lt;O$3,VLOOKUP($H85,Depreciation!$A$6:$L$10,12,FALSE),0))</f>
        <v>3.0676363676126896E-2</v>
      </c>
      <c r="P85" s="362">
        <f t="shared" si="5"/>
        <v>0</v>
      </c>
      <c r="Q85" s="362">
        <f t="shared" si="6"/>
        <v>0</v>
      </c>
      <c r="R85" s="363">
        <f t="shared" si="7"/>
        <v>0</v>
      </c>
      <c r="Y85" s="365"/>
    </row>
    <row r="86" spans="1:25" ht="15" customHeight="1">
      <c r="A86" s="359" t="str">
        <f>'Func Future Lines 2015'!A86</f>
        <v>PPS</v>
      </c>
      <c r="B86" s="359" t="str">
        <f>'Func Future Lines 2015'!B86</f>
        <v>444L</v>
      </c>
      <c r="C86" s="359">
        <f>'Func Future Lines 2015'!C86</f>
        <v>813</v>
      </c>
      <c r="D86" s="359">
        <f>'Func Future Lines 2015'!D86</f>
        <v>138</v>
      </c>
      <c r="E86" s="359">
        <f>'Func Future Lines 2015'!E86</f>
        <v>0</v>
      </c>
      <c r="F86" s="359" t="str">
        <f>'Func Future Lines 2015'!F86</f>
        <v>Red_Deer</v>
      </c>
      <c r="G86" s="359">
        <f>'Func Future Lines 2015'!G86</f>
        <v>246135.53584272359</v>
      </c>
      <c r="H86" s="359" t="str">
        <f>'Func Future Lines 2015'!H86</f>
        <v>AltaLink</v>
      </c>
      <c r="I86" s="359">
        <f>'Func Future Lines 2015'!I86</f>
        <v>2017</v>
      </c>
      <c r="J86" s="361">
        <f>+IF($I86=J$3,VLOOKUP($H86,Depreciation!$A$6:$L$10,7,FALSE)/2,IF($I86&lt;J$3,VLOOKUP($H86,Depreciation!$A$6:$L$10,7,FALSE),0))</f>
        <v>0</v>
      </c>
      <c r="K86" s="361">
        <f>+IF($I86=K$3,VLOOKUP($H86,Depreciation!$A$6:$L$10,8,FALSE)/2,IF($I86&lt;K$3,VLOOKUP($H86,Depreciation!$A$6:$L$10,8,FALSE),0))</f>
        <v>0</v>
      </c>
      <c r="L86" s="361">
        <f>+IF($I86=L$3,VLOOKUP($H86,Depreciation!$A$6:$L$10,9,FALSE)/2,IF($I86&lt;L$3,VLOOKUP($H86,Depreciation!$A$6:$L$10,9,FALSE),0))</f>
        <v>1.5338181838063448E-2</v>
      </c>
      <c r="M86" s="361">
        <f>+IF($I86=M$3,VLOOKUP($H86,Depreciation!$A$6:$L$10,10,FALSE)/2,IF($I86&lt;M$3,VLOOKUP($H86,Depreciation!$A$6:$L$10,10,FALSE),0))</f>
        <v>3.0676363676126896E-2</v>
      </c>
      <c r="N86" s="361">
        <f>+IF($I86=N$3,VLOOKUP($H86,Depreciation!$A$6:$L$10,11,FALSE)/2,IF($I86&lt;N$3,VLOOKUP($H86,Depreciation!$A$6:$L$10,11,FALSE),0))</f>
        <v>3.0676363676126896E-2</v>
      </c>
      <c r="O86" s="361">
        <f>+IF($I86=O$3,VLOOKUP($H86,Depreciation!$A$6:$L$10,12,FALSE)/2,IF($I86&lt;O$3,VLOOKUP($H86,Depreciation!$A$6:$L$10,12,FALSE),0))</f>
        <v>3.0676363676126896E-2</v>
      </c>
      <c r="P86" s="362">
        <f t="shared" si="5"/>
        <v>0</v>
      </c>
      <c r="Q86" s="362">
        <f t="shared" si="6"/>
        <v>0</v>
      </c>
      <c r="R86" s="363">
        <f t="shared" si="7"/>
        <v>0</v>
      </c>
      <c r="Y86" s="365"/>
    </row>
    <row r="87" spans="1:25" ht="15" customHeight="1">
      <c r="A87" s="359" t="str">
        <f>'Func Future Lines 2015'!A87</f>
        <v>PPS</v>
      </c>
      <c r="B87" s="359" t="str">
        <f>'Func Future Lines 2015'!B87</f>
        <v>637L</v>
      </c>
      <c r="C87" s="359">
        <f>'Func Future Lines 2015'!C87</f>
        <v>813</v>
      </c>
      <c r="D87" s="359">
        <f>'Func Future Lines 2015'!D87</f>
        <v>138</v>
      </c>
      <c r="E87" s="359">
        <f>'Func Future Lines 2015'!E87</f>
        <v>0</v>
      </c>
      <c r="F87" s="359" t="str">
        <f>'Func Future Lines 2015'!F87</f>
        <v>Red_Deer</v>
      </c>
      <c r="G87" s="359">
        <f>'Func Future Lines 2015'!G87</f>
        <v>17472564.238193929</v>
      </c>
      <c r="H87" s="359" t="str">
        <f>'Func Future Lines 2015'!H87</f>
        <v>AltaLink</v>
      </c>
      <c r="I87" s="359">
        <f>'Func Future Lines 2015'!I87</f>
        <v>2017</v>
      </c>
      <c r="J87" s="361">
        <f>+IF($I87=J$3,VLOOKUP($H87,Depreciation!$A$6:$L$10,7,FALSE)/2,IF($I87&lt;J$3,VLOOKUP($H87,Depreciation!$A$6:$L$10,7,FALSE),0))</f>
        <v>0</v>
      </c>
      <c r="K87" s="361">
        <f>+IF($I87=K$3,VLOOKUP($H87,Depreciation!$A$6:$L$10,8,FALSE)/2,IF($I87&lt;K$3,VLOOKUP($H87,Depreciation!$A$6:$L$10,8,FALSE),0))</f>
        <v>0</v>
      </c>
      <c r="L87" s="361">
        <f>+IF($I87=L$3,VLOOKUP($H87,Depreciation!$A$6:$L$10,9,FALSE)/2,IF($I87&lt;L$3,VLOOKUP($H87,Depreciation!$A$6:$L$10,9,FALSE),0))</f>
        <v>1.5338181838063448E-2</v>
      </c>
      <c r="M87" s="361">
        <f>+IF($I87=M$3,VLOOKUP($H87,Depreciation!$A$6:$L$10,10,FALSE)/2,IF($I87&lt;M$3,VLOOKUP($H87,Depreciation!$A$6:$L$10,10,FALSE),0))</f>
        <v>3.0676363676126896E-2</v>
      </c>
      <c r="N87" s="361">
        <f>+IF($I87=N$3,VLOOKUP($H87,Depreciation!$A$6:$L$10,11,FALSE)/2,IF($I87&lt;N$3,VLOOKUP($H87,Depreciation!$A$6:$L$10,11,FALSE),0))</f>
        <v>3.0676363676126896E-2</v>
      </c>
      <c r="O87" s="361">
        <f>+IF($I87=O$3,VLOOKUP($H87,Depreciation!$A$6:$L$10,12,FALSE)/2,IF($I87&lt;O$3,VLOOKUP($H87,Depreciation!$A$6:$L$10,12,FALSE),0))</f>
        <v>3.0676363676126896E-2</v>
      </c>
      <c r="P87" s="362">
        <f t="shared" si="5"/>
        <v>0</v>
      </c>
      <c r="Q87" s="362">
        <f t="shared" si="6"/>
        <v>0</v>
      </c>
      <c r="R87" s="363">
        <f t="shared" si="7"/>
        <v>0</v>
      </c>
      <c r="Y87" s="365"/>
    </row>
    <row r="88" spans="1:25" ht="15" customHeight="1">
      <c r="A88" s="359" t="str">
        <f>'Func Future Lines 2015'!A88</f>
        <v>PPS</v>
      </c>
      <c r="B88" s="359" t="str">
        <f>'Func Future Lines 2015'!B88</f>
        <v>648L</v>
      </c>
      <c r="C88" s="359">
        <f>'Func Future Lines 2015'!C88</f>
        <v>813</v>
      </c>
      <c r="D88" s="359">
        <f>'Func Future Lines 2015'!D88</f>
        <v>138</v>
      </c>
      <c r="E88" s="359">
        <f>'Func Future Lines 2015'!E88</f>
        <v>0</v>
      </c>
      <c r="F88" s="359" t="str">
        <f>'Func Future Lines 2015'!F88</f>
        <v>Red_Deer</v>
      </c>
      <c r="G88" s="359">
        <f>'Func Future Lines 2015'!G88</f>
        <v>16434659.559384897</v>
      </c>
      <c r="H88" s="359" t="str">
        <f>'Func Future Lines 2015'!H88</f>
        <v>AltaLink</v>
      </c>
      <c r="I88" s="359">
        <f>'Func Future Lines 2015'!I88</f>
        <v>2017</v>
      </c>
      <c r="J88" s="361">
        <f>+IF($I88=J$3,VLOOKUP($H88,Depreciation!$A$6:$L$10,7,FALSE)/2,IF($I88&lt;J$3,VLOOKUP($H88,Depreciation!$A$6:$L$10,7,FALSE),0))</f>
        <v>0</v>
      </c>
      <c r="K88" s="361">
        <f>+IF($I88=K$3,VLOOKUP($H88,Depreciation!$A$6:$L$10,8,FALSE)/2,IF($I88&lt;K$3,VLOOKUP($H88,Depreciation!$A$6:$L$10,8,FALSE),0))</f>
        <v>0</v>
      </c>
      <c r="L88" s="361">
        <f>+IF($I88=L$3,VLOOKUP($H88,Depreciation!$A$6:$L$10,9,FALSE)/2,IF($I88&lt;L$3,VLOOKUP($H88,Depreciation!$A$6:$L$10,9,FALSE),0))</f>
        <v>1.5338181838063448E-2</v>
      </c>
      <c r="M88" s="361">
        <f>+IF($I88=M$3,VLOOKUP($H88,Depreciation!$A$6:$L$10,10,FALSE)/2,IF($I88&lt;M$3,VLOOKUP($H88,Depreciation!$A$6:$L$10,10,FALSE),0))</f>
        <v>3.0676363676126896E-2</v>
      </c>
      <c r="N88" s="361">
        <f>+IF($I88=N$3,VLOOKUP($H88,Depreciation!$A$6:$L$10,11,FALSE)/2,IF($I88&lt;N$3,VLOOKUP($H88,Depreciation!$A$6:$L$10,11,FALSE),0))</f>
        <v>3.0676363676126896E-2</v>
      </c>
      <c r="O88" s="361">
        <f>+IF($I88=O$3,VLOOKUP($H88,Depreciation!$A$6:$L$10,12,FALSE)/2,IF($I88&lt;O$3,VLOOKUP($H88,Depreciation!$A$6:$L$10,12,FALSE),0))</f>
        <v>3.0676363676126896E-2</v>
      </c>
      <c r="P88" s="362">
        <f t="shared" si="5"/>
        <v>0</v>
      </c>
      <c r="Q88" s="362">
        <f t="shared" si="6"/>
        <v>0</v>
      </c>
      <c r="R88" s="363">
        <f t="shared" si="7"/>
        <v>0</v>
      </c>
      <c r="Y88" s="365"/>
    </row>
    <row r="89" spans="1:25" ht="15" customHeight="1">
      <c r="A89" s="359" t="str">
        <f>'Func Future Lines 2015'!A89</f>
        <v>PPS</v>
      </c>
      <c r="B89" s="359" t="str">
        <f>'Func Future Lines 2015'!B89</f>
        <v>755L (427L) d/c section</v>
      </c>
      <c r="C89" s="359">
        <f>'Func Future Lines 2015'!C89</f>
        <v>813</v>
      </c>
      <c r="D89" s="359">
        <f>'Func Future Lines 2015'!D89</f>
        <v>240</v>
      </c>
      <c r="E89" s="359">
        <f>'Func Future Lines 2015'!E89</f>
        <v>0</v>
      </c>
      <c r="F89" s="359" t="str">
        <f>'Func Future Lines 2015'!F89</f>
        <v>Red_Deer</v>
      </c>
      <c r="G89" s="359">
        <f>'Func Future Lines 2015'!G89</f>
        <v>22442935.461882446</v>
      </c>
      <c r="H89" s="359" t="str">
        <f>'Func Future Lines 2015'!H89</f>
        <v>AltaLink</v>
      </c>
      <c r="I89" s="359">
        <f>'Func Future Lines 2015'!I89</f>
        <v>2017</v>
      </c>
      <c r="J89" s="361">
        <f>+IF($I89=J$3,VLOOKUP($H89,Depreciation!$A$6:$L$10,7,FALSE)/2,IF($I89&lt;J$3,VLOOKUP($H89,Depreciation!$A$6:$L$10,7,FALSE),0))</f>
        <v>0</v>
      </c>
      <c r="K89" s="361">
        <f>+IF($I89=K$3,VLOOKUP($H89,Depreciation!$A$6:$L$10,8,FALSE)/2,IF($I89&lt;K$3,VLOOKUP($H89,Depreciation!$A$6:$L$10,8,FALSE),0))</f>
        <v>0</v>
      </c>
      <c r="L89" s="361">
        <f>+IF($I89=L$3,VLOOKUP($H89,Depreciation!$A$6:$L$10,9,FALSE)/2,IF($I89&lt;L$3,VLOOKUP($H89,Depreciation!$A$6:$L$10,9,FALSE),0))</f>
        <v>1.5338181838063448E-2</v>
      </c>
      <c r="M89" s="361">
        <f>+IF($I89=M$3,VLOOKUP($H89,Depreciation!$A$6:$L$10,10,FALSE)/2,IF($I89&lt;M$3,VLOOKUP($H89,Depreciation!$A$6:$L$10,10,FALSE),0))</f>
        <v>3.0676363676126896E-2</v>
      </c>
      <c r="N89" s="361">
        <f>+IF($I89=N$3,VLOOKUP($H89,Depreciation!$A$6:$L$10,11,FALSE)/2,IF($I89&lt;N$3,VLOOKUP($H89,Depreciation!$A$6:$L$10,11,FALSE),0))</f>
        <v>3.0676363676126896E-2</v>
      </c>
      <c r="O89" s="361">
        <f>+IF($I89=O$3,VLOOKUP($H89,Depreciation!$A$6:$L$10,12,FALSE)/2,IF($I89&lt;O$3,VLOOKUP($H89,Depreciation!$A$6:$L$10,12,FALSE),0))</f>
        <v>3.0676363676126896E-2</v>
      </c>
      <c r="P89" s="362">
        <f t="shared" si="5"/>
        <v>0</v>
      </c>
      <c r="Q89" s="362">
        <f t="shared" si="6"/>
        <v>0</v>
      </c>
      <c r="R89" s="363">
        <f t="shared" si="7"/>
        <v>0</v>
      </c>
      <c r="Y89" s="365"/>
    </row>
    <row r="90" spans="1:25" ht="15" customHeight="1">
      <c r="A90" s="359" t="str">
        <f>'Func Future Lines 2015'!A90</f>
        <v>PPS</v>
      </c>
      <c r="B90" s="359" t="str">
        <f>'Func Future Lines 2015'!B90</f>
        <v>755L d/c monopole section</v>
      </c>
      <c r="C90" s="359">
        <f>'Func Future Lines 2015'!C90</f>
        <v>813</v>
      </c>
      <c r="D90" s="359">
        <f>'Func Future Lines 2015'!D90</f>
        <v>240</v>
      </c>
      <c r="E90" s="359">
        <f>'Func Future Lines 2015'!E90</f>
        <v>0</v>
      </c>
      <c r="F90" s="359" t="str">
        <f>'Func Future Lines 2015'!F90</f>
        <v>Red_Deer</v>
      </c>
      <c r="G90" s="359">
        <f>'Func Future Lines 2015'!G90</f>
        <v>37092819.745882899</v>
      </c>
      <c r="H90" s="359" t="str">
        <f>'Func Future Lines 2015'!H90</f>
        <v>AltaLink</v>
      </c>
      <c r="I90" s="359">
        <f>'Func Future Lines 2015'!I90</f>
        <v>2017</v>
      </c>
      <c r="J90" s="361">
        <f>+IF($I90=J$3,VLOOKUP($H90,Depreciation!$A$6:$L$10,7,FALSE)/2,IF($I90&lt;J$3,VLOOKUP($H90,Depreciation!$A$6:$L$10,7,FALSE),0))</f>
        <v>0</v>
      </c>
      <c r="K90" s="361">
        <f>+IF($I90=K$3,VLOOKUP($H90,Depreciation!$A$6:$L$10,8,FALSE)/2,IF($I90&lt;K$3,VLOOKUP($H90,Depreciation!$A$6:$L$10,8,FALSE),0))</f>
        <v>0</v>
      </c>
      <c r="L90" s="361">
        <f>+IF($I90=L$3,VLOOKUP($H90,Depreciation!$A$6:$L$10,9,FALSE)/2,IF($I90&lt;L$3,VLOOKUP($H90,Depreciation!$A$6:$L$10,9,FALSE),0))</f>
        <v>1.5338181838063448E-2</v>
      </c>
      <c r="M90" s="361">
        <f>+IF($I90=M$3,VLOOKUP($H90,Depreciation!$A$6:$L$10,10,FALSE)/2,IF($I90&lt;M$3,VLOOKUP($H90,Depreciation!$A$6:$L$10,10,FALSE),0))</f>
        <v>3.0676363676126896E-2</v>
      </c>
      <c r="N90" s="361">
        <f>+IF($I90=N$3,VLOOKUP($H90,Depreciation!$A$6:$L$10,11,FALSE)/2,IF($I90&lt;N$3,VLOOKUP($H90,Depreciation!$A$6:$L$10,11,FALSE),0))</f>
        <v>3.0676363676126896E-2</v>
      </c>
      <c r="O90" s="361">
        <f>+IF($I90=O$3,VLOOKUP($H90,Depreciation!$A$6:$L$10,12,FALSE)/2,IF($I90&lt;O$3,VLOOKUP($H90,Depreciation!$A$6:$L$10,12,FALSE),0))</f>
        <v>3.0676363676126896E-2</v>
      </c>
      <c r="P90" s="362">
        <f t="shared" si="5"/>
        <v>0</v>
      </c>
      <c r="Q90" s="362">
        <f t="shared" si="6"/>
        <v>0</v>
      </c>
      <c r="R90" s="363">
        <f t="shared" si="7"/>
        <v>0</v>
      </c>
      <c r="Y90" s="365"/>
    </row>
    <row r="91" spans="1:25" ht="15" customHeight="1">
      <c r="A91" s="359" t="str">
        <f>'Func Future Lines 2015'!A91</f>
        <v>FINAL</v>
      </c>
      <c r="B91" s="359" t="str">
        <f>'Func Future Lines 2015'!B91</f>
        <v>768L/778L</v>
      </c>
      <c r="C91" s="359">
        <f>'Func Future Lines 2015'!C91</f>
        <v>813</v>
      </c>
      <c r="D91" s="359">
        <f>'Func Future Lines 2015'!D91</f>
        <v>138</v>
      </c>
      <c r="E91" s="359">
        <f>'Func Future Lines 2015'!E91</f>
        <v>0</v>
      </c>
      <c r="F91" s="359" t="str">
        <f>'Func Future Lines 2015'!F91</f>
        <v>Red_Deer</v>
      </c>
      <c r="G91" s="359">
        <f>'Func Future Lines 2015'!G91</f>
        <v>1301580.81090504</v>
      </c>
      <c r="H91" s="359" t="str">
        <f>'Func Future Lines 2015'!H91</f>
        <v>AltaLink</v>
      </c>
      <c r="I91" s="359">
        <f>'Func Future Lines 2015'!I91</f>
        <v>2017</v>
      </c>
      <c r="J91" s="361">
        <f>+IF($I91=J$3,VLOOKUP($H91,Depreciation!$A$6:$L$10,7,FALSE)/2,IF($I91&lt;J$3,VLOOKUP($H91,Depreciation!$A$6:$L$10,7,FALSE),0))</f>
        <v>0</v>
      </c>
      <c r="K91" s="361">
        <f>+IF($I91=K$3,VLOOKUP($H91,Depreciation!$A$6:$L$10,8,FALSE)/2,IF($I91&lt;K$3,VLOOKUP($H91,Depreciation!$A$6:$L$10,8,FALSE),0))</f>
        <v>0</v>
      </c>
      <c r="L91" s="361">
        <f>+IF($I91=L$3,VLOOKUP($H91,Depreciation!$A$6:$L$10,9,FALSE)/2,IF($I91&lt;L$3,VLOOKUP($H91,Depreciation!$A$6:$L$10,9,FALSE),0))</f>
        <v>1.5338181838063448E-2</v>
      </c>
      <c r="M91" s="361">
        <f>+IF($I91=M$3,VLOOKUP($H91,Depreciation!$A$6:$L$10,10,FALSE)/2,IF($I91&lt;M$3,VLOOKUP($H91,Depreciation!$A$6:$L$10,10,FALSE),0))</f>
        <v>3.0676363676126896E-2</v>
      </c>
      <c r="N91" s="361">
        <f>+IF($I91=N$3,VLOOKUP($H91,Depreciation!$A$6:$L$10,11,FALSE)/2,IF($I91&lt;N$3,VLOOKUP($H91,Depreciation!$A$6:$L$10,11,FALSE),0))</f>
        <v>3.0676363676126896E-2</v>
      </c>
      <c r="O91" s="361">
        <f>+IF($I91=O$3,VLOOKUP($H91,Depreciation!$A$6:$L$10,12,FALSE)/2,IF($I91&lt;O$3,VLOOKUP($H91,Depreciation!$A$6:$L$10,12,FALSE),0))</f>
        <v>3.0676363676126896E-2</v>
      </c>
      <c r="P91" s="362">
        <f t="shared" si="5"/>
        <v>0</v>
      </c>
      <c r="Q91" s="362">
        <f t="shared" si="6"/>
        <v>0</v>
      </c>
      <c r="R91" s="363">
        <f t="shared" si="7"/>
        <v>0</v>
      </c>
      <c r="Y91" s="365"/>
    </row>
    <row r="92" spans="1:25" ht="15" customHeight="1">
      <c r="A92" s="359" t="str">
        <f>'Func Future Lines 2015'!A92</f>
        <v>FINAL</v>
      </c>
      <c r="B92" s="359" t="str">
        <f>'Func Future Lines 2015'!B92</f>
        <v>80L</v>
      </c>
      <c r="C92" s="359">
        <f>'Func Future Lines 2015'!C92</f>
        <v>813</v>
      </c>
      <c r="D92" s="359">
        <f>'Func Future Lines 2015'!D92</f>
        <v>138</v>
      </c>
      <c r="E92" s="359">
        <f>'Func Future Lines 2015'!E92</f>
        <v>0</v>
      </c>
      <c r="F92" s="359" t="str">
        <f>'Func Future Lines 2015'!F92</f>
        <v>Red_Deer</v>
      </c>
      <c r="G92" s="359">
        <f>'Func Future Lines 2015'!G92</f>
        <v>629225.31498373614</v>
      </c>
      <c r="H92" s="359" t="str">
        <f>'Func Future Lines 2015'!H92</f>
        <v>AltaLink</v>
      </c>
      <c r="I92" s="359">
        <f>'Func Future Lines 2015'!I92</f>
        <v>2017</v>
      </c>
      <c r="J92" s="361">
        <f>+IF($I92=J$3,VLOOKUP($H92,Depreciation!$A$6:$L$10,7,FALSE)/2,IF($I92&lt;J$3,VLOOKUP($H92,Depreciation!$A$6:$L$10,7,FALSE),0))</f>
        <v>0</v>
      </c>
      <c r="K92" s="361">
        <f>+IF($I92=K$3,VLOOKUP($H92,Depreciation!$A$6:$L$10,8,FALSE)/2,IF($I92&lt;K$3,VLOOKUP($H92,Depreciation!$A$6:$L$10,8,FALSE),0))</f>
        <v>0</v>
      </c>
      <c r="L92" s="361">
        <f>+IF($I92=L$3,VLOOKUP($H92,Depreciation!$A$6:$L$10,9,FALSE)/2,IF($I92&lt;L$3,VLOOKUP($H92,Depreciation!$A$6:$L$10,9,FALSE),0))</f>
        <v>1.5338181838063448E-2</v>
      </c>
      <c r="M92" s="361">
        <f>+IF($I92=M$3,VLOOKUP($H92,Depreciation!$A$6:$L$10,10,FALSE)/2,IF($I92&lt;M$3,VLOOKUP($H92,Depreciation!$A$6:$L$10,10,FALSE),0))</f>
        <v>3.0676363676126896E-2</v>
      </c>
      <c r="N92" s="361">
        <f>+IF($I92=N$3,VLOOKUP($H92,Depreciation!$A$6:$L$10,11,FALSE)/2,IF($I92&lt;N$3,VLOOKUP($H92,Depreciation!$A$6:$L$10,11,FALSE),0))</f>
        <v>3.0676363676126896E-2</v>
      </c>
      <c r="O92" s="361">
        <f>+IF($I92=O$3,VLOOKUP($H92,Depreciation!$A$6:$L$10,12,FALSE)/2,IF($I92&lt;O$3,VLOOKUP($H92,Depreciation!$A$6:$L$10,12,FALSE),0))</f>
        <v>3.0676363676126896E-2</v>
      </c>
      <c r="P92" s="362">
        <f t="shared" si="5"/>
        <v>0</v>
      </c>
      <c r="Q92" s="362">
        <f t="shared" si="6"/>
        <v>0</v>
      </c>
      <c r="R92" s="363">
        <f t="shared" si="7"/>
        <v>0</v>
      </c>
      <c r="Y92" s="365"/>
    </row>
    <row r="93" spans="1:25" ht="15" customHeight="1">
      <c r="A93" s="359" t="str">
        <f>'Func Future Lines 2015'!A93</f>
        <v>PPS</v>
      </c>
      <c r="B93" s="359" t="str">
        <f>'Func Future Lines 2015'!B93</f>
        <v>80L (GD)</v>
      </c>
      <c r="C93" s="359">
        <f>'Func Future Lines 2015'!C93</f>
        <v>813</v>
      </c>
      <c r="D93" s="359">
        <f>'Func Future Lines 2015'!D93</f>
        <v>138</v>
      </c>
      <c r="E93" s="359">
        <f>'Func Future Lines 2015'!E93</f>
        <v>0</v>
      </c>
      <c r="F93" s="359" t="str">
        <f>'Func Future Lines 2015'!F93</f>
        <v>Red_Deer</v>
      </c>
      <c r="G93" s="359">
        <f>'Func Future Lines 2015'!G93</f>
        <v>442355.47350755217</v>
      </c>
      <c r="H93" s="359" t="str">
        <f>'Func Future Lines 2015'!H93</f>
        <v>AltaLink</v>
      </c>
      <c r="I93" s="359">
        <f>'Func Future Lines 2015'!I93</f>
        <v>2017</v>
      </c>
      <c r="J93" s="361">
        <f>+IF($I93=J$3,VLOOKUP($H93,Depreciation!$A$6:$L$10,7,FALSE)/2,IF($I93&lt;J$3,VLOOKUP($H93,Depreciation!$A$6:$L$10,7,FALSE),0))</f>
        <v>0</v>
      </c>
      <c r="K93" s="361">
        <f>+IF($I93=K$3,VLOOKUP($H93,Depreciation!$A$6:$L$10,8,FALSE)/2,IF($I93&lt;K$3,VLOOKUP($H93,Depreciation!$A$6:$L$10,8,FALSE),0))</f>
        <v>0</v>
      </c>
      <c r="L93" s="361">
        <f>+IF($I93=L$3,VLOOKUP($H93,Depreciation!$A$6:$L$10,9,FALSE)/2,IF($I93&lt;L$3,VLOOKUP($H93,Depreciation!$A$6:$L$10,9,FALSE),0))</f>
        <v>1.5338181838063448E-2</v>
      </c>
      <c r="M93" s="361">
        <f>+IF($I93=M$3,VLOOKUP($H93,Depreciation!$A$6:$L$10,10,FALSE)/2,IF($I93&lt;M$3,VLOOKUP($H93,Depreciation!$A$6:$L$10,10,FALSE),0))</f>
        <v>3.0676363676126896E-2</v>
      </c>
      <c r="N93" s="361">
        <f>+IF($I93=N$3,VLOOKUP($H93,Depreciation!$A$6:$L$10,11,FALSE)/2,IF($I93&lt;N$3,VLOOKUP($H93,Depreciation!$A$6:$L$10,11,FALSE),0))</f>
        <v>3.0676363676126896E-2</v>
      </c>
      <c r="O93" s="361">
        <f>+IF($I93=O$3,VLOOKUP($H93,Depreciation!$A$6:$L$10,12,FALSE)/2,IF($I93&lt;O$3,VLOOKUP($H93,Depreciation!$A$6:$L$10,12,FALSE),0))</f>
        <v>3.0676363676126896E-2</v>
      </c>
      <c r="P93" s="362">
        <f t="shared" si="5"/>
        <v>0</v>
      </c>
      <c r="Q93" s="362">
        <f t="shared" si="6"/>
        <v>0</v>
      </c>
      <c r="R93" s="363">
        <f t="shared" si="7"/>
        <v>0</v>
      </c>
      <c r="Y93" s="365"/>
    </row>
    <row r="94" spans="1:25" ht="15" customHeight="1">
      <c r="A94" s="359" t="str">
        <f>'Func Future Lines 2015'!A94</f>
        <v>PPS</v>
      </c>
      <c r="B94" s="359" t="str">
        <f>'Func Future Lines 2015'!B94</f>
        <v>80L North (425L)</v>
      </c>
      <c r="C94" s="359">
        <f>'Func Future Lines 2015'!C94</f>
        <v>813</v>
      </c>
      <c r="D94" s="359">
        <f>'Func Future Lines 2015'!D94</f>
        <v>138</v>
      </c>
      <c r="E94" s="359">
        <f>'Func Future Lines 2015'!E94</f>
        <v>0</v>
      </c>
      <c r="F94" s="359" t="str">
        <f>'Func Future Lines 2015'!F94</f>
        <v>Red_Deer</v>
      </c>
      <c r="G94" s="359">
        <f>'Func Future Lines 2015'!G94</f>
        <v>14334305.158686891</v>
      </c>
      <c r="H94" s="359" t="str">
        <f>'Func Future Lines 2015'!H94</f>
        <v>AltaLink</v>
      </c>
      <c r="I94" s="359">
        <f>'Func Future Lines 2015'!I94</f>
        <v>2017</v>
      </c>
      <c r="J94" s="361">
        <f>+IF($I94=J$3,VLOOKUP($H94,Depreciation!$A$6:$L$10,7,FALSE)/2,IF($I94&lt;J$3,VLOOKUP($H94,Depreciation!$A$6:$L$10,7,FALSE),0))</f>
        <v>0</v>
      </c>
      <c r="K94" s="361">
        <f>+IF($I94=K$3,VLOOKUP($H94,Depreciation!$A$6:$L$10,8,FALSE)/2,IF($I94&lt;K$3,VLOOKUP($H94,Depreciation!$A$6:$L$10,8,FALSE),0))</f>
        <v>0</v>
      </c>
      <c r="L94" s="361">
        <f>+IF($I94=L$3,VLOOKUP($H94,Depreciation!$A$6:$L$10,9,FALSE)/2,IF($I94&lt;L$3,VLOOKUP($H94,Depreciation!$A$6:$L$10,9,FALSE),0))</f>
        <v>1.5338181838063448E-2</v>
      </c>
      <c r="M94" s="361">
        <f>+IF($I94=M$3,VLOOKUP($H94,Depreciation!$A$6:$L$10,10,FALSE)/2,IF($I94&lt;M$3,VLOOKUP($H94,Depreciation!$A$6:$L$10,10,FALSE),0))</f>
        <v>3.0676363676126896E-2</v>
      </c>
      <c r="N94" s="361">
        <f>+IF($I94=N$3,VLOOKUP($H94,Depreciation!$A$6:$L$10,11,FALSE)/2,IF($I94&lt;N$3,VLOOKUP($H94,Depreciation!$A$6:$L$10,11,FALSE),0))</f>
        <v>3.0676363676126896E-2</v>
      </c>
      <c r="O94" s="361">
        <f>+IF($I94=O$3,VLOOKUP($H94,Depreciation!$A$6:$L$10,12,FALSE)/2,IF($I94&lt;O$3,VLOOKUP($H94,Depreciation!$A$6:$L$10,12,FALSE),0))</f>
        <v>3.0676363676126896E-2</v>
      </c>
      <c r="P94" s="362">
        <f t="shared" si="5"/>
        <v>0</v>
      </c>
      <c r="Q94" s="362">
        <f t="shared" si="6"/>
        <v>0</v>
      </c>
      <c r="R94" s="363">
        <f t="shared" si="7"/>
        <v>0</v>
      </c>
      <c r="Y94" s="365"/>
    </row>
    <row r="95" spans="1:25" ht="15" customHeight="1">
      <c r="A95" s="359" t="str">
        <f>'Func Future Lines 2015'!A95</f>
        <v>PPS</v>
      </c>
      <c r="B95" s="359" t="str">
        <f>'Func Future Lines 2015'!B95</f>
        <v>80L South (426L)</v>
      </c>
      <c r="C95" s="359">
        <f>'Func Future Lines 2015'!C95</f>
        <v>813</v>
      </c>
      <c r="D95" s="359">
        <f>'Func Future Lines 2015'!D95</f>
        <v>138</v>
      </c>
      <c r="E95" s="359">
        <f>'Func Future Lines 2015'!E95</f>
        <v>0</v>
      </c>
      <c r="F95" s="359" t="str">
        <f>'Func Future Lines 2015'!F95</f>
        <v>Red_Deer</v>
      </c>
      <c r="G95" s="359">
        <f>'Func Future Lines 2015'!G95</f>
        <v>10724430.608572371</v>
      </c>
      <c r="H95" s="359" t="str">
        <f>'Func Future Lines 2015'!H95</f>
        <v>AltaLink</v>
      </c>
      <c r="I95" s="359">
        <f>'Func Future Lines 2015'!I95</f>
        <v>2017</v>
      </c>
      <c r="J95" s="361">
        <f>+IF($I95=J$3,VLOOKUP($H95,Depreciation!$A$6:$L$10,7,FALSE)/2,IF($I95&lt;J$3,VLOOKUP($H95,Depreciation!$A$6:$L$10,7,FALSE),0))</f>
        <v>0</v>
      </c>
      <c r="K95" s="361">
        <f>+IF($I95=K$3,VLOOKUP($H95,Depreciation!$A$6:$L$10,8,FALSE)/2,IF($I95&lt;K$3,VLOOKUP($H95,Depreciation!$A$6:$L$10,8,FALSE),0))</f>
        <v>0</v>
      </c>
      <c r="L95" s="361">
        <f>+IF($I95=L$3,VLOOKUP($H95,Depreciation!$A$6:$L$10,9,FALSE)/2,IF($I95&lt;L$3,VLOOKUP($H95,Depreciation!$A$6:$L$10,9,FALSE),0))</f>
        <v>1.5338181838063448E-2</v>
      </c>
      <c r="M95" s="361">
        <f>+IF($I95=M$3,VLOOKUP($H95,Depreciation!$A$6:$L$10,10,FALSE)/2,IF($I95&lt;M$3,VLOOKUP($H95,Depreciation!$A$6:$L$10,10,FALSE),0))</f>
        <v>3.0676363676126896E-2</v>
      </c>
      <c r="N95" s="361">
        <f>+IF($I95=N$3,VLOOKUP($H95,Depreciation!$A$6:$L$10,11,FALSE)/2,IF($I95&lt;N$3,VLOOKUP($H95,Depreciation!$A$6:$L$10,11,FALSE),0))</f>
        <v>3.0676363676126896E-2</v>
      </c>
      <c r="O95" s="361">
        <f>+IF($I95=O$3,VLOOKUP($H95,Depreciation!$A$6:$L$10,12,FALSE)/2,IF($I95&lt;O$3,VLOOKUP($H95,Depreciation!$A$6:$L$10,12,FALSE),0))</f>
        <v>3.0676363676126896E-2</v>
      </c>
      <c r="P95" s="362">
        <f t="shared" si="5"/>
        <v>0</v>
      </c>
      <c r="Q95" s="362">
        <f t="shared" si="6"/>
        <v>0</v>
      </c>
      <c r="R95" s="363">
        <f t="shared" si="7"/>
        <v>0</v>
      </c>
      <c r="Y95" s="365"/>
    </row>
    <row r="96" spans="1:25" ht="15" customHeight="1">
      <c r="A96" s="359" t="str">
        <f>'Func Future Lines 2015'!A96</f>
        <v>PPS</v>
      </c>
      <c r="B96" s="359" t="str">
        <f>'Func Future Lines 2015'!B96</f>
        <v>80L underground</v>
      </c>
      <c r="C96" s="359">
        <f>'Func Future Lines 2015'!C96</f>
        <v>813</v>
      </c>
      <c r="D96" s="359">
        <f>'Func Future Lines 2015'!D96</f>
        <v>138</v>
      </c>
      <c r="E96" s="359">
        <f>'Func Future Lines 2015'!E96</f>
        <v>0</v>
      </c>
      <c r="F96" s="359" t="str">
        <f>'Func Future Lines 2015'!F96</f>
        <v>Red_Deer</v>
      </c>
      <c r="G96" s="359">
        <f>'Func Future Lines 2015'!G96</f>
        <v>8700999.9999999944</v>
      </c>
      <c r="H96" s="359" t="str">
        <f>'Func Future Lines 2015'!H96</f>
        <v>AltaLink</v>
      </c>
      <c r="I96" s="359">
        <f>'Func Future Lines 2015'!I96</f>
        <v>2017</v>
      </c>
      <c r="J96" s="361">
        <f>+IF($I96=J$3,VLOOKUP($H96,Depreciation!$A$6:$L$10,7,FALSE)/2,IF($I96&lt;J$3,VLOOKUP($H96,Depreciation!$A$6:$L$10,7,FALSE),0))</f>
        <v>0</v>
      </c>
      <c r="K96" s="361">
        <f>+IF($I96=K$3,VLOOKUP($H96,Depreciation!$A$6:$L$10,8,FALSE)/2,IF($I96&lt;K$3,VLOOKUP($H96,Depreciation!$A$6:$L$10,8,FALSE),0))</f>
        <v>0</v>
      </c>
      <c r="L96" s="361">
        <f>+IF($I96=L$3,VLOOKUP($H96,Depreciation!$A$6:$L$10,9,FALSE)/2,IF($I96&lt;L$3,VLOOKUP($H96,Depreciation!$A$6:$L$10,9,FALSE),0))</f>
        <v>1.5338181838063448E-2</v>
      </c>
      <c r="M96" s="361">
        <f>+IF($I96=M$3,VLOOKUP($H96,Depreciation!$A$6:$L$10,10,FALSE)/2,IF($I96&lt;M$3,VLOOKUP($H96,Depreciation!$A$6:$L$10,10,FALSE),0))</f>
        <v>3.0676363676126896E-2</v>
      </c>
      <c r="N96" s="361">
        <f>+IF($I96=N$3,VLOOKUP($H96,Depreciation!$A$6:$L$10,11,FALSE)/2,IF($I96&lt;N$3,VLOOKUP($H96,Depreciation!$A$6:$L$10,11,FALSE),0))</f>
        <v>3.0676363676126896E-2</v>
      </c>
      <c r="O96" s="361">
        <f>+IF($I96=O$3,VLOOKUP($H96,Depreciation!$A$6:$L$10,12,FALSE)/2,IF($I96&lt;O$3,VLOOKUP($H96,Depreciation!$A$6:$L$10,12,FALSE),0))</f>
        <v>3.0676363676126896E-2</v>
      </c>
      <c r="P96" s="362">
        <f t="shared" si="5"/>
        <v>0</v>
      </c>
      <c r="Q96" s="362">
        <f t="shared" si="6"/>
        <v>0</v>
      </c>
      <c r="R96" s="363">
        <f t="shared" si="7"/>
        <v>0</v>
      </c>
      <c r="Y96" s="365"/>
    </row>
    <row r="97" spans="1:25" ht="15" customHeight="1">
      <c r="A97" s="359" t="str">
        <f>'Func Future Lines 2015'!A97</f>
        <v>PPS</v>
      </c>
      <c r="B97" s="359" t="str">
        <f>'Func Future Lines 2015'!B97</f>
        <v>883L</v>
      </c>
      <c r="C97" s="359">
        <f>'Func Future Lines 2015'!C97</f>
        <v>813</v>
      </c>
      <c r="D97" s="359">
        <f>'Func Future Lines 2015'!D97</f>
        <v>138</v>
      </c>
      <c r="E97" s="359">
        <f>'Func Future Lines 2015'!E97</f>
        <v>0</v>
      </c>
      <c r="F97" s="359" t="str">
        <f>'Func Future Lines 2015'!F97</f>
        <v>Red_Deer</v>
      </c>
      <c r="G97" s="359">
        <f>'Func Future Lines 2015'!G97</f>
        <v>2041375.8427235677</v>
      </c>
      <c r="H97" s="359" t="str">
        <f>'Func Future Lines 2015'!H97</f>
        <v>AltaLink</v>
      </c>
      <c r="I97" s="359">
        <f>'Func Future Lines 2015'!I97</f>
        <v>2017</v>
      </c>
      <c r="J97" s="361">
        <f>+IF($I97=J$3,VLOOKUP($H97,Depreciation!$A$6:$L$10,7,FALSE)/2,IF($I97&lt;J$3,VLOOKUP($H97,Depreciation!$A$6:$L$10,7,FALSE),0))</f>
        <v>0</v>
      </c>
      <c r="K97" s="361">
        <f>+IF($I97=K$3,VLOOKUP($H97,Depreciation!$A$6:$L$10,8,FALSE)/2,IF($I97&lt;K$3,VLOOKUP($H97,Depreciation!$A$6:$L$10,8,FALSE),0))</f>
        <v>0</v>
      </c>
      <c r="L97" s="361">
        <f>+IF($I97=L$3,VLOOKUP($H97,Depreciation!$A$6:$L$10,9,FALSE)/2,IF($I97&lt;L$3,VLOOKUP($H97,Depreciation!$A$6:$L$10,9,FALSE),0))</f>
        <v>1.5338181838063448E-2</v>
      </c>
      <c r="M97" s="361">
        <f>+IF($I97=M$3,VLOOKUP($H97,Depreciation!$A$6:$L$10,10,FALSE)/2,IF($I97&lt;M$3,VLOOKUP($H97,Depreciation!$A$6:$L$10,10,FALSE),0))</f>
        <v>3.0676363676126896E-2</v>
      </c>
      <c r="N97" s="361">
        <f>+IF($I97=N$3,VLOOKUP($H97,Depreciation!$A$6:$L$10,11,FALSE)/2,IF($I97&lt;N$3,VLOOKUP($H97,Depreciation!$A$6:$L$10,11,FALSE),0))</f>
        <v>3.0676363676126896E-2</v>
      </c>
      <c r="O97" s="361">
        <f>+IF($I97=O$3,VLOOKUP($H97,Depreciation!$A$6:$L$10,12,FALSE)/2,IF($I97&lt;O$3,VLOOKUP($H97,Depreciation!$A$6:$L$10,12,FALSE),0))</f>
        <v>3.0676363676126896E-2</v>
      </c>
      <c r="P97" s="362">
        <f t="shared" si="5"/>
        <v>0</v>
      </c>
      <c r="Q97" s="362">
        <f t="shared" si="6"/>
        <v>0</v>
      </c>
      <c r="R97" s="363">
        <f t="shared" si="7"/>
        <v>0</v>
      </c>
      <c r="Y97" s="365"/>
    </row>
    <row r="98" spans="1:25" ht="15" customHeight="1">
      <c r="A98" s="359" t="str">
        <f>'Func Future Lines 2015'!A98</f>
        <v>PPS</v>
      </c>
      <c r="B98" s="359" t="str">
        <f>'Func Future Lines 2015'!B98</f>
        <v>910L/1083L</v>
      </c>
      <c r="C98" s="359">
        <f>'Func Future Lines 2015'!C98</f>
        <v>813</v>
      </c>
      <c r="D98" s="359">
        <f>'Func Future Lines 2015'!D98</f>
        <v>240</v>
      </c>
      <c r="E98" s="359">
        <f>'Func Future Lines 2015'!E98</f>
        <v>0</v>
      </c>
      <c r="F98" s="359" t="str">
        <f>'Func Future Lines 2015'!F98</f>
        <v>Red_Deer</v>
      </c>
      <c r="G98" s="359">
        <f>'Func Future Lines 2015'!G98</f>
        <v>1595577.9141692643</v>
      </c>
      <c r="H98" s="359" t="str">
        <f>'Func Future Lines 2015'!H98</f>
        <v>AltaLink</v>
      </c>
      <c r="I98" s="359">
        <f>'Func Future Lines 2015'!I98</f>
        <v>2017</v>
      </c>
      <c r="J98" s="361">
        <f>+IF($I98=J$3,VLOOKUP($H98,Depreciation!$A$6:$L$10,7,FALSE)/2,IF($I98&lt;J$3,VLOOKUP($H98,Depreciation!$A$6:$L$10,7,FALSE),0))</f>
        <v>0</v>
      </c>
      <c r="K98" s="361">
        <f>+IF($I98=K$3,VLOOKUP($H98,Depreciation!$A$6:$L$10,8,FALSE)/2,IF($I98&lt;K$3,VLOOKUP($H98,Depreciation!$A$6:$L$10,8,FALSE),0))</f>
        <v>0</v>
      </c>
      <c r="L98" s="361">
        <f>+IF($I98=L$3,VLOOKUP($H98,Depreciation!$A$6:$L$10,9,FALSE)/2,IF($I98&lt;L$3,VLOOKUP($H98,Depreciation!$A$6:$L$10,9,FALSE),0))</f>
        <v>1.5338181838063448E-2</v>
      </c>
      <c r="M98" s="361">
        <f>+IF($I98=M$3,VLOOKUP($H98,Depreciation!$A$6:$L$10,10,FALSE)/2,IF($I98&lt;M$3,VLOOKUP($H98,Depreciation!$A$6:$L$10,10,FALSE),0))</f>
        <v>3.0676363676126896E-2</v>
      </c>
      <c r="N98" s="361">
        <f>+IF($I98=N$3,VLOOKUP($H98,Depreciation!$A$6:$L$10,11,FALSE)/2,IF($I98&lt;N$3,VLOOKUP($H98,Depreciation!$A$6:$L$10,11,FALSE),0))</f>
        <v>3.0676363676126896E-2</v>
      </c>
      <c r="O98" s="361">
        <f>+IF($I98=O$3,VLOOKUP($H98,Depreciation!$A$6:$L$10,12,FALSE)/2,IF($I98&lt;O$3,VLOOKUP($H98,Depreciation!$A$6:$L$10,12,FALSE),0))</f>
        <v>3.0676363676126896E-2</v>
      </c>
      <c r="P98" s="362">
        <f t="shared" si="5"/>
        <v>0</v>
      </c>
      <c r="Q98" s="362">
        <f t="shared" si="6"/>
        <v>0</v>
      </c>
      <c r="R98" s="363">
        <f t="shared" si="7"/>
        <v>0</v>
      </c>
      <c r="Y98" s="365"/>
    </row>
    <row r="99" spans="1:25" ht="15" customHeight="1">
      <c r="A99" s="359" t="str">
        <f>'Func Future Lines 2015'!A99</f>
        <v>PPS</v>
      </c>
      <c r="B99" s="359" t="str">
        <f>'Func Future Lines 2015'!B99</f>
        <v>910L/1083L</v>
      </c>
      <c r="C99" s="359">
        <f>'Func Future Lines 2015'!C99</f>
        <v>813</v>
      </c>
      <c r="D99" s="359">
        <f>'Func Future Lines 2015'!D99</f>
        <v>240</v>
      </c>
      <c r="E99" s="359">
        <f>'Func Future Lines 2015'!E99</f>
        <v>0</v>
      </c>
      <c r="F99" s="359" t="str">
        <f>'Func Future Lines 2015'!F99</f>
        <v>Red_Deer</v>
      </c>
      <c r="G99" s="359">
        <f>'Func Future Lines 2015'!G99</f>
        <v>1626560.0095900265</v>
      </c>
      <c r="H99" s="359" t="str">
        <f>'Func Future Lines 2015'!H99</f>
        <v>AltaLink</v>
      </c>
      <c r="I99" s="359">
        <f>'Func Future Lines 2015'!I99</f>
        <v>2017</v>
      </c>
      <c r="J99" s="361">
        <f>+IF($I99=J$3,VLOOKUP($H99,Depreciation!$A$6:$L$10,7,FALSE)/2,IF($I99&lt;J$3,VLOOKUP($H99,Depreciation!$A$6:$L$10,7,FALSE),0))</f>
        <v>0</v>
      </c>
      <c r="K99" s="361">
        <f>+IF($I99=K$3,VLOOKUP($H99,Depreciation!$A$6:$L$10,8,FALSE)/2,IF($I99&lt;K$3,VLOOKUP($H99,Depreciation!$A$6:$L$10,8,FALSE),0))</f>
        <v>0</v>
      </c>
      <c r="L99" s="361">
        <f>+IF($I99=L$3,VLOOKUP($H99,Depreciation!$A$6:$L$10,9,FALSE)/2,IF($I99&lt;L$3,VLOOKUP($H99,Depreciation!$A$6:$L$10,9,FALSE),0))</f>
        <v>1.5338181838063448E-2</v>
      </c>
      <c r="M99" s="361">
        <f>+IF($I99=M$3,VLOOKUP($H99,Depreciation!$A$6:$L$10,10,FALSE)/2,IF($I99&lt;M$3,VLOOKUP($H99,Depreciation!$A$6:$L$10,10,FALSE),0))</f>
        <v>3.0676363676126896E-2</v>
      </c>
      <c r="N99" s="361">
        <f>+IF($I99=N$3,VLOOKUP($H99,Depreciation!$A$6:$L$10,11,FALSE)/2,IF($I99&lt;N$3,VLOOKUP($H99,Depreciation!$A$6:$L$10,11,FALSE),0))</f>
        <v>3.0676363676126896E-2</v>
      </c>
      <c r="O99" s="361">
        <f>+IF($I99=O$3,VLOOKUP($H99,Depreciation!$A$6:$L$10,12,FALSE)/2,IF($I99&lt;O$3,VLOOKUP($H99,Depreciation!$A$6:$L$10,12,FALSE),0))</f>
        <v>3.0676363676126896E-2</v>
      </c>
      <c r="P99" s="362">
        <f t="shared" si="5"/>
        <v>0</v>
      </c>
      <c r="Q99" s="362">
        <f t="shared" si="6"/>
        <v>0</v>
      </c>
      <c r="R99" s="363">
        <f t="shared" si="7"/>
        <v>0</v>
      </c>
      <c r="Y99" s="365"/>
    </row>
    <row r="100" spans="1:25" ht="15" customHeight="1">
      <c r="A100" s="359" t="str">
        <f>'Func Future Lines 2015'!A100</f>
        <v>PPS</v>
      </c>
      <c r="B100" s="359" t="str">
        <f>'Func Future Lines 2015'!B100</f>
        <v>918L/1081L</v>
      </c>
      <c r="C100" s="359">
        <f>'Func Future Lines 2015'!C100</f>
        <v>813</v>
      </c>
      <c r="D100" s="359">
        <f>'Func Future Lines 2015'!D100</f>
        <v>240</v>
      </c>
      <c r="E100" s="359">
        <f>'Func Future Lines 2015'!E100</f>
        <v>0</v>
      </c>
      <c r="F100" s="359" t="str">
        <f>'Func Future Lines 2015'!F100</f>
        <v>Red_Deer</v>
      </c>
      <c r="G100" s="359">
        <f>'Func Future Lines 2015'!G100</f>
        <v>1543941.0884679935</v>
      </c>
      <c r="H100" s="359" t="str">
        <f>'Func Future Lines 2015'!H100</f>
        <v>AltaLink</v>
      </c>
      <c r="I100" s="359">
        <f>'Func Future Lines 2015'!I100</f>
        <v>2017</v>
      </c>
      <c r="J100" s="361">
        <f>+IF($I100=J$3,VLOOKUP($H100,Depreciation!$A$6:$L$10,7,FALSE)/2,IF($I100&lt;J$3,VLOOKUP($H100,Depreciation!$A$6:$L$10,7,FALSE),0))</f>
        <v>0</v>
      </c>
      <c r="K100" s="361">
        <f>+IF($I100=K$3,VLOOKUP($H100,Depreciation!$A$6:$L$10,8,FALSE)/2,IF($I100&lt;K$3,VLOOKUP($H100,Depreciation!$A$6:$L$10,8,FALSE),0))</f>
        <v>0</v>
      </c>
      <c r="L100" s="361">
        <f>+IF($I100=L$3,VLOOKUP($H100,Depreciation!$A$6:$L$10,9,FALSE)/2,IF($I100&lt;L$3,VLOOKUP($H100,Depreciation!$A$6:$L$10,9,FALSE),0))</f>
        <v>1.5338181838063448E-2</v>
      </c>
      <c r="M100" s="361">
        <f>+IF($I100=M$3,VLOOKUP($H100,Depreciation!$A$6:$L$10,10,FALSE)/2,IF($I100&lt;M$3,VLOOKUP($H100,Depreciation!$A$6:$L$10,10,FALSE),0))</f>
        <v>3.0676363676126896E-2</v>
      </c>
      <c r="N100" s="361">
        <f>+IF($I100=N$3,VLOOKUP($H100,Depreciation!$A$6:$L$10,11,FALSE)/2,IF($I100&lt;N$3,VLOOKUP($H100,Depreciation!$A$6:$L$10,11,FALSE),0))</f>
        <v>3.0676363676126896E-2</v>
      </c>
      <c r="O100" s="361">
        <f>+IF($I100=O$3,VLOOKUP($H100,Depreciation!$A$6:$L$10,12,FALSE)/2,IF($I100&lt;O$3,VLOOKUP($H100,Depreciation!$A$6:$L$10,12,FALSE),0))</f>
        <v>3.0676363676126896E-2</v>
      </c>
      <c r="P100" s="362">
        <f t="shared" si="5"/>
        <v>0</v>
      </c>
      <c r="Q100" s="362">
        <f t="shared" si="6"/>
        <v>0</v>
      </c>
      <c r="R100" s="363">
        <f t="shared" si="7"/>
        <v>0</v>
      </c>
      <c r="Y100" s="365"/>
    </row>
    <row r="101" spans="1:25" ht="15" customHeight="1">
      <c r="A101" s="359" t="str">
        <f>'Func Future Lines 2015'!A101</f>
        <v>PPS</v>
      </c>
      <c r="B101" s="359" t="str">
        <f>'Func Future Lines 2015'!B101</f>
        <v>918L/1081L</v>
      </c>
      <c r="C101" s="359">
        <f>'Func Future Lines 2015'!C101</f>
        <v>813</v>
      </c>
      <c r="D101" s="359">
        <f>'Func Future Lines 2015'!D101</f>
        <v>240</v>
      </c>
      <c r="E101" s="359">
        <f>'Func Future Lines 2015'!E101</f>
        <v>0</v>
      </c>
      <c r="F101" s="359" t="str">
        <f>'Func Future Lines 2015'!F101</f>
        <v>Red_Deer</v>
      </c>
      <c r="G101" s="359">
        <f>'Func Future Lines 2015'!G101</f>
        <v>1657542.1050107889</v>
      </c>
      <c r="H101" s="359" t="str">
        <f>'Func Future Lines 2015'!H101</f>
        <v>AltaLink</v>
      </c>
      <c r="I101" s="359">
        <f>'Func Future Lines 2015'!I101</f>
        <v>2017</v>
      </c>
      <c r="J101" s="361">
        <f>+IF($I101=J$3,VLOOKUP($H101,Depreciation!$A$6:$L$10,7,FALSE)/2,IF($I101&lt;J$3,VLOOKUP($H101,Depreciation!$A$6:$L$10,7,FALSE),0))</f>
        <v>0</v>
      </c>
      <c r="K101" s="361">
        <f>+IF($I101=K$3,VLOOKUP($H101,Depreciation!$A$6:$L$10,8,FALSE)/2,IF($I101&lt;K$3,VLOOKUP($H101,Depreciation!$A$6:$L$10,8,FALSE),0))</f>
        <v>0</v>
      </c>
      <c r="L101" s="361">
        <f>+IF($I101=L$3,VLOOKUP($H101,Depreciation!$A$6:$L$10,9,FALSE)/2,IF($I101&lt;L$3,VLOOKUP($H101,Depreciation!$A$6:$L$10,9,FALSE),0))</f>
        <v>1.5338181838063448E-2</v>
      </c>
      <c r="M101" s="361">
        <f>+IF($I101=M$3,VLOOKUP($H101,Depreciation!$A$6:$L$10,10,FALSE)/2,IF($I101&lt;M$3,VLOOKUP($H101,Depreciation!$A$6:$L$10,10,FALSE),0))</f>
        <v>3.0676363676126896E-2</v>
      </c>
      <c r="N101" s="361">
        <f>+IF($I101=N$3,VLOOKUP($H101,Depreciation!$A$6:$L$10,11,FALSE)/2,IF($I101&lt;N$3,VLOOKUP($H101,Depreciation!$A$6:$L$10,11,FALSE),0))</f>
        <v>3.0676363676126896E-2</v>
      </c>
      <c r="O101" s="361">
        <f>+IF($I101=O$3,VLOOKUP($H101,Depreciation!$A$6:$L$10,12,FALSE)/2,IF($I101&lt;O$3,VLOOKUP($H101,Depreciation!$A$6:$L$10,12,FALSE),0))</f>
        <v>3.0676363676126896E-2</v>
      </c>
      <c r="P101" s="362">
        <f t="shared" si="5"/>
        <v>0</v>
      </c>
      <c r="Q101" s="362">
        <f t="shared" si="6"/>
        <v>0</v>
      </c>
      <c r="R101" s="363">
        <f t="shared" si="7"/>
        <v>0</v>
      </c>
      <c r="Y101" s="365"/>
    </row>
    <row r="102" spans="1:25" ht="15" customHeight="1">
      <c r="A102" s="359" t="str">
        <f>'Func Future Lines 2015'!A102</f>
        <v>PPS</v>
      </c>
      <c r="B102" s="359" t="str">
        <f>'Func Future Lines 2015'!B102</f>
        <v>929L/1082L</v>
      </c>
      <c r="C102" s="359">
        <f>'Func Future Lines 2015'!C102</f>
        <v>813</v>
      </c>
      <c r="D102" s="359">
        <f>'Func Future Lines 2015'!D102</f>
        <v>240</v>
      </c>
      <c r="E102" s="359">
        <f>'Func Future Lines 2015'!E102</f>
        <v>0</v>
      </c>
      <c r="F102" s="359" t="str">
        <f>'Func Future Lines 2015'!F102</f>
        <v>Red_Deer</v>
      </c>
      <c r="G102" s="359">
        <f>'Func Future Lines 2015'!G102</f>
        <v>1650657.1949172863</v>
      </c>
      <c r="H102" s="359" t="str">
        <f>'Func Future Lines 2015'!H102</f>
        <v>AltaLink</v>
      </c>
      <c r="I102" s="359">
        <f>'Func Future Lines 2015'!I102</f>
        <v>2017</v>
      </c>
      <c r="J102" s="361">
        <f>+IF($I102=J$3,VLOOKUP($H102,Depreciation!$A$6:$L$10,7,FALSE)/2,IF($I102&lt;J$3,VLOOKUP($H102,Depreciation!$A$6:$L$10,7,FALSE),0))</f>
        <v>0</v>
      </c>
      <c r="K102" s="361">
        <f>+IF($I102=K$3,VLOOKUP($H102,Depreciation!$A$6:$L$10,8,FALSE)/2,IF($I102&lt;K$3,VLOOKUP($H102,Depreciation!$A$6:$L$10,8,FALSE),0))</f>
        <v>0</v>
      </c>
      <c r="L102" s="361">
        <f>+IF($I102=L$3,VLOOKUP($H102,Depreciation!$A$6:$L$10,9,FALSE)/2,IF($I102&lt;L$3,VLOOKUP($H102,Depreciation!$A$6:$L$10,9,FALSE),0))</f>
        <v>1.5338181838063448E-2</v>
      </c>
      <c r="M102" s="361">
        <f>+IF($I102=M$3,VLOOKUP($H102,Depreciation!$A$6:$L$10,10,FALSE)/2,IF($I102&lt;M$3,VLOOKUP($H102,Depreciation!$A$6:$L$10,10,FALSE),0))</f>
        <v>3.0676363676126896E-2</v>
      </c>
      <c r="N102" s="361">
        <f>+IF($I102=N$3,VLOOKUP($H102,Depreciation!$A$6:$L$10,11,FALSE)/2,IF($I102&lt;N$3,VLOOKUP($H102,Depreciation!$A$6:$L$10,11,FALSE),0))</f>
        <v>3.0676363676126896E-2</v>
      </c>
      <c r="O102" s="361">
        <f>+IF($I102=O$3,VLOOKUP($H102,Depreciation!$A$6:$L$10,12,FALSE)/2,IF($I102&lt;O$3,VLOOKUP($H102,Depreciation!$A$6:$L$10,12,FALSE),0))</f>
        <v>3.0676363676126896E-2</v>
      </c>
      <c r="P102" s="362">
        <f t="shared" si="5"/>
        <v>0</v>
      </c>
      <c r="Q102" s="362">
        <f t="shared" si="6"/>
        <v>0</v>
      </c>
      <c r="R102" s="363">
        <f t="shared" si="7"/>
        <v>0</v>
      </c>
      <c r="Y102" s="365"/>
    </row>
    <row r="103" spans="1:25" ht="15" customHeight="1">
      <c r="A103" s="359" t="str">
        <f>'Func Future Lines 2015'!A103</f>
        <v>PPS</v>
      </c>
      <c r="B103" s="359" t="str">
        <f>'Func Future Lines 2015'!B103</f>
        <v>929L/1082L</v>
      </c>
      <c r="C103" s="359">
        <f>'Func Future Lines 2015'!C103</f>
        <v>813</v>
      </c>
      <c r="D103" s="359">
        <f>'Func Future Lines 2015'!D103</f>
        <v>240</v>
      </c>
      <c r="E103" s="359">
        <f>'Func Future Lines 2015'!E103</f>
        <v>0</v>
      </c>
      <c r="F103" s="359" t="str">
        <f>'Func Future Lines 2015'!F103</f>
        <v>Red_Deer</v>
      </c>
      <c r="G103" s="359">
        <f>'Func Future Lines 2015'!G103</f>
        <v>1645493.5123471592</v>
      </c>
      <c r="H103" s="359" t="str">
        <f>'Func Future Lines 2015'!H103</f>
        <v>AltaLink</v>
      </c>
      <c r="I103" s="359">
        <f>'Func Future Lines 2015'!I103</f>
        <v>2017</v>
      </c>
      <c r="J103" s="361">
        <f>+IF($I103=J$3,VLOOKUP($H103,Depreciation!$A$6:$L$10,7,FALSE)/2,IF($I103&lt;J$3,VLOOKUP($H103,Depreciation!$A$6:$L$10,7,FALSE),0))</f>
        <v>0</v>
      </c>
      <c r="K103" s="361">
        <f>+IF($I103=K$3,VLOOKUP($H103,Depreciation!$A$6:$L$10,8,FALSE)/2,IF($I103&lt;K$3,VLOOKUP($H103,Depreciation!$A$6:$L$10,8,FALSE),0))</f>
        <v>0</v>
      </c>
      <c r="L103" s="361">
        <f>+IF($I103=L$3,VLOOKUP($H103,Depreciation!$A$6:$L$10,9,FALSE)/2,IF($I103&lt;L$3,VLOOKUP($H103,Depreciation!$A$6:$L$10,9,FALSE),0))</f>
        <v>1.5338181838063448E-2</v>
      </c>
      <c r="M103" s="361">
        <f>+IF($I103=M$3,VLOOKUP($H103,Depreciation!$A$6:$L$10,10,FALSE)/2,IF($I103&lt;M$3,VLOOKUP($H103,Depreciation!$A$6:$L$10,10,FALSE),0))</f>
        <v>3.0676363676126896E-2</v>
      </c>
      <c r="N103" s="361">
        <f>+IF($I103=N$3,VLOOKUP($H103,Depreciation!$A$6:$L$10,11,FALSE)/2,IF($I103&lt;N$3,VLOOKUP($H103,Depreciation!$A$6:$L$10,11,FALSE),0))</f>
        <v>3.0676363676126896E-2</v>
      </c>
      <c r="O103" s="361">
        <f>+IF($I103=O$3,VLOOKUP($H103,Depreciation!$A$6:$L$10,12,FALSE)/2,IF($I103&lt;O$3,VLOOKUP($H103,Depreciation!$A$6:$L$10,12,FALSE),0))</f>
        <v>3.0676363676126896E-2</v>
      </c>
      <c r="P103" s="362">
        <f t="shared" si="5"/>
        <v>0</v>
      </c>
      <c r="Q103" s="362">
        <f t="shared" si="6"/>
        <v>0</v>
      </c>
      <c r="R103" s="363">
        <f t="shared" si="7"/>
        <v>0</v>
      </c>
      <c r="Y103" s="365"/>
    </row>
    <row r="104" spans="1:25" ht="15" customHeight="1">
      <c r="A104" s="359" t="str">
        <f>'Func Future Lines 2015'!A104</f>
        <v>PPS</v>
      </c>
      <c r="B104" s="359" t="str">
        <f>'Func Future Lines 2015'!B104</f>
        <v>transmission line 166AL_(v2)</v>
      </c>
      <c r="C104" s="359">
        <f>'Func Future Lines 2015'!C104</f>
        <v>813</v>
      </c>
      <c r="D104" s="359">
        <f>'Func Future Lines 2015'!D104</f>
        <v>138</v>
      </c>
      <c r="E104" s="359">
        <f>'Func Future Lines 2015'!E104</f>
        <v>0</v>
      </c>
      <c r="F104" s="359" t="str">
        <f>'Func Future Lines 2015'!F104</f>
        <v>Red_Deer</v>
      </c>
      <c r="G104" s="359">
        <f>'Func Future Lines 2015'!G104</f>
        <v>178318.62548469054</v>
      </c>
      <c r="H104" s="359" t="str">
        <f>'Func Future Lines 2015'!H104</f>
        <v>AltaLink</v>
      </c>
      <c r="I104" s="359">
        <f>'Func Future Lines 2015'!I104</f>
        <v>2017</v>
      </c>
      <c r="J104" s="361">
        <f>+IF($I104=J$3,VLOOKUP($H104,Depreciation!$A$6:$L$10,7,FALSE)/2,IF($I104&lt;J$3,VLOOKUP($H104,Depreciation!$A$6:$L$10,7,FALSE),0))</f>
        <v>0</v>
      </c>
      <c r="K104" s="361">
        <f>+IF($I104=K$3,VLOOKUP($H104,Depreciation!$A$6:$L$10,8,FALSE)/2,IF($I104&lt;K$3,VLOOKUP($H104,Depreciation!$A$6:$L$10,8,FALSE),0))</f>
        <v>0</v>
      </c>
      <c r="L104" s="361">
        <f>+IF($I104=L$3,VLOOKUP($H104,Depreciation!$A$6:$L$10,9,FALSE)/2,IF($I104&lt;L$3,VLOOKUP($H104,Depreciation!$A$6:$L$10,9,FALSE),0))</f>
        <v>1.5338181838063448E-2</v>
      </c>
      <c r="M104" s="361">
        <f>+IF($I104=M$3,VLOOKUP($H104,Depreciation!$A$6:$L$10,10,FALSE)/2,IF($I104&lt;M$3,VLOOKUP($H104,Depreciation!$A$6:$L$10,10,FALSE),0))</f>
        <v>3.0676363676126896E-2</v>
      </c>
      <c r="N104" s="361">
        <f>+IF($I104=N$3,VLOOKUP($H104,Depreciation!$A$6:$L$10,11,FALSE)/2,IF($I104&lt;N$3,VLOOKUP($H104,Depreciation!$A$6:$L$10,11,FALSE),0))</f>
        <v>3.0676363676126896E-2</v>
      </c>
      <c r="O104" s="361">
        <f>+IF($I104=O$3,VLOOKUP($H104,Depreciation!$A$6:$L$10,12,FALSE)/2,IF($I104&lt;O$3,VLOOKUP($H104,Depreciation!$A$6:$L$10,12,FALSE),0))</f>
        <v>3.0676363676126896E-2</v>
      </c>
      <c r="P104" s="362">
        <f t="shared" si="5"/>
        <v>0</v>
      </c>
      <c r="Q104" s="362">
        <f t="shared" si="6"/>
        <v>0</v>
      </c>
      <c r="R104" s="363">
        <f t="shared" si="7"/>
        <v>0</v>
      </c>
      <c r="Y104" s="365"/>
    </row>
    <row r="105" spans="1:25" ht="15" customHeight="1">
      <c r="A105" s="359" t="str">
        <f>'Func Future Lines 2015'!A105</f>
        <v>PPS</v>
      </c>
      <c r="B105" s="359" t="str">
        <f>'Func Future Lines 2015'!B105</f>
        <v>transmission line 166L_(v2)</v>
      </c>
      <c r="C105" s="359">
        <f>'Func Future Lines 2015'!C105</f>
        <v>813</v>
      </c>
      <c r="D105" s="359">
        <f>'Func Future Lines 2015'!D105</f>
        <v>138</v>
      </c>
      <c r="E105" s="359">
        <f>'Func Future Lines 2015'!E105</f>
        <v>0</v>
      </c>
      <c r="F105" s="359" t="str">
        <f>'Func Future Lines 2015'!F105</f>
        <v>Red_Deer</v>
      </c>
      <c r="G105" s="359">
        <f>'Func Future Lines 2015'!G105</f>
        <v>24543692.672817234</v>
      </c>
      <c r="H105" s="359" t="str">
        <f>'Func Future Lines 2015'!H105</f>
        <v>AltaLink</v>
      </c>
      <c r="I105" s="359">
        <f>'Func Future Lines 2015'!I105</f>
        <v>2017</v>
      </c>
      <c r="J105" s="361">
        <f>+IF($I105=J$3,VLOOKUP($H105,Depreciation!$A$6:$L$10,7,FALSE)/2,IF($I105&lt;J$3,VLOOKUP($H105,Depreciation!$A$6:$L$10,7,FALSE),0))</f>
        <v>0</v>
      </c>
      <c r="K105" s="361">
        <f>+IF($I105=K$3,VLOOKUP($H105,Depreciation!$A$6:$L$10,8,FALSE)/2,IF($I105&lt;K$3,VLOOKUP($H105,Depreciation!$A$6:$L$10,8,FALSE),0))</f>
        <v>0</v>
      </c>
      <c r="L105" s="361">
        <f>+IF($I105=L$3,VLOOKUP($H105,Depreciation!$A$6:$L$10,9,FALSE)/2,IF($I105&lt;L$3,VLOOKUP($H105,Depreciation!$A$6:$L$10,9,FALSE),0))</f>
        <v>1.5338181838063448E-2</v>
      </c>
      <c r="M105" s="361">
        <f>+IF($I105=M$3,VLOOKUP($H105,Depreciation!$A$6:$L$10,10,FALSE)/2,IF($I105&lt;M$3,VLOOKUP($H105,Depreciation!$A$6:$L$10,10,FALSE),0))</f>
        <v>3.0676363676126896E-2</v>
      </c>
      <c r="N105" s="361">
        <f>+IF($I105=N$3,VLOOKUP($H105,Depreciation!$A$6:$L$10,11,FALSE)/2,IF($I105&lt;N$3,VLOOKUP($H105,Depreciation!$A$6:$L$10,11,FALSE),0))</f>
        <v>3.0676363676126896E-2</v>
      </c>
      <c r="O105" s="361">
        <f>+IF($I105=O$3,VLOOKUP($H105,Depreciation!$A$6:$L$10,12,FALSE)/2,IF($I105&lt;O$3,VLOOKUP($H105,Depreciation!$A$6:$L$10,12,FALSE),0))</f>
        <v>3.0676363676126896E-2</v>
      </c>
      <c r="P105" s="362">
        <f t="shared" si="5"/>
        <v>0</v>
      </c>
      <c r="Q105" s="362">
        <f t="shared" si="6"/>
        <v>0</v>
      </c>
      <c r="R105" s="363">
        <f t="shared" si="7"/>
        <v>0</v>
      </c>
      <c r="Y105" s="365"/>
    </row>
    <row r="106" spans="1:25" ht="15" customHeight="1">
      <c r="A106" s="359" t="str">
        <f>'Func Future Lines 2015'!A106</f>
        <v>PPS</v>
      </c>
      <c r="B106" s="359" t="str">
        <f>'Func Future Lines 2015'!B106</f>
        <v>1043L/1139L</v>
      </c>
      <c r="C106" s="359">
        <f>'Func Future Lines 2015'!C106</f>
        <v>850</v>
      </c>
      <c r="D106" s="359">
        <f>'Func Future Lines 2015'!D106</f>
        <v>240</v>
      </c>
      <c r="E106" s="359">
        <f>'Func Future Lines 2015'!E106</f>
        <v>0</v>
      </c>
      <c r="F106" s="359" t="str">
        <f>'Func Future Lines 2015'!F106</f>
        <v>edmonton</v>
      </c>
      <c r="G106" s="359">
        <f>'Func Future Lines 2015'!G106</f>
        <v>15139710.076689346</v>
      </c>
      <c r="H106" s="359" t="str">
        <f>'Func Future Lines 2015'!H106</f>
        <v>AltaLink</v>
      </c>
      <c r="I106" s="359">
        <f>'Func Future Lines 2015'!I106</f>
        <v>2017</v>
      </c>
      <c r="J106" s="361">
        <f>+IF($I106=J$3,VLOOKUP($H106,Depreciation!$A$6:$L$10,7,FALSE)/2,IF($I106&lt;J$3,VLOOKUP($H106,Depreciation!$A$6:$L$10,7,FALSE),0))</f>
        <v>0</v>
      </c>
      <c r="K106" s="361">
        <f>+IF($I106=K$3,VLOOKUP($H106,Depreciation!$A$6:$L$10,8,FALSE)/2,IF($I106&lt;K$3,VLOOKUP($H106,Depreciation!$A$6:$L$10,8,FALSE),0))</f>
        <v>0</v>
      </c>
      <c r="L106" s="361">
        <f>+IF($I106=L$3,VLOOKUP($H106,Depreciation!$A$6:$L$10,9,FALSE)/2,IF($I106&lt;L$3,VLOOKUP($H106,Depreciation!$A$6:$L$10,9,FALSE),0))</f>
        <v>1.5338181838063448E-2</v>
      </c>
      <c r="M106" s="361">
        <f>+IF($I106=M$3,VLOOKUP($H106,Depreciation!$A$6:$L$10,10,FALSE)/2,IF($I106&lt;M$3,VLOOKUP($H106,Depreciation!$A$6:$L$10,10,FALSE),0))</f>
        <v>3.0676363676126896E-2</v>
      </c>
      <c r="N106" s="361">
        <f>+IF($I106=N$3,VLOOKUP($H106,Depreciation!$A$6:$L$10,11,FALSE)/2,IF($I106&lt;N$3,VLOOKUP($H106,Depreciation!$A$6:$L$10,11,FALSE),0))</f>
        <v>3.0676363676126896E-2</v>
      </c>
      <c r="O106" s="361">
        <f>+IF($I106=O$3,VLOOKUP($H106,Depreciation!$A$6:$L$10,12,FALSE)/2,IF($I106&lt;O$3,VLOOKUP($H106,Depreciation!$A$6:$L$10,12,FALSE),0))</f>
        <v>3.0676363676126896E-2</v>
      </c>
      <c r="P106" s="362">
        <f t="shared" si="5"/>
        <v>0</v>
      </c>
      <c r="Q106" s="362">
        <f t="shared" si="6"/>
        <v>0</v>
      </c>
      <c r="R106" s="363">
        <f t="shared" si="7"/>
        <v>0</v>
      </c>
      <c r="Y106" s="365"/>
    </row>
    <row r="107" spans="1:25" ht="15" customHeight="1">
      <c r="A107" s="359" t="str">
        <f>'Func Future Lines 2015'!A107</f>
        <v>PPS</v>
      </c>
      <c r="B107" s="359" t="str">
        <f>'Func Future Lines 2015'!B107</f>
        <v>1140L/1112L</v>
      </c>
      <c r="C107" s="359">
        <f>'Func Future Lines 2015'!C107</f>
        <v>850</v>
      </c>
      <c r="D107" s="359">
        <f>'Func Future Lines 2015'!D107</f>
        <v>240</v>
      </c>
      <c r="E107" s="359">
        <f>'Func Future Lines 2015'!E107</f>
        <v>0</v>
      </c>
      <c r="F107" s="359" t="str">
        <f>'Func Future Lines 2015'!F107</f>
        <v>edmonton</v>
      </c>
      <c r="G107" s="359">
        <f>'Func Future Lines 2015'!G107</f>
        <v>20197707.055992737</v>
      </c>
      <c r="H107" s="359" t="str">
        <f>'Func Future Lines 2015'!H107</f>
        <v>AltaLink</v>
      </c>
      <c r="I107" s="359">
        <f>'Func Future Lines 2015'!I107</f>
        <v>2017</v>
      </c>
      <c r="J107" s="361">
        <f>+IF($I107=J$3,VLOOKUP($H107,Depreciation!$A$6:$L$10,7,FALSE)/2,IF($I107&lt;J$3,VLOOKUP($H107,Depreciation!$A$6:$L$10,7,FALSE),0))</f>
        <v>0</v>
      </c>
      <c r="K107" s="361">
        <f>+IF($I107=K$3,VLOOKUP($H107,Depreciation!$A$6:$L$10,8,FALSE)/2,IF($I107&lt;K$3,VLOOKUP($H107,Depreciation!$A$6:$L$10,8,FALSE),0))</f>
        <v>0</v>
      </c>
      <c r="L107" s="361">
        <f>+IF($I107=L$3,VLOOKUP($H107,Depreciation!$A$6:$L$10,9,FALSE)/2,IF($I107&lt;L$3,VLOOKUP($H107,Depreciation!$A$6:$L$10,9,FALSE),0))</f>
        <v>1.5338181838063448E-2</v>
      </c>
      <c r="M107" s="361">
        <f>+IF($I107=M$3,VLOOKUP($H107,Depreciation!$A$6:$L$10,10,FALSE)/2,IF($I107&lt;M$3,VLOOKUP($H107,Depreciation!$A$6:$L$10,10,FALSE),0))</f>
        <v>3.0676363676126896E-2</v>
      </c>
      <c r="N107" s="361">
        <f>+IF($I107=N$3,VLOOKUP($H107,Depreciation!$A$6:$L$10,11,FALSE)/2,IF($I107&lt;N$3,VLOOKUP($H107,Depreciation!$A$6:$L$10,11,FALSE),0))</f>
        <v>3.0676363676126896E-2</v>
      </c>
      <c r="O107" s="361">
        <f>+IF($I107=O$3,VLOOKUP($H107,Depreciation!$A$6:$L$10,12,FALSE)/2,IF($I107&lt;O$3,VLOOKUP($H107,Depreciation!$A$6:$L$10,12,FALSE),0))</f>
        <v>3.0676363676126896E-2</v>
      </c>
      <c r="P107" s="362">
        <f t="shared" si="5"/>
        <v>0</v>
      </c>
      <c r="Q107" s="362">
        <f t="shared" si="6"/>
        <v>0</v>
      </c>
      <c r="R107" s="363">
        <f t="shared" si="7"/>
        <v>0</v>
      </c>
      <c r="Y107" s="365"/>
    </row>
    <row r="108" spans="1:25" ht="15" customHeight="1">
      <c r="A108" s="359" t="str">
        <f>'Func Future Lines 2015'!A108</f>
        <v>PPS</v>
      </c>
      <c r="B108" s="359" t="str">
        <f>'Func Future Lines 2015'!B108</f>
        <v>446L/452L/453L</v>
      </c>
      <c r="C108" s="359">
        <f>'Func Future Lines 2015'!C108</f>
        <v>850</v>
      </c>
      <c r="D108" s="359">
        <f>'Func Future Lines 2015'!D108</f>
        <v>138</v>
      </c>
      <c r="E108" s="359">
        <f>'Func Future Lines 2015'!E108</f>
        <v>0</v>
      </c>
      <c r="F108" s="359" t="str">
        <f>'Func Future Lines 2015'!F108</f>
        <v>edmonton</v>
      </c>
      <c r="G108" s="359">
        <f>'Func Future Lines 2015'!G108</f>
        <v>19650687.416100234</v>
      </c>
      <c r="H108" s="359" t="str">
        <f>'Func Future Lines 2015'!H108</f>
        <v>AltaLink</v>
      </c>
      <c r="I108" s="359">
        <f>'Func Future Lines 2015'!I108</f>
        <v>2017</v>
      </c>
      <c r="J108" s="361">
        <f>+IF($I108=J$3,VLOOKUP($H108,Depreciation!$A$6:$L$10,7,FALSE)/2,IF($I108&lt;J$3,VLOOKUP($H108,Depreciation!$A$6:$L$10,7,FALSE),0))</f>
        <v>0</v>
      </c>
      <c r="K108" s="361">
        <f>+IF($I108=K$3,VLOOKUP($H108,Depreciation!$A$6:$L$10,8,FALSE)/2,IF($I108&lt;K$3,VLOOKUP($H108,Depreciation!$A$6:$L$10,8,FALSE),0))</f>
        <v>0</v>
      </c>
      <c r="L108" s="361">
        <f>+IF($I108=L$3,VLOOKUP($H108,Depreciation!$A$6:$L$10,9,FALSE)/2,IF($I108&lt;L$3,VLOOKUP($H108,Depreciation!$A$6:$L$10,9,FALSE),0))</f>
        <v>1.5338181838063448E-2</v>
      </c>
      <c r="M108" s="361">
        <f>+IF($I108=M$3,VLOOKUP($H108,Depreciation!$A$6:$L$10,10,FALSE)/2,IF($I108&lt;M$3,VLOOKUP($H108,Depreciation!$A$6:$L$10,10,FALSE),0))</f>
        <v>3.0676363676126896E-2</v>
      </c>
      <c r="N108" s="361">
        <f>+IF($I108=N$3,VLOOKUP($H108,Depreciation!$A$6:$L$10,11,FALSE)/2,IF($I108&lt;N$3,VLOOKUP($H108,Depreciation!$A$6:$L$10,11,FALSE),0))</f>
        <v>3.0676363676126896E-2</v>
      </c>
      <c r="O108" s="361">
        <f>+IF($I108=O$3,VLOOKUP($H108,Depreciation!$A$6:$L$10,12,FALSE)/2,IF($I108&lt;O$3,VLOOKUP($H108,Depreciation!$A$6:$L$10,12,FALSE),0))</f>
        <v>3.0676363676126896E-2</v>
      </c>
      <c r="P108" s="362">
        <f t="shared" si="5"/>
        <v>0</v>
      </c>
      <c r="Q108" s="362">
        <f t="shared" si="6"/>
        <v>0</v>
      </c>
      <c r="R108" s="363">
        <f t="shared" si="7"/>
        <v>0</v>
      </c>
      <c r="Y108" s="365"/>
    </row>
    <row r="109" spans="1:25" ht="15" customHeight="1">
      <c r="A109" s="359" t="str">
        <f>'Func Future Lines 2015'!A109</f>
        <v>PPS</v>
      </c>
      <c r="B109" s="359" t="str">
        <f>'Func Future Lines 2015'!B109</f>
        <v>446L/453L</v>
      </c>
      <c r="C109" s="359">
        <f>'Func Future Lines 2015'!C109</f>
        <v>850</v>
      </c>
      <c r="D109" s="359">
        <f>'Func Future Lines 2015'!D109</f>
        <v>138</v>
      </c>
      <c r="E109" s="359">
        <f>'Func Future Lines 2015'!E109</f>
        <v>0</v>
      </c>
      <c r="F109" s="359" t="str">
        <f>'Func Future Lines 2015'!F109</f>
        <v>edmonton</v>
      </c>
      <c r="G109" s="359">
        <f>'Func Future Lines 2015'!G109</f>
        <v>11579761.499715252</v>
      </c>
      <c r="H109" s="359" t="str">
        <f>'Func Future Lines 2015'!H109</f>
        <v>AltaLink</v>
      </c>
      <c r="I109" s="359">
        <f>'Func Future Lines 2015'!I109</f>
        <v>2017</v>
      </c>
      <c r="J109" s="361">
        <f>+IF($I109=J$3,VLOOKUP($H109,Depreciation!$A$6:$L$10,7,FALSE)/2,IF($I109&lt;J$3,VLOOKUP($H109,Depreciation!$A$6:$L$10,7,FALSE),0))</f>
        <v>0</v>
      </c>
      <c r="K109" s="361">
        <f>+IF($I109=K$3,VLOOKUP($H109,Depreciation!$A$6:$L$10,8,FALSE)/2,IF($I109&lt;K$3,VLOOKUP($H109,Depreciation!$A$6:$L$10,8,FALSE),0))</f>
        <v>0</v>
      </c>
      <c r="L109" s="361">
        <f>+IF($I109=L$3,VLOOKUP($H109,Depreciation!$A$6:$L$10,9,FALSE)/2,IF($I109&lt;L$3,VLOOKUP($H109,Depreciation!$A$6:$L$10,9,FALSE),0))</f>
        <v>1.5338181838063448E-2</v>
      </c>
      <c r="M109" s="361">
        <f>+IF($I109=M$3,VLOOKUP($H109,Depreciation!$A$6:$L$10,10,FALSE)/2,IF($I109&lt;M$3,VLOOKUP($H109,Depreciation!$A$6:$L$10,10,FALSE),0))</f>
        <v>3.0676363676126896E-2</v>
      </c>
      <c r="N109" s="361">
        <f>+IF($I109=N$3,VLOOKUP($H109,Depreciation!$A$6:$L$10,11,FALSE)/2,IF($I109&lt;N$3,VLOOKUP($H109,Depreciation!$A$6:$L$10,11,FALSE),0))</f>
        <v>3.0676363676126896E-2</v>
      </c>
      <c r="O109" s="361">
        <f>+IF($I109=O$3,VLOOKUP($H109,Depreciation!$A$6:$L$10,12,FALSE)/2,IF($I109&lt;O$3,VLOOKUP($H109,Depreciation!$A$6:$L$10,12,FALSE),0))</f>
        <v>3.0676363676126896E-2</v>
      </c>
      <c r="P109" s="362">
        <f t="shared" si="5"/>
        <v>0</v>
      </c>
      <c r="Q109" s="362">
        <f t="shared" si="6"/>
        <v>0</v>
      </c>
      <c r="R109" s="363">
        <f t="shared" si="7"/>
        <v>0</v>
      </c>
      <c r="Y109" s="365"/>
    </row>
    <row r="110" spans="1:25" ht="15" customHeight="1">
      <c r="A110" s="359" t="str">
        <f>'Func Future Lines 2015'!A110</f>
        <v>PPS</v>
      </c>
      <c r="B110" s="359" t="str">
        <f>'Func Future Lines 2015'!B110</f>
        <v>452L 10km OPGW replacement</v>
      </c>
      <c r="C110" s="359">
        <f>'Func Future Lines 2015'!C110</f>
        <v>850</v>
      </c>
      <c r="D110" s="359">
        <f>'Func Future Lines 2015'!D110</f>
        <v>138</v>
      </c>
      <c r="E110" s="359">
        <f>'Func Future Lines 2015'!E110</f>
        <v>0</v>
      </c>
      <c r="F110" s="359" t="str">
        <f>'Func Future Lines 2015'!F110</f>
        <v>edmonton</v>
      </c>
      <c r="G110" s="359">
        <f>'Func Future Lines 2015'!G110</f>
        <v>4288035.0624691956</v>
      </c>
      <c r="H110" s="359" t="str">
        <f>'Func Future Lines 2015'!H110</f>
        <v>AltaLink</v>
      </c>
      <c r="I110" s="359">
        <f>'Func Future Lines 2015'!I110</f>
        <v>2017</v>
      </c>
      <c r="J110" s="361">
        <f>+IF($I110=J$3,VLOOKUP($H110,Depreciation!$A$6:$L$10,7,FALSE)/2,IF($I110&lt;J$3,VLOOKUP($H110,Depreciation!$A$6:$L$10,7,FALSE),0))</f>
        <v>0</v>
      </c>
      <c r="K110" s="361">
        <f>+IF($I110=K$3,VLOOKUP($H110,Depreciation!$A$6:$L$10,8,FALSE)/2,IF($I110&lt;K$3,VLOOKUP($H110,Depreciation!$A$6:$L$10,8,FALSE),0))</f>
        <v>0</v>
      </c>
      <c r="L110" s="361">
        <f>+IF($I110=L$3,VLOOKUP($H110,Depreciation!$A$6:$L$10,9,FALSE)/2,IF($I110&lt;L$3,VLOOKUP($H110,Depreciation!$A$6:$L$10,9,FALSE),0))</f>
        <v>1.5338181838063448E-2</v>
      </c>
      <c r="M110" s="361">
        <f>+IF($I110=M$3,VLOOKUP($H110,Depreciation!$A$6:$L$10,10,FALSE)/2,IF($I110&lt;M$3,VLOOKUP($H110,Depreciation!$A$6:$L$10,10,FALSE),0))</f>
        <v>3.0676363676126896E-2</v>
      </c>
      <c r="N110" s="361">
        <f>+IF($I110=N$3,VLOOKUP($H110,Depreciation!$A$6:$L$10,11,FALSE)/2,IF($I110&lt;N$3,VLOOKUP($H110,Depreciation!$A$6:$L$10,11,FALSE),0))</f>
        <v>3.0676363676126896E-2</v>
      </c>
      <c r="O110" s="361">
        <f>+IF($I110=O$3,VLOOKUP($H110,Depreciation!$A$6:$L$10,12,FALSE)/2,IF($I110&lt;O$3,VLOOKUP($H110,Depreciation!$A$6:$L$10,12,FALSE),0))</f>
        <v>3.0676363676126896E-2</v>
      </c>
      <c r="P110" s="362">
        <f t="shared" si="5"/>
        <v>0</v>
      </c>
      <c r="Q110" s="362">
        <f t="shared" si="6"/>
        <v>0</v>
      </c>
      <c r="R110" s="363">
        <f t="shared" si="7"/>
        <v>0</v>
      </c>
      <c r="Y110" s="365"/>
    </row>
    <row r="111" spans="1:25" ht="15" customHeight="1">
      <c r="A111" s="359" t="str">
        <f>'Func Future Lines 2015'!A111</f>
        <v>PPS</v>
      </c>
      <c r="B111" s="359" t="str">
        <f>'Func Future Lines 2015'!B111</f>
        <v>454L/455L</v>
      </c>
      <c r="C111" s="359">
        <f>'Func Future Lines 2015'!C111</f>
        <v>850</v>
      </c>
      <c r="D111" s="359">
        <f>'Func Future Lines 2015'!D111</f>
        <v>138</v>
      </c>
      <c r="E111" s="359">
        <f>'Func Future Lines 2015'!E111</f>
        <v>0</v>
      </c>
      <c r="F111" s="359" t="str">
        <f>'Func Future Lines 2015'!F111</f>
        <v>edmonton</v>
      </c>
      <c r="G111" s="359">
        <f>'Func Future Lines 2015'!G111</f>
        <v>7815341.9759696973</v>
      </c>
      <c r="H111" s="359" t="str">
        <f>'Func Future Lines 2015'!H111</f>
        <v>AltaLink</v>
      </c>
      <c r="I111" s="359">
        <f>'Func Future Lines 2015'!I111</f>
        <v>2017</v>
      </c>
      <c r="J111" s="361">
        <f>+IF($I111=J$3,VLOOKUP($H111,Depreciation!$A$6:$L$10,7,FALSE)/2,IF($I111&lt;J$3,VLOOKUP($H111,Depreciation!$A$6:$L$10,7,FALSE),0))</f>
        <v>0</v>
      </c>
      <c r="K111" s="361">
        <f>+IF($I111=K$3,VLOOKUP($H111,Depreciation!$A$6:$L$10,8,FALSE)/2,IF($I111&lt;K$3,VLOOKUP($H111,Depreciation!$A$6:$L$10,8,FALSE),0))</f>
        <v>0</v>
      </c>
      <c r="L111" s="361">
        <f>+IF($I111=L$3,VLOOKUP($H111,Depreciation!$A$6:$L$10,9,FALSE)/2,IF($I111&lt;L$3,VLOOKUP($H111,Depreciation!$A$6:$L$10,9,FALSE),0))</f>
        <v>1.5338181838063448E-2</v>
      </c>
      <c r="M111" s="361">
        <f>+IF($I111=M$3,VLOOKUP($H111,Depreciation!$A$6:$L$10,10,FALSE)/2,IF($I111&lt;M$3,VLOOKUP($H111,Depreciation!$A$6:$L$10,10,FALSE),0))</f>
        <v>3.0676363676126896E-2</v>
      </c>
      <c r="N111" s="361">
        <f>+IF($I111=N$3,VLOOKUP($H111,Depreciation!$A$6:$L$10,11,FALSE)/2,IF($I111&lt;N$3,VLOOKUP($H111,Depreciation!$A$6:$L$10,11,FALSE),0))</f>
        <v>3.0676363676126896E-2</v>
      </c>
      <c r="O111" s="361">
        <f>+IF($I111=O$3,VLOOKUP($H111,Depreciation!$A$6:$L$10,12,FALSE)/2,IF($I111&lt;O$3,VLOOKUP($H111,Depreciation!$A$6:$L$10,12,FALSE),0))</f>
        <v>3.0676363676126896E-2</v>
      </c>
      <c r="P111" s="362">
        <f t="shared" si="5"/>
        <v>0</v>
      </c>
      <c r="Q111" s="362">
        <f t="shared" si="6"/>
        <v>0</v>
      </c>
      <c r="R111" s="363">
        <f t="shared" si="7"/>
        <v>0</v>
      </c>
      <c r="Y111" s="365"/>
    </row>
    <row r="112" spans="1:25" ht="15" customHeight="1">
      <c r="A112" s="359" t="str">
        <f>'Func Future Lines 2015'!A112</f>
        <v>PPS</v>
      </c>
      <c r="B112" s="359" t="str">
        <f>'Func Future Lines 2015'!B112</f>
        <v>739L</v>
      </c>
      <c r="C112" s="359">
        <f>'Func Future Lines 2015'!C112</f>
        <v>850</v>
      </c>
      <c r="D112" s="359">
        <f>'Func Future Lines 2015'!D112</f>
        <v>138</v>
      </c>
      <c r="E112" s="359">
        <f>'Func Future Lines 2015'!E112</f>
        <v>0</v>
      </c>
      <c r="F112" s="359" t="str">
        <f>'Func Future Lines 2015'!F112</f>
        <v>edmonton</v>
      </c>
      <c r="G112" s="359">
        <f>'Func Future Lines 2015'!G112</f>
        <v>318689.25924461719</v>
      </c>
      <c r="H112" s="359" t="str">
        <f>'Func Future Lines 2015'!H112</f>
        <v>AltaLink</v>
      </c>
      <c r="I112" s="359">
        <f>'Func Future Lines 2015'!I112</f>
        <v>2017</v>
      </c>
      <c r="J112" s="361">
        <f>+IF($I112=J$3,VLOOKUP($H112,Depreciation!$A$6:$L$10,7,FALSE)/2,IF($I112&lt;J$3,VLOOKUP($H112,Depreciation!$A$6:$L$10,7,FALSE),0))</f>
        <v>0</v>
      </c>
      <c r="K112" s="361">
        <f>+IF($I112=K$3,VLOOKUP($H112,Depreciation!$A$6:$L$10,8,FALSE)/2,IF($I112&lt;K$3,VLOOKUP($H112,Depreciation!$A$6:$L$10,8,FALSE),0))</f>
        <v>0</v>
      </c>
      <c r="L112" s="361">
        <f>+IF($I112=L$3,VLOOKUP($H112,Depreciation!$A$6:$L$10,9,FALSE)/2,IF($I112&lt;L$3,VLOOKUP($H112,Depreciation!$A$6:$L$10,9,FALSE),0))</f>
        <v>1.5338181838063448E-2</v>
      </c>
      <c r="M112" s="361">
        <f>+IF($I112=M$3,VLOOKUP($H112,Depreciation!$A$6:$L$10,10,FALSE)/2,IF($I112&lt;M$3,VLOOKUP($H112,Depreciation!$A$6:$L$10,10,FALSE),0))</f>
        <v>3.0676363676126896E-2</v>
      </c>
      <c r="N112" s="361">
        <f>+IF($I112=N$3,VLOOKUP($H112,Depreciation!$A$6:$L$10,11,FALSE)/2,IF($I112&lt;N$3,VLOOKUP($H112,Depreciation!$A$6:$L$10,11,FALSE),0))</f>
        <v>3.0676363676126896E-2</v>
      </c>
      <c r="O112" s="361">
        <f>+IF($I112=O$3,VLOOKUP($H112,Depreciation!$A$6:$L$10,12,FALSE)/2,IF($I112&lt;O$3,VLOOKUP($H112,Depreciation!$A$6:$L$10,12,FALSE),0))</f>
        <v>3.0676363676126896E-2</v>
      </c>
      <c r="P112" s="362">
        <f t="shared" si="5"/>
        <v>0</v>
      </c>
      <c r="Q112" s="362">
        <f t="shared" si="6"/>
        <v>0</v>
      </c>
      <c r="R112" s="363">
        <f t="shared" si="7"/>
        <v>0</v>
      </c>
      <c r="Y112" s="365"/>
    </row>
    <row r="113" spans="1:25" ht="15" customHeight="1">
      <c r="A113" s="359" t="str">
        <f>'Func Future Lines 2015'!A113</f>
        <v>PPS</v>
      </c>
      <c r="B113" s="359" t="str">
        <f>'Func Future Lines 2015'!B113</f>
        <v>780L/174L</v>
      </c>
      <c r="C113" s="359">
        <f>'Func Future Lines 2015'!C113</f>
        <v>850</v>
      </c>
      <c r="D113" s="359">
        <f>'Func Future Lines 2015'!D113</f>
        <v>138</v>
      </c>
      <c r="E113" s="359">
        <f>'Func Future Lines 2015'!E113</f>
        <v>0</v>
      </c>
      <c r="F113" s="359" t="str">
        <f>'Func Future Lines 2015'!F113</f>
        <v>edmonton</v>
      </c>
      <c r="G113" s="359">
        <f>'Func Future Lines 2015'!G113</f>
        <v>61607075.013380922</v>
      </c>
      <c r="H113" s="359" t="str">
        <f>'Func Future Lines 2015'!H113</f>
        <v>AltaLink</v>
      </c>
      <c r="I113" s="359">
        <f>'Func Future Lines 2015'!I113</f>
        <v>2017</v>
      </c>
      <c r="J113" s="361">
        <f>+IF($I113=J$3,VLOOKUP($H113,Depreciation!$A$6:$L$10,7,FALSE)/2,IF($I113&lt;J$3,VLOOKUP($H113,Depreciation!$A$6:$L$10,7,FALSE),0))</f>
        <v>0</v>
      </c>
      <c r="K113" s="361">
        <f>+IF($I113=K$3,VLOOKUP($H113,Depreciation!$A$6:$L$10,8,FALSE)/2,IF($I113&lt;K$3,VLOOKUP($H113,Depreciation!$A$6:$L$10,8,FALSE),0))</f>
        <v>0</v>
      </c>
      <c r="L113" s="361">
        <f>+IF($I113=L$3,VLOOKUP($H113,Depreciation!$A$6:$L$10,9,FALSE)/2,IF($I113&lt;L$3,VLOOKUP($H113,Depreciation!$A$6:$L$10,9,FALSE),0))</f>
        <v>1.5338181838063448E-2</v>
      </c>
      <c r="M113" s="361">
        <f>+IF($I113=M$3,VLOOKUP($H113,Depreciation!$A$6:$L$10,10,FALSE)/2,IF($I113&lt;M$3,VLOOKUP($H113,Depreciation!$A$6:$L$10,10,FALSE),0))</f>
        <v>3.0676363676126896E-2</v>
      </c>
      <c r="N113" s="361">
        <f>+IF($I113=N$3,VLOOKUP($H113,Depreciation!$A$6:$L$10,11,FALSE)/2,IF($I113&lt;N$3,VLOOKUP($H113,Depreciation!$A$6:$L$10,11,FALSE),0))</f>
        <v>3.0676363676126896E-2</v>
      </c>
      <c r="O113" s="361">
        <f>+IF($I113=O$3,VLOOKUP($H113,Depreciation!$A$6:$L$10,12,FALSE)/2,IF($I113&lt;O$3,VLOOKUP($H113,Depreciation!$A$6:$L$10,12,FALSE),0))</f>
        <v>3.0676363676126896E-2</v>
      </c>
      <c r="P113" s="362">
        <f t="shared" si="5"/>
        <v>0</v>
      </c>
      <c r="Q113" s="362">
        <f t="shared" si="6"/>
        <v>0</v>
      </c>
      <c r="R113" s="363">
        <f t="shared" si="7"/>
        <v>0</v>
      </c>
      <c r="Y113" s="365"/>
    </row>
    <row r="114" spans="1:25" ht="15" customHeight="1">
      <c r="A114" s="359" t="str">
        <f>'Func Future Lines 2015'!A114</f>
        <v>PPS</v>
      </c>
      <c r="B114" s="359" t="str">
        <f>'Func Future Lines 2015'!B114</f>
        <v xml:space="preserve">780L/858L </v>
      </c>
      <c r="C114" s="359">
        <f>'Func Future Lines 2015'!C114</f>
        <v>850</v>
      </c>
      <c r="D114" s="359">
        <f>'Func Future Lines 2015'!D114</f>
        <v>138</v>
      </c>
      <c r="E114" s="359">
        <f>'Func Future Lines 2015'!E114</f>
        <v>0</v>
      </c>
      <c r="F114" s="359" t="str">
        <f>'Func Future Lines 2015'!F114</f>
        <v>edmonton</v>
      </c>
      <c r="G114" s="359">
        <f>'Func Future Lines 2015'!G114</f>
        <v>6668353.1939536864</v>
      </c>
      <c r="H114" s="359" t="str">
        <f>'Func Future Lines 2015'!H114</f>
        <v>AltaLink</v>
      </c>
      <c r="I114" s="359">
        <f>'Func Future Lines 2015'!I114</f>
        <v>2017</v>
      </c>
      <c r="J114" s="361">
        <f>+IF($I114=J$3,VLOOKUP($H114,Depreciation!$A$6:$L$10,7,FALSE)/2,IF($I114&lt;J$3,VLOOKUP($H114,Depreciation!$A$6:$L$10,7,FALSE),0))</f>
        <v>0</v>
      </c>
      <c r="K114" s="361">
        <f>+IF($I114=K$3,VLOOKUP($H114,Depreciation!$A$6:$L$10,8,FALSE)/2,IF($I114&lt;K$3,VLOOKUP($H114,Depreciation!$A$6:$L$10,8,FALSE),0))</f>
        <v>0</v>
      </c>
      <c r="L114" s="361">
        <f>+IF($I114=L$3,VLOOKUP($H114,Depreciation!$A$6:$L$10,9,FALSE)/2,IF($I114&lt;L$3,VLOOKUP($H114,Depreciation!$A$6:$L$10,9,FALSE),0))</f>
        <v>1.5338181838063448E-2</v>
      </c>
      <c r="M114" s="361">
        <f>+IF($I114=M$3,VLOOKUP($H114,Depreciation!$A$6:$L$10,10,FALSE)/2,IF($I114&lt;M$3,VLOOKUP($H114,Depreciation!$A$6:$L$10,10,FALSE),0))</f>
        <v>3.0676363676126896E-2</v>
      </c>
      <c r="N114" s="361">
        <f>+IF($I114=N$3,VLOOKUP($H114,Depreciation!$A$6:$L$10,11,FALSE)/2,IF($I114&lt;N$3,VLOOKUP($H114,Depreciation!$A$6:$L$10,11,FALSE),0))</f>
        <v>3.0676363676126896E-2</v>
      </c>
      <c r="O114" s="361">
        <f>+IF($I114=O$3,VLOOKUP($H114,Depreciation!$A$6:$L$10,12,FALSE)/2,IF($I114&lt;O$3,VLOOKUP($H114,Depreciation!$A$6:$L$10,12,FALSE),0))</f>
        <v>3.0676363676126896E-2</v>
      </c>
      <c r="P114" s="362">
        <f t="shared" si="5"/>
        <v>0</v>
      </c>
      <c r="Q114" s="362">
        <f t="shared" si="6"/>
        <v>0</v>
      </c>
      <c r="R114" s="363">
        <f t="shared" si="7"/>
        <v>0</v>
      </c>
      <c r="Y114" s="365"/>
    </row>
    <row r="115" spans="1:25" ht="15" customHeight="1">
      <c r="A115" s="359" t="str">
        <f>'Func Future Lines 2015'!A115</f>
        <v>PPS</v>
      </c>
      <c r="B115" s="359" t="str">
        <f>'Func Future Lines 2015'!B115</f>
        <v>790L/790AL</v>
      </c>
      <c r="C115" s="359">
        <f>'Func Future Lines 2015'!C115</f>
        <v>850</v>
      </c>
      <c r="D115" s="359">
        <f>'Func Future Lines 2015'!D115</f>
        <v>138</v>
      </c>
      <c r="E115" s="359">
        <f>'Func Future Lines 2015'!E115</f>
        <v>0</v>
      </c>
      <c r="F115" s="359" t="str">
        <f>'Func Future Lines 2015'!F115</f>
        <v>edmonton</v>
      </c>
      <c r="G115" s="359">
        <f>'Func Future Lines 2015'!G115</f>
        <v>139024.45893739656</v>
      </c>
      <c r="H115" s="359" t="str">
        <f>'Func Future Lines 2015'!H115</f>
        <v>AltaLink</v>
      </c>
      <c r="I115" s="359">
        <f>'Func Future Lines 2015'!I115</f>
        <v>2017</v>
      </c>
      <c r="J115" s="361">
        <f>+IF($I115=J$3,VLOOKUP($H115,Depreciation!$A$6:$L$10,7,FALSE)/2,IF($I115&lt;J$3,VLOOKUP($H115,Depreciation!$A$6:$L$10,7,FALSE),0))</f>
        <v>0</v>
      </c>
      <c r="K115" s="361">
        <f>+IF($I115=K$3,VLOOKUP($H115,Depreciation!$A$6:$L$10,8,FALSE)/2,IF($I115&lt;K$3,VLOOKUP($H115,Depreciation!$A$6:$L$10,8,FALSE),0))</f>
        <v>0</v>
      </c>
      <c r="L115" s="361">
        <f>+IF($I115=L$3,VLOOKUP($H115,Depreciation!$A$6:$L$10,9,FALSE)/2,IF($I115&lt;L$3,VLOOKUP($H115,Depreciation!$A$6:$L$10,9,FALSE),0))</f>
        <v>1.5338181838063448E-2</v>
      </c>
      <c r="M115" s="361">
        <f>+IF($I115=M$3,VLOOKUP($H115,Depreciation!$A$6:$L$10,10,FALSE)/2,IF($I115&lt;M$3,VLOOKUP($H115,Depreciation!$A$6:$L$10,10,FALSE),0))</f>
        <v>3.0676363676126896E-2</v>
      </c>
      <c r="N115" s="361">
        <f>+IF($I115=N$3,VLOOKUP($H115,Depreciation!$A$6:$L$10,11,FALSE)/2,IF($I115&lt;N$3,VLOOKUP($H115,Depreciation!$A$6:$L$10,11,FALSE),0))</f>
        <v>3.0676363676126896E-2</v>
      </c>
      <c r="O115" s="361">
        <f>+IF($I115=O$3,VLOOKUP($H115,Depreciation!$A$6:$L$10,12,FALSE)/2,IF($I115&lt;O$3,VLOOKUP($H115,Depreciation!$A$6:$L$10,12,FALSE),0))</f>
        <v>3.0676363676126896E-2</v>
      </c>
      <c r="P115" s="362">
        <f t="shared" si="5"/>
        <v>0</v>
      </c>
      <c r="Q115" s="362">
        <f t="shared" si="6"/>
        <v>0</v>
      </c>
      <c r="R115" s="363">
        <f t="shared" si="7"/>
        <v>0</v>
      </c>
      <c r="Y115" s="365"/>
    </row>
    <row r="116" spans="1:25" ht="15" customHeight="1">
      <c r="A116" s="359" t="str">
        <f>'Func Future Lines 2015'!A116</f>
        <v>PPS</v>
      </c>
      <c r="B116" s="359" t="str">
        <f>'Func Future Lines 2015'!B116</f>
        <v>874L</v>
      </c>
      <c r="C116" s="359">
        <f>'Func Future Lines 2015'!C116</f>
        <v>850</v>
      </c>
      <c r="D116" s="359">
        <f>'Func Future Lines 2015'!D116</f>
        <v>138</v>
      </c>
      <c r="E116" s="359">
        <f>'Func Future Lines 2015'!E116</f>
        <v>0</v>
      </c>
      <c r="F116" s="359" t="str">
        <f>'Func Future Lines 2015'!F116</f>
        <v>edmonton</v>
      </c>
      <c r="G116" s="359">
        <f>'Func Future Lines 2015'!G116</f>
        <v>187987.90275759264</v>
      </c>
      <c r="H116" s="359" t="str">
        <f>'Func Future Lines 2015'!H116</f>
        <v>AltaLink</v>
      </c>
      <c r="I116" s="359">
        <f>'Func Future Lines 2015'!I116</f>
        <v>2017</v>
      </c>
      <c r="J116" s="361">
        <f>+IF($I116=J$3,VLOOKUP($H116,Depreciation!$A$6:$L$10,7,FALSE)/2,IF($I116&lt;J$3,VLOOKUP($H116,Depreciation!$A$6:$L$10,7,FALSE),0))</f>
        <v>0</v>
      </c>
      <c r="K116" s="361">
        <f>+IF($I116=K$3,VLOOKUP($H116,Depreciation!$A$6:$L$10,8,FALSE)/2,IF($I116&lt;K$3,VLOOKUP($H116,Depreciation!$A$6:$L$10,8,FALSE),0))</f>
        <v>0</v>
      </c>
      <c r="L116" s="361">
        <f>+IF($I116=L$3,VLOOKUP($H116,Depreciation!$A$6:$L$10,9,FALSE)/2,IF($I116&lt;L$3,VLOOKUP($H116,Depreciation!$A$6:$L$10,9,FALSE),0))</f>
        <v>1.5338181838063448E-2</v>
      </c>
      <c r="M116" s="361">
        <f>+IF($I116=M$3,VLOOKUP($H116,Depreciation!$A$6:$L$10,10,FALSE)/2,IF($I116&lt;M$3,VLOOKUP($H116,Depreciation!$A$6:$L$10,10,FALSE),0))</f>
        <v>3.0676363676126896E-2</v>
      </c>
      <c r="N116" s="361">
        <f>+IF($I116=N$3,VLOOKUP($H116,Depreciation!$A$6:$L$10,11,FALSE)/2,IF($I116&lt;N$3,VLOOKUP($H116,Depreciation!$A$6:$L$10,11,FALSE),0))</f>
        <v>3.0676363676126896E-2</v>
      </c>
      <c r="O116" s="361">
        <f>+IF($I116=O$3,VLOOKUP($H116,Depreciation!$A$6:$L$10,12,FALSE)/2,IF($I116&lt;O$3,VLOOKUP($H116,Depreciation!$A$6:$L$10,12,FALSE),0))</f>
        <v>3.0676363676126896E-2</v>
      </c>
      <c r="P116" s="362">
        <f t="shared" si="5"/>
        <v>0</v>
      </c>
      <c r="Q116" s="362">
        <f t="shared" si="6"/>
        <v>0</v>
      </c>
      <c r="R116" s="363">
        <f t="shared" si="7"/>
        <v>0</v>
      </c>
      <c r="Y116" s="365"/>
    </row>
    <row r="117" spans="1:25" ht="15" customHeight="1">
      <c r="A117" s="359" t="str">
        <f>'Func Future Lines 2015'!A117</f>
        <v>PPS</v>
      </c>
      <c r="B117" s="359" t="str">
        <f>'Func Future Lines 2015'!B117</f>
        <v>910L/914L</v>
      </c>
      <c r="C117" s="359">
        <f>'Func Future Lines 2015'!C117</f>
        <v>850</v>
      </c>
      <c r="D117" s="359">
        <f>'Func Future Lines 2015'!D117</f>
        <v>240</v>
      </c>
      <c r="E117" s="359">
        <f>'Func Future Lines 2015'!E117</f>
        <v>0</v>
      </c>
      <c r="F117" s="359" t="str">
        <f>'Func Future Lines 2015'!F117</f>
        <v>edmonton</v>
      </c>
      <c r="G117" s="359">
        <f>'Func Future Lines 2015'!G117</f>
        <v>14418523.778933475</v>
      </c>
      <c r="H117" s="359" t="str">
        <f>'Func Future Lines 2015'!H117</f>
        <v>AltaLink</v>
      </c>
      <c r="I117" s="359">
        <f>'Func Future Lines 2015'!I117</f>
        <v>2017</v>
      </c>
      <c r="J117" s="361">
        <f>+IF($I117=J$3,VLOOKUP($H117,Depreciation!$A$6:$L$10,7,FALSE)/2,IF($I117&lt;J$3,VLOOKUP($H117,Depreciation!$A$6:$L$10,7,FALSE),0))</f>
        <v>0</v>
      </c>
      <c r="K117" s="361">
        <f>+IF($I117=K$3,VLOOKUP($H117,Depreciation!$A$6:$L$10,8,FALSE)/2,IF($I117&lt;K$3,VLOOKUP($H117,Depreciation!$A$6:$L$10,8,FALSE),0))</f>
        <v>0</v>
      </c>
      <c r="L117" s="361">
        <f>+IF($I117=L$3,VLOOKUP($H117,Depreciation!$A$6:$L$10,9,FALSE)/2,IF($I117&lt;L$3,VLOOKUP($H117,Depreciation!$A$6:$L$10,9,FALSE),0))</f>
        <v>1.5338181838063448E-2</v>
      </c>
      <c r="M117" s="361">
        <f>+IF($I117=M$3,VLOOKUP($H117,Depreciation!$A$6:$L$10,10,FALSE)/2,IF($I117&lt;M$3,VLOOKUP($H117,Depreciation!$A$6:$L$10,10,FALSE),0))</f>
        <v>3.0676363676126896E-2</v>
      </c>
      <c r="N117" s="361">
        <f>+IF($I117=N$3,VLOOKUP($H117,Depreciation!$A$6:$L$10,11,FALSE)/2,IF($I117&lt;N$3,VLOOKUP($H117,Depreciation!$A$6:$L$10,11,FALSE),0))</f>
        <v>3.0676363676126896E-2</v>
      </c>
      <c r="O117" s="361">
        <f>+IF($I117=O$3,VLOOKUP($H117,Depreciation!$A$6:$L$10,12,FALSE)/2,IF($I117&lt;O$3,VLOOKUP($H117,Depreciation!$A$6:$L$10,12,FALSE),0))</f>
        <v>3.0676363676126896E-2</v>
      </c>
      <c r="P117" s="362">
        <f t="shared" si="5"/>
        <v>0</v>
      </c>
      <c r="Q117" s="362">
        <f t="shared" si="6"/>
        <v>0</v>
      </c>
      <c r="R117" s="363">
        <f t="shared" si="7"/>
        <v>0</v>
      </c>
      <c r="Y117" s="365"/>
    </row>
    <row r="118" spans="1:25" ht="15" customHeight="1">
      <c r="A118" s="359" t="str">
        <f>'Func Future Lines 2015'!A118</f>
        <v>PPS</v>
      </c>
      <c r="B118" s="359" t="str">
        <f>'Func Future Lines 2015'!B118</f>
        <v>2.83L</v>
      </c>
      <c r="C118" s="359">
        <f>'Func Future Lines 2015'!C118</f>
        <v>859</v>
      </c>
      <c r="D118" s="359">
        <f>'Func Future Lines 2015'!D118</f>
        <v>144</v>
      </c>
      <c r="E118" s="359">
        <f>'Func Future Lines 2015'!E118</f>
        <v>0</v>
      </c>
      <c r="F118" s="359">
        <f>'Func Future Lines 2015'!F118</f>
        <v>0</v>
      </c>
      <c r="G118" s="359">
        <f>'Func Future Lines 2015'!G118</f>
        <v>277558.40845329966</v>
      </c>
      <c r="H118" s="359" t="str">
        <f>'Func Future Lines 2015'!H118</f>
        <v>ENMAX</v>
      </c>
      <c r="I118" s="359">
        <f>'Func Future Lines 2015'!I118</f>
        <v>2015</v>
      </c>
      <c r="J118" s="361">
        <f>+IF($I118=J$3,VLOOKUP($H118,Depreciation!$A$6:$L$10,7,FALSE)/2,IF($I118&lt;J$3,VLOOKUP($H118,Depreciation!$A$6:$L$10,7,FALSE),0))</f>
        <v>1.3475179084025525E-2</v>
      </c>
      <c r="K118" s="361">
        <f>+IF($I118=K$3,VLOOKUP($H118,Depreciation!$A$6:$L$10,8,FALSE)/2,IF($I118&lt;K$3,VLOOKUP($H118,Depreciation!$A$6:$L$10,8,FALSE),0))</f>
        <v>2.6950358168051049E-2</v>
      </c>
      <c r="L118" s="361">
        <f>+IF($I118=L$3,VLOOKUP($H118,Depreciation!$A$6:$L$10,9,FALSE)/2,IF($I118&lt;L$3,VLOOKUP($H118,Depreciation!$A$6:$L$10,9,FALSE),0))</f>
        <v>2.6950358168051049E-2</v>
      </c>
      <c r="M118" s="361">
        <f>+IF($I118=M$3,VLOOKUP($H118,Depreciation!$A$6:$L$10,10,FALSE)/2,IF($I118&lt;M$3,VLOOKUP($H118,Depreciation!$A$6:$L$10,10,FALSE),0))</f>
        <v>2.6950358168051049E-2</v>
      </c>
      <c r="N118" s="361">
        <f>+IF($I118=N$3,VLOOKUP($H118,Depreciation!$A$6:$L$10,11,FALSE)/2,IF($I118&lt;N$3,VLOOKUP($H118,Depreciation!$A$6:$L$10,11,FALSE),0))</f>
        <v>2.6950358168051049E-2</v>
      </c>
      <c r="O118" s="361">
        <f>+IF($I118=O$3,VLOOKUP($H118,Depreciation!$A$6:$L$10,12,FALSE)/2,IF($I118&lt;O$3,VLOOKUP($H118,Depreciation!$A$6:$L$10,12,FALSE),0))</f>
        <v>2.6950358168051049E-2</v>
      </c>
      <c r="P118" s="362">
        <f t="shared" si="5"/>
        <v>266438.75903490768</v>
      </c>
      <c r="Q118" s="362">
        <f t="shared" si="6"/>
        <v>0</v>
      </c>
      <c r="R118" s="363">
        <f t="shared" si="7"/>
        <v>266438.75903490768</v>
      </c>
      <c r="Y118" s="365"/>
    </row>
    <row r="119" spans="1:25" ht="15" customHeight="1">
      <c r="A119" s="359" t="str">
        <f>'Func Future Lines 2015'!A119</f>
        <v>PPS</v>
      </c>
      <c r="B119" s="359" t="str">
        <f>'Func Future Lines 2015'!B119</f>
        <v>1037L/1038L</v>
      </c>
      <c r="C119" s="359">
        <f>'Func Future Lines 2015'!C119</f>
        <v>882</v>
      </c>
      <c r="D119" s="359">
        <f>'Func Future Lines 2015'!D119</f>
        <v>240</v>
      </c>
      <c r="E119" s="359">
        <f>'Func Future Lines 2015'!E119</f>
        <v>0</v>
      </c>
      <c r="F119" s="359">
        <f>'Func Future Lines 2015'!F119</f>
        <v>0</v>
      </c>
      <c r="G119" s="359">
        <f>'Func Future Lines 2015'!G119</f>
        <v>175713694.57219195</v>
      </c>
      <c r="H119" s="359" t="str">
        <f>'Func Future Lines 2015'!H119</f>
        <v>AltaLink</v>
      </c>
      <c r="I119" s="359">
        <f>'Func Future Lines 2015'!I119</f>
        <v>2015</v>
      </c>
      <c r="J119" s="361">
        <f>+IF($I119=J$3,VLOOKUP($H119,Depreciation!$A$6:$L$10,7,FALSE)/2,IF($I119&lt;J$3,VLOOKUP($H119,Depreciation!$A$6:$L$10,7,FALSE),0))</f>
        <v>1.595020804044691E-2</v>
      </c>
      <c r="K119" s="361">
        <f>+IF($I119=K$3,VLOOKUP($H119,Depreciation!$A$6:$L$10,8,FALSE)/2,IF($I119&lt;K$3,VLOOKUP($H119,Depreciation!$A$6:$L$10,8,FALSE),0))</f>
        <v>3.0676363676126896E-2</v>
      </c>
      <c r="L119" s="361">
        <f>+IF($I119=L$3,VLOOKUP($H119,Depreciation!$A$6:$L$10,9,FALSE)/2,IF($I119&lt;L$3,VLOOKUP($H119,Depreciation!$A$6:$L$10,9,FALSE),0))</f>
        <v>3.0676363676126896E-2</v>
      </c>
      <c r="M119" s="361">
        <f>+IF($I119=M$3,VLOOKUP($H119,Depreciation!$A$6:$L$10,10,FALSE)/2,IF($I119&lt;M$3,VLOOKUP($H119,Depreciation!$A$6:$L$10,10,FALSE),0))</f>
        <v>3.0676363676126896E-2</v>
      </c>
      <c r="N119" s="361">
        <f>+IF($I119=N$3,VLOOKUP($H119,Depreciation!$A$6:$L$10,11,FALSE)/2,IF($I119&lt;N$3,VLOOKUP($H119,Depreciation!$A$6:$L$10,11,FALSE),0))</f>
        <v>3.0676363676126896E-2</v>
      </c>
      <c r="O119" s="361">
        <f>+IF($I119=O$3,VLOOKUP($H119,Depreciation!$A$6:$L$10,12,FALSE)/2,IF($I119&lt;O$3,VLOOKUP($H119,Depreciation!$A$6:$L$10,12,FALSE),0))</f>
        <v>3.0676363676126896E-2</v>
      </c>
      <c r="P119" s="362">
        <f t="shared" si="5"/>
        <v>167606743.11433029</v>
      </c>
      <c r="Q119" s="362">
        <f t="shared" si="6"/>
        <v>167606743.11433029</v>
      </c>
      <c r="R119" s="363">
        <f t="shared" si="7"/>
        <v>0</v>
      </c>
      <c r="Y119" s="365"/>
    </row>
    <row r="120" spans="1:25" ht="15" customHeight="1">
      <c r="A120" s="359" t="str">
        <f>'Func Future Lines 2015'!A120</f>
        <v>PPS</v>
      </c>
      <c r="B120" s="359" t="str">
        <f>'Func Future Lines 2015'!B120</f>
        <v>1037L/1038L</v>
      </c>
      <c r="C120" s="359">
        <f>'Func Future Lines 2015'!C120</f>
        <v>882</v>
      </c>
      <c r="D120" s="359">
        <f>'Func Future Lines 2015'!D120</f>
        <v>240</v>
      </c>
      <c r="E120" s="359">
        <f>'Func Future Lines 2015'!E120</f>
        <v>0</v>
      </c>
      <c r="F120" s="359">
        <f>'Func Future Lines 2015'!F120</f>
        <v>0</v>
      </c>
      <c r="G120" s="359">
        <f>'Func Future Lines 2015'!G120</f>
        <v>175713694.57219195</v>
      </c>
      <c r="H120" s="359" t="str">
        <f>'Func Future Lines 2015'!H120</f>
        <v>AltaLink</v>
      </c>
      <c r="I120" s="359">
        <f>'Func Future Lines 2015'!I120</f>
        <v>2015</v>
      </c>
      <c r="J120" s="361">
        <f>+IF($I120=J$3,VLOOKUP($H120,Depreciation!$A$6:$L$10,7,FALSE)/2,IF($I120&lt;J$3,VLOOKUP($H120,Depreciation!$A$6:$L$10,7,FALSE),0))</f>
        <v>1.595020804044691E-2</v>
      </c>
      <c r="K120" s="361">
        <f>+IF($I120=K$3,VLOOKUP($H120,Depreciation!$A$6:$L$10,8,FALSE)/2,IF($I120&lt;K$3,VLOOKUP($H120,Depreciation!$A$6:$L$10,8,FALSE),0))</f>
        <v>3.0676363676126896E-2</v>
      </c>
      <c r="L120" s="361">
        <f>+IF($I120=L$3,VLOOKUP($H120,Depreciation!$A$6:$L$10,9,FALSE)/2,IF($I120&lt;L$3,VLOOKUP($H120,Depreciation!$A$6:$L$10,9,FALSE),0))</f>
        <v>3.0676363676126896E-2</v>
      </c>
      <c r="M120" s="361">
        <f>+IF($I120=M$3,VLOOKUP($H120,Depreciation!$A$6:$L$10,10,FALSE)/2,IF($I120&lt;M$3,VLOOKUP($H120,Depreciation!$A$6:$L$10,10,FALSE),0))</f>
        <v>3.0676363676126896E-2</v>
      </c>
      <c r="N120" s="361">
        <f>+IF($I120=N$3,VLOOKUP($H120,Depreciation!$A$6:$L$10,11,FALSE)/2,IF($I120&lt;N$3,VLOOKUP($H120,Depreciation!$A$6:$L$10,11,FALSE),0))</f>
        <v>3.0676363676126896E-2</v>
      </c>
      <c r="O120" s="361">
        <f>+IF($I120=O$3,VLOOKUP($H120,Depreciation!$A$6:$L$10,12,FALSE)/2,IF($I120&lt;O$3,VLOOKUP($H120,Depreciation!$A$6:$L$10,12,FALSE),0))</f>
        <v>3.0676363676126896E-2</v>
      </c>
      <c r="P120" s="362">
        <f t="shared" si="5"/>
        <v>167606743.11433029</v>
      </c>
      <c r="Q120" s="362">
        <f t="shared" si="6"/>
        <v>167606743.11433029</v>
      </c>
      <c r="R120" s="363">
        <f t="shared" si="7"/>
        <v>0</v>
      </c>
      <c r="Y120" s="365"/>
    </row>
    <row r="121" spans="1:25" ht="15" customHeight="1">
      <c r="A121" s="359" t="str">
        <f>'Func Future Lines 2015'!A121</f>
        <v>PPS</v>
      </c>
      <c r="B121" s="359" t="str">
        <f>'Func Future Lines 2015'!B121</f>
        <v>1048L/1049L</v>
      </c>
      <c r="C121" s="359">
        <f>'Func Future Lines 2015'!C121</f>
        <v>882</v>
      </c>
      <c r="D121" s="359">
        <f>'Func Future Lines 2015'!D121</f>
        <v>240</v>
      </c>
      <c r="E121" s="359">
        <f>'Func Future Lines 2015'!E121</f>
        <v>0</v>
      </c>
      <c r="F121" s="359">
        <f>'Func Future Lines 2015'!F121</f>
        <v>0</v>
      </c>
      <c r="G121" s="359">
        <f>'Func Future Lines 2015'!G121</f>
        <v>1408640.4351352858</v>
      </c>
      <c r="H121" s="359" t="str">
        <f>'Func Future Lines 2015'!H121</f>
        <v>AltaLink</v>
      </c>
      <c r="I121" s="359">
        <f>'Func Future Lines 2015'!I121</f>
        <v>2015</v>
      </c>
      <c r="J121" s="361">
        <f>+IF($I121=J$3,VLOOKUP($H121,Depreciation!$A$6:$L$10,7,FALSE)/2,IF($I121&lt;J$3,VLOOKUP($H121,Depreciation!$A$6:$L$10,7,FALSE),0))</f>
        <v>1.595020804044691E-2</v>
      </c>
      <c r="K121" s="361">
        <f>+IF($I121=K$3,VLOOKUP($H121,Depreciation!$A$6:$L$10,8,FALSE)/2,IF($I121&lt;K$3,VLOOKUP($H121,Depreciation!$A$6:$L$10,8,FALSE),0))</f>
        <v>3.0676363676126896E-2</v>
      </c>
      <c r="L121" s="361">
        <f>+IF($I121=L$3,VLOOKUP($H121,Depreciation!$A$6:$L$10,9,FALSE)/2,IF($I121&lt;L$3,VLOOKUP($H121,Depreciation!$A$6:$L$10,9,FALSE),0))</f>
        <v>3.0676363676126896E-2</v>
      </c>
      <c r="M121" s="361">
        <f>+IF($I121=M$3,VLOOKUP($H121,Depreciation!$A$6:$L$10,10,FALSE)/2,IF($I121&lt;M$3,VLOOKUP($H121,Depreciation!$A$6:$L$10,10,FALSE),0))</f>
        <v>3.0676363676126896E-2</v>
      </c>
      <c r="N121" s="361">
        <f>+IF($I121=N$3,VLOOKUP($H121,Depreciation!$A$6:$L$10,11,FALSE)/2,IF($I121&lt;N$3,VLOOKUP($H121,Depreciation!$A$6:$L$10,11,FALSE),0))</f>
        <v>3.0676363676126896E-2</v>
      </c>
      <c r="O121" s="361">
        <f>+IF($I121=O$3,VLOOKUP($H121,Depreciation!$A$6:$L$10,12,FALSE)/2,IF($I121&lt;O$3,VLOOKUP($H121,Depreciation!$A$6:$L$10,12,FALSE),0))</f>
        <v>3.0676363676126896E-2</v>
      </c>
      <c r="P121" s="362">
        <f t="shared" si="5"/>
        <v>1343649.6007155413</v>
      </c>
      <c r="Q121" s="362">
        <f t="shared" si="6"/>
        <v>1343649.6007155413</v>
      </c>
      <c r="R121" s="363">
        <f t="shared" si="7"/>
        <v>0</v>
      </c>
      <c r="Y121" s="365"/>
    </row>
    <row r="122" spans="1:25" ht="15" customHeight="1">
      <c r="A122" s="359" t="str">
        <f>'Func Future Lines 2015'!A122</f>
        <v>PPS</v>
      </c>
      <c r="B122" s="359" t="str">
        <f>'Func Future Lines 2015'!B122</f>
        <v>1048L/1049L</v>
      </c>
      <c r="C122" s="359">
        <f>'Func Future Lines 2015'!C122</f>
        <v>882</v>
      </c>
      <c r="D122" s="359">
        <f>'Func Future Lines 2015'!D122</f>
        <v>240</v>
      </c>
      <c r="E122" s="359">
        <f>'Func Future Lines 2015'!E122</f>
        <v>0</v>
      </c>
      <c r="F122" s="359">
        <f>'Func Future Lines 2015'!F122</f>
        <v>0</v>
      </c>
      <c r="G122" s="359">
        <f>'Func Future Lines 2015'!G122</f>
        <v>1408640.4351352858</v>
      </c>
      <c r="H122" s="359" t="str">
        <f>'Func Future Lines 2015'!H122</f>
        <v>AltaLink</v>
      </c>
      <c r="I122" s="359">
        <f>'Func Future Lines 2015'!I122</f>
        <v>2015</v>
      </c>
      <c r="J122" s="361">
        <f>+IF($I122=J$3,VLOOKUP($H122,Depreciation!$A$6:$L$10,7,FALSE)/2,IF($I122&lt;J$3,VLOOKUP($H122,Depreciation!$A$6:$L$10,7,FALSE),0))</f>
        <v>1.595020804044691E-2</v>
      </c>
      <c r="K122" s="361">
        <f>+IF($I122=K$3,VLOOKUP($H122,Depreciation!$A$6:$L$10,8,FALSE)/2,IF($I122&lt;K$3,VLOOKUP($H122,Depreciation!$A$6:$L$10,8,FALSE),0))</f>
        <v>3.0676363676126896E-2</v>
      </c>
      <c r="L122" s="361">
        <f>+IF($I122=L$3,VLOOKUP($H122,Depreciation!$A$6:$L$10,9,FALSE)/2,IF($I122&lt;L$3,VLOOKUP($H122,Depreciation!$A$6:$L$10,9,FALSE),0))</f>
        <v>3.0676363676126896E-2</v>
      </c>
      <c r="M122" s="361">
        <f>+IF($I122=M$3,VLOOKUP($H122,Depreciation!$A$6:$L$10,10,FALSE)/2,IF($I122&lt;M$3,VLOOKUP($H122,Depreciation!$A$6:$L$10,10,FALSE),0))</f>
        <v>3.0676363676126896E-2</v>
      </c>
      <c r="N122" s="361">
        <f>+IF($I122=N$3,VLOOKUP($H122,Depreciation!$A$6:$L$10,11,FALSE)/2,IF($I122&lt;N$3,VLOOKUP($H122,Depreciation!$A$6:$L$10,11,FALSE),0))</f>
        <v>3.0676363676126896E-2</v>
      </c>
      <c r="O122" s="361">
        <f>+IF($I122=O$3,VLOOKUP($H122,Depreciation!$A$6:$L$10,12,FALSE)/2,IF($I122&lt;O$3,VLOOKUP($H122,Depreciation!$A$6:$L$10,12,FALSE),0))</f>
        <v>3.0676363676126896E-2</v>
      </c>
      <c r="P122" s="362">
        <f t="shared" si="5"/>
        <v>1343649.6007155413</v>
      </c>
      <c r="Q122" s="362">
        <f t="shared" si="6"/>
        <v>1343649.6007155413</v>
      </c>
      <c r="R122" s="363">
        <f t="shared" si="7"/>
        <v>0</v>
      </c>
      <c r="Y122" s="365"/>
    </row>
    <row r="123" spans="1:25" ht="15" customHeight="1">
      <c r="A123" s="359" t="str">
        <f>'Func Future Lines 2015'!A123</f>
        <v>PPS</v>
      </c>
      <c r="B123" s="359" t="str">
        <f>'Func Future Lines 2015'!B123</f>
        <v>603L to Windy Flats 138S</v>
      </c>
      <c r="C123" s="359">
        <f>'Func Future Lines 2015'!C123</f>
        <v>882</v>
      </c>
      <c r="D123" s="359">
        <f>'Func Future Lines 2015'!D123</f>
        <v>138</v>
      </c>
      <c r="E123" s="359">
        <f>'Func Future Lines 2015'!E123</f>
        <v>0</v>
      </c>
      <c r="F123" s="359">
        <f>'Func Future Lines 2015'!F123</f>
        <v>0</v>
      </c>
      <c r="G123" s="359">
        <f>'Func Future Lines 2015'!G123</f>
        <v>408645.45604728005</v>
      </c>
      <c r="H123" s="359" t="str">
        <f>'Func Future Lines 2015'!H123</f>
        <v>AltaLink</v>
      </c>
      <c r="I123" s="359">
        <f>'Func Future Lines 2015'!I123</f>
        <v>2015</v>
      </c>
      <c r="J123" s="361">
        <f>+IF($I123=J$3,VLOOKUP($H123,Depreciation!$A$6:$L$10,7,FALSE)/2,IF($I123&lt;J$3,VLOOKUP($H123,Depreciation!$A$6:$L$10,7,FALSE),0))</f>
        <v>1.595020804044691E-2</v>
      </c>
      <c r="K123" s="361">
        <f>+IF($I123=K$3,VLOOKUP($H123,Depreciation!$A$6:$L$10,8,FALSE)/2,IF($I123&lt;K$3,VLOOKUP($H123,Depreciation!$A$6:$L$10,8,FALSE),0))</f>
        <v>3.0676363676126896E-2</v>
      </c>
      <c r="L123" s="361">
        <f>+IF($I123=L$3,VLOOKUP($H123,Depreciation!$A$6:$L$10,9,FALSE)/2,IF($I123&lt;L$3,VLOOKUP($H123,Depreciation!$A$6:$L$10,9,FALSE),0))</f>
        <v>3.0676363676126896E-2</v>
      </c>
      <c r="M123" s="361">
        <f>+IF($I123=M$3,VLOOKUP($H123,Depreciation!$A$6:$L$10,10,FALSE)/2,IF($I123&lt;M$3,VLOOKUP($H123,Depreciation!$A$6:$L$10,10,FALSE),0))</f>
        <v>3.0676363676126896E-2</v>
      </c>
      <c r="N123" s="361">
        <f>+IF($I123=N$3,VLOOKUP($H123,Depreciation!$A$6:$L$10,11,FALSE)/2,IF($I123&lt;N$3,VLOOKUP($H123,Depreciation!$A$6:$L$10,11,FALSE),0))</f>
        <v>3.0676363676126896E-2</v>
      </c>
      <c r="O123" s="361">
        <f>+IF($I123=O$3,VLOOKUP($H123,Depreciation!$A$6:$L$10,12,FALSE)/2,IF($I123&lt;O$3,VLOOKUP($H123,Depreciation!$A$6:$L$10,12,FALSE),0))</f>
        <v>3.0676363676126896E-2</v>
      </c>
      <c r="P123" s="362">
        <f t="shared" si="5"/>
        <v>389791.66731034161</v>
      </c>
      <c r="Q123" s="362">
        <f t="shared" si="6"/>
        <v>0</v>
      </c>
      <c r="R123" s="363">
        <f t="shared" si="7"/>
        <v>389791.66731034161</v>
      </c>
      <c r="Y123" s="365"/>
    </row>
    <row r="124" spans="1:25" ht="15" customHeight="1">
      <c r="A124" s="359" t="str">
        <f>'Func Future Lines 2015'!A124</f>
        <v>PPS</v>
      </c>
      <c r="B124" s="359" t="str">
        <f>'Func Future Lines 2015'!B124</f>
        <v xml:space="preserve">608L - 138kV both s/c and d/c </v>
      </c>
      <c r="C124" s="359">
        <f>'Func Future Lines 2015'!C124</f>
        <v>882</v>
      </c>
      <c r="D124" s="359">
        <f>'Func Future Lines 2015'!D124</f>
        <v>138</v>
      </c>
      <c r="E124" s="359">
        <f>'Func Future Lines 2015'!E124</f>
        <v>0</v>
      </c>
      <c r="F124" s="359">
        <f>'Func Future Lines 2015'!F124</f>
        <v>0</v>
      </c>
      <c r="G124" s="359">
        <f>'Func Future Lines 2015'!G124</f>
        <v>6799479.65835247</v>
      </c>
      <c r="H124" s="359" t="str">
        <f>'Func Future Lines 2015'!H124</f>
        <v>AltaLink</v>
      </c>
      <c r="I124" s="359">
        <f>'Func Future Lines 2015'!I124</f>
        <v>2015</v>
      </c>
      <c r="J124" s="361">
        <f>+IF($I124=J$3,VLOOKUP($H124,Depreciation!$A$6:$L$10,7,FALSE)/2,IF($I124&lt;J$3,VLOOKUP($H124,Depreciation!$A$6:$L$10,7,FALSE),0))</f>
        <v>1.595020804044691E-2</v>
      </c>
      <c r="K124" s="361">
        <f>+IF($I124=K$3,VLOOKUP($H124,Depreciation!$A$6:$L$10,8,FALSE)/2,IF($I124&lt;K$3,VLOOKUP($H124,Depreciation!$A$6:$L$10,8,FALSE),0))</f>
        <v>3.0676363676126896E-2</v>
      </c>
      <c r="L124" s="361">
        <f>+IF($I124=L$3,VLOOKUP($H124,Depreciation!$A$6:$L$10,9,FALSE)/2,IF($I124&lt;L$3,VLOOKUP($H124,Depreciation!$A$6:$L$10,9,FALSE),0))</f>
        <v>3.0676363676126896E-2</v>
      </c>
      <c r="M124" s="361">
        <f>+IF($I124=M$3,VLOOKUP($H124,Depreciation!$A$6:$L$10,10,FALSE)/2,IF($I124&lt;M$3,VLOOKUP($H124,Depreciation!$A$6:$L$10,10,FALSE),0))</f>
        <v>3.0676363676126896E-2</v>
      </c>
      <c r="N124" s="361">
        <f>+IF($I124=N$3,VLOOKUP($H124,Depreciation!$A$6:$L$10,11,FALSE)/2,IF($I124&lt;N$3,VLOOKUP($H124,Depreciation!$A$6:$L$10,11,FALSE),0))</f>
        <v>3.0676363676126896E-2</v>
      </c>
      <c r="O124" s="361">
        <f>+IF($I124=O$3,VLOOKUP($H124,Depreciation!$A$6:$L$10,12,FALSE)/2,IF($I124&lt;O$3,VLOOKUP($H124,Depreciation!$A$6:$L$10,12,FALSE),0))</f>
        <v>3.0676363676126896E-2</v>
      </c>
      <c r="P124" s="362">
        <f t="shared" si="5"/>
        <v>6485770.1796280667</v>
      </c>
      <c r="Q124" s="362">
        <f t="shared" si="6"/>
        <v>0</v>
      </c>
      <c r="R124" s="363">
        <f t="shared" si="7"/>
        <v>6485770.1796280667</v>
      </c>
      <c r="Y124" s="365"/>
    </row>
    <row r="125" spans="1:25" ht="15" customHeight="1">
      <c r="A125" s="359" t="str">
        <f>'Func Future Lines 2015'!A125</f>
        <v>PPS</v>
      </c>
      <c r="B125" s="359" t="str">
        <f>'Func Future Lines 2015'!B125</f>
        <v>608L - d/c 725BL</v>
      </c>
      <c r="C125" s="359">
        <f>'Func Future Lines 2015'!C125</f>
        <v>882</v>
      </c>
      <c r="D125" s="359">
        <f>'Func Future Lines 2015'!D125</f>
        <v>138</v>
      </c>
      <c r="E125" s="359">
        <f>'Func Future Lines 2015'!E125</f>
        <v>0</v>
      </c>
      <c r="F125" s="359">
        <f>'Func Future Lines 2015'!F125</f>
        <v>0</v>
      </c>
      <c r="G125" s="359">
        <f>'Func Future Lines 2015'!G125</f>
        <v>2371991.3149319356</v>
      </c>
      <c r="H125" s="359" t="str">
        <f>'Func Future Lines 2015'!H125</f>
        <v>AltaLink</v>
      </c>
      <c r="I125" s="359">
        <f>'Func Future Lines 2015'!I125</f>
        <v>2015</v>
      </c>
      <c r="J125" s="361">
        <f>+IF($I125=J$3,VLOOKUP($H125,Depreciation!$A$6:$L$10,7,FALSE)/2,IF($I125&lt;J$3,VLOOKUP($H125,Depreciation!$A$6:$L$10,7,FALSE),0))</f>
        <v>1.595020804044691E-2</v>
      </c>
      <c r="K125" s="361">
        <f>+IF($I125=K$3,VLOOKUP($H125,Depreciation!$A$6:$L$10,8,FALSE)/2,IF($I125&lt;K$3,VLOOKUP($H125,Depreciation!$A$6:$L$10,8,FALSE),0))</f>
        <v>3.0676363676126896E-2</v>
      </c>
      <c r="L125" s="361">
        <f>+IF($I125=L$3,VLOOKUP($H125,Depreciation!$A$6:$L$10,9,FALSE)/2,IF($I125&lt;L$3,VLOOKUP($H125,Depreciation!$A$6:$L$10,9,FALSE),0))</f>
        <v>3.0676363676126896E-2</v>
      </c>
      <c r="M125" s="361">
        <f>+IF($I125=M$3,VLOOKUP($H125,Depreciation!$A$6:$L$10,10,FALSE)/2,IF($I125&lt;M$3,VLOOKUP($H125,Depreciation!$A$6:$L$10,10,FALSE),0))</f>
        <v>3.0676363676126896E-2</v>
      </c>
      <c r="N125" s="361">
        <f>+IF($I125=N$3,VLOOKUP($H125,Depreciation!$A$6:$L$10,11,FALSE)/2,IF($I125&lt;N$3,VLOOKUP($H125,Depreciation!$A$6:$L$10,11,FALSE),0))</f>
        <v>3.0676363676126896E-2</v>
      </c>
      <c r="O125" s="361">
        <f>+IF($I125=O$3,VLOOKUP($H125,Depreciation!$A$6:$L$10,12,FALSE)/2,IF($I125&lt;O$3,VLOOKUP($H125,Depreciation!$A$6:$L$10,12,FALSE),0))</f>
        <v>3.0676363676126896E-2</v>
      </c>
      <c r="P125" s="362">
        <f t="shared" si="5"/>
        <v>2262554.0938010453</v>
      </c>
      <c r="Q125" s="362">
        <f t="shared" si="6"/>
        <v>0</v>
      </c>
      <c r="R125" s="363">
        <f t="shared" si="7"/>
        <v>2262554.0938010453</v>
      </c>
      <c r="Y125" s="365"/>
    </row>
    <row r="126" spans="1:25" ht="15" customHeight="1">
      <c r="A126" s="359" t="str">
        <f>'Func Future Lines 2015'!A126</f>
        <v>PPS</v>
      </c>
      <c r="B126" s="359" t="str">
        <f>'Func Future Lines 2015'!B126</f>
        <v>911L By-Pass</v>
      </c>
      <c r="C126" s="359">
        <f>'Func Future Lines 2015'!C126</f>
        <v>882</v>
      </c>
      <c r="D126" s="359">
        <f>'Func Future Lines 2015'!D126</f>
        <v>240</v>
      </c>
      <c r="E126" s="359">
        <f>'Func Future Lines 2015'!E126</f>
        <v>0</v>
      </c>
      <c r="F126" s="359">
        <f>'Func Future Lines 2015'!F126</f>
        <v>0</v>
      </c>
      <c r="G126" s="359">
        <f>'Func Future Lines 2015'!G126</f>
        <v>11928878.215178415</v>
      </c>
      <c r="H126" s="359" t="str">
        <f>'Func Future Lines 2015'!H126</f>
        <v>AltaLink</v>
      </c>
      <c r="I126" s="359">
        <f>'Func Future Lines 2015'!I126</f>
        <v>2015</v>
      </c>
      <c r="J126" s="361">
        <f>+IF($I126=J$3,VLOOKUP($H126,Depreciation!$A$6:$L$10,7,FALSE)/2,IF($I126&lt;J$3,VLOOKUP($H126,Depreciation!$A$6:$L$10,7,FALSE),0))</f>
        <v>1.595020804044691E-2</v>
      </c>
      <c r="K126" s="361">
        <f>+IF($I126=K$3,VLOOKUP($H126,Depreciation!$A$6:$L$10,8,FALSE)/2,IF($I126&lt;K$3,VLOOKUP($H126,Depreciation!$A$6:$L$10,8,FALSE),0))</f>
        <v>3.0676363676126896E-2</v>
      </c>
      <c r="L126" s="361">
        <f>+IF($I126=L$3,VLOOKUP($H126,Depreciation!$A$6:$L$10,9,FALSE)/2,IF($I126&lt;L$3,VLOOKUP($H126,Depreciation!$A$6:$L$10,9,FALSE),0))</f>
        <v>3.0676363676126896E-2</v>
      </c>
      <c r="M126" s="361">
        <f>+IF($I126=M$3,VLOOKUP($H126,Depreciation!$A$6:$L$10,10,FALSE)/2,IF($I126&lt;M$3,VLOOKUP($H126,Depreciation!$A$6:$L$10,10,FALSE),0))</f>
        <v>3.0676363676126896E-2</v>
      </c>
      <c r="N126" s="361">
        <f>+IF($I126=N$3,VLOOKUP($H126,Depreciation!$A$6:$L$10,11,FALSE)/2,IF($I126&lt;N$3,VLOOKUP($H126,Depreciation!$A$6:$L$10,11,FALSE),0))</f>
        <v>3.0676363676126896E-2</v>
      </c>
      <c r="O126" s="361">
        <f>+IF($I126=O$3,VLOOKUP($H126,Depreciation!$A$6:$L$10,12,FALSE)/2,IF($I126&lt;O$3,VLOOKUP($H126,Depreciation!$A$6:$L$10,12,FALSE),0))</f>
        <v>3.0676363676126896E-2</v>
      </c>
      <c r="P126" s="362">
        <f t="shared" si="5"/>
        <v>11378512.252681037</v>
      </c>
      <c r="Q126" s="362">
        <f t="shared" si="6"/>
        <v>11378512.252681037</v>
      </c>
      <c r="R126" s="363">
        <f t="shared" si="7"/>
        <v>0</v>
      </c>
      <c r="Y126" s="365"/>
    </row>
    <row r="127" spans="1:25" ht="15" customHeight="1">
      <c r="A127" s="359" t="str">
        <f>'Func Future Lines 2015'!A127</f>
        <v>PPS</v>
      </c>
      <c r="B127" s="359" t="str">
        <f>'Func Future Lines 2015'!B127</f>
        <v>911L Crossing</v>
      </c>
      <c r="C127" s="359">
        <f>'Func Future Lines 2015'!C127</f>
        <v>882</v>
      </c>
      <c r="D127" s="359">
        <f>'Func Future Lines 2015'!D127</f>
        <v>240</v>
      </c>
      <c r="E127" s="359">
        <f>'Func Future Lines 2015'!E127</f>
        <v>0</v>
      </c>
      <c r="F127" s="359">
        <f>'Func Future Lines 2015'!F127</f>
        <v>0</v>
      </c>
      <c r="G127" s="359">
        <f>'Func Future Lines 2015'!G127</f>
        <v>4366097.6160243107</v>
      </c>
      <c r="H127" s="359" t="str">
        <f>'Func Future Lines 2015'!H127</f>
        <v>AltaLink</v>
      </c>
      <c r="I127" s="359">
        <f>'Func Future Lines 2015'!I127</f>
        <v>2015</v>
      </c>
      <c r="J127" s="361">
        <f>+IF($I127=J$3,VLOOKUP($H127,Depreciation!$A$6:$L$10,7,FALSE)/2,IF($I127&lt;J$3,VLOOKUP($H127,Depreciation!$A$6:$L$10,7,FALSE),0))</f>
        <v>1.595020804044691E-2</v>
      </c>
      <c r="K127" s="361">
        <f>+IF($I127=K$3,VLOOKUP($H127,Depreciation!$A$6:$L$10,8,FALSE)/2,IF($I127&lt;K$3,VLOOKUP($H127,Depreciation!$A$6:$L$10,8,FALSE),0))</f>
        <v>3.0676363676126896E-2</v>
      </c>
      <c r="L127" s="361">
        <f>+IF($I127=L$3,VLOOKUP($H127,Depreciation!$A$6:$L$10,9,FALSE)/2,IF($I127&lt;L$3,VLOOKUP($H127,Depreciation!$A$6:$L$10,9,FALSE),0))</f>
        <v>3.0676363676126896E-2</v>
      </c>
      <c r="M127" s="361">
        <f>+IF($I127=M$3,VLOOKUP($H127,Depreciation!$A$6:$L$10,10,FALSE)/2,IF($I127&lt;M$3,VLOOKUP($H127,Depreciation!$A$6:$L$10,10,FALSE),0))</f>
        <v>3.0676363676126896E-2</v>
      </c>
      <c r="N127" s="361">
        <f>+IF($I127=N$3,VLOOKUP($H127,Depreciation!$A$6:$L$10,11,FALSE)/2,IF($I127&lt;N$3,VLOOKUP($H127,Depreciation!$A$6:$L$10,11,FALSE),0))</f>
        <v>3.0676363676126896E-2</v>
      </c>
      <c r="O127" s="361">
        <f>+IF($I127=O$3,VLOOKUP($H127,Depreciation!$A$6:$L$10,12,FALSE)/2,IF($I127&lt;O$3,VLOOKUP($H127,Depreciation!$A$6:$L$10,12,FALSE),0))</f>
        <v>3.0676363676126896E-2</v>
      </c>
      <c r="P127" s="362">
        <f t="shared" si="5"/>
        <v>4164657.7594464151</v>
      </c>
      <c r="Q127" s="362">
        <f t="shared" si="6"/>
        <v>4164657.7594464151</v>
      </c>
      <c r="R127" s="363">
        <f t="shared" si="7"/>
        <v>0</v>
      </c>
      <c r="Y127" s="365"/>
    </row>
    <row r="128" spans="1:25" ht="15" customHeight="1">
      <c r="A128" s="359" t="str">
        <f>'Func Future Lines 2015'!A128</f>
        <v>PPS</v>
      </c>
      <c r="B128" s="359" t="str">
        <f>'Func Future Lines 2015'!B128</f>
        <v>967L/968L</v>
      </c>
      <c r="C128" s="359">
        <f>'Func Future Lines 2015'!C128</f>
        <v>882</v>
      </c>
      <c r="D128" s="359">
        <f>'Func Future Lines 2015'!D128</f>
        <v>240</v>
      </c>
      <c r="E128" s="359">
        <f>'Func Future Lines 2015'!E128</f>
        <v>0</v>
      </c>
      <c r="F128" s="359">
        <f>'Func Future Lines 2015'!F128</f>
        <v>0</v>
      </c>
      <c r="G128" s="359">
        <f>'Func Future Lines 2015'!G128</f>
        <v>1457386.3381379189</v>
      </c>
      <c r="H128" s="359" t="str">
        <f>'Func Future Lines 2015'!H128</f>
        <v>AltaLink</v>
      </c>
      <c r="I128" s="359">
        <f>'Func Future Lines 2015'!I128</f>
        <v>2015</v>
      </c>
      <c r="J128" s="361">
        <f>+IF($I128=J$3,VLOOKUP($H128,Depreciation!$A$6:$L$10,7,FALSE)/2,IF($I128&lt;J$3,VLOOKUP($H128,Depreciation!$A$6:$L$10,7,FALSE),0))</f>
        <v>1.595020804044691E-2</v>
      </c>
      <c r="K128" s="361">
        <f>+IF($I128=K$3,VLOOKUP($H128,Depreciation!$A$6:$L$10,8,FALSE)/2,IF($I128&lt;K$3,VLOOKUP($H128,Depreciation!$A$6:$L$10,8,FALSE),0))</f>
        <v>3.0676363676126896E-2</v>
      </c>
      <c r="L128" s="361">
        <f>+IF($I128=L$3,VLOOKUP($H128,Depreciation!$A$6:$L$10,9,FALSE)/2,IF($I128&lt;L$3,VLOOKUP($H128,Depreciation!$A$6:$L$10,9,FALSE),0))</f>
        <v>3.0676363676126896E-2</v>
      </c>
      <c r="M128" s="361">
        <f>+IF($I128=M$3,VLOOKUP($H128,Depreciation!$A$6:$L$10,10,FALSE)/2,IF($I128&lt;M$3,VLOOKUP($H128,Depreciation!$A$6:$L$10,10,FALSE),0))</f>
        <v>3.0676363676126896E-2</v>
      </c>
      <c r="N128" s="361">
        <f>+IF($I128=N$3,VLOOKUP($H128,Depreciation!$A$6:$L$10,11,FALSE)/2,IF($I128&lt;N$3,VLOOKUP($H128,Depreciation!$A$6:$L$10,11,FALSE),0))</f>
        <v>3.0676363676126896E-2</v>
      </c>
      <c r="O128" s="361">
        <f>+IF($I128=O$3,VLOOKUP($H128,Depreciation!$A$6:$L$10,12,FALSE)/2,IF($I128&lt;O$3,VLOOKUP($H128,Depreciation!$A$6:$L$10,12,FALSE),0))</f>
        <v>3.0676363676126896E-2</v>
      </c>
      <c r="P128" s="362">
        <f t="shared" si="5"/>
        <v>1390146.5004724448</v>
      </c>
      <c r="Q128" s="362">
        <f t="shared" si="6"/>
        <v>1390146.5004724448</v>
      </c>
      <c r="R128" s="363">
        <f t="shared" si="7"/>
        <v>0</v>
      </c>
      <c r="Y128" s="365"/>
    </row>
    <row r="129" spans="1:25" ht="15" customHeight="1">
      <c r="A129" s="359" t="str">
        <f>'Func Future Lines 2015'!A129</f>
        <v>PPS</v>
      </c>
      <c r="B129" s="359" t="str">
        <f>'Func Future Lines 2015'!B129</f>
        <v>967L/968L</v>
      </c>
      <c r="C129" s="359">
        <f>'Func Future Lines 2015'!C129</f>
        <v>882</v>
      </c>
      <c r="D129" s="359">
        <f>'Func Future Lines 2015'!D129</f>
        <v>240</v>
      </c>
      <c r="E129" s="359">
        <f>'Func Future Lines 2015'!E129</f>
        <v>0</v>
      </c>
      <c r="F129" s="359">
        <f>'Func Future Lines 2015'!F129</f>
        <v>0</v>
      </c>
      <c r="G129" s="359">
        <f>'Func Future Lines 2015'!G129</f>
        <v>1445486.0678757485</v>
      </c>
      <c r="H129" s="359" t="str">
        <f>'Func Future Lines 2015'!H129</f>
        <v>AltaLink</v>
      </c>
      <c r="I129" s="359">
        <f>'Func Future Lines 2015'!I129</f>
        <v>2015</v>
      </c>
      <c r="J129" s="361">
        <f>+IF($I129=J$3,VLOOKUP($H129,Depreciation!$A$6:$L$10,7,FALSE)/2,IF($I129&lt;J$3,VLOOKUP($H129,Depreciation!$A$6:$L$10,7,FALSE),0))</f>
        <v>1.595020804044691E-2</v>
      </c>
      <c r="K129" s="361">
        <f>+IF($I129=K$3,VLOOKUP($H129,Depreciation!$A$6:$L$10,8,FALSE)/2,IF($I129&lt;K$3,VLOOKUP($H129,Depreciation!$A$6:$L$10,8,FALSE),0))</f>
        <v>3.0676363676126896E-2</v>
      </c>
      <c r="L129" s="361">
        <f>+IF($I129=L$3,VLOOKUP($H129,Depreciation!$A$6:$L$10,9,FALSE)/2,IF($I129&lt;L$3,VLOOKUP($H129,Depreciation!$A$6:$L$10,9,FALSE),0))</f>
        <v>3.0676363676126896E-2</v>
      </c>
      <c r="M129" s="361">
        <f>+IF($I129=M$3,VLOOKUP($H129,Depreciation!$A$6:$L$10,10,FALSE)/2,IF($I129&lt;M$3,VLOOKUP($H129,Depreciation!$A$6:$L$10,10,FALSE),0))</f>
        <v>3.0676363676126896E-2</v>
      </c>
      <c r="N129" s="361">
        <f>+IF($I129=N$3,VLOOKUP($H129,Depreciation!$A$6:$L$10,11,FALSE)/2,IF($I129&lt;N$3,VLOOKUP($H129,Depreciation!$A$6:$L$10,11,FALSE),0))</f>
        <v>3.0676363676126896E-2</v>
      </c>
      <c r="O129" s="361">
        <f>+IF($I129=O$3,VLOOKUP($H129,Depreciation!$A$6:$L$10,12,FALSE)/2,IF($I129&lt;O$3,VLOOKUP($H129,Depreciation!$A$6:$L$10,12,FALSE),0))</f>
        <v>3.0676363676126896E-2</v>
      </c>
      <c r="P129" s="362">
        <f t="shared" si="5"/>
        <v>1378795.27627971</v>
      </c>
      <c r="Q129" s="362">
        <f t="shared" si="6"/>
        <v>1378795.27627971</v>
      </c>
      <c r="R129" s="363">
        <f t="shared" si="7"/>
        <v>0</v>
      </c>
      <c r="Y129" s="365"/>
    </row>
    <row r="130" spans="1:25" ht="15" customHeight="1">
      <c r="A130" s="359" t="str">
        <f>'Func Future Lines 2015'!A130</f>
        <v>PPS</v>
      </c>
      <c r="B130" s="359" t="str">
        <f>'Func Future Lines 2015'!B130</f>
        <v>Connection of 603L to 138S - 603L</v>
      </c>
      <c r="C130" s="359">
        <f>'Func Future Lines 2015'!C130</f>
        <v>882</v>
      </c>
      <c r="D130" s="359">
        <f>'Func Future Lines 2015'!D130</f>
        <v>138</v>
      </c>
      <c r="E130" s="359">
        <f>'Func Future Lines 2015'!E130</f>
        <v>0</v>
      </c>
      <c r="F130" s="359">
        <f>'Func Future Lines 2015'!F130</f>
        <v>0</v>
      </c>
      <c r="G130" s="359">
        <f>'Func Future Lines 2015'!G130</f>
        <v>19309.423592515817</v>
      </c>
      <c r="H130" s="359" t="str">
        <f>'Func Future Lines 2015'!H130</f>
        <v>AltaLink</v>
      </c>
      <c r="I130" s="359">
        <f>'Func Future Lines 2015'!I130</f>
        <v>2015</v>
      </c>
      <c r="J130" s="361">
        <f>+IF($I130=J$3,VLOOKUP($H130,Depreciation!$A$6:$L$10,7,FALSE)/2,IF($I130&lt;J$3,VLOOKUP($H130,Depreciation!$A$6:$L$10,7,FALSE),0))</f>
        <v>1.595020804044691E-2</v>
      </c>
      <c r="K130" s="361">
        <f>+IF($I130=K$3,VLOOKUP($H130,Depreciation!$A$6:$L$10,8,FALSE)/2,IF($I130&lt;K$3,VLOOKUP($H130,Depreciation!$A$6:$L$10,8,FALSE),0))</f>
        <v>3.0676363676126896E-2</v>
      </c>
      <c r="L130" s="361">
        <f>+IF($I130=L$3,VLOOKUP($H130,Depreciation!$A$6:$L$10,9,FALSE)/2,IF($I130&lt;L$3,VLOOKUP($H130,Depreciation!$A$6:$L$10,9,FALSE),0))</f>
        <v>3.0676363676126896E-2</v>
      </c>
      <c r="M130" s="361">
        <f>+IF($I130=M$3,VLOOKUP($H130,Depreciation!$A$6:$L$10,10,FALSE)/2,IF($I130&lt;M$3,VLOOKUP($H130,Depreciation!$A$6:$L$10,10,FALSE),0))</f>
        <v>3.0676363676126896E-2</v>
      </c>
      <c r="N130" s="361">
        <f>+IF($I130=N$3,VLOOKUP($H130,Depreciation!$A$6:$L$10,11,FALSE)/2,IF($I130&lt;N$3,VLOOKUP($H130,Depreciation!$A$6:$L$10,11,FALSE),0))</f>
        <v>3.0676363676126896E-2</v>
      </c>
      <c r="O130" s="361">
        <f>+IF($I130=O$3,VLOOKUP($H130,Depreciation!$A$6:$L$10,12,FALSE)/2,IF($I130&lt;O$3,VLOOKUP($H130,Depreciation!$A$6:$L$10,12,FALSE),0))</f>
        <v>3.0676363676126896E-2</v>
      </c>
      <c r="P130" s="362">
        <f t="shared" si="5"/>
        <v>18418.539361067942</v>
      </c>
      <c r="Q130" s="362">
        <f t="shared" si="6"/>
        <v>0</v>
      </c>
      <c r="R130" s="363">
        <f t="shared" si="7"/>
        <v>18418.539361067942</v>
      </c>
      <c r="Y130" s="365"/>
    </row>
    <row r="131" spans="1:25" ht="15" customHeight="1">
      <c r="A131" s="359" t="str">
        <f>'Func Future Lines 2015'!A131</f>
        <v>PPS</v>
      </c>
      <c r="B131" s="359" t="str">
        <f>'Func Future Lines 2015'!B131</f>
        <v>Connection of 608L to 138S - 608AL</v>
      </c>
      <c r="C131" s="359">
        <f>'Func Future Lines 2015'!C131</f>
        <v>882</v>
      </c>
      <c r="D131" s="359">
        <f>'Func Future Lines 2015'!D131</f>
        <v>138</v>
      </c>
      <c r="E131" s="359">
        <f>'Func Future Lines 2015'!E131</f>
        <v>0</v>
      </c>
      <c r="F131" s="359">
        <f>'Func Future Lines 2015'!F131</f>
        <v>0</v>
      </c>
      <c r="G131" s="359">
        <f>'Func Future Lines 2015'!G131</f>
        <v>34179.513153324726</v>
      </c>
      <c r="H131" s="359" t="str">
        <f>'Func Future Lines 2015'!H131</f>
        <v>AltaLink</v>
      </c>
      <c r="I131" s="359">
        <f>'Func Future Lines 2015'!I131</f>
        <v>2015</v>
      </c>
      <c r="J131" s="361">
        <f>+IF($I131=J$3,VLOOKUP($H131,Depreciation!$A$6:$L$10,7,FALSE)/2,IF($I131&lt;J$3,VLOOKUP($H131,Depreciation!$A$6:$L$10,7,FALSE),0))</f>
        <v>1.595020804044691E-2</v>
      </c>
      <c r="K131" s="361">
        <f>+IF($I131=K$3,VLOOKUP($H131,Depreciation!$A$6:$L$10,8,FALSE)/2,IF($I131&lt;K$3,VLOOKUP($H131,Depreciation!$A$6:$L$10,8,FALSE),0))</f>
        <v>3.0676363676126896E-2</v>
      </c>
      <c r="L131" s="361">
        <f>+IF($I131=L$3,VLOOKUP($H131,Depreciation!$A$6:$L$10,9,FALSE)/2,IF($I131&lt;L$3,VLOOKUP($H131,Depreciation!$A$6:$L$10,9,FALSE),0))</f>
        <v>3.0676363676126896E-2</v>
      </c>
      <c r="M131" s="361">
        <f>+IF($I131=M$3,VLOOKUP($H131,Depreciation!$A$6:$L$10,10,FALSE)/2,IF($I131&lt;M$3,VLOOKUP($H131,Depreciation!$A$6:$L$10,10,FALSE),0))</f>
        <v>3.0676363676126896E-2</v>
      </c>
      <c r="N131" s="361">
        <f>+IF($I131=N$3,VLOOKUP($H131,Depreciation!$A$6:$L$10,11,FALSE)/2,IF($I131&lt;N$3,VLOOKUP($H131,Depreciation!$A$6:$L$10,11,FALSE),0))</f>
        <v>3.0676363676126896E-2</v>
      </c>
      <c r="O131" s="361">
        <f>+IF($I131=O$3,VLOOKUP($H131,Depreciation!$A$6:$L$10,12,FALSE)/2,IF($I131&lt;O$3,VLOOKUP($H131,Depreciation!$A$6:$L$10,12,FALSE),0))</f>
        <v>3.0676363676126896E-2</v>
      </c>
      <c r="P131" s="362">
        <f t="shared" si="5"/>
        <v>32602.563475828159</v>
      </c>
      <c r="Q131" s="362">
        <f t="shared" si="6"/>
        <v>0</v>
      </c>
      <c r="R131" s="363">
        <f t="shared" si="7"/>
        <v>32602.563475828159</v>
      </c>
      <c r="Y131" s="365"/>
    </row>
    <row r="132" spans="1:25" ht="15" customHeight="1">
      <c r="A132" s="359" t="str">
        <f>'Func Future Lines 2015'!A132</f>
        <v>PPS</v>
      </c>
      <c r="B132" s="359" t="str">
        <f>'Func Future Lines 2015'!B132</f>
        <v>600L</v>
      </c>
      <c r="C132" s="359">
        <f>'Func Future Lines 2015'!C132</f>
        <v>888</v>
      </c>
      <c r="D132" s="359">
        <f>'Func Future Lines 2015'!D132</f>
        <v>138</v>
      </c>
      <c r="E132" s="359">
        <f>'Func Future Lines 2015'!E132</f>
        <v>0</v>
      </c>
      <c r="F132" s="359" t="str">
        <f>'Func Future Lines 2015'!F132</f>
        <v>Medicine Hat</v>
      </c>
      <c r="G132" s="359">
        <f>'Func Future Lines 2015'!G132</f>
        <v>428091.81000980013</v>
      </c>
      <c r="H132" s="359" t="str">
        <f>'Func Future Lines 2015'!H132</f>
        <v>AltaLink</v>
      </c>
      <c r="I132" s="359">
        <f>'Func Future Lines 2015'!I132</f>
        <v>2016</v>
      </c>
      <c r="J132" s="361">
        <f>+IF($I132=J$3,VLOOKUP($H132,Depreciation!$A$6:$L$10,7,FALSE)/2,IF($I132&lt;J$3,VLOOKUP($H132,Depreciation!$A$6:$L$10,7,FALSE),0))</f>
        <v>0</v>
      </c>
      <c r="K132" s="361">
        <f>+IF($I132=K$3,VLOOKUP($H132,Depreciation!$A$6:$L$10,8,FALSE)/2,IF($I132&lt;K$3,VLOOKUP($H132,Depreciation!$A$6:$L$10,8,FALSE),0))</f>
        <v>1.5338181838063448E-2</v>
      </c>
      <c r="L132" s="361">
        <f>+IF($I132=L$3,VLOOKUP($H132,Depreciation!$A$6:$L$10,9,FALSE)/2,IF($I132&lt;L$3,VLOOKUP($H132,Depreciation!$A$6:$L$10,9,FALSE),0))</f>
        <v>3.0676363676126896E-2</v>
      </c>
      <c r="M132" s="361">
        <f>+IF($I132=M$3,VLOOKUP($H132,Depreciation!$A$6:$L$10,10,FALSE)/2,IF($I132&lt;M$3,VLOOKUP($H132,Depreciation!$A$6:$L$10,10,FALSE),0))</f>
        <v>3.0676363676126896E-2</v>
      </c>
      <c r="N132" s="361">
        <f>+IF($I132=N$3,VLOOKUP($H132,Depreciation!$A$6:$L$10,11,FALSE)/2,IF($I132&lt;N$3,VLOOKUP($H132,Depreciation!$A$6:$L$10,11,FALSE),0))</f>
        <v>3.0676363676126896E-2</v>
      </c>
      <c r="O132" s="361">
        <f>+IF($I132=O$3,VLOOKUP($H132,Depreciation!$A$6:$L$10,12,FALSE)/2,IF($I132&lt;O$3,VLOOKUP($H132,Depreciation!$A$6:$L$10,12,FALSE),0))</f>
        <v>3.0676363676126896E-2</v>
      </c>
      <c r="P132" s="362">
        <f t="shared" si="5"/>
        <v>421525.65998448408</v>
      </c>
      <c r="Q132" s="362">
        <f t="shared" si="6"/>
        <v>0</v>
      </c>
      <c r="R132" s="363">
        <f t="shared" si="7"/>
        <v>421525.65998448408</v>
      </c>
      <c r="Y132" s="365"/>
    </row>
    <row r="133" spans="1:25" ht="15" customHeight="1">
      <c r="A133" s="359" t="str">
        <f>'Func Future Lines 2015'!A133</f>
        <v>PPS</v>
      </c>
      <c r="B133" s="359" t="str">
        <f>'Func Future Lines 2015'!B133</f>
        <v>674L</v>
      </c>
      <c r="C133" s="359">
        <f>'Func Future Lines 2015'!C133</f>
        <v>888</v>
      </c>
      <c r="D133" s="359">
        <f>'Func Future Lines 2015'!D133</f>
        <v>138</v>
      </c>
      <c r="E133" s="359">
        <f>'Func Future Lines 2015'!E133</f>
        <v>0</v>
      </c>
      <c r="F133" s="359" t="str">
        <f>'Func Future Lines 2015'!F133</f>
        <v>Medicine Hat</v>
      </c>
      <c r="G133" s="359">
        <f>'Func Future Lines 2015'!G133</f>
        <v>1327232.7396843631</v>
      </c>
      <c r="H133" s="359" t="str">
        <f>'Func Future Lines 2015'!H133</f>
        <v>AltaLink</v>
      </c>
      <c r="I133" s="359">
        <f>'Func Future Lines 2015'!I133</f>
        <v>2016</v>
      </c>
      <c r="J133" s="361">
        <f>+IF($I133=J$3,VLOOKUP($H133,Depreciation!$A$6:$L$10,7,FALSE)/2,IF($I133&lt;J$3,VLOOKUP($H133,Depreciation!$A$6:$L$10,7,FALSE),0))</f>
        <v>0</v>
      </c>
      <c r="K133" s="361">
        <f>+IF($I133=K$3,VLOOKUP($H133,Depreciation!$A$6:$L$10,8,FALSE)/2,IF($I133&lt;K$3,VLOOKUP($H133,Depreciation!$A$6:$L$10,8,FALSE),0))</f>
        <v>1.5338181838063448E-2</v>
      </c>
      <c r="L133" s="361">
        <f>+IF($I133=L$3,VLOOKUP($H133,Depreciation!$A$6:$L$10,9,FALSE)/2,IF($I133&lt;L$3,VLOOKUP($H133,Depreciation!$A$6:$L$10,9,FALSE),0))</f>
        <v>3.0676363676126896E-2</v>
      </c>
      <c r="M133" s="361">
        <f>+IF($I133=M$3,VLOOKUP($H133,Depreciation!$A$6:$L$10,10,FALSE)/2,IF($I133&lt;M$3,VLOOKUP($H133,Depreciation!$A$6:$L$10,10,FALSE),0))</f>
        <v>3.0676363676126896E-2</v>
      </c>
      <c r="N133" s="361">
        <f>+IF($I133=N$3,VLOOKUP($H133,Depreciation!$A$6:$L$10,11,FALSE)/2,IF($I133&lt;N$3,VLOOKUP($H133,Depreciation!$A$6:$L$10,11,FALSE),0))</f>
        <v>3.0676363676126896E-2</v>
      </c>
      <c r="O133" s="361">
        <f>+IF($I133=O$3,VLOOKUP($H133,Depreciation!$A$6:$L$10,12,FALSE)/2,IF($I133&lt;O$3,VLOOKUP($H133,Depreciation!$A$6:$L$10,12,FALSE),0))</f>
        <v>3.0676363676126896E-2</v>
      </c>
      <c r="P133" s="362">
        <f t="shared" ref="P133:P196" si="8">IF(I133&lt;=2016,G133*(1-J133)*(1-K133),0)</f>
        <v>1306875.4025816533</v>
      </c>
      <c r="Q133" s="362">
        <f t="shared" ref="Q133:Q196" si="9">IF(D133&gt;=240,P133,0)</f>
        <v>0</v>
      </c>
      <c r="R133" s="363">
        <f t="shared" ref="R133:R196" si="10">IF(AND(D133&gt;25,D133&lt;240),P133,0)</f>
        <v>1306875.4025816533</v>
      </c>
      <c r="Y133" s="365"/>
    </row>
    <row r="134" spans="1:25" ht="15" customHeight="1">
      <c r="A134" s="359" t="str">
        <f>'Func Future Lines 2015'!A134</f>
        <v>PPS</v>
      </c>
      <c r="B134" s="359" t="str">
        <f>'Func Future Lines 2015'!B134</f>
        <v xml:space="preserve">675L/892L </v>
      </c>
      <c r="C134" s="359">
        <f>'Func Future Lines 2015'!C134</f>
        <v>888</v>
      </c>
      <c r="D134" s="359">
        <f>'Func Future Lines 2015'!D134</f>
        <v>138</v>
      </c>
      <c r="E134" s="359">
        <f>'Func Future Lines 2015'!E134</f>
        <v>0</v>
      </c>
      <c r="F134" s="359" t="str">
        <f>'Func Future Lines 2015'!F134</f>
        <v>Medicine Hat</v>
      </c>
      <c r="G134" s="359">
        <f>'Func Future Lines 2015'!G134</f>
        <v>32638667.61853265</v>
      </c>
      <c r="H134" s="359" t="str">
        <f>'Func Future Lines 2015'!H134</f>
        <v>AltaLink</v>
      </c>
      <c r="I134" s="359">
        <f>'Func Future Lines 2015'!I134</f>
        <v>2016</v>
      </c>
      <c r="J134" s="361">
        <f>+IF($I134=J$3,VLOOKUP($H134,Depreciation!$A$6:$L$10,7,FALSE)/2,IF($I134&lt;J$3,VLOOKUP($H134,Depreciation!$A$6:$L$10,7,FALSE),0))</f>
        <v>0</v>
      </c>
      <c r="K134" s="361">
        <f>+IF($I134=K$3,VLOOKUP($H134,Depreciation!$A$6:$L$10,8,FALSE)/2,IF($I134&lt;K$3,VLOOKUP($H134,Depreciation!$A$6:$L$10,8,FALSE),0))</f>
        <v>1.5338181838063448E-2</v>
      </c>
      <c r="L134" s="361">
        <f>+IF($I134=L$3,VLOOKUP($H134,Depreciation!$A$6:$L$10,9,FALSE)/2,IF($I134&lt;L$3,VLOOKUP($H134,Depreciation!$A$6:$L$10,9,FALSE),0))</f>
        <v>3.0676363676126896E-2</v>
      </c>
      <c r="M134" s="361">
        <f>+IF($I134=M$3,VLOOKUP($H134,Depreciation!$A$6:$L$10,10,FALSE)/2,IF($I134&lt;M$3,VLOOKUP($H134,Depreciation!$A$6:$L$10,10,FALSE),0))</f>
        <v>3.0676363676126896E-2</v>
      </c>
      <c r="N134" s="361">
        <f>+IF($I134=N$3,VLOOKUP($H134,Depreciation!$A$6:$L$10,11,FALSE)/2,IF($I134&lt;N$3,VLOOKUP($H134,Depreciation!$A$6:$L$10,11,FALSE),0))</f>
        <v>3.0676363676126896E-2</v>
      </c>
      <c r="O134" s="361">
        <f>+IF($I134=O$3,VLOOKUP($H134,Depreciation!$A$6:$L$10,12,FALSE)/2,IF($I134&lt;O$3,VLOOKUP($H134,Depreciation!$A$6:$L$10,12,FALSE),0))</f>
        <v>3.0676363676126896E-2</v>
      </c>
      <c r="P134" s="362">
        <f t="shared" si="8"/>
        <v>32138049.799647484</v>
      </c>
      <c r="Q134" s="362">
        <f t="shared" si="9"/>
        <v>0</v>
      </c>
      <c r="R134" s="363">
        <f t="shared" si="10"/>
        <v>32138049.799647484</v>
      </c>
      <c r="Y134" s="365"/>
    </row>
    <row r="135" spans="1:25" ht="15" customHeight="1">
      <c r="A135" s="359" t="str">
        <f>'Func Future Lines 2015'!A135</f>
        <v>PPS</v>
      </c>
      <c r="B135" s="359" t="str">
        <f>'Func Future Lines 2015'!B135</f>
        <v xml:space="preserve">675L/892L </v>
      </c>
      <c r="C135" s="359">
        <f>'Func Future Lines 2015'!C135</f>
        <v>888</v>
      </c>
      <c r="D135" s="359">
        <f>'Func Future Lines 2015'!D135</f>
        <v>138</v>
      </c>
      <c r="E135" s="359">
        <f>'Func Future Lines 2015'!E135</f>
        <v>0</v>
      </c>
      <c r="F135" s="359" t="str">
        <f>'Func Future Lines 2015'!F135</f>
        <v>Medicine Hat</v>
      </c>
      <c r="G135" s="359">
        <f>'Func Future Lines 2015'!G135</f>
        <v>26144707.427934162</v>
      </c>
      <c r="H135" s="359" t="str">
        <f>'Func Future Lines 2015'!H135</f>
        <v>AltaLink</v>
      </c>
      <c r="I135" s="359">
        <f>'Func Future Lines 2015'!I135</f>
        <v>2016</v>
      </c>
      <c r="J135" s="361">
        <f>+IF($I135=J$3,VLOOKUP($H135,Depreciation!$A$6:$L$10,7,FALSE)/2,IF($I135&lt;J$3,VLOOKUP($H135,Depreciation!$A$6:$L$10,7,FALSE),0))</f>
        <v>0</v>
      </c>
      <c r="K135" s="361">
        <f>+IF($I135=K$3,VLOOKUP($H135,Depreciation!$A$6:$L$10,8,FALSE)/2,IF($I135&lt;K$3,VLOOKUP($H135,Depreciation!$A$6:$L$10,8,FALSE),0))</f>
        <v>1.5338181838063448E-2</v>
      </c>
      <c r="L135" s="361">
        <f>+IF($I135=L$3,VLOOKUP($H135,Depreciation!$A$6:$L$10,9,FALSE)/2,IF($I135&lt;L$3,VLOOKUP($H135,Depreciation!$A$6:$L$10,9,FALSE),0))</f>
        <v>3.0676363676126896E-2</v>
      </c>
      <c r="M135" s="361">
        <f>+IF($I135=M$3,VLOOKUP($H135,Depreciation!$A$6:$L$10,10,FALSE)/2,IF($I135&lt;M$3,VLOOKUP($H135,Depreciation!$A$6:$L$10,10,FALSE),0))</f>
        <v>3.0676363676126896E-2</v>
      </c>
      <c r="N135" s="361">
        <f>+IF($I135=N$3,VLOOKUP($H135,Depreciation!$A$6:$L$10,11,FALSE)/2,IF($I135&lt;N$3,VLOOKUP($H135,Depreciation!$A$6:$L$10,11,FALSE),0))</f>
        <v>3.0676363676126896E-2</v>
      </c>
      <c r="O135" s="361">
        <f>+IF($I135=O$3,VLOOKUP($H135,Depreciation!$A$6:$L$10,12,FALSE)/2,IF($I135&lt;O$3,VLOOKUP($H135,Depreciation!$A$6:$L$10,12,FALSE),0))</f>
        <v>3.0676363676126896E-2</v>
      </c>
      <c r="P135" s="362">
        <f t="shared" si="8"/>
        <v>25743695.15130154</v>
      </c>
      <c r="Q135" s="362">
        <f t="shared" si="9"/>
        <v>0</v>
      </c>
      <c r="R135" s="363">
        <f t="shared" si="10"/>
        <v>25743695.15130154</v>
      </c>
      <c r="Y135" s="365"/>
    </row>
    <row r="136" spans="1:25" ht="15" customHeight="1">
      <c r="A136" s="359" t="str">
        <f>'Func Future Lines 2015'!A136</f>
        <v>PPS</v>
      </c>
      <c r="B136" s="359" t="str">
        <f>'Func Future Lines 2015'!B136</f>
        <v>676L/879L</v>
      </c>
      <c r="C136" s="359">
        <f>'Func Future Lines 2015'!C136</f>
        <v>888</v>
      </c>
      <c r="D136" s="359">
        <f>'Func Future Lines 2015'!D136</f>
        <v>138</v>
      </c>
      <c r="E136" s="359">
        <f>'Func Future Lines 2015'!E136</f>
        <v>0</v>
      </c>
      <c r="F136" s="359" t="str">
        <f>'Func Future Lines 2015'!F136</f>
        <v>Medicine Hat</v>
      </c>
      <c r="G136" s="359">
        <f>'Func Future Lines 2015'!G136</f>
        <v>38066101.500456207</v>
      </c>
      <c r="H136" s="359" t="str">
        <f>'Func Future Lines 2015'!H136</f>
        <v>AltaLink</v>
      </c>
      <c r="I136" s="359">
        <f>'Func Future Lines 2015'!I136</f>
        <v>2016</v>
      </c>
      <c r="J136" s="361">
        <f>+IF($I136=J$3,VLOOKUP($H136,Depreciation!$A$6:$L$10,7,FALSE)/2,IF($I136&lt;J$3,VLOOKUP($H136,Depreciation!$A$6:$L$10,7,FALSE),0))</f>
        <v>0</v>
      </c>
      <c r="K136" s="361">
        <f>+IF($I136=K$3,VLOOKUP($H136,Depreciation!$A$6:$L$10,8,FALSE)/2,IF($I136&lt;K$3,VLOOKUP($H136,Depreciation!$A$6:$L$10,8,FALSE),0))</f>
        <v>1.5338181838063448E-2</v>
      </c>
      <c r="L136" s="361">
        <f>+IF($I136=L$3,VLOOKUP($H136,Depreciation!$A$6:$L$10,9,FALSE)/2,IF($I136&lt;L$3,VLOOKUP($H136,Depreciation!$A$6:$L$10,9,FALSE),0))</f>
        <v>3.0676363676126896E-2</v>
      </c>
      <c r="M136" s="361">
        <f>+IF($I136=M$3,VLOOKUP($H136,Depreciation!$A$6:$L$10,10,FALSE)/2,IF($I136&lt;M$3,VLOOKUP($H136,Depreciation!$A$6:$L$10,10,FALSE),0))</f>
        <v>3.0676363676126896E-2</v>
      </c>
      <c r="N136" s="361">
        <f>+IF($I136=N$3,VLOOKUP($H136,Depreciation!$A$6:$L$10,11,FALSE)/2,IF($I136&lt;N$3,VLOOKUP($H136,Depreciation!$A$6:$L$10,11,FALSE),0))</f>
        <v>3.0676363676126896E-2</v>
      </c>
      <c r="O136" s="361">
        <f>+IF($I136=O$3,VLOOKUP($H136,Depreciation!$A$6:$L$10,12,FALSE)/2,IF($I136&lt;O$3,VLOOKUP($H136,Depreciation!$A$6:$L$10,12,FALSE),0))</f>
        <v>3.0676363676126896E-2</v>
      </c>
      <c r="P136" s="362">
        <f t="shared" si="8"/>
        <v>37482236.71377603</v>
      </c>
      <c r="Q136" s="362">
        <f t="shared" si="9"/>
        <v>0</v>
      </c>
      <c r="R136" s="363">
        <f t="shared" si="10"/>
        <v>37482236.71377603</v>
      </c>
      <c r="Y136" s="365"/>
    </row>
    <row r="137" spans="1:25" ht="15" customHeight="1">
      <c r="A137" s="359" t="str">
        <f>'Func Future Lines 2015'!A137</f>
        <v>PPS</v>
      </c>
      <c r="B137" s="359" t="str">
        <f>'Func Future Lines 2015'!B137</f>
        <v>676L/879L</v>
      </c>
      <c r="C137" s="359">
        <f>'Func Future Lines 2015'!C137</f>
        <v>888</v>
      </c>
      <c r="D137" s="359">
        <f>'Func Future Lines 2015'!D137</f>
        <v>138</v>
      </c>
      <c r="E137" s="359">
        <f>'Func Future Lines 2015'!E137</f>
        <v>0</v>
      </c>
      <c r="F137" s="359" t="str">
        <f>'Func Future Lines 2015'!F137</f>
        <v>Medicine Hat</v>
      </c>
      <c r="G137" s="359">
        <f>'Func Future Lines 2015'!G137</f>
        <v>42259623.694704458</v>
      </c>
      <c r="H137" s="359" t="str">
        <f>'Func Future Lines 2015'!H137</f>
        <v>AltaLink</v>
      </c>
      <c r="I137" s="359">
        <f>'Func Future Lines 2015'!I137</f>
        <v>2016</v>
      </c>
      <c r="J137" s="361">
        <f>+IF($I137=J$3,VLOOKUP($H137,Depreciation!$A$6:$L$10,7,FALSE)/2,IF($I137&lt;J$3,VLOOKUP($H137,Depreciation!$A$6:$L$10,7,FALSE),0))</f>
        <v>0</v>
      </c>
      <c r="K137" s="361">
        <f>+IF($I137=K$3,VLOOKUP($H137,Depreciation!$A$6:$L$10,8,FALSE)/2,IF($I137&lt;K$3,VLOOKUP($H137,Depreciation!$A$6:$L$10,8,FALSE),0))</f>
        <v>1.5338181838063448E-2</v>
      </c>
      <c r="L137" s="361">
        <f>+IF($I137=L$3,VLOOKUP($H137,Depreciation!$A$6:$L$10,9,FALSE)/2,IF($I137&lt;L$3,VLOOKUP($H137,Depreciation!$A$6:$L$10,9,FALSE),0))</f>
        <v>3.0676363676126896E-2</v>
      </c>
      <c r="M137" s="361">
        <f>+IF($I137=M$3,VLOOKUP($H137,Depreciation!$A$6:$L$10,10,FALSE)/2,IF($I137&lt;M$3,VLOOKUP($H137,Depreciation!$A$6:$L$10,10,FALSE),0))</f>
        <v>3.0676363676126896E-2</v>
      </c>
      <c r="N137" s="361">
        <f>+IF($I137=N$3,VLOOKUP($H137,Depreciation!$A$6:$L$10,11,FALSE)/2,IF($I137&lt;N$3,VLOOKUP($H137,Depreciation!$A$6:$L$10,11,FALSE),0))</f>
        <v>3.0676363676126896E-2</v>
      </c>
      <c r="O137" s="361">
        <f>+IF($I137=O$3,VLOOKUP($H137,Depreciation!$A$6:$L$10,12,FALSE)/2,IF($I137&lt;O$3,VLOOKUP($H137,Depreciation!$A$6:$L$10,12,FALSE),0))</f>
        <v>3.0676363676126896E-2</v>
      </c>
      <c r="P137" s="362">
        <f t="shared" si="8"/>
        <v>41611437.902066946</v>
      </c>
      <c r="Q137" s="362">
        <f t="shared" si="9"/>
        <v>0</v>
      </c>
      <c r="R137" s="363">
        <f t="shared" si="10"/>
        <v>41611437.902066946</v>
      </c>
      <c r="Y137" s="365"/>
    </row>
    <row r="138" spans="1:25" ht="15" customHeight="1">
      <c r="A138" s="359" t="str">
        <f>'Func Future Lines 2015'!A138</f>
        <v>PPS</v>
      </c>
      <c r="B138" s="359" t="str">
        <f>'Func Future Lines 2015'!B138</f>
        <v>9L19 and 9L28</v>
      </c>
      <c r="C138" s="359">
        <f>'Func Future Lines 2015'!C138</f>
        <v>948</v>
      </c>
      <c r="D138" s="359">
        <f>'Func Future Lines 2015'!D138</f>
        <v>240</v>
      </c>
      <c r="E138" s="359">
        <f>'Func Future Lines 2015'!E138</f>
        <v>0</v>
      </c>
      <c r="F138" s="359">
        <f>'Func Future Lines 2015'!F138</f>
        <v>0</v>
      </c>
      <c r="G138" s="359">
        <f>'Func Future Lines 2015'!G138</f>
        <v>9503247.7097484916</v>
      </c>
      <c r="H138" s="359" t="str">
        <f>'Func Future Lines 2015'!H138</f>
        <v>ATCO</v>
      </c>
      <c r="I138" s="359">
        <f>'Func Future Lines 2015'!I138</f>
        <v>2015</v>
      </c>
      <c r="J138" s="361">
        <f>+IF($I138=J$3,VLOOKUP($H138,Depreciation!$A$6:$L$10,7,FALSE)/2,IF($I138&lt;J$3,VLOOKUP($H138,Depreciation!$A$6:$L$10,7,FALSE),0))</f>
        <v>1.239102859091515E-2</v>
      </c>
      <c r="K138" s="361">
        <f>+IF($I138=K$3,VLOOKUP($H138,Depreciation!$A$6:$L$10,8,FALSE)/2,IF($I138&lt;K$3,VLOOKUP($H138,Depreciation!$A$6:$L$10,8,FALSE),0))</f>
        <v>2.3943859731006666E-2</v>
      </c>
      <c r="L138" s="361">
        <f>+IF($I138=L$3,VLOOKUP($H138,Depreciation!$A$6:$L$10,9,FALSE)/2,IF($I138&lt;L$3,VLOOKUP($H138,Depreciation!$A$6:$L$10,9,FALSE),0))</f>
        <v>2.4002037926855919E-2</v>
      </c>
      <c r="M138" s="361">
        <f>+IF($I138=M$3,VLOOKUP($H138,Depreciation!$A$6:$L$10,10,FALSE)/2,IF($I138&lt;M$3,VLOOKUP($H138,Depreciation!$A$6:$L$10,10,FALSE),0))</f>
        <v>2.4002037926855919E-2</v>
      </c>
      <c r="N138" s="361">
        <f>+IF($I138=N$3,VLOOKUP($H138,Depreciation!$A$6:$L$10,11,FALSE)/2,IF($I138&lt;N$3,VLOOKUP($H138,Depreciation!$A$6:$L$10,11,FALSE),0))</f>
        <v>2.4002037926855919E-2</v>
      </c>
      <c r="O138" s="361">
        <f>+IF($I138=O$3,VLOOKUP($H138,Depreciation!$A$6:$L$10,12,FALSE)/2,IF($I138&lt;O$3,VLOOKUP($H138,Depreciation!$A$6:$L$10,12,FALSE),0))</f>
        <v>2.4002037926855919E-2</v>
      </c>
      <c r="P138" s="362">
        <f t="shared" si="8"/>
        <v>9160767.7750589289</v>
      </c>
      <c r="Q138" s="362">
        <f t="shared" si="9"/>
        <v>9160767.7750589289</v>
      </c>
      <c r="R138" s="363">
        <f t="shared" si="10"/>
        <v>0</v>
      </c>
      <c r="Y138" s="365"/>
    </row>
    <row r="139" spans="1:25" ht="15" customHeight="1">
      <c r="A139" s="359" t="str">
        <f>'Func Future Lines 2015'!A139</f>
        <v>PPS</v>
      </c>
      <c r="B139" s="359" t="str">
        <f>'Func Future Lines 2015'!B139</f>
        <v>1035L/1034L Tie-in180</v>
      </c>
      <c r="C139" s="359">
        <f>'Func Future Lines 2015'!C139</f>
        <v>961</v>
      </c>
      <c r="D139" s="359">
        <f>'Func Future Lines 2015'!D139</f>
        <v>240</v>
      </c>
      <c r="E139" s="359">
        <f>'Func Future Lines 2015'!E139</f>
        <v>0</v>
      </c>
      <c r="F139" s="359">
        <f>'Func Future Lines 2015'!F139</f>
        <v>0</v>
      </c>
      <c r="G139" s="359">
        <f>'Func Future Lines 2015'!G139</f>
        <v>12067928.360521985</v>
      </c>
      <c r="H139" s="359" t="str">
        <f>'Func Future Lines 2015'!H139</f>
        <v>AltaLink</v>
      </c>
      <c r="I139" s="359">
        <f>'Func Future Lines 2015'!I139</f>
        <v>2015</v>
      </c>
      <c r="J139" s="361">
        <f>+IF($I139=J$3,VLOOKUP($H139,Depreciation!$A$6:$L$10,7,FALSE)/2,IF($I139&lt;J$3,VLOOKUP($H139,Depreciation!$A$6:$L$10,7,FALSE),0))</f>
        <v>1.595020804044691E-2</v>
      </c>
      <c r="K139" s="361">
        <f>+IF($I139=K$3,VLOOKUP($H139,Depreciation!$A$6:$L$10,8,FALSE)/2,IF($I139&lt;K$3,VLOOKUP($H139,Depreciation!$A$6:$L$10,8,FALSE),0))</f>
        <v>3.0676363676126896E-2</v>
      </c>
      <c r="L139" s="361">
        <f>+IF($I139=L$3,VLOOKUP($H139,Depreciation!$A$6:$L$10,9,FALSE)/2,IF($I139&lt;L$3,VLOOKUP($H139,Depreciation!$A$6:$L$10,9,FALSE),0))</f>
        <v>3.0676363676126896E-2</v>
      </c>
      <c r="M139" s="361">
        <f>+IF($I139=M$3,VLOOKUP($H139,Depreciation!$A$6:$L$10,10,FALSE)/2,IF($I139&lt;M$3,VLOOKUP($H139,Depreciation!$A$6:$L$10,10,FALSE),0))</f>
        <v>3.0676363676126896E-2</v>
      </c>
      <c r="N139" s="361">
        <f>+IF($I139=N$3,VLOOKUP($H139,Depreciation!$A$6:$L$10,11,FALSE)/2,IF($I139&lt;N$3,VLOOKUP($H139,Depreciation!$A$6:$L$10,11,FALSE),0))</f>
        <v>3.0676363676126896E-2</v>
      </c>
      <c r="O139" s="361">
        <f>+IF($I139=O$3,VLOOKUP($H139,Depreciation!$A$6:$L$10,12,FALSE)/2,IF($I139&lt;O$3,VLOOKUP($H139,Depreciation!$A$6:$L$10,12,FALSE),0))</f>
        <v>3.0676363676126896E-2</v>
      </c>
      <c r="P139" s="362">
        <f t="shared" si="8"/>
        <v>11511147.002905555</v>
      </c>
      <c r="Q139" s="362">
        <f t="shared" si="9"/>
        <v>11511147.002905555</v>
      </c>
      <c r="R139" s="363">
        <f t="shared" si="10"/>
        <v>0</v>
      </c>
      <c r="Y139" s="365"/>
    </row>
    <row r="140" spans="1:25" ht="15" customHeight="1">
      <c r="A140" s="359" t="str">
        <f>'Func Future Lines 2015'!A140</f>
        <v>PPS</v>
      </c>
      <c r="B140" s="359" t="str">
        <f>'Func Future Lines 2015'!B140</f>
        <v>1053L crossing180</v>
      </c>
      <c r="C140" s="359">
        <f>'Func Future Lines 2015'!C140</f>
        <v>961</v>
      </c>
      <c r="D140" s="359">
        <f>'Func Future Lines 2015'!D140</f>
        <v>240</v>
      </c>
      <c r="E140" s="359">
        <f>'Func Future Lines 2015'!E140</f>
        <v>0</v>
      </c>
      <c r="F140" s="359">
        <f>'Func Future Lines 2015'!F140</f>
        <v>0</v>
      </c>
      <c r="G140" s="359">
        <f>'Func Future Lines 2015'!G140</f>
        <v>2180206.2000116054</v>
      </c>
      <c r="H140" s="359" t="str">
        <f>'Func Future Lines 2015'!H140</f>
        <v>AltaLink</v>
      </c>
      <c r="I140" s="359">
        <f>'Func Future Lines 2015'!I140</f>
        <v>2015</v>
      </c>
      <c r="J140" s="361">
        <f>+IF($I140=J$3,VLOOKUP($H140,Depreciation!$A$6:$L$10,7,FALSE)/2,IF($I140&lt;J$3,VLOOKUP($H140,Depreciation!$A$6:$L$10,7,FALSE),0))</f>
        <v>1.595020804044691E-2</v>
      </c>
      <c r="K140" s="361">
        <f>+IF($I140=K$3,VLOOKUP($H140,Depreciation!$A$6:$L$10,8,FALSE)/2,IF($I140&lt;K$3,VLOOKUP($H140,Depreciation!$A$6:$L$10,8,FALSE),0))</f>
        <v>3.0676363676126896E-2</v>
      </c>
      <c r="L140" s="361">
        <f>+IF($I140=L$3,VLOOKUP($H140,Depreciation!$A$6:$L$10,9,FALSE)/2,IF($I140&lt;L$3,VLOOKUP($H140,Depreciation!$A$6:$L$10,9,FALSE),0))</f>
        <v>3.0676363676126896E-2</v>
      </c>
      <c r="M140" s="361">
        <f>+IF($I140=M$3,VLOOKUP($H140,Depreciation!$A$6:$L$10,10,FALSE)/2,IF($I140&lt;M$3,VLOOKUP($H140,Depreciation!$A$6:$L$10,10,FALSE),0))</f>
        <v>3.0676363676126896E-2</v>
      </c>
      <c r="N140" s="361">
        <f>+IF($I140=N$3,VLOOKUP($H140,Depreciation!$A$6:$L$10,11,FALSE)/2,IF($I140&lt;N$3,VLOOKUP($H140,Depreciation!$A$6:$L$10,11,FALSE),0))</f>
        <v>3.0676363676126896E-2</v>
      </c>
      <c r="O140" s="361">
        <f>+IF($I140=O$3,VLOOKUP($H140,Depreciation!$A$6:$L$10,12,FALSE)/2,IF($I140&lt;O$3,VLOOKUP($H140,Depreciation!$A$6:$L$10,12,FALSE),0))</f>
        <v>3.0676363676126896E-2</v>
      </c>
      <c r="P140" s="362">
        <f t="shared" si="8"/>
        <v>2079617.4219163307</v>
      </c>
      <c r="Q140" s="362">
        <f t="shared" si="9"/>
        <v>2079617.4219163307</v>
      </c>
      <c r="R140" s="363">
        <f t="shared" si="10"/>
        <v>0</v>
      </c>
      <c r="Y140" s="365"/>
    </row>
    <row r="141" spans="1:25" ht="15" customHeight="1">
      <c r="A141" s="359" t="str">
        <f>'Func Future Lines 2015'!A141</f>
        <v>PPS</v>
      </c>
      <c r="B141" s="359" t="str">
        <f>'Func Future Lines 2015'!B141</f>
        <v>1206_1212L180</v>
      </c>
      <c r="C141" s="359">
        <f>'Func Future Lines 2015'!C141</f>
        <v>961</v>
      </c>
      <c r="D141" s="359">
        <f>'Func Future Lines 2015'!D141</f>
        <v>240</v>
      </c>
      <c r="E141" s="359">
        <f>'Func Future Lines 2015'!E141</f>
        <v>0</v>
      </c>
      <c r="F141" s="359">
        <f>'Func Future Lines 2015'!F141</f>
        <v>0</v>
      </c>
      <c r="G141" s="359">
        <f>'Func Future Lines 2015'!G141</f>
        <v>12147807.385961929</v>
      </c>
      <c r="H141" s="359" t="str">
        <f>'Func Future Lines 2015'!H141</f>
        <v>AltaLink</v>
      </c>
      <c r="I141" s="359">
        <f>'Func Future Lines 2015'!I141</f>
        <v>2015</v>
      </c>
      <c r="J141" s="361">
        <f>+IF($I141=J$3,VLOOKUP($H141,Depreciation!$A$6:$L$10,7,FALSE)/2,IF($I141&lt;J$3,VLOOKUP($H141,Depreciation!$A$6:$L$10,7,FALSE),0))</f>
        <v>1.595020804044691E-2</v>
      </c>
      <c r="K141" s="361">
        <f>+IF($I141=K$3,VLOOKUP($H141,Depreciation!$A$6:$L$10,8,FALSE)/2,IF($I141&lt;K$3,VLOOKUP($H141,Depreciation!$A$6:$L$10,8,FALSE),0))</f>
        <v>3.0676363676126896E-2</v>
      </c>
      <c r="L141" s="361">
        <f>+IF($I141=L$3,VLOOKUP($H141,Depreciation!$A$6:$L$10,9,FALSE)/2,IF($I141&lt;L$3,VLOOKUP($H141,Depreciation!$A$6:$L$10,9,FALSE),0))</f>
        <v>3.0676363676126896E-2</v>
      </c>
      <c r="M141" s="361">
        <f>+IF($I141=M$3,VLOOKUP($H141,Depreciation!$A$6:$L$10,10,FALSE)/2,IF($I141&lt;M$3,VLOOKUP($H141,Depreciation!$A$6:$L$10,10,FALSE),0))</f>
        <v>3.0676363676126896E-2</v>
      </c>
      <c r="N141" s="361">
        <f>+IF($I141=N$3,VLOOKUP($H141,Depreciation!$A$6:$L$10,11,FALSE)/2,IF($I141&lt;N$3,VLOOKUP($H141,Depreciation!$A$6:$L$10,11,FALSE),0))</f>
        <v>3.0676363676126896E-2</v>
      </c>
      <c r="O141" s="361">
        <f>+IF($I141=O$3,VLOOKUP($H141,Depreciation!$A$6:$L$10,12,FALSE)/2,IF($I141&lt;O$3,VLOOKUP($H141,Depreciation!$A$6:$L$10,12,FALSE),0))</f>
        <v>3.0676363676126896E-2</v>
      </c>
      <c r="P141" s="362">
        <f t="shared" si="8"/>
        <v>11587340.627595605</v>
      </c>
      <c r="Q141" s="362">
        <f t="shared" si="9"/>
        <v>11587340.627595605</v>
      </c>
      <c r="R141" s="363">
        <f t="shared" si="10"/>
        <v>0</v>
      </c>
      <c r="Y141" s="365"/>
    </row>
    <row r="142" spans="1:25" ht="15" customHeight="1">
      <c r="A142" s="359" t="str">
        <f>'Func Future Lines 2015'!A142</f>
        <v>PPS</v>
      </c>
      <c r="B142" s="359" t="str">
        <f>'Func Future Lines 2015'!B142</f>
        <v>138 kV AC Lines180</v>
      </c>
      <c r="C142" s="359">
        <f>'Func Future Lines 2015'!C142</f>
        <v>961</v>
      </c>
      <c r="D142" s="359">
        <f>'Func Future Lines 2015'!D142</f>
        <v>138</v>
      </c>
      <c r="E142" s="359">
        <f>'Func Future Lines 2015'!E142</f>
        <v>0</v>
      </c>
      <c r="F142" s="359">
        <f>'Func Future Lines 2015'!F142</f>
        <v>0</v>
      </c>
      <c r="G142" s="359">
        <f>'Func Future Lines 2015'!G142</f>
        <v>386437.04663201742</v>
      </c>
      <c r="H142" s="359" t="str">
        <f>'Func Future Lines 2015'!H142</f>
        <v>ATCO</v>
      </c>
      <c r="I142" s="359">
        <f>'Func Future Lines 2015'!I142</f>
        <v>2015</v>
      </c>
      <c r="J142" s="361">
        <f>+IF($I142=J$3,VLOOKUP($H142,Depreciation!$A$6:$L$10,7,FALSE)/2,IF($I142&lt;J$3,VLOOKUP($H142,Depreciation!$A$6:$L$10,7,FALSE),0))</f>
        <v>1.239102859091515E-2</v>
      </c>
      <c r="K142" s="361">
        <f>+IF($I142=K$3,VLOOKUP($H142,Depreciation!$A$6:$L$10,8,FALSE)/2,IF($I142&lt;K$3,VLOOKUP($H142,Depreciation!$A$6:$L$10,8,FALSE),0))</f>
        <v>2.3943859731006666E-2</v>
      </c>
      <c r="L142" s="361">
        <f>+IF($I142=L$3,VLOOKUP($H142,Depreciation!$A$6:$L$10,9,FALSE)/2,IF($I142&lt;L$3,VLOOKUP($H142,Depreciation!$A$6:$L$10,9,FALSE),0))</f>
        <v>2.4002037926855919E-2</v>
      </c>
      <c r="M142" s="361">
        <f>+IF($I142=M$3,VLOOKUP($H142,Depreciation!$A$6:$L$10,10,FALSE)/2,IF($I142&lt;M$3,VLOOKUP($H142,Depreciation!$A$6:$L$10,10,FALSE),0))</f>
        <v>2.4002037926855919E-2</v>
      </c>
      <c r="N142" s="361">
        <f>+IF($I142=N$3,VLOOKUP($H142,Depreciation!$A$6:$L$10,11,FALSE)/2,IF($I142&lt;N$3,VLOOKUP($H142,Depreciation!$A$6:$L$10,11,FALSE),0))</f>
        <v>2.4002037926855919E-2</v>
      </c>
      <c r="O142" s="361">
        <f>+IF($I142=O$3,VLOOKUP($H142,Depreciation!$A$6:$L$10,12,FALSE)/2,IF($I142&lt;O$3,VLOOKUP($H142,Depreciation!$A$6:$L$10,12,FALSE),0))</f>
        <v>2.4002037926855919E-2</v>
      </c>
      <c r="P142" s="362">
        <f t="shared" si="8"/>
        <v>372510.55133963452</v>
      </c>
      <c r="Q142" s="362">
        <f t="shared" si="9"/>
        <v>0</v>
      </c>
      <c r="R142" s="363">
        <f t="shared" si="10"/>
        <v>372510.55133963452</v>
      </c>
      <c r="Y142" s="365"/>
    </row>
    <row r="143" spans="1:25" ht="15" customHeight="1">
      <c r="A143" s="359" t="str">
        <f>'Func Future Lines 2015'!A143</f>
        <v>PPS</v>
      </c>
      <c r="B143" s="359" t="str">
        <f>'Func Future Lines 2015'!B143</f>
        <v>240 kV AC Lines 923L and XXXL180</v>
      </c>
      <c r="C143" s="359">
        <f>'Func Future Lines 2015'!C143</f>
        <v>961</v>
      </c>
      <c r="D143" s="359">
        <f>'Func Future Lines 2015'!D143</f>
        <v>240</v>
      </c>
      <c r="E143" s="359">
        <f>'Func Future Lines 2015'!E143</f>
        <v>0</v>
      </c>
      <c r="F143" s="359">
        <f>'Func Future Lines 2015'!F143</f>
        <v>0</v>
      </c>
      <c r="G143" s="359">
        <f>'Func Future Lines 2015'!G143</f>
        <v>24745691.127936423</v>
      </c>
      <c r="H143" s="359" t="str">
        <f>'Func Future Lines 2015'!H143</f>
        <v>ATCO</v>
      </c>
      <c r="I143" s="359">
        <f>'Func Future Lines 2015'!I143</f>
        <v>2015</v>
      </c>
      <c r="J143" s="361">
        <f>+IF($I143=J$3,VLOOKUP($H143,Depreciation!$A$6:$L$10,7,FALSE)/2,IF($I143&lt;J$3,VLOOKUP($H143,Depreciation!$A$6:$L$10,7,FALSE),0))</f>
        <v>1.239102859091515E-2</v>
      </c>
      <c r="K143" s="361">
        <f>+IF($I143=K$3,VLOOKUP($H143,Depreciation!$A$6:$L$10,8,FALSE)/2,IF($I143&lt;K$3,VLOOKUP($H143,Depreciation!$A$6:$L$10,8,FALSE),0))</f>
        <v>2.3943859731006666E-2</v>
      </c>
      <c r="L143" s="361">
        <f>+IF($I143=L$3,VLOOKUP($H143,Depreciation!$A$6:$L$10,9,FALSE)/2,IF($I143&lt;L$3,VLOOKUP($H143,Depreciation!$A$6:$L$10,9,FALSE),0))</f>
        <v>2.4002037926855919E-2</v>
      </c>
      <c r="M143" s="361">
        <f>+IF($I143=M$3,VLOOKUP($H143,Depreciation!$A$6:$L$10,10,FALSE)/2,IF($I143&lt;M$3,VLOOKUP($H143,Depreciation!$A$6:$L$10,10,FALSE),0))</f>
        <v>2.4002037926855919E-2</v>
      </c>
      <c r="N143" s="361">
        <f>+IF($I143=N$3,VLOOKUP($H143,Depreciation!$A$6:$L$10,11,FALSE)/2,IF($I143&lt;N$3,VLOOKUP($H143,Depreciation!$A$6:$L$10,11,FALSE),0))</f>
        <v>2.4002037926855919E-2</v>
      </c>
      <c r="O143" s="361">
        <f>+IF($I143=O$3,VLOOKUP($H143,Depreciation!$A$6:$L$10,12,FALSE)/2,IF($I143&lt;O$3,VLOOKUP($H143,Depreciation!$A$6:$L$10,12,FALSE),0))</f>
        <v>2.4002037926855919E-2</v>
      </c>
      <c r="P143" s="362">
        <f t="shared" si="8"/>
        <v>23853900.979958892</v>
      </c>
      <c r="Q143" s="362">
        <f t="shared" si="9"/>
        <v>23853900.979958892</v>
      </c>
      <c r="R143" s="363">
        <f t="shared" si="10"/>
        <v>0</v>
      </c>
      <c r="Y143" s="365"/>
    </row>
    <row r="144" spans="1:25" ht="15" customHeight="1">
      <c r="A144" s="359" t="str">
        <f>'Func Future Lines 2015'!A144</f>
        <v>Final</v>
      </c>
      <c r="B144" s="359" t="str">
        <f>'Func Future Lines 2015'!B144</f>
        <v>500 kV DC Transmission Line 13L50180</v>
      </c>
      <c r="C144" s="359">
        <f>'Func Future Lines 2015'!C144</f>
        <v>961</v>
      </c>
      <c r="D144" s="359">
        <f>'Func Future Lines 2015'!D144</f>
        <v>500</v>
      </c>
      <c r="E144" s="359">
        <f>'Func Future Lines 2015'!E144</f>
        <v>0</v>
      </c>
      <c r="F144" s="359">
        <f>'Func Future Lines 2015'!F144</f>
        <v>0</v>
      </c>
      <c r="G144" s="359">
        <f>'Func Future Lines 2015'!G144</f>
        <v>1297658759.5</v>
      </c>
      <c r="H144" s="359" t="str">
        <f>'Func Future Lines 2015'!H144</f>
        <v>ATCO</v>
      </c>
      <c r="I144" s="359">
        <f>'Func Future Lines 2015'!I144</f>
        <v>2015</v>
      </c>
      <c r="J144" s="361">
        <f>+IF($I144=J$3,VLOOKUP($H144,Depreciation!$A$6:$L$10,7,FALSE)/2,IF($I144&lt;J$3,VLOOKUP($H144,Depreciation!$A$6:$L$10,7,FALSE),0))</f>
        <v>1.239102859091515E-2</v>
      </c>
      <c r="K144" s="361">
        <f>+IF($I144=K$3,VLOOKUP($H144,Depreciation!$A$6:$L$10,8,FALSE)/2,IF($I144&lt;K$3,VLOOKUP($H144,Depreciation!$A$6:$L$10,8,FALSE),0))</f>
        <v>2.3943859731006666E-2</v>
      </c>
      <c r="L144" s="361">
        <f>+IF($I144=L$3,VLOOKUP($H144,Depreciation!$A$6:$L$10,9,FALSE)/2,IF($I144&lt;L$3,VLOOKUP($H144,Depreciation!$A$6:$L$10,9,FALSE),0))</f>
        <v>2.4002037926855919E-2</v>
      </c>
      <c r="M144" s="361">
        <f>+IF($I144=M$3,VLOOKUP($H144,Depreciation!$A$6:$L$10,10,FALSE)/2,IF($I144&lt;M$3,VLOOKUP($H144,Depreciation!$A$6:$L$10,10,FALSE),0))</f>
        <v>2.4002037926855919E-2</v>
      </c>
      <c r="N144" s="361">
        <f>+IF($I144=N$3,VLOOKUP($H144,Depreciation!$A$6:$L$10,11,FALSE)/2,IF($I144&lt;N$3,VLOOKUP($H144,Depreciation!$A$6:$L$10,11,FALSE),0))</f>
        <v>2.4002037926855919E-2</v>
      </c>
      <c r="O144" s="361">
        <f>+IF($I144=O$3,VLOOKUP($H144,Depreciation!$A$6:$L$10,12,FALSE)/2,IF($I144&lt;O$3,VLOOKUP($H144,Depreciation!$A$6:$L$10,12,FALSE),0))</f>
        <v>2.4002037926855919E-2</v>
      </c>
      <c r="P144" s="362">
        <f t="shared" si="8"/>
        <v>1250893474.5388379</v>
      </c>
      <c r="Q144" s="362">
        <f t="shared" si="9"/>
        <v>1250893474.5388379</v>
      </c>
      <c r="R144" s="363">
        <f t="shared" si="10"/>
        <v>0</v>
      </c>
      <c r="Y144" s="365"/>
    </row>
    <row r="145" spans="1:25" ht="15" customHeight="1">
      <c r="A145" s="359" t="str">
        <f>'Func Future Lines 2015'!A145</f>
        <v>PPS</v>
      </c>
      <c r="B145" s="359" t="str">
        <f>'Func Future Lines 2015'!B145</f>
        <v>500kV AC 12L70 &amp; 12L85180</v>
      </c>
      <c r="C145" s="359">
        <f>'Func Future Lines 2015'!C145</f>
        <v>961</v>
      </c>
      <c r="D145" s="359">
        <f>'Func Future Lines 2015'!D145</f>
        <v>500</v>
      </c>
      <c r="E145" s="359">
        <f>'Func Future Lines 2015'!E145</f>
        <v>0</v>
      </c>
      <c r="F145" s="359">
        <f>'Func Future Lines 2015'!F145</f>
        <v>0</v>
      </c>
      <c r="G145" s="359">
        <f>'Func Future Lines 2015'!G145</f>
        <v>22941771.346200299</v>
      </c>
      <c r="H145" s="359" t="str">
        <f>'Func Future Lines 2015'!H145</f>
        <v>ATCO</v>
      </c>
      <c r="I145" s="359">
        <f>'Func Future Lines 2015'!I145</f>
        <v>2015</v>
      </c>
      <c r="J145" s="361">
        <f>+IF($I145=J$3,VLOOKUP($H145,Depreciation!$A$6:$L$10,7,FALSE)/2,IF($I145&lt;J$3,VLOOKUP($H145,Depreciation!$A$6:$L$10,7,FALSE),0))</f>
        <v>1.239102859091515E-2</v>
      </c>
      <c r="K145" s="361">
        <f>+IF($I145=K$3,VLOOKUP($H145,Depreciation!$A$6:$L$10,8,FALSE)/2,IF($I145&lt;K$3,VLOOKUP($H145,Depreciation!$A$6:$L$10,8,FALSE),0))</f>
        <v>2.3943859731006666E-2</v>
      </c>
      <c r="L145" s="361">
        <f>+IF($I145=L$3,VLOOKUP($H145,Depreciation!$A$6:$L$10,9,FALSE)/2,IF($I145&lt;L$3,VLOOKUP($H145,Depreciation!$A$6:$L$10,9,FALSE),0))</f>
        <v>2.4002037926855919E-2</v>
      </c>
      <c r="M145" s="361">
        <f>+IF($I145=M$3,VLOOKUP($H145,Depreciation!$A$6:$L$10,10,FALSE)/2,IF($I145&lt;M$3,VLOOKUP($H145,Depreciation!$A$6:$L$10,10,FALSE),0))</f>
        <v>2.4002037926855919E-2</v>
      </c>
      <c r="N145" s="361">
        <f>+IF($I145=N$3,VLOOKUP($H145,Depreciation!$A$6:$L$10,11,FALSE)/2,IF($I145&lt;N$3,VLOOKUP($H145,Depreciation!$A$6:$L$10,11,FALSE),0))</f>
        <v>2.4002037926855919E-2</v>
      </c>
      <c r="O145" s="361">
        <f>+IF($I145=O$3,VLOOKUP($H145,Depreciation!$A$6:$L$10,12,FALSE)/2,IF($I145&lt;O$3,VLOOKUP($H145,Depreciation!$A$6:$L$10,12,FALSE),0))</f>
        <v>2.4002037926855919E-2</v>
      </c>
      <c r="P145" s="362">
        <f t="shared" si="8"/>
        <v>22114991.218786623</v>
      </c>
      <c r="Q145" s="362">
        <f t="shared" si="9"/>
        <v>22114991.218786623</v>
      </c>
      <c r="R145" s="363">
        <f t="shared" si="10"/>
        <v>0</v>
      </c>
      <c r="Y145" s="365"/>
    </row>
    <row r="146" spans="1:25" ht="15" customHeight="1">
      <c r="A146" s="359" t="str">
        <f>'Func Future Lines 2015'!A146</f>
        <v>PPS</v>
      </c>
      <c r="B146" s="359" t="str">
        <f>'Func Future Lines 2015'!B146</f>
        <v>923L/935L Tie-in180</v>
      </c>
      <c r="C146" s="359">
        <f>'Func Future Lines 2015'!C146</f>
        <v>961</v>
      </c>
      <c r="D146" s="359">
        <f>'Func Future Lines 2015'!D146</f>
        <v>240</v>
      </c>
      <c r="E146" s="359">
        <f>'Func Future Lines 2015'!E146</f>
        <v>0</v>
      </c>
      <c r="F146" s="359">
        <f>'Func Future Lines 2015'!F146</f>
        <v>0</v>
      </c>
      <c r="G146" s="359">
        <f>'Func Future Lines 2015'!G146</f>
        <v>9328355.294053847</v>
      </c>
      <c r="H146" s="359" t="str">
        <f>'Func Future Lines 2015'!H146</f>
        <v>AltaLink</v>
      </c>
      <c r="I146" s="359">
        <f>'Func Future Lines 2015'!I146</f>
        <v>2015</v>
      </c>
      <c r="J146" s="361">
        <f>+IF($I146=J$3,VLOOKUP($H146,Depreciation!$A$6:$L$10,7,FALSE)/2,IF($I146&lt;J$3,VLOOKUP($H146,Depreciation!$A$6:$L$10,7,FALSE),0))</f>
        <v>1.595020804044691E-2</v>
      </c>
      <c r="K146" s="361">
        <f>+IF($I146=K$3,VLOOKUP($H146,Depreciation!$A$6:$L$10,8,FALSE)/2,IF($I146&lt;K$3,VLOOKUP($H146,Depreciation!$A$6:$L$10,8,FALSE),0))</f>
        <v>3.0676363676126896E-2</v>
      </c>
      <c r="L146" s="361">
        <f>+IF($I146=L$3,VLOOKUP($H146,Depreciation!$A$6:$L$10,9,FALSE)/2,IF($I146&lt;L$3,VLOOKUP($H146,Depreciation!$A$6:$L$10,9,FALSE),0))</f>
        <v>3.0676363676126896E-2</v>
      </c>
      <c r="M146" s="361">
        <f>+IF($I146=M$3,VLOOKUP($H146,Depreciation!$A$6:$L$10,10,FALSE)/2,IF($I146&lt;M$3,VLOOKUP($H146,Depreciation!$A$6:$L$10,10,FALSE),0))</f>
        <v>3.0676363676126896E-2</v>
      </c>
      <c r="N146" s="361">
        <f>+IF($I146=N$3,VLOOKUP($H146,Depreciation!$A$6:$L$10,11,FALSE)/2,IF($I146&lt;N$3,VLOOKUP($H146,Depreciation!$A$6:$L$10,11,FALSE),0))</f>
        <v>3.0676363676126896E-2</v>
      </c>
      <c r="O146" s="361">
        <f>+IF($I146=O$3,VLOOKUP($H146,Depreciation!$A$6:$L$10,12,FALSE)/2,IF($I146&lt;O$3,VLOOKUP($H146,Depreciation!$A$6:$L$10,12,FALSE),0))</f>
        <v>3.0676363676126896E-2</v>
      </c>
      <c r="P146" s="362">
        <f t="shared" si="8"/>
        <v>8897970.378781857</v>
      </c>
      <c r="Q146" s="362">
        <f t="shared" si="9"/>
        <v>8897970.378781857</v>
      </c>
      <c r="R146" s="363">
        <f t="shared" si="10"/>
        <v>0</v>
      </c>
      <c r="Y146" s="365"/>
    </row>
    <row r="147" spans="1:25" ht="15" customHeight="1">
      <c r="A147" s="359" t="str">
        <f>'Func Future Lines 2015'!A147</f>
        <v>PPS</v>
      </c>
      <c r="B147" s="359" t="str">
        <f>'Func Future Lines 2015'!B147</f>
        <v>931L/933L crossing180</v>
      </c>
      <c r="C147" s="359">
        <f>'Func Future Lines 2015'!C147</f>
        <v>961</v>
      </c>
      <c r="D147" s="359">
        <f>'Func Future Lines 2015'!D147</f>
        <v>240</v>
      </c>
      <c r="E147" s="359">
        <f>'Func Future Lines 2015'!E147</f>
        <v>0</v>
      </c>
      <c r="F147" s="359">
        <f>'Func Future Lines 2015'!F147</f>
        <v>0</v>
      </c>
      <c r="G147" s="359">
        <f>'Func Future Lines 2015'!G147</f>
        <v>15784803.775025563</v>
      </c>
      <c r="H147" s="359" t="str">
        <f>'Func Future Lines 2015'!H147</f>
        <v>AltaLink</v>
      </c>
      <c r="I147" s="359">
        <f>'Func Future Lines 2015'!I147</f>
        <v>2015</v>
      </c>
      <c r="J147" s="361">
        <f>+IF($I147=J$3,VLOOKUP($H147,Depreciation!$A$6:$L$10,7,FALSE)/2,IF($I147&lt;J$3,VLOOKUP($H147,Depreciation!$A$6:$L$10,7,FALSE),0))</f>
        <v>1.595020804044691E-2</v>
      </c>
      <c r="K147" s="361">
        <f>+IF($I147=K$3,VLOOKUP($H147,Depreciation!$A$6:$L$10,8,FALSE)/2,IF($I147&lt;K$3,VLOOKUP($H147,Depreciation!$A$6:$L$10,8,FALSE),0))</f>
        <v>3.0676363676126896E-2</v>
      </c>
      <c r="L147" s="361">
        <f>+IF($I147=L$3,VLOOKUP($H147,Depreciation!$A$6:$L$10,9,FALSE)/2,IF($I147&lt;L$3,VLOOKUP($H147,Depreciation!$A$6:$L$10,9,FALSE),0))</f>
        <v>3.0676363676126896E-2</v>
      </c>
      <c r="M147" s="361">
        <f>+IF($I147=M$3,VLOOKUP($H147,Depreciation!$A$6:$L$10,10,FALSE)/2,IF($I147&lt;M$3,VLOOKUP($H147,Depreciation!$A$6:$L$10,10,FALSE),0))</f>
        <v>3.0676363676126896E-2</v>
      </c>
      <c r="N147" s="361">
        <f>+IF($I147=N$3,VLOOKUP($H147,Depreciation!$A$6:$L$10,11,FALSE)/2,IF($I147&lt;N$3,VLOOKUP($H147,Depreciation!$A$6:$L$10,11,FALSE),0))</f>
        <v>3.0676363676126896E-2</v>
      </c>
      <c r="O147" s="361">
        <f>+IF($I147=O$3,VLOOKUP($H147,Depreciation!$A$6:$L$10,12,FALSE)/2,IF($I147&lt;O$3,VLOOKUP($H147,Depreciation!$A$6:$L$10,12,FALSE),0))</f>
        <v>3.0676363676126896E-2</v>
      </c>
      <c r="P147" s="362">
        <f t="shared" si="8"/>
        <v>15056535.9055942</v>
      </c>
      <c r="Q147" s="362">
        <f t="shared" si="9"/>
        <v>15056535.9055942</v>
      </c>
      <c r="R147" s="363">
        <f t="shared" si="10"/>
        <v>0</v>
      </c>
      <c r="Y147" s="365"/>
    </row>
    <row r="148" spans="1:25" ht="15" customHeight="1">
      <c r="A148" s="359" t="str">
        <f>'Func Future Lines 2015'!A148</f>
        <v>PPS</v>
      </c>
      <c r="B148" s="359" t="str">
        <f>'Func Future Lines 2015'!B148</f>
        <v>950L crossing180</v>
      </c>
      <c r="C148" s="359">
        <f>'Func Future Lines 2015'!C148</f>
        <v>961</v>
      </c>
      <c r="D148" s="359">
        <f>'Func Future Lines 2015'!D148</f>
        <v>240</v>
      </c>
      <c r="E148" s="359">
        <f>'Func Future Lines 2015'!E148</f>
        <v>0</v>
      </c>
      <c r="F148" s="359">
        <f>'Func Future Lines 2015'!F148</f>
        <v>0</v>
      </c>
      <c r="G148" s="359">
        <f>'Func Future Lines 2015'!G148</f>
        <v>4171061.3966196976</v>
      </c>
      <c r="H148" s="359" t="str">
        <f>'Func Future Lines 2015'!H148</f>
        <v>AltaLink</v>
      </c>
      <c r="I148" s="359">
        <f>'Func Future Lines 2015'!I148</f>
        <v>2015</v>
      </c>
      <c r="J148" s="361">
        <f>+IF($I148=J$3,VLOOKUP($H148,Depreciation!$A$6:$L$10,7,FALSE)/2,IF($I148&lt;J$3,VLOOKUP($H148,Depreciation!$A$6:$L$10,7,FALSE),0))</f>
        <v>1.595020804044691E-2</v>
      </c>
      <c r="K148" s="361">
        <f>+IF($I148=K$3,VLOOKUP($H148,Depreciation!$A$6:$L$10,8,FALSE)/2,IF($I148&lt;K$3,VLOOKUP($H148,Depreciation!$A$6:$L$10,8,FALSE),0))</f>
        <v>3.0676363676126896E-2</v>
      </c>
      <c r="L148" s="361">
        <f>+IF($I148=L$3,VLOOKUP($H148,Depreciation!$A$6:$L$10,9,FALSE)/2,IF($I148&lt;L$3,VLOOKUP($H148,Depreciation!$A$6:$L$10,9,FALSE),0))</f>
        <v>3.0676363676126896E-2</v>
      </c>
      <c r="M148" s="361">
        <f>+IF($I148=M$3,VLOOKUP($H148,Depreciation!$A$6:$L$10,10,FALSE)/2,IF($I148&lt;M$3,VLOOKUP($H148,Depreciation!$A$6:$L$10,10,FALSE),0))</f>
        <v>3.0676363676126896E-2</v>
      </c>
      <c r="N148" s="361">
        <f>+IF($I148=N$3,VLOOKUP($H148,Depreciation!$A$6:$L$10,11,FALSE)/2,IF($I148&lt;N$3,VLOOKUP($H148,Depreciation!$A$6:$L$10,11,FALSE),0))</f>
        <v>3.0676363676126896E-2</v>
      </c>
      <c r="O148" s="361">
        <f>+IF($I148=O$3,VLOOKUP($H148,Depreciation!$A$6:$L$10,12,FALSE)/2,IF($I148&lt;O$3,VLOOKUP($H148,Depreciation!$A$6:$L$10,12,FALSE),0))</f>
        <v>3.0676363676126896E-2</v>
      </c>
      <c r="P148" s="362">
        <f t="shared" si="8"/>
        <v>3978619.9801866496</v>
      </c>
      <c r="Q148" s="362">
        <f t="shared" si="9"/>
        <v>3978619.9801866496</v>
      </c>
      <c r="R148" s="363">
        <f t="shared" si="10"/>
        <v>0</v>
      </c>
      <c r="Y148" s="365"/>
    </row>
    <row r="149" spans="1:25" ht="15" customHeight="1">
      <c r="A149" s="359" t="str">
        <f>'Func Future Lines 2015'!A149</f>
        <v>PPS</v>
      </c>
      <c r="B149" s="359" t="str">
        <f>'Func Future Lines 2015'!B149</f>
        <v>1113L 180</v>
      </c>
      <c r="C149" s="359">
        <f>'Func Future Lines 2015'!C149</f>
        <v>962</v>
      </c>
      <c r="D149" s="359">
        <f>'Func Future Lines 2015'!D149</f>
        <v>240</v>
      </c>
      <c r="E149" s="359">
        <f>'Func Future Lines 2015'!E149</f>
        <v>0</v>
      </c>
      <c r="F149" s="359">
        <f>'Func Future Lines 2015'!F149</f>
        <v>0</v>
      </c>
      <c r="G149" s="359">
        <f>'Func Future Lines 2015'!G149</f>
        <v>5050035.9456107607</v>
      </c>
      <c r="H149" s="359" t="str">
        <f>'Func Future Lines 2015'!H149</f>
        <v>AltaLink</v>
      </c>
      <c r="I149" s="359">
        <f>'Func Future Lines 2015'!I149</f>
        <v>2015</v>
      </c>
      <c r="J149" s="361">
        <f>+IF($I149=J$3,VLOOKUP($H149,Depreciation!$A$6:$L$10,7,FALSE)/2,IF($I149&lt;J$3,VLOOKUP($H149,Depreciation!$A$6:$L$10,7,FALSE),0))</f>
        <v>1.595020804044691E-2</v>
      </c>
      <c r="K149" s="361">
        <f>+IF($I149=K$3,VLOOKUP($H149,Depreciation!$A$6:$L$10,8,FALSE)/2,IF($I149&lt;K$3,VLOOKUP($H149,Depreciation!$A$6:$L$10,8,FALSE),0))</f>
        <v>3.0676363676126896E-2</v>
      </c>
      <c r="L149" s="361">
        <f>+IF($I149=L$3,VLOOKUP($H149,Depreciation!$A$6:$L$10,9,FALSE)/2,IF($I149&lt;L$3,VLOOKUP($H149,Depreciation!$A$6:$L$10,9,FALSE),0))</f>
        <v>3.0676363676126896E-2</v>
      </c>
      <c r="M149" s="361">
        <f>+IF($I149=M$3,VLOOKUP($H149,Depreciation!$A$6:$L$10,10,FALSE)/2,IF($I149&lt;M$3,VLOOKUP($H149,Depreciation!$A$6:$L$10,10,FALSE),0))</f>
        <v>3.0676363676126896E-2</v>
      </c>
      <c r="N149" s="361">
        <f>+IF($I149=N$3,VLOOKUP($H149,Depreciation!$A$6:$L$10,11,FALSE)/2,IF($I149&lt;N$3,VLOOKUP($H149,Depreciation!$A$6:$L$10,11,FALSE),0))</f>
        <v>3.0676363676126896E-2</v>
      </c>
      <c r="O149" s="361">
        <f>+IF($I149=O$3,VLOOKUP($H149,Depreciation!$A$6:$L$10,12,FALSE)/2,IF($I149&lt;O$3,VLOOKUP($H149,Depreciation!$A$6:$L$10,12,FALSE),0))</f>
        <v>3.0676363676126896E-2</v>
      </c>
      <c r="P149" s="362">
        <f t="shared" si="8"/>
        <v>4817041.0366413714</v>
      </c>
      <c r="Q149" s="362">
        <f t="shared" si="9"/>
        <v>4817041.0366413714</v>
      </c>
      <c r="R149" s="363">
        <f t="shared" si="10"/>
        <v>0</v>
      </c>
      <c r="Y149" s="365"/>
    </row>
    <row r="150" spans="1:25" ht="15" customHeight="1">
      <c r="A150" s="359" t="str">
        <f>'Func Future Lines 2015'!A150</f>
        <v>PPS</v>
      </c>
      <c r="B150" s="359" t="str">
        <f>'Func Future Lines 2015'!B150</f>
        <v>1114L 180</v>
      </c>
      <c r="C150" s="359">
        <f>'Func Future Lines 2015'!C150</f>
        <v>962</v>
      </c>
      <c r="D150" s="359">
        <f>'Func Future Lines 2015'!D150</f>
        <v>240</v>
      </c>
      <c r="E150" s="359">
        <f>'Func Future Lines 2015'!E150</f>
        <v>0</v>
      </c>
      <c r="F150" s="359">
        <f>'Func Future Lines 2015'!F150</f>
        <v>0</v>
      </c>
      <c r="G150" s="359">
        <f>'Func Future Lines 2015'!G150</f>
        <v>508638.67860466533</v>
      </c>
      <c r="H150" s="359" t="str">
        <f>'Func Future Lines 2015'!H150</f>
        <v>AltaLink</v>
      </c>
      <c r="I150" s="359">
        <f>'Func Future Lines 2015'!I150</f>
        <v>2015</v>
      </c>
      <c r="J150" s="361">
        <f>+IF($I150=J$3,VLOOKUP($H150,Depreciation!$A$6:$L$10,7,FALSE)/2,IF($I150&lt;J$3,VLOOKUP($H150,Depreciation!$A$6:$L$10,7,FALSE),0))</f>
        <v>1.595020804044691E-2</v>
      </c>
      <c r="K150" s="361">
        <f>+IF($I150=K$3,VLOOKUP($H150,Depreciation!$A$6:$L$10,8,FALSE)/2,IF($I150&lt;K$3,VLOOKUP($H150,Depreciation!$A$6:$L$10,8,FALSE),0))</f>
        <v>3.0676363676126896E-2</v>
      </c>
      <c r="L150" s="361">
        <f>+IF($I150=L$3,VLOOKUP($H150,Depreciation!$A$6:$L$10,9,FALSE)/2,IF($I150&lt;L$3,VLOOKUP($H150,Depreciation!$A$6:$L$10,9,FALSE),0))</f>
        <v>3.0676363676126896E-2</v>
      </c>
      <c r="M150" s="361">
        <f>+IF($I150=M$3,VLOOKUP($H150,Depreciation!$A$6:$L$10,10,FALSE)/2,IF($I150&lt;M$3,VLOOKUP($H150,Depreciation!$A$6:$L$10,10,FALSE),0))</f>
        <v>3.0676363676126896E-2</v>
      </c>
      <c r="N150" s="361">
        <f>+IF($I150=N$3,VLOOKUP($H150,Depreciation!$A$6:$L$10,11,FALSE)/2,IF($I150&lt;N$3,VLOOKUP($H150,Depreciation!$A$6:$L$10,11,FALSE),0))</f>
        <v>3.0676363676126896E-2</v>
      </c>
      <c r="O150" s="361">
        <f>+IF($I150=O$3,VLOOKUP($H150,Depreciation!$A$6:$L$10,12,FALSE)/2,IF($I150&lt;O$3,VLOOKUP($H150,Depreciation!$A$6:$L$10,12,FALSE),0))</f>
        <v>3.0676363676126896E-2</v>
      </c>
      <c r="P150" s="362">
        <f t="shared" si="8"/>
        <v>485171.47482707491</v>
      </c>
      <c r="Q150" s="362">
        <f t="shared" si="9"/>
        <v>485171.47482707491</v>
      </c>
      <c r="R150" s="363">
        <f t="shared" si="10"/>
        <v>0</v>
      </c>
      <c r="Y150" s="365"/>
    </row>
    <row r="151" spans="1:25" ht="15" customHeight="1">
      <c r="A151" s="359" t="str">
        <f>'Func Future Lines 2015'!A151</f>
        <v>PPS</v>
      </c>
      <c r="B151" s="359" t="str">
        <f>'Func Future Lines 2015'!B151</f>
        <v>1201L</v>
      </c>
      <c r="C151" s="359">
        <f>'Func Future Lines 2015'!C151</f>
        <v>962</v>
      </c>
      <c r="D151" s="359">
        <f>'Func Future Lines 2015'!D151</f>
        <v>500</v>
      </c>
      <c r="E151" s="359">
        <f>'Func Future Lines 2015'!E151</f>
        <v>0</v>
      </c>
      <c r="F151" s="359">
        <f>'Func Future Lines 2015'!F151</f>
        <v>0</v>
      </c>
      <c r="G151" s="359">
        <f>'Func Future Lines 2015'!G151</f>
        <v>17806288.979760934</v>
      </c>
      <c r="H151" s="359" t="str">
        <f>'Func Future Lines 2015'!H151</f>
        <v>AltaLink</v>
      </c>
      <c r="I151" s="359">
        <f>'Func Future Lines 2015'!I151</f>
        <v>2015</v>
      </c>
      <c r="J151" s="361">
        <f>+IF($I151=J$3,VLOOKUP($H151,Depreciation!$A$6:$L$10,7,FALSE)/2,IF($I151&lt;J$3,VLOOKUP($H151,Depreciation!$A$6:$L$10,7,FALSE),0))</f>
        <v>1.595020804044691E-2</v>
      </c>
      <c r="K151" s="361">
        <f>+IF($I151=K$3,VLOOKUP($H151,Depreciation!$A$6:$L$10,8,FALSE)/2,IF($I151&lt;K$3,VLOOKUP($H151,Depreciation!$A$6:$L$10,8,FALSE),0))</f>
        <v>3.0676363676126896E-2</v>
      </c>
      <c r="L151" s="361">
        <f>+IF($I151=L$3,VLOOKUP($H151,Depreciation!$A$6:$L$10,9,FALSE)/2,IF($I151&lt;L$3,VLOOKUP($H151,Depreciation!$A$6:$L$10,9,FALSE),0))</f>
        <v>3.0676363676126896E-2</v>
      </c>
      <c r="M151" s="361">
        <f>+IF($I151=M$3,VLOOKUP($H151,Depreciation!$A$6:$L$10,10,FALSE)/2,IF($I151&lt;M$3,VLOOKUP($H151,Depreciation!$A$6:$L$10,10,FALSE),0))</f>
        <v>3.0676363676126896E-2</v>
      </c>
      <c r="N151" s="361">
        <f>+IF($I151=N$3,VLOOKUP($H151,Depreciation!$A$6:$L$10,11,FALSE)/2,IF($I151&lt;N$3,VLOOKUP($H151,Depreciation!$A$6:$L$10,11,FALSE),0))</f>
        <v>3.0676363676126896E-2</v>
      </c>
      <c r="O151" s="361">
        <f>+IF($I151=O$3,VLOOKUP($H151,Depreciation!$A$6:$L$10,12,FALSE)/2,IF($I151&lt;O$3,VLOOKUP($H151,Depreciation!$A$6:$L$10,12,FALSE),0))</f>
        <v>3.0676363676126896E-2</v>
      </c>
      <c r="P151" s="362">
        <f t="shared" si="8"/>
        <v>16984755.286812086</v>
      </c>
      <c r="Q151" s="362">
        <f t="shared" si="9"/>
        <v>16984755.286812086</v>
      </c>
      <c r="R151" s="363">
        <f t="shared" si="10"/>
        <v>0</v>
      </c>
      <c r="Y151" s="365"/>
    </row>
    <row r="152" spans="1:25" ht="15" customHeight="1">
      <c r="A152" s="359" t="str">
        <f>'Func Future Lines 2015'!A152</f>
        <v>PPS</v>
      </c>
      <c r="B152" s="359" t="str">
        <f>'Func Future Lines 2015'!B152</f>
        <v>1203L / 1238L / 1239L to 510S</v>
      </c>
      <c r="C152" s="359">
        <f>'Func Future Lines 2015'!C152</f>
        <v>962</v>
      </c>
      <c r="D152" s="359">
        <f>'Func Future Lines 2015'!D152</f>
        <v>500</v>
      </c>
      <c r="E152" s="359">
        <f>'Func Future Lines 2015'!E152</f>
        <v>0</v>
      </c>
      <c r="F152" s="359" t="str">
        <f>'Func Future Lines 2015'!F152</f>
        <v>northwest</v>
      </c>
      <c r="G152" s="359">
        <f>'Func Future Lines 2015'!G152</f>
        <v>4282968.0875220895</v>
      </c>
      <c r="H152" s="359" t="str">
        <f>'Func Future Lines 2015'!H152</f>
        <v>EPCOR</v>
      </c>
      <c r="I152" s="359">
        <f>'Func Future Lines 2015'!I152</f>
        <v>2015</v>
      </c>
      <c r="J152" s="361">
        <f>+IF($I152=J$3,VLOOKUP($H152,Depreciation!$A$6:$L$10,7,FALSE)/2,IF($I152&lt;J$3,VLOOKUP($H152,Depreciation!$A$6:$L$10,7,FALSE),0))</f>
        <v>1.1530980651952941E-2</v>
      </c>
      <c r="K152" s="361">
        <f>+IF($I152=K$3,VLOOKUP($H152,Depreciation!$A$6:$L$10,8,FALSE)/2,IF($I152&lt;K$3,VLOOKUP($H152,Depreciation!$A$6:$L$10,8,FALSE),0))</f>
        <v>2.3062337210051284E-2</v>
      </c>
      <c r="L152" s="361">
        <f>+IF($I152=L$3,VLOOKUP($H152,Depreciation!$A$6:$L$10,9,FALSE)/2,IF($I152&lt;L$3,VLOOKUP($H152,Depreciation!$A$6:$L$10,9,FALSE),0))</f>
        <v>2.3063912319658014E-2</v>
      </c>
      <c r="M152" s="361">
        <f>+IF($I152=M$3,VLOOKUP($H152,Depreciation!$A$6:$L$10,10,FALSE)/2,IF($I152&lt;M$3,VLOOKUP($H152,Depreciation!$A$6:$L$10,10,FALSE),0))</f>
        <v>2.3063912319658014E-2</v>
      </c>
      <c r="N152" s="361">
        <f>+IF($I152=N$3,VLOOKUP($H152,Depreciation!$A$6:$L$10,11,FALSE)/2,IF($I152&lt;N$3,VLOOKUP($H152,Depreciation!$A$6:$L$10,11,FALSE),0))</f>
        <v>2.3063912319658014E-2</v>
      </c>
      <c r="O152" s="361">
        <f>+IF($I152=O$3,VLOOKUP($H152,Depreciation!$A$6:$L$10,12,FALSE)/2,IF($I152&lt;O$3,VLOOKUP($H152,Depreciation!$A$6:$L$10,12,FALSE),0))</f>
        <v>2.3063912319658014E-2</v>
      </c>
      <c r="P152" s="362">
        <f t="shared" si="8"/>
        <v>4135944.9866237771</v>
      </c>
      <c r="Q152" s="362">
        <f t="shared" si="9"/>
        <v>4135944.9866237771</v>
      </c>
      <c r="R152" s="363">
        <f t="shared" si="10"/>
        <v>0</v>
      </c>
      <c r="Y152" s="365"/>
    </row>
    <row r="153" spans="1:25" ht="15" customHeight="1">
      <c r="A153" s="359" t="str">
        <f>'Func Future Lines 2015'!A153</f>
        <v>PPS</v>
      </c>
      <c r="B153" s="359" t="str">
        <f>'Func Future Lines 2015'!B153</f>
        <v>1209L 330P to 89S</v>
      </c>
      <c r="C153" s="359">
        <f>'Func Future Lines 2015'!C153</f>
        <v>962</v>
      </c>
      <c r="D153" s="359">
        <f>'Func Future Lines 2015'!D153</f>
        <v>500</v>
      </c>
      <c r="E153" s="359">
        <f>'Func Future Lines 2015'!E153</f>
        <v>0</v>
      </c>
      <c r="F153" s="359" t="str">
        <f>'Func Future Lines 2015'!F153</f>
        <v>northwest</v>
      </c>
      <c r="G153" s="359">
        <f>'Func Future Lines 2015'!G153</f>
        <v>7200931.5202669203</v>
      </c>
      <c r="H153" s="359" t="str">
        <f>'Func Future Lines 2015'!H153</f>
        <v>EPCOR</v>
      </c>
      <c r="I153" s="359">
        <f>'Func Future Lines 2015'!I153</f>
        <v>2015</v>
      </c>
      <c r="J153" s="361">
        <f>+IF($I153=J$3,VLOOKUP($H153,Depreciation!$A$6:$L$10,7,FALSE)/2,IF($I153&lt;J$3,VLOOKUP($H153,Depreciation!$A$6:$L$10,7,FALSE),0))</f>
        <v>1.1530980651952941E-2</v>
      </c>
      <c r="K153" s="361">
        <f>+IF($I153=K$3,VLOOKUP($H153,Depreciation!$A$6:$L$10,8,FALSE)/2,IF($I153&lt;K$3,VLOOKUP($H153,Depreciation!$A$6:$L$10,8,FALSE),0))</f>
        <v>2.3062337210051284E-2</v>
      </c>
      <c r="L153" s="361">
        <f>+IF($I153=L$3,VLOOKUP($H153,Depreciation!$A$6:$L$10,9,FALSE)/2,IF($I153&lt;L$3,VLOOKUP($H153,Depreciation!$A$6:$L$10,9,FALSE),0))</f>
        <v>2.3063912319658014E-2</v>
      </c>
      <c r="M153" s="361">
        <f>+IF($I153=M$3,VLOOKUP($H153,Depreciation!$A$6:$L$10,10,FALSE)/2,IF($I153&lt;M$3,VLOOKUP($H153,Depreciation!$A$6:$L$10,10,FALSE),0))</f>
        <v>2.3063912319658014E-2</v>
      </c>
      <c r="N153" s="361">
        <f>+IF($I153=N$3,VLOOKUP($H153,Depreciation!$A$6:$L$10,11,FALSE)/2,IF($I153&lt;N$3,VLOOKUP($H153,Depreciation!$A$6:$L$10,11,FALSE),0))</f>
        <v>2.3063912319658014E-2</v>
      </c>
      <c r="O153" s="361">
        <f>+IF($I153=O$3,VLOOKUP($H153,Depreciation!$A$6:$L$10,12,FALSE)/2,IF($I153&lt;O$3,VLOOKUP($H153,Depreciation!$A$6:$L$10,12,FALSE),0))</f>
        <v>2.3063912319658014E-2</v>
      </c>
      <c r="P153" s="362">
        <f t="shared" si="8"/>
        <v>6953742.3608261943</v>
      </c>
      <c r="Q153" s="362">
        <f t="shared" si="9"/>
        <v>6953742.3608261943</v>
      </c>
      <c r="R153" s="363">
        <f t="shared" si="10"/>
        <v>0</v>
      </c>
      <c r="Y153" s="365"/>
    </row>
    <row r="154" spans="1:25" ht="15" customHeight="1">
      <c r="A154" s="359" t="str">
        <f>'Func Future Lines 2015'!A154</f>
        <v>PPS</v>
      </c>
      <c r="B154" s="359" t="str">
        <f>'Func Future Lines 2015'!B154</f>
        <v>1323L / 1323AL</v>
      </c>
      <c r="C154" s="359">
        <f>'Func Future Lines 2015'!C154</f>
        <v>962</v>
      </c>
      <c r="D154" s="359">
        <f>'Func Future Lines 2015'!D154</f>
        <v>500</v>
      </c>
      <c r="E154" s="359">
        <f>'Func Future Lines 2015'!E154</f>
        <v>0</v>
      </c>
      <c r="F154" s="359">
        <f>'Func Future Lines 2015'!F154</f>
        <v>0</v>
      </c>
      <c r="G154" s="359">
        <f>'Func Future Lines 2015'!G154</f>
        <v>5797511.6642460758</v>
      </c>
      <c r="H154" s="359" t="str">
        <f>'Func Future Lines 2015'!H154</f>
        <v>AltaLink</v>
      </c>
      <c r="I154" s="359">
        <f>'Func Future Lines 2015'!I154</f>
        <v>2015</v>
      </c>
      <c r="J154" s="361">
        <f>+IF($I154=J$3,VLOOKUP($H154,Depreciation!$A$6:$L$10,7,FALSE)/2,IF($I154&lt;J$3,VLOOKUP($H154,Depreciation!$A$6:$L$10,7,FALSE),0))</f>
        <v>1.595020804044691E-2</v>
      </c>
      <c r="K154" s="361">
        <f>+IF($I154=K$3,VLOOKUP($H154,Depreciation!$A$6:$L$10,8,FALSE)/2,IF($I154&lt;K$3,VLOOKUP($H154,Depreciation!$A$6:$L$10,8,FALSE),0))</f>
        <v>3.0676363676126896E-2</v>
      </c>
      <c r="L154" s="361">
        <f>+IF($I154=L$3,VLOOKUP($H154,Depreciation!$A$6:$L$10,9,FALSE)/2,IF($I154&lt;L$3,VLOOKUP($H154,Depreciation!$A$6:$L$10,9,FALSE),0))</f>
        <v>3.0676363676126896E-2</v>
      </c>
      <c r="M154" s="361">
        <f>+IF($I154=M$3,VLOOKUP($H154,Depreciation!$A$6:$L$10,10,FALSE)/2,IF($I154&lt;M$3,VLOOKUP($H154,Depreciation!$A$6:$L$10,10,FALSE),0))</f>
        <v>3.0676363676126896E-2</v>
      </c>
      <c r="N154" s="361">
        <f>+IF($I154=N$3,VLOOKUP($H154,Depreciation!$A$6:$L$10,11,FALSE)/2,IF($I154&lt;N$3,VLOOKUP($H154,Depreciation!$A$6:$L$10,11,FALSE),0))</f>
        <v>3.0676363676126896E-2</v>
      </c>
      <c r="O154" s="361">
        <f>+IF($I154=O$3,VLOOKUP($H154,Depreciation!$A$6:$L$10,12,FALSE)/2,IF($I154&lt;O$3,VLOOKUP($H154,Depreciation!$A$6:$L$10,12,FALSE),0))</f>
        <v>3.0676363676126896E-2</v>
      </c>
      <c r="P154" s="362">
        <f t="shared" si="8"/>
        <v>5530030.2607455673</v>
      </c>
      <c r="Q154" s="362">
        <f t="shared" si="9"/>
        <v>5530030.2607455673</v>
      </c>
      <c r="R154" s="363">
        <f t="shared" si="10"/>
        <v>0</v>
      </c>
      <c r="Y154" s="365"/>
    </row>
    <row r="155" spans="1:25" ht="15" customHeight="1">
      <c r="A155" s="359" t="str">
        <f>'Func Future Lines 2015'!A155</f>
        <v>PPS</v>
      </c>
      <c r="B155" s="359" t="str">
        <f>'Func Future Lines 2015'!B155</f>
        <v>1323L / 1323AL</v>
      </c>
      <c r="C155" s="359">
        <f>'Func Future Lines 2015'!C155</f>
        <v>962</v>
      </c>
      <c r="D155" s="359">
        <f>'Func Future Lines 2015'!D155</f>
        <v>500</v>
      </c>
      <c r="E155" s="359">
        <f>'Func Future Lines 2015'!E155</f>
        <v>0</v>
      </c>
      <c r="F155" s="359">
        <f>'Func Future Lines 2015'!F155</f>
        <v>0</v>
      </c>
      <c r="G155" s="359">
        <f>'Func Future Lines 2015'!G155</f>
        <v>5797512.9227138078</v>
      </c>
      <c r="H155" s="359" t="str">
        <f>'Func Future Lines 2015'!H155</f>
        <v>AltaLink</v>
      </c>
      <c r="I155" s="359">
        <f>'Func Future Lines 2015'!I155</f>
        <v>2015</v>
      </c>
      <c r="J155" s="361">
        <f>+IF($I155=J$3,VLOOKUP($H155,Depreciation!$A$6:$L$10,7,FALSE)/2,IF($I155&lt;J$3,VLOOKUP($H155,Depreciation!$A$6:$L$10,7,FALSE),0))</f>
        <v>1.595020804044691E-2</v>
      </c>
      <c r="K155" s="361">
        <f>+IF($I155=K$3,VLOOKUP($H155,Depreciation!$A$6:$L$10,8,FALSE)/2,IF($I155&lt;K$3,VLOOKUP($H155,Depreciation!$A$6:$L$10,8,FALSE),0))</f>
        <v>3.0676363676126896E-2</v>
      </c>
      <c r="L155" s="361">
        <f>+IF($I155=L$3,VLOOKUP($H155,Depreciation!$A$6:$L$10,9,FALSE)/2,IF($I155&lt;L$3,VLOOKUP($H155,Depreciation!$A$6:$L$10,9,FALSE),0))</f>
        <v>3.0676363676126896E-2</v>
      </c>
      <c r="M155" s="361">
        <f>+IF($I155=M$3,VLOOKUP($H155,Depreciation!$A$6:$L$10,10,FALSE)/2,IF($I155&lt;M$3,VLOOKUP($H155,Depreciation!$A$6:$L$10,10,FALSE),0))</f>
        <v>3.0676363676126896E-2</v>
      </c>
      <c r="N155" s="361">
        <f>+IF($I155=N$3,VLOOKUP($H155,Depreciation!$A$6:$L$10,11,FALSE)/2,IF($I155&lt;N$3,VLOOKUP($H155,Depreciation!$A$6:$L$10,11,FALSE),0))</f>
        <v>3.0676363676126896E-2</v>
      </c>
      <c r="O155" s="361">
        <f>+IF($I155=O$3,VLOOKUP($H155,Depreciation!$A$6:$L$10,12,FALSE)/2,IF($I155&lt;O$3,VLOOKUP($H155,Depreciation!$A$6:$L$10,12,FALSE),0))</f>
        <v>3.0676363676126896E-2</v>
      </c>
      <c r="P155" s="362">
        <f t="shared" si="8"/>
        <v>5530031.4611510234</v>
      </c>
      <c r="Q155" s="362">
        <f t="shared" si="9"/>
        <v>5530031.4611510234</v>
      </c>
      <c r="R155" s="363">
        <f t="shared" si="10"/>
        <v>0</v>
      </c>
      <c r="Y155" s="365"/>
    </row>
    <row r="156" spans="1:25" ht="15" customHeight="1">
      <c r="A156" s="359" t="str">
        <f>'Func Future Lines 2015'!A156</f>
        <v>PPS</v>
      </c>
      <c r="B156" s="359" t="str">
        <f>'Func Future Lines 2015'!B156</f>
        <v>166L crossing180</v>
      </c>
      <c r="C156" s="359">
        <f>'Func Future Lines 2015'!C156</f>
        <v>962</v>
      </c>
      <c r="D156" s="359">
        <f>'Func Future Lines 2015'!D156</f>
        <v>138</v>
      </c>
      <c r="E156" s="359">
        <f>'Func Future Lines 2015'!E156</f>
        <v>0</v>
      </c>
      <c r="F156" s="359">
        <f>'Func Future Lines 2015'!F156</f>
        <v>0</v>
      </c>
      <c r="G156" s="359">
        <f>'Func Future Lines 2015'!G156</f>
        <v>1759.3378891942859</v>
      </c>
      <c r="H156" s="359" t="str">
        <f>'Func Future Lines 2015'!H156</f>
        <v>AltaLink</v>
      </c>
      <c r="I156" s="359">
        <f>'Func Future Lines 2015'!I156</f>
        <v>2015</v>
      </c>
      <c r="J156" s="361">
        <f>+IF($I156=J$3,VLOOKUP($H156,Depreciation!$A$6:$L$10,7,FALSE)/2,IF($I156&lt;J$3,VLOOKUP($H156,Depreciation!$A$6:$L$10,7,FALSE),0))</f>
        <v>1.595020804044691E-2</v>
      </c>
      <c r="K156" s="361">
        <f>+IF($I156=K$3,VLOOKUP($H156,Depreciation!$A$6:$L$10,8,FALSE)/2,IF($I156&lt;K$3,VLOOKUP($H156,Depreciation!$A$6:$L$10,8,FALSE),0))</f>
        <v>3.0676363676126896E-2</v>
      </c>
      <c r="L156" s="361">
        <f>+IF($I156=L$3,VLOOKUP($H156,Depreciation!$A$6:$L$10,9,FALSE)/2,IF($I156&lt;L$3,VLOOKUP($H156,Depreciation!$A$6:$L$10,9,FALSE),0))</f>
        <v>3.0676363676126896E-2</v>
      </c>
      <c r="M156" s="361">
        <f>+IF($I156=M$3,VLOOKUP($H156,Depreciation!$A$6:$L$10,10,FALSE)/2,IF($I156&lt;M$3,VLOOKUP($H156,Depreciation!$A$6:$L$10,10,FALSE),0))</f>
        <v>3.0676363676126896E-2</v>
      </c>
      <c r="N156" s="361">
        <f>+IF($I156=N$3,VLOOKUP($H156,Depreciation!$A$6:$L$10,11,FALSE)/2,IF($I156&lt;N$3,VLOOKUP($H156,Depreciation!$A$6:$L$10,11,FALSE),0))</f>
        <v>3.0676363676126896E-2</v>
      </c>
      <c r="O156" s="361">
        <f>+IF($I156=O$3,VLOOKUP($H156,Depreciation!$A$6:$L$10,12,FALSE)/2,IF($I156&lt;O$3,VLOOKUP($H156,Depreciation!$A$6:$L$10,12,FALSE),0))</f>
        <v>3.0676363676126896E-2</v>
      </c>
      <c r="P156" s="362">
        <f t="shared" si="8"/>
        <v>1678.1668290762882</v>
      </c>
      <c r="Q156" s="362">
        <f t="shared" si="9"/>
        <v>0</v>
      </c>
      <c r="R156" s="363">
        <f t="shared" si="10"/>
        <v>1678.1668290762882</v>
      </c>
      <c r="Y156" s="365"/>
    </row>
    <row r="157" spans="1:25" ht="15" customHeight="1">
      <c r="A157" s="359" t="str">
        <f>'Func Future Lines 2015'!A157</f>
        <v>PPS</v>
      </c>
      <c r="B157" s="359" t="str">
        <f>'Func Future Lines 2015'!B157</f>
        <v>189L crossing180</v>
      </c>
      <c r="C157" s="359">
        <f>'Func Future Lines 2015'!C157</f>
        <v>962</v>
      </c>
      <c r="D157" s="359">
        <f>'Func Future Lines 2015'!D157</f>
        <v>138</v>
      </c>
      <c r="E157" s="359">
        <f>'Func Future Lines 2015'!E157</f>
        <v>0</v>
      </c>
      <c r="F157" s="359">
        <f>'Func Future Lines 2015'!F157</f>
        <v>0</v>
      </c>
      <c r="G157" s="359">
        <f>'Func Future Lines 2015'!G157</f>
        <v>6009.1834198159622</v>
      </c>
      <c r="H157" s="359" t="str">
        <f>'Func Future Lines 2015'!H157</f>
        <v>AltaLink</v>
      </c>
      <c r="I157" s="359">
        <f>'Func Future Lines 2015'!I157</f>
        <v>2015</v>
      </c>
      <c r="J157" s="361">
        <f>+IF($I157=J$3,VLOOKUP($H157,Depreciation!$A$6:$L$10,7,FALSE)/2,IF($I157&lt;J$3,VLOOKUP($H157,Depreciation!$A$6:$L$10,7,FALSE),0))</f>
        <v>1.595020804044691E-2</v>
      </c>
      <c r="K157" s="361">
        <f>+IF($I157=K$3,VLOOKUP($H157,Depreciation!$A$6:$L$10,8,FALSE)/2,IF($I157&lt;K$3,VLOOKUP($H157,Depreciation!$A$6:$L$10,8,FALSE),0))</f>
        <v>3.0676363676126896E-2</v>
      </c>
      <c r="L157" s="361">
        <f>+IF($I157=L$3,VLOOKUP($H157,Depreciation!$A$6:$L$10,9,FALSE)/2,IF($I157&lt;L$3,VLOOKUP($H157,Depreciation!$A$6:$L$10,9,FALSE),0))</f>
        <v>3.0676363676126896E-2</v>
      </c>
      <c r="M157" s="361">
        <f>+IF($I157=M$3,VLOOKUP($H157,Depreciation!$A$6:$L$10,10,FALSE)/2,IF($I157&lt;M$3,VLOOKUP($H157,Depreciation!$A$6:$L$10,10,FALSE),0))</f>
        <v>3.0676363676126896E-2</v>
      </c>
      <c r="N157" s="361">
        <f>+IF($I157=N$3,VLOOKUP($H157,Depreciation!$A$6:$L$10,11,FALSE)/2,IF($I157&lt;N$3,VLOOKUP($H157,Depreciation!$A$6:$L$10,11,FALSE),0))</f>
        <v>3.0676363676126896E-2</v>
      </c>
      <c r="O157" s="361">
        <f>+IF($I157=O$3,VLOOKUP($H157,Depreciation!$A$6:$L$10,12,FALSE)/2,IF($I157&lt;O$3,VLOOKUP($H157,Depreciation!$A$6:$L$10,12,FALSE),0))</f>
        <v>3.0676363676126896E-2</v>
      </c>
      <c r="P157" s="362">
        <f t="shared" si="8"/>
        <v>5731.936057824948</v>
      </c>
      <c r="Q157" s="362">
        <f t="shared" si="9"/>
        <v>0</v>
      </c>
      <c r="R157" s="363">
        <f t="shared" si="10"/>
        <v>5731.936057824948</v>
      </c>
      <c r="Y157" s="365"/>
    </row>
    <row r="158" spans="1:25" ht="15" customHeight="1">
      <c r="A158" s="359" t="str">
        <f>'Func Future Lines 2015'!A158</f>
        <v>PPS</v>
      </c>
      <c r="B158" s="359" t="str">
        <f>'Func Future Lines 2015'!B158</f>
        <v>717L crossing180</v>
      </c>
      <c r="C158" s="359">
        <f>'Func Future Lines 2015'!C158</f>
        <v>962</v>
      </c>
      <c r="D158" s="359">
        <f>'Func Future Lines 2015'!D158</f>
        <v>138</v>
      </c>
      <c r="E158" s="359">
        <f>'Func Future Lines 2015'!E158</f>
        <v>0</v>
      </c>
      <c r="F158" s="359">
        <f>'Func Future Lines 2015'!F158</f>
        <v>0</v>
      </c>
      <c r="G158" s="359">
        <f>'Func Future Lines 2015'!G158</f>
        <v>649.36934965969351</v>
      </c>
      <c r="H158" s="359" t="str">
        <f>'Func Future Lines 2015'!H158</f>
        <v>AltaLink</v>
      </c>
      <c r="I158" s="359">
        <f>'Func Future Lines 2015'!I158</f>
        <v>2015</v>
      </c>
      <c r="J158" s="361">
        <f>+IF($I158=J$3,VLOOKUP($H158,Depreciation!$A$6:$L$10,7,FALSE)/2,IF($I158&lt;J$3,VLOOKUP($H158,Depreciation!$A$6:$L$10,7,FALSE),0))</f>
        <v>1.595020804044691E-2</v>
      </c>
      <c r="K158" s="361">
        <f>+IF($I158=K$3,VLOOKUP($H158,Depreciation!$A$6:$L$10,8,FALSE)/2,IF($I158&lt;K$3,VLOOKUP($H158,Depreciation!$A$6:$L$10,8,FALSE),0))</f>
        <v>3.0676363676126896E-2</v>
      </c>
      <c r="L158" s="361">
        <f>+IF($I158=L$3,VLOOKUP($H158,Depreciation!$A$6:$L$10,9,FALSE)/2,IF($I158&lt;L$3,VLOOKUP($H158,Depreciation!$A$6:$L$10,9,FALSE),0))</f>
        <v>3.0676363676126896E-2</v>
      </c>
      <c r="M158" s="361">
        <f>+IF($I158=M$3,VLOOKUP($H158,Depreciation!$A$6:$L$10,10,FALSE)/2,IF($I158&lt;M$3,VLOOKUP($H158,Depreciation!$A$6:$L$10,10,FALSE),0))</f>
        <v>3.0676363676126896E-2</v>
      </c>
      <c r="N158" s="361">
        <f>+IF($I158=N$3,VLOOKUP($H158,Depreciation!$A$6:$L$10,11,FALSE)/2,IF($I158&lt;N$3,VLOOKUP($H158,Depreciation!$A$6:$L$10,11,FALSE),0))</f>
        <v>3.0676363676126896E-2</v>
      </c>
      <c r="O158" s="361">
        <f>+IF($I158=O$3,VLOOKUP($H158,Depreciation!$A$6:$L$10,12,FALSE)/2,IF($I158&lt;O$3,VLOOKUP($H158,Depreciation!$A$6:$L$10,12,FALSE),0))</f>
        <v>3.0676363676126896E-2</v>
      </c>
      <c r="P158" s="362">
        <f t="shared" si="8"/>
        <v>619.40921588223512</v>
      </c>
      <c r="Q158" s="362">
        <f t="shared" si="9"/>
        <v>0</v>
      </c>
      <c r="R158" s="363">
        <f t="shared" si="10"/>
        <v>619.40921588223512</v>
      </c>
      <c r="Y158" s="365"/>
    </row>
    <row r="159" spans="1:25" ht="15" customHeight="1">
      <c r="A159" s="359" t="str">
        <f>'Func Future Lines 2015'!A159</f>
        <v>PPS</v>
      </c>
      <c r="B159" s="359" t="str">
        <f>'Func Future Lines 2015'!B159</f>
        <v>757L crossing180</v>
      </c>
      <c r="C159" s="359">
        <f>'Func Future Lines 2015'!C159</f>
        <v>962</v>
      </c>
      <c r="D159" s="359">
        <f>'Func Future Lines 2015'!D159</f>
        <v>138</v>
      </c>
      <c r="E159" s="359">
        <f>'Func Future Lines 2015'!E159</f>
        <v>0</v>
      </c>
      <c r="F159" s="359">
        <f>'Func Future Lines 2015'!F159</f>
        <v>0</v>
      </c>
      <c r="G159" s="359">
        <f>'Func Future Lines 2015'!G159</f>
        <v>36306.794065275499</v>
      </c>
      <c r="H159" s="359" t="str">
        <f>'Func Future Lines 2015'!H159</f>
        <v>AltaLink</v>
      </c>
      <c r="I159" s="359">
        <f>'Func Future Lines 2015'!I159</f>
        <v>2015</v>
      </c>
      <c r="J159" s="361">
        <f>+IF($I159=J$3,VLOOKUP($H159,Depreciation!$A$6:$L$10,7,FALSE)/2,IF($I159&lt;J$3,VLOOKUP($H159,Depreciation!$A$6:$L$10,7,FALSE),0))</f>
        <v>1.595020804044691E-2</v>
      </c>
      <c r="K159" s="361">
        <f>+IF($I159=K$3,VLOOKUP($H159,Depreciation!$A$6:$L$10,8,FALSE)/2,IF($I159&lt;K$3,VLOOKUP($H159,Depreciation!$A$6:$L$10,8,FALSE),0))</f>
        <v>3.0676363676126896E-2</v>
      </c>
      <c r="L159" s="361">
        <f>+IF($I159=L$3,VLOOKUP($H159,Depreciation!$A$6:$L$10,9,FALSE)/2,IF($I159&lt;L$3,VLOOKUP($H159,Depreciation!$A$6:$L$10,9,FALSE),0))</f>
        <v>3.0676363676126896E-2</v>
      </c>
      <c r="M159" s="361">
        <f>+IF($I159=M$3,VLOOKUP($H159,Depreciation!$A$6:$L$10,10,FALSE)/2,IF($I159&lt;M$3,VLOOKUP($H159,Depreciation!$A$6:$L$10,10,FALSE),0))</f>
        <v>3.0676363676126896E-2</v>
      </c>
      <c r="N159" s="361">
        <f>+IF($I159=N$3,VLOOKUP($H159,Depreciation!$A$6:$L$10,11,FALSE)/2,IF($I159&lt;N$3,VLOOKUP($H159,Depreciation!$A$6:$L$10,11,FALSE),0))</f>
        <v>3.0676363676126896E-2</v>
      </c>
      <c r="O159" s="361">
        <f>+IF($I159=O$3,VLOOKUP($H159,Depreciation!$A$6:$L$10,12,FALSE)/2,IF($I159&lt;O$3,VLOOKUP($H159,Depreciation!$A$6:$L$10,12,FALSE),0))</f>
        <v>3.0676363676126896E-2</v>
      </c>
      <c r="P159" s="362">
        <f t="shared" si="8"/>
        <v>34631.697438376912</v>
      </c>
      <c r="Q159" s="362">
        <f t="shared" si="9"/>
        <v>0</v>
      </c>
      <c r="R159" s="363">
        <f t="shared" si="10"/>
        <v>34631.697438376912</v>
      </c>
      <c r="Y159" s="365"/>
    </row>
    <row r="160" spans="1:25" ht="15" customHeight="1">
      <c r="A160" s="359" t="str">
        <f>'Func Future Lines 2015'!A160</f>
        <v>PPS</v>
      </c>
      <c r="B160" s="359" t="str">
        <f>'Func Future Lines 2015'!B160</f>
        <v>809L re-route &amp; in-out</v>
      </c>
      <c r="C160" s="359">
        <f>'Func Future Lines 2015'!C160</f>
        <v>962</v>
      </c>
      <c r="D160" s="359">
        <f>'Func Future Lines 2015'!D160</f>
        <v>138</v>
      </c>
      <c r="E160" s="359">
        <f>'Func Future Lines 2015'!E160</f>
        <v>0</v>
      </c>
      <c r="F160" s="359" t="str">
        <f>'Func Future Lines 2015'!F160</f>
        <v>northwest</v>
      </c>
      <c r="G160" s="359">
        <f>'Func Future Lines 2015'!G160</f>
        <v>1102453.8091297615</v>
      </c>
      <c r="H160" s="359" t="str">
        <f>'Func Future Lines 2015'!H160</f>
        <v>EPCOR</v>
      </c>
      <c r="I160" s="359">
        <f>'Func Future Lines 2015'!I160</f>
        <v>2015</v>
      </c>
      <c r="J160" s="361">
        <f>+IF($I160=J$3,VLOOKUP($H160,Depreciation!$A$6:$L$10,7,FALSE)/2,IF($I160&lt;J$3,VLOOKUP($H160,Depreciation!$A$6:$L$10,7,FALSE),0))</f>
        <v>1.1530980651952941E-2</v>
      </c>
      <c r="K160" s="361">
        <f>+IF($I160=K$3,VLOOKUP($H160,Depreciation!$A$6:$L$10,8,FALSE)/2,IF($I160&lt;K$3,VLOOKUP($H160,Depreciation!$A$6:$L$10,8,FALSE),0))</f>
        <v>2.3062337210051284E-2</v>
      </c>
      <c r="L160" s="361">
        <f>+IF($I160=L$3,VLOOKUP($H160,Depreciation!$A$6:$L$10,9,FALSE)/2,IF($I160&lt;L$3,VLOOKUP($H160,Depreciation!$A$6:$L$10,9,FALSE),0))</f>
        <v>2.3063912319658014E-2</v>
      </c>
      <c r="M160" s="361">
        <f>+IF($I160=M$3,VLOOKUP($H160,Depreciation!$A$6:$L$10,10,FALSE)/2,IF($I160&lt;M$3,VLOOKUP($H160,Depreciation!$A$6:$L$10,10,FALSE),0))</f>
        <v>2.3063912319658014E-2</v>
      </c>
      <c r="N160" s="361">
        <f>+IF($I160=N$3,VLOOKUP($H160,Depreciation!$A$6:$L$10,11,FALSE)/2,IF($I160&lt;N$3,VLOOKUP($H160,Depreciation!$A$6:$L$10,11,FALSE),0))</f>
        <v>2.3063912319658014E-2</v>
      </c>
      <c r="O160" s="361">
        <f>+IF($I160=O$3,VLOOKUP($H160,Depreciation!$A$6:$L$10,12,FALSE)/2,IF($I160&lt;O$3,VLOOKUP($H160,Depreciation!$A$6:$L$10,12,FALSE),0))</f>
        <v>2.3063912319658014E-2</v>
      </c>
      <c r="P160" s="362">
        <f t="shared" si="8"/>
        <v>1064609.4511277415</v>
      </c>
      <c r="Q160" s="362">
        <f t="shared" si="9"/>
        <v>0</v>
      </c>
      <c r="R160" s="363">
        <f t="shared" si="10"/>
        <v>1064609.4511277415</v>
      </c>
      <c r="Y160" s="365"/>
    </row>
    <row r="161" spans="1:25" ht="15" customHeight="1">
      <c r="A161" s="359" t="str">
        <f>'Func Future Lines 2015'!A161</f>
        <v>PPS</v>
      </c>
      <c r="B161" s="359" t="str">
        <f>'Func Future Lines 2015'!B161</f>
        <v>80L crossing180</v>
      </c>
      <c r="C161" s="359">
        <f>'Func Future Lines 2015'!C161</f>
        <v>962</v>
      </c>
      <c r="D161" s="359">
        <f>'Func Future Lines 2015'!D161</f>
        <v>138</v>
      </c>
      <c r="E161" s="359">
        <f>'Func Future Lines 2015'!E161</f>
        <v>0</v>
      </c>
      <c r="F161" s="359">
        <f>'Func Future Lines 2015'!F161</f>
        <v>0</v>
      </c>
      <c r="G161" s="359">
        <f>'Func Future Lines 2015'!G161</f>
        <v>357.40483585921118</v>
      </c>
      <c r="H161" s="359" t="str">
        <f>'Func Future Lines 2015'!H161</f>
        <v>AltaLink</v>
      </c>
      <c r="I161" s="359">
        <f>'Func Future Lines 2015'!I161</f>
        <v>2015</v>
      </c>
      <c r="J161" s="361">
        <f>+IF($I161=J$3,VLOOKUP($H161,Depreciation!$A$6:$L$10,7,FALSE)/2,IF($I161&lt;J$3,VLOOKUP($H161,Depreciation!$A$6:$L$10,7,FALSE),0))</f>
        <v>1.595020804044691E-2</v>
      </c>
      <c r="K161" s="361">
        <f>+IF($I161=K$3,VLOOKUP($H161,Depreciation!$A$6:$L$10,8,FALSE)/2,IF($I161&lt;K$3,VLOOKUP($H161,Depreciation!$A$6:$L$10,8,FALSE),0))</f>
        <v>3.0676363676126896E-2</v>
      </c>
      <c r="L161" s="361">
        <f>+IF($I161=L$3,VLOOKUP($H161,Depreciation!$A$6:$L$10,9,FALSE)/2,IF($I161&lt;L$3,VLOOKUP($H161,Depreciation!$A$6:$L$10,9,FALSE),0))</f>
        <v>3.0676363676126896E-2</v>
      </c>
      <c r="M161" s="361">
        <f>+IF($I161=M$3,VLOOKUP($H161,Depreciation!$A$6:$L$10,10,FALSE)/2,IF($I161&lt;M$3,VLOOKUP($H161,Depreciation!$A$6:$L$10,10,FALSE),0))</f>
        <v>3.0676363676126896E-2</v>
      </c>
      <c r="N161" s="361">
        <f>+IF($I161=N$3,VLOOKUP($H161,Depreciation!$A$6:$L$10,11,FALSE)/2,IF($I161&lt;N$3,VLOOKUP($H161,Depreciation!$A$6:$L$10,11,FALSE),0))</f>
        <v>3.0676363676126896E-2</v>
      </c>
      <c r="O161" s="361">
        <f>+IF($I161=O$3,VLOOKUP($H161,Depreciation!$A$6:$L$10,12,FALSE)/2,IF($I161&lt;O$3,VLOOKUP($H161,Depreciation!$A$6:$L$10,12,FALSE),0))</f>
        <v>3.0676363676126896E-2</v>
      </c>
      <c r="P161" s="362">
        <f t="shared" si="8"/>
        <v>340.9151498266566</v>
      </c>
      <c r="Q161" s="362">
        <f t="shared" si="9"/>
        <v>0</v>
      </c>
      <c r="R161" s="363">
        <f t="shared" si="10"/>
        <v>340.9151498266566</v>
      </c>
      <c r="Y161" s="365"/>
    </row>
    <row r="162" spans="1:25" ht="15" customHeight="1">
      <c r="A162" s="359" t="str">
        <f>'Func Future Lines 2015'!A162</f>
        <v>PPS</v>
      </c>
      <c r="B162" s="359" t="str">
        <f>'Func Future Lines 2015'!B162</f>
        <v>906L / 928L 180</v>
      </c>
      <c r="C162" s="359">
        <f>'Func Future Lines 2015'!C162</f>
        <v>962</v>
      </c>
      <c r="D162" s="359">
        <f>'Func Future Lines 2015'!D162</f>
        <v>240</v>
      </c>
      <c r="E162" s="359">
        <f>'Func Future Lines 2015'!E162</f>
        <v>0</v>
      </c>
      <c r="F162" s="359">
        <f>'Func Future Lines 2015'!F162</f>
        <v>0</v>
      </c>
      <c r="G162" s="359">
        <f>'Func Future Lines 2015'!G162</f>
        <v>3139139.5289961915</v>
      </c>
      <c r="H162" s="359" t="str">
        <f>'Func Future Lines 2015'!H162</f>
        <v>AltaLink</v>
      </c>
      <c r="I162" s="359">
        <f>'Func Future Lines 2015'!I162</f>
        <v>2015</v>
      </c>
      <c r="J162" s="361">
        <f>+IF($I162=J$3,VLOOKUP($H162,Depreciation!$A$6:$L$10,7,FALSE)/2,IF($I162&lt;J$3,VLOOKUP($H162,Depreciation!$A$6:$L$10,7,FALSE),0))</f>
        <v>1.595020804044691E-2</v>
      </c>
      <c r="K162" s="361">
        <f>+IF($I162=K$3,VLOOKUP($H162,Depreciation!$A$6:$L$10,8,FALSE)/2,IF($I162&lt;K$3,VLOOKUP($H162,Depreciation!$A$6:$L$10,8,FALSE),0))</f>
        <v>3.0676363676126896E-2</v>
      </c>
      <c r="L162" s="361">
        <f>+IF($I162=L$3,VLOOKUP($H162,Depreciation!$A$6:$L$10,9,FALSE)/2,IF($I162&lt;L$3,VLOOKUP($H162,Depreciation!$A$6:$L$10,9,FALSE),0))</f>
        <v>3.0676363676126896E-2</v>
      </c>
      <c r="M162" s="361">
        <f>+IF($I162=M$3,VLOOKUP($H162,Depreciation!$A$6:$L$10,10,FALSE)/2,IF($I162&lt;M$3,VLOOKUP($H162,Depreciation!$A$6:$L$10,10,FALSE),0))</f>
        <v>3.0676363676126896E-2</v>
      </c>
      <c r="N162" s="361">
        <f>+IF($I162=N$3,VLOOKUP($H162,Depreciation!$A$6:$L$10,11,FALSE)/2,IF($I162&lt;N$3,VLOOKUP($H162,Depreciation!$A$6:$L$10,11,FALSE),0))</f>
        <v>3.0676363676126896E-2</v>
      </c>
      <c r="O162" s="361">
        <f>+IF($I162=O$3,VLOOKUP($H162,Depreciation!$A$6:$L$10,12,FALSE)/2,IF($I162&lt;O$3,VLOOKUP($H162,Depreciation!$A$6:$L$10,12,FALSE),0))</f>
        <v>3.0676363676126896E-2</v>
      </c>
      <c r="P162" s="362">
        <f t="shared" si="8"/>
        <v>2994308.1779567245</v>
      </c>
      <c r="Q162" s="362">
        <f t="shared" si="9"/>
        <v>2994308.1779567245</v>
      </c>
      <c r="R162" s="363">
        <f t="shared" si="10"/>
        <v>0</v>
      </c>
      <c r="Y162" s="365"/>
    </row>
    <row r="163" spans="1:25" ht="15" customHeight="1">
      <c r="A163" s="359" t="str">
        <f>'Func Future Lines 2015'!A163</f>
        <v>PPS</v>
      </c>
      <c r="B163" s="359" t="str">
        <f>'Func Future Lines 2015'!B163</f>
        <v>918L 180</v>
      </c>
      <c r="C163" s="359">
        <f>'Func Future Lines 2015'!C163</f>
        <v>962</v>
      </c>
      <c r="D163" s="359">
        <f>'Func Future Lines 2015'!D163</f>
        <v>240</v>
      </c>
      <c r="E163" s="359">
        <f>'Func Future Lines 2015'!E163</f>
        <v>0</v>
      </c>
      <c r="F163" s="359">
        <f>'Func Future Lines 2015'!F163</f>
        <v>0</v>
      </c>
      <c r="G163" s="359">
        <f>'Func Future Lines 2015'!G163</f>
        <v>2722397.9395779595</v>
      </c>
      <c r="H163" s="359" t="str">
        <f>'Func Future Lines 2015'!H163</f>
        <v>AltaLink</v>
      </c>
      <c r="I163" s="359">
        <f>'Func Future Lines 2015'!I163</f>
        <v>2015</v>
      </c>
      <c r="J163" s="361">
        <f>+IF($I163=J$3,VLOOKUP($H163,Depreciation!$A$6:$L$10,7,FALSE)/2,IF($I163&lt;J$3,VLOOKUP($H163,Depreciation!$A$6:$L$10,7,FALSE),0))</f>
        <v>1.595020804044691E-2</v>
      </c>
      <c r="K163" s="361">
        <f>+IF($I163=K$3,VLOOKUP($H163,Depreciation!$A$6:$L$10,8,FALSE)/2,IF($I163&lt;K$3,VLOOKUP($H163,Depreciation!$A$6:$L$10,8,FALSE),0))</f>
        <v>3.0676363676126896E-2</v>
      </c>
      <c r="L163" s="361">
        <f>+IF($I163=L$3,VLOOKUP($H163,Depreciation!$A$6:$L$10,9,FALSE)/2,IF($I163&lt;L$3,VLOOKUP($H163,Depreciation!$A$6:$L$10,9,FALSE),0))</f>
        <v>3.0676363676126896E-2</v>
      </c>
      <c r="M163" s="361">
        <f>+IF($I163=M$3,VLOOKUP($H163,Depreciation!$A$6:$L$10,10,FALSE)/2,IF($I163&lt;M$3,VLOOKUP($H163,Depreciation!$A$6:$L$10,10,FALSE),0))</f>
        <v>3.0676363676126896E-2</v>
      </c>
      <c r="N163" s="361">
        <f>+IF($I163=N$3,VLOOKUP($H163,Depreciation!$A$6:$L$10,11,FALSE)/2,IF($I163&lt;N$3,VLOOKUP($H163,Depreciation!$A$6:$L$10,11,FALSE),0))</f>
        <v>3.0676363676126896E-2</v>
      </c>
      <c r="O163" s="361">
        <f>+IF($I163=O$3,VLOOKUP($H163,Depreciation!$A$6:$L$10,12,FALSE)/2,IF($I163&lt;O$3,VLOOKUP($H163,Depreciation!$A$6:$L$10,12,FALSE),0))</f>
        <v>3.0676363676126896E-2</v>
      </c>
      <c r="P163" s="362">
        <f t="shared" si="8"/>
        <v>2596793.9108261</v>
      </c>
      <c r="Q163" s="362">
        <f t="shared" si="9"/>
        <v>2596793.9108261</v>
      </c>
      <c r="R163" s="363">
        <f t="shared" si="10"/>
        <v>0</v>
      </c>
      <c r="Y163" s="365"/>
    </row>
    <row r="164" spans="1:25">
      <c r="A164" s="359" t="str">
        <f>'Func Future Lines 2015'!A164</f>
        <v>PPS</v>
      </c>
      <c r="B164" s="359" t="str">
        <f>'Func Future Lines 2015'!B164</f>
        <v>924L / 927L</v>
      </c>
      <c r="C164" s="359">
        <f>'Func Future Lines 2015'!C164</f>
        <v>962</v>
      </c>
      <c r="D164" s="359">
        <f>'Func Future Lines 2015'!D164</f>
        <v>240</v>
      </c>
      <c r="E164" s="359">
        <f>'Func Future Lines 2015'!E164</f>
        <v>0</v>
      </c>
      <c r="F164" s="359">
        <f>'Func Future Lines 2015'!F164</f>
        <v>0</v>
      </c>
      <c r="G164" s="359">
        <f>'Func Future Lines 2015'!G164</f>
        <v>1942419.7748308987</v>
      </c>
      <c r="H164" s="359" t="str">
        <f>'Func Future Lines 2015'!H164</f>
        <v>AltaLink</v>
      </c>
      <c r="I164" s="359">
        <f>'Func Future Lines 2015'!I164</f>
        <v>2015</v>
      </c>
      <c r="J164" s="361">
        <f>+IF($I164=J$3,VLOOKUP($H164,Depreciation!$A$6:$L$10,7,FALSE)/2,IF($I164&lt;J$3,VLOOKUP($H164,Depreciation!$A$6:$L$10,7,FALSE),0))</f>
        <v>1.595020804044691E-2</v>
      </c>
      <c r="K164" s="361">
        <f>+IF($I164=K$3,VLOOKUP($H164,Depreciation!$A$6:$L$10,8,FALSE)/2,IF($I164&lt;K$3,VLOOKUP($H164,Depreciation!$A$6:$L$10,8,FALSE),0))</f>
        <v>3.0676363676126896E-2</v>
      </c>
      <c r="L164" s="361">
        <f>+IF($I164=L$3,VLOOKUP($H164,Depreciation!$A$6:$L$10,9,FALSE)/2,IF($I164&lt;L$3,VLOOKUP($H164,Depreciation!$A$6:$L$10,9,FALSE),0))</f>
        <v>3.0676363676126896E-2</v>
      </c>
      <c r="M164" s="361">
        <f>+IF($I164=M$3,VLOOKUP($H164,Depreciation!$A$6:$L$10,10,FALSE)/2,IF($I164&lt;M$3,VLOOKUP($H164,Depreciation!$A$6:$L$10,10,FALSE),0))</f>
        <v>3.0676363676126896E-2</v>
      </c>
      <c r="N164" s="361">
        <f>+IF($I164=N$3,VLOOKUP($H164,Depreciation!$A$6:$L$10,11,FALSE)/2,IF($I164&lt;N$3,VLOOKUP($H164,Depreciation!$A$6:$L$10,11,FALSE),0))</f>
        <v>3.0676363676126896E-2</v>
      </c>
      <c r="O164" s="361">
        <f>+IF($I164=O$3,VLOOKUP($H164,Depreciation!$A$6:$L$10,12,FALSE)/2,IF($I164&lt;O$3,VLOOKUP($H164,Depreciation!$A$6:$L$10,12,FALSE),0))</f>
        <v>3.0676363676126896E-2</v>
      </c>
      <c r="P164" s="362">
        <f t="shared" si="8"/>
        <v>1852801.8149804503</v>
      </c>
      <c r="Q164" s="362">
        <f t="shared" si="9"/>
        <v>1852801.8149804503</v>
      </c>
      <c r="R164" s="363">
        <f t="shared" si="10"/>
        <v>0</v>
      </c>
    </row>
    <row r="165" spans="1:25">
      <c r="A165" s="359" t="str">
        <f>'Func Future Lines 2015'!A165</f>
        <v>PPS</v>
      </c>
      <c r="B165" s="359" t="str">
        <f>'Func Future Lines 2015'!B165</f>
        <v>925L / 929L 180</v>
      </c>
      <c r="C165" s="359">
        <f>'Func Future Lines 2015'!C165</f>
        <v>962</v>
      </c>
      <c r="D165" s="359">
        <f>'Func Future Lines 2015'!D165</f>
        <v>240</v>
      </c>
      <c r="E165" s="359">
        <f>'Func Future Lines 2015'!E165</f>
        <v>0</v>
      </c>
      <c r="F165" s="359">
        <f>'Func Future Lines 2015'!F165</f>
        <v>0</v>
      </c>
      <c r="G165" s="359">
        <f>'Func Future Lines 2015'!G165</f>
        <v>5765561.6854686337</v>
      </c>
      <c r="H165" s="359" t="str">
        <f>'Func Future Lines 2015'!H165</f>
        <v>AltaLink</v>
      </c>
      <c r="I165" s="359">
        <f>'Func Future Lines 2015'!I165</f>
        <v>2015</v>
      </c>
      <c r="J165" s="361">
        <f>+IF($I165=J$3,VLOOKUP($H165,Depreciation!$A$6:$L$10,7,FALSE)/2,IF($I165&lt;J$3,VLOOKUP($H165,Depreciation!$A$6:$L$10,7,FALSE),0))</f>
        <v>1.595020804044691E-2</v>
      </c>
      <c r="K165" s="361">
        <f>+IF($I165=K$3,VLOOKUP($H165,Depreciation!$A$6:$L$10,8,FALSE)/2,IF($I165&lt;K$3,VLOOKUP($H165,Depreciation!$A$6:$L$10,8,FALSE),0))</f>
        <v>3.0676363676126896E-2</v>
      </c>
      <c r="L165" s="361">
        <f>+IF($I165=L$3,VLOOKUP($H165,Depreciation!$A$6:$L$10,9,FALSE)/2,IF($I165&lt;L$3,VLOOKUP($H165,Depreciation!$A$6:$L$10,9,FALSE),0))</f>
        <v>3.0676363676126896E-2</v>
      </c>
      <c r="M165" s="361">
        <f>+IF($I165=M$3,VLOOKUP($H165,Depreciation!$A$6:$L$10,10,FALSE)/2,IF($I165&lt;M$3,VLOOKUP($H165,Depreciation!$A$6:$L$10,10,FALSE),0))</f>
        <v>3.0676363676126896E-2</v>
      </c>
      <c r="N165" s="361">
        <f>+IF($I165=N$3,VLOOKUP($H165,Depreciation!$A$6:$L$10,11,FALSE)/2,IF($I165&lt;N$3,VLOOKUP($H165,Depreciation!$A$6:$L$10,11,FALSE),0))</f>
        <v>3.0676363676126896E-2</v>
      </c>
      <c r="O165" s="361">
        <f>+IF($I165=O$3,VLOOKUP($H165,Depreciation!$A$6:$L$10,12,FALSE)/2,IF($I165&lt;O$3,VLOOKUP($H165,Depreciation!$A$6:$L$10,12,FALSE),0))</f>
        <v>3.0676363676126896E-2</v>
      </c>
      <c r="P165" s="362">
        <f t="shared" si="8"/>
        <v>5499554.3669997957</v>
      </c>
      <c r="Q165" s="362">
        <f t="shared" si="9"/>
        <v>5499554.3669997957</v>
      </c>
      <c r="R165" s="363">
        <f t="shared" si="10"/>
        <v>0</v>
      </c>
    </row>
    <row r="166" spans="1:25">
      <c r="A166" s="359" t="str">
        <f>'Func Future Lines 2015'!A166</f>
        <v>PPS</v>
      </c>
      <c r="B166" s="359" t="str">
        <f>'Func Future Lines 2015'!B166</f>
        <v>936L / 937L</v>
      </c>
      <c r="C166" s="359">
        <f>'Func Future Lines 2015'!C166</f>
        <v>962</v>
      </c>
      <c r="D166" s="359">
        <f>'Func Future Lines 2015'!D166</f>
        <v>240</v>
      </c>
      <c r="E166" s="359">
        <f>'Func Future Lines 2015'!E166</f>
        <v>0</v>
      </c>
      <c r="F166" s="359">
        <f>'Func Future Lines 2015'!F166</f>
        <v>0</v>
      </c>
      <c r="G166" s="359">
        <f>'Func Future Lines 2015'!G166</f>
        <v>2839515.9805793739</v>
      </c>
      <c r="H166" s="359" t="str">
        <f>'Func Future Lines 2015'!H166</f>
        <v>AltaLink</v>
      </c>
      <c r="I166" s="359">
        <f>'Func Future Lines 2015'!I166</f>
        <v>2015</v>
      </c>
      <c r="J166" s="361">
        <f>+IF($I166=J$3,VLOOKUP($H166,Depreciation!$A$6:$L$10,7,FALSE)/2,IF($I166&lt;J$3,VLOOKUP($H166,Depreciation!$A$6:$L$10,7,FALSE),0))</f>
        <v>1.595020804044691E-2</v>
      </c>
      <c r="K166" s="361">
        <f>+IF($I166=K$3,VLOOKUP($H166,Depreciation!$A$6:$L$10,8,FALSE)/2,IF($I166&lt;K$3,VLOOKUP($H166,Depreciation!$A$6:$L$10,8,FALSE),0))</f>
        <v>3.0676363676126896E-2</v>
      </c>
      <c r="L166" s="361">
        <f>+IF($I166=L$3,VLOOKUP($H166,Depreciation!$A$6:$L$10,9,FALSE)/2,IF($I166&lt;L$3,VLOOKUP($H166,Depreciation!$A$6:$L$10,9,FALSE),0))</f>
        <v>3.0676363676126896E-2</v>
      </c>
      <c r="M166" s="361">
        <f>+IF($I166=M$3,VLOOKUP($H166,Depreciation!$A$6:$L$10,10,FALSE)/2,IF($I166&lt;M$3,VLOOKUP($H166,Depreciation!$A$6:$L$10,10,FALSE),0))</f>
        <v>3.0676363676126896E-2</v>
      </c>
      <c r="N166" s="361">
        <f>+IF($I166=N$3,VLOOKUP($H166,Depreciation!$A$6:$L$10,11,FALSE)/2,IF($I166&lt;N$3,VLOOKUP($H166,Depreciation!$A$6:$L$10,11,FALSE),0))</f>
        <v>3.0676363676126896E-2</v>
      </c>
      <c r="O166" s="361">
        <f>+IF($I166=O$3,VLOOKUP($H166,Depreciation!$A$6:$L$10,12,FALSE)/2,IF($I166&lt;O$3,VLOOKUP($H166,Depreciation!$A$6:$L$10,12,FALSE),0))</f>
        <v>3.0676363676126896E-2</v>
      </c>
      <c r="P166" s="362">
        <f t="shared" si="8"/>
        <v>2708508.4442890151</v>
      </c>
      <c r="Q166" s="362">
        <f t="shared" si="9"/>
        <v>2708508.4442890151</v>
      </c>
      <c r="R166" s="363">
        <f t="shared" si="10"/>
        <v>0</v>
      </c>
    </row>
    <row r="167" spans="1:25">
      <c r="A167" s="359" t="str">
        <f>'Func Future Lines 2015'!A167</f>
        <v>`+/-5%</v>
      </c>
      <c r="B167" s="359" t="str">
        <f>'Func Future Lines 2015'!B167</f>
        <v>HVDC Line 1325L</v>
      </c>
      <c r="C167" s="359">
        <f>'Func Future Lines 2015'!C167</f>
        <v>962</v>
      </c>
      <c r="D167" s="359">
        <f>'Func Future Lines 2015'!D167</f>
        <v>500</v>
      </c>
      <c r="E167" s="359">
        <f>'Func Future Lines 2015'!E167</f>
        <v>0</v>
      </c>
      <c r="F167" s="359">
        <f>'Func Future Lines 2015'!F167</f>
        <v>0</v>
      </c>
      <c r="G167" s="359">
        <f>'Func Future Lines 2015'!G167</f>
        <v>968825472.25300002</v>
      </c>
      <c r="H167" s="359" t="str">
        <f>'Func Future Lines 2015'!H167</f>
        <v>AltaLink</v>
      </c>
      <c r="I167" s="359">
        <f>'Func Future Lines 2015'!I167</f>
        <v>2015</v>
      </c>
      <c r="J167" s="361">
        <f>+IF($I167=J$3,VLOOKUP($H167,Depreciation!$A$6:$L$10,7,FALSE)/2,IF($I167&lt;J$3,VLOOKUP($H167,Depreciation!$A$6:$L$10,7,FALSE),0))</f>
        <v>1.595020804044691E-2</v>
      </c>
      <c r="K167" s="361">
        <f>+IF($I167=K$3,VLOOKUP($H167,Depreciation!$A$6:$L$10,8,FALSE)/2,IF($I167&lt;K$3,VLOOKUP($H167,Depreciation!$A$6:$L$10,8,FALSE),0))</f>
        <v>3.0676363676126896E-2</v>
      </c>
      <c r="L167" s="361">
        <f>+IF($I167=L$3,VLOOKUP($H167,Depreciation!$A$6:$L$10,9,FALSE)/2,IF($I167&lt;L$3,VLOOKUP($H167,Depreciation!$A$6:$L$10,9,FALSE),0))</f>
        <v>3.0676363676126896E-2</v>
      </c>
      <c r="M167" s="361">
        <f>+IF($I167=M$3,VLOOKUP($H167,Depreciation!$A$6:$L$10,10,FALSE)/2,IF($I167&lt;M$3,VLOOKUP($H167,Depreciation!$A$6:$L$10,10,FALSE),0))</f>
        <v>3.0676363676126896E-2</v>
      </c>
      <c r="N167" s="361">
        <f>+IF($I167=N$3,VLOOKUP($H167,Depreciation!$A$6:$L$10,11,FALSE)/2,IF($I167&lt;N$3,VLOOKUP($H167,Depreciation!$A$6:$L$10,11,FALSE),0))</f>
        <v>3.0676363676126896E-2</v>
      </c>
      <c r="O167" s="361">
        <f>+IF($I167=O$3,VLOOKUP($H167,Depreciation!$A$6:$L$10,12,FALSE)/2,IF($I167&lt;O$3,VLOOKUP($H167,Depreciation!$A$6:$L$10,12,FALSE),0))</f>
        <v>3.0676363676126896E-2</v>
      </c>
      <c r="P167" s="362">
        <f t="shared" si="8"/>
        <v>924126502.75140512</v>
      </c>
      <c r="Q167" s="362">
        <f t="shared" si="9"/>
        <v>924126502.75140512</v>
      </c>
      <c r="R167" s="363">
        <f t="shared" si="10"/>
        <v>0</v>
      </c>
    </row>
    <row r="168" spans="1:25">
      <c r="A168" s="359" t="str">
        <f>'Func Future Lines 2015'!A168</f>
        <v>PPS</v>
      </c>
      <c r="B168" s="359" t="str">
        <f>'Func Future Lines 2015'!B168</f>
        <v>1099L180</v>
      </c>
      <c r="C168" s="359">
        <f>'Func Future Lines 2015'!C168</f>
        <v>1101</v>
      </c>
      <c r="D168" s="359">
        <f>'Func Future Lines 2015'!D168</f>
        <v>240</v>
      </c>
      <c r="E168" s="359">
        <f>'Func Future Lines 2015'!E168</f>
        <v>0</v>
      </c>
      <c r="F168" s="359" t="str">
        <f>'Func Future Lines 2015'!F168</f>
        <v>Fort McMurray</v>
      </c>
      <c r="G168" s="359">
        <f>'Func Future Lines 2015'!G168</f>
        <v>1698665.125113552</v>
      </c>
      <c r="H168" s="359" t="str">
        <f>'Func Future Lines 2015'!H168</f>
        <v>AltaLink</v>
      </c>
      <c r="I168" s="359">
        <f>'Func Future Lines 2015'!I168</f>
        <v>2016</v>
      </c>
      <c r="J168" s="361">
        <f>+IF($I168=J$3,VLOOKUP($H168,Depreciation!$A$6:$L$10,7,FALSE)/2,IF($I168&lt;J$3,VLOOKUP($H168,Depreciation!$A$6:$L$10,7,FALSE),0))</f>
        <v>0</v>
      </c>
      <c r="K168" s="361">
        <f>+IF($I168=K$3,VLOOKUP($H168,Depreciation!$A$6:$L$10,8,FALSE)/2,IF($I168&lt;K$3,VLOOKUP($H168,Depreciation!$A$6:$L$10,8,FALSE),0))</f>
        <v>1.5338181838063448E-2</v>
      </c>
      <c r="L168" s="361">
        <f>+IF($I168=L$3,VLOOKUP($H168,Depreciation!$A$6:$L$10,9,FALSE)/2,IF($I168&lt;L$3,VLOOKUP($H168,Depreciation!$A$6:$L$10,9,FALSE),0))</f>
        <v>3.0676363676126896E-2</v>
      </c>
      <c r="M168" s="361">
        <f>+IF($I168=M$3,VLOOKUP($H168,Depreciation!$A$6:$L$10,10,FALSE)/2,IF($I168&lt;M$3,VLOOKUP($H168,Depreciation!$A$6:$L$10,10,FALSE),0))</f>
        <v>3.0676363676126896E-2</v>
      </c>
      <c r="N168" s="361">
        <f>+IF($I168=N$3,VLOOKUP($H168,Depreciation!$A$6:$L$10,11,FALSE)/2,IF($I168&lt;N$3,VLOOKUP($H168,Depreciation!$A$6:$L$10,11,FALSE),0))</f>
        <v>3.0676363676126896E-2</v>
      </c>
      <c r="O168" s="361">
        <f>+IF($I168=O$3,VLOOKUP($H168,Depreciation!$A$6:$L$10,12,FALSE)/2,IF($I168&lt;O$3,VLOOKUP($H168,Depreciation!$A$6:$L$10,12,FALSE),0))</f>
        <v>3.0676363676126896E-2</v>
      </c>
      <c r="P168" s="362">
        <f t="shared" si="8"/>
        <v>1672610.6905425836</v>
      </c>
      <c r="Q168" s="362">
        <f t="shared" si="9"/>
        <v>1672610.6905425836</v>
      </c>
      <c r="R168" s="363">
        <f t="shared" si="10"/>
        <v>0</v>
      </c>
    </row>
    <row r="169" spans="1:25">
      <c r="A169" s="359" t="str">
        <f>'Func Future Lines 2015'!A169</f>
        <v>PPS</v>
      </c>
      <c r="B169" s="359" t="str">
        <f>'Func Future Lines 2015'!B169</f>
        <v>1115L180</v>
      </c>
      <c r="C169" s="359">
        <f>'Func Future Lines 2015'!C169</f>
        <v>1101</v>
      </c>
      <c r="D169" s="359">
        <f>'Func Future Lines 2015'!D169</f>
        <v>240</v>
      </c>
      <c r="E169" s="359">
        <f>'Func Future Lines 2015'!E169</f>
        <v>0</v>
      </c>
      <c r="F169" s="359" t="str">
        <f>'Func Future Lines 2015'!F169</f>
        <v>Fort McMurray</v>
      </c>
      <c r="G169" s="359">
        <f>'Func Future Lines 2015'!G169</f>
        <v>84737752.660274148</v>
      </c>
      <c r="H169" s="359" t="str">
        <f>'Func Future Lines 2015'!H169</f>
        <v>AltaLink</v>
      </c>
      <c r="I169" s="359">
        <f>'Func Future Lines 2015'!I169</f>
        <v>2016</v>
      </c>
      <c r="J169" s="361">
        <f>+IF($I169=J$3,VLOOKUP($H169,Depreciation!$A$6:$L$10,7,FALSE)/2,IF($I169&lt;J$3,VLOOKUP($H169,Depreciation!$A$6:$L$10,7,FALSE),0))</f>
        <v>0</v>
      </c>
      <c r="K169" s="361">
        <f>+IF($I169=K$3,VLOOKUP($H169,Depreciation!$A$6:$L$10,8,FALSE)/2,IF($I169&lt;K$3,VLOOKUP($H169,Depreciation!$A$6:$L$10,8,FALSE),0))</f>
        <v>1.5338181838063448E-2</v>
      </c>
      <c r="L169" s="361">
        <f>+IF($I169=L$3,VLOOKUP($H169,Depreciation!$A$6:$L$10,9,FALSE)/2,IF($I169&lt;L$3,VLOOKUP($H169,Depreciation!$A$6:$L$10,9,FALSE),0))</f>
        <v>3.0676363676126896E-2</v>
      </c>
      <c r="M169" s="361">
        <f>+IF($I169=M$3,VLOOKUP($H169,Depreciation!$A$6:$L$10,10,FALSE)/2,IF($I169&lt;M$3,VLOOKUP($H169,Depreciation!$A$6:$L$10,10,FALSE),0))</f>
        <v>3.0676363676126896E-2</v>
      </c>
      <c r="N169" s="361">
        <f>+IF($I169=N$3,VLOOKUP($H169,Depreciation!$A$6:$L$10,11,FALSE)/2,IF($I169&lt;N$3,VLOOKUP($H169,Depreciation!$A$6:$L$10,11,FALSE),0))</f>
        <v>3.0676363676126896E-2</v>
      </c>
      <c r="O169" s="361">
        <f>+IF($I169=O$3,VLOOKUP($H169,Depreciation!$A$6:$L$10,12,FALSE)/2,IF($I169&lt;O$3,VLOOKUP($H169,Depreciation!$A$6:$L$10,12,FALSE),0))</f>
        <v>3.0676363676126896E-2</v>
      </c>
      <c r="P169" s="362">
        <f t="shared" si="8"/>
        <v>83438029.601422012</v>
      </c>
      <c r="Q169" s="362">
        <f t="shared" si="9"/>
        <v>83438029.601422012</v>
      </c>
      <c r="R169" s="363">
        <f t="shared" si="10"/>
        <v>0</v>
      </c>
    </row>
    <row r="170" spans="1:25">
      <c r="A170" s="359" t="str">
        <f>'Func Future Lines 2015'!A170</f>
        <v>PPS</v>
      </c>
      <c r="B170" s="359" t="str">
        <f>'Func Future Lines 2015'!B170</f>
        <v>1116L 180</v>
      </c>
      <c r="C170" s="359">
        <f>'Func Future Lines 2015'!C170</f>
        <v>1101</v>
      </c>
      <c r="D170" s="359">
        <f>'Func Future Lines 2015'!D170</f>
        <v>240</v>
      </c>
      <c r="E170" s="359">
        <f>'Func Future Lines 2015'!E170</f>
        <v>0</v>
      </c>
      <c r="F170" s="359" t="str">
        <f>'Func Future Lines 2015'!F170</f>
        <v>Fort McMurray</v>
      </c>
      <c r="G170" s="359">
        <f>'Func Future Lines 2015'!G170</f>
        <v>87576930.822218701</v>
      </c>
      <c r="H170" s="359" t="str">
        <f>'Func Future Lines 2015'!H170</f>
        <v>AltaLink</v>
      </c>
      <c r="I170" s="359">
        <f>'Func Future Lines 2015'!I170</f>
        <v>2016</v>
      </c>
      <c r="J170" s="361">
        <f>+IF($I170=J$3,VLOOKUP($H170,Depreciation!$A$6:$L$10,7,FALSE)/2,IF($I170&lt;J$3,VLOOKUP($H170,Depreciation!$A$6:$L$10,7,FALSE),0))</f>
        <v>0</v>
      </c>
      <c r="K170" s="361">
        <f>+IF($I170=K$3,VLOOKUP($H170,Depreciation!$A$6:$L$10,8,FALSE)/2,IF($I170&lt;K$3,VLOOKUP($H170,Depreciation!$A$6:$L$10,8,FALSE),0))</f>
        <v>1.5338181838063448E-2</v>
      </c>
      <c r="L170" s="361">
        <f>+IF($I170=L$3,VLOOKUP($H170,Depreciation!$A$6:$L$10,9,FALSE)/2,IF($I170&lt;L$3,VLOOKUP($H170,Depreciation!$A$6:$L$10,9,FALSE),0))</f>
        <v>3.0676363676126896E-2</v>
      </c>
      <c r="M170" s="361">
        <f>+IF($I170=M$3,VLOOKUP($H170,Depreciation!$A$6:$L$10,10,FALSE)/2,IF($I170&lt;M$3,VLOOKUP($H170,Depreciation!$A$6:$L$10,10,FALSE),0))</f>
        <v>3.0676363676126896E-2</v>
      </c>
      <c r="N170" s="361">
        <f>+IF($I170=N$3,VLOOKUP($H170,Depreciation!$A$6:$L$10,11,FALSE)/2,IF($I170&lt;N$3,VLOOKUP($H170,Depreciation!$A$6:$L$10,11,FALSE),0))</f>
        <v>3.0676363676126896E-2</v>
      </c>
      <c r="O170" s="361">
        <f>+IF($I170=O$3,VLOOKUP($H170,Depreciation!$A$6:$L$10,12,FALSE)/2,IF($I170&lt;O$3,VLOOKUP($H170,Depreciation!$A$6:$L$10,12,FALSE),0))</f>
        <v>3.0676363676126896E-2</v>
      </c>
      <c r="P170" s="362">
        <f t="shared" si="8"/>
        <v>86233659.932448</v>
      </c>
      <c r="Q170" s="362">
        <f t="shared" si="9"/>
        <v>86233659.932448</v>
      </c>
      <c r="R170" s="363">
        <f t="shared" si="10"/>
        <v>0</v>
      </c>
    </row>
    <row r="171" spans="1:25">
      <c r="A171" s="359" t="str">
        <f>'Func Future Lines 2015'!A171</f>
        <v>PPS</v>
      </c>
      <c r="B171" s="359" t="str">
        <f>'Func Future Lines 2015'!B171</f>
        <v>1117L 180</v>
      </c>
      <c r="C171" s="359">
        <f>'Func Future Lines 2015'!C171</f>
        <v>1101</v>
      </c>
      <c r="D171" s="359">
        <f>'Func Future Lines 2015'!D171</f>
        <v>240</v>
      </c>
      <c r="E171" s="359">
        <f>'Func Future Lines 2015'!E171</f>
        <v>0</v>
      </c>
      <c r="F171" s="359" t="str">
        <f>'Func Future Lines 2015'!F171</f>
        <v>Fort McMurray</v>
      </c>
      <c r="G171" s="359">
        <f>'Func Future Lines 2015'!G171</f>
        <v>191472515.65566897</v>
      </c>
      <c r="H171" s="359" t="str">
        <f>'Func Future Lines 2015'!H171</f>
        <v>AltaLink</v>
      </c>
      <c r="I171" s="359">
        <f>'Func Future Lines 2015'!I171</f>
        <v>2016</v>
      </c>
      <c r="J171" s="361">
        <f>+IF($I171=J$3,VLOOKUP($H171,Depreciation!$A$6:$L$10,7,FALSE)/2,IF($I171&lt;J$3,VLOOKUP($H171,Depreciation!$A$6:$L$10,7,FALSE),0))</f>
        <v>0</v>
      </c>
      <c r="K171" s="361">
        <f>+IF($I171=K$3,VLOOKUP($H171,Depreciation!$A$6:$L$10,8,FALSE)/2,IF($I171&lt;K$3,VLOOKUP($H171,Depreciation!$A$6:$L$10,8,FALSE),0))</f>
        <v>1.5338181838063448E-2</v>
      </c>
      <c r="L171" s="361">
        <f>+IF($I171=L$3,VLOOKUP($H171,Depreciation!$A$6:$L$10,9,FALSE)/2,IF($I171&lt;L$3,VLOOKUP($H171,Depreciation!$A$6:$L$10,9,FALSE),0))</f>
        <v>3.0676363676126896E-2</v>
      </c>
      <c r="M171" s="361">
        <f>+IF($I171=M$3,VLOOKUP($H171,Depreciation!$A$6:$L$10,10,FALSE)/2,IF($I171&lt;M$3,VLOOKUP($H171,Depreciation!$A$6:$L$10,10,FALSE),0))</f>
        <v>3.0676363676126896E-2</v>
      </c>
      <c r="N171" s="361">
        <f>+IF($I171=N$3,VLOOKUP($H171,Depreciation!$A$6:$L$10,11,FALSE)/2,IF($I171&lt;N$3,VLOOKUP($H171,Depreciation!$A$6:$L$10,11,FALSE),0))</f>
        <v>3.0676363676126896E-2</v>
      </c>
      <c r="O171" s="361">
        <f>+IF($I171=O$3,VLOOKUP($H171,Depreciation!$A$6:$L$10,12,FALSE)/2,IF($I171&lt;O$3,VLOOKUP($H171,Depreciation!$A$6:$L$10,12,FALSE),0))</f>
        <v>3.0676363676126896E-2</v>
      </c>
      <c r="P171" s="362">
        <f t="shared" si="8"/>
        <v>188535675.39355087</v>
      </c>
      <c r="Q171" s="362">
        <f t="shared" si="9"/>
        <v>188535675.39355087</v>
      </c>
      <c r="R171" s="363">
        <f t="shared" si="10"/>
        <v>0</v>
      </c>
    </row>
    <row r="172" spans="1:25">
      <c r="A172" s="359" t="str">
        <f>'Func Future Lines 2015'!A172</f>
        <v>PPS</v>
      </c>
      <c r="B172" s="359" t="str">
        <f>'Func Future Lines 2015'!B172</f>
        <v>428L/457L 180</v>
      </c>
      <c r="C172" s="359">
        <f>'Func Future Lines 2015'!C172</f>
        <v>1101</v>
      </c>
      <c r="D172" s="359">
        <f>'Func Future Lines 2015'!D172</f>
        <v>138</v>
      </c>
      <c r="E172" s="359">
        <f>'Func Future Lines 2015'!E172</f>
        <v>0</v>
      </c>
      <c r="F172" s="359" t="str">
        <f>'Func Future Lines 2015'!F172</f>
        <v>Fort McMurray</v>
      </c>
      <c r="G172" s="359">
        <f>'Func Future Lines 2015'!G172</f>
        <v>2172995.8566099619</v>
      </c>
      <c r="H172" s="359" t="str">
        <f>'Func Future Lines 2015'!H172</f>
        <v>AltaLink</v>
      </c>
      <c r="I172" s="359">
        <f>'Func Future Lines 2015'!I172</f>
        <v>2016</v>
      </c>
      <c r="J172" s="361">
        <f>+IF($I172=J$3,VLOOKUP($H172,Depreciation!$A$6:$L$10,7,FALSE)/2,IF($I172&lt;J$3,VLOOKUP($H172,Depreciation!$A$6:$L$10,7,FALSE),0))</f>
        <v>0</v>
      </c>
      <c r="K172" s="361">
        <f>+IF($I172=K$3,VLOOKUP($H172,Depreciation!$A$6:$L$10,8,FALSE)/2,IF($I172&lt;K$3,VLOOKUP($H172,Depreciation!$A$6:$L$10,8,FALSE),0))</f>
        <v>1.5338181838063448E-2</v>
      </c>
      <c r="L172" s="361">
        <f>+IF($I172=L$3,VLOOKUP($H172,Depreciation!$A$6:$L$10,9,FALSE)/2,IF($I172&lt;L$3,VLOOKUP($H172,Depreciation!$A$6:$L$10,9,FALSE),0))</f>
        <v>3.0676363676126896E-2</v>
      </c>
      <c r="M172" s="361">
        <f>+IF($I172=M$3,VLOOKUP($H172,Depreciation!$A$6:$L$10,10,FALSE)/2,IF($I172&lt;M$3,VLOOKUP($H172,Depreciation!$A$6:$L$10,10,FALSE),0))</f>
        <v>3.0676363676126896E-2</v>
      </c>
      <c r="N172" s="361">
        <f>+IF($I172=N$3,VLOOKUP($H172,Depreciation!$A$6:$L$10,11,FALSE)/2,IF($I172&lt;N$3,VLOOKUP($H172,Depreciation!$A$6:$L$10,11,FALSE),0))</f>
        <v>3.0676363676126896E-2</v>
      </c>
      <c r="O172" s="361">
        <f>+IF($I172=O$3,VLOOKUP($H172,Depreciation!$A$6:$L$10,12,FALSE)/2,IF($I172&lt;O$3,VLOOKUP($H172,Depreciation!$A$6:$L$10,12,FALSE),0))</f>
        <v>3.0676363676126896E-2</v>
      </c>
      <c r="P172" s="362">
        <f t="shared" si="8"/>
        <v>2139666.0510279201</v>
      </c>
      <c r="Q172" s="362">
        <f t="shared" si="9"/>
        <v>0</v>
      </c>
      <c r="R172" s="363">
        <f t="shared" si="10"/>
        <v>2139666.0510279201</v>
      </c>
    </row>
    <row r="173" spans="1:25">
      <c r="A173" s="359" t="str">
        <f>'Func Future Lines 2015'!A173</f>
        <v>PPS</v>
      </c>
      <c r="B173" s="359" t="str">
        <f>'Func Future Lines 2015'!B173</f>
        <v>428L/457L 180</v>
      </c>
      <c r="C173" s="359">
        <f>'Func Future Lines 2015'!C173</f>
        <v>1101</v>
      </c>
      <c r="D173" s="359">
        <f>'Func Future Lines 2015'!D173</f>
        <v>138</v>
      </c>
      <c r="E173" s="359">
        <f>'Func Future Lines 2015'!E173</f>
        <v>0</v>
      </c>
      <c r="F173" s="359" t="str">
        <f>'Func Future Lines 2015'!F173</f>
        <v>Fort McMurray</v>
      </c>
      <c r="G173" s="359">
        <f>'Func Future Lines 2015'!G173</f>
        <v>2175159.297149288</v>
      </c>
      <c r="H173" s="359" t="str">
        <f>'Func Future Lines 2015'!H173</f>
        <v>AltaLink</v>
      </c>
      <c r="I173" s="359">
        <f>'Func Future Lines 2015'!I173</f>
        <v>2016</v>
      </c>
      <c r="J173" s="361">
        <f>+IF($I173=J$3,VLOOKUP($H173,Depreciation!$A$6:$L$10,7,FALSE)/2,IF($I173&lt;J$3,VLOOKUP($H173,Depreciation!$A$6:$L$10,7,FALSE),0))</f>
        <v>0</v>
      </c>
      <c r="K173" s="361">
        <f>+IF($I173=K$3,VLOOKUP($H173,Depreciation!$A$6:$L$10,8,FALSE)/2,IF($I173&lt;K$3,VLOOKUP($H173,Depreciation!$A$6:$L$10,8,FALSE),0))</f>
        <v>1.5338181838063448E-2</v>
      </c>
      <c r="L173" s="361">
        <f>+IF($I173=L$3,VLOOKUP($H173,Depreciation!$A$6:$L$10,9,FALSE)/2,IF($I173&lt;L$3,VLOOKUP($H173,Depreciation!$A$6:$L$10,9,FALSE),0))</f>
        <v>3.0676363676126896E-2</v>
      </c>
      <c r="M173" s="361">
        <f>+IF($I173=M$3,VLOOKUP($H173,Depreciation!$A$6:$L$10,10,FALSE)/2,IF($I173&lt;M$3,VLOOKUP($H173,Depreciation!$A$6:$L$10,10,FALSE),0))</f>
        <v>3.0676363676126896E-2</v>
      </c>
      <c r="N173" s="361">
        <f>+IF($I173=N$3,VLOOKUP($H173,Depreciation!$A$6:$L$10,11,FALSE)/2,IF($I173&lt;N$3,VLOOKUP($H173,Depreciation!$A$6:$L$10,11,FALSE),0))</f>
        <v>3.0676363676126896E-2</v>
      </c>
      <c r="O173" s="361">
        <f>+IF($I173=O$3,VLOOKUP($H173,Depreciation!$A$6:$L$10,12,FALSE)/2,IF($I173&lt;O$3,VLOOKUP($H173,Depreciation!$A$6:$L$10,12,FALSE),0))</f>
        <v>3.0676363676126896E-2</v>
      </c>
      <c r="P173" s="362">
        <f t="shared" si="8"/>
        <v>2141796.3083228581</v>
      </c>
      <c r="Q173" s="362">
        <f t="shared" si="9"/>
        <v>0</v>
      </c>
      <c r="R173" s="363">
        <f t="shared" si="10"/>
        <v>2141796.3083228581</v>
      </c>
    </row>
    <row r="174" spans="1:25">
      <c r="A174" s="359" t="str">
        <f>'Func Future Lines 2015'!A174</f>
        <v>PPS</v>
      </c>
      <c r="B174" s="359" t="str">
        <f>'Func Future Lines 2015'!B174</f>
        <v>971L180</v>
      </c>
      <c r="C174" s="359">
        <f>'Func Future Lines 2015'!C174</f>
        <v>1101</v>
      </c>
      <c r="D174" s="359">
        <f>'Func Future Lines 2015'!D174</f>
        <v>240</v>
      </c>
      <c r="E174" s="359">
        <f>'Func Future Lines 2015'!E174</f>
        <v>0</v>
      </c>
      <c r="F174" s="359" t="str">
        <f>'Func Future Lines 2015'!F174</f>
        <v>Fort McMurray</v>
      </c>
      <c r="G174" s="359">
        <f>'Func Future Lines 2015'!G174</f>
        <v>1786314.2703774052</v>
      </c>
      <c r="H174" s="359" t="str">
        <f>'Func Future Lines 2015'!H174</f>
        <v>AltaLink</v>
      </c>
      <c r="I174" s="359">
        <f>'Func Future Lines 2015'!I174</f>
        <v>2016</v>
      </c>
      <c r="J174" s="361">
        <f>+IF($I174=J$3,VLOOKUP($H174,Depreciation!$A$6:$L$10,7,FALSE)/2,IF($I174&lt;J$3,VLOOKUP($H174,Depreciation!$A$6:$L$10,7,FALSE),0))</f>
        <v>0</v>
      </c>
      <c r="K174" s="361">
        <f>+IF($I174=K$3,VLOOKUP($H174,Depreciation!$A$6:$L$10,8,FALSE)/2,IF($I174&lt;K$3,VLOOKUP($H174,Depreciation!$A$6:$L$10,8,FALSE),0))</f>
        <v>1.5338181838063448E-2</v>
      </c>
      <c r="L174" s="361">
        <f>+IF($I174=L$3,VLOOKUP($H174,Depreciation!$A$6:$L$10,9,FALSE)/2,IF($I174&lt;L$3,VLOOKUP($H174,Depreciation!$A$6:$L$10,9,FALSE),0))</f>
        <v>3.0676363676126896E-2</v>
      </c>
      <c r="M174" s="361">
        <f>+IF($I174=M$3,VLOOKUP($H174,Depreciation!$A$6:$L$10,10,FALSE)/2,IF($I174&lt;M$3,VLOOKUP($H174,Depreciation!$A$6:$L$10,10,FALSE),0))</f>
        <v>3.0676363676126896E-2</v>
      </c>
      <c r="N174" s="361">
        <f>+IF($I174=N$3,VLOOKUP($H174,Depreciation!$A$6:$L$10,11,FALSE)/2,IF($I174&lt;N$3,VLOOKUP($H174,Depreciation!$A$6:$L$10,11,FALSE),0))</f>
        <v>3.0676363676126896E-2</v>
      </c>
      <c r="O174" s="361">
        <f>+IF($I174=O$3,VLOOKUP($H174,Depreciation!$A$6:$L$10,12,FALSE)/2,IF($I174&lt;O$3,VLOOKUP($H174,Depreciation!$A$6:$L$10,12,FALSE),0))</f>
        <v>3.0676363676126896E-2</v>
      </c>
      <c r="P174" s="362">
        <f t="shared" si="8"/>
        <v>1758915.4572784288</v>
      </c>
      <c r="Q174" s="362">
        <f t="shared" si="9"/>
        <v>1758915.4572784288</v>
      </c>
      <c r="R174" s="363">
        <f t="shared" si="10"/>
        <v>0</v>
      </c>
    </row>
    <row r="175" spans="1:25">
      <c r="A175" s="359" t="str">
        <f>'Func Future Lines 2015'!A175</f>
        <v>PPS</v>
      </c>
      <c r="B175" s="359" t="str">
        <f>'Func Future Lines 2015'!B175</f>
        <v>line 9L930_v181</v>
      </c>
      <c r="C175" s="359">
        <f>'Func Future Lines 2015'!C175</f>
        <v>1101</v>
      </c>
      <c r="D175" s="359">
        <f>'Func Future Lines 2015'!D175</f>
        <v>240</v>
      </c>
      <c r="E175" s="359">
        <f>'Func Future Lines 2015'!E175</f>
        <v>0</v>
      </c>
      <c r="F175" s="359" t="str">
        <f>'Func Future Lines 2015'!F175</f>
        <v>Fort McMurray</v>
      </c>
      <c r="G175" s="359">
        <f>'Func Future Lines 2015'!G175</f>
        <v>4698744.242259468</v>
      </c>
      <c r="H175" s="359" t="str">
        <f>'Func Future Lines 2015'!H175</f>
        <v>ATCO</v>
      </c>
      <c r="I175" s="359">
        <f>'Func Future Lines 2015'!I175</f>
        <v>2016</v>
      </c>
      <c r="J175" s="361">
        <f>+IF($I175=J$3,VLOOKUP($H175,Depreciation!$A$6:$L$10,7,FALSE)/2,IF($I175&lt;J$3,VLOOKUP($H175,Depreciation!$A$6:$L$10,7,FALSE),0))</f>
        <v>0</v>
      </c>
      <c r="K175" s="361">
        <f>+IF($I175=K$3,VLOOKUP($H175,Depreciation!$A$6:$L$10,8,FALSE)/2,IF($I175&lt;K$3,VLOOKUP($H175,Depreciation!$A$6:$L$10,8,FALSE),0))</f>
        <v>1.1971929865503333E-2</v>
      </c>
      <c r="L175" s="361">
        <f>+IF($I175=L$3,VLOOKUP($H175,Depreciation!$A$6:$L$10,9,FALSE)/2,IF($I175&lt;L$3,VLOOKUP($H175,Depreciation!$A$6:$L$10,9,FALSE),0))</f>
        <v>2.4002037926855919E-2</v>
      </c>
      <c r="M175" s="361">
        <f>+IF($I175=M$3,VLOOKUP($H175,Depreciation!$A$6:$L$10,10,FALSE)/2,IF($I175&lt;M$3,VLOOKUP($H175,Depreciation!$A$6:$L$10,10,FALSE),0))</f>
        <v>2.4002037926855919E-2</v>
      </c>
      <c r="N175" s="361">
        <f>+IF($I175=N$3,VLOOKUP($H175,Depreciation!$A$6:$L$10,11,FALSE)/2,IF($I175&lt;N$3,VLOOKUP($H175,Depreciation!$A$6:$L$10,11,FALSE),0))</f>
        <v>2.4002037926855919E-2</v>
      </c>
      <c r="O175" s="361">
        <f>+IF($I175=O$3,VLOOKUP($H175,Depreciation!$A$6:$L$10,12,FALSE)/2,IF($I175&lt;O$3,VLOOKUP($H175,Depreciation!$A$6:$L$10,12,FALSE),0))</f>
        <v>2.4002037926855919E-2</v>
      </c>
      <c r="P175" s="362">
        <f t="shared" si="8"/>
        <v>4642491.2057352001</v>
      </c>
      <c r="Q175" s="362">
        <f t="shared" si="9"/>
        <v>4642491.2057352001</v>
      </c>
      <c r="R175" s="363">
        <f t="shared" si="10"/>
        <v>0</v>
      </c>
    </row>
    <row r="176" spans="1:25">
      <c r="A176" s="359" t="str">
        <f>'Func Future Lines 2015'!A176</f>
        <v>PPS</v>
      </c>
      <c r="B176" s="359" t="str">
        <f>'Func Future Lines 2015'!B176</f>
        <v>1064L/1065L_(v180)</v>
      </c>
      <c r="C176" s="359">
        <f>'Func Future Lines 2015'!C176</f>
        <v>1117</v>
      </c>
      <c r="D176" s="359">
        <f>'Func Future Lines 2015'!D176</f>
        <v>240</v>
      </c>
      <c r="E176" s="359">
        <f>'Func Future Lines 2015'!E176</f>
        <v>0</v>
      </c>
      <c r="F176" s="359" t="str">
        <f>'Func Future Lines 2015'!F176</f>
        <v>Calgary</v>
      </c>
      <c r="G176" s="359">
        <f>'Func Future Lines 2015'!G176</f>
        <v>22476180.185840409</v>
      </c>
      <c r="H176" s="359" t="str">
        <f>'Func Future Lines 2015'!H176</f>
        <v>AltaLink</v>
      </c>
      <c r="I176" s="359">
        <f>'Func Future Lines 2015'!I176</f>
        <v>2015</v>
      </c>
      <c r="J176" s="361">
        <f>+IF($I176=J$3,VLOOKUP($H176,Depreciation!$A$6:$L$10,7,FALSE)/2,IF($I176&lt;J$3,VLOOKUP($H176,Depreciation!$A$6:$L$10,7,FALSE),0))</f>
        <v>1.595020804044691E-2</v>
      </c>
      <c r="K176" s="361">
        <f>+IF($I176=K$3,VLOOKUP($H176,Depreciation!$A$6:$L$10,8,FALSE)/2,IF($I176&lt;K$3,VLOOKUP($H176,Depreciation!$A$6:$L$10,8,FALSE),0))</f>
        <v>3.0676363676126896E-2</v>
      </c>
      <c r="L176" s="361">
        <f>+IF($I176=L$3,VLOOKUP($H176,Depreciation!$A$6:$L$10,9,FALSE)/2,IF($I176&lt;L$3,VLOOKUP($H176,Depreciation!$A$6:$L$10,9,FALSE),0))</f>
        <v>3.0676363676126896E-2</v>
      </c>
      <c r="M176" s="361">
        <f>+IF($I176=M$3,VLOOKUP($H176,Depreciation!$A$6:$L$10,10,FALSE)/2,IF($I176&lt;M$3,VLOOKUP($H176,Depreciation!$A$6:$L$10,10,FALSE),0))</f>
        <v>3.0676363676126896E-2</v>
      </c>
      <c r="N176" s="361">
        <f>+IF($I176=N$3,VLOOKUP($H176,Depreciation!$A$6:$L$10,11,FALSE)/2,IF($I176&lt;N$3,VLOOKUP($H176,Depreciation!$A$6:$L$10,11,FALSE),0))</f>
        <v>3.0676363676126896E-2</v>
      </c>
      <c r="O176" s="361">
        <f>+IF($I176=O$3,VLOOKUP($H176,Depreciation!$A$6:$L$10,12,FALSE)/2,IF($I176&lt;O$3,VLOOKUP($H176,Depreciation!$A$6:$L$10,12,FALSE),0))</f>
        <v>3.0676363676126896E-2</v>
      </c>
      <c r="P176" s="362">
        <f t="shared" si="8"/>
        <v>21439190.427196994</v>
      </c>
      <c r="Q176" s="362">
        <f t="shared" si="9"/>
        <v>21439190.427196994</v>
      </c>
      <c r="R176" s="363">
        <f t="shared" si="10"/>
        <v>0</v>
      </c>
    </row>
    <row r="177" spans="1:18">
      <c r="A177" s="359" t="str">
        <f>'Func Future Lines 2015'!A177</f>
        <v>PPS</v>
      </c>
      <c r="B177" s="359" t="str">
        <f>'Func Future Lines 2015'!B177</f>
        <v>1064L/1065L_(v180)</v>
      </c>
      <c r="C177" s="359">
        <f>'Func Future Lines 2015'!C177</f>
        <v>1117</v>
      </c>
      <c r="D177" s="359">
        <f>'Func Future Lines 2015'!D177</f>
        <v>240</v>
      </c>
      <c r="E177" s="359">
        <f>'Func Future Lines 2015'!E177</f>
        <v>0</v>
      </c>
      <c r="F177" s="359" t="str">
        <f>'Func Future Lines 2015'!F177</f>
        <v>Calgary</v>
      </c>
      <c r="G177" s="359">
        <f>'Func Future Lines 2015'!G177</f>
        <v>22476180.185840409</v>
      </c>
      <c r="H177" s="359" t="str">
        <f>'Func Future Lines 2015'!H177</f>
        <v>AltaLink</v>
      </c>
      <c r="I177" s="359">
        <f>'Func Future Lines 2015'!I177</f>
        <v>2015</v>
      </c>
      <c r="J177" s="361">
        <f>+IF($I177=J$3,VLOOKUP($H177,Depreciation!$A$6:$L$10,7,FALSE)/2,IF($I177&lt;J$3,VLOOKUP($H177,Depreciation!$A$6:$L$10,7,FALSE),0))</f>
        <v>1.595020804044691E-2</v>
      </c>
      <c r="K177" s="361">
        <f>+IF($I177=K$3,VLOOKUP($H177,Depreciation!$A$6:$L$10,8,FALSE)/2,IF($I177&lt;K$3,VLOOKUP($H177,Depreciation!$A$6:$L$10,8,FALSE),0))</f>
        <v>3.0676363676126896E-2</v>
      </c>
      <c r="L177" s="361">
        <f>+IF($I177=L$3,VLOOKUP($H177,Depreciation!$A$6:$L$10,9,FALSE)/2,IF($I177&lt;L$3,VLOOKUP($H177,Depreciation!$A$6:$L$10,9,FALSE),0))</f>
        <v>3.0676363676126896E-2</v>
      </c>
      <c r="M177" s="361">
        <f>+IF($I177=M$3,VLOOKUP($H177,Depreciation!$A$6:$L$10,10,FALSE)/2,IF($I177&lt;M$3,VLOOKUP($H177,Depreciation!$A$6:$L$10,10,FALSE),0))</f>
        <v>3.0676363676126896E-2</v>
      </c>
      <c r="N177" s="361">
        <f>+IF($I177=N$3,VLOOKUP($H177,Depreciation!$A$6:$L$10,11,FALSE)/2,IF($I177&lt;N$3,VLOOKUP($H177,Depreciation!$A$6:$L$10,11,FALSE),0))</f>
        <v>3.0676363676126896E-2</v>
      </c>
      <c r="O177" s="361">
        <f>+IF($I177=O$3,VLOOKUP($H177,Depreciation!$A$6:$L$10,12,FALSE)/2,IF($I177&lt;O$3,VLOOKUP($H177,Depreciation!$A$6:$L$10,12,FALSE),0))</f>
        <v>3.0676363676126896E-2</v>
      </c>
      <c r="P177" s="362">
        <f t="shared" si="8"/>
        <v>21439190.427196994</v>
      </c>
      <c r="Q177" s="362">
        <f t="shared" si="9"/>
        <v>21439190.427196994</v>
      </c>
      <c r="R177" s="363">
        <f t="shared" si="10"/>
        <v>0</v>
      </c>
    </row>
    <row r="178" spans="1:18">
      <c r="A178" s="359" t="str">
        <f>'Func Future Lines 2015'!A178</f>
        <v>PPS</v>
      </c>
      <c r="B178" s="359" t="str">
        <f>'Func Future Lines 2015'!B178</f>
        <v>1064L/1065L_(v180)</v>
      </c>
      <c r="C178" s="359">
        <f>'Func Future Lines 2015'!C178</f>
        <v>1117</v>
      </c>
      <c r="D178" s="359">
        <f>'Func Future Lines 2015'!D178</f>
        <v>240</v>
      </c>
      <c r="E178" s="359">
        <f>'Func Future Lines 2015'!E178</f>
        <v>0</v>
      </c>
      <c r="F178" s="359" t="str">
        <f>'Func Future Lines 2015'!F178</f>
        <v>Calgary</v>
      </c>
      <c r="G178" s="359">
        <f>'Func Future Lines 2015'!G178</f>
        <v>17889351.244998507</v>
      </c>
      <c r="H178" s="359" t="str">
        <f>'Func Future Lines 2015'!H178</f>
        <v>AltaLink</v>
      </c>
      <c r="I178" s="359">
        <f>'Func Future Lines 2015'!I178</f>
        <v>2015</v>
      </c>
      <c r="J178" s="361">
        <f>+IF($I178=J$3,VLOOKUP($H178,Depreciation!$A$6:$L$10,7,FALSE)/2,IF($I178&lt;J$3,VLOOKUP($H178,Depreciation!$A$6:$L$10,7,FALSE),0))</f>
        <v>1.595020804044691E-2</v>
      </c>
      <c r="K178" s="361">
        <f>+IF($I178=K$3,VLOOKUP($H178,Depreciation!$A$6:$L$10,8,FALSE)/2,IF($I178&lt;K$3,VLOOKUP($H178,Depreciation!$A$6:$L$10,8,FALSE),0))</f>
        <v>3.0676363676126896E-2</v>
      </c>
      <c r="L178" s="361">
        <f>+IF($I178=L$3,VLOOKUP($H178,Depreciation!$A$6:$L$10,9,FALSE)/2,IF($I178&lt;L$3,VLOOKUP($H178,Depreciation!$A$6:$L$10,9,FALSE),0))</f>
        <v>3.0676363676126896E-2</v>
      </c>
      <c r="M178" s="361">
        <f>+IF($I178=M$3,VLOOKUP($H178,Depreciation!$A$6:$L$10,10,FALSE)/2,IF($I178&lt;M$3,VLOOKUP($H178,Depreciation!$A$6:$L$10,10,FALSE),0))</f>
        <v>3.0676363676126896E-2</v>
      </c>
      <c r="N178" s="361">
        <f>+IF($I178=N$3,VLOOKUP($H178,Depreciation!$A$6:$L$10,11,FALSE)/2,IF($I178&lt;N$3,VLOOKUP($H178,Depreciation!$A$6:$L$10,11,FALSE),0))</f>
        <v>3.0676363676126896E-2</v>
      </c>
      <c r="O178" s="361">
        <f>+IF($I178=O$3,VLOOKUP($H178,Depreciation!$A$6:$L$10,12,FALSE)/2,IF($I178&lt;O$3,VLOOKUP($H178,Depreciation!$A$6:$L$10,12,FALSE),0))</f>
        <v>3.0676363676126896E-2</v>
      </c>
      <c r="P178" s="362">
        <f t="shared" si="8"/>
        <v>17063985.285282403</v>
      </c>
      <c r="Q178" s="362">
        <f t="shared" si="9"/>
        <v>17063985.285282403</v>
      </c>
      <c r="R178" s="363">
        <f t="shared" si="10"/>
        <v>0</v>
      </c>
    </row>
    <row r="179" spans="1:18">
      <c r="A179" s="359" t="str">
        <f>'Func Future Lines 2015'!A179</f>
        <v>PPS</v>
      </c>
      <c r="B179" s="359" t="str">
        <f>'Func Future Lines 2015'!B179</f>
        <v>1064L/1065L_(v180)</v>
      </c>
      <c r="C179" s="359">
        <f>'Func Future Lines 2015'!C179</f>
        <v>1117</v>
      </c>
      <c r="D179" s="359">
        <f>'Func Future Lines 2015'!D179</f>
        <v>240</v>
      </c>
      <c r="E179" s="359">
        <f>'Func Future Lines 2015'!E179</f>
        <v>0</v>
      </c>
      <c r="F179" s="359" t="str">
        <f>'Func Future Lines 2015'!F179</f>
        <v>Calgary</v>
      </c>
      <c r="G179" s="359">
        <f>'Func Future Lines 2015'!G179</f>
        <v>17889351.244998507</v>
      </c>
      <c r="H179" s="359" t="str">
        <f>'Func Future Lines 2015'!H179</f>
        <v>AltaLink</v>
      </c>
      <c r="I179" s="359">
        <f>'Func Future Lines 2015'!I179</f>
        <v>2015</v>
      </c>
      <c r="J179" s="361">
        <f>+IF($I179=J$3,VLOOKUP($H179,Depreciation!$A$6:$L$10,7,FALSE)/2,IF($I179&lt;J$3,VLOOKUP($H179,Depreciation!$A$6:$L$10,7,FALSE),0))</f>
        <v>1.595020804044691E-2</v>
      </c>
      <c r="K179" s="361">
        <f>+IF($I179=K$3,VLOOKUP($H179,Depreciation!$A$6:$L$10,8,FALSE)/2,IF($I179&lt;K$3,VLOOKUP($H179,Depreciation!$A$6:$L$10,8,FALSE),0))</f>
        <v>3.0676363676126896E-2</v>
      </c>
      <c r="L179" s="361">
        <f>+IF($I179=L$3,VLOOKUP($H179,Depreciation!$A$6:$L$10,9,FALSE)/2,IF($I179&lt;L$3,VLOOKUP($H179,Depreciation!$A$6:$L$10,9,FALSE),0))</f>
        <v>3.0676363676126896E-2</v>
      </c>
      <c r="M179" s="361">
        <f>+IF($I179=M$3,VLOOKUP($H179,Depreciation!$A$6:$L$10,10,FALSE)/2,IF($I179&lt;M$3,VLOOKUP($H179,Depreciation!$A$6:$L$10,10,FALSE),0))</f>
        <v>3.0676363676126896E-2</v>
      </c>
      <c r="N179" s="361">
        <f>+IF($I179=N$3,VLOOKUP($H179,Depreciation!$A$6:$L$10,11,FALSE)/2,IF($I179&lt;N$3,VLOOKUP($H179,Depreciation!$A$6:$L$10,11,FALSE),0))</f>
        <v>3.0676363676126896E-2</v>
      </c>
      <c r="O179" s="361">
        <f>+IF($I179=O$3,VLOOKUP($H179,Depreciation!$A$6:$L$10,12,FALSE)/2,IF($I179&lt;O$3,VLOOKUP($H179,Depreciation!$A$6:$L$10,12,FALSE),0))</f>
        <v>3.0676363676126896E-2</v>
      </c>
      <c r="P179" s="362">
        <f t="shared" si="8"/>
        <v>17063985.285282403</v>
      </c>
      <c r="Q179" s="362">
        <f t="shared" si="9"/>
        <v>17063985.285282403</v>
      </c>
      <c r="R179" s="363">
        <f t="shared" si="10"/>
        <v>0</v>
      </c>
    </row>
    <row r="180" spans="1:18">
      <c r="A180" s="359" t="str">
        <f>'Func Future Lines 2015'!A180</f>
        <v>PPS</v>
      </c>
      <c r="B180" s="359" t="str">
        <f>'Func Future Lines 2015'!B180</f>
        <v>1080L/1109L_180</v>
      </c>
      <c r="C180" s="359">
        <f>'Func Future Lines 2015'!C180</f>
        <v>1117</v>
      </c>
      <c r="D180" s="359">
        <f>'Func Future Lines 2015'!D180</f>
        <v>240</v>
      </c>
      <c r="E180" s="359">
        <f>'Func Future Lines 2015'!E180</f>
        <v>0</v>
      </c>
      <c r="F180" s="359" t="str">
        <f>'Func Future Lines 2015'!F180</f>
        <v>Calgary</v>
      </c>
      <c r="G180" s="359">
        <f>'Func Future Lines 2015'!G180</f>
        <v>2104869.8933907058</v>
      </c>
      <c r="H180" s="359" t="str">
        <f>'Func Future Lines 2015'!H180</f>
        <v>AltaLink</v>
      </c>
      <c r="I180" s="359">
        <f>'Func Future Lines 2015'!I180</f>
        <v>2015</v>
      </c>
      <c r="J180" s="361">
        <f>+IF($I180=J$3,VLOOKUP($H180,Depreciation!$A$6:$L$10,7,FALSE)/2,IF($I180&lt;J$3,VLOOKUP($H180,Depreciation!$A$6:$L$10,7,FALSE),0))</f>
        <v>1.595020804044691E-2</v>
      </c>
      <c r="K180" s="361">
        <f>+IF($I180=K$3,VLOOKUP($H180,Depreciation!$A$6:$L$10,8,FALSE)/2,IF($I180&lt;K$3,VLOOKUP($H180,Depreciation!$A$6:$L$10,8,FALSE),0))</f>
        <v>3.0676363676126896E-2</v>
      </c>
      <c r="L180" s="361">
        <f>+IF($I180=L$3,VLOOKUP($H180,Depreciation!$A$6:$L$10,9,FALSE)/2,IF($I180&lt;L$3,VLOOKUP($H180,Depreciation!$A$6:$L$10,9,FALSE),0))</f>
        <v>3.0676363676126896E-2</v>
      </c>
      <c r="M180" s="361">
        <f>+IF($I180=M$3,VLOOKUP($H180,Depreciation!$A$6:$L$10,10,FALSE)/2,IF($I180&lt;M$3,VLOOKUP($H180,Depreciation!$A$6:$L$10,10,FALSE),0))</f>
        <v>3.0676363676126896E-2</v>
      </c>
      <c r="N180" s="361">
        <f>+IF($I180=N$3,VLOOKUP($H180,Depreciation!$A$6:$L$10,11,FALSE)/2,IF($I180&lt;N$3,VLOOKUP($H180,Depreciation!$A$6:$L$10,11,FALSE),0))</f>
        <v>3.0676363676126896E-2</v>
      </c>
      <c r="O180" s="361">
        <f>+IF($I180=O$3,VLOOKUP($H180,Depreciation!$A$6:$L$10,12,FALSE)/2,IF($I180&lt;O$3,VLOOKUP($H180,Depreciation!$A$6:$L$10,12,FALSE),0))</f>
        <v>3.0676363676126896E-2</v>
      </c>
      <c r="P180" s="362">
        <f t="shared" si="8"/>
        <v>2007756.9273673198</v>
      </c>
      <c r="Q180" s="362">
        <f t="shared" si="9"/>
        <v>2007756.9273673198</v>
      </c>
      <c r="R180" s="363">
        <f t="shared" si="10"/>
        <v>0</v>
      </c>
    </row>
    <row r="181" spans="1:18">
      <c r="A181" s="359" t="str">
        <f>'Func Future Lines 2015'!A181</f>
        <v>Final</v>
      </c>
      <c r="B181" s="359" t="str">
        <f>'Func Future Lines 2015'!B181</f>
        <v>1106L_180</v>
      </c>
      <c r="C181" s="359">
        <f>'Func Future Lines 2015'!C181</f>
        <v>1117</v>
      </c>
      <c r="D181" s="359">
        <f>'Func Future Lines 2015'!D181</f>
        <v>240</v>
      </c>
      <c r="E181" s="359">
        <f>'Func Future Lines 2015'!E181</f>
        <v>0</v>
      </c>
      <c r="F181" s="359">
        <f>'Func Future Lines 2015'!F181</f>
        <v>0</v>
      </c>
      <c r="G181" s="359">
        <f>'Func Future Lines 2015'!G181</f>
        <v>83540470.165999994</v>
      </c>
      <c r="H181" s="359" t="str">
        <f>'Func Future Lines 2015'!H181</f>
        <v>AltaLink</v>
      </c>
      <c r="I181" s="359">
        <f>'Func Future Lines 2015'!I181</f>
        <v>2015</v>
      </c>
      <c r="J181" s="361">
        <f>+IF($I181=J$3,VLOOKUP($H181,Depreciation!$A$6:$L$10,7,FALSE)/2,IF($I181&lt;J$3,VLOOKUP($H181,Depreciation!$A$6:$L$10,7,FALSE),0))</f>
        <v>1.595020804044691E-2</v>
      </c>
      <c r="K181" s="361">
        <f>+IF($I181=K$3,VLOOKUP($H181,Depreciation!$A$6:$L$10,8,FALSE)/2,IF($I181&lt;K$3,VLOOKUP($H181,Depreciation!$A$6:$L$10,8,FALSE),0))</f>
        <v>3.0676363676126896E-2</v>
      </c>
      <c r="L181" s="361">
        <f>+IF($I181=L$3,VLOOKUP($H181,Depreciation!$A$6:$L$10,9,FALSE)/2,IF($I181&lt;L$3,VLOOKUP($H181,Depreciation!$A$6:$L$10,9,FALSE),0))</f>
        <v>3.0676363676126896E-2</v>
      </c>
      <c r="M181" s="361">
        <f>+IF($I181=M$3,VLOOKUP($H181,Depreciation!$A$6:$L$10,10,FALSE)/2,IF($I181&lt;M$3,VLOOKUP($H181,Depreciation!$A$6:$L$10,10,FALSE),0))</f>
        <v>3.0676363676126896E-2</v>
      </c>
      <c r="N181" s="361">
        <f>+IF($I181=N$3,VLOOKUP($H181,Depreciation!$A$6:$L$10,11,FALSE)/2,IF($I181&lt;N$3,VLOOKUP($H181,Depreciation!$A$6:$L$10,11,FALSE),0))</f>
        <v>3.0676363676126896E-2</v>
      </c>
      <c r="O181" s="361">
        <f>+IF($I181=O$3,VLOOKUP($H181,Depreciation!$A$6:$L$10,12,FALSE)/2,IF($I181&lt;O$3,VLOOKUP($H181,Depreciation!$A$6:$L$10,12,FALSE),0))</f>
        <v>3.0676363676126896E-2</v>
      </c>
      <c r="P181" s="362">
        <f t="shared" si="8"/>
        <v>79686140.325337231</v>
      </c>
      <c r="Q181" s="362">
        <f t="shared" si="9"/>
        <v>79686140.325337231</v>
      </c>
      <c r="R181" s="363">
        <f t="shared" si="10"/>
        <v>0</v>
      </c>
    </row>
    <row r="182" spans="1:18">
      <c r="A182" s="359" t="str">
        <f>'Func Future Lines 2015'!A182</f>
        <v>Final</v>
      </c>
      <c r="B182" s="359" t="str">
        <f>'Func Future Lines 2015'!B182</f>
        <v>1107L_180</v>
      </c>
      <c r="C182" s="359">
        <f>'Func Future Lines 2015'!C182</f>
        <v>1117</v>
      </c>
      <c r="D182" s="359">
        <f>'Func Future Lines 2015'!D182</f>
        <v>240</v>
      </c>
      <c r="E182" s="359">
        <f>'Func Future Lines 2015'!E182</f>
        <v>0</v>
      </c>
      <c r="F182" s="359">
        <f>'Func Future Lines 2015'!F182</f>
        <v>0</v>
      </c>
      <c r="G182" s="359">
        <f>'Func Future Lines 2015'!G182</f>
        <v>81881919.074000001</v>
      </c>
      <c r="H182" s="359" t="str">
        <f>'Func Future Lines 2015'!H182</f>
        <v>AltaLink</v>
      </c>
      <c r="I182" s="359">
        <f>'Func Future Lines 2015'!I182</f>
        <v>2015</v>
      </c>
      <c r="J182" s="361">
        <f>+IF($I182=J$3,VLOOKUP($H182,Depreciation!$A$6:$L$10,7,FALSE)/2,IF($I182&lt;J$3,VLOOKUP($H182,Depreciation!$A$6:$L$10,7,FALSE),0))</f>
        <v>1.595020804044691E-2</v>
      </c>
      <c r="K182" s="361">
        <f>+IF($I182=K$3,VLOOKUP($H182,Depreciation!$A$6:$L$10,8,FALSE)/2,IF($I182&lt;K$3,VLOOKUP($H182,Depreciation!$A$6:$L$10,8,FALSE),0))</f>
        <v>3.0676363676126896E-2</v>
      </c>
      <c r="L182" s="361">
        <f>+IF($I182=L$3,VLOOKUP($H182,Depreciation!$A$6:$L$10,9,FALSE)/2,IF($I182&lt;L$3,VLOOKUP($H182,Depreciation!$A$6:$L$10,9,FALSE),0))</f>
        <v>3.0676363676126896E-2</v>
      </c>
      <c r="M182" s="361">
        <f>+IF($I182=M$3,VLOOKUP($H182,Depreciation!$A$6:$L$10,10,FALSE)/2,IF($I182&lt;M$3,VLOOKUP($H182,Depreciation!$A$6:$L$10,10,FALSE),0))</f>
        <v>3.0676363676126896E-2</v>
      </c>
      <c r="N182" s="361">
        <f>+IF($I182=N$3,VLOOKUP($H182,Depreciation!$A$6:$L$10,11,FALSE)/2,IF($I182&lt;N$3,VLOOKUP($H182,Depreciation!$A$6:$L$10,11,FALSE),0))</f>
        <v>3.0676363676126896E-2</v>
      </c>
      <c r="O182" s="361">
        <f>+IF($I182=O$3,VLOOKUP($H182,Depreciation!$A$6:$L$10,12,FALSE)/2,IF($I182&lt;O$3,VLOOKUP($H182,Depreciation!$A$6:$L$10,12,FALSE),0))</f>
        <v>3.0676363676126896E-2</v>
      </c>
      <c r="P182" s="362">
        <f t="shared" si="8"/>
        <v>78104110.265041471</v>
      </c>
      <c r="Q182" s="362">
        <f t="shared" si="9"/>
        <v>78104110.265041471</v>
      </c>
      <c r="R182" s="363">
        <f t="shared" si="10"/>
        <v>0</v>
      </c>
    </row>
    <row r="183" spans="1:18">
      <c r="A183" s="359" t="str">
        <f>'Func Future Lines 2015'!A183</f>
        <v>PPS</v>
      </c>
      <c r="B183" s="359" t="str">
        <f>'Func Future Lines 2015'!B183</f>
        <v>434L/646L_180</v>
      </c>
      <c r="C183" s="359">
        <f>'Func Future Lines 2015'!C183</f>
        <v>1117</v>
      </c>
      <c r="D183" s="359">
        <f>'Func Future Lines 2015'!D183</f>
        <v>138</v>
      </c>
      <c r="E183" s="359">
        <f>'Func Future Lines 2015'!E183</f>
        <v>0</v>
      </c>
      <c r="F183" s="359" t="str">
        <f>'Func Future Lines 2015'!F183</f>
        <v>Calgary</v>
      </c>
      <c r="G183" s="359">
        <f>'Func Future Lines 2015'!G183</f>
        <v>23035758.945204999</v>
      </c>
      <c r="H183" s="359" t="str">
        <f>'Func Future Lines 2015'!H183</f>
        <v>AltaLink</v>
      </c>
      <c r="I183" s="359">
        <f>'Func Future Lines 2015'!I183</f>
        <v>2015</v>
      </c>
      <c r="J183" s="361">
        <f>+IF($I183=J$3,VLOOKUP($H183,Depreciation!$A$6:$L$10,7,FALSE)/2,IF($I183&lt;J$3,VLOOKUP($H183,Depreciation!$A$6:$L$10,7,FALSE),0))</f>
        <v>1.595020804044691E-2</v>
      </c>
      <c r="K183" s="361">
        <f>+IF($I183=K$3,VLOOKUP($H183,Depreciation!$A$6:$L$10,8,FALSE)/2,IF($I183&lt;K$3,VLOOKUP($H183,Depreciation!$A$6:$L$10,8,FALSE),0))</f>
        <v>3.0676363676126896E-2</v>
      </c>
      <c r="L183" s="361">
        <f>+IF($I183=L$3,VLOOKUP($H183,Depreciation!$A$6:$L$10,9,FALSE)/2,IF($I183&lt;L$3,VLOOKUP($H183,Depreciation!$A$6:$L$10,9,FALSE),0))</f>
        <v>3.0676363676126896E-2</v>
      </c>
      <c r="M183" s="361">
        <f>+IF($I183=M$3,VLOOKUP($H183,Depreciation!$A$6:$L$10,10,FALSE)/2,IF($I183&lt;M$3,VLOOKUP($H183,Depreciation!$A$6:$L$10,10,FALSE),0))</f>
        <v>3.0676363676126896E-2</v>
      </c>
      <c r="N183" s="361">
        <f>+IF($I183=N$3,VLOOKUP($H183,Depreciation!$A$6:$L$10,11,FALSE)/2,IF($I183&lt;N$3,VLOOKUP($H183,Depreciation!$A$6:$L$10,11,FALSE),0))</f>
        <v>3.0676363676126896E-2</v>
      </c>
      <c r="O183" s="361">
        <f>+IF($I183=O$3,VLOOKUP($H183,Depreciation!$A$6:$L$10,12,FALSE)/2,IF($I183&lt;O$3,VLOOKUP($H183,Depreciation!$A$6:$L$10,12,FALSE),0))</f>
        <v>3.0676363676126896E-2</v>
      </c>
      <c r="P183" s="362">
        <f t="shared" si="8"/>
        <v>21972951.746150553</v>
      </c>
      <c r="Q183" s="362">
        <f t="shared" si="9"/>
        <v>0</v>
      </c>
      <c r="R183" s="363">
        <f t="shared" si="10"/>
        <v>21972951.746150553</v>
      </c>
    </row>
    <row r="184" spans="1:18">
      <c r="A184" s="359" t="str">
        <f>'Func Future Lines 2015'!A184</f>
        <v>PPS</v>
      </c>
      <c r="B184" s="359" t="str">
        <f>'Func Future Lines 2015'!B184</f>
        <v>434L/646L_180</v>
      </c>
      <c r="C184" s="359">
        <f>'Func Future Lines 2015'!C184</f>
        <v>1117</v>
      </c>
      <c r="D184" s="359">
        <f>'Func Future Lines 2015'!D184</f>
        <v>138</v>
      </c>
      <c r="E184" s="359">
        <f>'Func Future Lines 2015'!E184</f>
        <v>0</v>
      </c>
      <c r="F184" s="359" t="str">
        <f>'Func Future Lines 2015'!F184</f>
        <v>Calgary</v>
      </c>
      <c r="G184" s="359">
        <f>'Func Future Lines 2015'!G184</f>
        <v>23035758.945204999</v>
      </c>
      <c r="H184" s="359" t="str">
        <f>'Func Future Lines 2015'!H184</f>
        <v>AltaLink</v>
      </c>
      <c r="I184" s="359">
        <f>'Func Future Lines 2015'!I184</f>
        <v>2015</v>
      </c>
      <c r="J184" s="361">
        <f>+IF($I184=J$3,VLOOKUP($H184,Depreciation!$A$6:$L$10,7,FALSE)/2,IF($I184&lt;J$3,VLOOKUP($H184,Depreciation!$A$6:$L$10,7,FALSE),0))</f>
        <v>1.595020804044691E-2</v>
      </c>
      <c r="K184" s="361">
        <f>+IF($I184=K$3,VLOOKUP($H184,Depreciation!$A$6:$L$10,8,FALSE)/2,IF($I184&lt;K$3,VLOOKUP($H184,Depreciation!$A$6:$L$10,8,FALSE),0))</f>
        <v>3.0676363676126896E-2</v>
      </c>
      <c r="L184" s="361">
        <f>+IF($I184=L$3,VLOOKUP($H184,Depreciation!$A$6:$L$10,9,FALSE)/2,IF($I184&lt;L$3,VLOOKUP($H184,Depreciation!$A$6:$L$10,9,FALSE),0))</f>
        <v>3.0676363676126896E-2</v>
      </c>
      <c r="M184" s="361">
        <f>+IF($I184=M$3,VLOOKUP($H184,Depreciation!$A$6:$L$10,10,FALSE)/2,IF($I184&lt;M$3,VLOOKUP($H184,Depreciation!$A$6:$L$10,10,FALSE),0))</f>
        <v>3.0676363676126896E-2</v>
      </c>
      <c r="N184" s="361">
        <f>+IF($I184=N$3,VLOOKUP($H184,Depreciation!$A$6:$L$10,11,FALSE)/2,IF($I184&lt;N$3,VLOOKUP($H184,Depreciation!$A$6:$L$10,11,FALSE),0))</f>
        <v>3.0676363676126896E-2</v>
      </c>
      <c r="O184" s="361">
        <f>+IF($I184=O$3,VLOOKUP($H184,Depreciation!$A$6:$L$10,12,FALSE)/2,IF($I184&lt;O$3,VLOOKUP($H184,Depreciation!$A$6:$L$10,12,FALSE),0))</f>
        <v>3.0676363676126896E-2</v>
      </c>
      <c r="P184" s="362">
        <f t="shared" si="8"/>
        <v>21972951.746150553</v>
      </c>
      <c r="Q184" s="362">
        <f t="shared" si="9"/>
        <v>0</v>
      </c>
      <c r="R184" s="363">
        <f t="shared" si="10"/>
        <v>21972951.746150553</v>
      </c>
    </row>
    <row r="185" spans="1:18">
      <c r="A185" s="359" t="str">
        <f>'Func Future Lines 2015'!A185</f>
        <v>PPS</v>
      </c>
      <c r="B185" s="359" t="str">
        <f>'Func Future Lines 2015'!B185</f>
        <v>646L/850L_180</v>
      </c>
      <c r="C185" s="359">
        <f>'Func Future Lines 2015'!C185</f>
        <v>1117</v>
      </c>
      <c r="D185" s="359">
        <f>'Func Future Lines 2015'!D185</f>
        <v>138</v>
      </c>
      <c r="E185" s="359">
        <f>'Func Future Lines 2015'!E185</f>
        <v>0</v>
      </c>
      <c r="F185" s="359" t="str">
        <f>'Func Future Lines 2015'!F185</f>
        <v>Calgary</v>
      </c>
      <c r="G185" s="359">
        <f>'Func Future Lines 2015'!G185</f>
        <v>1379161.0196992834</v>
      </c>
      <c r="H185" s="359" t="str">
        <f>'Func Future Lines 2015'!H185</f>
        <v>AltaLink</v>
      </c>
      <c r="I185" s="359">
        <f>'Func Future Lines 2015'!I185</f>
        <v>2015</v>
      </c>
      <c r="J185" s="361">
        <f>+IF($I185=J$3,VLOOKUP($H185,Depreciation!$A$6:$L$10,7,FALSE)/2,IF($I185&lt;J$3,VLOOKUP($H185,Depreciation!$A$6:$L$10,7,FALSE),0))</f>
        <v>1.595020804044691E-2</v>
      </c>
      <c r="K185" s="361">
        <f>+IF($I185=K$3,VLOOKUP($H185,Depreciation!$A$6:$L$10,8,FALSE)/2,IF($I185&lt;K$3,VLOOKUP($H185,Depreciation!$A$6:$L$10,8,FALSE),0))</f>
        <v>3.0676363676126896E-2</v>
      </c>
      <c r="L185" s="361">
        <f>+IF($I185=L$3,VLOOKUP($H185,Depreciation!$A$6:$L$10,9,FALSE)/2,IF($I185&lt;L$3,VLOOKUP($H185,Depreciation!$A$6:$L$10,9,FALSE),0))</f>
        <v>3.0676363676126896E-2</v>
      </c>
      <c r="M185" s="361">
        <f>+IF($I185=M$3,VLOOKUP($H185,Depreciation!$A$6:$L$10,10,FALSE)/2,IF($I185&lt;M$3,VLOOKUP($H185,Depreciation!$A$6:$L$10,10,FALSE),0))</f>
        <v>3.0676363676126896E-2</v>
      </c>
      <c r="N185" s="361">
        <f>+IF($I185=N$3,VLOOKUP($H185,Depreciation!$A$6:$L$10,11,FALSE)/2,IF($I185&lt;N$3,VLOOKUP($H185,Depreciation!$A$6:$L$10,11,FALSE),0))</f>
        <v>3.0676363676126896E-2</v>
      </c>
      <c r="O185" s="361">
        <f>+IF($I185=O$3,VLOOKUP($H185,Depreciation!$A$6:$L$10,12,FALSE)/2,IF($I185&lt;O$3,VLOOKUP($H185,Depreciation!$A$6:$L$10,12,FALSE),0))</f>
        <v>3.0676363676126896E-2</v>
      </c>
      <c r="P185" s="362">
        <f t="shared" si="8"/>
        <v>1315530.2852451543</v>
      </c>
      <c r="Q185" s="362">
        <f t="shared" si="9"/>
        <v>0</v>
      </c>
      <c r="R185" s="363">
        <f t="shared" si="10"/>
        <v>1315530.2852451543</v>
      </c>
    </row>
    <row r="186" spans="1:18">
      <c r="A186" s="359" t="str">
        <f>'Func Future Lines 2015'!A186</f>
        <v>PPS</v>
      </c>
      <c r="B186" s="359" t="str">
        <f>'Func Future Lines 2015'!B186</f>
        <v>727L salvage_180</v>
      </c>
      <c r="C186" s="359">
        <f>'Func Future Lines 2015'!C186</f>
        <v>1117</v>
      </c>
      <c r="D186" s="359">
        <f>'Func Future Lines 2015'!D186</f>
        <v>138</v>
      </c>
      <c r="E186" s="359">
        <f>'Func Future Lines 2015'!E186</f>
        <v>0</v>
      </c>
      <c r="F186" s="359" t="str">
        <f>'Func Future Lines 2015'!F186</f>
        <v>Calgary</v>
      </c>
      <c r="G186" s="359">
        <f>'Func Future Lines 2015'!G186</f>
        <v>58119.541832429939</v>
      </c>
      <c r="H186" s="359" t="str">
        <f>'Func Future Lines 2015'!H186</f>
        <v>AltaLink</v>
      </c>
      <c r="I186" s="359">
        <f>'Func Future Lines 2015'!I186</f>
        <v>2015</v>
      </c>
      <c r="J186" s="361">
        <f>+IF($I186=J$3,VLOOKUP($H186,Depreciation!$A$6:$L$10,7,FALSE)/2,IF($I186&lt;J$3,VLOOKUP($H186,Depreciation!$A$6:$L$10,7,FALSE),0))</f>
        <v>1.595020804044691E-2</v>
      </c>
      <c r="K186" s="361">
        <f>+IF($I186=K$3,VLOOKUP($H186,Depreciation!$A$6:$L$10,8,FALSE)/2,IF($I186&lt;K$3,VLOOKUP($H186,Depreciation!$A$6:$L$10,8,FALSE),0))</f>
        <v>3.0676363676126896E-2</v>
      </c>
      <c r="L186" s="361">
        <f>+IF($I186=L$3,VLOOKUP($H186,Depreciation!$A$6:$L$10,9,FALSE)/2,IF($I186&lt;L$3,VLOOKUP($H186,Depreciation!$A$6:$L$10,9,FALSE),0))</f>
        <v>3.0676363676126896E-2</v>
      </c>
      <c r="M186" s="361">
        <f>+IF($I186=M$3,VLOOKUP($H186,Depreciation!$A$6:$L$10,10,FALSE)/2,IF($I186&lt;M$3,VLOOKUP($H186,Depreciation!$A$6:$L$10,10,FALSE),0))</f>
        <v>3.0676363676126896E-2</v>
      </c>
      <c r="N186" s="361">
        <f>+IF($I186=N$3,VLOOKUP($H186,Depreciation!$A$6:$L$10,11,FALSE)/2,IF($I186&lt;N$3,VLOOKUP($H186,Depreciation!$A$6:$L$10,11,FALSE),0))</f>
        <v>3.0676363676126896E-2</v>
      </c>
      <c r="O186" s="361">
        <f>+IF($I186=O$3,VLOOKUP($H186,Depreciation!$A$6:$L$10,12,FALSE)/2,IF($I186&lt;O$3,VLOOKUP($H186,Depreciation!$A$6:$L$10,12,FALSE),0))</f>
        <v>3.0676363676126896E-2</v>
      </c>
      <c r="P186" s="362">
        <f t="shared" si="8"/>
        <v>55438.064412381224</v>
      </c>
      <c r="Q186" s="362">
        <f t="shared" si="9"/>
        <v>0</v>
      </c>
      <c r="R186" s="363">
        <f t="shared" si="10"/>
        <v>55438.064412381224</v>
      </c>
    </row>
    <row r="187" spans="1:18">
      <c r="A187" s="359" t="str">
        <f>'Func Future Lines 2015'!A187</f>
        <v>PPS</v>
      </c>
      <c r="B187" s="359" t="str">
        <f>'Func Future Lines 2015'!B187</f>
        <v>727L temporary_180</v>
      </c>
      <c r="C187" s="359">
        <f>'Func Future Lines 2015'!C187</f>
        <v>1117</v>
      </c>
      <c r="D187" s="359">
        <f>'Func Future Lines 2015'!D187</f>
        <v>138</v>
      </c>
      <c r="E187" s="359">
        <f>'Func Future Lines 2015'!E187</f>
        <v>0</v>
      </c>
      <c r="F187" s="359" t="str">
        <f>'Func Future Lines 2015'!F187</f>
        <v>Calgary</v>
      </c>
      <c r="G187" s="359">
        <f>'Func Future Lines 2015'!G187</f>
        <v>113097.48680905285</v>
      </c>
      <c r="H187" s="359" t="str">
        <f>'Func Future Lines 2015'!H187</f>
        <v>AltaLink</v>
      </c>
      <c r="I187" s="359">
        <f>'Func Future Lines 2015'!I187</f>
        <v>2015</v>
      </c>
      <c r="J187" s="361">
        <f>+IF($I187=J$3,VLOOKUP($H187,Depreciation!$A$6:$L$10,7,FALSE)/2,IF($I187&lt;J$3,VLOOKUP($H187,Depreciation!$A$6:$L$10,7,FALSE),0))</f>
        <v>1.595020804044691E-2</v>
      </c>
      <c r="K187" s="361">
        <f>+IF($I187=K$3,VLOOKUP($H187,Depreciation!$A$6:$L$10,8,FALSE)/2,IF($I187&lt;K$3,VLOOKUP($H187,Depreciation!$A$6:$L$10,8,FALSE),0))</f>
        <v>3.0676363676126896E-2</v>
      </c>
      <c r="L187" s="361">
        <f>+IF($I187=L$3,VLOOKUP($H187,Depreciation!$A$6:$L$10,9,FALSE)/2,IF($I187&lt;L$3,VLOOKUP($H187,Depreciation!$A$6:$L$10,9,FALSE),0))</f>
        <v>3.0676363676126896E-2</v>
      </c>
      <c r="M187" s="361">
        <f>+IF($I187=M$3,VLOOKUP($H187,Depreciation!$A$6:$L$10,10,FALSE)/2,IF($I187&lt;M$3,VLOOKUP($H187,Depreciation!$A$6:$L$10,10,FALSE),0))</f>
        <v>3.0676363676126896E-2</v>
      </c>
      <c r="N187" s="361">
        <f>+IF($I187=N$3,VLOOKUP($H187,Depreciation!$A$6:$L$10,11,FALSE)/2,IF($I187&lt;N$3,VLOOKUP($H187,Depreciation!$A$6:$L$10,11,FALSE),0))</f>
        <v>3.0676363676126896E-2</v>
      </c>
      <c r="O187" s="361">
        <f>+IF($I187=O$3,VLOOKUP($H187,Depreciation!$A$6:$L$10,12,FALSE)/2,IF($I187&lt;O$3,VLOOKUP($H187,Depreciation!$A$6:$L$10,12,FALSE),0))</f>
        <v>3.0676363676126896E-2</v>
      </c>
      <c r="P187" s="362">
        <f t="shared" si="8"/>
        <v>107879.47669436345</v>
      </c>
      <c r="Q187" s="362">
        <f t="shared" si="9"/>
        <v>0</v>
      </c>
      <c r="R187" s="363">
        <f t="shared" si="10"/>
        <v>107879.47669436345</v>
      </c>
    </row>
    <row r="188" spans="1:18">
      <c r="A188" s="359" t="str">
        <f>'Func Future Lines 2015'!A188</f>
        <v>PPS</v>
      </c>
      <c r="B188" s="359" t="str">
        <f>'Func Future Lines 2015'!B188</f>
        <v>727L/646L rebuild to d/c_180</v>
      </c>
      <c r="C188" s="359">
        <f>'Func Future Lines 2015'!C188</f>
        <v>1117</v>
      </c>
      <c r="D188" s="359">
        <f>'Func Future Lines 2015'!D188</f>
        <v>138</v>
      </c>
      <c r="E188" s="359">
        <f>'Func Future Lines 2015'!E188</f>
        <v>0</v>
      </c>
      <c r="F188" s="359" t="str">
        <f>'Func Future Lines 2015'!F188</f>
        <v>Calgary</v>
      </c>
      <c r="G188" s="359">
        <f>'Func Future Lines 2015'!G188</f>
        <v>10552623.838655792</v>
      </c>
      <c r="H188" s="359" t="str">
        <f>'Func Future Lines 2015'!H188</f>
        <v>AltaLink</v>
      </c>
      <c r="I188" s="359">
        <f>'Func Future Lines 2015'!I188</f>
        <v>2015</v>
      </c>
      <c r="J188" s="361">
        <f>+IF($I188=J$3,VLOOKUP($H188,Depreciation!$A$6:$L$10,7,FALSE)/2,IF($I188&lt;J$3,VLOOKUP($H188,Depreciation!$A$6:$L$10,7,FALSE),0))</f>
        <v>1.595020804044691E-2</v>
      </c>
      <c r="K188" s="361">
        <f>+IF($I188=K$3,VLOOKUP($H188,Depreciation!$A$6:$L$10,8,FALSE)/2,IF($I188&lt;K$3,VLOOKUP($H188,Depreciation!$A$6:$L$10,8,FALSE),0))</f>
        <v>3.0676363676126896E-2</v>
      </c>
      <c r="L188" s="361">
        <f>+IF($I188=L$3,VLOOKUP($H188,Depreciation!$A$6:$L$10,9,FALSE)/2,IF($I188&lt;L$3,VLOOKUP($H188,Depreciation!$A$6:$L$10,9,FALSE),0))</f>
        <v>3.0676363676126896E-2</v>
      </c>
      <c r="M188" s="361">
        <f>+IF($I188=M$3,VLOOKUP($H188,Depreciation!$A$6:$L$10,10,FALSE)/2,IF($I188&lt;M$3,VLOOKUP($H188,Depreciation!$A$6:$L$10,10,FALSE),0))</f>
        <v>3.0676363676126896E-2</v>
      </c>
      <c r="N188" s="361">
        <f>+IF($I188=N$3,VLOOKUP($H188,Depreciation!$A$6:$L$10,11,FALSE)/2,IF($I188&lt;N$3,VLOOKUP($H188,Depreciation!$A$6:$L$10,11,FALSE),0))</f>
        <v>3.0676363676126896E-2</v>
      </c>
      <c r="O188" s="361">
        <f>+IF($I188=O$3,VLOOKUP($H188,Depreciation!$A$6:$L$10,12,FALSE)/2,IF($I188&lt;O$3,VLOOKUP($H188,Depreciation!$A$6:$L$10,12,FALSE),0))</f>
        <v>3.0676363676126896E-2</v>
      </c>
      <c r="P188" s="362">
        <f t="shared" si="8"/>
        <v>10065754.506010192</v>
      </c>
      <c r="Q188" s="362">
        <f t="shared" si="9"/>
        <v>0</v>
      </c>
      <c r="R188" s="363">
        <f t="shared" si="10"/>
        <v>10065754.506010192</v>
      </c>
    </row>
    <row r="189" spans="1:18">
      <c r="A189" s="359" t="str">
        <f>'Func Future Lines 2015'!A189</f>
        <v>PPS</v>
      </c>
      <c r="B189" s="359" t="str">
        <f>'Func Future Lines 2015'!B189</f>
        <v>727L/646L rebuild to d/c_180</v>
      </c>
      <c r="C189" s="359">
        <f>'Func Future Lines 2015'!C189</f>
        <v>1117</v>
      </c>
      <c r="D189" s="359">
        <f>'Func Future Lines 2015'!D189</f>
        <v>138</v>
      </c>
      <c r="E189" s="359">
        <f>'Func Future Lines 2015'!E189</f>
        <v>0</v>
      </c>
      <c r="F189" s="359" t="str">
        <f>'Func Future Lines 2015'!F189</f>
        <v>Calgary</v>
      </c>
      <c r="G189" s="359">
        <f>'Func Future Lines 2015'!G189</f>
        <v>6925650.2686265837</v>
      </c>
      <c r="H189" s="359" t="str">
        <f>'Func Future Lines 2015'!H189</f>
        <v>AltaLink</v>
      </c>
      <c r="I189" s="359">
        <f>'Func Future Lines 2015'!I189</f>
        <v>2015</v>
      </c>
      <c r="J189" s="361">
        <f>+IF($I189=J$3,VLOOKUP($H189,Depreciation!$A$6:$L$10,7,FALSE)/2,IF($I189&lt;J$3,VLOOKUP($H189,Depreciation!$A$6:$L$10,7,FALSE),0))</f>
        <v>1.595020804044691E-2</v>
      </c>
      <c r="K189" s="361">
        <f>+IF($I189=K$3,VLOOKUP($H189,Depreciation!$A$6:$L$10,8,FALSE)/2,IF($I189&lt;K$3,VLOOKUP($H189,Depreciation!$A$6:$L$10,8,FALSE),0))</f>
        <v>3.0676363676126896E-2</v>
      </c>
      <c r="L189" s="361">
        <f>+IF($I189=L$3,VLOOKUP($H189,Depreciation!$A$6:$L$10,9,FALSE)/2,IF($I189&lt;L$3,VLOOKUP($H189,Depreciation!$A$6:$L$10,9,FALSE),0))</f>
        <v>3.0676363676126896E-2</v>
      </c>
      <c r="M189" s="361">
        <f>+IF($I189=M$3,VLOOKUP($H189,Depreciation!$A$6:$L$10,10,FALSE)/2,IF($I189&lt;M$3,VLOOKUP($H189,Depreciation!$A$6:$L$10,10,FALSE),0))</f>
        <v>3.0676363676126896E-2</v>
      </c>
      <c r="N189" s="361">
        <f>+IF($I189=N$3,VLOOKUP($H189,Depreciation!$A$6:$L$10,11,FALSE)/2,IF($I189&lt;N$3,VLOOKUP($H189,Depreciation!$A$6:$L$10,11,FALSE),0))</f>
        <v>3.0676363676126896E-2</v>
      </c>
      <c r="O189" s="361">
        <f>+IF($I189=O$3,VLOOKUP($H189,Depreciation!$A$6:$L$10,12,FALSE)/2,IF($I189&lt;O$3,VLOOKUP($H189,Depreciation!$A$6:$L$10,12,FALSE),0))</f>
        <v>3.0676363676126896E-2</v>
      </c>
      <c r="P189" s="362">
        <f t="shared" si="8"/>
        <v>6606119.6214645626</v>
      </c>
      <c r="Q189" s="362">
        <f t="shared" si="9"/>
        <v>0</v>
      </c>
      <c r="R189" s="363">
        <f t="shared" si="10"/>
        <v>6606119.6214645626</v>
      </c>
    </row>
    <row r="190" spans="1:18">
      <c r="A190" s="359" t="str">
        <f>'Func Future Lines 2015'!A190</f>
        <v>PPS</v>
      </c>
      <c r="B190" s="359" t="str">
        <f>'Func Future Lines 2015'!B190</f>
        <v>850L temporary line_180</v>
      </c>
      <c r="C190" s="359">
        <f>'Func Future Lines 2015'!C190</f>
        <v>1117</v>
      </c>
      <c r="D190" s="359">
        <f>'Func Future Lines 2015'!D190</f>
        <v>240</v>
      </c>
      <c r="E190" s="359">
        <f>'Func Future Lines 2015'!E190</f>
        <v>0</v>
      </c>
      <c r="F190" s="359">
        <f>'Func Future Lines 2015'!F190</f>
        <v>0</v>
      </c>
      <c r="G190" s="359">
        <f>'Func Future Lines 2015'!G190</f>
        <v>6383232.2672256418</v>
      </c>
      <c r="H190" s="359" t="str">
        <f>'Func Future Lines 2015'!H190</f>
        <v>AltaLink</v>
      </c>
      <c r="I190" s="359">
        <f>'Func Future Lines 2015'!I190</f>
        <v>2015</v>
      </c>
      <c r="J190" s="361">
        <f>+IF($I190=J$3,VLOOKUP($H190,Depreciation!$A$6:$L$10,7,FALSE)/2,IF($I190&lt;J$3,VLOOKUP($H190,Depreciation!$A$6:$L$10,7,FALSE),0))</f>
        <v>1.595020804044691E-2</v>
      </c>
      <c r="K190" s="361">
        <f>+IF($I190=K$3,VLOOKUP($H190,Depreciation!$A$6:$L$10,8,FALSE)/2,IF($I190&lt;K$3,VLOOKUP($H190,Depreciation!$A$6:$L$10,8,FALSE),0))</f>
        <v>3.0676363676126896E-2</v>
      </c>
      <c r="L190" s="361">
        <f>+IF($I190=L$3,VLOOKUP($H190,Depreciation!$A$6:$L$10,9,FALSE)/2,IF($I190&lt;L$3,VLOOKUP($H190,Depreciation!$A$6:$L$10,9,FALSE),0))</f>
        <v>3.0676363676126896E-2</v>
      </c>
      <c r="M190" s="361">
        <f>+IF($I190=M$3,VLOOKUP($H190,Depreciation!$A$6:$L$10,10,FALSE)/2,IF($I190&lt;M$3,VLOOKUP($H190,Depreciation!$A$6:$L$10,10,FALSE),0))</f>
        <v>3.0676363676126896E-2</v>
      </c>
      <c r="N190" s="361">
        <f>+IF($I190=N$3,VLOOKUP($H190,Depreciation!$A$6:$L$10,11,FALSE)/2,IF($I190&lt;N$3,VLOOKUP($H190,Depreciation!$A$6:$L$10,11,FALSE),0))</f>
        <v>3.0676363676126896E-2</v>
      </c>
      <c r="O190" s="361">
        <f>+IF($I190=O$3,VLOOKUP($H190,Depreciation!$A$6:$L$10,12,FALSE)/2,IF($I190&lt;O$3,VLOOKUP($H190,Depreciation!$A$6:$L$10,12,FALSE),0))</f>
        <v>3.0676363676126896E-2</v>
      </c>
      <c r="P190" s="362">
        <f t="shared" si="8"/>
        <v>6088727.3098252174</v>
      </c>
      <c r="Q190" s="362">
        <f t="shared" si="9"/>
        <v>6088727.3098252174</v>
      </c>
      <c r="R190" s="363">
        <f t="shared" si="10"/>
        <v>0</v>
      </c>
    </row>
    <row r="191" spans="1:18">
      <c r="A191" s="359" t="str">
        <f>'Func Future Lines 2015'!A191</f>
        <v>PPS</v>
      </c>
      <c r="B191" s="359" t="str">
        <f>'Func Future Lines 2015'!B191</f>
        <v>850L/911L salvage_180</v>
      </c>
      <c r="C191" s="359">
        <f>'Func Future Lines 2015'!C191</f>
        <v>1117</v>
      </c>
      <c r="D191" s="359">
        <f>'Func Future Lines 2015'!D191</f>
        <v>240</v>
      </c>
      <c r="E191" s="359">
        <f>'Func Future Lines 2015'!E191</f>
        <v>0</v>
      </c>
      <c r="F191" s="359">
        <f>'Func Future Lines 2015'!F191</f>
        <v>0</v>
      </c>
      <c r="G191" s="359">
        <f>'Func Future Lines 2015'!G191</f>
        <v>40534.58651700589</v>
      </c>
      <c r="H191" s="359" t="str">
        <f>'Func Future Lines 2015'!H191</f>
        <v>AltaLink</v>
      </c>
      <c r="I191" s="359">
        <f>'Func Future Lines 2015'!I191</f>
        <v>2015</v>
      </c>
      <c r="J191" s="361">
        <f>+IF($I191=J$3,VLOOKUP($H191,Depreciation!$A$6:$L$10,7,FALSE)/2,IF($I191&lt;J$3,VLOOKUP($H191,Depreciation!$A$6:$L$10,7,FALSE),0))</f>
        <v>1.595020804044691E-2</v>
      </c>
      <c r="K191" s="361">
        <f>+IF($I191=K$3,VLOOKUP($H191,Depreciation!$A$6:$L$10,8,FALSE)/2,IF($I191&lt;K$3,VLOOKUP($H191,Depreciation!$A$6:$L$10,8,FALSE),0))</f>
        <v>3.0676363676126896E-2</v>
      </c>
      <c r="L191" s="361">
        <f>+IF($I191=L$3,VLOOKUP($H191,Depreciation!$A$6:$L$10,9,FALSE)/2,IF($I191&lt;L$3,VLOOKUP($H191,Depreciation!$A$6:$L$10,9,FALSE),0))</f>
        <v>3.0676363676126896E-2</v>
      </c>
      <c r="M191" s="361">
        <f>+IF($I191=M$3,VLOOKUP($H191,Depreciation!$A$6:$L$10,10,FALSE)/2,IF($I191&lt;M$3,VLOOKUP($H191,Depreciation!$A$6:$L$10,10,FALSE),0))</f>
        <v>3.0676363676126896E-2</v>
      </c>
      <c r="N191" s="361">
        <f>+IF($I191=N$3,VLOOKUP($H191,Depreciation!$A$6:$L$10,11,FALSE)/2,IF($I191&lt;N$3,VLOOKUP($H191,Depreciation!$A$6:$L$10,11,FALSE),0))</f>
        <v>3.0676363676126896E-2</v>
      </c>
      <c r="O191" s="361">
        <f>+IF($I191=O$3,VLOOKUP($H191,Depreciation!$A$6:$L$10,12,FALSE)/2,IF($I191&lt;O$3,VLOOKUP($H191,Depreciation!$A$6:$L$10,12,FALSE),0))</f>
        <v>3.0676363676126896E-2</v>
      </c>
      <c r="P191" s="362">
        <f t="shared" si="8"/>
        <v>38664.431057251153</v>
      </c>
      <c r="Q191" s="362">
        <f t="shared" si="9"/>
        <v>38664.431057251153</v>
      </c>
      <c r="R191" s="363">
        <f t="shared" si="10"/>
        <v>0</v>
      </c>
    </row>
    <row r="192" spans="1:18">
      <c r="A192" s="359" t="str">
        <f>'Func Future Lines 2015'!A192</f>
        <v>PPS</v>
      </c>
      <c r="B192" s="359" t="str">
        <f>'Func Future Lines 2015'!B192</f>
        <v>850L/911L_(v180)</v>
      </c>
      <c r="C192" s="359">
        <f>'Func Future Lines 2015'!C192</f>
        <v>1117</v>
      </c>
      <c r="D192" s="359">
        <f>'Func Future Lines 2015'!D192</f>
        <v>240</v>
      </c>
      <c r="E192" s="359">
        <f>'Func Future Lines 2015'!E192</f>
        <v>0</v>
      </c>
      <c r="F192" s="359" t="str">
        <f>'Func Future Lines 2015'!F192</f>
        <v>Calgary</v>
      </c>
      <c r="G192" s="359">
        <f>'Func Future Lines 2015'!G192</f>
        <v>4954996.4948249059</v>
      </c>
      <c r="H192" s="359" t="str">
        <f>'Func Future Lines 2015'!H192</f>
        <v>AltaLink</v>
      </c>
      <c r="I192" s="359">
        <f>'Func Future Lines 2015'!I192</f>
        <v>2015</v>
      </c>
      <c r="J192" s="361">
        <f>+IF($I192=J$3,VLOOKUP($H192,Depreciation!$A$6:$L$10,7,FALSE)/2,IF($I192&lt;J$3,VLOOKUP($H192,Depreciation!$A$6:$L$10,7,FALSE),0))</f>
        <v>1.595020804044691E-2</v>
      </c>
      <c r="K192" s="361">
        <f>+IF($I192=K$3,VLOOKUP($H192,Depreciation!$A$6:$L$10,8,FALSE)/2,IF($I192&lt;K$3,VLOOKUP($H192,Depreciation!$A$6:$L$10,8,FALSE),0))</f>
        <v>3.0676363676126896E-2</v>
      </c>
      <c r="L192" s="361">
        <f>+IF($I192=L$3,VLOOKUP($H192,Depreciation!$A$6:$L$10,9,FALSE)/2,IF($I192&lt;L$3,VLOOKUP($H192,Depreciation!$A$6:$L$10,9,FALSE),0))</f>
        <v>3.0676363676126896E-2</v>
      </c>
      <c r="M192" s="361">
        <f>+IF($I192=M$3,VLOOKUP($H192,Depreciation!$A$6:$L$10,10,FALSE)/2,IF($I192&lt;M$3,VLOOKUP($H192,Depreciation!$A$6:$L$10,10,FALSE),0))</f>
        <v>3.0676363676126896E-2</v>
      </c>
      <c r="N192" s="361">
        <f>+IF($I192=N$3,VLOOKUP($H192,Depreciation!$A$6:$L$10,11,FALSE)/2,IF($I192&lt;N$3,VLOOKUP($H192,Depreciation!$A$6:$L$10,11,FALSE),0))</f>
        <v>3.0676363676126896E-2</v>
      </c>
      <c r="O192" s="361">
        <f>+IF($I192=O$3,VLOOKUP($H192,Depreciation!$A$6:$L$10,12,FALSE)/2,IF($I192&lt;O$3,VLOOKUP($H192,Depreciation!$A$6:$L$10,12,FALSE),0))</f>
        <v>3.0676363676126896E-2</v>
      </c>
      <c r="P192" s="362">
        <f t="shared" si="8"/>
        <v>4726386.447354096</v>
      </c>
      <c r="Q192" s="362">
        <f t="shared" si="9"/>
        <v>4726386.447354096</v>
      </c>
      <c r="R192" s="363">
        <f t="shared" si="10"/>
        <v>0</v>
      </c>
    </row>
    <row r="193" spans="1:18">
      <c r="A193" s="359" t="str">
        <f>'Func Future Lines 2015'!A193</f>
        <v>PPS</v>
      </c>
      <c r="B193" s="359" t="str">
        <f>'Func Future Lines 2015'!B193</f>
        <v>850L/911L_(v180)</v>
      </c>
      <c r="C193" s="359">
        <f>'Func Future Lines 2015'!C193</f>
        <v>1117</v>
      </c>
      <c r="D193" s="359">
        <f>'Func Future Lines 2015'!D193</f>
        <v>240</v>
      </c>
      <c r="E193" s="359">
        <f>'Func Future Lines 2015'!E193</f>
        <v>0</v>
      </c>
      <c r="F193" s="359" t="str">
        <f>'Func Future Lines 2015'!F193</f>
        <v>Calgary</v>
      </c>
      <c r="G193" s="359">
        <f>'Func Future Lines 2015'!G193</f>
        <v>6050519.460335305</v>
      </c>
      <c r="H193" s="359" t="str">
        <f>'Func Future Lines 2015'!H193</f>
        <v>AltaLink</v>
      </c>
      <c r="I193" s="359">
        <f>'Func Future Lines 2015'!I193</f>
        <v>2015</v>
      </c>
      <c r="J193" s="361">
        <f>+IF($I193=J$3,VLOOKUP($H193,Depreciation!$A$6:$L$10,7,FALSE)/2,IF($I193&lt;J$3,VLOOKUP($H193,Depreciation!$A$6:$L$10,7,FALSE),0))</f>
        <v>1.595020804044691E-2</v>
      </c>
      <c r="K193" s="361">
        <f>+IF($I193=K$3,VLOOKUP($H193,Depreciation!$A$6:$L$10,8,FALSE)/2,IF($I193&lt;K$3,VLOOKUP($H193,Depreciation!$A$6:$L$10,8,FALSE),0))</f>
        <v>3.0676363676126896E-2</v>
      </c>
      <c r="L193" s="361">
        <f>+IF($I193=L$3,VLOOKUP($H193,Depreciation!$A$6:$L$10,9,FALSE)/2,IF($I193&lt;L$3,VLOOKUP($H193,Depreciation!$A$6:$L$10,9,FALSE),0))</f>
        <v>3.0676363676126896E-2</v>
      </c>
      <c r="M193" s="361">
        <f>+IF($I193=M$3,VLOOKUP($H193,Depreciation!$A$6:$L$10,10,FALSE)/2,IF($I193&lt;M$3,VLOOKUP($H193,Depreciation!$A$6:$L$10,10,FALSE),0))</f>
        <v>3.0676363676126896E-2</v>
      </c>
      <c r="N193" s="361">
        <f>+IF($I193=N$3,VLOOKUP($H193,Depreciation!$A$6:$L$10,11,FALSE)/2,IF($I193&lt;N$3,VLOOKUP($H193,Depreciation!$A$6:$L$10,11,FALSE),0))</f>
        <v>3.0676363676126896E-2</v>
      </c>
      <c r="O193" s="361">
        <f>+IF($I193=O$3,VLOOKUP($H193,Depreciation!$A$6:$L$10,12,FALSE)/2,IF($I193&lt;O$3,VLOOKUP($H193,Depreciation!$A$6:$L$10,12,FALSE),0))</f>
        <v>3.0676363676126896E-2</v>
      </c>
      <c r="P193" s="362">
        <f t="shared" si="8"/>
        <v>5771364.9659789596</v>
      </c>
      <c r="Q193" s="362">
        <f t="shared" si="9"/>
        <v>5771364.9659789596</v>
      </c>
      <c r="R193" s="363">
        <f t="shared" si="10"/>
        <v>0</v>
      </c>
    </row>
    <row r="194" spans="1:18">
      <c r="A194" s="359" t="str">
        <f>'Func Future Lines 2015'!A194</f>
        <v>PPS</v>
      </c>
      <c r="B194" s="359" t="str">
        <f>'Func Future Lines 2015'!B194</f>
        <v>911L temporary line_180</v>
      </c>
      <c r="C194" s="359">
        <f>'Func Future Lines 2015'!C194</f>
        <v>1117</v>
      </c>
      <c r="D194" s="359">
        <f>'Func Future Lines 2015'!D194</f>
        <v>240</v>
      </c>
      <c r="E194" s="359">
        <f>'Func Future Lines 2015'!E194</f>
        <v>0</v>
      </c>
      <c r="F194" s="359">
        <f>'Func Future Lines 2015'!F194</f>
        <v>0</v>
      </c>
      <c r="G194" s="359">
        <f>'Func Future Lines 2015'!G194</f>
        <v>5690283.8596253982</v>
      </c>
      <c r="H194" s="359" t="str">
        <f>'Func Future Lines 2015'!H194</f>
        <v>AltaLink</v>
      </c>
      <c r="I194" s="359">
        <f>'Func Future Lines 2015'!I194</f>
        <v>2015</v>
      </c>
      <c r="J194" s="361">
        <f>+IF($I194=J$3,VLOOKUP($H194,Depreciation!$A$6:$L$10,7,FALSE)/2,IF($I194&lt;J$3,VLOOKUP($H194,Depreciation!$A$6:$L$10,7,FALSE),0))</f>
        <v>1.595020804044691E-2</v>
      </c>
      <c r="K194" s="361">
        <f>+IF($I194=K$3,VLOOKUP($H194,Depreciation!$A$6:$L$10,8,FALSE)/2,IF($I194&lt;K$3,VLOOKUP($H194,Depreciation!$A$6:$L$10,8,FALSE),0))</f>
        <v>3.0676363676126896E-2</v>
      </c>
      <c r="L194" s="361">
        <f>+IF($I194=L$3,VLOOKUP($H194,Depreciation!$A$6:$L$10,9,FALSE)/2,IF($I194&lt;L$3,VLOOKUP($H194,Depreciation!$A$6:$L$10,9,FALSE),0))</f>
        <v>3.0676363676126896E-2</v>
      </c>
      <c r="M194" s="361">
        <f>+IF($I194=M$3,VLOOKUP($H194,Depreciation!$A$6:$L$10,10,FALSE)/2,IF($I194&lt;M$3,VLOOKUP($H194,Depreciation!$A$6:$L$10,10,FALSE),0))</f>
        <v>3.0676363676126896E-2</v>
      </c>
      <c r="N194" s="361">
        <f>+IF($I194=N$3,VLOOKUP($H194,Depreciation!$A$6:$L$10,11,FALSE)/2,IF($I194&lt;N$3,VLOOKUP($H194,Depreciation!$A$6:$L$10,11,FALSE),0))</f>
        <v>3.0676363676126896E-2</v>
      </c>
      <c r="O194" s="361">
        <f>+IF($I194=O$3,VLOOKUP($H194,Depreciation!$A$6:$L$10,12,FALSE)/2,IF($I194&lt;O$3,VLOOKUP($H194,Depreciation!$A$6:$L$10,12,FALSE),0))</f>
        <v>3.0676363676126896E-2</v>
      </c>
      <c r="P194" s="362">
        <f t="shared" si="8"/>
        <v>5427749.6550845904</v>
      </c>
      <c r="Q194" s="362">
        <f t="shared" si="9"/>
        <v>5427749.6550845904</v>
      </c>
      <c r="R194" s="363">
        <f t="shared" si="10"/>
        <v>0</v>
      </c>
    </row>
    <row r="195" spans="1:18">
      <c r="A195" s="359" t="str">
        <f>'Func Future Lines 2015'!A195</f>
        <v>PPS</v>
      </c>
      <c r="B195" s="359" t="str">
        <f>'Func Future Lines 2015'!B195</f>
        <v>936L/937L_(v180)</v>
      </c>
      <c r="C195" s="359">
        <f>'Func Future Lines 2015'!C195</f>
        <v>1117</v>
      </c>
      <c r="D195" s="359">
        <f>'Func Future Lines 2015'!D195</f>
        <v>240</v>
      </c>
      <c r="E195" s="359">
        <f>'Func Future Lines 2015'!E195</f>
        <v>0</v>
      </c>
      <c r="F195" s="359" t="str">
        <f>'Func Future Lines 2015'!F195</f>
        <v>Calgary</v>
      </c>
      <c r="G195" s="359">
        <f>'Func Future Lines 2015'!G195</f>
        <v>5966110.3138123723</v>
      </c>
      <c r="H195" s="359" t="str">
        <f>'Func Future Lines 2015'!H195</f>
        <v>AltaLink</v>
      </c>
      <c r="I195" s="359">
        <f>'Func Future Lines 2015'!I195</f>
        <v>2015</v>
      </c>
      <c r="J195" s="361">
        <f>+IF($I195=J$3,VLOOKUP($H195,Depreciation!$A$6:$L$10,7,FALSE)/2,IF($I195&lt;J$3,VLOOKUP($H195,Depreciation!$A$6:$L$10,7,FALSE),0))</f>
        <v>1.595020804044691E-2</v>
      </c>
      <c r="K195" s="361">
        <f>+IF($I195=K$3,VLOOKUP($H195,Depreciation!$A$6:$L$10,8,FALSE)/2,IF($I195&lt;K$3,VLOOKUP($H195,Depreciation!$A$6:$L$10,8,FALSE),0))</f>
        <v>3.0676363676126896E-2</v>
      </c>
      <c r="L195" s="361">
        <f>+IF($I195=L$3,VLOOKUP($H195,Depreciation!$A$6:$L$10,9,FALSE)/2,IF($I195&lt;L$3,VLOOKUP($H195,Depreciation!$A$6:$L$10,9,FALSE),0))</f>
        <v>3.0676363676126896E-2</v>
      </c>
      <c r="M195" s="361">
        <f>+IF($I195=M$3,VLOOKUP($H195,Depreciation!$A$6:$L$10,10,FALSE)/2,IF($I195&lt;M$3,VLOOKUP($H195,Depreciation!$A$6:$L$10,10,FALSE),0))</f>
        <v>3.0676363676126896E-2</v>
      </c>
      <c r="N195" s="361">
        <f>+IF($I195=N$3,VLOOKUP($H195,Depreciation!$A$6:$L$10,11,FALSE)/2,IF($I195&lt;N$3,VLOOKUP($H195,Depreciation!$A$6:$L$10,11,FALSE),0))</f>
        <v>3.0676363676126896E-2</v>
      </c>
      <c r="O195" s="361">
        <f>+IF($I195=O$3,VLOOKUP($H195,Depreciation!$A$6:$L$10,12,FALSE)/2,IF($I195&lt;O$3,VLOOKUP($H195,Depreciation!$A$6:$L$10,12,FALSE),0))</f>
        <v>3.0676363676126896E-2</v>
      </c>
      <c r="P195" s="362">
        <f t="shared" si="8"/>
        <v>5690850.2276586825</v>
      </c>
      <c r="Q195" s="362">
        <f t="shared" si="9"/>
        <v>5690850.2276586825</v>
      </c>
      <c r="R195" s="363">
        <f t="shared" si="10"/>
        <v>0</v>
      </c>
    </row>
    <row r="196" spans="1:18">
      <c r="A196" s="359" t="str">
        <f>'Func Future Lines 2015'!A196</f>
        <v>PPS</v>
      </c>
      <c r="B196" s="359" t="str">
        <f>'Func Future Lines 2015'!B196</f>
        <v>936L/937L_(v180)</v>
      </c>
      <c r="C196" s="359">
        <f>'Func Future Lines 2015'!C196</f>
        <v>1117</v>
      </c>
      <c r="D196" s="359">
        <f>'Func Future Lines 2015'!D196</f>
        <v>240</v>
      </c>
      <c r="E196" s="359">
        <f>'Func Future Lines 2015'!E196</f>
        <v>0</v>
      </c>
      <c r="F196" s="359" t="str">
        <f>'Func Future Lines 2015'!F196</f>
        <v>Calgary</v>
      </c>
      <c r="G196" s="359">
        <f>'Func Future Lines 2015'!G196</f>
        <v>5966110.3138123723</v>
      </c>
      <c r="H196" s="359" t="str">
        <f>'Func Future Lines 2015'!H196</f>
        <v>AltaLink</v>
      </c>
      <c r="I196" s="359">
        <f>'Func Future Lines 2015'!I196</f>
        <v>2015</v>
      </c>
      <c r="J196" s="361">
        <f>+IF($I196=J$3,VLOOKUP($H196,Depreciation!$A$6:$L$10,7,FALSE)/2,IF($I196&lt;J$3,VLOOKUP($H196,Depreciation!$A$6:$L$10,7,FALSE),0))</f>
        <v>1.595020804044691E-2</v>
      </c>
      <c r="K196" s="361">
        <f>+IF($I196=K$3,VLOOKUP($H196,Depreciation!$A$6:$L$10,8,FALSE)/2,IF($I196&lt;K$3,VLOOKUP($H196,Depreciation!$A$6:$L$10,8,FALSE),0))</f>
        <v>3.0676363676126896E-2</v>
      </c>
      <c r="L196" s="361">
        <f>+IF($I196=L$3,VLOOKUP($H196,Depreciation!$A$6:$L$10,9,FALSE)/2,IF($I196&lt;L$3,VLOOKUP($H196,Depreciation!$A$6:$L$10,9,FALSE),0))</f>
        <v>3.0676363676126896E-2</v>
      </c>
      <c r="M196" s="361">
        <f>+IF($I196=M$3,VLOOKUP($H196,Depreciation!$A$6:$L$10,10,FALSE)/2,IF($I196&lt;M$3,VLOOKUP($H196,Depreciation!$A$6:$L$10,10,FALSE),0))</f>
        <v>3.0676363676126896E-2</v>
      </c>
      <c r="N196" s="361">
        <f>+IF($I196=N$3,VLOOKUP($H196,Depreciation!$A$6:$L$10,11,FALSE)/2,IF($I196&lt;N$3,VLOOKUP($H196,Depreciation!$A$6:$L$10,11,FALSE),0))</f>
        <v>3.0676363676126896E-2</v>
      </c>
      <c r="O196" s="361">
        <f>+IF($I196=O$3,VLOOKUP($H196,Depreciation!$A$6:$L$10,12,FALSE)/2,IF($I196&lt;O$3,VLOOKUP($H196,Depreciation!$A$6:$L$10,12,FALSE),0))</f>
        <v>3.0676363676126896E-2</v>
      </c>
      <c r="P196" s="362">
        <f t="shared" si="8"/>
        <v>5690850.2276586825</v>
      </c>
      <c r="Q196" s="362">
        <f t="shared" si="9"/>
        <v>5690850.2276586825</v>
      </c>
      <c r="R196" s="363">
        <f t="shared" si="10"/>
        <v>0</v>
      </c>
    </row>
    <row r="197" spans="1:18">
      <c r="A197" s="359" t="str">
        <f>'Func Future Lines 2015'!A197</f>
        <v>PPS</v>
      </c>
      <c r="B197" s="359" t="str">
        <f>'Func Future Lines 2015'!B197</f>
        <v>937L UG_(v180)</v>
      </c>
      <c r="C197" s="359">
        <f>'Func Future Lines 2015'!C197</f>
        <v>1117</v>
      </c>
      <c r="D197" s="359">
        <f>'Func Future Lines 2015'!D197</f>
        <v>240</v>
      </c>
      <c r="E197" s="359">
        <f>'Func Future Lines 2015'!E197</f>
        <v>0</v>
      </c>
      <c r="F197" s="359" t="str">
        <f>'Func Future Lines 2015'!F197</f>
        <v>Calgary</v>
      </c>
      <c r="G197" s="359">
        <f>'Func Future Lines 2015'!G197</f>
        <v>6197786.4819285059</v>
      </c>
      <c r="H197" s="359" t="str">
        <f>'Func Future Lines 2015'!H197</f>
        <v>AltaLink</v>
      </c>
      <c r="I197" s="359">
        <f>'Func Future Lines 2015'!I197</f>
        <v>2015</v>
      </c>
      <c r="J197" s="361">
        <f>+IF($I197=J$3,VLOOKUP($H197,Depreciation!$A$6:$L$10,7,FALSE)/2,IF($I197&lt;J$3,VLOOKUP($H197,Depreciation!$A$6:$L$10,7,FALSE),0))</f>
        <v>1.595020804044691E-2</v>
      </c>
      <c r="K197" s="361">
        <f>+IF($I197=K$3,VLOOKUP($H197,Depreciation!$A$6:$L$10,8,FALSE)/2,IF($I197&lt;K$3,VLOOKUP($H197,Depreciation!$A$6:$L$10,8,FALSE),0))</f>
        <v>3.0676363676126896E-2</v>
      </c>
      <c r="L197" s="361">
        <f>+IF($I197=L$3,VLOOKUP($H197,Depreciation!$A$6:$L$10,9,FALSE)/2,IF($I197&lt;L$3,VLOOKUP($H197,Depreciation!$A$6:$L$10,9,FALSE),0))</f>
        <v>3.0676363676126896E-2</v>
      </c>
      <c r="M197" s="361">
        <f>+IF($I197=M$3,VLOOKUP($H197,Depreciation!$A$6:$L$10,10,FALSE)/2,IF($I197&lt;M$3,VLOOKUP($H197,Depreciation!$A$6:$L$10,10,FALSE),0))</f>
        <v>3.0676363676126896E-2</v>
      </c>
      <c r="N197" s="361">
        <f>+IF($I197=N$3,VLOOKUP($H197,Depreciation!$A$6:$L$10,11,FALSE)/2,IF($I197&lt;N$3,VLOOKUP($H197,Depreciation!$A$6:$L$10,11,FALSE),0))</f>
        <v>3.0676363676126896E-2</v>
      </c>
      <c r="O197" s="361">
        <f>+IF($I197=O$3,VLOOKUP($H197,Depreciation!$A$6:$L$10,12,FALSE)/2,IF($I197&lt;O$3,VLOOKUP($H197,Depreciation!$A$6:$L$10,12,FALSE),0))</f>
        <v>3.0676363676126896E-2</v>
      </c>
      <c r="P197" s="362">
        <f t="shared" ref="P197:P260" si="11">IF(I197&lt;=2016,G197*(1-J197)*(1-K197),0)</f>
        <v>5911837.4881547596</v>
      </c>
      <c r="Q197" s="362">
        <f t="shared" ref="Q197:Q260" si="12">IF(D197&gt;=240,P197,0)</f>
        <v>5911837.4881547596</v>
      </c>
      <c r="R197" s="363">
        <f t="shared" ref="R197:R260" si="13">IF(AND(D197&gt;25,D197&lt;240),P197,0)</f>
        <v>0</v>
      </c>
    </row>
    <row r="198" spans="1:18">
      <c r="A198" s="359" t="str">
        <f>'Func Future Lines 2015'!A198</f>
        <v>PPS</v>
      </c>
      <c r="B198" s="359" t="str">
        <f>'Func Future Lines 2015'!B198</f>
        <v>7L167 Transmission Line</v>
      </c>
      <c r="C198" s="359">
        <f>'Func Future Lines 2015'!C198</f>
        <v>1128</v>
      </c>
      <c r="D198" s="359">
        <f>'Func Future Lines 2015'!D198</f>
        <v>144</v>
      </c>
      <c r="E198" s="359">
        <f>'Func Future Lines 2015'!E198</f>
        <v>0</v>
      </c>
      <c r="F198" s="359" t="str">
        <f>'Func Future Lines 2015'!F198</f>
        <v>Fort McMurray</v>
      </c>
      <c r="G198" s="359">
        <f>'Func Future Lines 2015'!G198</f>
        <v>5836667.1107417718</v>
      </c>
      <c r="H198" s="359" t="str">
        <f>'Func Future Lines 2015'!H198</f>
        <v>ATCO</v>
      </c>
      <c r="I198" s="359">
        <f>'Func Future Lines 2015'!I198</f>
        <v>2015</v>
      </c>
      <c r="J198" s="361">
        <f>+IF($I198=J$3,VLOOKUP($H198,Depreciation!$A$6:$L$10,7,FALSE)/2,IF($I198&lt;J$3,VLOOKUP($H198,Depreciation!$A$6:$L$10,7,FALSE),0))</f>
        <v>1.239102859091515E-2</v>
      </c>
      <c r="K198" s="361">
        <f>+IF($I198=K$3,VLOOKUP($H198,Depreciation!$A$6:$L$10,8,FALSE)/2,IF($I198&lt;K$3,VLOOKUP($H198,Depreciation!$A$6:$L$10,8,FALSE),0))</f>
        <v>2.3943859731006666E-2</v>
      </c>
      <c r="L198" s="361">
        <f>+IF($I198=L$3,VLOOKUP($H198,Depreciation!$A$6:$L$10,9,FALSE)/2,IF($I198&lt;L$3,VLOOKUP($H198,Depreciation!$A$6:$L$10,9,FALSE),0))</f>
        <v>2.4002037926855919E-2</v>
      </c>
      <c r="M198" s="361">
        <f>+IF($I198=M$3,VLOOKUP($H198,Depreciation!$A$6:$L$10,10,FALSE)/2,IF($I198&lt;M$3,VLOOKUP($H198,Depreciation!$A$6:$L$10,10,FALSE),0))</f>
        <v>2.4002037926855919E-2</v>
      </c>
      <c r="N198" s="361">
        <f>+IF($I198=N$3,VLOOKUP($H198,Depreciation!$A$6:$L$10,11,FALSE)/2,IF($I198&lt;N$3,VLOOKUP($H198,Depreciation!$A$6:$L$10,11,FALSE),0))</f>
        <v>2.4002037926855919E-2</v>
      </c>
      <c r="O198" s="361">
        <f>+IF($I198=O$3,VLOOKUP($H198,Depreciation!$A$6:$L$10,12,FALSE)/2,IF($I198&lt;O$3,VLOOKUP($H198,Depreciation!$A$6:$L$10,12,FALSE),0))</f>
        <v>2.4002037926855919E-2</v>
      </c>
      <c r="P198" s="362">
        <f t="shared" si="11"/>
        <v>5626324.1383239282</v>
      </c>
      <c r="Q198" s="362">
        <f t="shared" si="12"/>
        <v>0</v>
      </c>
      <c r="R198" s="363">
        <f t="shared" si="13"/>
        <v>5626324.1383239282</v>
      </c>
    </row>
    <row r="199" spans="1:18">
      <c r="A199" s="359" t="str">
        <f>'Func Future Lines 2015'!A199</f>
        <v>PPS</v>
      </c>
      <c r="B199" s="359" t="str">
        <f>'Func Future Lines 2015'!B199</f>
        <v>7L183 transmission line</v>
      </c>
      <c r="C199" s="359">
        <f>'Func Future Lines 2015'!C199</f>
        <v>1128</v>
      </c>
      <c r="D199" s="359">
        <f>'Func Future Lines 2015'!D199</f>
        <v>144</v>
      </c>
      <c r="E199" s="359">
        <f>'Func Future Lines 2015'!E199</f>
        <v>0</v>
      </c>
      <c r="F199" s="359">
        <f>'Func Future Lines 2015'!F199</f>
        <v>0</v>
      </c>
      <c r="G199" s="359">
        <f>'Func Future Lines 2015'!G199</f>
        <v>9964313.8981428742</v>
      </c>
      <c r="H199" s="359" t="str">
        <f>'Func Future Lines 2015'!H199</f>
        <v>ATCO</v>
      </c>
      <c r="I199" s="359">
        <f>'Func Future Lines 2015'!I199</f>
        <v>2015</v>
      </c>
      <c r="J199" s="361">
        <f>+IF($I199=J$3,VLOOKUP($H199,Depreciation!$A$6:$L$10,7,FALSE)/2,IF($I199&lt;J$3,VLOOKUP($H199,Depreciation!$A$6:$L$10,7,FALSE),0))</f>
        <v>1.239102859091515E-2</v>
      </c>
      <c r="K199" s="361">
        <f>+IF($I199=K$3,VLOOKUP($H199,Depreciation!$A$6:$L$10,8,FALSE)/2,IF($I199&lt;K$3,VLOOKUP($H199,Depreciation!$A$6:$L$10,8,FALSE),0))</f>
        <v>2.3943859731006666E-2</v>
      </c>
      <c r="L199" s="361">
        <f>+IF($I199=L$3,VLOOKUP($H199,Depreciation!$A$6:$L$10,9,FALSE)/2,IF($I199&lt;L$3,VLOOKUP($H199,Depreciation!$A$6:$L$10,9,FALSE),0))</f>
        <v>2.4002037926855919E-2</v>
      </c>
      <c r="M199" s="361">
        <f>+IF($I199=M$3,VLOOKUP($H199,Depreciation!$A$6:$L$10,10,FALSE)/2,IF($I199&lt;M$3,VLOOKUP($H199,Depreciation!$A$6:$L$10,10,FALSE),0))</f>
        <v>2.4002037926855919E-2</v>
      </c>
      <c r="N199" s="361">
        <f>+IF($I199=N$3,VLOOKUP($H199,Depreciation!$A$6:$L$10,11,FALSE)/2,IF($I199&lt;N$3,VLOOKUP($H199,Depreciation!$A$6:$L$10,11,FALSE),0))</f>
        <v>2.4002037926855919E-2</v>
      </c>
      <c r="O199" s="361">
        <f>+IF($I199=O$3,VLOOKUP($H199,Depreciation!$A$6:$L$10,12,FALSE)/2,IF($I199&lt;O$3,VLOOKUP($H199,Depreciation!$A$6:$L$10,12,FALSE),0))</f>
        <v>2.4002037926855919E-2</v>
      </c>
      <c r="P199" s="362">
        <f t="shared" si="11"/>
        <v>9605217.9682786409</v>
      </c>
      <c r="Q199" s="362">
        <f t="shared" si="12"/>
        <v>0</v>
      </c>
      <c r="R199" s="363">
        <f t="shared" si="13"/>
        <v>9605217.9682786409</v>
      </c>
    </row>
    <row r="200" spans="1:18">
      <c r="A200" s="359" t="str">
        <f>'Func Future Lines 2015'!A200</f>
        <v>PPS</v>
      </c>
      <c r="B200" s="359" t="str">
        <f>'Func Future Lines 2015'!B200</f>
        <v>9L08 and 9L76 240kV s/c line</v>
      </c>
      <c r="C200" s="359">
        <f>'Func Future Lines 2015'!C200</f>
        <v>1180</v>
      </c>
      <c r="D200" s="359">
        <f>'Func Future Lines 2015'!D200</f>
        <v>240</v>
      </c>
      <c r="E200" s="359">
        <f>'Func Future Lines 2015'!E200</f>
        <v>0</v>
      </c>
      <c r="F200" s="359" t="str">
        <f>'Func Future Lines 2015'!F200</f>
        <v>Fort McMurray</v>
      </c>
      <c r="G200" s="359">
        <f>'Func Future Lines 2015'!G200</f>
        <v>0</v>
      </c>
      <c r="H200" s="359" t="str">
        <f>'Func Future Lines 2015'!H200</f>
        <v>ATCO</v>
      </c>
      <c r="I200" s="359">
        <f>'Func Future Lines 2015'!I200</f>
        <v>2100</v>
      </c>
      <c r="J200" s="361">
        <f>+IF($I200=J$3,VLOOKUP($H200,Depreciation!$A$6:$L$10,7,FALSE)/2,IF($I200&lt;J$3,VLOOKUP($H200,Depreciation!$A$6:$L$10,7,FALSE),0))</f>
        <v>0</v>
      </c>
      <c r="K200" s="361">
        <f>+IF($I200=K$3,VLOOKUP($H200,Depreciation!$A$6:$L$10,8,FALSE)/2,IF($I200&lt;K$3,VLOOKUP($H200,Depreciation!$A$6:$L$10,8,FALSE),0))</f>
        <v>0</v>
      </c>
      <c r="L200" s="361">
        <f>+IF($I200=L$3,VLOOKUP($H200,Depreciation!$A$6:$L$10,9,FALSE)/2,IF($I200&lt;L$3,VLOOKUP($H200,Depreciation!$A$6:$L$10,9,FALSE),0))</f>
        <v>0</v>
      </c>
      <c r="M200" s="361">
        <f>+IF($I200=M$3,VLOOKUP($H200,Depreciation!$A$6:$L$10,10,FALSE)/2,IF($I200&lt;M$3,VLOOKUP($H200,Depreciation!$A$6:$L$10,10,FALSE),0))</f>
        <v>0</v>
      </c>
      <c r="N200" s="361">
        <f>+IF($I200=N$3,VLOOKUP($H200,Depreciation!$A$6:$L$10,11,FALSE)/2,IF($I200&lt;N$3,VLOOKUP($H200,Depreciation!$A$6:$L$10,11,FALSE),0))</f>
        <v>0</v>
      </c>
      <c r="O200" s="361">
        <f>+IF($I200=O$3,VLOOKUP($H200,Depreciation!$A$6:$L$10,12,FALSE)/2,IF($I200&lt;O$3,VLOOKUP($H200,Depreciation!$A$6:$L$10,12,FALSE),0))</f>
        <v>0</v>
      </c>
      <c r="P200" s="362">
        <f t="shared" si="11"/>
        <v>0</v>
      </c>
      <c r="Q200" s="362">
        <f t="shared" si="12"/>
        <v>0</v>
      </c>
      <c r="R200" s="363">
        <f t="shared" si="13"/>
        <v>0</v>
      </c>
    </row>
    <row r="201" spans="1:18">
      <c r="A201" s="359" t="str">
        <f>'Func Future Lines 2015'!A201</f>
        <v>PPS</v>
      </c>
      <c r="B201" s="359" t="str">
        <f>'Func Future Lines 2015'!B201</f>
        <v>9L95</v>
      </c>
      <c r="C201" s="359">
        <f>'Func Future Lines 2015'!C201</f>
        <v>1180</v>
      </c>
      <c r="D201" s="359">
        <f>'Func Future Lines 2015'!D201</f>
        <v>240</v>
      </c>
      <c r="E201" s="359">
        <f>'Func Future Lines 2015'!E201</f>
        <v>0</v>
      </c>
      <c r="F201" s="359" t="str">
        <f>'Func Future Lines 2015'!F201</f>
        <v>Fort McMurray</v>
      </c>
      <c r="G201" s="359">
        <f>'Func Future Lines 2015'!G201</f>
        <v>0</v>
      </c>
      <c r="H201" s="359" t="str">
        <f>'Func Future Lines 2015'!H201</f>
        <v>ATCO</v>
      </c>
      <c r="I201" s="359">
        <f>'Func Future Lines 2015'!I201</f>
        <v>2100</v>
      </c>
      <c r="J201" s="361">
        <f>+IF($I201=J$3,VLOOKUP($H201,Depreciation!$A$6:$L$10,7,FALSE)/2,IF($I201&lt;J$3,VLOOKUP($H201,Depreciation!$A$6:$L$10,7,FALSE),0))</f>
        <v>0</v>
      </c>
      <c r="K201" s="361">
        <f>+IF($I201=K$3,VLOOKUP($H201,Depreciation!$A$6:$L$10,8,FALSE)/2,IF($I201&lt;K$3,VLOOKUP($H201,Depreciation!$A$6:$L$10,8,FALSE),0))</f>
        <v>0</v>
      </c>
      <c r="L201" s="361">
        <f>+IF($I201=L$3,VLOOKUP($H201,Depreciation!$A$6:$L$10,9,FALSE)/2,IF($I201&lt;L$3,VLOOKUP($H201,Depreciation!$A$6:$L$10,9,FALSE),0))</f>
        <v>0</v>
      </c>
      <c r="M201" s="361">
        <f>+IF($I201=M$3,VLOOKUP($H201,Depreciation!$A$6:$L$10,10,FALSE)/2,IF($I201&lt;M$3,VLOOKUP($H201,Depreciation!$A$6:$L$10,10,FALSE),0))</f>
        <v>0</v>
      </c>
      <c r="N201" s="361">
        <f>+IF($I201=N$3,VLOOKUP($H201,Depreciation!$A$6:$L$10,11,FALSE)/2,IF($I201&lt;N$3,VLOOKUP($H201,Depreciation!$A$6:$L$10,11,FALSE),0))</f>
        <v>0</v>
      </c>
      <c r="O201" s="361">
        <f>+IF($I201=O$3,VLOOKUP($H201,Depreciation!$A$6:$L$10,12,FALSE)/2,IF($I201&lt;O$3,VLOOKUP($H201,Depreciation!$A$6:$L$10,12,FALSE),0))</f>
        <v>0</v>
      </c>
      <c r="P201" s="362">
        <f t="shared" si="11"/>
        <v>0</v>
      </c>
      <c r="Q201" s="362">
        <f t="shared" si="12"/>
        <v>0</v>
      </c>
      <c r="R201" s="363">
        <f t="shared" si="13"/>
        <v>0</v>
      </c>
    </row>
    <row r="202" spans="1:18">
      <c r="A202" s="359" t="str">
        <f>'Func Future Lines 2015'!A202</f>
        <v>PPS</v>
      </c>
      <c r="B202" s="359" t="str">
        <f>'Func Future Lines 2015'!B202</f>
        <v>Construction of 1.3km of 240kV in/out on H-frame, 9L57 &amp; 9L74 180day</v>
      </c>
      <c r="C202" s="359">
        <f>'Func Future Lines 2015'!C202</f>
        <v>1180</v>
      </c>
      <c r="D202" s="359">
        <f>'Func Future Lines 2015'!D202</f>
        <v>240</v>
      </c>
      <c r="E202" s="359">
        <f>'Func Future Lines 2015'!E202</f>
        <v>0</v>
      </c>
      <c r="F202" s="359" t="str">
        <f>'Func Future Lines 2015'!F202</f>
        <v>Fort McMurray</v>
      </c>
      <c r="G202" s="359">
        <f>'Func Future Lines 2015'!G202</f>
        <v>0</v>
      </c>
      <c r="H202" s="359" t="str">
        <f>'Func Future Lines 2015'!H202</f>
        <v>ATCO</v>
      </c>
      <c r="I202" s="359">
        <f>'Func Future Lines 2015'!I202</f>
        <v>2100</v>
      </c>
      <c r="J202" s="361">
        <f>+IF($I202=J$3,VLOOKUP($H202,Depreciation!$A$6:$L$10,7,FALSE)/2,IF($I202&lt;J$3,VLOOKUP($H202,Depreciation!$A$6:$L$10,7,FALSE),0))</f>
        <v>0</v>
      </c>
      <c r="K202" s="361">
        <f>+IF($I202=K$3,VLOOKUP($H202,Depreciation!$A$6:$L$10,8,FALSE)/2,IF($I202&lt;K$3,VLOOKUP($H202,Depreciation!$A$6:$L$10,8,FALSE),0))</f>
        <v>0</v>
      </c>
      <c r="L202" s="361">
        <f>+IF($I202=L$3,VLOOKUP($H202,Depreciation!$A$6:$L$10,9,FALSE)/2,IF($I202&lt;L$3,VLOOKUP($H202,Depreciation!$A$6:$L$10,9,FALSE),0))</f>
        <v>0</v>
      </c>
      <c r="M202" s="361">
        <f>+IF($I202=M$3,VLOOKUP($H202,Depreciation!$A$6:$L$10,10,FALSE)/2,IF($I202&lt;M$3,VLOOKUP($H202,Depreciation!$A$6:$L$10,10,FALSE),0))</f>
        <v>0</v>
      </c>
      <c r="N202" s="361">
        <f>+IF($I202=N$3,VLOOKUP($H202,Depreciation!$A$6:$L$10,11,FALSE)/2,IF($I202&lt;N$3,VLOOKUP($H202,Depreciation!$A$6:$L$10,11,FALSE),0))</f>
        <v>0</v>
      </c>
      <c r="O202" s="361">
        <f>+IF($I202=O$3,VLOOKUP($H202,Depreciation!$A$6:$L$10,12,FALSE)/2,IF($I202&lt;O$3,VLOOKUP($H202,Depreciation!$A$6:$L$10,12,FALSE),0))</f>
        <v>0</v>
      </c>
      <c r="P202" s="362">
        <f t="shared" si="11"/>
        <v>0</v>
      </c>
      <c r="Q202" s="362">
        <f t="shared" si="12"/>
        <v>0</v>
      </c>
      <c r="R202" s="363">
        <f t="shared" si="13"/>
        <v>0</v>
      </c>
    </row>
    <row r="203" spans="1:18">
      <c r="A203" s="359" t="str">
        <f>'Func Future Lines 2015'!A203</f>
        <v>PPS</v>
      </c>
      <c r="B203" s="359" t="str">
        <f>'Func Future Lines 2015'!B203</f>
        <v xml:space="preserve"> 9L01</v>
      </c>
      <c r="C203" s="359">
        <f>'Func Future Lines 2015'!C203</f>
        <v>1186</v>
      </c>
      <c r="D203" s="359">
        <f>'Func Future Lines 2015'!D203</f>
        <v>240</v>
      </c>
      <c r="E203" s="359">
        <f>'Func Future Lines 2015'!E203</f>
        <v>0</v>
      </c>
      <c r="F203" s="359" t="str">
        <f>'Func Future Lines 2015'!F203</f>
        <v>Fort McMurray</v>
      </c>
      <c r="G203" s="359">
        <f>'Func Future Lines 2015'!G203</f>
        <v>24561972.623612437</v>
      </c>
      <c r="H203" s="359" t="str">
        <f>'Func Future Lines 2015'!H203</f>
        <v>ATCO</v>
      </c>
      <c r="I203" s="359">
        <f>'Func Future Lines 2015'!I203</f>
        <v>2018</v>
      </c>
      <c r="J203" s="361">
        <f>+IF($I203=J$3,VLOOKUP($H203,Depreciation!$A$6:$L$10,7,FALSE)/2,IF($I203&lt;J$3,VLOOKUP($H203,Depreciation!$A$6:$L$10,7,FALSE),0))</f>
        <v>0</v>
      </c>
      <c r="K203" s="361">
        <f>+IF($I203=K$3,VLOOKUP($H203,Depreciation!$A$6:$L$10,8,FALSE)/2,IF($I203&lt;K$3,VLOOKUP($H203,Depreciation!$A$6:$L$10,8,FALSE),0))</f>
        <v>0</v>
      </c>
      <c r="L203" s="361">
        <f>+IF($I203=L$3,VLOOKUP($H203,Depreciation!$A$6:$L$10,9,FALSE)/2,IF($I203&lt;L$3,VLOOKUP($H203,Depreciation!$A$6:$L$10,9,FALSE),0))</f>
        <v>0</v>
      </c>
      <c r="M203" s="361">
        <f>+IF($I203=M$3,VLOOKUP($H203,Depreciation!$A$6:$L$10,10,FALSE)/2,IF($I203&lt;M$3,VLOOKUP($H203,Depreciation!$A$6:$L$10,10,FALSE),0))</f>
        <v>1.2001018963427959E-2</v>
      </c>
      <c r="N203" s="361">
        <f>+IF($I203=N$3,VLOOKUP($H203,Depreciation!$A$6:$L$10,11,FALSE)/2,IF($I203&lt;N$3,VLOOKUP($H203,Depreciation!$A$6:$L$10,11,FALSE),0))</f>
        <v>2.4002037926855919E-2</v>
      </c>
      <c r="O203" s="361">
        <f>+IF($I203=O$3,VLOOKUP($H203,Depreciation!$A$6:$L$10,12,FALSE)/2,IF($I203&lt;O$3,VLOOKUP($H203,Depreciation!$A$6:$L$10,12,FALSE),0))</f>
        <v>2.4002037926855919E-2</v>
      </c>
      <c r="P203" s="362">
        <f t="shared" si="11"/>
        <v>0</v>
      </c>
      <c r="Q203" s="362">
        <f t="shared" si="12"/>
        <v>0</v>
      </c>
      <c r="R203" s="363">
        <f t="shared" si="13"/>
        <v>0</v>
      </c>
    </row>
    <row r="204" spans="1:18">
      <c r="A204" s="359" t="str">
        <f>'Func Future Lines 2015'!A204</f>
        <v>PPS</v>
      </c>
      <c r="B204" s="359" t="str">
        <f>'Func Future Lines 2015'!B204</f>
        <v>9L07</v>
      </c>
      <c r="C204" s="359">
        <f>'Func Future Lines 2015'!C204</f>
        <v>1186</v>
      </c>
      <c r="D204" s="359">
        <f>'Func Future Lines 2015'!D204</f>
        <v>240</v>
      </c>
      <c r="E204" s="359">
        <f>'Func Future Lines 2015'!E204</f>
        <v>0</v>
      </c>
      <c r="F204" s="359" t="str">
        <f>'Func Future Lines 2015'!F204</f>
        <v>Fort McMurray</v>
      </c>
      <c r="G204" s="359">
        <f>'Func Future Lines 2015'!G204</f>
        <v>5710678.2441424122</v>
      </c>
      <c r="H204" s="359" t="str">
        <f>'Func Future Lines 2015'!H204</f>
        <v>ATCO</v>
      </c>
      <c r="I204" s="359">
        <f>'Func Future Lines 2015'!I204</f>
        <v>2018</v>
      </c>
      <c r="J204" s="361">
        <f>+IF($I204=J$3,VLOOKUP($H204,Depreciation!$A$6:$L$10,7,FALSE)/2,IF($I204&lt;J$3,VLOOKUP($H204,Depreciation!$A$6:$L$10,7,FALSE),0))</f>
        <v>0</v>
      </c>
      <c r="K204" s="361">
        <f>+IF($I204=K$3,VLOOKUP($H204,Depreciation!$A$6:$L$10,8,FALSE)/2,IF($I204&lt;K$3,VLOOKUP($H204,Depreciation!$A$6:$L$10,8,FALSE),0))</f>
        <v>0</v>
      </c>
      <c r="L204" s="361">
        <f>+IF($I204=L$3,VLOOKUP($H204,Depreciation!$A$6:$L$10,9,FALSE)/2,IF($I204&lt;L$3,VLOOKUP($H204,Depreciation!$A$6:$L$10,9,FALSE),0))</f>
        <v>0</v>
      </c>
      <c r="M204" s="361">
        <f>+IF($I204=M$3,VLOOKUP($H204,Depreciation!$A$6:$L$10,10,FALSE)/2,IF($I204&lt;M$3,VLOOKUP($H204,Depreciation!$A$6:$L$10,10,FALSE),0))</f>
        <v>1.2001018963427959E-2</v>
      </c>
      <c r="N204" s="361">
        <f>+IF($I204=N$3,VLOOKUP($H204,Depreciation!$A$6:$L$10,11,FALSE)/2,IF($I204&lt;N$3,VLOOKUP($H204,Depreciation!$A$6:$L$10,11,FALSE),0))</f>
        <v>2.4002037926855919E-2</v>
      </c>
      <c r="O204" s="361">
        <f>+IF($I204=O$3,VLOOKUP($H204,Depreciation!$A$6:$L$10,12,FALSE)/2,IF($I204&lt;O$3,VLOOKUP($H204,Depreciation!$A$6:$L$10,12,FALSE),0))</f>
        <v>2.4002037926855919E-2</v>
      </c>
      <c r="P204" s="362">
        <f t="shared" si="11"/>
        <v>0</v>
      </c>
      <c r="Q204" s="362">
        <f t="shared" si="12"/>
        <v>0</v>
      </c>
      <c r="R204" s="363">
        <f t="shared" si="13"/>
        <v>0</v>
      </c>
    </row>
    <row r="205" spans="1:18">
      <c r="A205" s="359" t="str">
        <f>'Func Future Lines 2015'!A205</f>
        <v>PPS</v>
      </c>
      <c r="B205" s="359" t="str">
        <f>'Func Future Lines 2015'!B205</f>
        <v>9L112</v>
      </c>
      <c r="C205" s="359">
        <f>'Func Future Lines 2015'!C205</f>
        <v>1186</v>
      </c>
      <c r="D205" s="359">
        <f>'Func Future Lines 2015'!D205</f>
        <v>240</v>
      </c>
      <c r="E205" s="359">
        <f>'Func Future Lines 2015'!E205</f>
        <v>0</v>
      </c>
      <c r="F205" s="359" t="str">
        <f>'Func Future Lines 2015'!F205</f>
        <v>Fort McMurray</v>
      </c>
      <c r="G205" s="359">
        <f>'Func Future Lines 2015'!G205</f>
        <v>4958275.2426534528</v>
      </c>
      <c r="H205" s="359" t="str">
        <f>'Func Future Lines 2015'!H205</f>
        <v>ATCO</v>
      </c>
      <c r="I205" s="359">
        <f>'Func Future Lines 2015'!I205</f>
        <v>2018</v>
      </c>
      <c r="J205" s="361">
        <f>+IF($I205=J$3,VLOOKUP($H205,Depreciation!$A$6:$L$10,7,FALSE)/2,IF($I205&lt;J$3,VLOOKUP($H205,Depreciation!$A$6:$L$10,7,FALSE),0))</f>
        <v>0</v>
      </c>
      <c r="K205" s="361">
        <f>+IF($I205=K$3,VLOOKUP($H205,Depreciation!$A$6:$L$10,8,FALSE)/2,IF($I205&lt;K$3,VLOOKUP($H205,Depreciation!$A$6:$L$10,8,FALSE),0))</f>
        <v>0</v>
      </c>
      <c r="L205" s="361">
        <f>+IF($I205=L$3,VLOOKUP($H205,Depreciation!$A$6:$L$10,9,FALSE)/2,IF($I205&lt;L$3,VLOOKUP($H205,Depreciation!$A$6:$L$10,9,FALSE),0))</f>
        <v>0</v>
      </c>
      <c r="M205" s="361">
        <f>+IF($I205=M$3,VLOOKUP($H205,Depreciation!$A$6:$L$10,10,FALSE)/2,IF($I205&lt;M$3,VLOOKUP($H205,Depreciation!$A$6:$L$10,10,FALSE),0))</f>
        <v>1.2001018963427959E-2</v>
      </c>
      <c r="N205" s="361">
        <f>+IF($I205=N$3,VLOOKUP($H205,Depreciation!$A$6:$L$10,11,FALSE)/2,IF($I205&lt;N$3,VLOOKUP($H205,Depreciation!$A$6:$L$10,11,FALSE),0))</f>
        <v>2.4002037926855919E-2</v>
      </c>
      <c r="O205" s="361">
        <f>+IF($I205=O$3,VLOOKUP($H205,Depreciation!$A$6:$L$10,12,FALSE)/2,IF($I205&lt;O$3,VLOOKUP($H205,Depreciation!$A$6:$L$10,12,FALSE),0))</f>
        <v>2.4002037926855919E-2</v>
      </c>
      <c r="P205" s="362">
        <f t="shared" si="11"/>
        <v>0</v>
      </c>
      <c r="Q205" s="362">
        <f t="shared" si="12"/>
        <v>0</v>
      </c>
      <c r="R205" s="363">
        <f t="shared" si="13"/>
        <v>0</v>
      </c>
    </row>
    <row r="206" spans="1:18">
      <c r="A206" s="359" t="str">
        <f>'Func Future Lines 2015'!A206</f>
        <v>PPS</v>
      </c>
      <c r="B206" s="359" t="str">
        <f>'Func Future Lines 2015'!B206</f>
        <v>9L30</v>
      </c>
      <c r="C206" s="359">
        <f>'Func Future Lines 2015'!C206</f>
        <v>1186</v>
      </c>
      <c r="D206" s="359">
        <f>'Func Future Lines 2015'!D206</f>
        <v>240</v>
      </c>
      <c r="E206" s="359">
        <f>'Func Future Lines 2015'!E206</f>
        <v>0</v>
      </c>
      <c r="F206" s="359" t="str">
        <f>'Func Future Lines 2015'!F206</f>
        <v>Fort McMurray</v>
      </c>
      <c r="G206" s="359">
        <f>'Func Future Lines 2015'!G206</f>
        <v>24561820.810818728</v>
      </c>
      <c r="H206" s="359" t="str">
        <f>'Func Future Lines 2015'!H206</f>
        <v>ATCO</v>
      </c>
      <c r="I206" s="359">
        <f>'Func Future Lines 2015'!I206</f>
        <v>2018</v>
      </c>
      <c r="J206" s="361">
        <f>+IF($I206=J$3,VLOOKUP($H206,Depreciation!$A$6:$L$10,7,FALSE)/2,IF($I206&lt;J$3,VLOOKUP($H206,Depreciation!$A$6:$L$10,7,FALSE),0))</f>
        <v>0</v>
      </c>
      <c r="K206" s="361">
        <f>+IF($I206=K$3,VLOOKUP($H206,Depreciation!$A$6:$L$10,8,FALSE)/2,IF($I206&lt;K$3,VLOOKUP($H206,Depreciation!$A$6:$L$10,8,FALSE),0))</f>
        <v>0</v>
      </c>
      <c r="L206" s="361">
        <f>+IF($I206=L$3,VLOOKUP($H206,Depreciation!$A$6:$L$10,9,FALSE)/2,IF($I206&lt;L$3,VLOOKUP($H206,Depreciation!$A$6:$L$10,9,FALSE),0))</f>
        <v>0</v>
      </c>
      <c r="M206" s="361">
        <f>+IF($I206=M$3,VLOOKUP($H206,Depreciation!$A$6:$L$10,10,FALSE)/2,IF($I206&lt;M$3,VLOOKUP($H206,Depreciation!$A$6:$L$10,10,FALSE),0))</f>
        <v>1.2001018963427959E-2</v>
      </c>
      <c r="N206" s="361">
        <f>+IF($I206=N$3,VLOOKUP($H206,Depreciation!$A$6:$L$10,11,FALSE)/2,IF($I206&lt;N$3,VLOOKUP($H206,Depreciation!$A$6:$L$10,11,FALSE),0))</f>
        <v>2.4002037926855919E-2</v>
      </c>
      <c r="O206" s="361">
        <f>+IF($I206=O$3,VLOOKUP($H206,Depreciation!$A$6:$L$10,12,FALSE)/2,IF($I206&lt;O$3,VLOOKUP($H206,Depreciation!$A$6:$L$10,12,FALSE),0))</f>
        <v>2.4002037926855919E-2</v>
      </c>
      <c r="P206" s="362">
        <f t="shared" si="11"/>
        <v>0</v>
      </c>
      <c r="Q206" s="362">
        <f t="shared" si="12"/>
        <v>0</v>
      </c>
      <c r="R206" s="363">
        <f t="shared" si="13"/>
        <v>0</v>
      </c>
    </row>
    <row r="207" spans="1:18">
      <c r="A207" s="359" t="str">
        <f>'Func Future Lines 2015'!A207</f>
        <v>PPS</v>
      </c>
      <c r="B207" s="359" t="str">
        <f>'Func Future Lines 2015'!B207</f>
        <v>bypass 9L07/9L112</v>
      </c>
      <c r="C207" s="359">
        <f>'Func Future Lines 2015'!C207</f>
        <v>1186</v>
      </c>
      <c r="D207" s="359">
        <f>'Func Future Lines 2015'!D207</f>
        <v>240</v>
      </c>
      <c r="E207" s="359">
        <f>'Func Future Lines 2015'!E207</f>
        <v>0</v>
      </c>
      <c r="F207" s="359" t="str">
        <f>'Func Future Lines 2015'!F207</f>
        <v>Fort McMurray</v>
      </c>
      <c r="G207" s="359">
        <f>'Func Future Lines 2015'!G207</f>
        <v>424792.43850217451</v>
      </c>
      <c r="H207" s="359" t="str">
        <f>'Func Future Lines 2015'!H207</f>
        <v>ATCO</v>
      </c>
      <c r="I207" s="359">
        <f>'Func Future Lines 2015'!I207</f>
        <v>2018</v>
      </c>
      <c r="J207" s="361">
        <f>+IF($I207=J$3,VLOOKUP($H207,Depreciation!$A$6:$L$10,7,FALSE)/2,IF($I207&lt;J$3,VLOOKUP($H207,Depreciation!$A$6:$L$10,7,FALSE),0))</f>
        <v>0</v>
      </c>
      <c r="K207" s="361">
        <f>+IF($I207=K$3,VLOOKUP($H207,Depreciation!$A$6:$L$10,8,FALSE)/2,IF($I207&lt;K$3,VLOOKUP($H207,Depreciation!$A$6:$L$10,8,FALSE),0))</f>
        <v>0</v>
      </c>
      <c r="L207" s="361">
        <f>+IF($I207=L$3,VLOOKUP($H207,Depreciation!$A$6:$L$10,9,FALSE)/2,IF($I207&lt;L$3,VLOOKUP($H207,Depreciation!$A$6:$L$10,9,FALSE),0))</f>
        <v>0</v>
      </c>
      <c r="M207" s="361">
        <f>+IF($I207=M$3,VLOOKUP($H207,Depreciation!$A$6:$L$10,10,FALSE)/2,IF($I207&lt;M$3,VLOOKUP($H207,Depreciation!$A$6:$L$10,10,FALSE),0))</f>
        <v>1.2001018963427959E-2</v>
      </c>
      <c r="N207" s="361">
        <f>+IF($I207=N$3,VLOOKUP($H207,Depreciation!$A$6:$L$10,11,FALSE)/2,IF($I207&lt;N$3,VLOOKUP($H207,Depreciation!$A$6:$L$10,11,FALSE),0))</f>
        <v>2.4002037926855919E-2</v>
      </c>
      <c r="O207" s="361">
        <f>+IF($I207=O$3,VLOOKUP($H207,Depreciation!$A$6:$L$10,12,FALSE)/2,IF($I207&lt;O$3,VLOOKUP($H207,Depreciation!$A$6:$L$10,12,FALSE),0))</f>
        <v>2.4002037926855919E-2</v>
      </c>
      <c r="P207" s="362">
        <f t="shared" si="11"/>
        <v>0</v>
      </c>
      <c r="Q207" s="362">
        <f t="shared" si="12"/>
        <v>0</v>
      </c>
      <c r="R207" s="363">
        <f t="shared" si="13"/>
        <v>0</v>
      </c>
    </row>
    <row r="208" spans="1:18">
      <c r="A208" s="359" t="str">
        <f>'Func Future Lines 2015'!A208</f>
        <v>PPS</v>
      </c>
      <c r="B208" s="359" t="str">
        <f>'Func Future Lines 2015'!B208</f>
        <v>7L134</v>
      </c>
      <c r="C208" s="359">
        <f>'Func Future Lines 2015'!C208</f>
        <v>1250</v>
      </c>
      <c r="D208" s="359">
        <f>'Func Future Lines 2015'!D208</f>
        <v>138</v>
      </c>
      <c r="E208" s="359">
        <f>'Func Future Lines 2015'!E208</f>
        <v>0</v>
      </c>
      <c r="F208" s="359" t="str">
        <f>'Func Future Lines 2015'!F208</f>
        <v>Lloydminster</v>
      </c>
      <c r="G208" s="359">
        <f>'Func Future Lines 2015'!G208</f>
        <v>257636.33243920893</v>
      </c>
      <c r="H208" s="359" t="str">
        <f>'Func Future Lines 2015'!H208</f>
        <v>ATCO</v>
      </c>
      <c r="I208" s="359">
        <f>'Func Future Lines 2015'!I208</f>
        <v>2017</v>
      </c>
      <c r="J208" s="361">
        <f>+IF($I208=J$3,VLOOKUP($H208,Depreciation!$A$6:$L$10,7,FALSE)/2,IF($I208&lt;J$3,VLOOKUP($H208,Depreciation!$A$6:$L$10,7,FALSE),0))</f>
        <v>0</v>
      </c>
      <c r="K208" s="361">
        <f>+IF($I208=K$3,VLOOKUP($H208,Depreciation!$A$6:$L$10,8,FALSE)/2,IF($I208&lt;K$3,VLOOKUP($H208,Depreciation!$A$6:$L$10,8,FALSE),0))</f>
        <v>0</v>
      </c>
      <c r="L208" s="361">
        <f>+IF($I208=L$3,VLOOKUP($H208,Depreciation!$A$6:$L$10,9,FALSE)/2,IF($I208&lt;L$3,VLOOKUP($H208,Depreciation!$A$6:$L$10,9,FALSE),0))</f>
        <v>1.2001018963427959E-2</v>
      </c>
      <c r="M208" s="361">
        <f>+IF($I208=M$3,VLOOKUP($H208,Depreciation!$A$6:$L$10,10,FALSE)/2,IF($I208&lt;M$3,VLOOKUP($H208,Depreciation!$A$6:$L$10,10,FALSE),0))</f>
        <v>2.4002037926855919E-2</v>
      </c>
      <c r="N208" s="361">
        <f>+IF($I208=N$3,VLOOKUP($H208,Depreciation!$A$6:$L$10,11,FALSE)/2,IF($I208&lt;N$3,VLOOKUP($H208,Depreciation!$A$6:$L$10,11,FALSE),0))</f>
        <v>2.4002037926855919E-2</v>
      </c>
      <c r="O208" s="361">
        <f>+IF($I208=O$3,VLOOKUP($H208,Depreciation!$A$6:$L$10,12,FALSE)/2,IF($I208&lt;O$3,VLOOKUP($H208,Depreciation!$A$6:$L$10,12,FALSE),0))</f>
        <v>2.4002037926855919E-2</v>
      </c>
      <c r="P208" s="362">
        <f t="shared" si="11"/>
        <v>0</v>
      </c>
      <c r="Q208" s="362">
        <f t="shared" si="12"/>
        <v>0</v>
      </c>
      <c r="R208" s="363">
        <f t="shared" si="13"/>
        <v>0</v>
      </c>
    </row>
    <row r="209" spans="1:18">
      <c r="A209" s="359" t="str">
        <f>'Func Future Lines 2015'!A209</f>
        <v>PPS</v>
      </c>
      <c r="B209" s="359" t="str">
        <f>'Func Future Lines 2015'!B209</f>
        <v>7LA65</v>
      </c>
      <c r="C209" s="359">
        <f>'Func Future Lines 2015'!C209</f>
        <v>1250</v>
      </c>
      <c r="D209" s="359">
        <f>'Func Future Lines 2015'!D209</f>
        <v>138</v>
      </c>
      <c r="E209" s="359">
        <f>'Func Future Lines 2015'!E209</f>
        <v>0</v>
      </c>
      <c r="F209" s="359" t="str">
        <f>'Func Future Lines 2015'!F209</f>
        <v>Lloydminster</v>
      </c>
      <c r="G209" s="359">
        <f>'Func Future Lines 2015'!G209</f>
        <v>15341741.522818552</v>
      </c>
      <c r="H209" s="359" t="str">
        <f>'Func Future Lines 2015'!H209</f>
        <v>ATCO</v>
      </c>
      <c r="I209" s="359">
        <f>'Func Future Lines 2015'!I209</f>
        <v>2017</v>
      </c>
      <c r="J209" s="361">
        <f>+IF($I209=J$3,VLOOKUP($H209,Depreciation!$A$6:$L$10,7,FALSE)/2,IF($I209&lt;J$3,VLOOKUP($H209,Depreciation!$A$6:$L$10,7,FALSE),0))</f>
        <v>0</v>
      </c>
      <c r="K209" s="361">
        <f>+IF($I209=K$3,VLOOKUP($H209,Depreciation!$A$6:$L$10,8,FALSE)/2,IF($I209&lt;K$3,VLOOKUP($H209,Depreciation!$A$6:$L$10,8,FALSE),0))</f>
        <v>0</v>
      </c>
      <c r="L209" s="361">
        <f>+IF($I209=L$3,VLOOKUP($H209,Depreciation!$A$6:$L$10,9,FALSE)/2,IF($I209&lt;L$3,VLOOKUP($H209,Depreciation!$A$6:$L$10,9,FALSE),0))</f>
        <v>1.2001018963427959E-2</v>
      </c>
      <c r="M209" s="361">
        <f>+IF($I209=M$3,VLOOKUP($H209,Depreciation!$A$6:$L$10,10,FALSE)/2,IF($I209&lt;M$3,VLOOKUP($H209,Depreciation!$A$6:$L$10,10,FALSE),0))</f>
        <v>2.4002037926855919E-2</v>
      </c>
      <c r="N209" s="361">
        <f>+IF($I209=N$3,VLOOKUP($H209,Depreciation!$A$6:$L$10,11,FALSE)/2,IF($I209&lt;N$3,VLOOKUP($H209,Depreciation!$A$6:$L$10,11,FALSE),0))</f>
        <v>2.4002037926855919E-2</v>
      </c>
      <c r="O209" s="361">
        <f>+IF($I209=O$3,VLOOKUP($H209,Depreciation!$A$6:$L$10,12,FALSE)/2,IF($I209&lt;O$3,VLOOKUP($H209,Depreciation!$A$6:$L$10,12,FALSE),0))</f>
        <v>2.4002037926855919E-2</v>
      </c>
      <c r="P209" s="362">
        <f t="shared" si="11"/>
        <v>0</v>
      </c>
      <c r="Q209" s="362">
        <f t="shared" si="12"/>
        <v>0</v>
      </c>
      <c r="R209" s="363">
        <f t="shared" si="13"/>
        <v>0</v>
      </c>
    </row>
    <row r="210" spans="1:18">
      <c r="A210" s="359" t="str">
        <f>'Func Future Lines 2015'!A210</f>
        <v>PPS</v>
      </c>
      <c r="B210" s="359" t="str">
        <f>'Func Future Lines 2015'!B210</f>
        <v>476L &amp; 477L A</v>
      </c>
      <c r="C210" s="359">
        <f>'Func Future Lines 2015'!C210</f>
        <v>1258</v>
      </c>
      <c r="D210" s="359">
        <f>'Func Future Lines 2015'!D210</f>
        <v>138</v>
      </c>
      <c r="E210" s="359">
        <f>'Func Future Lines 2015'!E210</f>
        <v>0</v>
      </c>
      <c r="F210" s="359" t="str">
        <f>'Func Future Lines 2015'!F210</f>
        <v>Fort McMurray</v>
      </c>
      <c r="G210" s="359">
        <f>'Func Future Lines 2015'!G210</f>
        <v>11720551.545892363</v>
      </c>
      <c r="H210" s="359" t="str">
        <f>'Func Future Lines 2015'!H210</f>
        <v>AltaLink</v>
      </c>
      <c r="I210" s="359">
        <f>'Func Future Lines 2015'!I210</f>
        <v>2019</v>
      </c>
      <c r="J210" s="361">
        <f>+IF($I210=J$3,VLOOKUP($H210,Depreciation!$A$6:$L$10,7,FALSE)/2,IF($I210&lt;J$3,VLOOKUP($H210,Depreciation!$A$6:$L$10,7,FALSE),0))</f>
        <v>0</v>
      </c>
      <c r="K210" s="361">
        <f>+IF($I210=K$3,VLOOKUP($H210,Depreciation!$A$6:$L$10,8,FALSE)/2,IF($I210&lt;K$3,VLOOKUP($H210,Depreciation!$A$6:$L$10,8,FALSE),0))</f>
        <v>0</v>
      </c>
      <c r="L210" s="361">
        <f>+IF($I210=L$3,VLOOKUP($H210,Depreciation!$A$6:$L$10,9,FALSE)/2,IF($I210&lt;L$3,VLOOKUP($H210,Depreciation!$A$6:$L$10,9,FALSE),0))</f>
        <v>0</v>
      </c>
      <c r="M210" s="361">
        <f>+IF($I210=M$3,VLOOKUP($H210,Depreciation!$A$6:$L$10,10,FALSE)/2,IF($I210&lt;M$3,VLOOKUP($H210,Depreciation!$A$6:$L$10,10,FALSE),0))</f>
        <v>0</v>
      </c>
      <c r="N210" s="361">
        <f>+IF($I210=N$3,VLOOKUP($H210,Depreciation!$A$6:$L$10,11,FALSE)/2,IF($I210&lt;N$3,VLOOKUP($H210,Depreciation!$A$6:$L$10,11,FALSE),0))</f>
        <v>1.5338181838063448E-2</v>
      </c>
      <c r="O210" s="361">
        <f>+IF($I210=O$3,VLOOKUP($H210,Depreciation!$A$6:$L$10,12,FALSE)/2,IF($I210&lt;O$3,VLOOKUP($H210,Depreciation!$A$6:$L$10,12,FALSE),0))</f>
        <v>3.0676363676126896E-2</v>
      </c>
      <c r="P210" s="362">
        <f t="shared" si="11"/>
        <v>0</v>
      </c>
      <c r="Q210" s="362">
        <f t="shared" si="12"/>
        <v>0</v>
      </c>
      <c r="R210" s="363">
        <f t="shared" si="13"/>
        <v>0</v>
      </c>
    </row>
    <row r="211" spans="1:18">
      <c r="A211" s="359" t="str">
        <f>'Func Future Lines 2015'!A211</f>
        <v>PPS</v>
      </c>
      <c r="B211" s="359" t="str">
        <f>'Func Future Lines 2015'!B211</f>
        <v>476L &amp; 477L B</v>
      </c>
      <c r="C211" s="359">
        <f>'Func Future Lines 2015'!C211</f>
        <v>1258</v>
      </c>
      <c r="D211" s="359">
        <f>'Func Future Lines 2015'!D211</f>
        <v>138</v>
      </c>
      <c r="E211" s="359">
        <f>'Func Future Lines 2015'!E211</f>
        <v>0</v>
      </c>
      <c r="F211" s="359" t="str">
        <f>'Func Future Lines 2015'!F211</f>
        <v>Fort McMurray</v>
      </c>
      <c r="G211" s="359">
        <f>'Func Future Lines 2015'!G211</f>
        <v>11959135.439218925</v>
      </c>
      <c r="H211" s="359" t="str">
        <f>'Func Future Lines 2015'!H211</f>
        <v>AltaLink</v>
      </c>
      <c r="I211" s="359">
        <f>'Func Future Lines 2015'!I211</f>
        <v>2019</v>
      </c>
      <c r="J211" s="361">
        <f>+IF($I211=J$3,VLOOKUP($H211,Depreciation!$A$6:$L$10,7,FALSE)/2,IF($I211&lt;J$3,VLOOKUP($H211,Depreciation!$A$6:$L$10,7,FALSE),0))</f>
        <v>0</v>
      </c>
      <c r="K211" s="361">
        <f>+IF($I211=K$3,VLOOKUP($H211,Depreciation!$A$6:$L$10,8,FALSE)/2,IF($I211&lt;K$3,VLOOKUP($H211,Depreciation!$A$6:$L$10,8,FALSE),0))</f>
        <v>0</v>
      </c>
      <c r="L211" s="361">
        <f>+IF($I211=L$3,VLOOKUP($H211,Depreciation!$A$6:$L$10,9,FALSE)/2,IF($I211&lt;L$3,VLOOKUP($H211,Depreciation!$A$6:$L$10,9,FALSE),0))</f>
        <v>0</v>
      </c>
      <c r="M211" s="361">
        <f>+IF($I211=M$3,VLOOKUP($H211,Depreciation!$A$6:$L$10,10,FALSE)/2,IF($I211&lt;M$3,VLOOKUP($H211,Depreciation!$A$6:$L$10,10,FALSE),0))</f>
        <v>0</v>
      </c>
      <c r="N211" s="361">
        <f>+IF($I211=N$3,VLOOKUP($H211,Depreciation!$A$6:$L$10,11,FALSE)/2,IF($I211&lt;N$3,VLOOKUP($H211,Depreciation!$A$6:$L$10,11,FALSE),0))</f>
        <v>1.5338181838063448E-2</v>
      </c>
      <c r="O211" s="361">
        <f>+IF($I211=O$3,VLOOKUP($H211,Depreciation!$A$6:$L$10,12,FALSE)/2,IF($I211&lt;O$3,VLOOKUP($H211,Depreciation!$A$6:$L$10,12,FALSE),0))</f>
        <v>3.0676363676126896E-2</v>
      </c>
      <c r="P211" s="362">
        <f t="shared" si="11"/>
        <v>0</v>
      </c>
      <c r="Q211" s="362">
        <f t="shared" si="12"/>
        <v>0</v>
      </c>
      <c r="R211" s="363">
        <f t="shared" si="13"/>
        <v>0</v>
      </c>
    </row>
    <row r="212" spans="1:18">
      <c r="A212" s="359" t="str">
        <f>'Func Future Lines 2015'!A212</f>
        <v>PPS</v>
      </c>
      <c r="B212" s="359" t="str">
        <f>'Func Future Lines 2015'!B212</f>
        <v>172L/463L[v180]</v>
      </c>
      <c r="C212" s="359">
        <f>'Func Future Lines 2015'!C212</f>
        <v>1260</v>
      </c>
      <c r="D212" s="359">
        <f>'Func Future Lines 2015'!D212</f>
        <v>138</v>
      </c>
      <c r="E212" s="359">
        <f>'Func Future Lines 2015'!E212</f>
        <v>0</v>
      </c>
      <c r="F212" s="359" t="str">
        <f>'Func Future Lines 2015'!F212</f>
        <v>Lethbridge</v>
      </c>
      <c r="G212" s="359">
        <f>'Func Future Lines 2015'!G212</f>
        <v>2113680.3025660682</v>
      </c>
      <c r="H212" s="359" t="str">
        <f>'Func Future Lines 2015'!H212</f>
        <v>ENMAX</v>
      </c>
      <c r="I212" s="359">
        <f>'Func Future Lines 2015'!I212</f>
        <v>2016</v>
      </c>
      <c r="J212" s="361">
        <f>+IF($I212=J$3,VLOOKUP($H212,Depreciation!$A$6:$L$10,7,FALSE)/2,IF($I212&lt;J$3,VLOOKUP($H212,Depreciation!$A$6:$L$10,7,FALSE),0))</f>
        <v>0</v>
      </c>
      <c r="K212" s="361">
        <f>+IF($I212=K$3,VLOOKUP($H212,Depreciation!$A$6:$L$10,8,FALSE)/2,IF($I212&lt;K$3,VLOOKUP($H212,Depreciation!$A$6:$L$10,8,FALSE),0))</f>
        <v>1.3475179084025525E-2</v>
      </c>
      <c r="L212" s="361">
        <f>+IF($I212=L$3,VLOOKUP($H212,Depreciation!$A$6:$L$10,9,FALSE)/2,IF($I212&lt;L$3,VLOOKUP($H212,Depreciation!$A$6:$L$10,9,FALSE),0))</f>
        <v>2.6950358168051049E-2</v>
      </c>
      <c r="M212" s="361">
        <f>+IF($I212=M$3,VLOOKUP($H212,Depreciation!$A$6:$L$10,10,FALSE)/2,IF($I212&lt;M$3,VLOOKUP($H212,Depreciation!$A$6:$L$10,10,FALSE),0))</f>
        <v>2.6950358168051049E-2</v>
      </c>
      <c r="N212" s="361">
        <f>+IF($I212=N$3,VLOOKUP($H212,Depreciation!$A$6:$L$10,11,FALSE)/2,IF($I212&lt;N$3,VLOOKUP($H212,Depreciation!$A$6:$L$10,11,FALSE),0))</f>
        <v>2.6950358168051049E-2</v>
      </c>
      <c r="O212" s="361">
        <f>+IF($I212=O$3,VLOOKUP($H212,Depreciation!$A$6:$L$10,12,FALSE)/2,IF($I212&lt;O$3,VLOOKUP($H212,Depreciation!$A$6:$L$10,12,FALSE),0))</f>
        <v>2.6950358168051049E-2</v>
      </c>
      <c r="P212" s="362">
        <f t="shared" si="11"/>
        <v>2085198.0819626132</v>
      </c>
      <c r="Q212" s="362">
        <f t="shared" si="12"/>
        <v>0</v>
      </c>
      <c r="R212" s="363">
        <f t="shared" si="13"/>
        <v>2085198.0819626132</v>
      </c>
    </row>
    <row r="213" spans="1:18">
      <c r="A213" s="359" t="str">
        <f>'Func Future Lines 2015'!A213</f>
        <v>PPS</v>
      </c>
      <c r="B213" s="359" t="str">
        <f>'Func Future Lines 2015'!B213</f>
        <v>line 172L</v>
      </c>
      <c r="C213" s="359">
        <f>'Func Future Lines 2015'!C213</f>
        <v>1260</v>
      </c>
      <c r="D213" s="359">
        <f>'Func Future Lines 2015'!D213</f>
        <v>138</v>
      </c>
      <c r="E213" s="359">
        <f>'Func Future Lines 2015'!E213</f>
        <v>0</v>
      </c>
      <c r="F213" s="359" t="str">
        <f>'Func Future Lines 2015'!F213</f>
        <v>Lethbridge</v>
      </c>
      <c r="G213" s="359">
        <f>'Func Future Lines 2015'!G213</f>
        <v>605625.19167995139</v>
      </c>
      <c r="H213" s="359" t="str">
        <f>'Func Future Lines 2015'!H213</f>
        <v>AltaLink</v>
      </c>
      <c r="I213" s="359">
        <f>'Func Future Lines 2015'!I213</f>
        <v>2016</v>
      </c>
      <c r="J213" s="361">
        <f>+IF($I213=J$3,VLOOKUP($H213,Depreciation!$A$6:$L$10,7,FALSE)/2,IF($I213&lt;J$3,VLOOKUP($H213,Depreciation!$A$6:$L$10,7,FALSE),0))</f>
        <v>0</v>
      </c>
      <c r="K213" s="361">
        <f>+IF($I213=K$3,VLOOKUP($H213,Depreciation!$A$6:$L$10,8,FALSE)/2,IF($I213&lt;K$3,VLOOKUP($H213,Depreciation!$A$6:$L$10,8,FALSE),0))</f>
        <v>1.5338181838063448E-2</v>
      </c>
      <c r="L213" s="361">
        <f>+IF($I213=L$3,VLOOKUP($H213,Depreciation!$A$6:$L$10,9,FALSE)/2,IF($I213&lt;L$3,VLOOKUP($H213,Depreciation!$A$6:$L$10,9,FALSE),0))</f>
        <v>3.0676363676126896E-2</v>
      </c>
      <c r="M213" s="361">
        <f>+IF($I213=M$3,VLOOKUP($H213,Depreciation!$A$6:$L$10,10,FALSE)/2,IF($I213&lt;M$3,VLOOKUP($H213,Depreciation!$A$6:$L$10,10,FALSE),0))</f>
        <v>3.0676363676126896E-2</v>
      </c>
      <c r="N213" s="361">
        <f>+IF($I213=N$3,VLOOKUP($H213,Depreciation!$A$6:$L$10,11,FALSE)/2,IF($I213&lt;N$3,VLOOKUP($H213,Depreciation!$A$6:$L$10,11,FALSE),0))</f>
        <v>3.0676363676126896E-2</v>
      </c>
      <c r="O213" s="361">
        <f>+IF($I213=O$3,VLOOKUP($H213,Depreciation!$A$6:$L$10,12,FALSE)/2,IF($I213&lt;O$3,VLOOKUP($H213,Depreciation!$A$6:$L$10,12,FALSE),0))</f>
        <v>3.0676363676126896E-2</v>
      </c>
      <c r="P213" s="362">
        <f t="shared" si="11"/>
        <v>596336.00236425223</v>
      </c>
      <c r="Q213" s="362">
        <f t="shared" si="12"/>
        <v>0</v>
      </c>
      <c r="R213" s="363">
        <f t="shared" si="13"/>
        <v>596336.00236425223</v>
      </c>
    </row>
    <row r="214" spans="1:18">
      <c r="A214" s="359" t="str">
        <f>'Func Future Lines 2015'!A214</f>
        <v>PPS</v>
      </c>
      <c r="B214" s="359" t="str">
        <f>'Func Future Lines 2015'!B214</f>
        <v>line 464L</v>
      </c>
      <c r="C214" s="359">
        <f>'Func Future Lines 2015'!C214</f>
        <v>1263</v>
      </c>
      <c r="D214" s="359">
        <f>'Func Future Lines 2015'!D214</f>
        <v>138</v>
      </c>
      <c r="E214" s="359">
        <f>'Func Future Lines 2015'!E214</f>
        <v>0</v>
      </c>
      <c r="F214" s="359" t="str">
        <f>'Func Future Lines 2015'!F214</f>
        <v>Red_Deer</v>
      </c>
      <c r="G214" s="359">
        <f>'Func Future Lines 2015'!G214</f>
        <v>763058.82352941227</v>
      </c>
      <c r="H214" s="359" t="str">
        <f>'Func Future Lines 2015'!H214</f>
        <v>AltaLink</v>
      </c>
      <c r="I214" s="359">
        <f>'Func Future Lines 2015'!I214</f>
        <v>2016</v>
      </c>
      <c r="J214" s="361">
        <f>+IF($I214=J$3,VLOOKUP($H214,Depreciation!$A$6:$L$10,7,FALSE)/2,IF($I214&lt;J$3,VLOOKUP($H214,Depreciation!$A$6:$L$10,7,FALSE),0))</f>
        <v>0</v>
      </c>
      <c r="K214" s="361">
        <f>+IF($I214=K$3,VLOOKUP($H214,Depreciation!$A$6:$L$10,8,FALSE)/2,IF($I214&lt;K$3,VLOOKUP($H214,Depreciation!$A$6:$L$10,8,FALSE),0))</f>
        <v>1.5338181838063448E-2</v>
      </c>
      <c r="L214" s="361">
        <f>+IF($I214=L$3,VLOOKUP($H214,Depreciation!$A$6:$L$10,9,FALSE)/2,IF($I214&lt;L$3,VLOOKUP($H214,Depreciation!$A$6:$L$10,9,FALSE),0))</f>
        <v>3.0676363676126896E-2</v>
      </c>
      <c r="M214" s="361">
        <f>+IF($I214=M$3,VLOOKUP($H214,Depreciation!$A$6:$L$10,10,FALSE)/2,IF($I214&lt;M$3,VLOOKUP($H214,Depreciation!$A$6:$L$10,10,FALSE),0))</f>
        <v>3.0676363676126896E-2</v>
      </c>
      <c r="N214" s="361">
        <f>+IF($I214=N$3,VLOOKUP($H214,Depreciation!$A$6:$L$10,11,FALSE)/2,IF($I214&lt;N$3,VLOOKUP($H214,Depreciation!$A$6:$L$10,11,FALSE),0))</f>
        <v>3.0676363676126896E-2</v>
      </c>
      <c r="O214" s="361">
        <f>+IF($I214=O$3,VLOOKUP($H214,Depreciation!$A$6:$L$10,12,FALSE)/2,IF($I214&lt;O$3,VLOOKUP($H214,Depreciation!$A$6:$L$10,12,FALSE),0))</f>
        <v>3.0676363676126896E-2</v>
      </c>
      <c r="P214" s="362">
        <f t="shared" si="11"/>
        <v>751354.88854097936</v>
      </c>
      <c r="Q214" s="362">
        <f t="shared" si="12"/>
        <v>0</v>
      </c>
      <c r="R214" s="363">
        <f t="shared" si="13"/>
        <v>751354.88854097936</v>
      </c>
    </row>
    <row r="215" spans="1:18">
      <c r="A215" s="359" t="str">
        <f>'Func Future Lines 2015'!A215</f>
        <v>PPS</v>
      </c>
      <c r="B215" s="359" t="str">
        <f>'Func Future Lines 2015'!B215</f>
        <v>line 768L</v>
      </c>
      <c r="C215" s="359">
        <f>'Func Future Lines 2015'!C215</f>
        <v>1263</v>
      </c>
      <c r="D215" s="359">
        <f>'Func Future Lines 2015'!D215</f>
        <v>138</v>
      </c>
      <c r="E215" s="359">
        <f>'Func Future Lines 2015'!E215</f>
        <v>0</v>
      </c>
      <c r="F215" s="359" t="str">
        <f>'Func Future Lines 2015'!F215</f>
        <v>Red_Deer</v>
      </c>
      <c r="G215" s="359">
        <f>'Func Future Lines 2015'!G215</f>
        <v>763058.82352941227</v>
      </c>
      <c r="H215" s="359" t="str">
        <f>'Func Future Lines 2015'!H215</f>
        <v>AltaLink</v>
      </c>
      <c r="I215" s="359">
        <f>'Func Future Lines 2015'!I215</f>
        <v>2016</v>
      </c>
      <c r="J215" s="361">
        <f>+IF($I215=J$3,VLOOKUP($H215,Depreciation!$A$6:$L$10,7,FALSE)/2,IF($I215&lt;J$3,VLOOKUP($H215,Depreciation!$A$6:$L$10,7,FALSE),0))</f>
        <v>0</v>
      </c>
      <c r="K215" s="361">
        <f>+IF($I215=K$3,VLOOKUP($H215,Depreciation!$A$6:$L$10,8,FALSE)/2,IF($I215&lt;K$3,VLOOKUP($H215,Depreciation!$A$6:$L$10,8,FALSE),0))</f>
        <v>1.5338181838063448E-2</v>
      </c>
      <c r="L215" s="361">
        <f>+IF($I215=L$3,VLOOKUP($H215,Depreciation!$A$6:$L$10,9,FALSE)/2,IF($I215&lt;L$3,VLOOKUP($H215,Depreciation!$A$6:$L$10,9,FALSE),0))</f>
        <v>3.0676363676126896E-2</v>
      </c>
      <c r="M215" s="361">
        <f>+IF($I215=M$3,VLOOKUP($H215,Depreciation!$A$6:$L$10,10,FALSE)/2,IF($I215&lt;M$3,VLOOKUP($H215,Depreciation!$A$6:$L$10,10,FALSE),0))</f>
        <v>3.0676363676126896E-2</v>
      </c>
      <c r="N215" s="361">
        <f>+IF($I215=N$3,VLOOKUP($H215,Depreciation!$A$6:$L$10,11,FALSE)/2,IF($I215&lt;N$3,VLOOKUP($H215,Depreciation!$A$6:$L$10,11,FALSE),0))</f>
        <v>3.0676363676126896E-2</v>
      </c>
      <c r="O215" s="361">
        <f>+IF($I215=O$3,VLOOKUP($H215,Depreciation!$A$6:$L$10,12,FALSE)/2,IF($I215&lt;O$3,VLOOKUP($H215,Depreciation!$A$6:$L$10,12,FALSE),0))</f>
        <v>3.0676363676126896E-2</v>
      </c>
      <c r="P215" s="362">
        <f t="shared" si="11"/>
        <v>751354.88854097936</v>
      </c>
      <c r="Q215" s="362">
        <f t="shared" si="12"/>
        <v>0</v>
      </c>
      <c r="R215" s="363">
        <f t="shared" si="13"/>
        <v>751354.88854097936</v>
      </c>
    </row>
    <row r="216" spans="1:18">
      <c r="A216" s="359" t="str">
        <f>'Func Future Lines 2015'!A216</f>
        <v>PPS</v>
      </c>
      <c r="B216" s="359" t="str">
        <f>'Func Future Lines 2015'!B216</f>
        <v>line 778L</v>
      </c>
      <c r="C216" s="359">
        <f>'Func Future Lines 2015'!C216</f>
        <v>1263</v>
      </c>
      <c r="D216" s="359">
        <f>'Func Future Lines 2015'!D216</f>
        <v>138</v>
      </c>
      <c r="E216" s="359">
        <f>'Func Future Lines 2015'!E216</f>
        <v>0</v>
      </c>
      <c r="F216" s="359" t="str">
        <f>'Func Future Lines 2015'!F216</f>
        <v>Red_Deer</v>
      </c>
      <c r="G216" s="359">
        <f>'Func Future Lines 2015'!G216</f>
        <v>331764.70588235313</v>
      </c>
      <c r="H216" s="359" t="str">
        <f>'Func Future Lines 2015'!H216</f>
        <v>AltaLink</v>
      </c>
      <c r="I216" s="359">
        <f>'Func Future Lines 2015'!I216</f>
        <v>2016</v>
      </c>
      <c r="J216" s="361">
        <f>+IF($I216=J$3,VLOOKUP($H216,Depreciation!$A$6:$L$10,7,FALSE)/2,IF($I216&lt;J$3,VLOOKUP($H216,Depreciation!$A$6:$L$10,7,FALSE),0))</f>
        <v>0</v>
      </c>
      <c r="K216" s="361">
        <f>+IF($I216=K$3,VLOOKUP($H216,Depreciation!$A$6:$L$10,8,FALSE)/2,IF($I216&lt;K$3,VLOOKUP($H216,Depreciation!$A$6:$L$10,8,FALSE),0))</f>
        <v>1.5338181838063448E-2</v>
      </c>
      <c r="L216" s="361">
        <f>+IF($I216=L$3,VLOOKUP($H216,Depreciation!$A$6:$L$10,9,FALSE)/2,IF($I216&lt;L$3,VLOOKUP($H216,Depreciation!$A$6:$L$10,9,FALSE),0))</f>
        <v>3.0676363676126896E-2</v>
      </c>
      <c r="M216" s="361">
        <f>+IF($I216=M$3,VLOOKUP($H216,Depreciation!$A$6:$L$10,10,FALSE)/2,IF($I216&lt;M$3,VLOOKUP($H216,Depreciation!$A$6:$L$10,10,FALSE),0))</f>
        <v>3.0676363676126896E-2</v>
      </c>
      <c r="N216" s="361">
        <f>+IF($I216=N$3,VLOOKUP($H216,Depreciation!$A$6:$L$10,11,FALSE)/2,IF($I216&lt;N$3,VLOOKUP($H216,Depreciation!$A$6:$L$10,11,FALSE),0))</f>
        <v>3.0676363676126896E-2</v>
      </c>
      <c r="O216" s="361">
        <f>+IF($I216=O$3,VLOOKUP($H216,Depreciation!$A$6:$L$10,12,FALSE)/2,IF($I216&lt;O$3,VLOOKUP($H216,Depreciation!$A$6:$L$10,12,FALSE),0))</f>
        <v>3.0676363676126896E-2</v>
      </c>
      <c r="P216" s="362">
        <f t="shared" si="11"/>
        <v>326676.03849607793</v>
      </c>
      <c r="Q216" s="362">
        <f t="shared" si="12"/>
        <v>0</v>
      </c>
      <c r="R216" s="363">
        <f t="shared" si="13"/>
        <v>326676.03849607793</v>
      </c>
    </row>
    <row r="217" spans="1:18">
      <c r="A217" s="359" t="str">
        <f>'Func Future Lines 2015'!A217</f>
        <v>PPS</v>
      </c>
      <c r="B217" s="359" t="str">
        <f>'Func Future Lines 2015'!B217</f>
        <v>in and out of line 9L07 and 9L89 from lune 9L07 at Dawes Sub_180</v>
      </c>
      <c r="C217" s="359">
        <f>'Func Future Lines 2015'!C217</f>
        <v>1267</v>
      </c>
      <c r="D217" s="359">
        <f>'Func Future Lines 2015'!D217</f>
        <v>240</v>
      </c>
      <c r="E217" s="359">
        <f>'Func Future Lines 2015'!E217</f>
        <v>0</v>
      </c>
      <c r="F217" s="359">
        <f>'Func Future Lines 2015'!F217</f>
        <v>0</v>
      </c>
      <c r="G217" s="359">
        <f>'Func Future Lines 2015'!G217</f>
        <v>6518260.7904942483</v>
      </c>
      <c r="H217" s="359" t="str">
        <f>'Func Future Lines 2015'!H217</f>
        <v>ATCO</v>
      </c>
      <c r="I217" s="359">
        <f>'Func Future Lines 2015'!I217</f>
        <v>2015</v>
      </c>
      <c r="J217" s="361">
        <f>+IF($I217=J$3,VLOOKUP($H217,Depreciation!$A$6:$L$10,7,FALSE)/2,IF($I217&lt;J$3,VLOOKUP($H217,Depreciation!$A$6:$L$10,7,FALSE),0))</f>
        <v>1.239102859091515E-2</v>
      </c>
      <c r="K217" s="361">
        <f>+IF($I217=K$3,VLOOKUP($H217,Depreciation!$A$6:$L$10,8,FALSE)/2,IF($I217&lt;K$3,VLOOKUP($H217,Depreciation!$A$6:$L$10,8,FALSE),0))</f>
        <v>2.3943859731006666E-2</v>
      </c>
      <c r="L217" s="361">
        <f>+IF($I217=L$3,VLOOKUP($H217,Depreciation!$A$6:$L$10,9,FALSE)/2,IF($I217&lt;L$3,VLOOKUP($H217,Depreciation!$A$6:$L$10,9,FALSE),0))</f>
        <v>2.4002037926855919E-2</v>
      </c>
      <c r="M217" s="361">
        <f>+IF($I217=M$3,VLOOKUP($H217,Depreciation!$A$6:$L$10,10,FALSE)/2,IF($I217&lt;M$3,VLOOKUP($H217,Depreciation!$A$6:$L$10,10,FALSE),0))</f>
        <v>2.4002037926855919E-2</v>
      </c>
      <c r="N217" s="361">
        <f>+IF($I217=N$3,VLOOKUP($H217,Depreciation!$A$6:$L$10,11,FALSE)/2,IF($I217&lt;N$3,VLOOKUP($H217,Depreciation!$A$6:$L$10,11,FALSE),0))</f>
        <v>2.4002037926855919E-2</v>
      </c>
      <c r="O217" s="361">
        <f>+IF($I217=O$3,VLOOKUP($H217,Depreciation!$A$6:$L$10,12,FALSE)/2,IF($I217&lt;O$3,VLOOKUP($H217,Depreciation!$A$6:$L$10,12,FALSE),0))</f>
        <v>2.4002037926855919E-2</v>
      </c>
      <c r="P217" s="362">
        <f t="shared" si="11"/>
        <v>6283354.409223346</v>
      </c>
      <c r="Q217" s="362">
        <f t="shared" si="12"/>
        <v>6283354.409223346</v>
      </c>
      <c r="R217" s="363">
        <f t="shared" si="13"/>
        <v>0</v>
      </c>
    </row>
    <row r="218" spans="1:18">
      <c r="A218" s="359" t="str">
        <f>'Func Future Lines 2015'!A218</f>
        <v>PPS</v>
      </c>
      <c r="B218" s="359" t="str">
        <f>'Func Future Lines 2015'!B218</f>
        <v>new line 7L170_180</v>
      </c>
      <c r="C218" s="359">
        <f>'Func Future Lines 2015'!C218</f>
        <v>1267</v>
      </c>
      <c r="D218" s="359">
        <f>'Func Future Lines 2015'!D218</f>
        <v>144</v>
      </c>
      <c r="E218" s="359">
        <f>'Func Future Lines 2015'!E218</f>
        <v>0</v>
      </c>
      <c r="F218" s="359">
        <f>'Func Future Lines 2015'!F218</f>
        <v>0</v>
      </c>
      <c r="G218" s="359">
        <f>'Func Future Lines 2015'!G218</f>
        <v>3456133.2958460073</v>
      </c>
      <c r="H218" s="359" t="str">
        <f>'Func Future Lines 2015'!H218</f>
        <v>ATCO</v>
      </c>
      <c r="I218" s="359">
        <f>'Func Future Lines 2015'!I218</f>
        <v>2015</v>
      </c>
      <c r="J218" s="361">
        <f>+IF($I218=J$3,VLOOKUP($H218,Depreciation!$A$6:$L$10,7,FALSE)/2,IF($I218&lt;J$3,VLOOKUP($H218,Depreciation!$A$6:$L$10,7,FALSE),0))</f>
        <v>1.239102859091515E-2</v>
      </c>
      <c r="K218" s="361">
        <f>+IF($I218=K$3,VLOOKUP($H218,Depreciation!$A$6:$L$10,8,FALSE)/2,IF($I218&lt;K$3,VLOOKUP($H218,Depreciation!$A$6:$L$10,8,FALSE),0))</f>
        <v>2.3943859731006666E-2</v>
      </c>
      <c r="L218" s="361">
        <f>+IF($I218=L$3,VLOOKUP($H218,Depreciation!$A$6:$L$10,9,FALSE)/2,IF($I218&lt;L$3,VLOOKUP($H218,Depreciation!$A$6:$L$10,9,FALSE),0))</f>
        <v>2.4002037926855919E-2</v>
      </c>
      <c r="M218" s="361">
        <f>+IF($I218=M$3,VLOOKUP($H218,Depreciation!$A$6:$L$10,10,FALSE)/2,IF($I218&lt;M$3,VLOOKUP($H218,Depreciation!$A$6:$L$10,10,FALSE),0))</f>
        <v>2.4002037926855919E-2</v>
      </c>
      <c r="N218" s="361">
        <f>+IF($I218=N$3,VLOOKUP($H218,Depreciation!$A$6:$L$10,11,FALSE)/2,IF($I218&lt;N$3,VLOOKUP($H218,Depreciation!$A$6:$L$10,11,FALSE),0))</f>
        <v>2.4002037926855919E-2</v>
      </c>
      <c r="O218" s="361">
        <f>+IF($I218=O$3,VLOOKUP($H218,Depreciation!$A$6:$L$10,12,FALSE)/2,IF($I218&lt;O$3,VLOOKUP($H218,Depreciation!$A$6:$L$10,12,FALSE),0))</f>
        <v>2.4002037926855919E-2</v>
      </c>
      <c r="P218" s="362">
        <f t="shared" si="11"/>
        <v>3331580.4754217262</v>
      </c>
      <c r="Q218" s="362">
        <f t="shared" si="12"/>
        <v>0</v>
      </c>
      <c r="R218" s="363">
        <f t="shared" si="13"/>
        <v>3331580.4754217262</v>
      </c>
    </row>
    <row r="219" spans="1:18">
      <c r="A219" s="359" t="str">
        <f>'Func Future Lines 2015'!A219</f>
        <v>PPS</v>
      </c>
      <c r="B219" s="359" t="str">
        <f>'Func Future Lines 2015'!B219</f>
        <v>1135L/1136L preferred</v>
      </c>
      <c r="C219" s="359">
        <f>'Func Future Lines 2015'!C219</f>
        <v>1287</v>
      </c>
      <c r="D219" s="359">
        <f>'Func Future Lines 2015'!D219</f>
        <v>240</v>
      </c>
      <c r="E219" s="359">
        <f>'Func Future Lines 2015'!E219</f>
        <v>0</v>
      </c>
      <c r="F219" s="359">
        <f>'Func Future Lines 2015'!F219</f>
        <v>0</v>
      </c>
      <c r="G219" s="359">
        <f>'Func Future Lines 2015'!G219</f>
        <v>28342949.806082249</v>
      </c>
      <c r="H219" s="359" t="str">
        <f>'Func Future Lines 2015'!H219</f>
        <v>AltaLink</v>
      </c>
      <c r="I219" s="359">
        <f>'Func Future Lines 2015'!I219</f>
        <v>2019</v>
      </c>
      <c r="J219" s="361">
        <f>+IF($I219=J$3,VLOOKUP($H219,Depreciation!$A$6:$L$10,7,FALSE)/2,IF($I219&lt;J$3,VLOOKUP($H219,Depreciation!$A$6:$L$10,7,FALSE),0))</f>
        <v>0</v>
      </c>
      <c r="K219" s="361">
        <f>+IF($I219=K$3,VLOOKUP($H219,Depreciation!$A$6:$L$10,8,FALSE)/2,IF($I219&lt;K$3,VLOOKUP($H219,Depreciation!$A$6:$L$10,8,FALSE),0))</f>
        <v>0</v>
      </c>
      <c r="L219" s="361">
        <f>+IF($I219=L$3,VLOOKUP($H219,Depreciation!$A$6:$L$10,9,FALSE)/2,IF($I219&lt;L$3,VLOOKUP($H219,Depreciation!$A$6:$L$10,9,FALSE),0))</f>
        <v>0</v>
      </c>
      <c r="M219" s="361">
        <f>+IF($I219=M$3,VLOOKUP($H219,Depreciation!$A$6:$L$10,10,FALSE)/2,IF($I219&lt;M$3,VLOOKUP($H219,Depreciation!$A$6:$L$10,10,FALSE),0))</f>
        <v>0</v>
      </c>
      <c r="N219" s="361">
        <f>+IF($I219=N$3,VLOOKUP($H219,Depreciation!$A$6:$L$10,11,FALSE)/2,IF($I219&lt;N$3,VLOOKUP($H219,Depreciation!$A$6:$L$10,11,FALSE),0))</f>
        <v>1.5338181838063448E-2</v>
      </c>
      <c r="O219" s="361">
        <f>+IF($I219=O$3,VLOOKUP($H219,Depreciation!$A$6:$L$10,12,FALSE)/2,IF($I219&lt;O$3,VLOOKUP($H219,Depreciation!$A$6:$L$10,12,FALSE),0))</f>
        <v>3.0676363676126896E-2</v>
      </c>
      <c r="P219" s="362">
        <f t="shared" si="11"/>
        <v>0</v>
      </c>
      <c r="Q219" s="362">
        <f t="shared" si="12"/>
        <v>0</v>
      </c>
      <c r="R219" s="363">
        <f t="shared" si="13"/>
        <v>0</v>
      </c>
    </row>
    <row r="220" spans="1:18">
      <c r="A220" s="359" t="str">
        <f>'Func Future Lines 2015'!A220</f>
        <v>PPS</v>
      </c>
      <c r="B220" s="359" t="str">
        <f>'Func Future Lines 2015'!B220</f>
        <v>Line 9L930</v>
      </c>
      <c r="C220" s="359">
        <f>'Func Future Lines 2015'!C220</f>
        <v>1287</v>
      </c>
      <c r="D220" s="359">
        <f>'Func Future Lines 2015'!D220</f>
        <v>240</v>
      </c>
      <c r="E220" s="359">
        <f>'Func Future Lines 2015'!E220</f>
        <v>0</v>
      </c>
      <c r="F220" s="359">
        <f>'Func Future Lines 2015'!F220</f>
        <v>0</v>
      </c>
      <c r="G220" s="359">
        <f>'Func Future Lines 2015'!G220</f>
        <v>1903119.3553939713</v>
      </c>
      <c r="H220" s="359" t="str">
        <f>'Func Future Lines 2015'!H220</f>
        <v>ATCO</v>
      </c>
      <c r="I220" s="359">
        <f>'Func Future Lines 2015'!I220</f>
        <v>2019</v>
      </c>
      <c r="J220" s="361">
        <f>+IF($I220=J$3,VLOOKUP($H220,Depreciation!$A$6:$L$10,7,FALSE)/2,IF($I220&lt;J$3,VLOOKUP($H220,Depreciation!$A$6:$L$10,7,FALSE),0))</f>
        <v>0</v>
      </c>
      <c r="K220" s="361">
        <f>+IF($I220=K$3,VLOOKUP($H220,Depreciation!$A$6:$L$10,8,FALSE)/2,IF($I220&lt;K$3,VLOOKUP($H220,Depreciation!$A$6:$L$10,8,FALSE),0))</f>
        <v>0</v>
      </c>
      <c r="L220" s="361">
        <f>+IF($I220=L$3,VLOOKUP($H220,Depreciation!$A$6:$L$10,9,FALSE)/2,IF($I220&lt;L$3,VLOOKUP($H220,Depreciation!$A$6:$L$10,9,FALSE),0))</f>
        <v>0</v>
      </c>
      <c r="M220" s="361">
        <f>+IF($I220=M$3,VLOOKUP($H220,Depreciation!$A$6:$L$10,10,FALSE)/2,IF($I220&lt;M$3,VLOOKUP($H220,Depreciation!$A$6:$L$10,10,FALSE),0))</f>
        <v>0</v>
      </c>
      <c r="N220" s="361">
        <f>+IF($I220=N$3,VLOOKUP($H220,Depreciation!$A$6:$L$10,11,FALSE)/2,IF($I220&lt;N$3,VLOOKUP($H220,Depreciation!$A$6:$L$10,11,FALSE),0))</f>
        <v>1.2001018963427959E-2</v>
      </c>
      <c r="O220" s="361">
        <f>+IF($I220=O$3,VLOOKUP($H220,Depreciation!$A$6:$L$10,12,FALSE)/2,IF($I220&lt;O$3,VLOOKUP($H220,Depreciation!$A$6:$L$10,12,FALSE),0))</f>
        <v>2.4002037926855919E-2</v>
      </c>
      <c r="P220" s="362">
        <f t="shared" si="11"/>
        <v>0</v>
      </c>
      <c r="Q220" s="362">
        <f t="shared" si="12"/>
        <v>0</v>
      </c>
      <c r="R220" s="363">
        <f t="shared" si="13"/>
        <v>0</v>
      </c>
    </row>
    <row r="221" spans="1:18">
      <c r="A221" s="359" t="str">
        <f>'Func Future Lines 2015'!A221</f>
        <v>PPS</v>
      </c>
      <c r="B221" s="359" t="str">
        <f>'Func Future Lines 2015'!B221</f>
        <v>138kv s/c line 621L</v>
      </c>
      <c r="C221" s="359">
        <f>'Func Future Lines 2015'!C221</f>
        <v>1289</v>
      </c>
      <c r="D221" s="359">
        <f>'Func Future Lines 2015'!D221</f>
        <v>138</v>
      </c>
      <c r="E221" s="359">
        <f>'Func Future Lines 2015'!E221</f>
        <v>0</v>
      </c>
      <c r="F221" s="359" t="str">
        <f>'Func Future Lines 2015'!F221</f>
        <v>edmonton</v>
      </c>
      <c r="G221" s="359">
        <f>'Func Future Lines 2015'!G221</f>
        <v>1490787.1125611733</v>
      </c>
      <c r="H221" s="359" t="str">
        <f>'Func Future Lines 2015'!H221</f>
        <v>AltaLink</v>
      </c>
      <c r="I221" s="359">
        <f>'Func Future Lines 2015'!I221</f>
        <v>2017</v>
      </c>
      <c r="J221" s="361">
        <f>+IF($I221=J$3,VLOOKUP($H221,Depreciation!$A$6:$L$10,7,FALSE)/2,IF($I221&lt;J$3,VLOOKUP($H221,Depreciation!$A$6:$L$10,7,FALSE),0))</f>
        <v>0</v>
      </c>
      <c r="K221" s="361">
        <f>+IF($I221=K$3,VLOOKUP($H221,Depreciation!$A$6:$L$10,8,FALSE)/2,IF($I221&lt;K$3,VLOOKUP($H221,Depreciation!$A$6:$L$10,8,FALSE),0))</f>
        <v>0</v>
      </c>
      <c r="L221" s="361">
        <f>+IF($I221=L$3,VLOOKUP($H221,Depreciation!$A$6:$L$10,9,FALSE)/2,IF($I221&lt;L$3,VLOOKUP($H221,Depreciation!$A$6:$L$10,9,FALSE),0))</f>
        <v>1.5338181838063448E-2</v>
      </c>
      <c r="M221" s="361">
        <f>+IF($I221=M$3,VLOOKUP($H221,Depreciation!$A$6:$L$10,10,FALSE)/2,IF($I221&lt;M$3,VLOOKUP($H221,Depreciation!$A$6:$L$10,10,FALSE),0))</f>
        <v>3.0676363676126896E-2</v>
      </c>
      <c r="N221" s="361">
        <f>+IF($I221=N$3,VLOOKUP($H221,Depreciation!$A$6:$L$10,11,FALSE)/2,IF($I221&lt;N$3,VLOOKUP($H221,Depreciation!$A$6:$L$10,11,FALSE),0))</f>
        <v>3.0676363676126896E-2</v>
      </c>
      <c r="O221" s="361">
        <f>+IF($I221=O$3,VLOOKUP($H221,Depreciation!$A$6:$L$10,12,FALSE)/2,IF($I221&lt;O$3,VLOOKUP($H221,Depreciation!$A$6:$L$10,12,FALSE),0))</f>
        <v>3.0676363676126896E-2</v>
      </c>
      <c r="P221" s="362">
        <f t="shared" si="11"/>
        <v>0</v>
      </c>
      <c r="Q221" s="362">
        <f t="shared" si="12"/>
        <v>0</v>
      </c>
      <c r="R221" s="363">
        <f t="shared" si="13"/>
        <v>0</v>
      </c>
    </row>
    <row r="222" spans="1:18">
      <c r="A222" s="359" t="str">
        <f>'Func Future Lines 2015'!A222</f>
        <v>PPS</v>
      </c>
      <c r="B222" s="359" t="str">
        <f>'Func Future Lines 2015'!B222</f>
        <v xml:space="preserve">Rerouting 815L </v>
      </c>
      <c r="C222" s="359">
        <f>'Func Future Lines 2015'!C222</f>
        <v>1289</v>
      </c>
      <c r="D222" s="359">
        <f>'Func Future Lines 2015'!D222</f>
        <v>138</v>
      </c>
      <c r="E222" s="359">
        <f>'Func Future Lines 2015'!E222</f>
        <v>0</v>
      </c>
      <c r="F222" s="359" t="str">
        <f>'Func Future Lines 2015'!F222</f>
        <v>edmonton</v>
      </c>
      <c r="G222" s="359">
        <f>'Func Future Lines 2015'!G222</f>
        <v>437379.69004893926</v>
      </c>
      <c r="H222" s="359" t="str">
        <f>'Func Future Lines 2015'!H222</f>
        <v>AltaLink</v>
      </c>
      <c r="I222" s="359">
        <f>'Func Future Lines 2015'!I222</f>
        <v>2017</v>
      </c>
      <c r="J222" s="361">
        <f>+IF($I222=J$3,VLOOKUP($H222,Depreciation!$A$6:$L$10,7,FALSE)/2,IF($I222&lt;J$3,VLOOKUP($H222,Depreciation!$A$6:$L$10,7,FALSE),0))</f>
        <v>0</v>
      </c>
      <c r="K222" s="361">
        <f>+IF($I222=K$3,VLOOKUP($H222,Depreciation!$A$6:$L$10,8,FALSE)/2,IF($I222&lt;K$3,VLOOKUP($H222,Depreciation!$A$6:$L$10,8,FALSE),0))</f>
        <v>0</v>
      </c>
      <c r="L222" s="361">
        <f>+IF($I222=L$3,VLOOKUP($H222,Depreciation!$A$6:$L$10,9,FALSE)/2,IF($I222&lt;L$3,VLOOKUP($H222,Depreciation!$A$6:$L$10,9,FALSE),0))</f>
        <v>1.5338181838063448E-2</v>
      </c>
      <c r="M222" s="361">
        <f>+IF($I222=M$3,VLOOKUP($H222,Depreciation!$A$6:$L$10,10,FALSE)/2,IF($I222&lt;M$3,VLOOKUP($H222,Depreciation!$A$6:$L$10,10,FALSE),0))</f>
        <v>3.0676363676126896E-2</v>
      </c>
      <c r="N222" s="361">
        <f>+IF($I222=N$3,VLOOKUP($H222,Depreciation!$A$6:$L$10,11,FALSE)/2,IF($I222&lt;N$3,VLOOKUP($H222,Depreciation!$A$6:$L$10,11,FALSE),0))</f>
        <v>3.0676363676126896E-2</v>
      </c>
      <c r="O222" s="361">
        <f>+IF($I222=O$3,VLOOKUP($H222,Depreciation!$A$6:$L$10,12,FALSE)/2,IF($I222&lt;O$3,VLOOKUP($H222,Depreciation!$A$6:$L$10,12,FALSE),0))</f>
        <v>3.0676363676126896E-2</v>
      </c>
      <c r="P222" s="362">
        <f t="shared" si="11"/>
        <v>0</v>
      </c>
      <c r="Q222" s="362">
        <f t="shared" si="12"/>
        <v>0</v>
      </c>
      <c r="R222" s="363">
        <f t="shared" si="13"/>
        <v>0</v>
      </c>
    </row>
    <row r="223" spans="1:18">
      <c r="A223" s="359" t="str">
        <f>'Func Future Lines 2015'!A223</f>
        <v>PPS</v>
      </c>
      <c r="B223" s="359" t="str">
        <f>'Func Future Lines 2015'!B223</f>
        <v>7LA106 new line</v>
      </c>
      <c r="C223" s="359">
        <f>'Func Future Lines 2015'!C223</f>
        <v>1290</v>
      </c>
      <c r="D223" s="359">
        <f>'Func Future Lines 2015'!D223</f>
        <v>144</v>
      </c>
      <c r="E223" s="359">
        <f>'Func Future Lines 2015'!E223</f>
        <v>0</v>
      </c>
      <c r="F223" s="359" t="str">
        <f>'Func Future Lines 2015'!F223</f>
        <v>Peace_River</v>
      </c>
      <c r="G223" s="359">
        <f>'Func Future Lines 2015'!G223</f>
        <v>5368376.5324647576</v>
      </c>
      <c r="H223" s="359" t="str">
        <f>'Func Future Lines 2015'!H223</f>
        <v>ATCO</v>
      </c>
      <c r="I223" s="359">
        <f>'Func Future Lines 2015'!I223</f>
        <v>2018</v>
      </c>
      <c r="J223" s="361">
        <f>+IF($I223=J$3,VLOOKUP($H223,Depreciation!$A$6:$L$10,7,FALSE)/2,IF($I223&lt;J$3,VLOOKUP($H223,Depreciation!$A$6:$L$10,7,FALSE),0))</f>
        <v>0</v>
      </c>
      <c r="K223" s="361">
        <f>+IF($I223=K$3,VLOOKUP($H223,Depreciation!$A$6:$L$10,8,FALSE)/2,IF($I223&lt;K$3,VLOOKUP($H223,Depreciation!$A$6:$L$10,8,FALSE),0))</f>
        <v>0</v>
      </c>
      <c r="L223" s="361">
        <f>+IF($I223=L$3,VLOOKUP($H223,Depreciation!$A$6:$L$10,9,FALSE)/2,IF($I223&lt;L$3,VLOOKUP($H223,Depreciation!$A$6:$L$10,9,FALSE),0))</f>
        <v>0</v>
      </c>
      <c r="M223" s="361">
        <f>+IF($I223=M$3,VLOOKUP($H223,Depreciation!$A$6:$L$10,10,FALSE)/2,IF($I223&lt;M$3,VLOOKUP($H223,Depreciation!$A$6:$L$10,10,FALSE),0))</f>
        <v>1.2001018963427959E-2</v>
      </c>
      <c r="N223" s="361">
        <f>+IF($I223=N$3,VLOOKUP($H223,Depreciation!$A$6:$L$10,11,FALSE)/2,IF($I223&lt;N$3,VLOOKUP($H223,Depreciation!$A$6:$L$10,11,FALSE),0))</f>
        <v>2.4002037926855919E-2</v>
      </c>
      <c r="O223" s="361">
        <f>+IF($I223=O$3,VLOOKUP($H223,Depreciation!$A$6:$L$10,12,FALSE)/2,IF($I223&lt;O$3,VLOOKUP($H223,Depreciation!$A$6:$L$10,12,FALSE),0))</f>
        <v>2.4002037926855919E-2</v>
      </c>
      <c r="P223" s="362">
        <f t="shared" si="11"/>
        <v>0</v>
      </c>
      <c r="Q223" s="362">
        <f t="shared" si="12"/>
        <v>0</v>
      </c>
      <c r="R223" s="363">
        <f t="shared" si="13"/>
        <v>0</v>
      </c>
    </row>
    <row r="224" spans="1:18">
      <c r="A224" s="359" t="str">
        <f>'Func Future Lines 2015'!A224</f>
        <v>PPS</v>
      </c>
      <c r="B224" s="359" t="str">
        <f>'Func Future Lines 2015'!B224</f>
        <v>138-162.81L</v>
      </c>
      <c r="C224" s="359">
        <f>'Func Future Lines 2015'!C224</f>
        <v>1314</v>
      </c>
      <c r="D224" s="359">
        <f>'Func Future Lines 2015'!D224</f>
        <v>138</v>
      </c>
      <c r="E224" s="359">
        <f>'Func Future Lines 2015'!E224</f>
        <v>0</v>
      </c>
      <c r="F224" s="359" t="str">
        <f>'Func Future Lines 2015'!F224</f>
        <v>Fort McMurray</v>
      </c>
      <c r="G224" s="359">
        <f>'Func Future Lines 2015'!G224</f>
        <v>334297.27388090419</v>
      </c>
      <c r="H224" s="359" t="str">
        <f>'Func Future Lines 2015'!H224</f>
        <v>ENMAX</v>
      </c>
      <c r="I224" s="359">
        <f>'Func Future Lines 2015'!I224</f>
        <v>2015</v>
      </c>
      <c r="J224" s="361">
        <f>+IF($I224=J$3,VLOOKUP($H224,Depreciation!$A$6:$L$10,7,FALSE)/2,IF($I224&lt;J$3,VLOOKUP($H224,Depreciation!$A$6:$L$10,7,FALSE),0))</f>
        <v>1.3475179084025525E-2</v>
      </c>
      <c r="K224" s="361">
        <f>+IF($I224=K$3,VLOOKUP($H224,Depreciation!$A$6:$L$10,8,FALSE)/2,IF($I224&lt;K$3,VLOOKUP($H224,Depreciation!$A$6:$L$10,8,FALSE),0))</f>
        <v>2.6950358168051049E-2</v>
      </c>
      <c r="L224" s="361">
        <f>+IF($I224=L$3,VLOOKUP($H224,Depreciation!$A$6:$L$10,9,FALSE)/2,IF($I224&lt;L$3,VLOOKUP($H224,Depreciation!$A$6:$L$10,9,FALSE),0))</f>
        <v>2.6950358168051049E-2</v>
      </c>
      <c r="M224" s="361">
        <f>+IF($I224=M$3,VLOOKUP($H224,Depreciation!$A$6:$L$10,10,FALSE)/2,IF($I224&lt;M$3,VLOOKUP($H224,Depreciation!$A$6:$L$10,10,FALSE),0))</f>
        <v>2.6950358168051049E-2</v>
      </c>
      <c r="N224" s="361">
        <f>+IF($I224=N$3,VLOOKUP($H224,Depreciation!$A$6:$L$10,11,FALSE)/2,IF($I224&lt;N$3,VLOOKUP($H224,Depreciation!$A$6:$L$10,11,FALSE),0))</f>
        <v>2.6950358168051049E-2</v>
      </c>
      <c r="O224" s="361">
        <f>+IF($I224=O$3,VLOOKUP($H224,Depreciation!$A$6:$L$10,12,FALSE)/2,IF($I224&lt;O$3,VLOOKUP($H224,Depreciation!$A$6:$L$10,12,FALSE),0))</f>
        <v>2.6950358168051049E-2</v>
      </c>
      <c r="P224" s="362">
        <f t="shared" si="11"/>
        <v>320904.53068211454</v>
      </c>
      <c r="Q224" s="362">
        <f t="shared" si="12"/>
        <v>0</v>
      </c>
      <c r="R224" s="363">
        <f t="shared" si="13"/>
        <v>320904.53068211454</v>
      </c>
    </row>
    <row r="225" spans="1:18">
      <c r="A225" s="359" t="str">
        <f>'Func Future Lines 2015'!A225</f>
        <v>PPS</v>
      </c>
      <c r="B225" s="359" t="str">
        <f>'Func Future Lines 2015'!B225</f>
        <v>Two 240kV lines 9L124 | 9L139</v>
      </c>
      <c r="C225" s="359">
        <f>'Func Future Lines 2015'!C225</f>
        <v>1321</v>
      </c>
      <c r="D225" s="359">
        <f>'Func Future Lines 2015'!D225</f>
        <v>240</v>
      </c>
      <c r="E225" s="359">
        <f>'Func Future Lines 2015'!E225</f>
        <v>0</v>
      </c>
      <c r="F225" s="359" t="str">
        <f>'Func Future Lines 2015'!F225</f>
        <v>Peace_River</v>
      </c>
      <c r="G225" s="359">
        <f>'Func Future Lines 2015'!G225</f>
        <v>39192318.192983381</v>
      </c>
      <c r="H225" s="359" t="str">
        <f>'Func Future Lines 2015'!H225</f>
        <v>ATCO</v>
      </c>
      <c r="I225" s="359">
        <f>'Func Future Lines 2015'!I225</f>
        <v>2017</v>
      </c>
      <c r="J225" s="361">
        <f>+IF($I225=J$3,VLOOKUP($H225,Depreciation!$A$6:$L$10,7,FALSE)/2,IF($I225&lt;J$3,VLOOKUP($H225,Depreciation!$A$6:$L$10,7,FALSE),0))</f>
        <v>0</v>
      </c>
      <c r="K225" s="361">
        <f>+IF($I225=K$3,VLOOKUP($H225,Depreciation!$A$6:$L$10,8,FALSE)/2,IF($I225&lt;K$3,VLOOKUP($H225,Depreciation!$A$6:$L$10,8,FALSE),0))</f>
        <v>0</v>
      </c>
      <c r="L225" s="361">
        <f>+IF($I225=L$3,VLOOKUP($H225,Depreciation!$A$6:$L$10,9,FALSE)/2,IF($I225&lt;L$3,VLOOKUP($H225,Depreciation!$A$6:$L$10,9,FALSE),0))</f>
        <v>1.2001018963427959E-2</v>
      </c>
      <c r="M225" s="361">
        <f>+IF($I225=M$3,VLOOKUP($H225,Depreciation!$A$6:$L$10,10,FALSE)/2,IF($I225&lt;M$3,VLOOKUP($H225,Depreciation!$A$6:$L$10,10,FALSE),0))</f>
        <v>2.4002037926855919E-2</v>
      </c>
      <c r="N225" s="361">
        <f>+IF($I225=N$3,VLOOKUP($H225,Depreciation!$A$6:$L$10,11,FALSE)/2,IF($I225&lt;N$3,VLOOKUP($H225,Depreciation!$A$6:$L$10,11,FALSE),0))</f>
        <v>2.4002037926855919E-2</v>
      </c>
      <c r="O225" s="361">
        <f>+IF($I225=O$3,VLOOKUP($H225,Depreciation!$A$6:$L$10,12,FALSE)/2,IF($I225&lt;O$3,VLOOKUP($H225,Depreciation!$A$6:$L$10,12,FALSE),0))</f>
        <v>2.4002037926855919E-2</v>
      </c>
      <c r="P225" s="362">
        <f t="shared" si="11"/>
        <v>0</v>
      </c>
      <c r="Q225" s="362">
        <f t="shared" si="12"/>
        <v>0</v>
      </c>
      <c r="R225" s="363">
        <f t="shared" si="13"/>
        <v>0</v>
      </c>
    </row>
    <row r="226" spans="1:18">
      <c r="A226" s="359" t="str">
        <f>'Func Future Lines 2015'!A226</f>
        <v>PPS</v>
      </c>
      <c r="B226" s="359" t="str">
        <f>'Func Future Lines 2015'!B226</f>
        <v>675L</v>
      </c>
      <c r="C226" s="359">
        <f>'Func Future Lines 2015'!C226</f>
        <v>1326</v>
      </c>
      <c r="D226" s="359">
        <f>'Func Future Lines 2015'!D226</f>
        <v>138</v>
      </c>
      <c r="E226" s="359">
        <f>'Func Future Lines 2015'!E226</f>
        <v>0</v>
      </c>
      <c r="F226" s="359">
        <f>'Func Future Lines 2015'!F226</f>
        <v>0</v>
      </c>
      <c r="G226" s="359">
        <f>'Func Future Lines 2015'!G226</f>
        <v>174412.28457799382</v>
      </c>
      <c r="H226" s="359" t="str">
        <f>'Func Future Lines 2015'!H226</f>
        <v>AltaLink</v>
      </c>
      <c r="I226" s="359">
        <f>'Func Future Lines 2015'!I226</f>
        <v>2017</v>
      </c>
      <c r="J226" s="361">
        <f>+IF($I226=J$3,VLOOKUP($H226,Depreciation!$A$6:$L$10,7,FALSE)/2,IF($I226&lt;J$3,VLOOKUP($H226,Depreciation!$A$6:$L$10,7,FALSE),0))</f>
        <v>0</v>
      </c>
      <c r="K226" s="361">
        <f>+IF($I226=K$3,VLOOKUP($H226,Depreciation!$A$6:$L$10,8,FALSE)/2,IF($I226&lt;K$3,VLOOKUP($H226,Depreciation!$A$6:$L$10,8,FALSE),0))</f>
        <v>0</v>
      </c>
      <c r="L226" s="361">
        <f>+IF($I226=L$3,VLOOKUP($H226,Depreciation!$A$6:$L$10,9,FALSE)/2,IF($I226&lt;L$3,VLOOKUP($H226,Depreciation!$A$6:$L$10,9,FALSE),0))</f>
        <v>1.5338181838063448E-2</v>
      </c>
      <c r="M226" s="361">
        <f>+IF($I226=M$3,VLOOKUP($H226,Depreciation!$A$6:$L$10,10,FALSE)/2,IF($I226&lt;M$3,VLOOKUP($H226,Depreciation!$A$6:$L$10,10,FALSE),0))</f>
        <v>3.0676363676126896E-2</v>
      </c>
      <c r="N226" s="361">
        <f>+IF($I226=N$3,VLOOKUP($H226,Depreciation!$A$6:$L$10,11,FALSE)/2,IF($I226&lt;N$3,VLOOKUP($H226,Depreciation!$A$6:$L$10,11,FALSE),0))</f>
        <v>3.0676363676126896E-2</v>
      </c>
      <c r="O226" s="361">
        <f>+IF($I226=O$3,VLOOKUP($H226,Depreciation!$A$6:$L$10,12,FALSE)/2,IF($I226&lt;O$3,VLOOKUP($H226,Depreciation!$A$6:$L$10,12,FALSE),0))</f>
        <v>3.0676363676126896E-2</v>
      </c>
      <c r="P226" s="362">
        <f t="shared" si="11"/>
        <v>0</v>
      </c>
      <c r="Q226" s="362">
        <f t="shared" si="12"/>
        <v>0</v>
      </c>
      <c r="R226" s="363">
        <f t="shared" si="13"/>
        <v>0</v>
      </c>
    </row>
    <row r="227" spans="1:18">
      <c r="A227" s="359" t="str">
        <f>'Func Future Lines 2015'!A227</f>
        <v>PPS</v>
      </c>
      <c r="B227" s="359" t="str">
        <f>'Func Future Lines 2015'!B227</f>
        <v>880L</v>
      </c>
      <c r="C227" s="359">
        <f>'Func Future Lines 2015'!C227</f>
        <v>1326</v>
      </c>
      <c r="D227" s="359">
        <f>'Func Future Lines 2015'!D227</f>
        <v>138</v>
      </c>
      <c r="E227" s="359">
        <f>'Func Future Lines 2015'!E227</f>
        <v>0</v>
      </c>
      <c r="F227" s="359">
        <f>'Func Future Lines 2015'!F227</f>
        <v>0</v>
      </c>
      <c r="G227" s="359">
        <f>'Func Future Lines 2015'!G227</f>
        <v>450149.80114891741</v>
      </c>
      <c r="H227" s="359" t="str">
        <f>'Func Future Lines 2015'!H227</f>
        <v>AltaLink</v>
      </c>
      <c r="I227" s="359">
        <f>'Func Future Lines 2015'!I227</f>
        <v>2017</v>
      </c>
      <c r="J227" s="361">
        <f>+IF($I227=J$3,VLOOKUP($H227,Depreciation!$A$6:$L$10,7,FALSE)/2,IF($I227&lt;J$3,VLOOKUP($H227,Depreciation!$A$6:$L$10,7,FALSE),0))</f>
        <v>0</v>
      </c>
      <c r="K227" s="361">
        <f>+IF($I227=K$3,VLOOKUP($H227,Depreciation!$A$6:$L$10,8,FALSE)/2,IF($I227&lt;K$3,VLOOKUP($H227,Depreciation!$A$6:$L$10,8,FALSE),0))</f>
        <v>0</v>
      </c>
      <c r="L227" s="361">
        <f>+IF($I227=L$3,VLOOKUP($H227,Depreciation!$A$6:$L$10,9,FALSE)/2,IF($I227&lt;L$3,VLOOKUP($H227,Depreciation!$A$6:$L$10,9,FALSE),0))</f>
        <v>1.5338181838063448E-2</v>
      </c>
      <c r="M227" s="361">
        <f>+IF($I227=M$3,VLOOKUP($H227,Depreciation!$A$6:$L$10,10,FALSE)/2,IF($I227&lt;M$3,VLOOKUP($H227,Depreciation!$A$6:$L$10,10,FALSE),0))</f>
        <v>3.0676363676126896E-2</v>
      </c>
      <c r="N227" s="361">
        <f>+IF($I227=N$3,VLOOKUP($H227,Depreciation!$A$6:$L$10,11,FALSE)/2,IF($I227&lt;N$3,VLOOKUP($H227,Depreciation!$A$6:$L$10,11,FALSE),0))</f>
        <v>3.0676363676126896E-2</v>
      </c>
      <c r="O227" s="361">
        <f>+IF($I227=O$3,VLOOKUP($H227,Depreciation!$A$6:$L$10,12,FALSE)/2,IF($I227&lt;O$3,VLOOKUP($H227,Depreciation!$A$6:$L$10,12,FALSE),0))</f>
        <v>3.0676363676126896E-2</v>
      </c>
      <c r="P227" s="362">
        <f t="shared" si="11"/>
        <v>0</v>
      </c>
      <c r="Q227" s="362">
        <f t="shared" si="12"/>
        <v>0</v>
      </c>
      <c r="R227" s="363">
        <f t="shared" si="13"/>
        <v>0</v>
      </c>
    </row>
    <row r="228" spans="1:18">
      <c r="A228" s="359" t="str">
        <f>'Func Future Lines 2015'!A228</f>
        <v>PPS</v>
      </c>
      <c r="B228" s="359" t="str">
        <f>'Func Future Lines 2015'!B228</f>
        <v>882L</v>
      </c>
      <c r="C228" s="359">
        <f>'Func Future Lines 2015'!C228</f>
        <v>1326</v>
      </c>
      <c r="D228" s="359">
        <f>'Func Future Lines 2015'!D228</f>
        <v>138</v>
      </c>
      <c r="E228" s="359">
        <f>'Func Future Lines 2015'!E228</f>
        <v>0</v>
      </c>
      <c r="F228" s="359">
        <f>'Func Future Lines 2015'!F228</f>
        <v>0</v>
      </c>
      <c r="G228" s="359">
        <f>'Func Future Lines 2015'!G228</f>
        <v>292348.21034025634</v>
      </c>
      <c r="H228" s="359" t="str">
        <f>'Func Future Lines 2015'!H228</f>
        <v>AltaLink</v>
      </c>
      <c r="I228" s="359">
        <f>'Func Future Lines 2015'!I228</f>
        <v>2017</v>
      </c>
      <c r="J228" s="361">
        <f>+IF($I228=J$3,VLOOKUP($H228,Depreciation!$A$6:$L$10,7,FALSE)/2,IF($I228&lt;J$3,VLOOKUP($H228,Depreciation!$A$6:$L$10,7,FALSE),0))</f>
        <v>0</v>
      </c>
      <c r="K228" s="361">
        <f>+IF($I228=K$3,VLOOKUP($H228,Depreciation!$A$6:$L$10,8,FALSE)/2,IF($I228&lt;K$3,VLOOKUP($H228,Depreciation!$A$6:$L$10,8,FALSE),0))</f>
        <v>0</v>
      </c>
      <c r="L228" s="361">
        <f>+IF($I228=L$3,VLOOKUP($H228,Depreciation!$A$6:$L$10,9,FALSE)/2,IF($I228&lt;L$3,VLOOKUP($H228,Depreciation!$A$6:$L$10,9,FALSE),0))</f>
        <v>1.5338181838063448E-2</v>
      </c>
      <c r="M228" s="361">
        <f>+IF($I228=M$3,VLOOKUP($H228,Depreciation!$A$6:$L$10,10,FALSE)/2,IF($I228&lt;M$3,VLOOKUP($H228,Depreciation!$A$6:$L$10,10,FALSE),0))</f>
        <v>3.0676363676126896E-2</v>
      </c>
      <c r="N228" s="361">
        <f>+IF($I228=N$3,VLOOKUP($H228,Depreciation!$A$6:$L$10,11,FALSE)/2,IF($I228&lt;N$3,VLOOKUP($H228,Depreciation!$A$6:$L$10,11,FALSE),0))</f>
        <v>3.0676363676126896E-2</v>
      </c>
      <c r="O228" s="361">
        <f>+IF($I228=O$3,VLOOKUP($H228,Depreciation!$A$6:$L$10,12,FALSE)/2,IF($I228&lt;O$3,VLOOKUP($H228,Depreciation!$A$6:$L$10,12,FALSE),0))</f>
        <v>3.0676363676126896E-2</v>
      </c>
      <c r="P228" s="362">
        <f t="shared" si="11"/>
        <v>0</v>
      </c>
      <c r="Q228" s="362">
        <f t="shared" si="12"/>
        <v>0</v>
      </c>
      <c r="R228" s="363">
        <f t="shared" si="13"/>
        <v>0</v>
      </c>
    </row>
    <row r="229" spans="1:18">
      <c r="A229" s="359" t="str">
        <f>'Func Future Lines 2015'!A229</f>
        <v>PPS</v>
      </c>
      <c r="B229" s="359" t="str">
        <f>'Func Future Lines 2015'!B229</f>
        <v>New 100m 475L_(v1)</v>
      </c>
      <c r="C229" s="359">
        <f>'Func Future Lines 2015'!C229</f>
        <v>1336</v>
      </c>
      <c r="D229" s="359">
        <f>'Func Future Lines 2015'!D229</f>
        <v>138</v>
      </c>
      <c r="E229" s="359">
        <f>'Func Future Lines 2015'!E229</f>
        <v>0</v>
      </c>
      <c r="F229" s="359" t="str">
        <f>'Func Future Lines 2015'!F229</f>
        <v>Strathmore_Blackie</v>
      </c>
      <c r="G229" s="359">
        <f>'Func Future Lines 2015'!G229</f>
        <v>623924.51330949506</v>
      </c>
      <c r="H229" s="359" t="str">
        <f>'Func Future Lines 2015'!H229</f>
        <v>AltaLink</v>
      </c>
      <c r="I229" s="359">
        <f>'Func Future Lines 2015'!I229</f>
        <v>2018</v>
      </c>
      <c r="J229" s="361">
        <f>+IF($I229=J$3,VLOOKUP($H229,Depreciation!$A$6:$L$10,7,FALSE)/2,IF($I229&lt;J$3,VLOOKUP($H229,Depreciation!$A$6:$L$10,7,FALSE),0))</f>
        <v>0</v>
      </c>
      <c r="K229" s="361">
        <f>+IF($I229=K$3,VLOOKUP($H229,Depreciation!$A$6:$L$10,8,FALSE)/2,IF($I229&lt;K$3,VLOOKUP($H229,Depreciation!$A$6:$L$10,8,FALSE),0))</f>
        <v>0</v>
      </c>
      <c r="L229" s="361">
        <f>+IF($I229=L$3,VLOOKUP($H229,Depreciation!$A$6:$L$10,9,FALSE)/2,IF($I229&lt;L$3,VLOOKUP($H229,Depreciation!$A$6:$L$10,9,FALSE),0))</f>
        <v>0</v>
      </c>
      <c r="M229" s="361">
        <f>+IF($I229=M$3,VLOOKUP($H229,Depreciation!$A$6:$L$10,10,FALSE)/2,IF($I229&lt;M$3,VLOOKUP($H229,Depreciation!$A$6:$L$10,10,FALSE),0))</f>
        <v>1.5338181838063448E-2</v>
      </c>
      <c r="N229" s="361">
        <f>+IF($I229=N$3,VLOOKUP($H229,Depreciation!$A$6:$L$10,11,FALSE)/2,IF($I229&lt;N$3,VLOOKUP($H229,Depreciation!$A$6:$L$10,11,FALSE),0))</f>
        <v>3.0676363676126896E-2</v>
      </c>
      <c r="O229" s="361">
        <f>+IF($I229=O$3,VLOOKUP($H229,Depreciation!$A$6:$L$10,12,FALSE)/2,IF($I229&lt;O$3,VLOOKUP($H229,Depreciation!$A$6:$L$10,12,FALSE),0))</f>
        <v>3.0676363676126896E-2</v>
      </c>
      <c r="P229" s="362">
        <f t="shared" si="11"/>
        <v>0</v>
      </c>
      <c r="Q229" s="362">
        <f t="shared" si="12"/>
        <v>0</v>
      </c>
      <c r="R229" s="363">
        <f t="shared" si="13"/>
        <v>0</v>
      </c>
    </row>
    <row r="230" spans="1:18">
      <c r="A230" s="359" t="str">
        <f>'Func Future Lines 2015'!A230</f>
        <v>PPS</v>
      </c>
      <c r="B230" s="359" t="str">
        <f>'Func Future Lines 2015'!B230</f>
        <v>line 1071L</v>
      </c>
      <c r="C230" s="359">
        <f>'Func Future Lines 2015'!C230</f>
        <v>1343</v>
      </c>
      <c r="D230" s="359">
        <f>'Func Future Lines 2015'!D230</f>
        <v>240</v>
      </c>
      <c r="E230" s="359">
        <f>'Func Future Lines 2015'!E230</f>
        <v>0</v>
      </c>
      <c r="F230" s="359">
        <f>'Func Future Lines 2015'!F230</f>
        <v>0</v>
      </c>
      <c r="G230" s="359">
        <f>'Func Future Lines 2015'!G230</f>
        <v>19796706.182093833</v>
      </c>
      <c r="H230" s="359" t="str">
        <f>'Func Future Lines 2015'!H230</f>
        <v>AltaLink</v>
      </c>
      <c r="I230" s="359">
        <f>'Func Future Lines 2015'!I230</f>
        <v>2015</v>
      </c>
      <c r="J230" s="361">
        <f>+IF($I230=J$3,VLOOKUP($H230,Depreciation!$A$6:$L$10,7,FALSE)/2,IF($I230&lt;J$3,VLOOKUP($H230,Depreciation!$A$6:$L$10,7,FALSE),0))</f>
        <v>1.595020804044691E-2</v>
      </c>
      <c r="K230" s="361">
        <f>+IF($I230=K$3,VLOOKUP($H230,Depreciation!$A$6:$L$10,8,FALSE)/2,IF($I230&lt;K$3,VLOOKUP($H230,Depreciation!$A$6:$L$10,8,FALSE),0))</f>
        <v>3.0676363676126896E-2</v>
      </c>
      <c r="L230" s="361">
        <f>+IF($I230=L$3,VLOOKUP($H230,Depreciation!$A$6:$L$10,9,FALSE)/2,IF($I230&lt;L$3,VLOOKUP($H230,Depreciation!$A$6:$L$10,9,FALSE),0))</f>
        <v>3.0676363676126896E-2</v>
      </c>
      <c r="M230" s="361">
        <f>+IF($I230=M$3,VLOOKUP($H230,Depreciation!$A$6:$L$10,10,FALSE)/2,IF($I230&lt;M$3,VLOOKUP($H230,Depreciation!$A$6:$L$10,10,FALSE),0))</f>
        <v>3.0676363676126896E-2</v>
      </c>
      <c r="N230" s="361">
        <f>+IF($I230=N$3,VLOOKUP($H230,Depreciation!$A$6:$L$10,11,FALSE)/2,IF($I230&lt;N$3,VLOOKUP($H230,Depreciation!$A$6:$L$10,11,FALSE),0))</f>
        <v>3.0676363676126896E-2</v>
      </c>
      <c r="O230" s="361">
        <f>+IF($I230=O$3,VLOOKUP($H230,Depreciation!$A$6:$L$10,12,FALSE)/2,IF($I230&lt;O$3,VLOOKUP($H230,Depreciation!$A$6:$L$10,12,FALSE),0))</f>
        <v>3.0676363676126896E-2</v>
      </c>
      <c r="P230" s="362">
        <f t="shared" si="11"/>
        <v>18883340.058670558</v>
      </c>
      <c r="Q230" s="362">
        <f t="shared" si="12"/>
        <v>18883340.058670558</v>
      </c>
      <c r="R230" s="363">
        <f t="shared" si="13"/>
        <v>0</v>
      </c>
    </row>
    <row r="231" spans="1:18">
      <c r="A231" s="359" t="str">
        <f>'Func Future Lines 2015'!A231</f>
        <v>PPS</v>
      </c>
      <c r="B231" s="359" t="str">
        <f>'Func Future Lines 2015'!B231</f>
        <v>line 624L</v>
      </c>
      <c r="C231" s="359">
        <f>'Func Future Lines 2015'!C231</f>
        <v>1343</v>
      </c>
      <c r="D231" s="359">
        <f>'Func Future Lines 2015'!D231</f>
        <v>138</v>
      </c>
      <c r="E231" s="359">
        <f>'Func Future Lines 2015'!E231</f>
        <v>0</v>
      </c>
      <c r="F231" s="359">
        <f>'Func Future Lines 2015'!F231</f>
        <v>0</v>
      </c>
      <c r="G231" s="359">
        <f>'Func Future Lines 2015'!G231</f>
        <v>3112543.7968499968</v>
      </c>
      <c r="H231" s="359" t="str">
        <f>'Func Future Lines 2015'!H231</f>
        <v>AltaLink</v>
      </c>
      <c r="I231" s="359">
        <f>'Func Future Lines 2015'!I231</f>
        <v>2015</v>
      </c>
      <c r="J231" s="361">
        <f>+IF($I231=J$3,VLOOKUP($H231,Depreciation!$A$6:$L$10,7,FALSE)/2,IF($I231&lt;J$3,VLOOKUP($H231,Depreciation!$A$6:$L$10,7,FALSE),0))</f>
        <v>1.595020804044691E-2</v>
      </c>
      <c r="K231" s="361">
        <f>+IF($I231=K$3,VLOOKUP($H231,Depreciation!$A$6:$L$10,8,FALSE)/2,IF($I231&lt;K$3,VLOOKUP($H231,Depreciation!$A$6:$L$10,8,FALSE),0))</f>
        <v>3.0676363676126896E-2</v>
      </c>
      <c r="L231" s="361">
        <f>+IF($I231=L$3,VLOOKUP($H231,Depreciation!$A$6:$L$10,9,FALSE)/2,IF($I231&lt;L$3,VLOOKUP($H231,Depreciation!$A$6:$L$10,9,FALSE),0))</f>
        <v>3.0676363676126896E-2</v>
      </c>
      <c r="M231" s="361">
        <f>+IF($I231=M$3,VLOOKUP($H231,Depreciation!$A$6:$L$10,10,FALSE)/2,IF($I231&lt;M$3,VLOOKUP($H231,Depreciation!$A$6:$L$10,10,FALSE),0))</f>
        <v>3.0676363676126896E-2</v>
      </c>
      <c r="N231" s="361">
        <f>+IF($I231=N$3,VLOOKUP($H231,Depreciation!$A$6:$L$10,11,FALSE)/2,IF($I231&lt;N$3,VLOOKUP($H231,Depreciation!$A$6:$L$10,11,FALSE),0))</f>
        <v>3.0676363676126896E-2</v>
      </c>
      <c r="O231" s="361">
        <f>+IF($I231=O$3,VLOOKUP($H231,Depreciation!$A$6:$L$10,12,FALSE)/2,IF($I231&lt;O$3,VLOOKUP($H231,Depreciation!$A$6:$L$10,12,FALSE),0))</f>
        <v>3.0676363676126896E-2</v>
      </c>
      <c r="P231" s="362">
        <f t="shared" si="11"/>
        <v>2968939.5004804595</v>
      </c>
      <c r="Q231" s="362">
        <f t="shared" si="12"/>
        <v>0</v>
      </c>
      <c r="R231" s="363">
        <f t="shared" si="13"/>
        <v>2968939.5004804595</v>
      </c>
    </row>
    <row r="232" spans="1:18">
      <c r="A232" s="359" t="str">
        <f>'Func Future Lines 2015'!A232</f>
        <v>PPS</v>
      </c>
      <c r="B232" s="359" t="str">
        <f>'Func Future Lines 2015'!B232</f>
        <v>line 893AL</v>
      </c>
      <c r="C232" s="359">
        <f>'Func Future Lines 2015'!C232</f>
        <v>1343</v>
      </c>
      <c r="D232" s="359">
        <f>'Func Future Lines 2015'!D232</f>
        <v>138</v>
      </c>
      <c r="E232" s="359">
        <f>'Func Future Lines 2015'!E232</f>
        <v>0</v>
      </c>
      <c r="F232" s="359">
        <f>'Func Future Lines 2015'!F232</f>
        <v>0</v>
      </c>
      <c r="G232" s="359">
        <f>'Func Future Lines 2015'!G232</f>
        <v>39755.748336561956</v>
      </c>
      <c r="H232" s="359" t="str">
        <f>'Func Future Lines 2015'!H232</f>
        <v>AltaLink</v>
      </c>
      <c r="I232" s="359">
        <f>'Func Future Lines 2015'!I232</f>
        <v>2015</v>
      </c>
      <c r="J232" s="361">
        <f>+IF($I232=J$3,VLOOKUP($H232,Depreciation!$A$6:$L$10,7,FALSE)/2,IF($I232&lt;J$3,VLOOKUP($H232,Depreciation!$A$6:$L$10,7,FALSE),0))</f>
        <v>1.595020804044691E-2</v>
      </c>
      <c r="K232" s="361">
        <f>+IF($I232=K$3,VLOOKUP($H232,Depreciation!$A$6:$L$10,8,FALSE)/2,IF($I232&lt;K$3,VLOOKUP($H232,Depreciation!$A$6:$L$10,8,FALSE),0))</f>
        <v>3.0676363676126896E-2</v>
      </c>
      <c r="L232" s="361">
        <f>+IF($I232=L$3,VLOOKUP($H232,Depreciation!$A$6:$L$10,9,FALSE)/2,IF($I232&lt;L$3,VLOOKUP($H232,Depreciation!$A$6:$L$10,9,FALSE),0))</f>
        <v>3.0676363676126896E-2</v>
      </c>
      <c r="M232" s="361">
        <f>+IF($I232=M$3,VLOOKUP($H232,Depreciation!$A$6:$L$10,10,FALSE)/2,IF($I232&lt;M$3,VLOOKUP($H232,Depreciation!$A$6:$L$10,10,FALSE),0))</f>
        <v>3.0676363676126896E-2</v>
      </c>
      <c r="N232" s="361">
        <f>+IF($I232=N$3,VLOOKUP($H232,Depreciation!$A$6:$L$10,11,FALSE)/2,IF($I232&lt;N$3,VLOOKUP($H232,Depreciation!$A$6:$L$10,11,FALSE),0))</f>
        <v>3.0676363676126896E-2</v>
      </c>
      <c r="O232" s="361">
        <f>+IF($I232=O$3,VLOOKUP($H232,Depreciation!$A$6:$L$10,12,FALSE)/2,IF($I232&lt;O$3,VLOOKUP($H232,Depreciation!$A$6:$L$10,12,FALSE),0))</f>
        <v>3.0676363676126896E-2</v>
      </c>
      <c r="P232" s="362">
        <f t="shared" si="11"/>
        <v>37921.526349936685</v>
      </c>
      <c r="Q232" s="362">
        <f t="shared" si="12"/>
        <v>0</v>
      </c>
      <c r="R232" s="363">
        <f t="shared" si="13"/>
        <v>37921.526349936685</v>
      </c>
    </row>
    <row r="233" spans="1:18">
      <c r="A233" s="359" t="str">
        <f>'Func Future Lines 2015'!A233</f>
        <v>PPS</v>
      </c>
      <c r="B233" s="359" t="str">
        <f>'Func Future Lines 2015'!B233</f>
        <v>line 893L stage 1</v>
      </c>
      <c r="C233" s="359">
        <f>'Func Future Lines 2015'!C233</f>
        <v>1343</v>
      </c>
      <c r="D233" s="359">
        <f>'Func Future Lines 2015'!D233</f>
        <v>138</v>
      </c>
      <c r="E233" s="359">
        <f>'Func Future Lines 2015'!E233</f>
        <v>0</v>
      </c>
      <c r="F233" s="359">
        <f>'Func Future Lines 2015'!F233</f>
        <v>0</v>
      </c>
      <c r="G233" s="359">
        <f>'Func Future Lines 2015'!G233</f>
        <v>4325094.121115136</v>
      </c>
      <c r="H233" s="359" t="str">
        <f>'Func Future Lines 2015'!H233</f>
        <v>AltaLink</v>
      </c>
      <c r="I233" s="359">
        <f>'Func Future Lines 2015'!I233</f>
        <v>2015</v>
      </c>
      <c r="J233" s="361">
        <f>+IF($I233=J$3,VLOOKUP($H233,Depreciation!$A$6:$L$10,7,FALSE)/2,IF($I233&lt;J$3,VLOOKUP($H233,Depreciation!$A$6:$L$10,7,FALSE),0))</f>
        <v>1.595020804044691E-2</v>
      </c>
      <c r="K233" s="361">
        <f>+IF($I233=K$3,VLOOKUP($H233,Depreciation!$A$6:$L$10,8,FALSE)/2,IF($I233&lt;K$3,VLOOKUP($H233,Depreciation!$A$6:$L$10,8,FALSE),0))</f>
        <v>3.0676363676126896E-2</v>
      </c>
      <c r="L233" s="361">
        <f>+IF($I233=L$3,VLOOKUP($H233,Depreciation!$A$6:$L$10,9,FALSE)/2,IF($I233&lt;L$3,VLOOKUP($H233,Depreciation!$A$6:$L$10,9,FALSE),0))</f>
        <v>3.0676363676126896E-2</v>
      </c>
      <c r="M233" s="361">
        <f>+IF($I233=M$3,VLOOKUP($H233,Depreciation!$A$6:$L$10,10,FALSE)/2,IF($I233&lt;M$3,VLOOKUP($H233,Depreciation!$A$6:$L$10,10,FALSE),0))</f>
        <v>3.0676363676126896E-2</v>
      </c>
      <c r="N233" s="361">
        <f>+IF($I233=N$3,VLOOKUP($H233,Depreciation!$A$6:$L$10,11,FALSE)/2,IF($I233&lt;N$3,VLOOKUP($H233,Depreciation!$A$6:$L$10,11,FALSE),0))</f>
        <v>3.0676363676126896E-2</v>
      </c>
      <c r="O233" s="361">
        <f>+IF($I233=O$3,VLOOKUP($H233,Depreciation!$A$6:$L$10,12,FALSE)/2,IF($I233&lt;O$3,VLOOKUP($H233,Depreciation!$A$6:$L$10,12,FALSE),0))</f>
        <v>3.0676363676126896E-2</v>
      </c>
      <c r="P233" s="362">
        <f t="shared" si="11"/>
        <v>4125546.0541535285</v>
      </c>
      <c r="Q233" s="362">
        <f t="shared" si="12"/>
        <v>0</v>
      </c>
      <c r="R233" s="363">
        <f t="shared" si="13"/>
        <v>4125546.0541535285</v>
      </c>
    </row>
    <row r="234" spans="1:18">
      <c r="A234" s="359" t="str">
        <f>'Func Future Lines 2015'!A234</f>
        <v>PPS</v>
      </c>
      <c r="B234" s="359" t="str">
        <f>'Func Future Lines 2015'!B234</f>
        <v>line 893L stage 2</v>
      </c>
      <c r="C234" s="359">
        <f>'Func Future Lines 2015'!C234</f>
        <v>1343</v>
      </c>
      <c r="D234" s="359">
        <f>'Func Future Lines 2015'!D234</f>
        <v>138</v>
      </c>
      <c r="E234" s="359">
        <f>'Func Future Lines 2015'!E234</f>
        <v>0</v>
      </c>
      <c r="F234" s="359">
        <f>'Func Future Lines 2015'!F234</f>
        <v>0</v>
      </c>
      <c r="G234" s="359">
        <f>'Func Future Lines 2015'!G234</f>
        <v>57171.622130222037</v>
      </c>
      <c r="H234" s="359" t="str">
        <f>'Func Future Lines 2015'!H234</f>
        <v>AltaLink</v>
      </c>
      <c r="I234" s="359">
        <f>'Func Future Lines 2015'!I234</f>
        <v>2015</v>
      </c>
      <c r="J234" s="361">
        <f>+IF($I234=J$3,VLOOKUP($H234,Depreciation!$A$6:$L$10,7,FALSE)/2,IF($I234&lt;J$3,VLOOKUP($H234,Depreciation!$A$6:$L$10,7,FALSE),0))</f>
        <v>1.595020804044691E-2</v>
      </c>
      <c r="K234" s="361">
        <f>+IF($I234=K$3,VLOOKUP($H234,Depreciation!$A$6:$L$10,8,FALSE)/2,IF($I234&lt;K$3,VLOOKUP($H234,Depreciation!$A$6:$L$10,8,FALSE),0))</f>
        <v>3.0676363676126896E-2</v>
      </c>
      <c r="L234" s="361">
        <f>+IF($I234=L$3,VLOOKUP($H234,Depreciation!$A$6:$L$10,9,FALSE)/2,IF($I234&lt;L$3,VLOOKUP($H234,Depreciation!$A$6:$L$10,9,FALSE),0))</f>
        <v>3.0676363676126896E-2</v>
      </c>
      <c r="M234" s="361">
        <f>+IF($I234=M$3,VLOOKUP($H234,Depreciation!$A$6:$L$10,10,FALSE)/2,IF($I234&lt;M$3,VLOOKUP($H234,Depreciation!$A$6:$L$10,10,FALSE),0))</f>
        <v>3.0676363676126896E-2</v>
      </c>
      <c r="N234" s="361">
        <f>+IF($I234=N$3,VLOOKUP($H234,Depreciation!$A$6:$L$10,11,FALSE)/2,IF($I234&lt;N$3,VLOOKUP($H234,Depreciation!$A$6:$L$10,11,FALSE),0))</f>
        <v>3.0676363676126896E-2</v>
      </c>
      <c r="O234" s="361">
        <f>+IF($I234=O$3,VLOOKUP($H234,Depreciation!$A$6:$L$10,12,FALSE)/2,IF($I234&lt;O$3,VLOOKUP($H234,Depreciation!$A$6:$L$10,12,FALSE),0))</f>
        <v>3.0676363676126896E-2</v>
      </c>
      <c r="P234" s="362">
        <f t="shared" si="11"/>
        <v>54533.879144364459</v>
      </c>
      <c r="Q234" s="362">
        <f t="shared" si="12"/>
        <v>0</v>
      </c>
      <c r="R234" s="363">
        <f t="shared" si="13"/>
        <v>54533.879144364459</v>
      </c>
    </row>
    <row r="235" spans="1:18">
      <c r="A235" s="359" t="str">
        <f>'Func Future Lines 2015'!A235</f>
        <v>PPS</v>
      </c>
      <c r="B235" s="359" t="str">
        <f>'Func Future Lines 2015'!B235</f>
        <v>line 994L</v>
      </c>
      <c r="C235" s="359">
        <f>'Func Future Lines 2015'!C235</f>
        <v>1343</v>
      </c>
      <c r="D235" s="359">
        <f>'Func Future Lines 2015'!D235</f>
        <v>240</v>
      </c>
      <c r="E235" s="359">
        <f>'Func Future Lines 2015'!E235</f>
        <v>0</v>
      </c>
      <c r="F235" s="359">
        <f>'Func Future Lines 2015'!F235</f>
        <v>0</v>
      </c>
      <c r="G235" s="359">
        <f>'Func Future Lines 2015'!G235</f>
        <v>18544400.109492131</v>
      </c>
      <c r="H235" s="359" t="str">
        <f>'Func Future Lines 2015'!H235</f>
        <v>AltaLink</v>
      </c>
      <c r="I235" s="359">
        <f>'Func Future Lines 2015'!I235</f>
        <v>2015</v>
      </c>
      <c r="J235" s="361">
        <f>+IF($I235=J$3,VLOOKUP($H235,Depreciation!$A$6:$L$10,7,FALSE)/2,IF($I235&lt;J$3,VLOOKUP($H235,Depreciation!$A$6:$L$10,7,FALSE),0))</f>
        <v>1.595020804044691E-2</v>
      </c>
      <c r="K235" s="361">
        <f>+IF($I235=K$3,VLOOKUP($H235,Depreciation!$A$6:$L$10,8,FALSE)/2,IF($I235&lt;K$3,VLOOKUP($H235,Depreciation!$A$6:$L$10,8,FALSE),0))</f>
        <v>3.0676363676126896E-2</v>
      </c>
      <c r="L235" s="361">
        <f>+IF($I235=L$3,VLOOKUP($H235,Depreciation!$A$6:$L$10,9,FALSE)/2,IF($I235&lt;L$3,VLOOKUP($H235,Depreciation!$A$6:$L$10,9,FALSE),0))</f>
        <v>3.0676363676126896E-2</v>
      </c>
      <c r="M235" s="361">
        <f>+IF($I235=M$3,VLOOKUP($H235,Depreciation!$A$6:$L$10,10,FALSE)/2,IF($I235&lt;M$3,VLOOKUP($H235,Depreciation!$A$6:$L$10,10,FALSE),0))</f>
        <v>3.0676363676126896E-2</v>
      </c>
      <c r="N235" s="361">
        <f>+IF($I235=N$3,VLOOKUP($H235,Depreciation!$A$6:$L$10,11,FALSE)/2,IF($I235&lt;N$3,VLOOKUP($H235,Depreciation!$A$6:$L$10,11,FALSE),0))</f>
        <v>3.0676363676126896E-2</v>
      </c>
      <c r="O235" s="361">
        <f>+IF($I235=O$3,VLOOKUP($H235,Depreciation!$A$6:$L$10,12,FALSE)/2,IF($I235&lt;O$3,VLOOKUP($H235,Depreciation!$A$6:$L$10,12,FALSE),0))</f>
        <v>3.0676363676126896E-2</v>
      </c>
      <c r="P235" s="362">
        <f t="shared" si="11"/>
        <v>17688811.978647552</v>
      </c>
      <c r="Q235" s="362">
        <f t="shared" si="12"/>
        <v>17688811.978647552</v>
      </c>
      <c r="R235" s="363">
        <f t="shared" si="13"/>
        <v>0</v>
      </c>
    </row>
    <row r="236" spans="1:18">
      <c r="A236" s="359" t="str">
        <f>'Func Future Lines 2015'!A236</f>
        <v>PPS</v>
      </c>
      <c r="B236" s="359" t="str">
        <f>'Func Future Lines 2015'!B236</f>
        <v>Line 9L32</v>
      </c>
      <c r="C236" s="359">
        <f>'Func Future Lines 2015'!C236</f>
        <v>1348</v>
      </c>
      <c r="D236" s="359">
        <f>'Func Future Lines 2015'!D236</f>
        <v>240</v>
      </c>
      <c r="E236" s="359">
        <f>'Func Future Lines 2015'!E236</f>
        <v>0</v>
      </c>
      <c r="F236" s="359">
        <f>'Func Future Lines 2015'!F236</f>
        <v>0</v>
      </c>
      <c r="G236" s="359">
        <f>'Func Future Lines 2015'!G236</f>
        <v>1573745.900388991</v>
      </c>
      <c r="H236" s="359" t="str">
        <f>'Func Future Lines 2015'!H236</f>
        <v>ATCO</v>
      </c>
      <c r="I236" s="359">
        <f>'Func Future Lines 2015'!I236</f>
        <v>2016</v>
      </c>
      <c r="J236" s="361">
        <f>+IF($I236=J$3,VLOOKUP($H236,Depreciation!$A$6:$L$10,7,FALSE)/2,IF($I236&lt;J$3,VLOOKUP($H236,Depreciation!$A$6:$L$10,7,FALSE),0))</f>
        <v>0</v>
      </c>
      <c r="K236" s="361">
        <f>+IF($I236=K$3,VLOOKUP($H236,Depreciation!$A$6:$L$10,8,FALSE)/2,IF($I236&lt;K$3,VLOOKUP($H236,Depreciation!$A$6:$L$10,8,FALSE),0))</f>
        <v>1.1971929865503333E-2</v>
      </c>
      <c r="L236" s="361">
        <f>+IF($I236=L$3,VLOOKUP($H236,Depreciation!$A$6:$L$10,9,FALSE)/2,IF($I236&lt;L$3,VLOOKUP($H236,Depreciation!$A$6:$L$10,9,FALSE),0))</f>
        <v>2.4002037926855919E-2</v>
      </c>
      <c r="M236" s="361">
        <f>+IF($I236=M$3,VLOOKUP($H236,Depreciation!$A$6:$L$10,10,FALSE)/2,IF($I236&lt;M$3,VLOOKUP($H236,Depreciation!$A$6:$L$10,10,FALSE),0))</f>
        <v>2.4002037926855919E-2</v>
      </c>
      <c r="N236" s="361">
        <f>+IF($I236=N$3,VLOOKUP($H236,Depreciation!$A$6:$L$10,11,FALSE)/2,IF($I236&lt;N$3,VLOOKUP($H236,Depreciation!$A$6:$L$10,11,FALSE),0))</f>
        <v>2.4002037926855919E-2</v>
      </c>
      <c r="O236" s="361">
        <f>+IF($I236=O$3,VLOOKUP($H236,Depreciation!$A$6:$L$10,12,FALSE)/2,IF($I236&lt;O$3,VLOOKUP($H236,Depreciation!$A$6:$L$10,12,FALSE),0))</f>
        <v>2.4002037926855919E-2</v>
      </c>
      <c r="P236" s="362">
        <f t="shared" si="11"/>
        <v>1554905.1248434107</v>
      </c>
      <c r="Q236" s="362">
        <f t="shared" si="12"/>
        <v>1554905.1248434107</v>
      </c>
      <c r="R236" s="363">
        <f t="shared" si="13"/>
        <v>0</v>
      </c>
    </row>
    <row r="237" spans="1:18">
      <c r="A237" s="359" t="str">
        <f>'Func Future Lines 2015'!A237</f>
        <v>FINAL</v>
      </c>
      <c r="B237" s="359" t="str">
        <f>'Func Future Lines 2015'!B237</f>
        <v>732AL</v>
      </c>
      <c r="C237" s="359">
        <f>'Func Future Lines 2015'!C237</f>
        <v>1349</v>
      </c>
      <c r="D237" s="359">
        <f>'Func Future Lines 2015'!D237</f>
        <v>138</v>
      </c>
      <c r="E237" s="359">
        <f>'Func Future Lines 2015'!E237</f>
        <v>0</v>
      </c>
      <c r="F237" s="359" t="str">
        <f>'Func Future Lines 2015'!F237</f>
        <v>Wetaskiwin</v>
      </c>
      <c r="G237" s="359">
        <f>'Func Future Lines 2015'!G237</f>
        <v>696425.98546757339</v>
      </c>
      <c r="H237" s="359" t="str">
        <f>'Func Future Lines 2015'!H237</f>
        <v>AltaLink</v>
      </c>
      <c r="I237" s="359">
        <f>'Func Future Lines 2015'!I237</f>
        <v>2015</v>
      </c>
      <c r="J237" s="361">
        <f>+IF($I237=J$3,VLOOKUP($H237,Depreciation!$A$6:$L$10,7,FALSE)/2,IF($I237&lt;J$3,VLOOKUP($H237,Depreciation!$A$6:$L$10,7,FALSE),0))</f>
        <v>1.595020804044691E-2</v>
      </c>
      <c r="K237" s="361">
        <f>+IF($I237=K$3,VLOOKUP($H237,Depreciation!$A$6:$L$10,8,FALSE)/2,IF($I237&lt;K$3,VLOOKUP($H237,Depreciation!$A$6:$L$10,8,FALSE),0))</f>
        <v>3.0676363676126896E-2</v>
      </c>
      <c r="L237" s="361">
        <f>+IF($I237=L$3,VLOOKUP($H237,Depreciation!$A$6:$L$10,9,FALSE)/2,IF($I237&lt;L$3,VLOOKUP($H237,Depreciation!$A$6:$L$10,9,FALSE),0))</f>
        <v>3.0676363676126896E-2</v>
      </c>
      <c r="M237" s="361">
        <f>+IF($I237=M$3,VLOOKUP($H237,Depreciation!$A$6:$L$10,10,FALSE)/2,IF($I237&lt;M$3,VLOOKUP($H237,Depreciation!$A$6:$L$10,10,FALSE),0))</f>
        <v>3.0676363676126896E-2</v>
      </c>
      <c r="N237" s="361">
        <f>+IF($I237=N$3,VLOOKUP($H237,Depreciation!$A$6:$L$10,11,FALSE)/2,IF($I237&lt;N$3,VLOOKUP($H237,Depreciation!$A$6:$L$10,11,FALSE),0))</f>
        <v>3.0676363676126896E-2</v>
      </c>
      <c r="O237" s="361">
        <f>+IF($I237=O$3,VLOOKUP($H237,Depreciation!$A$6:$L$10,12,FALSE)/2,IF($I237&lt;O$3,VLOOKUP($H237,Depreciation!$A$6:$L$10,12,FALSE),0))</f>
        <v>3.0676363676126896E-2</v>
      </c>
      <c r="P237" s="362">
        <f t="shared" si="11"/>
        <v>664294.78663344122</v>
      </c>
      <c r="Q237" s="362">
        <f t="shared" si="12"/>
        <v>0</v>
      </c>
      <c r="R237" s="363">
        <f t="shared" si="13"/>
        <v>664294.78663344122</v>
      </c>
    </row>
    <row r="238" spans="1:18">
      <c r="A238" s="359" t="str">
        <f>'Func Future Lines 2015'!A238</f>
        <v>PPS</v>
      </c>
      <c r="B238" s="359" t="str">
        <f>'Func Future Lines 2015'!B238</f>
        <v>26.81L</v>
      </c>
      <c r="C238" s="359">
        <f>'Func Future Lines 2015'!C238</f>
        <v>1354</v>
      </c>
      <c r="D238" s="359">
        <f>'Func Future Lines 2015'!D238</f>
        <v>138</v>
      </c>
      <c r="E238" s="359">
        <f>'Func Future Lines 2015'!E238</f>
        <v>0</v>
      </c>
      <c r="F238" s="359" t="str">
        <f>'Func Future Lines 2015'!F238</f>
        <v>Calgary</v>
      </c>
      <c r="G238" s="359">
        <f>'Func Future Lines 2015'!G238</f>
        <v>5392.2554130521503</v>
      </c>
      <c r="H238" s="359" t="str">
        <f>'Func Future Lines 2015'!H238</f>
        <v>ENMAX</v>
      </c>
      <c r="I238" s="359">
        <f>'Func Future Lines 2015'!I238</f>
        <v>2017</v>
      </c>
      <c r="J238" s="361">
        <f>+IF($I238=J$3,VLOOKUP($H238,Depreciation!$A$6:$L$10,7,FALSE)/2,IF($I238&lt;J$3,VLOOKUP($H238,Depreciation!$A$6:$L$10,7,FALSE),0))</f>
        <v>0</v>
      </c>
      <c r="K238" s="361">
        <f>+IF($I238=K$3,VLOOKUP($H238,Depreciation!$A$6:$L$10,8,FALSE)/2,IF($I238&lt;K$3,VLOOKUP($H238,Depreciation!$A$6:$L$10,8,FALSE),0))</f>
        <v>0</v>
      </c>
      <c r="L238" s="361">
        <f>+IF($I238=L$3,VLOOKUP($H238,Depreciation!$A$6:$L$10,9,FALSE)/2,IF($I238&lt;L$3,VLOOKUP($H238,Depreciation!$A$6:$L$10,9,FALSE),0))</f>
        <v>1.3475179084025525E-2</v>
      </c>
      <c r="M238" s="361">
        <f>+IF($I238=M$3,VLOOKUP($H238,Depreciation!$A$6:$L$10,10,FALSE)/2,IF($I238&lt;M$3,VLOOKUP($H238,Depreciation!$A$6:$L$10,10,FALSE),0))</f>
        <v>2.6950358168051049E-2</v>
      </c>
      <c r="N238" s="361">
        <f>+IF($I238=N$3,VLOOKUP($H238,Depreciation!$A$6:$L$10,11,FALSE)/2,IF($I238&lt;N$3,VLOOKUP($H238,Depreciation!$A$6:$L$10,11,FALSE),0))</f>
        <v>2.6950358168051049E-2</v>
      </c>
      <c r="O238" s="361">
        <f>+IF($I238=O$3,VLOOKUP($H238,Depreciation!$A$6:$L$10,12,FALSE)/2,IF($I238&lt;O$3,VLOOKUP($H238,Depreciation!$A$6:$L$10,12,FALSE),0))</f>
        <v>2.6950358168051049E-2</v>
      </c>
      <c r="P238" s="362">
        <f t="shared" si="11"/>
        <v>0</v>
      </c>
      <c r="Q238" s="362">
        <f t="shared" si="12"/>
        <v>0</v>
      </c>
      <c r="R238" s="363">
        <f t="shared" si="13"/>
        <v>0</v>
      </c>
    </row>
    <row r="239" spans="1:18">
      <c r="A239" s="359" t="str">
        <f>'Func Future Lines 2015'!A239</f>
        <v>PPS</v>
      </c>
      <c r="B239" s="359" t="str">
        <f>'Func Future Lines 2015'!B239</f>
        <v>41.84L</v>
      </c>
      <c r="C239" s="359">
        <f>'Func Future Lines 2015'!C239</f>
        <v>1354</v>
      </c>
      <c r="D239" s="359">
        <f>'Func Future Lines 2015'!D239</f>
        <v>138</v>
      </c>
      <c r="E239" s="359">
        <f>'Func Future Lines 2015'!E239</f>
        <v>0</v>
      </c>
      <c r="F239" s="359" t="str">
        <f>'Func Future Lines 2015'!F239</f>
        <v>Calgary</v>
      </c>
      <c r="G239" s="359">
        <f>'Func Future Lines 2015'!G239</f>
        <v>10940358.319965452</v>
      </c>
      <c r="H239" s="359" t="str">
        <f>'Func Future Lines 2015'!H239</f>
        <v>ENMAX</v>
      </c>
      <c r="I239" s="359">
        <f>'Func Future Lines 2015'!I239</f>
        <v>2017</v>
      </c>
      <c r="J239" s="361">
        <f>+IF($I239=J$3,VLOOKUP($H239,Depreciation!$A$6:$L$10,7,FALSE)/2,IF($I239&lt;J$3,VLOOKUP($H239,Depreciation!$A$6:$L$10,7,FALSE),0))</f>
        <v>0</v>
      </c>
      <c r="K239" s="361">
        <f>+IF($I239=K$3,VLOOKUP($H239,Depreciation!$A$6:$L$10,8,FALSE)/2,IF($I239&lt;K$3,VLOOKUP($H239,Depreciation!$A$6:$L$10,8,FALSE),0))</f>
        <v>0</v>
      </c>
      <c r="L239" s="361">
        <f>+IF($I239=L$3,VLOOKUP($H239,Depreciation!$A$6:$L$10,9,FALSE)/2,IF($I239&lt;L$3,VLOOKUP($H239,Depreciation!$A$6:$L$10,9,FALSE),0))</f>
        <v>1.3475179084025525E-2</v>
      </c>
      <c r="M239" s="361">
        <f>+IF($I239=M$3,VLOOKUP($H239,Depreciation!$A$6:$L$10,10,FALSE)/2,IF($I239&lt;M$3,VLOOKUP($H239,Depreciation!$A$6:$L$10,10,FALSE),0))</f>
        <v>2.6950358168051049E-2</v>
      </c>
      <c r="N239" s="361">
        <f>+IF($I239=N$3,VLOOKUP($H239,Depreciation!$A$6:$L$10,11,FALSE)/2,IF($I239&lt;N$3,VLOOKUP($H239,Depreciation!$A$6:$L$10,11,FALSE),0))</f>
        <v>2.6950358168051049E-2</v>
      </c>
      <c r="O239" s="361">
        <f>+IF($I239=O$3,VLOOKUP($H239,Depreciation!$A$6:$L$10,12,FALSE)/2,IF($I239&lt;O$3,VLOOKUP($H239,Depreciation!$A$6:$L$10,12,FALSE),0))</f>
        <v>2.6950358168051049E-2</v>
      </c>
      <c r="P239" s="362">
        <f t="shared" si="11"/>
        <v>0</v>
      </c>
      <c r="Q239" s="362">
        <f t="shared" si="12"/>
        <v>0</v>
      </c>
      <c r="R239" s="363">
        <f t="shared" si="13"/>
        <v>0</v>
      </c>
    </row>
    <row r="240" spans="1:18">
      <c r="A240" s="359" t="str">
        <f>'Func Future Lines 2015'!A240</f>
        <v>PPS</v>
      </c>
      <c r="B240" s="359" t="str">
        <f>'Func Future Lines 2015'!B240</f>
        <v>54.81L</v>
      </c>
      <c r="C240" s="359">
        <f>'Func Future Lines 2015'!C240</f>
        <v>1354</v>
      </c>
      <c r="D240" s="359">
        <f>'Func Future Lines 2015'!D240</f>
        <v>138</v>
      </c>
      <c r="E240" s="359">
        <f>'Func Future Lines 2015'!E240</f>
        <v>0</v>
      </c>
      <c r="F240" s="359" t="str">
        <f>'Func Future Lines 2015'!F240</f>
        <v>Calgary</v>
      </c>
      <c r="G240" s="359">
        <f>'Func Future Lines 2015'!G240</f>
        <v>9176948.6694427244</v>
      </c>
      <c r="H240" s="359" t="str">
        <f>'Func Future Lines 2015'!H240</f>
        <v>ENMAX</v>
      </c>
      <c r="I240" s="359">
        <f>'Func Future Lines 2015'!I240</f>
        <v>2017</v>
      </c>
      <c r="J240" s="361">
        <f>+IF($I240=J$3,VLOOKUP($H240,Depreciation!$A$6:$L$10,7,FALSE)/2,IF($I240&lt;J$3,VLOOKUP($H240,Depreciation!$A$6:$L$10,7,FALSE),0))</f>
        <v>0</v>
      </c>
      <c r="K240" s="361">
        <f>+IF($I240=K$3,VLOOKUP($H240,Depreciation!$A$6:$L$10,8,FALSE)/2,IF($I240&lt;K$3,VLOOKUP($H240,Depreciation!$A$6:$L$10,8,FALSE),0))</f>
        <v>0</v>
      </c>
      <c r="L240" s="361">
        <f>+IF($I240=L$3,VLOOKUP($H240,Depreciation!$A$6:$L$10,9,FALSE)/2,IF($I240&lt;L$3,VLOOKUP($H240,Depreciation!$A$6:$L$10,9,FALSE),0))</f>
        <v>1.3475179084025525E-2</v>
      </c>
      <c r="M240" s="361">
        <f>+IF($I240=M$3,VLOOKUP($H240,Depreciation!$A$6:$L$10,10,FALSE)/2,IF($I240&lt;M$3,VLOOKUP($H240,Depreciation!$A$6:$L$10,10,FALSE),0))</f>
        <v>2.6950358168051049E-2</v>
      </c>
      <c r="N240" s="361">
        <f>+IF($I240=N$3,VLOOKUP($H240,Depreciation!$A$6:$L$10,11,FALSE)/2,IF($I240&lt;N$3,VLOOKUP($H240,Depreciation!$A$6:$L$10,11,FALSE),0))</f>
        <v>2.6950358168051049E-2</v>
      </c>
      <c r="O240" s="361">
        <f>+IF($I240=O$3,VLOOKUP($H240,Depreciation!$A$6:$L$10,12,FALSE)/2,IF($I240&lt;O$3,VLOOKUP($H240,Depreciation!$A$6:$L$10,12,FALSE),0))</f>
        <v>2.6950358168051049E-2</v>
      </c>
      <c r="P240" s="362">
        <f t="shared" si="11"/>
        <v>0</v>
      </c>
      <c r="Q240" s="362">
        <f t="shared" si="12"/>
        <v>0</v>
      </c>
      <c r="R240" s="363">
        <f t="shared" si="13"/>
        <v>0</v>
      </c>
    </row>
    <row r="241" spans="1:18">
      <c r="A241" s="359" t="str">
        <f>'Func Future Lines 2015'!A241</f>
        <v>NID</v>
      </c>
      <c r="B241" s="359" t="str">
        <f>'Func Future Lines 2015'!B241</f>
        <v>807L 138kV 1km_(Alt3)</v>
      </c>
      <c r="C241" s="359">
        <f>'Func Future Lines 2015'!C241</f>
        <v>1381</v>
      </c>
      <c r="D241" s="359">
        <f>'Func Future Lines 2015'!D241</f>
        <v>138</v>
      </c>
      <c r="E241" s="359">
        <f>'Func Future Lines 2015'!E241</f>
        <v>0</v>
      </c>
      <c r="F241" s="359" t="str">
        <f>'Func Future Lines 2015'!F241</f>
        <v>Fort_Saskatchewan</v>
      </c>
      <c r="G241" s="359">
        <f>'Func Future Lines 2015'!G241</f>
        <v>2854379.6561085959</v>
      </c>
      <c r="H241" s="359" t="str">
        <f>'Func Future Lines 2015'!H241</f>
        <v>AltaLink</v>
      </c>
      <c r="I241" s="359">
        <f>'Func Future Lines 2015'!I241</f>
        <v>2019</v>
      </c>
      <c r="J241" s="361">
        <f>+IF($I241=J$3,VLOOKUP($H241,Depreciation!$A$6:$L$10,7,FALSE)/2,IF($I241&lt;J$3,VLOOKUP($H241,Depreciation!$A$6:$L$10,7,FALSE),0))</f>
        <v>0</v>
      </c>
      <c r="K241" s="361">
        <f>+IF($I241=K$3,VLOOKUP($H241,Depreciation!$A$6:$L$10,8,FALSE)/2,IF($I241&lt;K$3,VLOOKUP($H241,Depreciation!$A$6:$L$10,8,FALSE),0))</f>
        <v>0</v>
      </c>
      <c r="L241" s="361">
        <f>+IF($I241=L$3,VLOOKUP($H241,Depreciation!$A$6:$L$10,9,FALSE)/2,IF($I241&lt;L$3,VLOOKUP($H241,Depreciation!$A$6:$L$10,9,FALSE),0))</f>
        <v>0</v>
      </c>
      <c r="M241" s="361">
        <f>+IF($I241=M$3,VLOOKUP($H241,Depreciation!$A$6:$L$10,10,FALSE)/2,IF($I241&lt;M$3,VLOOKUP($H241,Depreciation!$A$6:$L$10,10,FALSE),0))</f>
        <v>0</v>
      </c>
      <c r="N241" s="361">
        <f>+IF($I241=N$3,VLOOKUP($H241,Depreciation!$A$6:$L$10,11,FALSE)/2,IF($I241&lt;N$3,VLOOKUP($H241,Depreciation!$A$6:$L$10,11,FALSE),0))</f>
        <v>1.5338181838063448E-2</v>
      </c>
      <c r="O241" s="361">
        <f>+IF($I241=O$3,VLOOKUP($H241,Depreciation!$A$6:$L$10,12,FALSE)/2,IF($I241&lt;O$3,VLOOKUP($H241,Depreciation!$A$6:$L$10,12,FALSE),0))</f>
        <v>3.0676363676126896E-2</v>
      </c>
      <c r="P241" s="362">
        <f t="shared" si="11"/>
        <v>0</v>
      </c>
      <c r="Q241" s="362">
        <f t="shared" si="12"/>
        <v>0</v>
      </c>
      <c r="R241" s="363">
        <f t="shared" si="13"/>
        <v>0</v>
      </c>
    </row>
    <row r="242" spans="1:18">
      <c r="A242" s="359" t="str">
        <f>'Func Future Lines 2015'!A242</f>
        <v>NID</v>
      </c>
      <c r="B242" s="359" t="str">
        <f>'Func Future Lines 2015'!B242</f>
        <v>942L 240kV in/out 0.5km_(Alt3)</v>
      </c>
      <c r="C242" s="359">
        <f>'Func Future Lines 2015'!C242</f>
        <v>1381</v>
      </c>
      <c r="D242" s="359">
        <f>'Func Future Lines 2015'!D242</f>
        <v>240</v>
      </c>
      <c r="E242" s="359">
        <f>'Func Future Lines 2015'!E242</f>
        <v>0</v>
      </c>
      <c r="F242" s="359" t="str">
        <f>'Func Future Lines 2015'!F242</f>
        <v>Fort_Saskatchewan</v>
      </c>
      <c r="G242" s="359">
        <f>'Func Future Lines 2015'!G242</f>
        <v>534701.55370326247</v>
      </c>
      <c r="H242" s="359" t="str">
        <f>'Func Future Lines 2015'!H242</f>
        <v>AltaLink</v>
      </c>
      <c r="I242" s="359">
        <f>'Func Future Lines 2015'!I242</f>
        <v>2019</v>
      </c>
      <c r="J242" s="361">
        <f>+IF($I242=J$3,VLOOKUP($H242,Depreciation!$A$6:$L$10,7,FALSE)/2,IF($I242&lt;J$3,VLOOKUP($H242,Depreciation!$A$6:$L$10,7,FALSE),0))</f>
        <v>0</v>
      </c>
      <c r="K242" s="361">
        <f>+IF($I242=K$3,VLOOKUP($H242,Depreciation!$A$6:$L$10,8,FALSE)/2,IF($I242&lt;K$3,VLOOKUP($H242,Depreciation!$A$6:$L$10,8,FALSE),0))</f>
        <v>0</v>
      </c>
      <c r="L242" s="361">
        <f>+IF($I242=L$3,VLOOKUP($H242,Depreciation!$A$6:$L$10,9,FALSE)/2,IF($I242&lt;L$3,VLOOKUP($H242,Depreciation!$A$6:$L$10,9,FALSE),0))</f>
        <v>0</v>
      </c>
      <c r="M242" s="361">
        <f>+IF($I242=M$3,VLOOKUP($H242,Depreciation!$A$6:$L$10,10,FALSE)/2,IF($I242&lt;M$3,VLOOKUP($H242,Depreciation!$A$6:$L$10,10,FALSE),0))</f>
        <v>0</v>
      </c>
      <c r="N242" s="361">
        <f>+IF($I242=N$3,VLOOKUP($H242,Depreciation!$A$6:$L$10,11,FALSE)/2,IF($I242&lt;N$3,VLOOKUP($H242,Depreciation!$A$6:$L$10,11,FALSE),0))</f>
        <v>1.5338181838063448E-2</v>
      </c>
      <c r="O242" s="361">
        <f>+IF($I242=O$3,VLOOKUP($H242,Depreciation!$A$6:$L$10,12,FALSE)/2,IF($I242&lt;O$3,VLOOKUP($H242,Depreciation!$A$6:$L$10,12,FALSE),0))</f>
        <v>3.0676363676126896E-2</v>
      </c>
      <c r="P242" s="362">
        <f t="shared" si="11"/>
        <v>0</v>
      </c>
      <c r="Q242" s="362">
        <f t="shared" si="12"/>
        <v>0</v>
      </c>
      <c r="R242" s="363">
        <f t="shared" si="13"/>
        <v>0</v>
      </c>
    </row>
    <row r="243" spans="1:18">
      <c r="A243" s="359" t="str">
        <f>'Func Future Lines 2015'!A243</f>
        <v>PPS</v>
      </c>
      <c r="B243" s="359" t="str">
        <f>'Func Future Lines 2015'!B243</f>
        <v>971AL</v>
      </c>
      <c r="C243" s="359">
        <f>'Func Future Lines 2015'!C243</f>
        <v>1404</v>
      </c>
      <c r="D243" s="359">
        <f>'Func Future Lines 2015'!D243</f>
        <v>240</v>
      </c>
      <c r="E243" s="359">
        <f>'Func Future Lines 2015'!E243</f>
        <v>0</v>
      </c>
      <c r="F243" s="359" t="str">
        <f>'Func Future Lines 2015'!F243</f>
        <v>Fort McMurray</v>
      </c>
      <c r="G243" s="359">
        <f>'Func Future Lines 2015'!G243</f>
        <v>33123608.699931756</v>
      </c>
      <c r="H243" s="359" t="str">
        <f>'Func Future Lines 2015'!H243</f>
        <v>AltaLink</v>
      </c>
      <c r="I243" s="359">
        <f>'Func Future Lines 2015'!I243</f>
        <v>2017</v>
      </c>
      <c r="J243" s="361">
        <f>+IF($I243=J$3,VLOOKUP($H243,Depreciation!$A$6:$L$10,7,FALSE)/2,IF($I243&lt;J$3,VLOOKUP($H243,Depreciation!$A$6:$L$10,7,FALSE),0))</f>
        <v>0</v>
      </c>
      <c r="K243" s="361">
        <f>+IF($I243=K$3,VLOOKUP($H243,Depreciation!$A$6:$L$10,8,FALSE)/2,IF($I243&lt;K$3,VLOOKUP($H243,Depreciation!$A$6:$L$10,8,FALSE),0))</f>
        <v>0</v>
      </c>
      <c r="L243" s="361">
        <f>+IF($I243=L$3,VLOOKUP($H243,Depreciation!$A$6:$L$10,9,FALSE)/2,IF($I243&lt;L$3,VLOOKUP($H243,Depreciation!$A$6:$L$10,9,FALSE),0))</f>
        <v>1.5338181838063448E-2</v>
      </c>
      <c r="M243" s="361">
        <f>+IF($I243=M$3,VLOOKUP($H243,Depreciation!$A$6:$L$10,10,FALSE)/2,IF($I243&lt;M$3,VLOOKUP($H243,Depreciation!$A$6:$L$10,10,FALSE),0))</f>
        <v>3.0676363676126896E-2</v>
      </c>
      <c r="N243" s="361">
        <f>+IF($I243=N$3,VLOOKUP($H243,Depreciation!$A$6:$L$10,11,FALSE)/2,IF($I243&lt;N$3,VLOOKUP($H243,Depreciation!$A$6:$L$10,11,FALSE),0))</f>
        <v>3.0676363676126896E-2</v>
      </c>
      <c r="O243" s="361">
        <f>+IF($I243=O$3,VLOOKUP($H243,Depreciation!$A$6:$L$10,12,FALSE)/2,IF($I243&lt;O$3,VLOOKUP($H243,Depreciation!$A$6:$L$10,12,FALSE),0))</f>
        <v>3.0676363676126896E-2</v>
      </c>
      <c r="P243" s="362">
        <f t="shared" si="11"/>
        <v>0</v>
      </c>
      <c r="Q243" s="362">
        <f t="shared" si="12"/>
        <v>0</v>
      </c>
      <c r="R243" s="363">
        <f t="shared" si="13"/>
        <v>0</v>
      </c>
    </row>
    <row r="244" spans="1:18">
      <c r="A244" s="359" t="str">
        <f>'Func Future Lines 2015'!A244</f>
        <v>PPS</v>
      </c>
      <c r="B244" s="359" t="str">
        <f>'Func Future Lines 2015'!B244</f>
        <v>New 50m 144kV s/c  line 7LB65</v>
      </c>
      <c r="C244" s="359">
        <f>'Func Future Lines 2015'!C244</f>
        <v>1410</v>
      </c>
      <c r="D244" s="359">
        <f>'Func Future Lines 2015'!D244</f>
        <v>144</v>
      </c>
      <c r="E244" s="359">
        <f>'Func Future Lines 2015'!E244</f>
        <v>0</v>
      </c>
      <c r="F244" s="359" t="str">
        <f>'Func Future Lines 2015'!F244</f>
        <v>central</v>
      </c>
      <c r="G244" s="359">
        <f>'Func Future Lines 2015'!G244</f>
        <v>1252661.4598423878</v>
      </c>
      <c r="H244" s="359" t="str">
        <f>'Func Future Lines 2015'!H244</f>
        <v>ATCO</v>
      </c>
      <c r="I244" s="359">
        <f>'Func Future Lines 2015'!I244</f>
        <v>2017</v>
      </c>
      <c r="J244" s="361">
        <f>+IF($I244=J$3,VLOOKUP($H244,Depreciation!$A$6:$L$10,7,FALSE)/2,IF($I244&lt;J$3,VLOOKUP($H244,Depreciation!$A$6:$L$10,7,FALSE),0))</f>
        <v>0</v>
      </c>
      <c r="K244" s="361">
        <f>+IF($I244=K$3,VLOOKUP($H244,Depreciation!$A$6:$L$10,8,FALSE)/2,IF($I244&lt;K$3,VLOOKUP($H244,Depreciation!$A$6:$L$10,8,FALSE),0))</f>
        <v>0</v>
      </c>
      <c r="L244" s="361">
        <f>+IF($I244=L$3,VLOOKUP($H244,Depreciation!$A$6:$L$10,9,FALSE)/2,IF($I244&lt;L$3,VLOOKUP($H244,Depreciation!$A$6:$L$10,9,FALSE),0))</f>
        <v>1.2001018963427959E-2</v>
      </c>
      <c r="M244" s="361">
        <f>+IF($I244=M$3,VLOOKUP($H244,Depreciation!$A$6:$L$10,10,FALSE)/2,IF($I244&lt;M$3,VLOOKUP($H244,Depreciation!$A$6:$L$10,10,FALSE),0))</f>
        <v>2.4002037926855919E-2</v>
      </c>
      <c r="N244" s="361">
        <f>+IF($I244=N$3,VLOOKUP($H244,Depreciation!$A$6:$L$10,11,FALSE)/2,IF($I244&lt;N$3,VLOOKUP($H244,Depreciation!$A$6:$L$10,11,FALSE),0))</f>
        <v>2.4002037926855919E-2</v>
      </c>
      <c r="O244" s="361">
        <f>+IF($I244=O$3,VLOOKUP($H244,Depreciation!$A$6:$L$10,12,FALSE)/2,IF($I244&lt;O$3,VLOOKUP($H244,Depreciation!$A$6:$L$10,12,FALSE),0))</f>
        <v>2.4002037926855919E-2</v>
      </c>
      <c r="P244" s="362">
        <f t="shared" si="11"/>
        <v>0</v>
      </c>
      <c r="Q244" s="362">
        <f t="shared" si="12"/>
        <v>0</v>
      </c>
      <c r="R244" s="363">
        <f t="shared" si="13"/>
        <v>0</v>
      </c>
    </row>
    <row r="245" spans="1:18">
      <c r="A245" s="359" t="str">
        <f>'Func Future Lines 2015'!A245</f>
        <v>PPS</v>
      </c>
      <c r="B245" s="359" t="str">
        <f>'Func Future Lines 2015'!B245</f>
        <v>Phase1 1120L</v>
      </c>
      <c r="C245" s="359">
        <f>'Func Future Lines 2015'!C245</f>
        <v>1421</v>
      </c>
      <c r="D245" s="359">
        <f>'Func Future Lines 2015'!D245</f>
        <v>240</v>
      </c>
      <c r="E245" s="359">
        <f>'Func Future Lines 2015'!E245</f>
        <v>0</v>
      </c>
      <c r="F245" s="359" t="str">
        <f>'Func Future Lines 2015'!F245</f>
        <v>Fort_Saskatchewan</v>
      </c>
      <c r="G245" s="359">
        <f>'Func Future Lines 2015'!G245</f>
        <v>539203.14735113864</v>
      </c>
      <c r="H245" s="359" t="str">
        <f>'Func Future Lines 2015'!H245</f>
        <v>AltaLink</v>
      </c>
      <c r="I245" s="359">
        <f>'Func Future Lines 2015'!I245</f>
        <v>2019</v>
      </c>
      <c r="J245" s="361">
        <f>+IF($I245=J$3,VLOOKUP($H245,Depreciation!$A$6:$L$10,7,FALSE)/2,IF($I245&lt;J$3,VLOOKUP($H245,Depreciation!$A$6:$L$10,7,FALSE),0))</f>
        <v>0</v>
      </c>
      <c r="K245" s="361">
        <f>+IF($I245=K$3,VLOOKUP($H245,Depreciation!$A$6:$L$10,8,FALSE)/2,IF($I245&lt;K$3,VLOOKUP($H245,Depreciation!$A$6:$L$10,8,FALSE),0))</f>
        <v>0</v>
      </c>
      <c r="L245" s="361">
        <f>+IF($I245=L$3,VLOOKUP($H245,Depreciation!$A$6:$L$10,9,FALSE)/2,IF($I245&lt;L$3,VLOOKUP($H245,Depreciation!$A$6:$L$10,9,FALSE),0))</f>
        <v>0</v>
      </c>
      <c r="M245" s="361">
        <f>+IF($I245=M$3,VLOOKUP($H245,Depreciation!$A$6:$L$10,10,FALSE)/2,IF($I245&lt;M$3,VLOOKUP($H245,Depreciation!$A$6:$L$10,10,FALSE),0))</f>
        <v>0</v>
      </c>
      <c r="N245" s="361">
        <f>+IF($I245=N$3,VLOOKUP($H245,Depreciation!$A$6:$L$10,11,FALSE)/2,IF($I245&lt;N$3,VLOOKUP($H245,Depreciation!$A$6:$L$10,11,FALSE),0))</f>
        <v>1.5338181838063448E-2</v>
      </c>
      <c r="O245" s="361">
        <f>+IF($I245=O$3,VLOOKUP($H245,Depreciation!$A$6:$L$10,12,FALSE)/2,IF($I245&lt;O$3,VLOOKUP($H245,Depreciation!$A$6:$L$10,12,FALSE),0))</f>
        <v>3.0676363676126896E-2</v>
      </c>
      <c r="P245" s="362">
        <f t="shared" si="11"/>
        <v>0</v>
      </c>
      <c r="Q245" s="362">
        <f t="shared" si="12"/>
        <v>0</v>
      </c>
      <c r="R245" s="363">
        <f t="shared" si="13"/>
        <v>0</v>
      </c>
    </row>
    <row r="246" spans="1:18">
      <c r="A246" s="359" t="str">
        <f>'Func Future Lines 2015'!A246</f>
        <v>PPS</v>
      </c>
      <c r="B246" s="359" t="str">
        <f>'Func Future Lines 2015'!B246</f>
        <v>Phase1 1181L</v>
      </c>
      <c r="C246" s="359">
        <f>'Func Future Lines 2015'!C246</f>
        <v>1421</v>
      </c>
      <c r="D246" s="359">
        <f>'Func Future Lines 2015'!D246</f>
        <v>240</v>
      </c>
      <c r="E246" s="359">
        <f>'Func Future Lines 2015'!E246</f>
        <v>0</v>
      </c>
      <c r="F246" s="359" t="str">
        <f>'Func Future Lines 2015'!F246</f>
        <v>Fort_Saskatchewan</v>
      </c>
      <c r="G246" s="359">
        <f>'Func Future Lines 2015'!G246</f>
        <v>19967023.256146636</v>
      </c>
      <c r="H246" s="359" t="str">
        <f>'Func Future Lines 2015'!H246</f>
        <v>AltaLink</v>
      </c>
      <c r="I246" s="359">
        <f>'Func Future Lines 2015'!I246</f>
        <v>2019</v>
      </c>
      <c r="J246" s="361">
        <f>+IF($I246=J$3,VLOOKUP($H246,Depreciation!$A$6:$L$10,7,FALSE)/2,IF($I246&lt;J$3,VLOOKUP($H246,Depreciation!$A$6:$L$10,7,FALSE),0))</f>
        <v>0</v>
      </c>
      <c r="K246" s="361">
        <f>+IF($I246=K$3,VLOOKUP($H246,Depreciation!$A$6:$L$10,8,FALSE)/2,IF($I246&lt;K$3,VLOOKUP($H246,Depreciation!$A$6:$L$10,8,FALSE),0))</f>
        <v>0</v>
      </c>
      <c r="L246" s="361">
        <f>+IF($I246=L$3,VLOOKUP($H246,Depreciation!$A$6:$L$10,9,FALSE)/2,IF($I246&lt;L$3,VLOOKUP($H246,Depreciation!$A$6:$L$10,9,FALSE),0))</f>
        <v>0</v>
      </c>
      <c r="M246" s="361">
        <f>+IF($I246=M$3,VLOOKUP($H246,Depreciation!$A$6:$L$10,10,FALSE)/2,IF($I246&lt;M$3,VLOOKUP($H246,Depreciation!$A$6:$L$10,10,FALSE),0))</f>
        <v>0</v>
      </c>
      <c r="N246" s="361">
        <f>+IF($I246=N$3,VLOOKUP($H246,Depreciation!$A$6:$L$10,11,FALSE)/2,IF($I246&lt;N$3,VLOOKUP($H246,Depreciation!$A$6:$L$10,11,FALSE),0))</f>
        <v>1.5338181838063448E-2</v>
      </c>
      <c r="O246" s="361">
        <f>+IF($I246=O$3,VLOOKUP($H246,Depreciation!$A$6:$L$10,12,FALSE)/2,IF($I246&lt;O$3,VLOOKUP($H246,Depreciation!$A$6:$L$10,12,FALSE),0))</f>
        <v>3.0676363676126896E-2</v>
      </c>
      <c r="P246" s="362">
        <f t="shared" si="11"/>
        <v>0</v>
      </c>
      <c r="Q246" s="362">
        <f t="shared" si="12"/>
        <v>0</v>
      </c>
      <c r="R246" s="363">
        <f t="shared" si="13"/>
        <v>0</v>
      </c>
    </row>
    <row r="247" spans="1:18">
      <c r="A247" s="359" t="str">
        <f>'Func Future Lines 2015'!A247</f>
        <v>PPS</v>
      </c>
      <c r="B247" s="359" t="str">
        <f>'Func Future Lines 2015'!B247</f>
        <v>Phase1 807L</v>
      </c>
      <c r="C247" s="359">
        <f>'Func Future Lines 2015'!C247</f>
        <v>1421</v>
      </c>
      <c r="D247" s="359">
        <f>'Func Future Lines 2015'!D247</f>
        <v>240</v>
      </c>
      <c r="E247" s="359">
        <f>'Func Future Lines 2015'!E247</f>
        <v>0</v>
      </c>
      <c r="F247" s="359" t="str">
        <f>'Func Future Lines 2015'!F247</f>
        <v>Fort_Saskatchewan</v>
      </c>
      <c r="G247" s="359">
        <f>'Func Future Lines 2015'!G247</f>
        <v>499439.58032038546</v>
      </c>
      <c r="H247" s="359" t="str">
        <f>'Func Future Lines 2015'!H247</f>
        <v>AltaLink</v>
      </c>
      <c r="I247" s="359">
        <f>'Func Future Lines 2015'!I247</f>
        <v>2019</v>
      </c>
      <c r="J247" s="361">
        <f>+IF($I247=J$3,VLOOKUP($H247,Depreciation!$A$6:$L$10,7,FALSE)/2,IF($I247&lt;J$3,VLOOKUP($H247,Depreciation!$A$6:$L$10,7,FALSE),0))</f>
        <v>0</v>
      </c>
      <c r="K247" s="361">
        <f>+IF($I247=K$3,VLOOKUP($H247,Depreciation!$A$6:$L$10,8,FALSE)/2,IF($I247&lt;K$3,VLOOKUP($H247,Depreciation!$A$6:$L$10,8,FALSE),0))</f>
        <v>0</v>
      </c>
      <c r="L247" s="361">
        <f>+IF($I247=L$3,VLOOKUP($H247,Depreciation!$A$6:$L$10,9,FALSE)/2,IF($I247&lt;L$3,VLOOKUP($H247,Depreciation!$A$6:$L$10,9,FALSE),0))</f>
        <v>0</v>
      </c>
      <c r="M247" s="361">
        <f>+IF($I247=M$3,VLOOKUP($H247,Depreciation!$A$6:$L$10,10,FALSE)/2,IF($I247&lt;M$3,VLOOKUP($H247,Depreciation!$A$6:$L$10,10,FALSE),0))</f>
        <v>0</v>
      </c>
      <c r="N247" s="361">
        <f>+IF($I247=N$3,VLOOKUP($H247,Depreciation!$A$6:$L$10,11,FALSE)/2,IF($I247&lt;N$3,VLOOKUP($H247,Depreciation!$A$6:$L$10,11,FALSE),0))</f>
        <v>1.5338181838063448E-2</v>
      </c>
      <c r="O247" s="361">
        <f>+IF($I247=O$3,VLOOKUP($H247,Depreciation!$A$6:$L$10,12,FALSE)/2,IF($I247&lt;O$3,VLOOKUP($H247,Depreciation!$A$6:$L$10,12,FALSE),0))</f>
        <v>3.0676363676126896E-2</v>
      </c>
      <c r="P247" s="362">
        <f t="shared" si="11"/>
        <v>0</v>
      </c>
      <c r="Q247" s="362">
        <f t="shared" si="12"/>
        <v>0</v>
      </c>
      <c r="R247" s="363">
        <f t="shared" si="13"/>
        <v>0</v>
      </c>
    </row>
    <row r="248" spans="1:18">
      <c r="A248" s="359" t="str">
        <f>'Func Future Lines 2015'!A248</f>
        <v>PPS</v>
      </c>
      <c r="B248" s="359" t="str">
        <f>'Func Future Lines 2015'!B248</f>
        <v>Phase1 856L/776L/857L</v>
      </c>
      <c r="C248" s="359">
        <f>'Func Future Lines 2015'!C248</f>
        <v>1421</v>
      </c>
      <c r="D248" s="359">
        <f>'Func Future Lines 2015'!D248</f>
        <v>240</v>
      </c>
      <c r="E248" s="359">
        <f>'Func Future Lines 2015'!E248</f>
        <v>0</v>
      </c>
      <c r="F248" s="359" t="str">
        <f>'Func Future Lines 2015'!F248</f>
        <v>Fort_Saskatchewan</v>
      </c>
      <c r="G248" s="359">
        <f>'Func Future Lines 2015'!G248</f>
        <v>152011.1100611416</v>
      </c>
      <c r="H248" s="359" t="str">
        <f>'Func Future Lines 2015'!H248</f>
        <v>AltaLink</v>
      </c>
      <c r="I248" s="359">
        <f>'Func Future Lines 2015'!I248</f>
        <v>2019</v>
      </c>
      <c r="J248" s="361">
        <f>+IF($I248=J$3,VLOOKUP($H248,Depreciation!$A$6:$L$10,7,FALSE)/2,IF($I248&lt;J$3,VLOOKUP($H248,Depreciation!$A$6:$L$10,7,FALSE),0))</f>
        <v>0</v>
      </c>
      <c r="K248" s="361">
        <f>+IF($I248=K$3,VLOOKUP($H248,Depreciation!$A$6:$L$10,8,FALSE)/2,IF($I248&lt;K$3,VLOOKUP($H248,Depreciation!$A$6:$L$10,8,FALSE),0))</f>
        <v>0</v>
      </c>
      <c r="L248" s="361">
        <f>+IF($I248=L$3,VLOOKUP($H248,Depreciation!$A$6:$L$10,9,FALSE)/2,IF($I248&lt;L$3,VLOOKUP($H248,Depreciation!$A$6:$L$10,9,FALSE),0))</f>
        <v>0</v>
      </c>
      <c r="M248" s="361">
        <f>+IF($I248=M$3,VLOOKUP($H248,Depreciation!$A$6:$L$10,10,FALSE)/2,IF($I248&lt;M$3,VLOOKUP($H248,Depreciation!$A$6:$L$10,10,FALSE),0))</f>
        <v>0</v>
      </c>
      <c r="N248" s="361">
        <f>+IF($I248=N$3,VLOOKUP($H248,Depreciation!$A$6:$L$10,11,FALSE)/2,IF($I248&lt;N$3,VLOOKUP($H248,Depreciation!$A$6:$L$10,11,FALSE),0))</f>
        <v>1.5338181838063448E-2</v>
      </c>
      <c r="O248" s="361">
        <f>+IF($I248=O$3,VLOOKUP($H248,Depreciation!$A$6:$L$10,12,FALSE)/2,IF($I248&lt;O$3,VLOOKUP($H248,Depreciation!$A$6:$L$10,12,FALSE),0))</f>
        <v>3.0676363676126896E-2</v>
      </c>
      <c r="P248" s="362">
        <f t="shared" si="11"/>
        <v>0</v>
      </c>
      <c r="Q248" s="362">
        <f t="shared" si="12"/>
        <v>0</v>
      </c>
      <c r="R248" s="363">
        <f t="shared" si="13"/>
        <v>0</v>
      </c>
    </row>
    <row r="249" spans="1:18">
      <c r="A249" s="359" t="str">
        <f>'Func Future Lines 2015'!A249</f>
        <v>PPS</v>
      </c>
      <c r="B249" s="359" t="str">
        <f>'Func Future Lines 2015'!B249</f>
        <v>Phase2 1120L</v>
      </c>
      <c r="C249" s="359">
        <f>'Func Future Lines 2015'!C249</f>
        <v>1421</v>
      </c>
      <c r="D249" s="359">
        <f>'Func Future Lines 2015'!D249</f>
        <v>240</v>
      </c>
      <c r="E249" s="359">
        <f>'Func Future Lines 2015'!E249</f>
        <v>0</v>
      </c>
      <c r="F249" s="359" t="str">
        <f>'Func Future Lines 2015'!F249</f>
        <v>Fort_Saskatchewan</v>
      </c>
      <c r="G249" s="359">
        <f>'Func Future Lines 2015'!G249</f>
        <v>552930.93167308858</v>
      </c>
      <c r="H249" s="359" t="str">
        <f>'Func Future Lines 2015'!H249</f>
        <v>AltaLink</v>
      </c>
      <c r="I249" s="359">
        <f>'Func Future Lines 2015'!I249</f>
        <v>2019</v>
      </c>
      <c r="J249" s="361">
        <f>+IF($I249=J$3,VLOOKUP($H249,Depreciation!$A$6:$L$10,7,FALSE)/2,IF($I249&lt;J$3,VLOOKUP($H249,Depreciation!$A$6:$L$10,7,FALSE),0))</f>
        <v>0</v>
      </c>
      <c r="K249" s="361">
        <f>+IF($I249=K$3,VLOOKUP($H249,Depreciation!$A$6:$L$10,8,FALSE)/2,IF($I249&lt;K$3,VLOOKUP($H249,Depreciation!$A$6:$L$10,8,FALSE),0))</f>
        <v>0</v>
      </c>
      <c r="L249" s="361">
        <f>+IF($I249=L$3,VLOOKUP($H249,Depreciation!$A$6:$L$10,9,FALSE)/2,IF($I249&lt;L$3,VLOOKUP($H249,Depreciation!$A$6:$L$10,9,FALSE),0))</f>
        <v>0</v>
      </c>
      <c r="M249" s="361">
        <f>+IF($I249=M$3,VLOOKUP($H249,Depreciation!$A$6:$L$10,10,FALSE)/2,IF($I249&lt;M$3,VLOOKUP($H249,Depreciation!$A$6:$L$10,10,FALSE),0))</f>
        <v>0</v>
      </c>
      <c r="N249" s="361">
        <f>+IF($I249=N$3,VLOOKUP($H249,Depreciation!$A$6:$L$10,11,FALSE)/2,IF($I249&lt;N$3,VLOOKUP($H249,Depreciation!$A$6:$L$10,11,FALSE),0))</f>
        <v>1.5338181838063448E-2</v>
      </c>
      <c r="O249" s="361">
        <f>+IF($I249=O$3,VLOOKUP($H249,Depreciation!$A$6:$L$10,12,FALSE)/2,IF($I249&lt;O$3,VLOOKUP($H249,Depreciation!$A$6:$L$10,12,FALSE),0))</f>
        <v>3.0676363676126896E-2</v>
      </c>
      <c r="P249" s="362">
        <f t="shared" si="11"/>
        <v>0</v>
      </c>
      <c r="Q249" s="362">
        <f t="shared" si="12"/>
        <v>0</v>
      </c>
      <c r="R249" s="363">
        <f t="shared" si="13"/>
        <v>0</v>
      </c>
    </row>
    <row r="250" spans="1:18">
      <c r="A250" s="359" t="str">
        <f>'Func Future Lines 2015'!A250</f>
        <v>PPS</v>
      </c>
      <c r="B250" s="359" t="str">
        <f>'Func Future Lines 2015'!B250</f>
        <v>Phase2 1182L</v>
      </c>
      <c r="C250" s="359">
        <f>'Func Future Lines 2015'!C250</f>
        <v>1421</v>
      </c>
      <c r="D250" s="359">
        <f>'Func Future Lines 2015'!D250</f>
        <v>240</v>
      </c>
      <c r="E250" s="359">
        <f>'Func Future Lines 2015'!E250</f>
        <v>0</v>
      </c>
      <c r="F250" s="359" t="str">
        <f>'Func Future Lines 2015'!F250</f>
        <v>Fort_Saskatchewan</v>
      </c>
      <c r="G250" s="359">
        <f>'Func Future Lines 2015'!G250</f>
        <v>19778650.647485077</v>
      </c>
      <c r="H250" s="359" t="str">
        <f>'Func Future Lines 2015'!H250</f>
        <v>AltaLink</v>
      </c>
      <c r="I250" s="359">
        <f>'Func Future Lines 2015'!I250</f>
        <v>2019</v>
      </c>
      <c r="J250" s="361">
        <f>+IF($I250=J$3,VLOOKUP($H250,Depreciation!$A$6:$L$10,7,FALSE)/2,IF($I250&lt;J$3,VLOOKUP($H250,Depreciation!$A$6:$L$10,7,FALSE),0))</f>
        <v>0</v>
      </c>
      <c r="K250" s="361">
        <f>+IF($I250=K$3,VLOOKUP($H250,Depreciation!$A$6:$L$10,8,FALSE)/2,IF($I250&lt;K$3,VLOOKUP($H250,Depreciation!$A$6:$L$10,8,FALSE),0))</f>
        <v>0</v>
      </c>
      <c r="L250" s="361">
        <f>+IF($I250=L$3,VLOOKUP($H250,Depreciation!$A$6:$L$10,9,FALSE)/2,IF($I250&lt;L$3,VLOOKUP($H250,Depreciation!$A$6:$L$10,9,FALSE),0))</f>
        <v>0</v>
      </c>
      <c r="M250" s="361">
        <f>+IF($I250=M$3,VLOOKUP($H250,Depreciation!$A$6:$L$10,10,FALSE)/2,IF($I250&lt;M$3,VLOOKUP($H250,Depreciation!$A$6:$L$10,10,FALSE),0))</f>
        <v>0</v>
      </c>
      <c r="N250" s="361">
        <f>+IF($I250=N$3,VLOOKUP($H250,Depreciation!$A$6:$L$10,11,FALSE)/2,IF($I250&lt;N$3,VLOOKUP($H250,Depreciation!$A$6:$L$10,11,FALSE),0))</f>
        <v>1.5338181838063448E-2</v>
      </c>
      <c r="O250" s="361">
        <f>+IF($I250=O$3,VLOOKUP($H250,Depreciation!$A$6:$L$10,12,FALSE)/2,IF($I250&lt;O$3,VLOOKUP($H250,Depreciation!$A$6:$L$10,12,FALSE),0))</f>
        <v>3.0676363676126896E-2</v>
      </c>
      <c r="P250" s="362">
        <f t="shared" si="11"/>
        <v>0</v>
      </c>
      <c r="Q250" s="362">
        <f t="shared" si="12"/>
        <v>0</v>
      </c>
      <c r="R250" s="363">
        <f t="shared" si="13"/>
        <v>0</v>
      </c>
    </row>
    <row r="251" spans="1:18">
      <c r="A251" s="359" t="str">
        <f>'Func Future Lines 2015'!A251</f>
        <v>PPS</v>
      </c>
      <c r="B251" s="359" t="str">
        <f>'Func Future Lines 2015'!B251</f>
        <v>Phase2 942L/1131L</v>
      </c>
      <c r="C251" s="359">
        <f>'Func Future Lines 2015'!C251</f>
        <v>1421</v>
      </c>
      <c r="D251" s="359">
        <f>'Func Future Lines 2015'!D251</f>
        <v>240</v>
      </c>
      <c r="E251" s="359">
        <f>'Func Future Lines 2015'!E251</f>
        <v>0</v>
      </c>
      <c r="F251" s="359" t="str">
        <f>'Func Future Lines 2015'!F251</f>
        <v>Fort_Saskatchewan</v>
      </c>
      <c r="G251" s="359">
        <f>'Func Future Lines 2015'!G251</f>
        <v>987104.97626991919</v>
      </c>
      <c r="H251" s="359" t="str">
        <f>'Func Future Lines 2015'!H251</f>
        <v>AltaLink</v>
      </c>
      <c r="I251" s="359">
        <f>'Func Future Lines 2015'!I251</f>
        <v>2019</v>
      </c>
      <c r="J251" s="361">
        <f>+IF($I251=J$3,VLOOKUP($H251,Depreciation!$A$6:$L$10,7,FALSE)/2,IF($I251&lt;J$3,VLOOKUP($H251,Depreciation!$A$6:$L$10,7,FALSE),0))</f>
        <v>0</v>
      </c>
      <c r="K251" s="361">
        <f>+IF($I251=K$3,VLOOKUP($H251,Depreciation!$A$6:$L$10,8,FALSE)/2,IF($I251&lt;K$3,VLOOKUP($H251,Depreciation!$A$6:$L$10,8,FALSE),0))</f>
        <v>0</v>
      </c>
      <c r="L251" s="361">
        <f>+IF($I251=L$3,VLOOKUP($H251,Depreciation!$A$6:$L$10,9,FALSE)/2,IF($I251&lt;L$3,VLOOKUP($H251,Depreciation!$A$6:$L$10,9,FALSE),0))</f>
        <v>0</v>
      </c>
      <c r="M251" s="361">
        <f>+IF($I251=M$3,VLOOKUP($H251,Depreciation!$A$6:$L$10,10,FALSE)/2,IF($I251&lt;M$3,VLOOKUP($H251,Depreciation!$A$6:$L$10,10,FALSE),0))</f>
        <v>0</v>
      </c>
      <c r="N251" s="361">
        <f>+IF($I251=N$3,VLOOKUP($H251,Depreciation!$A$6:$L$10,11,FALSE)/2,IF($I251&lt;N$3,VLOOKUP($H251,Depreciation!$A$6:$L$10,11,FALSE),0))</f>
        <v>1.5338181838063448E-2</v>
      </c>
      <c r="O251" s="361">
        <f>+IF($I251=O$3,VLOOKUP($H251,Depreciation!$A$6:$L$10,12,FALSE)/2,IF($I251&lt;O$3,VLOOKUP($H251,Depreciation!$A$6:$L$10,12,FALSE),0))</f>
        <v>3.0676363676126896E-2</v>
      </c>
      <c r="P251" s="362">
        <f t="shared" si="11"/>
        <v>0</v>
      </c>
      <c r="Q251" s="362">
        <f t="shared" si="12"/>
        <v>0</v>
      </c>
      <c r="R251" s="363">
        <f t="shared" si="13"/>
        <v>0</v>
      </c>
    </row>
    <row r="252" spans="1:18">
      <c r="A252" s="359" t="str">
        <f>'Func Future Lines 2015'!A252</f>
        <v>PPS</v>
      </c>
      <c r="B252" s="359" t="str">
        <f>'Func Future Lines 2015'!B252</f>
        <v>Phase2 997L</v>
      </c>
      <c r="C252" s="359">
        <f>'Func Future Lines 2015'!C252</f>
        <v>1421</v>
      </c>
      <c r="D252" s="359">
        <f>'Func Future Lines 2015'!D252</f>
        <v>240</v>
      </c>
      <c r="E252" s="359">
        <f>'Func Future Lines 2015'!E252</f>
        <v>0</v>
      </c>
      <c r="F252" s="359" t="str">
        <f>'Func Future Lines 2015'!F252</f>
        <v>Fort_Saskatchewan</v>
      </c>
      <c r="G252" s="359">
        <f>'Func Future Lines 2015'!G252</f>
        <v>339650.72037236777</v>
      </c>
      <c r="H252" s="359" t="str">
        <f>'Func Future Lines 2015'!H252</f>
        <v>AltaLink</v>
      </c>
      <c r="I252" s="359">
        <f>'Func Future Lines 2015'!I252</f>
        <v>2019</v>
      </c>
      <c r="J252" s="361">
        <f>+IF($I252=J$3,VLOOKUP($H252,Depreciation!$A$6:$L$10,7,FALSE)/2,IF($I252&lt;J$3,VLOOKUP($H252,Depreciation!$A$6:$L$10,7,FALSE),0))</f>
        <v>0</v>
      </c>
      <c r="K252" s="361">
        <f>+IF($I252=K$3,VLOOKUP($H252,Depreciation!$A$6:$L$10,8,FALSE)/2,IF($I252&lt;K$3,VLOOKUP($H252,Depreciation!$A$6:$L$10,8,FALSE),0))</f>
        <v>0</v>
      </c>
      <c r="L252" s="361">
        <f>+IF($I252=L$3,VLOOKUP($H252,Depreciation!$A$6:$L$10,9,FALSE)/2,IF($I252&lt;L$3,VLOOKUP($H252,Depreciation!$A$6:$L$10,9,FALSE),0))</f>
        <v>0</v>
      </c>
      <c r="M252" s="361">
        <f>+IF($I252=M$3,VLOOKUP($H252,Depreciation!$A$6:$L$10,10,FALSE)/2,IF($I252&lt;M$3,VLOOKUP($H252,Depreciation!$A$6:$L$10,10,FALSE),0))</f>
        <v>0</v>
      </c>
      <c r="N252" s="361">
        <f>+IF($I252=N$3,VLOOKUP($H252,Depreciation!$A$6:$L$10,11,FALSE)/2,IF($I252&lt;N$3,VLOOKUP($H252,Depreciation!$A$6:$L$10,11,FALSE),0))</f>
        <v>1.5338181838063448E-2</v>
      </c>
      <c r="O252" s="361">
        <f>+IF($I252=O$3,VLOOKUP($H252,Depreciation!$A$6:$L$10,12,FALSE)/2,IF($I252&lt;O$3,VLOOKUP($H252,Depreciation!$A$6:$L$10,12,FALSE),0))</f>
        <v>3.0676363676126896E-2</v>
      </c>
      <c r="P252" s="362">
        <f t="shared" si="11"/>
        <v>0</v>
      </c>
      <c r="Q252" s="362">
        <f t="shared" si="12"/>
        <v>0</v>
      </c>
      <c r="R252" s="363">
        <f t="shared" si="13"/>
        <v>0</v>
      </c>
    </row>
    <row r="253" spans="1:18">
      <c r="A253" s="359" t="str">
        <f>'Func Future Lines 2015'!A253</f>
        <v>PPS</v>
      </c>
      <c r="B253" s="359" t="str">
        <f>'Func Future Lines 2015'!B253</f>
        <v>215AL</v>
      </c>
      <c r="C253" s="359">
        <f>'Func Future Lines 2015'!C253</f>
        <v>1442</v>
      </c>
      <c r="D253" s="359">
        <f>'Func Future Lines 2015'!D253</f>
        <v>138</v>
      </c>
      <c r="E253" s="359">
        <f>'Func Future Lines 2015'!E253</f>
        <v>0</v>
      </c>
      <c r="F253" s="359" t="str">
        <f>'Func Future Lines 2015'!F253</f>
        <v>Edmonton</v>
      </c>
      <c r="G253" s="359">
        <f>'Func Future Lines 2015'!G253</f>
        <v>1662085.6643356658</v>
      </c>
      <c r="H253" s="359" t="str">
        <f>'Func Future Lines 2015'!H253</f>
        <v>AltaLink</v>
      </c>
      <c r="I253" s="359">
        <f>'Func Future Lines 2015'!I253</f>
        <v>2019</v>
      </c>
      <c r="J253" s="361">
        <f>+IF($I253=J$3,VLOOKUP($H253,Depreciation!$A$6:$L$10,7,FALSE)/2,IF($I253&lt;J$3,VLOOKUP($H253,Depreciation!$A$6:$L$10,7,FALSE),0))</f>
        <v>0</v>
      </c>
      <c r="K253" s="361">
        <f>+IF($I253=K$3,VLOOKUP($H253,Depreciation!$A$6:$L$10,8,FALSE)/2,IF($I253&lt;K$3,VLOOKUP($H253,Depreciation!$A$6:$L$10,8,FALSE),0))</f>
        <v>0</v>
      </c>
      <c r="L253" s="361">
        <f>+IF($I253=L$3,VLOOKUP($H253,Depreciation!$A$6:$L$10,9,FALSE)/2,IF($I253&lt;L$3,VLOOKUP($H253,Depreciation!$A$6:$L$10,9,FALSE),0))</f>
        <v>0</v>
      </c>
      <c r="M253" s="361">
        <f>+IF($I253=M$3,VLOOKUP($H253,Depreciation!$A$6:$L$10,10,FALSE)/2,IF($I253&lt;M$3,VLOOKUP($H253,Depreciation!$A$6:$L$10,10,FALSE),0))</f>
        <v>0</v>
      </c>
      <c r="N253" s="361">
        <f>+IF($I253=N$3,VLOOKUP($H253,Depreciation!$A$6:$L$10,11,FALSE)/2,IF($I253&lt;N$3,VLOOKUP($H253,Depreciation!$A$6:$L$10,11,FALSE),0))</f>
        <v>1.5338181838063448E-2</v>
      </c>
      <c r="O253" s="361">
        <f>+IF($I253=O$3,VLOOKUP($H253,Depreciation!$A$6:$L$10,12,FALSE)/2,IF($I253&lt;O$3,VLOOKUP($H253,Depreciation!$A$6:$L$10,12,FALSE),0))</f>
        <v>3.0676363676126896E-2</v>
      </c>
      <c r="P253" s="362">
        <f t="shared" si="11"/>
        <v>0</v>
      </c>
      <c r="Q253" s="362">
        <f t="shared" si="12"/>
        <v>0</v>
      </c>
      <c r="R253" s="363">
        <f t="shared" si="13"/>
        <v>0</v>
      </c>
    </row>
    <row r="254" spans="1:18">
      <c r="A254" s="359" t="str">
        <f>'Func Future Lines 2015'!A254</f>
        <v>PPS</v>
      </c>
      <c r="B254" s="359" t="str">
        <f>'Func Future Lines 2015'!B254</f>
        <v>745L</v>
      </c>
      <c r="C254" s="359">
        <f>'Func Future Lines 2015'!C254</f>
        <v>1460</v>
      </c>
      <c r="D254" s="359">
        <f>'Func Future Lines 2015'!D254</f>
        <v>138</v>
      </c>
      <c r="E254" s="359">
        <f>'Func Future Lines 2015'!E254</f>
        <v>0</v>
      </c>
      <c r="F254" s="359" t="str">
        <f>'Func Future Lines 2015'!F254</f>
        <v>Hinton_Edson</v>
      </c>
      <c r="G254" s="359">
        <f>'Func Future Lines 2015'!G254</f>
        <v>1744293.0518617025</v>
      </c>
      <c r="H254" s="359" t="str">
        <f>'Func Future Lines 2015'!H254</f>
        <v>AltaLink</v>
      </c>
      <c r="I254" s="359">
        <f>'Func Future Lines 2015'!I254</f>
        <v>2019</v>
      </c>
      <c r="J254" s="361">
        <f>+IF($I254=J$3,VLOOKUP($H254,Depreciation!$A$6:$L$10,7,FALSE)/2,IF($I254&lt;J$3,VLOOKUP($H254,Depreciation!$A$6:$L$10,7,FALSE),0))</f>
        <v>0</v>
      </c>
      <c r="K254" s="361">
        <f>+IF($I254=K$3,VLOOKUP($H254,Depreciation!$A$6:$L$10,8,FALSE)/2,IF($I254&lt;K$3,VLOOKUP($H254,Depreciation!$A$6:$L$10,8,FALSE),0))</f>
        <v>0</v>
      </c>
      <c r="L254" s="361">
        <f>+IF($I254=L$3,VLOOKUP($H254,Depreciation!$A$6:$L$10,9,FALSE)/2,IF($I254&lt;L$3,VLOOKUP($H254,Depreciation!$A$6:$L$10,9,FALSE),0))</f>
        <v>0</v>
      </c>
      <c r="M254" s="361">
        <f>+IF($I254=M$3,VLOOKUP($H254,Depreciation!$A$6:$L$10,10,FALSE)/2,IF($I254&lt;M$3,VLOOKUP($H254,Depreciation!$A$6:$L$10,10,FALSE),0))</f>
        <v>0</v>
      </c>
      <c r="N254" s="361">
        <f>+IF($I254=N$3,VLOOKUP($H254,Depreciation!$A$6:$L$10,11,FALSE)/2,IF($I254&lt;N$3,VLOOKUP($H254,Depreciation!$A$6:$L$10,11,FALSE),0))</f>
        <v>1.5338181838063448E-2</v>
      </c>
      <c r="O254" s="361">
        <f>+IF($I254=O$3,VLOOKUP($H254,Depreciation!$A$6:$L$10,12,FALSE)/2,IF($I254&lt;O$3,VLOOKUP($H254,Depreciation!$A$6:$L$10,12,FALSE),0))</f>
        <v>3.0676363676126896E-2</v>
      </c>
      <c r="P254" s="362">
        <f t="shared" si="11"/>
        <v>0</v>
      </c>
      <c r="Q254" s="362">
        <f t="shared" si="12"/>
        <v>0</v>
      </c>
      <c r="R254" s="363">
        <f t="shared" si="13"/>
        <v>0</v>
      </c>
    </row>
    <row r="255" spans="1:18">
      <c r="A255" s="359" t="str">
        <f>'Func Future Lines 2015'!A255</f>
        <v>PPS</v>
      </c>
      <c r="B255" s="359" t="str">
        <f>'Func Future Lines 2015'!B255</f>
        <v>Line 9L144</v>
      </c>
      <c r="C255" s="359">
        <f>'Func Future Lines 2015'!C255</f>
        <v>1482</v>
      </c>
      <c r="D255" s="359">
        <f>'Func Future Lines 2015'!D255</f>
        <v>240</v>
      </c>
      <c r="E255" s="359">
        <f>'Func Future Lines 2015'!E255</f>
        <v>0</v>
      </c>
      <c r="F255" s="359">
        <f>'Func Future Lines 2015'!F255</f>
        <v>0</v>
      </c>
      <c r="G255" s="359">
        <f>'Func Future Lines 2015'!G255</f>
        <v>2696306.3908610074</v>
      </c>
      <c r="H255" s="359" t="str">
        <f>'Func Future Lines 2015'!H255</f>
        <v>ATCO</v>
      </c>
      <c r="I255" s="359">
        <f>'Func Future Lines 2015'!I255</f>
        <v>2016</v>
      </c>
      <c r="J255" s="361">
        <f>+IF($I255=J$3,VLOOKUP($H255,Depreciation!$A$6:$L$10,7,FALSE)/2,IF($I255&lt;J$3,VLOOKUP($H255,Depreciation!$A$6:$L$10,7,FALSE),0))</f>
        <v>0</v>
      </c>
      <c r="K255" s="361">
        <f>+IF($I255=K$3,VLOOKUP($H255,Depreciation!$A$6:$L$10,8,FALSE)/2,IF($I255&lt;K$3,VLOOKUP($H255,Depreciation!$A$6:$L$10,8,FALSE),0))</f>
        <v>1.1971929865503333E-2</v>
      </c>
      <c r="L255" s="361">
        <f>+IF($I255=L$3,VLOOKUP($H255,Depreciation!$A$6:$L$10,9,FALSE)/2,IF($I255&lt;L$3,VLOOKUP($H255,Depreciation!$A$6:$L$10,9,FALSE),0))</f>
        <v>2.4002037926855919E-2</v>
      </c>
      <c r="M255" s="361">
        <f>+IF($I255=M$3,VLOOKUP($H255,Depreciation!$A$6:$L$10,10,FALSE)/2,IF($I255&lt;M$3,VLOOKUP($H255,Depreciation!$A$6:$L$10,10,FALSE),0))</f>
        <v>2.4002037926855919E-2</v>
      </c>
      <c r="N255" s="361">
        <f>+IF($I255=N$3,VLOOKUP($H255,Depreciation!$A$6:$L$10,11,FALSE)/2,IF($I255&lt;N$3,VLOOKUP($H255,Depreciation!$A$6:$L$10,11,FALSE),0))</f>
        <v>2.4002037926855919E-2</v>
      </c>
      <c r="O255" s="361">
        <f>+IF($I255=O$3,VLOOKUP($H255,Depreciation!$A$6:$L$10,12,FALSE)/2,IF($I255&lt;O$3,VLOOKUP($H255,Depreciation!$A$6:$L$10,12,FALSE),0))</f>
        <v>2.4002037926855919E-2</v>
      </c>
      <c r="P255" s="362">
        <f t="shared" si="11"/>
        <v>2664026.399853711</v>
      </c>
      <c r="Q255" s="362">
        <f t="shared" si="12"/>
        <v>2664026.399853711</v>
      </c>
      <c r="R255" s="363">
        <f t="shared" si="13"/>
        <v>0</v>
      </c>
    </row>
    <row r="256" spans="1:18">
      <c r="A256" s="359" t="str">
        <f>'Func Future Lines 2015'!A256</f>
        <v>PPS</v>
      </c>
      <c r="B256" s="359" t="str">
        <f>'Func Future Lines 2015'!B256</f>
        <v>Line 9L57</v>
      </c>
      <c r="C256" s="359">
        <f>'Func Future Lines 2015'!C256</f>
        <v>1482</v>
      </c>
      <c r="D256" s="359">
        <f>'Func Future Lines 2015'!D256</f>
        <v>240</v>
      </c>
      <c r="E256" s="359">
        <f>'Func Future Lines 2015'!E256</f>
        <v>0</v>
      </c>
      <c r="F256" s="359">
        <f>'Func Future Lines 2015'!F256</f>
        <v>0</v>
      </c>
      <c r="G256" s="359">
        <f>'Func Future Lines 2015'!G256</f>
        <v>1212513.1677151551</v>
      </c>
      <c r="H256" s="359" t="str">
        <f>'Func Future Lines 2015'!H256</f>
        <v>ATCO</v>
      </c>
      <c r="I256" s="359">
        <f>'Func Future Lines 2015'!I256</f>
        <v>2016</v>
      </c>
      <c r="J256" s="361">
        <f>+IF($I256=J$3,VLOOKUP($H256,Depreciation!$A$6:$L$10,7,FALSE)/2,IF($I256&lt;J$3,VLOOKUP($H256,Depreciation!$A$6:$L$10,7,FALSE),0))</f>
        <v>0</v>
      </c>
      <c r="K256" s="361">
        <f>+IF($I256=K$3,VLOOKUP($H256,Depreciation!$A$6:$L$10,8,FALSE)/2,IF($I256&lt;K$3,VLOOKUP($H256,Depreciation!$A$6:$L$10,8,FALSE),0))</f>
        <v>1.1971929865503333E-2</v>
      </c>
      <c r="L256" s="361">
        <f>+IF($I256=L$3,VLOOKUP($H256,Depreciation!$A$6:$L$10,9,FALSE)/2,IF($I256&lt;L$3,VLOOKUP($H256,Depreciation!$A$6:$L$10,9,FALSE),0))</f>
        <v>2.4002037926855919E-2</v>
      </c>
      <c r="M256" s="361">
        <f>+IF($I256=M$3,VLOOKUP($H256,Depreciation!$A$6:$L$10,10,FALSE)/2,IF($I256&lt;M$3,VLOOKUP($H256,Depreciation!$A$6:$L$10,10,FALSE),0))</f>
        <v>2.4002037926855919E-2</v>
      </c>
      <c r="N256" s="361">
        <f>+IF($I256=N$3,VLOOKUP($H256,Depreciation!$A$6:$L$10,11,FALSE)/2,IF($I256&lt;N$3,VLOOKUP($H256,Depreciation!$A$6:$L$10,11,FALSE),0))</f>
        <v>2.4002037926855919E-2</v>
      </c>
      <c r="O256" s="361">
        <f>+IF($I256=O$3,VLOOKUP($H256,Depreciation!$A$6:$L$10,12,FALSE)/2,IF($I256&lt;O$3,VLOOKUP($H256,Depreciation!$A$6:$L$10,12,FALSE),0))</f>
        <v>2.4002037926855919E-2</v>
      </c>
      <c r="P256" s="362">
        <f t="shared" si="11"/>
        <v>1197997.0451102699</v>
      </c>
      <c r="Q256" s="362">
        <f t="shared" si="12"/>
        <v>1197997.0451102699</v>
      </c>
      <c r="R256" s="363">
        <f t="shared" si="13"/>
        <v>0</v>
      </c>
    </row>
    <row r="257" spans="1:18">
      <c r="A257" s="359" t="str">
        <f>'Func Future Lines 2015'!A257</f>
        <v>PPS</v>
      </c>
      <c r="B257" s="359" t="str">
        <f>'Func Future Lines 2015'!B257</f>
        <v xml:space="preserve">v180 - Retermination of 0.025km138kV 719L </v>
      </c>
      <c r="C257" s="359">
        <f>'Func Future Lines 2015'!C257</f>
        <v>1494</v>
      </c>
      <c r="D257" s="359">
        <f>'Func Future Lines 2015'!D257</f>
        <v>138</v>
      </c>
      <c r="E257" s="359">
        <f>'Func Future Lines 2015'!E257</f>
        <v>0</v>
      </c>
      <c r="F257" s="359" t="str">
        <f>'Func Future Lines 2015'!F257</f>
        <v>Caroline</v>
      </c>
      <c r="G257" s="359">
        <f>'Func Future Lines 2015'!G257</f>
        <v>51687.593104915919</v>
      </c>
      <c r="H257" s="359" t="str">
        <f>'Func Future Lines 2015'!H257</f>
        <v>AltaLink</v>
      </c>
      <c r="I257" s="359">
        <f>'Func Future Lines 2015'!I257</f>
        <v>2015</v>
      </c>
      <c r="J257" s="361">
        <f>+IF($I257=J$3,VLOOKUP($H257,Depreciation!$A$6:$L$10,7,FALSE)/2,IF($I257&lt;J$3,VLOOKUP($H257,Depreciation!$A$6:$L$10,7,FALSE),0))</f>
        <v>1.595020804044691E-2</v>
      </c>
      <c r="K257" s="361">
        <f>+IF($I257=K$3,VLOOKUP($H257,Depreciation!$A$6:$L$10,8,FALSE)/2,IF($I257&lt;K$3,VLOOKUP($H257,Depreciation!$A$6:$L$10,8,FALSE),0))</f>
        <v>3.0676363676126896E-2</v>
      </c>
      <c r="L257" s="361">
        <f>+IF($I257=L$3,VLOOKUP($H257,Depreciation!$A$6:$L$10,9,FALSE)/2,IF($I257&lt;L$3,VLOOKUP($H257,Depreciation!$A$6:$L$10,9,FALSE),0))</f>
        <v>3.0676363676126896E-2</v>
      </c>
      <c r="M257" s="361">
        <f>+IF($I257=M$3,VLOOKUP($H257,Depreciation!$A$6:$L$10,10,FALSE)/2,IF($I257&lt;M$3,VLOOKUP($H257,Depreciation!$A$6:$L$10,10,FALSE),0))</f>
        <v>3.0676363676126896E-2</v>
      </c>
      <c r="N257" s="361">
        <f>+IF($I257=N$3,VLOOKUP($H257,Depreciation!$A$6:$L$10,11,FALSE)/2,IF($I257&lt;N$3,VLOOKUP($H257,Depreciation!$A$6:$L$10,11,FALSE),0))</f>
        <v>3.0676363676126896E-2</v>
      </c>
      <c r="O257" s="361">
        <f>+IF($I257=O$3,VLOOKUP($H257,Depreciation!$A$6:$L$10,12,FALSE)/2,IF($I257&lt;O$3,VLOOKUP($H257,Depreciation!$A$6:$L$10,12,FALSE),0))</f>
        <v>3.0676363676126896E-2</v>
      </c>
      <c r="P257" s="362">
        <f t="shared" si="11"/>
        <v>49302.868287106678</v>
      </c>
      <c r="Q257" s="362">
        <f t="shared" si="12"/>
        <v>0</v>
      </c>
      <c r="R257" s="363">
        <f t="shared" si="13"/>
        <v>49302.868287106678</v>
      </c>
    </row>
    <row r="258" spans="1:18">
      <c r="A258" s="359" t="str">
        <f>'Func Future Lines 2015'!A258</f>
        <v>PPS</v>
      </c>
      <c r="B258" s="359" t="str">
        <f>'Func Future Lines 2015'!B258</f>
        <v>line upgrade</v>
      </c>
      <c r="C258" s="359">
        <f>'Func Future Lines 2015'!C258</f>
        <v>1503</v>
      </c>
      <c r="D258" s="359">
        <f>'Func Future Lines 2015'!D258</f>
        <v>25</v>
      </c>
      <c r="E258" s="359">
        <f>'Func Future Lines 2015'!E258</f>
        <v>0</v>
      </c>
      <c r="F258" s="359" t="str">
        <f>'Func Future Lines 2015'!F258</f>
        <v>Fort_Saskatchewan</v>
      </c>
      <c r="G258" s="359">
        <f>'Func Future Lines 2015'!G258</f>
        <v>391589.7435897438</v>
      </c>
      <c r="H258" s="359" t="str">
        <f>'Func Future Lines 2015'!H258</f>
        <v>AltaLink</v>
      </c>
      <c r="I258" s="359">
        <f>'Func Future Lines 2015'!I258</f>
        <v>2016</v>
      </c>
      <c r="J258" s="361">
        <f>+IF($I258=J$3,VLOOKUP($H258,Depreciation!$A$6:$L$10,7,FALSE)/2,IF($I258&lt;J$3,VLOOKUP($H258,Depreciation!$A$6:$L$10,7,FALSE),0))</f>
        <v>0</v>
      </c>
      <c r="K258" s="361">
        <f>+IF($I258=K$3,VLOOKUP($H258,Depreciation!$A$6:$L$10,8,FALSE)/2,IF($I258&lt;K$3,VLOOKUP($H258,Depreciation!$A$6:$L$10,8,FALSE),0))</f>
        <v>1.5338181838063448E-2</v>
      </c>
      <c r="L258" s="361">
        <f>+IF($I258=L$3,VLOOKUP($H258,Depreciation!$A$6:$L$10,9,FALSE)/2,IF($I258&lt;L$3,VLOOKUP($H258,Depreciation!$A$6:$L$10,9,FALSE),0))</f>
        <v>3.0676363676126896E-2</v>
      </c>
      <c r="M258" s="361">
        <f>+IF($I258=M$3,VLOOKUP($H258,Depreciation!$A$6:$L$10,10,FALSE)/2,IF($I258&lt;M$3,VLOOKUP($H258,Depreciation!$A$6:$L$10,10,FALSE),0))</f>
        <v>3.0676363676126896E-2</v>
      </c>
      <c r="N258" s="361">
        <f>+IF($I258=N$3,VLOOKUP($H258,Depreciation!$A$6:$L$10,11,FALSE)/2,IF($I258&lt;N$3,VLOOKUP($H258,Depreciation!$A$6:$L$10,11,FALSE),0))</f>
        <v>3.0676363676126896E-2</v>
      </c>
      <c r="O258" s="361">
        <f>+IF($I258=O$3,VLOOKUP($H258,Depreciation!$A$6:$L$10,12,FALSE)/2,IF($I258&lt;O$3,VLOOKUP($H258,Depreciation!$A$6:$L$10,12,FALSE),0))</f>
        <v>3.0676363676126896E-2</v>
      </c>
      <c r="P258" s="362">
        <f t="shared" si="11"/>
        <v>385583.46889664367</v>
      </c>
      <c r="Q258" s="362">
        <f t="shared" si="12"/>
        <v>0</v>
      </c>
      <c r="R258" s="363">
        <f t="shared" si="13"/>
        <v>0</v>
      </c>
    </row>
    <row r="259" spans="1:18">
      <c r="A259" s="359" t="str">
        <f>'Func Future Lines 2015'!A259</f>
        <v>PPS</v>
      </c>
      <c r="B259" s="359" t="str">
        <f>'Func Future Lines 2015'!B259</f>
        <v>685L/854L 60m in/out line</v>
      </c>
      <c r="C259" s="359">
        <f>'Func Future Lines 2015'!C259</f>
        <v>1515</v>
      </c>
      <c r="D259" s="359">
        <f>'Func Future Lines 2015'!D259</f>
        <v>138</v>
      </c>
      <c r="E259" s="359">
        <f>'Func Future Lines 2015'!E259</f>
        <v>0</v>
      </c>
      <c r="F259" s="359" t="str">
        <f>'Func Future Lines 2015'!F259</f>
        <v>Fox_Creek</v>
      </c>
      <c r="G259" s="359">
        <f>'Func Future Lines 2015'!G259</f>
        <v>1401330.1096067054</v>
      </c>
      <c r="H259" s="359" t="str">
        <f>'Func Future Lines 2015'!H259</f>
        <v>AltaLink</v>
      </c>
      <c r="I259" s="359">
        <f>'Func Future Lines 2015'!I259</f>
        <v>2016</v>
      </c>
      <c r="J259" s="361">
        <f>+IF($I259=J$3,VLOOKUP($H259,Depreciation!$A$6:$L$10,7,FALSE)/2,IF($I259&lt;J$3,VLOOKUP($H259,Depreciation!$A$6:$L$10,7,FALSE),0))</f>
        <v>0</v>
      </c>
      <c r="K259" s="361">
        <f>+IF($I259=K$3,VLOOKUP($H259,Depreciation!$A$6:$L$10,8,FALSE)/2,IF($I259&lt;K$3,VLOOKUP($H259,Depreciation!$A$6:$L$10,8,FALSE),0))</f>
        <v>1.5338181838063448E-2</v>
      </c>
      <c r="L259" s="361">
        <f>+IF($I259=L$3,VLOOKUP($H259,Depreciation!$A$6:$L$10,9,FALSE)/2,IF($I259&lt;L$3,VLOOKUP($H259,Depreciation!$A$6:$L$10,9,FALSE),0))</f>
        <v>3.0676363676126896E-2</v>
      </c>
      <c r="M259" s="361">
        <f>+IF($I259=M$3,VLOOKUP($H259,Depreciation!$A$6:$L$10,10,FALSE)/2,IF($I259&lt;M$3,VLOOKUP($H259,Depreciation!$A$6:$L$10,10,FALSE),0))</f>
        <v>3.0676363676126896E-2</v>
      </c>
      <c r="N259" s="361">
        <f>+IF($I259=N$3,VLOOKUP($H259,Depreciation!$A$6:$L$10,11,FALSE)/2,IF($I259&lt;N$3,VLOOKUP($H259,Depreciation!$A$6:$L$10,11,FALSE),0))</f>
        <v>3.0676363676126896E-2</v>
      </c>
      <c r="O259" s="361">
        <f>+IF($I259=O$3,VLOOKUP($H259,Depreciation!$A$6:$L$10,12,FALSE)/2,IF($I259&lt;O$3,VLOOKUP($H259,Depreciation!$A$6:$L$10,12,FALSE),0))</f>
        <v>3.0676363676126896E-2</v>
      </c>
      <c r="P259" s="362">
        <f t="shared" si="11"/>
        <v>1379836.2535704044</v>
      </c>
      <c r="Q259" s="362">
        <f t="shared" si="12"/>
        <v>0</v>
      </c>
      <c r="R259" s="363">
        <f t="shared" si="13"/>
        <v>1379836.2535704044</v>
      </c>
    </row>
    <row r="260" spans="1:18">
      <c r="A260" s="359" t="str">
        <f>'Func Future Lines 2015'!A260</f>
        <v>PPS</v>
      </c>
      <c r="B260" s="359" t="str">
        <f>'Func Future Lines 2015'!B260</f>
        <v>949L</v>
      </c>
      <c r="C260" s="359">
        <f>'Func Future Lines 2015'!C260</f>
        <v>1533</v>
      </c>
      <c r="D260" s="359">
        <f>'Func Future Lines 2015'!D260</f>
        <v>240</v>
      </c>
      <c r="E260" s="359">
        <f>'Func Future Lines 2015'!E260</f>
        <v>0</v>
      </c>
      <c r="F260" s="359">
        <f>'Func Future Lines 2015'!F260</f>
        <v>0</v>
      </c>
      <c r="G260" s="359">
        <f>'Func Future Lines 2015'!G260</f>
        <v>9435770.9999999963</v>
      </c>
      <c r="H260" s="359" t="str">
        <f>'Func Future Lines 2015'!H260</f>
        <v>AltaLink</v>
      </c>
      <c r="I260" s="359">
        <f>'Func Future Lines 2015'!I260</f>
        <v>2017</v>
      </c>
      <c r="J260" s="361">
        <f>+IF($I260=J$3,VLOOKUP($H260,Depreciation!$A$6:$L$10,7,FALSE)/2,IF($I260&lt;J$3,VLOOKUP($H260,Depreciation!$A$6:$L$10,7,FALSE),0))</f>
        <v>0</v>
      </c>
      <c r="K260" s="361">
        <f>+IF($I260=K$3,VLOOKUP($H260,Depreciation!$A$6:$L$10,8,FALSE)/2,IF($I260&lt;K$3,VLOOKUP($H260,Depreciation!$A$6:$L$10,8,FALSE),0))</f>
        <v>0</v>
      </c>
      <c r="L260" s="361">
        <f>+IF($I260=L$3,VLOOKUP($H260,Depreciation!$A$6:$L$10,9,FALSE)/2,IF($I260&lt;L$3,VLOOKUP($H260,Depreciation!$A$6:$L$10,9,FALSE),0))</f>
        <v>1.5338181838063448E-2</v>
      </c>
      <c r="M260" s="361">
        <f>+IF($I260=M$3,VLOOKUP($H260,Depreciation!$A$6:$L$10,10,FALSE)/2,IF($I260&lt;M$3,VLOOKUP($H260,Depreciation!$A$6:$L$10,10,FALSE),0))</f>
        <v>3.0676363676126896E-2</v>
      </c>
      <c r="N260" s="361">
        <f>+IF($I260=N$3,VLOOKUP($H260,Depreciation!$A$6:$L$10,11,FALSE)/2,IF($I260&lt;N$3,VLOOKUP($H260,Depreciation!$A$6:$L$10,11,FALSE),0))</f>
        <v>3.0676363676126896E-2</v>
      </c>
      <c r="O260" s="361">
        <f>+IF($I260=O$3,VLOOKUP($H260,Depreciation!$A$6:$L$10,12,FALSE)/2,IF($I260&lt;O$3,VLOOKUP($H260,Depreciation!$A$6:$L$10,12,FALSE),0))</f>
        <v>3.0676363676126896E-2</v>
      </c>
      <c r="P260" s="362">
        <f t="shared" si="11"/>
        <v>0</v>
      </c>
      <c r="Q260" s="362">
        <f t="shared" si="12"/>
        <v>0</v>
      </c>
      <c r="R260" s="363">
        <f t="shared" si="13"/>
        <v>0</v>
      </c>
    </row>
    <row r="261" spans="1:18">
      <c r="A261" s="359" t="str">
        <f>'Func Future Lines 2015'!A261</f>
        <v>PPS</v>
      </c>
      <c r="B261" s="359" t="str">
        <f>'Func Future Lines 2015'!B261</f>
        <v>949L</v>
      </c>
      <c r="C261" s="359">
        <f>'Func Future Lines 2015'!C261</f>
        <v>1533</v>
      </c>
      <c r="D261" s="359">
        <f>'Func Future Lines 2015'!D261</f>
        <v>240</v>
      </c>
      <c r="E261" s="359">
        <f>'Func Future Lines 2015'!E261</f>
        <v>0</v>
      </c>
      <c r="F261" s="359">
        <f>'Func Future Lines 2015'!F261</f>
        <v>0</v>
      </c>
      <c r="G261" s="359">
        <f>'Func Future Lines 2015'!G261</f>
        <v>130006.54878847413</v>
      </c>
      <c r="H261" s="359" t="str">
        <f>'Func Future Lines 2015'!H261</f>
        <v>AltaLink</v>
      </c>
      <c r="I261" s="359">
        <f>'Func Future Lines 2015'!I261</f>
        <v>2017</v>
      </c>
      <c r="J261" s="361">
        <f>+IF($I261=J$3,VLOOKUP($H261,Depreciation!$A$6:$L$10,7,FALSE)/2,IF($I261&lt;J$3,VLOOKUP($H261,Depreciation!$A$6:$L$10,7,FALSE),0))</f>
        <v>0</v>
      </c>
      <c r="K261" s="361">
        <f>+IF($I261=K$3,VLOOKUP($H261,Depreciation!$A$6:$L$10,8,FALSE)/2,IF($I261&lt;K$3,VLOOKUP($H261,Depreciation!$A$6:$L$10,8,FALSE),0))</f>
        <v>0</v>
      </c>
      <c r="L261" s="361">
        <f>+IF($I261=L$3,VLOOKUP($H261,Depreciation!$A$6:$L$10,9,FALSE)/2,IF($I261&lt;L$3,VLOOKUP($H261,Depreciation!$A$6:$L$10,9,FALSE),0))</f>
        <v>1.5338181838063448E-2</v>
      </c>
      <c r="M261" s="361">
        <f>+IF($I261=M$3,VLOOKUP($H261,Depreciation!$A$6:$L$10,10,FALSE)/2,IF($I261&lt;M$3,VLOOKUP($H261,Depreciation!$A$6:$L$10,10,FALSE),0))</f>
        <v>3.0676363676126896E-2</v>
      </c>
      <c r="N261" s="361">
        <f>+IF($I261=N$3,VLOOKUP($H261,Depreciation!$A$6:$L$10,11,FALSE)/2,IF($I261&lt;N$3,VLOOKUP($H261,Depreciation!$A$6:$L$10,11,FALSE),0))</f>
        <v>3.0676363676126896E-2</v>
      </c>
      <c r="O261" s="361">
        <f>+IF($I261=O$3,VLOOKUP($H261,Depreciation!$A$6:$L$10,12,FALSE)/2,IF($I261&lt;O$3,VLOOKUP($H261,Depreciation!$A$6:$L$10,12,FALSE),0))</f>
        <v>3.0676363676126896E-2</v>
      </c>
      <c r="P261" s="362">
        <f t="shared" ref="P261:P277" si="14">IF(I261&lt;=2016,G261*(1-J261)*(1-K261),0)</f>
        <v>0</v>
      </c>
      <c r="Q261" s="362">
        <f t="shared" ref="Q261:Q277" si="15">IF(D261&gt;=240,P261,0)</f>
        <v>0</v>
      </c>
      <c r="R261" s="363">
        <f t="shared" ref="R261:R277" si="16">IF(AND(D261&gt;25,D261&lt;240),P261,0)</f>
        <v>0</v>
      </c>
    </row>
    <row r="262" spans="1:18">
      <c r="A262" s="359" t="str">
        <f>'Func Future Lines 2015'!A262</f>
        <v>PPS</v>
      </c>
      <c r="B262" s="359" t="str">
        <f>'Func Future Lines 2015'!B262</f>
        <v>769BL</v>
      </c>
      <c r="C262" s="359">
        <f>'Func Future Lines 2015'!C262</f>
        <v>1558</v>
      </c>
      <c r="D262" s="359">
        <f>'Func Future Lines 2015'!D262</f>
        <v>138</v>
      </c>
      <c r="E262" s="359">
        <f>'Func Future Lines 2015'!E262</f>
        <v>0</v>
      </c>
      <c r="F262" s="359" t="str">
        <f>'Func Future Lines 2015'!F262</f>
        <v>Wainwright</v>
      </c>
      <c r="G262" s="359">
        <f>'Func Future Lines 2015'!G262</f>
        <v>3292161.5302869286</v>
      </c>
      <c r="H262" s="359" t="str">
        <f>'Func Future Lines 2015'!H262</f>
        <v>AltaLink</v>
      </c>
      <c r="I262" s="359">
        <f>'Func Future Lines 2015'!I262</f>
        <v>2018</v>
      </c>
      <c r="J262" s="361">
        <f>+IF($I262=J$3,VLOOKUP($H262,Depreciation!$A$6:$L$10,7,FALSE)/2,IF($I262&lt;J$3,VLOOKUP($H262,Depreciation!$A$6:$L$10,7,FALSE),0))</f>
        <v>0</v>
      </c>
      <c r="K262" s="361">
        <f>+IF($I262=K$3,VLOOKUP($H262,Depreciation!$A$6:$L$10,8,FALSE)/2,IF($I262&lt;K$3,VLOOKUP($H262,Depreciation!$A$6:$L$10,8,FALSE),0))</f>
        <v>0</v>
      </c>
      <c r="L262" s="361">
        <f>+IF($I262=L$3,VLOOKUP($H262,Depreciation!$A$6:$L$10,9,FALSE)/2,IF($I262&lt;L$3,VLOOKUP($H262,Depreciation!$A$6:$L$10,9,FALSE),0))</f>
        <v>0</v>
      </c>
      <c r="M262" s="361">
        <f>+IF($I262=M$3,VLOOKUP($H262,Depreciation!$A$6:$L$10,10,FALSE)/2,IF($I262&lt;M$3,VLOOKUP($H262,Depreciation!$A$6:$L$10,10,FALSE),0))</f>
        <v>1.5338181838063448E-2</v>
      </c>
      <c r="N262" s="361">
        <f>+IF($I262=N$3,VLOOKUP($H262,Depreciation!$A$6:$L$10,11,FALSE)/2,IF($I262&lt;N$3,VLOOKUP($H262,Depreciation!$A$6:$L$10,11,FALSE),0))</f>
        <v>3.0676363676126896E-2</v>
      </c>
      <c r="O262" s="361">
        <f>+IF($I262=O$3,VLOOKUP($H262,Depreciation!$A$6:$L$10,12,FALSE)/2,IF($I262&lt;O$3,VLOOKUP($H262,Depreciation!$A$6:$L$10,12,FALSE),0))</f>
        <v>3.0676363676126896E-2</v>
      </c>
      <c r="P262" s="362">
        <f t="shared" si="14"/>
        <v>0</v>
      </c>
      <c r="Q262" s="362">
        <f t="shared" si="15"/>
        <v>0</v>
      </c>
      <c r="R262" s="363">
        <f t="shared" si="16"/>
        <v>0</v>
      </c>
    </row>
    <row r="263" spans="1:18">
      <c r="A263" s="359" t="str">
        <f>'Func Future Lines 2015'!A263</f>
        <v>PPS</v>
      </c>
      <c r="B263" s="359" t="str">
        <f>'Func Future Lines 2015'!B263</f>
        <v>769L</v>
      </c>
      <c r="C263" s="359">
        <f>'Func Future Lines 2015'!C263</f>
        <v>1558</v>
      </c>
      <c r="D263" s="359">
        <f>'Func Future Lines 2015'!D263</f>
        <v>138</v>
      </c>
      <c r="E263" s="359">
        <f>'Func Future Lines 2015'!E263</f>
        <v>0</v>
      </c>
      <c r="F263" s="359" t="str">
        <f>'Func Future Lines 2015'!F263</f>
        <v>Wainwright</v>
      </c>
      <c r="G263" s="359">
        <f>'Func Future Lines 2015'!G263</f>
        <v>96108.749557208634</v>
      </c>
      <c r="H263" s="359" t="str">
        <f>'Func Future Lines 2015'!H263</f>
        <v>AltaLink</v>
      </c>
      <c r="I263" s="359">
        <f>'Func Future Lines 2015'!I263</f>
        <v>2018</v>
      </c>
      <c r="J263" s="361">
        <f>+IF($I263=J$3,VLOOKUP($H263,Depreciation!$A$6:$L$10,7,FALSE)/2,IF($I263&lt;J$3,VLOOKUP($H263,Depreciation!$A$6:$L$10,7,FALSE),0))</f>
        <v>0</v>
      </c>
      <c r="K263" s="361">
        <f>+IF($I263=K$3,VLOOKUP($H263,Depreciation!$A$6:$L$10,8,FALSE)/2,IF($I263&lt;K$3,VLOOKUP($H263,Depreciation!$A$6:$L$10,8,FALSE),0))</f>
        <v>0</v>
      </c>
      <c r="L263" s="361">
        <f>+IF($I263=L$3,VLOOKUP($H263,Depreciation!$A$6:$L$10,9,FALSE)/2,IF($I263&lt;L$3,VLOOKUP($H263,Depreciation!$A$6:$L$10,9,FALSE),0))</f>
        <v>0</v>
      </c>
      <c r="M263" s="361">
        <f>+IF($I263=M$3,VLOOKUP($H263,Depreciation!$A$6:$L$10,10,FALSE)/2,IF($I263&lt;M$3,VLOOKUP($H263,Depreciation!$A$6:$L$10,10,FALSE),0))</f>
        <v>1.5338181838063448E-2</v>
      </c>
      <c r="N263" s="361">
        <f>+IF($I263=N$3,VLOOKUP($H263,Depreciation!$A$6:$L$10,11,FALSE)/2,IF($I263&lt;N$3,VLOOKUP($H263,Depreciation!$A$6:$L$10,11,FALSE),0))</f>
        <v>3.0676363676126896E-2</v>
      </c>
      <c r="O263" s="361">
        <f>+IF($I263=O$3,VLOOKUP($H263,Depreciation!$A$6:$L$10,12,FALSE)/2,IF($I263&lt;O$3,VLOOKUP($H263,Depreciation!$A$6:$L$10,12,FALSE),0))</f>
        <v>3.0676363676126896E-2</v>
      </c>
      <c r="P263" s="362">
        <f t="shared" si="14"/>
        <v>0</v>
      </c>
      <c r="Q263" s="362">
        <f t="shared" si="15"/>
        <v>0</v>
      </c>
      <c r="R263" s="363">
        <f t="shared" si="16"/>
        <v>0</v>
      </c>
    </row>
    <row r="264" spans="1:18">
      <c r="A264" s="359" t="str">
        <f>'Func Future Lines 2015'!A264</f>
        <v>PPS</v>
      </c>
      <c r="B264" s="359" t="str">
        <f>'Func Future Lines 2015'!B264</f>
        <v>7L05</v>
      </c>
      <c r="C264" s="359">
        <f>'Func Future Lines 2015'!C264</f>
        <v>1570</v>
      </c>
      <c r="D264" s="359">
        <f>'Func Future Lines 2015'!D264</f>
        <v>138</v>
      </c>
      <c r="E264" s="359">
        <f>'Func Future Lines 2015'!E264</f>
        <v>0</v>
      </c>
      <c r="F264" s="359" t="str">
        <f>'Func Future Lines 2015'!F264</f>
        <v>Fort McMurray</v>
      </c>
      <c r="G264" s="359">
        <f>'Func Future Lines 2015'!G264</f>
        <v>304434.26965509646</v>
      </c>
      <c r="H264" s="359" t="str">
        <f>'Func Future Lines 2015'!H264</f>
        <v>ATCO</v>
      </c>
      <c r="I264" s="359">
        <f>'Func Future Lines 2015'!I264</f>
        <v>2017</v>
      </c>
      <c r="J264" s="361">
        <f>+IF($I264=J$3,VLOOKUP($H264,Depreciation!$A$6:$L$10,7,FALSE)/2,IF($I264&lt;J$3,VLOOKUP($H264,Depreciation!$A$6:$L$10,7,FALSE),0))</f>
        <v>0</v>
      </c>
      <c r="K264" s="361">
        <f>+IF($I264=K$3,VLOOKUP($H264,Depreciation!$A$6:$L$10,8,FALSE)/2,IF($I264&lt;K$3,VLOOKUP($H264,Depreciation!$A$6:$L$10,8,FALSE),0))</f>
        <v>0</v>
      </c>
      <c r="L264" s="361">
        <f>+IF($I264=L$3,VLOOKUP($H264,Depreciation!$A$6:$L$10,9,FALSE)/2,IF($I264&lt;L$3,VLOOKUP($H264,Depreciation!$A$6:$L$10,9,FALSE),0))</f>
        <v>1.2001018963427959E-2</v>
      </c>
      <c r="M264" s="361">
        <f>+IF($I264=M$3,VLOOKUP($H264,Depreciation!$A$6:$L$10,10,FALSE)/2,IF($I264&lt;M$3,VLOOKUP($H264,Depreciation!$A$6:$L$10,10,FALSE),0))</f>
        <v>2.4002037926855919E-2</v>
      </c>
      <c r="N264" s="361">
        <f>+IF($I264=N$3,VLOOKUP($H264,Depreciation!$A$6:$L$10,11,FALSE)/2,IF($I264&lt;N$3,VLOOKUP($H264,Depreciation!$A$6:$L$10,11,FALSE),0))</f>
        <v>2.4002037926855919E-2</v>
      </c>
      <c r="O264" s="361">
        <f>+IF($I264=O$3,VLOOKUP($H264,Depreciation!$A$6:$L$10,12,FALSE)/2,IF($I264&lt;O$3,VLOOKUP($H264,Depreciation!$A$6:$L$10,12,FALSE),0))</f>
        <v>2.4002037926855919E-2</v>
      </c>
      <c r="P264" s="362">
        <f t="shared" si="14"/>
        <v>0</v>
      </c>
      <c r="Q264" s="362">
        <f t="shared" si="15"/>
        <v>0</v>
      </c>
      <c r="R264" s="363">
        <f t="shared" si="16"/>
        <v>0</v>
      </c>
    </row>
    <row r="265" spans="1:18">
      <c r="A265" s="359" t="str">
        <f>'Func Future Lines 2015'!A265</f>
        <v>PPS</v>
      </c>
      <c r="B265" s="359" t="str">
        <f>'Func Future Lines 2015'!B265</f>
        <v>704L</v>
      </c>
      <c r="C265" s="359">
        <f>'Func Future Lines 2015'!C265</f>
        <v>1594</v>
      </c>
      <c r="D265" s="359">
        <f>'Func Future Lines 2015'!D265</f>
        <v>138</v>
      </c>
      <c r="E265" s="359">
        <f>'Func Future Lines 2015'!E265</f>
        <v>0</v>
      </c>
      <c r="F265" s="359">
        <f>'Func Future Lines 2015'!F265</f>
        <v>0</v>
      </c>
      <c r="G265" s="359">
        <f>'Func Future Lines 2015'!G265</f>
        <v>14086571.090359084</v>
      </c>
      <c r="H265" s="359" t="str">
        <f>'Func Future Lines 2015'!H265</f>
        <v>AltaLink</v>
      </c>
      <c r="I265" s="359">
        <f>'Func Future Lines 2015'!I265</f>
        <v>2018</v>
      </c>
      <c r="J265" s="361">
        <f>+IF($I265=J$3,VLOOKUP($H265,Depreciation!$A$6:$L$10,7,FALSE)/2,IF($I265&lt;J$3,VLOOKUP($H265,Depreciation!$A$6:$L$10,7,FALSE),0))</f>
        <v>0</v>
      </c>
      <c r="K265" s="361">
        <f>+IF($I265=K$3,VLOOKUP($H265,Depreciation!$A$6:$L$10,8,FALSE)/2,IF($I265&lt;K$3,VLOOKUP($H265,Depreciation!$A$6:$L$10,8,FALSE),0))</f>
        <v>0</v>
      </c>
      <c r="L265" s="361">
        <f>+IF($I265=L$3,VLOOKUP($H265,Depreciation!$A$6:$L$10,9,FALSE)/2,IF($I265&lt;L$3,VLOOKUP($H265,Depreciation!$A$6:$L$10,9,FALSE),0))</f>
        <v>0</v>
      </c>
      <c r="M265" s="361">
        <f>+IF($I265=M$3,VLOOKUP($H265,Depreciation!$A$6:$L$10,10,FALSE)/2,IF($I265&lt;M$3,VLOOKUP($H265,Depreciation!$A$6:$L$10,10,FALSE),0))</f>
        <v>1.5338181838063448E-2</v>
      </c>
      <c r="N265" s="361">
        <f>+IF($I265=N$3,VLOOKUP($H265,Depreciation!$A$6:$L$10,11,FALSE)/2,IF($I265&lt;N$3,VLOOKUP($H265,Depreciation!$A$6:$L$10,11,FALSE),0))</f>
        <v>3.0676363676126896E-2</v>
      </c>
      <c r="O265" s="361">
        <f>+IF($I265=O$3,VLOOKUP($H265,Depreciation!$A$6:$L$10,12,FALSE)/2,IF($I265&lt;O$3,VLOOKUP($H265,Depreciation!$A$6:$L$10,12,FALSE),0))</f>
        <v>3.0676363676126896E-2</v>
      </c>
      <c r="P265" s="362">
        <f t="shared" si="14"/>
        <v>0</v>
      </c>
      <c r="Q265" s="362">
        <f t="shared" si="15"/>
        <v>0</v>
      </c>
      <c r="R265" s="363">
        <f t="shared" si="16"/>
        <v>0</v>
      </c>
    </row>
    <row r="266" spans="1:18">
      <c r="A266" s="359" t="str">
        <f>'Func Future Lines 2015'!A266</f>
        <v>PPS</v>
      </c>
      <c r="B266" s="359" t="str">
        <f>'Func Future Lines 2015'!B266</f>
        <v>7LA10</v>
      </c>
      <c r="C266" s="359">
        <f>'Func Future Lines 2015'!C266</f>
        <v>1618</v>
      </c>
      <c r="D266" s="359">
        <f>'Func Future Lines 2015'!D266</f>
        <v>144</v>
      </c>
      <c r="E266" s="359">
        <f>'Func Future Lines 2015'!E266</f>
        <v>0</v>
      </c>
      <c r="F266" s="359">
        <f>'Func Future Lines 2015'!F266</f>
        <v>0</v>
      </c>
      <c r="G266" s="359">
        <f>'Func Future Lines 2015'!G266</f>
        <v>994089.50036748685</v>
      </c>
      <c r="H266" s="359" t="str">
        <f>'Func Future Lines 2015'!H266</f>
        <v>ATCO</v>
      </c>
      <c r="I266" s="359">
        <f>'Func Future Lines 2015'!I266</f>
        <v>2017</v>
      </c>
      <c r="J266" s="361">
        <f>+IF($I266=J$3,VLOOKUP($H266,Depreciation!$A$6:$L$10,7,FALSE)/2,IF($I266&lt;J$3,VLOOKUP($H266,Depreciation!$A$6:$L$10,7,FALSE),0))</f>
        <v>0</v>
      </c>
      <c r="K266" s="361">
        <f>+IF($I266=K$3,VLOOKUP($H266,Depreciation!$A$6:$L$10,8,FALSE)/2,IF($I266&lt;K$3,VLOOKUP($H266,Depreciation!$A$6:$L$10,8,FALSE),0))</f>
        <v>0</v>
      </c>
      <c r="L266" s="361">
        <f>+IF($I266=L$3,VLOOKUP($H266,Depreciation!$A$6:$L$10,9,FALSE)/2,IF($I266&lt;L$3,VLOOKUP($H266,Depreciation!$A$6:$L$10,9,FALSE),0))</f>
        <v>1.2001018963427959E-2</v>
      </c>
      <c r="M266" s="361">
        <f>+IF($I266=M$3,VLOOKUP($H266,Depreciation!$A$6:$L$10,10,FALSE)/2,IF($I266&lt;M$3,VLOOKUP($H266,Depreciation!$A$6:$L$10,10,FALSE),0))</f>
        <v>2.4002037926855919E-2</v>
      </c>
      <c r="N266" s="361">
        <f>+IF($I266=N$3,VLOOKUP($H266,Depreciation!$A$6:$L$10,11,FALSE)/2,IF($I266&lt;N$3,VLOOKUP($H266,Depreciation!$A$6:$L$10,11,FALSE),0))</f>
        <v>2.4002037926855919E-2</v>
      </c>
      <c r="O266" s="361">
        <f>+IF($I266=O$3,VLOOKUP($H266,Depreciation!$A$6:$L$10,12,FALSE)/2,IF($I266&lt;O$3,VLOOKUP($H266,Depreciation!$A$6:$L$10,12,FALSE),0))</f>
        <v>2.4002037926855919E-2</v>
      </c>
      <c r="P266" s="362">
        <f t="shared" si="14"/>
        <v>0</v>
      </c>
      <c r="Q266" s="362">
        <f t="shared" si="15"/>
        <v>0</v>
      </c>
      <c r="R266" s="363">
        <f t="shared" si="16"/>
        <v>0</v>
      </c>
    </row>
    <row r="267" spans="1:18">
      <c r="A267" s="359" t="str">
        <f>'Func Future Lines 2015'!A267</f>
        <v>PPS</v>
      </c>
      <c r="B267" s="359" t="str">
        <f>'Func Future Lines 2015'!B267</f>
        <v>7L20/7L228_(v1)</v>
      </c>
      <c r="C267" s="359">
        <f>'Func Future Lines 2015'!C267</f>
        <v>1634</v>
      </c>
      <c r="D267" s="359">
        <f>'Func Future Lines 2015'!D267</f>
        <v>144</v>
      </c>
      <c r="E267" s="359">
        <f>'Func Future Lines 2015'!E267</f>
        <v>0</v>
      </c>
      <c r="F267" s="359" t="str">
        <f>'Func Future Lines 2015'!F267</f>
        <v>Grande Prairie</v>
      </c>
      <c r="G267" s="359">
        <f>'Func Future Lines 2015'!G267</f>
        <v>2547123.3415767057</v>
      </c>
      <c r="H267" s="359" t="str">
        <f>'Func Future Lines 2015'!H267</f>
        <v>ATCO</v>
      </c>
      <c r="I267" s="359">
        <f>'Func Future Lines 2015'!I267</f>
        <v>2016</v>
      </c>
      <c r="J267" s="361">
        <f>+IF($I267=J$3,VLOOKUP($H267,Depreciation!$A$6:$L$10,7,FALSE)/2,IF($I267&lt;J$3,VLOOKUP($H267,Depreciation!$A$6:$L$10,7,FALSE),0))</f>
        <v>0</v>
      </c>
      <c r="K267" s="361">
        <f>+IF($I267=K$3,VLOOKUP($H267,Depreciation!$A$6:$L$10,8,FALSE)/2,IF($I267&lt;K$3,VLOOKUP($H267,Depreciation!$A$6:$L$10,8,FALSE),0))</f>
        <v>1.1971929865503333E-2</v>
      </c>
      <c r="L267" s="361">
        <f>+IF($I267=L$3,VLOOKUP($H267,Depreciation!$A$6:$L$10,9,FALSE)/2,IF($I267&lt;L$3,VLOOKUP($H267,Depreciation!$A$6:$L$10,9,FALSE),0))</f>
        <v>2.4002037926855919E-2</v>
      </c>
      <c r="M267" s="361">
        <f>+IF($I267=M$3,VLOOKUP($H267,Depreciation!$A$6:$L$10,10,FALSE)/2,IF($I267&lt;M$3,VLOOKUP($H267,Depreciation!$A$6:$L$10,10,FALSE),0))</f>
        <v>2.4002037926855919E-2</v>
      </c>
      <c r="N267" s="361">
        <f>+IF($I267=N$3,VLOOKUP($H267,Depreciation!$A$6:$L$10,11,FALSE)/2,IF($I267&lt;N$3,VLOOKUP($H267,Depreciation!$A$6:$L$10,11,FALSE),0))</f>
        <v>2.4002037926855919E-2</v>
      </c>
      <c r="O267" s="361">
        <f>+IF($I267=O$3,VLOOKUP($H267,Depreciation!$A$6:$L$10,12,FALSE)/2,IF($I267&lt;O$3,VLOOKUP($H267,Depreciation!$A$6:$L$10,12,FALSE),0))</f>
        <v>2.4002037926855919E-2</v>
      </c>
      <c r="P267" s="362">
        <f t="shared" si="14"/>
        <v>2516629.3595725629</v>
      </c>
      <c r="Q267" s="362">
        <f t="shared" si="15"/>
        <v>0</v>
      </c>
      <c r="R267" s="363">
        <f t="shared" si="16"/>
        <v>2516629.3595725629</v>
      </c>
    </row>
    <row r="268" spans="1:18">
      <c r="A268" s="359" t="str">
        <f>'Func Future Lines 2015'!A268</f>
        <v>PPS</v>
      </c>
      <c r="B268" s="359" t="str">
        <f>'Func Future Lines 2015'!B268</f>
        <v>7L20/7L228_(v1)</v>
      </c>
      <c r="C268" s="359">
        <f>'Func Future Lines 2015'!C268</f>
        <v>1634</v>
      </c>
      <c r="D268" s="359">
        <f>'Func Future Lines 2015'!D268</f>
        <v>144</v>
      </c>
      <c r="E268" s="359">
        <f>'Func Future Lines 2015'!E268</f>
        <v>0</v>
      </c>
      <c r="F268" s="359" t="str">
        <f>'Func Future Lines 2015'!F268</f>
        <v>Grande Prairie</v>
      </c>
      <c r="G268" s="359">
        <f>'Func Future Lines 2015'!G268</f>
        <v>2545264.0744639053</v>
      </c>
      <c r="H268" s="359" t="str">
        <f>'Func Future Lines 2015'!H268</f>
        <v>ATCO</v>
      </c>
      <c r="I268" s="359">
        <f>'Func Future Lines 2015'!I268</f>
        <v>2016</v>
      </c>
      <c r="J268" s="361">
        <f>+IF($I268=J$3,VLOOKUP($H268,Depreciation!$A$6:$L$10,7,FALSE)/2,IF($I268&lt;J$3,VLOOKUP($H268,Depreciation!$A$6:$L$10,7,FALSE),0))</f>
        <v>0</v>
      </c>
      <c r="K268" s="361">
        <f>+IF($I268=K$3,VLOOKUP($H268,Depreciation!$A$6:$L$10,8,FALSE)/2,IF($I268&lt;K$3,VLOOKUP($H268,Depreciation!$A$6:$L$10,8,FALSE),0))</f>
        <v>1.1971929865503333E-2</v>
      </c>
      <c r="L268" s="361">
        <f>+IF($I268=L$3,VLOOKUP($H268,Depreciation!$A$6:$L$10,9,FALSE)/2,IF($I268&lt;L$3,VLOOKUP($H268,Depreciation!$A$6:$L$10,9,FALSE),0))</f>
        <v>2.4002037926855919E-2</v>
      </c>
      <c r="M268" s="361">
        <f>+IF($I268=M$3,VLOOKUP($H268,Depreciation!$A$6:$L$10,10,FALSE)/2,IF($I268&lt;M$3,VLOOKUP($H268,Depreciation!$A$6:$L$10,10,FALSE),0))</f>
        <v>2.4002037926855919E-2</v>
      </c>
      <c r="N268" s="361">
        <f>+IF($I268=N$3,VLOOKUP($H268,Depreciation!$A$6:$L$10,11,FALSE)/2,IF($I268&lt;N$3,VLOOKUP($H268,Depreciation!$A$6:$L$10,11,FALSE),0))</f>
        <v>2.4002037926855919E-2</v>
      </c>
      <c r="O268" s="361">
        <f>+IF($I268=O$3,VLOOKUP($H268,Depreciation!$A$6:$L$10,12,FALSE)/2,IF($I268&lt;O$3,VLOOKUP($H268,Depreciation!$A$6:$L$10,12,FALSE),0))</f>
        <v>2.4002037926855919E-2</v>
      </c>
      <c r="P268" s="362">
        <f t="shared" si="14"/>
        <v>2514792.3514752383</v>
      </c>
      <c r="Q268" s="362">
        <f t="shared" si="15"/>
        <v>0</v>
      </c>
      <c r="R268" s="363">
        <f t="shared" si="16"/>
        <v>2514792.3514752383</v>
      </c>
    </row>
    <row r="269" spans="1:18">
      <c r="A269" s="359" t="str">
        <f>'Func Future Lines 2015'!A269</f>
        <v>PPS</v>
      </c>
      <c r="B269" s="359" t="str">
        <f>'Func Future Lines 2015'!B269</f>
        <v>633L</v>
      </c>
      <c r="C269" s="359">
        <f>'Func Future Lines 2015'!C269</f>
        <v>1636</v>
      </c>
      <c r="D269" s="359">
        <f>'Func Future Lines 2015'!D269</f>
        <v>138</v>
      </c>
      <c r="E269" s="359">
        <f>'Func Future Lines 2015'!E269</f>
        <v>0</v>
      </c>
      <c r="F269" s="359" t="str">
        <f>'Func Future Lines 2015'!F269</f>
        <v>Athabasca/Lac</v>
      </c>
      <c r="G269" s="359">
        <f>'Func Future Lines 2015'!G269</f>
        <v>357000.61337149848</v>
      </c>
      <c r="H269" s="359" t="str">
        <f>'Func Future Lines 2015'!H269</f>
        <v>AltaLink</v>
      </c>
      <c r="I269" s="359">
        <f>'Func Future Lines 2015'!I269</f>
        <v>2016</v>
      </c>
      <c r="J269" s="361">
        <f>+IF($I269=J$3,VLOOKUP($H269,Depreciation!$A$6:$L$10,7,FALSE)/2,IF($I269&lt;J$3,VLOOKUP($H269,Depreciation!$A$6:$L$10,7,FALSE),0))</f>
        <v>0</v>
      </c>
      <c r="K269" s="361">
        <f>+IF($I269=K$3,VLOOKUP($H269,Depreciation!$A$6:$L$10,8,FALSE)/2,IF($I269&lt;K$3,VLOOKUP($H269,Depreciation!$A$6:$L$10,8,FALSE),0))</f>
        <v>1.5338181838063448E-2</v>
      </c>
      <c r="L269" s="361">
        <f>+IF($I269=L$3,VLOOKUP($H269,Depreciation!$A$6:$L$10,9,FALSE)/2,IF($I269&lt;L$3,VLOOKUP($H269,Depreciation!$A$6:$L$10,9,FALSE),0))</f>
        <v>3.0676363676126896E-2</v>
      </c>
      <c r="M269" s="361">
        <f>+IF($I269=M$3,VLOOKUP($H269,Depreciation!$A$6:$L$10,10,FALSE)/2,IF($I269&lt;M$3,VLOOKUP($H269,Depreciation!$A$6:$L$10,10,FALSE),0))</f>
        <v>3.0676363676126896E-2</v>
      </c>
      <c r="N269" s="361">
        <f>+IF($I269=N$3,VLOOKUP($H269,Depreciation!$A$6:$L$10,11,FALSE)/2,IF($I269&lt;N$3,VLOOKUP($H269,Depreciation!$A$6:$L$10,11,FALSE),0))</f>
        <v>3.0676363676126896E-2</v>
      </c>
      <c r="O269" s="361">
        <f>+IF($I269=O$3,VLOOKUP($H269,Depreciation!$A$6:$L$10,12,FALSE)/2,IF($I269&lt;O$3,VLOOKUP($H269,Depreciation!$A$6:$L$10,12,FALSE),0))</f>
        <v>3.0676363676126896E-2</v>
      </c>
      <c r="P269" s="362">
        <f t="shared" si="14"/>
        <v>351524.87304730626</v>
      </c>
      <c r="Q269" s="362">
        <f t="shared" si="15"/>
        <v>0</v>
      </c>
      <c r="R269" s="363">
        <f t="shared" si="16"/>
        <v>351524.87304730626</v>
      </c>
    </row>
    <row r="270" spans="1:18">
      <c r="A270" s="359" t="str">
        <f>'Func Future Lines 2015'!A270</f>
        <v>PPS</v>
      </c>
      <c r="B270" s="359" t="str">
        <f>'Func Future Lines 2015'!B270</f>
        <v>1214L</v>
      </c>
      <c r="C270" s="359">
        <f>'Func Future Lines 2015'!C270</f>
        <v>1655</v>
      </c>
      <c r="D270" s="359">
        <f>'Func Future Lines 2015'!D270</f>
        <v>500</v>
      </c>
      <c r="E270" s="359">
        <f>'Func Future Lines 2015'!E270</f>
        <v>0</v>
      </c>
      <c r="F270" s="359" t="str">
        <f>'Func Future Lines 2015'!F270</f>
        <v>Fort McMurray</v>
      </c>
      <c r="G270" s="359">
        <f>'Func Future Lines 2015'!G270</f>
        <v>816333.28402366897</v>
      </c>
      <c r="H270" s="359" t="str">
        <f>'Func Future Lines 2015'!H270</f>
        <v>AltaLink</v>
      </c>
      <c r="I270" s="359">
        <f>'Func Future Lines 2015'!I270</f>
        <v>2018</v>
      </c>
      <c r="J270" s="361">
        <f>+IF($I270=J$3,VLOOKUP($H270,Depreciation!$A$6:$L$10,7,FALSE)/2,IF($I270&lt;J$3,VLOOKUP($H270,Depreciation!$A$6:$L$10,7,FALSE),0))</f>
        <v>0</v>
      </c>
      <c r="K270" s="361">
        <f>+IF($I270=K$3,VLOOKUP($H270,Depreciation!$A$6:$L$10,8,FALSE)/2,IF($I270&lt;K$3,VLOOKUP($H270,Depreciation!$A$6:$L$10,8,FALSE),0))</f>
        <v>0</v>
      </c>
      <c r="L270" s="361">
        <f>+IF($I270=L$3,VLOOKUP($H270,Depreciation!$A$6:$L$10,9,FALSE)/2,IF($I270&lt;L$3,VLOOKUP($H270,Depreciation!$A$6:$L$10,9,FALSE),0))</f>
        <v>0</v>
      </c>
      <c r="M270" s="361">
        <f>+IF($I270=M$3,VLOOKUP($H270,Depreciation!$A$6:$L$10,10,FALSE)/2,IF($I270&lt;M$3,VLOOKUP($H270,Depreciation!$A$6:$L$10,10,FALSE),0))</f>
        <v>1.5338181838063448E-2</v>
      </c>
      <c r="N270" s="361">
        <f>+IF($I270=N$3,VLOOKUP($H270,Depreciation!$A$6:$L$10,11,FALSE)/2,IF($I270&lt;N$3,VLOOKUP($H270,Depreciation!$A$6:$L$10,11,FALSE),0))</f>
        <v>3.0676363676126896E-2</v>
      </c>
      <c r="O270" s="361">
        <f>+IF($I270=O$3,VLOOKUP($H270,Depreciation!$A$6:$L$10,12,FALSE)/2,IF($I270&lt;O$3,VLOOKUP($H270,Depreciation!$A$6:$L$10,12,FALSE),0))</f>
        <v>3.0676363676126896E-2</v>
      </c>
      <c r="P270" s="362">
        <f t="shared" si="14"/>
        <v>0</v>
      </c>
      <c r="Q270" s="362">
        <f t="shared" si="15"/>
        <v>0</v>
      </c>
      <c r="R270" s="363">
        <f t="shared" si="16"/>
        <v>0</v>
      </c>
    </row>
    <row r="271" spans="1:18">
      <c r="A271" s="359" t="str">
        <f>'Func Future Lines 2015'!A271</f>
        <v>OOM</v>
      </c>
      <c r="B271" s="359" t="str">
        <f>'Func Future Lines 2015'!B271</f>
        <v>New 7km s/c tap to 7L90</v>
      </c>
      <c r="C271" s="359">
        <f>'Func Future Lines 2015'!C271</f>
        <v>1722</v>
      </c>
      <c r="D271" s="359">
        <f>'Func Future Lines 2015'!D271</f>
        <v>144</v>
      </c>
      <c r="E271" s="359">
        <f>'Func Future Lines 2015'!E271</f>
        <v>0</v>
      </c>
      <c r="F271" s="359">
        <f>'Func Future Lines 2015'!F271</f>
        <v>0</v>
      </c>
      <c r="G271" s="359">
        <f>'Func Future Lines 2015'!G271</f>
        <v>5595520.8321615737</v>
      </c>
      <c r="H271" s="359" t="str">
        <f>'Func Future Lines 2015'!H271</f>
        <v>ATCO</v>
      </c>
      <c r="I271" s="359">
        <f>'Func Future Lines 2015'!I271</f>
        <v>2017</v>
      </c>
      <c r="J271" s="361">
        <f>+IF($I271=J$3,VLOOKUP($H271,Depreciation!$A$6:$L$10,7,FALSE)/2,IF($I271&lt;J$3,VLOOKUP($H271,Depreciation!$A$6:$L$10,7,FALSE),0))</f>
        <v>0</v>
      </c>
      <c r="K271" s="361">
        <f>+IF($I271=K$3,VLOOKUP($H271,Depreciation!$A$6:$L$10,8,FALSE)/2,IF($I271&lt;K$3,VLOOKUP($H271,Depreciation!$A$6:$L$10,8,FALSE),0))</f>
        <v>0</v>
      </c>
      <c r="L271" s="361">
        <f>+IF($I271=L$3,VLOOKUP($H271,Depreciation!$A$6:$L$10,9,FALSE)/2,IF($I271&lt;L$3,VLOOKUP($H271,Depreciation!$A$6:$L$10,9,FALSE),0))</f>
        <v>1.2001018963427959E-2</v>
      </c>
      <c r="M271" s="361">
        <f>+IF($I271=M$3,VLOOKUP($H271,Depreciation!$A$6:$L$10,10,FALSE)/2,IF($I271&lt;M$3,VLOOKUP($H271,Depreciation!$A$6:$L$10,10,FALSE),0))</f>
        <v>2.4002037926855919E-2</v>
      </c>
      <c r="N271" s="361">
        <f>+IF($I271=N$3,VLOOKUP($H271,Depreciation!$A$6:$L$10,11,FALSE)/2,IF($I271&lt;N$3,VLOOKUP($H271,Depreciation!$A$6:$L$10,11,FALSE),0))</f>
        <v>2.4002037926855919E-2</v>
      </c>
      <c r="O271" s="361">
        <f>+IF($I271=O$3,VLOOKUP($H271,Depreciation!$A$6:$L$10,12,FALSE)/2,IF($I271&lt;O$3,VLOOKUP($H271,Depreciation!$A$6:$L$10,12,FALSE),0))</f>
        <v>2.4002037926855919E-2</v>
      </c>
      <c r="P271" s="362">
        <f t="shared" si="14"/>
        <v>0</v>
      </c>
      <c r="Q271" s="362">
        <f t="shared" si="15"/>
        <v>0</v>
      </c>
      <c r="R271" s="363">
        <f t="shared" si="16"/>
        <v>0</v>
      </c>
    </row>
    <row r="272" spans="1:18">
      <c r="A272" s="359" t="str">
        <f>'Func Future Lines 2015'!A272</f>
        <v>NID</v>
      </c>
      <c r="B272" s="359" t="str">
        <f>'Func Future Lines 2015'!B272</f>
        <v>138kV line</v>
      </c>
      <c r="C272" s="359">
        <f>'Func Future Lines 2015'!C272</f>
        <v>1456</v>
      </c>
      <c r="D272" s="359">
        <f>'Func Future Lines 2015'!D272</f>
        <v>138</v>
      </c>
      <c r="E272" s="359">
        <f>'Func Future Lines 2015'!E272</f>
        <v>0</v>
      </c>
      <c r="F272" s="359" t="str">
        <f>'Func Future Lines 2015'!F272</f>
        <v>Calgary</v>
      </c>
      <c r="G272" s="359">
        <f>'Func Future Lines 2015'!G272</f>
        <v>74119816.894765332</v>
      </c>
      <c r="H272" s="359" t="str">
        <f>'Func Future Lines 2015'!H272</f>
        <v>ENMAX</v>
      </c>
      <c r="I272" s="359">
        <f>'Func Future Lines 2015'!I272</f>
        <v>2021</v>
      </c>
      <c r="J272" s="361">
        <f>+IF($I272=J$3,VLOOKUP($H272,Depreciation!$A$6:$L$10,7,FALSE)/2,IF($I272&lt;J$3,VLOOKUP($H272,Depreciation!$A$6:$L$10,7,FALSE),0))</f>
        <v>0</v>
      </c>
      <c r="K272" s="361">
        <f>+IF($I272=K$3,VLOOKUP($H272,Depreciation!$A$6:$L$10,8,FALSE)/2,IF($I272&lt;K$3,VLOOKUP($H272,Depreciation!$A$6:$L$10,8,FALSE),0))</f>
        <v>0</v>
      </c>
      <c r="L272" s="361">
        <f>+IF($I272=L$3,VLOOKUP($H272,Depreciation!$A$6:$L$10,9,FALSE)/2,IF($I272&lt;L$3,VLOOKUP($H272,Depreciation!$A$6:$L$10,9,FALSE),0))</f>
        <v>0</v>
      </c>
      <c r="M272" s="361">
        <f>+IF($I272=M$3,VLOOKUP($H272,Depreciation!$A$6:$L$10,10,FALSE)/2,IF($I272&lt;M$3,VLOOKUP($H272,Depreciation!$A$6:$L$10,10,FALSE),0))</f>
        <v>0</v>
      </c>
      <c r="N272" s="361">
        <f>+IF($I272=N$3,VLOOKUP($H272,Depreciation!$A$6:$L$10,11,FALSE)/2,IF($I272&lt;N$3,VLOOKUP($H272,Depreciation!$A$6:$L$10,11,FALSE),0))</f>
        <v>0</v>
      </c>
      <c r="O272" s="361">
        <f>+IF($I272=O$3,VLOOKUP($H272,Depreciation!$A$6:$L$10,12,FALSE)/2,IF($I272&lt;O$3,VLOOKUP($H272,Depreciation!$A$6:$L$10,12,FALSE),0))</f>
        <v>0</v>
      </c>
      <c r="P272" s="362">
        <f t="shared" si="14"/>
        <v>0</v>
      </c>
      <c r="Q272" s="362">
        <f t="shared" si="15"/>
        <v>0</v>
      </c>
      <c r="R272" s="363">
        <f t="shared" si="16"/>
        <v>0</v>
      </c>
    </row>
    <row r="273" spans="1:21">
      <c r="A273" s="359" t="str">
        <f>'Func Future Lines 2015'!A273</f>
        <v>Planning</v>
      </c>
      <c r="B273" s="359" t="str">
        <f>'Func Future Lines 2015'!B273</f>
        <v>144KV line</v>
      </c>
      <c r="C273" s="359">
        <f>'Func Future Lines 2015'!C273</f>
        <v>1784</v>
      </c>
      <c r="D273" s="359">
        <f>'Func Future Lines 2015'!D273</f>
        <v>144</v>
      </c>
      <c r="E273" s="359">
        <f>'Func Future Lines 2015'!E273</f>
        <v>0</v>
      </c>
      <c r="F273" s="359" t="str">
        <f>'Func Future Lines 2015'!F273</f>
        <v>Grande Prairie</v>
      </c>
      <c r="G273" s="359">
        <f>'Func Future Lines 2015'!G273</f>
        <v>35000000</v>
      </c>
      <c r="H273" s="359" t="str">
        <f>'Func Future Lines 2015'!H273</f>
        <v>ATCO</v>
      </c>
      <c r="I273" s="359">
        <f>'Func Future Lines 2015'!I273</f>
        <v>2020</v>
      </c>
      <c r="J273" s="361">
        <f>+IF($I273=J$3,VLOOKUP($H273,Depreciation!$A$6:$L$10,7,FALSE)/2,IF($I273&lt;J$3,VLOOKUP($H273,Depreciation!$A$6:$L$10,7,FALSE),0))</f>
        <v>0</v>
      </c>
      <c r="K273" s="361">
        <f>+IF($I273=K$3,VLOOKUP($H273,Depreciation!$A$6:$L$10,8,FALSE)/2,IF($I273&lt;K$3,VLOOKUP($H273,Depreciation!$A$6:$L$10,8,FALSE),0))</f>
        <v>0</v>
      </c>
      <c r="L273" s="361">
        <f>+IF($I273=L$3,VLOOKUP($H273,Depreciation!$A$6:$L$10,9,FALSE)/2,IF($I273&lt;L$3,VLOOKUP($H273,Depreciation!$A$6:$L$10,9,FALSE),0))</f>
        <v>0</v>
      </c>
      <c r="M273" s="361">
        <f>+IF($I273=M$3,VLOOKUP($H273,Depreciation!$A$6:$L$10,10,FALSE)/2,IF($I273&lt;M$3,VLOOKUP($H273,Depreciation!$A$6:$L$10,10,FALSE),0))</f>
        <v>0</v>
      </c>
      <c r="N273" s="361">
        <f>+IF($I273=N$3,VLOOKUP($H273,Depreciation!$A$6:$L$10,11,FALSE)/2,IF($I273&lt;N$3,VLOOKUP($H273,Depreciation!$A$6:$L$10,11,FALSE),0))</f>
        <v>0</v>
      </c>
      <c r="O273" s="361">
        <f>+IF($I273=O$3,VLOOKUP($H273,Depreciation!$A$6:$L$10,12,FALSE)/2,IF($I273&lt;O$3,VLOOKUP($H273,Depreciation!$A$6:$L$10,12,FALSE),0))</f>
        <v>1.2001018963427959E-2</v>
      </c>
      <c r="P273" s="362">
        <f t="shared" si="14"/>
        <v>0</v>
      </c>
      <c r="Q273" s="362">
        <f t="shared" si="15"/>
        <v>0</v>
      </c>
      <c r="R273" s="363">
        <f t="shared" si="16"/>
        <v>0</v>
      </c>
    </row>
    <row r="274" spans="1:21">
      <c r="A274" s="359" t="str">
        <f>'Func Future Lines 2015'!A274</f>
        <v>Planning</v>
      </c>
      <c r="B274" s="359" t="str">
        <f>'Func Future Lines 2015'!B274</f>
        <v>144 kV line</v>
      </c>
      <c r="C274" s="359">
        <f>'Func Future Lines 2015'!C274</f>
        <v>1785</v>
      </c>
      <c r="D274" s="359">
        <f>'Func Future Lines 2015'!D274</f>
        <v>144</v>
      </c>
      <c r="E274" s="359">
        <f>'Func Future Lines 2015'!E274</f>
        <v>0</v>
      </c>
      <c r="F274" s="359" t="str">
        <f>'Func Future Lines 2015'!F274</f>
        <v>Grande Prairie</v>
      </c>
      <c r="G274" s="359">
        <f>'Func Future Lines 2015'!G274</f>
        <v>40000000</v>
      </c>
      <c r="H274" s="359" t="str">
        <f>'Func Future Lines 2015'!H274</f>
        <v>ATCO</v>
      </c>
      <c r="I274" s="359">
        <f>'Func Future Lines 2015'!I274</f>
        <v>2020</v>
      </c>
      <c r="J274" s="361">
        <f>+IF($I274=J$3,VLOOKUP($H274,Depreciation!$A$6:$L$10,7,FALSE)/2,IF($I274&lt;J$3,VLOOKUP($H274,Depreciation!$A$6:$L$10,7,FALSE),0))</f>
        <v>0</v>
      </c>
      <c r="K274" s="361">
        <f>+IF($I274=K$3,VLOOKUP($H274,Depreciation!$A$6:$L$10,8,FALSE)/2,IF($I274&lt;K$3,VLOOKUP($H274,Depreciation!$A$6:$L$10,8,FALSE),0))</f>
        <v>0</v>
      </c>
      <c r="L274" s="361">
        <f>+IF($I274=L$3,VLOOKUP($H274,Depreciation!$A$6:$L$10,9,FALSE)/2,IF($I274&lt;L$3,VLOOKUP($H274,Depreciation!$A$6:$L$10,9,FALSE),0))</f>
        <v>0</v>
      </c>
      <c r="M274" s="361">
        <f>+IF($I274=M$3,VLOOKUP($H274,Depreciation!$A$6:$L$10,10,FALSE)/2,IF($I274&lt;M$3,VLOOKUP($H274,Depreciation!$A$6:$L$10,10,FALSE),0))</f>
        <v>0</v>
      </c>
      <c r="N274" s="361">
        <f>+IF($I274=N$3,VLOOKUP($H274,Depreciation!$A$6:$L$10,11,FALSE)/2,IF($I274&lt;N$3,VLOOKUP($H274,Depreciation!$A$6:$L$10,11,FALSE),0))</f>
        <v>0</v>
      </c>
      <c r="O274" s="361">
        <f>+IF($I274=O$3,VLOOKUP($H274,Depreciation!$A$6:$L$10,12,FALSE)/2,IF($I274&lt;O$3,VLOOKUP($H274,Depreciation!$A$6:$L$10,12,FALSE),0))</f>
        <v>1.2001018963427959E-2</v>
      </c>
      <c r="P274" s="362">
        <f t="shared" si="14"/>
        <v>0</v>
      </c>
      <c r="Q274" s="362">
        <f t="shared" si="15"/>
        <v>0</v>
      </c>
      <c r="R274" s="363">
        <f t="shared" si="16"/>
        <v>0</v>
      </c>
    </row>
    <row r="275" spans="1:21">
      <c r="A275" s="359" t="str">
        <f>'Func Future Lines 2015'!A275</f>
        <v>Planning</v>
      </c>
      <c r="B275" s="359" t="str">
        <f>'Func Future Lines 2015'!B275</f>
        <v>144kV line</v>
      </c>
      <c r="C275" s="359">
        <f>'Func Future Lines 2015'!C275</f>
        <v>1781</v>
      </c>
      <c r="D275" s="359">
        <f>'Func Future Lines 2015'!D275</f>
        <v>144</v>
      </c>
      <c r="E275" s="359">
        <f>'Func Future Lines 2015'!E275</f>
        <v>0</v>
      </c>
      <c r="F275" s="359" t="str">
        <f>'Func Future Lines 2015'!F275</f>
        <v>Central East</v>
      </c>
      <c r="G275" s="359">
        <f>'Func Future Lines 2015'!G275</f>
        <v>150186554.50853476</v>
      </c>
      <c r="H275" s="359" t="str">
        <f>'Func Future Lines 2015'!H275</f>
        <v>AltaLink</v>
      </c>
      <c r="I275" s="359">
        <f>'Func Future Lines 2015'!I275</f>
        <v>2021</v>
      </c>
      <c r="J275" s="361">
        <f>+IF($I275=J$3,VLOOKUP($H275,Depreciation!$A$6:$L$10,7,FALSE)/2,IF($I275&lt;J$3,VLOOKUP($H275,Depreciation!$A$6:$L$10,7,FALSE),0))</f>
        <v>0</v>
      </c>
      <c r="K275" s="361">
        <f>+IF($I275=K$3,VLOOKUP($H275,Depreciation!$A$6:$L$10,8,FALSE)/2,IF($I275&lt;K$3,VLOOKUP($H275,Depreciation!$A$6:$L$10,8,FALSE),0))</f>
        <v>0</v>
      </c>
      <c r="L275" s="361">
        <f>+IF($I275=L$3,VLOOKUP($H275,Depreciation!$A$6:$L$10,9,FALSE)/2,IF($I275&lt;L$3,VLOOKUP($H275,Depreciation!$A$6:$L$10,9,FALSE),0))</f>
        <v>0</v>
      </c>
      <c r="M275" s="361">
        <f>+IF($I275=M$3,VLOOKUP($H275,Depreciation!$A$6:$L$10,10,FALSE)/2,IF($I275&lt;M$3,VLOOKUP($H275,Depreciation!$A$6:$L$10,10,FALSE),0))</f>
        <v>0</v>
      </c>
      <c r="N275" s="361">
        <f>+IF($I275=N$3,VLOOKUP($H275,Depreciation!$A$6:$L$10,11,FALSE)/2,IF($I275&lt;N$3,VLOOKUP($H275,Depreciation!$A$6:$L$10,11,FALSE),0))</f>
        <v>0</v>
      </c>
      <c r="O275" s="361">
        <f>+IF($I275=O$3,VLOOKUP($H275,Depreciation!$A$6:$L$10,12,FALSE)/2,IF($I275&lt;O$3,VLOOKUP($H275,Depreciation!$A$6:$L$10,12,FALSE),0))</f>
        <v>0</v>
      </c>
      <c r="P275" s="362">
        <f t="shared" si="14"/>
        <v>0</v>
      </c>
      <c r="Q275" s="362">
        <f t="shared" si="15"/>
        <v>0</v>
      </c>
      <c r="R275" s="363">
        <f t="shared" si="16"/>
        <v>0</v>
      </c>
    </row>
    <row r="276" spans="1:21">
      <c r="A276" s="359" t="str">
        <f>'Func Future Lines 2015'!A276</f>
        <v>Planning</v>
      </c>
      <c r="B276" s="359" t="str">
        <f>'Func Future Lines 2015'!B276</f>
        <v>144KV line</v>
      </c>
      <c r="C276" s="359">
        <f>'Func Future Lines 2015'!C276</f>
        <v>1781</v>
      </c>
      <c r="D276" s="359">
        <f>'Func Future Lines 2015'!D276</f>
        <v>144</v>
      </c>
      <c r="E276" s="359">
        <f>'Func Future Lines 2015'!E276</f>
        <v>0</v>
      </c>
      <c r="F276" s="359" t="str">
        <f>'Func Future Lines 2015'!F276</f>
        <v>Central East</v>
      </c>
      <c r="G276" s="359">
        <f>'Func Future Lines 2015'!G276</f>
        <v>43590130.403618827</v>
      </c>
      <c r="H276" s="359" t="str">
        <f>'Func Future Lines 2015'!H276</f>
        <v>ATCO</v>
      </c>
      <c r="I276" s="359">
        <f>'Func Future Lines 2015'!I276</f>
        <v>2021</v>
      </c>
      <c r="J276" s="361">
        <f>+IF($I276=J$3,VLOOKUP($H276,Depreciation!$A$6:$L$10,7,FALSE)/2,IF($I276&lt;J$3,VLOOKUP($H276,Depreciation!$A$6:$L$10,7,FALSE),0))</f>
        <v>0</v>
      </c>
      <c r="K276" s="361">
        <f>+IF($I276=K$3,VLOOKUP($H276,Depreciation!$A$6:$L$10,8,FALSE)/2,IF($I276&lt;K$3,VLOOKUP($H276,Depreciation!$A$6:$L$10,8,FALSE),0))</f>
        <v>0</v>
      </c>
      <c r="L276" s="361">
        <f>+IF($I276=L$3,VLOOKUP($H276,Depreciation!$A$6:$L$10,9,FALSE)/2,IF($I276&lt;L$3,VLOOKUP($H276,Depreciation!$A$6:$L$10,9,FALSE),0))</f>
        <v>0</v>
      </c>
      <c r="M276" s="361">
        <f>+IF($I276=M$3,VLOOKUP($H276,Depreciation!$A$6:$L$10,10,FALSE)/2,IF($I276&lt;M$3,VLOOKUP($H276,Depreciation!$A$6:$L$10,10,FALSE),0))</f>
        <v>0</v>
      </c>
      <c r="N276" s="361">
        <f>+IF($I276=N$3,VLOOKUP($H276,Depreciation!$A$6:$L$10,11,FALSE)/2,IF($I276&lt;N$3,VLOOKUP($H276,Depreciation!$A$6:$L$10,11,FALSE),0))</f>
        <v>0</v>
      </c>
      <c r="O276" s="361">
        <f>+IF($I276=O$3,VLOOKUP($H276,Depreciation!$A$6:$L$10,12,FALSE)/2,IF($I276&lt;O$3,VLOOKUP($H276,Depreciation!$A$6:$L$10,12,FALSE),0))</f>
        <v>0</v>
      </c>
      <c r="P276" s="362">
        <f t="shared" si="14"/>
        <v>0</v>
      </c>
      <c r="Q276" s="362">
        <f t="shared" si="15"/>
        <v>0</v>
      </c>
      <c r="R276" s="363">
        <f t="shared" si="16"/>
        <v>0</v>
      </c>
    </row>
    <row r="277" spans="1:21">
      <c r="A277" s="359" t="str">
        <f>'Func Future Lines 2015'!A277</f>
        <v>Planning</v>
      </c>
      <c r="B277" s="359" t="str">
        <f>'Func Future Lines 2015'!B277</f>
        <v>Competitive Process</v>
      </c>
      <c r="C277" s="359">
        <f>'Func Future Lines 2015'!C277</f>
        <v>1590</v>
      </c>
      <c r="D277" s="359">
        <f>'Func Future Lines 2015'!D277</f>
        <v>500</v>
      </c>
      <c r="E277" s="359">
        <f>'Func Future Lines 2015'!E277</f>
        <v>0</v>
      </c>
      <c r="F277" s="359" t="str">
        <f>'Func Future Lines 2015'!F277</f>
        <v>Ft McMurray</v>
      </c>
      <c r="G277" s="359">
        <f>'Func Future Lines 2015'!G277</f>
        <v>0</v>
      </c>
      <c r="H277" s="359" t="str">
        <f>'Func Future Lines 2015'!H277</f>
        <v>Average</v>
      </c>
      <c r="I277" s="359">
        <f>'Func Future Lines 2015'!I277</f>
        <v>2019</v>
      </c>
      <c r="J277" s="361">
        <f>+IF($I277=J$3,VLOOKUP($H277,Depreciation!$A$6:$L$10,7,FALSE)/2,IF($I277&lt;J$3,VLOOKUP($H277,Depreciation!$A$6:$L$10,7,FALSE),0))</f>
        <v>0</v>
      </c>
      <c r="K277" s="361">
        <f>+IF($I277=K$3,VLOOKUP($H277,Depreciation!$A$6:$L$10,8,FALSE)/2,IF($I277&lt;K$3,VLOOKUP($H277,Depreciation!$A$6:$L$10,8,FALSE),0))</f>
        <v>0</v>
      </c>
      <c r="L277" s="361">
        <f>+IF($I277=L$3,VLOOKUP($H277,Depreciation!$A$6:$L$10,9,FALSE)/2,IF($I277&lt;L$3,VLOOKUP($H277,Depreciation!$A$6:$L$10,9,FALSE),0))</f>
        <v>0</v>
      </c>
      <c r="M277" s="361">
        <f>+IF($I277=M$3,VLOOKUP($H277,Depreciation!$A$6:$L$10,10,FALSE)/2,IF($I277&lt;M$3,VLOOKUP($H277,Depreciation!$A$6:$L$10,10,FALSE),0))</f>
        <v>0</v>
      </c>
      <c r="N277" s="361">
        <f>+IF($I277=N$3,VLOOKUP($H277,Depreciation!$A$6:$L$10,11,FALSE)/2,IF($I277&lt;N$3,VLOOKUP($H277,Depreciation!$A$6:$L$10,11,FALSE),0))</f>
        <v>1.3732050514778531E-2</v>
      </c>
      <c r="O277" s="361">
        <f>+IF($I277=O$3,VLOOKUP($H277,Depreciation!$A$6:$L$10,12,FALSE)/2,IF($I277&lt;O$3,VLOOKUP($H277,Depreciation!$A$6:$L$10,12,FALSE),0))</f>
        <v>2.7464101029557063E-2</v>
      </c>
      <c r="P277" s="362">
        <f t="shared" si="14"/>
        <v>0</v>
      </c>
      <c r="Q277" s="362">
        <f t="shared" si="15"/>
        <v>0</v>
      </c>
      <c r="R277" s="363">
        <f t="shared" si="16"/>
        <v>0</v>
      </c>
    </row>
    <row r="278" spans="1:21">
      <c r="F278" s="4"/>
      <c r="G278" s="4"/>
      <c r="H278" s="4"/>
      <c r="I278" s="4"/>
    </row>
    <row r="279" spans="1:21">
      <c r="F279" s="4"/>
      <c r="G279" s="101">
        <f>SUM(G4:G277)</f>
        <v>5884356833.6935625</v>
      </c>
      <c r="H279" s="4"/>
      <c r="I279" s="4"/>
      <c r="P279" s="367">
        <f>SUM(P4:P277)</f>
        <v>4424115405.3605032</v>
      </c>
      <c r="Q279" s="367">
        <f t="shared" ref="Q279:R279" si="17">SUM(Q4:Q277)</f>
        <v>4151532221.6367512</v>
      </c>
      <c r="R279" s="367">
        <f t="shared" si="17"/>
        <v>272197600.25485688</v>
      </c>
    </row>
    <row r="280" spans="1:21">
      <c r="F280" s="4"/>
      <c r="G280" s="101">
        <f>SUMIF(I4:I277,"&lt;=2016",G4:G277)</f>
        <v>4602191540.8390465</v>
      </c>
      <c r="H280" s="4"/>
      <c r="I280" s="4"/>
      <c r="O280" s="594"/>
      <c r="P280" s="596"/>
      <c r="Q280" s="596"/>
      <c r="R280" s="596"/>
      <c r="S280" s="594"/>
      <c r="T280" s="594"/>
      <c r="U280" s="594"/>
    </row>
    <row r="281" spans="1:21">
      <c r="F281" s="4"/>
      <c r="G281" s="4"/>
      <c r="H281" s="4"/>
      <c r="I281" s="4"/>
      <c r="J281" s="4"/>
      <c r="O281" s="594"/>
      <c r="P281" s="594"/>
      <c r="Q281" s="1006"/>
      <c r="R281" s="1006"/>
      <c r="S281" s="594"/>
      <c r="T281" s="594"/>
      <c r="U281" s="594"/>
    </row>
    <row r="282" spans="1:21">
      <c r="F282" s="4"/>
      <c r="G282" s="4"/>
      <c r="H282" s="4"/>
      <c r="I282" s="4"/>
      <c r="J282" s="4"/>
      <c r="O282" s="594"/>
      <c r="P282" s="594"/>
      <c r="Q282" s="594"/>
      <c r="R282" s="594"/>
      <c r="S282" s="594"/>
      <c r="T282" s="594"/>
      <c r="U282" s="594"/>
    </row>
    <row r="283" spans="1:21">
      <c r="F283" s="4"/>
      <c r="G283" s="4"/>
      <c r="H283" s="4"/>
      <c r="I283" s="4"/>
      <c r="J283" s="4"/>
      <c r="O283" s="594"/>
      <c r="P283" s="594"/>
      <c r="Q283" s="594"/>
      <c r="R283" s="594"/>
      <c r="S283" s="594"/>
      <c r="T283" s="594"/>
      <c r="U283" s="594"/>
    </row>
    <row r="284" spans="1:21">
      <c r="F284" s="4"/>
      <c r="G284" s="4"/>
      <c r="H284" s="4"/>
      <c r="I284" s="4"/>
      <c r="J284" s="4"/>
      <c r="O284" s="594"/>
      <c r="P284" s="594"/>
      <c r="Q284" s="594"/>
      <c r="R284" s="594"/>
      <c r="S284" s="594"/>
      <c r="T284" s="594"/>
      <c r="U284" s="594"/>
    </row>
    <row r="285" spans="1:21">
      <c r="F285" s="4"/>
      <c r="G285" s="4"/>
      <c r="H285" s="4"/>
      <c r="I285" s="4"/>
      <c r="J285" s="4"/>
      <c r="O285" s="594"/>
      <c r="P285" s="594"/>
      <c r="Q285" s="594"/>
      <c r="R285" s="594"/>
      <c r="S285" s="594"/>
      <c r="T285" s="594"/>
      <c r="U285" s="594"/>
    </row>
    <row r="286" spans="1:21">
      <c r="F286" s="4"/>
      <c r="G286" s="4"/>
      <c r="H286" s="4"/>
      <c r="I286" s="4"/>
      <c r="J286" s="4"/>
      <c r="O286" s="594"/>
      <c r="P286" s="594"/>
      <c r="Q286" s="594"/>
      <c r="R286" s="594"/>
      <c r="S286" s="594"/>
      <c r="T286" s="594"/>
      <c r="U286" s="594"/>
    </row>
    <row r="287" spans="1:21">
      <c r="F287" s="4"/>
      <c r="G287" s="4"/>
      <c r="H287" s="4"/>
      <c r="I287" s="4"/>
      <c r="J287" s="4"/>
      <c r="O287" s="594"/>
      <c r="P287" s="594"/>
      <c r="Q287" s="594"/>
      <c r="R287" s="594"/>
      <c r="S287" s="594"/>
      <c r="T287" s="594"/>
      <c r="U287" s="594"/>
    </row>
    <row r="288" spans="1:21">
      <c r="F288" s="4"/>
      <c r="G288" s="4"/>
      <c r="H288" s="4"/>
      <c r="I288" s="4"/>
      <c r="J288" s="4"/>
    </row>
    <row r="289" spans="6:10">
      <c r="F289" s="4"/>
      <c r="G289" s="4"/>
      <c r="H289" s="4"/>
      <c r="I289" s="4"/>
      <c r="J289" s="4"/>
    </row>
    <row r="290" spans="6:10">
      <c r="F290" s="4"/>
      <c r="G290" s="4"/>
      <c r="H290" s="4"/>
      <c r="I290" s="4"/>
      <c r="J290" s="4"/>
    </row>
    <row r="291" spans="6:10">
      <c r="F291" s="4"/>
      <c r="G291" s="4"/>
      <c r="H291" s="4"/>
      <c r="I291" s="4"/>
      <c r="J291" s="4"/>
    </row>
    <row r="292" spans="6:10">
      <c r="F292" s="4"/>
      <c r="G292" s="4"/>
      <c r="H292" s="4"/>
      <c r="I292" s="4"/>
      <c r="J292" s="4"/>
    </row>
    <row r="293" spans="6:10">
      <c r="F293" s="4"/>
      <c r="G293" s="4"/>
      <c r="H293" s="4"/>
      <c r="I293" s="4"/>
      <c r="J293" s="4"/>
    </row>
    <row r="294" spans="6:10">
      <c r="F294" s="4"/>
      <c r="G294" s="4"/>
      <c r="H294" s="4"/>
      <c r="I294" s="4"/>
      <c r="J294" s="4"/>
    </row>
    <row r="295" spans="6:10">
      <c r="F295" s="4"/>
      <c r="G295" s="4"/>
      <c r="H295" s="4"/>
      <c r="I295" s="4"/>
      <c r="J295" s="4"/>
    </row>
    <row r="296" spans="6:10">
      <c r="F296" s="4"/>
      <c r="G296" s="4"/>
      <c r="H296" s="4"/>
      <c r="I296" s="4"/>
      <c r="J296" s="4"/>
    </row>
    <row r="297" spans="6:10">
      <c r="F297" s="4"/>
      <c r="G297" s="4"/>
      <c r="H297" s="4"/>
      <c r="I297" s="4"/>
      <c r="J297" s="4"/>
    </row>
    <row r="298" spans="6:10">
      <c r="F298" s="4"/>
      <c r="G298" s="4"/>
      <c r="H298" s="4"/>
      <c r="I298" s="4"/>
      <c r="J298" s="4"/>
    </row>
    <row r="299" spans="6:10">
      <c r="F299" s="4"/>
      <c r="G299" s="4"/>
      <c r="H299" s="4"/>
      <c r="I299" s="4"/>
      <c r="J299" s="4"/>
    </row>
    <row r="300" spans="6:10">
      <c r="F300" s="4"/>
      <c r="G300" s="4"/>
      <c r="H300" s="4"/>
      <c r="I300" s="4"/>
      <c r="J300" s="4"/>
    </row>
    <row r="301" spans="6:10">
      <c r="F301" s="4"/>
      <c r="G301" s="4"/>
      <c r="H301" s="4"/>
      <c r="I301" s="4"/>
      <c r="J301" s="4"/>
    </row>
    <row r="302" spans="6:10">
      <c r="F302" s="4"/>
      <c r="G302" s="4"/>
      <c r="H302" s="4"/>
      <c r="I302" s="4"/>
      <c r="J302" s="4"/>
    </row>
    <row r="303" spans="6:10">
      <c r="F303" s="4"/>
      <c r="G303" s="4"/>
      <c r="H303" s="4"/>
      <c r="I303" s="4"/>
      <c r="J303" s="4"/>
    </row>
    <row r="304" spans="6:10">
      <c r="F304" s="4"/>
      <c r="G304" s="4"/>
      <c r="H304" s="4"/>
      <c r="I304" s="4"/>
      <c r="J304" s="4"/>
    </row>
    <row r="305" spans="6:10">
      <c r="F305" s="4"/>
      <c r="G305" s="4"/>
      <c r="H305" s="4"/>
      <c r="I305" s="4"/>
      <c r="J305" s="4"/>
    </row>
    <row r="306" spans="6:10">
      <c r="F306" s="4"/>
      <c r="G306" s="4"/>
      <c r="H306" s="4"/>
      <c r="I306" s="4"/>
      <c r="J306" s="4"/>
    </row>
    <row r="307" spans="6:10">
      <c r="F307" s="4"/>
      <c r="G307" s="4"/>
      <c r="H307" s="4"/>
      <c r="I307" s="4"/>
      <c r="J307" s="4"/>
    </row>
    <row r="308" spans="6:10">
      <c r="F308" s="4"/>
      <c r="G308" s="4"/>
      <c r="H308" s="4"/>
      <c r="I308" s="4"/>
      <c r="J308" s="4"/>
    </row>
    <row r="309" spans="6:10">
      <c r="F309" s="4"/>
      <c r="G309" s="4"/>
      <c r="H309" s="4"/>
      <c r="I309" s="4"/>
      <c r="J309" s="4"/>
    </row>
    <row r="310" spans="6:10">
      <c r="F310" s="4"/>
      <c r="G310" s="4"/>
      <c r="H310" s="4"/>
      <c r="I310" s="4"/>
      <c r="J310" s="4"/>
    </row>
    <row r="311" spans="6:10">
      <c r="F311" s="4"/>
      <c r="G311" s="4"/>
      <c r="H311" s="4"/>
      <c r="I311" s="4"/>
      <c r="J311" s="4"/>
    </row>
    <row r="312" spans="6:10">
      <c r="F312" s="4"/>
      <c r="G312" s="4"/>
      <c r="H312" s="4"/>
      <c r="I312" s="4"/>
      <c r="J312" s="4"/>
    </row>
    <row r="313" spans="6:10">
      <c r="F313" s="4"/>
      <c r="G313" s="4"/>
      <c r="H313" s="4"/>
      <c r="I313" s="4"/>
      <c r="J313" s="4"/>
    </row>
    <row r="314" spans="6:10">
      <c r="F314" s="4"/>
      <c r="G314" s="4"/>
      <c r="H314" s="4"/>
      <c r="I314" s="4"/>
      <c r="J314" s="4"/>
    </row>
    <row r="315" spans="6:10">
      <c r="F315" s="4"/>
      <c r="G315" s="4"/>
      <c r="H315" s="4"/>
      <c r="I315" s="4"/>
      <c r="J315" s="4"/>
    </row>
    <row r="316" spans="6:10">
      <c r="F316" s="4"/>
      <c r="G316" s="4"/>
      <c r="H316" s="4"/>
      <c r="I316" s="4"/>
      <c r="J316" s="4"/>
    </row>
    <row r="317" spans="6:10">
      <c r="F317" s="4"/>
      <c r="G317" s="4"/>
      <c r="H317" s="4"/>
      <c r="I317" s="4"/>
      <c r="J317" s="4"/>
    </row>
    <row r="318" spans="6:10">
      <c r="F318" s="4"/>
      <c r="G318" s="4"/>
      <c r="H318" s="4"/>
      <c r="I318" s="4"/>
      <c r="J318" s="4"/>
    </row>
    <row r="319" spans="6:10">
      <c r="F319" s="4"/>
      <c r="G319" s="4"/>
      <c r="H319" s="4"/>
      <c r="I319" s="4"/>
      <c r="J319" s="4"/>
    </row>
    <row r="320" spans="6:10">
      <c r="F320" s="4"/>
      <c r="G320" s="4"/>
      <c r="H320" s="4"/>
      <c r="I320" s="4"/>
      <c r="J320" s="4"/>
    </row>
    <row r="321" spans="6:10">
      <c r="F321" s="4"/>
      <c r="G321" s="4"/>
      <c r="H321" s="4"/>
      <c r="I321" s="4"/>
      <c r="J321" s="4"/>
    </row>
    <row r="322" spans="6:10">
      <c r="F322" s="4"/>
      <c r="G322" s="4"/>
      <c r="H322" s="4"/>
      <c r="I322" s="4"/>
      <c r="J322" s="4"/>
    </row>
    <row r="323" spans="6:10">
      <c r="F323" s="4"/>
      <c r="G323" s="4"/>
      <c r="H323" s="4"/>
      <c r="I323" s="4"/>
      <c r="J323" s="4"/>
    </row>
    <row r="324" spans="6:10">
      <c r="F324" s="4"/>
      <c r="G324" s="4"/>
      <c r="H324" s="4"/>
      <c r="I324" s="4"/>
      <c r="J324" s="4"/>
    </row>
    <row r="325" spans="6:10">
      <c r="F325" s="4"/>
      <c r="G325" s="4"/>
      <c r="H325" s="4"/>
      <c r="I325" s="4"/>
      <c r="J325" s="4"/>
    </row>
    <row r="326" spans="6:10">
      <c r="F326" s="4"/>
      <c r="G326" s="4"/>
      <c r="H326" s="4"/>
      <c r="I326" s="4"/>
      <c r="J326" s="4"/>
    </row>
    <row r="327" spans="6:10">
      <c r="F327" s="4"/>
      <c r="G327" s="4"/>
      <c r="H327" s="4"/>
      <c r="I327" s="4"/>
      <c r="J327" s="4"/>
    </row>
    <row r="328" spans="6:10">
      <c r="F328" s="4"/>
      <c r="G328" s="4"/>
      <c r="H328" s="4"/>
      <c r="I328" s="4"/>
      <c r="J328" s="4"/>
    </row>
    <row r="329" spans="6:10">
      <c r="F329" s="4"/>
      <c r="G329" s="4"/>
      <c r="H329" s="4"/>
      <c r="I329" s="4"/>
      <c r="J329" s="4"/>
    </row>
    <row r="330" spans="6:10">
      <c r="F330" s="4"/>
      <c r="G330" s="4"/>
      <c r="H330" s="4"/>
      <c r="I330" s="4"/>
      <c r="J330" s="4"/>
    </row>
    <row r="331" spans="6:10">
      <c r="F331" s="4"/>
      <c r="G331" s="4"/>
      <c r="H331" s="4"/>
      <c r="I331" s="4"/>
      <c r="J331" s="4"/>
    </row>
    <row r="332" spans="6:10">
      <c r="F332" s="4"/>
      <c r="G332" s="4"/>
      <c r="H332" s="4"/>
      <c r="I332" s="4"/>
      <c r="J332" s="4"/>
    </row>
    <row r="333" spans="6:10">
      <c r="F333" s="4"/>
      <c r="G333" s="4"/>
      <c r="H333" s="4"/>
      <c r="I333" s="4"/>
      <c r="J333" s="4"/>
    </row>
    <row r="334" spans="6:10">
      <c r="F334" s="4"/>
      <c r="G334" s="4"/>
      <c r="H334" s="4"/>
      <c r="I334" s="4"/>
      <c r="J334" s="4"/>
    </row>
    <row r="335" spans="6:10">
      <c r="F335" s="4"/>
      <c r="G335" s="4"/>
      <c r="H335" s="4"/>
      <c r="I335" s="4"/>
      <c r="J335" s="4"/>
    </row>
    <row r="336" spans="6:10">
      <c r="F336" s="4"/>
      <c r="G336" s="4"/>
      <c r="H336" s="4"/>
      <c r="I336" s="4"/>
      <c r="J336" s="4"/>
    </row>
    <row r="337" spans="6:10">
      <c r="F337" s="4"/>
      <c r="G337" s="4"/>
      <c r="H337" s="4"/>
      <c r="I337" s="4"/>
      <c r="J337" s="4"/>
    </row>
    <row r="338" spans="6:10">
      <c r="J338" s="4"/>
    </row>
    <row r="339" spans="6:10">
      <c r="J339" s="4"/>
    </row>
    <row r="340" spans="6:10">
      <c r="J340" s="4"/>
    </row>
    <row r="341" spans="6:10">
      <c r="J341" s="4"/>
    </row>
    <row r="342" spans="6:10">
      <c r="J342" s="4"/>
    </row>
    <row r="343" spans="6:10">
      <c r="J343" s="4"/>
    </row>
    <row r="344" spans="6:10">
      <c r="J344" s="4"/>
    </row>
    <row r="345" spans="6:10">
      <c r="J345" s="4"/>
    </row>
    <row r="346" spans="6:10">
      <c r="J346" s="4"/>
    </row>
    <row r="347" spans="6:10">
      <c r="J347" s="4"/>
    </row>
    <row r="348" spans="6:10">
      <c r="J348" s="4"/>
    </row>
    <row r="349" spans="6:10">
      <c r="J349" s="4"/>
    </row>
    <row r="350" spans="6:10">
      <c r="J350" s="4"/>
    </row>
    <row r="351" spans="6:10">
      <c r="J351" s="4"/>
    </row>
    <row r="352" spans="6:10">
      <c r="J352" s="4"/>
    </row>
    <row r="353" spans="10:10">
      <c r="J353" s="4"/>
    </row>
    <row r="354" spans="10:10">
      <c r="J354" s="4"/>
    </row>
    <row r="355" spans="10:10">
      <c r="J355" s="4"/>
    </row>
    <row r="356" spans="10:10">
      <c r="J356" s="4"/>
    </row>
    <row r="357" spans="10:10">
      <c r="J357" s="4"/>
    </row>
    <row r="358" spans="10:10">
      <c r="J358" s="4"/>
    </row>
    <row r="359" spans="10:10">
      <c r="J359" s="4"/>
    </row>
    <row r="360" spans="10:10">
      <c r="J360" s="4"/>
    </row>
    <row r="361" spans="10:10">
      <c r="J361" s="4"/>
    </row>
    <row r="362" spans="10:10">
      <c r="J362" s="4"/>
    </row>
    <row r="363" spans="10:10">
      <c r="J363" s="4"/>
    </row>
    <row r="364" spans="10:10">
      <c r="J364" s="4"/>
    </row>
    <row r="365" spans="10:10">
      <c r="J365" s="4"/>
    </row>
    <row r="366" spans="10:10">
      <c r="J366" s="4"/>
    </row>
    <row r="367" spans="10:10">
      <c r="J367" s="4"/>
    </row>
    <row r="368" spans="10:10">
      <c r="J368" s="4"/>
    </row>
    <row r="369" spans="10:10">
      <c r="J369" s="4"/>
    </row>
    <row r="370" spans="10:10">
      <c r="J370" s="4"/>
    </row>
    <row r="371" spans="10:10">
      <c r="J371" s="4"/>
    </row>
    <row r="372" spans="10:10">
      <c r="J372" s="4"/>
    </row>
    <row r="373" spans="10:10">
      <c r="J373" s="4"/>
    </row>
    <row r="374" spans="10:10">
      <c r="J374" s="4"/>
    </row>
    <row r="375" spans="10:10">
      <c r="J375" s="4"/>
    </row>
    <row r="376" spans="10:10">
      <c r="J376" s="4"/>
    </row>
    <row r="377" spans="10:10">
      <c r="J377" s="4"/>
    </row>
    <row r="378" spans="10:10">
      <c r="J378" s="4"/>
    </row>
    <row r="379" spans="10:10">
      <c r="J379" s="4"/>
    </row>
    <row r="380" spans="10:10">
      <c r="J380" s="4"/>
    </row>
    <row r="381" spans="10:10">
      <c r="J381" s="4"/>
    </row>
    <row r="382" spans="10:10">
      <c r="J382" s="4"/>
    </row>
    <row r="383" spans="10:10">
      <c r="J383" s="4"/>
    </row>
    <row r="384" spans="10:10">
      <c r="J384" s="4"/>
    </row>
    <row r="385" spans="10:10">
      <c r="J385" s="4"/>
    </row>
    <row r="386" spans="10:10">
      <c r="J386" s="4"/>
    </row>
    <row r="387" spans="10:10">
      <c r="J387" s="4"/>
    </row>
  </sheetData>
  <autoFilter ref="A3:W277"/>
  <mergeCells count="5">
    <mergeCell ref="Q281:R281"/>
    <mergeCell ref="A1:I1"/>
    <mergeCell ref="K1:O1"/>
    <mergeCell ref="Q1:R1"/>
    <mergeCell ref="U1:W1"/>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Y387"/>
  <sheetViews>
    <sheetView showGridLines="0" zoomScale="60" zoomScaleNormal="60" workbookViewId="0">
      <pane ySplit="3" topLeftCell="A4" activePane="bottomLeft" state="frozen"/>
      <selection activeCell="F18" sqref="F18"/>
      <selection pane="bottomLeft" activeCell="R279" sqref="A1:R279"/>
    </sheetView>
  </sheetViews>
  <sheetFormatPr defaultColWidth="9.109375" defaultRowHeight="13.8"/>
  <cols>
    <col min="1" max="1" width="12.109375" style="366" customWidth="1"/>
    <col min="2" max="2" width="101.6640625" style="366" customWidth="1"/>
    <col min="3" max="3" width="62.109375" style="366" bestFit="1" customWidth="1"/>
    <col min="4" max="4" width="7.44140625" style="366" bestFit="1" customWidth="1"/>
    <col min="5" max="5" width="9.44140625" style="366" bestFit="1" customWidth="1"/>
    <col min="6" max="6" width="43.88671875" style="366" bestFit="1" customWidth="1"/>
    <col min="7" max="7" width="32.6640625" style="366" customWidth="1"/>
    <col min="8" max="14" width="23.33203125" style="366" customWidth="1"/>
    <col min="15" max="15" width="23.44140625" style="366" bestFit="1" customWidth="1"/>
    <col min="16" max="16" width="23.44140625" style="366" customWidth="1"/>
    <col min="17" max="17" width="19.88671875" style="286" bestFit="1" customWidth="1"/>
    <col min="18" max="18" width="30" style="368" bestFit="1" customWidth="1"/>
    <col min="19" max="19" width="9.109375" style="286"/>
    <col min="20" max="20" width="0" style="286" hidden="1" customWidth="1"/>
    <col min="21" max="21" width="27.44140625" style="286" bestFit="1" customWidth="1"/>
    <col min="22" max="22" width="18.44140625" style="286" bestFit="1" customWidth="1"/>
    <col min="23" max="23" width="18" style="286" bestFit="1" customWidth="1"/>
    <col min="24" max="24" width="9.109375" style="286"/>
    <col min="25" max="25" width="10" style="286" bestFit="1" customWidth="1"/>
    <col min="26" max="16384" width="9.109375" style="286"/>
  </cols>
  <sheetData>
    <row r="1" spans="1:25" ht="14.4" thickBot="1">
      <c r="A1" s="1007" t="s">
        <v>2066</v>
      </c>
      <c r="B1" s="1008"/>
      <c r="C1" s="1008"/>
      <c r="D1" s="1008"/>
      <c r="E1" s="1008"/>
      <c r="F1" s="1008"/>
      <c r="G1" s="1008"/>
      <c r="H1" s="1008"/>
      <c r="I1" s="1008"/>
      <c r="J1" s="340"/>
      <c r="K1" s="1009" t="s">
        <v>51</v>
      </c>
      <c r="L1" s="1010"/>
      <c r="M1" s="1010"/>
      <c r="N1" s="1010"/>
      <c r="O1" s="1011"/>
      <c r="P1" s="783"/>
      <c r="Q1" s="1012" t="s">
        <v>119</v>
      </c>
      <c r="R1" s="1013"/>
      <c r="U1" s="986" t="s">
        <v>2070</v>
      </c>
      <c r="V1" s="986"/>
      <c r="W1" s="986"/>
    </row>
    <row r="2" spans="1:25">
      <c r="A2" s="341" t="s">
        <v>3798</v>
      </c>
      <c r="B2" s="342"/>
      <c r="C2" s="342"/>
      <c r="D2" s="342"/>
      <c r="E2" s="342"/>
      <c r="F2" s="342"/>
      <c r="G2" s="342"/>
      <c r="H2" s="343"/>
      <c r="I2" s="343"/>
      <c r="J2" s="344"/>
      <c r="K2" s="345"/>
      <c r="L2" s="344"/>
      <c r="M2" s="344"/>
      <c r="N2" s="344"/>
      <c r="O2" s="346"/>
      <c r="P2" s="344"/>
      <c r="Q2" s="347"/>
      <c r="R2" s="348"/>
      <c r="U2" s="349" t="s">
        <v>2070</v>
      </c>
      <c r="V2" s="349"/>
      <c r="W2" s="349"/>
    </row>
    <row r="3" spans="1:25" ht="27.6">
      <c r="A3" s="350" t="s">
        <v>120</v>
      </c>
      <c r="B3" s="351" t="s">
        <v>121</v>
      </c>
      <c r="C3" s="351" t="s">
        <v>1205</v>
      </c>
      <c r="D3" s="351" t="s">
        <v>122</v>
      </c>
      <c r="E3" s="351" t="s">
        <v>123</v>
      </c>
      <c r="F3" s="351" t="s">
        <v>1216</v>
      </c>
      <c r="G3" s="352" t="s">
        <v>149</v>
      </c>
      <c r="H3" s="352" t="s">
        <v>148</v>
      </c>
      <c r="I3" s="353" t="s">
        <v>150</v>
      </c>
      <c r="J3" s="354">
        <v>2015</v>
      </c>
      <c r="K3" s="355">
        <v>2016</v>
      </c>
      <c r="L3" s="355">
        <v>2017</v>
      </c>
      <c r="M3" s="355">
        <v>2018</v>
      </c>
      <c r="N3" s="355">
        <v>2019</v>
      </c>
      <c r="O3" s="355">
        <v>2020</v>
      </c>
      <c r="P3" s="355" t="s">
        <v>1498</v>
      </c>
      <c r="Q3" s="356" t="s">
        <v>124</v>
      </c>
      <c r="R3" s="357" t="s">
        <v>125</v>
      </c>
      <c r="U3" s="358" t="s">
        <v>2093</v>
      </c>
      <c r="V3" s="358" t="s">
        <v>49</v>
      </c>
      <c r="W3" s="358" t="s">
        <v>74</v>
      </c>
    </row>
    <row r="4" spans="1:25" ht="15" customHeight="1">
      <c r="A4" s="359" t="str">
        <f>'Func Future Lines 2015'!A4</f>
        <v>PPS</v>
      </c>
      <c r="B4" s="359" t="str">
        <f>'Func Future Lines 2015'!B4</f>
        <v>978L_(v1)</v>
      </c>
      <c r="C4" s="359">
        <f>'Func Future Lines 2015'!C4</f>
        <v>479</v>
      </c>
      <c r="D4" s="359">
        <f>'Func Future Lines 2015'!D4</f>
        <v>240</v>
      </c>
      <c r="E4" s="359">
        <f>'Func Future Lines 2015'!E4</f>
        <v>0</v>
      </c>
      <c r="F4" s="359">
        <f>'Func Future Lines 2015'!F4</f>
        <v>0</v>
      </c>
      <c r="G4" s="359">
        <f>'Func Future Lines 2015'!G4</f>
        <v>43593801.111914299</v>
      </c>
      <c r="H4" s="359" t="str">
        <f>'Func Future Lines 2015'!H4</f>
        <v>AltaLink</v>
      </c>
      <c r="I4" s="359">
        <f>'Func Future Lines 2015'!I4</f>
        <v>2019</v>
      </c>
      <c r="J4" s="361">
        <f>+IF($I4=J$3,VLOOKUP($H4,Depreciation!$A$6:$L$10,7,FALSE)/2,IF($I4&lt;J$3,VLOOKUP($H4,Depreciation!$A$6:$L$10,7,FALSE),0))</f>
        <v>0</v>
      </c>
      <c r="K4" s="361">
        <f>+IF($I4=K$3,VLOOKUP($H4,Depreciation!$A$6:$L$10,8,FALSE)/2,IF($I4&lt;K$3,VLOOKUP($H4,Depreciation!$A$6:$L$10,8,FALSE),0))</f>
        <v>0</v>
      </c>
      <c r="L4" s="361">
        <f>+IF($I4=L$3,VLOOKUP($H4,Depreciation!$A$6:$L$10,9,FALSE)/2,IF($I4&lt;L$3,VLOOKUP($H4,Depreciation!$A$6:$L$10,9,FALSE),0))</f>
        <v>0</v>
      </c>
      <c r="M4" s="361">
        <f>+IF($I4=M$3,VLOOKUP($H4,Depreciation!$A$6:$L$10,10,FALSE)/2,IF($I4&lt;M$3,VLOOKUP($H4,Depreciation!$A$6:$L$10,10,FALSE),0))</f>
        <v>0</v>
      </c>
      <c r="N4" s="361">
        <f>+IF($I4=N$3,VLOOKUP($H4,Depreciation!$A$6:$L$10,11,FALSE)/2,IF($I4&lt;N$3,VLOOKUP($H4,Depreciation!$A$6:$L$10,11,FALSE),0))</f>
        <v>1.5338181838063448E-2</v>
      </c>
      <c r="O4" s="361">
        <f>+IF($I4=O$3,VLOOKUP($H4,Depreciation!$A$6:$L$10,12,FALSE)/2,IF($I4&lt;O$3,VLOOKUP($H4,Depreciation!$A$6:$L$10,12,FALSE),0))</f>
        <v>3.0676363676126896E-2</v>
      </c>
      <c r="P4" s="362">
        <f t="shared" ref="P4" si="0">IF(I4&lt;=2017,G4*(1-J4)*(1-K4)*(1-L4),0)</f>
        <v>0</v>
      </c>
      <c r="Q4" s="362">
        <f t="shared" ref="Q4" si="1">IF(D4&gt;=240,P4,0)</f>
        <v>0</v>
      </c>
      <c r="R4" s="363">
        <f>IF(AND(D4&gt;25,D4&lt;240),P4,0)</f>
        <v>0</v>
      </c>
      <c r="U4" s="369" t="s">
        <v>108</v>
      </c>
      <c r="V4" s="370">
        <f>SUM(Q4:Q277)</f>
        <v>4231111729.1205444</v>
      </c>
      <c r="W4" s="370">
        <f>SUM(R4:R277)</f>
        <v>694856956.45022488</v>
      </c>
      <c r="Y4" s="365"/>
    </row>
    <row r="5" spans="1:25" ht="15" customHeight="1">
      <c r="A5" s="359" t="str">
        <f>'Func Future Lines 2015'!A5</f>
        <v>PPS</v>
      </c>
      <c r="B5" s="359" t="str">
        <f>'Func Future Lines 2015'!B5</f>
        <v>600AL</v>
      </c>
      <c r="C5" s="359">
        <f>'Func Future Lines 2015'!C5</f>
        <v>513</v>
      </c>
      <c r="D5" s="359">
        <f>'Func Future Lines 2015'!D5</f>
        <v>138</v>
      </c>
      <c r="E5" s="359">
        <f>'Func Future Lines 2015'!E5</f>
        <v>0</v>
      </c>
      <c r="F5" s="359">
        <f>'Func Future Lines 2015'!F5</f>
        <v>0</v>
      </c>
      <c r="G5" s="359">
        <f>'Func Future Lines 2015'!G5</f>
        <v>690724.36500470294</v>
      </c>
      <c r="H5" s="359" t="str">
        <f>'Func Future Lines 2015'!H5</f>
        <v>AltaLink</v>
      </c>
      <c r="I5" s="359">
        <f>'Func Future Lines 2015'!I5</f>
        <v>2017</v>
      </c>
      <c r="J5" s="361">
        <f>+IF($I5=J$3,VLOOKUP($H5,Depreciation!$A$6:$L$10,7,FALSE)/2,IF($I5&lt;J$3,VLOOKUP($H5,Depreciation!$A$6:$L$10,7,FALSE),0))</f>
        <v>0</v>
      </c>
      <c r="K5" s="361">
        <f>+IF($I5=K$3,VLOOKUP($H5,Depreciation!$A$6:$L$10,8,FALSE)/2,IF($I5&lt;K$3,VLOOKUP($H5,Depreciation!$A$6:$L$10,8,FALSE),0))</f>
        <v>0</v>
      </c>
      <c r="L5" s="361">
        <f>+IF($I5=L$3,VLOOKUP($H5,Depreciation!$A$6:$L$10,9,FALSE)/2,IF($I5&lt;L$3,VLOOKUP($H5,Depreciation!$A$6:$L$10,9,FALSE),0))</f>
        <v>1.5338181838063448E-2</v>
      </c>
      <c r="M5" s="361">
        <f>+IF($I5=M$3,VLOOKUP($H5,Depreciation!$A$6:$L$10,10,FALSE)/2,IF($I5&lt;M$3,VLOOKUP($H5,Depreciation!$A$6:$L$10,10,FALSE),0))</f>
        <v>3.0676363676126896E-2</v>
      </c>
      <c r="N5" s="361">
        <f>+IF($I5=N$3,VLOOKUP($H5,Depreciation!$A$6:$L$10,11,FALSE)/2,IF($I5&lt;N$3,VLOOKUP($H5,Depreciation!$A$6:$L$10,11,FALSE),0))</f>
        <v>3.0676363676126896E-2</v>
      </c>
      <c r="O5" s="361">
        <f>+IF($I5=O$3,VLOOKUP($H5,Depreciation!$A$6:$L$10,12,FALSE)/2,IF($I5&lt;O$3,VLOOKUP($H5,Depreciation!$A$6:$L$10,12,FALSE),0))</f>
        <v>3.0676363676126896E-2</v>
      </c>
      <c r="P5" s="362">
        <f t="shared" ref="P5:P68" si="2">IF(I5&lt;=2017,G5*(1-J5)*(1-K5)*(1-L5),0)</f>
        <v>680129.90909427986</v>
      </c>
      <c r="Q5" s="362">
        <f t="shared" ref="Q5:Q68" si="3">IF(D5&gt;=240,P5,0)</f>
        <v>0</v>
      </c>
      <c r="R5" s="363">
        <f t="shared" ref="R5:R68" si="4">IF(AND(D5&gt;25,D5&lt;240),P5,0)</f>
        <v>680129.90909427986</v>
      </c>
      <c r="U5" s="369" t="s">
        <v>109</v>
      </c>
      <c r="V5" s="375">
        <f>+V4/SUM($V$4:$W$4)</f>
        <v>0.85894003782735939</v>
      </c>
      <c r="W5" s="375">
        <f>+W4/SUM($V$4:$W$4)</f>
        <v>0.14105996217264061</v>
      </c>
      <c r="Y5" s="365"/>
    </row>
    <row r="6" spans="1:25" ht="15" customHeight="1">
      <c r="A6" s="359" t="str">
        <f>'Func Future Lines 2015'!A6</f>
        <v>PPS</v>
      </c>
      <c r="B6" s="359" t="str">
        <f>'Func Future Lines 2015'!B6</f>
        <v>600L</v>
      </c>
      <c r="C6" s="359">
        <f>'Func Future Lines 2015'!C6</f>
        <v>513</v>
      </c>
      <c r="D6" s="359">
        <f>'Func Future Lines 2015'!D6</f>
        <v>138</v>
      </c>
      <c r="E6" s="359">
        <f>'Func Future Lines 2015'!E6</f>
        <v>0</v>
      </c>
      <c r="F6" s="359">
        <f>'Func Future Lines 2015'!F6</f>
        <v>0</v>
      </c>
      <c r="G6" s="359">
        <f>'Func Future Lines 2015'!G6</f>
        <v>982953.90404515422</v>
      </c>
      <c r="H6" s="359" t="str">
        <f>'Func Future Lines 2015'!H6</f>
        <v>AltaLink</v>
      </c>
      <c r="I6" s="359">
        <f>'Func Future Lines 2015'!I6</f>
        <v>2017</v>
      </c>
      <c r="J6" s="361">
        <f>+IF($I6=J$3,VLOOKUP($H6,Depreciation!$A$6:$L$10,7,FALSE)/2,IF($I6&lt;J$3,VLOOKUP($H6,Depreciation!$A$6:$L$10,7,FALSE),0))</f>
        <v>0</v>
      </c>
      <c r="K6" s="361">
        <f>+IF($I6=K$3,VLOOKUP($H6,Depreciation!$A$6:$L$10,8,FALSE)/2,IF($I6&lt;K$3,VLOOKUP($H6,Depreciation!$A$6:$L$10,8,FALSE),0))</f>
        <v>0</v>
      </c>
      <c r="L6" s="361">
        <f>+IF($I6=L$3,VLOOKUP($H6,Depreciation!$A$6:$L$10,9,FALSE)/2,IF($I6&lt;L$3,VLOOKUP($H6,Depreciation!$A$6:$L$10,9,FALSE),0))</f>
        <v>1.5338181838063448E-2</v>
      </c>
      <c r="M6" s="361">
        <f>+IF($I6=M$3,VLOOKUP($H6,Depreciation!$A$6:$L$10,10,FALSE)/2,IF($I6&lt;M$3,VLOOKUP($H6,Depreciation!$A$6:$L$10,10,FALSE),0))</f>
        <v>3.0676363676126896E-2</v>
      </c>
      <c r="N6" s="361">
        <f>+IF($I6=N$3,VLOOKUP($H6,Depreciation!$A$6:$L$10,11,FALSE)/2,IF($I6&lt;N$3,VLOOKUP($H6,Depreciation!$A$6:$L$10,11,FALSE),0))</f>
        <v>3.0676363676126896E-2</v>
      </c>
      <c r="O6" s="361">
        <f>+IF($I6=O$3,VLOOKUP($H6,Depreciation!$A$6:$L$10,12,FALSE)/2,IF($I6&lt;O$3,VLOOKUP($H6,Depreciation!$A$6:$L$10,12,FALSE),0))</f>
        <v>3.0676363676126896E-2</v>
      </c>
      <c r="P6" s="362">
        <f t="shared" si="2"/>
        <v>967877.17832647532</v>
      </c>
      <c r="Q6" s="362">
        <f t="shared" si="3"/>
        <v>0</v>
      </c>
      <c r="R6" s="363">
        <f t="shared" si="4"/>
        <v>967877.17832647532</v>
      </c>
      <c r="W6" s="4"/>
      <c r="Y6" s="365"/>
    </row>
    <row r="7" spans="1:25" ht="15" customHeight="1">
      <c r="A7" s="359" t="str">
        <f>'Func Future Lines 2015'!A7</f>
        <v>FINAL</v>
      </c>
      <c r="B7" s="359" t="str">
        <f>'Func Future Lines 2015'!B7</f>
        <v>807L_942L_1061L (942L/1001L )</v>
      </c>
      <c r="C7" s="359">
        <f>'Func Future Lines 2015'!C7</f>
        <v>559</v>
      </c>
      <c r="D7" s="359">
        <f>'Func Future Lines 2015'!D7</f>
        <v>240</v>
      </c>
      <c r="E7" s="359">
        <f>'Func Future Lines 2015'!E7</f>
        <v>0</v>
      </c>
      <c r="F7" s="359" t="str">
        <f>'Func Future Lines 2015'!F7</f>
        <v>Fort_Saskatchewan</v>
      </c>
      <c r="G7" s="359">
        <f>'Func Future Lines 2015'!G7</f>
        <v>23861790.750385337</v>
      </c>
      <c r="H7" s="359" t="str">
        <f>'Func Future Lines 2015'!H7</f>
        <v>AltaLink</v>
      </c>
      <c r="I7" s="359">
        <f>'Func Future Lines 2015'!I7</f>
        <v>2015</v>
      </c>
      <c r="J7" s="361">
        <f>+IF($I7=J$3,VLOOKUP($H7,Depreciation!$A$6:$L$10,7,FALSE)/2,IF($I7&lt;J$3,VLOOKUP($H7,Depreciation!$A$6:$L$10,7,FALSE),0))</f>
        <v>1.595020804044691E-2</v>
      </c>
      <c r="K7" s="361">
        <f>+IF($I7=K$3,VLOOKUP($H7,Depreciation!$A$6:$L$10,8,FALSE)/2,IF($I7&lt;K$3,VLOOKUP($H7,Depreciation!$A$6:$L$10,8,FALSE),0))</f>
        <v>3.0676363676126896E-2</v>
      </c>
      <c r="L7" s="361">
        <f>+IF($I7=L$3,VLOOKUP($H7,Depreciation!$A$6:$L$10,9,FALSE)/2,IF($I7&lt;L$3,VLOOKUP($H7,Depreciation!$A$6:$L$10,9,FALSE),0))</f>
        <v>3.0676363676126896E-2</v>
      </c>
      <c r="M7" s="361">
        <f>+IF($I7=M$3,VLOOKUP($H7,Depreciation!$A$6:$L$10,10,FALSE)/2,IF($I7&lt;M$3,VLOOKUP($H7,Depreciation!$A$6:$L$10,10,FALSE),0))</f>
        <v>3.0676363676126896E-2</v>
      </c>
      <c r="N7" s="361">
        <f>+IF($I7=N$3,VLOOKUP($H7,Depreciation!$A$6:$L$10,11,FALSE)/2,IF($I7&lt;N$3,VLOOKUP($H7,Depreciation!$A$6:$L$10,11,FALSE),0))</f>
        <v>3.0676363676126896E-2</v>
      </c>
      <c r="O7" s="361">
        <f>+IF($I7=O$3,VLOOKUP($H7,Depreciation!$A$6:$L$10,12,FALSE)/2,IF($I7&lt;O$3,VLOOKUP($H7,Depreciation!$A$6:$L$10,12,FALSE),0))</f>
        <v>3.0676363676126896E-2</v>
      </c>
      <c r="P7" s="362">
        <f t="shared" si="2"/>
        <v>22062651.884536721</v>
      </c>
      <c r="Q7" s="362">
        <f t="shared" si="3"/>
        <v>22062651.884536721</v>
      </c>
      <c r="R7" s="363">
        <f t="shared" si="4"/>
        <v>0</v>
      </c>
      <c r="U7" s="286" t="s">
        <v>179</v>
      </c>
      <c r="V7" s="374">
        <f>+SUM(P4:P277)</f>
        <v>4971213505.2419977</v>
      </c>
      <c r="W7" s="4"/>
      <c r="Y7" s="365"/>
    </row>
    <row r="8" spans="1:25" ht="15" customHeight="1">
      <c r="A8" s="359" t="str">
        <f>'Func Future Lines 2015'!A8</f>
        <v>FINAL</v>
      </c>
      <c r="B8" s="359" t="str">
        <f>'Func Future Lines 2015'!B8</f>
        <v>942L temp</v>
      </c>
      <c r="C8" s="359">
        <f>'Func Future Lines 2015'!C8</f>
        <v>559</v>
      </c>
      <c r="D8" s="359">
        <f>'Func Future Lines 2015'!D8</f>
        <v>240</v>
      </c>
      <c r="E8" s="359">
        <f>'Func Future Lines 2015'!E8</f>
        <v>0</v>
      </c>
      <c r="F8" s="359" t="str">
        <f>'Func Future Lines 2015'!F8</f>
        <v>Fort_Saskatchewan</v>
      </c>
      <c r="G8" s="359">
        <f>'Func Future Lines 2015'!G8</f>
        <v>121591.45834265216</v>
      </c>
      <c r="H8" s="359" t="str">
        <f>'Func Future Lines 2015'!H8</f>
        <v>AltaLink</v>
      </c>
      <c r="I8" s="359">
        <f>'Func Future Lines 2015'!I8</f>
        <v>2015</v>
      </c>
      <c r="J8" s="361">
        <f>+IF($I8=J$3,VLOOKUP($H8,Depreciation!$A$6:$L$10,7,FALSE)/2,IF($I8&lt;J$3,VLOOKUP($H8,Depreciation!$A$6:$L$10,7,FALSE),0))</f>
        <v>1.595020804044691E-2</v>
      </c>
      <c r="K8" s="361">
        <f>+IF($I8=K$3,VLOOKUP($H8,Depreciation!$A$6:$L$10,8,FALSE)/2,IF($I8&lt;K$3,VLOOKUP($H8,Depreciation!$A$6:$L$10,8,FALSE),0))</f>
        <v>3.0676363676126896E-2</v>
      </c>
      <c r="L8" s="361">
        <f>+IF($I8=L$3,VLOOKUP($H8,Depreciation!$A$6:$L$10,9,FALSE)/2,IF($I8&lt;L$3,VLOOKUP($H8,Depreciation!$A$6:$L$10,9,FALSE),0))</f>
        <v>3.0676363676126896E-2</v>
      </c>
      <c r="M8" s="361">
        <f>+IF($I8=M$3,VLOOKUP($H8,Depreciation!$A$6:$L$10,10,FALSE)/2,IF($I8&lt;M$3,VLOOKUP($H8,Depreciation!$A$6:$L$10,10,FALSE),0))</f>
        <v>3.0676363676126896E-2</v>
      </c>
      <c r="N8" s="361">
        <f>+IF($I8=N$3,VLOOKUP($H8,Depreciation!$A$6:$L$10,11,FALSE)/2,IF($I8&lt;N$3,VLOOKUP($H8,Depreciation!$A$6:$L$10,11,FALSE),0))</f>
        <v>3.0676363676126896E-2</v>
      </c>
      <c r="O8" s="361">
        <f>+IF($I8=O$3,VLOOKUP($H8,Depreciation!$A$6:$L$10,12,FALSE)/2,IF($I8&lt;O$3,VLOOKUP($H8,Depreciation!$A$6:$L$10,12,FALSE),0))</f>
        <v>3.0676363676126896E-2</v>
      </c>
      <c r="P8" s="362">
        <f t="shared" si="2"/>
        <v>112423.66700846885</v>
      </c>
      <c r="Q8" s="362">
        <f t="shared" si="3"/>
        <v>112423.66700846885</v>
      </c>
      <c r="R8" s="363">
        <f t="shared" si="4"/>
        <v>0</v>
      </c>
      <c r="T8" s="365"/>
    </row>
    <row r="9" spans="1:25" ht="15" customHeight="1">
      <c r="A9" s="359" t="str">
        <f>'Func Future Lines 2015'!A9</f>
        <v>FINAL</v>
      </c>
      <c r="B9" s="359" t="str">
        <f>'Func Future Lines 2015'!B9</f>
        <v>942L_943L mod</v>
      </c>
      <c r="C9" s="359">
        <f>'Func Future Lines 2015'!C9</f>
        <v>559</v>
      </c>
      <c r="D9" s="359">
        <f>'Func Future Lines 2015'!D9</f>
        <v>138</v>
      </c>
      <c r="E9" s="359">
        <f>'Func Future Lines 2015'!E9</f>
        <v>0</v>
      </c>
      <c r="F9" s="359" t="str">
        <f>'Func Future Lines 2015'!F9</f>
        <v>Fort_Saskatchewan</v>
      </c>
      <c r="G9" s="359">
        <f>'Func Future Lines 2015'!G9</f>
        <v>1655001.6528058015</v>
      </c>
      <c r="H9" s="359" t="str">
        <f>'Func Future Lines 2015'!H9</f>
        <v>AltaLink</v>
      </c>
      <c r="I9" s="359">
        <f>'Func Future Lines 2015'!I9</f>
        <v>2015</v>
      </c>
      <c r="J9" s="361">
        <f>+IF($I9=J$3,VLOOKUP($H9,Depreciation!$A$6:$L$10,7,FALSE)/2,IF($I9&lt;J$3,VLOOKUP($H9,Depreciation!$A$6:$L$10,7,FALSE),0))</f>
        <v>1.595020804044691E-2</v>
      </c>
      <c r="K9" s="361">
        <f>+IF($I9=K$3,VLOOKUP($H9,Depreciation!$A$6:$L$10,8,FALSE)/2,IF($I9&lt;K$3,VLOOKUP($H9,Depreciation!$A$6:$L$10,8,FALSE),0))</f>
        <v>3.0676363676126896E-2</v>
      </c>
      <c r="L9" s="361">
        <f>+IF($I9=L$3,VLOOKUP($H9,Depreciation!$A$6:$L$10,9,FALSE)/2,IF($I9&lt;L$3,VLOOKUP($H9,Depreciation!$A$6:$L$10,9,FALSE),0))</f>
        <v>3.0676363676126896E-2</v>
      </c>
      <c r="M9" s="361">
        <f>+IF($I9=M$3,VLOOKUP($H9,Depreciation!$A$6:$L$10,10,FALSE)/2,IF($I9&lt;M$3,VLOOKUP($H9,Depreciation!$A$6:$L$10,10,FALSE),0))</f>
        <v>3.0676363676126896E-2</v>
      </c>
      <c r="N9" s="361">
        <f>+IF($I9=N$3,VLOOKUP($H9,Depreciation!$A$6:$L$10,11,FALSE)/2,IF($I9&lt;N$3,VLOOKUP($H9,Depreciation!$A$6:$L$10,11,FALSE),0))</f>
        <v>3.0676363676126896E-2</v>
      </c>
      <c r="O9" s="361">
        <f>+IF($I9=O$3,VLOOKUP($H9,Depreciation!$A$6:$L$10,12,FALSE)/2,IF($I9&lt;O$3,VLOOKUP($H9,Depreciation!$A$6:$L$10,12,FALSE),0))</f>
        <v>3.0676363676126896E-2</v>
      </c>
      <c r="P9" s="362">
        <f t="shared" si="2"/>
        <v>1530217.3133672986</v>
      </c>
      <c r="Q9" s="362">
        <f t="shared" si="3"/>
        <v>0</v>
      </c>
      <c r="R9" s="363">
        <f t="shared" si="4"/>
        <v>1530217.3133672986</v>
      </c>
      <c r="T9" s="365"/>
    </row>
    <row r="10" spans="1:25" ht="15" customHeight="1">
      <c r="A10" s="359" t="str">
        <f>'Func Future Lines 2015'!A10</f>
        <v>PPS</v>
      </c>
      <c r="B10" s="359" t="str">
        <f>'Func Future Lines 2015'!B10</f>
        <v>New 100m 138kV line 130L</v>
      </c>
      <c r="C10" s="359">
        <f>'Func Future Lines 2015'!C10</f>
        <v>580</v>
      </c>
      <c r="D10" s="359">
        <f>'Func Future Lines 2015'!D10</f>
        <v>138</v>
      </c>
      <c r="E10" s="359">
        <f>'Func Future Lines 2015'!E10</f>
        <v>0</v>
      </c>
      <c r="F10" s="359" t="str">
        <f>'Func Future Lines 2015'!F10</f>
        <v>Fort_MacLeod</v>
      </c>
      <c r="G10" s="359">
        <f>'Func Future Lines 2015'!G10</f>
        <v>1145283.5820895538</v>
      </c>
      <c r="H10" s="359" t="str">
        <f>'Func Future Lines 2015'!H10</f>
        <v>AltaLink</v>
      </c>
      <c r="I10" s="359">
        <f>'Func Future Lines 2015'!I10</f>
        <v>2019</v>
      </c>
      <c r="J10" s="361">
        <f>+IF($I10=J$3,VLOOKUP($H10,Depreciation!$A$6:$L$10,7,FALSE)/2,IF($I10&lt;J$3,VLOOKUP($H10,Depreciation!$A$6:$L$10,7,FALSE),0))</f>
        <v>0</v>
      </c>
      <c r="K10" s="361">
        <f>+IF($I10=K$3,VLOOKUP($H10,Depreciation!$A$6:$L$10,8,FALSE)/2,IF($I10&lt;K$3,VLOOKUP($H10,Depreciation!$A$6:$L$10,8,FALSE),0))</f>
        <v>0</v>
      </c>
      <c r="L10" s="361">
        <f>+IF($I10=L$3,VLOOKUP($H10,Depreciation!$A$6:$L$10,9,FALSE)/2,IF($I10&lt;L$3,VLOOKUP($H10,Depreciation!$A$6:$L$10,9,FALSE),0))</f>
        <v>0</v>
      </c>
      <c r="M10" s="361">
        <f>+IF($I10=M$3,VLOOKUP($H10,Depreciation!$A$6:$L$10,10,FALSE)/2,IF($I10&lt;M$3,VLOOKUP($H10,Depreciation!$A$6:$L$10,10,FALSE),0))</f>
        <v>0</v>
      </c>
      <c r="N10" s="361">
        <f>+IF($I10=N$3,VLOOKUP($H10,Depreciation!$A$6:$L$10,11,FALSE)/2,IF($I10&lt;N$3,VLOOKUP($H10,Depreciation!$A$6:$L$10,11,FALSE),0))</f>
        <v>1.5338181838063448E-2</v>
      </c>
      <c r="O10" s="361">
        <f>+IF($I10=O$3,VLOOKUP($H10,Depreciation!$A$6:$L$10,12,FALSE)/2,IF($I10&lt;O$3,VLOOKUP($H10,Depreciation!$A$6:$L$10,12,FALSE),0))</f>
        <v>3.0676363676126896E-2</v>
      </c>
      <c r="P10" s="362">
        <f t="shared" si="2"/>
        <v>0</v>
      </c>
      <c r="Q10" s="362">
        <f t="shared" si="3"/>
        <v>0</v>
      </c>
      <c r="R10" s="363">
        <f t="shared" si="4"/>
        <v>0</v>
      </c>
      <c r="T10" s="365"/>
    </row>
    <row r="11" spans="1:25" ht="15" customHeight="1">
      <c r="A11" s="359" t="str">
        <f>'Func Future Lines 2015'!A11</f>
        <v>FINAL</v>
      </c>
      <c r="B11" s="359" t="str">
        <f>'Func Future Lines 2015'!B11</f>
        <v>1054L/1061L</v>
      </c>
      <c r="C11" s="359">
        <f>'Func Future Lines 2015'!C11</f>
        <v>629</v>
      </c>
      <c r="D11" s="359">
        <f>'Func Future Lines 2015'!D11</f>
        <v>240</v>
      </c>
      <c r="E11" s="359">
        <f>'Func Future Lines 2015'!E11</f>
        <v>0</v>
      </c>
      <c r="F11" s="359">
        <f>'Func Future Lines 2015'!F11</f>
        <v>0</v>
      </c>
      <c r="G11" s="359">
        <f>'Func Future Lines 2015'!G11</f>
        <v>61619635.006528027</v>
      </c>
      <c r="H11" s="359" t="str">
        <f>'Func Future Lines 2015'!H11</f>
        <v>AltaLink</v>
      </c>
      <c r="I11" s="359">
        <f>'Func Future Lines 2015'!I11</f>
        <v>2015</v>
      </c>
      <c r="J11" s="361">
        <f>+IF($I11=J$3,VLOOKUP($H11,Depreciation!$A$6:$L$10,7,FALSE)/2,IF($I11&lt;J$3,VLOOKUP($H11,Depreciation!$A$6:$L$10,7,FALSE),0))</f>
        <v>1.595020804044691E-2</v>
      </c>
      <c r="K11" s="361">
        <f>+IF($I11=K$3,VLOOKUP($H11,Depreciation!$A$6:$L$10,8,FALSE)/2,IF($I11&lt;K$3,VLOOKUP($H11,Depreciation!$A$6:$L$10,8,FALSE),0))</f>
        <v>3.0676363676126896E-2</v>
      </c>
      <c r="L11" s="361">
        <f>+IF($I11=L$3,VLOOKUP($H11,Depreciation!$A$6:$L$10,9,FALSE)/2,IF($I11&lt;L$3,VLOOKUP($H11,Depreciation!$A$6:$L$10,9,FALSE),0))</f>
        <v>3.0676363676126896E-2</v>
      </c>
      <c r="M11" s="361">
        <f>+IF($I11=M$3,VLOOKUP($H11,Depreciation!$A$6:$L$10,10,FALSE)/2,IF($I11&lt;M$3,VLOOKUP($H11,Depreciation!$A$6:$L$10,10,FALSE),0))</f>
        <v>3.0676363676126896E-2</v>
      </c>
      <c r="N11" s="361">
        <f>+IF($I11=N$3,VLOOKUP($H11,Depreciation!$A$6:$L$10,11,FALSE)/2,IF($I11&lt;N$3,VLOOKUP($H11,Depreciation!$A$6:$L$10,11,FALSE),0))</f>
        <v>3.0676363676126896E-2</v>
      </c>
      <c r="O11" s="361">
        <f>+IF($I11=O$3,VLOOKUP($H11,Depreciation!$A$6:$L$10,12,FALSE)/2,IF($I11&lt;O$3,VLOOKUP($H11,Depreciation!$A$6:$L$10,12,FALSE),0))</f>
        <v>3.0676363676126896E-2</v>
      </c>
      <c r="P11" s="362">
        <f t="shared" si="2"/>
        <v>56973618.226003706</v>
      </c>
      <c r="Q11" s="362">
        <f t="shared" si="3"/>
        <v>56973618.226003706</v>
      </c>
      <c r="R11" s="363">
        <f t="shared" si="4"/>
        <v>0</v>
      </c>
      <c r="T11" s="365"/>
    </row>
    <row r="12" spans="1:25" ht="15" customHeight="1">
      <c r="A12" s="359" t="str">
        <f>'Func Future Lines 2015'!A12</f>
        <v>FINAL</v>
      </c>
      <c r="B12" s="359" t="str">
        <f>'Func Future Lines 2015'!B12</f>
        <v>1058L</v>
      </c>
      <c r="C12" s="359">
        <f>'Func Future Lines 2015'!C12</f>
        <v>629</v>
      </c>
      <c r="D12" s="359">
        <f>'Func Future Lines 2015'!D12</f>
        <v>240</v>
      </c>
      <c r="E12" s="359">
        <f>'Func Future Lines 2015'!E12</f>
        <v>0</v>
      </c>
      <c r="F12" s="359">
        <f>'Func Future Lines 2015'!F12</f>
        <v>0</v>
      </c>
      <c r="G12" s="359">
        <f>'Func Future Lines 2015'!G12</f>
        <v>2898036.7235482754</v>
      </c>
      <c r="H12" s="359" t="str">
        <f>'Func Future Lines 2015'!H12</f>
        <v>AltaLink</v>
      </c>
      <c r="I12" s="359">
        <f>'Func Future Lines 2015'!I12</f>
        <v>2015</v>
      </c>
      <c r="J12" s="361">
        <f>+IF($I12=J$3,VLOOKUP($H12,Depreciation!$A$6:$L$10,7,FALSE)/2,IF($I12&lt;J$3,VLOOKUP($H12,Depreciation!$A$6:$L$10,7,FALSE),0))</f>
        <v>1.595020804044691E-2</v>
      </c>
      <c r="K12" s="361">
        <f>+IF($I12=K$3,VLOOKUP($H12,Depreciation!$A$6:$L$10,8,FALSE)/2,IF($I12&lt;K$3,VLOOKUP($H12,Depreciation!$A$6:$L$10,8,FALSE),0))</f>
        <v>3.0676363676126896E-2</v>
      </c>
      <c r="L12" s="361">
        <f>+IF($I12=L$3,VLOOKUP($H12,Depreciation!$A$6:$L$10,9,FALSE)/2,IF($I12&lt;L$3,VLOOKUP($H12,Depreciation!$A$6:$L$10,9,FALSE),0))</f>
        <v>3.0676363676126896E-2</v>
      </c>
      <c r="M12" s="361">
        <f>+IF($I12=M$3,VLOOKUP($H12,Depreciation!$A$6:$L$10,10,FALSE)/2,IF($I12&lt;M$3,VLOOKUP($H12,Depreciation!$A$6:$L$10,10,FALSE),0))</f>
        <v>3.0676363676126896E-2</v>
      </c>
      <c r="N12" s="361">
        <f>+IF($I12=N$3,VLOOKUP($H12,Depreciation!$A$6:$L$10,11,FALSE)/2,IF($I12&lt;N$3,VLOOKUP($H12,Depreciation!$A$6:$L$10,11,FALSE),0))</f>
        <v>3.0676363676126896E-2</v>
      </c>
      <c r="O12" s="361">
        <f>+IF($I12=O$3,VLOOKUP($H12,Depreciation!$A$6:$L$10,12,FALSE)/2,IF($I12&lt;O$3,VLOOKUP($H12,Depreciation!$A$6:$L$10,12,FALSE),0))</f>
        <v>3.0676363676126896E-2</v>
      </c>
      <c r="P12" s="362">
        <f t="shared" si="2"/>
        <v>2679529.6316650696</v>
      </c>
      <c r="Q12" s="362">
        <f t="shared" si="3"/>
        <v>2679529.6316650696</v>
      </c>
      <c r="R12" s="363">
        <f t="shared" si="4"/>
        <v>0</v>
      </c>
      <c r="T12" s="365"/>
    </row>
    <row r="13" spans="1:25" ht="15" customHeight="1">
      <c r="A13" s="359" t="str">
        <f>'Func Future Lines 2015'!A13</f>
        <v>FINAL</v>
      </c>
      <c r="B13" s="359" t="str">
        <f>'Func Future Lines 2015'!B13</f>
        <v>1206L/1212L</v>
      </c>
      <c r="C13" s="359">
        <f>'Func Future Lines 2015'!C13</f>
        <v>629</v>
      </c>
      <c r="D13" s="359">
        <f>'Func Future Lines 2015'!D13</f>
        <v>500</v>
      </c>
      <c r="E13" s="359">
        <f>'Func Future Lines 2015'!E13</f>
        <v>0</v>
      </c>
      <c r="F13" s="359">
        <f>'Func Future Lines 2015'!F13</f>
        <v>0</v>
      </c>
      <c r="G13" s="359">
        <f>'Func Future Lines 2015'!G13</f>
        <v>530866409.86294144</v>
      </c>
      <c r="H13" s="359" t="str">
        <f>'Func Future Lines 2015'!H13</f>
        <v>AltaLink</v>
      </c>
      <c r="I13" s="359">
        <f>'Func Future Lines 2015'!I13</f>
        <v>2015</v>
      </c>
      <c r="J13" s="361">
        <f>+IF($I13=J$3,VLOOKUP($H13,Depreciation!$A$6:$L$10,7,FALSE)/2,IF($I13&lt;J$3,VLOOKUP($H13,Depreciation!$A$6:$L$10,7,FALSE),0))</f>
        <v>1.595020804044691E-2</v>
      </c>
      <c r="K13" s="361">
        <f>+IF($I13=K$3,VLOOKUP($H13,Depreciation!$A$6:$L$10,8,FALSE)/2,IF($I13&lt;K$3,VLOOKUP($H13,Depreciation!$A$6:$L$10,8,FALSE),0))</f>
        <v>3.0676363676126896E-2</v>
      </c>
      <c r="L13" s="361">
        <f>+IF($I13=L$3,VLOOKUP($H13,Depreciation!$A$6:$L$10,9,FALSE)/2,IF($I13&lt;L$3,VLOOKUP($H13,Depreciation!$A$6:$L$10,9,FALSE),0))</f>
        <v>3.0676363676126896E-2</v>
      </c>
      <c r="M13" s="361">
        <f>+IF($I13=M$3,VLOOKUP($H13,Depreciation!$A$6:$L$10,10,FALSE)/2,IF($I13&lt;M$3,VLOOKUP($H13,Depreciation!$A$6:$L$10,10,FALSE),0))</f>
        <v>3.0676363676126896E-2</v>
      </c>
      <c r="N13" s="361">
        <f>+IF($I13=N$3,VLOOKUP($H13,Depreciation!$A$6:$L$10,11,FALSE)/2,IF($I13&lt;N$3,VLOOKUP($H13,Depreciation!$A$6:$L$10,11,FALSE),0))</f>
        <v>3.0676363676126896E-2</v>
      </c>
      <c r="O13" s="361">
        <f>+IF($I13=O$3,VLOOKUP($H13,Depreciation!$A$6:$L$10,12,FALSE)/2,IF($I13&lt;O$3,VLOOKUP($H13,Depreciation!$A$6:$L$10,12,FALSE),0))</f>
        <v>3.0676363676126896E-2</v>
      </c>
      <c r="P13" s="362">
        <f t="shared" si="2"/>
        <v>490839975.9481895</v>
      </c>
      <c r="Q13" s="362">
        <f t="shared" si="3"/>
        <v>490839975.9481895</v>
      </c>
      <c r="R13" s="363">
        <f t="shared" si="4"/>
        <v>0</v>
      </c>
      <c r="T13" s="365"/>
    </row>
    <row r="14" spans="1:25" ht="15" customHeight="1">
      <c r="A14" s="359" t="str">
        <f>'Func Future Lines 2015'!A14</f>
        <v>FINAL</v>
      </c>
      <c r="B14" s="359" t="str">
        <f>'Func Future Lines 2015'!B14</f>
        <v>726L</v>
      </c>
      <c r="C14" s="359">
        <f>'Func Future Lines 2015'!C14</f>
        <v>629</v>
      </c>
      <c r="D14" s="359">
        <f>'Func Future Lines 2015'!D14</f>
        <v>138</v>
      </c>
      <c r="E14" s="359">
        <f>'Func Future Lines 2015'!E14</f>
        <v>0</v>
      </c>
      <c r="F14" s="359">
        <f>'Func Future Lines 2015'!F14</f>
        <v>0</v>
      </c>
      <c r="G14" s="359">
        <f>'Func Future Lines 2015'!G14</f>
        <v>702156.82391399238</v>
      </c>
      <c r="H14" s="359" t="str">
        <f>'Func Future Lines 2015'!H14</f>
        <v>AltaLink</v>
      </c>
      <c r="I14" s="359">
        <f>'Func Future Lines 2015'!I14</f>
        <v>2015</v>
      </c>
      <c r="J14" s="361">
        <f>+IF($I14=J$3,VLOOKUP($H14,Depreciation!$A$6:$L$10,7,FALSE)/2,IF($I14&lt;J$3,VLOOKUP($H14,Depreciation!$A$6:$L$10,7,FALSE),0))</f>
        <v>1.595020804044691E-2</v>
      </c>
      <c r="K14" s="361">
        <f>+IF($I14=K$3,VLOOKUP($H14,Depreciation!$A$6:$L$10,8,FALSE)/2,IF($I14&lt;K$3,VLOOKUP($H14,Depreciation!$A$6:$L$10,8,FALSE),0))</f>
        <v>3.0676363676126896E-2</v>
      </c>
      <c r="L14" s="361">
        <f>+IF($I14=L$3,VLOOKUP($H14,Depreciation!$A$6:$L$10,9,FALSE)/2,IF($I14&lt;L$3,VLOOKUP($H14,Depreciation!$A$6:$L$10,9,FALSE),0))</f>
        <v>3.0676363676126896E-2</v>
      </c>
      <c r="M14" s="361">
        <f>+IF($I14=M$3,VLOOKUP($H14,Depreciation!$A$6:$L$10,10,FALSE)/2,IF($I14&lt;M$3,VLOOKUP($H14,Depreciation!$A$6:$L$10,10,FALSE),0))</f>
        <v>3.0676363676126896E-2</v>
      </c>
      <c r="N14" s="361">
        <f>+IF($I14=N$3,VLOOKUP($H14,Depreciation!$A$6:$L$10,11,FALSE)/2,IF($I14&lt;N$3,VLOOKUP($H14,Depreciation!$A$6:$L$10,11,FALSE),0))</f>
        <v>3.0676363676126896E-2</v>
      </c>
      <c r="O14" s="361">
        <f>+IF($I14=O$3,VLOOKUP($H14,Depreciation!$A$6:$L$10,12,FALSE)/2,IF($I14&lt;O$3,VLOOKUP($H14,Depreciation!$A$6:$L$10,12,FALSE),0))</f>
        <v>3.0676363676126896E-2</v>
      </c>
      <c r="P14" s="362">
        <f t="shared" si="2"/>
        <v>649215.38104243902</v>
      </c>
      <c r="Q14" s="362">
        <f t="shared" si="3"/>
        <v>0</v>
      </c>
      <c r="R14" s="363">
        <f t="shared" si="4"/>
        <v>649215.38104243902</v>
      </c>
      <c r="T14" s="365"/>
    </row>
    <row r="15" spans="1:25" ht="15" customHeight="1">
      <c r="A15" s="359" t="str">
        <f>'Func Future Lines 2015'!A15</f>
        <v>FINAL</v>
      </c>
      <c r="B15" s="359" t="str">
        <f>'Func Future Lines 2015'!B15</f>
        <v>731L</v>
      </c>
      <c r="C15" s="359">
        <f>'Func Future Lines 2015'!C15</f>
        <v>629</v>
      </c>
      <c r="D15" s="359">
        <f>'Func Future Lines 2015'!D15</f>
        <v>138</v>
      </c>
      <c r="E15" s="359">
        <f>'Func Future Lines 2015'!E15</f>
        <v>0</v>
      </c>
      <c r="F15" s="359">
        <f>'Func Future Lines 2015'!F15</f>
        <v>0</v>
      </c>
      <c r="G15" s="359">
        <f>'Func Future Lines 2015'!G15</f>
        <v>504109.03864587925</v>
      </c>
      <c r="H15" s="359" t="str">
        <f>'Func Future Lines 2015'!H15</f>
        <v>AltaLink</v>
      </c>
      <c r="I15" s="359">
        <f>'Func Future Lines 2015'!I15</f>
        <v>2015</v>
      </c>
      <c r="J15" s="361">
        <f>+IF($I15=J$3,VLOOKUP($H15,Depreciation!$A$6:$L$10,7,FALSE)/2,IF($I15&lt;J$3,VLOOKUP($H15,Depreciation!$A$6:$L$10,7,FALSE),0))</f>
        <v>1.595020804044691E-2</v>
      </c>
      <c r="K15" s="361">
        <f>+IF($I15=K$3,VLOOKUP($H15,Depreciation!$A$6:$L$10,8,FALSE)/2,IF($I15&lt;K$3,VLOOKUP($H15,Depreciation!$A$6:$L$10,8,FALSE),0))</f>
        <v>3.0676363676126896E-2</v>
      </c>
      <c r="L15" s="361">
        <f>+IF($I15=L$3,VLOOKUP($H15,Depreciation!$A$6:$L$10,9,FALSE)/2,IF($I15&lt;L$3,VLOOKUP($H15,Depreciation!$A$6:$L$10,9,FALSE),0))</f>
        <v>3.0676363676126896E-2</v>
      </c>
      <c r="M15" s="361">
        <f>+IF($I15=M$3,VLOOKUP($H15,Depreciation!$A$6:$L$10,10,FALSE)/2,IF($I15&lt;M$3,VLOOKUP($H15,Depreciation!$A$6:$L$10,10,FALSE),0))</f>
        <v>3.0676363676126896E-2</v>
      </c>
      <c r="N15" s="361">
        <f>+IF($I15=N$3,VLOOKUP($H15,Depreciation!$A$6:$L$10,11,FALSE)/2,IF($I15&lt;N$3,VLOOKUP($H15,Depreciation!$A$6:$L$10,11,FALSE),0))</f>
        <v>3.0676363676126896E-2</v>
      </c>
      <c r="O15" s="361">
        <f>+IF($I15=O$3,VLOOKUP($H15,Depreciation!$A$6:$L$10,12,FALSE)/2,IF($I15&lt;O$3,VLOOKUP($H15,Depreciation!$A$6:$L$10,12,FALSE),0))</f>
        <v>3.0676363676126896E-2</v>
      </c>
      <c r="P15" s="362">
        <f t="shared" si="2"/>
        <v>466100.06549122458</v>
      </c>
      <c r="Q15" s="362">
        <f t="shared" si="3"/>
        <v>0</v>
      </c>
      <c r="R15" s="363">
        <f t="shared" si="4"/>
        <v>466100.06549122458</v>
      </c>
      <c r="Y15" s="365"/>
    </row>
    <row r="16" spans="1:25" ht="15" customHeight="1">
      <c r="A16" s="359" t="str">
        <f>'Func Future Lines 2015'!A16</f>
        <v>FINAL</v>
      </c>
      <c r="B16" s="359" t="str">
        <f>'Func Future Lines 2015'!B16</f>
        <v>735L</v>
      </c>
      <c r="C16" s="359">
        <f>'Func Future Lines 2015'!C16</f>
        <v>629</v>
      </c>
      <c r="D16" s="359">
        <f>'Func Future Lines 2015'!D16</f>
        <v>138</v>
      </c>
      <c r="E16" s="359">
        <f>'Func Future Lines 2015'!E16</f>
        <v>0</v>
      </c>
      <c r="F16" s="359">
        <f>'Func Future Lines 2015'!F16</f>
        <v>0</v>
      </c>
      <c r="G16" s="359">
        <f>'Func Future Lines 2015'!G16</f>
        <v>2727.7774922550475</v>
      </c>
      <c r="H16" s="359" t="str">
        <f>'Func Future Lines 2015'!H16</f>
        <v>AltaLink</v>
      </c>
      <c r="I16" s="359">
        <f>'Func Future Lines 2015'!I16</f>
        <v>2015</v>
      </c>
      <c r="J16" s="361">
        <f>+IF($I16=J$3,VLOOKUP($H16,Depreciation!$A$6:$L$10,7,FALSE)/2,IF($I16&lt;J$3,VLOOKUP($H16,Depreciation!$A$6:$L$10,7,FALSE),0))</f>
        <v>1.595020804044691E-2</v>
      </c>
      <c r="K16" s="361">
        <f>+IF($I16=K$3,VLOOKUP($H16,Depreciation!$A$6:$L$10,8,FALSE)/2,IF($I16&lt;K$3,VLOOKUP($H16,Depreciation!$A$6:$L$10,8,FALSE),0))</f>
        <v>3.0676363676126896E-2</v>
      </c>
      <c r="L16" s="361">
        <f>+IF($I16=L$3,VLOOKUP($H16,Depreciation!$A$6:$L$10,9,FALSE)/2,IF($I16&lt;L$3,VLOOKUP($H16,Depreciation!$A$6:$L$10,9,FALSE),0))</f>
        <v>3.0676363676126896E-2</v>
      </c>
      <c r="M16" s="361">
        <f>+IF($I16=M$3,VLOOKUP($H16,Depreciation!$A$6:$L$10,10,FALSE)/2,IF($I16&lt;M$3,VLOOKUP($H16,Depreciation!$A$6:$L$10,10,FALSE),0))</f>
        <v>3.0676363676126896E-2</v>
      </c>
      <c r="N16" s="361">
        <f>+IF($I16=N$3,VLOOKUP($H16,Depreciation!$A$6:$L$10,11,FALSE)/2,IF($I16&lt;N$3,VLOOKUP($H16,Depreciation!$A$6:$L$10,11,FALSE),0))</f>
        <v>3.0676363676126896E-2</v>
      </c>
      <c r="O16" s="361">
        <f>+IF($I16=O$3,VLOOKUP($H16,Depreciation!$A$6:$L$10,12,FALSE)/2,IF($I16&lt;O$3,VLOOKUP($H16,Depreciation!$A$6:$L$10,12,FALSE),0))</f>
        <v>3.0676363676126896E-2</v>
      </c>
      <c r="P16" s="362">
        <f t="shared" si="2"/>
        <v>2522.1076598840682</v>
      </c>
      <c r="Q16" s="362">
        <f t="shared" si="3"/>
        <v>0</v>
      </c>
      <c r="R16" s="363">
        <f t="shared" si="4"/>
        <v>2522.1076598840682</v>
      </c>
      <c r="Y16" s="365"/>
    </row>
    <row r="17" spans="1:25" ht="15" customHeight="1">
      <c r="A17" s="359" t="str">
        <f>'Func Future Lines 2015'!A17</f>
        <v>FINAL</v>
      </c>
      <c r="B17" s="359" t="str">
        <f>'Func Future Lines 2015'!B17</f>
        <v>746L</v>
      </c>
      <c r="C17" s="359">
        <f>'Func Future Lines 2015'!C17</f>
        <v>629</v>
      </c>
      <c r="D17" s="359">
        <f>'Func Future Lines 2015'!D17</f>
        <v>138</v>
      </c>
      <c r="E17" s="359">
        <f>'Func Future Lines 2015'!E17</f>
        <v>0</v>
      </c>
      <c r="F17" s="359">
        <f>'Func Future Lines 2015'!F17</f>
        <v>0</v>
      </c>
      <c r="G17" s="359">
        <f>'Func Future Lines 2015'!G17</f>
        <v>227994.9241210825</v>
      </c>
      <c r="H17" s="359" t="str">
        <f>'Func Future Lines 2015'!H17</f>
        <v>AltaLink</v>
      </c>
      <c r="I17" s="359">
        <f>'Func Future Lines 2015'!I17</f>
        <v>2015</v>
      </c>
      <c r="J17" s="361">
        <f>+IF($I17=J$3,VLOOKUP($H17,Depreciation!$A$6:$L$10,7,FALSE)/2,IF($I17&lt;J$3,VLOOKUP($H17,Depreciation!$A$6:$L$10,7,FALSE),0))</f>
        <v>1.595020804044691E-2</v>
      </c>
      <c r="K17" s="361">
        <f>+IF($I17=K$3,VLOOKUP($H17,Depreciation!$A$6:$L$10,8,FALSE)/2,IF($I17&lt;K$3,VLOOKUP($H17,Depreciation!$A$6:$L$10,8,FALSE),0))</f>
        <v>3.0676363676126896E-2</v>
      </c>
      <c r="L17" s="361">
        <f>+IF($I17=L$3,VLOOKUP($H17,Depreciation!$A$6:$L$10,9,FALSE)/2,IF($I17&lt;L$3,VLOOKUP($H17,Depreciation!$A$6:$L$10,9,FALSE),0))</f>
        <v>3.0676363676126896E-2</v>
      </c>
      <c r="M17" s="361">
        <f>+IF($I17=M$3,VLOOKUP($H17,Depreciation!$A$6:$L$10,10,FALSE)/2,IF($I17&lt;M$3,VLOOKUP($H17,Depreciation!$A$6:$L$10,10,FALSE),0))</f>
        <v>3.0676363676126896E-2</v>
      </c>
      <c r="N17" s="361">
        <f>+IF($I17=N$3,VLOOKUP($H17,Depreciation!$A$6:$L$10,11,FALSE)/2,IF($I17&lt;N$3,VLOOKUP($H17,Depreciation!$A$6:$L$10,11,FALSE),0))</f>
        <v>3.0676363676126896E-2</v>
      </c>
      <c r="O17" s="361">
        <f>+IF($I17=O$3,VLOOKUP($H17,Depreciation!$A$6:$L$10,12,FALSE)/2,IF($I17&lt;O$3,VLOOKUP($H17,Depreciation!$A$6:$L$10,12,FALSE),0))</f>
        <v>3.0676363676126896E-2</v>
      </c>
      <c r="P17" s="362">
        <f t="shared" si="2"/>
        <v>210804.49053236193</v>
      </c>
      <c r="Q17" s="362">
        <f t="shared" si="3"/>
        <v>0</v>
      </c>
      <c r="R17" s="363">
        <f t="shared" si="4"/>
        <v>210804.49053236193</v>
      </c>
      <c r="Y17" s="365"/>
    </row>
    <row r="18" spans="1:25" ht="15" customHeight="1">
      <c r="A18" s="359" t="str">
        <f>'Func Future Lines 2015'!A18</f>
        <v>FINAL</v>
      </c>
      <c r="B18" s="359" t="str">
        <f>'Func Future Lines 2015'!B18</f>
        <v>780L</v>
      </c>
      <c r="C18" s="359">
        <f>'Func Future Lines 2015'!C18</f>
        <v>629</v>
      </c>
      <c r="D18" s="359">
        <f>'Func Future Lines 2015'!D18</f>
        <v>138</v>
      </c>
      <c r="E18" s="359">
        <f>'Func Future Lines 2015'!E18</f>
        <v>0</v>
      </c>
      <c r="F18" s="359">
        <f>'Func Future Lines 2015'!F18</f>
        <v>0</v>
      </c>
      <c r="G18" s="359">
        <f>'Func Future Lines 2015'!G18</f>
        <v>383859.96701394476</v>
      </c>
      <c r="H18" s="359" t="str">
        <f>'Func Future Lines 2015'!H18</f>
        <v>AltaLink</v>
      </c>
      <c r="I18" s="359">
        <f>'Func Future Lines 2015'!I18</f>
        <v>2015</v>
      </c>
      <c r="J18" s="361">
        <f>+IF($I18=J$3,VLOOKUP($H18,Depreciation!$A$6:$L$10,7,FALSE)/2,IF($I18&lt;J$3,VLOOKUP($H18,Depreciation!$A$6:$L$10,7,FALSE),0))</f>
        <v>1.595020804044691E-2</v>
      </c>
      <c r="K18" s="361">
        <f>+IF($I18=K$3,VLOOKUP($H18,Depreciation!$A$6:$L$10,8,FALSE)/2,IF($I18&lt;K$3,VLOOKUP($H18,Depreciation!$A$6:$L$10,8,FALSE),0))</f>
        <v>3.0676363676126896E-2</v>
      </c>
      <c r="L18" s="361">
        <f>+IF($I18=L$3,VLOOKUP($H18,Depreciation!$A$6:$L$10,9,FALSE)/2,IF($I18&lt;L$3,VLOOKUP($H18,Depreciation!$A$6:$L$10,9,FALSE),0))</f>
        <v>3.0676363676126896E-2</v>
      </c>
      <c r="M18" s="361">
        <f>+IF($I18=M$3,VLOOKUP($H18,Depreciation!$A$6:$L$10,10,FALSE)/2,IF($I18&lt;M$3,VLOOKUP($H18,Depreciation!$A$6:$L$10,10,FALSE),0))</f>
        <v>3.0676363676126896E-2</v>
      </c>
      <c r="N18" s="361">
        <f>+IF($I18=N$3,VLOOKUP($H18,Depreciation!$A$6:$L$10,11,FALSE)/2,IF($I18&lt;N$3,VLOOKUP($H18,Depreciation!$A$6:$L$10,11,FALSE),0))</f>
        <v>3.0676363676126896E-2</v>
      </c>
      <c r="O18" s="361">
        <f>+IF($I18=O$3,VLOOKUP($H18,Depreciation!$A$6:$L$10,12,FALSE)/2,IF($I18&lt;O$3,VLOOKUP($H18,Depreciation!$A$6:$L$10,12,FALSE),0))</f>
        <v>3.0676363676126896E-2</v>
      </c>
      <c r="P18" s="362">
        <f t="shared" si="2"/>
        <v>354917.57149457233</v>
      </c>
      <c r="Q18" s="362">
        <f t="shared" si="3"/>
        <v>0</v>
      </c>
      <c r="R18" s="363">
        <f t="shared" si="4"/>
        <v>354917.57149457233</v>
      </c>
      <c r="Y18" s="365"/>
    </row>
    <row r="19" spans="1:25" ht="15" customHeight="1">
      <c r="A19" s="359" t="str">
        <f>'Func Future Lines 2015'!A19</f>
        <v>FINAL</v>
      </c>
      <c r="B19" s="359" t="str">
        <f>'Func Future Lines 2015'!B19</f>
        <v>783L</v>
      </c>
      <c r="C19" s="359">
        <f>'Func Future Lines 2015'!C19</f>
        <v>629</v>
      </c>
      <c r="D19" s="359">
        <f>'Func Future Lines 2015'!D19</f>
        <v>138</v>
      </c>
      <c r="E19" s="359">
        <f>'Func Future Lines 2015'!E19</f>
        <v>0</v>
      </c>
      <c r="F19" s="359">
        <f>'Func Future Lines 2015'!F19</f>
        <v>0</v>
      </c>
      <c r="G19" s="359">
        <f>'Func Future Lines 2015'!G19</f>
        <v>455201.94438484032</v>
      </c>
      <c r="H19" s="359" t="str">
        <f>'Func Future Lines 2015'!H19</f>
        <v>AltaLink</v>
      </c>
      <c r="I19" s="359">
        <f>'Func Future Lines 2015'!I19</f>
        <v>2015</v>
      </c>
      <c r="J19" s="361">
        <f>+IF($I19=J$3,VLOOKUP($H19,Depreciation!$A$6:$L$10,7,FALSE)/2,IF($I19&lt;J$3,VLOOKUP($H19,Depreciation!$A$6:$L$10,7,FALSE),0))</f>
        <v>1.595020804044691E-2</v>
      </c>
      <c r="K19" s="361">
        <f>+IF($I19=K$3,VLOOKUP($H19,Depreciation!$A$6:$L$10,8,FALSE)/2,IF($I19&lt;K$3,VLOOKUP($H19,Depreciation!$A$6:$L$10,8,FALSE),0))</f>
        <v>3.0676363676126896E-2</v>
      </c>
      <c r="L19" s="361">
        <f>+IF($I19=L$3,VLOOKUP($H19,Depreciation!$A$6:$L$10,9,FALSE)/2,IF($I19&lt;L$3,VLOOKUP($H19,Depreciation!$A$6:$L$10,9,FALSE),0))</f>
        <v>3.0676363676126896E-2</v>
      </c>
      <c r="M19" s="361">
        <f>+IF($I19=M$3,VLOOKUP($H19,Depreciation!$A$6:$L$10,10,FALSE)/2,IF($I19&lt;M$3,VLOOKUP($H19,Depreciation!$A$6:$L$10,10,FALSE),0))</f>
        <v>3.0676363676126896E-2</v>
      </c>
      <c r="N19" s="361">
        <f>+IF($I19=N$3,VLOOKUP($H19,Depreciation!$A$6:$L$10,11,FALSE)/2,IF($I19&lt;N$3,VLOOKUP($H19,Depreciation!$A$6:$L$10,11,FALSE),0))</f>
        <v>3.0676363676126896E-2</v>
      </c>
      <c r="O19" s="361">
        <f>+IF($I19=O$3,VLOOKUP($H19,Depreciation!$A$6:$L$10,12,FALSE)/2,IF($I19&lt;O$3,VLOOKUP($H19,Depreciation!$A$6:$L$10,12,FALSE),0))</f>
        <v>3.0676363676126896E-2</v>
      </c>
      <c r="P19" s="362">
        <f t="shared" si="2"/>
        <v>420880.48383228725</v>
      </c>
      <c r="Q19" s="362">
        <f t="shared" si="3"/>
        <v>0</v>
      </c>
      <c r="R19" s="363">
        <f t="shared" si="4"/>
        <v>420880.48383228725</v>
      </c>
      <c r="Y19" s="365"/>
    </row>
    <row r="20" spans="1:25" ht="15" customHeight="1">
      <c r="A20" s="359" t="str">
        <f>'Func Future Lines 2015'!A20</f>
        <v>FINAL</v>
      </c>
      <c r="B20" s="359" t="str">
        <f>'Func Future Lines 2015'!B20</f>
        <v>874L</v>
      </c>
      <c r="C20" s="359">
        <f>'Func Future Lines 2015'!C20</f>
        <v>629</v>
      </c>
      <c r="D20" s="359">
        <f>'Func Future Lines 2015'!D20</f>
        <v>138</v>
      </c>
      <c r="E20" s="359">
        <f>'Func Future Lines 2015'!E20</f>
        <v>0</v>
      </c>
      <c r="F20" s="359">
        <f>'Func Future Lines 2015'!F20</f>
        <v>0</v>
      </c>
      <c r="G20" s="359">
        <f>'Func Future Lines 2015'!G20</f>
        <v>17456.145804520598</v>
      </c>
      <c r="H20" s="359" t="str">
        <f>'Func Future Lines 2015'!H20</f>
        <v>AltaLink</v>
      </c>
      <c r="I20" s="359">
        <f>'Func Future Lines 2015'!I20</f>
        <v>2015</v>
      </c>
      <c r="J20" s="361">
        <f>+IF($I20=J$3,VLOOKUP($H20,Depreciation!$A$6:$L$10,7,FALSE)/2,IF($I20&lt;J$3,VLOOKUP($H20,Depreciation!$A$6:$L$10,7,FALSE),0))</f>
        <v>1.595020804044691E-2</v>
      </c>
      <c r="K20" s="361">
        <f>+IF($I20=K$3,VLOOKUP($H20,Depreciation!$A$6:$L$10,8,FALSE)/2,IF($I20&lt;K$3,VLOOKUP($H20,Depreciation!$A$6:$L$10,8,FALSE),0))</f>
        <v>3.0676363676126896E-2</v>
      </c>
      <c r="L20" s="361">
        <f>+IF($I20=L$3,VLOOKUP($H20,Depreciation!$A$6:$L$10,9,FALSE)/2,IF($I20&lt;L$3,VLOOKUP($H20,Depreciation!$A$6:$L$10,9,FALSE),0))</f>
        <v>3.0676363676126896E-2</v>
      </c>
      <c r="M20" s="361">
        <f>+IF($I20=M$3,VLOOKUP($H20,Depreciation!$A$6:$L$10,10,FALSE)/2,IF($I20&lt;M$3,VLOOKUP($H20,Depreciation!$A$6:$L$10,10,FALSE),0))</f>
        <v>3.0676363676126896E-2</v>
      </c>
      <c r="N20" s="361">
        <f>+IF($I20=N$3,VLOOKUP($H20,Depreciation!$A$6:$L$10,11,FALSE)/2,IF($I20&lt;N$3,VLOOKUP($H20,Depreciation!$A$6:$L$10,11,FALSE),0))</f>
        <v>3.0676363676126896E-2</v>
      </c>
      <c r="O20" s="361">
        <f>+IF($I20=O$3,VLOOKUP($H20,Depreciation!$A$6:$L$10,12,FALSE)/2,IF($I20&lt;O$3,VLOOKUP($H20,Depreciation!$A$6:$L$10,12,FALSE),0))</f>
        <v>3.0676363676126896E-2</v>
      </c>
      <c r="P20" s="362">
        <f t="shared" si="2"/>
        <v>16139.981787604724</v>
      </c>
      <c r="Q20" s="362">
        <f t="shared" si="3"/>
        <v>0</v>
      </c>
      <c r="R20" s="363">
        <f t="shared" si="4"/>
        <v>16139.981787604724</v>
      </c>
      <c r="Y20" s="365"/>
    </row>
    <row r="21" spans="1:25" ht="15" customHeight="1">
      <c r="A21" s="359" t="str">
        <f>'Func Future Lines 2015'!A21</f>
        <v>FINAL</v>
      </c>
      <c r="B21" s="359" t="str">
        <f>'Func Future Lines 2015'!B21</f>
        <v>908L</v>
      </c>
      <c r="C21" s="359">
        <f>'Func Future Lines 2015'!C21</f>
        <v>629</v>
      </c>
      <c r="D21" s="359">
        <f>'Func Future Lines 2015'!D21</f>
        <v>240</v>
      </c>
      <c r="E21" s="359">
        <f>'Func Future Lines 2015'!E21</f>
        <v>0</v>
      </c>
      <c r="F21" s="359">
        <f>'Func Future Lines 2015'!F21</f>
        <v>0</v>
      </c>
      <c r="G21" s="359">
        <f>'Func Future Lines 2015'!G21</f>
        <v>2529823.4403768573</v>
      </c>
      <c r="H21" s="359" t="str">
        <f>'Func Future Lines 2015'!H21</f>
        <v>AltaLink</v>
      </c>
      <c r="I21" s="359">
        <f>'Func Future Lines 2015'!I21</f>
        <v>2015</v>
      </c>
      <c r="J21" s="361">
        <f>+IF($I21=J$3,VLOOKUP($H21,Depreciation!$A$6:$L$10,7,FALSE)/2,IF($I21&lt;J$3,VLOOKUP($H21,Depreciation!$A$6:$L$10,7,FALSE),0))</f>
        <v>1.595020804044691E-2</v>
      </c>
      <c r="K21" s="361">
        <f>+IF($I21=K$3,VLOOKUP($H21,Depreciation!$A$6:$L$10,8,FALSE)/2,IF($I21&lt;K$3,VLOOKUP($H21,Depreciation!$A$6:$L$10,8,FALSE),0))</f>
        <v>3.0676363676126896E-2</v>
      </c>
      <c r="L21" s="361">
        <f>+IF($I21=L$3,VLOOKUP($H21,Depreciation!$A$6:$L$10,9,FALSE)/2,IF($I21&lt;L$3,VLOOKUP($H21,Depreciation!$A$6:$L$10,9,FALSE),0))</f>
        <v>3.0676363676126896E-2</v>
      </c>
      <c r="M21" s="361">
        <f>+IF($I21=M$3,VLOOKUP($H21,Depreciation!$A$6:$L$10,10,FALSE)/2,IF($I21&lt;M$3,VLOOKUP($H21,Depreciation!$A$6:$L$10,10,FALSE),0))</f>
        <v>3.0676363676126896E-2</v>
      </c>
      <c r="N21" s="361">
        <f>+IF($I21=N$3,VLOOKUP($H21,Depreciation!$A$6:$L$10,11,FALSE)/2,IF($I21&lt;N$3,VLOOKUP($H21,Depreciation!$A$6:$L$10,11,FALSE),0))</f>
        <v>3.0676363676126896E-2</v>
      </c>
      <c r="O21" s="361">
        <f>+IF($I21=O$3,VLOOKUP($H21,Depreciation!$A$6:$L$10,12,FALSE)/2,IF($I21&lt;O$3,VLOOKUP($H21,Depreciation!$A$6:$L$10,12,FALSE),0))</f>
        <v>3.0676363676126896E-2</v>
      </c>
      <c r="P21" s="362">
        <f t="shared" si="2"/>
        <v>2339079.0103829196</v>
      </c>
      <c r="Q21" s="362">
        <f t="shared" si="3"/>
        <v>2339079.0103829196</v>
      </c>
      <c r="R21" s="363">
        <f t="shared" si="4"/>
        <v>0</v>
      </c>
      <c r="Y21" s="365"/>
    </row>
    <row r="22" spans="1:25" ht="15" customHeight="1">
      <c r="A22" s="359" t="str">
        <f>'Func Future Lines 2015'!A22</f>
        <v>FINAL</v>
      </c>
      <c r="B22" s="359" t="str">
        <f>'Func Future Lines 2015'!B22</f>
        <v>920/921L</v>
      </c>
      <c r="C22" s="359">
        <f>'Func Future Lines 2015'!C22</f>
        <v>629</v>
      </c>
      <c r="D22" s="359">
        <f>'Func Future Lines 2015'!D22</f>
        <v>240</v>
      </c>
      <c r="E22" s="359">
        <f>'Func Future Lines 2015'!E22</f>
        <v>0</v>
      </c>
      <c r="F22" s="359">
        <f>'Func Future Lines 2015'!F22</f>
        <v>0</v>
      </c>
      <c r="G22" s="359">
        <f>'Func Future Lines 2015'!G22</f>
        <v>6789772.358134713</v>
      </c>
      <c r="H22" s="359" t="str">
        <f>'Func Future Lines 2015'!H22</f>
        <v>AltaLink</v>
      </c>
      <c r="I22" s="359">
        <f>'Func Future Lines 2015'!I22</f>
        <v>2015</v>
      </c>
      <c r="J22" s="361">
        <f>+IF($I22=J$3,VLOOKUP($H22,Depreciation!$A$6:$L$10,7,FALSE)/2,IF($I22&lt;J$3,VLOOKUP($H22,Depreciation!$A$6:$L$10,7,FALSE),0))</f>
        <v>1.595020804044691E-2</v>
      </c>
      <c r="K22" s="361">
        <f>+IF($I22=K$3,VLOOKUP($H22,Depreciation!$A$6:$L$10,8,FALSE)/2,IF($I22&lt;K$3,VLOOKUP($H22,Depreciation!$A$6:$L$10,8,FALSE),0))</f>
        <v>3.0676363676126896E-2</v>
      </c>
      <c r="L22" s="361">
        <f>+IF($I22=L$3,VLOOKUP($H22,Depreciation!$A$6:$L$10,9,FALSE)/2,IF($I22&lt;L$3,VLOOKUP($H22,Depreciation!$A$6:$L$10,9,FALSE),0))</f>
        <v>3.0676363676126896E-2</v>
      </c>
      <c r="M22" s="361">
        <f>+IF($I22=M$3,VLOOKUP($H22,Depreciation!$A$6:$L$10,10,FALSE)/2,IF($I22&lt;M$3,VLOOKUP($H22,Depreciation!$A$6:$L$10,10,FALSE),0))</f>
        <v>3.0676363676126896E-2</v>
      </c>
      <c r="N22" s="361">
        <f>+IF($I22=N$3,VLOOKUP($H22,Depreciation!$A$6:$L$10,11,FALSE)/2,IF($I22&lt;N$3,VLOOKUP($H22,Depreciation!$A$6:$L$10,11,FALSE),0))</f>
        <v>3.0676363676126896E-2</v>
      </c>
      <c r="O22" s="361">
        <f>+IF($I22=O$3,VLOOKUP($H22,Depreciation!$A$6:$L$10,12,FALSE)/2,IF($I22&lt;O$3,VLOOKUP($H22,Depreciation!$A$6:$L$10,12,FALSE),0))</f>
        <v>3.0676363676126896E-2</v>
      </c>
      <c r="P22" s="362">
        <f t="shared" si="2"/>
        <v>6277834.9487603772</v>
      </c>
      <c r="Q22" s="362">
        <f t="shared" si="3"/>
        <v>6277834.9487603772</v>
      </c>
      <c r="R22" s="363">
        <f t="shared" si="4"/>
        <v>0</v>
      </c>
      <c r="Y22" s="365"/>
    </row>
    <row r="23" spans="1:25" ht="15" customHeight="1">
      <c r="A23" s="359" t="str">
        <f>'Func Future Lines 2015'!A23</f>
        <v>FINAL</v>
      </c>
      <c r="B23" s="359" t="str">
        <f>'Func Future Lines 2015'!B23</f>
        <v>946L</v>
      </c>
      <c r="C23" s="359">
        <f>'Func Future Lines 2015'!C23</f>
        <v>629</v>
      </c>
      <c r="D23" s="359">
        <f>'Func Future Lines 2015'!D23</f>
        <v>240</v>
      </c>
      <c r="E23" s="359">
        <f>'Func Future Lines 2015'!E23</f>
        <v>0</v>
      </c>
      <c r="F23" s="359">
        <f>'Func Future Lines 2015'!F23</f>
        <v>0</v>
      </c>
      <c r="G23" s="359">
        <f>'Func Future Lines 2015'!G23</f>
        <v>2351204.2774664294</v>
      </c>
      <c r="H23" s="359" t="str">
        <f>'Func Future Lines 2015'!H23</f>
        <v>AltaLink</v>
      </c>
      <c r="I23" s="359">
        <f>'Func Future Lines 2015'!I23</f>
        <v>2015</v>
      </c>
      <c r="J23" s="361">
        <f>+IF($I23=J$3,VLOOKUP($H23,Depreciation!$A$6:$L$10,7,FALSE)/2,IF($I23&lt;J$3,VLOOKUP($H23,Depreciation!$A$6:$L$10,7,FALSE),0))</f>
        <v>1.595020804044691E-2</v>
      </c>
      <c r="K23" s="361">
        <f>+IF($I23=K$3,VLOOKUP($H23,Depreciation!$A$6:$L$10,8,FALSE)/2,IF($I23&lt;K$3,VLOOKUP($H23,Depreciation!$A$6:$L$10,8,FALSE),0))</f>
        <v>3.0676363676126896E-2</v>
      </c>
      <c r="L23" s="361">
        <f>+IF($I23=L$3,VLOOKUP($H23,Depreciation!$A$6:$L$10,9,FALSE)/2,IF($I23&lt;L$3,VLOOKUP($H23,Depreciation!$A$6:$L$10,9,FALSE),0))</f>
        <v>3.0676363676126896E-2</v>
      </c>
      <c r="M23" s="361">
        <f>+IF($I23=M$3,VLOOKUP($H23,Depreciation!$A$6:$L$10,10,FALSE)/2,IF($I23&lt;M$3,VLOOKUP($H23,Depreciation!$A$6:$L$10,10,FALSE),0))</f>
        <v>3.0676363676126896E-2</v>
      </c>
      <c r="N23" s="361">
        <f>+IF($I23=N$3,VLOOKUP($H23,Depreciation!$A$6:$L$10,11,FALSE)/2,IF($I23&lt;N$3,VLOOKUP($H23,Depreciation!$A$6:$L$10,11,FALSE),0))</f>
        <v>3.0676363676126896E-2</v>
      </c>
      <c r="O23" s="361">
        <f>+IF($I23=O$3,VLOOKUP($H23,Depreciation!$A$6:$L$10,12,FALSE)/2,IF($I23&lt;O$3,VLOOKUP($H23,Depreciation!$A$6:$L$10,12,FALSE),0))</f>
        <v>3.0676363676126896E-2</v>
      </c>
      <c r="P23" s="362">
        <f t="shared" si="2"/>
        <v>2173927.431759824</v>
      </c>
      <c r="Q23" s="362">
        <f t="shared" si="3"/>
        <v>2173927.431759824</v>
      </c>
      <c r="R23" s="363">
        <f t="shared" si="4"/>
        <v>0</v>
      </c>
      <c r="Y23" s="365"/>
    </row>
    <row r="24" spans="1:25" ht="15" customHeight="1">
      <c r="A24" s="359" t="str">
        <f>'Func Future Lines 2015'!A24</f>
        <v>FINAL</v>
      </c>
      <c r="B24" s="359" t="str">
        <f>'Func Future Lines 2015'!B24</f>
        <v>947L</v>
      </c>
      <c r="C24" s="359">
        <f>'Func Future Lines 2015'!C24</f>
        <v>629</v>
      </c>
      <c r="D24" s="359">
        <f>'Func Future Lines 2015'!D24</f>
        <v>240</v>
      </c>
      <c r="E24" s="359">
        <f>'Func Future Lines 2015'!E24</f>
        <v>0</v>
      </c>
      <c r="F24" s="359">
        <f>'Func Future Lines 2015'!F24</f>
        <v>0</v>
      </c>
      <c r="G24" s="359">
        <f>'Func Future Lines 2015'!G24</f>
        <v>1685761.0563939137</v>
      </c>
      <c r="H24" s="359" t="str">
        <f>'Func Future Lines 2015'!H24</f>
        <v>AltaLink</v>
      </c>
      <c r="I24" s="359">
        <f>'Func Future Lines 2015'!I24</f>
        <v>2015</v>
      </c>
      <c r="J24" s="361">
        <f>+IF($I24=J$3,VLOOKUP($H24,Depreciation!$A$6:$L$10,7,FALSE)/2,IF($I24&lt;J$3,VLOOKUP($H24,Depreciation!$A$6:$L$10,7,FALSE),0))</f>
        <v>1.595020804044691E-2</v>
      </c>
      <c r="K24" s="361">
        <f>+IF($I24=K$3,VLOOKUP($H24,Depreciation!$A$6:$L$10,8,FALSE)/2,IF($I24&lt;K$3,VLOOKUP($H24,Depreciation!$A$6:$L$10,8,FALSE),0))</f>
        <v>3.0676363676126896E-2</v>
      </c>
      <c r="L24" s="361">
        <f>+IF($I24=L$3,VLOOKUP($H24,Depreciation!$A$6:$L$10,9,FALSE)/2,IF($I24&lt;L$3,VLOOKUP($H24,Depreciation!$A$6:$L$10,9,FALSE),0))</f>
        <v>3.0676363676126896E-2</v>
      </c>
      <c r="M24" s="361">
        <f>+IF($I24=M$3,VLOOKUP($H24,Depreciation!$A$6:$L$10,10,FALSE)/2,IF($I24&lt;M$3,VLOOKUP($H24,Depreciation!$A$6:$L$10,10,FALSE),0))</f>
        <v>3.0676363676126896E-2</v>
      </c>
      <c r="N24" s="361">
        <f>+IF($I24=N$3,VLOOKUP($H24,Depreciation!$A$6:$L$10,11,FALSE)/2,IF($I24&lt;N$3,VLOOKUP($H24,Depreciation!$A$6:$L$10,11,FALSE),0))</f>
        <v>3.0676363676126896E-2</v>
      </c>
      <c r="O24" s="361">
        <f>+IF($I24=O$3,VLOOKUP($H24,Depreciation!$A$6:$L$10,12,FALSE)/2,IF($I24&lt;O$3,VLOOKUP($H24,Depreciation!$A$6:$L$10,12,FALSE),0))</f>
        <v>3.0676363676126896E-2</v>
      </c>
      <c r="P24" s="362">
        <f t="shared" si="2"/>
        <v>1558657.5096895103</v>
      </c>
      <c r="Q24" s="362">
        <f t="shared" si="3"/>
        <v>1558657.5096895103</v>
      </c>
      <c r="R24" s="363">
        <f t="shared" si="4"/>
        <v>0</v>
      </c>
      <c r="Y24" s="365"/>
    </row>
    <row r="25" spans="1:25" ht="15" customHeight="1">
      <c r="A25" s="359" t="str">
        <f>'Func Future Lines 2015'!A25</f>
        <v>PPS</v>
      </c>
      <c r="B25" s="359" t="str">
        <f>'Func Future Lines 2015'!B25</f>
        <v>9L12</v>
      </c>
      <c r="C25" s="359">
        <f>'Func Future Lines 2015'!C25</f>
        <v>635</v>
      </c>
      <c r="D25" s="359">
        <f>'Func Future Lines 2015'!D25</f>
        <v>240</v>
      </c>
      <c r="E25" s="359">
        <f>'Func Future Lines 2015'!E25</f>
        <v>0</v>
      </c>
      <c r="F25" s="359" t="str">
        <f>'Func Future Lines 2015'!F25</f>
        <v>Hanna</v>
      </c>
      <c r="G25" s="359">
        <f>'Func Future Lines 2015'!G25</f>
        <v>427021.60758395493</v>
      </c>
      <c r="H25" s="359" t="str">
        <f>'Func Future Lines 2015'!H25</f>
        <v>ATCO</v>
      </c>
      <c r="I25" s="359">
        <f>'Func Future Lines 2015'!I25</f>
        <v>2019</v>
      </c>
      <c r="J25" s="361">
        <f>+IF($I25=J$3,VLOOKUP($H25,Depreciation!$A$6:$L$10,7,FALSE)/2,IF($I25&lt;J$3,VLOOKUP($H25,Depreciation!$A$6:$L$10,7,FALSE),0))</f>
        <v>0</v>
      </c>
      <c r="K25" s="361">
        <f>+IF($I25=K$3,VLOOKUP($H25,Depreciation!$A$6:$L$10,8,FALSE)/2,IF($I25&lt;K$3,VLOOKUP($H25,Depreciation!$A$6:$L$10,8,FALSE),0))</f>
        <v>0</v>
      </c>
      <c r="L25" s="361">
        <f>+IF($I25=L$3,VLOOKUP($H25,Depreciation!$A$6:$L$10,9,FALSE)/2,IF($I25&lt;L$3,VLOOKUP($H25,Depreciation!$A$6:$L$10,9,FALSE),0))</f>
        <v>0</v>
      </c>
      <c r="M25" s="361">
        <f>+IF($I25=M$3,VLOOKUP($H25,Depreciation!$A$6:$L$10,10,FALSE)/2,IF($I25&lt;M$3,VLOOKUP($H25,Depreciation!$A$6:$L$10,10,FALSE),0))</f>
        <v>0</v>
      </c>
      <c r="N25" s="361">
        <f>+IF($I25=N$3,VLOOKUP($H25,Depreciation!$A$6:$L$10,11,FALSE)/2,IF($I25&lt;N$3,VLOOKUP($H25,Depreciation!$A$6:$L$10,11,FALSE),0))</f>
        <v>1.2001018963427959E-2</v>
      </c>
      <c r="O25" s="361">
        <f>+IF($I25=O$3,VLOOKUP($H25,Depreciation!$A$6:$L$10,12,FALSE)/2,IF($I25&lt;O$3,VLOOKUP($H25,Depreciation!$A$6:$L$10,12,FALSE),0))</f>
        <v>2.4002037926855919E-2</v>
      </c>
      <c r="P25" s="362">
        <f t="shared" si="2"/>
        <v>0</v>
      </c>
      <c r="Q25" s="362">
        <f t="shared" si="3"/>
        <v>0</v>
      </c>
      <c r="R25" s="363">
        <f t="shared" si="4"/>
        <v>0</v>
      </c>
      <c r="Y25" s="365"/>
    </row>
    <row r="26" spans="1:25" ht="15" customHeight="1">
      <c r="A26" s="359" t="str">
        <f>'Func Future Lines 2015'!A26</f>
        <v>PPS</v>
      </c>
      <c r="B26" s="359" t="str">
        <f>'Func Future Lines 2015'!B26</f>
        <v>9L38 &amp; 9L94</v>
      </c>
      <c r="C26" s="359">
        <f>'Func Future Lines 2015'!C26</f>
        <v>635</v>
      </c>
      <c r="D26" s="359">
        <f>'Func Future Lines 2015'!D26</f>
        <v>240</v>
      </c>
      <c r="E26" s="359">
        <f>'Func Future Lines 2015'!E26</f>
        <v>0</v>
      </c>
      <c r="F26" s="359" t="str">
        <f>'Func Future Lines 2015'!F26</f>
        <v>Hanna</v>
      </c>
      <c r="G26" s="359">
        <f>'Func Future Lines 2015'!G26</f>
        <v>3545608.0808741758</v>
      </c>
      <c r="H26" s="359" t="str">
        <f>'Func Future Lines 2015'!H26</f>
        <v>ATCO</v>
      </c>
      <c r="I26" s="359">
        <f>'Func Future Lines 2015'!I26</f>
        <v>2019</v>
      </c>
      <c r="J26" s="361">
        <f>+IF($I26=J$3,VLOOKUP($H26,Depreciation!$A$6:$L$10,7,FALSE)/2,IF($I26&lt;J$3,VLOOKUP($H26,Depreciation!$A$6:$L$10,7,FALSE),0))</f>
        <v>0</v>
      </c>
      <c r="K26" s="361">
        <f>+IF($I26=K$3,VLOOKUP($H26,Depreciation!$A$6:$L$10,8,FALSE)/2,IF($I26&lt;K$3,VLOOKUP($H26,Depreciation!$A$6:$L$10,8,FALSE),0))</f>
        <v>0</v>
      </c>
      <c r="L26" s="361">
        <f>+IF($I26=L$3,VLOOKUP($H26,Depreciation!$A$6:$L$10,9,FALSE)/2,IF($I26&lt;L$3,VLOOKUP($H26,Depreciation!$A$6:$L$10,9,FALSE),0))</f>
        <v>0</v>
      </c>
      <c r="M26" s="361">
        <f>+IF($I26=M$3,VLOOKUP($H26,Depreciation!$A$6:$L$10,10,FALSE)/2,IF($I26&lt;M$3,VLOOKUP($H26,Depreciation!$A$6:$L$10,10,FALSE),0))</f>
        <v>0</v>
      </c>
      <c r="N26" s="361">
        <f>+IF($I26=N$3,VLOOKUP($H26,Depreciation!$A$6:$L$10,11,FALSE)/2,IF($I26&lt;N$3,VLOOKUP($H26,Depreciation!$A$6:$L$10,11,FALSE),0))</f>
        <v>1.2001018963427959E-2</v>
      </c>
      <c r="O26" s="361">
        <f>+IF($I26=O$3,VLOOKUP($H26,Depreciation!$A$6:$L$10,12,FALSE)/2,IF($I26&lt;O$3,VLOOKUP($H26,Depreciation!$A$6:$L$10,12,FALSE),0))</f>
        <v>2.4002037926855919E-2</v>
      </c>
      <c r="P26" s="362">
        <f t="shared" si="2"/>
        <v>0</v>
      </c>
      <c r="Q26" s="362">
        <f t="shared" si="3"/>
        <v>0</v>
      </c>
      <c r="R26" s="363">
        <f t="shared" si="4"/>
        <v>0</v>
      </c>
      <c r="U26" s="366"/>
      <c r="Y26" s="365"/>
    </row>
    <row r="27" spans="1:25" ht="15" customHeight="1">
      <c r="A27" s="359" t="str">
        <f>'Func Future Lines 2015'!A27</f>
        <v>PPS</v>
      </c>
      <c r="B27" s="359" t="str">
        <f>'Func Future Lines 2015'!B27</f>
        <v>9L94 line version 2</v>
      </c>
      <c r="C27" s="359">
        <f>'Func Future Lines 2015'!C27</f>
        <v>678</v>
      </c>
      <c r="D27" s="359">
        <f>'Func Future Lines 2015'!D27</f>
        <v>240</v>
      </c>
      <c r="E27" s="359">
        <f>'Func Future Lines 2015'!E27</f>
        <v>0</v>
      </c>
      <c r="F27" s="359">
        <f>'Func Future Lines 2015'!F27</f>
        <v>0</v>
      </c>
      <c r="G27" s="359">
        <f>'Func Future Lines 2015'!G27</f>
        <v>17467872.448014654</v>
      </c>
      <c r="H27" s="359" t="str">
        <f>'Func Future Lines 2015'!H27</f>
        <v>ATCO</v>
      </c>
      <c r="I27" s="359">
        <f>'Func Future Lines 2015'!I27</f>
        <v>2019</v>
      </c>
      <c r="J27" s="361">
        <f>+IF($I27=J$3,VLOOKUP($H27,Depreciation!$A$6:$L$10,7,FALSE)/2,IF($I27&lt;J$3,VLOOKUP($H27,Depreciation!$A$6:$L$10,7,FALSE),0))</f>
        <v>0</v>
      </c>
      <c r="K27" s="361">
        <f>+IF($I27=K$3,VLOOKUP($H27,Depreciation!$A$6:$L$10,8,FALSE)/2,IF($I27&lt;K$3,VLOOKUP($H27,Depreciation!$A$6:$L$10,8,FALSE),0))</f>
        <v>0</v>
      </c>
      <c r="L27" s="361">
        <f>+IF($I27=L$3,VLOOKUP($H27,Depreciation!$A$6:$L$10,9,FALSE)/2,IF($I27&lt;L$3,VLOOKUP($H27,Depreciation!$A$6:$L$10,9,FALSE),0))</f>
        <v>0</v>
      </c>
      <c r="M27" s="361">
        <f>+IF($I27=M$3,VLOOKUP($H27,Depreciation!$A$6:$L$10,10,FALSE)/2,IF($I27&lt;M$3,VLOOKUP($H27,Depreciation!$A$6:$L$10,10,FALSE),0))</f>
        <v>0</v>
      </c>
      <c r="N27" s="361">
        <f>+IF($I27=N$3,VLOOKUP($H27,Depreciation!$A$6:$L$10,11,FALSE)/2,IF($I27&lt;N$3,VLOOKUP($H27,Depreciation!$A$6:$L$10,11,FALSE),0))</f>
        <v>1.2001018963427959E-2</v>
      </c>
      <c r="O27" s="361">
        <f>+IF($I27=O$3,VLOOKUP($H27,Depreciation!$A$6:$L$10,12,FALSE)/2,IF($I27&lt;O$3,VLOOKUP($H27,Depreciation!$A$6:$L$10,12,FALSE),0))</f>
        <v>2.4002037926855919E-2</v>
      </c>
      <c r="P27" s="362">
        <f t="shared" si="2"/>
        <v>0</v>
      </c>
      <c r="Q27" s="362">
        <f t="shared" si="3"/>
        <v>0</v>
      </c>
      <c r="R27" s="363">
        <f t="shared" si="4"/>
        <v>0</v>
      </c>
      <c r="Y27" s="365"/>
    </row>
    <row r="28" spans="1:25" ht="15" customHeight="1">
      <c r="A28" s="359" t="str">
        <f>'Func Future Lines 2015'!A28</f>
        <v>PPS</v>
      </c>
      <c r="B28" s="359" t="str">
        <f>'Func Future Lines 2015'!B28</f>
        <v>983L/1074L_(v1)</v>
      </c>
      <c r="C28" s="359">
        <f>'Func Future Lines 2015'!C28</f>
        <v>693</v>
      </c>
      <c r="D28" s="359">
        <f>'Func Future Lines 2015'!D28</f>
        <v>240</v>
      </c>
      <c r="E28" s="359">
        <f>'Func Future Lines 2015'!E28</f>
        <v>0</v>
      </c>
      <c r="F28" s="359">
        <f>'Func Future Lines 2015'!F28</f>
        <v>0</v>
      </c>
      <c r="G28" s="359">
        <f>'Func Future Lines 2015'!G28</f>
        <v>1771692.0151243901</v>
      </c>
      <c r="H28" s="359" t="str">
        <f>'Func Future Lines 2015'!H28</f>
        <v>AltaLink</v>
      </c>
      <c r="I28" s="359">
        <f>'Func Future Lines 2015'!I28</f>
        <v>2019</v>
      </c>
      <c r="J28" s="361">
        <f>+IF($I28=J$3,VLOOKUP($H28,Depreciation!$A$6:$L$10,7,FALSE)/2,IF($I28&lt;J$3,VLOOKUP($H28,Depreciation!$A$6:$L$10,7,FALSE),0))</f>
        <v>0</v>
      </c>
      <c r="K28" s="361">
        <f>+IF($I28=K$3,VLOOKUP($H28,Depreciation!$A$6:$L$10,8,FALSE)/2,IF($I28&lt;K$3,VLOOKUP($H28,Depreciation!$A$6:$L$10,8,FALSE),0))</f>
        <v>0</v>
      </c>
      <c r="L28" s="361">
        <f>+IF($I28=L$3,VLOOKUP($H28,Depreciation!$A$6:$L$10,9,FALSE)/2,IF($I28&lt;L$3,VLOOKUP($H28,Depreciation!$A$6:$L$10,9,FALSE),0))</f>
        <v>0</v>
      </c>
      <c r="M28" s="361">
        <f>+IF($I28=M$3,VLOOKUP($H28,Depreciation!$A$6:$L$10,10,FALSE)/2,IF($I28&lt;M$3,VLOOKUP($H28,Depreciation!$A$6:$L$10,10,FALSE),0))</f>
        <v>0</v>
      </c>
      <c r="N28" s="361">
        <f>+IF($I28=N$3,VLOOKUP($H28,Depreciation!$A$6:$L$10,11,FALSE)/2,IF($I28&lt;N$3,VLOOKUP($H28,Depreciation!$A$6:$L$10,11,FALSE),0))</f>
        <v>1.5338181838063448E-2</v>
      </c>
      <c r="O28" s="361">
        <f>+IF($I28=O$3,VLOOKUP($H28,Depreciation!$A$6:$L$10,12,FALSE)/2,IF($I28&lt;O$3,VLOOKUP($H28,Depreciation!$A$6:$L$10,12,FALSE),0))</f>
        <v>3.0676363676126896E-2</v>
      </c>
      <c r="P28" s="362">
        <f t="shared" si="2"/>
        <v>0</v>
      </c>
      <c r="Q28" s="362">
        <f t="shared" si="3"/>
        <v>0</v>
      </c>
      <c r="R28" s="363">
        <f t="shared" si="4"/>
        <v>0</v>
      </c>
      <c r="Y28" s="365"/>
    </row>
    <row r="29" spans="1:25" ht="15" customHeight="1">
      <c r="A29" s="359" t="str">
        <f>'Func Future Lines 2015'!A29</f>
        <v>PPS</v>
      </c>
      <c r="B29" s="359" t="str">
        <f>'Func Future Lines 2015'!B29</f>
        <v>1003 UG</v>
      </c>
      <c r="C29" s="359">
        <f>'Func Future Lines 2015'!C29</f>
        <v>719</v>
      </c>
      <c r="D29" s="359">
        <f>'Func Future Lines 2015'!D29</f>
        <v>240</v>
      </c>
      <c r="E29" s="359">
        <f>'Func Future Lines 2015'!E29</f>
        <v>0</v>
      </c>
      <c r="F29" s="359" t="str">
        <f>'Func Future Lines 2015'!F29</f>
        <v>Calgary</v>
      </c>
      <c r="G29" s="359">
        <f>'Func Future Lines 2015'!G29</f>
        <v>4216204.8010803293</v>
      </c>
      <c r="H29" s="359" t="str">
        <f>'Func Future Lines 2015'!H29</f>
        <v>AltaLink</v>
      </c>
      <c r="I29" s="359">
        <f>'Func Future Lines 2015'!I29</f>
        <v>2015</v>
      </c>
      <c r="J29" s="361">
        <f>+IF($I29=J$3,VLOOKUP($H29,Depreciation!$A$6:$L$10,7,FALSE)/2,IF($I29&lt;J$3,VLOOKUP($H29,Depreciation!$A$6:$L$10,7,FALSE),0))</f>
        <v>1.595020804044691E-2</v>
      </c>
      <c r="K29" s="361">
        <f>+IF($I29=K$3,VLOOKUP($H29,Depreciation!$A$6:$L$10,8,FALSE)/2,IF($I29&lt;K$3,VLOOKUP($H29,Depreciation!$A$6:$L$10,8,FALSE),0))</f>
        <v>3.0676363676126896E-2</v>
      </c>
      <c r="L29" s="361">
        <f>+IF($I29=L$3,VLOOKUP($H29,Depreciation!$A$6:$L$10,9,FALSE)/2,IF($I29&lt;L$3,VLOOKUP($H29,Depreciation!$A$6:$L$10,9,FALSE),0))</f>
        <v>3.0676363676126896E-2</v>
      </c>
      <c r="M29" s="361">
        <f>+IF($I29=M$3,VLOOKUP($H29,Depreciation!$A$6:$L$10,10,FALSE)/2,IF($I29&lt;M$3,VLOOKUP($H29,Depreciation!$A$6:$L$10,10,FALSE),0))</f>
        <v>3.0676363676126896E-2</v>
      </c>
      <c r="N29" s="361">
        <f>+IF($I29=N$3,VLOOKUP($H29,Depreciation!$A$6:$L$10,11,FALSE)/2,IF($I29&lt;N$3,VLOOKUP($H29,Depreciation!$A$6:$L$10,11,FALSE),0))</f>
        <v>3.0676363676126896E-2</v>
      </c>
      <c r="O29" s="361">
        <f>+IF($I29=O$3,VLOOKUP($H29,Depreciation!$A$6:$L$10,12,FALSE)/2,IF($I29&lt;O$3,VLOOKUP($H29,Depreciation!$A$6:$L$10,12,FALSE),0))</f>
        <v>3.0676363676126896E-2</v>
      </c>
      <c r="P29" s="362">
        <f t="shared" si="2"/>
        <v>3898310.0544809508</v>
      </c>
      <c r="Q29" s="362">
        <f t="shared" si="3"/>
        <v>3898310.0544809508</v>
      </c>
      <c r="R29" s="363">
        <f t="shared" si="4"/>
        <v>0</v>
      </c>
      <c r="Y29" s="365"/>
    </row>
    <row r="30" spans="1:25" ht="15" customHeight="1">
      <c r="A30" s="359" t="str">
        <f>'Func Future Lines 2015'!A30</f>
        <v>PPS</v>
      </c>
      <c r="B30" s="359" t="str">
        <f>'Func Future Lines 2015'!B30</f>
        <v>1077L</v>
      </c>
      <c r="C30" s="359">
        <f>'Func Future Lines 2015'!C30</f>
        <v>719</v>
      </c>
      <c r="D30" s="359">
        <f>'Func Future Lines 2015'!D30</f>
        <v>240</v>
      </c>
      <c r="E30" s="359">
        <f>'Func Future Lines 2015'!E30</f>
        <v>0</v>
      </c>
      <c r="F30" s="359" t="str">
        <f>'Func Future Lines 2015'!F30</f>
        <v>Calgary</v>
      </c>
      <c r="G30" s="359">
        <f>'Func Future Lines 2015'!G30</f>
        <v>5877049.5211357661</v>
      </c>
      <c r="H30" s="359" t="str">
        <f>'Func Future Lines 2015'!H30</f>
        <v>AltaLink</v>
      </c>
      <c r="I30" s="359">
        <f>'Func Future Lines 2015'!I30</f>
        <v>2015</v>
      </c>
      <c r="J30" s="361">
        <f>+IF($I30=J$3,VLOOKUP($H30,Depreciation!$A$6:$L$10,7,FALSE)/2,IF($I30&lt;J$3,VLOOKUP($H30,Depreciation!$A$6:$L$10,7,FALSE),0))</f>
        <v>1.595020804044691E-2</v>
      </c>
      <c r="K30" s="361">
        <f>+IF($I30=K$3,VLOOKUP($H30,Depreciation!$A$6:$L$10,8,FALSE)/2,IF($I30&lt;K$3,VLOOKUP($H30,Depreciation!$A$6:$L$10,8,FALSE),0))</f>
        <v>3.0676363676126896E-2</v>
      </c>
      <c r="L30" s="361">
        <f>+IF($I30=L$3,VLOOKUP($H30,Depreciation!$A$6:$L$10,9,FALSE)/2,IF($I30&lt;L$3,VLOOKUP($H30,Depreciation!$A$6:$L$10,9,FALSE),0))</f>
        <v>3.0676363676126896E-2</v>
      </c>
      <c r="M30" s="361">
        <f>+IF($I30=M$3,VLOOKUP($H30,Depreciation!$A$6:$L$10,10,FALSE)/2,IF($I30&lt;M$3,VLOOKUP($H30,Depreciation!$A$6:$L$10,10,FALSE),0))</f>
        <v>3.0676363676126896E-2</v>
      </c>
      <c r="N30" s="361">
        <f>+IF($I30=N$3,VLOOKUP($H30,Depreciation!$A$6:$L$10,11,FALSE)/2,IF($I30&lt;N$3,VLOOKUP($H30,Depreciation!$A$6:$L$10,11,FALSE),0))</f>
        <v>3.0676363676126896E-2</v>
      </c>
      <c r="O30" s="361">
        <f>+IF($I30=O$3,VLOOKUP($H30,Depreciation!$A$6:$L$10,12,FALSE)/2,IF($I30&lt;O$3,VLOOKUP($H30,Depreciation!$A$6:$L$10,12,FALSE),0))</f>
        <v>3.0676363676126896E-2</v>
      </c>
      <c r="P30" s="362">
        <f t="shared" si="2"/>
        <v>5433929.8776604915</v>
      </c>
      <c r="Q30" s="362">
        <f t="shared" si="3"/>
        <v>5433929.8776604915</v>
      </c>
      <c r="R30" s="363">
        <f t="shared" si="4"/>
        <v>0</v>
      </c>
      <c r="Y30" s="365"/>
    </row>
    <row r="31" spans="1:25" ht="15" customHeight="1">
      <c r="A31" s="359" t="str">
        <f>'Func Future Lines 2015'!A31</f>
        <v>PPS</v>
      </c>
      <c r="B31" s="359" t="str">
        <f>'Func Future Lines 2015'!B31</f>
        <v>1077L UG</v>
      </c>
      <c r="C31" s="359">
        <f>'Func Future Lines 2015'!C31</f>
        <v>719</v>
      </c>
      <c r="D31" s="359">
        <f>'Func Future Lines 2015'!D31</f>
        <v>240</v>
      </c>
      <c r="E31" s="359">
        <f>'Func Future Lines 2015'!E31</f>
        <v>0</v>
      </c>
      <c r="F31" s="359" t="str">
        <f>'Func Future Lines 2015'!F31</f>
        <v>Calgary</v>
      </c>
      <c r="G31" s="359">
        <f>'Func Future Lines 2015'!G31</f>
        <v>2258581.6201425032</v>
      </c>
      <c r="H31" s="359" t="str">
        <f>'Func Future Lines 2015'!H31</f>
        <v>AltaLink</v>
      </c>
      <c r="I31" s="359">
        <f>'Func Future Lines 2015'!I31</f>
        <v>2015</v>
      </c>
      <c r="J31" s="361">
        <f>+IF($I31=J$3,VLOOKUP($H31,Depreciation!$A$6:$L$10,7,FALSE)/2,IF($I31&lt;J$3,VLOOKUP($H31,Depreciation!$A$6:$L$10,7,FALSE),0))</f>
        <v>1.595020804044691E-2</v>
      </c>
      <c r="K31" s="361">
        <f>+IF($I31=K$3,VLOOKUP($H31,Depreciation!$A$6:$L$10,8,FALSE)/2,IF($I31&lt;K$3,VLOOKUP($H31,Depreciation!$A$6:$L$10,8,FALSE),0))</f>
        <v>3.0676363676126896E-2</v>
      </c>
      <c r="L31" s="361">
        <f>+IF($I31=L$3,VLOOKUP($H31,Depreciation!$A$6:$L$10,9,FALSE)/2,IF($I31&lt;L$3,VLOOKUP($H31,Depreciation!$A$6:$L$10,9,FALSE),0))</f>
        <v>3.0676363676126896E-2</v>
      </c>
      <c r="M31" s="361">
        <f>+IF($I31=M$3,VLOOKUP($H31,Depreciation!$A$6:$L$10,10,FALSE)/2,IF($I31&lt;M$3,VLOOKUP($H31,Depreciation!$A$6:$L$10,10,FALSE),0))</f>
        <v>3.0676363676126896E-2</v>
      </c>
      <c r="N31" s="361">
        <f>+IF($I31=N$3,VLOOKUP($H31,Depreciation!$A$6:$L$10,11,FALSE)/2,IF($I31&lt;N$3,VLOOKUP($H31,Depreciation!$A$6:$L$10,11,FALSE),0))</f>
        <v>3.0676363676126896E-2</v>
      </c>
      <c r="O31" s="361">
        <f>+IF($I31=O$3,VLOOKUP($H31,Depreciation!$A$6:$L$10,12,FALSE)/2,IF($I31&lt;O$3,VLOOKUP($H31,Depreciation!$A$6:$L$10,12,FALSE),0))</f>
        <v>3.0676363676126896E-2</v>
      </c>
      <c r="P31" s="362">
        <f t="shared" si="2"/>
        <v>2088288.366924528</v>
      </c>
      <c r="Q31" s="362">
        <f t="shared" si="3"/>
        <v>2088288.366924528</v>
      </c>
      <c r="R31" s="363">
        <f t="shared" si="4"/>
        <v>0</v>
      </c>
      <c r="Y31" s="365"/>
    </row>
    <row r="32" spans="1:25" ht="15" customHeight="1">
      <c r="A32" s="359" t="str">
        <f>'Func Future Lines 2015'!A32</f>
        <v>PPS</v>
      </c>
      <c r="B32" s="359" t="str">
        <f>'Func Future Lines 2015'!B32</f>
        <v>138-2.80</v>
      </c>
      <c r="C32" s="359">
        <f>'Func Future Lines 2015'!C32</f>
        <v>719</v>
      </c>
      <c r="D32" s="359">
        <f>'Func Future Lines 2015'!D32</f>
        <v>138</v>
      </c>
      <c r="E32" s="359">
        <f>'Func Future Lines 2015'!E32</f>
        <v>0</v>
      </c>
      <c r="F32" s="359" t="str">
        <f>'Func Future Lines 2015'!F32</f>
        <v>Calgary</v>
      </c>
      <c r="G32" s="359">
        <f>'Func Future Lines 2015'!G32</f>
        <v>7170911.0867936574</v>
      </c>
      <c r="H32" s="359" t="str">
        <f>'Func Future Lines 2015'!H32</f>
        <v>ENMAX</v>
      </c>
      <c r="I32" s="359">
        <f>'Func Future Lines 2015'!I32</f>
        <v>2015</v>
      </c>
      <c r="J32" s="361">
        <f>+IF($I32=J$3,VLOOKUP($H32,Depreciation!$A$6:$L$10,7,FALSE)/2,IF($I32&lt;J$3,VLOOKUP($H32,Depreciation!$A$6:$L$10,7,FALSE),0))</f>
        <v>1.3475179084025525E-2</v>
      </c>
      <c r="K32" s="361">
        <f>+IF($I32=K$3,VLOOKUP($H32,Depreciation!$A$6:$L$10,8,FALSE)/2,IF($I32&lt;K$3,VLOOKUP($H32,Depreciation!$A$6:$L$10,8,FALSE),0))</f>
        <v>2.6950358168051049E-2</v>
      </c>
      <c r="L32" s="361">
        <f>+IF($I32=L$3,VLOOKUP($H32,Depreciation!$A$6:$L$10,9,FALSE)/2,IF($I32&lt;L$3,VLOOKUP($H32,Depreciation!$A$6:$L$10,9,FALSE),0))</f>
        <v>2.6950358168051049E-2</v>
      </c>
      <c r="M32" s="361">
        <f>+IF($I32=M$3,VLOOKUP($H32,Depreciation!$A$6:$L$10,10,FALSE)/2,IF($I32&lt;M$3,VLOOKUP($H32,Depreciation!$A$6:$L$10,10,FALSE),0))</f>
        <v>2.6950358168051049E-2</v>
      </c>
      <c r="N32" s="361">
        <f>+IF($I32=N$3,VLOOKUP($H32,Depreciation!$A$6:$L$10,11,FALSE)/2,IF($I32&lt;N$3,VLOOKUP($H32,Depreciation!$A$6:$L$10,11,FALSE),0))</f>
        <v>2.6950358168051049E-2</v>
      </c>
      <c r="O32" s="361">
        <f>+IF($I32=O$3,VLOOKUP($H32,Depreciation!$A$6:$L$10,12,FALSE)/2,IF($I32&lt;O$3,VLOOKUP($H32,Depreciation!$A$6:$L$10,12,FALSE),0))</f>
        <v>2.6950358168051049E-2</v>
      </c>
      <c r="P32" s="362">
        <f t="shared" si="2"/>
        <v>6698111.125540779</v>
      </c>
      <c r="Q32" s="362">
        <f t="shared" si="3"/>
        <v>0</v>
      </c>
      <c r="R32" s="363">
        <f t="shared" si="4"/>
        <v>6698111.125540779</v>
      </c>
      <c r="Y32" s="365"/>
    </row>
    <row r="33" spans="1:25" ht="15" customHeight="1">
      <c r="A33" s="359" t="str">
        <f>'Func Future Lines 2015'!A33</f>
        <v>PPS</v>
      </c>
      <c r="B33" s="359" t="str">
        <f>'Func Future Lines 2015'!B33</f>
        <v>138-23.80</v>
      </c>
      <c r="C33" s="359">
        <f>'Func Future Lines 2015'!C33</f>
        <v>719</v>
      </c>
      <c r="D33" s="359">
        <f>'Func Future Lines 2015'!D33</f>
        <v>138</v>
      </c>
      <c r="E33" s="359">
        <f>'Func Future Lines 2015'!E33</f>
        <v>0</v>
      </c>
      <c r="F33" s="359" t="str">
        <f>'Func Future Lines 2015'!F33</f>
        <v>Calgary</v>
      </c>
      <c r="G33" s="359">
        <f>'Func Future Lines 2015'!G33</f>
        <v>7724058.5663275765</v>
      </c>
      <c r="H33" s="359" t="str">
        <f>'Func Future Lines 2015'!H33</f>
        <v>ENMAX</v>
      </c>
      <c r="I33" s="359">
        <f>'Func Future Lines 2015'!I33</f>
        <v>2015</v>
      </c>
      <c r="J33" s="361">
        <f>+IF($I33=J$3,VLOOKUP($H33,Depreciation!$A$6:$L$10,7,FALSE)/2,IF($I33&lt;J$3,VLOOKUP($H33,Depreciation!$A$6:$L$10,7,FALSE),0))</f>
        <v>1.3475179084025525E-2</v>
      </c>
      <c r="K33" s="361">
        <f>+IF($I33=K$3,VLOOKUP($H33,Depreciation!$A$6:$L$10,8,FALSE)/2,IF($I33&lt;K$3,VLOOKUP($H33,Depreciation!$A$6:$L$10,8,FALSE),0))</f>
        <v>2.6950358168051049E-2</v>
      </c>
      <c r="L33" s="361">
        <f>+IF($I33=L$3,VLOOKUP($H33,Depreciation!$A$6:$L$10,9,FALSE)/2,IF($I33&lt;L$3,VLOOKUP($H33,Depreciation!$A$6:$L$10,9,FALSE),0))</f>
        <v>2.6950358168051049E-2</v>
      </c>
      <c r="M33" s="361">
        <f>+IF($I33=M$3,VLOOKUP($H33,Depreciation!$A$6:$L$10,10,FALSE)/2,IF($I33&lt;M$3,VLOOKUP($H33,Depreciation!$A$6:$L$10,10,FALSE),0))</f>
        <v>2.6950358168051049E-2</v>
      </c>
      <c r="N33" s="361">
        <f>+IF($I33=N$3,VLOOKUP($H33,Depreciation!$A$6:$L$10,11,FALSE)/2,IF($I33&lt;N$3,VLOOKUP($H33,Depreciation!$A$6:$L$10,11,FALSE),0))</f>
        <v>2.6950358168051049E-2</v>
      </c>
      <c r="O33" s="361">
        <f>+IF($I33=O$3,VLOOKUP($H33,Depreciation!$A$6:$L$10,12,FALSE)/2,IF($I33&lt;O$3,VLOOKUP($H33,Depreciation!$A$6:$L$10,12,FALSE),0))</f>
        <v>2.6950358168051049E-2</v>
      </c>
      <c r="P33" s="362">
        <f t="shared" si="2"/>
        <v>7214787.9106642744</v>
      </c>
      <c r="Q33" s="362">
        <f t="shared" si="3"/>
        <v>0</v>
      </c>
      <c r="R33" s="363">
        <f t="shared" si="4"/>
        <v>7214787.9106642744</v>
      </c>
      <c r="Y33" s="365"/>
    </row>
    <row r="34" spans="1:25" ht="15" customHeight="1">
      <c r="A34" s="359" t="str">
        <f>'Func Future Lines 2015'!A34</f>
        <v>PPS</v>
      </c>
      <c r="B34" s="359" t="str">
        <f>'Func Future Lines 2015'!B34</f>
        <v>2.80/2.81/2.82/2.83/833L U/G</v>
      </c>
      <c r="C34" s="359">
        <f>'Func Future Lines 2015'!C34</f>
        <v>719</v>
      </c>
      <c r="D34" s="359">
        <f>'Func Future Lines 2015'!D34</f>
        <v>240</v>
      </c>
      <c r="E34" s="359">
        <f>'Func Future Lines 2015'!E34</f>
        <v>0</v>
      </c>
      <c r="F34" s="359" t="str">
        <f>'Func Future Lines 2015'!F34</f>
        <v>Calgary</v>
      </c>
      <c r="G34" s="359">
        <f>'Func Future Lines 2015'!G34</f>
        <v>5095063.3611532655</v>
      </c>
      <c r="H34" s="359" t="str">
        <f>'Func Future Lines 2015'!H34</f>
        <v>ENMAX</v>
      </c>
      <c r="I34" s="359">
        <f>'Func Future Lines 2015'!I34</f>
        <v>2015</v>
      </c>
      <c r="J34" s="361">
        <f>+IF($I34=J$3,VLOOKUP($H34,Depreciation!$A$6:$L$10,7,FALSE)/2,IF($I34&lt;J$3,VLOOKUP($H34,Depreciation!$A$6:$L$10,7,FALSE),0))</f>
        <v>1.3475179084025525E-2</v>
      </c>
      <c r="K34" s="361">
        <f>+IF($I34=K$3,VLOOKUP($H34,Depreciation!$A$6:$L$10,8,FALSE)/2,IF($I34&lt;K$3,VLOOKUP($H34,Depreciation!$A$6:$L$10,8,FALSE),0))</f>
        <v>2.6950358168051049E-2</v>
      </c>
      <c r="L34" s="361">
        <f>+IF($I34=L$3,VLOOKUP($H34,Depreciation!$A$6:$L$10,9,FALSE)/2,IF($I34&lt;L$3,VLOOKUP($H34,Depreciation!$A$6:$L$10,9,FALSE),0))</f>
        <v>2.6950358168051049E-2</v>
      </c>
      <c r="M34" s="361">
        <f>+IF($I34=M$3,VLOOKUP($H34,Depreciation!$A$6:$L$10,10,FALSE)/2,IF($I34&lt;M$3,VLOOKUP($H34,Depreciation!$A$6:$L$10,10,FALSE),0))</f>
        <v>2.6950358168051049E-2</v>
      </c>
      <c r="N34" s="361">
        <f>+IF($I34=N$3,VLOOKUP($H34,Depreciation!$A$6:$L$10,11,FALSE)/2,IF($I34&lt;N$3,VLOOKUP($H34,Depreciation!$A$6:$L$10,11,FALSE),0))</f>
        <v>2.6950358168051049E-2</v>
      </c>
      <c r="O34" s="361">
        <f>+IF($I34=O$3,VLOOKUP($H34,Depreciation!$A$6:$L$10,12,FALSE)/2,IF($I34&lt;O$3,VLOOKUP($H34,Depreciation!$A$6:$L$10,12,FALSE),0))</f>
        <v>2.6950358168051049E-2</v>
      </c>
      <c r="P34" s="362">
        <f t="shared" si="2"/>
        <v>4759130.349214145</v>
      </c>
      <c r="Q34" s="362">
        <f t="shared" si="3"/>
        <v>4759130.349214145</v>
      </c>
      <c r="R34" s="363">
        <f t="shared" si="4"/>
        <v>0</v>
      </c>
      <c r="Y34" s="365"/>
    </row>
    <row r="35" spans="1:25" ht="15" customHeight="1">
      <c r="A35" s="359" t="str">
        <f>'Func Future Lines 2015'!A35</f>
        <v>PPS</v>
      </c>
      <c r="B35" s="359" t="str">
        <f>'Func Future Lines 2015'!B35</f>
        <v>23.80L</v>
      </c>
      <c r="C35" s="359">
        <f>'Func Future Lines 2015'!C35</f>
        <v>719</v>
      </c>
      <c r="D35" s="359">
        <f>'Func Future Lines 2015'!D35</f>
        <v>138</v>
      </c>
      <c r="E35" s="359">
        <f>'Func Future Lines 2015'!E35</f>
        <v>0</v>
      </c>
      <c r="F35" s="359" t="str">
        <f>'Func Future Lines 2015'!F35</f>
        <v>Calgary</v>
      </c>
      <c r="G35" s="359">
        <f>'Func Future Lines 2015'!G35</f>
        <v>18113.239396577752</v>
      </c>
      <c r="H35" s="359" t="str">
        <f>'Func Future Lines 2015'!H35</f>
        <v>AltaLink</v>
      </c>
      <c r="I35" s="359">
        <f>'Func Future Lines 2015'!I35</f>
        <v>2015</v>
      </c>
      <c r="J35" s="361">
        <f>+IF($I35=J$3,VLOOKUP($H35,Depreciation!$A$6:$L$10,7,FALSE)/2,IF($I35&lt;J$3,VLOOKUP($H35,Depreciation!$A$6:$L$10,7,FALSE),0))</f>
        <v>1.595020804044691E-2</v>
      </c>
      <c r="K35" s="361">
        <f>+IF($I35=K$3,VLOOKUP($H35,Depreciation!$A$6:$L$10,8,FALSE)/2,IF($I35&lt;K$3,VLOOKUP($H35,Depreciation!$A$6:$L$10,8,FALSE),0))</f>
        <v>3.0676363676126896E-2</v>
      </c>
      <c r="L35" s="361">
        <f>+IF($I35=L$3,VLOOKUP($H35,Depreciation!$A$6:$L$10,9,FALSE)/2,IF($I35&lt;L$3,VLOOKUP($H35,Depreciation!$A$6:$L$10,9,FALSE),0))</f>
        <v>3.0676363676126896E-2</v>
      </c>
      <c r="M35" s="361">
        <f>+IF($I35=M$3,VLOOKUP($H35,Depreciation!$A$6:$L$10,10,FALSE)/2,IF($I35&lt;M$3,VLOOKUP($H35,Depreciation!$A$6:$L$10,10,FALSE),0))</f>
        <v>3.0676363676126896E-2</v>
      </c>
      <c r="N35" s="361">
        <f>+IF($I35=N$3,VLOOKUP($H35,Depreciation!$A$6:$L$10,11,FALSE)/2,IF($I35&lt;N$3,VLOOKUP($H35,Depreciation!$A$6:$L$10,11,FALSE),0))</f>
        <v>3.0676363676126896E-2</v>
      </c>
      <c r="O35" s="361">
        <f>+IF($I35=O$3,VLOOKUP($H35,Depreciation!$A$6:$L$10,12,FALSE)/2,IF($I35&lt;O$3,VLOOKUP($H35,Depreciation!$A$6:$L$10,12,FALSE),0))</f>
        <v>3.0676363676126896E-2</v>
      </c>
      <c r="P35" s="362">
        <f t="shared" si="2"/>
        <v>16747.531628635941</v>
      </c>
      <c r="Q35" s="362">
        <f t="shared" si="3"/>
        <v>0</v>
      </c>
      <c r="R35" s="363">
        <f t="shared" si="4"/>
        <v>16747.531628635941</v>
      </c>
      <c r="Y35" s="365"/>
    </row>
    <row r="36" spans="1:25" ht="15" customHeight="1">
      <c r="A36" s="359" t="str">
        <f>'Func Future Lines 2015'!A36</f>
        <v>PPS</v>
      </c>
      <c r="B36" s="359" t="str">
        <f>'Func Future Lines 2015'!B36</f>
        <v>850L</v>
      </c>
      <c r="C36" s="359">
        <f>'Func Future Lines 2015'!C36</f>
        <v>719</v>
      </c>
      <c r="D36" s="359">
        <f>'Func Future Lines 2015'!D36</f>
        <v>138</v>
      </c>
      <c r="E36" s="359">
        <f>'Func Future Lines 2015'!E36</f>
        <v>0</v>
      </c>
      <c r="F36" s="359" t="str">
        <f>'Func Future Lines 2015'!F36</f>
        <v>Calgary</v>
      </c>
      <c r="G36" s="359">
        <f>'Func Future Lines 2015'!G36</f>
        <v>41799.783222871738</v>
      </c>
      <c r="H36" s="359" t="str">
        <f>'Func Future Lines 2015'!H36</f>
        <v>AltaLink</v>
      </c>
      <c r="I36" s="359">
        <f>'Func Future Lines 2015'!I36</f>
        <v>2015</v>
      </c>
      <c r="J36" s="361">
        <f>+IF($I36=J$3,VLOOKUP($H36,Depreciation!$A$6:$L$10,7,FALSE)/2,IF($I36&lt;J$3,VLOOKUP($H36,Depreciation!$A$6:$L$10,7,FALSE),0))</f>
        <v>1.595020804044691E-2</v>
      </c>
      <c r="K36" s="361">
        <f>+IF($I36=K$3,VLOOKUP($H36,Depreciation!$A$6:$L$10,8,FALSE)/2,IF($I36&lt;K$3,VLOOKUP($H36,Depreciation!$A$6:$L$10,8,FALSE),0))</f>
        <v>3.0676363676126896E-2</v>
      </c>
      <c r="L36" s="361">
        <f>+IF($I36=L$3,VLOOKUP($H36,Depreciation!$A$6:$L$10,9,FALSE)/2,IF($I36&lt;L$3,VLOOKUP($H36,Depreciation!$A$6:$L$10,9,FALSE),0))</f>
        <v>3.0676363676126896E-2</v>
      </c>
      <c r="M36" s="361">
        <f>+IF($I36=M$3,VLOOKUP($H36,Depreciation!$A$6:$L$10,10,FALSE)/2,IF($I36&lt;M$3,VLOOKUP($H36,Depreciation!$A$6:$L$10,10,FALSE),0))</f>
        <v>3.0676363676126896E-2</v>
      </c>
      <c r="N36" s="361">
        <f>+IF($I36=N$3,VLOOKUP($H36,Depreciation!$A$6:$L$10,11,FALSE)/2,IF($I36&lt;N$3,VLOOKUP($H36,Depreciation!$A$6:$L$10,11,FALSE),0))</f>
        <v>3.0676363676126896E-2</v>
      </c>
      <c r="O36" s="361">
        <f>+IF($I36=O$3,VLOOKUP($H36,Depreciation!$A$6:$L$10,12,FALSE)/2,IF($I36&lt;O$3,VLOOKUP($H36,Depreciation!$A$6:$L$10,12,FALSE),0))</f>
        <v>3.0676363676126896E-2</v>
      </c>
      <c r="P36" s="362">
        <f t="shared" si="2"/>
        <v>38648.14991223679</v>
      </c>
      <c r="Q36" s="362">
        <f t="shared" si="3"/>
        <v>0</v>
      </c>
      <c r="R36" s="363">
        <f t="shared" si="4"/>
        <v>38648.14991223679</v>
      </c>
      <c r="Y36" s="365"/>
    </row>
    <row r="37" spans="1:25" ht="15" customHeight="1">
      <c r="A37" s="359" t="str">
        <f>'Func Future Lines 2015'!A37</f>
        <v>PPS</v>
      </c>
      <c r="B37" s="359" t="str">
        <f>'Func Future Lines 2015'!B37</f>
        <v>911L</v>
      </c>
      <c r="C37" s="359">
        <f>'Func Future Lines 2015'!C37</f>
        <v>719</v>
      </c>
      <c r="D37" s="359">
        <f>'Func Future Lines 2015'!D37</f>
        <v>240</v>
      </c>
      <c r="E37" s="359">
        <f>'Func Future Lines 2015'!E37</f>
        <v>0</v>
      </c>
      <c r="F37" s="359" t="str">
        <f>'Func Future Lines 2015'!F37</f>
        <v>Calgary</v>
      </c>
      <c r="G37" s="359">
        <f>'Func Future Lines 2015'!G37</f>
        <v>613063.48726878548</v>
      </c>
      <c r="H37" s="359" t="str">
        <f>'Func Future Lines 2015'!H37</f>
        <v>AltaLink</v>
      </c>
      <c r="I37" s="359">
        <f>'Func Future Lines 2015'!I37</f>
        <v>2015</v>
      </c>
      <c r="J37" s="361">
        <f>+IF($I37=J$3,VLOOKUP($H37,Depreciation!$A$6:$L$10,7,FALSE)/2,IF($I37&lt;J$3,VLOOKUP($H37,Depreciation!$A$6:$L$10,7,FALSE),0))</f>
        <v>1.595020804044691E-2</v>
      </c>
      <c r="K37" s="361">
        <f>+IF($I37=K$3,VLOOKUP($H37,Depreciation!$A$6:$L$10,8,FALSE)/2,IF($I37&lt;K$3,VLOOKUP($H37,Depreciation!$A$6:$L$10,8,FALSE),0))</f>
        <v>3.0676363676126896E-2</v>
      </c>
      <c r="L37" s="361">
        <f>+IF($I37=L$3,VLOOKUP($H37,Depreciation!$A$6:$L$10,9,FALSE)/2,IF($I37&lt;L$3,VLOOKUP($H37,Depreciation!$A$6:$L$10,9,FALSE),0))</f>
        <v>3.0676363676126896E-2</v>
      </c>
      <c r="M37" s="361">
        <f>+IF($I37=M$3,VLOOKUP($H37,Depreciation!$A$6:$L$10,10,FALSE)/2,IF($I37&lt;M$3,VLOOKUP($H37,Depreciation!$A$6:$L$10,10,FALSE),0))</f>
        <v>3.0676363676126896E-2</v>
      </c>
      <c r="N37" s="361">
        <f>+IF($I37=N$3,VLOOKUP($H37,Depreciation!$A$6:$L$10,11,FALSE)/2,IF($I37&lt;N$3,VLOOKUP($H37,Depreciation!$A$6:$L$10,11,FALSE),0))</f>
        <v>3.0676363676126896E-2</v>
      </c>
      <c r="O37" s="361">
        <f>+IF($I37=O$3,VLOOKUP($H37,Depreciation!$A$6:$L$10,12,FALSE)/2,IF($I37&lt;O$3,VLOOKUP($H37,Depreciation!$A$6:$L$10,12,FALSE),0))</f>
        <v>3.0676363676126896E-2</v>
      </c>
      <c r="P37" s="362">
        <f t="shared" si="2"/>
        <v>566839.53204613959</v>
      </c>
      <c r="Q37" s="362">
        <f t="shared" si="3"/>
        <v>566839.53204613959</v>
      </c>
      <c r="R37" s="363">
        <f t="shared" si="4"/>
        <v>0</v>
      </c>
      <c r="Y37" s="365"/>
    </row>
    <row r="38" spans="1:25" ht="15" customHeight="1">
      <c r="A38" s="359" t="str">
        <f>'Func Future Lines 2015'!A38</f>
        <v>PPS</v>
      </c>
      <c r="B38" s="359" t="str">
        <f>'Func Future Lines 2015'!B38</f>
        <v>911L UG</v>
      </c>
      <c r="C38" s="359">
        <f>'Func Future Lines 2015'!C38</f>
        <v>719</v>
      </c>
      <c r="D38" s="359">
        <f>'Func Future Lines 2015'!D38</f>
        <v>240</v>
      </c>
      <c r="E38" s="359">
        <f>'Func Future Lines 2015'!E38</f>
        <v>0</v>
      </c>
      <c r="F38" s="359" t="str">
        <f>'Func Future Lines 2015'!F38</f>
        <v>Calgary</v>
      </c>
      <c r="G38" s="359">
        <f>'Func Future Lines 2015'!G38</f>
        <v>5403318.6446098872</v>
      </c>
      <c r="H38" s="359" t="str">
        <f>'Func Future Lines 2015'!H38</f>
        <v>AltaLink</v>
      </c>
      <c r="I38" s="359">
        <f>'Func Future Lines 2015'!I38</f>
        <v>2015</v>
      </c>
      <c r="J38" s="361">
        <f>+IF($I38=J$3,VLOOKUP($H38,Depreciation!$A$6:$L$10,7,FALSE)/2,IF($I38&lt;J$3,VLOOKUP($H38,Depreciation!$A$6:$L$10,7,FALSE),0))</f>
        <v>1.595020804044691E-2</v>
      </c>
      <c r="K38" s="361">
        <f>+IF($I38=K$3,VLOOKUP($H38,Depreciation!$A$6:$L$10,8,FALSE)/2,IF($I38&lt;K$3,VLOOKUP($H38,Depreciation!$A$6:$L$10,8,FALSE),0))</f>
        <v>3.0676363676126896E-2</v>
      </c>
      <c r="L38" s="361">
        <f>+IF($I38=L$3,VLOOKUP($H38,Depreciation!$A$6:$L$10,9,FALSE)/2,IF($I38&lt;L$3,VLOOKUP($H38,Depreciation!$A$6:$L$10,9,FALSE),0))</f>
        <v>3.0676363676126896E-2</v>
      </c>
      <c r="M38" s="361">
        <f>+IF($I38=M$3,VLOOKUP($H38,Depreciation!$A$6:$L$10,10,FALSE)/2,IF($I38&lt;M$3,VLOOKUP($H38,Depreciation!$A$6:$L$10,10,FALSE),0))</f>
        <v>3.0676363676126896E-2</v>
      </c>
      <c r="N38" s="361">
        <f>+IF($I38=N$3,VLOOKUP($H38,Depreciation!$A$6:$L$10,11,FALSE)/2,IF($I38&lt;N$3,VLOOKUP($H38,Depreciation!$A$6:$L$10,11,FALSE),0))</f>
        <v>3.0676363676126896E-2</v>
      </c>
      <c r="O38" s="361">
        <f>+IF($I38=O$3,VLOOKUP($H38,Depreciation!$A$6:$L$10,12,FALSE)/2,IF($I38&lt;O$3,VLOOKUP($H38,Depreciation!$A$6:$L$10,12,FALSE),0))</f>
        <v>3.0676363676126896E-2</v>
      </c>
      <c r="P38" s="362">
        <f t="shared" si="2"/>
        <v>4995917.5119884759</v>
      </c>
      <c r="Q38" s="362">
        <f t="shared" si="3"/>
        <v>4995917.5119884759</v>
      </c>
      <c r="R38" s="363">
        <f t="shared" si="4"/>
        <v>0</v>
      </c>
      <c r="Y38" s="365"/>
    </row>
    <row r="39" spans="1:25" ht="15" customHeight="1">
      <c r="A39" s="359" t="str">
        <f>'Func Future Lines 2015'!A39</f>
        <v>PPS</v>
      </c>
      <c r="B39" s="359" t="str">
        <f>'Func Future Lines 2015'!B39</f>
        <v>916L</v>
      </c>
      <c r="C39" s="359">
        <f>'Func Future Lines 2015'!C39</f>
        <v>719</v>
      </c>
      <c r="D39" s="359">
        <f>'Func Future Lines 2015'!D39</f>
        <v>240</v>
      </c>
      <c r="E39" s="359">
        <f>'Func Future Lines 2015'!E39</f>
        <v>0</v>
      </c>
      <c r="F39" s="359" t="str">
        <f>'Func Future Lines 2015'!F39</f>
        <v>Calgary</v>
      </c>
      <c r="G39" s="359">
        <f>'Func Future Lines 2015'!G39</f>
        <v>411031.20169157209</v>
      </c>
      <c r="H39" s="359" t="str">
        <f>'Func Future Lines 2015'!H39</f>
        <v>AltaLink</v>
      </c>
      <c r="I39" s="359">
        <f>'Func Future Lines 2015'!I39</f>
        <v>2015</v>
      </c>
      <c r="J39" s="361">
        <f>+IF($I39=J$3,VLOOKUP($H39,Depreciation!$A$6:$L$10,7,FALSE)/2,IF($I39&lt;J$3,VLOOKUP($H39,Depreciation!$A$6:$L$10,7,FALSE),0))</f>
        <v>1.595020804044691E-2</v>
      </c>
      <c r="K39" s="361">
        <f>+IF($I39=K$3,VLOOKUP($H39,Depreciation!$A$6:$L$10,8,FALSE)/2,IF($I39&lt;K$3,VLOOKUP($H39,Depreciation!$A$6:$L$10,8,FALSE),0))</f>
        <v>3.0676363676126896E-2</v>
      </c>
      <c r="L39" s="361">
        <f>+IF($I39=L$3,VLOOKUP($H39,Depreciation!$A$6:$L$10,9,FALSE)/2,IF($I39&lt;L$3,VLOOKUP($H39,Depreciation!$A$6:$L$10,9,FALSE),0))</f>
        <v>3.0676363676126896E-2</v>
      </c>
      <c r="M39" s="361">
        <f>+IF($I39=M$3,VLOOKUP($H39,Depreciation!$A$6:$L$10,10,FALSE)/2,IF($I39&lt;M$3,VLOOKUP($H39,Depreciation!$A$6:$L$10,10,FALSE),0))</f>
        <v>3.0676363676126896E-2</v>
      </c>
      <c r="N39" s="361">
        <f>+IF($I39=N$3,VLOOKUP($H39,Depreciation!$A$6:$L$10,11,FALSE)/2,IF($I39&lt;N$3,VLOOKUP($H39,Depreciation!$A$6:$L$10,11,FALSE),0))</f>
        <v>3.0676363676126896E-2</v>
      </c>
      <c r="O39" s="361">
        <f>+IF($I39=O$3,VLOOKUP($H39,Depreciation!$A$6:$L$10,12,FALSE)/2,IF($I39&lt;O$3,VLOOKUP($H39,Depreciation!$A$6:$L$10,12,FALSE),0))</f>
        <v>3.0676363676126896E-2</v>
      </c>
      <c r="P39" s="362">
        <f t="shared" si="2"/>
        <v>380040.14080366172</v>
      </c>
      <c r="Q39" s="362">
        <f t="shared" si="3"/>
        <v>380040.14080366172</v>
      </c>
      <c r="R39" s="363">
        <f t="shared" si="4"/>
        <v>0</v>
      </c>
      <c r="Y39" s="365"/>
    </row>
    <row r="40" spans="1:25" ht="15" customHeight="1">
      <c r="A40" s="359" t="str">
        <f>'Func Future Lines 2015'!A40</f>
        <v>PPS</v>
      </c>
      <c r="B40" s="359" t="str">
        <f>'Func Future Lines 2015'!B40</f>
        <v>936L</v>
      </c>
      <c r="C40" s="359">
        <f>'Func Future Lines 2015'!C40</f>
        <v>719</v>
      </c>
      <c r="D40" s="359">
        <f>'Func Future Lines 2015'!D40</f>
        <v>240</v>
      </c>
      <c r="E40" s="359">
        <f>'Func Future Lines 2015'!E40</f>
        <v>0</v>
      </c>
      <c r="F40" s="359" t="str">
        <f>'Func Future Lines 2015'!F40</f>
        <v>Calgary</v>
      </c>
      <c r="G40" s="359">
        <f>'Func Future Lines 2015'!G40</f>
        <v>73846.283693740072</v>
      </c>
      <c r="H40" s="359" t="str">
        <f>'Func Future Lines 2015'!H40</f>
        <v>AltaLink</v>
      </c>
      <c r="I40" s="359">
        <f>'Func Future Lines 2015'!I40</f>
        <v>2015</v>
      </c>
      <c r="J40" s="361">
        <f>+IF($I40=J$3,VLOOKUP($H40,Depreciation!$A$6:$L$10,7,FALSE)/2,IF($I40&lt;J$3,VLOOKUP($H40,Depreciation!$A$6:$L$10,7,FALSE),0))</f>
        <v>1.595020804044691E-2</v>
      </c>
      <c r="K40" s="361">
        <f>+IF($I40=K$3,VLOOKUP($H40,Depreciation!$A$6:$L$10,8,FALSE)/2,IF($I40&lt;K$3,VLOOKUP($H40,Depreciation!$A$6:$L$10,8,FALSE),0))</f>
        <v>3.0676363676126896E-2</v>
      </c>
      <c r="L40" s="361">
        <f>+IF($I40=L$3,VLOOKUP($H40,Depreciation!$A$6:$L$10,9,FALSE)/2,IF($I40&lt;L$3,VLOOKUP($H40,Depreciation!$A$6:$L$10,9,FALSE),0))</f>
        <v>3.0676363676126896E-2</v>
      </c>
      <c r="M40" s="361">
        <f>+IF($I40=M$3,VLOOKUP($H40,Depreciation!$A$6:$L$10,10,FALSE)/2,IF($I40&lt;M$3,VLOOKUP($H40,Depreciation!$A$6:$L$10,10,FALSE),0))</f>
        <v>3.0676363676126896E-2</v>
      </c>
      <c r="N40" s="361">
        <f>+IF($I40=N$3,VLOOKUP($H40,Depreciation!$A$6:$L$10,11,FALSE)/2,IF($I40&lt;N$3,VLOOKUP($H40,Depreciation!$A$6:$L$10,11,FALSE),0))</f>
        <v>3.0676363676126896E-2</v>
      </c>
      <c r="O40" s="361">
        <f>+IF($I40=O$3,VLOOKUP($H40,Depreciation!$A$6:$L$10,12,FALSE)/2,IF($I40&lt;O$3,VLOOKUP($H40,Depreciation!$A$6:$L$10,12,FALSE),0))</f>
        <v>3.0676363676126896E-2</v>
      </c>
      <c r="P40" s="362">
        <f t="shared" si="2"/>
        <v>68278.398178284988</v>
      </c>
      <c r="Q40" s="362">
        <f t="shared" si="3"/>
        <v>68278.398178284988</v>
      </c>
      <c r="R40" s="363">
        <f t="shared" si="4"/>
        <v>0</v>
      </c>
      <c r="Y40" s="365"/>
    </row>
    <row r="41" spans="1:25" ht="15" customHeight="1">
      <c r="A41" s="359" t="str">
        <f>'Func Future Lines 2015'!A41</f>
        <v>PPS</v>
      </c>
      <c r="B41" s="359" t="str">
        <f>'Func Future Lines 2015'!B41</f>
        <v>937L</v>
      </c>
      <c r="C41" s="359">
        <f>'Func Future Lines 2015'!C41</f>
        <v>719</v>
      </c>
      <c r="D41" s="359">
        <f>'Func Future Lines 2015'!D41</f>
        <v>240</v>
      </c>
      <c r="E41" s="359">
        <f>'Func Future Lines 2015'!E41</f>
        <v>0</v>
      </c>
      <c r="F41" s="359" t="str">
        <f>'Func Future Lines 2015'!F41</f>
        <v>Calgary</v>
      </c>
      <c r="G41" s="359">
        <f>'Func Future Lines 2015'!G41</f>
        <v>69666.305371452894</v>
      </c>
      <c r="H41" s="359" t="str">
        <f>'Func Future Lines 2015'!H41</f>
        <v>AltaLink</v>
      </c>
      <c r="I41" s="359">
        <f>'Func Future Lines 2015'!I41</f>
        <v>2015</v>
      </c>
      <c r="J41" s="361">
        <f>+IF($I41=J$3,VLOOKUP($H41,Depreciation!$A$6:$L$10,7,FALSE)/2,IF($I41&lt;J$3,VLOOKUP($H41,Depreciation!$A$6:$L$10,7,FALSE),0))</f>
        <v>1.595020804044691E-2</v>
      </c>
      <c r="K41" s="361">
        <f>+IF($I41=K$3,VLOOKUP($H41,Depreciation!$A$6:$L$10,8,FALSE)/2,IF($I41&lt;K$3,VLOOKUP($H41,Depreciation!$A$6:$L$10,8,FALSE),0))</f>
        <v>3.0676363676126896E-2</v>
      </c>
      <c r="L41" s="361">
        <f>+IF($I41=L$3,VLOOKUP($H41,Depreciation!$A$6:$L$10,9,FALSE)/2,IF($I41&lt;L$3,VLOOKUP($H41,Depreciation!$A$6:$L$10,9,FALSE),0))</f>
        <v>3.0676363676126896E-2</v>
      </c>
      <c r="M41" s="361">
        <f>+IF($I41=M$3,VLOOKUP($H41,Depreciation!$A$6:$L$10,10,FALSE)/2,IF($I41&lt;M$3,VLOOKUP($H41,Depreciation!$A$6:$L$10,10,FALSE),0))</f>
        <v>3.0676363676126896E-2</v>
      </c>
      <c r="N41" s="361">
        <f>+IF($I41=N$3,VLOOKUP($H41,Depreciation!$A$6:$L$10,11,FALSE)/2,IF($I41&lt;N$3,VLOOKUP($H41,Depreciation!$A$6:$L$10,11,FALSE),0))</f>
        <v>3.0676363676126896E-2</v>
      </c>
      <c r="O41" s="361">
        <f>+IF($I41=O$3,VLOOKUP($H41,Depreciation!$A$6:$L$10,12,FALSE)/2,IF($I41&lt;O$3,VLOOKUP($H41,Depreciation!$A$6:$L$10,12,FALSE),0))</f>
        <v>3.0676363676126896E-2</v>
      </c>
      <c r="P41" s="362">
        <f t="shared" si="2"/>
        <v>64413.583187061296</v>
      </c>
      <c r="Q41" s="362">
        <f t="shared" si="3"/>
        <v>64413.583187061296</v>
      </c>
      <c r="R41" s="363">
        <f t="shared" si="4"/>
        <v>0</v>
      </c>
      <c r="Y41" s="365"/>
    </row>
    <row r="42" spans="1:25" ht="15" customHeight="1">
      <c r="A42" s="359" t="str">
        <f>'Func Future Lines 2015'!A42</f>
        <v>PPS</v>
      </c>
      <c r="B42" s="359" t="str">
        <f>'Func Future Lines 2015'!B42</f>
        <v>985 UG</v>
      </c>
      <c r="C42" s="359">
        <f>'Func Future Lines 2015'!C42</f>
        <v>719</v>
      </c>
      <c r="D42" s="359">
        <f>'Func Future Lines 2015'!D42</f>
        <v>240</v>
      </c>
      <c r="E42" s="359">
        <f>'Func Future Lines 2015'!E42</f>
        <v>0</v>
      </c>
      <c r="F42" s="359" t="str">
        <f>'Func Future Lines 2015'!F42</f>
        <v>Calgary</v>
      </c>
      <c r="G42" s="359">
        <f>'Func Future Lines 2015'!G42</f>
        <v>4393157.2167238202</v>
      </c>
      <c r="H42" s="359" t="str">
        <f>'Func Future Lines 2015'!H42</f>
        <v>AltaLink</v>
      </c>
      <c r="I42" s="359">
        <f>'Func Future Lines 2015'!I42</f>
        <v>2015</v>
      </c>
      <c r="J42" s="361">
        <f>+IF($I42=J$3,VLOOKUP($H42,Depreciation!$A$6:$L$10,7,FALSE)/2,IF($I42&lt;J$3,VLOOKUP($H42,Depreciation!$A$6:$L$10,7,FALSE),0))</f>
        <v>1.595020804044691E-2</v>
      </c>
      <c r="K42" s="361">
        <f>+IF($I42=K$3,VLOOKUP($H42,Depreciation!$A$6:$L$10,8,FALSE)/2,IF($I42&lt;K$3,VLOOKUP($H42,Depreciation!$A$6:$L$10,8,FALSE),0))</f>
        <v>3.0676363676126896E-2</v>
      </c>
      <c r="L42" s="361">
        <f>+IF($I42=L$3,VLOOKUP($H42,Depreciation!$A$6:$L$10,9,FALSE)/2,IF($I42&lt;L$3,VLOOKUP($H42,Depreciation!$A$6:$L$10,9,FALSE),0))</f>
        <v>3.0676363676126896E-2</v>
      </c>
      <c r="M42" s="361">
        <f>+IF($I42=M$3,VLOOKUP($H42,Depreciation!$A$6:$L$10,10,FALSE)/2,IF($I42&lt;M$3,VLOOKUP($H42,Depreciation!$A$6:$L$10,10,FALSE),0))</f>
        <v>3.0676363676126896E-2</v>
      </c>
      <c r="N42" s="361">
        <f>+IF($I42=N$3,VLOOKUP($H42,Depreciation!$A$6:$L$10,11,FALSE)/2,IF($I42&lt;N$3,VLOOKUP($H42,Depreciation!$A$6:$L$10,11,FALSE),0))</f>
        <v>3.0676363676126896E-2</v>
      </c>
      <c r="O42" s="361">
        <f>+IF($I42=O$3,VLOOKUP($H42,Depreciation!$A$6:$L$10,12,FALSE)/2,IF($I42&lt;O$3,VLOOKUP($H42,Depreciation!$A$6:$L$10,12,FALSE),0))</f>
        <v>3.0676363676126896E-2</v>
      </c>
      <c r="P42" s="362">
        <f t="shared" si="2"/>
        <v>4061920.5557760866</v>
      </c>
      <c r="Q42" s="362">
        <f t="shared" si="3"/>
        <v>4061920.5557760866</v>
      </c>
      <c r="R42" s="363">
        <f t="shared" si="4"/>
        <v>0</v>
      </c>
      <c r="Y42" s="365"/>
    </row>
    <row r="43" spans="1:25" ht="15" customHeight="1">
      <c r="A43" s="359" t="str">
        <f>'Func Future Lines 2015'!A43</f>
        <v>PPS</v>
      </c>
      <c r="B43" s="359" t="str">
        <f>'Func Future Lines 2015'!B43</f>
        <v>985/1003L</v>
      </c>
      <c r="C43" s="359">
        <f>'Func Future Lines 2015'!C43</f>
        <v>719</v>
      </c>
      <c r="D43" s="359">
        <f>'Func Future Lines 2015'!D43</f>
        <v>240</v>
      </c>
      <c r="E43" s="359">
        <f>'Func Future Lines 2015'!E43</f>
        <v>0</v>
      </c>
      <c r="F43" s="359" t="str">
        <f>'Func Future Lines 2015'!F43</f>
        <v>Calgary</v>
      </c>
      <c r="G43" s="359">
        <f>'Func Future Lines 2015'!G43</f>
        <v>9552643.7925336212</v>
      </c>
      <c r="H43" s="359" t="str">
        <f>'Func Future Lines 2015'!H43</f>
        <v>AltaLink</v>
      </c>
      <c r="I43" s="359">
        <f>'Func Future Lines 2015'!I43</f>
        <v>2015</v>
      </c>
      <c r="J43" s="361">
        <f>+IF($I43=J$3,VLOOKUP($H43,Depreciation!$A$6:$L$10,7,FALSE)/2,IF($I43&lt;J$3,VLOOKUP($H43,Depreciation!$A$6:$L$10,7,FALSE),0))</f>
        <v>1.595020804044691E-2</v>
      </c>
      <c r="K43" s="361">
        <f>+IF($I43=K$3,VLOOKUP($H43,Depreciation!$A$6:$L$10,8,FALSE)/2,IF($I43&lt;K$3,VLOOKUP($H43,Depreciation!$A$6:$L$10,8,FALSE),0))</f>
        <v>3.0676363676126896E-2</v>
      </c>
      <c r="L43" s="361">
        <f>+IF($I43=L$3,VLOOKUP($H43,Depreciation!$A$6:$L$10,9,FALSE)/2,IF($I43&lt;L$3,VLOOKUP($H43,Depreciation!$A$6:$L$10,9,FALSE),0))</f>
        <v>3.0676363676126896E-2</v>
      </c>
      <c r="M43" s="361">
        <f>+IF($I43=M$3,VLOOKUP($H43,Depreciation!$A$6:$L$10,10,FALSE)/2,IF($I43&lt;M$3,VLOOKUP($H43,Depreciation!$A$6:$L$10,10,FALSE),0))</f>
        <v>3.0676363676126896E-2</v>
      </c>
      <c r="N43" s="361">
        <f>+IF($I43=N$3,VLOOKUP($H43,Depreciation!$A$6:$L$10,11,FALSE)/2,IF($I43&lt;N$3,VLOOKUP($H43,Depreciation!$A$6:$L$10,11,FALSE),0))</f>
        <v>3.0676363676126896E-2</v>
      </c>
      <c r="O43" s="361">
        <f>+IF($I43=O$3,VLOOKUP($H43,Depreciation!$A$6:$L$10,12,FALSE)/2,IF($I43&lt;O$3,VLOOKUP($H43,Depreciation!$A$6:$L$10,12,FALSE),0))</f>
        <v>3.0676363676126896E-2</v>
      </c>
      <c r="P43" s="362">
        <f t="shared" si="2"/>
        <v>8832390.5266098473</v>
      </c>
      <c r="Q43" s="362">
        <f t="shared" si="3"/>
        <v>8832390.5266098473</v>
      </c>
      <c r="R43" s="363">
        <f t="shared" si="4"/>
        <v>0</v>
      </c>
      <c r="Y43" s="365"/>
    </row>
    <row r="44" spans="1:25" ht="15" customHeight="1">
      <c r="A44" s="359" t="str">
        <f>'Func Future Lines 2015'!A44</f>
        <v>PPS</v>
      </c>
      <c r="B44" s="359" t="str">
        <f>'Func Future Lines 2015'!B44</f>
        <v>985/1003L</v>
      </c>
      <c r="C44" s="359">
        <f>'Func Future Lines 2015'!C44</f>
        <v>719</v>
      </c>
      <c r="D44" s="359">
        <f>'Func Future Lines 2015'!D44</f>
        <v>240</v>
      </c>
      <c r="E44" s="359">
        <f>'Func Future Lines 2015'!E44</f>
        <v>0</v>
      </c>
      <c r="F44" s="359" t="str">
        <f>'Func Future Lines 2015'!F44</f>
        <v>Calgary</v>
      </c>
      <c r="G44" s="359">
        <f>'Func Future Lines 2015'!G44</f>
        <v>9913515.2543577477</v>
      </c>
      <c r="H44" s="359" t="str">
        <f>'Func Future Lines 2015'!H44</f>
        <v>AltaLink</v>
      </c>
      <c r="I44" s="359">
        <f>'Func Future Lines 2015'!I44</f>
        <v>2015</v>
      </c>
      <c r="J44" s="361">
        <f>+IF($I44=J$3,VLOOKUP($H44,Depreciation!$A$6:$L$10,7,FALSE)/2,IF($I44&lt;J$3,VLOOKUP($H44,Depreciation!$A$6:$L$10,7,FALSE),0))</f>
        <v>1.595020804044691E-2</v>
      </c>
      <c r="K44" s="361">
        <f>+IF($I44=K$3,VLOOKUP($H44,Depreciation!$A$6:$L$10,8,FALSE)/2,IF($I44&lt;K$3,VLOOKUP($H44,Depreciation!$A$6:$L$10,8,FALSE),0))</f>
        <v>3.0676363676126896E-2</v>
      </c>
      <c r="L44" s="361">
        <f>+IF($I44=L$3,VLOOKUP($H44,Depreciation!$A$6:$L$10,9,FALSE)/2,IF($I44&lt;L$3,VLOOKUP($H44,Depreciation!$A$6:$L$10,9,FALSE),0))</f>
        <v>3.0676363676126896E-2</v>
      </c>
      <c r="M44" s="361">
        <f>+IF($I44=M$3,VLOOKUP($H44,Depreciation!$A$6:$L$10,10,FALSE)/2,IF($I44&lt;M$3,VLOOKUP($H44,Depreciation!$A$6:$L$10,10,FALSE),0))</f>
        <v>3.0676363676126896E-2</v>
      </c>
      <c r="N44" s="361">
        <f>+IF($I44=N$3,VLOOKUP($H44,Depreciation!$A$6:$L$10,11,FALSE)/2,IF($I44&lt;N$3,VLOOKUP($H44,Depreciation!$A$6:$L$10,11,FALSE),0))</f>
        <v>3.0676363676126896E-2</v>
      </c>
      <c r="O44" s="361">
        <f>+IF($I44=O$3,VLOOKUP($H44,Depreciation!$A$6:$L$10,12,FALSE)/2,IF($I44&lt;O$3,VLOOKUP($H44,Depreciation!$A$6:$L$10,12,FALSE),0))</f>
        <v>3.0676363676126896E-2</v>
      </c>
      <c r="P44" s="362">
        <f t="shared" si="2"/>
        <v>9166052.887518825</v>
      </c>
      <c r="Q44" s="362">
        <f t="shared" si="3"/>
        <v>9166052.887518825</v>
      </c>
      <c r="R44" s="363">
        <f t="shared" si="4"/>
        <v>0</v>
      </c>
      <c r="Y44" s="365"/>
    </row>
    <row r="45" spans="1:25" ht="15" customHeight="1">
      <c r="A45" s="359" t="str">
        <f>'Func Future Lines 2015'!A45</f>
        <v>PPS</v>
      </c>
      <c r="B45" s="359" t="str">
        <f>'Func Future Lines 2015'!B45</f>
        <v>Reconfigure 917L</v>
      </c>
      <c r="C45" s="359">
        <f>'Func Future Lines 2015'!C45</f>
        <v>719</v>
      </c>
      <c r="D45" s="359">
        <f>'Func Future Lines 2015'!D45</f>
        <v>240</v>
      </c>
      <c r="E45" s="359">
        <f>'Func Future Lines 2015'!E45</f>
        <v>0</v>
      </c>
      <c r="F45" s="359" t="str">
        <f>'Func Future Lines 2015'!F45</f>
        <v>Calgary</v>
      </c>
      <c r="G45" s="359">
        <f>'Func Future Lines 2015'!G45</f>
        <v>540610.52968247444</v>
      </c>
      <c r="H45" s="359" t="str">
        <f>'Func Future Lines 2015'!H45</f>
        <v>AltaLink</v>
      </c>
      <c r="I45" s="359">
        <f>'Func Future Lines 2015'!I45</f>
        <v>2015</v>
      </c>
      <c r="J45" s="361">
        <f>+IF($I45=J$3,VLOOKUP($H45,Depreciation!$A$6:$L$10,7,FALSE)/2,IF($I45&lt;J$3,VLOOKUP($H45,Depreciation!$A$6:$L$10,7,FALSE),0))</f>
        <v>1.595020804044691E-2</v>
      </c>
      <c r="K45" s="361">
        <f>+IF($I45=K$3,VLOOKUP($H45,Depreciation!$A$6:$L$10,8,FALSE)/2,IF($I45&lt;K$3,VLOOKUP($H45,Depreciation!$A$6:$L$10,8,FALSE),0))</f>
        <v>3.0676363676126896E-2</v>
      </c>
      <c r="L45" s="361">
        <f>+IF($I45=L$3,VLOOKUP($H45,Depreciation!$A$6:$L$10,9,FALSE)/2,IF($I45&lt;L$3,VLOOKUP($H45,Depreciation!$A$6:$L$10,9,FALSE),0))</f>
        <v>3.0676363676126896E-2</v>
      </c>
      <c r="M45" s="361">
        <f>+IF($I45=M$3,VLOOKUP($H45,Depreciation!$A$6:$L$10,10,FALSE)/2,IF($I45&lt;M$3,VLOOKUP($H45,Depreciation!$A$6:$L$10,10,FALSE),0))</f>
        <v>3.0676363676126896E-2</v>
      </c>
      <c r="N45" s="361">
        <f>+IF($I45=N$3,VLOOKUP($H45,Depreciation!$A$6:$L$10,11,FALSE)/2,IF($I45&lt;N$3,VLOOKUP($H45,Depreciation!$A$6:$L$10,11,FALSE),0))</f>
        <v>3.0676363676126896E-2</v>
      </c>
      <c r="O45" s="361">
        <f>+IF($I45=O$3,VLOOKUP($H45,Depreciation!$A$6:$L$10,12,FALSE)/2,IF($I45&lt;O$3,VLOOKUP($H45,Depreciation!$A$6:$L$10,12,FALSE),0))</f>
        <v>3.0676363676126896E-2</v>
      </c>
      <c r="P45" s="362">
        <f t="shared" si="2"/>
        <v>499849.40553159575</v>
      </c>
      <c r="Q45" s="362">
        <f t="shared" si="3"/>
        <v>499849.40553159575</v>
      </c>
      <c r="R45" s="363">
        <f t="shared" si="4"/>
        <v>0</v>
      </c>
      <c r="Y45" s="365"/>
    </row>
    <row r="46" spans="1:25" ht="15" customHeight="1">
      <c r="A46" s="359" t="str">
        <f>'Func Future Lines 2015'!A46</f>
        <v>PPS</v>
      </c>
      <c r="B46" s="359" t="str">
        <f>'Func Future Lines 2015'!B46</f>
        <v>1043L</v>
      </c>
      <c r="C46" s="359">
        <f>'Func Future Lines 2015'!C46</f>
        <v>786</v>
      </c>
      <c r="D46" s="359">
        <f>'Func Future Lines 2015'!D46</f>
        <v>240</v>
      </c>
      <c r="E46" s="359">
        <f>'Func Future Lines 2015'!E46</f>
        <v>0</v>
      </c>
      <c r="F46" s="359" t="str">
        <f>'Func Future Lines 2015'!F46</f>
        <v>edmonton</v>
      </c>
      <c r="G46" s="359">
        <f>'Func Future Lines 2015'!G46</f>
        <v>33338680.294401988</v>
      </c>
      <c r="H46" s="359" t="str">
        <f>'Func Future Lines 2015'!H46</f>
        <v>AltaLink</v>
      </c>
      <c r="I46" s="359">
        <f>'Func Future Lines 2015'!I46</f>
        <v>2016</v>
      </c>
      <c r="J46" s="361">
        <f>+IF($I46=J$3,VLOOKUP($H46,Depreciation!$A$6:$L$10,7,FALSE)/2,IF($I46&lt;J$3,VLOOKUP($H46,Depreciation!$A$6:$L$10,7,FALSE),0))</f>
        <v>0</v>
      </c>
      <c r="K46" s="361">
        <f>+IF($I46=K$3,VLOOKUP($H46,Depreciation!$A$6:$L$10,8,FALSE)/2,IF($I46&lt;K$3,VLOOKUP($H46,Depreciation!$A$6:$L$10,8,FALSE),0))</f>
        <v>1.5338181838063448E-2</v>
      </c>
      <c r="L46" s="361">
        <f>+IF($I46=L$3,VLOOKUP($H46,Depreciation!$A$6:$L$10,9,FALSE)/2,IF($I46&lt;L$3,VLOOKUP($H46,Depreciation!$A$6:$L$10,9,FALSE),0))</f>
        <v>3.0676363676126896E-2</v>
      </c>
      <c r="M46" s="361">
        <f>+IF($I46=M$3,VLOOKUP($H46,Depreciation!$A$6:$L$10,10,FALSE)/2,IF($I46&lt;M$3,VLOOKUP($H46,Depreciation!$A$6:$L$10,10,FALSE),0))</f>
        <v>3.0676363676126896E-2</v>
      </c>
      <c r="N46" s="361">
        <f>+IF($I46=N$3,VLOOKUP($H46,Depreciation!$A$6:$L$10,11,FALSE)/2,IF($I46&lt;N$3,VLOOKUP($H46,Depreciation!$A$6:$L$10,11,FALSE),0))</f>
        <v>3.0676363676126896E-2</v>
      </c>
      <c r="O46" s="361">
        <f>+IF($I46=O$3,VLOOKUP($H46,Depreciation!$A$6:$L$10,12,FALSE)/2,IF($I46&lt;O$3,VLOOKUP($H46,Depreciation!$A$6:$L$10,12,FALSE),0))</f>
        <v>3.0676363676126896E-2</v>
      </c>
      <c r="P46" s="362">
        <f t="shared" si="2"/>
        <v>31820302.576602239</v>
      </c>
      <c r="Q46" s="362">
        <f t="shared" si="3"/>
        <v>31820302.576602239</v>
      </c>
      <c r="R46" s="363">
        <f t="shared" si="4"/>
        <v>0</v>
      </c>
      <c r="Y46" s="365"/>
    </row>
    <row r="47" spans="1:25" ht="15" customHeight="1">
      <c r="A47" s="359" t="str">
        <f>'Func Future Lines 2015'!A47</f>
        <v>PPS</v>
      </c>
      <c r="B47" s="359" t="str">
        <f>'Func Future Lines 2015'!B47</f>
        <v>1043LB</v>
      </c>
      <c r="C47" s="359">
        <f>'Func Future Lines 2015'!C47</f>
        <v>786</v>
      </c>
      <c r="D47" s="359">
        <f>'Func Future Lines 2015'!D47</f>
        <v>240</v>
      </c>
      <c r="E47" s="359">
        <f>'Func Future Lines 2015'!E47</f>
        <v>0</v>
      </c>
      <c r="F47" s="359" t="str">
        <f>'Func Future Lines 2015'!F47</f>
        <v>edmonton</v>
      </c>
      <c r="G47" s="359">
        <f>'Func Future Lines 2015'!G47</f>
        <v>8330617.7071102019</v>
      </c>
      <c r="H47" s="359" t="str">
        <f>'Func Future Lines 2015'!H47</f>
        <v>AltaLink</v>
      </c>
      <c r="I47" s="359">
        <f>'Func Future Lines 2015'!I47</f>
        <v>2016</v>
      </c>
      <c r="J47" s="361">
        <f>+IF($I47=J$3,VLOOKUP($H47,Depreciation!$A$6:$L$10,7,FALSE)/2,IF($I47&lt;J$3,VLOOKUP($H47,Depreciation!$A$6:$L$10,7,FALSE),0))</f>
        <v>0</v>
      </c>
      <c r="K47" s="361">
        <f>+IF($I47=K$3,VLOOKUP($H47,Depreciation!$A$6:$L$10,8,FALSE)/2,IF($I47&lt;K$3,VLOOKUP($H47,Depreciation!$A$6:$L$10,8,FALSE),0))</f>
        <v>1.5338181838063448E-2</v>
      </c>
      <c r="L47" s="361">
        <f>+IF($I47=L$3,VLOOKUP($H47,Depreciation!$A$6:$L$10,9,FALSE)/2,IF($I47&lt;L$3,VLOOKUP($H47,Depreciation!$A$6:$L$10,9,FALSE),0))</f>
        <v>3.0676363676126896E-2</v>
      </c>
      <c r="M47" s="361">
        <f>+IF($I47=M$3,VLOOKUP($H47,Depreciation!$A$6:$L$10,10,FALSE)/2,IF($I47&lt;M$3,VLOOKUP($H47,Depreciation!$A$6:$L$10,10,FALSE),0))</f>
        <v>3.0676363676126896E-2</v>
      </c>
      <c r="N47" s="361">
        <f>+IF($I47=N$3,VLOOKUP($H47,Depreciation!$A$6:$L$10,11,FALSE)/2,IF($I47&lt;N$3,VLOOKUP($H47,Depreciation!$A$6:$L$10,11,FALSE),0))</f>
        <v>3.0676363676126896E-2</v>
      </c>
      <c r="O47" s="361">
        <f>+IF($I47=O$3,VLOOKUP($H47,Depreciation!$A$6:$L$10,12,FALSE)/2,IF($I47&lt;O$3,VLOOKUP($H47,Depreciation!$A$6:$L$10,12,FALSE),0))</f>
        <v>3.0676363676126896E-2</v>
      </c>
      <c r="P47" s="362">
        <f t="shared" si="2"/>
        <v>7951207.8387445342</v>
      </c>
      <c r="Q47" s="362">
        <f t="shared" si="3"/>
        <v>7951207.8387445342</v>
      </c>
      <c r="R47" s="363">
        <f t="shared" si="4"/>
        <v>0</v>
      </c>
      <c r="Y47" s="365"/>
    </row>
    <row r="48" spans="1:25" ht="15" customHeight="1">
      <c r="A48" s="359" t="str">
        <f>'Func Future Lines 2015'!A48</f>
        <v>PPS</v>
      </c>
      <c r="B48" s="359" t="str">
        <f>'Func Future Lines 2015'!B48</f>
        <v>1045L/909L</v>
      </c>
      <c r="C48" s="359">
        <f>'Func Future Lines 2015'!C48</f>
        <v>786</v>
      </c>
      <c r="D48" s="359">
        <f>'Func Future Lines 2015'!D48</f>
        <v>240</v>
      </c>
      <c r="E48" s="359">
        <f>'Func Future Lines 2015'!E48</f>
        <v>0</v>
      </c>
      <c r="F48" s="359" t="str">
        <f>'Func Future Lines 2015'!F48</f>
        <v>edmonton</v>
      </c>
      <c r="G48" s="359">
        <f>'Func Future Lines 2015'!G48</f>
        <v>289844.87394607428</v>
      </c>
      <c r="H48" s="359" t="str">
        <f>'Func Future Lines 2015'!H48</f>
        <v>AltaLink</v>
      </c>
      <c r="I48" s="359">
        <f>'Func Future Lines 2015'!I48</f>
        <v>2016</v>
      </c>
      <c r="J48" s="361">
        <f>+IF($I48=J$3,VLOOKUP($H48,Depreciation!$A$6:$L$10,7,FALSE)/2,IF($I48&lt;J$3,VLOOKUP($H48,Depreciation!$A$6:$L$10,7,FALSE),0))</f>
        <v>0</v>
      </c>
      <c r="K48" s="361">
        <f>+IF($I48=K$3,VLOOKUP($H48,Depreciation!$A$6:$L$10,8,FALSE)/2,IF($I48&lt;K$3,VLOOKUP($H48,Depreciation!$A$6:$L$10,8,FALSE),0))</f>
        <v>1.5338181838063448E-2</v>
      </c>
      <c r="L48" s="361">
        <f>+IF($I48=L$3,VLOOKUP($H48,Depreciation!$A$6:$L$10,9,FALSE)/2,IF($I48&lt;L$3,VLOOKUP($H48,Depreciation!$A$6:$L$10,9,FALSE),0))</f>
        <v>3.0676363676126896E-2</v>
      </c>
      <c r="M48" s="361">
        <f>+IF($I48=M$3,VLOOKUP($H48,Depreciation!$A$6:$L$10,10,FALSE)/2,IF($I48&lt;M$3,VLOOKUP($H48,Depreciation!$A$6:$L$10,10,FALSE),0))</f>
        <v>3.0676363676126896E-2</v>
      </c>
      <c r="N48" s="361">
        <f>+IF($I48=N$3,VLOOKUP($H48,Depreciation!$A$6:$L$10,11,FALSE)/2,IF($I48&lt;N$3,VLOOKUP($H48,Depreciation!$A$6:$L$10,11,FALSE),0))</f>
        <v>3.0676363676126896E-2</v>
      </c>
      <c r="O48" s="361">
        <f>+IF($I48=O$3,VLOOKUP($H48,Depreciation!$A$6:$L$10,12,FALSE)/2,IF($I48&lt;O$3,VLOOKUP($H48,Depreciation!$A$6:$L$10,12,FALSE),0))</f>
        <v>3.0676363676126896E-2</v>
      </c>
      <c r="P48" s="362">
        <f t="shared" si="2"/>
        <v>276644.17150878877</v>
      </c>
      <c r="Q48" s="362">
        <f t="shared" si="3"/>
        <v>276644.17150878877</v>
      </c>
      <c r="R48" s="363">
        <f t="shared" si="4"/>
        <v>0</v>
      </c>
      <c r="Y48" s="365"/>
    </row>
    <row r="49" spans="1:25" ht="15" customHeight="1">
      <c r="A49" s="359" t="str">
        <f>'Func Future Lines 2015'!A49</f>
        <v>PPS</v>
      </c>
      <c r="B49" s="359" t="str">
        <f>'Func Future Lines 2015'!B49</f>
        <v>190L / 903L</v>
      </c>
      <c r="C49" s="359">
        <f>'Func Future Lines 2015'!C49</f>
        <v>786</v>
      </c>
      <c r="D49" s="359">
        <f>'Func Future Lines 2015'!D49</f>
        <v>240</v>
      </c>
      <c r="E49" s="359">
        <f>'Func Future Lines 2015'!E49</f>
        <v>0</v>
      </c>
      <c r="F49" s="359" t="str">
        <f>'Func Future Lines 2015'!F49</f>
        <v>edmonton</v>
      </c>
      <c r="G49" s="359">
        <f>'Func Future Lines 2015'!G49</f>
        <v>414192.41502029379</v>
      </c>
      <c r="H49" s="359" t="str">
        <f>'Func Future Lines 2015'!H49</f>
        <v>AltaLink</v>
      </c>
      <c r="I49" s="359">
        <f>'Func Future Lines 2015'!I49</f>
        <v>2016</v>
      </c>
      <c r="J49" s="361">
        <f>+IF($I49=J$3,VLOOKUP($H49,Depreciation!$A$6:$L$10,7,FALSE)/2,IF($I49&lt;J$3,VLOOKUP($H49,Depreciation!$A$6:$L$10,7,FALSE),0))</f>
        <v>0</v>
      </c>
      <c r="K49" s="361">
        <f>+IF($I49=K$3,VLOOKUP($H49,Depreciation!$A$6:$L$10,8,FALSE)/2,IF($I49&lt;K$3,VLOOKUP($H49,Depreciation!$A$6:$L$10,8,FALSE),0))</f>
        <v>1.5338181838063448E-2</v>
      </c>
      <c r="L49" s="361">
        <f>+IF($I49=L$3,VLOOKUP($H49,Depreciation!$A$6:$L$10,9,FALSE)/2,IF($I49&lt;L$3,VLOOKUP($H49,Depreciation!$A$6:$L$10,9,FALSE),0))</f>
        <v>3.0676363676126896E-2</v>
      </c>
      <c r="M49" s="361">
        <f>+IF($I49=M$3,VLOOKUP($H49,Depreciation!$A$6:$L$10,10,FALSE)/2,IF($I49&lt;M$3,VLOOKUP($H49,Depreciation!$A$6:$L$10,10,FALSE),0))</f>
        <v>3.0676363676126896E-2</v>
      </c>
      <c r="N49" s="361">
        <f>+IF($I49=N$3,VLOOKUP($H49,Depreciation!$A$6:$L$10,11,FALSE)/2,IF($I49&lt;N$3,VLOOKUP($H49,Depreciation!$A$6:$L$10,11,FALSE),0))</f>
        <v>3.0676363676126896E-2</v>
      </c>
      <c r="O49" s="361">
        <f>+IF($I49=O$3,VLOOKUP($H49,Depreciation!$A$6:$L$10,12,FALSE)/2,IF($I49&lt;O$3,VLOOKUP($H49,Depreciation!$A$6:$L$10,12,FALSE),0))</f>
        <v>3.0676363676126896E-2</v>
      </c>
      <c r="P49" s="362">
        <f t="shared" si="2"/>
        <v>395328.42495545367</v>
      </c>
      <c r="Q49" s="362">
        <f t="shared" si="3"/>
        <v>395328.42495545367</v>
      </c>
      <c r="R49" s="363">
        <f t="shared" si="4"/>
        <v>0</v>
      </c>
      <c r="Y49" s="365"/>
    </row>
    <row r="50" spans="1:25" ht="15" customHeight="1">
      <c r="A50" s="359" t="str">
        <f>'Func Future Lines 2015'!A50</f>
        <v>PPS</v>
      </c>
      <c r="B50" s="359" t="str">
        <f>'Func Future Lines 2015'!B50</f>
        <v>902L</v>
      </c>
      <c r="C50" s="359">
        <f>'Func Future Lines 2015'!C50</f>
        <v>786</v>
      </c>
      <c r="D50" s="359">
        <f>'Func Future Lines 2015'!D50</f>
        <v>240</v>
      </c>
      <c r="E50" s="359">
        <f>'Func Future Lines 2015'!E50</f>
        <v>0</v>
      </c>
      <c r="F50" s="359" t="str">
        <f>'Func Future Lines 2015'!F50</f>
        <v>edmonton</v>
      </c>
      <c r="G50" s="359">
        <f>'Func Future Lines 2015'!G50</f>
        <v>1003247.4189437164</v>
      </c>
      <c r="H50" s="359" t="str">
        <f>'Func Future Lines 2015'!H50</f>
        <v>AltaLink</v>
      </c>
      <c r="I50" s="359">
        <f>'Func Future Lines 2015'!I50</f>
        <v>2016</v>
      </c>
      <c r="J50" s="361">
        <f>+IF($I50=J$3,VLOOKUP($H50,Depreciation!$A$6:$L$10,7,FALSE)/2,IF($I50&lt;J$3,VLOOKUP($H50,Depreciation!$A$6:$L$10,7,FALSE),0))</f>
        <v>0</v>
      </c>
      <c r="K50" s="361">
        <f>+IF($I50=K$3,VLOOKUP($H50,Depreciation!$A$6:$L$10,8,FALSE)/2,IF($I50&lt;K$3,VLOOKUP($H50,Depreciation!$A$6:$L$10,8,FALSE),0))</f>
        <v>1.5338181838063448E-2</v>
      </c>
      <c r="L50" s="361">
        <f>+IF($I50=L$3,VLOOKUP($H50,Depreciation!$A$6:$L$10,9,FALSE)/2,IF($I50&lt;L$3,VLOOKUP($H50,Depreciation!$A$6:$L$10,9,FALSE),0))</f>
        <v>3.0676363676126896E-2</v>
      </c>
      <c r="M50" s="361">
        <f>+IF($I50=M$3,VLOOKUP($H50,Depreciation!$A$6:$L$10,10,FALSE)/2,IF($I50&lt;M$3,VLOOKUP($H50,Depreciation!$A$6:$L$10,10,FALSE),0))</f>
        <v>3.0676363676126896E-2</v>
      </c>
      <c r="N50" s="361">
        <f>+IF($I50=N$3,VLOOKUP($H50,Depreciation!$A$6:$L$10,11,FALSE)/2,IF($I50&lt;N$3,VLOOKUP($H50,Depreciation!$A$6:$L$10,11,FALSE),0))</f>
        <v>3.0676363676126896E-2</v>
      </c>
      <c r="O50" s="361">
        <f>+IF($I50=O$3,VLOOKUP($H50,Depreciation!$A$6:$L$10,12,FALSE)/2,IF($I50&lt;O$3,VLOOKUP($H50,Depreciation!$A$6:$L$10,12,FALSE),0))</f>
        <v>3.0676363676126896E-2</v>
      </c>
      <c r="P50" s="362">
        <f t="shared" si="2"/>
        <v>957555.49254133774</v>
      </c>
      <c r="Q50" s="362">
        <f t="shared" si="3"/>
        <v>957555.49254133774</v>
      </c>
      <c r="R50" s="363">
        <f t="shared" si="4"/>
        <v>0</v>
      </c>
      <c r="Y50" s="365"/>
    </row>
    <row r="51" spans="1:25" ht="15" customHeight="1">
      <c r="A51" s="359" t="str">
        <f>'Func Future Lines 2015'!A51</f>
        <v>PPS</v>
      </c>
      <c r="B51" s="359" t="str">
        <f>'Func Future Lines 2015'!B51</f>
        <v>902L / 913L</v>
      </c>
      <c r="C51" s="359">
        <f>'Func Future Lines 2015'!C51</f>
        <v>786</v>
      </c>
      <c r="D51" s="359">
        <f>'Func Future Lines 2015'!D51</f>
        <v>240</v>
      </c>
      <c r="E51" s="359">
        <f>'Func Future Lines 2015'!E51</f>
        <v>0</v>
      </c>
      <c r="F51" s="359" t="str">
        <f>'Func Future Lines 2015'!F51</f>
        <v>edmonton</v>
      </c>
      <c r="G51" s="359">
        <f>'Func Future Lines 2015'!G51</f>
        <v>5049558.4464780493</v>
      </c>
      <c r="H51" s="359" t="str">
        <f>'Func Future Lines 2015'!H51</f>
        <v>AltaLink</v>
      </c>
      <c r="I51" s="359">
        <f>'Func Future Lines 2015'!I51</f>
        <v>2016</v>
      </c>
      <c r="J51" s="361">
        <f>+IF($I51=J$3,VLOOKUP($H51,Depreciation!$A$6:$L$10,7,FALSE)/2,IF($I51&lt;J$3,VLOOKUP($H51,Depreciation!$A$6:$L$10,7,FALSE),0))</f>
        <v>0</v>
      </c>
      <c r="K51" s="361">
        <f>+IF($I51=K$3,VLOOKUP($H51,Depreciation!$A$6:$L$10,8,FALSE)/2,IF($I51&lt;K$3,VLOOKUP($H51,Depreciation!$A$6:$L$10,8,FALSE),0))</f>
        <v>1.5338181838063448E-2</v>
      </c>
      <c r="L51" s="361">
        <f>+IF($I51=L$3,VLOOKUP($H51,Depreciation!$A$6:$L$10,9,FALSE)/2,IF($I51&lt;L$3,VLOOKUP($H51,Depreciation!$A$6:$L$10,9,FALSE),0))</f>
        <v>3.0676363676126896E-2</v>
      </c>
      <c r="M51" s="361">
        <f>+IF($I51=M$3,VLOOKUP($H51,Depreciation!$A$6:$L$10,10,FALSE)/2,IF($I51&lt;M$3,VLOOKUP($H51,Depreciation!$A$6:$L$10,10,FALSE),0))</f>
        <v>3.0676363676126896E-2</v>
      </c>
      <c r="N51" s="361">
        <f>+IF($I51=N$3,VLOOKUP($H51,Depreciation!$A$6:$L$10,11,FALSE)/2,IF($I51&lt;N$3,VLOOKUP($H51,Depreciation!$A$6:$L$10,11,FALSE),0))</f>
        <v>3.0676363676126896E-2</v>
      </c>
      <c r="O51" s="361">
        <f>+IF($I51=O$3,VLOOKUP($H51,Depreciation!$A$6:$L$10,12,FALSE)/2,IF($I51&lt;O$3,VLOOKUP($H51,Depreciation!$A$6:$L$10,12,FALSE),0))</f>
        <v>3.0676363676126896E-2</v>
      </c>
      <c r="P51" s="362">
        <f t="shared" si="2"/>
        <v>4819581.2259595999</v>
      </c>
      <c r="Q51" s="362">
        <f t="shared" si="3"/>
        <v>4819581.2259595999</v>
      </c>
      <c r="R51" s="363">
        <f t="shared" si="4"/>
        <v>0</v>
      </c>
      <c r="Y51" s="365"/>
    </row>
    <row r="52" spans="1:25" ht="15" customHeight="1">
      <c r="A52" s="359" t="str">
        <f>'Func Future Lines 2015'!A52</f>
        <v>PPS</v>
      </c>
      <c r="B52" s="359" t="str">
        <f>'Func Future Lines 2015'!B52</f>
        <v>902L / 913L</v>
      </c>
      <c r="C52" s="359">
        <f>'Func Future Lines 2015'!C52</f>
        <v>786</v>
      </c>
      <c r="D52" s="359">
        <f>'Func Future Lines 2015'!D52</f>
        <v>240</v>
      </c>
      <c r="E52" s="359">
        <f>'Func Future Lines 2015'!E52</f>
        <v>0</v>
      </c>
      <c r="F52" s="359" t="str">
        <f>'Func Future Lines 2015'!F52</f>
        <v>edmonton</v>
      </c>
      <c r="G52" s="359">
        <f>'Func Future Lines 2015'!G52</f>
        <v>1156144.4203365908</v>
      </c>
      <c r="H52" s="359" t="str">
        <f>'Func Future Lines 2015'!H52</f>
        <v>AltaLink</v>
      </c>
      <c r="I52" s="359">
        <f>'Func Future Lines 2015'!I52</f>
        <v>2016</v>
      </c>
      <c r="J52" s="361">
        <f>+IF($I52=J$3,VLOOKUP($H52,Depreciation!$A$6:$L$10,7,FALSE)/2,IF($I52&lt;J$3,VLOOKUP($H52,Depreciation!$A$6:$L$10,7,FALSE),0))</f>
        <v>0</v>
      </c>
      <c r="K52" s="361">
        <f>+IF($I52=K$3,VLOOKUP($H52,Depreciation!$A$6:$L$10,8,FALSE)/2,IF($I52&lt;K$3,VLOOKUP($H52,Depreciation!$A$6:$L$10,8,FALSE),0))</f>
        <v>1.5338181838063448E-2</v>
      </c>
      <c r="L52" s="361">
        <f>+IF($I52=L$3,VLOOKUP($H52,Depreciation!$A$6:$L$10,9,FALSE)/2,IF($I52&lt;L$3,VLOOKUP($H52,Depreciation!$A$6:$L$10,9,FALSE),0))</f>
        <v>3.0676363676126896E-2</v>
      </c>
      <c r="M52" s="361">
        <f>+IF($I52=M$3,VLOOKUP($H52,Depreciation!$A$6:$L$10,10,FALSE)/2,IF($I52&lt;M$3,VLOOKUP($H52,Depreciation!$A$6:$L$10,10,FALSE),0))</f>
        <v>3.0676363676126896E-2</v>
      </c>
      <c r="N52" s="361">
        <f>+IF($I52=N$3,VLOOKUP($H52,Depreciation!$A$6:$L$10,11,FALSE)/2,IF($I52&lt;N$3,VLOOKUP($H52,Depreciation!$A$6:$L$10,11,FALSE),0))</f>
        <v>3.0676363676126896E-2</v>
      </c>
      <c r="O52" s="361">
        <f>+IF($I52=O$3,VLOOKUP($H52,Depreciation!$A$6:$L$10,12,FALSE)/2,IF($I52&lt;O$3,VLOOKUP($H52,Depreciation!$A$6:$L$10,12,FALSE),0))</f>
        <v>3.0676363676126896E-2</v>
      </c>
      <c r="P52" s="362">
        <f t="shared" si="2"/>
        <v>1103488.9489473302</v>
      </c>
      <c r="Q52" s="362">
        <f t="shared" si="3"/>
        <v>1103488.9489473302</v>
      </c>
      <c r="R52" s="363">
        <f t="shared" si="4"/>
        <v>0</v>
      </c>
      <c r="Y52" s="365"/>
    </row>
    <row r="53" spans="1:25" ht="15" customHeight="1">
      <c r="A53" s="359" t="str">
        <f>'Func Future Lines 2015'!A53</f>
        <v>PPS</v>
      </c>
      <c r="B53" s="359" t="str">
        <f>'Func Future Lines 2015'!B53</f>
        <v>902L T</v>
      </c>
      <c r="C53" s="359">
        <f>'Func Future Lines 2015'!C53</f>
        <v>786</v>
      </c>
      <c r="D53" s="359">
        <f>'Func Future Lines 2015'!D53</f>
        <v>240</v>
      </c>
      <c r="E53" s="359">
        <f>'Func Future Lines 2015'!E53</f>
        <v>0</v>
      </c>
      <c r="F53" s="359" t="str">
        <f>'Func Future Lines 2015'!F53</f>
        <v>edmonton</v>
      </c>
      <c r="G53" s="359">
        <f>'Func Future Lines 2015'!G53</f>
        <v>74703.733323158798</v>
      </c>
      <c r="H53" s="359" t="str">
        <f>'Func Future Lines 2015'!H53</f>
        <v>AltaLink</v>
      </c>
      <c r="I53" s="359">
        <f>'Func Future Lines 2015'!I53</f>
        <v>2016</v>
      </c>
      <c r="J53" s="361">
        <f>+IF($I53=J$3,VLOOKUP($H53,Depreciation!$A$6:$L$10,7,FALSE)/2,IF($I53&lt;J$3,VLOOKUP($H53,Depreciation!$A$6:$L$10,7,FALSE),0))</f>
        <v>0</v>
      </c>
      <c r="K53" s="361">
        <f>+IF($I53=K$3,VLOOKUP($H53,Depreciation!$A$6:$L$10,8,FALSE)/2,IF($I53&lt;K$3,VLOOKUP($H53,Depreciation!$A$6:$L$10,8,FALSE),0))</f>
        <v>1.5338181838063448E-2</v>
      </c>
      <c r="L53" s="361">
        <f>+IF($I53=L$3,VLOOKUP($H53,Depreciation!$A$6:$L$10,9,FALSE)/2,IF($I53&lt;L$3,VLOOKUP($H53,Depreciation!$A$6:$L$10,9,FALSE),0))</f>
        <v>3.0676363676126896E-2</v>
      </c>
      <c r="M53" s="361">
        <f>+IF($I53=M$3,VLOOKUP($H53,Depreciation!$A$6:$L$10,10,FALSE)/2,IF($I53&lt;M$3,VLOOKUP($H53,Depreciation!$A$6:$L$10,10,FALSE),0))</f>
        <v>3.0676363676126896E-2</v>
      </c>
      <c r="N53" s="361">
        <f>+IF($I53=N$3,VLOOKUP($H53,Depreciation!$A$6:$L$10,11,FALSE)/2,IF($I53&lt;N$3,VLOOKUP($H53,Depreciation!$A$6:$L$10,11,FALSE),0))</f>
        <v>3.0676363676126896E-2</v>
      </c>
      <c r="O53" s="361">
        <f>+IF($I53=O$3,VLOOKUP($H53,Depreciation!$A$6:$L$10,12,FALSE)/2,IF($I53&lt;O$3,VLOOKUP($H53,Depreciation!$A$6:$L$10,12,FALSE),0))</f>
        <v>3.0676363676126896E-2</v>
      </c>
      <c r="P53" s="362">
        <f t="shared" si="2"/>
        <v>71301.424560103624</v>
      </c>
      <c r="Q53" s="362">
        <f t="shared" si="3"/>
        <v>71301.424560103624</v>
      </c>
      <c r="R53" s="363">
        <f t="shared" si="4"/>
        <v>0</v>
      </c>
      <c r="Y53" s="365"/>
    </row>
    <row r="54" spans="1:25" ht="15" customHeight="1">
      <c r="A54" s="359" t="str">
        <f>'Func Future Lines 2015'!A54</f>
        <v>PPS</v>
      </c>
      <c r="B54" s="359" t="str">
        <f>'Func Future Lines 2015'!B54</f>
        <v>904L AML</v>
      </c>
      <c r="C54" s="359">
        <f>'Func Future Lines 2015'!C54</f>
        <v>786</v>
      </c>
      <c r="D54" s="359">
        <f>'Func Future Lines 2015'!D54</f>
        <v>240</v>
      </c>
      <c r="E54" s="359">
        <f>'Func Future Lines 2015'!E54</f>
        <v>0</v>
      </c>
      <c r="F54" s="359" t="str">
        <f>'Func Future Lines 2015'!F54</f>
        <v>edmonton</v>
      </c>
      <c r="G54" s="359">
        <f>'Func Future Lines 2015'!G54</f>
        <v>49162456.433123253</v>
      </c>
      <c r="H54" s="359" t="str">
        <f>'Func Future Lines 2015'!H54</f>
        <v>AltaLink</v>
      </c>
      <c r="I54" s="359">
        <f>'Func Future Lines 2015'!I54</f>
        <v>2016</v>
      </c>
      <c r="J54" s="361">
        <f>+IF($I54=J$3,VLOOKUP($H54,Depreciation!$A$6:$L$10,7,FALSE)/2,IF($I54&lt;J$3,VLOOKUP($H54,Depreciation!$A$6:$L$10,7,FALSE),0))</f>
        <v>0</v>
      </c>
      <c r="K54" s="361">
        <f>+IF($I54=K$3,VLOOKUP($H54,Depreciation!$A$6:$L$10,8,FALSE)/2,IF($I54&lt;K$3,VLOOKUP($H54,Depreciation!$A$6:$L$10,8,FALSE),0))</f>
        <v>1.5338181838063448E-2</v>
      </c>
      <c r="L54" s="361">
        <f>+IF($I54=L$3,VLOOKUP($H54,Depreciation!$A$6:$L$10,9,FALSE)/2,IF($I54&lt;L$3,VLOOKUP($H54,Depreciation!$A$6:$L$10,9,FALSE),0))</f>
        <v>3.0676363676126896E-2</v>
      </c>
      <c r="M54" s="361">
        <f>+IF($I54=M$3,VLOOKUP($H54,Depreciation!$A$6:$L$10,10,FALSE)/2,IF($I54&lt;M$3,VLOOKUP($H54,Depreciation!$A$6:$L$10,10,FALSE),0))</f>
        <v>3.0676363676126896E-2</v>
      </c>
      <c r="N54" s="361">
        <f>+IF($I54=N$3,VLOOKUP($H54,Depreciation!$A$6:$L$10,11,FALSE)/2,IF($I54&lt;N$3,VLOOKUP($H54,Depreciation!$A$6:$L$10,11,FALSE),0))</f>
        <v>3.0676363676126896E-2</v>
      </c>
      <c r="O54" s="361">
        <f>+IF($I54=O$3,VLOOKUP($H54,Depreciation!$A$6:$L$10,12,FALSE)/2,IF($I54&lt;O$3,VLOOKUP($H54,Depreciation!$A$6:$L$10,12,FALSE),0))</f>
        <v>3.0676363676126896E-2</v>
      </c>
      <c r="P54" s="362">
        <f t="shared" si="2"/>
        <v>46923400.245500572</v>
      </c>
      <c r="Q54" s="362">
        <f t="shared" si="3"/>
        <v>46923400.245500572</v>
      </c>
      <c r="R54" s="363">
        <f t="shared" si="4"/>
        <v>0</v>
      </c>
      <c r="Y54" s="365"/>
    </row>
    <row r="55" spans="1:25" ht="15" customHeight="1">
      <c r="A55" s="359" t="str">
        <f>'Func Future Lines 2015'!A55</f>
        <v>PPS</v>
      </c>
      <c r="B55" s="359" t="str">
        <f>'Func Future Lines 2015'!B55</f>
        <v>904L EDTI</v>
      </c>
      <c r="C55" s="359">
        <f>'Func Future Lines 2015'!C55</f>
        <v>786</v>
      </c>
      <c r="D55" s="359">
        <f>'Func Future Lines 2015'!D55</f>
        <v>240</v>
      </c>
      <c r="E55" s="359">
        <f>'Func Future Lines 2015'!E55</f>
        <v>0</v>
      </c>
      <c r="F55" s="359" t="str">
        <f>'Func Future Lines 2015'!F55</f>
        <v>edmonton</v>
      </c>
      <c r="G55" s="359">
        <f>'Func Future Lines 2015'!G55</f>
        <v>3984477.4999999995</v>
      </c>
      <c r="H55" s="359" t="str">
        <f>'Func Future Lines 2015'!H55</f>
        <v>EPCOR</v>
      </c>
      <c r="I55" s="359">
        <f>'Func Future Lines 2015'!I55</f>
        <v>2016</v>
      </c>
      <c r="J55" s="361">
        <f>+IF($I55=J$3,VLOOKUP($H55,Depreciation!$A$6:$L$10,7,FALSE)/2,IF($I55&lt;J$3,VLOOKUP($H55,Depreciation!$A$6:$L$10,7,FALSE),0))</f>
        <v>0</v>
      </c>
      <c r="K55" s="361">
        <f>+IF($I55=K$3,VLOOKUP($H55,Depreciation!$A$6:$L$10,8,FALSE)/2,IF($I55&lt;K$3,VLOOKUP($H55,Depreciation!$A$6:$L$10,8,FALSE),0))</f>
        <v>1.1531168605025642E-2</v>
      </c>
      <c r="L55" s="361">
        <f>+IF($I55=L$3,VLOOKUP($H55,Depreciation!$A$6:$L$10,9,FALSE)/2,IF($I55&lt;L$3,VLOOKUP($H55,Depreciation!$A$6:$L$10,9,FALSE),0))</f>
        <v>2.3063912319658014E-2</v>
      </c>
      <c r="M55" s="361">
        <f>+IF($I55=M$3,VLOOKUP($H55,Depreciation!$A$6:$L$10,10,FALSE)/2,IF($I55&lt;M$3,VLOOKUP($H55,Depreciation!$A$6:$L$10,10,FALSE),0))</f>
        <v>2.3063912319658014E-2</v>
      </c>
      <c r="N55" s="361">
        <f>+IF($I55=N$3,VLOOKUP($H55,Depreciation!$A$6:$L$10,11,FALSE)/2,IF($I55&lt;N$3,VLOOKUP($H55,Depreciation!$A$6:$L$10,11,FALSE),0))</f>
        <v>2.3063912319658014E-2</v>
      </c>
      <c r="O55" s="361">
        <f>+IF($I55=O$3,VLOOKUP($H55,Depreciation!$A$6:$L$10,12,FALSE)/2,IF($I55&lt;O$3,VLOOKUP($H55,Depreciation!$A$6:$L$10,12,FALSE),0))</f>
        <v>2.3063912319658014E-2</v>
      </c>
      <c r="P55" s="362">
        <f t="shared" si="2"/>
        <v>3847693.8656226988</v>
      </c>
      <c r="Q55" s="362">
        <f t="shared" si="3"/>
        <v>3847693.8656226988</v>
      </c>
      <c r="R55" s="363">
        <f t="shared" si="4"/>
        <v>0</v>
      </c>
      <c r="Y55" s="365"/>
    </row>
    <row r="56" spans="1:25" ht="15" customHeight="1">
      <c r="A56" s="359" t="str">
        <f>'Func Future Lines 2015'!A56</f>
        <v>PPS</v>
      </c>
      <c r="B56" s="359" t="str">
        <f>'Func Future Lines 2015'!B56</f>
        <v>904L EDTI</v>
      </c>
      <c r="C56" s="359">
        <f>'Func Future Lines 2015'!C56</f>
        <v>786</v>
      </c>
      <c r="D56" s="359">
        <f>'Func Future Lines 2015'!D56</f>
        <v>240</v>
      </c>
      <c r="E56" s="359">
        <f>'Func Future Lines 2015'!E56</f>
        <v>0</v>
      </c>
      <c r="F56" s="359" t="str">
        <f>'Func Future Lines 2015'!F56</f>
        <v>edmonton</v>
      </c>
      <c r="G56" s="359">
        <f>'Func Future Lines 2015'!G56</f>
        <v>3984477.4999999995</v>
      </c>
      <c r="H56" s="359" t="str">
        <f>'Func Future Lines 2015'!H56</f>
        <v>EPCOR</v>
      </c>
      <c r="I56" s="359">
        <f>'Func Future Lines 2015'!I56</f>
        <v>2016</v>
      </c>
      <c r="J56" s="361">
        <f>+IF($I56=J$3,VLOOKUP($H56,Depreciation!$A$6:$L$10,7,FALSE)/2,IF($I56&lt;J$3,VLOOKUP($H56,Depreciation!$A$6:$L$10,7,FALSE),0))</f>
        <v>0</v>
      </c>
      <c r="K56" s="361">
        <f>+IF($I56=K$3,VLOOKUP($H56,Depreciation!$A$6:$L$10,8,FALSE)/2,IF($I56&lt;K$3,VLOOKUP($H56,Depreciation!$A$6:$L$10,8,FALSE),0))</f>
        <v>1.1531168605025642E-2</v>
      </c>
      <c r="L56" s="361">
        <f>+IF($I56=L$3,VLOOKUP($H56,Depreciation!$A$6:$L$10,9,FALSE)/2,IF($I56&lt;L$3,VLOOKUP($H56,Depreciation!$A$6:$L$10,9,FALSE),0))</f>
        <v>2.3063912319658014E-2</v>
      </c>
      <c r="M56" s="361">
        <f>+IF($I56=M$3,VLOOKUP($H56,Depreciation!$A$6:$L$10,10,FALSE)/2,IF($I56&lt;M$3,VLOOKUP($H56,Depreciation!$A$6:$L$10,10,FALSE),0))</f>
        <v>2.3063912319658014E-2</v>
      </c>
      <c r="N56" s="361">
        <f>+IF($I56=N$3,VLOOKUP($H56,Depreciation!$A$6:$L$10,11,FALSE)/2,IF($I56&lt;N$3,VLOOKUP($H56,Depreciation!$A$6:$L$10,11,FALSE),0))</f>
        <v>2.3063912319658014E-2</v>
      </c>
      <c r="O56" s="361">
        <f>+IF($I56=O$3,VLOOKUP($H56,Depreciation!$A$6:$L$10,12,FALSE)/2,IF($I56&lt;O$3,VLOOKUP($H56,Depreciation!$A$6:$L$10,12,FALSE),0))</f>
        <v>2.3063912319658014E-2</v>
      </c>
      <c r="P56" s="362">
        <f t="shared" si="2"/>
        <v>3847693.8656226988</v>
      </c>
      <c r="Q56" s="362">
        <f t="shared" si="3"/>
        <v>3847693.8656226988</v>
      </c>
      <c r="R56" s="363">
        <f t="shared" si="4"/>
        <v>0</v>
      </c>
      <c r="Y56" s="365"/>
    </row>
    <row r="57" spans="1:25" ht="15" customHeight="1">
      <c r="A57" s="359" t="str">
        <f>'Func Future Lines 2015'!A57</f>
        <v>PPS</v>
      </c>
      <c r="B57" s="359" t="str">
        <f>'Func Future Lines 2015'!B57</f>
        <v>908L/909L</v>
      </c>
      <c r="C57" s="359">
        <f>'Func Future Lines 2015'!C57</f>
        <v>786</v>
      </c>
      <c r="D57" s="359">
        <f>'Func Future Lines 2015'!D57</f>
        <v>240</v>
      </c>
      <c r="E57" s="359">
        <f>'Func Future Lines 2015'!E57</f>
        <v>0</v>
      </c>
      <c r="F57" s="359" t="str">
        <f>'Func Future Lines 2015'!F57</f>
        <v>edmonton</v>
      </c>
      <c r="G57" s="359">
        <f>'Func Future Lines 2015'!G57</f>
        <v>3109824.4563445696</v>
      </c>
      <c r="H57" s="359" t="str">
        <f>'Func Future Lines 2015'!H57</f>
        <v>AltaLink</v>
      </c>
      <c r="I57" s="359">
        <f>'Func Future Lines 2015'!I57</f>
        <v>2016</v>
      </c>
      <c r="J57" s="361">
        <f>+IF($I57=J$3,VLOOKUP($H57,Depreciation!$A$6:$L$10,7,FALSE)/2,IF($I57&lt;J$3,VLOOKUP($H57,Depreciation!$A$6:$L$10,7,FALSE),0))</f>
        <v>0</v>
      </c>
      <c r="K57" s="361">
        <f>+IF($I57=K$3,VLOOKUP($H57,Depreciation!$A$6:$L$10,8,FALSE)/2,IF($I57&lt;K$3,VLOOKUP($H57,Depreciation!$A$6:$L$10,8,FALSE),0))</f>
        <v>1.5338181838063448E-2</v>
      </c>
      <c r="L57" s="361">
        <f>+IF($I57=L$3,VLOOKUP($H57,Depreciation!$A$6:$L$10,9,FALSE)/2,IF($I57&lt;L$3,VLOOKUP($H57,Depreciation!$A$6:$L$10,9,FALSE),0))</f>
        <v>3.0676363676126896E-2</v>
      </c>
      <c r="M57" s="361">
        <f>+IF($I57=M$3,VLOOKUP($H57,Depreciation!$A$6:$L$10,10,FALSE)/2,IF($I57&lt;M$3,VLOOKUP($H57,Depreciation!$A$6:$L$10,10,FALSE),0))</f>
        <v>3.0676363676126896E-2</v>
      </c>
      <c r="N57" s="361">
        <f>+IF($I57=N$3,VLOOKUP($H57,Depreciation!$A$6:$L$10,11,FALSE)/2,IF($I57&lt;N$3,VLOOKUP($H57,Depreciation!$A$6:$L$10,11,FALSE),0))</f>
        <v>3.0676363676126896E-2</v>
      </c>
      <c r="O57" s="361">
        <f>+IF($I57=O$3,VLOOKUP($H57,Depreciation!$A$6:$L$10,12,FALSE)/2,IF($I57&lt;O$3,VLOOKUP($H57,Depreciation!$A$6:$L$10,12,FALSE),0))</f>
        <v>3.0676363676126896E-2</v>
      </c>
      <c r="P57" s="362">
        <f t="shared" si="2"/>
        <v>2968190.5308536682</v>
      </c>
      <c r="Q57" s="362">
        <f t="shared" si="3"/>
        <v>2968190.5308536682</v>
      </c>
      <c r="R57" s="363">
        <f t="shared" si="4"/>
        <v>0</v>
      </c>
      <c r="Y57" s="365"/>
    </row>
    <row r="58" spans="1:25" ht="15" customHeight="1">
      <c r="A58" s="359" t="str">
        <f>'Func Future Lines 2015'!A58</f>
        <v>PPS</v>
      </c>
      <c r="B58" s="359" t="str">
        <f>'Func Future Lines 2015'!B58</f>
        <v>910L</v>
      </c>
      <c r="C58" s="359">
        <f>'Func Future Lines 2015'!C58</f>
        <v>786</v>
      </c>
      <c r="D58" s="359">
        <f>'Func Future Lines 2015'!D58</f>
        <v>240</v>
      </c>
      <c r="E58" s="359">
        <f>'Func Future Lines 2015'!E58</f>
        <v>0</v>
      </c>
      <c r="F58" s="359" t="str">
        <f>'Func Future Lines 2015'!F58</f>
        <v>northwest</v>
      </c>
      <c r="G58" s="359">
        <f>'Func Future Lines 2015'!G58</f>
        <v>346386.25820651586</v>
      </c>
      <c r="H58" s="359" t="str">
        <f>'Func Future Lines 2015'!H58</f>
        <v>ATCO</v>
      </c>
      <c r="I58" s="359">
        <f>'Func Future Lines 2015'!I58</f>
        <v>2016</v>
      </c>
      <c r="J58" s="361">
        <f>+IF($I58=J$3,VLOOKUP($H58,Depreciation!$A$6:$L$10,7,FALSE)/2,IF($I58&lt;J$3,VLOOKUP($H58,Depreciation!$A$6:$L$10,7,FALSE),0))</f>
        <v>0</v>
      </c>
      <c r="K58" s="361">
        <f>+IF($I58=K$3,VLOOKUP($H58,Depreciation!$A$6:$L$10,8,FALSE)/2,IF($I58&lt;K$3,VLOOKUP($H58,Depreciation!$A$6:$L$10,8,FALSE),0))</f>
        <v>1.1971929865503333E-2</v>
      </c>
      <c r="L58" s="361">
        <f>+IF($I58=L$3,VLOOKUP($H58,Depreciation!$A$6:$L$10,9,FALSE)/2,IF($I58&lt;L$3,VLOOKUP($H58,Depreciation!$A$6:$L$10,9,FALSE),0))</f>
        <v>2.4002037926855919E-2</v>
      </c>
      <c r="M58" s="361">
        <f>+IF($I58=M$3,VLOOKUP($H58,Depreciation!$A$6:$L$10,10,FALSE)/2,IF($I58&lt;M$3,VLOOKUP($H58,Depreciation!$A$6:$L$10,10,FALSE),0))</f>
        <v>2.4002037926855919E-2</v>
      </c>
      <c r="N58" s="361">
        <f>+IF($I58=N$3,VLOOKUP($H58,Depreciation!$A$6:$L$10,11,FALSE)/2,IF($I58&lt;N$3,VLOOKUP($H58,Depreciation!$A$6:$L$10,11,FALSE),0))</f>
        <v>2.4002037926855919E-2</v>
      </c>
      <c r="O58" s="361">
        <f>+IF($I58=O$3,VLOOKUP($H58,Depreciation!$A$6:$L$10,12,FALSE)/2,IF($I58&lt;O$3,VLOOKUP($H58,Depreciation!$A$6:$L$10,12,FALSE),0))</f>
        <v>2.4002037926855919E-2</v>
      </c>
      <c r="P58" s="362">
        <f t="shared" si="2"/>
        <v>334024.90444893308</v>
      </c>
      <c r="Q58" s="362">
        <f t="shared" si="3"/>
        <v>334024.90444893308</v>
      </c>
      <c r="R58" s="363">
        <f t="shared" si="4"/>
        <v>0</v>
      </c>
      <c r="Y58" s="365"/>
    </row>
    <row r="59" spans="1:25" ht="15" customHeight="1">
      <c r="A59" s="359" t="str">
        <f>'Func Future Lines 2015'!A59</f>
        <v>PPS</v>
      </c>
      <c r="B59" s="359" t="str">
        <f>'Func Future Lines 2015'!B59</f>
        <v>Jasper Tap</v>
      </c>
      <c r="C59" s="359">
        <f>'Func Future Lines 2015'!C59</f>
        <v>786</v>
      </c>
      <c r="D59" s="359">
        <f>'Func Future Lines 2015'!D59</f>
        <v>240</v>
      </c>
      <c r="E59" s="359">
        <f>'Func Future Lines 2015'!E59</f>
        <v>0</v>
      </c>
      <c r="F59" s="359" t="str">
        <f>'Func Future Lines 2015'!F59</f>
        <v>edmonton</v>
      </c>
      <c r="G59" s="359">
        <f>'Func Future Lines 2015'!G59</f>
        <v>1657515.1531787047</v>
      </c>
      <c r="H59" s="359" t="str">
        <f>'Func Future Lines 2015'!H59</f>
        <v>AltaLink</v>
      </c>
      <c r="I59" s="359">
        <f>'Func Future Lines 2015'!I59</f>
        <v>2016</v>
      </c>
      <c r="J59" s="361">
        <f>+IF($I59=J$3,VLOOKUP($H59,Depreciation!$A$6:$L$10,7,FALSE)/2,IF($I59&lt;J$3,VLOOKUP($H59,Depreciation!$A$6:$L$10,7,FALSE),0))</f>
        <v>0</v>
      </c>
      <c r="K59" s="361">
        <f>+IF($I59=K$3,VLOOKUP($H59,Depreciation!$A$6:$L$10,8,FALSE)/2,IF($I59&lt;K$3,VLOOKUP($H59,Depreciation!$A$6:$L$10,8,FALSE),0))</f>
        <v>1.5338181838063448E-2</v>
      </c>
      <c r="L59" s="361">
        <f>+IF($I59=L$3,VLOOKUP($H59,Depreciation!$A$6:$L$10,9,FALSE)/2,IF($I59&lt;L$3,VLOOKUP($H59,Depreciation!$A$6:$L$10,9,FALSE),0))</f>
        <v>3.0676363676126896E-2</v>
      </c>
      <c r="M59" s="361">
        <f>+IF($I59=M$3,VLOOKUP($H59,Depreciation!$A$6:$L$10,10,FALSE)/2,IF($I59&lt;M$3,VLOOKUP($H59,Depreciation!$A$6:$L$10,10,FALSE),0))</f>
        <v>3.0676363676126896E-2</v>
      </c>
      <c r="N59" s="361">
        <f>+IF($I59=N$3,VLOOKUP($H59,Depreciation!$A$6:$L$10,11,FALSE)/2,IF($I59&lt;N$3,VLOOKUP($H59,Depreciation!$A$6:$L$10,11,FALSE),0))</f>
        <v>3.0676363676126896E-2</v>
      </c>
      <c r="O59" s="361">
        <f>+IF($I59=O$3,VLOOKUP($H59,Depreciation!$A$6:$L$10,12,FALSE)/2,IF($I59&lt;O$3,VLOOKUP($H59,Depreciation!$A$6:$L$10,12,FALSE),0))</f>
        <v>3.0676363676126896E-2</v>
      </c>
      <c r="P59" s="362">
        <f t="shared" si="2"/>
        <v>1582025.2401624245</v>
      </c>
      <c r="Q59" s="362">
        <f t="shared" si="3"/>
        <v>1582025.2401624245</v>
      </c>
      <c r="R59" s="363">
        <f t="shared" si="4"/>
        <v>0</v>
      </c>
      <c r="Y59" s="365"/>
    </row>
    <row r="60" spans="1:25" ht="15" customHeight="1">
      <c r="A60" s="359" t="str">
        <f>'Func Future Lines 2015'!A60</f>
        <v>PPS</v>
      </c>
      <c r="B60" s="359" t="str">
        <f>'Func Future Lines 2015'!B60</f>
        <v>Jasper Tap</v>
      </c>
      <c r="C60" s="359">
        <f>'Func Future Lines 2015'!C60</f>
        <v>786</v>
      </c>
      <c r="D60" s="359">
        <f>'Func Future Lines 2015'!D60</f>
        <v>240</v>
      </c>
      <c r="E60" s="359">
        <f>'Func Future Lines 2015'!E60</f>
        <v>0</v>
      </c>
      <c r="F60" s="359" t="str">
        <f>'Func Future Lines 2015'!F60</f>
        <v>edmonton</v>
      </c>
      <c r="G60" s="359">
        <f>'Func Future Lines 2015'!G60</f>
        <v>1321477.0395329923</v>
      </c>
      <c r="H60" s="359" t="str">
        <f>'Func Future Lines 2015'!H60</f>
        <v>AltaLink</v>
      </c>
      <c r="I60" s="359">
        <f>'Func Future Lines 2015'!I60</f>
        <v>2016</v>
      </c>
      <c r="J60" s="361">
        <f>+IF($I60=J$3,VLOOKUP($H60,Depreciation!$A$6:$L$10,7,FALSE)/2,IF($I60&lt;J$3,VLOOKUP($H60,Depreciation!$A$6:$L$10,7,FALSE),0))</f>
        <v>0</v>
      </c>
      <c r="K60" s="361">
        <f>+IF($I60=K$3,VLOOKUP($H60,Depreciation!$A$6:$L$10,8,FALSE)/2,IF($I60&lt;K$3,VLOOKUP($H60,Depreciation!$A$6:$L$10,8,FALSE),0))</f>
        <v>1.5338181838063448E-2</v>
      </c>
      <c r="L60" s="361">
        <f>+IF($I60=L$3,VLOOKUP($H60,Depreciation!$A$6:$L$10,9,FALSE)/2,IF($I60&lt;L$3,VLOOKUP($H60,Depreciation!$A$6:$L$10,9,FALSE),0))</f>
        <v>3.0676363676126896E-2</v>
      </c>
      <c r="M60" s="361">
        <f>+IF($I60=M$3,VLOOKUP($H60,Depreciation!$A$6:$L$10,10,FALSE)/2,IF($I60&lt;M$3,VLOOKUP($H60,Depreciation!$A$6:$L$10,10,FALSE),0))</f>
        <v>3.0676363676126896E-2</v>
      </c>
      <c r="N60" s="361">
        <f>+IF($I60=N$3,VLOOKUP($H60,Depreciation!$A$6:$L$10,11,FALSE)/2,IF($I60&lt;N$3,VLOOKUP($H60,Depreciation!$A$6:$L$10,11,FALSE),0))</f>
        <v>3.0676363676126896E-2</v>
      </c>
      <c r="O60" s="361">
        <f>+IF($I60=O$3,VLOOKUP($H60,Depreciation!$A$6:$L$10,12,FALSE)/2,IF($I60&lt;O$3,VLOOKUP($H60,Depreciation!$A$6:$L$10,12,FALSE),0))</f>
        <v>3.0676363676126896E-2</v>
      </c>
      <c r="P60" s="362">
        <f t="shared" si="2"/>
        <v>1261291.6550578969</v>
      </c>
      <c r="Q60" s="362">
        <f t="shared" si="3"/>
        <v>1261291.6550578969</v>
      </c>
      <c r="R60" s="363">
        <f t="shared" si="4"/>
        <v>0</v>
      </c>
      <c r="Y60" s="365"/>
    </row>
    <row r="61" spans="1:25" ht="15" customHeight="1">
      <c r="A61" s="359" t="str">
        <f>'Func Future Lines 2015'!A61</f>
        <v>PPS</v>
      </c>
      <c r="B61" s="359" t="str">
        <f>'Func Future Lines 2015'!B61</f>
        <v>7L180</v>
      </c>
      <c r="C61" s="359">
        <f>'Func Future Lines 2015'!C61</f>
        <v>803</v>
      </c>
      <c r="D61" s="359">
        <f>'Func Future Lines 2015'!D61</f>
        <v>138</v>
      </c>
      <c r="E61" s="359">
        <f>'Func Future Lines 2015'!E61</f>
        <v>0</v>
      </c>
      <c r="F61" s="359" t="str">
        <f>'Func Future Lines 2015'!F61</f>
        <v>High_Level</v>
      </c>
      <c r="G61" s="359">
        <f>'Func Future Lines 2015'!G61</f>
        <v>12917630.079449499</v>
      </c>
      <c r="H61" s="359" t="str">
        <f>'Func Future Lines 2015'!H61</f>
        <v>ATCO</v>
      </c>
      <c r="I61" s="359">
        <f>'Func Future Lines 2015'!I61</f>
        <v>2017</v>
      </c>
      <c r="J61" s="361">
        <f>+IF($I61=J$3,VLOOKUP($H61,Depreciation!$A$6:$L$10,7,FALSE)/2,IF($I61&lt;J$3,VLOOKUP($H61,Depreciation!$A$6:$L$10,7,FALSE),0))</f>
        <v>0</v>
      </c>
      <c r="K61" s="361">
        <f>+IF($I61=K$3,VLOOKUP($H61,Depreciation!$A$6:$L$10,8,FALSE)/2,IF($I61&lt;K$3,VLOOKUP($H61,Depreciation!$A$6:$L$10,8,FALSE),0))</f>
        <v>0</v>
      </c>
      <c r="L61" s="361">
        <f>+IF($I61=L$3,VLOOKUP($H61,Depreciation!$A$6:$L$10,9,FALSE)/2,IF($I61&lt;L$3,VLOOKUP($H61,Depreciation!$A$6:$L$10,9,FALSE),0))</f>
        <v>1.2001018963427959E-2</v>
      </c>
      <c r="M61" s="361">
        <f>+IF($I61=M$3,VLOOKUP($H61,Depreciation!$A$6:$L$10,10,FALSE)/2,IF($I61&lt;M$3,VLOOKUP($H61,Depreciation!$A$6:$L$10,10,FALSE),0))</f>
        <v>2.4002037926855919E-2</v>
      </c>
      <c r="N61" s="361">
        <f>+IF($I61=N$3,VLOOKUP($H61,Depreciation!$A$6:$L$10,11,FALSE)/2,IF($I61&lt;N$3,VLOOKUP($H61,Depreciation!$A$6:$L$10,11,FALSE),0))</f>
        <v>2.4002037926855919E-2</v>
      </c>
      <c r="O61" s="361">
        <f>+IF($I61=O$3,VLOOKUP($H61,Depreciation!$A$6:$L$10,12,FALSE)/2,IF($I61&lt;O$3,VLOOKUP($H61,Depreciation!$A$6:$L$10,12,FALSE),0))</f>
        <v>2.4002037926855919E-2</v>
      </c>
      <c r="P61" s="362">
        <f t="shared" si="2"/>
        <v>12762605.355903478</v>
      </c>
      <c r="Q61" s="362">
        <f t="shared" si="3"/>
        <v>0</v>
      </c>
      <c r="R61" s="363">
        <f t="shared" si="4"/>
        <v>12762605.355903478</v>
      </c>
      <c r="Y61" s="365"/>
    </row>
    <row r="62" spans="1:25" ht="15" customHeight="1">
      <c r="A62" s="359" t="str">
        <f>'Func Future Lines 2015'!A62</f>
        <v>PPS</v>
      </c>
      <c r="B62" s="359" t="str">
        <f>'Func Future Lines 2015'!B62</f>
        <v>6L05 Dead End180</v>
      </c>
      <c r="C62" s="359">
        <f>'Func Future Lines 2015'!C62</f>
        <v>811</v>
      </c>
      <c r="D62" s="359">
        <f>'Func Future Lines 2015'!D62</f>
        <v>69</v>
      </c>
      <c r="E62" s="359">
        <f>'Func Future Lines 2015'!E62</f>
        <v>0</v>
      </c>
      <c r="F62" s="359" t="str">
        <f>'Func Future Lines 2015'!F62</f>
        <v>central</v>
      </c>
      <c r="G62" s="359">
        <f>'Func Future Lines 2015'!G62</f>
        <v>243484.314248574</v>
      </c>
      <c r="H62" s="359" t="str">
        <f>'Func Future Lines 2015'!H62</f>
        <v>ATCO</v>
      </c>
      <c r="I62" s="359">
        <f>'Func Future Lines 2015'!I62</f>
        <v>2017</v>
      </c>
      <c r="J62" s="361">
        <f>+IF($I62=J$3,VLOOKUP($H62,Depreciation!$A$6:$L$10,7,FALSE)/2,IF($I62&lt;J$3,VLOOKUP($H62,Depreciation!$A$6:$L$10,7,FALSE),0))</f>
        <v>0</v>
      </c>
      <c r="K62" s="361">
        <f>+IF($I62=K$3,VLOOKUP($H62,Depreciation!$A$6:$L$10,8,FALSE)/2,IF($I62&lt;K$3,VLOOKUP($H62,Depreciation!$A$6:$L$10,8,FALSE),0))</f>
        <v>0</v>
      </c>
      <c r="L62" s="361">
        <f>+IF($I62=L$3,VLOOKUP($H62,Depreciation!$A$6:$L$10,9,FALSE)/2,IF($I62&lt;L$3,VLOOKUP($H62,Depreciation!$A$6:$L$10,9,FALSE),0))</f>
        <v>1.2001018963427959E-2</v>
      </c>
      <c r="M62" s="361">
        <f>+IF($I62=M$3,VLOOKUP($H62,Depreciation!$A$6:$L$10,10,FALSE)/2,IF($I62&lt;M$3,VLOOKUP($H62,Depreciation!$A$6:$L$10,10,FALSE),0))</f>
        <v>2.4002037926855919E-2</v>
      </c>
      <c r="N62" s="361">
        <f>+IF($I62=N$3,VLOOKUP($H62,Depreciation!$A$6:$L$10,11,FALSE)/2,IF($I62&lt;N$3,VLOOKUP($H62,Depreciation!$A$6:$L$10,11,FALSE),0))</f>
        <v>2.4002037926855919E-2</v>
      </c>
      <c r="O62" s="361">
        <f>+IF($I62=O$3,VLOOKUP($H62,Depreciation!$A$6:$L$10,12,FALSE)/2,IF($I62&lt;O$3,VLOOKUP($H62,Depreciation!$A$6:$L$10,12,FALSE),0))</f>
        <v>2.4002037926855919E-2</v>
      </c>
      <c r="P62" s="362">
        <f t="shared" si="2"/>
        <v>240562.2543759796</v>
      </c>
      <c r="Q62" s="362">
        <f t="shared" si="3"/>
        <v>0</v>
      </c>
      <c r="R62" s="363">
        <f t="shared" si="4"/>
        <v>240562.2543759796</v>
      </c>
      <c r="Y62" s="365"/>
    </row>
    <row r="63" spans="1:25" ht="15" customHeight="1">
      <c r="A63" s="359" t="str">
        <f>'Func Future Lines 2015'!A63</f>
        <v>PPS</v>
      </c>
      <c r="B63" s="359" t="str">
        <f>'Func Future Lines 2015'!B63</f>
        <v>7L1170</v>
      </c>
      <c r="C63" s="359">
        <f>'Func Future Lines 2015'!C63</f>
        <v>811</v>
      </c>
      <c r="D63" s="359">
        <f>'Func Future Lines 2015'!D63</f>
        <v>144</v>
      </c>
      <c r="E63" s="359">
        <f>'Func Future Lines 2015'!E63</f>
        <v>0</v>
      </c>
      <c r="F63" s="359" t="str">
        <f>'Func Future Lines 2015'!F63</f>
        <v>central</v>
      </c>
      <c r="G63" s="359">
        <f>'Func Future Lines 2015'!G63</f>
        <v>2439411.4217569879</v>
      </c>
      <c r="H63" s="359" t="str">
        <f>'Func Future Lines 2015'!H63</f>
        <v>ATCO</v>
      </c>
      <c r="I63" s="359">
        <f>'Func Future Lines 2015'!I63</f>
        <v>2017</v>
      </c>
      <c r="J63" s="361">
        <f>+IF($I63=J$3,VLOOKUP($H63,Depreciation!$A$6:$L$10,7,FALSE)/2,IF($I63&lt;J$3,VLOOKUP($H63,Depreciation!$A$6:$L$10,7,FALSE),0))</f>
        <v>0</v>
      </c>
      <c r="K63" s="361">
        <f>+IF($I63=K$3,VLOOKUP($H63,Depreciation!$A$6:$L$10,8,FALSE)/2,IF($I63&lt;K$3,VLOOKUP($H63,Depreciation!$A$6:$L$10,8,FALSE),0))</f>
        <v>0</v>
      </c>
      <c r="L63" s="361">
        <f>+IF($I63=L$3,VLOOKUP($H63,Depreciation!$A$6:$L$10,9,FALSE)/2,IF($I63&lt;L$3,VLOOKUP($H63,Depreciation!$A$6:$L$10,9,FALSE),0))</f>
        <v>1.2001018963427959E-2</v>
      </c>
      <c r="M63" s="361">
        <f>+IF($I63=M$3,VLOOKUP($H63,Depreciation!$A$6:$L$10,10,FALSE)/2,IF($I63&lt;M$3,VLOOKUP($H63,Depreciation!$A$6:$L$10,10,FALSE),0))</f>
        <v>2.4002037926855919E-2</v>
      </c>
      <c r="N63" s="361">
        <f>+IF($I63=N$3,VLOOKUP($H63,Depreciation!$A$6:$L$10,11,FALSE)/2,IF($I63&lt;N$3,VLOOKUP($H63,Depreciation!$A$6:$L$10,11,FALSE),0))</f>
        <v>2.4002037926855919E-2</v>
      </c>
      <c r="O63" s="361">
        <f>+IF($I63=O$3,VLOOKUP($H63,Depreciation!$A$6:$L$10,12,FALSE)/2,IF($I63&lt;O$3,VLOOKUP($H63,Depreciation!$A$6:$L$10,12,FALSE),0))</f>
        <v>2.4002037926855919E-2</v>
      </c>
      <c r="P63" s="362">
        <f t="shared" si="2"/>
        <v>2410135.9990248797</v>
      </c>
      <c r="Q63" s="362">
        <f t="shared" si="3"/>
        <v>0</v>
      </c>
      <c r="R63" s="363">
        <f t="shared" si="4"/>
        <v>2410135.9990248797</v>
      </c>
      <c r="Y63" s="365"/>
    </row>
    <row r="64" spans="1:25" ht="15" customHeight="1">
      <c r="A64" s="359" t="str">
        <f>'Func Future Lines 2015'!A64</f>
        <v>PPS</v>
      </c>
      <c r="B64" s="359" t="str">
        <f>'Func Future Lines 2015'!B64</f>
        <v>7L14/7L130180</v>
      </c>
      <c r="C64" s="359">
        <f>'Func Future Lines 2015'!C64</f>
        <v>811</v>
      </c>
      <c r="D64" s="359">
        <f>'Func Future Lines 2015'!D64</f>
        <v>144</v>
      </c>
      <c r="E64" s="359">
        <f>'Func Future Lines 2015'!E64</f>
        <v>0</v>
      </c>
      <c r="F64" s="359" t="str">
        <f>'Func Future Lines 2015'!F64</f>
        <v>central</v>
      </c>
      <c r="G64" s="359">
        <f>'Func Future Lines 2015'!G64</f>
        <v>14367348.961213691</v>
      </c>
      <c r="H64" s="359" t="str">
        <f>'Func Future Lines 2015'!H64</f>
        <v>ATCO</v>
      </c>
      <c r="I64" s="359">
        <f>'Func Future Lines 2015'!I64</f>
        <v>2017</v>
      </c>
      <c r="J64" s="361">
        <f>+IF($I64=J$3,VLOOKUP($H64,Depreciation!$A$6:$L$10,7,FALSE)/2,IF($I64&lt;J$3,VLOOKUP($H64,Depreciation!$A$6:$L$10,7,FALSE),0))</f>
        <v>0</v>
      </c>
      <c r="K64" s="361">
        <f>+IF($I64=K$3,VLOOKUP($H64,Depreciation!$A$6:$L$10,8,FALSE)/2,IF($I64&lt;K$3,VLOOKUP($H64,Depreciation!$A$6:$L$10,8,FALSE),0))</f>
        <v>0</v>
      </c>
      <c r="L64" s="361">
        <f>+IF($I64=L$3,VLOOKUP($H64,Depreciation!$A$6:$L$10,9,FALSE)/2,IF($I64&lt;L$3,VLOOKUP($H64,Depreciation!$A$6:$L$10,9,FALSE),0))</f>
        <v>1.2001018963427959E-2</v>
      </c>
      <c r="M64" s="361">
        <f>+IF($I64=M$3,VLOOKUP($H64,Depreciation!$A$6:$L$10,10,FALSE)/2,IF($I64&lt;M$3,VLOOKUP($H64,Depreciation!$A$6:$L$10,10,FALSE),0))</f>
        <v>2.4002037926855919E-2</v>
      </c>
      <c r="N64" s="361">
        <f>+IF($I64=N$3,VLOOKUP($H64,Depreciation!$A$6:$L$10,11,FALSE)/2,IF($I64&lt;N$3,VLOOKUP($H64,Depreciation!$A$6:$L$10,11,FALSE),0))</f>
        <v>2.4002037926855919E-2</v>
      </c>
      <c r="O64" s="361">
        <f>+IF($I64=O$3,VLOOKUP($H64,Depreciation!$A$6:$L$10,12,FALSE)/2,IF($I64&lt;O$3,VLOOKUP($H64,Depreciation!$A$6:$L$10,12,FALSE),0))</f>
        <v>2.4002037926855919E-2</v>
      </c>
      <c r="P64" s="362">
        <f t="shared" si="2"/>
        <v>14194926.133875979</v>
      </c>
      <c r="Q64" s="362">
        <f t="shared" si="3"/>
        <v>0</v>
      </c>
      <c r="R64" s="363">
        <f t="shared" si="4"/>
        <v>14194926.133875979</v>
      </c>
      <c r="Y64" s="365"/>
    </row>
    <row r="65" spans="1:25" ht="15" customHeight="1">
      <c r="A65" s="359" t="str">
        <f>'Func Future Lines 2015'!A65</f>
        <v>PPS</v>
      </c>
      <c r="B65" s="359" t="str">
        <f>'Func Future Lines 2015'!B65</f>
        <v>7L140</v>
      </c>
      <c r="C65" s="359">
        <f>'Func Future Lines 2015'!C65</f>
        <v>811</v>
      </c>
      <c r="D65" s="359">
        <f>'Func Future Lines 2015'!D65</f>
        <v>144</v>
      </c>
      <c r="E65" s="359">
        <f>'Func Future Lines 2015'!E65</f>
        <v>0</v>
      </c>
      <c r="F65" s="359" t="str">
        <f>'Func Future Lines 2015'!F65</f>
        <v>central</v>
      </c>
      <c r="G65" s="359">
        <f>'Func Future Lines 2015'!G65</f>
        <v>6851824.4335497497</v>
      </c>
      <c r="H65" s="359" t="str">
        <f>'Func Future Lines 2015'!H65</f>
        <v>ATCO</v>
      </c>
      <c r="I65" s="359">
        <f>'Func Future Lines 2015'!I65</f>
        <v>2017</v>
      </c>
      <c r="J65" s="361">
        <f>+IF($I65=J$3,VLOOKUP($H65,Depreciation!$A$6:$L$10,7,FALSE)/2,IF($I65&lt;J$3,VLOOKUP($H65,Depreciation!$A$6:$L$10,7,FALSE),0))</f>
        <v>0</v>
      </c>
      <c r="K65" s="361">
        <f>+IF($I65=K$3,VLOOKUP($H65,Depreciation!$A$6:$L$10,8,FALSE)/2,IF($I65&lt;K$3,VLOOKUP($H65,Depreciation!$A$6:$L$10,8,FALSE),0))</f>
        <v>0</v>
      </c>
      <c r="L65" s="361">
        <f>+IF($I65=L$3,VLOOKUP($H65,Depreciation!$A$6:$L$10,9,FALSE)/2,IF($I65&lt;L$3,VLOOKUP($H65,Depreciation!$A$6:$L$10,9,FALSE),0))</f>
        <v>1.2001018963427959E-2</v>
      </c>
      <c r="M65" s="361">
        <f>+IF($I65=M$3,VLOOKUP($H65,Depreciation!$A$6:$L$10,10,FALSE)/2,IF($I65&lt;M$3,VLOOKUP($H65,Depreciation!$A$6:$L$10,10,FALSE),0))</f>
        <v>2.4002037926855919E-2</v>
      </c>
      <c r="N65" s="361">
        <f>+IF($I65=N$3,VLOOKUP($H65,Depreciation!$A$6:$L$10,11,FALSE)/2,IF($I65&lt;N$3,VLOOKUP($H65,Depreciation!$A$6:$L$10,11,FALSE),0))</f>
        <v>2.4002037926855919E-2</v>
      </c>
      <c r="O65" s="361">
        <f>+IF($I65=O$3,VLOOKUP($H65,Depreciation!$A$6:$L$10,12,FALSE)/2,IF($I65&lt;O$3,VLOOKUP($H65,Depreciation!$A$6:$L$10,12,FALSE),0))</f>
        <v>2.4002037926855919E-2</v>
      </c>
      <c r="P65" s="362">
        <f t="shared" si="2"/>
        <v>6769595.5585886398</v>
      </c>
      <c r="Q65" s="362">
        <f t="shared" si="3"/>
        <v>0</v>
      </c>
      <c r="R65" s="363">
        <f t="shared" si="4"/>
        <v>6769595.5585886398</v>
      </c>
      <c r="Y65" s="365"/>
    </row>
    <row r="66" spans="1:25" ht="15" customHeight="1">
      <c r="A66" s="359" t="str">
        <f>'Func Future Lines 2015'!A66</f>
        <v>PPS</v>
      </c>
      <c r="B66" s="359" t="str">
        <f>'Func Future Lines 2015'!B66</f>
        <v>7L157(180)</v>
      </c>
      <c r="C66" s="359">
        <f>'Func Future Lines 2015'!C66</f>
        <v>811</v>
      </c>
      <c r="D66" s="359">
        <f>'Func Future Lines 2015'!D66</f>
        <v>144</v>
      </c>
      <c r="E66" s="359">
        <f>'Func Future Lines 2015'!E66</f>
        <v>0</v>
      </c>
      <c r="F66" s="359" t="str">
        <f>'Func Future Lines 2015'!F66</f>
        <v>central</v>
      </c>
      <c r="G66" s="359">
        <f>'Func Future Lines 2015'!G66</f>
        <v>918753.56140999962</v>
      </c>
      <c r="H66" s="359" t="str">
        <f>'Func Future Lines 2015'!H66</f>
        <v>ATCO</v>
      </c>
      <c r="I66" s="359">
        <f>'Func Future Lines 2015'!I66</f>
        <v>2017</v>
      </c>
      <c r="J66" s="361">
        <f>+IF($I66=J$3,VLOOKUP($H66,Depreciation!$A$6:$L$10,7,FALSE)/2,IF($I66&lt;J$3,VLOOKUP($H66,Depreciation!$A$6:$L$10,7,FALSE),0))</f>
        <v>0</v>
      </c>
      <c r="K66" s="361">
        <f>+IF($I66=K$3,VLOOKUP($H66,Depreciation!$A$6:$L$10,8,FALSE)/2,IF($I66&lt;K$3,VLOOKUP($H66,Depreciation!$A$6:$L$10,8,FALSE),0))</f>
        <v>0</v>
      </c>
      <c r="L66" s="361">
        <f>+IF($I66=L$3,VLOOKUP($H66,Depreciation!$A$6:$L$10,9,FALSE)/2,IF($I66&lt;L$3,VLOOKUP($H66,Depreciation!$A$6:$L$10,9,FALSE),0))</f>
        <v>1.2001018963427959E-2</v>
      </c>
      <c r="M66" s="361">
        <f>+IF($I66=M$3,VLOOKUP($H66,Depreciation!$A$6:$L$10,10,FALSE)/2,IF($I66&lt;M$3,VLOOKUP($H66,Depreciation!$A$6:$L$10,10,FALSE),0))</f>
        <v>2.4002037926855919E-2</v>
      </c>
      <c r="N66" s="361">
        <f>+IF($I66=N$3,VLOOKUP($H66,Depreciation!$A$6:$L$10,11,FALSE)/2,IF($I66&lt;N$3,VLOOKUP($H66,Depreciation!$A$6:$L$10,11,FALSE),0))</f>
        <v>2.4002037926855919E-2</v>
      </c>
      <c r="O66" s="361">
        <f>+IF($I66=O$3,VLOOKUP($H66,Depreciation!$A$6:$L$10,12,FALSE)/2,IF($I66&lt;O$3,VLOOKUP($H66,Depreciation!$A$6:$L$10,12,FALSE),0))</f>
        <v>2.4002037926855919E-2</v>
      </c>
      <c r="P66" s="362">
        <f t="shared" si="2"/>
        <v>907727.58249680127</v>
      </c>
      <c r="Q66" s="362">
        <f t="shared" si="3"/>
        <v>0</v>
      </c>
      <c r="R66" s="363">
        <f t="shared" si="4"/>
        <v>907727.58249680127</v>
      </c>
      <c r="Y66" s="365"/>
    </row>
    <row r="67" spans="1:25" ht="15" customHeight="1">
      <c r="A67" s="359" t="str">
        <f>'Func Future Lines 2015'!A67</f>
        <v>PPS</v>
      </c>
      <c r="B67" s="359" t="str">
        <f>'Func Future Lines 2015'!B67</f>
        <v>7L160(180)</v>
      </c>
      <c r="C67" s="359">
        <f>'Func Future Lines 2015'!C67</f>
        <v>811</v>
      </c>
      <c r="D67" s="359">
        <f>'Func Future Lines 2015'!D67</f>
        <v>144</v>
      </c>
      <c r="E67" s="359">
        <f>'Func Future Lines 2015'!E67</f>
        <v>0</v>
      </c>
      <c r="F67" s="359" t="str">
        <f>'Func Future Lines 2015'!F67</f>
        <v>central</v>
      </c>
      <c r="G67" s="359">
        <f>'Func Future Lines 2015'!G67</f>
        <v>956623.00131934194</v>
      </c>
      <c r="H67" s="359" t="str">
        <f>'Func Future Lines 2015'!H67</f>
        <v>ATCO</v>
      </c>
      <c r="I67" s="359">
        <f>'Func Future Lines 2015'!I67</f>
        <v>2017</v>
      </c>
      <c r="J67" s="361">
        <f>+IF($I67=J$3,VLOOKUP($H67,Depreciation!$A$6:$L$10,7,FALSE)/2,IF($I67&lt;J$3,VLOOKUP($H67,Depreciation!$A$6:$L$10,7,FALSE),0))</f>
        <v>0</v>
      </c>
      <c r="K67" s="361">
        <f>+IF($I67=K$3,VLOOKUP($H67,Depreciation!$A$6:$L$10,8,FALSE)/2,IF($I67&lt;K$3,VLOOKUP($H67,Depreciation!$A$6:$L$10,8,FALSE),0))</f>
        <v>0</v>
      </c>
      <c r="L67" s="361">
        <f>+IF($I67=L$3,VLOOKUP($H67,Depreciation!$A$6:$L$10,9,FALSE)/2,IF($I67&lt;L$3,VLOOKUP($H67,Depreciation!$A$6:$L$10,9,FALSE),0))</f>
        <v>1.2001018963427959E-2</v>
      </c>
      <c r="M67" s="361">
        <f>+IF($I67=M$3,VLOOKUP($H67,Depreciation!$A$6:$L$10,10,FALSE)/2,IF($I67&lt;M$3,VLOOKUP($H67,Depreciation!$A$6:$L$10,10,FALSE),0))</f>
        <v>2.4002037926855919E-2</v>
      </c>
      <c r="N67" s="361">
        <f>+IF($I67=N$3,VLOOKUP($H67,Depreciation!$A$6:$L$10,11,FALSE)/2,IF($I67&lt;N$3,VLOOKUP($H67,Depreciation!$A$6:$L$10,11,FALSE),0))</f>
        <v>2.4002037926855919E-2</v>
      </c>
      <c r="O67" s="361">
        <f>+IF($I67=O$3,VLOOKUP($H67,Depreciation!$A$6:$L$10,12,FALSE)/2,IF($I67&lt;O$3,VLOOKUP($H67,Depreciation!$A$6:$L$10,12,FALSE),0))</f>
        <v>2.4002037926855919E-2</v>
      </c>
      <c r="P67" s="362">
        <f t="shared" si="2"/>
        <v>945142.55053965712</v>
      </c>
      <c r="Q67" s="362">
        <f t="shared" si="3"/>
        <v>0</v>
      </c>
      <c r="R67" s="363">
        <f t="shared" si="4"/>
        <v>945142.55053965712</v>
      </c>
      <c r="Y67" s="365"/>
    </row>
    <row r="68" spans="1:25" ht="15" customHeight="1">
      <c r="A68" s="359" t="str">
        <f>'Func Future Lines 2015'!A68</f>
        <v>PPS</v>
      </c>
      <c r="B68" s="359" t="str">
        <f>'Func Future Lines 2015'!B68</f>
        <v>7L530</v>
      </c>
      <c r="C68" s="359">
        <f>'Func Future Lines 2015'!C68</f>
        <v>811</v>
      </c>
      <c r="D68" s="359">
        <f>'Func Future Lines 2015'!D68</f>
        <v>144</v>
      </c>
      <c r="E68" s="359">
        <f>'Func Future Lines 2015'!E68</f>
        <v>0</v>
      </c>
      <c r="F68" s="359" t="str">
        <f>'Func Future Lines 2015'!F68</f>
        <v>central</v>
      </c>
      <c r="G68" s="359">
        <f>'Func Future Lines 2015'!G68</f>
        <v>2787898.7677222718</v>
      </c>
      <c r="H68" s="359" t="str">
        <f>'Func Future Lines 2015'!H68</f>
        <v>ATCO</v>
      </c>
      <c r="I68" s="359">
        <f>'Func Future Lines 2015'!I68</f>
        <v>2017</v>
      </c>
      <c r="J68" s="361">
        <f>+IF($I68=J$3,VLOOKUP($H68,Depreciation!$A$6:$L$10,7,FALSE)/2,IF($I68&lt;J$3,VLOOKUP($H68,Depreciation!$A$6:$L$10,7,FALSE),0))</f>
        <v>0</v>
      </c>
      <c r="K68" s="361">
        <f>+IF($I68=K$3,VLOOKUP($H68,Depreciation!$A$6:$L$10,8,FALSE)/2,IF($I68&lt;K$3,VLOOKUP($H68,Depreciation!$A$6:$L$10,8,FALSE),0))</f>
        <v>0</v>
      </c>
      <c r="L68" s="361">
        <f>+IF($I68=L$3,VLOOKUP($H68,Depreciation!$A$6:$L$10,9,FALSE)/2,IF($I68&lt;L$3,VLOOKUP($H68,Depreciation!$A$6:$L$10,9,FALSE),0))</f>
        <v>1.2001018963427959E-2</v>
      </c>
      <c r="M68" s="361">
        <f>+IF($I68=M$3,VLOOKUP($H68,Depreciation!$A$6:$L$10,10,FALSE)/2,IF($I68&lt;M$3,VLOOKUP($H68,Depreciation!$A$6:$L$10,10,FALSE),0))</f>
        <v>2.4002037926855919E-2</v>
      </c>
      <c r="N68" s="361">
        <f>+IF($I68=N$3,VLOOKUP($H68,Depreciation!$A$6:$L$10,11,FALSE)/2,IF($I68&lt;N$3,VLOOKUP($H68,Depreciation!$A$6:$L$10,11,FALSE),0))</f>
        <v>2.4002037926855919E-2</v>
      </c>
      <c r="O68" s="361">
        <f>+IF($I68=O$3,VLOOKUP($H68,Depreciation!$A$6:$L$10,12,FALSE)/2,IF($I68&lt;O$3,VLOOKUP($H68,Depreciation!$A$6:$L$10,12,FALSE),0))</f>
        <v>2.4002037926855919E-2</v>
      </c>
      <c r="P68" s="362">
        <f t="shared" si="2"/>
        <v>2754441.1417427193</v>
      </c>
      <c r="Q68" s="362">
        <f t="shared" si="3"/>
        <v>0</v>
      </c>
      <c r="R68" s="363">
        <f t="shared" si="4"/>
        <v>2754441.1417427193</v>
      </c>
      <c r="Y68" s="365"/>
    </row>
    <row r="69" spans="1:25" ht="15" customHeight="1">
      <c r="A69" s="359" t="str">
        <f>'Func Future Lines 2015'!A69</f>
        <v>PPS</v>
      </c>
      <c r="B69" s="359" t="str">
        <f>'Func Future Lines 2015'!B69</f>
        <v>7L7010</v>
      </c>
      <c r="C69" s="359">
        <f>'Func Future Lines 2015'!C69</f>
        <v>811</v>
      </c>
      <c r="D69" s="359">
        <f>'Func Future Lines 2015'!D69</f>
        <v>144</v>
      </c>
      <c r="E69" s="359">
        <f>'Func Future Lines 2015'!E69</f>
        <v>0</v>
      </c>
      <c r="F69" s="359" t="str">
        <f>'Func Future Lines 2015'!F69</f>
        <v>central</v>
      </c>
      <c r="G69" s="359">
        <f>'Func Future Lines 2015'!G69</f>
        <v>1203865.376970981</v>
      </c>
      <c r="H69" s="359" t="str">
        <f>'Func Future Lines 2015'!H69</f>
        <v>ATCO</v>
      </c>
      <c r="I69" s="359">
        <f>'Func Future Lines 2015'!I69</f>
        <v>2017</v>
      </c>
      <c r="J69" s="361">
        <f>+IF($I69=J$3,VLOOKUP($H69,Depreciation!$A$6:$L$10,7,FALSE)/2,IF($I69&lt;J$3,VLOOKUP($H69,Depreciation!$A$6:$L$10,7,FALSE),0))</f>
        <v>0</v>
      </c>
      <c r="K69" s="361">
        <f>+IF($I69=K$3,VLOOKUP($H69,Depreciation!$A$6:$L$10,8,FALSE)/2,IF($I69&lt;K$3,VLOOKUP($H69,Depreciation!$A$6:$L$10,8,FALSE),0))</f>
        <v>0</v>
      </c>
      <c r="L69" s="361">
        <f>+IF($I69=L$3,VLOOKUP($H69,Depreciation!$A$6:$L$10,9,FALSE)/2,IF($I69&lt;L$3,VLOOKUP($H69,Depreciation!$A$6:$L$10,9,FALSE),0))</f>
        <v>1.2001018963427959E-2</v>
      </c>
      <c r="M69" s="361">
        <f>+IF($I69=M$3,VLOOKUP($H69,Depreciation!$A$6:$L$10,10,FALSE)/2,IF($I69&lt;M$3,VLOOKUP($H69,Depreciation!$A$6:$L$10,10,FALSE),0))</f>
        <v>2.4002037926855919E-2</v>
      </c>
      <c r="N69" s="361">
        <f>+IF($I69=N$3,VLOOKUP($H69,Depreciation!$A$6:$L$10,11,FALSE)/2,IF($I69&lt;N$3,VLOOKUP($H69,Depreciation!$A$6:$L$10,11,FALSE),0))</f>
        <v>2.4002037926855919E-2</v>
      </c>
      <c r="O69" s="361">
        <f>+IF($I69=O$3,VLOOKUP($H69,Depreciation!$A$6:$L$10,12,FALSE)/2,IF($I69&lt;O$3,VLOOKUP($H69,Depreciation!$A$6:$L$10,12,FALSE),0))</f>
        <v>2.4002037926855919E-2</v>
      </c>
      <c r="P69" s="362">
        <f t="shared" ref="P69:P132" si="5">IF(I69&lt;=2017,G69*(1-J69)*(1-K69)*(1-L69),0)</f>
        <v>1189417.7657525379</v>
      </c>
      <c r="Q69" s="362">
        <f t="shared" ref="Q69:Q132" si="6">IF(D69&gt;=240,P69,0)</f>
        <v>0</v>
      </c>
      <c r="R69" s="363">
        <f t="shared" ref="R69:R132" si="7">IF(AND(D69&gt;25,D69&lt;240),P69,0)</f>
        <v>1189417.7657525379</v>
      </c>
      <c r="Y69" s="365"/>
    </row>
    <row r="70" spans="1:25" ht="15" customHeight="1">
      <c r="A70" s="359" t="str">
        <f>'Func Future Lines 2015'!A70</f>
        <v>PPS</v>
      </c>
      <c r="B70" s="359" t="str">
        <f>'Func Future Lines 2015'!B70</f>
        <v>7L74(180)</v>
      </c>
      <c r="C70" s="359">
        <f>'Func Future Lines 2015'!C70</f>
        <v>811</v>
      </c>
      <c r="D70" s="359">
        <f>'Func Future Lines 2015'!D70</f>
        <v>144</v>
      </c>
      <c r="E70" s="359">
        <f>'Func Future Lines 2015'!E70</f>
        <v>0</v>
      </c>
      <c r="F70" s="359" t="str">
        <f>'Func Future Lines 2015'!F70</f>
        <v>central</v>
      </c>
      <c r="G70" s="359">
        <f>'Func Future Lines 2015'!G70</f>
        <v>17920449.216898397</v>
      </c>
      <c r="H70" s="359" t="str">
        <f>'Func Future Lines 2015'!H70</f>
        <v>ATCO</v>
      </c>
      <c r="I70" s="359">
        <f>'Func Future Lines 2015'!I70</f>
        <v>2017</v>
      </c>
      <c r="J70" s="361">
        <f>+IF($I70=J$3,VLOOKUP($H70,Depreciation!$A$6:$L$10,7,FALSE)/2,IF($I70&lt;J$3,VLOOKUP($H70,Depreciation!$A$6:$L$10,7,FALSE),0))</f>
        <v>0</v>
      </c>
      <c r="K70" s="361">
        <f>+IF($I70=K$3,VLOOKUP($H70,Depreciation!$A$6:$L$10,8,FALSE)/2,IF($I70&lt;K$3,VLOOKUP($H70,Depreciation!$A$6:$L$10,8,FALSE),0))</f>
        <v>0</v>
      </c>
      <c r="L70" s="361">
        <f>+IF($I70=L$3,VLOOKUP($H70,Depreciation!$A$6:$L$10,9,FALSE)/2,IF($I70&lt;L$3,VLOOKUP($H70,Depreciation!$A$6:$L$10,9,FALSE),0))</f>
        <v>1.2001018963427959E-2</v>
      </c>
      <c r="M70" s="361">
        <f>+IF($I70=M$3,VLOOKUP($H70,Depreciation!$A$6:$L$10,10,FALSE)/2,IF($I70&lt;M$3,VLOOKUP($H70,Depreciation!$A$6:$L$10,10,FALSE),0))</f>
        <v>2.4002037926855919E-2</v>
      </c>
      <c r="N70" s="361">
        <f>+IF($I70=N$3,VLOOKUP($H70,Depreciation!$A$6:$L$10,11,FALSE)/2,IF($I70&lt;N$3,VLOOKUP($H70,Depreciation!$A$6:$L$10,11,FALSE),0))</f>
        <v>2.4002037926855919E-2</v>
      </c>
      <c r="O70" s="361">
        <f>+IF($I70=O$3,VLOOKUP($H70,Depreciation!$A$6:$L$10,12,FALSE)/2,IF($I70&lt;O$3,VLOOKUP($H70,Depreciation!$A$6:$L$10,12,FALSE),0))</f>
        <v>2.4002037926855919E-2</v>
      </c>
      <c r="P70" s="362">
        <f t="shared" si="5"/>
        <v>17705385.56601325</v>
      </c>
      <c r="Q70" s="362">
        <f t="shared" si="6"/>
        <v>0</v>
      </c>
      <c r="R70" s="363">
        <f t="shared" si="7"/>
        <v>17705385.56601325</v>
      </c>
      <c r="Y70" s="365"/>
    </row>
    <row r="71" spans="1:25" ht="15" customHeight="1">
      <c r="A71" s="359" t="str">
        <f>'Func Future Lines 2015'!A71</f>
        <v>PPS</v>
      </c>
      <c r="B71" s="359" t="str">
        <f>'Func Future Lines 2015'!B71</f>
        <v>7L7491</v>
      </c>
      <c r="C71" s="359">
        <f>'Func Future Lines 2015'!C71</f>
        <v>811</v>
      </c>
      <c r="D71" s="359">
        <f>'Func Future Lines 2015'!D71</f>
        <v>144</v>
      </c>
      <c r="E71" s="359">
        <f>'Func Future Lines 2015'!E71</f>
        <v>0</v>
      </c>
      <c r="F71" s="359" t="str">
        <f>'Func Future Lines 2015'!F71</f>
        <v>central</v>
      </c>
      <c r="G71" s="359">
        <f>'Func Future Lines 2015'!G71</f>
        <v>34200999.99999997</v>
      </c>
      <c r="H71" s="359" t="str">
        <f>'Func Future Lines 2015'!H71</f>
        <v>ATCO</v>
      </c>
      <c r="I71" s="359">
        <f>'Func Future Lines 2015'!I71</f>
        <v>2017</v>
      </c>
      <c r="J71" s="361">
        <f>+IF($I71=J$3,VLOOKUP($H71,Depreciation!$A$6:$L$10,7,FALSE)/2,IF($I71&lt;J$3,VLOOKUP($H71,Depreciation!$A$6:$L$10,7,FALSE),0))</f>
        <v>0</v>
      </c>
      <c r="K71" s="361">
        <f>+IF($I71=K$3,VLOOKUP($H71,Depreciation!$A$6:$L$10,8,FALSE)/2,IF($I71&lt;K$3,VLOOKUP($H71,Depreciation!$A$6:$L$10,8,FALSE),0))</f>
        <v>0</v>
      </c>
      <c r="L71" s="361">
        <f>+IF($I71=L$3,VLOOKUP($H71,Depreciation!$A$6:$L$10,9,FALSE)/2,IF($I71&lt;L$3,VLOOKUP($H71,Depreciation!$A$6:$L$10,9,FALSE),0))</f>
        <v>1.2001018963427959E-2</v>
      </c>
      <c r="M71" s="361">
        <f>+IF($I71=M$3,VLOOKUP($H71,Depreciation!$A$6:$L$10,10,FALSE)/2,IF($I71&lt;M$3,VLOOKUP($H71,Depreciation!$A$6:$L$10,10,FALSE),0))</f>
        <v>2.4002037926855919E-2</v>
      </c>
      <c r="N71" s="361">
        <f>+IF($I71=N$3,VLOOKUP($H71,Depreciation!$A$6:$L$10,11,FALSE)/2,IF($I71&lt;N$3,VLOOKUP($H71,Depreciation!$A$6:$L$10,11,FALSE),0))</f>
        <v>2.4002037926855919E-2</v>
      </c>
      <c r="O71" s="361">
        <f>+IF($I71=O$3,VLOOKUP($H71,Depreciation!$A$6:$L$10,12,FALSE)/2,IF($I71&lt;O$3,VLOOKUP($H71,Depreciation!$A$6:$L$10,12,FALSE),0))</f>
        <v>2.4002037926855919E-2</v>
      </c>
      <c r="P71" s="362">
        <f t="shared" si="5"/>
        <v>33790553.150431767</v>
      </c>
      <c r="Q71" s="362">
        <f t="shared" si="6"/>
        <v>0</v>
      </c>
      <c r="R71" s="363">
        <f t="shared" si="7"/>
        <v>33790553.150431767</v>
      </c>
      <c r="Y71" s="365"/>
    </row>
    <row r="72" spans="1:25" ht="15" customHeight="1">
      <c r="A72" s="359" t="str">
        <f>'Func Future Lines 2015'!A72</f>
        <v>PPS</v>
      </c>
      <c r="B72" s="359" t="str">
        <f>'Func Future Lines 2015'!B72</f>
        <v>7L83(180)</v>
      </c>
      <c r="C72" s="359">
        <f>'Func Future Lines 2015'!C72</f>
        <v>811</v>
      </c>
      <c r="D72" s="359">
        <f>'Func Future Lines 2015'!D72</f>
        <v>144</v>
      </c>
      <c r="E72" s="359">
        <f>'Func Future Lines 2015'!E72</f>
        <v>0</v>
      </c>
      <c r="F72" s="359" t="str">
        <f>'Func Future Lines 2015'!F72</f>
        <v>central</v>
      </c>
      <c r="G72" s="359">
        <f>'Func Future Lines 2015'!G72</f>
        <v>7546228.6782723581</v>
      </c>
      <c r="H72" s="359" t="str">
        <f>'Func Future Lines 2015'!H72</f>
        <v>ATCO</v>
      </c>
      <c r="I72" s="359">
        <f>'Func Future Lines 2015'!I72</f>
        <v>2017</v>
      </c>
      <c r="J72" s="361">
        <f>+IF($I72=J$3,VLOOKUP($H72,Depreciation!$A$6:$L$10,7,FALSE)/2,IF($I72&lt;J$3,VLOOKUP($H72,Depreciation!$A$6:$L$10,7,FALSE),0))</f>
        <v>0</v>
      </c>
      <c r="K72" s="361">
        <f>+IF($I72=K$3,VLOOKUP($H72,Depreciation!$A$6:$L$10,8,FALSE)/2,IF($I72&lt;K$3,VLOOKUP($H72,Depreciation!$A$6:$L$10,8,FALSE),0))</f>
        <v>0</v>
      </c>
      <c r="L72" s="361">
        <f>+IF($I72=L$3,VLOOKUP($H72,Depreciation!$A$6:$L$10,9,FALSE)/2,IF($I72&lt;L$3,VLOOKUP($H72,Depreciation!$A$6:$L$10,9,FALSE),0))</f>
        <v>1.2001018963427959E-2</v>
      </c>
      <c r="M72" s="361">
        <f>+IF($I72=M$3,VLOOKUP($H72,Depreciation!$A$6:$L$10,10,FALSE)/2,IF($I72&lt;M$3,VLOOKUP($H72,Depreciation!$A$6:$L$10,10,FALSE),0))</f>
        <v>2.4002037926855919E-2</v>
      </c>
      <c r="N72" s="361">
        <f>+IF($I72=N$3,VLOOKUP($H72,Depreciation!$A$6:$L$10,11,FALSE)/2,IF($I72&lt;N$3,VLOOKUP($H72,Depreciation!$A$6:$L$10,11,FALSE),0))</f>
        <v>2.4002037926855919E-2</v>
      </c>
      <c r="O72" s="361">
        <f>+IF($I72=O$3,VLOOKUP($H72,Depreciation!$A$6:$L$10,12,FALSE)/2,IF($I72&lt;O$3,VLOOKUP($H72,Depreciation!$A$6:$L$10,12,FALSE),0))</f>
        <v>2.4002037926855919E-2</v>
      </c>
      <c r="P72" s="362">
        <f t="shared" si="5"/>
        <v>7455666.2448020475</v>
      </c>
      <c r="Q72" s="362">
        <f t="shared" si="6"/>
        <v>0</v>
      </c>
      <c r="R72" s="363">
        <f t="shared" si="7"/>
        <v>7455666.2448020475</v>
      </c>
      <c r="Y72" s="365"/>
    </row>
    <row r="73" spans="1:25" ht="15" customHeight="1">
      <c r="A73" s="359" t="str">
        <f>'Func Future Lines 2015'!A73</f>
        <v>PPS</v>
      </c>
      <c r="B73" s="359" t="str">
        <f>'Func Future Lines 2015'!B73</f>
        <v>7L87(180)</v>
      </c>
      <c r="C73" s="359">
        <f>'Func Future Lines 2015'!C73</f>
        <v>811</v>
      </c>
      <c r="D73" s="359">
        <f>'Func Future Lines 2015'!D73</f>
        <v>144</v>
      </c>
      <c r="E73" s="359">
        <f>'Func Future Lines 2015'!E73</f>
        <v>0</v>
      </c>
      <c r="F73" s="359" t="str">
        <f>'Func Future Lines 2015'!F73</f>
        <v>central</v>
      </c>
      <c r="G73" s="359">
        <f>'Func Future Lines 2015'!G73</f>
        <v>12282104.825654209</v>
      </c>
      <c r="H73" s="359" t="str">
        <f>'Func Future Lines 2015'!H73</f>
        <v>ATCO</v>
      </c>
      <c r="I73" s="359">
        <f>'Func Future Lines 2015'!I73</f>
        <v>2017</v>
      </c>
      <c r="J73" s="361">
        <f>+IF($I73=J$3,VLOOKUP($H73,Depreciation!$A$6:$L$10,7,FALSE)/2,IF($I73&lt;J$3,VLOOKUP($H73,Depreciation!$A$6:$L$10,7,FALSE),0))</f>
        <v>0</v>
      </c>
      <c r="K73" s="361">
        <f>+IF($I73=K$3,VLOOKUP($H73,Depreciation!$A$6:$L$10,8,FALSE)/2,IF($I73&lt;K$3,VLOOKUP($H73,Depreciation!$A$6:$L$10,8,FALSE),0))</f>
        <v>0</v>
      </c>
      <c r="L73" s="361">
        <f>+IF($I73=L$3,VLOOKUP($H73,Depreciation!$A$6:$L$10,9,FALSE)/2,IF($I73&lt;L$3,VLOOKUP($H73,Depreciation!$A$6:$L$10,9,FALSE),0))</f>
        <v>1.2001018963427959E-2</v>
      </c>
      <c r="M73" s="361">
        <f>+IF($I73=M$3,VLOOKUP($H73,Depreciation!$A$6:$L$10,10,FALSE)/2,IF($I73&lt;M$3,VLOOKUP($H73,Depreciation!$A$6:$L$10,10,FALSE),0))</f>
        <v>2.4002037926855919E-2</v>
      </c>
      <c r="N73" s="361">
        <f>+IF($I73=N$3,VLOOKUP($H73,Depreciation!$A$6:$L$10,11,FALSE)/2,IF($I73&lt;N$3,VLOOKUP($H73,Depreciation!$A$6:$L$10,11,FALSE),0))</f>
        <v>2.4002037926855919E-2</v>
      </c>
      <c r="O73" s="361">
        <f>+IF($I73=O$3,VLOOKUP($H73,Depreciation!$A$6:$L$10,12,FALSE)/2,IF($I73&lt;O$3,VLOOKUP($H73,Depreciation!$A$6:$L$10,12,FALSE),0))</f>
        <v>2.4002037926855919E-2</v>
      </c>
      <c r="P73" s="362">
        <f t="shared" si="5"/>
        <v>12134707.052730722</v>
      </c>
      <c r="Q73" s="362">
        <f t="shared" si="6"/>
        <v>0</v>
      </c>
      <c r="R73" s="363">
        <f t="shared" si="7"/>
        <v>12134707.052730722</v>
      </c>
      <c r="Y73" s="365"/>
    </row>
    <row r="74" spans="1:25" ht="15" customHeight="1">
      <c r="A74" s="359" t="str">
        <f>'Func Future Lines 2015'!A74</f>
        <v>PPS</v>
      </c>
      <c r="B74" s="359" t="str">
        <f>'Func Future Lines 2015'!B74</f>
        <v>7LA701180</v>
      </c>
      <c r="C74" s="359">
        <f>'Func Future Lines 2015'!C74</f>
        <v>811</v>
      </c>
      <c r="D74" s="359">
        <f>'Func Future Lines 2015'!D74</f>
        <v>144</v>
      </c>
      <c r="E74" s="359">
        <f>'Func Future Lines 2015'!E74</f>
        <v>0</v>
      </c>
      <c r="F74" s="359" t="str">
        <f>'Func Future Lines 2015'!F74</f>
        <v>central</v>
      </c>
      <c r="G74" s="359">
        <f>'Func Future Lines 2015'!G74</f>
        <v>3334547.5681531723</v>
      </c>
      <c r="H74" s="359" t="str">
        <f>'Func Future Lines 2015'!H74</f>
        <v>ATCO</v>
      </c>
      <c r="I74" s="359">
        <f>'Func Future Lines 2015'!I74</f>
        <v>2017</v>
      </c>
      <c r="J74" s="361">
        <f>+IF($I74=J$3,VLOOKUP($H74,Depreciation!$A$6:$L$10,7,FALSE)/2,IF($I74&lt;J$3,VLOOKUP($H74,Depreciation!$A$6:$L$10,7,FALSE),0))</f>
        <v>0</v>
      </c>
      <c r="K74" s="361">
        <f>+IF($I74=K$3,VLOOKUP($H74,Depreciation!$A$6:$L$10,8,FALSE)/2,IF($I74&lt;K$3,VLOOKUP($H74,Depreciation!$A$6:$L$10,8,FALSE),0))</f>
        <v>0</v>
      </c>
      <c r="L74" s="361">
        <f>+IF($I74=L$3,VLOOKUP($H74,Depreciation!$A$6:$L$10,9,FALSE)/2,IF($I74&lt;L$3,VLOOKUP($H74,Depreciation!$A$6:$L$10,9,FALSE),0))</f>
        <v>1.2001018963427959E-2</v>
      </c>
      <c r="M74" s="361">
        <f>+IF($I74=M$3,VLOOKUP($H74,Depreciation!$A$6:$L$10,10,FALSE)/2,IF($I74&lt;M$3,VLOOKUP($H74,Depreciation!$A$6:$L$10,10,FALSE),0))</f>
        <v>2.4002037926855919E-2</v>
      </c>
      <c r="N74" s="361">
        <f>+IF($I74=N$3,VLOOKUP($H74,Depreciation!$A$6:$L$10,11,FALSE)/2,IF($I74&lt;N$3,VLOOKUP($H74,Depreciation!$A$6:$L$10,11,FALSE),0))</f>
        <v>2.4002037926855919E-2</v>
      </c>
      <c r="O74" s="361">
        <f>+IF($I74=O$3,VLOOKUP($H74,Depreciation!$A$6:$L$10,12,FALSE)/2,IF($I74&lt;O$3,VLOOKUP($H74,Depreciation!$A$6:$L$10,12,FALSE),0))</f>
        <v>2.4002037926855919E-2</v>
      </c>
      <c r="P74" s="362">
        <f t="shared" si="5"/>
        <v>3294529.5995533136</v>
      </c>
      <c r="Q74" s="362">
        <f t="shared" si="6"/>
        <v>0</v>
      </c>
      <c r="R74" s="363">
        <f t="shared" si="7"/>
        <v>3294529.5995533136</v>
      </c>
      <c r="Y74" s="365"/>
    </row>
    <row r="75" spans="1:25" ht="15" customHeight="1">
      <c r="A75" s="359" t="str">
        <f>'Func Future Lines 2015'!A75</f>
        <v>PPS</v>
      </c>
      <c r="B75" s="359" t="str">
        <f>'Func Future Lines 2015'!B75</f>
        <v>unknown line St.Paul</v>
      </c>
      <c r="C75" s="359">
        <f>'Func Future Lines 2015'!C75</f>
        <v>811</v>
      </c>
      <c r="D75" s="359">
        <f>'Func Future Lines 2015'!D75</f>
        <v>0</v>
      </c>
      <c r="E75" s="359">
        <f>'Func Future Lines 2015'!E75</f>
        <v>0</v>
      </c>
      <c r="F75" s="359" t="str">
        <f>'Func Future Lines 2015'!F75</f>
        <v>central</v>
      </c>
      <c r="G75" s="359">
        <f>'Func Future Lines 2015'!G75</f>
        <v>45416104.026721418</v>
      </c>
      <c r="H75" s="359" t="str">
        <f>'Func Future Lines 2015'!H75</f>
        <v>ATCO</v>
      </c>
      <c r="I75" s="359">
        <f>'Func Future Lines 2015'!I75</f>
        <v>2017</v>
      </c>
      <c r="J75" s="361">
        <f>+IF($I75=J$3,VLOOKUP($H75,Depreciation!$A$6:$L$10,7,FALSE)/2,IF($I75&lt;J$3,VLOOKUP($H75,Depreciation!$A$6:$L$10,7,FALSE),0))</f>
        <v>0</v>
      </c>
      <c r="K75" s="361">
        <f>+IF($I75=K$3,VLOOKUP($H75,Depreciation!$A$6:$L$10,8,FALSE)/2,IF($I75&lt;K$3,VLOOKUP($H75,Depreciation!$A$6:$L$10,8,FALSE),0))</f>
        <v>0</v>
      </c>
      <c r="L75" s="361">
        <f>+IF($I75=L$3,VLOOKUP($H75,Depreciation!$A$6:$L$10,9,FALSE)/2,IF($I75&lt;L$3,VLOOKUP($H75,Depreciation!$A$6:$L$10,9,FALSE),0))</f>
        <v>1.2001018963427959E-2</v>
      </c>
      <c r="M75" s="361">
        <f>+IF($I75=M$3,VLOOKUP($H75,Depreciation!$A$6:$L$10,10,FALSE)/2,IF($I75&lt;M$3,VLOOKUP($H75,Depreciation!$A$6:$L$10,10,FALSE),0))</f>
        <v>2.4002037926855919E-2</v>
      </c>
      <c r="N75" s="361">
        <f>+IF($I75=N$3,VLOOKUP($H75,Depreciation!$A$6:$L$10,11,FALSE)/2,IF($I75&lt;N$3,VLOOKUP($H75,Depreciation!$A$6:$L$10,11,FALSE),0))</f>
        <v>2.4002037926855919E-2</v>
      </c>
      <c r="O75" s="361">
        <f>+IF($I75=O$3,VLOOKUP($H75,Depreciation!$A$6:$L$10,12,FALSE)/2,IF($I75&lt;O$3,VLOOKUP($H75,Depreciation!$A$6:$L$10,12,FALSE),0))</f>
        <v>2.4002037926855919E-2</v>
      </c>
      <c r="P75" s="362">
        <f t="shared" si="5"/>
        <v>44871064.501051717</v>
      </c>
      <c r="Q75" s="362">
        <f t="shared" si="6"/>
        <v>0</v>
      </c>
      <c r="R75" s="363">
        <f t="shared" si="7"/>
        <v>0</v>
      </c>
      <c r="Y75" s="365"/>
    </row>
    <row r="76" spans="1:25" ht="15" customHeight="1">
      <c r="A76" s="359" t="str">
        <f>'Func Future Lines 2015'!A76</f>
        <v>PPS</v>
      </c>
      <c r="B76" s="359" t="str">
        <f>'Func Future Lines 2015'!B76</f>
        <v>166L</v>
      </c>
      <c r="C76" s="359">
        <f>'Func Future Lines 2015'!C76</f>
        <v>813</v>
      </c>
      <c r="D76" s="359">
        <f>'Func Future Lines 2015'!D76</f>
        <v>138</v>
      </c>
      <c r="E76" s="359">
        <f>'Func Future Lines 2015'!E76</f>
        <v>0</v>
      </c>
      <c r="F76" s="359" t="str">
        <f>'Func Future Lines 2015'!F76</f>
        <v>Red_Deer</v>
      </c>
      <c r="G76" s="359">
        <f>'Func Future Lines 2015'!G76</f>
        <v>583496.13042435877</v>
      </c>
      <c r="H76" s="359" t="str">
        <f>'Func Future Lines 2015'!H76</f>
        <v>AltaLink</v>
      </c>
      <c r="I76" s="359">
        <f>'Func Future Lines 2015'!I76</f>
        <v>2017</v>
      </c>
      <c r="J76" s="361">
        <f>+IF($I76=J$3,VLOOKUP($H76,Depreciation!$A$6:$L$10,7,FALSE)/2,IF($I76&lt;J$3,VLOOKUP($H76,Depreciation!$A$6:$L$10,7,FALSE),0))</f>
        <v>0</v>
      </c>
      <c r="K76" s="361">
        <f>+IF($I76=K$3,VLOOKUP($H76,Depreciation!$A$6:$L$10,8,FALSE)/2,IF($I76&lt;K$3,VLOOKUP($H76,Depreciation!$A$6:$L$10,8,FALSE),0))</f>
        <v>0</v>
      </c>
      <c r="L76" s="361">
        <f>+IF($I76=L$3,VLOOKUP($H76,Depreciation!$A$6:$L$10,9,FALSE)/2,IF($I76&lt;L$3,VLOOKUP($H76,Depreciation!$A$6:$L$10,9,FALSE),0))</f>
        <v>1.5338181838063448E-2</v>
      </c>
      <c r="M76" s="361">
        <f>+IF($I76=M$3,VLOOKUP($H76,Depreciation!$A$6:$L$10,10,FALSE)/2,IF($I76&lt;M$3,VLOOKUP($H76,Depreciation!$A$6:$L$10,10,FALSE),0))</f>
        <v>3.0676363676126896E-2</v>
      </c>
      <c r="N76" s="361">
        <f>+IF($I76=N$3,VLOOKUP($H76,Depreciation!$A$6:$L$10,11,FALSE)/2,IF($I76&lt;N$3,VLOOKUP($H76,Depreciation!$A$6:$L$10,11,FALSE),0))</f>
        <v>3.0676363676126896E-2</v>
      </c>
      <c r="O76" s="361">
        <f>+IF($I76=O$3,VLOOKUP($H76,Depreciation!$A$6:$L$10,12,FALSE)/2,IF($I76&lt;O$3,VLOOKUP($H76,Depreciation!$A$6:$L$10,12,FALSE),0))</f>
        <v>3.0676363676126896E-2</v>
      </c>
      <c r="P76" s="362">
        <f t="shared" si="5"/>
        <v>574546.36067410361</v>
      </c>
      <c r="Q76" s="362">
        <f t="shared" si="6"/>
        <v>0</v>
      </c>
      <c r="R76" s="363">
        <f t="shared" si="7"/>
        <v>574546.36067410361</v>
      </c>
      <c r="Y76" s="365"/>
    </row>
    <row r="77" spans="1:25" ht="15" customHeight="1">
      <c r="A77" s="359" t="str">
        <f>'Func Future Lines 2015'!A77</f>
        <v>PPS</v>
      </c>
      <c r="B77" s="359" t="str">
        <f>'Func Future Lines 2015'!B77</f>
        <v>417L/418L</v>
      </c>
      <c r="C77" s="359">
        <f>'Func Future Lines 2015'!C77</f>
        <v>813</v>
      </c>
      <c r="D77" s="359">
        <f>'Func Future Lines 2015'!D77</f>
        <v>138</v>
      </c>
      <c r="E77" s="359">
        <f>'Func Future Lines 2015'!E77</f>
        <v>0</v>
      </c>
      <c r="F77" s="359" t="str">
        <f>'Func Future Lines 2015'!F77</f>
        <v>Red_Deer</v>
      </c>
      <c r="G77" s="359">
        <f>'Func Future Lines 2015'!G77</f>
        <v>1650657.1949172863</v>
      </c>
      <c r="H77" s="359" t="str">
        <f>'Func Future Lines 2015'!H77</f>
        <v>AltaLink</v>
      </c>
      <c r="I77" s="359">
        <f>'Func Future Lines 2015'!I77</f>
        <v>2017</v>
      </c>
      <c r="J77" s="361">
        <f>+IF($I77=J$3,VLOOKUP($H77,Depreciation!$A$6:$L$10,7,FALSE)/2,IF($I77&lt;J$3,VLOOKUP($H77,Depreciation!$A$6:$L$10,7,FALSE),0))</f>
        <v>0</v>
      </c>
      <c r="K77" s="361">
        <f>+IF($I77=K$3,VLOOKUP($H77,Depreciation!$A$6:$L$10,8,FALSE)/2,IF($I77&lt;K$3,VLOOKUP($H77,Depreciation!$A$6:$L$10,8,FALSE),0))</f>
        <v>0</v>
      </c>
      <c r="L77" s="361">
        <f>+IF($I77=L$3,VLOOKUP($H77,Depreciation!$A$6:$L$10,9,FALSE)/2,IF($I77&lt;L$3,VLOOKUP($H77,Depreciation!$A$6:$L$10,9,FALSE),0))</f>
        <v>1.5338181838063448E-2</v>
      </c>
      <c r="M77" s="361">
        <f>+IF($I77=M$3,VLOOKUP($H77,Depreciation!$A$6:$L$10,10,FALSE)/2,IF($I77&lt;M$3,VLOOKUP($H77,Depreciation!$A$6:$L$10,10,FALSE),0))</f>
        <v>3.0676363676126896E-2</v>
      </c>
      <c r="N77" s="361">
        <f>+IF($I77=N$3,VLOOKUP($H77,Depreciation!$A$6:$L$10,11,FALSE)/2,IF($I77&lt;N$3,VLOOKUP($H77,Depreciation!$A$6:$L$10,11,FALSE),0))</f>
        <v>3.0676363676126896E-2</v>
      </c>
      <c r="O77" s="361">
        <f>+IF($I77=O$3,VLOOKUP($H77,Depreciation!$A$6:$L$10,12,FALSE)/2,IF($I77&lt;O$3,VLOOKUP($H77,Depreciation!$A$6:$L$10,12,FALSE),0))</f>
        <v>3.0676363676126896E-2</v>
      </c>
      <c r="P77" s="362">
        <f t="shared" si="5"/>
        <v>1625339.1147093372</v>
      </c>
      <c r="Q77" s="362">
        <f t="shared" si="6"/>
        <v>0</v>
      </c>
      <c r="R77" s="363">
        <f t="shared" si="7"/>
        <v>1625339.1147093372</v>
      </c>
      <c r="Y77" s="365"/>
    </row>
    <row r="78" spans="1:25" ht="15" customHeight="1">
      <c r="A78" s="359" t="str">
        <f>'Func Future Lines 2015'!A78</f>
        <v>PPS</v>
      </c>
      <c r="B78" s="359" t="str">
        <f>'Func Future Lines 2015'!B78</f>
        <v>417L/418L</v>
      </c>
      <c r="C78" s="359">
        <f>'Func Future Lines 2015'!C78</f>
        <v>813</v>
      </c>
      <c r="D78" s="359">
        <f>'Func Future Lines 2015'!D78</f>
        <v>138</v>
      </c>
      <c r="E78" s="359">
        <f>'Func Future Lines 2015'!E78</f>
        <v>0</v>
      </c>
      <c r="F78" s="359" t="str">
        <f>'Func Future Lines 2015'!F78</f>
        <v>Red_Deer</v>
      </c>
      <c r="G78" s="359">
        <f>'Func Future Lines 2015'!G78</f>
        <v>1827943.6298249823</v>
      </c>
      <c r="H78" s="359" t="str">
        <f>'Func Future Lines 2015'!H78</f>
        <v>AltaLink</v>
      </c>
      <c r="I78" s="359">
        <f>'Func Future Lines 2015'!I78</f>
        <v>2017</v>
      </c>
      <c r="J78" s="361">
        <f>+IF($I78=J$3,VLOOKUP($H78,Depreciation!$A$6:$L$10,7,FALSE)/2,IF($I78&lt;J$3,VLOOKUP($H78,Depreciation!$A$6:$L$10,7,FALSE),0))</f>
        <v>0</v>
      </c>
      <c r="K78" s="361">
        <f>+IF($I78=K$3,VLOOKUP($H78,Depreciation!$A$6:$L$10,8,FALSE)/2,IF($I78&lt;K$3,VLOOKUP($H78,Depreciation!$A$6:$L$10,8,FALSE),0))</f>
        <v>0</v>
      </c>
      <c r="L78" s="361">
        <f>+IF($I78=L$3,VLOOKUP($H78,Depreciation!$A$6:$L$10,9,FALSE)/2,IF($I78&lt;L$3,VLOOKUP($H78,Depreciation!$A$6:$L$10,9,FALSE),0))</f>
        <v>1.5338181838063448E-2</v>
      </c>
      <c r="M78" s="361">
        <f>+IF($I78=M$3,VLOOKUP($H78,Depreciation!$A$6:$L$10,10,FALSE)/2,IF($I78&lt;M$3,VLOOKUP($H78,Depreciation!$A$6:$L$10,10,FALSE),0))</f>
        <v>3.0676363676126896E-2</v>
      </c>
      <c r="N78" s="361">
        <f>+IF($I78=N$3,VLOOKUP($H78,Depreciation!$A$6:$L$10,11,FALSE)/2,IF($I78&lt;N$3,VLOOKUP($H78,Depreciation!$A$6:$L$10,11,FALSE),0))</f>
        <v>3.0676363676126896E-2</v>
      </c>
      <c r="O78" s="361">
        <f>+IF($I78=O$3,VLOOKUP($H78,Depreciation!$A$6:$L$10,12,FALSE)/2,IF($I78&lt;O$3,VLOOKUP($H78,Depreciation!$A$6:$L$10,12,FALSE),0))</f>
        <v>3.0676363676126896E-2</v>
      </c>
      <c r="P78" s="362">
        <f t="shared" si="5"/>
        <v>1799906.298040997</v>
      </c>
      <c r="Q78" s="362">
        <f t="shared" si="6"/>
        <v>0</v>
      </c>
      <c r="R78" s="363">
        <f t="shared" si="7"/>
        <v>1799906.298040997</v>
      </c>
      <c r="Y78" s="365"/>
    </row>
    <row r="79" spans="1:25" ht="15" customHeight="1">
      <c r="A79" s="359" t="str">
        <f>'Func Future Lines 2015'!A79</f>
        <v>PPS</v>
      </c>
      <c r="B79" s="359" t="str">
        <f>'Func Future Lines 2015'!B79</f>
        <v>419L/420L</v>
      </c>
      <c r="C79" s="359">
        <f>'Func Future Lines 2015'!C79</f>
        <v>813</v>
      </c>
      <c r="D79" s="359">
        <f>'Func Future Lines 2015'!D79</f>
        <v>138</v>
      </c>
      <c r="E79" s="359">
        <f>'Func Future Lines 2015'!E79</f>
        <v>0</v>
      </c>
      <c r="F79" s="359" t="str">
        <f>'Func Future Lines 2015'!F79</f>
        <v>Red_Deer</v>
      </c>
      <c r="G79" s="359">
        <f>'Func Future Lines 2015'!G79</f>
        <v>8144848.6406137627</v>
      </c>
      <c r="H79" s="359" t="str">
        <f>'Func Future Lines 2015'!H79</f>
        <v>AltaLink</v>
      </c>
      <c r="I79" s="359">
        <f>'Func Future Lines 2015'!I79</f>
        <v>2017</v>
      </c>
      <c r="J79" s="361">
        <f>+IF($I79=J$3,VLOOKUP($H79,Depreciation!$A$6:$L$10,7,FALSE)/2,IF($I79&lt;J$3,VLOOKUP($H79,Depreciation!$A$6:$L$10,7,FALSE),0))</f>
        <v>0</v>
      </c>
      <c r="K79" s="361">
        <f>+IF($I79=K$3,VLOOKUP($H79,Depreciation!$A$6:$L$10,8,FALSE)/2,IF($I79&lt;K$3,VLOOKUP($H79,Depreciation!$A$6:$L$10,8,FALSE),0))</f>
        <v>0</v>
      </c>
      <c r="L79" s="361">
        <f>+IF($I79=L$3,VLOOKUP($H79,Depreciation!$A$6:$L$10,9,FALSE)/2,IF($I79&lt;L$3,VLOOKUP($H79,Depreciation!$A$6:$L$10,9,FALSE),0))</f>
        <v>1.5338181838063448E-2</v>
      </c>
      <c r="M79" s="361">
        <f>+IF($I79=M$3,VLOOKUP($H79,Depreciation!$A$6:$L$10,10,FALSE)/2,IF($I79&lt;M$3,VLOOKUP($H79,Depreciation!$A$6:$L$10,10,FALSE),0))</f>
        <v>3.0676363676126896E-2</v>
      </c>
      <c r="N79" s="361">
        <f>+IF($I79=N$3,VLOOKUP($H79,Depreciation!$A$6:$L$10,11,FALSE)/2,IF($I79&lt;N$3,VLOOKUP($H79,Depreciation!$A$6:$L$10,11,FALSE),0))</f>
        <v>3.0676363676126896E-2</v>
      </c>
      <c r="O79" s="361">
        <f>+IF($I79=O$3,VLOOKUP($H79,Depreciation!$A$6:$L$10,12,FALSE)/2,IF($I79&lt;O$3,VLOOKUP($H79,Depreciation!$A$6:$L$10,12,FALSE),0))</f>
        <v>3.0676363676126896E-2</v>
      </c>
      <c r="P79" s="362">
        <f t="shared" si="5"/>
        <v>8019921.4711205252</v>
      </c>
      <c r="Q79" s="362">
        <f t="shared" si="6"/>
        <v>0</v>
      </c>
      <c r="R79" s="363">
        <f t="shared" si="7"/>
        <v>8019921.4711205252</v>
      </c>
      <c r="Y79" s="365"/>
    </row>
    <row r="80" spans="1:25" ht="15" customHeight="1">
      <c r="A80" s="359" t="str">
        <f>'Func Future Lines 2015'!A80</f>
        <v>PPS</v>
      </c>
      <c r="B80" s="359" t="str">
        <f>'Func Future Lines 2015'!B80</f>
        <v>419L/420L</v>
      </c>
      <c r="C80" s="359">
        <f>'Func Future Lines 2015'!C80</f>
        <v>813</v>
      </c>
      <c r="D80" s="359">
        <f>'Func Future Lines 2015'!D80</f>
        <v>138</v>
      </c>
      <c r="E80" s="359">
        <f>'Func Future Lines 2015'!E80</f>
        <v>0</v>
      </c>
      <c r="F80" s="359" t="str">
        <f>'Func Future Lines 2015'!F80</f>
        <v>Red_Deer</v>
      </c>
      <c r="G80" s="359">
        <f>'Func Future Lines 2015'!G80</f>
        <v>8079441.9947254863</v>
      </c>
      <c r="H80" s="359" t="str">
        <f>'Func Future Lines 2015'!H80</f>
        <v>AltaLink</v>
      </c>
      <c r="I80" s="359">
        <f>'Func Future Lines 2015'!I80</f>
        <v>2017</v>
      </c>
      <c r="J80" s="361">
        <f>+IF($I80=J$3,VLOOKUP($H80,Depreciation!$A$6:$L$10,7,FALSE)/2,IF($I80&lt;J$3,VLOOKUP($H80,Depreciation!$A$6:$L$10,7,FALSE),0))</f>
        <v>0</v>
      </c>
      <c r="K80" s="361">
        <f>+IF($I80=K$3,VLOOKUP($H80,Depreciation!$A$6:$L$10,8,FALSE)/2,IF($I80&lt;K$3,VLOOKUP($H80,Depreciation!$A$6:$L$10,8,FALSE),0))</f>
        <v>0</v>
      </c>
      <c r="L80" s="361">
        <f>+IF($I80=L$3,VLOOKUP($H80,Depreciation!$A$6:$L$10,9,FALSE)/2,IF($I80&lt;L$3,VLOOKUP($H80,Depreciation!$A$6:$L$10,9,FALSE),0))</f>
        <v>1.5338181838063448E-2</v>
      </c>
      <c r="M80" s="361">
        <f>+IF($I80=M$3,VLOOKUP($H80,Depreciation!$A$6:$L$10,10,FALSE)/2,IF($I80&lt;M$3,VLOOKUP($H80,Depreciation!$A$6:$L$10,10,FALSE),0))</f>
        <v>3.0676363676126896E-2</v>
      </c>
      <c r="N80" s="361">
        <f>+IF($I80=N$3,VLOOKUP($H80,Depreciation!$A$6:$L$10,11,FALSE)/2,IF($I80&lt;N$3,VLOOKUP($H80,Depreciation!$A$6:$L$10,11,FALSE),0))</f>
        <v>3.0676363676126896E-2</v>
      </c>
      <c r="O80" s="361">
        <f>+IF($I80=O$3,VLOOKUP($H80,Depreciation!$A$6:$L$10,12,FALSE)/2,IF($I80&lt;O$3,VLOOKUP($H80,Depreciation!$A$6:$L$10,12,FALSE),0))</f>
        <v>3.0676363676126896E-2</v>
      </c>
      <c r="P80" s="362">
        <f t="shared" si="5"/>
        <v>7955518.0442603007</v>
      </c>
      <c r="Q80" s="362">
        <f t="shared" si="6"/>
        <v>0</v>
      </c>
      <c r="R80" s="363">
        <f t="shared" si="7"/>
        <v>7955518.0442603007</v>
      </c>
      <c r="Y80" s="365"/>
    </row>
    <row r="81" spans="1:25" ht="15" customHeight="1">
      <c r="A81" s="359" t="str">
        <f>'Func Future Lines 2015'!A81</f>
        <v>PPS</v>
      </c>
      <c r="B81" s="359" t="str">
        <f>'Func Future Lines 2015'!B81</f>
        <v>421L/422L</v>
      </c>
      <c r="C81" s="359">
        <f>'Func Future Lines 2015'!C81</f>
        <v>813</v>
      </c>
      <c r="D81" s="359">
        <f>'Func Future Lines 2015'!D81</f>
        <v>138</v>
      </c>
      <c r="E81" s="359">
        <f>'Func Future Lines 2015'!E81</f>
        <v>0</v>
      </c>
      <c r="F81" s="359" t="str">
        <f>'Func Future Lines 2015'!F81</f>
        <v>Red_Deer</v>
      </c>
      <c r="G81" s="359">
        <f>'Func Future Lines 2015'!G81</f>
        <v>3903744.023016064</v>
      </c>
      <c r="H81" s="359" t="str">
        <f>'Func Future Lines 2015'!H81</f>
        <v>AltaLink</v>
      </c>
      <c r="I81" s="359">
        <f>'Func Future Lines 2015'!I81</f>
        <v>2017</v>
      </c>
      <c r="J81" s="361">
        <f>+IF($I81=J$3,VLOOKUP($H81,Depreciation!$A$6:$L$10,7,FALSE)/2,IF($I81&lt;J$3,VLOOKUP($H81,Depreciation!$A$6:$L$10,7,FALSE),0))</f>
        <v>0</v>
      </c>
      <c r="K81" s="361">
        <f>+IF($I81=K$3,VLOOKUP($H81,Depreciation!$A$6:$L$10,8,FALSE)/2,IF($I81&lt;K$3,VLOOKUP($H81,Depreciation!$A$6:$L$10,8,FALSE),0))</f>
        <v>0</v>
      </c>
      <c r="L81" s="361">
        <f>+IF($I81=L$3,VLOOKUP($H81,Depreciation!$A$6:$L$10,9,FALSE)/2,IF($I81&lt;L$3,VLOOKUP($H81,Depreciation!$A$6:$L$10,9,FALSE),0))</f>
        <v>1.5338181838063448E-2</v>
      </c>
      <c r="M81" s="361">
        <f>+IF($I81=M$3,VLOOKUP($H81,Depreciation!$A$6:$L$10,10,FALSE)/2,IF($I81&lt;M$3,VLOOKUP($H81,Depreciation!$A$6:$L$10,10,FALSE),0))</f>
        <v>3.0676363676126896E-2</v>
      </c>
      <c r="N81" s="361">
        <f>+IF($I81=N$3,VLOOKUP($H81,Depreciation!$A$6:$L$10,11,FALSE)/2,IF($I81&lt;N$3,VLOOKUP($H81,Depreciation!$A$6:$L$10,11,FALSE),0))</f>
        <v>3.0676363676126896E-2</v>
      </c>
      <c r="O81" s="361">
        <f>+IF($I81=O$3,VLOOKUP($H81,Depreciation!$A$6:$L$10,12,FALSE)/2,IF($I81&lt;O$3,VLOOKUP($H81,Depreciation!$A$6:$L$10,12,FALSE),0))</f>
        <v>3.0676363676126896E-2</v>
      </c>
      <c r="P81" s="362">
        <f t="shared" si="5"/>
        <v>3843867.6873417902</v>
      </c>
      <c r="Q81" s="362">
        <f t="shared" si="6"/>
        <v>0</v>
      </c>
      <c r="R81" s="363">
        <f t="shared" si="7"/>
        <v>3843867.6873417902</v>
      </c>
      <c r="Y81" s="365"/>
    </row>
    <row r="82" spans="1:25" ht="15" customHeight="1">
      <c r="A82" s="359" t="str">
        <f>'Func Future Lines 2015'!A82</f>
        <v>PPS</v>
      </c>
      <c r="B82" s="359" t="str">
        <f>'Func Future Lines 2015'!B82</f>
        <v>421L/422L</v>
      </c>
      <c r="C82" s="359">
        <f>'Func Future Lines 2015'!C82</f>
        <v>813</v>
      </c>
      <c r="D82" s="359">
        <f>'Func Future Lines 2015'!D82</f>
        <v>138</v>
      </c>
      <c r="E82" s="359">
        <f>'Func Future Lines 2015'!E82</f>
        <v>0</v>
      </c>
      <c r="F82" s="359" t="str">
        <f>'Func Future Lines 2015'!F82</f>
        <v>Red_Deer</v>
      </c>
      <c r="G82" s="359">
        <f>'Func Future Lines 2015'!G82</f>
        <v>3860713.3349316716</v>
      </c>
      <c r="H82" s="359" t="str">
        <f>'Func Future Lines 2015'!H82</f>
        <v>AltaLink</v>
      </c>
      <c r="I82" s="359">
        <f>'Func Future Lines 2015'!I82</f>
        <v>2017</v>
      </c>
      <c r="J82" s="361">
        <f>+IF($I82=J$3,VLOOKUP($H82,Depreciation!$A$6:$L$10,7,FALSE)/2,IF($I82&lt;J$3,VLOOKUP($H82,Depreciation!$A$6:$L$10,7,FALSE),0))</f>
        <v>0</v>
      </c>
      <c r="K82" s="361">
        <f>+IF($I82=K$3,VLOOKUP($H82,Depreciation!$A$6:$L$10,8,FALSE)/2,IF($I82&lt;K$3,VLOOKUP($H82,Depreciation!$A$6:$L$10,8,FALSE),0))</f>
        <v>0</v>
      </c>
      <c r="L82" s="361">
        <f>+IF($I82=L$3,VLOOKUP($H82,Depreciation!$A$6:$L$10,9,FALSE)/2,IF($I82&lt;L$3,VLOOKUP($H82,Depreciation!$A$6:$L$10,9,FALSE),0))</f>
        <v>1.5338181838063448E-2</v>
      </c>
      <c r="M82" s="361">
        <f>+IF($I82=M$3,VLOOKUP($H82,Depreciation!$A$6:$L$10,10,FALSE)/2,IF($I82&lt;M$3,VLOOKUP($H82,Depreciation!$A$6:$L$10,10,FALSE),0))</f>
        <v>3.0676363676126896E-2</v>
      </c>
      <c r="N82" s="361">
        <f>+IF($I82=N$3,VLOOKUP($H82,Depreciation!$A$6:$L$10,11,FALSE)/2,IF($I82&lt;N$3,VLOOKUP($H82,Depreciation!$A$6:$L$10,11,FALSE),0))</f>
        <v>3.0676363676126896E-2</v>
      </c>
      <c r="O82" s="361">
        <f>+IF($I82=O$3,VLOOKUP($H82,Depreciation!$A$6:$L$10,12,FALSE)/2,IF($I82&lt;O$3,VLOOKUP($H82,Depreciation!$A$6:$L$10,12,FALSE),0))</f>
        <v>3.0676363676126896E-2</v>
      </c>
      <c r="P82" s="362">
        <f t="shared" si="5"/>
        <v>3801497.0117758531</v>
      </c>
      <c r="Q82" s="362">
        <f t="shared" si="6"/>
        <v>0</v>
      </c>
      <c r="R82" s="363">
        <f t="shared" si="7"/>
        <v>3801497.0117758531</v>
      </c>
      <c r="Y82" s="365"/>
    </row>
    <row r="83" spans="1:25" ht="15" customHeight="1">
      <c r="A83" s="359" t="str">
        <f>'Func Future Lines 2015'!A83</f>
        <v>PPS</v>
      </c>
      <c r="B83" s="359" t="str">
        <f>'Func Future Lines 2015'!B83</f>
        <v>423L</v>
      </c>
      <c r="C83" s="359">
        <f>'Func Future Lines 2015'!C83</f>
        <v>813</v>
      </c>
      <c r="D83" s="359">
        <f>'Func Future Lines 2015'!D83</f>
        <v>138</v>
      </c>
      <c r="E83" s="359">
        <f>'Func Future Lines 2015'!E83</f>
        <v>0</v>
      </c>
      <c r="F83" s="359" t="str">
        <f>'Func Future Lines 2015'!F83</f>
        <v>Red_Deer</v>
      </c>
      <c r="G83" s="359">
        <f>'Func Future Lines 2015'!G83</f>
        <v>27816758.005274519</v>
      </c>
      <c r="H83" s="359" t="str">
        <f>'Func Future Lines 2015'!H83</f>
        <v>AltaLink</v>
      </c>
      <c r="I83" s="359">
        <f>'Func Future Lines 2015'!I83</f>
        <v>2017</v>
      </c>
      <c r="J83" s="361">
        <f>+IF($I83=J$3,VLOOKUP($H83,Depreciation!$A$6:$L$10,7,FALSE)/2,IF($I83&lt;J$3,VLOOKUP($H83,Depreciation!$A$6:$L$10,7,FALSE),0))</f>
        <v>0</v>
      </c>
      <c r="K83" s="361">
        <f>+IF($I83=K$3,VLOOKUP($H83,Depreciation!$A$6:$L$10,8,FALSE)/2,IF($I83&lt;K$3,VLOOKUP($H83,Depreciation!$A$6:$L$10,8,FALSE),0))</f>
        <v>0</v>
      </c>
      <c r="L83" s="361">
        <f>+IF($I83=L$3,VLOOKUP($H83,Depreciation!$A$6:$L$10,9,FALSE)/2,IF($I83&lt;L$3,VLOOKUP($H83,Depreciation!$A$6:$L$10,9,FALSE),0))</f>
        <v>1.5338181838063448E-2</v>
      </c>
      <c r="M83" s="361">
        <f>+IF($I83=M$3,VLOOKUP($H83,Depreciation!$A$6:$L$10,10,FALSE)/2,IF($I83&lt;M$3,VLOOKUP($H83,Depreciation!$A$6:$L$10,10,FALSE),0))</f>
        <v>3.0676363676126896E-2</v>
      </c>
      <c r="N83" s="361">
        <f>+IF($I83=N$3,VLOOKUP($H83,Depreciation!$A$6:$L$10,11,FALSE)/2,IF($I83&lt;N$3,VLOOKUP($H83,Depreciation!$A$6:$L$10,11,FALSE),0))</f>
        <v>3.0676363676126896E-2</v>
      </c>
      <c r="O83" s="361">
        <f>+IF($I83=O$3,VLOOKUP($H83,Depreciation!$A$6:$L$10,12,FALSE)/2,IF($I83&lt;O$3,VLOOKUP($H83,Depreciation!$A$6:$L$10,12,FALSE),0))</f>
        <v>3.0676363676126896E-2</v>
      </c>
      <c r="P83" s="362">
        <f t="shared" si="5"/>
        <v>27390099.512844212</v>
      </c>
      <c r="Q83" s="362">
        <f t="shared" si="6"/>
        <v>0</v>
      </c>
      <c r="R83" s="363">
        <f t="shared" si="7"/>
        <v>27390099.512844212</v>
      </c>
      <c r="Y83" s="365"/>
    </row>
    <row r="84" spans="1:25" ht="15" customHeight="1">
      <c r="A84" s="359" t="str">
        <f>'Func Future Lines 2015'!A84</f>
        <v>PPS</v>
      </c>
      <c r="B84" s="359" t="str">
        <f>'Func Future Lines 2015'!B84</f>
        <v>423L/784L shared route</v>
      </c>
      <c r="C84" s="359">
        <f>'Func Future Lines 2015'!C84</f>
        <v>813</v>
      </c>
      <c r="D84" s="359">
        <f>'Func Future Lines 2015'!D84</f>
        <v>138</v>
      </c>
      <c r="E84" s="359">
        <f>'Func Future Lines 2015'!E84</f>
        <v>0</v>
      </c>
      <c r="F84" s="359" t="str">
        <f>'Func Future Lines 2015'!F84</f>
        <v>Red_Deer</v>
      </c>
      <c r="G84" s="359">
        <f>'Func Future Lines 2015'!G84</f>
        <v>2516434.6391752581</v>
      </c>
      <c r="H84" s="359" t="str">
        <f>'Func Future Lines 2015'!H84</f>
        <v>AltaLink</v>
      </c>
      <c r="I84" s="359">
        <f>'Func Future Lines 2015'!I84</f>
        <v>2017</v>
      </c>
      <c r="J84" s="361">
        <f>+IF($I84=J$3,VLOOKUP($H84,Depreciation!$A$6:$L$10,7,FALSE)/2,IF($I84&lt;J$3,VLOOKUP($H84,Depreciation!$A$6:$L$10,7,FALSE),0))</f>
        <v>0</v>
      </c>
      <c r="K84" s="361">
        <f>+IF($I84=K$3,VLOOKUP($H84,Depreciation!$A$6:$L$10,8,FALSE)/2,IF($I84&lt;K$3,VLOOKUP($H84,Depreciation!$A$6:$L$10,8,FALSE),0))</f>
        <v>0</v>
      </c>
      <c r="L84" s="361">
        <f>+IF($I84=L$3,VLOOKUP($H84,Depreciation!$A$6:$L$10,9,FALSE)/2,IF($I84&lt;L$3,VLOOKUP($H84,Depreciation!$A$6:$L$10,9,FALSE),0))</f>
        <v>1.5338181838063448E-2</v>
      </c>
      <c r="M84" s="361">
        <f>+IF($I84=M$3,VLOOKUP($H84,Depreciation!$A$6:$L$10,10,FALSE)/2,IF($I84&lt;M$3,VLOOKUP($H84,Depreciation!$A$6:$L$10,10,FALSE),0))</f>
        <v>3.0676363676126896E-2</v>
      </c>
      <c r="N84" s="361">
        <f>+IF($I84=N$3,VLOOKUP($H84,Depreciation!$A$6:$L$10,11,FALSE)/2,IF($I84&lt;N$3,VLOOKUP($H84,Depreciation!$A$6:$L$10,11,FALSE),0))</f>
        <v>3.0676363676126896E-2</v>
      </c>
      <c r="O84" s="361">
        <f>+IF($I84=O$3,VLOOKUP($H84,Depreciation!$A$6:$L$10,12,FALSE)/2,IF($I84&lt;O$3,VLOOKUP($H84,Depreciation!$A$6:$L$10,12,FALSE),0))</f>
        <v>3.0676363676126896E-2</v>
      </c>
      <c r="P84" s="362">
        <f t="shared" si="5"/>
        <v>2477837.1070959866</v>
      </c>
      <c r="Q84" s="362">
        <f t="shared" si="6"/>
        <v>0</v>
      </c>
      <c r="R84" s="363">
        <f t="shared" si="7"/>
        <v>2477837.1070959866</v>
      </c>
      <c r="Y84" s="365"/>
    </row>
    <row r="85" spans="1:25" ht="15" customHeight="1">
      <c r="A85" s="359" t="str">
        <f>'Func Future Lines 2015'!A85</f>
        <v>PPS</v>
      </c>
      <c r="B85" s="359" t="str">
        <f>'Func Future Lines 2015'!B85</f>
        <v>423L/80AL shared route</v>
      </c>
      <c r="C85" s="359">
        <f>'Func Future Lines 2015'!C85</f>
        <v>813</v>
      </c>
      <c r="D85" s="359">
        <f>'Func Future Lines 2015'!D85</f>
        <v>138</v>
      </c>
      <c r="E85" s="359">
        <f>'Func Future Lines 2015'!E85</f>
        <v>0</v>
      </c>
      <c r="F85" s="359" t="str">
        <f>'Func Future Lines 2015'!F85</f>
        <v>Red_Deer</v>
      </c>
      <c r="G85" s="359">
        <f>'Func Future Lines 2015'!G85</f>
        <v>2922644.3346919208</v>
      </c>
      <c r="H85" s="359" t="str">
        <f>'Func Future Lines 2015'!H85</f>
        <v>AltaLink</v>
      </c>
      <c r="I85" s="359">
        <f>'Func Future Lines 2015'!I85</f>
        <v>2017</v>
      </c>
      <c r="J85" s="361">
        <f>+IF($I85=J$3,VLOOKUP($H85,Depreciation!$A$6:$L$10,7,FALSE)/2,IF($I85&lt;J$3,VLOOKUP($H85,Depreciation!$A$6:$L$10,7,FALSE),0))</f>
        <v>0</v>
      </c>
      <c r="K85" s="361">
        <f>+IF($I85=K$3,VLOOKUP($H85,Depreciation!$A$6:$L$10,8,FALSE)/2,IF($I85&lt;K$3,VLOOKUP($H85,Depreciation!$A$6:$L$10,8,FALSE),0))</f>
        <v>0</v>
      </c>
      <c r="L85" s="361">
        <f>+IF($I85=L$3,VLOOKUP($H85,Depreciation!$A$6:$L$10,9,FALSE)/2,IF($I85&lt;L$3,VLOOKUP($H85,Depreciation!$A$6:$L$10,9,FALSE),0))</f>
        <v>1.5338181838063448E-2</v>
      </c>
      <c r="M85" s="361">
        <f>+IF($I85=M$3,VLOOKUP($H85,Depreciation!$A$6:$L$10,10,FALSE)/2,IF($I85&lt;M$3,VLOOKUP($H85,Depreciation!$A$6:$L$10,10,FALSE),0))</f>
        <v>3.0676363676126896E-2</v>
      </c>
      <c r="N85" s="361">
        <f>+IF($I85=N$3,VLOOKUP($H85,Depreciation!$A$6:$L$10,11,FALSE)/2,IF($I85&lt;N$3,VLOOKUP($H85,Depreciation!$A$6:$L$10,11,FALSE),0))</f>
        <v>3.0676363676126896E-2</v>
      </c>
      <c r="O85" s="361">
        <f>+IF($I85=O$3,VLOOKUP($H85,Depreciation!$A$6:$L$10,12,FALSE)/2,IF($I85&lt;O$3,VLOOKUP($H85,Depreciation!$A$6:$L$10,12,FALSE),0))</f>
        <v>3.0676363676126896E-2</v>
      </c>
      <c r="P85" s="362">
        <f t="shared" si="5"/>
        <v>2877816.2844384303</v>
      </c>
      <c r="Q85" s="362">
        <f t="shared" si="6"/>
        <v>0</v>
      </c>
      <c r="R85" s="363">
        <f t="shared" si="7"/>
        <v>2877816.2844384303</v>
      </c>
      <c r="Y85" s="365"/>
    </row>
    <row r="86" spans="1:25" ht="15" customHeight="1">
      <c r="A86" s="359" t="str">
        <f>'Func Future Lines 2015'!A86</f>
        <v>PPS</v>
      </c>
      <c r="B86" s="359" t="str">
        <f>'Func Future Lines 2015'!B86</f>
        <v>444L</v>
      </c>
      <c r="C86" s="359">
        <f>'Func Future Lines 2015'!C86</f>
        <v>813</v>
      </c>
      <c r="D86" s="359">
        <f>'Func Future Lines 2015'!D86</f>
        <v>138</v>
      </c>
      <c r="E86" s="359">
        <f>'Func Future Lines 2015'!E86</f>
        <v>0</v>
      </c>
      <c r="F86" s="359" t="str">
        <f>'Func Future Lines 2015'!F86</f>
        <v>Red_Deer</v>
      </c>
      <c r="G86" s="359">
        <f>'Func Future Lines 2015'!G86</f>
        <v>246135.53584272359</v>
      </c>
      <c r="H86" s="359" t="str">
        <f>'Func Future Lines 2015'!H86</f>
        <v>AltaLink</v>
      </c>
      <c r="I86" s="359">
        <f>'Func Future Lines 2015'!I86</f>
        <v>2017</v>
      </c>
      <c r="J86" s="361">
        <f>+IF($I86=J$3,VLOOKUP($H86,Depreciation!$A$6:$L$10,7,FALSE)/2,IF($I86&lt;J$3,VLOOKUP($H86,Depreciation!$A$6:$L$10,7,FALSE),0))</f>
        <v>0</v>
      </c>
      <c r="K86" s="361">
        <f>+IF($I86=K$3,VLOOKUP($H86,Depreciation!$A$6:$L$10,8,FALSE)/2,IF($I86&lt;K$3,VLOOKUP($H86,Depreciation!$A$6:$L$10,8,FALSE),0))</f>
        <v>0</v>
      </c>
      <c r="L86" s="361">
        <f>+IF($I86=L$3,VLOOKUP($H86,Depreciation!$A$6:$L$10,9,FALSE)/2,IF($I86&lt;L$3,VLOOKUP($H86,Depreciation!$A$6:$L$10,9,FALSE),0))</f>
        <v>1.5338181838063448E-2</v>
      </c>
      <c r="M86" s="361">
        <f>+IF($I86=M$3,VLOOKUP($H86,Depreciation!$A$6:$L$10,10,FALSE)/2,IF($I86&lt;M$3,VLOOKUP($H86,Depreciation!$A$6:$L$10,10,FALSE),0))</f>
        <v>3.0676363676126896E-2</v>
      </c>
      <c r="N86" s="361">
        <f>+IF($I86=N$3,VLOOKUP($H86,Depreciation!$A$6:$L$10,11,FALSE)/2,IF($I86&lt;N$3,VLOOKUP($H86,Depreciation!$A$6:$L$10,11,FALSE),0))</f>
        <v>3.0676363676126896E-2</v>
      </c>
      <c r="O86" s="361">
        <f>+IF($I86=O$3,VLOOKUP($H86,Depreciation!$A$6:$L$10,12,FALSE)/2,IF($I86&lt;O$3,VLOOKUP($H86,Depreciation!$A$6:$L$10,12,FALSE),0))</f>
        <v>3.0676363676126896E-2</v>
      </c>
      <c r="P86" s="362">
        <f t="shared" si="5"/>
        <v>242360.2642371587</v>
      </c>
      <c r="Q86" s="362">
        <f t="shared" si="6"/>
        <v>0</v>
      </c>
      <c r="R86" s="363">
        <f t="shared" si="7"/>
        <v>242360.2642371587</v>
      </c>
      <c r="Y86" s="365"/>
    </row>
    <row r="87" spans="1:25" ht="15" customHeight="1">
      <c r="A87" s="359" t="str">
        <f>'Func Future Lines 2015'!A87</f>
        <v>PPS</v>
      </c>
      <c r="B87" s="359" t="str">
        <f>'Func Future Lines 2015'!B87</f>
        <v>637L</v>
      </c>
      <c r="C87" s="359">
        <f>'Func Future Lines 2015'!C87</f>
        <v>813</v>
      </c>
      <c r="D87" s="359">
        <f>'Func Future Lines 2015'!D87</f>
        <v>138</v>
      </c>
      <c r="E87" s="359">
        <f>'Func Future Lines 2015'!E87</f>
        <v>0</v>
      </c>
      <c r="F87" s="359" t="str">
        <f>'Func Future Lines 2015'!F87</f>
        <v>Red_Deer</v>
      </c>
      <c r="G87" s="359">
        <f>'Func Future Lines 2015'!G87</f>
        <v>17472564.238193929</v>
      </c>
      <c r="H87" s="359" t="str">
        <f>'Func Future Lines 2015'!H87</f>
        <v>AltaLink</v>
      </c>
      <c r="I87" s="359">
        <f>'Func Future Lines 2015'!I87</f>
        <v>2017</v>
      </c>
      <c r="J87" s="361">
        <f>+IF($I87=J$3,VLOOKUP($H87,Depreciation!$A$6:$L$10,7,FALSE)/2,IF($I87&lt;J$3,VLOOKUP($H87,Depreciation!$A$6:$L$10,7,FALSE),0))</f>
        <v>0</v>
      </c>
      <c r="K87" s="361">
        <f>+IF($I87=K$3,VLOOKUP($H87,Depreciation!$A$6:$L$10,8,FALSE)/2,IF($I87&lt;K$3,VLOOKUP($H87,Depreciation!$A$6:$L$10,8,FALSE),0))</f>
        <v>0</v>
      </c>
      <c r="L87" s="361">
        <f>+IF($I87=L$3,VLOOKUP($H87,Depreciation!$A$6:$L$10,9,FALSE)/2,IF($I87&lt;L$3,VLOOKUP($H87,Depreciation!$A$6:$L$10,9,FALSE),0))</f>
        <v>1.5338181838063448E-2</v>
      </c>
      <c r="M87" s="361">
        <f>+IF($I87=M$3,VLOOKUP($H87,Depreciation!$A$6:$L$10,10,FALSE)/2,IF($I87&lt;M$3,VLOOKUP($H87,Depreciation!$A$6:$L$10,10,FALSE),0))</f>
        <v>3.0676363676126896E-2</v>
      </c>
      <c r="N87" s="361">
        <f>+IF($I87=N$3,VLOOKUP($H87,Depreciation!$A$6:$L$10,11,FALSE)/2,IF($I87&lt;N$3,VLOOKUP($H87,Depreciation!$A$6:$L$10,11,FALSE),0))</f>
        <v>3.0676363676126896E-2</v>
      </c>
      <c r="O87" s="361">
        <f>+IF($I87=O$3,VLOOKUP($H87,Depreciation!$A$6:$L$10,12,FALSE)/2,IF($I87&lt;O$3,VLOOKUP($H87,Depreciation!$A$6:$L$10,12,FALSE),0))</f>
        <v>3.0676363676126896E-2</v>
      </c>
      <c r="P87" s="362">
        <f t="shared" si="5"/>
        <v>17204566.870731264</v>
      </c>
      <c r="Q87" s="362">
        <f t="shared" si="6"/>
        <v>0</v>
      </c>
      <c r="R87" s="363">
        <f t="shared" si="7"/>
        <v>17204566.870731264</v>
      </c>
      <c r="Y87" s="365"/>
    </row>
    <row r="88" spans="1:25" ht="15" customHeight="1">
      <c r="A88" s="359" t="str">
        <f>'Func Future Lines 2015'!A88</f>
        <v>PPS</v>
      </c>
      <c r="B88" s="359" t="str">
        <f>'Func Future Lines 2015'!B88</f>
        <v>648L</v>
      </c>
      <c r="C88" s="359">
        <f>'Func Future Lines 2015'!C88</f>
        <v>813</v>
      </c>
      <c r="D88" s="359">
        <f>'Func Future Lines 2015'!D88</f>
        <v>138</v>
      </c>
      <c r="E88" s="359">
        <f>'Func Future Lines 2015'!E88</f>
        <v>0</v>
      </c>
      <c r="F88" s="359" t="str">
        <f>'Func Future Lines 2015'!F88</f>
        <v>Red_Deer</v>
      </c>
      <c r="G88" s="359">
        <f>'Func Future Lines 2015'!G88</f>
        <v>16434659.559384897</v>
      </c>
      <c r="H88" s="359" t="str">
        <f>'Func Future Lines 2015'!H88</f>
        <v>AltaLink</v>
      </c>
      <c r="I88" s="359">
        <f>'Func Future Lines 2015'!I88</f>
        <v>2017</v>
      </c>
      <c r="J88" s="361">
        <f>+IF($I88=J$3,VLOOKUP($H88,Depreciation!$A$6:$L$10,7,FALSE)/2,IF($I88&lt;J$3,VLOOKUP($H88,Depreciation!$A$6:$L$10,7,FALSE),0))</f>
        <v>0</v>
      </c>
      <c r="K88" s="361">
        <f>+IF($I88=K$3,VLOOKUP($H88,Depreciation!$A$6:$L$10,8,FALSE)/2,IF($I88&lt;K$3,VLOOKUP($H88,Depreciation!$A$6:$L$10,8,FALSE),0))</f>
        <v>0</v>
      </c>
      <c r="L88" s="361">
        <f>+IF($I88=L$3,VLOOKUP($H88,Depreciation!$A$6:$L$10,9,FALSE)/2,IF($I88&lt;L$3,VLOOKUP($H88,Depreciation!$A$6:$L$10,9,FALSE),0))</f>
        <v>1.5338181838063448E-2</v>
      </c>
      <c r="M88" s="361">
        <f>+IF($I88=M$3,VLOOKUP($H88,Depreciation!$A$6:$L$10,10,FALSE)/2,IF($I88&lt;M$3,VLOOKUP($H88,Depreciation!$A$6:$L$10,10,FALSE),0))</f>
        <v>3.0676363676126896E-2</v>
      </c>
      <c r="N88" s="361">
        <f>+IF($I88=N$3,VLOOKUP($H88,Depreciation!$A$6:$L$10,11,FALSE)/2,IF($I88&lt;N$3,VLOOKUP($H88,Depreciation!$A$6:$L$10,11,FALSE),0))</f>
        <v>3.0676363676126896E-2</v>
      </c>
      <c r="O88" s="361">
        <f>+IF($I88=O$3,VLOOKUP($H88,Depreciation!$A$6:$L$10,12,FALSE)/2,IF($I88&lt;O$3,VLOOKUP($H88,Depreciation!$A$6:$L$10,12,FALSE),0))</f>
        <v>3.0676363676126896E-2</v>
      </c>
      <c r="P88" s="362">
        <f t="shared" si="5"/>
        <v>16182581.762616385</v>
      </c>
      <c r="Q88" s="362">
        <f t="shared" si="6"/>
        <v>0</v>
      </c>
      <c r="R88" s="363">
        <f t="shared" si="7"/>
        <v>16182581.762616385</v>
      </c>
      <c r="Y88" s="365"/>
    </row>
    <row r="89" spans="1:25" ht="15" customHeight="1">
      <c r="A89" s="359" t="str">
        <f>'Func Future Lines 2015'!A89</f>
        <v>PPS</v>
      </c>
      <c r="B89" s="359" t="str">
        <f>'Func Future Lines 2015'!B89</f>
        <v>755L (427L) d/c section</v>
      </c>
      <c r="C89" s="359">
        <f>'Func Future Lines 2015'!C89</f>
        <v>813</v>
      </c>
      <c r="D89" s="359">
        <f>'Func Future Lines 2015'!D89</f>
        <v>240</v>
      </c>
      <c r="E89" s="359">
        <f>'Func Future Lines 2015'!E89</f>
        <v>0</v>
      </c>
      <c r="F89" s="359" t="str">
        <f>'Func Future Lines 2015'!F89</f>
        <v>Red_Deer</v>
      </c>
      <c r="G89" s="359">
        <f>'Func Future Lines 2015'!G89</f>
        <v>22442935.461882446</v>
      </c>
      <c r="H89" s="359" t="str">
        <f>'Func Future Lines 2015'!H89</f>
        <v>AltaLink</v>
      </c>
      <c r="I89" s="359">
        <f>'Func Future Lines 2015'!I89</f>
        <v>2017</v>
      </c>
      <c r="J89" s="361">
        <f>+IF($I89=J$3,VLOOKUP($H89,Depreciation!$A$6:$L$10,7,FALSE)/2,IF($I89&lt;J$3,VLOOKUP($H89,Depreciation!$A$6:$L$10,7,FALSE),0))</f>
        <v>0</v>
      </c>
      <c r="K89" s="361">
        <f>+IF($I89=K$3,VLOOKUP($H89,Depreciation!$A$6:$L$10,8,FALSE)/2,IF($I89&lt;K$3,VLOOKUP($H89,Depreciation!$A$6:$L$10,8,FALSE),0))</f>
        <v>0</v>
      </c>
      <c r="L89" s="361">
        <f>+IF($I89=L$3,VLOOKUP($H89,Depreciation!$A$6:$L$10,9,FALSE)/2,IF($I89&lt;L$3,VLOOKUP($H89,Depreciation!$A$6:$L$10,9,FALSE),0))</f>
        <v>1.5338181838063448E-2</v>
      </c>
      <c r="M89" s="361">
        <f>+IF($I89=M$3,VLOOKUP($H89,Depreciation!$A$6:$L$10,10,FALSE)/2,IF($I89&lt;M$3,VLOOKUP($H89,Depreciation!$A$6:$L$10,10,FALSE),0))</f>
        <v>3.0676363676126896E-2</v>
      </c>
      <c r="N89" s="361">
        <f>+IF($I89=N$3,VLOOKUP($H89,Depreciation!$A$6:$L$10,11,FALSE)/2,IF($I89&lt;N$3,VLOOKUP($H89,Depreciation!$A$6:$L$10,11,FALSE),0))</f>
        <v>3.0676363676126896E-2</v>
      </c>
      <c r="O89" s="361">
        <f>+IF($I89=O$3,VLOOKUP($H89,Depreciation!$A$6:$L$10,12,FALSE)/2,IF($I89&lt;O$3,VLOOKUP($H89,Depreciation!$A$6:$L$10,12,FALSE),0))</f>
        <v>3.0676363676126896E-2</v>
      </c>
      <c r="P89" s="362">
        <f t="shared" si="5"/>
        <v>22098701.636788171</v>
      </c>
      <c r="Q89" s="362">
        <f t="shared" si="6"/>
        <v>22098701.636788171</v>
      </c>
      <c r="R89" s="363">
        <f t="shared" si="7"/>
        <v>0</v>
      </c>
      <c r="Y89" s="365"/>
    </row>
    <row r="90" spans="1:25" ht="15" customHeight="1">
      <c r="A90" s="359" t="str">
        <f>'Func Future Lines 2015'!A90</f>
        <v>PPS</v>
      </c>
      <c r="B90" s="359" t="str">
        <f>'Func Future Lines 2015'!B90</f>
        <v>755L d/c monopole section</v>
      </c>
      <c r="C90" s="359">
        <f>'Func Future Lines 2015'!C90</f>
        <v>813</v>
      </c>
      <c r="D90" s="359">
        <f>'Func Future Lines 2015'!D90</f>
        <v>240</v>
      </c>
      <c r="E90" s="359">
        <f>'Func Future Lines 2015'!E90</f>
        <v>0</v>
      </c>
      <c r="F90" s="359" t="str">
        <f>'Func Future Lines 2015'!F90</f>
        <v>Red_Deer</v>
      </c>
      <c r="G90" s="359">
        <f>'Func Future Lines 2015'!G90</f>
        <v>37092819.745882899</v>
      </c>
      <c r="H90" s="359" t="str">
        <f>'Func Future Lines 2015'!H90</f>
        <v>AltaLink</v>
      </c>
      <c r="I90" s="359">
        <f>'Func Future Lines 2015'!I90</f>
        <v>2017</v>
      </c>
      <c r="J90" s="361">
        <f>+IF($I90=J$3,VLOOKUP($H90,Depreciation!$A$6:$L$10,7,FALSE)/2,IF($I90&lt;J$3,VLOOKUP($H90,Depreciation!$A$6:$L$10,7,FALSE),0))</f>
        <v>0</v>
      </c>
      <c r="K90" s="361">
        <f>+IF($I90=K$3,VLOOKUP($H90,Depreciation!$A$6:$L$10,8,FALSE)/2,IF($I90&lt;K$3,VLOOKUP($H90,Depreciation!$A$6:$L$10,8,FALSE),0))</f>
        <v>0</v>
      </c>
      <c r="L90" s="361">
        <f>+IF($I90=L$3,VLOOKUP($H90,Depreciation!$A$6:$L$10,9,FALSE)/2,IF($I90&lt;L$3,VLOOKUP($H90,Depreciation!$A$6:$L$10,9,FALSE),0))</f>
        <v>1.5338181838063448E-2</v>
      </c>
      <c r="M90" s="361">
        <f>+IF($I90=M$3,VLOOKUP($H90,Depreciation!$A$6:$L$10,10,FALSE)/2,IF($I90&lt;M$3,VLOOKUP($H90,Depreciation!$A$6:$L$10,10,FALSE),0))</f>
        <v>3.0676363676126896E-2</v>
      </c>
      <c r="N90" s="361">
        <f>+IF($I90=N$3,VLOOKUP($H90,Depreciation!$A$6:$L$10,11,FALSE)/2,IF($I90&lt;N$3,VLOOKUP($H90,Depreciation!$A$6:$L$10,11,FALSE),0))</f>
        <v>3.0676363676126896E-2</v>
      </c>
      <c r="O90" s="361">
        <f>+IF($I90=O$3,VLOOKUP($H90,Depreciation!$A$6:$L$10,12,FALSE)/2,IF($I90&lt;O$3,VLOOKUP($H90,Depreciation!$A$6:$L$10,12,FALSE),0))</f>
        <v>3.0676363676126896E-2</v>
      </c>
      <c r="P90" s="362">
        <f t="shared" si="5"/>
        <v>36523883.331734039</v>
      </c>
      <c r="Q90" s="362">
        <f t="shared" si="6"/>
        <v>36523883.331734039</v>
      </c>
      <c r="R90" s="363">
        <f t="shared" si="7"/>
        <v>0</v>
      </c>
      <c r="Y90" s="365"/>
    </row>
    <row r="91" spans="1:25" ht="15" customHeight="1">
      <c r="A91" s="359" t="str">
        <f>'Func Future Lines 2015'!A91</f>
        <v>FINAL</v>
      </c>
      <c r="B91" s="359" t="str">
        <f>'Func Future Lines 2015'!B91</f>
        <v>768L/778L</v>
      </c>
      <c r="C91" s="359">
        <f>'Func Future Lines 2015'!C91</f>
        <v>813</v>
      </c>
      <c r="D91" s="359">
        <f>'Func Future Lines 2015'!D91</f>
        <v>138</v>
      </c>
      <c r="E91" s="359">
        <f>'Func Future Lines 2015'!E91</f>
        <v>0</v>
      </c>
      <c r="F91" s="359" t="str">
        <f>'Func Future Lines 2015'!F91</f>
        <v>Red_Deer</v>
      </c>
      <c r="G91" s="359">
        <f>'Func Future Lines 2015'!G91</f>
        <v>1301580.81090504</v>
      </c>
      <c r="H91" s="359" t="str">
        <f>'Func Future Lines 2015'!H91</f>
        <v>AltaLink</v>
      </c>
      <c r="I91" s="359">
        <f>'Func Future Lines 2015'!I91</f>
        <v>2017</v>
      </c>
      <c r="J91" s="361">
        <f>+IF($I91=J$3,VLOOKUP($H91,Depreciation!$A$6:$L$10,7,FALSE)/2,IF($I91&lt;J$3,VLOOKUP($H91,Depreciation!$A$6:$L$10,7,FALSE),0))</f>
        <v>0</v>
      </c>
      <c r="K91" s="361">
        <f>+IF($I91=K$3,VLOOKUP($H91,Depreciation!$A$6:$L$10,8,FALSE)/2,IF($I91&lt;K$3,VLOOKUP($H91,Depreciation!$A$6:$L$10,8,FALSE),0))</f>
        <v>0</v>
      </c>
      <c r="L91" s="361">
        <f>+IF($I91=L$3,VLOOKUP($H91,Depreciation!$A$6:$L$10,9,FALSE)/2,IF($I91&lt;L$3,VLOOKUP($H91,Depreciation!$A$6:$L$10,9,FALSE),0))</f>
        <v>1.5338181838063448E-2</v>
      </c>
      <c r="M91" s="361">
        <f>+IF($I91=M$3,VLOOKUP($H91,Depreciation!$A$6:$L$10,10,FALSE)/2,IF($I91&lt;M$3,VLOOKUP($H91,Depreciation!$A$6:$L$10,10,FALSE),0))</f>
        <v>3.0676363676126896E-2</v>
      </c>
      <c r="N91" s="361">
        <f>+IF($I91=N$3,VLOOKUP($H91,Depreciation!$A$6:$L$10,11,FALSE)/2,IF($I91&lt;N$3,VLOOKUP($H91,Depreciation!$A$6:$L$10,11,FALSE),0))</f>
        <v>3.0676363676126896E-2</v>
      </c>
      <c r="O91" s="361">
        <f>+IF($I91=O$3,VLOOKUP($H91,Depreciation!$A$6:$L$10,12,FALSE)/2,IF($I91&lt;O$3,VLOOKUP($H91,Depreciation!$A$6:$L$10,12,FALSE),0))</f>
        <v>3.0676363676126896E-2</v>
      </c>
      <c r="P91" s="362">
        <f t="shared" si="5"/>
        <v>1281616.9277504445</v>
      </c>
      <c r="Q91" s="362">
        <f t="shared" si="6"/>
        <v>0</v>
      </c>
      <c r="R91" s="363">
        <f t="shared" si="7"/>
        <v>1281616.9277504445</v>
      </c>
      <c r="Y91" s="365"/>
    </row>
    <row r="92" spans="1:25" ht="15" customHeight="1">
      <c r="A92" s="359" t="str">
        <f>'Func Future Lines 2015'!A92</f>
        <v>FINAL</v>
      </c>
      <c r="B92" s="359" t="str">
        <f>'Func Future Lines 2015'!B92</f>
        <v>80L</v>
      </c>
      <c r="C92" s="359">
        <f>'Func Future Lines 2015'!C92</f>
        <v>813</v>
      </c>
      <c r="D92" s="359">
        <f>'Func Future Lines 2015'!D92</f>
        <v>138</v>
      </c>
      <c r="E92" s="359">
        <f>'Func Future Lines 2015'!E92</f>
        <v>0</v>
      </c>
      <c r="F92" s="359" t="str">
        <f>'Func Future Lines 2015'!F92</f>
        <v>Red_Deer</v>
      </c>
      <c r="G92" s="359">
        <f>'Func Future Lines 2015'!G92</f>
        <v>629225.31498373614</v>
      </c>
      <c r="H92" s="359" t="str">
        <f>'Func Future Lines 2015'!H92</f>
        <v>AltaLink</v>
      </c>
      <c r="I92" s="359">
        <f>'Func Future Lines 2015'!I92</f>
        <v>2017</v>
      </c>
      <c r="J92" s="361">
        <f>+IF($I92=J$3,VLOOKUP($H92,Depreciation!$A$6:$L$10,7,FALSE)/2,IF($I92&lt;J$3,VLOOKUP($H92,Depreciation!$A$6:$L$10,7,FALSE),0))</f>
        <v>0</v>
      </c>
      <c r="K92" s="361">
        <f>+IF($I92=K$3,VLOOKUP($H92,Depreciation!$A$6:$L$10,8,FALSE)/2,IF($I92&lt;K$3,VLOOKUP($H92,Depreciation!$A$6:$L$10,8,FALSE),0))</f>
        <v>0</v>
      </c>
      <c r="L92" s="361">
        <f>+IF($I92=L$3,VLOOKUP($H92,Depreciation!$A$6:$L$10,9,FALSE)/2,IF($I92&lt;L$3,VLOOKUP($H92,Depreciation!$A$6:$L$10,9,FALSE),0))</f>
        <v>1.5338181838063448E-2</v>
      </c>
      <c r="M92" s="361">
        <f>+IF($I92=M$3,VLOOKUP($H92,Depreciation!$A$6:$L$10,10,FALSE)/2,IF($I92&lt;M$3,VLOOKUP($H92,Depreciation!$A$6:$L$10,10,FALSE),0))</f>
        <v>3.0676363676126896E-2</v>
      </c>
      <c r="N92" s="361">
        <f>+IF($I92=N$3,VLOOKUP($H92,Depreciation!$A$6:$L$10,11,FALSE)/2,IF($I92&lt;N$3,VLOOKUP($H92,Depreciation!$A$6:$L$10,11,FALSE),0))</f>
        <v>3.0676363676126896E-2</v>
      </c>
      <c r="O92" s="361">
        <f>+IF($I92=O$3,VLOOKUP($H92,Depreciation!$A$6:$L$10,12,FALSE)/2,IF($I92&lt;O$3,VLOOKUP($H92,Depreciation!$A$6:$L$10,12,FALSE),0))</f>
        <v>3.0676363676126896E-2</v>
      </c>
      <c r="P92" s="362">
        <f t="shared" si="5"/>
        <v>619574.14268540288</v>
      </c>
      <c r="Q92" s="362">
        <f t="shared" si="6"/>
        <v>0</v>
      </c>
      <c r="R92" s="363">
        <f t="shared" si="7"/>
        <v>619574.14268540288</v>
      </c>
      <c r="Y92" s="365"/>
    </row>
    <row r="93" spans="1:25" ht="15" customHeight="1">
      <c r="A93" s="359" t="str">
        <f>'Func Future Lines 2015'!A93</f>
        <v>PPS</v>
      </c>
      <c r="B93" s="359" t="str">
        <f>'Func Future Lines 2015'!B93</f>
        <v>80L (GD)</v>
      </c>
      <c r="C93" s="359">
        <f>'Func Future Lines 2015'!C93</f>
        <v>813</v>
      </c>
      <c r="D93" s="359">
        <f>'Func Future Lines 2015'!D93</f>
        <v>138</v>
      </c>
      <c r="E93" s="359">
        <f>'Func Future Lines 2015'!E93</f>
        <v>0</v>
      </c>
      <c r="F93" s="359" t="str">
        <f>'Func Future Lines 2015'!F93</f>
        <v>Red_Deer</v>
      </c>
      <c r="G93" s="359">
        <f>'Func Future Lines 2015'!G93</f>
        <v>442355.47350755217</v>
      </c>
      <c r="H93" s="359" t="str">
        <f>'Func Future Lines 2015'!H93</f>
        <v>AltaLink</v>
      </c>
      <c r="I93" s="359">
        <f>'Func Future Lines 2015'!I93</f>
        <v>2017</v>
      </c>
      <c r="J93" s="361">
        <f>+IF($I93=J$3,VLOOKUP($H93,Depreciation!$A$6:$L$10,7,FALSE)/2,IF($I93&lt;J$3,VLOOKUP($H93,Depreciation!$A$6:$L$10,7,FALSE),0))</f>
        <v>0</v>
      </c>
      <c r="K93" s="361">
        <f>+IF($I93=K$3,VLOOKUP($H93,Depreciation!$A$6:$L$10,8,FALSE)/2,IF($I93&lt;K$3,VLOOKUP($H93,Depreciation!$A$6:$L$10,8,FALSE),0))</f>
        <v>0</v>
      </c>
      <c r="L93" s="361">
        <f>+IF($I93=L$3,VLOOKUP($H93,Depreciation!$A$6:$L$10,9,FALSE)/2,IF($I93&lt;L$3,VLOOKUP($H93,Depreciation!$A$6:$L$10,9,FALSE),0))</f>
        <v>1.5338181838063448E-2</v>
      </c>
      <c r="M93" s="361">
        <f>+IF($I93=M$3,VLOOKUP($H93,Depreciation!$A$6:$L$10,10,FALSE)/2,IF($I93&lt;M$3,VLOOKUP($H93,Depreciation!$A$6:$L$10,10,FALSE),0))</f>
        <v>3.0676363676126896E-2</v>
      </c>
      <c r="N93" s="361">
        <f>+IF($I93=N$3,VLOOKUP($H93,Depreciation!$A$6:$L$10,11,FALSE)/2,IF($I93&lt;N$3,VLOOKUP($H93,Depreciation!$A$6:$L$10,11,FALSE),0))</f>
        <v>3.0676363676126896E-2</v>
      </c>
      <c r="O93" s="361">
        <f>+IF($I93=O$3,VLOOKUP($H93,Depreciation!$A$6:$L$10,12,FALSE)/2,IF($I93&lt;O$3,VLOOKUP($H93,Depreciation!$A$6:$L$10,12,FALSE),0))</f>
        <v>3.0676363676126896E-2</v>
      </c>
      <c r="P93" s="362">
        <f t="shared" si="5"/>
        <v>435570.54481783067</v>
      </c>
      <c r="Q93" s="362">
        <f t="shared" si="6"/>
        <v>0</v>
      </c>
      <c r="R93" s="363">
        <f t="shared" si="7"/>
        <v>435570.54481783067</v>
      </c>
      <c r="Y93" s="365"/>
    </row>
    <row r="94" spans="1:25" ht="15" customHeight="1">
      <c r="A94" s="359" t="str">
        <f>'Func Future Lines 2015'!A94</f>
        <v>PPS</v>
      </c>
      <c r="B94" s="359" t="str">
        <f>'Func Future Lines 2015'!B94</f>
        <v>80L North (425L)</v>
      </c>
      <c r="C94" s="359">
        <f>'Func Future Lines 2015'!C94</f>
        <v>813</v>
      </c>
      <c r="D94" s="359">
        <f>'Func Future Lines 2015'!D94</f>
        <v>138</v>
      </c>
      <c r="E94" s="359">
        <f>'Func Future Lines 2015'!E94</f>
        <v>0</v>
      </c>
      <c r="F94" s="359" t="str">
        <f>'Func Future Lines 2015'!F94</f>
        <v>Red_Deer</v>
      </c>
      <c r="G94" s="359">
        <f>'Func Future Lines 2015'!G94</f>
        <v>14334305.158686891</v>
      </c>
      <c r="H94" s="359" t="str">
        <f>'Func Future Lines 2015'!H94</f>
        <v>AltaLink</v>
      </c>
      <c r="I94" s="359">
        <f>'Func Future Lines 2015'!I94</f>
        <v>2017</v>
      </c>
      <c r="J94" s="361">
        <f>+IF($I94=J$3,VLOOKUP($H94,Depreciation!$A$6:$L$10,7,FALSE)/2,IF($I94&lt;J$3,VLOOKUP($H94,Depreciation!$A$6:$L$10,7,FALSE),0))</f>
        <v>0</v>
      </c>
      <c r="K94" s="361">
        <f>+IF($I94=K$3,VLOOKUP($H94,Depreciation!$A$6:$L$10,8,FALSE)/2,IF($I94&lt;K$3,VLOOKUP($H94,Depreciation!$A$6:$L$10,8,FALSE),0))</f>
        <v>0</v>
      </c>
      <c r="L94" s="361">
        <f>+IF($I94=L$3,VLOOKUP($H94,Depreciation!$A$6:$L$10,9,FALSE)/2,IF($I94&lt;L$3,VLOOKUP($H94,Depreciation!$A$6:$L$10,9,FALSE),0))</f>
        <v>1.5338181838063448E-2</v>
      </c>
      <c r="M94" s="361">
        <f>+IF($I94=M$3,VLOOKUP($H94,Depreciation!$A$6:$L$10,10,FALSE)/2,IF($I94&lt;M$3,VLOOKUP($H94,Depreciation!$A$6:$L$10,10,FALSE),0))</f>
        <v>3.0676363676126896E-2</v>
      </c>
      <c r="N94" s="361">
        <f>+IF($I94=N$3,VLOOKUP($H94,Depreciation!$A$6:$L$10,11,FALSE)/2,IF($I94&lt;N$3,VLOOKUP($H94,Depreciation!$A$6:$L$10,11,FALSE),0))</f>
        <v>3.0676363676126896E-2</v>
      </c>
      <c r="O94" s="361">
        <f>+IF($I94=O$3,VLOOKUP($H94,Depreciation!$A$6:$L$10,12,FALSE)/2,IF($I94&lt;O$3,VLOOKUP($H94,Depreciation!$A$6:$L$10,12,FALSE),0))</f>
        <v>3.0676363676126896E-2</v>
      </c>
      <c r="P94" s="362">
        <f t="shared" si="5"/>
        <v>14114442.979640661</v>
      </c>
      <c r="Q94" s="362">
        <f t="shared" si="6"/>
        <v>0</v>
      </c>
      <c r="R94" s="363">
        <f t="shared" si="7"/>
        <v>14114442.979640661</v>
      </c>
      <c r="Y94" s="365"/>
    </row>
    <row r="95" spans="1:25" ht="15" customHeight="1">
      <c r="A95" s="359" t="str">
        <f>'Func Future Lines 2015'!A95</f>
        <v>PPS</v>
      </c>
      <c r="B95" s="359" t="str">
        <f>'Func Future Lines 2015'!B95</f>
        <v>80L South (426L)</v>
      </c>
      <c r="C95" s="359">
        <f>'Func Future Lines 2015'!C95</f>
        <v>813</v>
      </c>
      <c r="D95" s="359">
        <f>'Func Future Lines 2015'!D95</f>
        <v>138</v>
      </c>
      <c r="E95" s="359">
        <f>'Func Future Lines 2015'!E95</f>
        <v>0</v>
      </c>
      <c r="F95" s="359" t="str">
        <f>'Func Future Lines 2015'!F95</f>
        <v>Red_Deer</v>
      </c>
      <c r="G95" s="359">
        <f>'Func Future Lines 2015'!G95</f>
        <v>10724430.608572371</v>
      </c>
      <c r="H95" s="359" t="str">
        <f>'Func Future Lines 2015'!H95</f>
        <v>AltaLink</v>
      </c>
      <c r="I95" s="359">
        <f>'Func Future Lines 2015'!I95</f>
        <v>2017</v>
      </c>
      <c r="J95" s="361">
        <f>+IF($I95=J$3,VLOOKUP($H95,Depreciation!$A$6:$L$10,7,FALSE)/2,IF($I95&lt;J$3,VLOOKUP($H95,Depreciation!$A$6:$L$10,7,FALSE),0))</f>
        <v>0</v>
      </c>
      <c r="K95" s="361">
        <f>+IF($I95=K$3,VLOOKUP($H95,Depreciation!$A$6:$L$10,8,FALSE)/2,IF($I95&lt;K$3,VLOOKUP($H95,Depreciation!$A$6:$L$10,8,FALSE),0))</f>
        <v>0</v>
      </c>
      <c r="L95" s="361">
        <f>+IF($I95=L$3,VLOOKUP($H95,Depreciation!$A$6:$L$10,9,FALSE)/2,IF($I95&lt;L$3,VLOOKUP($H95,Depreciation!$A$6:$L$10,9,FALSE),0))</f>
        <v>1.5338181838063448E-2</v>
      </c>
      <c r="M95" s="361">
        <f>+IF($I95=M$3,VLOOKUP($H95,Depreciation!$A$6:$L$10,10,FALSE)/2,IF($I95&lt;M$3,VLOOKUP($H95,Depreciation!$A$6:$L$10,10,FALSE),0))</f>
        <v>3.0676363676126896E-2</v>
      </c>
      <c r="N95" s="361">
        <f>+IF($I95=N$3,VLOOKUP($H95,Depreciation!$A$6:$L$10,11,FALSE)/2,IF($I95&lt;N$3,VLOOKUP($H95,Depreciation!$A$6:$L$10,11,FALSE),0))</f>
        <v>3.0676363676126896E-2</v>
      </c>
      <c r="O95" s="361">
        <f>+IF($I95=O$3,VLOOKUP($H95,Depreciation!$A$6:$L$10,12,FALSE)/2,IF($I95&lt;O$3,VLOOKUP($H95,Depreciation!$A$6:$L$10,12,FALSE),0))</f>
        <v>3.0676363676126896E-2</v>
      </c>
      <c r="P95" s="362">
        <f t="shared" si="5"/>
        <v>10559937.341788394</v>
      </c>
      <c r="Q95" s="362">
        <f t="shared" si="6"/>
        <v>0</v>
      </c>
      <c r="R95" s="363">
        <f t="shared" si="7"/>
        <v>10559937.341788394</v>
      </c>
      <c r="Y95" s="365"/>
    </row>
    <row r="96" spans="1:25" ht="15" customHeight="1">
      <c r="A96" s="359" t="str">
        <f>'Func Future Lines 2015'!A96</f>
        <v>PPS</v>
      </c>
      <c r="B96" s="359" t="str">
        <f>'Func Future Lines 2015'!B96</f>
        <v>80L underground</v>
      </c>
      <c r="C96" s="359">
        <f>'Func Future Lines 2015'!C96</f>
        <v>813</v>
      </c>
      <c r="D96" s="359">
        <f>'Func Future Lines 2015'!D96</f>
        <v>138</v>
      </c>
      <c r="E96" s="359">
        <f>'Func Future Lines 2015'!E96</f>
        <v>0</v>
      </c>
      <c r="F96" s="359" t="str">
        <f>'Func Future Lines 2015'!F96</f>
        <v>Red_Deer</v>
      </c>
      <c r="G96" s="359">
        <f>'Func Future Lines 2015'!G96</f>
        <v>8700999.9999999944</v>
      </c>
      <c r="H96" s="359" t="str">
        <f>'Func Future Lines 2015'!H96</f>
        <v>AltaLink</v>
      </c>
      <c r="I96" s="359">
        <f>'Func Future Lines 2015'!I96</f>
        <v>2017</v>
      </c>
      <c r="J96" s="361">
        <f>+IF($I96=J$3,VLOOKUP($H96,Depreciation!$A$6:$L$10,7,FALSE)/2,IF($I96&lt;J$3,VLOOKUP($H96,Depreciation!$A$6:$L$10,7,FALSE),0))</f>
        <v>0</v>
      </c>
      <c r="K96" s="361">
        <f>+IF($I96=K$3,VLOOKUP($H96,Depreciation!$A$6:$L$10,8,FALSE)/2,IF($I96&lt;K$3,VLOOKUP($H96,Depreciation!$A$6:$L$10,8,FALSE),0))</f>
        <v>0</v>
      </c>
      <c r="L96" s="361">
        <f>+IF($I96=L$3,VLOOKUP($H96,Depreciation!$A$6:$L$10,9,FALSE)/2,IF($I96&lt;L$3,VLOOKUP($H96,Depreciation!$A$6:$L$10,9,FALSE),0))</f>
        <v>1.5338181838063448E-2</v>
      </c>
      <c r="M96" s="361">
        <f>+IF($I96=M$3,VLOOKUP($H96,Depreciation!$A$6:$L$10,10,FALSE)/2,IF($I96&lt;M$3,VLOOKUP($H96,Depreciation!$A$6:$L$10,10,FALSE),0))</f>
        <v>3.0676363676126896E-2</v>
      </c>
      <c r="N96" s="361">
        <f>+IF($I96=N$3,VLOOKUP($H96,Depreciation!$A$6:$L$10,11,FALSE)/2,IF($I96&lt;N$3,VLOOKUP($H96,Depreciation!$A$6:$L$10,11,FALSE),0))</f>
        <v>3.0676363676126896E-2</v>
      </c>
      <c r="O96" s="361">
        <f>+IF($I96=O$3,VLOOKUP($H96,Depreciation!$A$6:$L$10,12,FALSE)/2,IF($I96&lt;O$3,VLOOKUP($H96,Depreciation!$A$6:$L$10,12,FALSE),0))</f>
        <v>3.0676363676126896E-2</v>
      </c>
      <c r="P96" s="362">
        <f t="shared" si="5"/>
        <v>8567542.4798270036</v>
      </c>
      <c r="Q96" s="362">
        <f t="shared" si="6"/>
        <v>0</v>
      </c>
      <c r="R96" s="363">
        <f t="shared" si="7"/>
        <v>8567542.4798270036</v>
      </c>
      <c r="Y96" s="365"/>
    </row>
    <row r="97" spans="1:25" ht="15" customHeight="1">
      <c r="A97" s="359" t="str">
        <f>'Func Future Lines 2015'!A97</f>
        <v>PPS</v>
      </c>
      <c r="B97" s="359" t="str">
        <f>'Func Future Lines 2015'!B97</f>
        <v>883L</v>
      </c>
      <c r="C97" s="359">
        <f>'Func Future Lines 2015'!C97</f>
        <v>813</v>
      </c>
      <c r="D97" s="359">
        <f>'Func Future Lines 2015'!D97</f>
        <v>138</v>
      </c>
      <c r="E97" s="359">
        <f>'Func Future Lines 2015'!E97</f>
        <v>0</v>
      </c>
      <c r="F97" s="359" t="str">
        <f>'Func Future Lines 2015'!F97</f>
        <v>Red_Deer</v>
      </c>
      <c r="G97" s="359">
        <f>'Func Future Lines 2015'!G97</f>
        <v>2041375.8427235677</v>
      </c>
      <c r="H97" s="359" t="str">
        <f>'Func Future Lines 2015'!H97</f>
        <v>AltaLink</v>
      </c>
      <c r="I97" s="359">
        <f>'Func Future Lines 2015'!I97</f>
        <v>2017</v>
      </c>
      <c r="J97" s="361">
        <f>+IF($I97=J$3,VLOOKUP($H97,Depreciation!$A$6:$L$10,7,FALSE)/2,IF($I97&lt;J$3,VLOOKUP($H97,Depreciation!$A$6:$L$10,7,FALSE),0))</f>
        <v>0</v>
      </c>
      <c r="K97" s="361">
        <f>+IF($I97=K$3,VLOOKUP($H97,Depreciation!$A$6:$L$10,8,FALSE)/2,IF($I97&lt;K$3,VLOOKUP($H97,Depreciation!$A$6:$L$10,8,FALSE),0))</f>
        <v>0</v>
      </c>
      <c r="L97" s="361">
        <f>+IF($I97=L$3,VLOOKUP($H97,Depreciation!$A$6:$L$10,9,FALSE)/2,IF($I97&lt;L$3,VLOOKUP($H97,Depreciation!$A$6:$L$10,9,FALSE),0))</f>
        <v>1.5338181838063448E-2</v>
      </c>
      <c r="M97" s="361">
        <f>+IF($I97=M$3,VLOOKUP($H97,Depreciation!$A$6:$L$10,10,FALSE)/2,IF($I97&lt;M$3,VLOOKUP($H97,Depreciation!$A$6:$L$10,10,FALSE),0))</f>
        <v>3.0676363676126896E-2</v>
      </c>
      <c r="N97" s="361">
        <f>+IF($I97=N$3,VLOOKUP($H97,Depreciation!$A$6:$L$10,11,FALSE)/2,IF($I97&lt;N$3,VLOOKUP($H97,Depreciation!$A$6:$L$10,11,FALSE),0))</f>
        <v>3.0676363676126896E-2</v>
      </c>
      <c r="O97" s="361">
        <f>+IF($I97=O$3,VLOOKUP($H97,Depreciation!$A$6:$L$10,12,FALSE)/2,IF($I97&lt;O$3,VLOOKUP($H97,Depreciation!$A$6:$L$10,12,FALSE),0))</f>
        <v>3.0676363676126896E-2</v>
      </c>
      <c r="P97" s="362">
        <f t="shared" si="5"/>
        <v>2010064.8488480437</v>
      </c>
      <c r="Q97" s="362">
        <f t="shared" si="6"/>
        <v>0</v>
      </c>
      <c r="R97" s="363">
        <f t="shared" si="7"/>
        <v>2010064.8488480437</v>
      </c>
      <c r="Y97" s="365"/>
    </row>
    <row r="98" spans="1:25" ht="15" customHeight="1">
      <c r="A98" s="359" t="str">
        <f>'Func Future Lines 2015'!A98</f>
        <v>PPS</v>
      </c>
      <c r="B98" s="359" t="str">
        <f>'Func Future Lines 2015'!B98</f>
        <v>910L/1083L</v>
      </c>
      <c r="C98" s="359">
        <f>'Func Future Lines 2015'!C98</f>
        <v>813</v>
      </c>
      <c r="D98" s="359">
        <f>'Func Future Lines 2015'!D98</f>
        <v>240</v>
      </c>
      <c r="E98" s="359">
        <f>'Func Future Lines 2015'!E98</f>
        <v>0</v>
      </c>
      <c r="F98" s="359" t="str">
        <f>'Func Future Lines 2015'!F98</f>
        <v>Red_Deer</v>
      </c>
      <c r="G98" s="359">
        <f>'Func Future Lines 2015'!G98</f>
        <v>1595577.9141692643</v>
      </c>
      <c r="H98" s="359" t="str">
        <f>'Func Future Lines 2015'!H98</f>
        <v>AltaLink</v>
      </c>
      <c r="I98" s="359">
        <f>'Func Future Lines 2015'!I98</f>
        <v>2017</v>
      </c>
      <c r="J98" s="361">
        <f>+IF($I98=J$3,VLOOKUP($H98,Depreciation!$A$6:$L$10,7,FALSE)/2,IF($I98&lt;J$3,VLOOKUP($H98,Depreciation!$A$6:$L$10,7,FALSE),0))</f>
        <v>0</v>
      </c>
      <c r="K98" s="361">
        <f>+IF($I98=K$3,VLOOKUP($H98,Depreciation!$A$6:$L$10,8,FALSE)/2,IF($I98&lt;K$3,VLOOKUP($H98,Depreciation!$A$6:$L$10,8,FALSE),0))</f>
        <v>0</v>
      </c>
      <c r="L98" s="361">
        <f>+IF($I98=L$3,VLOOKUP($H98,Depreciation!$A$6:$L$10,9,FALSE)/2,IF($I98&lt;L$3,VLOOKUP($H98,Depreciation!$A$6:$L$10,9,FALSE),0))</f>
        <v>1.5338181838063448E-2</v>
      </c>
      <c r="M98" s="361">
        <f>+IF($I98=M$3,VLOOKUP($H98,Depreciation!$A$6:$L$10,10,FALSE)/2,IF($I98&lt;M$3,VLOOKUP($H98,Depreciation!$A$6:$L$10,10,FALSE),0))</f>
        <v>3.0676363676126896E-2</v>
      </c>
      <c r="N98" s="361">
        <f>+IF($I98=N$3,VLOOKUP($H98,Depreciation!$A$6:$L$10,11,FALSE)/2,IF($I98&lt;N$3,VLOOKUP($H98,Depreciation!$A$6:$L$10,11,FALSE),0))</f>
        <v>3.0676363676126896E-2</v>
      </c>
      <c r="O98" s="361">
        <f>+IF($I98=O$3,VLOOKUP($H98,Depreciation!$A$6:$L$10,12,FALSE)/2,IF($I98&lt;O$3,VLOOKUP($H98,Depreciation!$A$6:$L$10,12,FALSE),0))</f>
        <v>3.0676363676126896E-2</v>
      </c>
      <c r="P98" s="362">
        <f t="shared" si="5"/>
        <v>1571104.6499849381</v>
      </c>
      <c r="Q98" s="362">
        <f t="shared" si="6"/>
        <v>1571104.6499849381</v>
      </c>
      <c r="R98" s="363">
        <f t="shared" si="7"/>
        <v>0</v>
      </c>
      <c r="Y98" s="365"/>
    </row>
    <row r="99" spans="1:25" ht="15" customHeight="1">
      <c r="A99" s="359" t="str">
        <f>'Func Future Lines 2015'!A99</f>
        <v>PPS</v>
      </c>
      <c r="B99" s="359" t="str">
        <f>'Func Future Lines 2015'!B99</f>
        <v>910L/1083L</v>
      </c>
      <c r="C99" s="359">
        <f>'Func Future Lines 2015'!C99</f>
        <v>813</v>
      </c>
      <c r="D99" s="359">
        <f>'Func Future Lines 2015'!D99</f>
        <v>240</v>
      </c>
      <c r="E99" s="359">
        <f>'Func Future Lines 2015'!E99</f>
        <v>0</v>
      </c>
      <c r="F99" s="359" t="str">
        <f>'Func Future Lines 2015'!F99</f>
        <v>Red_Deer</v>
      </c>
      <c r="G99" s="359">
        <f>'Func Future Lines 2015'!G99</f>
        <v>1626560.0095900265</v>
      </c>
      <c r="H99" s="359" t="str">
        <f>'Func Future Lines 2015'!H99</f>
        <v>AltaLink</v>
      </c>
      <c r="I99" s="359">
        <f>'Func Future Lines 2015'!I99</f>
        <v>2017</v>
      </c>
      <c r="J99" s="361">
        <f>+IF($I99=J$3,VLOOKUP($H99,Depreciation!$A$6:$L$10,7,FALSE)/2,IF($I99&lt;J$3,VLOOKUP($H99,Depreciation!$A$6:$L$10,7,FALSE),0))</f>
        <v>0</v>
      </c>
      <c r="K99" s="361">
        <f>+IF($I99=K$3,VLOOKUP($H99,Depreciation!$A$6:$L$10,8,FALSE)/2,IF($I99&lt;K$3,VLOOKUP($H99,Depreciation!$A$6:$L$10,8,FALSE),0))</f>
        <v>0</v>
      </c>
      <c r="L99" s="361">
        <f>+IF($I99=L$3,VLOOKUP($H99,Depreciation!$A$6:$L$10,9,FALSE)/2,IF($I99&lt;L$3,VLOOKUP($H99,Depreciation!$A$6:$L$10,9,FALSE),0))</f>
        <v>1.5338181838063448E-2</v>
      </c>
      <c r="M99" s="361">
        <f>+IF($I99=M$3,VLOOKUP($H99,Depreciation!$A$6:$L$10,10,FALSE)/2,IF($I99&lt;M$3,VLOOKUP($H99,Depreciation!$A$6:$L$10,10,FALSE),0))</f>
        <v>3.0676363676126896E-2</v>
      </c>
      <c r="N99" s="361">
        <f>+IF($I99=N$3,VLOOKUP($H99,Depreciation!$A$6:$L$10,11,FALSE)/2,IF($I99&lt;N$3,VLOOKUP($H99,Depreciation!$A$6:$L$10,11,FALSE),0))</f>
        <v>3.0676363676126896E-2</v>
      </c>
      <c r="O99" s="361">
        <f>+IF($I99=O$3,VLOOKUP($H99,Depreciation!$A$6:$L$10,12,FALSE)/2,IF($I99&lt;O$3,VLOOKUP($H99,Depreciation!$A$6:$L$10,12,FALSE),0))</f>
        <v>3.0676363676126896E-2</v>
      </c>
      <c r="P99" s="362">
        <f t="shared" si="5"/>
        <v>1601611.5363924124</v>
      </c>
      <c r="Q99" s="362">
        <f t="shared" si="6"/>
        <v>1601611.5363924124</v>
      </c>
      <c r="R99" s="363">
        <f t="shared" si="7"/>
        <v>0</v>
      </c>
      <c r="Y99" s="365"/>
    </row>
    <row r="100" spans="1:25" ht="15" customHeight="1">
      <c r="A100" s="359" t="str">
        <f>'Func Future Lines 2015'!A100</f>
        <v>PPS</v>
      </c>
      <c r="B100" s="359" t="str">
        <f>'Func Future Lines 2015'!B100</f>
        <v>918L/1081L</v>
      </c>
      <c r="C100" s="359">
        <f>'Func Future Lines 2015'!C100</f>
        <v>813</v>
      </c>
      <c r="D100" s="359">
        <f>'Func Future Lines 2015'!D100</f>
        <v>240</v>
      </c>
      <c r="E100" s="359">
        <f>'Func Future Lines 2015'!E100</f>
        <v>0</v>
      </c>
      <c r="F100" s="359" t="str">
        <f>'Func Future Lines 2015'!F100</f>
        <v>Red_Deer</v>
      </c>
      <c r="G100" s="359">
        <f>'Func Future Lines 2015'!G100</f>
        <v>1543941.0884679935</v>
      </c>
      <c r="H100" s="359" t="str">
        <f>'Func Future Lines 2015'!H100</f>
        <v>AltaLink</v>
      </c>
      <c r="I100" s="359">
        <f>'Func Future Lines 2015'!I100</f>
        <v>2017</v>
      </c>
      <c r="J100" s="361">
        <f>+IF($I100=J$3,VLOOKUP($H100,Depreciation!$A$6:$L$10,7,FALSE)/2,IF($I100&lt;J$3,VLOOKUP($H100,Depreciation!$A$6:$L$10,7,FALSE),0))</f>
        <v>0</v>
      </c>
      <c r="K100" s="361">
        <f>+IF($I100=K$3,VLOOKUP($H100,Depreciation!$A$6:$L$10,8,FALSE)/2,IF($I100&lt;K$3,VLOOKUP($H100,Depreciation!$A$6:$L$10,8,FALSE),0))</f>
        <v>0</v>
      </c>
      <c r="L100" s="361">
        <f>+IF($I100=L$3,VLOOKUP($H100,Depreciation!$A$6:$L$10,9,FALSE)/2,IF($I100&lt;L$3,VLOOKUP($H100,Depreciation!$A$6:$L$10,9,FALSE),0))</f>
        <v>1.5338181838063448E-2</v>
      </c>
      <c r="M100" s="361">
        <f>+IF($I100=M$3,VLOOKUP($H100,Depreciation!$A$6:$L$10,10,FALSE)/2,IF($I100&lt;M$3,VLOOKUP($H100,Depreciation!$A$6:$L$10,10,FALSE),0))</f>
        <v>3.0676363676126896E-2</v>
      </c>
      <c r="N100" s="361">
        <f>+IF($I100=N$3,VLOOKUP($H100,Depreciation!$A$6:$L$10,11,FALSE)/2,IF($I100&lt;N$3,VLOOKUP($H100,Depreciation!$A$6:$L$10,11,FALSE),0))</f>
        <v>3.0676363676126896E-2</v>
      </c>
      <c r="O100" s="361">
        <f>+IF($I100=O$3,VLOOKUP($H100,Depreciation!$A$6:$L$10,12,FALSE)/2,IF($I100&lt;O$3,VLOOKUP($H100,Depreciation!$A$6:$L$10,12,FALSE),0))</f>
        <v>3.0676363676126896E-2</v>
      </c>
      <c r="P100" s="362">
        <f t="shared" si="5"/>
        <v>1520259.8393058139</v>
      </c>
      <c r="Q100" s="362">
        <f t="shared" si="6"/>
        <v>1520259.8393058139</v>
      </c>
      <c r="R100" s="363">
        <f t="shared" si="7"/>
        <v>0</v>
      </c>
      <c r="Y100" s="365"/>
    </row>
    <row r="101" spans="1:25" ht="15" customHeight="1">
      <c r="A101" s="359" t="str">
        <f>'Func Future Lines 2015'!A101</f>
        <v>PPS</v>
      </c>
      <c r="B101" s="359" t="str">
        <f>'Func Future Lines 2015'!B101</f>
        <v>918L/1081L</v>
      </c>
      <c r="C101" s="359">
        <f>'Func Future Lines 2015'!C101</f>
        <v>813</v>
      </c>
      <c r="D101" s="359">
        <f>'Func Future Lines 2015'!D101</f>
        <v>240</v>
      </c>
      <c r="E101" s="359">
        <f>'Func Future Lines 2015'!E101</f>
        <v>0</v>
      </c>
      <c r="F101" s="359" t="str">
        <f>'Func Future Lines 2015'!F101</f>
        <v>Red_Deer</v>
      </c>
      <c r="G101" s="359">
        <f>'Func Future Lines 2015'!G101</f>
        <v>1657542.1050107889</v>
      </c>
      <c r="H101" s="359" t="str">
        <f>'Func Future Lines 2015'!H101</f>
        <v>AltaLink</v>
      </c>
      <c r="I101" s="359">
        <f>'Func Future Lines 2015'!I101</f>
        <v>2017</v>
      </c>
      <c r="J101" s="361">
        <f>+IF($I101=J$3,VLOOKUP($H101,Depreciation!$A$6:$L$10,7,FALSE)/2,IF($I101&lt;J$3,VLOOKUP($H101,Depreciation!$A$6:$L$10,7,FALSE),0))</f>
        <v>0</v>
      </c>
      <c r="K101" s="361">
        <f>+IF($I101=K$3,VLOOKUP($H101,Depreciation!$A$6:$L$10,8,FALSE)/2,IF($I101&lt;K$3,VLOOKUP($H101,Depreciation!$A$6:$L$10,8,FALSE),0))</f>
        <v>0</v>
      </c>
      <c r="L101" s="361">
        <f>+IF($I101=L$3,VLOOKUP($H101,Depreciation!$A$6:$L$10,9,FALSE)/2,IF($I101&lt;L$3,VLOOKUP($H101,Depreciation!$A$6:$L$10,9,FALSE),0))</f>
        <v>1.5338181838063448E-2</v>
      </c>
      <c r="M101" s="361">
        <f>+IF($I101=M$3,VLOOKUP($H101,Depreciation!$A$6:$L$10,10,FALSE)/2,IF($I101&lt;M$3,VLOOKUP($H101,Depreciation!$A$6:$L$10,10,FALSE),0))</f>
        <v>3.0676363676126896E-2</v>
      </c>
      <c r="N101" s="361">
        <f>+IF($I101=N$3,VLOOKUP($H101,Depreciation!$A$6:$L$10,11,FALSE)/2,IF($I101&lt;N$3,VLOOKUP($H101,Depreciation!$A$6:$L$10,11,FALSE),0))</f>
        <v>3.0676363676126896E-2</v>
      </c>
      <c r="O101" s="361">
        <f>+IF($I101=O$3,VLOOKUP($H101,Depreciation!$A$6:$L$10,12,FALSE)/2,IF($I101&lt;O$3,VLOOKUP($H101,Depreciation!$A$6:$L$10,12,FALSE),0))</f>
        <v>3.0676363676126896E-2</v>
      </c>
      <c r="P101" s="362">
        <f t="shared" si="5"/>
        <v>1632118.4227998869</v>
      </c>
      <c r="Q101" s="362">
        <f t="shared" si="6"/>
        <v>1632118.4227998869</v>
      </c>
      <c r="R101" s="363">
        <f t="shared" si="7"/>
        <v>0</v>
      </c>
      <c r="Y101" s="365"/>
    </row>
    <row r="102" spans="1:25" ht="15" customHeight="1">
      <c r="A102" s="359" t="str">
        <f>'Func Future Lines 2015'!A102</f>
        <v>PPS</v>
      </c>
      <c r="B102" s="359" t="str">
        <f>'Func Future Lines 2015'!B102</f>
        <v>929L/1082L</v>
      </c>
      <c r="C102" s="359">
        <f>'Func Future Lines 2015'!C102</f>
        <v>813</v>
      </c>
      <c r="D102" s="359">
        <f>'Func Future Lines 2015'!D102</f>
        <v>240</v>
      </c>
      <c r="E102" s="359">
        <f>'Func Future Lines 2015'!E102</f>
        <v>0</v>
      </c>
      <c r="F102" s="359" t="str">
        <f>'Func Future Lines 2015'!F102</f>
        <v>Red_Deer</v>
      </c>
      <c r="G102" s="359">
        <f>'Func Future Lines 2015'!G102</f>
        <v>1650657.1949172863</v>
      </c>
      <c r="H102" s="359" t="str">
        <f>'Func Future Lines 2015'!H102</f>
        <v>AltaLink</v>
      </c>
      <c r="I102" s="359">
        <f>'Func Future Lines 2015'!I102</f>
        <v>2017</v>
      </c>
      <c r="J102" s="361">
        <f>+IF($I102=J$3,VLOOKUP($H102,Depreciation!$A$6:$L$10,7,FALSE)/2,IF($I102&lt;J$3,VLOOKUP($H102,Depreciation!$A$6:$L$10,7,FALSE),0))</f>
        <v>0</v>
      </c>
      <c r="K102" s="361">
        <f>+IF($I102=K$3,VLOOKUP($H102,Depreciation!$A$6:$L$10,8,FALSE)/2,IF($I102&lt;K$3,VLOOKUP($H102,Depreciation!$A$6:$L$10,8,FALSE),0))</f>
        <v>0</v>
      </c>
      <c r="L102" s="361">
        <f>+IF($I102=L$3,VLOOKUP($H102,Depreciation!$A$6:$L$10,9,FALSE)/2,IF($I102&lt;L$3,VLOOKUP($H102,Depreciation!$A$6:$L$10,9,FALSE),0))</f>
        <v>1.5338181838063448E-2</v>
      </c>
      <c r="M102" s="361">
        <f>+IF($I102=M$3,VLOOKUP($H102,Depreciation!$A$6:$L$10,10,FALSE)/2,IF($I102&lt;M$3,VLOOKUP($H102,Depreciation!$A$6:$L$10,10,FALSE),0))</f>
        <v>3.0676363676126896E-2</v>
      </c>
      <c r="N102" s="361">
        <f>+IF($I102=N$3,VLOOKUP($H102,Depreciation!$A$6:$L$10,11,FALSE)/2,IF($I102&lt;N$3,VLOOKUP($H102,Depreciation!$A$6:$L$10,11,FALSE),0))</f>
        <v>3.0676363676126896E-2</v>
      </c>
      <c r="O102" s="361">
        <f>+IF($I102=O$3,VLOOKUP($H102,Depreciation!$A$6:$L$10,12,FALSE)/2,IF($I102&lt;O$3,VLOOKUP($H102,Depreciation!$A$6:$L$10,12,FALSE),0))</f>
        <v>3.0676363676126896E-2</v>
      </c>
      <c r="P102" s="362">
        <f t="shared" si="5"/>
        <v>1625339.1147093372</v>
      </c>
      <c r="Q102" s="362">
        <f t="shared" si="6"/>
        <v>1625339.1147093372</v>
      </c>
      <c r="R102" s="363">
        <f t="shared" si="7"/>
        <v>0</v>
      </c>
      <c r="Y102" s="365"/>
    </row>
    <row r="103" spans="1:25" ht="15" customHeight="1">
      <c r="A103" s="359" t="str">
        <f>'Func Future Lines 2015'!A103</f>
        <v>PPS</v>
      </c>
      <c r="B103" s="359" t="str">
        <f>'Func Future Lines 2015'!B103</f>
        <v>929L/1082L</v>
      </c>
      <c r="C103" s="359">
        <f>'Func Future Lines 2015'!C103</f>
        <v>813</v>
      </c>
      <c r="D103" s="359">
        <f>'Func Future Lines 2015'!D103</f>
        <v>240</v>
      </c>
      <c r="E103" s="359">
        <f>'Func Future Lines 2015'!E103</f>
        <v>0</v>
      </c>
      <c r="F103" s="359" t="str">
        <f>'Func Future Lines 2015'!F103</f>
        <v>Red_Deer</v>
      </c>
      <c r="G103" s="359">
        <f>'Func Future Lines 2015'!G103</f>
        <v>1645493.5123471592</v>
      </c>
      <c r="H103" s="359" t="str">
        <f>'Func Future Lines 2015'!H103</f>
        <v>AltaLink</v>
      </c>
      <c r="I103" s="359">
        <f>'Func Future Lines 2015'!I103</f>
        <v>2017</v>
      </c>
      <c r="J103" s="361">
        <f>+IF($I103=J$3,VLOOKUP($H103,Depreciation!$A$6:$L$10,7,FALSE)/2,IF($I103&lt;J$3,VLOOKUP($H103,Depreciation!$A$6:$L$10,7,FALSE),0))</f>
        <v>0</v>
      </c>
      <c r="K103" s="361">
        <f>+IF($I103=K$3,VLOOKUP($H103,Depreciation!$A$6:$L$10,8,FALSE)/2,IF($I103&lt;K$3,VLOOKUP($H103,Depreciation!$A$6:$L$10,8,FALSE),0))</f>
        <v>0</v>
      </c>
      <c r="L103" s="361">
        <f>+IF($I103=L$3,VLOOKUP($H103,Depreciation!$A$6:$L$10,9,FALSE)/2,IF($I103&lt;L$3,VLOOKUP($H103,Depreciation!$A$6:$L$10,9,FALSE),0))</f>
        <v>1.5338181838063448E-2</v>
      </c>
      <c r="M103" s="361">
        <f>+IF($I103=M$3,VLOOKUP($H103,Depreciation!$A$6:$L$10,10,FALSE)/2,IF($I103&lt;M$3,VLOOKUP($H103,Depreciation!$A$6:$L$10,10,FALSE),0))</f>
        <v>3.0676363676126896E-2</v>
      </c>
      <c r="N103" s="361">
        <f>+IF($I103=N$3,VLOOKUP($H103,Depreciation!$A$6:$L$10,11,FALSE)/2,IF($I103&lt;N$3,VLOOKUP($H103,Depreciation!$A$6:$L$10,11,FALSE),0))</f>
        <v>3.0676363676126896E-2</v>
      </c>
      <c r="O103" s="361">
        <f>+IF($I103=O$3,VLOOKUP($H103,Depreciation!$A$6:$L$10,12,FALSE)/2,IF($I103&lt;O$3,VLOOKUP($H103,Depreciation!$A$6:$L$10,12,FALSE),0))</f>
        <v>3.0676363676126896E-2</v>
      </c>
      <c r="P103" s="362">
        <f t="shared" si="5"/>
        <v>1620254.6336414248</v>
      </c>
      <c r="Q103" s="362">
        <f t="shared" si="6"/>
        <v>1620254.6336414248</v>
      </c>
      <c r="R103" s="363">
        <f t="shared" si="7"/>
        <v>0</v>
      </c>
      <c r="Y103" s="365"/>
    </row>
    <row r="104" spans="1:25" ht="15" customHeight="1">
      <c r="A104" s="359" t="str">
        <f>'Func Future Lines 2015'!A104</f>
        <v>PPS</v>
      </c>
      <c r="B104" s="359" t="str">
        <f>'Func Future Lines 2015'!B104</f>
        <v>transmission line 166AL_(v2)</v>
      </c>
      <c r="C104" s="359">
        <f>'Func Future Lines 2015'!C104</f>
        <v>813</v>
      </c>
      <c r="D104" s="359">
        <f>'Func Future Lines 2015'!D104</f>
        <v>138</v>
      </c>
      <c r="E104" s="359">
        <f>'Func Future Lines 2015'!E104</f>
        <v>0</v>
      </c>
      <c r="F104" s="359" t="str">
        <f>'Func Future Lines 2015'!F104</f>
        <v>Red_Deer</v>
      </c>
      <c r="G104" s="359">
        <f>'Func Future Lines 2015'!G104</f>
        <v>178318.62548469054</v>
      </c>
      <c r="H104" s="359" t="str">
        <f>'Func Future Lines 2015'!H104</f>
        <v>AltaLink</v>
      </c>
      <c r="I104" s="359">
        <f>'Func Future Lines 2015'!I104</f>
        <v>2017</v>
      </c>
      <c r="J104" s="361">
        <f>+IF($I104=J$3,VLOOKUP($H104,Depreciation!$A$6:$L$10,7,FALSE)/2,IF($I104&lt;J$3,VLOOKUP($H104,Depreciation!$A$6:$L$10,7,FALSE),0))</f>
        <v>0</v>
      </c>
      <c r="K104" s="361">
        <f>+IF($I104=K$3,VLOOKUP($H104,Depreciation!$A$6:$L$10,8,FALSE)/2,IF($I104&lt;K$3,VLOOKUP($H104,Depreciation!$A$6:$L$10,8,FALSE),0))</f>
        <v>0</v>
      </c>
      <c r="L104" s="361">
        <f>+IF($I104=L$3,VLOOKUP($H104,Depreciation!$A$6:$L$10,9,FALSE)/2,IF($I104&lt;L$3,VLOOKUP($H104,Depreciation!$A$6:$L$10,9,FALSE),0))</f>
        <v>1.5338181838063448E-2</v>
      </c>
      <c r="M104" s="361">
        <f>+IF($I104=M$3,VLOOKUP($H104,Depreciation!$A$6:$L$10,10,FALSE)/2,IF($I104&lt;M$3,VLOOKUP($H104,Depreciation!$A$6:$L$10,10,FALSE),0))</f>
        <v>3.0676363676126896E-2</v>
      </c>
      <c r="N104" s="361">
        <f>+IF($I104=N$3,VLOOKUP($H104,Depreciation!$A$6:$L$10,11,FALSE)/2,IF($I104&lt;N$3,VLOOKUP($H104,Depreciation!$A$6:$L$10,11,FALSE),0))</f>
        <v>3.0676363676126896E-2</v>
      </c>
      <c r="O104" s="361">
        <f>+IF($I104=O$3,VLOOKUP($H104,Depreciation!$A$6:$L$10,12,FALSE)/2,IF($I104&lt;O$3,VLOOKUP($H104,Depreciation!$A$6:$L$10,12,FALSE),0))</f>
        <v>3.0676363676126896E-2</v>
      </c>
      <c r="P104" s="362">
        <f t="shared" si="5"/>
        <v>175583.54198189281</v>
      </c>
      <c r="Q104" s="362">
        <f t="shared" si="6"/>
        <v>0</v>
      </c>
      <c r="R104" s="363">
        <f t="shared" si="7"/>
        <v>175583.54198189281</v>
      </c>
      <c r="Y104" s="365"/>
    </row>
    <row r="105" spans="1:25" ht="15" customHeight="1">
      <c r="A105" s="359" t="str">
        <f>'Func Future Lines 2015'!A105</f>
        <v>PPS</v>
      </c>
      <c r="B105" s="359" t="str">
        <f>'Func Future Lines 2015'!B105</f>
        <v>transmission line 166L_(v2)</v>
      </c>
      <c r="C105" s="359">
        <f>'Func Future Lines 2015'!C105</f>
        <v>813</v>
      </c>
      <c r="D105" s="359">
        <f>'Func Future Lines 2015'!D105</f>
        <v>138</v>
      </c>
      <c r="E105" s="359">
        <f>'Func Future Lines 2015'!E105</f>
        <v>0</v>
      </c>
      <c r="F105" s="359" t="str">
        <f>'Func Future Lines 2015'!F105</f>
        <v>Red_Deer</v>
      </c>
      <c r="G105" s="359">
        <f>'Func Future Lines 2015'!G105</f>
        <v>24543692.672817234</v>
      </c>
      <c r="H105" s="359" t="str">
        <f>'Func Future Lines 2015'!H105</f>
        <v>AltaLink</v>
      </c>
      <c r="I105" s="359">
        <f>'Func Future Lines 2015'!I105</f>
        <v>2017</v>
      </c>
      <c r="J105" s="361">
        <f>+IF($I105=J$3,VLOOKUP($H105,Depreciation!$A$6:$L$10,7,FALSE)/2,IF($I105&lt;J$3,VLOOKUP($H105,Depreciation!$A$6:$L$10,7,FALSE),0))</f>
        <v>0</v>
      </c>
      <c r="K105" s="361">
        <f>+IF($I105=K$3,VLOOKUP($H105,Depreciation!$A$6:$L$10,8,FALSE)/2,IF($I105&lt;K$3,VLOOKUP($H105,Depreciation!$A$6:$L$10,8,FALSE),0))</f>
        <v>0</v>
      </c>
      <c r="L105" s="361">
        <f>+IF($I105=L$3,VLOOKUP($H105,Depreciation!$A$6:$L$10,9,FALSE)/2,IF($I105&lt;L$3,VLOOKUP($H105,Depreciation!$A$6:$L$10,9,FALSE),0))</f>
        <v>1.5338181838063448E-2</v>
      </c>
      <c r="M105" s="361">
        <f>+IF($I105=M$3,VLOOKUP($H105,Depreciation!$A$6:$L$10,10,FALSE)/2,IF($I105&lt;M$3,VLOOKUP($H105,Depreciation!$A$6:$L$10,10,FALSE),0))</f>
        <v>3.0676363676126896E-2</v>
      </c>
      <c r="N105" s="361">
        <f>+IF($I105=N$3,VLOOKUP($H105,Depreciation!$A$6:$L$10,11,FALSE)/2,IF($I105&lt;N$3,VLOOKUP($H105,Depreciation!$A$6:$L$10,11,FALSE),0))</f>
        <v>3.0676363676126896E-2</v>
      </c>
      <c r="O105" s="361">
        <f>+IF($I105=O$3,VLOOKUP($H105,Depreciation!$A$6:$L$10,12,FALSE)/2,IF($I105&lt;O$3,VLOOKUP($H105,Depreciation!$A$6:$L$10,12,FALSE),0))</f>
        <v>3.0676363676126896E-2</v>
      </c>
      <c r="P105" s="362">
        <f t="shared" si="5"/>
        <v>24167237.051624019</v>
      </c>
      <c r="Q105" s="362">
        <f t="shared" si="6"/>
        <v>0</v>
      </c>
      <c r="R105" s="363">
        <f t="shared" si="7"/>
        <v>24167237.051624019</v>
      </c>
      <c r="Y105" s="365"/>
    </row>
    <row r="106" spans="1:25" ht="15" customHeight="1">
      <c r="A106" s="359" t="str">
        <f>'Func Future Lines 2015'!A106</f>
        <v>PPS</v>
      </c>
      <c r="B106" s="359" t="str">
        <f>'Func Future Lines 2015'!B106</f>
        <v>1043L/1139L</v>
      </c>
      <c r="C106" s="359">
        <f>'Func Future Lines 2015'!C106</f>
        <v>850</v>
      </c>
      <c r="D106" s="359">
        <f>'Func Future Lines 2015'!D106</f>
        <v>240</v>
      </c>
      <c r="E106" s="359">
        <f>'Func Future Lines 2015'!E106</f>
        <v>0</v>
      </c>
      <c r="F106" s="359" t="str">
        <f>'Func Future Lines 2015'!F106</f>
        <v>edmonton</v>
      </c>
      <c r="G106" s="359">
        <f>'Func Future Lines 2015'!G106</f>
        <v>15139710.076689346</v>
      </c>
      <c r="H106" s="359" t="str">
        <f>'Func Future Lines 2015'!H106</f>
        <v>AltaLink</v>
      </c>
      <c r="I106" s="359">
        <f>'Func Future Lines 2015'!I106</f>
        <v>2017</v>
      </c>
      <c r="J106" s="361">
        <f>+IF($I106=J$3,VLOOKUP($H106,Depreciation!$A$6:$L$10,7,FALSE)/2,IF($I106&lt;J$3,VLOOKUP($H106,Depreciation!$A$6:$L$10,7,FALSE),0))</f>
        <v>0</v>
      </c>
      <c r="K106" s="361">
        <f>+IF($I106=K$3,VLOOKUP($H106,Depreciation!$A$6:$L$10,8,FALSE)/2,IF($I106&lt;K$3,VLOOKUP($H106,Depreciation!$A$6:$L$10,8,FALSE),0))</f>
        <v>0</v>
      </c>
      <c r="L106" s="361">
        <f>+IF($I106=L$3,VLOOKUP($H106,Depreciation!$A$6:$L$10,9,FALSE)/2,IF($I106&lt;L$3,VLOOKUP($H106,Depreciation!$A$6:$L$10,9,FALSE),0))</f>
        <v>1.5338181838063448E-2</v>
      </c>
      <c r="M106" s="361">
        <f>+IF($I106=M$3,VLOOKUP($H106,Depreciation!$A$6:$L$10,10,FALSE)/2,IF($I106&lt;M$3,VLOOKUP($H106,Depreciation!$A$6:$L$10,10,FALSE),0))</f>
        <v>3.0676363676126896E-2</v>
      </c>
      <c r="N106" s="361">
        <f>+IF($I106=N$3,VLOOKUP($H106,Depreciation!$A$6:$L$10,11,FALSE)/2,IF($I106&lt;N$3,VLOOKUP($H106,Depreciation!$A$6:$L$10,11,FALSE),0))</f>
        <v>3.0676363676126896E-2</v>
      </c>
      <c r="O106" s="361">
        <f>+IF($I106=O$3,VLOOKUP($H106,Depreciation!$A$6:$L$10,12,FALSE)/2,IF($I106&lt;O$3,VLOOKUP($H106,Depreciation!$A$6:$L$10,12,FALSE),0))</f>
        <v>3.0676363676126896E-2</v>
      </c>
      <c r="P106" s="362">
        <f t="shared" si="5"/>
        <v>14907494.450557522</v>
      </c>
      <c r="Q106" s="362">
        <f t="shared" si="6"/>
        <v>14907494.450557522</v>
      </c>
      <c r="R106" s="363">
        <f t="shared" si="7"/>
        <v>0</v>
      </c>
      <c r="Y106" s="365"/>
    </row>
    <row r="107" spans="1:25" ht="15" customHeight="1">
      <c r="A107" s="359" t="str">
        <f>'Func Future Lines 2015'!A107</f>
        <v>PPS</v>
      </c>
      <c r="B107" s="359" t="str">
        <f>'Func Future Lines 2015'!B107</f>
        <v>1140L/1112L</v>
      </c>
      <c r="C107" s="359">
        <f>'Func Future Lines 2015'!C107</f>
        <v>850</v>
      </c>
      <c r="D107" s="359">
        <f>'Func Future Lines 2015'!D107</f>
        <v>240</v>
      </c>
      <c r="E107" s="359">
        <f>'Func Future Lines 2015'!E107</f>
        <v>0</v>
      </c>
      <c r="F107" s="359" t="str">
        <f>'Func Future Lines 2015'!F107</f>
        <v>edmonton</v>
      </c>
      <c r="G107" s="359">
        <f>'Func Future Lines 2015'!G107</f>
        <v>20197707.055992737</v>
      </c>
      <c r="H107" s="359" t="str">
        <f>'Func Future Lines 2015'!H107</f>
        <v>AltaLink</v>
      </c>
      <c r="I107" s="359">
        <f>'Func Future Lines 2015'!I107</f>
        <v>2017</v>
      </c>
      <c r="J107" s="361">
        <f>+IF($I107=J$3,VLOOKUP($H107,Depreciation!$A$6:$L$10,7,FALSE)/2,IF($I107&lt;J$3,VLOOKUP($H107,Depreciation!$A$6:$L$10,7,FALSE),0))</f>
        <v>0</v>
      </c>
      <c r="K107" s="361">
        <f>+IF($I107=K$3,VLOOKUP($H107,Depreciation!$A$6:$L$10,8,FALSE)/2,IF($I107&lt;K$3,VLOOKUP($H107,Depreciation!$A$6:$L$10,8,FALSE),0))</f>
        <v>0</v>
      </c>
      <c r="L107" s="361">
        <f>+IF($I107=L$3,VLOOKUP($H107,Depreciation!$A$6:$L$10,9,FALSE)/2,IF($I107&lt;L$3,VLOOKUP($H107,Depreciation!$A$6:$L$10,9,FALSE),0))</f>
        <v>1.5338181838063448E-2</v>
      </c>
      <c r="M107" s="361">
        <f>+IF($I107=M$3,VLOOKUP($H107,Depreciation!$A$6:$L$10,10,FALSE)/2,IF($I107&lt;M$3,VLOOKUP($H107,Depreciation!$A$6:$L$10,10,FALSE),0))</f>
        <v>3.0676363676126896E-2</v>
      </c>
      <c r="N107" s="361">
        <f>+IF($I107=N$3,VLOOKUP($H107,Depreciation!$A$6:$L$10,11,FALSE)/2,IF($I107&lt;N$3,VLOOKUP($H107,Depreciation!$A$6:$L$10,11,FALSE),0))</f>
        <v>3.0676363676126896E-2</v>
      </c>
      <c r="O107" s="361">
        <f>+IF($I107=O$3,VLOOKUP($H107,Depreciation!$A$6:$L$10,12,FALSE)/2,IF($I107&lt;O$3,VLOOKUP($H107,Depreciation!$A$6:$L$10,12,FALSE),0))</f>
        <v>3.0676363676126896E-2</v>
      </c>
      <c r="P107" s="362">
        <f t="shared" si="5"/>
        <v>19887910.952455983</v>
      </c>
      <c r="Q107" s="362">
        <f t="shared" si="6"/>
        <v>19887910.952455983</v>
      </c>
      <c r="R107" s="363">
        <f t="shared" si="7"/>
        <v>0</v>
      </c>
      <c r="Y107" s="365"/>
    </row>
    <row r="108" spans="1:25" ht="15" customHeight="1">
      <c r="A108" s="359" t="str">
        <f>'Func Future Lines 2015'!A108</f>
        <v>PPS</v>
      </c>
      <c r="B108" s="359" t="str">
        <f>'Func Future Lines 2015'!B108</f>
        <v>446L/452L/453L</v>
      </c>
      <c r="C108" s="359">
        <f>'Func Future Lines 2015'!C108</f>
        <v>850</v>
      </c>
      <c r="D108" s="359">
        <f>'Func Future Lines 2015'!D108</f>
        <v>138</v>
      </c>
      <c r="E108" s="359">
        <f>'Func Future Lines 2015'!E108</f>
        <v>0</v>
      </c>
      <c r="F108" s="359" t="str">
        <f>'Func Future Lines 2015'!F108</f>
        <v>edmonton</v>
      </c>
      <c r="G108" s="359">
        <f>'Func Future Lines 2015'!G108</f>
        <v>19650687.416100234</v>
      </c>
      <c r="H108" s="359" t="str">
        <f>'Func Future Lines 2015'!H108</f>
        <v>AltaLink</v>
      </c>
      <c r="I108" s="359">
        <f>'Func Future Lines 2015'!I108</f>
        <v>2017</v>
      </c>
      <c r="J108" s="361">
        <f>+IF($I108=J$3,VLOOKUP($H108,Depreciation!$A$6:$L$10,7,FALSE)/2,IF($I108&lt;J$3,VLOOKUP($H108,Depreciation!$A$6:$L$10,7,FALSE),0))</f>
        <v>0</v>
      </c>
      <c r="K108" s="361">
        <f>+IF($I108=K$3,VLOOKUP($H108,Depreciation!$A$6:$L$10,8,FALSE)/2,IF($I108&lt;K$3,VLOOKUP($H108,Depreciation!$A$6:$L$10,8,FALSE),0))</f>
        <v>0</v>
      </c>
      <c r="L108" s="361">
        <f>+IF($I108=L$3,VLOOKUP($H108,Depreciation!$A$6:$L$10,9,FALSE)/2,IF($I108&lt;L$3,VLOOKUP($H108,Depreciation!$A$6:$L$10,9,FALSE),0))</f>
        <v>1.5338181838063448E-2</v>
      </c>
      <c r="M108" s="361">
        <f>+IF($I108=M$3,VLOOKUP($H108,Depreciation!$A$6:$L$10,10,FALSE)/2,IF($I108&lt;M$3,VLOOKUP($H108,Depreciation!$A$6:$L$10,10,FALSE),0))</f>
        <v>3.0676363676126896E-2</v>
      </c>
      <c r="N108" s="361">
        <f>+IF($I108=N$3,VLOOKUP($H108,Depreciation!$A$6:$L$10,11,FALSE)/2,IF($I108&lt;N$3,VLOOKUP($H108,Depreciation!$A$6:$L$10,11,FALSE),0))</f>
        <v>3.0676363676126896E-2</v>
      </c>
      <c r="O108" s="361">
        <f>+IF($I108=O$3,VLOOKUP($H108,Depreciation!$A$6:$L$10,12,FALSE)/2,IF($I108&lt;O$3,VLOOKUP($H108,Depreciation!$A$6:$L$10,12,FALSE),0))</f>
        <v>3.0676363676126896E-2</v>
      </c>
      <c r="P108" s="362">
        <f t="shared" si="5"/>
        <v>19349281.599269144</v>
      </c>
      <c r="Q108" s="362">
        <f t="shared" si="6"/>
        <v>0</v>
      </c>
      <c r="R108" s="363">
        <f t="shared" si="7"/>
        <v>19349281.599269144</v>
      </c>
      <c r="Y108" s="365"/>
    </row>
    <row r="109" spans="1:25" ht="15" customHeight="1">
      <c r="A109" s="359" t="str">
        <f>'Func Future Lines 2015'!A109</f>
        <v>PPS</v>
      </c>
      <c r="B109" s="359" t="str">
        <f>'Func Future Lines 2015'!B109</f>
        <v>446L/453L</v>
      </c>
      <c r="C109" s="359">
        <f>'Func Future Lines 2015'!C109</f>
        <v>850</v>
      </c>
      <c r="D109" s="359">
        <f>'Func Future Lines 2015'!D109</f>
        <v>138</v>
      </c>
      <c r="E109" s="359">
        <f>'Func Future Lines 2015'!E109</f>
        <v>0</v>
      </c>
      <c r="F109" s="359" t="str">
        <f>'Func Future Lines 2015'!F109</f>
        <v>edmonton</v>
      </c>
      <c r="G109" s="359">
        <f>'Func Future Lines 2015'!G109</f>
        <v>11579761.499715252</v>
      </c>
      <c r="H109" s="359" t="str">
        <f>'Func Future Lines 2015'!H109</f>
        <v>AltaLink</v>
      </c>
      <c r="I109" s="359">
        <f>'Func Future Lines 2015'!I109</f>
        <v>2017</v>
      </c>
      <c r="J109" s="361">
        <f>+IF($I109=J$3,VLOOKUP($H109,Depreciation!$A$6:$L$10,7,FALSE)/2,IF($I109&lt;J$3,VLOOKUP($H109,Depreciation!$A$6:$L$10,7,FALSE),0))</f>
        <v>0</v>
      </c>
      <c r="K109" s="361">
        <f>+IF($I109=K$3,VLOOKUP($H109,Depreciation!$A$6:$L$10,8,FALSE)/2,IF($I109&lt;K$3,VLOOKUP($H109,Depreciation!$A$6:$L$10,8,FALSE),0))</f>
        <v>0</v>
      </c>
      <c r="L109" s="361">
        <f>+IF($I109=L$3,VLOOKUP($H109,Depreciation!$A$6:$L$10,9,FALSE)/2,IF($I109&lt;L$3,VLOOKUP($H109,Depreciation!$A$6:$L$10,9,FALSE),0))</f>
        <v>1.5338181838063448E-2</v>
      </c>
      <c r="M109" s="361">
        <f>+IF($I109=M$3,VLOOKUP($H109,Depreciation!$A$6:$L$10,10,FALSE)/2,IF($I109&lt;M$3,VLOOKUP($H109,Depreciation!$A$6:$L$10,10,FALSE),0))</f>
        <v>3.0676363676126896E-2</v>
      </c>
      <c r="N109" s="361">
        <f>+IF($I109=N$3,VLOOKUP($H109,Depreciation!$A$6:$L$10,11,FALSE)/2,IF($I109&lt;N$3,VLOOKUP($H109,Depreciation!$A$6:$L$10,11,FALSE),0))</f>
        <v>3.0676363676126896E-2</v>
      </c>
      <c r="O109" s="361">
        <f>+IF($I109=O$3,VLOOKUP($H109,Depreciation!$A$6:$L$10,12,FALSE)/2,IF($I109&lt;O$3,VLOOKUP($H109,Depreciation!$A$6:$L$10,12,FALSE),0))</f>
        <v>3.0676363676126896E-2</v>
      </c>
      <c r="P109" s="362">
        <f t="shared" si="5"/>
        <v>11402149.012191214</v>
      </c>
      <c r="Q109" s="362">
        <f t="shared" si="6"/>
        <v>0</v>
      </c>
      <c r="R109" s="363">
        <f t="shared" si="7"/>
        <v>11402149.012191214</v>
      </c>
      <c r="Y109" s="365"/>
    </row>
    <row r="110" spans="1:25" ht="15" customHeight="1">
      <c r="A110" s="359" t="str">
        <f>'Func Future Lines 2015'!A110</f>
        <v>PPS</v>
      </c>
      <c r="B110" s="359" t="str">
        <f>'Func Future Lines 2015'!B110</f>
        <v>452L 10km OPGW replacement</v>
      </c>
      <c r="C110" s="359">
        <f>'Func Future Lines 2015'!C110</f>
        <v>850</v>
      </c>
      <c r="D110" s="359">
        <f>'Func Future Lines 2015'!D110</f>
        <v>138</v>
      </c>
      <c r="E110" s="359">
        <f>'Func Future Lines 2015'!E110</f>
        <v>0</v>
      </c>
      <c r="F110" s="359" t="str">
        <f>'Func Future Lines 2015'!F110</f>
        <v>edmonton</v>
      </c>
      <c r="G110" s="359">
        <f>'Func Future Lines 2015'!G110</f>
        <v>4288035.0624691956</v>
      </c>
      <c r="H110" s="359" t="str">
        <f>'Func Future Lines 2015'!H110</f>
        <v>AltaLink</v>
      </c>
      <c r="I110" s="359">
        <f>'Func Future Lines 2015'!I110</f>
        <v>2017</v>
      </c>
      <c r="J110" s="361">
        <f>+IF($I110=J$3,VLOOKUP($H110,Depreciation!$A$6:$L$10,7,FALSE)/2,IF($I110&lt;J$3,VLOOKUP($H110,Depreciation!$A$6:$L$10,7,FALSE),0))</f>
        <v>0</v>
      </c>
      <c r="K110" s="361">
        <f>+IF($I110=K$3,VLOOKUP($H110,Depreciation!$A$6:$L$10,8,FALSE)/2,IF($I110&lt;K$3,VLOOKUP($H110,Depreciation!$A$6:$L$10,8,FALSE),0))</f>
        <v>0</v>
      </c>
      <c r="L110" s="361">
        <f>+IF($I110=L$3,VLOOKUP($H110,Depreciation!$A$6:$L$10,9,FALSE)/2,IF($I110&lt;L$3,VLOOKUP($H110,Depreciation!$A$6:$L$10,9,FALSE),0))</f>
        <v>1.5338181838063448E-2</v>
      </c>
      <c r="M110" s="361">
        <f>+IF($I110=M$3,VLOOKUP($H110,Depreciation!$A$6:$L$10,10,FALSE)/2,IF($I110&lt;M$3,VLOOKUP($H110,Depreciation!$A$6:$L$10,10,FALSE),0))</f>
        <v>3.0676363676126896E-2</v>
      </c>
      <c r="N110" s="361">
        <f>+IF($I110=N$3,VLOOKUP($H110,Depreciation!$A$6:$L$10,11,FALSE)/2,IF($I110&lt;N$3,VLOOKUP($H110,Depreciation!$A$6:$L$10,11,FALSE),0))</f>
        <v>3.0676363676126896E-2</v>
      </c>
      <c r="O110" s="361">
        <f>+IF($I110=O$3,VLOOKUP($H110,Depreciation!$A$6:$L$10,12,FALSE)/2,IF($I110&lt;O$3,VLOOKUP($H110,Depreciation!$A$6:$L$10,12,FALSE),0))</f>
        <v>3.0676363676126896E-2</v>
      </c>
      <c r="P110" s="362">
        <f t="shared" si="5"/>
        <v>4222264.4009530516</v>
      </c>
      <c r="Q110" s="362">
        <f t="shared" si="6"/>
        <v>0</v>
      </c>
      <c r="R110" s="363">
        <f t="shared" si="7"/>
        <v>4222264.4009530516</v>
      </c>
      <c r="Y110" s="365"/>
    </row>
    <row r="111" spans="1:25" ht="15" customHeight="1">
      <c r="A111" s="359" t="str">
        <f>'Func Future Lines 2015'!A111</f>
        <v>PPS</v>
      </c>
      <c r="B111" s="359" t="str">
        <f>'Func Future Lines 2015'!B111</f>
        <v>454L/455L</v>
      </c>
      <c r="C111" s="359">
        <f>'Func Future Lines 2015'!C111</f>
        <v>850</v>
      </c>
      <c r="D111" s="359">
        <f>'Func Future Lines 2015'!D111</f>
        <v>138</v>
      </c>
      <c r="E111" s="359">
        <f>'Func Future Lines 2015'!E111</f>
        <v>0</v>
      </c>
      <c r="F111" s="359" t="str">
        <f>'Func Future Lines 2015'!F111</f>
        <v>edmonton</v>
      </c>
      <c r="G111" s="359">
        <f>'Func Future Lines 2015'!G111</f>
        <v>7815341.9759696973</v>
      </c>
      <c r="H111" s="359" t="str">
        <f>'Func Future Lines 2015'!H111</f>
        <v>AltaLink</v>
      </c>
      <c r="I111" s="359">
        <f>'Func Future Lines 2015'!I111</f>
        <v>2017</v>
      </c>
      <c r="J111" s="361">
        <f>+IF($I111=J$3,VLOOKUP($H111,Depreciation!$A$6:$L$10,7,FALSE)/2,IF($I111&lt;J$3,VLOOKUP($H111,Depreciation!$A$6:$L$10,7,FALSE),0))</f>
        <v>0</v>
      </c>
      <c r="K111" s="361">
        <f>+IF($I111=K$3,VLOOKUP($H111,Depreciation!$A$6:$L$10,8,FALSE)/2,IF($I111&lt;K$3,VLOOKUP($H111,Depreciation!$A$6:$L$10,8,FALSE),0))</f>
        <v>0</v>
      </c>
      <c r="L111" s="361">
        <f>+IF($I111=L$3,VLOOKUP($H111,Depreciation!$A$6:$L$10,9,FALSE)/2,IF($I111&lt;L$3,VLOOKUP($H111,Depreciation!$A$6:$L$10,9,FALSE),0))</f>
        <v>1.5338181838063448E-2</v>
      </c>
      <c r="M111" s="361">
        <f>+IF($I111=M$3,VLOOKUP($H111,Depreciation!$A$6:$L$10,10,FALSE)/2,IF($I111&lt;M$3,VLOOKUP($H111,Depreciation!$A$6:$L$10,10,FALSE),0))</f>
        <v>3.0676363676126896E-2</v>
      </c>
      <c r="N111" s="361">
        <f>+IF($I111=N$3,VLOOKUP($H111,Depreciation!$A$6:$L$10,11,FALSE)/2,IF($I111&lt;N$3,VLOOKUP($H111,Depreciation!$A$6:$L$10,11,FALSE),0))</f>
        <v>3.0676363676126896E-2</v>
      </c>
      <c r="O111" s="361">
        <f>+IF($I111=O$3,VLOOKUP($H111,Depreciation!$A$6:$L$10,12,FALSE)/2,IF($I111&lt;O$3,VLOOKUP($H111,Depreciation!$A$6:$L$10,12,FALSE),0))</f>
        <v>3.0676363676126896E-2</v>
      </c>
      <c r="P111" s="362">
        <f t="shared" si="5"/>
        <v>7695468.8396156244</v>
      </c>
      <c r="Q111" s="362">
        <f t="shared" si="6"/>
        <v>0</v>
      </c>
      <c r="R111" s="363">
        <f t="shared" si="7"/>
        <v>7695468.8396156244</v>
      </c>
      <c r="Y111" s="365"/>
    </row>
    <row r="112" spans="1:25" ht="15" customHeight="1">
      <c r="A112" s="359" t="str">
        <f>'Func Future Lines 2015'!A112</f>
        <v>PPS</v>
      </c>
      <c r="B112" s="359" t="str">
        <f>'Func Future Lines 2015'!B112</f>
        <v>739L</v>
      </c>
      <c r="C112" s="359">
        <f>'Func Future Lines 2015'!C112</f>
        <v>850</v>
      </c>
      <c r="D112" s="359">
        <f>'Func Future Lines 2015'!D112</f>
        <v>138</v>
      </c>
      <c r="E112" s="359">
        <f>'Func Future Lines 2015'!E112</f>
        <v>0</v>
      </c>
      <c r="F112" s="359" t="str">
        <f>'Func Future Lines 2015'!F112</f>
        <v>edmonton</v>
      </c>
      <c r="G112" s="359">
        <f>'Func Future Lines 2015'!G112</f>
        <v>318689.25924461719</v>
      </c>
      <c r="H112" s="359" t="str">
        <f>'Func Future Lines 2015'!H112</f>
        <v>AltaLink</v>
      </c>
      <c r="I112" s="359">
        <f>'Func Future Lines 2015'!I112</f>
        <v>2017</v>
      </c>
      <c r="J112" s="361">
        <f>+IF($I112=J$3,VLOOKUP($H112,Depreciation!$A$6:$L$10,7,FALSE)/2,IF($I112&lt;J$3,VLOOKUP($H112,Depreciation!$A$6:$L$10,7,FALSE),0))</f>
        <v>0</v>
      </c>
      <c r="K112" s="361">
        <f>+IF($I112=K$3,VLOOKUP($H112,Depreciation!$A$6:$L$10,8,FALSE)/2,IF($I112&lt;K$3,VLOOKUP($H112,Depreciation!$A$6:$L$10,8,FALSE),0))</f>
        <v>0</v>
      </c>
      <c r="L112" s="361">
        <f>+IF($I112=L$3,VLOOKUP($H112,Depreciation!$A$6:$L$10,9,FALSE)/2,IF($I112&lt;L$3,VLOOKUP($H112,Depreciation!$A$6:$L$10,9,FALSE),0))</f>
        <v>1.5338181838063448E-2</v>
      </c>
      <c r="M112" s="361">
        <f>+IF($I112=M$3,VLOOKUP($H112,Depreciation!$A$6:$L$10,10,FALSE)/2,IF($I112&lt;M$3,VLOOKUP($H112,Depreciation!$A$6:$L$10,10,FALSE),0))</f>
        <v>3.0676363676126896E-2</v>
      </c>
      <c r="N112" s="361">
        <f>+IF($I112=N$3,VLOOKUP($H112,Depreciation!$A$6:$L$10,11,FALSE)/2,IF($I112&lt;N$3,VLOOKUP($H112,Depreciation!$A$6:$L$10,11,FALSE),0))</f>
        <v>3.0676363676126896E-2</v>
      </c>
      <c r="O112" s="361">
        <f>+IF($I112=O$3,VLOOKUP($H112,Depreciation!$A$6:$L$10,12,FALSE)/2,IF($I112&lt;O$3,VLOOKUP($H112,Depreciation!$A$6:$L$10,12,FALSE),0))</f>
        <v>3.0676363676126896E-2</v>
      </c>
      <c r="P112" s="362">
        <f t="shared" si="5"/>
        <v>313801.14543648553</v>
      </c>
      <c r="Q112" s="362">
        <f t="shared" si="6"/>
        <v>0</v>
      </c>
      <c r="R112" s="363">
        <f t="shared" si="7"/>
        <v>313801.14543648553</v>
      </c>
      <c r="Y112" s="365"/>
    </row>
    <row r="113" spans="1:25" ht="15" customHeight="1">
      <c r="A113" s="359" t="str">
        <f>'Func Future Lines 2015'!A113</f>
        <v>PPS</v>
      </c>
      <c r="B113" s="359" t="str">
        <f>'Func Future Lines 2015'!B113</f>
        <v>780L/174L</v>
      </c>
      <c r="C113" s="359">
        <f>'Func Future Lines 2015'!C113</f>
        <v>850</v>
      </c>
      <c r="D113" s="359">
        <f>'Func Future Lines 2015'!D113</f>
        <v>138</v>
      </c>
      <c r="E113" s="359">
        <f>'Func Future Lines 2015'!E113</f>
        <v>0</v>
      </c>
      <c r="F113" s="359" t="str">
        <f>'Func Future Lines 2015'!F113</f>
        <v>edmonton</v>
      </c>
      <c r="G113" s="359">
        <f>'Func Future Lines 2015'!G113</f>
        <v>61607075.013380922</v>
      </c>
      <c r="H113" s="359" t="str">
        <f>'Func Future Lines 2015'!H113</f>
        <v>AltaLink</v>
      </c>
      <c r="I113" s="359">
        <f>'Func Future Lines 2015'!I113</f>
        <v>2017</v>
      </c>
      <c r="J113" s="361">
        <f>+IF($I113=J$3,VLOOKUP($H113,Depreciation!$A$6:$L$10,7,FALSE)/2,IF($I113&lt;J$3,VLOOKUP($H113,Depreciation!$A$6:$L$10,7,FALSE),0))</f>
        <v>0</v>
      </c>
      <c r="K113" s="361">
        <f>+IF($I113=K$3,VLOOKUP($H113,Depreciation!$A$6:$L$10,8,FALSE)/2,IF($I113&lt;K$3,VLOOKUP($H113,Depreciation!$A$6:$L$10,8,FALSE),0))</f>
        <v>0</v>
      </c>
      <c r="L113" s="361">
        <f>+IF($I113=L$3,VLOOKUP($H113,Depreciation!$A$6:$L$10,9,FALSE)/2,IF($I113&lt;L$3,VLOOKUP($H113,Depreciation!$A$6:$L$10,9,FALSE),0))</f>
        <v>1.5338181838063448E-2</v>
      </c>
      <c r="M113" s="361">
        <f>+IF($I113=M$3,VLOOKUP($H113,Depreciation!$A$6:$L$10,10,FALSE)/2,IF($I113&lt;M$3,VLOOKUP($H113,Depreciation!$A$6:$L$10,10,FALSE),0))</f>
        <v>3.0676363676126896E-2</v>
      </c>
      <c r="N113" s="361">
        <f>+IF($I113=N$3,VLOOKUP($H113,Depreciation!$A$6:$L$10,11,FALSE)/2,IF($I113&lt;N$3,VLOOKUP($H113,Depreciation!$A$6:$L$10,11,FALSE),0))</f>
        <v>3.0676363676126896E-2</v>
      </c>
      <c r="O113" s="361">
        <f>+IF($I113=O$3,VLOOKUP($H113,Depreciation!$A$6:$L$10,12,FALSE)/2,IF($I113&lt;O$3,VLOOKUP($H113,Depreciation!$A$6:$L$10,12,FALSE),0))</f>
        <v>3.0676363676126896E-2</v>
      </c>
      <c r="P113" s="362">
        <f t="shared" si="5"/>
        <v>60662134.494314469</v>
      </c>
      <c r="Q113" s="362">
        <f t="shared" si="6"/>
        <v>0</v>
      </c>
      <c r="R113" s="363">
        <f t="shared" si="7"/>
        <v>60662134.494314469</v>
      </c>
      <c r="Y113" s="365"/>
    </row>
    <row r="114" spans="1:25" ht="15" customHeight="1">
      <c r="A114" s="359" t="str">
        <f>'Func Future Lines 2015'!A114</f>
        <v>PPS</v>
      </c>
      <c r="B114" s="359" t="str">
        <f>'Func Future Lines 2015'!B114</f>
        <v xml:space="preserve">780L/858L </v>
      </c>
      <c r="C114" s="359">
        <f>'Func Future Lines 2015'!C114</f>
        <v>850</v>
      </c>
      <c r="D114" s="359">
        <f>'Func Future Lines 2015'!D114</f>
        <v>138</v>
      </c>
      <c r="E114" s="359">
        <f>'Func Future Lines 2015'!E114</f>
        <v>0</v>
      </c>
      <c r="F114" s="359" t="str">
        <f>'Func Future Lines 2015'!F114</f>
        <v>edmonton</v>
      </c>
      <c r="G114" s="359">
        <f>'Func Future Lines 2015'!G114</f>
        <v>6668353.1939536864</v>
      </c>
      <c r="H114" s="359" t="str">
        <f>'Func Future Lines 2015'!H114</f>
        <v>AltaLink</v>
      </c>
      <c r="I114" s="359">
        <f>'Func Future Lines 2015'!I114</f>
        <v>2017</v>
      </c>
      <c r="J114" s="361">
        <f>+IF($I114=J$3,VLOOKUP($H114,Depreciation!$A$6:$L$10,7,FALSE)/2,IF($I114&lt;J$3,VLOOKUP($H114,Depreciation!$A$6:$L$10,7,FALSE),0))</f>
        <v>0</v>
      </c>
      <c r="K114" s="361">
        <f>+IF($I114=K$3,VLOOKUP($H114,Depreciation!$A$6:$L$10,8,FALSE)/2,IF($I114&lt;K$3,VLOOKUP($H114,Depreciation!$A$6:$L$10,8,FALSE),0))</f>
        <v>0</v>
      </c>
      <c r="L114" s="361">
        <f>+IF($I114=L$3,VLOOKUP($H114,Depreciation!$A$6:$L$10,9,FALSE)/2,IF($I114&lt;L$3,VLOOKUP($H114,Depreciation!$A$6:$L$10,9,FALSE),0))</f>
        <v>1.5338181838063448E-2</v>
      </c>
      <c r="M114" s="361">
        <f>+IF($I114=M$3,VLOOKUP($H114,Depreciation!$A$6:$L$10,10,FALSE)/2,IF($I114&lt;M$3,VLOOKUP($H114,Depreciation!$A$6:$L$10,10,FALSE),0))</f>
        <v>3.0676363676126896E-2</v>
      </c>
      <c r="N114" s="361">
        <f>+IF($I114=N$3,VLOOKUP($H114,Depreciation!$A$6:$L$10,11,FALSE)/2,IF($I114&lt;N$3,VLOOKUP($H114,Depreciation!$A$6:$L$10,11,FALSE),0))</f>
        <v>3.0676363676126896E-2</v>
      </c>
      <c r="O114" s="361">
        <f>+IF($I114=O$3,VLOOKUP($H114,Depreciation!$A$6:$L$10,12,FALSE)/2,IF($I114&lt;O$3,VLOOKUP($H114,Depreciation!$A$6:$L$10,12,FALSE),0))</f>
        <v>3.0676363676126896E-2</v>
      </c>
      <c r="P114" s="362">
        <f t="shared" si="5"/>
        <v>6566072.7801043931</v>
      </c>
      <c r="Q114" s="362">
        <f t="shared" si="6"/>
        <v>0</v>
      </c>
      <c r="R114" s="363">
        <f t="shared" si="7"/>
        <v>6566072.7801043931</v>
      </c>
      <c r="Y114" s="365"/>
    </row>
    <row r="115" spans="1:25" ht="15" customHeight="1">
      <c r="A115" s="359" t="str">
        <f>'Func Future Lines 2015'!A115</f>
        <v>PPS</v>
      </c>
      <c r="B115" s="359" t="str">
        <f>'Func Future Lines 2015'!B115</f>
        <v>790L/790AL</v>
      </c>
      <c r="C115" s="359">
        <f>'Func Future Lines 2015'!C115</f>
        <v>850</v>
      </c>
      <c r="D115" s="359">
        <f>'Func Future Lines 2015'!D115</f>
        <v>138</v>
      </c>
      <c r="E115" s="359">
        <f>'Func Future Lines 2015'!E115</f>
        <v>0</v>
      </c>
      <c r="F115" s="359" t="str">
        <f>'Func Future Lines 2015'!F115</f>
        <v>edmonton</v>
      </c>
      <c r="G115" s="359">
        <f>'Func Future Lines 2015'!G115</f>
        <v>139024.45893739656</v>
      </c>
      <c r="H115" s="359" t="str">
        <f>'Func Future Lines 2015'!H115</f>
        <v>AltaLink</v>
      </c>
      <c r="I115" s="359">
        <f>'Func Future Lines 2015'!I115</f>
        <v>2017</v>
      </c>
      <c r="J115" s="361">
        <f>+IF($I115=J$3,VLOOKUP($H115,Depreciation!$A$6:$L$10,7,FALSE)/2,IF($I115&lt;J$3,VLOOKUP($H115,Depreciation!$A$6:$L$10,7,FALSE),0))</f>
        <v>0</v>
      </c>
      <c r="K115" s="361">
        <f>+IF($I115=K$3,VLOOKUP($H115,Depreciation!$A$6:$L$10,8,FALSE)/2,IF($I115&lt;K$3,VLOOKUP($H115,Depreciation!$A$6:$L$10,8,FALSE),0))</f>
        <v>0</v>
      </c>
      <c r="L115" s="361">
        <f>+IF($I115=L$3,VLOOKUP($H115,Depreciation!$A$6:$L$10,9,FALSE)/2,IF($I115&lt;L$3,VLOOKUP($H115,Depreciation!$A$6:$L$10,9,FALSE),0))</f>
        <v>1.5338181838063448E-2</v>
      </c>
      <c r="M115" s="361">
        <f>+IF($I115=M$3,VLOOKUP($H115,Depreciation!$A$6:$L$10,10,FALSE)/2,IF($I115&lt;M$3,VLOOKUP($H115,Depreciation!$A$6:$L$10,10,FALSE),0))</f>
        <v>3.0676363676126896E-2</v>
      </c>
      <c r="N115" s="361">
        <f>+IF($I115=N$3,VLOOKUP($H115,Depreciation!$A$6:$L$10,11,FALSE)/2,IF($I115&lt;N$3,VLOOKUP($H115,Depreciation!$A$6:$L$10,11,FALSE),0))</f>
        <v>3.0676363676126896E-2</v>
      </c>
      <c r="O115" s="361">
        <f>+IF($I115=O$3,VLOOKUP($H115,Depreciation!$A$6:$L$10,12,FALSE)/2,IF($I115&lt;O$3,VLOOKUP($H115,Depreciation!$A$6:$L$10,12,FALSE),0))</f>
        <v>3.0676363676126896E-2</v>
      </c>
      <c r="P115" s="362">
        <f t="shared" si="5"/>
        <v>136892.07650627638</v>
      </c>
      <c r="Q115" s="362">
        <f t="shared" si="6"/>
        <v>0</v>
      </c>
      <c r="R115" s="363">
        <f t="shared" si="7"/>
        <v>136892.07650627638</v>
      </c>
      <c r="Y115" s="365"/>
    </row>
    <row r="116" spans="1:25" ht="15" customHeight="1">
      <c r="A116" s="359" t="str">
        <f>'Func Future Lines 2015'!A116</f>
        <v>PPS</v>
      </c>
      <c r="B116" s="359" t="str">
        <f>'Func Future Lines 2015'!B116</f>
        <v>874L</v>
      </c>
      <c r="C116" s="359">
        <f>'Func Future Lines 2015'!C116</f>
        <v>850</v>
      </c>
      <c r="D116" s="359">
        <f>'Func Future Lines 2015'!D116</f>
        <v>138</v>
      </c>
      <c r="E116" s="359">
        <f>'Func Future Lines 2015'!E116</f>
        <v>0</v>
      </c>
      <c r="F116" s="359" t="str">
        <f>'Func Future Lines 2015'!F116</f>
        <v>edmonton</v>
      </c>
      <c r="G116" s="359">
        <f>'Func Future Lines 2015'!G116</f>
        <v>187987.90275759264</v>
      </c>
      <c r="H116" s="359" t="str">
        <f>'Func Future Lines 2015'!H116</f>
        <v>AltaLink</v>
      </c>
      <c r="I116" s="359">
        <f>'Func Future Lines 2015'!I116</f>
        <v>2017</v>
      </c>
      <c r="J116" s="361">
        <f>+IF($I116=J$3,VLOOKUP($H116,Depreciation!$A$6:$L$10,7,FALSE)/2,IF($I116&lt;J$3,VLOOKUP($H116,Depreciation!$A$6:$L$10,7,FALSE),0))</f>
        <v>0</v>
      </c>
      <c r="K116" s="361">
        <f>+IF($I116=K$3,VLOOKUP($H116,Depreciation!$A$6:$L$10,8,FALSE)/2,IF($I116&lt;K$3,VLOOKUP($H116,Depreciation!$A$6:$L$10,8,FALSE),0))</f>
        <v>0</v>
      </c>
      <c r="L116" s="361">
        <f>+IF($I116=L$3,VLOOKUP($H116,Depreciation!$A$6:$L$10,9,FALSE)/2,IF($I116&lt;L$3,VLOOKUP($H116,Depreciation!$A$6:$L$10,9,FALSE),0))</f>
        <v>1.5338181838063448E-2</v>
      </c>
      <c r="M116" s="361">
        <f>+IF($I116=M$3,VLOOKUP($H116,Depreciation!$A$6:$L$10,10,FALSE)/2,IF($I116&lt;M$3,VLOOKUP($H116,Depreciation!$A$6:$L$10,10,FALSE),0))</f>
        <v>3.0676363676126896E-2</v>
      </c>
      <c r="N116" s="361">
        <f>+IF($I116=N$3,VLOOKUP($H116,Depreciation!$A$6:$L$10,11,FALSE)/2,IF($I116&lt;N$3,VLOOKUP($H116,Depreciation!$A$6:$L$10,11,FALSE),0))</f>
        <v>3.0676363676126896E-2</v>
      </c>
      <c r="O116" s="361">
        <f>+IF($I116=O$3,VLOOKUP($H116,Depreciation!$A$6:$L$10,12,FALSE)/2,IF($I116&lt;O$3,VLOOKUP($H116,Depreciation!$A$6:$L$10,12,FALSE),0))</f>
        <v>3.0676363676126896E-2</v>
      </c>
      <c r="P116" s="362">
        <f t="shared" si="5"/>
        <v>185104.51012174049</v>
      </c>
      <c r="Q116" s="362">
        <f t="shared" si="6"/>
        <v>0</v>
      </c>
      <c r="R116" s="363">
        <f t="shared" si="7"/>
        <v>185104.51012174049</v>
      </c>
      <c r="Y116" s="365"/>
    </row>
    <row r="117" spans="1:25" ht="15" customHeight="1">
      <c r="A117" s="359" t="str">
        <f>'Func Future Lines 2015'!A117</f>
        <v>PPS</v>
      </c>
      <c r="B117" s="359" t="str">
        <f>'Func Future Lines 2015'!B117</f>
        <v>910L/914L</v>
      </c>
      <c r="C117" s="359">
        <f>'Func Future Lines 2015'!C117</f>
        <v>850</v>
      </c>
      <c r="D117" s="359">
        <f>'Func Future Lines 2015'!D117</f>
        <v>240</v>
      </c>
      <c r="E117" s="359">
        <f>'Func Future Lines 2015'!E117</f>
        <v>0</v>
      </c>
      <c r="F117" s="359" t="str">
        <f>'Func Future Lines 2015'!F117</f>
        <v>edmonton</v>
      </c>
      <c r="G117" s="359">
        <f>'Func Future Lines 2015'!G117</f>
        <v>14418523.778933475</v>
      </c>
      <c r="H117" s="359" t="str">
        <f>'Func Future Lines 2015'!H117</f>
        <v>AltaLink</v>
      </c>
      <c r="I117" s="359">
        <f>'Func Future Lines 2015'!I117</f>
        <v>2017</v>
      </c>
      <c r="J117" s="361">
        <f>+IF($I117=J$3,VLOOKUP($H117,Depreciation!$A$6:$L$10,7,FALSE)/2,IF($I117&lt;J$3,VLOOKUP($H117,Depreciation!$A$6:$L$10,7,FALSE),0))</f>
        <v>0</v>
      </c>
      <c r="K117" s="361">
        <f>+IF($I117=K$3,VLOOKUP($H117,Depreciation!$A$6:$L$10,8,FALSE)/2,IF($I117&lt;K$3,VLOOKUP($H117,Depreciation!$A$6:$L$10,8,FALSE),0))</f>
        <v>0</v>
      </c>
      <c r="L117" s="361">
        <f>+IF($I117=L$3,VLOOKUP($H117,Depreciation!$A$6:$L$10,9,FALSE)/2,IF($I117&lt;L$3,VLOOKUP($H117,Depreciation!$A$6:$L$10,9,FALSE),0))</f>
        <v>1.5338181838063448E-2</v>
      </c>
      <c r="M117" s="361">
        <f>+IF($I117=M$3,VLOOKUP($H117,Depreciation!$A$6:$L$10,10,FALSE)/2,IF($I117&lt;M$3,VLOOKUP($H117,Depreciation!$A$6:$L$10,10,FALSE),0))</f>
        <v>3.0676363676126896E-2</v>
      </c>
      <c r="N117" s="361">
        <f>+IF($I117=N$3,VLOOKUP($H117,Depreciation!$A$6:$L$10,11,FALSE)/2,IF($I117&lt;N$3,VLOOKUP($H117,Depreciation!$A$6:$L$10,11,FALSE),0))</f>
        <v>3.0676363676126896E-2</v>
      </c>
      <c r="O117" s="361">
        <f>+IF($I117=O$3,VLOOKUP($H117,Depreciation!$A$6:$L$10,12,FALSE)/2,IF($I117&lt;O$3,VLOOKUP($H117,Depreciation!$A$6:$L$10,12,FALSE),0))</f>
        <v>3.0676363676126896E-2</v>
      </c>
      <c r="P117" s="362">
        <f t="shared" si="5"/>
        <v>14197369.839375751</v>
      </c>
      <c r="Q117" s="362">
        <f t="shared" si="6"/>
        <v>14197369.839375751</v>
      </c>
      <c r="R117" s="363">
        <f t="shared" si="7"/>
        <v>0</v>
      </c>
      <c r="Y117" s="365"/>
    </row>
    <row r="118" spans="1:25" ht="15" customHeight="1">
      <c r="A118" s="359" t="str">
        <f>'Func Future Lines 2015'!A118</f>
        <v>PPS</v>
      </c>
      <c r="B118" s="359" t="str">
        <f>'Func Future Lines 2015'!B118</f>
        <v>2.83L</v>
      </c>
      <c r="C118" s="359">
        <f>'Func Future Lines 2015'!C118</f>
        <v>859</v>
      </c>
      <c r="D118" s="359">
        <f>'Func Future Lines 2015'!D118</f>
        <v>144</v>
      </c>
      <c r="E118" s="359">
        <f>'Func Future Lines 2015'!E118</f>
        <v>0</v>
      </c>
      <c r="F118" s="359">
        <f>'Func Future Lines 2015'!F118</f>
        <v>0</v>
      </c>
      <c r="G118" s="359">
        <f>'Func Future Lines 2015'!G118</f>
        <v>277558.40845329966</v>
      </c>
      <c r="H118" s="359" t="str">
        <f>'Func Future Lines 2015'!H118</f>
        <v>ENMAX</v>
      </c>
      <c r="I118" s="359">
        <f>'Func Future Lines 2015'!I118</f>
        <v>2015</v>
      </c>
      <c r="J118" s="361">
        <f>+IF($I118=J$3,VLOOKUP($H118,Depreciation!$A$6:$L$10,7,FALSE)/2,IF($I118&lt;J$3,VLOOKUP($H118,Depreciation!$A$6:$L$10,7,FALSE),0))</f>
        <v>1.3475179084025525E-2</v>
      </c>
      <c r="K118" s="361">
        <f>+IF($I118=K$3,VLOOKUP($H118,Depreciation!$A$6:$L$10,8,FALSE)/2,IF($I118&lt;K$3,VLOOKUP($H118,Depreciation!$A$6:$L$10,8,FALSE),0))</f>
        <v>2.6950358168051049E-2</v>
      </c>
      <c r="L118" s="361">
        <f>+IF($I118=L$3,VLOOKUP($H118,Depreciation!$A$6:$L$10,9,FALSE)/2,IF($I118&lt;L$3,VLOOKUP($H118,Depreciation!$A$6:$L$10,9,FALSE),0))</f>
        <v>2.6950358168051049E-2</v>
      </c>
      <c r="M118" s="361">
        <f>+IF($I118=M$3,VLOOKUP($H118,Depreciation!$A$6:$L$10,10,FALSE)/2,IF($I118&lt;M$3,VLOOKUP($H118,Depreciation!$A$6:$L$10,10,FALSE),0))</f>
        <v>2.6950358168051049E-2</v>
      </c>
      <c r="N118" s="361">
        <f>+IF($I118=N$3,VLOOKUP($H118,Depreciation!$A$6:$L$10,11,FALSE)/2,IF($I118&lt;N$3,VLOOKUP($H118,Depreciation!$A$6:$L$10,11,FALSE),0))</f>
        <v>2.6950358168051049E-2</v>
      </c>
      <c r="O118" s="361">
        <f>+IF($I118=O$3,VLOOKUP($H118,Depreciation!$A$6:$L$10,12,FALSE)/2,IF($I118&lt;O$3,VLOOKUP($H118,Depreciation!$A$6:$L$10,12,FALSE),0))</f>
        <v>2.6950358168051049E-2</v>
      </c>
      <c r="P118" s="362">
        <f t="shared" si="5"/>
        <v>259258.13904906588</v>
      </c>
      <c r="Q118" s="362">
        <f t="shared" si="6"/>
        <v>0</v>
      </c>
      <c r="R118" s="363">
        <f t="shared" si="7"/>
        <v>259258.13904906588</v>
      </c>
      <c r="Y118" s="365"/>
    </row>
    <row r="119" spans="1:25" ht="15" customHeight="1">
      <c r="A119" s="359" t="str">
        <f>'Func Future Lines 2015'!A119</f>
        <v>PPS</v>
      </c>
      <c r="B119" s="359" t="str">
        <f>'Func Future Lines 2015'!B119</f>
        <v>1037L/1038L</v>
      </c>
      <c r="C119" s="359">
        <f>'Func Future Lines 2015'!C119</f>
        <v>882</v>
      </c>
      <c r="D119" s="359">
        <f>'Func Future Lines 2015'!D119</f>
        <v>240</v>
      </c>
      <c r="E119" s="359">
        <f>'Func Future Lines 2015'!E119</f>
        <v>0</v>
      </c>
      <c r="F119" s="359">
        <f>'Func Future Lines 2015'!F119</f>
        <v>0</v>
      </c>
      <c r="G119" s="359">
        <f>'Func Future Lines 2015'!G119</f>
        <v>175713694.57219195</v>
      </c>
      <c r="H119" s="359" t="str">
        <f>'Func Future Lines 2015'!H119</f>
        <v>AltaLink</v>
      </c>
      <c r="I119" s="359">
        <f>'Func Future Lines 2015'!I119</f>
        <v>2015</v>
      </c>
      <c r="J119" s="361">
        <f>+IF($I119=J$3,VLOOKUP($H119,Depreciation!$A$6:$L$10,7,FALSE)/2,IF($I119&lt;J$3,VLOOKUP($H119,Depreciation!$A$6:$L$10,7,FALSE),0))</f>
        <v>1.595020804044691E-2</v>
      </c>
      <c r="K119" s="361">
        <f>+IF($I119=K$3,VLOOKUP($H119,Depreciation!$A$6:$L$10,8,FALSE)/2,IF($I119&lt;K$3,VLOOKUP($H119,Depreciation!$A$6:$L$10,8,FALSE),0))</f>
        <v>3.0676363676126896E-2</v>
      </c>
      <c r="L119" s="361">
        <f>+IF($I119=L$3,VLOOKUP($H119,Depreciation!$A$6:$L$10,9,FALSE)/2,IF($I119&lt;L$3,VLOOKUP($H119,Depreciation!$A$6:$L$10,9,FALSE),0))</f>
        <v>3.0676363676126896E-2</v>
      </c>
      <c r="M119" s="361">
        <f>+IF($I119=M$3,VLOOKUP($H119,Depreciation!$A$6:$L$10,10,FALSE)/2,IF($I119&lt;M$3,VLOOKUP($H119,Depreciation!$A$6:$L$10,10,FALSE),0))</f>
        <v>3.0676363676126896E-2</v>
      </c>
      <c r="N119" s="361">
        <f>+IF($I119=N$3,VLOOKUP($H119,Depreciation!$A$6:$L$10,11,FALSE)/2,IF($I119&lt;N$3,VLOOKUP($H119,Depreciation!$A$6:$L$10,11,FALSE),0))</f>
        <v>3.0676363676126896E-2</v>
      </c>
      <c r="O119" s="361">
        <f>+IF($I119=O$3,VLOOKUP($H119,Depreciation!$A$6:$L$10,12,FALSE)/2,IF($I119&lt;O$3,VLOOKUP($H119,Depreciation!$A$6:$L$10,12,FALSE),0))</f>
        <v>3.0676363676126896E-2</v>
      </c>
      <c r="P119" s="362">
        <f t="shared" si="5"/>
        <v>162465177.70798391</v>
      </c>
      <c r="Q119" s="362">
        <f t="shared" si="6"/>
        <v>162465177.70798391</v>
      </c>
      <c r="R119" s="363">
        <f t="shared" si="7"/>
        <v>0</v>
      </c>
      <c r="Y119" s="365"/>
    </row>
    <row r="120" spans="1:25" ht="15" customHeight="1">
      <c r="A120" s="359" t="str">
        <f>'Func Future Lines 2015'!A120</f>
        <v>PPS</v>
      </c>
      <c r="B120" s="359" t="str">
        <f>'Func Future Lines 2015'!B120</f>
        <v>1037L/1038L</v>
      </c>
      <c r="C120" s="359">
        <f>'Func Future Lines 2015'!C120</f>
        <v>882</v>
      </c>
      <c r="D120" s="359">
        <f>'Func Future Lines 2015'!D120</f>
        <v>240</v>
      </c>
      <c r="E120" s="359">
        <f>'Func Future Lines 2015'!E120</f>
        <v>0</v>
      </c>
      <c r="F120" s="359">
        <f>'Func Future Lines 2015'!F120</f>
        <v>0</v>
      </c>
      <c r="G120" s="359">
        <f>'Func Future Lines 2015'!G120</f>
        <v>175713694.57219195</v>
      </c>
      <c r="H120" s="359" t="str">
        <f>'Func Future Lines 2015'!H120</f>
        <v>AltaLink</v>
      </c>
      <c r="I120" s="359">
        <f>'Func Future Lines 2015'!I120</f>
        <v>2015</v>
      </c>
      <c r="J120" s="361">
        <f>+IF($I120=J$3,VLOOKUP($H120,Depreciation!$A$6:$L$10,7,FALSE)/2,IF($I120&lt;J$3,VLOOKUP($H120,Depreciation!$A$6:$L$10,7,FALSE),0))</f>
        <v>1.595020804044691E-2</v>
      </c>
      <c r="K120" s="361">
        <f>+IF($I120=K$3,VLOOKUP($H120,Depreciation!$A$6:$L$10,8,FALSE)/2,IF($I120&lt;K$3,VLOOKUP($H120,Depreciation!$A$6:$L$10,8,FALSE),0))</f>
        <v>3.0676363676126896E-2</v>
      </c>
      <c r="L120" s="361">
        <f>+IF($I120=L$3,VLOOKUP($H120,Depreciation!$A$6:$L$10,9,FALSE)/2,IF($I120&lt;L$3,VLOOKUP($H120,Depreciation!$A$6:$L$10,9,FALSE),0))</f>
        <v>3.0676363676126896E-2</v>
      </c>
      <c r="M120" s="361">
        <f>+IF($I120=M$3,VLOOKUP($H120,Depreciation!$A$6:$L$10,10,FALSE)/2,IF($I120&lt;M$3,VLOOKUP($H120,Depreciation!$A$6:$L$10,10,FALSE),0))</f>
        <v>3.0676363676126896E-2</v>
      </c>
      <c r="N120" s="361">
        <f>+IF($I120=N$3,VLOOKUP($H120,Depreciation!$A$6:$L$10,11,FALSE)/2,IF($I120&lt;N$3,VLOOKUP($H120,Depreciation!$A$6:$L$10,11,FALSE),0))</f>
        <v>3.0676363676126896E-2</v>
      </c>
      <c r="O120" s="361">
        <f>+IF($I120=O$3,VLOOKUP($H120,Depreciation!$A$6:$L$10,12,FALSE)/2,IF($I120&lt;O$3,VLOOKUP($H120,Depreciation!$A$6:$L$10,12,FALSE),0))</f>
        <v>3.0676363676126896E-2</v>
      </c>
      <c r="P120" s="362">
        <f t="shared" si="5"/>
        <v>162465177.70798391</v>
      </c>
      <c r="Q120" s="362">
        <f t="shared" si="6"/>
        <v>162465177.70798391</v>
      </c>
      <c r="R120" s="363">
        <f t="shared" si="7"/>
        <v>0</v>
      </c>
      <c r="Y120" s="365"/>
    </row>
    <row r="121" spans="1:25" ht="15" customHeight="1">
      <c r="A121" s="359" t="str">
        <f>'Func Future Lines 2015'!A121</f>
        <v>PPS</v>
      </c>
      <c r="B121" s="359" t="str">
        <f>'Func Future Lines 2015'!B121</f>
        <v>1048L/1049L</v>
      </c>
      <c r="C121" s="359">
        <f>'Func Future Lines 2015'!C121</f>
        <v>882</v>
      </c>
      <c r="D121" s="359">
        <f>'Func Future Lines 2015'!D121</f>
        <v>240</v>
      </c>
      <c r="E121" s="359">
        <f>'Func Future Lines 2015'!E121</f>
        <v>0</v>
      </c>
      <c r="F121" s="359">
        <f>'Func Future Lines 2015'!F121</f>
        <v>0</v>
      </c>
      <c r="G121" s="359">
        <f>'Func Future Lines 2015'!G121</f>
        <v>1408640.4351352858</v>
      </c>
      <c r="H121" s="359" t="str">
        <f>'Func Future Lines 2015'!H121</f>
        <v>AltaLink</v>
      </c>
      <c r="I121" s="359">
        <f>'Func Future Lines 2015'!I121</f>
        <v>2015</v>
      </c>
      <c r="J121" s="361">
        <f>+IF($I121=J$3,VLOOKUP($H121,Depreciation!$A$6:$L$10,7,FALSE)/2,IF($I121&lt;J$3,VLOOKUP($H121,Depreciation!$A$6:$L$10,7,FALSE),0))</f>
        <v>1.595020804044691E-2</v>
      </c>
      <c r="K121" s="361">
        <f>+IF($I121=K$3,VLOOKUP($H121,Depreciation!$A$6:$L$10,8,FALSE)/2,IF($I121&lt;K$3,VLOOKUP($H121,Depreciation!$A$6:$L$10,8,FALSE),0))</f>
        <v>3.0676363676126896E-2</v>
      </c>
      <c r="L121" s="361">
        <f>+IF($I121=L$3,VLOOKUP($H121,Depreciation!$A$6:$L$10,9,FALSE)/2,IF($I121&lt;L$3,VLOOKUP($H121,Depreciation!$A$6:$L$10,9,FALSE),0))</f>
        <v>3.0676363676126896E-2</v>
      </c>
      <c r="M121" s="361">
        <f>+IF($I121=M$3,VLOOKUP($H121,Depreciation!$A$6:$L$10,10,FALSE)/2,IF($I121&lt;M$3,VLOOKUP($H121,Depreciation!$A$6:$L$10,10,FALSE),0))</f>
        <v>3.0676363676126896E-2</v>
      </c>
      <c r="N121" s="361">
        <f>+IF($I121=N$3,VLOOKUP($H121,Depreciation!$A$6:$L$10,11,FALSE)/2,IF($I121&lt;N$3,VLOOKUP($H121,Depreciation!$A$6:$L$10,11,FALSE),0))</f>
        <v>3.0676363676126896E-2</v>
      </c>
      <c r="O121" s="361">
        <f>+IF($I121=O$3,VLOOKUP($H121,Depreciation!$A$6:$L$10,12,FALSE)/2,IF($I121&lt;O$3,VLOOKUP($H121,Depreciation!$A$6:$L$10,12,FALSE),0))</f>
        <v>3.0676363676126896E-2</v>
      </c>
      <c r="P121" s="362">
        <f t="shared" si="5"/>
        <v>1302431.3169107086</v>
      </c>
      <c r="Q121" s="362">
        <f t="shared" si="6"/>
        <v>1302431.3169107086</v>
      </c>
      <c r="R121" s="363">
        <f t="shared" si="7"/>
        <v>0</v>
      </c>
      <c r="Y121" s="365"/>
    </row>
    <row r="122" spans="1:25" ht="15" customHeight="1">
      <c r="A122" s="359" t="str">
        <f>'Func Future Lines 2015'!A122</f>
        <v>PPS</v>
      </c>
      <c r="B122" s="359" t="str">
        <f>'Func Future Lines 2015'!B122</f>
        <v>1048L/1049L</v>
      </c>
      <c r="C122" s="359">
        <f>'Func Future Lines 2015'!C122</f>
        <v>882</v>
      </c>
      <c r="D122" s="359">
        <f>'Func Future Lines 2015'!D122</f>
        <v>240</v>
      </c>
      <c r="E122" s="359">
        <f>'Func Future Lines 2015'!E122</f>
        <v>0</v>
      </c>
      <c r="F122" s="359">
        <f>'Func Future Lines 2015'!F122</f>
        <v>0</v>
      </c>
      <c r="G122" s="359">
        <f>'Func Future Lines 2015'!G122</f>
        <v>1408640.4351352858</v>
      </c>
      <c r="H122" s="359" t="str">
        <f>'Func Future Lines 2015'!H122</f>
        <v>AltaLink</v>
      </c>
      <c r="I122" s="359">
        <f>'Func Future Lines 2015'!I122</f>
        <v>2015</v>
      </c>
      <c r="J122" s="361">
        <f>+IF($I122=J$3,VLOOKUP($H122,Depreciation!$A$6:$L$10,7,FALSE)/2,IF($I122&lt;J$3,VLOOKUP($H122,Depreciation!$A$6:$L$10,7,FALSE),0))</f>
        <v>1.595020804044691E-2</v>
      </c>
      <c r="K122" s="361">
        <f>+IF($I122=K$3,VLOOKUP($H122,Depreciation!$A$6:$L$10,8,FALSE)/2,IF($I122&lt;K$3,VLOOKUP($H122,Depreciation!$A$6:$L$10,8,FALSE),0))</f>
        <v>3.0676363676126896E-2</v>
      </c>
      <c r="L122" s="361">
        <f>+IF($I122=L$3,VLOOKUP($H122,Depreciation!$A$6:$L$10,9,FALSE)/2,IF($I122&lt;L$3,VLOOKUP($H122,Depreciation!$A$6:$L$10,9,FALSE),0))</f>
        <v>3.0676363676126896E-2</v>
      </c>
      <c r="M122" s="361">
        <f>+IF($I122=M$3,VLOOKUP($H122,Depreciation!$A$6:$L$10,10,FALSE)/2,IF($I122&lt;M$3,VLOOKUP($H122,Depreciation!$A$6:$L$10,10,FALSE),0))</f>
        <v>3.0676363676126896E-2</v>
      </c>
      <c r="N122" s="361">
        <f>+IF($I122=N$3,VLOOKUP($H122,Depreciation!$A$6:$L$10,11,FALSE)/2,IF($I122&lt;N$3,VLOOKUP($H122,Depreciation!$A$6:$L$10,11,FALSE),0))</f>
        <v>3.0676363676126896E-2</v>
      </c>
      <c r="O122" s="361">
        <f>+IF($I122=O$3,VLOOKUP($H122,Depreciation!$A$6:$L$10,12,FALSE)/2,IF($I122&lt;O$3,VLOOKUP($H122,Depreciation!$A$6:$L$10,12,FALSE),0))</f>
        <v>3.0676363676126896E-2</v>
      </c>
      <c r="P122" s="362">
        <f t="shared" si="5"/>
        <v>1302431.3169107086</v>
      </c>
      <c r="Q122" s="362">
        <f t="shared" si="6"/>
        <v>1302431.3169107086</v>
      </c>
      <c r="R122" s="363">
        <f t="shared" si="7"/>
        <v>0</v>
      </c>
      <c r="Y122" s="365"/>
    </row>
    <row r="123" spans="1:25" ht="15" customHeight="1">
      <c r="A123" s="359" t="str">
        <f>'Func Future Lines 2015'!A123</f>
        <v>PPS</v>
      </c>
      <c r="B123" s="359" t="str">
        <f>'Func Future Lines 2015'!B123</f>
        <v>603L to Windy Flats 138S</v>
      </c>
      <c r="C123" s="359">
        <f>'Func Future Lines 2015'!C123</f>
        <v>882</v>
      </c>
      <c r="D123" s="359">
        <f>'Func Future Lines 2015'!D123</f>
        <v>138</v>
      </c>
      <c r="E123" s="359">
        <f>'Func Future Lines 2015'!E123</f>
        <v>0</v>
      </c>
      <c r="F123" s="359">
        <f>'Func Future Lines 2015'!F123</f>
        <v>0</v>
      </c>
      <c r="G123" s="359">
        <f>'Func Future Lines 2015'!G123</f>
        <v>408645.45604728005</v>
      </c>
      <c r="H123" s="359" t="str">
        <f>'Func Future Lines 2015'!H123</f>
        <v>AltaLink</v>
      </c>
      <c r="I123" s="359">
        <f>'Func Future Lines 2015'!I123</f>
        <v>2015</v>
      </c>
      <c r="J123" s="361">
        <f>+IF($I123=J$3,VLOOKUP($H123,Depreciation!$A$6:$L$10,7,FALSE)/2,IF($I123&lt;J$3,VLOOKUP($H123,Depreciation!$A$6:$L$10,7,FALSE),0))</f>
        <v>1.595020804044691E-2</v>
      </c>
      <c r="K123" s="361">
        <f>+IF($I123=K$3,VLOOKUP($H123,Depreciation!$A$6:$L$10,8,FALSE)/2,IF($I123&lt;K$3,VLOOKUP($H123,Depreciation!$A$6:$L$10,8,FALSE),0))</f>
        <v>3.0676363676126896E-2</v>
      </c>
      <c r="L123" s="361">
        <f>+IF($I123=L$3,VLOOKUP($H123,Depreciation!$A$6:$L$10,9,FALSE)/2,IF($I123&lt;L$3,VLOOKUP($H123,Depreciation!$A$6:$L$10,9,FALSE),0))</f>
        <v>3.0676363676126896E-2</v>
      </c>
      <c r="M123" s="361">
        <f>+IF($I123=M$3,VLOOKUP($H123,Depreciation!$A$6:$L$10,10,FALSE)/2,IF($I123&lt;M$3,VLOOKUP($H123,Depreciation!$A$6:$L$10,10,FALSE),0))</f>
        <v>3.0676363676126896E-2</v>
      </c>
      <c r="N123" s="361">
        <f>+IF($I123=N$3,VLOOKUP($H123,Depreciation!$A$6:$L$10,11,FALSE)/2,IF($I123&lt;N$3,VLOOKUP($H123,Depreciation!$A$6:$L$10,11,FALSE),0))</f>
        <v>3.0676363676126896E-2</v>
      </c>
      <c r="O123" s="361">
        <f>+IF($I123=O$3,VLOOKUP($H123,Depreciation!$A$6:$L$10,12,FALSE)/2,IF($I123&lt;O$3,VLOOKUP($H123,Depreciation!$A$6:$L$10,12,FALSE),0))</f>
        <v>3.0676363676126896E-2</v>
      </c>
      <c r="P123" s="362">
        <f t="shared" si="5"/>
        <v>377834.27636600571</v>
      </c>
      <c r="Q123" s="362">
        <f t="shared" si="6"/>
        <v>0</v>
      </c>
      <c r="R123" s="363">
        <f t="shared" si="7"/>
        <v>377834.27636600571</v>
      </c>
      <c r="Y123" s="365"/>
    </row>
    <row r="124" spans="1:25" ht="15" customHeight="1">
      <c r="A124" s="359" t="str">
        <f>'Func Future Lines 2015'!A124</f>
        <v>PPS</v>
      </c>
      <c r="B124" s="359" t="str">
        <f>'Func Future Lines 2015'!B124</f>
        <v xml:space="preserve">608L - 138kV both s/c and d/c </v>
      </c>
      <c r="C124" s="359">
        <f>'Func Future Lines 2015'!C124</f>
        <v>882</v>
      </c>
      <c r="D124" s="359">
        <f>'Func Future Lines 2015'!D124</f>
        <v>138</v>
      </c>
      <c r="E124" s="359">
        <f>'Func Future Lines 2015'!E124</f>
        <v>0</v>
      </c>
      <c r="F124" s="359">
        <f>'Func Future Lines 2015'!F124</f>
        <v>0</v>
      </c>
      <c r="G124" s="359">
        <f>'Func Future Lines 2015'!G124</f>
        <v>6799479.65835247</v>
      </c>
      <c r="H124" s="359" t="str">
        <f>'Func Future Lines 2015'!H124</f>
        <v>AltaLink</v>
      </c>
      <c r="I124" s="359">
        <f>'Func Future Lines 2015'!I124</f>
        <v>2015</v>
      </c>
      <c r="J124" s="361">
        <f>+IF($I124=J$3,VLOOKUP($H124,Depreciation!$A$6:$L$10,7,FALSE)/2,IF($I124&lt;J$3,VLOOKUP($H124,Depreciation!$A$6:$L$10,7,FALSE),0))</f>
        <v>1.595020804044691E-2</v>
      </c>
      <c r="K124" s="361">
        <f>+IF($I124=K$3,VLOOKUP($H124,Depreciation!$A$6:$L$10,8,FALSE)/2,IF($I124&lt;K$3,VLOOKUP($H124,Depreciation!$A$6:$L$10,8,FALSE),0))</f>
        <v>3.0676363676126896E-2</v>
      </c>
      <c r="L124" s="361">
        <f>+IF($I124=L$3,VLOOKUP($H124,Depreciation!$A$6:$L$10,9,FALSE)/2,IF($I124&lt;L$3,VLOOKUP($H124,Depreciation!$A$6:$L$10,9,FALSE),0))</f>
        <v>3.0676363676126896E-2</v>
      </c>
      <c r="M124" s="361">
        <f>+IF($I124=M$3,VLOOKUP($H124,Depreciation!$A$6:$L$10,10,FALSE)/2,IF($I124&lt;M$3,VLOOKUP($H124,Depreciation!$A$6:$L$10,10,FALSE),0))</f>
        <v>3.0676363676126896E-2</v>
      </c>
      <c r="N124" s="361">
        <f>+IF($I124=N$3,VLOOKUP($H124,Depreciation!$A$6:$L$10,11,FALSE)/2,IF($I124&lt;N$3,VLOOKUP($H124,Depreciation!$A$6:$L$10,11,FALSE),0))</f>
        <v>3.0676363676126896E-2</v>
      </c>
      <c r="O124" s="361">
        <f>+IF($I124=O$3,VLOOKUP($H124,Depreciation!$A$6:$L$10,12,FALSE)/2,IF($I124&lt;O$3,VLOOKUP($H124,Depreciation!$A$6:$L$10,12,FALSE),0))</f>
        <v>3.0676363676126896E-2</v>
      </c>
      <c r="P124" s="362">
        <f t="shared" si="5"/>
        <v>6286810.3348780172</v>
      </c>
      <c r="Q124" s="362">
        <f t="shared" si="6"/>
        <v>0</v>
      </c>
      <c r="R124" s="363">
        <f t="shared" si="7"/>
        <v>6286810.3348780172</v>
      </c>
      <c r="Y124" s="365"/>
    </row>
    <row r="125" spans="1:25" ht="15" customHeight="1">
      <c r="A125" s="359" t="str">
        <f>'Func Future Lines 2015'!A125</f>
        <v>PPS</v>
      </c>
      <c r="B125" s="359" t="str">
        <f>'Func Future Lines 2015'!B125</f>
        <v>608L - d/c 725BL</v>
      </c>
      <c r="C125" s="359">
        <f>'Func Future Lines 2015'!C125</f>
        <v>882</v>
      </c>
      <c r="D125" s="359">
        <f>'Func Future Lines 2015'!D125</f>
        <v>138</v>
      </c>
      <c r="E125" s="359">
        <f>'Func Future Lines 2015'!E125</f>
        <v>0</v>
      </c>
      <c r="F125" s="359">
        <f>'Func Future Lines 2015'!F125</f>
        <v>0</v>
      </c>
      <c r="G125" s="359">
        <f>'Func Future Lines 2015'!G125</f>
        <v>2371991.3149319356</v>
      </c>
      <c r="H125" s="359" t="str">
        <f>'Func Future Lines 2015'!H125</f>
        <v>AltaLink</v>
      </c>
      <c r="I125" s="359">
        <f>'Func Future Lines 2015'!I125</f>
        <v>2015</v>
      </c>
      <c r="J125" s="361">
        <f>+IF($I125=J$3,VLOOKUP($H125,Depreciation!$A$6:$L$10,7,FALSE)/2,IF($I125&lt;J$3,VLOOKUP($H125,Depreciation!$A$6:$L$10,7,FALSE),0))</f>
        <v>1.595020804044691E-2</v>
      </c>
      <c r="K125" s="361">
        <f>+IF($I125=K$3,VLOOKUP($H125,Depreciation!$A$6:$L$10,8,FALSE)/2,IF($I125&lt;K$3,VLOOKUP($H125,Depreciation!$A$6:$L$10,8,FALSE),0))</f>
        <v>3.0676363676126896E-2</v>
      </c>
      <c r="L125" s="361">
        <f>+IF($I125=L$3,VLOOKUP($H125,Depreciation!$A$6:$L$10,9,FALSE)/2,IF($I125&lt;L$3,VLOOKUP($H125,Depreciation!$A$6:$L$10,9,FALSE),0))</f>
        <v>3.0676363676126896E-2</v>
      </c>
      <c r="M125" s="361">
        <f>+IF($I125=M$3,VLOOKUP($H125,Depreciation!$A$6:$L$10,10,FALSE)/2,IF($I125&lt;M$3,VLOOKUP($H125,Depreciation!$A$6:$L$10,10,FALSE),0))</f>
        <v>3.0676363676126896E-2</v>
      </c>
      <c r="N125" s="361">
        <f>+IF($I125=N$3,VLOOKUP($H125,Depreciation!$A$6:$L$10,11,FALSE)/2,IF($I125&lt;N$3,VLOOKUP($H125,Depreciation!$A$6:$L$10,11,FALSE),0))</f>
        <v>3.0676363676126896E-2</v>
      </c>
      <c r="O125" s="361">
        <f>+IF($I125=O$3,VLOOKUP($H125,Depreciation!$A$6:$L$10,12,FALSE)/2,IF($I125&lt;O$3,VLOOKUP($H125,Depreciation!$A$6:$L$10,12,FALSE),0))</f>
        <v>3.0676363676126896E-2</v>
      </c>
      <c r="P125" s="362">
        <f t="shared" si="5"/>
        <v>2193147.1615826949</v>
      </c>
      <c r="Q125" s="362">
        <f t="shared" si="6"/>
        <v>0</v>
      </c>
      <c r="R125" s="363">
        <f t="shared" si="7"/>
        <v>2193147.1615826949</v>
      </c>
      <c r="Y125" s="365"/>
    </row>
    <row r="126" spans="1:25" ht="15" customHeight="1">
      <c r="A126" s="359" t="str">
        <f>'Func Future Lines 2015'!A126</f>
        <v>PPS</v>
      </c>
      <c r="B126" s="359" t="str">
        <f>'Func Future Lines 2015'!B126</f>
        <v>911L By-Pass</v>
      </c>
      <c r="C126" s="359">
        <f>'Func Future Lines 2015'!C126</f>
        <v>882</v>
      </c>
      <c r="D126" s="359">
        <f>'Func Future Lines 2015'!D126</f>
        <v>240</v>
      </c>
      <c r="E126" s="359">
        <f>'Func Future Lines 2015'!E126</f>
        <v>0</v>
      </c>
      <c r="F126" s="359">
        <f>'Func Future Lines 2015'!F126</f>
        <v>0</v>
      </c>
      <c r="G126" s="359">
        <f>'Func Future Lines 2015'!G126</f>
        <v>11928878.215178415</v>
      </c>
      <c r="H126" s="359" t="str">
        <f>'Func Future Lines 2015'!H126</f>
        <v>AltaLink</v>
      </c>
      <c r="I126" s="359">
        <f>'Func Future Lines 2015'!I126</f>
        <v>2015</v>
      </c>
      <c r="J126" s="361">
        <f>+IF($I126=J$3,VLOOKUP($H126,Depreciation!$A$6:$L$10,7,FALSE)/2,IF($I126&lt;J$3,VLOOKUP($H126,Depreciation!$A$6:$L$10,7,FALSE),0))</f>
        <v>1.595020804044691E-2</v>
      </c>
      <c r="K126" s="361">
        <f>+IF($I126=K$3,VLOOKUP($H126,Depreciation!$A$6:$L$10,8,FALSE)/2,IF($I126&lt;K$3,VLOOKUP($H126,Depreciation!$A$6:$L$10,8,FALSE),0))</f>
        <v>3.0676363676126896E-2</v>
      </c>
      <c r="L126" s="361">
        <f>+IF($I126=L$3,VLOOKUP($H126,Depreciation!$A$6:$L$10,9,FALSE)/2,IF($I126&lt;L$3,VLOOKUP($H126,Depreciation!$A$6:$L$10,9,FALSE),0))</f>
        <v>3.0676363676126896E-2</v>
      </c>
      <c r="M126" s="361">
        <f>+IF($I126=M$3,VLOOKUP($H126,Depreciation!$A$6:$L$10,10,FALSE)/2,IF($I126&lt;M$3,VLOOKUP($H126,Depreciation!$A$6:$L$10,10,FALSE),0))</f>
        <v>3.0676363676126896E-2</v>
      </c>
      <c r="N126" s="361">
        <f>+IF($I126=N$3,VLOOKUP($H126,Depreciation!$A$6:$L$10,11,FALSE)/2,IF($I126&lt;N$3,VLOOKUP($H126,Depreciation!$A$6:$L$10,11,FALSE),0))</f>
        <v>3.0676363676126896E-2</v>
      </c>
      <c r="O126" s="361">
        <f>+IF($I126=O$3,VLOOKUP($H126,Depreciation!$A$6:$L$10,12,FALSE)/2,IF($I126&lt;O$3,VLOOKUP($H126,Depreciation!$A$6:$L$10,12,FALSE),0))</f>
        <v>3.0676363676126896E-2</v>
      </c>
      <c r="P126" s="362">
        <f t="shared" si="5"/>
        <v>11029460.872724527</v>
      </c>
      <c r="Q126" s="362">
        <f t="shared" si="6"/>
        <v>11029460.872724527</v>
      </c>
      <c r="R126" s="363">
        <f t="shared" si="7"/>
        <v>0</v>
      </c>
      <c r="Y126" s="365"/>
    </row>
    <row r="127" spans="1:25" ht="15" customHeight="1">
      <c r="A127" s="359" t="str">
        <f>'Func Future Lines 2015'!A127</f>
        <v>PPS</v>
      </c>
      <c r="B127" s="359" t="str">
        <f>'Func Future Lines 2015'!B127</f>
        <v>911L Crossing</v>
      </c>
      <c r="C127" s="359">
        <f>'Func Future Lines 2015'!C127</f>
        <v>882</v>
      </c>
      <c r="D127" s="359">
        <f>'Func Future Lines 2015'!D127</f>
        <v>240</v>
      </c>
      <c r="E127" s="359">
        <f>'Func Future Lines 2015'!E127</f>
        <v>0</v>
      </c>
      <c r="F127" s="359">
        <f>'Func Future Lines 2015'!F127</f>
        <v>0</v>
      </c>
      <c r="G127" s="359">
        <f>'Func Future Lines 2015'!G127</f>
        <v>4366097.6160243107</v>
      </c>
      <c r="H127" s="359" t="str">
        <f>'Func Future Lines 2015'!H127</f>
        <v>AltaLink</v>
      </c>
      <c r="I127" s="359">
        <f>'Func Future Lines 2015'!I127</f>
        <v>2015</v>
      </c>
      <c r="J127" s="361">
        <f>+IF($I127=J$3,VLOOKUP($H127,Depreciation!$A$6:$L$10,7,FALSE)/2,IF($I127&lt;J$3,VLOOKUP($H127,Depreciation!$A$6:$L$10,7,FALSE),0))</f>
        <v>1.595020804044691E-2</v>
      </c>
      <c r="K127" s="361">
        <f>+IF($I127=K$3,VLOOKUP($H127,Depreciation!$A$6:$L$10,8,FALSE)/2,IF($I127&lt;K$3,VLOOKUP($H127,Depreciation!$A$6:$L$10,8,FALSE),0))</f>
        <v>3.0676363676126896E-2</v>
      </c>
      <c r="L127" s="361">
        <f>+IF($I127=L$3,VLOOKUP($H127,Depreciation!$A$6:$L$10,9,FALSE)/2,IF($I127&lt;L$3,VLOOKUP($H127,Depreciation!$A$6:$L$10,9,FALSE),0))</f>
        <v>3.0676363676126896E-2</v>
      </c>
      <c r="M127" s="361">
        <f>+IF($I127=M$3,VLOOKUP($H127,Depreciation!$A$6:$L$10,10,FALSE)/2,IF($I127&lt;M$3,VLOOKUP($H127,Depreciation!$A$6:$L$10,10,FALSE),0))</f>
        <v>3.0676363676126896E-2</v>
      </c>
      <c r="N127" s="361">
        <f>+IF($I127=N$3,VLOOKUP($H127,Depreciation!$A$6:$L$10,11,FALSE)/2,IF($I127&lt;N$3,VLOOKUP($H127,Depreciation!$A$6:$L$10,11,FALSE),0))</f>
        <v>3.0676363676126896E-2</v>
      </c>
      <c r="O127" s="361">
        <f>+IF($I127=O$3,VLOOKUP($H127,Depreciation!$A$6:$L$10,12,FALSE)/2,IF($I127&lt;O$3,VLOOKUP($H127,Depreciation!$A$6:$L$10,12,FALSE),0))</f>
        <v>3.0676363676126896E-2</v>
      </c>
      <c r="P127" s="362">
        <f t="shared" si="5"/>
        <v>4036901.2034310331</v>
      </c>
      <c r="Q127" s="362">
        <f t="shared" si="6"/>
        <v>4036901.2034310331</v>
      </c>
      <c r="R127" s="363">
        <f t="shared" si="7"/>
        <v>0</v>
      </c>
      <c r="Y127" s="365"/>
    </row>
    <row r="128" spans="1:25" ht="15" customHeight="1">
      <c r="A128" s="359" t="str">
        <f>'Func Future Lines 2015'!A128</f>
        <v>PPS</v>
      </c>
      <c r="B128" s="359" t="str">
        <f>'Func Future Lines 2015'!B128</f>
        <v>967L/968L</v>
      </c>
      <c r="C128" s="359">
        <f>'Func Future Lines 2015'!C128</f>
        <v>882</v>
      </c>
      <c r="D128" s="359">
        <f>'Func Future Lines 2015'!D128</f>
        <v>240</v>
      </c>
      <c r="E128" s="359">
        <f>'Func Future Lines 2015'!E128</f>
        <v>0</v>
      </c>
      <c r="F128" s="359">
        <f>'Func Future Lines 2015'!F128</f>
        <v>0</v>
      </c>
      <c r="G128" s="359">
        <f>'Func Future Lines 2015'!G128</f>
        <v>1457386.3381379189</v>
      </c>
      <c r="H128" s="359" t="str">
        <f>'Func Future Lines 2015'!H128</f>
        <v>AltaLink</v>
      </c>
      <c r="I128" s="359">
        <f>'Func Future Lines 2015'!I128</f>
        <v>2015</v>
      </c>
      <c r="J128" s="361">
        <f>+IF($I128=J$3,VLOOKUP($H128,Depreciation!$A$6:$L$10,7,FALSE)/2,IF($I128&lt;J$3,VLOOKUP($H128,Depreciation!$A$6:$L$10,7,FALSE),0))</f>
        <v>1.595020804044691E-2</v>
      </c>
      <c r="K128" s="361">
        <f>+IF($I128=K$3,VLOOKUP($H128,Depreciation!$A$6:$L$10,8,FALSE)/2,IF($I128&lt;K$3,VLOOKUP($H128,Depreciation!$A$6:$L$10,8,FALSE),0))</f>
        <v>3.0676363676126896E-2</v>
      </c>
      <c r="L128" s="361">
        <f>+IF($I128=L$3,VLOOKUP($H128,Depreciation!$A$6:$L$10,9,FALSE)/2,IF($I128&lt;L$3,VLOOKUP($H128,Depreciation!$A$6:$L$10,9,FALSE),0))</f>
        <v>3.0676363676126896E-2</v>
      </c>
      <c r="M128" s="361">
        <f>+IF($I128=M$3,VLOOKUP($H128,Depreciation!$A$6:$L$10,10,FALSE)/2,IF($I128&lt;M$3,VLOOKUP($H128,Depreciation!$A$6:$L$10,10,FALSE),0))</f>
        <v>3.0676363676126896E-2</v>
      </c>
      <c r="N128" s="361">
        <f>+IF($I128=N$3,VLOOKUP($H128,Depreciation!$A$6:$L$10,11,FALSE)/2,IF($I128&lt;N$3,VLOOKUP($H128,Depreciation!$A$6:$L$10,11,FALSE),0))</f>
        <v>3.0676363676126896E-2</v>
      </c>
      <c r="O128" s="361">
        <f>+IF($I128=O$3,VLOOKUP($H128,Depreciation!$A$6:$L$10,12,FALSE)/2,IF($I128&lt;O$3,VLOOKUP($H128,Depreciation!$A$6:$L$10,12,FALSE),0))</f>
        <v>3.0676363676126896E-2</v>
      </c>
      <c r="P128" s="362">
        <f t="shared" si="5"/>
        <v>1347501.8608608569</v>
      </c>
      <c r="Q128" s="362">
        <f t="shared" si="6"/>
        <v>1347501.8608608569</v>
      </c>
      <c r="R128" s="363">
        <f t="shared" si="7"/>
        <v>0</v>
      </c>
      <c r="Y128" s="365"/>
    </row>
    <row r="129" spans="1:25" ht="15" customHeight="1">
      <c r="A129" s="359" t="str">
        <f>'Func Future Lines 2015'!A129</f>
        <v>PPS</v>
      </c>
      <c r="B129" s="359" t="str">
        <f>'Func Future Lines 2015'!B129</f>
        <v>967L/968L</v>
      </c>
      <c r="C129" s="359">
        <f>'Func Future Lines 2015'!C129</f>
        <v>882</v>
      </c>
      <c r="D129" s="359">
        <f>'Func Future Lines 2015'!D129</f>
        <v>240</v>
      </c>
      <c r="E129" s="359">
        <f>'Func Future Lines 2015'!E129</f>
        <v>0</v>
      </c>
      <c r="F129" s="359">
        <f>'Func Future Lines 2015'!F129</f>
        <v>0</v>
      </c>
      <c r="G129" s="359">
        <f>'Func Future Lines 2015'!G129</f>
        <v>1445486.0678757485</v>
      </c>
      <c r="H129" s="359" t="str">
        <f>'Func Future Lines 2015'!H129</f>
        <v>AltaLink</v>
      </c>
      <c r="I129" s="359">
        <f>'Func Future Lines 2015'!I129</f>
        <v>2015</v>
      </c>
      <c r="J129" s="361">
        <f>+IF($I129=J$3,VLOOKUP($H129,Depreciation!$A$6:$L$10,7,FALSE)/2,IF($I129&lt;J$3,VLOOKUP($H129,Depreciation!$A$6:$L$10,7,FALSE),0))</f>
        <v>1.595020804044691E-2</v>
      </c>
      <c r="K129" s="361">
        <f>+IF($I129=K$3,VLOOKUP($H129,Depreciation!$A$6:$L$10,8,FALSE)/2,IF($I129&lt;K$3,VLOOKUP($H129,Depreciation!$A$6:$L$10,8,FALSE),0))</f>
        <v>3.0676363676126896E-2</v>
      </c>
      <c r="L129" s="361">
        <f>+IF($I129=L$3,VLOOKUP($H129,Depreciation!$A$6:$L$10,9,FALSE)/2,IF($I129&lt;L$3,VLOOKUP($H129,Depreciation!$A$6:$L$10,9,FALSE),0))</f>
        <v>3.0676363676126896E-2</v>
      </c>
      <c r="M129" s="361">
        <f>+IF($I129=M$3,VLOOKUP($H129,Depreciation!$A$6:$L$10,10,FALSE)/2,IF($I129&lt;M$3,VLOOKUP($H129,Depreciation!$A$6:$L$10,10,FALSE),0))</f>
        <v>3.0676363676126896E-2</v>
      </c>
      <c r="N129" s="361">
        <f>+IF($I129=N$3,VLOOKUP($H129,Depreciation!$A$6:$L$10,11,FALSE)/2,IF($I129&lt;N$3,VLOOKUP($H129,Depreciation!$A$6:$L$10,11,FALSE),0))</f>
        <v>3.0676363676126896E-2</v>
      </c>
      <c r="O129" s="361">
        <f>+IF($I129=O$3,VLOOKUP($H129,Depreciation!$A$6:$L$10,12,FALSE)/2,IF($I129&lt;O$3,VLOOKUP($H129,Depreciation!$A$6:$L$10,12,FALSE),0))</f>
        <v>3.0676363676126896E-2</v>
      </c>
      <c r="P129" s="362">
        <f t="shared" si="5"/>
        <v>1336498.8509496278</v>
      </c>
      <c r="Q129" s="362">
        <f t="shared" si="6"/>
        <v>1336498.8509496278</v>
      </c>
      <c r="R129" s="363">
        <f t="shared" si="7"/>
        <v>0</v>
      </c>
      <c r="Y129" s="365"/>
    </row>
    <row r="130" spans="1:25" ht="15" customHeight="1">
      <c r="A130" s="359" t="str">
        <f>'Func Future Lines 2015'!A130</f>
        <v>PPS</v>
      </c>
      <c r="B130" s="359" t="str">
        <f>'Func Future Lines 2015'!B130</f>
        <v>Connection of 603L to 138S - 603L</v>
      </c>
      <c r="C130" s="359">
        <f>'Func Future Lines 2015'!C130</f>
        <v>882</v>
      </c>
      <c r="D130" s="359">
        <f>'Func Future Lines 2015'!D130</f>
        <v>138</v>
      </c>
      <c r="E130" s="359">
        <f>'Func Future Lines 2015'!E130</f>
        <v>0</v>
      </c>
      <c r="F130" s="359">
        <f>'Func Future Lines 2015'!F130</f>
        <v>0</v>
      </c>
      <c r="G130" s="359">
        <f>'Func Future Lines 2015'!G130</f>
        <v>19309.423592515817</v>
      </c>
      <c r="H130" s="359" t="str">
        <f>'Func Future Lines 2015'!H130</f>
        <v>AltaLink</v>
      </c>
      <c r="I130" s="359">
        <f>'Func Future Lines 2015'!I130</f>
        <v>2015</v>
      </c>
      <c r="J130" s="361">
        <f>+IF($I130=J$3,VLOOKUP($H130,Depreciation!$A$6:$L$10,7,FALSE)/2,IF($I130&lt;J$3,VLOOKUP($H130,Depreciation!$A$6:$L$10,7,FALSE),0))</f>
        <v>1.595020804044691E-2</v>
      </c>
      <c r="K130" s="361">
        <f>+IF($I130=K$3,VLOOKUP($H130,Depreciation!$A$6:$L$10,8,FALSE)/2,IF($I130&lt;K$3,VLOOKUP($H130,Depreciation!$A$6:$L$10,8,FALSE),0))</f>
        <v>3.0676363676126896E-2</v>
      </c>
      <c r="L130" s="361">
        <f>+IF($I130=L$3,VLOOKUP($H130,Depreciation!$A$6:$L$10,9,FALSE)/2,IF($I130&lt;L$3,VLOOKUP($H130,Depreciation!$A$6:$L$10,9,FALSE),0))</f>
        <v>3.0676363676126896E-2</v>
      </c>
      <c r="M130" s="361">
        <f>+IF($I130=M$3,VLOOKUP($H130,Depreciation!$A$6:$L$10,10,FALSE)/2,IF($I130&lt;M$3,VLOOKUP($H130,Depreciation!$A$6:$L$10,10,FALSE),0))</f>
        <v>3.0676363676126896E-2</v>
      </c>
      <c r="N130" s="361">
        <f>+IF($I130=N$3,VLOOKUP($H130,Depreciation!$A$6:$L$10,11,FALSE)/2,IF($I130&lt;N$3,VLOOKUP($H130,Depreciation!$A$6:$L$10,11,FALSE),0))</f>
        <v>3.0676363676126896E-2</v>
      </c>
      <c r="O130" s="361">
        <f>+IF($I130=O$3,VLOOKUP($H130,Depreciation!$A$6:$L$10,12,FALSE)/2,IF($I130&lt;O$3,VLOOKUP($H130,Depreciation!$A$6:$L$10,12,FALSE),0))</f>
        <v>3.0676363676126896E-2</v>
      </c>
      <c r="P130" s="362">
        <f t="shared" si="5"/>
        <v>17853.525549244765</v>
      </c>
      <c r="Q130" s="362">
        <f t="shared" si="6"/>
        <v>0</v>
      </c>
      <c r="R130" s="363">
        <f t="shared" si="7"/>
        <v>17853.525549244765</v>
      </c>
      <c r="Y130" s="365"/>
    </row>
    <row r="131" spans="1:25" ht="15" customHeight="1">
      <c r="A131" s="359" t="str">
        <f>'Func Future Lines 2015'!A131</f>
        <v>PPS</v>
      </c>
      <c r="B131" s="359" t="str">
        <f>'Func Future Lines 2015'!B131</f>
        <v>Connection of 608L to 138S - 608AL</v>
      </c>
      <c r="C131" s="359">
        <f>'Func Future Lines 2015'!C131</f>
        <v>882</v>
      </c>
      <c r="D131" s="359">
        <f>'Func Future Lines 2015'!D131</f>
        <v>138</v>
      </c>
      <c r="E131" s="359">
        <f>'Func Future Lines 2015'!E131</f>
        <v>0</v>
      </c>
      <c r="F131" s="359">
        <f>'Func Future Lines 2015'!F131</f>
        <v>0</v>
      </c>
      <c r="G131" s="359">
        <f>'Func Future Lines 2015'!G131</f>
        <v>34179.513153324726</v>
      </c>
      <c r="H131" s="359" t="str">
        <f>'Func Future Lines 2015'!H131</f>
        <v>AltaLink</v>
      </c>
      <c r="I131" s="359">
        <f>'Func Future Lines 2015'!I131</f>
        <v>2015</v>
      </c>
      <c r="J131" s="361">
        <f>+IF($I131=J$3,VLOOKUP($H131,Depreciation!$A$6:$L$10,7,FALSE)/2,IF($I131&lt;J$3,VLOOKUP($H131,Depreciation!$A$6:$L$10,7,FALSE),0))</f>
        <v>1.595020804044691E-2</v>
      </c>
      <c r="K131" s="361">
        <f>+IF($I131=K$3,VLOOKUP($H131,Depreciation!$A$6:$L$10,8,FALSE)/2,IF($I131&lt;K$3,VLOOKUP($H131,Depreciation!$A$6:$L$10,8,FALSE),0))</f>
        <v>3.0676363676126896E-2</v>
      </c>
      <c r="L131" s="361">
        <f>+IF($I131=L$3,VLOOKUP($H131,Depreciation!$A$6:$L$10,9,FALSE)/2,IF($I131&lt;L$3,VLOOKUP($H131,Depreciation!$A$6:$L$10,9,FALSE),0))</f>
        <v>3.0676363676126896E-2</v>
      </c>
      <c r="M131" s="361">
        <f>+IF($I131=M$3,VLOOKUP($H131,Depreciation!$A$6:$L$10,10,FALSE)/2,IF($I131&lt;M$3,VLOOKUP($H131,Depreciation!$A$6:$L$10,10,FALSE),0))</f>
        <v>3.0676363676126896E-2</v>
      </c>
      <c r="N131" s="361">
        <f>+IF($I131=N$3,VLOOKUP($H131,Depreciation!$A$6:$L$10,11,FALSE)/2,IF($I131&lt;N$3,VLOOKUP($H131,Depreciation!$A$6:$L$10,11,FALSE),0))</f>
        <v>3.0676363676126896E-2</v>
      </c>
      <c r="O131" s="361">
        <f>+IF($I131=O$3,VLOOKUP($H131,Depreciation!$A$6:$L$10,12,FALSE)/2,IF($I131&lt;O$3,VLOOKUP($H131,Depreciation!$A$6:$L$10,12,FALSE),0))</f>
        <v>3.0676363676126896E-2</v>
      </c>
      <c r="P131" s="362">
        <f t="shared" si="5"/>
        <v>31602.435381869644</v>
      </c>
      <c r="Q131" s="362">
        <f t="shared" si="6"/>
        <v>0</v>
      </c>
      <c r="R131" s="363">
        <f t="shared" si="7"/>
        <v>31602.435381869644</v>
      </c>
      <c r="Y131" s="365"/>
    </row>
    <row r="132" spans="1:25" ht="15" customHeight="1">
      <c r="A132" s="359" t="str">
        <f>'Func Future Lines 2015'!A132</f>
        <v>PPS</v>
      </c>
      <c r="B132" s="359" t="str">
        <f>'Func Future Lines 2015'!B132</f>
        <v>600L</v>
      </c>
      <c r="C132" s="359">
        <f>'Func Future Lines 2015'!C132</f>
        <v>888</v>
      </c>
      <c r="D132" s="359">
        <f>'Func Future Lines 2015'!D132</f>
        <v>138</v>
      </c>
      <c r="E132" s="359">
        <f>'Func Future Lines 2015'!E132</f>
        <v>0</v>
      </c>
      <c r="F132" s="359" t="str">
        <f>'Func Future Lines 2015'!F132</f>
        <v>Medicine Hat</v>
      </c>
      <c r="G132" s="359">
        <f>'Func Future Lines 2015'!G132</f>
        <v>428091.81000980013</v>
      </c>
      <c r="H132" s="359" t="str">
        <f>'Func Future Lines 2015'!H132</f>
        <v>AltaLink</v>
      </c>
      <c r="I132" s="359">
        <f>'Func Future Lines 2015'!I132</f>
        <v>2016</v>
      </c>
      <c r="J132" s="361">
        <f>+IF($I132=J$3,VLOOKUP($H132,Depreciation!$A$6:$L$10,7,FALSE)/2,IF($I132&lt;J$3,VLOOKUP($H132,Depreciation!$A$6:$L$10,7,FALSE),0))</f>
        <v>0</v>
      </c>
      <c r="K132" s="361">
        <f>+IF($I132=K$3,VLOOKUP($H132,Depreciation!$A$6:$L$10,8,FALSE)/2,IF($I132&lt;K$3,VLOOKUP($H132,Depreciation!$A$6:$L$10,8,FALSE),0))</f>
        <v>1.5338181838063448E-2</v>
      </c>
      <c r="L132" s="361">
        <f>+IF($I132=L$3,VLOOKUP($H132,Depreciation!$A$6:$L$10,9,FALSE)/2,IF($I132&lt;L$3,VLOOKUP($H132,Depreciation!$A$6:$L$10,9,FALSE),0))</f>
        <v>3.0676363676126896E-2</v>
      </c>
      <c r="M132" s="361">
        <f>+IF($I132=M$3,VLOOKUP($H132,Depreciation!$A$6:$L$10,10,FALSE)/2,IF($I132&lt;M$3,VLOOKUP($H132,Depreciation!$A$6:$L$10,10,FALSE),0))</f>
        <v>3.0676363676126896E-2</v>
      </c>
      <c r="N132" s="361">
        <f>+IF($I132=N$3,VLOOKUP($H132,Depreciation!$A$6:$L$10,11,FALSE)/2,IF($I132&lt;N$3,VLOOKUP($H132,Depreciation!$A$6:$L$10,11,FALSE),0))</f>
        <v>3.0676363676126896E-2</v>
      </c>
      <c r="O132" s="361">
        <f>+IF($I132=O$3,VLOOKUP($H132,Depreciation!$A$6:$L$10,12,FALSE)/2,IF($I132&lt;O$3,VLOOKUP($H132,Depreciation!$A$6:$L$10,12,FALSE),0))</f>
        <v>3.0676363676126896E-2</v>
      </c>
      <c r="P132" s="362">
        <f t="shared" si="5"/>
        <v>408594.78553998063</v>
      </c>
      <c r="Q132" s="362">
        <f t="shared" si="6"/>
        <v>0</v>
      </c>
      <c r="R132" s="363">
        <f t="shared" si="7"/>
        <v>408594.78553998063</v>
      </c>
      <c r="Y132" s="365"/>
    </row>
    <row r="133" spans="1:25" ht="15" customHeight="1">
      <c r="A133" s="359" t="str">
        <f>'Func Future Lines 2015'!A133</f>
        <v>PPS</v>
      </c>
      <c r="B133" s="359" t="str">
        <f>'Func Future Lines 2015'!B133</f>
        <v>674L</v>
      </c>
      <c r="C133" s="359">
        <f>'Func Future Lines 2015'!C133</f>
        <v>888</v>
      </c>
      <c r="D133" s="359">
        <f>'Func Future Lines 2015'!D133</f>
        <v>138</v>
      </c>
      <c r="E133" s="359">
        <f>'Func Future Lines 2015'!E133</f>
        <v>0</v>
      </c>
      <c r="F133" s="359" t="str">
        <f>'Func Future Lines 2015'!F133</f>
        <v>Medicine Hat</v>
      </c>
      <c r="G133" s="359">
        <f>'Func Future Lines 2015'!G133</f>
        <v>1327232.7396843631</v>
      </c>
      <c r="H133" s="359" t="str">
        <f>'Func Future Lines 2015'!H133</f>
        <v>AltaLink</v>
      </c>
      <c r="I133" s="359">
        <f>'Func Future Lines 2015'!I133</f>
        <v>2016</v>
      </c>
      <c r="J133" s="361">
        <f>+IF($I133=J$3,VLOOKUP($H133,Depreciation!$A$6:$L$10,7,FALSE)/2,IF($I133&lt;J$3,VLOOKUP($H133,Depreciation!$A$6:$L$10,7,FALSE),0))</f>
        <v>0</v>
      </c>
      <c r="K133" s="361">
        <f>+IF($I133=K$3,VLOOKUP($H133,Depreciation!$A$6:$L$10,8,FALSE)/2,IF($I133&lt;K$3,VLOOKUP($H133,Depreciation!$A$6:$L$10,8,FALSE),0))</f>
        <v>1.5338181838063448E-2</v>
      </c>
      <c r="L133" s="361">
        <f>+IF($I133=L$3,VLOOKUP($H133,Depreciation!$A$6:$L$10,9,FALSE)/2,IF($I133&lt;L$3,VLOOKUP($H133,Depreciation!$A$6:$L$10,9,FALSE),0))</f>
        <v>3.0676363676126896E-2</v>
      </c>
      <c r="M133" s="361">
        <f>+IF($I133=M$3,VLOOKUP($H133,Depreciation!$A$6:$L$10,10,FALSE)/2,IF($I133&lt;M$3,VLOOKUP($H133,Depreciation!$A$6:$L$10,10,FALSE),0))</f>
        <v>3.0676363676126896E-2</v>
      </c>
      <c r="N133" s="361">
        <f>+IF($I133=N$3,VLOOKUP($H133,Depreciation!$A$6:$L$10,11,FALSE)/2,IF($I133&lt;N$3,VLOOKUP($H133,Depreciation!$A$6:$L$10,11,FALSE),0))</f>
        <v>3.0676363676126896E-2</v>
      </c>
      <c r="O133" s="361">
        <f>+IF($I133=O$3,VLOOKUP($H133,Depreciation!$A$6:$L$10,12,FALSE)/2,IF($I133&lt;O$3,VLOOKUP($H133,Depreciation!$A$6:$L$10,12,FALSE),0))</f>
        <v>3.0676363676126896E-2</v>
      </c>
      <c r="P133" s="362">
        <f t="shared" ref="P133:P196" si="8">IF(I133&lt;=2017,G133*(1-J133)*(1-K133)*(1-L133),0)</f>
        <v>1266785.2174526737</v>
      </c>
      <c r="Q133" s="362">
        <f t="shared" ref="Q133:Q196" si="9">IF(D133&gt;=240,P133,0)</f>
        <v>0</v>
      </c>
      <c r="R133" s="363">
        <f t="shared" ref="R133:R196" si="10">IF(AND(D133&gt;25,D133&lt;240),P133,0)</f>
        <v>1266785.2174526737</v>
      </c>
      <c r="Y133" s="365"/>
    </row>
    <row r="134" spans="1:25" ht="15" customHeight="1">
      <c r="A134" s="359" t="str">
        <f>'Func Future Lines 2015'!A134</f>
        <v>PPS</v>
      </c>
      <c r="B134" s="359" t="str">
        <f>'Func Future Lines 2015'!B134</f>
        <v xml:space="preserve">675L/892L </v>
      </c>
      <c r="C134" s="359">
        <f>'Func Future Lines 2015'!C134</f>
        <v>888</v>
      </c>
      <c r="D134" s="359">
        <f>'Func Future Lines 2015'!D134</f>
        <v>138</v>
      </c>
      <c r="E134" s="359">
        <f>'Func Future Lines 2015'!E134</f>
        <v>0</v>
      </c>
      <c r="F134" s="359" t="str">
        <f>'Func Future Lines 2015'!F134</f>
        <v>Medicine Hat</v>
      </c>
      <c r="G134" s="359">
        <f>'Func Future Lines 2015'!G134</f>
        <v>32638667.61853265</v>
      </c>
      <c r="H134" s="359" t="str">
        <f>'Func Future Lines 2015'!H134</f>
        <v>AltaLink</v>
      </c>
      <c r="I134" s="359">
        <f>'Func Future Lines 2015'!I134</f>
        <v>2016</v>
      </c>
      <c r="J134" s="361">
        <f>+IF($I134=J$3,VLOOKUP($H134,Depreciation!$A$6:$L$10,7,FALSE)/2,IF($I134&lt;J$3,VLOOKUP($H134,Depreciation!$A$6:$L$10,7,FALSE),0))</f>
        <v>0</v>
      </c>
      <c r="K134" s="361">
        <f>+IF($I134=K$3,VLOOKUP($H134,Depreciation!$A$6:$L$10,8,FALSE)/2,IF($I134&lt;K$3,VLOOKUP($H134,Depreciation!$A$6:$L$10,8,FALSE),0))</f>
        <v>1.5338181838063448E-2</v>
      </c>
      <c r="L134" s="361">
        <f>+IF($I134=L$3,VLOOKUP($H134,Depreciation!$A$6:$L$10,9,FALSE)/2,IF($I134&lt;L$3,VLOOKUP($H134,Depreciation!$A$6:$L$10,9,FALSE),0))</f>
        <v>3.0676363676126896E-2</v>
      </c>
      <c r="M134" s="361">
        <f>+IF($I134=M$3,VLOOKUP($H134,Depreciation!$A$6:$L$10,10,FALSE)/2,IF($I134&lt;M$3,VLOOKUP($H134,Depreciation!$A$6:$L$10,10,FALSE),0))</f>
        <v>3.0676363676126896E-2</v>
      </c>
      <c r="N134" s="361">
        <f>+IF($I134=N$3,VLOOKUP($H134,Depreciation!$A$6:$L$10,11,FALSE)/2,IF($I134&lt;N$3,VLOOKUP($H134,Depreciation!$A$6:$L$10,11,FALSE),0))</f>
        <v>3.0676363676126896E-2</v>
      </c>
      <c r="O134" s="361">
        <f>+IF($I134=O$3,VLOOKUP($H134,Depreciation!$A$6:$L$10,12,FALSE)/2,IF($I134&lt;O$3,VLOOKUP($H134,Depreciation!$A$6:$L$10,12,FALSE),0))</f>
        <v>3.0676363676126896E-2</v>
      </c>
      <c r="P134" s="362">
        <f t="shared" si="8"/>
        <v>31152171.296152022</v>
      </c>
      <c r="Q134" s="362">
        <f t="shared" si="9"/>
        <v>0</v>
      </c>
      <c r="R134" s="363">
        <f t="shared" si="10"/>
        <v>31152171.296152022</v>
      </c>
      <c r="Y134" s="365"/>
    </row>
    <row r="135" spans="1:25" ht="15" customHeight="1">
      <c r="A135" s="359" t="str">
        <f>'Func Future Lines 2015'!A135</f>
        <v>PPS</v>
      </c>
      <c r="B135" s="359" t="str">
        <f>'Func Future Lines 2015'!B135</f>
        <v xml:space="preserve">675L/892L </v>
      </c>
      <c r="C135" s="359">
        <f>'Func Future Lines 2015'!C135</f>
        <v>888</v>
      </c>
      <c r="D135" s="359">
        <f>'Func Future Lines 2015'!D135</f>
        <v>138</v>
      </c>
      <c r="E135" s="359">
        <f>'Func Future Lines 2015'!E135</f>
        <v>0</v>
      </c>
      <c r="F135" s="359" t="str">
        <f>'Func Future Lines 2015'!F135</f>
        <v>Medicine Hat</v>
      </c>
      <c r="G135" s="359">
        <f>'Func Future Lines 2015'!G135</f>
        <v>26144707.427934162</v>
      </c>
      <c r="H135" s="359" t="str">
        <f>'Func Future Lines 2015'!H135</f>
        <v>AltaLink</v>
      </c>
      <c r="I135" s="359">
        <f>'Func Future Lines 2015'!I135</f>
        <v>2016</v>
      </c>
      <c r="J135" s="361">
        <f>+IF($I135=J$3,VLOOKUP($H135,Depreciation!$A$6:$L$10,7,FALSE)/2,IF($I135&lt;J$3,VLOOKUP($H135,Depreciation!$A$6:$L$10,7,FALSE),0))</f>
        <v>0</v>
      </c>
      <c r="K135" s="361">
        <f>+IF($I135=K$3,VLOOKUP($H135,Depreciation!$A$6:$L$10,8,FALSE)/2,IF($I135&lt;K$3,VLOOKUP($H135,Depreciation!$A$6:$L$10,8,FALSE),0))</f>
        <v>1.5338181838063448E-2</v>
      </c>
      <c r="L135" s="361">
        <f>+IF($I135=L$3,VLOOKUP($H135,Depreciation!$A$6:$L$10,9,FALSE)/2,IF($I135&lt;L$3,VLOOKUP($H135,Depreciation!$A$6:$L$10,9,FALSE),0))</f>
        <v>3.0676363676126896E-2</v>
      </c>
      <c r="M135" s="361">
        <f>+IF($I135=M$3,VLOOKUP($H135,Depreciation!$A$6:$L$10,10,FALSE)/2,IF($I135&lt;M$3,VLOOKUP($H135,Depreciation!$A$6:$L$10,10,FALSE),0))</f>
        <v>3.0676363676126896E-2</v>
      </c>
      <c r="N135" s="361">
        <f>+IF($I135=N$3,VLOOKUP($H135,Depreciation!$A$6:$L$10,11,FALSE)/2,IF($I135&lt;N$3,VLOOKUP($H135,Depreciation!$A$6:$L$10,11,FALSE),0))</f>
        <v>3.0676363676126896E-2</v>
      </c>
      <c r="O135" s="361">
        <f>+IF($I135=O$3,VLOOKUP($H135,Depreciation!$A$6:$L$10,12,FALSE)/2,IF($I135&lt;O$3,VLOOKUP($H135,Depreciation!$A$6:$L$10,12,FALSE),0))</f>
        <v>3.0676363676126896E-2</v>
      </c>
      <c r="P135" s="362">
        <f t="shared" si="8"/>
        <v>24953972.196472868</v>
      </c>
      <c r="Q135" s="362">
        <f t="shared" si="9"/>
        <v>0</v>
      </c>
      <c r="R135" s="363">
        <f t="shared" si="10"/>
        <v>24953972.196472868</v>
      </c>
      <c r="Y135" s="365"/>
    </row>
    <row r="136" spans="1:25" ht="15" customHeight="1">
      <c r="A136" s="359" t="str">
        <f>'Func Future Lines 2015'!A136</f>
        <v>PPS</v>
      </c>
      <c r="B136" s="359" t="str">
        <f>'Func Future Lines 2015'!B136</f>
        <v>676L/879L</v>
      </c>
      <c r="C136" s="359">
        <f>'Func Future Lines 2015'!C136</f>
        <v>888</v>
      </c>
      <c r="D136" s="359">
        <f>'Func Future Lines 2015'!D136</f>
        <v>138</v>
      </c>
      <c r="E136" s="359">
        <f>'Func Future Lines 2015'!E136</f>
        <v>0</v>
      </c>
      <c r="F136" s="359" t="str">
        <f>'Func Future Lines 2015'!F136</f>
        <v>Medicine Hat</v>
      </c>
      <c r="G136" s="359">
        <f>'Func Future Lines 2015'!G136</f>
        <v>38066101.500456207</v>
      </c>
      <c r="H136" s="359" t="str">
        <f>'Func Future Lines 2015'!H136</f>
        <v>AltaLink</v>
      </c>
      <c r="I136" s="359">
        <f>'Func Future Lines 2015'!I136</f>
        <v>2016</v>
      </c>
      <c r="J136" s="361">
        <f>+IF($I136=J$3,VLOOKUP($H136,Depreciation!$A$6:$L$10,7,FALSE)/2,IF($I136&lt;J$3,VLOOKUP($H136,Depreciation!$A$6:$L$10,7,FALSE),0))</f>
        <v>0</v>
      </c>
      <c r="K136" s="361">
        <f>+IF($I136=K$3,VLOOKUP($H136,Depreciation!$A$6:$L$10,8,FALSE)/2,IF($I136&lt;K$3,VLOOKUP($H136,Depreciation!$A$6:$L$10,8,FALSE),0))</f>
        <v>1.5338181838063448E-2</v>
      </c>
      <c r="L136" s="361">
        <f>+IF($I136=L$3,VLOOKUP($H136,Depreciation!$A$6:$L$10,9,FALSE)/2,IF($I136&lt;L$3,VLOOKUP($H136,Depreciation!$A$6:$L$10,9,FALSE),0))</f>
        <v>3.0676363676126896E-2</v>
      </c>
      <c r="M136" s="361">
        <f>+IF($I136=M$3,VLOOKUP($H136,Depreciation!$A$6:$L$10,10,FALSE)/2,IF($I136&lt;M$3,VLOOKUP($H136,Depreciation!$A$6:$L$10,10,FALSE),0))</f>
        <v>3.0676363676126896E-2</v>
      </c>
      <c r="N136" s="361">
        <f>+IF($I136=N$3,VLOOKUP($H136,Depreciation!$A$6:$L$10,11,FALSE)/2,IF($I136&lt;N$3,VLOOKUP($H136,Depreciation!$A$6:$L$10,11,FALSE),0))</f>
        <v>3.0676363676126896E-2</v>
      </c>
      <c r="O136" s="361">
        <f>+IF($I136=O$3,VLOOKUP($H136,Depreciation!$A$6:$L$10,12,FALSE)/2,IF($I136&lt;O$3,VLOOKUP($H136,Depreciation!$A$6:$L$10,12,FALSE),0))</f>
        <v>3.0676363676126896E-2</v>
      </c>
      <c r="P136" s="362">
        <f t="shared" si="8"/>
        <v>36332417.98894956</v>
      </c>
      <c r="Q136" s="362">
        <f t="shared" si="9"/>
        <v>0</v>
      </c>
      <c r="R136" s="363">
        <f t="shared" si="10"/>
        <v>36332417.98894956</v>
      </c>
      <c r="Y136" s="365"/>
    </row>
    <row r="137" spans="1:25" ht="15" customHeight="1">
      <c r="A137" s="359" t="str">
        <f>'Func Future Lines 2015'!A137</f>
        <v>PPS</v>
      </c>
      <c r="B137" s="359" t="str">
        <f>'Func Future Lines 2015'!B137</f>
        <v>676L/879L</v>
      </c>
      <c r="C137" s="359">
        <f>'Func Future Lines 2015'!C137</f>
        <v>888</v>
      </c>
      <c r="D137" s="359">
        <f>'Func Future Lines 2015'!D137</f>
        <v>138</v>
      </c>
      <c r="E137" s="359">
        <f>'Func Future Lines 2015'!E137</f>
        <v>0</v>
      </c>
      <c r="F137" s="359" t="str">
        <f>'Func Future Lines 2015'!F137</f>
        <v>Medicine Hat</v>
      </c>
      <c r="G137" s="359">
        <f>'Func Future Lines 2015'!G137</f>
        <v>42259623.694704458</v>
      </c>
      <c r="H137" s="359" t="str">
        <f>'Func Future Lines 2015'!H137</f>
        <v>AltaLink</v>
      </c>
      <c r="I137" s="359">
        <f>'Func Future Lines 2015'!I137</f>
        <v>2016</v>
      </c>
      <c r="J137" s="361">
        <f>+IF($I137=J$3,VLOOKUP($H137,Depreciation!$A$6:$L$10,7,FALSE)/2,IF($I137&lt;J$3,VLOOKUP($H137,Depreciation!$A$6:$L$10,7,FALSE),0))</f>
        <v>0</v>
      </c>
      <c r="K137" s="361">
        <f>+IF($I137=K$3,VLOOKUP($H137,Depreciation!$A$6:$L$10,8,FALSE)/2,IF($I137&lt;K$3,VLOOKUP($H137,Depreciation!$A$6:$L$10,8,FALSE),0))</f>
        <v>1.5338181838063448E-2</v>
      </c>
      <c r="L137" s="361">
        <f>+IF($I137=L$3,VLOOKUP($H137,Depreciation!$A$6:$L$10,9,FALSE)/2,IF($I137&lt;L$3,VLOOKUP($H137,Depreciation!$A$6:$L$10,9,FALSE),0))</f>
        <v>3.0676363676126896E-2</v>
      </c>
      <c r="M137" s="361">
        <f>+IF($I137=M$3,VLOOKUP($H137,Depreciation!$A$6:$L$10,10,FALSE)/2,IF($I137&lt;M$3,VLOOKUP($H137,Depreciation!$A$6:$L$10,10,FALSE),0))</f>
        <v>3.0676363676126896E-2</v>
      </c>
      <c r="N137" s="361">
        <f>+IF($I137=N$3,VLOOKUP($H137,Depreciation!$A$6:$L$10,11,FALSE)/2,IF($I137&lt;N$3,VLOOKUP($H137,Depreciation!$A$6:$L$10,11,FALSE),0))</f>
        <v>3.0676363676126896E-2</v>
      </c>
      <c r="O137" s="361">
        <f>+IF($I137=O$3,VLOOKUP($H137,Depreciation!$A$6:$L$10,12,FALSE)/2,IF($I137&lt;O$3,VLOOKUP($H137,Depreciation!$A$6:$L$10,12,FALSE),0))</f>
        <v>3.0676363676126896E-2</v>
      </c>
      <c r="P137" s="362">
        <f t="shared" si="8"/>
        <v>40334950.299896568</v>
      </c>
      <c r="Q137" s="362">
        <f t="shared" si="9"/>
        <v>0</v>
      </c>
      <c r="R137" s="363">
        <f t="shared" si="10"/>
        <v>40334950.299896568</v>
      </c>
      <c r="Y137" s="365"/>
    </row>
    <row r="138" spans="1:25" ht="15" customHeight="1">
      <c r="A138" s="359" t="str">
        <f>'Func Future Lines 2015'!A138</f>
        <v>PPS</v>
      </c>
      <c r="B138" s="359" t="str">
        <f>'Func Future Lines 2015'!B138</f>
        <v>9L19 and 9L28</v>
      </c>
      <c r="C138" s="359">
        <f>'Func Future Lines 2015'!C138</f>
        <v>948</v>
      </c>
      <c r="D138" s="359">
        <f>'Func Future Lines 2015'!D138</f>
        <v>240</v>
      </c>
      <c r="E138" s="359">
        <f>'Func Future Lines 2015'!E138</f>
        <v>0</v>
      </c>
      <c r="F138" s="359">
        <f>'Func Future Lines 2015'!F138</f>
        <v>0</v>
      </c>
      <c r="G138" s="359">
        <f>'Func Future Lines 2015'!G138</f>
        <v>9503247.7097484916</v>
      </c>
      <c r="H138" s="359" t="str">
        <f>'Func Future Lines 2015'!H138</f>
        <v>ATCO</v>
      </c>
      <c r="I138" s="359">
        <f>'Func Future Lines 2015'!I138</f>
        <v>2015</v>
      </c>
      <c r="J138" s="361">
        <f>+IF($I138=J$3,VLOOKUP($H138,Depreciation!$A$6:$L$10,7,FALSE)/2,IF($I138&lt;J$3,VLOOKUP($H138,Depreciation!$A$6:$L$10,7,FALSE),0))</f>
        <v>1.239102859091515E-2</v>
      </c>
      <c r="K138" s="361">
        <f>+IF($I138=K$3,VLOOKUP($H138,Depreciation!$A$6:$L$10,8,FALSE)/2,IF($I138&lt;K$3,VLOOKUP($H138,Depreciation!$A$6:$L$10,8,FALSE),0))</f>
        <v>2.3943859731006666E-2</v>
      </c>
      <c r="L138" s="361">
        <f>+IF($I138=L$3,VLOOKUP($H138,Depreciation!$A$6:$L$10,9,FALSE)/2,IF($I138&lt;L$3,VLOOKUP($H138,Depreciation!$A$6:$L$10,9,FALSE),0))</f>
        <v>2.4002037926855919E-2</v>
      </c>
      <c r="M138" s="361">
        <f>+IF($I138=M$3,VLOOKUP($H138,Depreciation!$A$6:$L$10,10,FALSE)/2,IF($I138&lt;M$3,VLOOKUP($H138,Depreciation!$A$6:$L$10,10,FALSE),0))</f>
        <v>2.4002037926855919E-2</v>
      </c>
      <c r="N138" s="361">
        <f>+IF($I138=N$3,VLOOKUP($H138,Depreciation!$A$6:$L$10,11,FALSE)/2,IF($I138&lt;N$3,VLOOKUP($H138,Depreciation!$A$6:$L$10,11,FALSE),0))</f>
        <v>2.4002037926855919E-2</v>
      </c>
      <c r="O138" s="361">
        <f>+IF($I138=O$3,VLOOKUP($H138,Depreciation!$A$6:$L$10,12,FALSE)/2,IF($I138&lt;O$3,VLOOKUP($H138,Depreciation!$A$6:$L$10,12,FALSE),0))</f>
        <v>2.4002037926855919E-2</v>
      </c>
      <c r="P138" s="362">
        <f t="shared" si="8"/>
        <v>8940890.6794828437</v>
      </c>
      <c r="Q138" s="362">
        <f t="shared" si="9"/>
        <v>8940890.6794828437</v>
      </c>
      <c r="R138" s="363">
        <f t="shared" si="10"/>
        <v>0</v>
      </c>
      <c r="Y138" s="365"/>
    </row>
    <row r="139" spans="1:25" ht="15" customHeight="1">
      <c r="A139" s="359" t="str">
        <f>'Func Future Lines 2015'!A139</f>
        <v>PPS</v>
      </c>
      <c r="B139" s="359" t="str">
        <f>'Func Future Lines 2015'!B139</f>
        <v>1035L/1034L Tie-in180</v>
      </c>
      <c r="C139" s="359">
        <f>'Func Future Lines 2015'!C139</f>
        <v>961</v>
      </c>
      <c r="D139" s="359">
        <f>'Func Future Lines 2015'!D139</f>
        <v>240</v>
      </c>
      <c r="E139" s="359">
        <f>'Func Future Lines 2015'!E139</f>
        <v>0</v>
      </c>
      <c r="F139" s="359">
        <f>'Func Future Lines 2015'!F139</f>
        <v>0</v>
      </c>
      <c r="G139" s="359">
        <f>'Func Future Lines 2015'!G139</f>
        <v>12067928.360521985</v>
      </c>
      <c r="H139" s="359" t="str">
        <f>'Func Future Lines 2015'!H139</f>
        <v>AltaLink</v>
      </c>
      <c r="I139" s="359">
        <f>'Func Future Lines 2015'!I139</f>
        <v>2015</v>
      </c>
      <c r="J139" s="361">
        <f>+IF($I139=J$3,VLOOKUP($H139,Depreciation!$A$6:$L$10,7,FALSE)/2,IF($I139&lt;J$3,VLOOKUP($H139,Depreciation!$A$6:$L$10,7,FALSE),0))</f>
        <v>1.595020804044691E-2</v>
      </c>
      <c r="K139" s="361">
        <f>+IF($I139=K$3,VLOOKUP($H139,Depreciation!$A$6:$L$10,8,FALSE)/2,IF($I139&lt;K$3,VLOOKUP($H139,Depreciation!$A$6:$L$10,8,FALSE),0))</f>
        <v>3.0676363676126896E-2</v>
      </c>
      <c r="L139" s="361">
        <f>+IF($I139=L$3,VLOOKUP($H139,Depreciation!$A$6:$L$10,9,FALSE)/2,IF($I139&lt;L$3,VLOOKUP($H139,Depreciation!$A$6:$L$10,9,FALSE),0))</f>
        <v>3.0676363676126896E-2</v>
      </c>
      <c r="M139" s="361">
        <f>+IF($I139=M$3,VLOOKUP($H139,Depreciation!$A$6:$L$10,10,FALSE)/2,IF($I139&lt;M$3,VLOOKUP($H139,Depreciation!$A$6:$L$10,10,FALSE),0))</f>
        <v>3.0676363676126896E-2</v>
      </c>
      <c r="N139" s="361">
        <f>+IF($I139=N$3,VLOOKUP($H139,Depreciation!$A$6:$L$10,11,FALSE)/2,IF($I139&lt;N$3,VLOOKUP($H139,Depreciation!$A$6:$L$10,11,FALSE),0))</f>
        <v>3.0676363676126896E-2</v>
      </c>
      <c r="O139" s="361">
        <f>+IF($I139=O$3,VLOOKUP($H139,Depreciation!$A$6:$L$10,12,FALSE)/2,IF($I139&lt;O$3,VLOOKUP($H139,Depreciation!$A$6:$L$10,12,FALSE),0))</f>
        <v>3.0676363676126896E-2</v>
      </c>
      <c r="P139" s="362">
        <f t="shared" si="8"/>
        <v>11158026.871115066</v>
      </c>
      <c r="Q139" s="362">
        <f t="shared" si="9"/>
        <v>11158026.871115066</v>
      </c>
      <c r="R139" s="363">
        <f t="shared" si="10"/>
        <v>0</v>
      </c>
      <c r="Y139" s="365"/>
    </row>
    <row r="140" spans="1:25" ht="15" customHeight="1">
      <c r="A140" s="359" t="str">
        <f>'Func Future Lines 2015'!A140</f>
        <v>PPS</v>
      </c>
      <c r="B140" s="359" t="str">
        <f>'Func Future Lines 2015'!B140</f>
        <v>1053L crossing180</v>
      </c>
      <c r="C140" s="359">
        <f>'Func Future Lines 2015'!C140</f>
        <v>961</v>
      </c>
      <c r="D140" s="359">
        <f>'Func Future Lines 2015'!D140</f>
        <v>240</v>
      </c>
      <c r="E140" s="359">
        <f>'Func Future Lines 2015'!E140</f>
        <v>0</v>
      </c>
      <c r="F140" s="359">
        <f>'Func Future Lines 2015'!F140</f>
        <v>0</v>
      </c>
      <c r="G140" s="359">
        <f>'Func Future Lines 2015'!G140</f>
        <v>2180206.2000116054</v>
      </c>
      <c r="H140" s="359" t="str">
        <f>'Func Future Lines 2015'!H140</f>
        <v>AltaLink</v>
      </c>
      <c r="I140" s="359">
        <f>'Func Future Lines 2015'!I140</f>
        <v>2015</v>
      </c>
      <c r="J140" s="361">
        <f>+IF($I140=J$3,VLOOKUP($H140,Depreciation!$A$6:$L$10,7,FALSE)/2,IF($I140&lt;J$3,VLOOKUP($H140,Depreciation!$A$6:$L$10,7,FALSE),0))</f>
        <v>1.595020804044691E-2</v>
      </c>
      <c r="K140" s="361">
        <f>+IF($I140=K$3,VLOOKUP($H140,Depreciation!$A$6:$L$10,8,FALSE)/2,IF($I140&lt;K$3,VLOOKUP($H140,Depreciation!$A$6:$L$10,8,FALSE),0))</f>
        <v>3.0676363676126896E-2</v>
      </c>
      <c r="L140" s="361">
        <f>+IF($I140=L$3,VLOOKUP($H140,Depreciation!$A$6:$L$10,9,FALSE)/2,IF($I140&lt;L$3,VLOOKUP($H140,Depreciation!$A$6:$L$10,9,FALSE),0))</f>
        <v>3.0676363676126896E-2</v>
      </c>
      <c r="M140" s="361">
        <f>+IF($I140=M$3,VLOOKUP($H140,Depreciation!$A$6:$L$10,10,FALSE)/2,IF($I140&lt;M$3,VLOOKUP($H140,Depreciation!$A$6:$L$10,10,FALSE),0))</f>
        <v>3.0676363676126896E-2</v>
      </c>
      <c r="N140" s="361">
        <f>+IF($I140=N$3,VLOOKUP($H140,Depreciation!$A$6:$L$10,11,FALSE)/2,IF($I140&lt;N$3,VLOOKUP($H140,Depreciation!$A$6:$L$10,11,FALSE),0))</f>
        <v>3.0676363676126896E-2</v>
      </c>
      <c r="O140" s="361">
        <f>+IF($I140=O$3,VLOOKUP($H140,Depreciation!$A$6:$L$10,12,FALSE)/2,IF($I140&lt;O$3,VLOOKUP($H140,Depreciation!$A$6:$L$10,12,FALSE),0))</f>
        <v>3.0676363676126896E-2</v>
      </c>
      <c r="P140" s="362">
        <f t="shared" si="8"/>
        <v>2015822.3215744158</v>
      </c>
      <c r="Q140" s="362">
        <f t="shared" si="9"/>
        <v>2015822.3215744158</v>
      </c>
      <c r="R140" s="363">
        <f t="shared" si="10"/>
        <v>0</v>
      </c>
      <c r="Y140" s="365"/>
    </row>
    <row r="141" spans="1:25" ht="15" customHeight="1">
      <c r="A141" s="359" t="str">
        <f>'Func Future Lines 2015'!A141</f>
        <v>PPS</v>
      </c>
      <c r="B141" s="359" t="str">
        <f>'Func Future Lines 2015'!B141</f>
        <v>1206_1212L180</v>
      </c>
      <c r="C141" s="359">
        <f>'Func Future Lines 2015'!C141</f>
        <v>961</v>
      </c>
      <c r="D141" s="359">
        <f>'Func Future Lines 2015'!D141</f>
        <v>240</v>
      </c>
      <c r="E141" s="359">
        <f>'Func Future Lines 2015'!E141</f>
        <v>0</v>
      </c>
      <c r="F141" s="359">
        <f>'Func Future Lines 2015'!F141</f>
        <v>0</v>
      </c>
      <c r="G141" s="359">
        <f>'Func Future Lines 2015'!G141</f>
        <v>12147807.385961929</v>
      </c>
      <c r="H141" s="359" t="str">
        <f>'Func Future Lines 2015'!H141</f>
        <v>AltaLink</v>
      </c>
      <c r="I141" s="359">
        <f>'Func Future Lines 2015'!I141</f>
        <v>2015</v>
      </c>
      <c r="J141" s="361">
        <f>+IF($I141=J$3,VLOOKUP($H141,Depreciation!$A$6:$L$10,7,FALSE)/2,IF($I141&lt;J$3,VLOOKUP($H141,Depreciation!$A$6:$L$10,7,FALSE),0))</f>
        <v>1.595020804044691E-2</v>
      </c>
      <c r="K141" s="361">
        <f>+IF($I141=K$3,VLOOKUP($H141,Depreciation!$A$6:$L$10,8,FALSE)/2,IF($I141&lt;K$3,VLOOKUP($H141,Depreciation!$A$6:$L$10,8,FALSE),0))</f>
        <v>3.0676363676126896E-2</v>
      </c>
      <c r="L141" s="361">
        <f>+IF($I141=L$3,VLOOKUP($H141,Depreciation!$A$6:$L$10,9,FALSE)/2,IF($I141&lt;L$3,VLOOKUP($H141,Depreciation!$A$6:$L$10,9,FALSE),0))</f>
        <v>3.0676363676126896E-2</v>
      </c>
      <c r="M141" s="361">
        <f>+IF($I141=M$3,VLOOKUP($H141,Depreciation!$A$6:$L$10,10,FALSE)/2,IF($I141&lt;M$3,VLOOKUP($H141,Depreciation!$A$6:$L$10,10,FALSE),0))</f>
        <v>3.0676363676126896E-2</v>
      </c>
      <c r="N141" s="361">
        <f>+IF($I141=N$3,VLOOKUP($H141,Depreciation!$A$6:$L$10,11,FALSE)/2,IF($I141&lt;N$3,VLOOKUP($H141,Depreciation!$A$6:$L$10,11,FALSE),0))</f>
        <v>3.0676363676126896E-2</v>
      </c>
      <c r="O141" s="361">
        <f>+IF($I141=O$3,VLOOKUP($H141,Depreciation!$A$6:$L$10,12,FALSE)/2,IF($I141&lt;O$3,VLOOKUP($H141,Depreciation!$A$6:$L$10,12,FALSE),0))</f>
        <v>3.0676363676126896E-2</v>
      </c>
      <c r="P141" s="362">
        <f t="shared" si="8"/>
        <v>11231883.152464323</v>
      </c>
      <c r="Q141" s="362">
        <f t="shared" si="9"/>
        <v>11231883.152464323</v>
      </c>
      <c r="R141" s="363">
        <f t="shared" si="10"/>
        <v>0</v>
      </c>
      <c r="Y141" s="365"/>
    </row>
    <row r="142" spans="1:25" ht="15" customHeight="1">
      <c r="A142" s="359" t="str">
        <f>'Func Future Lines 2015'!A142</f>
        <v>PPS</v>
      </c>
      <c r="B142" s="359" t="str">
        <f>'Func Future Lines 2015'!B142</f>
        <v>138 kV AC Lines180</v>
      </c>
      <c r="C142" s="359">
        <f>'Func Future Lines 2015'!C142</f>
        <v>961</v>
      </c>
      <c r="D142" s="359">
        <f>'Func Future Lines 2015'!D142</f>
        <v>138</v>
      </c>
      <c r="E142" s="359">
        <f>'Func Future Lines 2015'!E142</f>
        <v>0</v>
      </c>
      <c r="F142" s="359">
        <f>'Func Future Lines 2015'!F142</f>
        <v>0</v>
      </c>
      <c r="G142" s="359">
        <f>'Func Future Lines 2015'!G142</f>
        <v>386437.04663201742</v>
      </c>
      <c r="H142" s="359" t="str">
        <f>'Func Future Lines 2015'!H142</f>
        <v>ATCO</v>
      </c>
      <c r="I142" s="359">
        <f>'Func Future Lines 2015'!I142</f>
        <v>2015</v>
      </c>
      <c r="J142" s="361">
        <f>+IF($I142=J$3,VLOOKUP($H142,Depreciation!$A$6:$L$10,7,FALSE)/2,IF($I142&lt;J$3,VLOOKUP($H142,Depreciation!$A$6:$L$10,7,FALSE),0))</f>
        <v>1.239102859091515E-2</v>
      </c>
      <c r="K142" s="361">
        <f>+IF($I142=K$3,VLOOKUP($H142,Depreciation!$A$6:$L$10,8,FALSE)/2,IF($I142&lt;K$3,VLOOKUP($H142,Depreciation!$A$6:$L$10,8,FALSE),0))</f>
        <v>2.3943859731006666E-2</v>
      </c>
      <c r="L142" s="361">
        <f>+IF($I142=L$3,VLOOKUP($H142,Depreciation!$A$6:$L$10,9,FALSE)/2,IF($I142&lt;L$3,VLOOKUP($H142,Depreciation!$A$6:$L$10,9,FALSE),0))</f>
        <v>2.4002037926855919E-2</v>
      </c>
      <c r="M142" s="361">
        <f>+IF($I142=M$3,VLOOKUP($H142,Depreciation!$A$6:$L$10,10,FALSE)/2,IF($I142&lt;M$3,VLOOKUP($H142,Depreciation!$A$6:$L$10,10,FALSE),0))</f>
        <v>2.4002037926855919E-2</v>
      </c>
      <c r="N142" s="361">
        <f>+IF($I142=N$3,VLOOKUP($H142,Depreciation!$A$6:$L$10,11,FALSE)/2,IF($I142&lt;N$3,VLOOKUP($H142,Depreciation!$A$6:$L$10,11,FALSE),0))</f>
        <v>2.4002037926855919E-2</v>
      </c>
      <c r="O142" s="361">
        <f>+IF($I142=O$3,VLOOKUP($H142,Depreciation!$A$6:$L$10,12,FALSE)/2,IF($I142&lt;O$3,VLOOKUP($H142,Depreciation!$A$6:$L$10,12,FALSE),0))</f>
        <v>2.4002037926855919E-2</v>
      </c>
      <c r="P142" s="362">
        <f t="shared" si="8"/>
        <v>363569.53895822656</v>
      </c>
      <c r="Q142" s="362">
        <f t="shared" si="9"/>
        <v>0</v>
      </c>
      <c r="R142" s="363">
        <f t="shared" si="10"/>
        <v>363569.53895822656</v>
      </c>
      <c r="Y142" s="365"/>
    </row>
    <row r="143" spans="1:25" ht="15" customHeight="1">
      <c r="A143" s="359" t="str">
        <f>'Func Future Lines 2015'!A143</f>
        <v>PPS</v>
      </c>
      <c r="B143" s="359" t="str">
        <f>'Func Future Lines 2015'!B143</f>
        <v>240 kV AC Lines 923L and XXXL180</v>
      </c>
      <c r="C143" s="359">
        <f>'Func Future Lines 2015'!C143</f>
        <v>961</v>
      </c>
      <c r="D143" s="359">
        <f>'Func Future Lines 2015'!D143</f>
        <v>240</v>
      </c>
      <c r="E143" s="359">
        <f>'Func Future Lines 2015'!E143</f>
        <v>0</v>
      </c>
      <c r="F143" s="359">
        <f>'Func Future Lines 2015'!F143</f>
        <v>0</v>
      </c>
      <c r="G143" s="359">
        <f>'Func Future Lines 2015'!G143</f>
        <v>24745691.127936423</v>
      </c>
      <c r="H143" s="359" t="str">
        <f>'Func Future Lines 2015'!H143</f>
        <v>ATCO</v>
      </c>
      <c r="I143" s="359">
        <f>'Func Future Lines 2015'!I143</f>
        <v>2015</v>
      </c>
      <c r="J143" s="361">
        <f>+IF($I143=J$3,VLOOKUP($H143,Depreciation!$A$6:$L$10,7,FALSE)/2,IF($I143&lt;J$3,VLOOKUP($H143,Depreciation!$A$6:$L$10,7,FALSE),0))</f>
        <v>1.239102859091515E-2</v>
      </c>
      <c r="K143" s="361">
        <f>+IF($I143=K$3,VLOOKUP($H143,Depreciation!$A$6:$L$10,8,FALSE)/2,IF($I143&lt;K$3,VLOOKUP($H143,Depreciation!$A$6:$L$10,8,FALSE),0))</f>
        <v>2.3943859731006666E-2</v>
      </c>
      <c r="L143" s="361">
        <f>+IF($I143=L$3,VLOOKUP($H143,Depreciation!$A$6:$L$10,9,FALSE)/2,IF($I143&lt;L$3,VLOOKUP($H143,Depreciation!$A$6:$L$10,9,FALSE),0))</f>
        <v>2.4002037926855919E-2</v>
      </c>
      <c r="M143" s="361">
        <f>+IF($I143=M$3,VLOOKUP($H143,Depreciation!$A$6:$L$10,10,FALSE)/2,IF($I143&lt;M$3,VLOOKUP($H143,Depreciation!$A$6:$L$10,10,FALSE),0))</f>
        <v>2.4002037926855919E-2</v>
      </c>
      <c r="N143" s="361">
        <f>+IF($I143=N$3,VLOOKUP($H143,Depreciation!$A$6:$L$10,11,FALSE)/2,IF($I143&lt;N$3,VLOOKUP($H143,Depreciation!$A$6:$L$10,11,FALSE),0))</f>
        <v>2.4002037926855919E-2</v>
      </c>
      <c r="O143" s="361">
        <f>+IF($I143=O$3,VLOOKUP($H143,Depreciation!$A$6:$L$10,12,FALSE)/2,IF($I143&lt;O$3,VLOOKUP($H143,Depreciation!$A$6:$L$10,12,FALSE),0))</f>
        <v>2.4002037926855919E-2</v>
      </c>
      <c r="P143" s="362">
        <f t="shared" si="8"/>
        <v>23281358.743934453</v>
      </c>
      <c r="Q143" s="362">
        <f t="shared" si="9"/>
        <v>23281358.743934453</v>
      </c>
      <c r="R143" s="363">
        <f t="shared" si="10"/>
        <v>0</v>
      </c>
      <c r="Y143" s="365"/>
    </row>
    <row r="144" spans="1:25" ht="15" customHeight="1">
      <c r="A144" s="359" t="str">
        <f>'Func Future Lines 2015'!A144</f>
        <v>Final</v>
      </c>
      <c r="B144" s="359" t="str">
        <f>'Func Future Lines 2015'!B144</f>
        <v>500 kV DC Transmission Line 13L50180</v>
      </c>
      <c r="C144" s="359">
        <f>'Func Future Lines 2015'!C144</f>
        <v>961</v>
      </c>
      <c r="D144" s="359">
        <f>'Func Future Lines 2015'!D144</f>
        <v>500</v>
      </c>
      <c r="E144" s="359">
        <f>'Func Future Lines 2015'!E144</f>
        <v>0</v>
      </c>
      <c r="F144" s="359">
        <f>'Func Future Lines 2015'!F144</f>
        <v>0</v>
      </c>
      <c r="G144" s="359">
        <f>'Func Future Lines 2015'!G144</f>
        <v>1297658759.5</v>
      </c>
      <c r="H144" s="359" t="str">
        <f>'Func Future Lines 2015'!H144</f>
        <v>ATCO</v>
      </c>
      <c r="I144" s="359">
        <f>'Func Future Lines 2015'!I144</f>
        <v>2015</v>
      </c>
      <c r="J144" s="361">
        <f>+IF($I144=J$3,VLOOKUP($H144,Depreciation!$A$6:$L$10,7,FALSE)/2,IF($I144&lt;J$3,VLOOKUP($H144,Depreciation!$A$6:$L$10,7,FALSE),0))</f>
        <v>1.239102859091515E-2</v>
      </c>
      <c r="K144" s="361">
        <f>+IF($I144=K$3,VLOOKUP($H144,Depreciation!$A$6:$L$10,8,FALSE)/2,IF($I144&lt;K$3,VLOOKUP($H144,Depreciation!$A$6:$L$10,8,FALSE),0))</f>
        <v>2.3943859731006666E-2</v>
      </c>
      <c r="L144" s="361">
        <f>+IF($I144=L$3,VLOOKUP($H144,Depreciation!$A$6:$L$10,9,FALSE)/2,IF($I144&lt;L$3,VLOOKUP($H144,Depreciation!$A$6:$L$10,9,FALSE),0))</f>
        <v>2.4002037926855919E-2</v>
      </c>
      <c r="M144" s="361">
        <f>+IF($I144=M$3,VLOOKUP($H144,Depreciation!$A$6:$L$10,10,FALSE)/2,IF($I144&lt;M$3,VLOOKUP($H144,Depreciation!$A$6:$L$10,10,FALSE),0))</f>
        <v>2.4002037926855919E-2</v>
      </c>
      <c r="N144" s="361">
        <f>+IF($I144=N$3,VLOOKUP($H144,Depreciation!$A$6:$L$10,11,FALSE)/2,IF($I144&lt;N$3,VLOOKUP($H144,Depreciation!$A$6:$L$10,11,FALSE),0))</f>
        <v>2.4002037926855919E-2</v>
      </c>
      <c r="O144" s="361">
        <f>+IF($I144=O$3,VLOOKUP($H144,Depreciation!$A$6:$L$10,12,FALSE)/2,IF($I144&lt;O$3,VLOOKUP($H144,Depreciation!$A$6:$L$10,12,FALSE),0))</f>
        <v>2.4002037926855919E-2</v>
      </c>
      <c r="P144" s="362">
        <f t="shared" si="8"/>
        <v>1220869481.9205</v>
      </c>
      <c r="Q144" s="362">
        <f t="shared" si="9"/>
        <v>1220869481.9205</v>
      </c>
      <c r="R144" s="363">
        <f t="shared" si="10"/>
        <v>0</v>
      </c>
      <c r="Y144" s="365"/>
    </row>
    <row r="145" spans="1:25" ht="15" customHeight="1">
      <c r="A145" s="359" t="str">
        <f>'Func Future Lines 2015'!A145</f>
        <v>PPS</v>
      </c>
      <c r="B145" s="359" t="str">
        <f>'Func Future Lines 2015'!B145</f>
        <v>500kV AC 12L70 &amp; 12L85180</v>
      </c>
      <c r="C145" s="359">
        <f>'Func Future Lines 2015'!C145</f>
        <v>961</v>
      </c>
      <c r="D145" s="359">
        <f>'Func Future Lines 2015'!D145</f>
        <v>500</v>
      </c>
      <c r="E145" s="359">
        <f>'Func Future Lines 2015'!E145</f>
        <v>0</v>
      </c>
      <c r="F145" s="359">
        <f>'Func Future Lines 2015'!F145</f>
        <v>0</v>
      </c>
      <c r="G145" s="359">
        <f>'Func Future Lines 2015'!G145</f>
        <v>22941771.346200299</v>
      </c>
      <c r="H145" s="359" t="str">
        <f>'Func Future Lines 2015'!H145</f>
        <v>ATCO</v>
      </c>
      <c r="I145" s="359">
        <f>'Func Future Lines 2015'!I145</f>
        <v>2015</v>
      </c>
      <c r="J145" s="361">
        <f>+IF($I145=J$3,VLOOKUP($H145,Depreciation!$A$6:$L$10,7,FALSE)/2,IF($I145&lt;J$3,VLOOKUP($H145,Depreciation!$A$6:$L$10,7,FALSE),0))</f>
        <v>1.239102859091515E-2</v>
      </c>
      <c r="K145" s="361">
        <f>+IF($I145=K$3,VLOOKUP($H145,Depreciation!$A$6:$L$10,8,FALSE)/2,IF($I145&lt;K$3,VLOOKUP($H145,Depreciation!$A$6:$L$10,8,FALSE),0))</f>
        <v>2.3943859731006666E-2</v>
      </c>
      <c r="L145" s="361">
        <f>+IF($I145=L$3,VLOOKUP($H145,Depreciation!$A$6:$L$10,9,FALSE)/2,IF($I145&lt;L$3,VLOOKUP($H145,Depreciation!$A$6:$L$10,9,FALSE),0))</f>
        <v>2.4002037926855919E-2</v>
      </c>
      <c r="M145" s="361">
        <f>+IF($I145=M$3,VLOOKUP($H145,Depreciation!$A$6:$L$10,10,FALSE)/2,IF($I145&lt;M$3,VLOOKUP($H145,Depreciation!$A$6:$L$10,10,FALSE),0))</f>
        <v>2.4002037926855919E-2</v>
      </c>
      <c r="N145" s="361">
        <f>+IF($I145=N$3,VLOOKUP($H145,Depreciation!$A$6:$L$10,11,FALSE)/2,IF($I145&lt;N$3,VLOOKUP($H145,Depreciation!$A$6:$L$10,11,FALSE),0))</f>
        <v>2.4002037926855919E-2</v>
      </c>
      <c r="O145" s="361">
        <f>+IF($I145=O$3,VLOOKUP($H145,Depreciation!$A$6:$L$10,12,FALSE)/2,IF($I145&lt;O$3,VLOOKUP($H145,Depreciation!$A$6:$L$10,12,FALSE),0))</f>
        <v>2.4002037926855919E-2</v>
      </c>
      <c r="P145" s="362">
        <f t="shared" si="8"/>
        <v>21584186.36080122</v>
      </c>
      <c r="Q145" s="362">
        <f t="shared" si="9"/>
        <v>21584186.36080122</v>
      </c>
      <c r="R145" s="363">
        <f t="shared" si="10"/>
        <v>0</v>
      </c>
      <c r="Y145" s="365"/>
    </row>
    <row r="146" spans="1:25" ht="15" customHeight="1">
      <c r="A146" s="359" t="str">
        <f>'Func Future Lines 2015'!A146</f>
        <v>PPS</v>
      </c>
      <c r="B146" s="359" t="str">
        <f>'Func Future Lines 2015'!B146</f>
        <v>923L/935L Tie-in180</v>
      </c>
      <c r="C146" s="359">
        <f>'Func Future Lines 2015'!C146</f>
        <v>961</v>
      </c>
      <c r="D146" s="359">
        <f>'Func Future Lines 2015'!D146</f>
        <v>240</v>
      </c>
      <c r="E146" s="359">
        <f>'Func Future Lines 2015'!E146</f>
        <v>0</v>
      </c>
      <c r="F146" s="359">
        <f>'Func Future Lines 2015'!F146</f>
        <v>0</v>
      </c>
      <c r="G146" s="359">
        <f>'Func Future Lines 2015'!G146</f>
        <v>9328355.294053847</v>
      </c>
      <c r="H146" s="359" t="str">
        <f>'Func Future Lines 2015'!H146</f>
        <v>AltaLink</v>
      </c>
      <c r="I146" s="359">
        <f>'Func Future Lines 2015'!I146</f>
        <v>2015</v>
      </c>
      <c r="J146" s="361">
        <f>+IF($I146=J$3,VLOOKUP($H146,Depreciation!$A$6:$L$10,7,FALSE)/2,IF($I146&lt;J$3,VLOOKUP($H146,Depreciation!$A$6:$L$10,7,FALSE),0))</f>
        <v>1.595020804044691E-2</v>
      </c>
      <c r="K146" s="361">
        <f>+IF($I146=K$3,VLOOKUP($H146,Depreciation!$A$6:$L$10,8,FALSE)/2,IF($I146&lt;K$3,VLOOKUP($H146,Depreciation!$A$6:$L$10,8,FALSE),0))</f>
        <v>3.0676363676126896E-2</v>
      </c>
      <c r="L146" s="361">
        <f>+IF($I146=L$3,VLOOKUP($H146,Depreciation!$A$6:$L$10,9,FALSE)/2,IF($I146&lt;L$3,VLOOKUP($H146,Depreciation!$A$6:$L$10,9,FALSE),0))</f>
        <v>3.0676363676126896E-2</v>
      </c>
      <c r="M146" s="361">
        <f>+IF($I146=M$3,VLOOKUP($H146,Depreciation!$A$6:$L$10,10,FALSE)/2,IF($I146&lt;M$3,VLOOKUP($H146,Depreciation!$A$6:$L$10,10,FALSE),0))</f>
        <v>3.0676363676126896E-2</v>
      </c>
      <c r="N146" s="361">
        <f>+IF($I146=N$3,VLOOKUP($H146,Depreciation!$A$6:$L$10,11,FALSE)/2,IF($I146&lt;N$3,VLOOKUP($H146,Depreciation!$A$6:$L$10,11,FALSE),0))</f>
        <v>3.0676363676126896E-2</v>
      </c>
      <c r="O146" s="361">
        <f>+IF($I146=O$3,VLOOKUP($H146,Depreciation!$A$6:$L$10,12,FALSE)/2,IF($I146&lt;O$3,VLOOKUP($H146,Depreciation!$A$6:$L$10,12,FALSE),0))</f>
        <v>3.0676363676126896E-2</v>
      </c>
      <c r="P146" s="362">
        <f t="shared" si="8"/>
        <v>8625013.0034629405</v>
      </c>
      <c r="Q146" s="362">
        <f t="shared" si="9"/>
        <v>8625013.0034629405</v>
      </c>
      <c r="R146" s="363">
        <f t="shared" si="10"/>
        <v>0</v>
      </c>
      <c r="Y146" s="365"/>
    </row>
    <row r="147" spans="1:25" ht="15" customHeight="1">
      <c r="A147" s="359" t="str">
        <f>'Func Future Lines 2015'!A147</f>
        <v>PPS</v>
      </c>
      <c r="B147" s="359" t="str">
        <f>'Func Future Lines 2015'!B147</f>
        <v>931L/933L crossing180</v>
      </c>
      <c r="C147" s="359">
        <f>'Func Future Lines 2015'!C147</f>
        <v>961</v>
      </c>
      <c r="D147" s="359">
        <f>'Func Future Lines 2015'!D147</f>
        <v>240</v>
      </c>
      <c r="E147" s="359">
        <f>'Func Future Lines 2015'!E147</f>
        <v>0</v>
      </c>
      <c r="F147" s="359">
        <f>'Func Future Lines 2015'!F147</f>
        <v>0</v>
      </c>
      <c r="G147" s="359">
        <f>'Func Future Lines 2015'!G147</f>
        <v>15784803.775025563</v>
      </c>
      <c r="H147" s="359" t="str">
        <f>'Func Future Lines 2015'!H147</f>
        <v>AltaLink</v>
      </c>
      <c r="I147" s="359">
        <f>'Func Future Lines 2015'!I147</f>
        <v>2015</v>
      </c>
      <c r="J147" s="361">
        <f>+IF($I147=J$3,VLOOKUP($H147,Depreciation!$A$6:$L$10,7,FALSE)/2,IF($I147&lt;J$3,VLOOKUP($H147,Depreciation!$A$6:$L$10,7,FALSE),0))</f>
        <v>1.595020804044691E-2</v>
      </c>
      <c r="K147" s="361">
        <f>+IF($I147=K$3,VLOOKUP($H147,Depreciation!$A$6:$L$10,8,FALSE)/2,IF($I147&lt;K$3,VLOOKUP($H147,Depreciation!$A$6:$L$10,8,FALSE),0))</f>
        <v>3.0676363676126896E-2</v>
      </c>
      <c r="L147" s="361">
        <f>+IF($I147=L$3,VLOOKUP($H147,Depreciation!$A$6:$L$10,9,FALSE)/2,IF($I147&lt;L$3,VLOOKUP($H147,Depreciation!$A$6:$L$10,9,FALSE),0))</f>
        <v>3.0676363676126896E-2</v>
      </c>
      <c r="M147" s="361">
        <f>+IF($I147=M$3,VLOOKUP($H147,Depreciation!$A$6:$L$10,10,FALSE)/2,IF($I147&lt;M$3,VLOOKUP($H147,Depreciation!$A$6:$L$10,10,FALSE),0))</f>
        <v>3.0676363676126896E-2</v>
      </c>
      <c r="N147" s="361">
        <f>+IF($I147=N$3,VLOOKUP($H147,Depreciation!$A$6:$L$10,11,FALSE)/2,IF($I147&lt;N$3,VLOOKUP($H147,Depreciation!$A$6:$L$10,11,FALSE),0))</f>
        <v>3.0676363676126896E-2</v>
      </c>
      <c r="O147" s="361">
        <f>+IF($I147=O$3,VLOOKUP($H147,Depreciation!$A$6:$L$10,12,FALSE)/2,IF($I147&lt;O$3,VLOOKUP($H147,Depreciation!$A$6:$L$10,12,FALSE),0))</f>
        <v>3.0676363676126896E-2</v>
      </c>
      <c r="P147" s="362">
        <f t="shared" si="8"/>
        <v>14594656.134451529</v>
      </c>
      <c r="Q147" s="362">
        <f t="shared" si="9"/>
        <v>14594656.134451529</v>
      </c>
      <c r="R147" s="363">
        <f t="shared" si="10"/>
        <v>0</v>
      </c>
      <c r="Y147" s="365"/>
    </row>
    <row r="148" spans="1:25" ht="15" customHeight="1">
      <c r="A148" s="359" t="str">
        <f>'Func Future Lines 2015'!A148</f>
        <v>PPS</v>
      </c>
      <c r="B148" s="359" t="str">
        <f>'Func Future Lines 2015'!B148</f>
        <v>950L crossing180</v>
      </c>
      <c r="C148" s="359">
        <f>'Func Future Lines 2015'!C148</f>
        <v>961</v>
      </c>
      <c r="D148" s="359">
        <f>'Func Future Lines 2015'!D148</f>
        <v>240</v>
      </c>
      <c r="E148" s="359">
        <f>'Func Future Lines 2015'!E148</f>
        <v>0</v>
      </c>
      <c r="F148" s="359">
        <f>'Func Future Lines 2015'!F148</f>
        <v>0</v>
      </c>
      <c r="G148" s="359">
        <f>'Func Future Lines 2015'!G148</f>
        <v>4171061.3966196976</v>
      </c>
      <c r="H148" s="359" t="str">
        <f>'Func Future Lines 2015'!H148</f>
        <v>AltaLink</v>
      </c>
      <c r="I148" s="359">
        <f>'Func Future Lines 2015'!I148</f>
        <v>2015</v>
      </c>
      <c r="J148" s="361">
        <f>+IF($I148=J$3,VLOOKUP($H148,Depreciation!$A$6:$L$10,7,FALSE)/2,IF($I148&lt;J$3,VLOOKUP($H148,Depreciation!$A$6:$L$10,7,FALSE),0))</f>
        <v>1.595020804044691E-2</v>
      </c>
      <c r="K148" s="361">
        <f>+IF($I148=K$3,VLOOKUP($H148,Depreciation!$A$6:$L$10,8,FALSE)/2,IF($I148&lt;K$3,VLOOKUP($H148,Depreciation!$A$6:$L$10,8,FALSE),0))</f>
        <v>3.0676363676126896E-2</v>
      </c>
      <c r="L148" s="361">
        <f>+IF($I148=L$3,VLOOKUP($H148,Depreciation!$A$6:$L$10,9,FALSE)/2,IF($I148&lt;L$3,VLOOKUP($H148,Depreciation!$A$6:$L$10,9,FALSE),0))</f>
        <v>3.0676363676126896E-2</v>
      </c>
      <c r="M148" s="361">
        <f>+IF($I148=M$3,VLOOKUP($H148,Depreciation!$A$6:$L$10,10,FALSE)/2,IF($I148&lt;M$3,VLOOKUP($H148,Depreciation!$A$6:$L$10,10,FALSE),0))</f>
        <v>3.0676363676126896E-2</v>
      </c>
      <c r="N148" s="361">
        <f>+IF($I148=N$3,VLOOKUP($H148,Depreciation!$A$6:$L$10,11,FALSE)/2,IF($I148&lt;N$3,VLOOKUP($H148,Depreciation!$A$6:$L$10,11,FALSE),0))</f>
        <v>3.0676363676126896E-2</v>
      </c>
      <c r="O148" s="361">
        <f>+IF($I148=O$3,VLOOKUP($H148,Depreciation!$A$6:$L$10,12,FALSE)/2,IF($I148&lt;O$3,VLOOKUP($H148,Depreciation!$A$6:$L$10,12,FALSE),0))</f>
        <v>3.0676363676126896E-2</v>
      </c>
      <c r="P148" s="362">
        <f t="shared" si="8"/>
        <v>3856570.3867453393</v>
      </c>
      <c r="Q148" s="362">
        <f t="shared" si="9"/>
        <v>3856570.3867453393</v>
      </c>
      <c r="R148" s="363">
        <f t="shared" si="10"/>
        <v>0</v>
      </c>
      <c r="Y148" s="365"/>
    </row>
    <row r="149" spans="1:25" ht="15" customHeight="1">
      <c r="A149" s="359" t="str">
        <f>'Func Future Lines 2015'!A149</f>
        <v>PPS</v>
      </c>
      <c r="B149" s="359" t="str">
        <f>'Func Future Lines 2015'!B149</f>
        <v>1113L 180</v>
      </c>
      <c r="C149" s="359">
        <f>'Func Future Lines 2015'!C149</f>
        <v>962</v>
      </c>
      <c r="D149" s="359">
        <f>'Func Future Lines 2015'!D149</f>
        <v>240</v>
      </c>
      <c r="E149" s="359">
        <f>'Func Future Lines 2015'!E149</f>
        <v>0</v>
      </c>
      <c r="F149" s="359">
        <f>'Func Future Lines 2015'!F149</f>
        <v>0</v>
      </c>
      <c r="G149" s="359">
        <f>'Func Future Lines 2015'!G149</f>
        <v>5050035.9456107607</v>
      </c>
      <c r="H149" s="359" t="str">
        <f>'Func Future Lines 2015'!H149</f>
        <v>AltaLink</v>
      </c>
      <c r="I149" s="359">
        <f>'Func Future Lines 2015'!I149</f>
        <v>2015</v>
      </c>
      <c r="J149" s="361">
        <f>+IF($I149=J$3,VLOOKUP($H149,Depreciation!$A$6:$L$10,7,FALSE)/2,IF($I149&lt;J$3,VLOOKUP($H149,Depreciation!$A$6:$L$10,7,FALSE),0))</f>
        <v>1.595020804044691E-2</v>
      </c>
      <c r="K149" s="361">
        <f>+IF($I149=K$3,VLOOKUP($H149,Depreciation!$A$6:$L$10,8,FALSE)/2,IF($I149&lt;K$3,VLOOKUP($H149,Depreciation!$A$6:$L$10,8,FALSE),0))</f>
        <v>3.0676363676126896E-2</v>
      </c>
      <c r="L149" s="361">
        <f>+IF($I149=L$3,VLOOKUP($H149,Depreciation!$A$6:$L$10,9,FALSE)/2,IF($I149&lt;L$3,VLOOKUP($H149,Depreciation!$A$6:$L$10,9,FALSE),0))</f>
        <v>3.0676363676126896E-2</v>
      </c>
      <c r="M149" s="361">
        <f>+IF($I149=M$3,VLOOKUP($H149,Depreciation!$A$6:$L$10,10,FALSE)/2,IF($I149&lt;M$3,VLOOKUP($H149,Depreciation!$A$6:$L$10,10,FALSE),0))</f>
        <v>3.0676363676126896E-2</v>
      </c>
      <c r="N149" s="361">
        <f>+IF($I149=N$3,VLOOKUP($H149,Depreciation!$A$6:$L$10,11,FALSE)/2,IF($I149&lt;N$3,VLOOKUP($H149,Depreciation!$A$6:$L$10,11,FALSE),0))</f>
        <v>3.0676363676126896E-2</v>
      </c>
      <c r="O149" s="361">
        <f>+IF($I149=O$3,VLOOKUP($H149,Depreciation!$A$6:$L$10,12,FALSE)/2,IF($I149&lt;O$3,VLOOKUP($H149,Depreciation!$A$6:$L$10,12,FALSE),0))</f>
        <v>3.0676363676126896E-2</v>
      </c>
      <c r="P149" s="362">
        <f t="shared" si="8"/>
        <v>4669271.733958533</v>
      </c>
      <c r="Q149" s="362">
        <f t="shared" si="9"/>
        <v>4669271.733958533</v>
      </c>
      <c r="R149" s="363">
        <f t="shared" si="10"/>
        <v>0</v>
      </c>
      <c r="Y149" s="365"/>
    </row>
    <row r="150" spans="1:25" ht="15" customHeight="1">
      <c r="A150" s="359" t="str">
        <f>'Func Future Lines 2015'!A150</f>
        <v>PPS</v>
      </c>
      <c r="B150" s="359" t="str">
        <f>'Func Future Lines 2015'!B150</f>
        <v>1114L 180</v>
      </c>
      <c r="C150" s="359">
        <f>'Func Future Lines 2015'!C150</f>
        <v>962</v>
      </c>
      <c r="D150" s="359">
        <f>'Func Future Lines 2015'!D150</f>
        <v>240</v>
      </c>
      <c r="E150" s="359">
        <f>'Func Future Lines 2015'!E150</f>
        <v>0</v>
      </c>
      <c r="F150" s="359">
        <f>'Func Future Lines 2015'!F150</f>
        <v>0</v>
      </c>
      <c r="G150" s="359">
        <f>'Func Future Lines 2015'!G150</f>
        <v>508638.67860466533</v>
      </c>
      <c r="H150" s="359" t="str">
        <f>'Func Future Lines 2015'!H150</f>
        <v>AltaLink</v>
      </c>
      <c r="I150" s="359">
        <f>'Func Future Lines 2015'!I150</f>
        <v>2015</v>
      </c>
      <c r="J150" s="361">
        <f>+IF($I150=J$3,VLOOKUP($H150,Depreciation!$A$6:$L$10,7,FALSE)/2,IF($I150&lt;J$3,VLOOKUP($H150,Depreciation!$A$6:$L$10,7,FALSE),0))</f>
        <v>1.595020804044691E-2</v>
      </c>
      <c r="K150" s="361">
        <f>+IF($I150=K$3,VLOOKUP($H150,Depreciation!$A$6:$L$10,8,FALSE)/2,IF($I150&lt;K$3,VLOOKUP($H150,Depreciation!$A$6:$L$10,8,FALSE),0))</f>
        <v>3.0676363676126896E-2</v>
      </c>
      <c r="L150" s="361">
        <f>+IF($I150=L$3,VLOOKUP($H150,Depreciation!$A$6:$L$10,9,FALSE)/2,IF($I150&lt;L$3,VLOOKUP($H150,Depreciation!$A$6:$L$10,9,FALSE),0))</f>
        <v>3.0676363676126896E-2</v>
      </c>
      <c r="M150" s="361">
        <f>+IF($I150=M$3,VLOOKUP($H150,Depreciation!$A$6:$L$10,10,FALSE)/2,IF($I150&lt;M$3,VLOOKUP($H150,Depreciation!$A$6:$L$10,10,FALSE),0))</f>
        <v>3.0676363676126896E-2</v>
      </c>
      <c r="N150" s="361">
        <f>+IF($I150=N$3,VLOOKUP($H150,Depreciation!$A$6:$L$10,11,FALSE)/2,IF($I150&lt;N$3,VLOOKUP($H150,Depreciation!$A$6:$L$10,11,FALSE),0))</f>
        <v>3.0676363676126896E-2</v>
      </c>
      <c r="O150" s="361">
        <f>+IF($I150=O$3,VLOOKUP($H150,Depreciation!$A$6:$L$10,12,FALSE)/2,IF($I150&lt;O$3,VLOOKUP($H150,Depreciation!$A$6:$L$10,12,FALSE),0))</f>
        <v>3.0676363676126896E-2</v>
      </c>
      <c r="P150" s="362">
        <f t="shared" si="8"/>
        <v>470288.17821999668</v>
      </c>
      <c r="Q150" s="362">
        <f t="shared" si="9"/>
        <v>470288.17821999668</v>
      </c>
      <c r="R150" s="363">
        <f t="shared" si="10"/>
        <v>0</v>
      </c>
      <c r="Y150" s="365"/>
    </row>
    <row r="151" spans="1:25" ht="15" customHeight="1">
      <c r="A151" s="359" t="str">
        <f>'Func Future Lines 2015'!A151</f>
        <v>PPS</v>
      </c>
      <c r="B151" s="359" t="str">
        <f>'Func Future Lines 2015'!B151</f>
        <v>1201L</v>
      </c>
      <c r="C151" s="359">
        <f>'Func Future Lines 2015'!C151</f>
        <v>962</v>
      </c>
      <c r="D151" s="359">
        <f>'Func Future Lines 2015'!D151</f>
        <v>500</v>
      </c>
      <c r="E151" s="359">
        <f>'Func Future Lines 2015'!E151</f>
        <v>0</v>
      </c>
      <c r="F151" s="359">
        <f>'Func Future Lines 2015'!F151</f>
        <v>0</v>
      </c>
      <c r="G151" s="359">
        <f>'Func Future Lines 2015'!G151</f>
        <v>17806288.979760934</v>
      </c>
      <c r="H151" s="359" t="str">
        <f>'Func Future Lines 2015'!H151</f>
        <v>AltaLink</v>
      </c>
      <c r="I151" s="359">
        <f>'Func Future Lines 2015'!I151</f>
        <v>2015</v>
      </c>
      <c r="J151" s="361">
        <f>+IF($I151=J$3,VLOOKUP($H151,Depreciation!$A$6:$L$10,7,FALSE)/2,IF($I151&lt;J$3,VLOOKUP($H151,Depreciation!$A$6:$L$10,7,FALSE),0))</f>
        <v>1.595020804044691E-2</v>
      </c>
      <c r="K151" s="361">
        <f>+IF($I151=K$3,VLOOKUP($H151,Depreciation!$A$6:$L$10,8,FALSE)/2,IF($I151&lt;K$3,VLOOKUP($H151,Depreciation!$A$6:$L$10,8,FALSE),0))</f>
        <v>3.0676363676126896E-2</v>
      </c>
      <c r="L151" s="361">
        <f>+IF($I151=L$3,VLOOKUP($H151,Depreciation!$A$6:$L$10,9,FALSE)/2,IF($I151&lt;L$3,VLOOKUP($H151,Depreciation!$A$6:$L$10,9,FALSE),0))</f>
        <v>3.0676363676126896E-2</v>
      </c>
      <c r="M151" s="361">
        <f>+IF($I151=M$3,VLOOKUP($H151,Depreciation!$A$6:$L$10,10,FALSE)/2,IF($I151&lt;M$3,VLOOKUP($H151,Depreciation!$A$6:$L$10,10,FALSE),0))</f>
        <v>3.0676363676126896E-2</v>
      </c>
      <c r="N151" s="361">
        <f>+IF($I151=N$3,VLOOKUP($H151,Depreciation!$A$6:$L$10,11,FALSE)/2,IF($I151&lt;N$3,VLOOKUP($H151,Depreciation!$A$6:$L$10,11,FALSE),0))</f>
        <v>3.0676363676126896E-2</v>
      </c>
      <c r="O151" s="361">
        <f>+IF($I151=O$3,VLOOKUP($H151,Depreciation!$A$6:$L$10,12,FALSE)/2,IF($I151&lt;O$3,VLOOKUP($H151,Depreciation!$A$6:$L$10,12,FALSE),0))</f>
        <v>3.0676363676126896E-2</v>
      </c>
      <c r="P151" s="362">
        <f t="shared" si="8"/>
        <v>16463724.756683819</v>
      </c>
      <c r="Q151" s="362">
        <f t="shared" si="9"/>
        <v>16463724.756683819</v>
      </c>
      <c r="R151" s="363">
        <f t="shared" si="10"/>
        <v>0</v>
      </c>
      <c r="Y151" s="365"/>
    </row>
    <row r="152" spans="1:25" ht="15" customHeight="1">
      <c r="A152" s="359" t="str">
        <f>'Func Future Lines 2015'!A152</f>
        <v>PPS</v>
      </c>
      <c r="B152" s="359" t="str">
        <f>'Func Future Lines 2015'!B152</f>
        <v>1203L / 1238L / 1239L to 510S</v>
      </c>
      <c r="C152" s="359">
        <f>'Func Future Lines 2015'!C152</f>
        <v>962</v>
      </c>
      <c r="D152" s="359">
        <f>'Func Future Lines 2015'!D152</f>
        <v>500</v>
      </c>
      <c r="E152" s="359">
        <f>'Func Future Lines 2015'!E152</f>
        <v>0</v>
      </c>
      <c r="F152" s="359" t="str">
        <f>'Func Future Lines 2015'!F152</f>
        <v>northwest</v>
      </c>
      <c r="G152" s="359">
        <f>'Func Future Lines 2015'!G152</f>
        <v>4282968.0875220895</v>
      </c>
      <c r="H152" s="359" t="str">
        <f>'Func Future Lines 2015'!H152</f>
        <v>EPCOR</v>
      </c>
      <c r="I152" s="359">
        <f>'Func Future Lines 2015'!I152</f>
        <v>2015</v>
      </c>
      <c r="J152" s="361">
        <f>+IF($I152=J$3,VLOOKUP($H152,Depreciation!$A$6:$L$10,7,FALSE)/2,IF($I152&lt;J$3,VLOOKUP($H152,Depreciation!$A$6:$L$10,7,FALSE),0))</f>
        <v>1.1530980651952941E-2</v>
      </c>
      <c r="K152" s="361">
        <f>+IF($I152=K$3,VLOOKUP($H152,Depreciation!$A$6:$L$10,8,FALSE)/2,IF($I152&lt;K$3,VLOOKUP($H152,Depreciation!$A$6:$L$10,8,FALSE),0))</f>
        <v>2.3062337210051284E-2</v>
      </c>
      <c r="L152" s="361">
        <f>+IF($I152=L$3,VLOOKUP($H152,Depreciation!$A$6:$L$10,9,FALSE)/2,IF($I152&lt;L$3,VLOOKUP($H152,Depreciation!$A$6:$L$10,9,FALSE),0))</f>
        <v>2.3063912319658014E-2</v>
      </c>
      <c r="M152" s="361">
        <f>+IF($I152=M$3,VLOOKUP($H152,Depreciation!$A$6:$L$10,10,FALSE)/2,IF($I152&lt;M$3,VLOOKUP($H152,Depreciation!$A$6:$L$10,10,FALSE),0))</f>
        <v>2.3063912319658014E-2</v>
      </c>
      <c r="N152" s="361">
        <f>+IF($I152=N$3,VLOOKUP($H152,Depreciation!$A$6:$L$10,11,FALSE)/2,IF($I152&lt;N$3,VLOOKUP($H152,Depreciation!$A$6:$L$10,11,FALSE),0))</f>
        <v>2.3063912319658014E-2</v>
      </c>
      <c r="O152" s="361">
        <f>+IF($I152=O$3,VLOOKUP($H152,Depreciation!$A$6:$L$10,12,FALSE)/2,IF($I152&lt;O$3,VLOOKUP($H152,Depreciation!$A$6:$L$10,12,FALSE),0))</f>
        <v>2.3063912319658014E-2</v>
      </c>
      <c r="P152" s="362">
        <f t="shared" si="8"/>
        <v>4040553.914093357</v>
      </c>
      <c r="Q152" s="362">
        <f t="shared" si="9"/>
        <v>4040553.914093357</v>
      </c>
      <c r="R152" s="363">
        <f t="shared" si="10"/>
        <v>0</v>
      </c>
      <c r="Y152" s="365"/>
    </row>
    <row r="153" spans="1:25" ht="15" customHeight="1">
      <c r="A153" s="359" t="str">
        <f>'Func Future Lines 2015'!A153</f>
        <v>PPS</v>
      </c>
      <c r="B153" s="359" t="str">
        <f>'Func Future Lines 2015'!B153</f>
        <v>1209L 330P to 89S</v>
      </c>
      <c r="C153" s="359">
        <f>'Func Future Lines 2015'!C153</f>
        <v>962</v>
      </c>
      <c r="D153" s="359">
        <f>'Func Future Lines 2015'!D153</f>
        <v>500</v>
      </c>
      <c r="E153" s="359">
        <f>'Func Future Lines 2015'!E153</f>
        <v>0</v>
      </c>
      <c r="F153" s="359" t="str">
        <f>'Func Future Lines 2015'!F153</f>
        <v>northwest</v>
      </c>
      <c r="G153" s="359">
        <f>'Func Future Lines 2015'!G153</f>
        <v>7200931.5202669203</v>
      </c>
      <c r="H153" s="359" t="str">
        <f>'Func Future Lines 2015'!H153</f>
        <v>EPCOR</v>
      </c>
      <c r="I153" s="359">
        <f>'Func Future Lines 2015'!I153</f>
        <v>2015</v>
      </c>
      <c r="J153" s="361">
        <f>+IF($I153=J$3,VLOOKUP($H153,Depreciation!$A$6:$L$10,7,FALSE)/2,IF($I153&lt;J$3,VLOOKUP($H153,Depreciation!$A$6:$L$10,7,FALSE),0))</f>
        <v>1.1530980651952941E-2</v>
      </c>
      <c r="K153" s="361">
        <f>+IF($I153=K$3,VLOOKUP($H153,Depreciation!$A$6:$L$10,8,FALSE)/2,IF($I153&lt;K$3,VLOOKUP($H153,Depreciation!$A$6:$L$10,8,FALSE),0))</f>
        <v>2.3062337210051284E-2</v>
      </c>
      <c r="L153" s="361">
        <f>+IF($I153=L$3,VLOOKUP($H153,Depreciation!$A$6:$L$10,9,FALSE)/2,IF($I153&lt;L$3,VLOOKUP($H153,Depreciation!$A$6:$L$10,9,FALSE),0))</f>
        <v>2.3063912319658014E-2</v>
      </c>
      <c r="M153" s="361">
        <f>+IF($I153=M$3,VLOOKUP($H153,Depreciation!$A$6:$L$10,10,FALSE)/2,IF($I153&lt;M$3,VLOOKUP($H153,Depreciation!$A$6:$L$10,10,FALSE),0))</f>
        <v>2.3063912319658014E-2</v>
      </c>
      <c r="N153" s="361">
        <f>+IF($I153=N$3,VLOOKUP($H153,Depreciation!$A$6:$L$10,11,FALSE)/2,IF($I153&lt;N$3,VLOOKUP($H153,Depreciation!$A$6:$L$10,11,FALSE),0))</f>
        <v>2.3063912319658014E-2</v>
      </c>
      <c r="O153" s="361">
        <f>+IF($I153=O$3,VLOOKUP($H153,Depreciation!$A$6:$L$10,12,FALSE)/2,IF($I153&lt;O$3,VLOOKUP($H153,Depreciation!$A$6:$L$10,12,FALSE),0))</f>
        <v>2.3063912319658014E-2</v>
      </c>
      <c r="P153" s="362">
        <f t="shared" si="8"/>
        <v>6793361.8567226073</v>
      </c>
      <c r="Q153" s="362">
        <f t="shared" si="9"/>
        <v>6793361.8567226073</v>
      </c>
      <c r="R153" s="363">
        <f t="shared" si="10"/>
        <v>0</v>
      </c>
      <c r="Y153" s="365"/>
    </row>
    <row r="154" spans="1:25" ht="15" customHeight="1">
      <c r="A154" s="359" t="str">
        <f>'Func Future Lines 2015'!A154</f>
        <v>PPS</v>
      </c>
      <c r="B154" s="359" t="str">
        <f>'Func Future Lines 2015'!B154</f>
        <v>1323L / 1323AL</v>
      </c>
      <c r="C154" s="359">
        <f>'Func Future Lines 2015'!C154</f>
        <v>962</v>
      </c>
      <c r="D154" s="359">
        <f>'Func Future Lines 2015'!D154</f>
        <v>500</v>
      </c>
      <c r="E154" s="359">
        <f>'Func Future Lines 2015'!E154</f>
        <v>0</v>
      </c>
      <c r="F154" s="359">
        <f>'Func Future Lines 2015'!F154</f>
        <v>0</v>
      </c>
      <c r="G154" s="359">
        <f>'Func Future Lines 2015'!G154</f>
        <v>5797511.6642460758</v>
      </c>
      <c r="H154" s="359" t="str">
        <f>'Func Future Lines 2015'!H154</f>
        <v>AltaLink</v>
      </c>
      <c r="I154" s="359">
        <f>'Func Future Lines 2015'!I154</f>
        <v>2015</v>
      </c>
      <c r="J154" s="361">
        <f>+IF($I154=J$3,VLOOKUP($H154,Depreciation!$A$6:$L$10,7,FALSE)/2,IF($I154&lt;J$3,VLOOKUP($H154,Depreciation!$A$6:$L$10,7,FALSE),0))</f>
        <v>1.595020804044691E-2</v>
      </c>
      <c r="K154" s="361">
        <f>+IF($I154=K$3,VLOOKUP($H154,Depreciation!$A$6:$L$10,8,FALSE)/2,IF($I154&lt;K$3,VLOOKUP($H154,Depreciation!$A$6:$L$10,8,FALSE),0))</f>
        <v>3.0676363676126896E-2</v>
      </c>
      <c r="L154" s="361">
        <f>+IF($I154=L$3,VLOOKUP($H154,Depreciation!$A$6:$L$10,9,FALSE)/2,IF($I154&lt;L$3,VLOOKUP($H154,Depreciation!$A$6:$L$10,9,FALSE),0))</f>
        <v>3.0676363676126896E-2</v>
      </c>
      <c r="M154" s="361">
        <f>+IF($I154=M$3,VLOOKUP($H154,Depreciation!$A$6:$L$10,10,FALSE)/2,IF($I154&lt;M$3,VLOOKUP($H154,Depreciation!$A$6:$L$10,10,FALSE),0))</f>
        <v>3.0676363676126896E-2</v>
      </c>
      <c r="N154" s="361">
        <f>+IF($I154=N$3,VLOOKUP($H154,Depreciation!$A$6:$L$10,11,FALSE)/2,IF($I154&lt;N$3,VLOOKUP($H154,Depreciation!$A$6:$L$10,11,FALSE),0))</f>
        <v>3.0676363676126896E-2</v>
      </c>
      <c r="O154" s="361">
        <f>+IF($I154=O$3,VLOOKUP($H154,Depreciation!$A$6:$L$10,12,FALSE)/2,IF($I154&lt;O$3,VLOOKUP($H154,Depreciation!$A$6:$L$10,12,FALSE),0))</f>
        <v>3.0676363676126896E-2</v>
      </c>
      <c r="P154" s="362">
        <f t="shared" si="8"/>
        <v>5360389.0413269494</v>
      </c>
      <c r="Q154" s="362">
        <f t="shared" si="9"/>
        <v>5360389.0413269494</v>
      </c>
      <c r="R154" s="363">
        <f t="shared" si="10"/>
        <v>0</v>
      </c>
      <c r="Y154" s="365"/>
    </row>
    <row r="155" spans="1:25" ht="15" customHeight="1">
      <c r="A155" s="359" t="str">
        <f>'Func Future Lines 2015'!A155</f>
        <v>PPS</v>
      </c>
      <c r="B155" s="359" t="str">
        <f>'Func Future Lines 2015'!B155</f>
        <v>1323L / 1323AL</v>
      </c>
      <c r="C155" s="359">
        <f>'Func Future Lines 2015'!C155</f>
        <v>962</v>
      </c>
      <c r="D155" s="359">
        <f>'Func Future Lines 2015'!D155</f>
        <v>500</v>
      </c>
      <c r="E155" s="359">
        <f>'Func Future Lines 2015'!E155</f>
        <v>0</v>
      </c>
      <c r="F155" s="359">
        <f>'Func Future Lines 2015'!F155</f>
        <v>0</v>
      </c>
      <c r="G155" s="359">
        <f>'Func Future Lines 2015'!G155</f>
        <v>5797512.9227138078</v>
      </c>
      <c r="H155" s="359" t="str">
        <f>'Func Future Lines 2015'!H155</f>
        <v>AltaLink</v>
      </c>
      <c r="I155" s="359">
        <f>'Func Future Lines 2015'!I155</f>
        <v>2015</v>
      </c>
      <c r="J155" s="361">
        <f>+IF($I155=J$3,VLOOKUP($H155,Depreciation!$A$6:$L$10,7,FALSE)/2,IF($I155&lt;J$3,VLOOKUP($H155,Depreciation!$A$6:$L$10,7,FALSE),0))</f>
        <v>1.595020804044691E-2</v>
      </c>
      <c r="K155" s="361">
        <f>+IF($I155=K$3,VLOOKUP($H155,Depreciation!$A$6:$L$10,8,FALSE)/2,IF($I155&lt;K$3,VLOOKUP($H155,Depreciation!$A$6:$L$10,8,FALSE),0))</f>
        <v>3.0676363676126896E-2</v>
      </c>
      <c r="L155" s="361">
        <f>+IF($I155=L$3,VLOOKUP($H155,Depreciation!$A$6:$L$10,9,FALSE)/2,IF($I155&lt;L$3,VLOOKUP($H155,Depreciation!$A$6:$L$10,9,FALSE),0))</f>
        <v>3.0676363676126896E-2</v>
      </c>
      <c r="M155" s="361">
        <f>+IF($I155=M$3,VLOOKUP($H155,Depreciation!$A$6:$L$10,10,FALSE)/2,IF($I155&lt;M$3,VLOOKUP($H155,Depreciation!$A$6:$L$10,10,FALSE),0))</f>
        <v>3.0676363676126896E-2</v>
      </c>
      <c r="N155" s="361">
        <f>+IF($I155=N$3,VLOOKUP($H155,Depreciation!$A$6:$L$10,11,FALSE)/2,IF($I155&lt;N$3,VLOOKUP($H155,Depreciation!$A$6:$L$10,11,FALSE),0))</f>
        <v>3.0676363676126896E-2</v>
      </c>
      <c r="O155" s="361">
        <f>+IF($I155=O$3,VLOOKUP($H155,Depreciation!$A$6:$L$10,12,FALSE)/2,IF($I155&lt;O$3,VLOOKUP($H155,Depreciation!$A$6:$L$10,12,FALSE),0))</f>
        <v>3.0676363676126896E-2</v>
      </c>
      <c r="P155" s="362">
        <f t="shared" si="8"/>
        <v>5360390.2049083309</v>
      </c>
      <c r="Q155" s="362">
        <f t="shared" si="9"/>
        <v>5360390.2049083309</v>
      </c>
      <c r="R155" s="363">
        <f t="shared" si="10"/>
        <v>0</v>
      </c>
      <c r="Y155" s="365"/>
    </row>
    <row r="156" spans="1:25" ht="15" customHeight="1">
      <c r="A156" s="359" t="str">
        <f>'Func Future Lines 2015'!A156</f>
        <v>PPS</v>
      </c>
      <c r="B156" s="359" t="str">
        <f>'Func Future Lines 2015'!B156</f>
        <v>166L crossing180</v>
      </c>
      <c r="C156" s="359">
        <f>'Func Future Lines 2015'!C156</f>
        <v>962</v>
      </c>
      <c r="D156" s="359">
        <f>'Func Future Lines 2015'!D156</f>
        <v>138</v>
      </c>
      <c r="E156" s="359">
        <f>'Func Future Lines 2015'!E156</f>
        <v>0</v>
      </c>
      <c r="F156" s="359">
        <f>'Func Future Lines 2015'!F156</f>
        <v>0</v>
      </c>
      <c r="G156" s="359">
        <f>'Func Future Lines 2015'!G156</f>
        <v>1759.3378891942859</v>
      </c>
      <c r="H156" s="359" t="str">
        <f>'Func Future Lines 2015'!H156</f>
        <v>AltaLink</v>
      </c>
      <c r="I156" s="359">
        <f>'Func Future Lines 2015'!I156</f>
        <v>2015</v>
      </c>
      <c r="J156" s="361">
        <f>+IF($I156=J$3,VLOOKUP($H156,Depreciation!$A$6:$L$10,7,FALSE)/2,IF($I156&lt;J$3,VLOOKUP($H156,Depreciation!$A$6:$L$10,7,FALSE),0))</f>
        <v>1.595020804044691E-2</v>
      </c>
      <c r="K156" s="361">
        <f>+IF($I156=K$3,VLOOKUP($H156,Depreciation!$A$6:$L$10,8,FALSE)/2,IF($I156&lt;K$3,VLOOKUP($H156,Depreciation!$A$6:$L$10,8,FALSE),0))</f>
        <v>3.0676363676126896E-2</v>
      </c>
      <c r="L156" s="361">
        <f>+IF($I156=L$3,VLOOKUP($H156,Depreciation!$A$6:$L$10,9,FALSE)/2,IF($I156&lt;L$3,VLOOKUP($H156,Depreciation!$A$6:$L$10,9,FALSE),0))</f>
        <v>3.0676363676126896E-2</v>
      </c>
      <c r="M156" s="361">
        <f>+IF($I156=M$3,VLOOKUP($H156,Depreciation!$A$6:$L$10,10,FALSE)/2,IF($I156&lt;M$3,VLOOKUP($H156,Depreciation!$A$6:$L$10,10,FALSE),0))</f>
        <v>3.0676363676126896E-2</v>
      </c>
      <c r="N156" s="361">
        <f>+IF($I156=N$3,VLOOKUP($H156,Depreciation!$A$6:$L$10,11,FALSE)/2,IF($I156&lt;N$3,VLOOKUP($H156,Depreciation!$A$6:$L$10,11,FALSE),0))</f>
        <v>3.0676363676126896E-2</v>
      </c>
      <c r="O156" s="361">
        <f>+IF($I156=O$3,VLOOKUP($H156,Depreciation!$A$6:$L$10,12,FALSE)/2,IF($I156&lt;O$3,VLOOKUP($H156,Depreciation!$A$6:$L$10,12,FALSE),0))</f>
        <v>3.0676363676126896E-2</v>
      </c>
      <c r="P156" s="362">
        <f t="shared" si="8"/>
        <v>1626.6867731183313</v>
      </c>
      <c r="Q156" s="362">
        <f t="shared" si="9"/>
        <v>0</v>
      </c>
      <c r="R156" s="363">
        <f t="shared" si="10"/>
        <v>1626.6867731183313</v>
      </c>
      <c r="Y156" s="365"/>
    </row>
    <row r="157" spans="1:25" ht="15" customHeight="1">
      <c r="A157" s="359" t="str">
        <f>'Func Future Lines 2015'!A157</f>
        <v>PPS</v>
      </c>
      <c r="B157" s="359" t="str">
        <f>'Func Future Lines 2015'!B157</f>
        <v>189L crossing180</v>
      </c>
      <c r="C157" s="359">
        <f>'Func Future Lines 2015'!C157</f>
        <v>962</v>
      </c>
      <c r="D157" s="359">
        <f>'Func Future Lines 2015'!D157</f>
        <v>138</v>
      </c>
      <c r="E157" s="359">
        <f>'Func Future Lines 2015'!E157</f>
        <v>0</v>
      </c>
      <c r="F157" s="359">
        <f>'Func Future Lines 2015'!F157</f>
        <v>0</v>
      </c>
      <c r="G157" s="359">
        <f>'Func Future Lines 2015'!G157</f>
        <v>6009.1834198159622</v>
      </c>
      <c r="H157" s="359" t="str">
        <f>'Func Future Lines 2015'!H157</f>
        <v>AltaLink</v>
      </c>
      <c r="I157" s="359">
        <f>'Func Future Lines 2015'!I157</f>
        <v>2015</v>
      </c>
      <c r="J157" s="361">
        <f>+IF($I157=J$3,VLOOKUP($H157,Depreciation!$A$6:$L$10,7,FALSE)/2,IF($I157&lt;J$3,VLOOKUP($H157,Depreciation!$A$6:$L$10,7,FALSE),0))</f>
        <v>1.595020804044691E-2</v>
      </c>
      <c r="K157" s="361">
        <f>+IF($I157=K$3,VLOOKUP($H157,Depreciation!$A$6:$L$10,8,FALSE)/2,IF($I157&lt;K$3,VLOOKUP($H157,Depreciation!$A$6:$L$10,8,FALSE),0))</f>
        <v>3.0676363676126896E-2</v>
      </c>
      <c r="L157" s="361">
        <f>+IF($I157=L$3,VLOOKUP($H157,Depreciation!$A$6:$L$10,9,FALSE)/2,IF($I157&lt;L$3,VLOOKUP($H157,Depreciation!$A$6:$L$10,9,FALSE),0))</f>
        <v>3.0676363676126896E-2</v>
      </c>
      <c r="M157" s="361">
        <f>+IF($I157=M$3,VLOOKUP($H157,Depreciation!$A$6:$L$10,10,FALSE)/2,IF($I157&lt;M$3,VLOOKUP($H157,Depreciation!$A$6:$L$10,10,FALSE),0))</f>
        <v>3.0676363676126896E-2</v>
      </c>
      <c r="N157" s="361">
        <f>+IF($I157=N$3,VLOOKUP($H157,Depreciation!$A$6:$L$10,11,FALSE)/2,IF($I157&lt;N$3,VLOOKUP($H157,Depreciation!$A$6:$L$10,11,FALSE),0))</f>
        <v>3.0676363676126896E-2</v>
      </c>
      <c r="O157" s="361">
        <f>+IF($I157=O$3,VLOOKUP($H157,Depreciation!$A$6:$L$10,12,FALSE)/2,IF($I157&lt;O$3,VLOOKUP($H157,Depreciation!$A$6:$L$10,12,FALSE),0))</f>
        <v>3.0676363676126896E-2</v>
      </c>
      <c r="P157" s="362">
        <f t="shared" si="8"/>
        <v>5556.1011027468048</v>
      </c>
      <c r="Q157" s="362">
        <f t="shared" si="9"/>
        <v>0</v>
      </c>
      <c r="R157" s="363">
        <f t="shared" si="10"/>
        <v>5556.1011027468048</v>
      </c>
      <c r="Y157" s="365"/>
    </row>
    <row r="158" spans="1:25" ht="15" customHeight="1">
      <c r="A158" s="359" t="str">
        <f>'Func Future Lines 2015'!A158</f>
        <v>PPS</v>
      </c>
      <c r="B158" s="359" t="str">
        <f>'Func Future Lines 2015'!B158</f>
        <v>717L crossing180</v>
      </c>
      <c r="C158" s="359">
        <f>'Func Future Lines 2015'!C158</f>
        <v>962</v>
      </c>
      <c r="D158" s="359">
        <f>'Func Future Lines 2015'!D158</f>
        <v>138</v>
      </c>
      <c r="E158" s="359">
        <f>'Func Future Lines 2015'!E158</f>
        <v>0</v>
      </c>
      <c r="F158" s="359">
        <f>'Func Future Lines 2015'!F158</f>
        <v>0</v>
      </c>
      <c r="G158" s="359">
        <f>'Func Future Lines 2015'!G158</f>
        <v>649.36934965969351</v>
      </c>
      <c r="H158" s="359" t="str">
        <f>'Func Future Lines 2015'!H158</f>
        <v>AltaLink</v>
      </c>
      <c r="I158" s="359">
        <f>'Func Future Lines 2015'!I158</f>
        <v>2015</v>
      </c>
      <c r="J158" s="361">
        <f>+IF($I158=J$3,VLOOKUP($H158,Depreciation!$A$6:$L$10,7,FALSE)/2,IF($I158&lt;J$3,VLOOKUP($H158,Depreciation!$A$6:$L$10,7,FALSE),0))</f>
        <v>1.595020804044691E-2</v>
      </c>
      <c r="K158" s="361">
        <f>+IF($I158=K$3,VLOOKUP($H158,Depreciation!$A$6:$L$10,8,FALSE)/2,IF($I158&lt;K$3,VLOOKUP($H158,Depreciation!$A$6:$L$10,8,FALSE),0))</f>
        <v>3.0676363676126896E-2</v>
      </c>
      <c r="L158" s="361">
        <f>+IF($I158=L$3,VLOOKUP($H158,Depreciation!$A$6:$L$10,9,FALSE)/2,IF($I158&lt;L$3,VLOOKUP($H158,Depreciation!$A$6:$L$10,9,FALSE),0))</f>
        <v>3.0676363676126896E-2</v>
      </c>
      <c r="M158" s="361">
        <f>+IF($I158=M$3,VLOOKUP($H158,Depreciation!$A$6:$L$10,10,FALSE)/2,IF($I158&lt;M$3,VLOOKUP($H158,Depreciation!$A$6:$L$10,10,FALSE),0))</f>
        <v>3.0676363676126896E-2</v>
      </c>
      <c r="N158" s="361">
        <f>+IF($I158=N$3,VLOOKUP($H158,Depreciation!$A$6:$L$10,11,FALSE)/2,IF($I158&lt;N$3,VLOOKUP($H158,Depreciation!$A$6:$L$10,11,FALSE),0))</f>
        <v>3.0676363676126896E-2</v>
      </c>
      <c r="O158" s="361">
        <f>+IF($I158=O$3,VLOOKUP($H158,Depreciation!$A$6:$L$10,12,FALSE)/2,IF($I158&lt;O$3,VLOOKUP($H158,Depreciation!$A$6:$L$10,12,FALSE),0))</f>
        <v>3.0676363676126896E-2</v>
      </c>
      <c r="P158" s="362">
        <f t="shared" si="8"/>
        <v>600.40799351148712</v>
      </c>
      <c r="Q158" s="362">
        <f t="shared" si="9"/>
        <v>0</v>
      </c>
      <c r="R158" s="363">
        <f t="shared" si="10"/>
        <v>600.40799351148712</v>
      </c>
      <c r="Y158" s="365"/>
    </row>
    <row r="159" spans="1:25" ht="15" customHeight="1">
      <c r="A159" s="359" t="str">
        <f>'Func Future Lines 2015'!A159</f>
        <v>PPS</v>
      </c>
      <c r="B159" s="359" t="str">
        <f>'Func Future Lines 2015'!B159</f>
        <v>757L crossing180</v>
      </c>
      <c r="C159" s="359">
        <f>'Func Future Lines 2015'!C159</f>
        <v>962</v>
      </c>
      <c r="D159" s="359">
        <f>'Func Future Lines 2015'!D159</f>
        <v>138</v>
      </c>
      <c r="E159" s="359">
        <f>'Func Future Lines 2015'!E159</f>
        <v>0</v>
      </c>
      <c r="F159" s="359">
        <f>'Func Future Lines 2015'!F159</f>
        <v>0</v>
      </c>
      <c r="G159" s="359">
        <f>'Func Future Lines 2015'!G159</f>
        <v>36306.794065275499</v>
      </c>
      <c r="H159" s="359" t="str">
        <f>'Func Future Lines 2015'!H159</f>
        <v>AltaLink</v>
      </c>
      <c r="I159" s="359">
        <f>'Func Future Lines 2015'!I159</f>
        <v>2015</v>
      </c>
      <c r="J159" s="361">
        <f>+IF($I159=J$3,VLOOKUP($H159,Depreciation!$A$6:$L$10,7,FALSE)/2,IF($I159&lt;J$3,VLOOKUP($H159,Depreciation!$A$6:$L$10,7,FALSE),0))</f>
        <v>1.595020804044691E-2</v>
      </c>
      <c r="K159" s="361">
        <f>+IF($I159=K$3,VLOOKUP($H159,Depreciation!$A$6:$L$10,8,FALSE)/2,IF($I159&lt;K$3,VLOOKUP($H159,Depreciation!$A$6:$L$10,8,FALSE),0))</f>
        <v>3.0676363676126896E-2</v>
      </c>
      <c r="L159" s="361">
        <f>+IF($I159=L$3,VLOOKUP($H159,Depreciation!$A$6:$L$10,9,FALSE)/2,IF($I159&lt;L$3,VLOOKUP($H159,Depreciation!$A$6:$L$10,9,FALSE),0))</f>
        <v>3.0676363676126896E-2</v>
      </c>
      <c r="M159" s="361">
        <f>+IF($I159=M$3,VLOOKUP($H159,Depreciation!$A$6:$L$10,10,FALSE)/2,IF($I159&lt;M$3,VLOOKUP($H159,Depreciation!$A$6:$L$10,10,FALSE),0))</f>
        <v>3.0676363676126896E-2</v>
      </c>
      <c r="N159" s="361">
        <f>+IF($I159=N$3,VLOOKUP($H159,Depreciation!$A$6:$L$10,11,FALSE)/2,IF($I159&lt;N$3,VLOOKUP($H159,Depreciation!$A$6:$L$10,11,FALSE),0))</f>
        <v>3.0676363676126896E-2</v>
      </c>
      <c r="O159" s="361">
        <f>+IF($I159=O$3,VLOOKUP($H159,Depreciation!$A$6:$L$10,12,FALSE)/2,IF($I159&lt;O$3,VLOOKUP($H159,Depreciation!$A$6:$L$10,12,FALSE),0))</f>
        <v>3.0676363676126896E-2</v>
      </c>
      <c r="P159" s="362">
        <f t="shared" si="8"/>
        <v>33569.322893035671</v>
      </c>
      <c r="Q159" s="362">
        <f t="shared" si="9"/>
        <v>0</v>
      </c>
      <c r="R159" s="363">
        <f t="shared" si="10"/>
        <v>33569.322893035671</v>
      </c>
      <c r="Y159" s="365"/>
    </row>
    <row r="160" spans="1:25" ht="15" customHeight="1">
      <c r="A160" s="359" t="str">
        <f>'Func Future Lines 2015'!A160</f>
        <v>PPS</v>
      </c>
      <c r="B160" s="359" t="str">
        <f>'Func Future Lines 2015'!B160</f>
        <v>809L re-route &amp; in-out</v>
      </c>
      <c r="C160" s="359">
        <f>'Func Future Lines 2015'!C160</f>
        <v>962</v>
      </c>
      <c r="D160" s="359">
        <f>'Func Future Lines 2015'!D160</f>
        <v>138</v>
      </c>
      <c r="E160" s="359">
        <f>'Func Future Lines 2015'!E160</f>
        <v>0</v>
      </c>
      <c r="F160" s="359" t="str">
        <f>'Func Future Lines 2015'!F160</f>
        <v>northwest</v>
      </c>
      <c r="G160" s="359">
        <f>'Func Future Lines 2015'!G160</f>
        <v>1102453.8091297615</v>
      </c>
      <c r="H160" s="359" t="str">
        <f>'Func Future Lines 2015'!H160</f>
        <v>EPCOR</v>
      </c>
      <c r="I160" s="359">
        <f>'Func Future Lines 2015'!I160</f>
        <v>2015</v>
      </c>
      <c r="J160" s="361">
        <f>+IF($I160=J$3,VLOOKUP($H160,Depreciation!$A$6:$L$10,7,FALSE)/2,IF($I160&lt;J$3,VLOOKUP($H160,Depreciation!$A$6:$L$10,7,FALSE),0))</f>
        <v>1.1530980651952941E-2</v>
      </c>
      <c r="K160" s="361">
        <f>+IF($I160=K$3,VLOOKUP($H160,Depreciation!$A$6:$L$10,8,FALSE)/2,IF($I160&lt;K$3,VLOOKUP($H160,Depreciation!$A$6:$L$10,8,FALSE),0))</f>
        <v>2.3062337210051284E-2</v>
      </c>
      <c r="L160" s="361">
        <f>+IF($I160=L$3,VLOOKUP($H160,Depreciation!$A$6:$L$10,9,FALSE)/2,IF($I160&lt;L$3,VLOOKUP($H160,Depreciation!$A$6:$L$10,9,FALSE),0))</f>
        <v>2.3063912319658014E-2</v>
      </c>
      <c r="M160" s="361">
        <f>+IF($I160=M$3,VLOOKUP($H160,Depreciation!$A$6:$L$10,10,FALSE)/2,IF($I160&lt;M$3,VLOOKUP($H160,Depreciation!$A$6:$L$10,10,FALSE),0))</f>
        <v>2.3063912319658014E-2</v>
      </c>
      <c r="N160" s="361">
        <f>+IF($I160=N$3,VLOOKUP($H160,Depreciation!$A$6:$L$10,11,FALSE)/2,IF($I160&lt;N$3,VLOOKUP($H160,Depreciation!$A$6:$L$10,11,FALSE),0))</f>
        <v>2.3063912319658014E-2</v>
      </c>
      <c r="O160" s="361">
        <f>+IF($I160=O$3,VLOOKUP($H160,Depreciation!$A$6:$L$10,12,FALSE)/2,IF($I160&lt;O$3,VLOOKUP($H160,Depreciation!$A$6:$L$10,12,FALSE),0))</f>
        <v>2.3063912319658014E-2</v>
      </c>
      <c r="P160" s="362">
        <f t="shared" si="8"/>
        <v>1040055.392092252</v>
      </c>
      <c r="Q160" s="362">
        <f t="shared" si="9"/>
        <v>0</v>
      </c>
      <c r="R160" s="363">
        <f t="shared" si="10"/>
        <v>1040055.392092252</v>
      </c>
      <c r="Y160" s="365"/>
    </row>
    <row r="161" spans="1:25" ht="15" customHeight="1">
      <c r="A161" s="359" t="str">
        <f>'Func Future Lines 2015'!A161</f>
        <v>PPS</v>
      </c>
      <c r="B161" s="359" t="str">
        <f>'Func Future Lines 2015'!B161</f>
        <v>80L crossing180</v>
      </c>
      <c r="C161" s="359">
        <f>'Func Future Lines 2015'!C161</f>
        <v>962</v>
      </c>
      <c r="D161" s="359">
        <f>'Func Future Lines 2015'!D161</f>
        <v>138</v>
      </c>
      <c r="E161" s="359">
        <f>'Func Future Lines 2015'!E161</f>
        <v>0</v>
      </c>
      <c r="F161" s="359">
        <f>'Func Future Lines 2015'!F161</f>
        <v>0</v>
      </c>
      <c r="G161" s="359">
        <f>'Func Future Lines 2015'!G161</f>
        <v>357.40483585921118</v>
      </c>
      <c r="H161" s="359" t="str">
        <f>'Func Future Lines 2015'!H161</f>
        <v>AltaLink</v>
      </c>
      <c r="I161" s="359">
        <f>'Func Future Lines 2015'!I161</f>
        <v>2015</v>
      </c>
      <c r="J161" s="361">
        <f>+IF($I161=J$3,VLOOKUP($H161,Depreciation!$A$6:$L$10,7,FALSE)/2,IF($I161&lt;J$3,VLOOKUP($H161,Depreciation!$A$6:$L$10,7,FALSE),0))</f>
        <v>1.595020804044691E-2</v>
      </c>
      <c r="K161" s="361">
        <f>+IF($I161=K$3,VLOOKUP($H161,Depreciation!$A$6:$L$10,8,FALSE)/2,IF($I161&lt;K$3,VLOOKUP($H161,Depreciation!$A$6:$L$10,8,FALSE),0))</f>
        <v>3.0676363676126896E-2</v>
      </c>
      <c r="L161" s="361">
        <f>+IF($I161=L$3,VLOOKUP($H161,Depreciation!$A$6:$L$10,9,FALSE)/2,IF($I161&lt;L$3,VLOOKUP($H161,Depreciation!$A$6:$L$10,9,FALSE),0))</f>
        <v>3.0676363676126896E-2</v>
      </c>
      <c r="M161" s="361">
        <f>+IF($I161=M$3,VLOOKUP($H161,Depreciation!$A$6:$L$10,10,FALSE)/2,IF($I161&lt;M$3,VLOOKUP($H161,Depreciation!$A$6:$L$10,10,FALSE),0))</f>
        <v>3.0676363676126896E-2</v>
      </c>
      <c r="N161" s="361">
        <f>+IF($I161=N$3,VLOOKUP($H161,Depreciation!$A$6:$L$10,11,FALSE)/2,IF($I161&lt;N$3,VLOOKUP($H161,Depreciation!$A$6:$L$10,11,FALSE),0))</f>
        <v>3.0676363676126896E-2</v>
      </c>
      <c r="O161" s="361">
        <f>+IF($I161=O$3,VLOOKUP($H161,Depreciation!$A$6:$L$10,12,FALSE)/2,IF($I161&lt;O$3,VLOOKUP($H161,Depreciation!$A$6:$L$10,12,FALSE),0))</f>
        <v>3.0676363676126896E-2</v>
      </c>
      <c r="P161" s="362">
        <f t="shared" si="8"/>
        <v>330.4571127078728</v>
      </c>
      <c r="Q161" s="362">
        <f t="shared" si="9"/>
        <v>0</v>
      </c>
      <c r="R161" s="363">
        <f t="shared" si="10"/>
        <v>330.4571127078728</v>
      </c>
      <c r="Y161" s="365"/>
    </row>
    <row r="162" spans="1:25" ht="15" customHeight="1">
      <c r="A162" s="359" t="str">
        <f>'Func Future Lines 2015'!A162</f>
        <v>PPS</v>
      </c>
      <c r="B162" s="359" t="str">
        <f>'Func Future Lines 2015'!B162</f>
        <v>906L / 928L 180</v>
      </c>
      <c r="C162" s="359">
        <f>'Func Future Lines 2015'!C162</f>
        <v>962</v>
      </c>
      <c r="D162" s="359">
        <f>'Func Future Lines 2015'!D162</f>
        <v>240</v>
      </c>
      <c r="E162" s="359">
        <f>'Func Future Lines 2015'!E162</f>
        <v>0</v>
      </c>
      <c r="F162" s="359">
        <f>'Func Future Lines 2015'!F162</f>
        <v>0</v>
      </c>
      <c r="G162" s="359">
        <f>'Func Future Lines 2015'!G162</f>
        <v>3139139.5289961915</v>
      </c>
      <c r="H162" s="359" t="str">
        <f>'Func Future Lines 2015'!H162</f>
        <v>AltaLink</v>
      </c>
      <c r="I162" s="359">
        <f>'Func Future Lines 2015'!I162</f>
        <v>2015</v>
      </c>
      <c r="J162" s="361">
        <f>+IF($I162=J$3,VLOOKUP($H162,Depreciation!$A$6:$L$10,7,FALSE)/2,IF($I162&lt;J$3,VLOOKUP($H162,Depreciation!$A$6:$L$10,7,FALSE),0))</f>
        <v>1.595020804044691E-2</v>
      </c>
      <c r="K162" s="361">
        <f>+IF($I162=K$3,VLOOKUP($H162,Depreciation!$A$6:$L$10,8,FALSE)/2,IF($I162&lt;K$3,VLOOKUP($H162,Depreciation!$A$6:$L$10,8,FALSE),0))</f>
        <v>3.0676363676126896E-2</v>
      </c>
      <c r="L162" s="361">
        <f>+IF($I162=L$3,VLOOKUP($H162,Depreciation!$A$6:$L$10,9,FALSE)/2,IF($I162&lt;L$3,VLOOKUP($H162,Depreciation!$A$6:$L$10,9,FALSE),0))</f>
        <v>3.0676363676126896E-2</v>
      </c>
      <c r="M162" s="361">
        <f>+IF($I162=M$3,VLOOKUP($H162,Depreciation!$A$6:$L$10,10,FALSE)/2,IF($I162&lt;M$3,VLOOKUP($H162,Depreciation!$A$6:$L$10,10,FALSE),0))</f>
        <v>3.0676363676126896E-2</v>
      </c>
      <c r="N162" s="361">
        <f>+IF($I162=N$3,VLOOKUP($H162,Depreciation!$A$6:$L$10,11,FALSE)/2,IF($I162&lt;N$3,VLOOKUP($H162,Depreciation!$A$6:$L$10,11,FALSE),0))</f>
        <v>3.0676363676126896E-2</v>
      </c>
      <c r="O162" s="361">
        <f>+IF($I162=O$3,VLOOKUP($H162,Depreciation!$A$6:$L$10,12,FALSE)/2,IF($I162&lt;O$3,VLOOKUP($H162,Depreciation!$A$6:$L$10,12,FALSE),0))</f>
        <v>3.0676363676126896E-2</v>
      </c>
      <c r="P162" s="362">
        <f t="shared" si="8"/>
        <v>2902453.6913313232</v>
      </c>
      <c r="Q162" s="362">
        <f t="shared" si="9"/>
        <v>2902453.6913313232</v>
      </c>
      <c r="R162" s="363">
        <f t="shared" si="10"/>
        <v>0</v>
      </c>
      <c r="Y162" s="365"/>
    </row>
    <row r="163" spans="1:25" ht="15" customHeight="1">
      <c r="A163" s="359" t="str">
        <f>'Func Future Lines 2015'!A163</f>
        <v>PPS</v>
      </c>
      <c r="B163" s="359" t="str">
        <f>'Func Future Lines 2015'!B163</f>
        <v>918L 180</v>
      </c>
      <c r="C163" s="359">
        <f>'Func Future Lines 2015'!C163</f>
        <v>962</v>
      </c>
      <c r="D163" s="359">
        <f>'Func Future Lines 2015'!D163</f>
        <v>240</v>
      </c>
      <c r="E163" s="359">
        <f>'Func Future Lines 2015'!E163</f>
        <v>0</v>
      </c>
      <c r="F163" s="359">
        <f>'Func Future Lines 2015'!F163</f>
        <v>0</v>
      </c>
      <c r="G163" s="359">
        <f>'Func Future Lines 2015'!G163</f>
        <v>2722397.9395779595</v>
      </c>
      <c r="H163" s="359" t="str">
        <f>'Func Future Lines 2015'!H163</f>
        <v>AltaLink</v>
      </c>
      <c r="I163" s="359">
        <f>'Func Future Lines 2015'!I163</f>
        <v>2015</v>
      </c>
      <c r="J163" s="361">
        <f>+IF($I163=J$3,VLOOKUP($H163,Depreciation!$A$6:$L$10,7,FALSE)/2,IF($I163&lt;J$3,VLOOKUP($H163,Depreciation!$A$6:$L$10,7,FALSE),0))</f>
        <v>1.595020804044691E-2</v>
      </c>
      <c r="K163" s="361">
        <f>+IF($I163=K$3,VLOOKUP($H163,Depreciation!$A$6:$L$10,8,FALSE)/2,IF($I163&lt;K$3,VLOOKUP($H163,Depreciation!$A$6:$L$10,8,FALSE),0))</f>
        <v>3.0676363676126896E-2</v>
      </c>
      <c r="L163" s="361">
        <f>+IF($I163=L$3,VLOOKUP($H163,Depreciation!$A$6:$L$10,9,FALSE)/2,IF($I163&lt;L$3,VLOOKUP($H163,Depreciation!$A$6:$L$10,9,FALSE),0))</f>
        <v>3.0676363676126896E-2</v>
      </c>
      <c r="M163" s="361">
        <f>+IF($I163=M$3,VLOOKUP($H163,Depreciation!$A$6:$L$10,10,FALSE)/2,IF($I163&lt;M$3,VLOOKUP($H163,Depreciation!$A$6:$L$10,10,FALSE),0))</f>
        <v>3.0676363676126896E-2</v>
      </c>
      <c r="N163" s="361">
        <f>+IF($I163=N$3,VLOOKUP($H163,Depreciation!$A$6:$L$10,11,FALSE)/2,IF($I163&lt;N$3,VLOOKUP($H163,Depreciation!$A$6:$L$10,11,FALSE),0))</f>
        <v>3.0676363676126896E-2</v>
      </c>
      <c r="O163" s="361">
        <f>+IF($I163=O$3,VLOOKUP($H163,Depreciation!$A$6:$L$10,12,FALSE)/2,IF($I163&lt;O$3,VLOOKUP($H163,Depreciation!$A$6:$L$10,12,FALSE),0))</f>
        <v>3.0676363676126896E-2</v>
      </c>
      <c r="P163" s="362">
        <f t="shared" si="8"/>
        <v>2517133.7164256466</v>
      </c>
      <c r="Q163" s="362">
        <f t="shared" si="9"/>
        <v>2517133.7164256466</v>
      </c>
      <c r="R163" s="363">
        <f t="shared" si="10"/>
        <v>0</v>
      </c>
      <c r="Y163" s="365"/>
    </row>
    <row r="164" spans="1:25">
      <c r="A164" s="359" t="str">
        <f>'Func Future Lines 2015'!A164</f>
        <v>PPS</v>
      </c>
      <c r="B164" s="359" t="str">
        <f>'Func Future Lines 2015'!B164</f>
        <v>924L / 927L</v>
      </c>
      <c r="C164" s="359">
        <f>'Func Future Lines 2015'!C164</f>
        <v>962</v>
      </c>
      <c r="D164" s="359">
        <f>'Func Future Lines 2015'!D164</f>
        <v>240</v>
      </c>
      <c r="E164" s="359">
        <f>'Func Future Lines 2015'!E164</f>
        <v>0</v>
      </c>
      <c r="F164" s="359">
        <f>'Func Future Lines 2015'!F164</f>
        <v>0</v>
      </c>
      <c r="G164" s="359">
        <f>'Func Future Lines 2015'!G164</f>
        <v>1942419.7748308987</v>
      </c>
      <c r="H164" s="359" t="str">
        <f>'Func Future Lines 2015'!H164</f>
        <v>AltaLink</v>
      </c>
      <c r="I164" s="359">
        <f>'Func Future Lines 2015'!I164</f>
        <v>2015</v>
      </c>
      <c r="J164" s="361">
        <f>+IF($I164=J$3,VLOOKUP($H164,Depreciation!$A$6:$L$10,7,FALSE)/2,IF($I164&lt;J$3,VLOOKUP($H164,Depreciation!$A$6:$L$10,7,FALSE),0))</f>
        <v>1.595020804044691E-2</v>
      </c>
      <c r="K164" s="361">
        <f>+IF($I164=K$3,VLOOKUP($H164,Depreciation!$A$6:$L$10,8,FALSE)/2,IF($I164&lt;K$3,VLOOKUP($H164,Depreciation!$A$6:$L$10,8,FALSE),0))</f>
        <v>3.0676363676126896E-2</v>
      </c>
      <c r="L164" s="361">
        <f>+IF($I164=L$3,VLOOKUP($H164,Depreciation!$A$6:$L$10,9,FALSE)/2,IF($I164&lt;L$3,VLOOKUP($H164,Depreciation!$A$6:$L$10,9,FALSE),0))</f>
        <v>3.0676363676126896E-2</v>
      </c>
      <c r="M164" s="361">
        <f>+IF($I164=M$3,VLOOKUP($H164,Depreciation!$A$6:$L$10,10,FALSE)/2,IF($I164&lt;M$3,VLOOKUP($H164,Depreciation!$A$6:$L$10,10,FALSE),0))</f>
        <v>3.0676363676126896E-2</v>
      </c>
      <c r="N164" s="361">
        <f>+IF($I164=N$3,VLOOKUP($H164,Depreciation!$A$6:$L$10,11,FALSE)/2,IF($I164&lt;N$3,VLOOKUP($H164,Depreciation!$A$6:$L$10,11,FALSE),0))</f>
        <v>3.0676363676126896E-2</v>
      </c>
      <c r="O164" s="361">
        <f>+IF($I164=O$3,VLOOKUP($H164,Depreciation!$A$6:$L$10,12,FALSE)/2,IF($I164&lt;O$3,VLOOKUP($H164,Depreciation!$A$6:$L$10,12,FALSE),0))</f>
        <v>3.0676363676126896E-2</v>
      </c>
      <c r="P164" s="362">
        <f t="shared" si="8"/>
        <v>1795964.592684322</v>
      </c>
      <c r="Q164" s="362">
        <f t="shared" si="9"/>
        <v>1795964.592684322</v>
      </c>
      <c r="R164" s="363">
        <f t="shared" si="10"/>
        <v>0</v>
      </c>
    </row>
    <row r="165" spans="1:25">
      <c r="A165" s="359" t="str">
        <f>'Func Future Lines 2015'!A165</f>
        <v>PPS</v>
      </c>
      <c r="B165" s="359" t="str">
        <f>'Func Future Lines 2015'!B165</f>
        <v>925L / 929L 180</v>
      </c>
      <c r="C165" s="359">
        <f>'Func Future Lines 2015'!C165</f>
        <v>962</v>
      </c>
      <c r="D165" s="359">
        <f>'Func Future Lines 2015'!D165</f>
        <v>240</v>
      </c>
      <c r="E165" s="359">
        <f>'Func Future Lines 2015'!E165</f>
        <v>0</v>
      </c>
      <c r="F165" s="359">
        <f>'Func Future Lines 2015'!F165</f>
        <v>0</v>
      </c>
      <c r="G165" s="359">
        <f>'Func Future Lines 2015'!G165</f>
        <v>5765561.6854686337</v>
      </c>
      <c r="H165" s="359" t="str">
        <f>'Func Future Lines 2015'!H165</f>
        <v>AltaLink</v>
      </c>
      <c r="I165" s="359">
        <f>'Func Future Lines 2015'!I165</f>
        <v>2015</v>
      </c>
      <c r="J165" s="361">
        <f>+IF($I165=J$3,VLOOKUP($H165,Depreciation!$A$6:$L$10,7,FALSE)/2,IF($I165&lt;J$3,VLOOKUP($H165,Depreciation!$A$6:$L$10,7,FALSE),0))</f>
        <v>1.595020804044691E-2</v>
      </c>
      <c r="K165" s="361">
        <f>+IF($I165=K$3,VLOOKUP($H165,Depreciation!$A$6:$L$10,8,FALSE)/2,IF($I165&lt;K$3,VLOOKUP($H165,Depreciation!$A$6:$L$10,8,FALSE),0))</f>
        <v>3.0676363676126896E-2</v>
      </c>
      <c r="L165" s="361">
        <f>+IF($I165=L$3,VLOOKUP($H165,Depreciation!$A$6:$L$10,9,FALSE)/2,IF($I165&lt;L$3,VLOOKUP($H165,Depreciation!$A$6:$L$10,9,FALSE),0))</f>
        <v>3.0676363676126896E-2</v>
      </c>
      <c r="M165" s="361">
        <f>+IF($I165=M$3,VLOOKUP($H165,Depreciation!$A$6:$L$10,10,FALSE)/2,IF($I165&lt;M$3,VLOOKUP($H165,Depreciation!$A$6:$L$10,10,FALSE),0))</f>
        <v>3.0676363676126896E-2</v>
      </c>
      <c r="N165" s="361">
        <f>+IF($I165=N$3,VLOOKUP($H165,Depreciation!$A$6:$L$10,11,FALSE)/2,IF($I165&lt;N$3,VLOOKUP($H165,Depreciation!$A$6:$L$10,11,FALSE),0))</f>
        <v>3.0676363676126896E-2</v>
      </c>
      <c r="O165" s="361">
        <f>+IF($I165=O$3,VLOOKUP($H165,Depreciation!$A$6:$L$10,12,FALSE)/2,IF($I165&lt;O$3,VLOOKUP($H165,Depreciation!$A$6:$L$10,12,FALSE),0))</f>
        <v>3.0676363676126896E-2</v>
      </c>
      <c r="P165" s="362">
        <f t="shared" si="8"/>
        <v>5330848.0371810775</v>
      </c>
      <c r="Q165" s="362">
        <f t="shared" si="9"/>
        <v>5330848.0371810775</v>
      </c>
      <c r="R165" s="363">
        <f t="shared" si="10"/>
        <v>0</v>
      </c>
    </row>
    <row r="166" spans="1:25">
      <c r="A166" s="359" t="str">
        <f>'Func Future Lines 2015'!A166</f>
        <v>PPS</v>
      </c>
      <c r="B166" s="359" t="str">
        <f>'Func Future Lines 2015'!B166</f>
        <v>936L / 937L</v>
      </c>
      <c r="C166" s="359">
        <f>'Func Future Lines 2015'!C166</f>
        <v>962</v>
      </c>
      <c r="D166" s="359">
        <f>'Func Future Lines 2015'!D166</f>
        <v>240</v>
      </c>
      <c r="E166" s="359">
        <f>'Func Future Lines 2015'!E166</f>
        <v>0</v>
      </c>
      <c r="F166" s="359">
        <f>'Func Future Lines 2015'!F166</f>
        <v>0</v>
      </c>
      <c r="G166" s="359">
        <f>'Func Future Lines 2015'!G166</f>
        <v>2839515.9805793739</v>
      </c>
      <c r="H166" s="359" t="str">
        <f>'Func Future Lines 2015'!H166</f>
        <v>AltaLink</v>
      </c>
      <c r="I166" s="359">
        <f>'Func Future Lines 2015'!I166</f>
        <v>2015</v>
      </c>
      <c r="J166" s="361">
        <f>+IF($I166=J$3,VLOOKUP($H166,Depreciation!$A$6:$L$10,7,FALSE)/2,IF($I166&lt;J$3,VLOOKUP($H166,Depreciation!$A$6:$L$10,7,FALSE),0))</f>
        <v>1.595020804044691E-2</v>
      </c>
      <c r="K166" s="361">
        <f>+IF($I166=K$3,VLOOKUP($H166,Depreciation!$A$6:$L$10,8,FALSE)/2,IF($I166&lt;K$3,VLOOKUP($H166,Depreciation!$A$6:$L$10,8,FALSE),0))</f>
        <v>3.0676363676126896E-2</v>
      </c>
      <c r="L166" s="361">
        <f>+IF($I166=L$3,VLOOKUP($H166,Depreciation!$A$6:$L$10,9,FALSE)/2,IF($I166&lt;L$3,VLOOKUP($H166,Depreciation!$A$6:$L$10,9,FALSE),0))</f>
        <v>3.0676363676126896E-2</v>
      </c>
      <c r="M166" s="361">
        <f>+IF($I166=M$3,VLOOKUP($H166,Depreciation!$A$6:$L$10,10,FALSE)/2,IF($I166&lt;M$3,VLOOKUP($H166,Depreciation!$A$6:$L$10,10,FALSE),0))</f>
        <v>3.0676363676126896E-2</v>
      </c>
      <c r="N166" s="361">
        <f>+IF($I166=N$3,VLOOKUP($H166,Depreciation!$A$6:$L$10,11,FALSE)/2,IF($I166&lt;N$3,VLOOKUP($H166,Depreciation!$A$6:$L$10,11,FALSE),0))</f>
        <v>3.0676363676126896E-2</v>
      </c>
      <c r="O166" s="361">
        <f>+IF($I166=O$3,VLOOKUP($H166,Depreciation!$A$6:$L$10,12,FALSE)/2,IF($I166&lt;O$3,VLOOKUP($H166,Depreciation!$A$6:$L$10,12,FALSE),0))</f>
        <v>3.0676363676126896E-2</v>
      </c>
      <c r="P166" s="362">
        <f t="shared" si="8"/>
        <v>2625421.2542321444</v>
      </c>
      <c r="Q166" s="362">
        <f t="shared" si="9"/>
        <v>2625421.2542321444</v>
      </c>
      <c r="R166" s="363">
        <f t="shared" si="10"/>
        <v>0</v>
      </c>
    </row>
    <row r="167" spans="1:25">
      <c r="A167" s="359" t="str">
        <f>'Func Future Lines 2015'!A167</f>
        <v>`+/-5%</v>
      </c>
      <c r="B167" s="359" t="str">
        <f>'Func Future Lines 2015'!B167</f>
        <v>HVDC Line 1325L</v>
      </c>
      <c r="C167" s="359">
        <f>'Func Future Lines 2015'!C167</f>
        <v>962</v>
      </c>
      <c r="D167" s="359">
        <f>'Func Future Lines 2015'!D167</f>
        <v>500</v>
      </c>
      <c r="E167" s="359">
        <f>'Func Future Lines 2015'!E167</f>
        <v>0</v>
      </c>
      <c r="F167" s="359">
        <f>'Func Future Lines 2015'!F167</f>
        <v>0</v>
      </c>
      <c r="G167" s="359">
        <f>'Func Future Lines 2015'!G167</f>
        <v>968825472.25300002</v>
      </c>
      <c r="H167" s="359" t="str">
        <f>'Func Future Lines 2015'!H167</f>
        <v>AltaLink</v>
      </c>
      <c r="I167" s="359">
        <f>'Func Future Lines 2015'!I167</f>
        <v>2015</v>
      </c>
      <c r="J167" s="361">
        <f>+IF($I167=J$3,VLOOKUP($H167,Depreciation!$A$6:$L$10,7,FALSE)/2,IF($I167&lt;J$3,VLOOKUP($H167,Depreciation!$A$6:$L$10,7,FALSE),0))</f>
        <v>1.595020804044691E-2</v>
      </c>
      <c r="K167" s="361">
        <f>+IF($I167=K$3,VLOOKUP($H167,Depreciation!$A$6:$L$10,8,FALSE)/2,IF($I167&lt;K$3,VLOOKUP($H167,Depreciation!$A$6:$L$10,8,FALSE),0))</f>
        <v>3.0676363676126896E-2</v>
      </c>
      <c r="L167" s="361">
        <f>+IF($I167=L$3,VLOOKUP($H167,Depreciation!$A$6:$L$10,9,FALSE)/2,IF($I167&lt;L$3,VLOOKUP($H167,Depreciation!$A$6:$L$10,9,FALSE),0))</f>
        <v>3.0676363676126896E-2</v>
      </c>
      <c r="M167" s="361">
        <f>+IF($I167=M$3,VLOOKUP($H167,Depreciation!$A$6:$L$10,10,FALSE)/2,IF($I167&lt;M$3,VLOOKUP($H167,Depreciation!$A$6:$L$10,10,FALSE),0))</f>
        <v>3.0676363676126896E-2</v>
      </c>
      <c r="N167" s="361">
        <f>+IF($I167=N$3,VLOOKUP($H167,Depreciation!$A$6:$L$10,11,FALSE)/2,IF($I167&lt;N$3,VLOOKUP($H167,Depreciation!$A$6:$L$10,11,FALSE),0))</f>
        <v>3.0676363676126896E-2</v>
      </c>
      <c r="O167" s="361">
        <f>+IF($I167=O$3,VLOOKUP($H167,Depreciation!$A$6:$L$10,12,FALSE)/2,IF($I167&lt;O$3,VLOOKUP($H167,Depreciation!$A$6:$L$10,12,FALSE),0))</f>
        <v>3.0676363676126896E-2</v>
      </c>
      <c r="P167" s="362">
        <f t="shared" si="8"/>
        <v>895777662.07025576</v>
      </c>
      <c r="Q167" s="362">
        <f t="shared" si="9"/>
        <v>895777662.07025576</v>
      </c>
      <c r="R167" s="363">
        <f t="shared" si="10"/>
        <v>0</v>
      </c>
    </row>
    <row r="168" spans="1:25">
      <c r="A168" s="359" t="str">
        <f>'Func Future Lines 2015'!A168</f>
        <v>PPS</v>
      </c>
      <c r="B168" s="359" t="str">
        <f>'Func Future Lines 2015'!B168</f>
        <v>1099L180</v>
      </c>
      <c r="C168" s="359">
        <f>'Func Future Lines 2015'!C168</f>
        <v>1101</v>
      </c>
      <c r="D168" s="359">
        <f>'Func Future Lines 2015'!D168</f>
        <v>240</v>
      </c>
      <c r="E168" s="359">
        <f>'Func Future Lines 2015'!E168</f>
        <v>0</v>
      </c>
      <c r="F168" s="359" t="str">
        <f>'Func Future Lines 2015'!F168</f>
        <v>Fort McMurray</v>
      </c>
      <c r="G168" s="359">
        <f>'Func Future Lines 2015'!G168</f>
        <v>1698665.125113552</v>
      </c>
      <c r="H168" s="359" t="str">
        <f>'Func Future Lines 2015'!H168</f>
        <v>AltaLink</v>
      </c>
      <c r="I168" s="359">
        <f>'Func Future Lines 2015'!I168</f>
        <v>2016</v>
      </c>
      <c r="J168" s="361">
        <f>+IF($I168=J$3,VLOOKUP($H168,Depreciation!$A$6:$L$10,7,FALSE)/2,IF($I168&lt;J$3,VLOOKUP($H168,Depreciation!$A$6:$L$10,7,FALSE),0))</f>
        <v>0</v>
      </c>
      <c r="K168" s="361">
        <f>+IF($I168=K$3,VLOOKUP($H168,Depreciation!$A$6:$L$10,8,FALSE)/2,IF($I168&lt;K$3,VLOOKUP($H168,Depreciation!$A$6:$L$10,8,FALSE),0))</f>
        <v>1.5338181838063448E-2</v>
      </c>
      <c r="L168" s="361">
        <f>+IF($I168=L$3,VLOOKUP($H168,Depreciation!$A$6:$L$10,9,FALSE)/2,IF($I168&lt;L$3,VLOOKUP($H168,Depreciation!$A$6:$L$10,9,FALSE),0))</f>
        <v>3.0676363676126896E-2</v>
      </c>
      <c r="M168" s="361">
        <f>+IF($I168=M$3,VLOOKUP($H168,Depreciation!$A$6:$L$10,10,FALSE)/2,IF($I168&lt;M$3,VLOOKUP($H168,Depreciation!$A$6:$L$10,10,FALSE),0))</f>
        <v>3.0676363676126896E-2</v>
      </c>
      <c r="N168" s="361">
        <f>+IF($I168=N$3,VLOOKUP($H168,Depreciation!$A$6:$L$10,11,FALSE)/2,IF($I168&lt;N$3,VLOOKUP($H168,Depreciation!$A$6:$L$10,11,FALSE),0))</f>
        <v>3.0676363676126896E-2</v>
      </c>
      <c r="O168" s="361">
        <f>+IF($I168=O$3,VLOOKUP($H168,Depreciation!$A$6:$L$10,12,FALSE)/2,IF($I168&lt;O$3,VLOOKUP($H168,Depreciation!$A$6:$L$10,12,FALSE),0))</f>
        <v>3.0676363676126896E-2</v>
      </c>
      <c r="P168" s="362">
        <f t="shared" si="8"/>
        <v>1621301.0767109215</v>
      </c>
      <c r="Q168" s="362">
        <f t="shared" si="9"/>
        <v>1621301.0767109215</v>
      </c>
      <c r="R168" s="363">
        <f t="shared" si="10"/>
        <v>0</v>
      </c>
    </row>
    <row r="169" spans="1:25">
      <c r="A169" s="359" t="str">
        <f>'Func Future Lines 2015'!A169</f>
        <v>PPS</v>
      </c>
      <c r="B169" s="359" t="str">
        <f>'Func Future Lines 2015'!B169</f>
        <v>1115L180</v>
      </c>
      <c r="C169" s="359">
        <f>'Func Future Lines 2015'!C169</f>
        <v>1101</v>
      </c>
      <c r="D169" s="359">
        <f>'Func Future Lines 2015'!D169</f>
        <v>240</v>
      </c>
      <c r="E169" s="359">
        <f>'Func Future Lines 2015'!E169</f>
        <v>0</v>
      </c>
      <c r="F169" s="359" t="str">
        <f>'Func Future Lines 2015'!F169</f>
        <v>Fort McMurray</v>
      </c>
      <c r="G169" s="359">
        <f>'Func Future Lines 2015'!G169</f>
        <v>84737752.660274148</v>
      </c>
      <c r="H169" s="359" t="str">
        <f>'Func Future Lines 2015'!H169</f>
        <v>AltaLink</v>
      </c>
      <c r="I169" s="359">
        <f>'Func Future Lines 2015'!I169</f>
        <v>2016</v>
      </c>
      <c r="J169" s="361">
        <f>+IF($I169=J$3,VLOOKUP($H169,Depreciation!$A$6:$L$10,7,FALSE)/2,IF($I169&lt;J$3,VLOOKUP($H169,Depreciation!$A$6:$L$10,7,FALSE),0))</f>
        <v>0</v>
      </c>
      <c r="K169" s="361">
        <f>+IF($I169=K$3,VLOOKUP($H169,Depreciation!$A$6:$L$10,8,FALSE)/2,IF($I169&lt;K$3,VLOOKUP($H169,Depreciation!$A$6:$L$10,8,FALSE),0))</f>
        <v>1.5338181838063448E-2</v>
      </c>
      <c r="L169" s="361">
        <f>+IF($I169=L$3,VLOOKUP($H169,Depreciation!$A$6:$L$10,9,FALSE)/2,IF($I169&lt;L$3,VLOOKUP($H169,Depreciation!$A$6:$L$10,9,FALSE),0))</f>
        <v>3.0676363676126896E-2</v>
      </c>
      <c r="M169" s="361">
        <f>+IF($I169=M$3,VLOOKUP($H169,Depreciation!$A$6:$L$10,10,FALSE)/2,IF($I169&lt;M$3,VLOOKUP($H169,Depreciation!$A$6:$L$10,10,FALSE),0))</f>
        <v>3.0676363676126896E-2</v>
      </c>
      <c r="N169" s="361">
        <f>+IF($I169=N$3,VLOOKUP($H169,Depreciation!$A$6:$L$10,11,FALSE)/2,IF($I169&lt;N$3,VLOOKUP($H169,Depreciation!$A$6:$L$10,11,FALSE),0))</f>
        <v>3.0676363676126896E-2</v>
      </c>
      <c r="O169" s="361">
        <f>+IF($I169=O$3,VLOOKUP($H169,Depreciation!$A$6:$L$10,12,FALSE)/2,IF($I169&lt;O$3,VLOOKUP($H169,Depreciation!$A$6:$L$10,12,FALSE),0))</f>
        <v>3.0676363676126896E-2</v>
      </c>
      <c r="P169" s="362">
        <f t="shared" si="8"/>
        <v>80878454.260949343</v>
      </c>
      <c r="Q169" s="362">
        <f t="shared" si="9"/>
        <v>80878454.260949343</v>
      </c>
      <c r="R169" s="363">
        <f t="shared" si="10"/>
        <v>0</v>
      </c>
    </row>
    <row r="170" spans="1:25">
      <c r="A170" s="359" t="str">
        <f>'Func Future Lines 2015'!A170</f>
        <v>PPS</v>
      </c>
      <c r="B170" s="359" t="str">
        <f>'Func Future Lines 2015'!B170</f>
        <v>1116L 180</v>
      </c>
      <c r="C170" s="359">
        <f>'Func Future Lines 2015'!C170</f>
        <v>1101</v>
      </c>
      <c r="D170" s="359">
        <f>'Func Future Lines 2015'!D170</f>
        <v>240</v>
      </c>
      <c r="E170" s="359">
        <f>'Func Future Lines 2015'!E170</f>
        <v>0</v>
      </c>
      <c r="F170" s="359" t="str">
        <f>'Func Future Lines 2015'!F170</f>
        <v>Fort McMurray</v>
      </c>
      <c r="G170" s="359">
        <f>'Func Future Lines 2015'!G170</f>
        <v>87576930.822218701</v>
      </c>
      <c r="H170" s="359" t="str">
        <f>'Func Future Lines 2015'!H170</f>
        <v>AltaLink</v>
      </c>
      <c r="I170" s="359">
        <f>'Func Future Lines 2015'!I170</f>
        <v>2016</v>
      </c>
      <c r="J170" s="361">
        <f>+IF($I170=J$3,VLOOKUP($H170,Depreciation!$A$6:$L$10,7,FALSE)/2,IF($I170&lt;J$3,VLOOKUP($H170,Depreciation!$A$6:$L$10,7,FALSE),0))</f>
        <v>0</v>
      </c>
      <c r="K170" s="361">
        <f>+IF($I170=K$3,VLOOKUP($H170,Depreciation!$A$6:$L$10,8,FALSE)/2,IF($I170&lt;K$3,VLOOKUP($H170,Depreciation!$A$6:$L$10,8,FALSE),0))</f>
        <v>1.5338181838063448E-2</v>
      </c>
      <c r="L170" s="361">
        <f>+IF($I170=L$3,VLOOKUP($H170,Depreciation!$A$6:$L$10,9,FALSE)/2,IF($I170&lt;L$3,VLOOKUP($H170,Depreciation!$A$6:$L$10,9,FALSE),0))</f>
        <v>3.0676363676126896E-2</v>
      </c>
      <c r="M170" s="361">
        <f>+IF($I170=M$3,VLOOKUP($H170,Depreciation!$A$6:$L$10,10,FALSE)/2,IF($I170&lt;M$3,VLOOKUP($H170,Depreciation!$A$6:$L$10,10,FALSE),0))</f>
        <v>3.0676363676126896E-2</v>
      </c>
      <c r="N170" s="361">
        <f>+IF($I170=N$3,VLOOKUP($H170,Depreciation!$A$6:$L$10,11,FALSE)/2,IF($I170&lt;N$3,VLOOKUP($H170,Depreciation!$A$6:$L$10,11,FALSE),0))</f>
        <v>3.0676363676126896E-2</v>
      </c>
      <c r="O170" s="361">
        <f>+IF($I170=O$3,VLOOKUP($H170,Depreciation!$A$6:$L$10,12,FALSE)/2,IF($I170&lt;O$3,VLOOKUP($H170,Depreciation!$A$6:$L$10,12,FALSE),0))</f>
        <v>3.0676363676126896E-2</v>
      </c>
      <c r="P170" s="362">
        <f t="shared" si="8"/>
        <v>83588324.81923677</v>
      </c>
      <c r="Q170" s="362">
        <f t="shared" si="9"/>
        <v>83588324.81923677</v>
      </c>
      <c r="R170" s="363">
        <f t="shared" si="10"/>
        <v>0</v>
      </c>
    </row>
    <row r="171" spans="1:25">
      <c r="A171" s="359" t="str">
        <f>'Func Future Lines 2015'!A171</f>
        <v>PPS</v>
      </c>
      <c r="B171" s="359" t="str">
        <f>'Func Future Lines 2015'!B171</f>
        <v>1117L 180</v>
      </c>
      <c r="C171" s="359">
        <f>'Func Future Lines 2015'!C171</f>
        <v>1101</v>
      </c>
      <c r="D171" s="359">
        <f>'Func Future Lines 2015'!D171</f>
        <v>240</v>
      </c>
      <c r="E171" s="359">
        <f>'Func Future Lines 2015'!E171</f>
        <v>0</v>
      </c>
      <c r="F171" s="359" t="str">
        <f>'Func Future Lines 2015'!F171</f>
        <v>Fort McMurray</v>
      </c>
      <c r="G171" s="359">
        <f>'Func Future Lines 2015'!G171</f>
        <v>191472515.65566897</v>
      </c>
      <c r="H171" s="359" t="str">
        <f>'Func Future Lines 2015'!H171</f>
        <v>AltaLink</v>
      </c>
      <c r="I171" s="359">
        <f>'Func Future Lines 2015'!I171</f>
        <v>2016</v>
      </c>
      <c r="J171" s="361">
        <f>+IF($I171=J$3,VLOOKUP($H171,Depreciation!$A$6:$L$10,7,FALSE)/2,IF($I171&lt;J$3,VLOOKUP($H171,Depreciation!$A$6:$L$10,7,FALSE),0))</f>
        <v>0</v>
      </c>
      <c r="K171" s="361">
        <f>+IF($I171=K$3,VLOOKUP($H171,Depreciation!$A$6:$L$10,8,FALSE)/2,IF($I171&lt;K$3,VLOOKUP($H171,Depreciation!$A$6:$L$10,8,FALSE),0))</f>
        <v>1.5338181838063448E-2</v>
      </c>
      <c r="L171" s="361">
        <f>+IF($I171=L$3,VLOOKUP($H171,Depreciation!$A$6:$L$10,9,FALSE)/2,IF($I171&lt;L$3,VLOOKUP($H171,Depreciation!$A$6:$L$10,9,FALSE),0))</f>
        <v>3.0676363676126896E-2</v>
      </c>
      <c r="M171" s="361">
        <f>+IF($I171=M$3,VLOOKUP($H171,Depreciation!$A$6:$L$10,10,FALSE)/2,IF($I171&lt;M$3,VLOOKUP($H171,Depreciation!$A$6:$L$10,10,FALSE),0))</f>
        <v>3.0676363676126896E-2</v>
      </c>
      <c r="N171" s="361">
        <f>+IF($I171=N$3,VLOOKUP($H171,Depreciation!$A$6:$L$10,11,FALSE)/2,IF($I171&lt;N$3,VLOOKUP($H171,Depreciation!$A$6:$L$10,11,FALSE),0))</f>
        <v>3.0676363676126896E-2</v>
      </c>
      <c r="O171" s="361">
        <f>+IF($I171=O$3,VLOOKUP($H171,Depreciation!$A$6:$L$10,12,FALSE)/2,IF($I171&lt;O$3,VLOOKUP($H171,Depreciation!$A$6:$L$10,12,FALSE),0))</f>
        <v>3.0676363676126896E-2</v>
      </c>
      <c r="P171" s="362">
        <f t="shared" si="8"/>
        <v>182752086.4492541</v>
      </c>
      <c r="Q171" s="362">
        <f t="shared" si="9"/>
        <v>182752086.4492541</v>
      </c>
      <c r="R171" s="363">
        <f t="shared" si="10"/>
        <v>0</v>
      </c>
    </row>
    <row r="172" spans="1:25">
      <c r="A172" s="359" t="str">
        <f>'Func Future Lines 2015'!A172</f>
        <v>PPS</v>
      </c>
      <c r="B172" s="359" t="str">
        <f>'Func Future Lines 2015'!B172</f>
        <v>428L/457L 180</v>
      </c>
      <c r="C172" s="359">
        <f>'Func Future Lines 2015'!C172</f>
        <v>1101</v>
      </c>
      <c r="D172" s="359">
        <f>'Func Future Lines 2015'!D172</f>
        <v>138</v>
      </c>
      <c r="E172" s="359">
        <f>'Func Future Lines 2015'!E172</f>
        <v>0</v>
      </c>
      <c r="F172" s="359" t="str">
        <f>'Func Future Lines 2015'!F172</f>
        <v>Fort McMurray</v>
      </c>
      <c r="G172" s="359">
        <f>'Func Future Lines 2015'!G172</f>
        <v>2172995.8566099619</v>
      </c>
      <c r="H172" s="359" t="str">
        <f>'Func Future Lines 2015'!H172</f>
        <v>AltaLink</v>
      </c>
      <c r="I172" s="359">
        <f>'Func Future Lines 2015'!I172</f>
        <v>2016</v>
      </c>
      <c r="J172" s="361">
        <f>+IF($I172=J$3,VLOOKUP($H172,Depreciation!$A$6:$L$10,7,FALSE)/2,IF($I172&lt;J$3,VLOOKUP($H172,Depreciation!$A$6:$L$10,7,FALSE),0))</f>
        <v>0</v>
      </c>
      <c r="K172" s="361">
        <f>+IF($I172=K$3,VLOOKUP($H172,Depreciation!$A$6:$L$10,8,FALSE)/2,IF($I172&lt;K$3,VLOOKUP($H172,Depreciation!$A$6:$L$10,8,FALSE),0))</f>
        <v>1.5338181838063448E-2</v>
      </c>
      <c r="L172" s="361">
        <f>+IF($I172=L$3,VLOOKUP($H172,Depreciation!$A$6:$L$10,9,FALSE)/2,IF($I172&lt;L$3,VLOOKUP($H172,Depreciation!$A$6:$L$10,9,FALSE),0))</f>
        <v>3.0676363676126896E-2</v>
      </c>
      <c r="M172" s="361">
        <f>+IF($I172=M$3,VLOOKUP($H172,Depreciation!$A$6:$L$10,10,FALSE)/2,IF($I172&lt;M$3,VLOOKUP($H172,Depreciation!$A$6:$L$10,10,FALSE),0))</f>
        <v>3.0676363676126896E-2</v>
      </c>
      <c r="N172" s="361">
        <f>+IF($I172=N$3,VLOOKUP($H172,Depreciation!$A$6:$L$10,11,FALSE)/2,IF($I172&lt;N$3,VLOOKUP($H172,Depreciation!$A$6:$L$10,11,FALSE),0))</f>
        <v>3.0676363676126896E-2</v>
      </c>
      <c r="O172" s="361">
        <f>+IF($I172=O$3,VLOOKUP($H172,Depreciation!$A$6:$L$10,12,FALSE)/2,IF($I172&lt;O$3,VLOOKUP($H172,Depreciation!$A$6:$L$10,12,FALSE),0))</f>
        <v>3.0676363676126896E-2</v>
      </c>
      <c r="P172" s="362">
        <f t="shared" si="8"/>
        <v>2074028.8771011252</v>
      </c>
      <c r="Q172" s="362">
        <f t="shared" si="9"/>
        <v>0</v>
      </c>
      <c r="R172" s="363">
        <f t="shared" si="10"/>
        <v>2074028.8771011252</v>
      </c>
    </row>
    <row r="173" spans="1:25">
      <c r="A173" s="359" t="str">
        <f>'Func Future Lines 2015'!A173</f>
        <v>PPS</v>
      </c>
      <c r="B173" s="359" t="str">
        <f>'Func Future Lines 2015'!B173</f>
        <v>428L/457L 180</v>
      </c>
      <c r="C173" s="359">
        <f>'Func Future Lines 2015'!C173</f>
        <v>1101</v>
      </c>
      <c r="D173" s="359">
        <f>'Func Future Lines 2015'!D173</f>
        <v>138</v>
      </c>
      <c r="E173" s="359">
        <f>'Func Future Lines 2015'!E173</f>
        <v>0</v>
      </c>
      <c r="F173" s="359" t="str">
        <f>'Func Future Lines 2015'!F173</f>
        <v>Fort McMurray</v>
      </c>
      <c r="G173" s="359">
        <f>'Func Future Lines 2015'!G173</f>
        <v>2175159.297149288</v>
      </c>
      <c r="H173" s="359" t="str">
        <f>'Func Future Lines 2015'!H173</f>
        <v>AltaLink</v>
      </c>
      <c r="I173" s="359">
        <f>'Func Future Lines 2015'!I173</f>
        <v>2016</v>
      </c>
      <c r="J173" s="361">
        <f>+IF($I173=J$3,VLOOKUP($H173,Depreciation!$A$6:$L$10,7,FALSE)/2,IF($I173&lt;J$3,VLOOKUP($H173,Depreciation!$A$6:$L$10,7,FALSE),0))</f>
        <v>0</v>
      </c>
      <c r="K173" s="361">
        <f>+IF($I173=K$3,VLOOKUP($H173,Depreciation!$A$6:$L$10,8,FALSE)/2,IF($I173&lt;K$3,VLOOKUP($H173,Depreciation!$A$6:$L$10,8,FALSE),0))</f>
        <v>1.5338181838063448E-2</v>
      </c>
      <c r="L173" s="361">
        <f>+IF($I173=L$3,VLOOKUP($H173,Depreciation!$A$6:$L$10,9,FALSE)/2,IF($I173&lt;L$3,VLOOKUP($H173,Depreciation!$A$6:$L$10,9,FALSE),0))</f>
        <v>3.0676363676126896E-2</v>
      </c>
      <c r="M173" s="361">
        <f>+IF($I173=M$3,VLOOKUP($H173,Depreciation!$A$6:$L$10,10,FALSE)/2,IF($I173&lt;M$3,VLOOKUP($H173,Depreciation!$A$6:$L$10,10,FALSE),0))</f>
        <v>3.0676363676126896E-2</v>
      </c>
      <c r="N173" s="361">
        <f>+IF($I173=N$3,VLOOKUP($H173,Depreciation!$A$6:$L$10,11,FALSE)/2,IF($I173&lt;N$3,VLOOKUP($H173,Depreciation!$A$6:$L$10,11,FALSE),0))</f>
        <v>3.0676363676126896E-2</v>
      </c>
      <c r="O173" s="361">
        <f>+IF($I173=O$3,VLOOKUP($H173,Depreciation!$A$6:$L$10,12,FALSE)/2,IF($I173&lt;O$3,VLOOKUP($H173,Depreciation!$A$6:$L$10,12,FALSE),0))</f>
        <v>3.0676363676126896E-2</v>
      </c>
      <c r="P173" s="362">
        <f t="shared" si="8"/>
        <v>2076093.78584856</v>
      </c>
      <c r="Q173" s="362">
        <f t="shared" si="9"/>
        <v>0</v>
      </c>
      <c r="R173" s="363">
        <f t="shared" si="10"/>
        <v>2076093.78584856</v>
      </c>
    </row>
    <row r="174" spans="1:25">
      <c r="A174" s="359" t="str">
        <f>'Func Future Lines 2015'!A174</f>
        <v>PPS</v>
      </c>
      <c r="B174" s="359" t="str">
        <f>'Func Future Lines 2015'!B174</f>
        <v>971L180</v>
      </c>
      <c r="C174" s="359">
        <f>'Func Future Lines 2015'!C174</f>
        <v>1101</v>
      </c>
      <c r="D174" s="359">
        <f>'Func Future Lines 2015'!D174</f>
        <v>240</v>
      </c>
      <c r="E174" s="359">
        <f>'Func Future Lines 2015'!E174</f>
        <v>0</v>
      </c>
      <c r="F174" s="359" t="str">
        <f>'Func Future Lines 2015'!F174</f>
        <v>Fort McMurray</v>
      </c>
      <c r="G174" s="359">
        <f>'Func Future Lines 2015'!G174</f>
        <v>1786314.2703774052</v>
      </c>
      <c r="H174" s="359" t="str">
        <f>'Func Future Lines 2015'!H174</f>
        <v>AltaLink</v>
      </c>
      <c r="I174" s="359">
        <f>'Func Future Lines 2015'!I174</f>
        <v>2016</v>
      </c>
      <c r="J174" s="361">
        <f>+IF($I174=J$3,VLOOKUP($H174,Depreciation!$A$6:$L$10,7,FALSE)/2,IF($I174&lt;J$3,VLOOKUP($H174,Depreciation!$A$6:$L$10,7,FALSE),0))</f>
        <v>0</v>
      </c>
      <c r="K174" s="361">
        <f>+IF($I174=K$3,VLOOKUP($H174,Depreciation!$A$6:$L$10,8,FALSE)/2,IF($I174&lt;K$3,VLOOKUP($H174,Depreciation!$A$6:$L$10,8,FALSE),0))</f>
        <v>1.5338181838063448E-2</v>
      </c>
      <c r="L174" s="361">
        <f>+IF($I174=L$3,VLOOKUP($H174,Depreciation!$A$6:$L$10,9,FALSE)/2,IF($I174&lt;L$3,VLOOKUP($H174,Depreciation!$A$6:$L$10,9,FALSE),0))</f>
        <v>3.0676363676126896E-2</v>
      </c>
      <c r="M174" s="361">
        <f>+IF($I174=M$3,VLOOKUP($H174,Depreciation!$A$6:$L$10,10,FALSE)/2,IF($I174&lt;M$3,VLOOKUP($H174,Depreciation!$A$6:$L$10,10,FALSE),0))</f>
        <v>3.0676363676126896E-2</v>
      </c>
      <c r="N174" s="361">
        <f>+IF($I174=N$3,VLOOKUP($H174,Depreciation!$A$6:$L$10,11,FALSE)/2,IF($I174&lt;N$3,VLOOKUP($H174,Depreciation!$A$6:$L$10,11,FALSE),0))</f>
        <v>3.0676363676126896E-2</v>
      </c>
      <c r="O174" s="361">
        <f>+IF($I174=O$3,VLOOKUP($H174,Depreciation!$A$6:$L$10,12,FALSE)/2,IF($I174&lt;O$3,VLOOKUP($H174,Depreciation!$A$6:$L$10,12,FALSE),0))</f>
        <v>3.0676363676126896E-2</v>
      </c>
      <c r="P174" s="362">
        <f t="shared" si="8"/>
        <v>1704958.3270353947</v>
      </c>
      <c r="Q174" s="362">
        <f t="shared" si="9"/>
        <v>1704958.3270353947</v>
      </c>
      <c r="R174" s="363">
        <f t="shared" si="10"/>
        <v>0</v>
      </c>
    </row>
    <row r="175" spans="1:25">
      <c r="A175" s="359" t="str">
        <f>'Func Future Lines 2015'!A175</f>
        <v>PPS</v>
      </c>
      <c r="B175" s="359" t="str">
        <f>'Func Future Lines 2015'!B175</f>
        <v>line 9L930_v181</v>
      </c>
      <c r="C175" s="359">
        <f>'Func Future Lines 2015'!C175</f>
        <v>1101</v>
      </c>
      <c r="D175" s="359">
        <f>'Func Future Lines 2015'!D175</f>
        <v>240</v>
      </c>
      <c r="E175" s="359">
        <f>'Func Future Lines 2015'!E175</f>
        <v>0</v>
      </c>
      <c r="F175" s="359" t="str">
        <f>'Func Future Lines 2015'!F175</f>
        <v>Fort McMurray</v>
      </c>
      <c r="G175" s="359">
        <f>'Func Future Lines 2015'!G175</f>
        <v>4698744.242259468</v>
      </c>
      <c r="H175" s="359" t="str">
        <f>'Func Future Lines 2015'!H175</f>
        <v>ATCO</v>
      </c>
      <c r="I175" s="359">
        <f>'Func Future Lines 2015'!I175</f>
        <v>2016</v>
      </c>
      <c r="J175" s="361">
        <f>+IF($I175=J$3,VLOOKUP($H175,Depreciation!$A$6:$L$10,7,FALSE)/2,IF($I175&lt;J$3,VLOOKUP($H175,Depreciation!$A$6:$L$10,7,FALSE),0))</f>
        <v>0</v>
      </c>
      <c r="K175" s="361">
        <f>+IF($I175=K$3,VLOOKUP($H175,Depreciation!$A$6:$L$10,8,FALSE)/2,IF($I175&lt;K$3,VLOOKUP($H175,Depreciation!$A$6:$L$10,8,FALSE),0))</f>
        <v>1.1971929865503333E-2</v>
      </c>
      <c r="L175" s="361">
        <f>+IF($I175=L$3,VLOOKUP($H175,Depreciation!$A$6:$L$10,9,FALSE)/2,IF($I175&lt;L$3,VLOOKUP($H175,Depreciation!$A$6:$L$10,9,FALSE),0))</f>
        <v>2.4002037926855919E-2</v>
      </c>
      <c r="M175" s="361">
        <f>+IF($I175=M$3,VLOOKUP($H175,Depreciation!$A$6:$L$10,10,FALSE)/2,IF($I175&lt;M$3,VLOOKUP($H175,Depreciation!$A$6:$L$10,10,FALSE),0))</f>
        <v>2.4002037926855919E-2</v>
      </c>
      <c r="N175" s="361">
        <f>+IF($I175=N$3,VLOOKUP($H175,Depreciation!$A$6:$L$10,11,FALSE)/2,IF($I175&lt;N$3,VLOOKUP($H175,Depreciation!$A$6:$L$10,11,FALSE),0))</f>
        <v>2.4002037926855919E-2</v>
      </c>
      <c r="O175" s="361">
        <f>+IF($I175=O$3,VLOOKUP($H175,Depreciation!$A$6:$L$10,12,FALSE)/2,IF($I175&lt;O$3,VLOOKUP($H175,Depreciation!$A$6:$L$10,12,FALSE),0))</f>
        <v>2.4002037926855919E-2</v>
      </c>
      <c r="P175" s="362">
        <f t="shared" si="8"/>
        <v>4531061.9557400486</v>
      </c>
      <c r="Q175" s="362">
        <f t="shared" si="9"/>
        <v>4531061.9557400486</v>
      </c>
      <c r="R175" s="363">
        <f t="shared" si="10"/>
        <v>0</v>
      </c>
    </row>
    <row r="176" spans="1:25">
      <c r="A176" s="359" t="str">
        <f>'Func Future Lines 2015'!A176</f>
        <v>PPS</v>
      </c>
      <c r="B176" s="359" t="str">
        <f>'Func Future Lines 2015'!B176</f>
        <v>1064L/1065L_(v180)</v>
      </c>
      <c r="C176" s="359">
        <f>'Func Future Lines 2015'!C176</f>
        <v>1117</v>
      </c>
      <c r="D176" s="359">
        <f>'Func Future Lines 2015'!D176</f>
        <v>240</v>
      </c>
      <c r="E176" s="359">
        <f>'Func Future Lines 2015'!E176</f>
        <v>0</v>
      </c>
      <c r="F176" s="359" t="str">
        <f>'Func Future Lines 2015'!F176</f>
        <v>Calgary</v>
      </c>
      <c r="G176" s="359">
        <f>'Func Future Lines 2015'!G176</f>
        <v>22476180.185840409</v>
      </c>
      <c r="H176" s="359" t="str">
        <f>'Func Future Lines 2015'!H176</f>
        <v>AltaLink</v>
      </c>
      <c r="I176" s="359">
        <f>'Func Future Lines 2015'!I176</f>
        <v>2015</v>
      </c>
      <c r="J176" s="361">
        <f>+IF($I176=J$3,VLOOKUP($H176,Depreciation!$A$6:$L$10,7,FALSE)/2,IF($I176&lt;J$3,VLOOKUP($H176,Depreciation!$A$6:$L$10,7,FALSE),0))</f>
        <v>1.595020804044691E-2</v>
      </c>
      <c r="K176" s="361">
        <f>+IF($I176=K$3,VLOOKUP($H176,Depreciation!$A$6:$L$10,8,FALSE)/2,IF($I176&lt;K$3,VLOOKUP($H176,Depreciation!$A$6:$L$10,8,FALSE),0))</f>
        <v>3.0676363676126896E-2</v>
      </c>
      <c r="L176" s="361">
        <f>+IF($I176=L$3,VLOOKUP($H176,Depreciation!$A$6:$L$10,9,FALSE)/2,IF($I176&lt;L$3,VLOOKUP($H176,Depreciation!$A$6:$L$10,9,FALSE),0))</f>
        <v>3.0676363676126896E-2</v>
      </c>
      <c r="M176" s="361">
        <f>+IF($I176=M$3,VLOOKUP($H176,Depreciation!$A$6:$L$10,10,FALSE)/2,IF($I176&lt;M$3,VLOOKUP($H176,Depreciation!$A$6:$L$10,10,FALSE),0))</f>
        <v>3.0676363676126896E-2</v>
      </c>
      <c r="N176" s="361">
        <f>+IF($I176=N$3,VLOOKUP($H176,Depreciation!$A$6:$L$10,11,FALSE)/2,IF($I176&lt;N$3,VLOOKUP($H176,Depreciation!$A$6:$L$10,11,FALSE),0))</f>
        <v>3.0676363676126896E-2</v>
      </c>
      <c r="O176" s="361">
        <f>+IF($I176=O$3,VLOOKUP($H176,Depreciation!$A$6:$L$10,12,FALSE)/2,IF($I176&lt;O$3,VLOOKUP($H176,Depreciation!$A$6:$L$10,12,FALSE),0))</f>
        <v>3.0676363676126896E-2</v>
      </c>
      <c r="P176" s="362">
        <f t="shared" si="8"/>
        <v>20781514.024730559</v>
      </c>
      <c r="Q176" s="362">
        <f t="shared" si="9"/>
        <v>20781514.024730559</v>
      </c>
      <c r="R176" s="363">
        <f t="shared" si="10"/>
        <v>0</v>
      </c>
    </row>
    <row r="177" spans="1:18">
      <c r="A177" s="359" t="str">
        <f>'Func Future Lines 2015'!A177</f>
        <v>PPS</v>
      </c>
      <c r="B177" s="359" t="str">
        <f>'Func Future Lines 2015'!B177</f>
        <v>1064L/1065L_(v180)</v>
      </c>
      <c r="C177" s="359">
        <f>'Func Future Lines 2015'!C177</f>
        <v>1117</v>
      </c>
      <c r="D177" s="359">
        <f>'Func Future Lines 2015'!D177</f>
        <v>240</v>
      </c>
      <c r="E177" s="359">
        <f>'Func Future Lines 2015'!E177</f>
        <v>0</v>
      </c>
      <c r="F177" s="359" t="str">
        <f>'Func Future Lines 2015'!F177</f>
        <v>Calgary</v>
      </c>
      <c r="G177" s="359">
        <f>'Func Future Lines 2015'!G177</f>
        <v>22476180.185840409</v>
      </c>
      <c r="H177" s="359" t="str">
        <f>'Func Future Lines 2015'!H177</f>
        <v>AltaLink</v>
      </c>
      <c r="I177" s="359">
        <f>'Func Future Lines 2015'!I177</f>
        <v>2015</v>
      </c>
      <c r="J177" s="361">
        <f>+IF($I177=J$3,VLOOKUP($H177,Depreciation!$A$6:$L$10,7,FALSE)/2,IF($I177&lt;J$3,VLOOKUP($H177,Depreciation!$A$6:$L$10,7,FALSE),0))</f>
        <v>1.595020804044691E-2</v>
      </c>
      <c r="K177" s="361">
        <f>+IF($I177=K$3,VLOOKUP($H177,Depreciation!$A$6:$L$10,8,FALSE)/2,IF($I177&lt;K$3,VLOOKUP($H177,Depreciation!$A$6:$L$10,8,FALSE),0))</f>
        <v>3.0676363676126896E-2</v>
      </c>
      <c r="L177" s="361">
        <f>+IF($I177=L$3,VLOOKUP($H177,Depreciation!$A$6:$L$10,9,FALSE)/2,IF($I177&lt;L$3,VLOOKUP($H177,Depreciation!$A$6:$L$10,9,FALSE),0))</f>
        <v>3.0676363676126896E-2</v>
      </c>
      <c r="M177" s="361">
        <f>+IF($I177=M$3,VLOOKUP($H177,Depreciation!$A$6:$L$10,10,FALSE)/2,IF($I177&lt;M$3,VLOOKUP($H177,Depreciation!$A$6:$L$10,10,FALSE),0))</f>
        <v>3.0676363676126896E-2</v>
      </c>
      <c r="N177" s="361">
        <f>+IF($I177=N$3,VLOOKUP($H177,Depreciation!$A$6:$L$10,11,FALSE)/2,IF($I177&lt;N$3,VLOOKUP($H177,Depreciation!$A$6:$L$10,11,FALSE),0))</f>
        <v>3.0676363676126896E-2</v>
      </c>
      <c r="O177" s="361">
        <f>+IF($I177=O$3,VLOOKUP($H177,Depreciation!$A$6:$L$10,12,FALSE)/2,IF($I177&lt;O$3,VLOOKUP($H177,Depreciation!$A$6:$L$10,12,FALSE),0))</f>
        <v>3.0676363676126896E-2</v>
      </c>
      <c r="P177" s="362">
        <f t="shared" si="8"/>
        <v>20781514.024730559</v>
      </c>
      <c r="Q177" s="362">
        <f t="shared" si="9"/>
        <v>20781514.024730559</v>
      </c>
      <c r="R177" s="363">
        <f t="shared" si="10"/>
        <v>0</v>
      </c>
    </row>
    <row r="178" spans="1:18">
      <c r="A178" s="359" t="str">
        <f>'Func Future Lines 2015'!A178</f>
        <v>PPS</v>
      </c>
      <c r="B178" s="359" t="str">
        <f>'Func Future Lines 2015'!B178</f>
        <v>1064L/1065L_(v180)</v>
      </c>
      <c r="C178" s="359">
        <f>'Func Future Lines 2015'!C178</f>
        <v>1117</v>
      </c>
      <c r="D178" s="359">
        <f>'Func Future Lines 2015'!D178</f>
        <v>240</v>
      </c>
      <c r="E178" s="359">
        <f>'Func Future Lines 2015'!E178</f>
        <v>0</v>
      </c>
      <c r="F178" s="359" t="str">
        <f>'Func Future Lines 2015'!F178</f>
        <v>Calgary</v>
      </c>
      <c r="G178" s="359">
        <f>'Func Future Lines 2015'!G178</f>
        <v>17889351.244998507</v>
      </c>
      <c r="H178" s="359" t="str">
        <f>'Func Future Lines 2015'!H178</f>
        <v>AltaLink</v>
      </c>
      <c r="I178" s="359">
        <f>'Func Future Lines 2015'!I178</f>
        <v>2015</v>
      </c>
      <c r="J178" s="361">
        <f>+IF($I178=J$3,VLOOKUP($H178,Depreciation!$A$6:$L$10,7,FALSE)/2,IF($I178&lt;J$3,VLOOKUP($H178,Depreciation!$A$6:$L$10,7,FALSE),0))</f>
        <v>1.595020804044691E-2</v>
      </c>
      <c r="K178" s="361">
        <f>+IF($I178=K$3,VLOOKUP($H178,Depreciation!$A$6:$L$10,8,FALSE)/2,IF($I178&lt;K$3,VLOOKUP($H178,Depreciation!$A$6:$L$10,8,FALSE),0))</f>
        <v>3.0676363676126896E-2</v>
      </c>
      <c r="L178" s="361">
        <f>+IF($I178=L$3,VLOOKUP($H178,Depreciation!$A$6:$L$10,9,FALSE)/2,IF($I178&lt;L$3,VLOOKUP($H178,Depreciation!$A$6:$L$10,9,FALSE),0))</f>
        <v>3.0676363676126896E-2</v>
      </c>
      <c r="M178" s="361">
        <f>+IF($I178=M$3,VLOOKUP($H178,Depreciation!$A$6:$L$10,10,FALSE)/2,IF($I178&lt;M$3,VLOOKUP($H178,Depreciation!$A$6:$L$10,10,FALSE),0))</f>
        <v>3.0676363676126896E-2</v>
      </c>
      <c r="N178" s="361">
        <f>+IF($I178=N$3,VLOOKUP($H178,Depreciation!$A$6:$L$10,11,FALSE)/2,IF($I178&lt;N$3,VLOOKUP($H178,Depreciation!$A$6:$L$10,11,FALSE),0))</f>
        <v>3.0676363676126896E-2</v>
      </c>
      <c r="O178" s="361">
        <f>+IF($I178=O$3,VLOOKUP($H178,Depreciation!$A$6:$L$10,12,FALSE)/2,IF($I178&lt;O$3,VLOOKUP($H178,Depreciation!$A$6:$L$10,12,FALSE),0))</f>
        <v>3.0676363676126896E-2</v>
      </c>
      <c r="P178" s="362">
        <f t="shared" si="8"/>
        <v>16540524.266907003</v>
      </c>
      <c r="Q178" s="362">
        <f t="shared" si="9"/>
        <v>16540524.266907003</v>
      </c>
      <c r="R178" s="363">
        <f t="shared" si="10"/>
        <v>0</v>
      </c>
    </row>
    <row r="179" spans="1:18">
      <c r="A179" s="359" t="str">
        <f>'Func Future Lines 2015'!A179</f>
        <v>PPS</v>
      </c>
      <c r="B179" s="359" t="str">
        <f>'Func Future Lines 2015'!B179</f>
        <v>1064L/1065L_(v180)</v>
      </c>
      <c r="C179" s="359">
        <f>'Func Future Lines 2015'!C179</f>
        <v>1117</v>
      </c>
      <c r="D179" s="359">
        <f>'Func Future Lines 2015'!D179</f>
        <v>240</v>
      </c>
      <c r="E179" s="359">
        <f>'Func Future Lines 2015'!E179</f>
        <v>0</v>
      </c>
      <c r="F179" s="359" t="str">
        <f>'Func Future Lines 2015'!F179</f>
        <v>Calgary</v>
      </c>
      <c r="G179" s="359">
        <f>'Func Future Lines 2015'!G179</f>
        <v>17889351.244998507</v>
      </c>
      <c r="H179" s="359" t="str">
        <f>'Func Future Lines 2015'!H179</f>
        <v>AltaLink</v>
      </c>
      <c r="I179" s="359">
        <f>'Func Future Lines 2015'!I179</f>
        <v>2015</v>
      </c>
      <c r="J179" s="361">
        <f>+IF($I179=J$3,VLOOKUP($H179,Depreciation!$A$6:$L$10,7,FALSE)/2,IF($I179&lt;J$3,VLOOKUP($H179,Depreciation!$A$6:$L$10,7,FALSE),0))</f>
        <v>1.595020804044691E-2</v>
      </c>
      <c r="K179" s="361">
        <f>+IF($I179=K$3,VLOOKUP($H179,Depreciation!$A$6:$L$10,8,FALSE)/2,IF($I179&lt;K$3,VLOOKUP($H179,Depreciation!$A$6:$L$10,8,FALSE),0))</f>
        <v>3.0676363676126896E-2</v>
      </c>
      <c r="L179" s="361">
        <f>+IF($I179=L$3,VLOOKUP($H179,Depreciation!$A$6:$L$10,9,FALSE)/2,IF($I179&lt;L$3,VLOOKUP($H179,Depreciation!$A$6:$L$10,9,FALSE),0))</f>
        <v>3.0676363676126896E-2</v>
      </c>
      <c r="M179" s="361">
        <f>+IF($I179=M$3,VLOOKUP($H179,Depreciation!$A$6:$L$10,10,FALSE)/2,IF($I179&lt;M$3,VLOOKUP($H179,Depreciation!$A$6:$L$10,10,FALSE),0))</f>
        <v>3.0676363676126896E-2</v>
      </c>
      <c r="N179" s="361">
        <f>+IF($I179=N$3,VLOOKUP($H179,Depreciation!$A$6:$L$10,11,FALSE)/2,IF($I179&lt;N$3,VLOOKUP($H179,Depreciation!$A$6:$L$10,11,FALSE),0))</f>
        <v>3.0676363676126896E-2</v>
      </c>
      <c r="O179" s="361">
        <f>+IF($I179=O$3,VLOOKUP($H179,Depreciation!$A$6:$L$10,12,FALSE)/2,IF($I179&lt;O$3,VLOOKUP($H179,Depreciation!$A$6:$L$10,12,FALSE),0))</f>
        <v>3.0676363676126896E-2</v>
      </c>
      <c r="P179" s="362">
        <f t="shared" si="8"/>
        <v>16540524.266907003</v>
      </c>
      <c r="Q179" s="362">
        <f t="shared" si="9"/>
        <v>16540524.266907003</v>
      </c>
      <c r="R179" s="363">
        <f t="shared" si="10"/>
        <v>0</v>
      </c>
    </row>
    <row r="180" spans="1:18">
      <c r="A180" s="359" t="str">
        <f>'Func Future Lines 2015'!A180</f>
        <v>PPS</v>
      </c>
      <c r="B180" s="359" t="str">
        <f>'Func Future Lines 2015'!B180</f>
        <v>1080L/1109L_180</v>
      </c>
      <c r="C180" s="359">
        <f>'Func Future Lines 2015'!C180</f>
        <v>1117</v>
      </c>
      <c r="D180" s="359">
        <f>'Func Future Lines 2015'!D180</f>
        <v>240</v>
      </c>
      <c r="E180" s="359">
        <f>'Func Future Lines 2015'!E180</f>
        <v>0</v>
      </c>
      <c r="F180" s="359" t="str">
        <f>'Func Future Lines 2015'!F180</f>
        <v>Calgary</v>
      </c>
      <c r="G180" s="359">
        <f>'Func Future Lines 2015'!G180</f>
        <v>2104869.8933907058</v>
      </c>
      <c r="H180" s="359" t="str">
        <f>'Func Future Lines 2015'!H180</f>
        <v>AltaLink</v>
      </c>
      <c r="I180" s="359">
        <f>'Func Future Lines 2015'!I180</f>
        <v>2015</v>
      </c>
      <c r="J180" s="361">
        <f>+IF($I180=J$3,VLOOKUP($H180,Depreciation!$A$6:$L$10,7,FALSE)/2,IF($I180&lt;J$3,VLOOKUP($H180,Depreciation!$A$6:$L$10,7,FALSE),0))</f>
        <v>1.595020804044691E-2</v>
      </c>
      <c r="K180" s="361">
        <f>+IF($I180=K$3,VLOOKUP($H180,Depreciation!$A$6:$L$10,8,FALSE)/2,IF($I180&lt;K$3,VLOOKUP($H180,Depreciation!$A$6:$L$10,8,FALSE),0))</f>
        <v>3.0676363676126896E-2</v>
      </c>
      <c r="L180" s="361">
        <f>+IF($I180=L$3,VLOOKUP($H180,Depreciation!$A$6:$L$10,9,FALSE)/2,IF($I180&lt;L$3,VLOOKUP($H180,Depreciation!$A$6:$L$10,9,FALSE),0))</f>
        <v>3.0676363676126896E-2</v>
      </c>
      <c r="M180" s="361">
        <f>+IF($I180=M$3,VLOOKUP($H180,Depreciation!$A$6:$L$10,10,FALSE)/2,IF($I180&lt;M$3,VLOOKUP($H180,Depreciation!$A$6:$L$10,10,FALSE),0))</f>
        <v>3.0676363676126896E-2</v>
      </c>
      <c r="N180" s="361">
        <f>+IF($I180=N$3,VLOOKUP($H180,Depreciation!$A$6:$L$10,11,FALSE)/2,IF($I180&lt;N$3,VLOOKUP($H180,Depreciation!$A$6:$L$10,11,FALSE),0))</f>
        <v>3.0676363676126896E-2</v>
      </c>
      <c r="O180" s="361">
        <f>+IF($I180=O$3,VLOOKUP($H180,Depreciation!$A$6:$L$10,12,FALSE)/2,IF($I180&lt;O$3,VLOOKUP($H180,Depreciation!$A$6:$L$10,12,FALSE),0))</f>
        <v>3.0676363676126896E-2</v>
      </c>
      <c r="P180" s="362">
        <f t="shared" si="8"/>
        <v>1946166.2456901367</v>
      </c>
      <c r="Q180" s="362">
        <f t="shared" si="9"/>
        <v>1946166.2456901367</v>
      </c>
      <c r="R180" s="363">
        <f t="shared" si="10"/>
        <v>0</v>
      </c>
    </row>
    <row r="181" spans="1:18">
      <c r="A181" s="359" t="str">
        <f>'Func Future Lines 2015'!A181</f>
        <v>Final</v>
      </c>
      <c r="B181" s="359" t="str">
        <f>'Func Future Lines 2015'!B181</f>
        <v>1106L_180</v>
      </c>
      <c r="C181" s="359">
        <f>'Func Future Lines 2015'!C181</f>
        <v>1117</v>
      </c>
      <c r="D181" s="359">
        <f>'Func Future Lines 2015'!D181</f>
        <v>240</v>
      </c>
      <c r="E181" s="359">
        <f>'Func Future Lines 2015'!E181</f>
        <v>0</v>
      </c>
      <c r="F181" s="359">
        <f>'Func Future Lines 2015'!F181</f>
        <v>0</v>
      </c>
      <c r="G181" s="359">
        <f>'Func Future Lines 2015'!G181</f>
        <v>83540470.165999994</v>
      </c>
      <c r="H181" s="359" t="str">
        <f>'Func Future Lines 2015'!H181</f>
        <v>AltaLink</v>
      </c>
      <c r="I181" s="359">
        <f>'Func Future Lines 2015'!I181</f>
        <v>2015</v>
      </c>
      <c r="J181" s="361">
        <f>+IF($I181=J$3,VLOOKUP($H181,Depreciation!$A$6:$L$10,7,FALSE)/2,IF($I181&lt;J$3,VLOOKUP($H181,Depreciation!$A$6:$L$10,7,FALSE),0))</f>
        <v>1.595020804044691E-2</v>
      </c>
      <c r="K181" s="361">
        <f>+IF($I181=K$3,VLOOKUP($H181,Depreciation!$A$6:$L$10,8,FALSE)/2,IF($I181&lt;K$3,VLOOKUP($H181,Depreciation!$A$6:$L$10,8,FALSE),0))</f>
        <v>3.0676363676126896E-2</v>
      </c>
      <c r="L181" s="361">
        <f>+IF($I181=L$3,VLOOKUP($H181,Depreciation!$A$6:$L$10,9,FALSE)/2,IF($I181&lt;L$3,VLOOKUP($H181,Depreciation!$A$6:$L$10,9,FALSE),0))</f>
        <v>3.0676363676126896E-2</v>
      </c>
      <c r="M181" s="361">
        <f>+IF($I181=M$3,VLOOKUP($H181,Depreciation!$A$6:$L$10,10,FALSE)/2,IF($I181&lt;M$3,VLOOKUP($H181,Depreciation!$A$6:$L$10,10,FALSE),0))</f>
        <v>3.0676363676126896E-2</v>
      </c>
      <c r="N181" s="361">
        <f>+IF($I181=N$3,VLOOKUP($H181,Depreciation!$A$6:$L$10,11,FALSE)/2,IF($I181&lt;N$3,VLOOKUP($H181,Depreciation!$A$6:$L$10,11,FALSE),0))</f>
        <v>3.0676363676126896E-2</v>
      </c>
      <c r="O181" s="361">
        <f>+IF($I181=O$3,VLOOKUP($H181,Depreciation!$A$6:$L$10,12,FALSE)/2,IF($I181&lt;O$3,VLOOKUP($H181,Depreciation!$A$6:$L$10,12,FALSE),0))</f>
        <v>3.0676363676126896E-2</v>
      </c>
      <c r="P181" s="362">
        <f t="shared" si="8"/>
        <v>77241659.304770306</v>
      </c>
      <c r="Q181" s="362">
        <f t="shared" si="9"/>
        <v>77241659.304770306</v>
      </c>
      <c r="R181" s="363">
        <f t="shared" si="10"/>
        <v>0</v>
      </c>
    </row>
    <row r="182" spans="1:18">
      <c r="A182" s="359" t="str">
        <f>'Func Future Lines 2015'!A182</f>
        <v>Final</v>
      </c>
      <c r="B182" s="359" t="str">
        <f>'Func Future Lines 2015'!B182</f>
        <v>1107L_180</v>
      </c>
      <c r="C182" s="359">
        <f>'Func Future Lines 2015'!C182</f>
        <v>1117</v>
      </c>
      <c r="D182" s="359">
        <f>'Func Future Lines 2015'!D182</f>
        <v>240</v>
      </c>
      <c r="E182" s="359">
        <f>'Func Future Lines 2015'!E182</f>
        <v>0</v>
      </c>
      <c r="F182" s="359">
        <f>'Func Future Lines 2015'!F182</f>
        <v>0</v>
      </c>
      <c r="G182" s="359">
        <f>'Func Future Lines 2015'!G182</f>
        <v>81881919.074000001</v>
      </c>
      <c r="H182" s="359" t="str">
        <f>'Func Future Lines 2015'!H182</f>
        <v>AltaLink</v>
      </c>
      <c r="I182" s="359">
        <f>'Func Future Lines 2015'!I182</f>
        <v>2015</v>
      </c>
      <c r="J182" s="361">
        <f>+IF($I182=J$3,VLOOKUP($H182,Depreciation!$A$6:$L$10,7,FALSE)/2,IF($I182&lt;J$3,VLOOKUP($H182,Depreciation!$A$6:$L$10,7,FALSE),0))</f>
        <v>1.595020804044691E-2</v>
      </c>
      <c r="K182" s="361">
        <f>+IF($I182=K$3,VLOOKUP($H182,Depreciation!$A$6:$L$10,8,FALSE)/2,IF($I182&lt;K$3,VLOOKUP($H182,Depreciation!$A$6:$L$10,8,FALSE),0))</f>
        <v>3.0676363676126896E-2</v>
      </c>
      <c r="L182" s="361">
        <f>+IF($I182=L$3,VLOOKUP($H182,Depreciation!$A$6:$L$10,9,FALSE)/2,IF($I182&lt;L$3,VLOOKUP($H182,Depreciation!$A$6:$L$10,9,FALSE),0))</f>
        <v>3.0676363676126896E-2</v>
      </c>
      <c r="M182" s="361">
        <f>+IF($I182=M$3,VLOOKUP($H182,Depreciation!$A$6:$L$10,10,FALSE)/2,IF($I182&lt;M$3,VLOOKUP($H182,Depreciation!$A$6:$L$10,10,FALSE),0))</f>
        <v>3.0676363676126896E-2</v>
      </c>
      <c r="N182" s="361">
        <f>+IF($I182=N$3,VLOOKUP($H182,Depreciation!$A$6:$L$10,11,FALSE)/2,IF($I182&lt;N$3,VLOOKUP($H182,Depreciation!$A$6:$L$10,11,FALSE),0))</f>
        <v>3.0676363676126896E-2</v>
      </c>
      <c r="O182" s="361">
        <f>+IF($I182=O$3,VLOOKUP($H182,Depreciation!$A$6:$L$10,12,FALSE)/2,IF($I182&lt;O$3,VLOOKUP($H182,Depreciation!$A$6:$L$10,12,FALSE),0))</f>
        <v>3.0676363676126896E-2</v>
      </c>
      <c r="P182" s="362">
        <f t="shared" si="8"/>
        <v>75708160.173950747</v>
      </c>
      <c r="Q182" s="362">
        <f t="shared" si="9"/>
        <v>75708160.173950747</v>
      </c>
      <c r="R182" s="363">
        <f t="shared" si="10"/>
        <v>0</v>
      </c>
    </row>
    <row r="183" spans="1:18">
      <c r="A183" s="359" t="str">
        <f>'Func Future Lines 2015'!A183</f>
        <v>PPS</v>
      </c>
      <c r="B183" s="359" t="str">
        <f>'Func Future Lines 2015'!B183</f>
        <v>434L/646L_180</v>
      </c>
      <c r="C183" s="359">
        <f>'Func Future Lines 2015'!C183</f>
        <v>1117</v>
      </c>
      <c r="D183" s="359">
        <f>'Func Future Lines 2015'!D183</f>
        <v>138</v>
      </c>
      <c r="E183" s="359">
        <f>'Func Future Lines 2015'!E183</f>
        <v>0</v>
      </c>
      <c r="F183" s="359" t="str">
        <f>'Func Future Lines 2015'!F183</f>
        <v>Calgary</v>
      </c>
      <c r="G183" s="359">
        <f>'Func Future Lines 2015'!G183</f>
        <v>23035758.945204999</v>
      </c>
      <c r="H183" s="359" t="str">
        <f>'Func Future Lines 2015'!H183</f>
        <v>AltaLink</v>
      </c>
      <c r="I183" s="359">
        <f>'Func Future Lines 2015'!I183</f>
        <v>2015</v>
      </c>
      <c r="J183" s="361">
        <f>+IF($I183=J$3,VLOOKUP($H183,Depreciation!$A$6:$L$10,7,FALSE)/2,IF($I183&lt;J$3,VLOOKUP($H183,Depreciation!$A$6:$L$10,7,FALSE),0))</f>
        <v>1.595020804044691E-2</v>
      </c>
      <c r="K183" s="361">
        <f>+IF($I183=K$3,VLOOKUP($H183,Depreciation!$A$6:$L$10,8,FALSE)/2,IF($I183&lt;K$3,VLOOKUP($H183,Depreciation!$A$6:$L$10,8,FALSE),0))</f>
        <v>3.0676363676126896E-2</v>
      </c>
      <c r="L183" s="361">
        <f>+IF($I183=L$3,VLOOKUP($H183,Depreciation!$A$6:$L$10,9,FALSE)/2,IF($I183&lt;L$3,VLOOKUP($H183,Depreciation!$A$6:$L$10,9,FALSE),0))</f>
        <v>3.0676363676126896E-2</v>
      </c>
      <c r="M183" s="361">
        <f>+IF($I183=M$3,VLOOKUP($H183,Depreciation!$A$6:$L$10,10,FALSE)/2,IF($I183&lt;M$3,VLOOKUP($H183,Depreciation!$A$6:$L$10,10,FALSE),0))</f>
        <v>3.0676363676126896E-2</v>
      </c>
      <c r="N183" s="361">
        <f>+IF($I183=N$3,VLOOKUP($H183,Depreciation!$A$6:$L$10,11,FALSE)/2,IF($I183&lt;N$3,VLOOKUP($H183,Depreciation!$A$6:$L$10,11,FALSE),0))</f>
        <v>3.0676363676126896E-2</v>
      </c>
      <c r="O183" s="361">
        <f>+IF($I183=O$3,VLOOKUP($H183,Depreciation!$A$6:$L$10,12,FALSE)/2,IF($I183&lt;O$3,VLOOKUP($H183,Depreciation!$A$6:$L$10,12,FALSE),0))</f>
        <v>3.0676363676126896E-2</v>
      </c>
      <c r="P183" s="362">
        <f t="shared" si="8"/>
        <v>21298901.487347651</v>
      </c>
      <c r="Q183" s="362">
        <f t="shared" si="9"/>
        <v>0</v>
      </c>
      <c r="R183" s="363">
        <f t="shared" si="10"/>
        <v>21298901.487347651</v>
      </c>
    </row>
    <row r="184" spans="1:18">
      <c r="A184" s="359" t="str">
        <f>'Func Future Lines 2015'!A184</f>
        <v>PPS</v>
      </c>
      <c r="B184" s="359" t="str">
        <f>'Func Future Lines 2015'!B184</f>
        <v>434L/646L_180</v>
      </c>
      <c r="C184" s="359">
        <f>'Func Future Lines 2015'!C184</f>
        <v>1117</v>
      </c>
      <c r="D184" s="359">
        <f>'Func Future Lines 2015'!D184</f>
        <v>138</v>
      </c>
      <c r="E184" s="359">
        <f>'Func Future Lines 2015'!E184</f>
        <v>0</v>
      </c>
      <c r="F184" s="359" t="str">
        <f>'Func Future Lines 2015'!F184</f>
        <v>Calgary</v>
      </c>
      <c r="G184" s="359">
        <f>'Func Future Lines 2015'!G184</f>
        <v>23035758.945204999</v>
      </c>
      <c r="H184" s="359" t="str">
        <f>'Func Future Lines 2015'!H184</f>
        <v>AltaLink</v>
      </c>
      <c r="I184" s="359">
        <f>'Func Future Lines 2015'!I184</f>
        <v>2015</v>
      </c>
      <c r="J184" s="361">
        <f>+IF($I184=J$3,VLOOKUP($H184,Depreciation!$A$6:$L$10,7,FALSE)/2,IF($I184&lt;J$3,VLOOKUP($H184,Depreciation!$A$6:$L$10,7,FALSE),0))</f>
        <v>1.595020804044691E-2</v>
      </c>
      <c r="K184" s="361">
        <f>+IF($I184=K$3,VLOOKUP($H184,Depreciation!$A$6:$L$10,8,FALSE)/2,IF($I184&lt;K$3,VLOOKUP($H184,Depreciation!$A$6:$L$10,8,FALSE),0))</f>
        <v>3.0676363676126896E-2</v>
      </c>
      <c r="L184" s="361">
        <f>+IF($I184=L$3,VLOOKUP($H184,Depreciation!$A$6:$L$10,9,FALSE)/2,IF($I184&lt;L$3,VLOOKUP($H184,Depreciation!$A$6:$L$10,9,FALSE),0))</f>
        <v>3.0676363676126896E-2</v>
      </c>
      <c r="M184" s="361">
        <f>+IF($I184=M$3,VLOOKUP($H184,Depreciation!$A$6:$L$10,10,FALSE)/2,IF($I184&lt;M$3,VLOOKUP($H184,Depreciation!$A$6:$L$10,10,FALSE),0))</f>
        <v>3.0676363676126896E-2</v>
      </c>
      <c r="N184" s="361">
        <f>+IF($I184=N$3,VLOOKUP($H184,Depreciation!$A$6:$L$10,11,FALSE)/2,IF($I184&lt;N$3,VLOOKUP($H184,Depreciation!$A$6:$L$10,11,FALSE),0))</f>
        <v>3.0676363676126896E-2</v>
      </c>
      <c r="O184" s="361">
        <f>+IF($I184=O$3,VLOOKUP($H184,Depreciation!$A$6:$L$10,12,FALSE)/2,IF($I184&lt;O$3,VLOOKUP($H184,Depreciation!$A$6:$L$10,12,FALSE),0))</f>
        <v>3.0676363676126896E-2</v>
      </c>
      <c r="P184" s="362">
        <f t="shared" si="8"/>
        <v>21298901.487347651</v>
      </c>
      <c r="Q184" s="362">
        <f t="shared" si="9"/>
        <v>0</v>
      </c>
      <c r="R184" s="363">
        <f t="shared" si="10"/>
        <v>21298901.487347651</v>
      </c>
    </row>
    <row r="185" spans="1:18">
      <c r="A185" s="359" t="str">
        <f>'Func Future Lines 2015'!A185</f>
        <v>PPS</v>
      </c>
      <c r="B185" s="359" t="str">
        <f>'Func Future Lines 2015'!B185</f>
        <v>646L/850L_180</v>
      </c>
      <c r="C185" s="359">
        <f>'Func Future Lines 2015'!C185</f>
        <v>1117</v>
      </c>
      <c r="D185" s="359">
        <f>'Func Future Lines 2015'!D185</f>
        <v>138</v>
      </c>
      <c r="E185" s="359">
        <f>'Func Future Lines 2015'!E185</f>
        <v>0</v>
      </c>
      <c r="F185" s="359" t="str">
        <f>'Func Future Lines 2015'!F185</f>
        <v>Calgary</v>
      </c>
      <c r="G185" s="359">
        <f>'Func Future Lines 2015'!G185</f>
        <v>1379161.0196992834</v>
      </c>
      <c r="H185" s="359" t="str">
        <f>'Func Future Lines 2015'!H185</f>
        <v>AltaLink</v>
      </c>
      <c r="I185" s="359">
        <f>'Func Future Lines 2015'!I185</f>
        <v>2015</v>
      </c>
      <c r="J185" s="361">
        <f>+IF($I185=J$3,VLOOKUP($H185,Depreciation!$A$6:$L$10,7,FALSE)/2,IF($I185&lt;J$3,VLOOKUP($H185,Depreciation!$A$6:$L$10,7,FALSE),0))</f>
        <v>1.595020804044691E-2</v>
      </c>
      <c r="K185" s="361">
        <f>+IF($I185=K$3,VLOOKUP($H185,Depreciation!$A$6:$L$10,8,FALSE)/2,IF($I185&lt;K$3,VLOOKUP($H185,Depreciation!$A$6:$L$10,8,FALSE),0))</f>
        <v>3.0676363676126896E-2</v>
      </c>
      <c r="L185" s="361">
        <f>+IF($I185=L$3,VLOOKUP($H185,Depreciation!$A$6:$L$10,9,FALSE)/2,IF($I185&lt;L$3,VLOOKUP($H185,Depreciation!$A$6:$L$10,9,FALSE),0))</f>
        <v>3.0676363676126896E-2</v>
      </c>
      <c r="M185" s="361">
        <f>+IF($I185=M$3,VLOOKUP($H185,Depreciation!$A$6:$L$10,10,FALSE)/2,IF($I185&lt;M$3,VLOOKUP($H185,Depreciation!$A$6:$L$10,10,FALSE),0))</f>
        <v>3.0676363676126896E-2</v>
      </c>
      <c r="N185" s="361">
        <f>+IF($I185=N$3,VLOOKUP($H185,Depreciation!$A$6:$L$10,11,FALSE)/2,IF($I185&lt;N$3,VLOOKUP($H185,Depreciation!$A$6:$L$10,11,FALSE),0))</f>
        <v>3.0676363676126896E-2</v>
      </c>
      <c r="O185" s="361">
        <f>+IF($I185=O$3,VLOOKUP($H185,Depreciation!$A$6:$L$10,12,FALSE)/2,IF($I185&lt;O$3,VLOOKUP($H185,Depreciation!$A$6:$L$10,12,FALSE),0))</f>
        <v>3.0676363676126896E-2</v>
      </c>
      <c r="P185" s="362">
        <f t="shared" si="8"/>
        <v>1275174.599788015</v>
      </c>
      <c r="Q185" s="362">
        <f t="shared" si="9"/>
        <v>0</v>
      </c>
      <c r="R185" s="363">
        <f t="shared" si="10"/>
        <v>1275174.599788015</v>
      </c>
    </row>
    <row r="186" spans="1:18">
      <c r="A186" s="359" t="str">
        <f>'Func Future Lines 2015'!A186</f>
        <v>PPS</v>
      </c>
      <c r="B186" s="359" t="str">
        <f>'Func Future Lines 2015'!B186</f>
        <v>727L salvage_180</v>
      </c>
      <c r="C186" s="359">
        <f>'Func Future Lines 2015'!C186</f>
        <v>1117</v>
      </c>
      <c r="D186" s="359">
        <f>'Func Future Lines 2015'!D186</f>
        <v>138</v>
      </c>
      <c r="E186" s="359">
        <f>'Func Future Lines 2015'!E186</f>
        <v>0</v>
      </c>
      <c r="F186" s="359" t="str">
        <f>'Func Future Lines 2015'!F186</f>
        <v>Calgary</v>
      </c>
      <c r="G186" s="359">
        <f>'Func Future Lines 2015'!G186</f>
        <v>58119.541832429939</v>
      </c>
      <c r="H186" s="359" t="str">
        <f>'Func Future Lines 2015'!H186</f>
        <v>AltaLink</v>
      </c>
      <c r="I186" s="359">
        <f>'Func Future Lines 2015'!I186</f>
        <v>2015</v>
      </c>
      <c r="J186" s="361">
        <f>+IF($I186=J$3,VLOOKUP($H186,Depreciation!$A$6:$L$10,7,FALSE)/2,IF($I186&lt;J$3,VLOOKUP($H186,Depreciation!$A$6:$L$10,7,FALSE),0))</f>
        <v>1.595020804044691E-2</v>
      </c>
      <c r="K186" s="361">
        <f>+IF($I186=K$3,VLOOKUP($H186,Depreciation!$A$6:$L$10,8,FALSE)/2,IF($I186&lt;K$3,VLOOKUP($H186,Depreciation!$A$6:$L$10,8,FALSE),0))</f>
        <v>3.0676363676126896E-2</v>
      </c>
      <c r="L186" s="361">
        <f>+IF($I186=L$3,VLOOKUP($H186,Depreciation!$A$6:$L$10,9,FALSE)/2,IF($I186&lt;L$3,VLOOKUP($H186,Depreciation!$A$6:$L$10,9,FALSE),0))</f>
        <v>3.0676363676126896E-2</v>
      </c>
      <c r="M186" s="361">
        <f>+IF($I186=M$3,VLOOKUP($H186,Depreciation!$A$6:$L$10,10,FALSE)/2,IF($I186&lt;M$3,VLOOKUP($H186,Depreciation!$A$6:$L$10,10,FALSE),0))</f>
        <v>3.0676363676126896E-2</v>
      </c>
      <c r="N186" s="361">
        <f>+IF($I186=N$3,VLOOKUP($H186,Depreciation!$A$6:$L$10,11,FALSE)/2,IF($I186&lt;N$3,VLOOKUP($H186,Depreciation!$A$6:$L$10,11,FALSE),0))</f>
        <v>3.0676363676126896E-2</v>
      </c>
      <c r="O186" s="361">
        <f>+IF($I186=O$3,VLOOKUP($H186,Depreciation!$A$6:$L$10,12,FALSE)/2,IF($I186&lt;O$3,VLOOKUP($H186,Depreciation!$A$6:$L$10,12,FALSE),0))</f>
        <v>3.0676363676126896E-2</v>
      </c>
      <c r="P186" s="362">
        <f t="shared" si="8"/>
        <v>53737.42618696647</v>
      </c>
      <c r="Q186" s="362">
        <f t="shared" si="9"/>
        <v>0</v>
      </c>
      <c r="R186" s="363">
        <f t="shared" si="10"/>
        <v>53737.42618696647</v>
      </c>
    </row>
    <row r="187" spans="1:18">
      <c r="A187" s="359" t="str">
        <f>'Func Future Lines 2015'!A187</f>
        <v>PPS</v>
      </c>
      <c r="B187" s="359" t="str">
        <f>'Func Future Lines 2015'!B187</f>
        <v>727L temporary_180</v>
      </c>
      <c r="C187" s="359">
        <f>'Func Future Lines 2015'!C187</f>
        <v>1117</v>
      </c>
      <c r="D187" s="359">
        <f>'Func Future Lines 2015'!D187</f>
        <v>138</v>
      </c>
      <c r="E187" s="359">
        <f>'Func Future Lines 2015'!E187</f>
        <v>0</v>
      </c>
      <c r="F187" s="359" t="str">
        <f>'Func Future Lines 2015'!F187</f>
        <v>Calgary</v>
      </c>
      <c r="G187" s="359">
        <f>'Func Future Lines 2015'!G187</f>
        <v>113097.48680905285</v>
      </c>
      <c r="H187" s="359" t="str">
        <f>'Func Future Lines 2015'!H187</f>
        <v>AltaLink</v>
      </c>
      <c r="I187" s="359">
        <f>'Func Future Lines 2015'!I187</f>
        <v>2015</v>
      </c>
      <c r="J187" s="361">
        <f>+IF($I187=J$3,VLOOKUP($H187,Depreciation!$A$6:$L$10,7,FALSE)/2,IF($I187&lt;J$3,VLOOKUP($H187,Depreciation!$A$6:$L$10,7,FALSE),0))</f>
        <v>1.595020804044691E-2</v>
      </c>
      <c r="K187" s="361">
        <f>+IF($I187=K$3,VLOOKUP($H187,Depreciation!$A$6:$L$10,8,FALSE)/2,IF($I187&lt;K$3,VLOOKUP($H187,Depreciation!$A$6:$L$10,8,FALSE),0))</f>
        <v>3.0676363676126896E-2</v>
      </c>
      <c r="L187" s="361">
        <f>+IF($I187=L$3,VLOOKUP($H187,Depreciation!$A$6:$L$10,9,FALSE)/2,IF($I187&lt;L$3,VLOOKUP($H187,Depreciation!$A$6:$L$10,9,FALSE),0))</f>
        <v>3.0676363676126896E-2</v>
      </c>
      <c r="M187" s="361">
        <f>+IF($I187=M$3,VLOOKUP($H187,Depreciation!$A$6:$L$10,10,FALSE)/2,IF($I187&lt;M$3,VLOOKUP($H187,Depreciation!$A$6:$L$10,10,FALSE),0))</f>
        <v>3.0676363676126896E-2</v>
      </c>
      <c r="N187" s="361">
        <f>+IF($I187=N$3,VLOOKUP($H187,Depreciation!$A$6:$L$10,11,FALSE)/2,IF($I187&lt;N$3,VLOOKUP($H187,Depreciation!$A$6:$L$10,11,FALSE),0))</f>
        <v>3.0676363676126896E-2</v>
      </c>
      <c r="O187" s="361">
        <f>+IF($I187=O$3,VLOOKUP($H187,Depreciation!$A$6:$L$10,12,FALSE)/2,IF($I187&lt;O$3,VLOOKUP($H187,Depreciation!$A$6:$L$10,12,FALSE),0))</f>
        <v>3.0676363676126896E-2</v>
      </c>
      <c r="P187" s="362">
        <f t="shared" si="8"/>
        <v>104570.1266340969</v>
      </c>
      <c r="Q187" s="362">
        <f t="shared" si="9"/>
        <v>0</v>
      </c>
      <c r="R187" s="363">
        <f t="shared" si="10"/>
        <v>104570.1266340969</v>
      </c>
    </row>
    <row r="188" spans="1:18">
      <c r="A188" s="359" t="str">
        <f>'Func Future Lines 2015'!A188</f>
        <v>PPS</v>
      </c>
      <c r="B188" s="359" t="str">
        <f>'Func Future Lines 2015'!B188</f>
        <v>727L/646L rebuild to d/c_180</v>
      </c>
      <c r="C188" s="359">
        <f>'Func Future Lines 2015'!C188</f>
        <v>1117</v>
      </c>
      <c r="D188" s="359">
        <f>'Func Future Lines 2015'!D188</f>
        <v>138</v>
      </c>
      <c r="E188" s="359">
        <f>'Func Future Lines 2015'!E188</f>
        <v>0</v>
      </c>
      <c r="F188" s="359" t="str">
        <f>'Func Future Lines 2015'!F188</f>
        <v>Calgary</v>
      </c>
      <c r="G188" s="359">
        <f>'Func Future Lines 2015'!G188</f>
        <v>10552623.838655792</v>
      </c>
      <c r="H188" s="359" t="str">
        <f>'Func Future Lines 2015'!H188</f>
        <v>AltaLink</v>
      </c>
      <c r="I188" s="359">
        <f>'Func Future Lines 2015'!I188</f>
        <v>2015</v>
      </c>
      <c r="J188" s="361">
        <f>+IF($I188=J$3,VLOOKUP($H188,Depreciation!$A$6:$L$10,7,FALSE)/2,IF($I188&lt;J$3,VLOOKUP($H188,Depreciation!$A$6:$L$10,7,FALSE),0))</f>
        <v>1.595020804044691E-2</v>
      </c>
      <c r="K188" s="361">
        <f>+IF($I188=K$3,VLOOKUP($H188,Depreciation!$A$6:$L$10,8,FALSE)/2,IF($I188&lt;K$3,VLOOKUP($H188,Depreciation!$A$6:$L$10,8,FALSE),0))</f>
        <v>3.0676363676126896E-2</v>
      </c>
      <c r="L188" s="361">
        <f>+IF($I188=L$3,VLOOKUP($H188,Depreciation!$A$6:$L$10,9,FALSE)/2,IF($I188&lt;L$3,VLOOKUP($H188,Depreciation!$A$6:$L$10,9,FALSE),0))</f>
        <v>3.0676363676126896E-2</v>
      </c>
      <c r="M188" s="361">
        <f>+IF($I188=M$3,VLOOKUP($H188,Depreciation!$A$6:$L$10,10,FALSE)/2,IF($I188&lt;M$3,VLOOKUP($H188,Depreciation!$A$6:$L$10,10,FALSE),0))</f>
        <v>3.0676363676126896E-2</v>
      </c>
      <c r="N188" s="361">
        <f>+IF($I188=N$3,VLOOKUP($H188,Depreciation!$A$6:$L$10,11,FALSE)/2,IF($I188&lt;N$3,VLOOKUP($H188,Depreciation!$A$6:$L$10,11,FALSE),0))</f>
        <v>3.0676363676126896E-2</v>
      </c>
      <c r="O188" s="361">
        <f>+IF($I188=O$3,VLOOKUP($H188,Depreciation!$A$6:$L$10,12,FALSE)/2,IF($I188&lt;O$3,VLOOKUP($H188,Depreciation!$A$6:$L$10,12,FALSE),0))</f>
        <v>3.0676363676126896E-2</v>
      </c>
      <c r="P188" s="362">
        <f t="shared" si="8"/>
        <v>9756973.7601092104</v>
      </c>
      <c r="Q188" s="362">
        <f t="shared" si="9"/>
        <v>0</v>
      </c>
      <c r="R188" s="363">
        <f t="shared" si="10"/>
        <v>9756973.7601092104</v>
      </c>
    </row>
    <row r="189" spans="1:18">
      <c r="A189" s="359" t="str">
        <f>'Func Future Lines 2015'!A189</f>
        <v>PPS</v>
      </c>
      <c r="B189" s="359" t="str">
        <f>'Func Future Lines 2015'!B189</f>
        <v>727L/646L rebuild to d/c_180</v>
      </c>
      <c r="C189" s="359">
        <f>'Func Future Lines 2015'!C189</f>
        <v>1117</v>
      </c>
      <c r="D189" s="359">
        <f>'Func Future Lines 2015'!D189</f>
        <v>138</v>
      </c>
      <c r="E189" s="359">
        <f>'Func Future Lines 2015'!E189</f>
        <v>0</v>
      </c>
      <c r="F189" s="359" t="str">
        <f>'Func Future Lines 2015'!F189</f>
        <v>Calgary</v>
      </c>
      <c r="G189" s="359">
        <f>'Func Future Lines 2015'!G189</f>
        <v>6925650.2686265837</v>
      </c>
      <c r="H189" s="359" t="str">
        <f>'Func Future Lines 2015'!H189</f>
        <v>AltaLink</v>
      </c>
      <c r="I189" s="359">
        <f>'Func Future Lines 2015'!I189</f>
        <v>2015</v>
      </c>
      <c r="J189" s="361">
        <f>+IF($I189=J$3,VLOOKUP($H189,Depreciation!$A$6:$L$10,7,FALSE)/2,IF($I189&lt;J$3,VLOOKUP($H189,Depreciation!$A$6:$L$10,7,FALSE),0))</f>
        <v>1.595020804044691E-2</v>
      </c>
      <c r="K189" s="361">
        <f>+IF($I189=K$3,VLOOKUP($H189,Depreciation!$A$6:$L$10,8,FALSE)/2,IF($I189&lt;K$3,VLOOKUP($H189,Depreciation!$A$6:$L$10,8,FALSE),0))</f>
        <v>3.0676363676126896E-2</v>
      </c>
      <c r="L189" s="361">
        <f>+IF($I189=L$3,VLOOKUP($H189,Depreciation!$A$6:$L$10,9,FALSE)/2,IF($I189&lt;L$3,VLOOKUP($H189,Depreciation!$A$6:$L$10,9,FALSE),0))</f>
        <v>3.0676363676126896E-2</v>
      </c>
      <c r="M189" s="361">
        <f>+IF($I189=M$3,VLOOKUP($H189,Depreciation!$A$6:$L$10,10,FALSE)/2,IF($I189&lt;M$3,VLOOKUP($H189,Depreciation!$A$6:$L$10,10,FALSE),0))</f>
        <v>3.0676363676126896E-2</v>
      </c>
      <c r="N189" s="361">
        <f>+IF($I189=N$3,VLOOKUP($H189,Depreciation!$A$6:$L$10,11,FALSE)/2,IF($I189&lt;N$3,VLOOKUP($H189,Depreciation!$A$6:$L$10,11,FALSE),0))</f>
        <v>3.0676363676126896E-2</v>
      </c>
      <c r="O189" s="361">
        <f>+IF($I189=O$3,VLOOKUP($H189,Depreciation!$A$6:$L$10,12,FALSE)/2,IF($I189&lt;O$3,VLOOKUP($H189,Depreciation!$A$6:$L$10,12,FALSE),0))</f>
        <v>3.0676363676126896E-2</v>
      </c>
      <c r="P189" s="362">
        <f t="shared" si="8"/>
        <v>6403467.8934685178</v>
      </c>
      <c r="Q189" s="362">
        <f t="shared" si="9"/>
        <v>0</v>
      </c>
      <c r="R189" s="363">
        <f t="shared" si="10"/>
        <v>6403467.8934685178</v>
      </c>
    </row>
    <row r="190" spans="1:18">
      <c r="A190" s="359" t="str">
        <f>'Func Future Lines 2015'!A190</f>
        <v>PPS</v>
      </c>
      <c r="B190" s="359" t="str">
        <f>'Func Future Lines 2015'!B190</f>
        <v>850L temporary line_180</v>
      </c>
      <c r="C190" s="359">
        <f>'Func Future Lines 2015'!C190</f>
        <v>1117</v>
      </c>
      <c r="D190" s="359">
        <f>'Func Future Lines 2015'!D190</f>
        <v>240</v>
      </c>
      <c r="E190" s="359">
        <f>'Func Future Lines 2015'!E190</f>
        <v>0</v>
      </c>
      <c r="F190" s="359">
        <f>'Func Future Lines 2015'!F190</f>
        <v>0</v>
      </c>
      <c r="G190" s="359">
        <f>'Func Future Lines 2015'!G190</f>
        <v>6383232.2672256418</v>
      </c>
      <c r="H190" s="359" t="str">
        <f>'Func Future Lines 2015'!H190</f>
        <v>AltaLink</v>
      </c>
      <c r="I190" s="359">
        <f>'Func Future Lines 2015'!I190</f>
        <v>2015</v>
      </c>
      <c r="J190" s="361">
        <f>+IF($I190=J$3,VLOOKUP($H190,Depreciation!$A$6:$L$10,7,FALSE)/2,IF($I190&lt;J$3,VLOOKUP($H190,Depreciation!$A$6:$L$10,7,FALSE),0))</f>
        <v>1.595020804044691E-2</v>
      </c>
      <c r="K190" s="361">
        <f>+IF($I190=K$3,VLOOKUP($H190,Depreciation!$A$6:$L$10,8,FALSE)/2,IF($I190&lt;K$3,VLOOKUP($H190,Depreciation!$A$6:$L$10,8,FALSE),0))</f>
        <v>3.0676363676126896E-2</v>
      </c>
      <c r="L190" s="361">
        <f>+IF($I190=L$3,VLOOKUP($H190,Depreciation!$A$6:$L$10,9,FALSE)/2,IF($I190&lt;L$3,VLOOKUP($H190,Depreciation!$A$6:$L$10,9,FALSE),0))</f>
        <v>3.0676363676126896E-2</v>
      </c>
      <c r="M190" s="361">
        <f>+IF($I190=M$3,VLOOKUP($H190,Depreciation!$A$6:$L$10,10,FALSE)/2,IF($I190&lt;M$3,VLOOKUP($H190,Depreciation!$A$6:$L$10,10,FALSE),0))</f>
        <v>3.0676363676126896E-2</v>
      </c>
      <c r="N190" s="361">
        <f>+IF($I190=N$3,VLOOKUP($H190,Depreciation!$A$6:$L$10,11,FALSE)/2,IF($I190&lt;N$3,VLOOKUP($H190,Depreciation!$A$6:$L$10,11,FALSE),0))</f>
        <v>3.0676363676126896E-2</v>
      </c>
      <c r="O190" s="361">
        <f>+IF($I190=O$3,VLOOKUP($H190,Depreciation!$A$6:$L$10,12,FALSE)/2,IF($I190&lt;O$3,VLOOKUP($H190,Depreciation!$A$6:$L$10,12,FALSE),0))</f>
        <v>3.0676363676126896E-2</v>
      </c>
      <c r="P190" s="362">
        <f t="shared" si="8"/>
        <v>5901947.2965442529</v>
      </c>
      <c r="Q190" s="362">
        <f t="shared" si="9"/>
        <v>5901947.2965442529</v>
      </c>
      <c r="R190" s="363">
        <f t="shared" si="10"/>
        <v>0</v>
      </c>
    </row>
    <row r="191" spans="1:18">
      <c r="A191" s="359" t="str">
        <f>'Func Future Lines 2015'!A191</f>
        <v>PPS</v>
      </c>
      <c r="B191" s="359" t="str">
        <f>'Func Future Lines 2015'!B191</f>
        <v>850L/911L salvage_180</v>
      </c>
      <c r="C191" s="359">
        <f>'Func Future Lines 2015'!C191</f>
        <v>1117</v>
      </c>
      <c r="D191" s="359">
        <f>'Func Future Lines 2015'!D191</f>
        <v>240</v>
      </c>
      <c r="E191" s="359">
        <f>'Func Future Lines 2015'!E191</f>
        <v>0</v>
      </c>
      <c r="F191" s="359">
        <f>'Func Future Lines 2015'!F191</f>
        <v>0</v>
      </c>
      <c r="G191" s="359">
        <f>'Func Future Lines 2015'!G191</f>
        <v>40534.58651700589</v>
      </c>
      <c r="H191" s="359" t="str">
        <f>'Func Future Lines 2015'!H191</f>
        <v>AltaLink</v>
      </c>
      <c r="I191" s="359">
        <f>'Func Future Lines 2015'!I191</f>
        <v>2015</v>
      </c>
      <c r="J191" s="361">
        <f>+IF($I191=J$3,VLOOKUP($H191,Depreciation!$A$6:$L$10,7,FALSE)/2,IF($I191&lt;J$3,VLOOKUP($H191,Depreciation!$A$6:$L$10,7,FALSE),0))</f>
        <v>1.595020804044691E-2</v>
      </c>
      <c r="K191" s="361">
        <f>+IF($I191=K$3,VLOOKUP($H191,Depreciation!$A$6:$L$10,8,FALSE)/2,IF($I191&lt;K$3,VLOOKUP($H191,Depreciation!$A$6:$L$10,8,FALSE),0))</f>
        <v>3.0676363676126896E-2</v>
      </c>
      <c r="L191" s="361">
        <f>+IF($I191=L$3,VLOOKUP($H191,Depreciation!$A$6:$L$10,9,FALSE)/2,IF($I191&lt;L$3,VLOOKUP($H191,Depreciation!$A$6:$L$10,9,FALSE),0))</f>
        <v>3.0676363676126896E-2</v>
      </c>
      <c r="M191" s="361">
        <f>+IF($I191=M$3,VLOOKUP($H191,Depreciation!$A$6:$L$10,10,FALSE)/2,IF($I191&lt;M$3,VLOOKUP($H191,Depreciation!$A$6:$L$10,10,FALSE),0))</f>
        <v>3.0676363676126896E-2</v>
      </c>
      <c r="N191" s="361">
        <f>+IF($I191=N$3,VLOOKUP($H191,Depreciation!$A$6:$L$10,11,FALSE)/2,IF($I191&lt;N$3,VLOOKUP($H191,Depreciation!$A$6:$L$10,11,FALSE),0))</f>
        <v>3.0676363676126896E-2</v>
      </c>
      <c r="O191" s="361">
        <f>+IF($I191=O$3,VLOOKUP($H191,Depreciation!$A$6:$L$10,12,FALSE)/2,IF($I191&lt;O$3,VLOOKUP($H191,Depreciation!$A$6:$L$10,12,FALSE),0))</f>
        <v>3.0676363676126896E-2</v>
      </c>
      <c r="P191" s="362">
        <f t="shared" si="8"/>
        <v>37478.34690880838</v>
      </c>
      <c r="Q191" s="362">
        <f t="shared" si="9"/>
        <v>37478.34690880838</v>
      </c>
      <c r="R191" s="363">
        <f t="shared" si="10"/>
        <v>0</v>
      </c>
    </row>
    <row r="192" spans="1:18">
      <c r="A192" s="359" t="str">
        <f>'Func Future Lines 2015'!A192</f>
        <v>PPS</v>
      </c>
      <c r="B192" s="359" t="str">
        <f>'Func Future Lines 2015'!B192</f>
        <v>850L/911L_(v180)</v>
      </c>
      <c r="C192" s="359">
        <f>'Func Future Lines 2015'!C192</f>
        <v>1117</v>
      </c>
      <c r="D192" s="359">
        <f>'Func Future Lines 2015'!D192</f>
        <v>240</v>
      </c>
      <c r="E192" s="359">
        <f>'Func Future Lines 2015'!E192</f>
        <v>0</v>
      </c>
      <c r="F192" s="359" t="str">
        <f>'Func Future Lines 2015'!F192</f>
        <v>Calgary</v>
      </c>
      <c r="G192" s="359">
        <f>'Func Future Lines 2015'!G192</f>
        <v>4954996.4948249059</v>
      </c>
      <c r="H192" s="359" t="str">
        <f>'Func Future Lines 2015'!H192</f>
        <v>AltaLink</v>
      </c>
      <c r="I192" s="359">
        <f>'Func Future Lines 2015'!I192</f>
        <v>2015</v>
      </c>
      <c r="J192" s="361">
        <f>+IF($I192=J$3,VLOOKUP($H192,Depreciation!$A$6:$L$10,7,FALSE)/2,IF($I192&lt;J$3,VLOOKUP($H192,Depreciation!$A$6:$L$10,7,FALSE),0))</f>
        <v>1.595020804044691E-2</v>
      </c>
      <c r="K192" s="361">
        <f>+IF($I192=K$3,VLOOKUP($H192,Depreciation!$A$6:$L$10,8,FALSE)/2,IF($I192&lt;K$3,VLOOKUP($H192,Depreciation!$A$6:$L$10,8,FALSE),0))</f>
        <v>3.0676363676126896E-2</v>
      </c>
      <c r="L192" s="361">
        <f>+IF($I192=L$3,VLOOKUP($H192,Depreciation!$A$6:$L$10,9,FALSE)/2,IF($I192&lt;L$3,VLOOKUP($H192,Depreciation!$A$6:$L$10,9,FALSE),0))</f>
        <v>3.0676363676126896E-2</v>
      </c>
      <c r="M192" s="361">
        <f>+IF($I192=M$3,VLOOKUP($H192,Depreciation!$A$6:$L$10,10,FALSE)/2,IF($I192&lt;M$3,VLOOKUP($H192,Depreciation!$A$6:$L$10,10,FALSE),0))</f>
        <v>3.0676363676126896E-2</v>
      </c>
      <c r="N192" s="361">
        <f>+IF($I192=N$3,VLOOKUP($H192,Depreciation!$A$6:$L$10,11,FALSE)/2,IF($I192&lt;N$3,VLOOKUP($H192,Depreciation!$A$6:$L$10,11,FALSE),0))</f>
        <v>3.0676363676126896E-2</v>
      </c>
      <c r="O192" s="361">
        <f>+IF($I192=O$3,VLOOKUP($H192,Depreciation!$A$6:$L$10,12,FALSE)/2,IF($I192&lt;O$3,VLOOKUP($H192,Depreciation!$A$6:$L$10,12,FALSE),0))</f>
        <v>3.0676363676126896E-2</v>
      </c>
      <c r="P192" s="362">
        <f t="shared" si="8"/>
        <v>4581398.0978211444</v>
      </c>
      <c r="Q192" s="362">
        <f t="shared" si="9"/>
        <v>4581398.0978211444</v>
      </c>
      <c r="R192" s="363">
        <f t="shared" si="10"/>
        <v>0</v>
      </c>
    </row>
    <row r="193" spans="1:18">
      <c r="A193" s="359" t="str">
        <f>'Func Future Lines 2015'!A193</f>
        <v>PPS</v>
      </c>
      <c r="B193" s="359" t="str">
        <f>'Func Future Lines 2015'!B193</f>
        <v>850L/911L_(v180)</v>
      </c>
      <c r="C193" s="359">
        <f>'Func Future Lines 2015'!C193</f>
        <v>1117</v>
      </c>
      <c r="D193" s="359">
        <f>'Func Future Lines 2015'!D193</f>
        <v>240</v>
      </c>
      <c r="E193" s="359">
        <f>'Func Future Lines 2015'!E193</f>
        <v>0</v>
      </c>
      <c r="F193" s="359" t="str">
        <f>'Func Future Lines 2015'!F193</f>
        <v>Calgary</v>
      </c>
      <c r="G193" s="359">
        <f>'Func Future Lines 2015'!G193</f>
        <v>6050519.460335305</v>
      </c>
      <c r="H193" s="359" t="str">
        <f>'Func Future Lines 2015'!H193</f>
        <v>AltaLink</v>
      </c>
      <c r="I193" s="359">
        <f>'Func Future Lines 2015'!I193</f>
        <v>2015</v>
      </c>
      <c r="J193" s="361">
        <f>+IF($I193=J$3,VLOOKUP($H193,Depreciation!$A$6:$L$10,7,FALSE)/2,IF($I193&lt;J$3,VLOOKUP($H193,Depreciation!$A$6:$L$10,7,FALSE),0))</f>
        <v>1.595020804044691E-2</v>
      </c>
      <c r="K193" s="361">
        <f>+IF($I193=K$3,VLOOKUP($H193,Depreciation!$A$6:$L$10,8,FALSE)/2,IF($I193&lt;K$3,VLOOKUP($H193,Depreciation!$A$6:$L$10,8,FALSE),0))</f>
        <v>3.0676363676126896E-2</v>
      </c>
      <c r="L193" s="361">
        <f>+IF($I193=L$3,VLOOKUP($H193,Depreciation!$A$6:$L$10,9,FALSE)/2,IF($I193&lt;L$3,VLOOKUP($H193,Depreciation!$A$6:$L$10,9,FALSE),0))</f>
        <v>3.0676363676126896E-2</v>
      </c>
      <c r="M193" s="361">
        <f>+IF($I193=M$3,VLOOKUP($H193,Depreciation!$A$6:$L$10,10,FALSE)/2,IF($I193&lt;M$3,VLOOKUP($H193,Depreciation!$A$6:$L$10,10,FALSE),0))</f>
        <v>3.0676363676126896E-2</v>
      </c>
      <c r="N193" s="361">
        <f>+IF($I193=N$3,VLOOKUP($H193,Depreciation!$A$6:$L$10,11,FALSE)/2,IF($I193&lt;N$3,VLOOKUP($H193,Depreciation!$A$6:$L$10,11,FALSE),0))</f>
        <v>3.0676363676126896E-2</v>
      </c>
      <c r="O193" s="361">
        <f>+IF($I193=O$3,VLOOKUP($H193,Depreciation!$A$6:$L$10,12,FALSE)/2,IF($I193&lt;O$3,VLOOKUP($H193,Depreciation!$A$6:$L$10,12,FALSE),0))</f>
        <v>3.0676363676126896E-2</v>
      </c>
      <c r="P193" s="362">
        <f t="shared" si="8"/>
        <v>5594320.4753749315</v>
      </c>
      <c r="Q193" s="362">
        <f t="shared" si="9"/>
        <v>5594320.4753749315</v>
      </c>
      <c r="R193" s="363">
        <f t="shared" si="10"/>
        <v>0</v>
      </c>
    </row>
    <row r="194" spans="1:18">
      <c r="A194" s="359" t="str">
        <f>'Func Future Lines 2015'!A194</f>
        <v>PPS</v>
      </c>
      <c r="B194" s="359" t="str">
        <f>'Func Future Lines 2015'!B194</f>
        <v>911L temporary line_180</v>
      </c>
      <c r="C194" s="359">
        <f>'Func Future Lines 2015'!C194</f>
        <v>1117</v>
      </c>
      <c r="D194" s="359">
        <f>'Func Future Lines 2015'!D194</f>
        <v>240</v>
      </c>
      <c r="E194" s="359">
        <f>'Func Future Lines 2015'!E194</f>
        <v>0</v>
      </c>
      <c r="F194" s="359">
        <f>'Func Future Lines 2015'!F194</f>
        <v>0</v>
      </c>
      <c r="G194" s="359">
        <f>'Func Future Lines 2015'!G194</f>
        <v>5690283.8596253982</v>
      </c>
      <c r="H194" s="359" t="str">
        <f>'Func Future Lines 2015'!H194</f>
        <v>AltaLink</v>
      </c>
      <c r="I194" s="359">
        <f>'Func Future Lines 2015'!I194</f>
        <v>2015</v>
      </c>
      <c r="J194" s="361">
        <f>+IF($I194=J$3,VLOOKUP($H194,Depreciation!$A$6:$L$10,7,FALSE)/2,IF($I194&lt;J$3,VLOOKUP($H194,Depreciation!$A$6:$L$10,7,FALSE),0))</f>
        <v>1.595020804044691E-2</v>
      </c>
      <c r="K194" s="361">
        <f>+IF($I194=K$3,VLOOKUP($H194,Depreciation!$A$6:$L$10,8,FALSE)/2,IF($I194&lt;K$3,VLOOKUP($H194,Depreciation!$A$6:$L$10,8,FALSE),0))</f>
        <v>3.0676363676126896E-2</v>
      </c>
      <c r="L194" s="361">
        <f>+IF($I194=L$3,VLOOKUP($H194,Depreciation!$A$6:$L$10,9,FALSE)/2,IF($I194&lt;L$3,VLOOKUP($H194,Depreciation!$A$6:$L$10,9,FALSE),0))</f>
        <v>3.0676363676126896E-2</v>
      </c>
      <c r="M194" s="361">
        <f>+IF($I194=M$3,VLOOKUP($H194,Depreciation!$A$6:$L$10,10,FALSE)/2,IF($I194&lt;M$3,VLOOKUP($H194,Depreciation!$A$6:$L$10,10,FALSE),0))</f>
        <v>3.0676363676126896E-2</v>
      </c>
      <c r="N194" s="361">
        <f>+IF($I194=N$3,VLOOKUP($H194,Depreciation!$A$6:$L$10,11,FALSE)/2,IF($I194&lt;N$3,VLOOKUP($H194,Depreciation!$A$6:$L$10,11,FALSE),0))</f>
        <v>3.0676363676126896E-2</v>
      </c>
      <c r="O194" s="361">
        <f>+IF($I194=O$3,VLOOKUP($H194,Depreciation!$A$6:$L$10,12,FALSE)/2,IF($I194&lt;O$3,VLOOKUP($H194,Depreciation!$A$6:$L$10,12,FALSE),0))</f>
        <v>3.0676363676126896E-2</v>
      </c>
      <c r="P194" s="362">
        <f t="shared" si="8"/>
        <v>5261246.0327222431</v>
      </c>
      <c r="Q194" s="362">
        <f t="shared" si="9"/>
        <v>5261246.0327222431</v>
      </c>
      <c r="R194" s="363">
        <f t="shared" si="10"/>
        <v>0</v>
      </c>
    </row>
    <row r="195" spans="1:18">
      <c r="A195" s="359" t="str">
        <f>'Func Future Lines 2015'!A195</f>
        <v>PPS</v>
      </c>
      <c r="B195" s="359" t="str">
        <f>'Func Future Lines 2015'!B195</f>
        <v>936L/937L_(v180)</v>
      </c>
      <c r="C195" s="359">
        <f>'Func Future Lines 2015'!C195</f>
        <v>1117</v>
      </c>
      <c r="D195" s="359">
        <f>'Func Future Lines 2015'!D195</f>
        <v>240</v>
      </c>
      <c r="E195" s="359">
        <f>'Func Future Lines 2015'!E195</f>
        <v>0</v>
      </c>
      <c r="F195" s="359" t="str">
        <f>'Func Future Lines 2015'!F195</f>
        <v>Calgary</v>
      </c>
      <c r="G195" s="359">
        <f>'Func Future Lines 2015'!G195</f>
        <v>5966110.3138123723</v>
      </c>
      <c r="H195" s="359" t="str">
        <f>'Func Future Lines 2015'!H195</f>
        <v>AltaLink</v>
      </c>
      <c r="I195" s="359">
        <f>'Func Future Lines 2015'!I195</f>
        <v>2015</v>
      </c>
      <c r="J195" s="361">
        <f>+IF($I195=J$3,VLOOKUP($H195,Depreciation!$A$6:$L$10,7,FALSE)/2,IF($I195&lt;J$3,VLOOKUP($H195,Depreciation!$A$6:$L$10,7,FALSE),0))</f>
        <v>1.595020804044691E-2</v>
      </c>
      <c r="K195" s="361">
        <f>+IF($I195=K$3,VLOOKUP($H195,Depreciation!$A$6:$L$10,8,FALSE)/2,IF($I195&lt;K$3,VLOOKUP($H195,Depreciation!$A$6:$L$10,8,FALSE),0))</f>
        <v>3.0676363676126896E-2</v>
      </c>
      <c r="L195" s="361">
        <f>+IF($I195=L$3,VLOOKUP($H195,Depreciation!$A$6:$L$10,9,FALSE)/2,IF($I195&lt;L$3,VLOOKUP($H195,Depreciation!$A$6:$L$10,9,FALSE),0))</f>
        <v>3.0676363676126896E-2</v>
      </c>
      <c r="M195" s="361">
        <f>+IF($I195=M$3,VLOOKUP($H195,Depreciation!$A$6:$L$10,10,FALSE)/2,IF($I195&lt;M$3,VLOOKUP($H195,Depreciation!$A$6:$L$10,10,FALSE),0))</f>
        <v>3.0676363676126896E-2</v>
      </c>
      <c r="N195" s="361">
        <f>+IF($I195=N$3,VLOOKUP($H195,Depreciation!$A$6:$L$10,11,FALSE)/2,IF($I195&lt;N$3,VLOOKUP($H195,Depreciation!$A$6:$L$10,11,FALSE),0))</f>
        <v>3.0676363676126896E-2</v>
      </c>
      <c r="O195" s="361">
        <f>+IF($I195=O$3,VLOOKUP($H195,Depreciation!$A$6:$L$10,12,FALSE)/2,IF($I195&lt;O$3,VLOOKUP($H195,Depreciation!$A$6:$L$10,12,FALSE),0))</f>
        <v>3.0676363676126896E-2</v>
      </c>
      <c r="P195" s="362">
        <f t="shared" si="8"/>
        <v>5516275.6364486553</v>
      </c>
      <c r="Q195" s="362">
        <f t="shared" si="9"/>
        <v>5516275.6364486553</v>
      </c>
      <c r="R195" s="363">
        <f t="shared" si="10"/>
        <v>0</v>
      </c>
    </row>
    <row r="196" spans="1:18">
      <c r="A196" s="359" t="str">
        <f>'Func Future Lines 2015'!A196</f>
        <v>PPS</v>
      </c>
      <c r="B196" s="359" t="str">
        <f>'Func Future Lines 2015'!B196</f>
        <v>936L/937L_(v180)</v>
      </c>
      <c r="C196" s="359">
        <f>'Func Future Lines 2015'!C196</f>
        <v>1117</v>
      </c>
      <c r="D196" s="359">
        <f>'Func Future Lines 2015'!D196</f>
        <v>240</v>
      </c>
      <c r="E196" s="359">
        <f>'Func Future Lines 2015'!E196</f>
        <v>0</v>
      </c>
      <c r="F196" s="359" t="str">
        <f>'Func Future Lines 2015'!F196</f>
        <v>Calgary</v>
      </c>
      <c r="G196" s="359">
        <f>'Func Future Lines 2015'!G196</f>
        <v>5966110.3138123723</v>
      </c>
      <c r="H196" s="359" t="str">
        <f>'Func Future Lines 2015'!H196</f>
        <v>AltaLink</v>
      </c>
      <c r="I196" s="359">
        <f>'Func Future Lines 2015'!I196</f>
        <v>2015</v>
      </c>
      <c r="J196" s="361">
        <f>+IF($I196=J$3,VLOOKUP($H196,Depreciation!$A$6:$L$10,7,FALSE)/2,IF($I196&lt;J$3,VLOOKUP($H196,Depreciation!$A$6:$L$10,7,FALSE),0))</f>
        <v>1.595020804044691E-2</v>
      </c>
      <c r="K196" s="361">
        <f>+IF($I196=K$3,VLOOKUP($H196,Depreciation!$A$6:$L$10,8,FALSE)/2,IF($I196&lt;K$3,VLOOKUP($H196,Depreciation!$A$6:$L$10,8,FALSE),0))</f>
        <v>3.0676363676126896E-2</v>
      </c>
      <c r="L196" s="361">
        <f>+IF($I196=L$3,VLOOKUP($H196,Depreciation!$A$6:$L$10,9,FALSE)/2,IF($I196&lt;L$3,VLOOKUP($H196,Depreciation!$A$6:$L$10,9,FALSE),0))</f>
        <v>3.0676363676126896E-2</v>
      </c>
      <c r="M196" s="361">
        <f>+IF($I196=M$3,VLOOKUP($H196,Depreciation!$A$6:$L$10,10,FALSE)/2,IF($I196&lt;M$3,VLOOKUP($H196,Depreciation!$A$6:$L$10,10,FALSE),0))</f>
        <v>3.0676363676126896E-2</v>
      </c>
      <c r="N196" s="361">
        <f>+IF($I196=N$3,VLOOKUP($H196,Depreciation!$A$6:$L$10,11,FALSE)/2,IF($I196&lt;N$3,VLOOKUP($H196,Depreciation!$A$6:$L$10,11,FALSE),0))</f>
        <v>3.0676363676126896E-2</v>
      </c>
      <c r="O196" s="361">
        <f>+IF($I196=O$3,VLOOKUP($H196,Depreciation!$A$6:$L$10,12,FALSE)/2,IF($I196&lt;O$3,VLOOKUP($H196,Depreciation!$A$6:$L$10,12,FALSE),0))</f>
        <v>3.0676363676126896E-2</v>
      </c>
      <c r="P196" s="362">
        <f t="shared" si="8"/>
        <v>5516275.6364486553</v>
      </c>
      <c r="Q196" s="362">
        <f t="shared" si="9"/>
        <v>5516275.6364486553</v>
      </c>
      <c r="R196" s="363">
        <f t="shared" si="10"/>
        <v>0</v>
      </c>
    </row>
    <row r="197" spans="1:18">
      <c r="A197" s="359" t="str">
        <f>'Func Future Lines 2015'!A197</f>
        <v>PPS</v>
      </c>
      <c r="B197" s="359" t="str">
        <f>'Func Future Lines 2015'!B197</f>
        <v>937L UG_(v180)</v>
      </c>
      <c r="C197" s="359">
        <f>'Func Future Lines 2015'!C197</f>
        <v>1117</v>
      </c>
      <c r="D197" s="359">
        <f>'Func Future Lines 2015'!D197</f>
        <v>240</v>
      </c>
      <c r="E197" s="359">
        <f>'Func Future Lines 2015'!E197</f>
        <v>0</v>
      </c>
      <c r="F197" s="359" t="str">
        <f>'Func Future Lines 2015'!F197</f>
        <v>Calgary</v>
      </c>
      <c r="G197" s="359">
        <f>'Func Future Lines 2015'!G197</f>
        <v>6197786.4819285059</v>
      </c>
      <c r="H197" s="359" t="str">
        <f>'Func Future Lines 2015'!H197</f>
        <v>AltaLink</v>
      </c>
      <c r="I197" s="359">
        <f>'Func Future Lines 2015'!I197</f>
        <v>2015</v>
      </c>
      <c r="J197" s="361">
        <f>+IF($I197=J$3,VLOOKUP($H197,Depreciation!$A$6:$L$10,7,FALSE)/2,IF($I197&lt;J$3,VLOOKUP($H197,Depreciation!$A$6:$L$10,7,FALSE),0))</f>
        <v>1.595020804044691E-2</v>
      </c>
      <c r="K197" s="361">
        <f>+IF($I197=K$3,VLOOKUP($H197,Depreciation!$A$6:$L$10,8,FALSE)/2,IF($I197&lt;K$3,VLOOKUP($H197,Depreciation!$A$6:$L$10,8,FALSE),0))</f>
        <v>3.0676363676126896E-2</v>
      </c>
      <c r="L197" s="361">
        <f>+IF($I197=L$3,VLOOKUP($H197,Depreciation!$A$6:$L$10,9,FALSE)/2,IF($I197&lt;L$3,VLOOKUP($H197,Depreciation!$A$6:$L$10,9,FALSE),0))</f>
        <v>3.0676363676126896E-2</v>
      </c>
      <c r="M197" s="361">
        <f>+IF($I197=M$3,VLOOKUP($H197,Depreciation!$A$6:$L$10,10,FALSE)/2,IF($I197&lt;M$3,VLOOKUP($H197,Depreciation!$A$6:$L$10,10,FALSE),0))</f>
        <v>3.0676363676126896E-2</v>
      </c>
      <c r="N197" s="361">
        <f>+IF($I197=N$3,VLOOKUP($H197,Depreciation!$A$6:$L$10,11,FALSE)/2,IF($I197&lt;N$3,VLOOKUP($H197,Depreciation!$A$6:$L$10,11,FALSE),0))</f>
        <v>3.0676363676126896E-2</v>
      </c>
      <c r="O197" s="361">
        <f>+IF($I197=O$3,VLOOKUP($H197,Depreciation!$A$6:$L$10,12,FALSE)/2,IF($I197&lt;O$3,VLOOKUP($H197,Depreciation!$A$6:$L$10,12,FALSE),0))</f>
        <v>3.0676363676126896E-2</v>
      </c>
      <c r="P197" s="362">
        <f t="shared" ref="P197:P260" si="11">IF(I197&lt;=2017,G197*(1-J197)*(1-K197)*(1-L197),0)</f>
        <v>5730483.811373964</v>
      </c>
      <c r="Q197" s="362">
        <f t="shared" ref="Q197:Q260" si="12">IF(D197&gt;=240,P197,0)</f>
        <v>5730483.811373964</v>
      </c>
      <c r="R197" s="363">
        <f t="shared" ref="R197:R260" si="13">IF(AND(D197&gt;25,D197&lt;240),P197,0)</f>
        <v>0</v>
      </c>
    </row>
    <row r="198" spans="1:18">
      <c r="A198" s="359" t="str">
        <f>'Func Future Lines 2015'!A198</f>
        <v>PPS</v>
      </c>
      <c r="B198" s="359" t="str">
        <f>'Func Future Lines 2015'!B198</f>
        <v>7L167 Transmission Line</v>
      </c>
      <c r="C198" s="359">
        <f>'Func Future Lines 2015'!C198</f>
        <v>1128</v>
      </c>
      <c r="D198" s="359">
        <f>'Func Future Lines 2015'!D198</f>
        <v>144</v>
      </c>
      <c r="E198" s="359">
        <f>'Func Future Lines 2015'!E198</f>
        <v>0</v>
      </c>
      <c r="F198" s="359" t="str">
        <f>'Func Future Lines 2015'!F198</f>
        <v>Fort McMurray</v>
      </c>
      <c r="G198" s="359">
        <f>'Func Future Lines 2015'!G198</f>
        <v>5836667.1107417718</v>
      </c>
      <c r="H198" s="359" t="str">
        <f>'Func Future Lines 2015'!H198</f>
        <v>ATCO</v>
      </c>
      <c r="I198" s="359">
        <f>'Func Future Lines 2015'!I198</f>
        <v>2015</v>
      </c>
      <c r="J198" s="361">
        <f>+IF($I198=J$3,VLOOKUP($H198,Depreciation!$A$6:$L$10,7,FALSE)/2,IF($I198&lt;J$3,VLOOKUP($H198,Depreciation!$A$6:$L$10,7,FALSE),0))</f>
        <v>1.239102859091515E-2</v>
      </c>
      <c r="K198" s="361">
        <f>+IF($I198=K$3,VLOOKUP($H198,Depreciation!$A$6:$L$10,8,FALSE)/2,IF($I198&lt;K$3,VLOOKUP($H198,Depreciation!$A$6:$L$10,8,FALSE),0))</f>
        <v>2.3943859731006666E-2</v>
      </c>
      <c r="L198" s="361">
        <f>+IF($I198=L$3,VLOOKUP($H198,Depreciation!$A$6:$L$10,9,FALSE)/2,IF($I198&lt;L$3,VLOOKUP($H198,Depreciation!$A$6:$L$10,9,FALSE),0))</f>
        <v>2.4002037926855919E-2</v>
      </c>
      <c r="M198" s="361">
        <f>+IF($I198=M$3,VLOOKUP($H198,Depreciation!$A$6:$L$10,10,FALSE)/2,IF($I198&lt;M$3,VLOOKUP($H198,Depreciation!$A$6:$L$10,10,FALSE),0))</f>
        <v>2.4002037926855919E-2</v>
      </c>
      <c r="N198" s="361">
        <f>+IF($I198=N$3,VLOOKUP($H198,Depreciation!$A$6:$L$10,11,FALSE)/2,IF($I198&lt;N$3,VLOOKUP($H198,Depreciation!$A$6:$L$10,11,FALSE),0))</f>
        <v>2.4002037926855919E-2</v>
      </c>
      <c r="O198" s="361">
        <f>+IF($I198=O$3,VLOOKUP($H198,Depreciation!$A$6:$L$10,12,FALSE)/2,IF($I198&lt;O$3,VLOOKUP($H198,Depreciation!$A$6:$L$10,12,FALSE),0))</f>
        <v>2.4002037926855919E-2</v>
      </c>
      <c r="P198" s="362">
        <f t="shared" si="11"/>
        <v>5491280.8929670919</v>
      </c>
      <c r="Q198" s="362">
        <f t="shared" si="12"/>
        <v>0</v>
      </c>
      <c r="R198" s="363">
        <f t="shared" si="13"/>
        <v>5491280.8929670919</v>
      </c>
    </row>
    <row r="199" spans="1:18">
      <c r="A199" s="359" t="str">
        <f>'Func Future Lines 2015'!A199</f>
        <v>PPS</v>
      </c>
      <c r="B199" s="359" t="str">
        <f>'Func Future Lines 2015'!B199</f>
        <v>7L183 transmission line</v>
      </c>
      <c r="C199" s="359">
        <f>'Func Future Lines 2015'!C199</f>
        <v>1128</v>
      </c>
      <c r="D199" s="359">
        <f>'Func Future Lines 2015'!D199</f>
        <v>144</v>
      </c>
      <c r="E199" s="359">
        <f>'Func Future Lines 2015'!E199</f>
        <v>0</v>
      </c>
      <c r="F199" s="359">
        <f>'Func Future Lines 2015'!F199</f>
        <v>0</v>
      </c>
      <c r="G199" s="359">
        <f>'Func Future Lines 2015'!G199</f>
        <v>9964313.8981428742</v>
      </c>
      <c r="H199" s="359" t="str">
        <f>'Func Future Lines 2015'!H199</f>
        <v>ATCO</v>
      </c>
      <c r="I199" s="359">
        <f>'Func Future Lines 2015'!I199</f>
        <v>2015</v>
      </c>
      <c r="J199" s="361">
        <f>+IF($I199=J$3,VLOOKUP($H199,Depreciation!$A$6:$L$10,7,FALSE)/2,IF($I199&lt;J$3,VLOOKUP($H199,Depreciation!$A$6:$L$10,7,FALSE),0))</f>
        <v>1.239102859091515E-2</v>
      </c>
      <c r="K199" s="361">
        <f>+IF($I199=K$3,VLOOKUP($H199,Depreciation!$A$6:$L$10,8,FALSE)/2,IF($I199&lt;K$3,VLOOKUP($H199,Depreciation!$A$6:$L$10,8,FALSE),0))</f>
        <v>2.3943859731006666E-2</v>
      </c>
      <c r="L199" s="361">
        <f>+IF($I199=L$3,VLOOKUP($H199,Depreciation!$A$6:$L$10,9,FALSE)/2,IF($I199&lt;L$3,VLOOKUP($H199,Depreciation!$A$6:$L$10,9,FALSE),0))</f>
        <v>2.4002037926855919E-2</v>
      </c>
      <c r="M199" s="361">
        <f>+IF($I199=M$3,VLOOKUP($H199,Depreciation!$A$6:$L$10,10,FALSE)/2,IF($I199&lt;M$3,VLOOKUP($H199,Depreciation!$A$6:$L$10,10,FALSE),0))</f>
        <v>2.4002037926855919E-2</v>
      </c>
      <c r="N199" s="361">
        <f>+IF($I199=N$3,VLOOKUP($H199,Depreciation!$A$6:$L$10,11,FALSE)/2,IF($I199&lt;N$3,VLOOKUP($H199,Depreciation!$A$6:$L$10,11,FALSE),0))</f>
        <v>2.4002037926855919E-2</v>
      </c>
      <c r="O199" s="361">
        <f>+IF($I199=O$3,VLOOKUP($H199,Depreciation!$A$6:$L$10,12,FALSE)/2,IF($I199&lt;O$3,VLOOKUP($H199,Depreciation!$A$6:$L$10,12,FALSE),0))</f>
        <v>2.4002037926855919E-2</v>
      </c>
      <c r="P199" s="362">
        <f t="shared" si="11"/>
        <v>9374673.1623082981</v>
      </c>
      <c r="Q199" s="362">
        <f t="shared" si="12"/>
        <v>0</v>
      </c>
      <c r="R199" s="363">
        <f t="shared" si="13"/>
        <v>9374673.1623082981</v>
      </c>
    </row>
    <row r="200" spans="1:18">
      <c r="A200" s="359" t="str">
        <f>'Func Future Lines 2015'!A200</f>
        <v>PPS</v>
      </c>
      <c r="B200" s="359" t="str">
        <f>'Func Future Lines 2015'!B200</f>
        <v>9L08 and 9L76 240kV s/c line</v>
      </c>
      <c r="C200" s="359">
        <f>'Func Future Lines 2015'!C200</f>
        <v>1180</v>
      </c>
      <c r="D200" s="359">
        <f>'Func Future Lines 2015'!D200</f>
        <v>240</v>
      </c>
      <c r="E200" s="359">
        <f>'Func Future Lines 2015'!E200</f>
        <v>0</v>
      </c>
      <c r="F200" s="359" t="str">
        <f>'Func Future Lines 2015'!F200</f>
        <v>Fort McMurray</v>
      </c>
      <c r="G200" s="359">
        <f>'Func Future Lines 2015'!G200</f>
        <v>0</v>
      </c>
      <c r="H200" s="359" t="str">
        <f>'Func Future Lines 2015'!H200</f>
        <v>ATCO</v>
      </c>
      <c r="I200" s="359">
        <f>'Func Future Lines 2015'!I200</f>
        <v>2100</v>
      </c>
      <c r="J200" s="361">
        <f>+IF($I200=J$3,VLOOKUP($H200,Depreciation!$A$6:$L$10,7,FALSE)/2,IF($I200&lt;J$3,VLOOKUP($H200,Depreciation!$A$6:$L$10,7,FALSE),0))</f>
        <v>0</v>
      </c>
      <c r="K200" s="361">
        <f>+IF($I200=K$3,VLOOKUP($H200,Depreciation!$A$6:$L$10,8,FALSE)/2,IF($I200&lt;K$3,VLOOKUP($H200,Depreciation!$A$6:$L$10,8,FALSE),0))</f>
        <v>0</v>
      </c>
      <c r="L200" s="361">
        <f>+IF($I200=L$3,VLOOKUP($H200,Depreciation!$A$6:$L$10,9,FALSE)/2,IF($I200&lt;L$3,VLOOKUP($H200,Depreciation!$A$6:$L$10,9,FALSE),0))</f>
        <v>0</v>
      </c>
      <c r="M200" s="361">
        <f>+IF($I200=M$3,VLOOKUP($H200,Depreciation!$A$6:$L$10,10,FALSE)/2,IF($I200&lt;M$3,VLOOKUP($H200,Depreciation!$A$6:$L$10,10,FALSE),0))</f>
        <v>0</v>
      </c>
      <c r="N200" s="361">
        <f>+IF($I200=N$3,VLOOKUP($H200,Depreciation!$A$6:$L$10,11,FALSE)/2,IF($I200&lt;N$3,VLOOKUP($H200,Depreciation!$A$6:$L$10,11,FALSE),0))</f>
        <v>0</v>
      </c>
      <c r="O200" s="361">
        <f>+IF($I200=O$3,VLOOKUP($H200,Depreciation!$A$6:$L$10,12,FALSE)/2,IF($I200&lt;O$3,VLOOKUP($H200,Depreciation!$A$6:$L$10,12,FALSE),0))</f>
        <v>0</v>
      </c>
      <c r="P200" s="362">
        <f t="shared" si="11"/>
        <v>0</v>
      </c>
      <c r="Q200" s="362">
        <f t="shared" si="12"/>
        <v>0</v>
      </c>
      <c r="R200" s="363">
        <f t="shared" si="13"/>
        <v>0</v>
      </c>
    </row>
    <row r="201" spans="1:18">
      <c r="A201" s="359" t="str">
        <f>'Func Future Lines 2015'!A201</f>
        <v>PPS</v>
      </c>
      <c r="B201" s="359" t="str">
        <f>'Func Future Lines 2015'!B201</f>
        <v>9L95</v>
      </c>
      <c r="C201" s="359">
        <f>'Func Future Lines 2015'!C201</f>
        <v>1180</v>
      </c>
      <c r="D201" s="359">
        <f>'Func Future Lines 2015'!D201</f>
        <v>240</v>
      </c>
      <c r="E201" s="359">
        <f>'Func Future Lines 2015'!E201</f>
        <v>0</v>
      </c>
      <c r="F201" s="359" t="str">
        <f>'Func Future Lines 2015'!F201</f>
        <v>Fort McMurray</v>
      </c>
      <c r="G201" s="359">
        <f>'Func Future Lines 2015'!G201</f>
        <v>0</v>
      </c>
      <c r="H201" s="359" t="str">
        <f>'Func Future Lines 2015'!H201</f>
        <v>ATCO</v>
      </c>
      <c r="I201" s="359">
        <f>'Func Future Lines 2015'!I201</f>
        <v>2100</v>
      </c>
      <c r="J201" s="361">
        <f>+IF($I201=J$3,VLOOKUP($H201,Depreciation!$A$6:$L$10,7,FALSE)/2,IF($I201&lt;J$3,VLOOKUP($H201,Depreciation!$A$6:$L$10,7,FALSE),0))</f>
        <v>0</v>
      </c>
      <c r="K201" s="361">
        <f>+IF($I201=K$3,VLOOKUP($H201,Depreciation!$A$6:$L$10,8,FALSE)/2,IF($I201&lt;K$3,VLOOKUP($H201,Depreciation!$A$6:$L$10,8,FALSE),0))</f>
        <v>0</v>
      </c>
      <c r="L201" s="361">
        <f>+IF($I201=L$3,VLOOKUP($H201,Depreciation!$A$6:$L$10,9,FALSE)/2,IF($I201&lt;L$3,VLOOKUP($H201,Depreciation!$A$6:$L$10,9,FALSE),0))</f>
        <v>0</v>
      </c>
      <c r="M201" s="361">
        <f>+IF($I201=M$3,VLOOKUP($H201,Depreciation!$A$6:$L$10,10,FALSE)/2,IF($I201&lt;M$3,VLOOKUP($H201,Depreciation!$A$6:$L$10,10,FALSE),0))</f>
        <v>0</v>
      </c>
      <c r="N201" s="361">
        <f>+IF($I201=N$3,VLOOKUP($H201,Depreciation!$A$6:$L$10,11,FALSE)/2,IF($I201&lt;N$3,VLOOKUP($H201,Depreciation!$A$6:$L$10,11,FALSE),0))</f>
        <v>0</v>
      </c>
      <c r="O201" s="361">
        <f>+IF($I201=O$3,VLOOKUP($H201,Depreciation!$A$6:$L$10,12,FALSE)/2,IF($I201&lt;O$3,VLOOKUP($H201,Depreciation!$A$6:$L$10,12,FALSE),0))</f>
        <v>0</v>
      </c>
      <c r="P201" s="362">
        <f t="shared" si="11"/>
        <v>0</v>
      </c>
      <c r="Q201" s="362">
        <f t="shared" si="12"/>
        <v>0</v>
      </c>
      <c r="R201" s="363">
        <f t="shared" si="13"/>
        <v>0</v>
      </c>
    </row>
    <row r="202" spans="1:18">
      <c r="A202" s="359" t="str">
        <f>'Func Future Lines 2015'!A202</f>
        <v>PPS</v>
      </c>
      <c r="B202" s="359" t="str">
        <f>'Func Future Lines 2015'!B202</f>
        <v>Construction of 1.3km of 240kV in/out on H-frame, 9L57 &amp; 9L74 180day</v>
      </c>
      <c r="C202" s="359">
        <f>'Func Future Lines 2015'!C202</f>
        <v>1180</v>
      </c>
      <c r="D202" s="359">
        <f>'Func Future Lines 2015'!D202</f>
        <v>240</v>
      </c>
      <c r="E202" s="359">
        <f>'Func Future Lines 2015'!E202</f>
        <v>0</v>
      </c>
      <c r="F202" s="359" t="str">
        <f>'Func Future Lines 2015'!F202</f>
        <v>Fort McMurray</v>
      </c>
      <c r="G202" s="359">
        <f>'Func Future Lines 2015'!G202</f>
        <v>0</v>
      </c>
      <c r="H202" s="359" t="str">
        <f>'Func Future Lines 2015'!H202</f>
        <v>ATCO</v>
      </c>
      <c r="I202" s="359">
        <f>'Func Future Lines 2015'!I202</f>
        <v>2100</v>
      </c>
      <c r="J202" s="361">
        <f>+IF($I202=J$3,VLOOKUP($H202,Depreciation!$A$6:$L$10,7,FALSE)/2,IF($I202&lt;J$3,VLOOKUP($H202,Depreciation!$A$6:$L$10,7,FALSE),0))</f>
        <v>0</v>
      </c>
      <c r="K202" s="361">
        <f>+IF($I202=K$3,VLOOKUP($H202,Depreciation!$A$6:$L$10,8,FALSE)/2,IF($I202&lt;K$3,VLOOKUP($H202,Depreciation!$A$6:$L$10,8,FALSE),0))</f>
        <v>0</v>
      </c>
      <c r="L202" s="361">
        <f>+IF($I202=L$3,VLOOKUP($H202,Depreciation!$A$6:$L$10,9,FALSE)/2,IF($I202&lt;L$3,VLOOKUP($H202,Depreciation!$A$6:$L$10,9,FALSE),0))</f>
        <v>0</v>
      </c>
      <c r="M202" s="361">
        <f>+IF($I202=M$3,VLOOKUP($H202,Depreciation!$A$6:$L$10,10,FALSE)/2,IF($I202&lt;M$3,VLOOKUP($H202,Depreciation!$A$6:$L$10,10,FALSE),0))</f>
        <v>0</v>
      </c>
      <c r="N202" s="361">
        <f>+IF($I202=N$3,VLOOKUP($H202,Depreciation!$A$6:$L$10,11,FALSE)/2,IF($I202&lt;N$3,VLOOKUP($H202,Depreciation!$A$6:$L$10,11,FALSE),0))</f>
        <v>0</v>
      </c>
      <c r="O202" s="361">
        <f>+IF($I202=O$3,VLOOKUP($H202,Depreciation!$A$6:$L$10,12,FALSE)/2,IF($I202&lt;O$3,VLOOKUP($H202,Depreciation!$A$6:$L$10,12,FALSE),0))</f>
        <v>0</v>
      </c>
      <c r="P202" s="362">
        <f t="shared" si="11"/>
        <v>0</v>
      </c>
      <c r="Q202" s="362">
        <f t="shared" si="12"/>
        <v>0</v>
      </c>
      <c r="R202" s="363">
        <f t="shared" si="13"/>
        <v>0</v>
      </c>
    </row>
    <row r="203" spans="1:18">
      <c r="A203" s="359" t="str">
        <f>'Func Future Lines 2015'!A203</f>
        <v>PPS</v>
      </c>
      <c r="B203" s="359" t="str">
        <f>'Func Future Lines 2015'!B203</f>
        <v xml:space="preserve"> 9L01</v>
      </c>
      <c r="C203" s="359">
        <f>'Func Future Lines 2015'!C203</f>
        <v>1186</v>
      </c>
      <c r="D203" s="359">
        <f>'Func Future Lines 2015'!D203</f>
        <v>240</v>
      </c>
      <c r="E203" s="359">
        <f>'Func Future Lines 2015'!E203</f>
        <v>0</v>
      </c>
      <c r="F203" s="359" t="str">
        <f>'Func Future Lines 2015'!F203</f>
        <v>Fort McMurray</v>
      </c>
      <c r="G203" s="359">
        <f>'Func Future Lines 2015'!G203</f>
        <v>24561972.623612437</v>
      </c>
      <c r="H203" s="359" t="str">
        <f>'Func Future Lines 2015'!H203</f>
        <v>ATCO</v>
      </c>
      <c r="I203" s="359">
        <f>'Func Future Lines 2015'!I203</f>
        <v>2018</v>
      </c>
      <c r="J203" s="361">
        <f>+IF($I203=J$3,VLOOKUP($H203,Depreciation!$A$6:$L$10,7,FALSE)/2,IF($I203&lt;J$3,VLOOKUP($H203,Depreciation!$A$6:$L$10,7,FALSE),0))</f>
        <v>0</v>
      </c>
      <c r="K203" s="361">
        <f>+IF($I203=K$3,VLOOKUP($H203,Depreciation!$A$6:$L$10,8,FALSE)/2,IF($I203&lt;K$3,VLOOKUP($H203,Depreciation!$A$6:$L$10,8,FALSE),0))</f>
        <v>0</v>
      </c>
      <c r="L203" s="361">
        <f>+IF($I203=L$3,VLOOKUP($H203,Depreciation!$A$6:$L$10,9,FALSE)/2,IF($I203&lt;L$3,VLOOKUP($H203,Depreciation!$A$6:$L$10,9,FALSE),0))</f>
        <v>0</v>
      </c>
      <c r="M203" s="361">
        <f>+IF($I203=M$3,VLOOKUP($H203,Depreciation!$A$6:$L$10,10,FALSE)/2,IF($I203&lt;M$3,VLOOKUP($H203,Depreciation!$A$6:$L$10,10,FALSE),0))</f>
        <v>1.2001018963427959E-2</v>
      </c>
      <c r="N203" s="361">
        <f>+IF($I203=N$3,VLOOKUP($H203,Depreciation!$A$6:$L$10,11,FALSE)/2,IF($I203&lt;N$3,VLOOKUP($H203,Depreciation!$A$6:$L$10,11,FALSE),0))</f>
        <v>2.4002037926855919E-2</v>
      </c>
      <c r="O203" s="361">
        <f>+IF($I203=O$3,VLOOKUP($H203,Depreciation!$A$6:$L$10,12,FALSE)/2,IF($I203&lt;O$3,VLOOKUP($H203,Depreciation!$A$6:$L$10,12,FALSE),0))</f>
        <v>2.4002037926855919E-2</v>
      </c>
      <c r="P203" s="362">
        <f t="shared" si="11"/>
        <v>0</v>
      </c>
      <c r="Q203" s="362">
        <f t="shared" si="12"/>
        <v>0</v>
      </c>
      <c r="R203" s="363">
        <f t="shared" si="13"/>
        <v>0</v>
      </c>
    </row>
    <row r="204" spans="1:18">
      <c r="A204" s="359" t="str">
        <f>'Func Future Lines 2015'!A204</f>
        <v>PPS</v>
      </c>
      <c r="B204" s="359" t="str">
        <f>'Func Future Lines 2015'!B204</f>
        <v>9L07</v>
      </c>
      <c r="C204" s="359">
        <f>'Func Future Lines 2015'!C204</f>
        <v>1186</v>
      </c>
      <c r="D204" s="359">
        <f>'Func Future Lines 2015'!D204</f>
        <v>240</v>
      </c>
      <c r="E204" s="359">
        <f>'Func Future Lines 2015'!E204</f>
        <v>0</v>
      </c>
      <c r="F204" s="359" t="str">
        <f>'Func Future Lines 2015'!F204</f>
        <v>Fort McMurray</v>
      </c>
      <c r="G204" s="359">
        <f>'Func Future Lines 2015'!G204</f>
        <v>5710678.2441424122</v>
      </c>
      <c r="H204" s="359" t="str">
        <f>'Func Future Lines 2015'!H204</f>
        <v>ATCO</v>
      </c>
      <c r="I204" s="359">
        <f>'Func Future Lines 2015'!I204</f>
        <v>2018</v>
      </c>
      <c r="J204" s="361">
        <f>+IF($I204=J$3,VLOOKUP($H204,Depreciation!$A$6:$L$10,7,FALSE)/2,IF($I204&lt;J$3,VLOOKUP($H204,Depreciation!$A$6:$L$10,7,FALSE),0))</f>
        <v>0</v>
      </c>
      <c r="K204" s="361">
        <f>+IF($I204=K$3,VLOOKUP($H204,Depreciation!$A$6:$L$10,8,FALSE)/2,IF($I204&lt;K$3,VLOOKUP($H204,Depreciation!$A$6:$L$10,8,FALSE),0))</f>
        <v>0</v>
      </c>
      <c r="L204" s="361">
        <f>+IF($I204=L$3,VLOOKUP($H204,Depreciation!$A$6:$L$10,9,FALSE)/2,IF($I204&lt;L$3,VLOOKUP($H204,Depreciation!$A$6:$L$10,9,FALSE),0))</f>
        <v>0</v>
      </c>
      <c r="M204" s="361">
        <f>+IF($I204=M$3,VLOOKUP($H204,Depreciation!$A$6:$L$10,10,FALSE)/2,IF($I204&lt;M$3,VLOOKUP($H204,Depreciation!$A$6:$L$10,10,FALSE),0))</f>
        <v>1.2001018963427959E-2</v>
      </c>
      <c r="N204" s="361">
        <f>+IF($I204=N$3,VLOOKUP($H204,Depreciation!$A$6:$L$10,11,FALSE)/2,IF($I204&lt;N$3,VLOOKUP($H204,Depreciation!$A$6:$L$10,11,FALSE),0))</f>
        <v>2.4002037926855919E-2</v>
      </c>
      <c r="O204" s="361">
        <f>+IF($I204=O$3,VLOOKUP($H204,Depreciation!$A$6:$L$10,12,FALSE)/2,IF($I204&lt;O$3,VLOOKUP($H204,Depreciation!$A$6:$L$10,12,FALSE),0))</f>
        <v>2.4002037926855919E-2</v>
      </c>
      <c r="P204" s="362">
        <f t="shared" si="11"/>
        <v>0</v>
      </c>
      <c r="Q204" s="362">
        <f t="shared" si="12"/>
        <v>0</v>
      </c>
      <c r="R204" s="363">
        <f t="shared" si="13"/>
        <v>0</v>
      </c>
    </row>
    <row r="205" spans="1:18">
      <c r="A205" s="359" t="str">
        <f>'Func Future Lines 2015'!A205</f>
        <v>PPS</v>
      </c>
      <c r="B205" s="359" t="str">
        <f>'Func Future Lines 2015'!B205</f>
        <v>9L112</v>
      </c>
      <c r="C205" s="359">
        <f>'Func Future Lines 2015'!C205</f>
        <v>1186</v>
      </c>
      <c r="D205" s="359">
        <f>'Func Future Lines 2015'!D205</f>
        <v>240</v>
      </c>
      <c r="E205" s="359">
        <f>'Func Future Lines 2015'!E205</f>
        <v>0</v>
      </c>
      <c r="F205" s="359" t="str">
        <f>'Func Future Lines 2015'!F205</f>
        <v>Fort McMurray</v>
      </c>
      <c r="G205" s="359">
        <f>'Func Future Lines 2015'!G205</f>
        <v>4958275.2426534528</v>
      </c>
      <c r="H205" s="359" t="str">
        <f>'Func Future Lines 2015'!H205</f>
        <v>ATCO</v>
      </c>
      <c r="I205" s="359">
        <f>'Func Future Lines 2015'!I205</f>
        <v>2018</v>
      </c>
      <c r="J205" s="361">
        <f>+IF($I205=J$3,VLOOKUP($H205,Depreciation!$A$6:$L$10,7,FALSE)/2,IF($I205&lt;J$3,VLOOKUP($H205,Depreciation!$A$6:$L$10,7,FALSE),0))</f>
        <v>0</v>
      </c>
      <c r="K205" s="361">
        <f>+IF($I205=K$3,VLOOKUP($H205,Depreciation!$A$6:$L$10,8,FALSE)/2,IF($I205&lt;K$3,VLOOKUP($H205,Depreciation!$A$6:$L$10,8,FALSE),0))</f>
        <v>0</v>
      </c>
      <c r="L205" s="361">
        <f>+IF($I205=L$3,VLOOKUP($H205,Depreciation!$A$6:$L$10,9,FALSE)/2,IF($I205&lt;L$3,VLOOKUP($H205,Depreciation!$A$6:$L$10,9,FALSE),0))</f>
        <v>0</v>
      </c>
      <c r="M205" s="361">
        <f>+IF($I205=M$3,VLOOKUP($H205,Depreciation!$A$6:$L$10,10,FALSE)/2,IF($I205&lt;M$3,VLOOKUP($H205,Depreciation!$A$6:$L$10,10,FALSE),0))</f>
        <v>1.2001018963427959E-2</v>
      </c>
      <c r="N205" s="361">
        <f>+IF($I205=N$3,VLOOKUP($H205,Depreciation!$A$6:$L$10,11,FALSE)/2,IF($I205&lt;N$3,VLOOKUP($H205,Depreciation!$A$6:$L$10,11,FALSE),0))</f>
        <v>2.4002037926855919E-2</v>
      </c>
      <c r="O205" s="361">
        <f>+IF($I205=O$3,VLOOKUP($H205,Depreciation!$A$6:$L$10,12,FALSE)/2,IF($I205&lt;O$3,VLOOKUP($H205,Depreciation!$A$6:$L$10,12,FALSE),0))</f>
        <v>2.4002037926855919E-2</v>
      </c>
      <c r="P205" s="362">
        <f t="shared" si="11"/>
        <v>0</v>
      </c>
      <c r="Q205" s="362">
        <f t="shared" si="12"/>
        <v>0</v>
      </c>
      <c r="R205" s="363">
        <f t="shared" si="13"/>
        <v>0</v>
      </c>
    </row>
    <row r="206" spans="1:18">
      <c r="A206" s="359" t="str">
        <f>'Func Future Lines 2015'!A206</f>
        <v>PPS</v>
      </c>
      <c r="B206" s="359" t="str">
        <f>'Func Future Lines 2015'!B206</f>
        <v>9L30</v>
      </c>
      <c r="C206" s="359">
        <f>'Func Future Lines 2015'!C206</f>
        <v>1186</v>
      </c>
      <c r="D206" s="359">
        <f>'Func Future Lines 2015'!D206</f>
        <v>240</v>
      </c>
      <c r="E206" s="359">
        <f>'Func Future Lines 2015'!E206</f>
        <v>0</v>
      </c>
      <c r="F206" s="359" t="str">
        <f>'Func Future Lines 2015'!F206</f>
        <v>Fort McMurray</v>
      </c>
      <c r="G206" s="359">
        <f>'Func Future Lines 2015'!G206</f>
        <v>24561820.810818728</v>
      </c>
      <c r="H206" s="359" t="str">
        <f>'Func Future Lines 2015'!H206</f>
        <v>ATCO</v>
      </c>
      <c r="I206" s="359">
        <f>'Func Future Lines 2015'!I206</f>
        <v>2018</v>
      </c>
      <c r="J206" s="361">
        <f>+IF($I206=J$3,VLOOKUP($H206,Depreciation!$A$6:$L$10,7,FALSE)/2,IF($I206&lt;J$3,VLOOKUP($H206,Depreciation!$A$6:$L$10,7,FALSE),0))</f>
        <v>0</v>
      </c>
      <c r="K206" s="361">
        <f>+IF($I206=K$3,VLOOKUP($H206,Depreciation!$A$6:$L$10,8,FALSE)/2,IF($I206&lt;K$3,VLOOKUP($H206,Depreciation!$A$6:$L$10,8,FALSE),0))</f>
        <v>0</v>
      </c>
      <c r="L206" s="361">
        <f>+IF($I206=L$3,VLOOKUP($H206,Depreciation!$A$6:$L$10,9,FALSE)/2,IF($I206&lt;L$3,VLOOKUP($H206,Depreciation!$A$6:$L$10,9,FALSE),0))</f>
        <v>0</v>
      </c>
      <c r="M206" s="361">
        <f>+IF($I206=M$3,VLOOKUP($H206,Depreciation!$A$6:$L$10,10,FALSE)/2,IF($I206&lt;M$3,VLOOKUP($H206,Depreciation!$A$6:$L$10,10,FALSE),0))</f>
        <v>1.2001018963427959E-2</v>
      </c>
      <c r="N206" s="361">
        <f>+IF($I206=N$3,VLOOKUP($H206,Depreciation!$A$6:$L$10,11,FALSE)/2,IF($I206&lt;N$3,VLOOKUP($H206,Depreciation!$A$6:$L$10,11,FALSE),0))</f>
        <v>2.4002037926855919E-2</v>
      </c>
      <c r="O206" s="361">
        <f>+IF($I206=O$3,VLOOKUP($H206,Depreciation!$A$6:$L$10,12,FALSE)/2,IF($I206&lt;O$3,VLOOKUP($H206,Depreciation!$A$6:$L$10,12,FALSE),0))</f>
        <v>2.4002037926855919E-2</v>
      </c>
      <c r="P206" s="362">
        <f t="shared" si="11"/>
        <v>0</v>
      </c>
      <c r="Q206" s="362">
        <f t="shared" si="12"/>
        <v>0</v>
      </c>
      <c r="R206" s="363">
        <f t="shared" si="13"/>
        <v>0</v>
      </c>
    </row>
    <row r="207" spans="1:18">
      <c r="A207" s="359" t="str">
        <f>'Func Future Lines 2015'!A207</f>
        <v>PPS</v>
      </c>
      <c r="B207" s="359" t="str">
        <f>'Func Future Lines 2015'!B207</f>
        <v>bypass 9L07/9L112</v>
      </c>
      <c r="C207" s="359">
        <f>'Func Future Lines 2015'!C207</f>
        <v>1186</v>
      </c>
      <c r="D207" s="359">
        <f>'Func Future Lines 2015'!D207</f>
        <v>240</v>
      </c>
      <c r="E207" s="359">
        <f>'Func Future Lines 2015'!E207</f>
        <v>0</v>
      </c>
      <c r="F207" s="359" t="str">
        <f>'Func Future Lines 2015'!F207</f>
        <v>Fort McMurray</v>
      </c>
      <c r="G207" s="359">
        <f>'Func Future Lines 2015'!G207</f>
        <v>424792.43850217451</v>
      </c>
      <c r="H207" s="359" t="str">
        <f>'Func Future Lines 2015'!H207</f>
        <v>ATCO</v>
      </c>
      <c r="I207" s="359">
        <f>'Func Future Lines 2015'!I207</f>
        <v>2018</v>
      </c>
      <c r="J207" s="361">
        <f>+IF($I207=J$3,VLOOKUP($H207,Depreciation!$A$6:$L$10,7,FALSE)/2,IF($I207&lt;J$3,VLOOKUP($H207,Depreciation!$A$6:$L$10,7,FALSE),0))</f>
        <v>0</v>
      </c>
      <c r="K207" s="361">
        <f>+IF($I207=K$3,VLOOKUP($H207,Depreciation!$A$6:$L$10,8,FALSE)/2,IF($I207&lt;K$3,VLOOKUP($H207,Depreciation!$A$6:$L$10,8,FALSE),0))</f>
        <v>0</v>
      </c>
      <c r="L207" s="361">
        <f>+IF($I207=L$3,VLOOKUP($H207,Depreciation!$A$6:$L$10,9,FALSE)/2,IF($I207&lt;L$3,VLOOKUP($H207,Depreciation!$A$6:$L$10,9,FALSE),0))</f>
        <v>0</v>
      </c>
      <c r="M207" s="361">
        <f>+IF($I207=M$3,VLOOKUP($H207,Depreciation!$A$6:$L$10,10,FALSE)/2,IF($I207&lt;M$3,VLOOKUP($H207,Depreciation!$A$6:$L$10,10,FALSE),0))</f>
        <v>1.2001018963427959E-2</v>
      </c>
      <c r="N207" s="361">
        <f>+IF($I207=N$3,VLOOKUP($H207,Depreciation!$A$6:$L$10,11,FALSE)/2,IF($I207&lt;N$3,VLOOKUP($H207,Depreciation!$A$6:$L$10,11,FALSE),0))</f>
        <v>2.4002037926855919E-2</v>
      </c>
      <c r="O207" s="361">
        <f>+IF($I207=O$3,VLOOKUP($H207,Depreciation!$A$6:$L$10,12,FALSE)/2,IF($I207&lt;O$3,VLOOKUP($H207,Depreciation!$A$6:$L$10,12,FALSE),0))</f>
        <v>2.4002037926855919E-2</v>
      </c>
      <c r="P207" s="362">
        <f t="shared" si="11"/>
        <v>0</v>
      </c>
      <c r="Q207" s="362">
        <f t="shared" si="12"/>
        <v>0</v>
      </c>
      <c r="R207" s="363">
        <f t="shared" si="13"/>
        <v>0</v>
      </c>
    </row>
    <row r="208" spans="1:18">
      <c r="A208" s="359" t="str">
        <f>'Func Future Lines 2015'!A208</f>
        <v>PPS</v>
      </c>
      <c r="B208" s="359" t="str">
        <f>'Func Future Lines 2015'!B208</f>
        <v>7L134</v>
      </c>
      <c r="C208" s="359">
        <f>'Func Future Lines 2015'!C208</f>
        <v>1250</v>
      </c>
      <c r="D208" s="359">
        <f>'Func Future Lines 2015'!D208</f>
        <v>138</v>
      </c>
      <c r="E208" s="359">
        <f>'Func Future Lines 2015'!E208</f>
        <v>0</v>
      </c>
      <c r="F208" s="359" t="str">
        <f>'Func Future Lines 2015'!F208</f>
        <v>Lloydminster</v>
      </c>
      <c r="G208" s="359">
        <f>'Func Future Lines 2015'!G208</f>
        <v>257636.33243920893</v>
      </c>
      <c r="H208" s="359" t="str">
        <f>'Func Future Lines 2015'!H208</f>
        <v>ATCO</v>
      </c>
      <c r="I208" s="359">
        <f>'Func Future Lines 2015'!I208</f>
        <v>2017</v>
      </c>
      <c r="J208" s="361">
        <f>+IF($I208=J$3,VLOOKUP($H208,Depreciation!$A$6:$L$10,7,FALSE)/2,IF($I208&lt;J$3,VLOOKUP($H208,Depreciation!$A$6:$L$10,7,FALSE),0))</f>
        <v>0</v>
      </c>
      <c r="K208" s="361">
        <f>+IF($I208=K$3,VLOOKUP($H208,Depreciation!$A$6:$L$10,8,FALSE)/2,IF($I208&lt;K$3,VLOOKUP($H208,Depreciation!$A$6:$L$10,8,FALSE),0))</f>
        <v>0</v>
      </c>
      <c r="L208" s="361">
        <f>+IF($I208=L$3,VLOOKUP($H208,Depreciation!$A$6:$L$10,9,FALSE)/2,IF($I208&lt;L$3,VLOOKUP($H208,Depreciation!$A$6:$L$10,9,FALSE),0))</f>
        <v>1.2001018963427959E-2</v>
      </c>
      <c r="M208" s="361">
        <f>+IF($I208=M$3,VLOOKUP($H208,Depreciation!$A$6:$L$10,10,FALSE)/2,IF($I208&lt;M$3,VLOOKUP($H208,Depreciation!$A$6:$L$10,10,FALSE),0))</f>
        <v>2.4002037926855919E-2</v>
      </c>
      <c r="N208" s="361">
        <f>+IF($I208=N$3,VLOOKUP($H208,Depreciation!$A$6:$L$10,11,FALSE)/2,IF($I208&lt;N$3,VLOOKUP($H208,Depreciation!$A$6:$L$10,11,FALSE),0))</f>
        <v>2.4002037926855919E-2</v>
      </c>
      <c r="O208" s="361">
        <f>+IF($I208=O$3,VLOOKUP($H208,Depreciation!$A$6:$L$10,12,FALSE)/2,IF($I208&lt;O$3,VLOOKUP($H208,Depreciation!$A$6:$L$10,12,FALSE),0))</f>
        <v>2.4002037926855919E-2</v>
      </c>
      <c r="P208" s="362">
        <f t="shared" si="11"/>
        <v>254544.43392793793</v>
      </c>
      <c r="Q208" s="362">
        <f t="shared" si="12"/>
        <v>0</v>
      </c>
      <c r="R208" s="363">
        <f t="shared" si="13"/>
        <v>254544.43392793793</v>
      </c>
    </row>
    <row r="209" spans="1:18">
      <c r="A209" s="359" t="str">
        <f>'Func Future Lines 2015'!A209</f>
        <v>PPS</v>
      </c>
      <c r="B209" s="359" t="str">
        <f>'Func Future Lines 2015'!B209</f>
        <v>7LA65</v>
      </c>
      <c r="C209" s="359">
        <f>'Func Future Lines 2015'!C209</f>
        <v>1250</v>
      </c>
      <c r="D209" s="359">
        <f>'Func Future Lines 2015'!D209</f>
        <v>138</v>
      </c>
      <c r="E209" s="359">
        <f>'Func Future Lines 2015'!E209</f>
        <v>0</v>
      </c>
      <c r="F209" s="359" t="str">
        <f>'Func Future Lines 2015'!F209</f>
        <v>Lloydminster</v>
      </c>
      <c r="G209" s="359">
        <f>'Func Future Lines 2015'!G209</f>
        <v>15341741.522818552</v>
      </c>
      <c r="H209" s="359" t="str">
        <f>'Func Future Lines 2015'!H209</f>
        <v>ATCO</v>
      </c>
      <c r="I209" s="359">
        <f>'Func Future Lines 2015'!I209</f>
        <v>2017</v>
      </c>
      <c r="J209" s="361">
        <f>+IF($I209=J$3,VLOOKUP($H209,Depreciation!$A$6:$L$10,7,FALSE)/2,IF($I209&lt;J$3,VLOOKUP($H209,Depreciation!$A$6:$L$10,7,FALSE),0))</f>
        <v>0</v>
      </c>
      <c r="K209" s="361">
        <f>+IF($I209=K$3,VLOOKUP($H209,Depreciation!$A$6:$L$10,8,FALSE)/2,IF($I209&lt;K$3,VLOOKUP($H209,Depreciation!$A$6:$L$10,8,FALSE),0))</f>
        <v>0</v>
      </c>
      <c r="L209" s="361">
        <f>+IF($I209=L$3,VLOOKUP($H209,Depreciation!$A$6:$L$10,9,FALSE)/2,IF($I209&lt;L$3,VLOOKUP($H209,Depreciation!$A$6:$L$10,9,FALSE),0))</f>
        <v>1.2001018963427959E-2</v>
      </c>
      <c r="M209" s="361">
        <f>+IF($I209=M$3,VLOOKUP($H209,Depreciation!$A$6:$L$10,10,FALSE)/2,IF($I209&lt;M$3,VLOOKUP($H209,Depreciation!$A$6:$L$10,10,FALSE),0))</f>
        <v>2.4002037926855919E-2</v>
      </c>
      <c r="N209" s="361">
        <f>+IF($I209=N$3,VLOOKUP($H209,Depreciation!$A$6:$L$10,11,FALSE)/2,IF($I209&lt;N$3,VLOOKUP($H209,Depreciation!$A$6:$L$10,11,FALSE),0))</f>
        <v>2.4002037926855919E-2</v>
      </c>
      <c r="O209" s="361">
        <f>+IF($I209=O$3,VLOOKUP($H209,Depreciation!$A$6:$L$10,12,FALSE)/2,IF($I209&lt;O$3,VLOOKUP($H209,Depreciation!$A$6:$L$10,12,FALSE),0))</f>
        <v>2.4002037926855919E-2</v>
      </c>
      <c r="P209" s="362">
        <f t="shared" si="11"/>
        <v>15157624.991871197</v>
      </c>
      <c r="Q209" s="362">
        <f t="shared" si="12"/>
        <v>0</v>
      </c>
      <c r="R209" s="363">
        <f t="shared" si="13"/>
        <v>15157624.991871197</v>
      </c>
    </row>
    <row r="210" spans="1:18">
      <c r="A210" s="359" t="str">
        <f>'Func Future Lines 2015'!A210</f>
        <v>PPS</v>
      </c>
      <c r="B210" s="359" t="str">
        <f>'Func Future Lines 2015'!B210</f>
        <v>476L &amp; 477L A</v>
      </c>
      <c r="C210" s="359">
        <f>'Func Future Lines 2015'!C210</f>
        <v>1258</v>
      </c>
      <c r="D210" s="359">
        <f>'Func Future Lines 2015'!D210</f>
        <v>138</v>
      </c>
      <c r="E210" s="359">
        <f>'Func Future Lines 2015'!E210</f>
        <v>0</v>
      </c>
      <c r="F210" s="359" t="str">
        <f>'Func Future Lines 2015'!F210</f>
        <v>Fort McMurray</v>
      </c>
      <c r="G210" s="359">
        <f>'Func Future Lines 2015'!G210</f>
        <v>11720551.545892363</v>
      </c>
      <c r="H210" s="359" t="str">
        <f>'Func Future Lines 2015'!H210</f>
        <v>AltaLink</v>
      </c>
      <c r="I210" s="359">
        <f>'Func Future Lines 2015'!I210</f>
        <v>2019</v>
      </c>
      <c r="J210" s="361">
        <f>+IF($I210=J$3,VLOOKUP($H210,Depreciation!$A$6:$L$10,7,FALSE)/2,IF($I210&lt;J$3,VLOOKUP($H210,Depreciation!$A$6:$L$10,7,FALSE),0))</f>
        <v>0</v>
      </c>
      <c r="K210" s="361">
        <f>+IF($I210=K$3,VLOOKUP($H210,Depreciation!$A$6:$L$10,8,FALSE)/2,IF($I210&lt;K$3,VLOOKUP($H210,Depreciation!$A$6:$L$10,8,FALSE),0))</f>
        <v>0</v>
      </c>
      <c r="L210" s="361">
        <f>+IF($I210=L$3,VLOOKUP($H210,Depreciation!$A$6:$L$10,9,FALSE)/2,IF($I210&lt;L$3,VLOOKUP($H210,Depreciation!$A$6:$L$10,9,FALSE),0))</f>
        <v>0</v>
      </c>
      <c r="M210" s="361">
        <f>+IF($I210=M$3,VLOOKUP($H210,Depreciation!$A$6:$L$10,10,FALSE)/2,IF($I210&lt;M$3,VLOOKUP($H210,Depreciation!$A$6:$L$10,10,FALSE),0))</f>
        <v>0</v>
      </c>
      <c r="N210" s="361">
        <f>+IF($I210=N$3,VLOOKUP($H210,Depreciation!$A$6:$L$10,11,FALSE)/2,IF($I210&lt;N$3,VLOOKUP($H210,Depreciation!$A$6:$L$10,11,FALSE),0))</f>
        <v>1.5338181838063448E-2</v>
      </c>
      <c r="O210" s="361">
        <f>+IF($I210=O$3,VLOOKUP($H210,Depreciation!$A$6:$L$10,12,FALSE)/2,IF($I210&lt;O$3,VLOOKUP($H210,Depreciation!$A$6:$L$10,12,FALSE),0))</f>
        <v>3.0676363676126896E-2</v>
      </c>
      <c r="P210" s="362">
        <f t="shared" si="11"/>
        <v>0</v>
      </c>
      <c r="Q210" s="362">
        <f t="shared" si="12"/>
        <v>0</v>
      </c>
      <c r="R210" s="363">
        <f t="shared" si="13"/>
        <v>0</v>
      </c>
    </row>
    <row r="211" spans="1:18">
      <c r="A211" s="359" t="str">
        <f>'Func Future Lines 2015'!A211</f>
        <v>PPS</v>
      </c>
      <c r="B211" s="359" t="str">
        <f>'Func Future Lines 2015'!B211</f>
        <v>476L &amp; 477L B</v>
      </c>
      <c r="C211" s="359">
        <f>'Func Future Lines 2015'!C211</f>
        <v>1258</v>
      </c>
      <c r="D211" s="359">
        <f>'Func Future Lines 2015'!D211</f>
        <v>138</v>
      </c>
      <c r="E211" s="359">
        <f>'Func Future Lines 2015'!E211</f>
        <v>0</v>
      </c>
      <c r="F211" s="359" t="str">
        <f>'Func Future Lines 2015'!F211</f>
        <v>Fort McMurray</v>
      </c>
      <c r="G211" s="359">
        <f>'Func Future Lines 2015'!G211</f>
        <v>11959135.439218925</v>
      </c>
      <c r="H211" s="359" t="str">
        <f>'Func Future Lines 2015'!H211</f>
        <v>AltaLink</v>
      </c>
      <c r="I211" s="359">
        <f>'Func Future Lines 2015'!I211</f>
        <v>2019</v>
      </c>
      <c r="J211" s="361">
        <f>+IF($I211=J$3,VLOOKUP($H211,Depreciation!$A$6:$L$10,7,FALSE)/2,IF($I211&lt;J$3,VLOOKUP($H211,Depreciation!$A$6:$L$10,7,FALSE),0))</f>
        <v>0</v>
      </c>
      <c r="K211" s="361">
        <f>+IF($I211=K$3,VLOOKUP($H211,Depreciation!$A$6:$L$10,8,FALSE)/2,IF($I211&lt;K$3,VLOOKUP($H211,Depreciation!$A$6:$L$10,8,FALSE),0))</f>
        <v>0</v>
      </c>
      <c r="L211" s="361">
        <f>+IF($I211=L$3,VLOOKUP($H211,Depreciation!$A$6:$L$10,9,FALSE)/2,IF($I211&lt;L$3,VLOOKUP($H211,Depreciation!$A$6:$L$10,9,FALSE),0))</f>
        <v>0</v>
      </c>
      <c r="M211" s="361">
        <f>+IF($I211=M$3,VLOOKUP($H211,Depreciation!$A$6:$L$10,10,FALSE)/2,IF($I211&lt;M$3,VLOOKUP($H211,Depreciation!$A$6:$L$10,10,FALSE),0))</f>
        <v>0</v>
      </c>
      <c r="N211" s="361">
        <f>+IF($I211=N$3,VLOOKUP($H211,Depreciation!$A$6:$L$10,11,FALSE)/2,IF($I211&lt;N$3,VLOOKUP($H211,Depreciation!$A$6:$L$10,11,FALSE),0))</f>
        <v>1.5338181838063448E-2</v>
      </c>
      <c r="O211" s="361">
        <f>+IF($I211=O$3,VLOOKUP($H211,Depreciation!$A$6:$L$10,12,FALSE)/2,IF($I211&lt;O$3,VLOOKUP($H211,Depreciation!$A$6:$L$10,12,FALSE),0))</f>
        <v>3.0676363676126896E-2</v>
      </c>
      <c r="P211" s="362">
        <f t="shared" si="11"/>
        <v>0</v>
      </c>
      <c r="Q211" s="362">
        <f t="shared" si="12"/>
        <v>0</v>
      </c>
      <c r="R211" s="363">
        <f t="shared" si="13"/>
        <v>0</v>
      </c>
    </row>
    <row r="212" spans="1:18">
      <c r="A212" s="359" t="str">
        <f>'Func Future Lines 2015'!A212</f>
        <v>PPS</v>
      </c>
      <c r="B212" s="359" t="str">
        <f>'Func Future Lines 2015'!B212</f>
        <v>172L/463L[v180]</v>
      </c>
      <c r="C212" s="359">
        <f>'Func Future Lines 2015'!C212</f>
        <v>1260</v>
      </c>
      <c r="D212" s="359">
        <f>'Func Future Lines 2015'!D212</f>
        <v>138</v>
      </c>
      <c r="E212" s="359">
        <f>'Func Future Lines 2015'!E212</f>
        <v>0</v>
      </c>
      <c r="F212" s="359" t="str">
        <f>'Func Future Lines 2015'!F212</f>
        <v>Lethbridge</v>
      </c>
      <c r="G212" s="359">
        <f>'Func Future Lines 2015'!G212</f>
        <v>2113680.3025660682</v>
      </c>
      <c r="H212" s="359" t="str">
        <f>'Func Future Lines 2015'!H212</f>
        <v>ENMAX</v>
      </c>
      <c r="I212" s="359">
        <f>'Func Future Lines 2015'!I212</f>
        <v>2016</v>
      </c>
      <c r="J212" s="361">
        <f>+IF($I212=J$3,VLOOKUP($H212,Depreciation!$A$6:$L$10,7,FALSE)/2,IF($I212&lt;J$3,VLOOKUP($H212,Depreciation!$A$6:$L$10,7,FALSE),0))</f>
        <v>0</v>
      </c>
      <c r="K212" s="361">
        <f>+IF($I212=K$3,VLOOKUP($H212,Depreciation!$A$6:$L$10,8,FALSE)/2,IF($I212&lt;K$3,VLOOKUP($H212,Depreciation!$A$6:$L$10,8,FALSE),0))</f>
        <v>1.3475179084025525E-2</v>
      </c>
      <c r="L212" s="361">
        <f>+IF($I212=L$3,VLOOKUP($H212,Depreciation!$A$6:$L$10,9,FALSE)/2,IF($I212&lt;L$3,VLOOKUP($H212,Depreciation!$A$6:$L$10,9,FALSE),0))</f>
        <v>2.6950358168051049E-2</v>
      </c>
      <c r="M212" s="361">
        <f>+IF($I212=M$3,VLOOKUP($H212,Depreciation!$A$6:$L$10,10,FALSE)/2,IF($I212&lt;M$3,VLOOKUP($H212,Depreciation!$A$6:$L$10,10,FALSE),0))</f>
        <v>2.6950358168051049E-2</v>
      </c>
      <c r="N212" s="361">
        <f>+IF($I212=N$3,VLOOKUP($H212,Depreciation!$A$6:$L$10,11,FALSE)/2,IF($I212&lt;N$3,VLOOKUP($H212,Depreciation!$A$6:$L$10,11,FALSE),0))</f>
        <v>2.6950358168051049E-2</v>
      </c>
      <c r="O212" s="361">
        <f>+IF($I212=O$3,VLOOKUP($H212,Depreciation!$A$6:$L$10,12,FALSE)/2,IF($I212&lt;O$3,VLOOKUP($H212,Depreciation!$A$6:$L$10,12,FALSE),0))</f>
        <v>2.6950358168051049E-2</v>
      </c>
      <c r="P212" s="362">
        <f t="shared" si="11"/>
        <v>2029001.2468023878</v>
      </c>
      <c r="Q212" s="362">
        <f t="shared" si="12"/>
        <v>0</v>
      </c>
      <c r="R212" s="363">
        <f t="shared" si="13"/>
        <v>2029001.2468023878</v>
      </c>
    </row>
    <row r="213" spans="1:18">
      <c r="A213" s="359" t="str">
        <f>'Func Future Lines 2015'!A213</f>
        <v>PPS</v>
      </c>
      <c r="B213" s="359" t="str">
        <f>'Func Future Lines 2015'!B213</f>
        <v>line 172L</v>
      </c>
      <c r="C213" s="359">
        <f>'Func Future Lines 2015'!C213</f>
        <v>1260</v>
      </c>
      <c r="D213" s="359">
        <f>'Func Future Lines 2015'!D213</f>
        <v>138</v>
      </c>
      <c r="E213" s="359">
        <f>'Func Future Lines 2015'!E213</f>
        <v>0</v>
      </c>
      <c r="F213" s="359" t="str">
        <f>'Func Future Lines 2015'!F213</f>
        <v>Lethbridge</v>
      </c>
      <c r="G213" s="359">
        <f>'Func Future Lines 2015'!G213</f>
        <v>605625.19167995139</v>
      </c>
      <c r="H213" s="359" t="str">
        <f>'Func Future Lines 2015'!H213</f>
        <v>AltaLink</v>
      </c>
      <c r="I213" s="359">
        <f>'Func Future Lines 2015'!I213</f>
        <v>2016</v>
      </c>
      <c r="J213" s="361">
        <f>+IF($I213=J$3,VLOOKUP($H213,Depreciation!$A$6:$L$10,7,FALSE)/2,IF($I213&lt;J$3,VLOOKUP($H213,Depreciation!$A$6:$L$10,7,FALSE),0))</f>
        <v>0</v>
      </c>
      <c r="K213" s="361">
        <f>+IF($I213=K$3,VLOOKUP($H213,Depreciation!$A$6:$L$10,8,FALSE)/2,IF($I213&lt;K$3,VLOOKUP($H213,Depreciation!$A$6:$L$10,8,FALSE),0))</f>
        <v>1.5338181838063448E-2</v>
      </c>
      <c r="L213" s="361">
        <f>+IF($I213=L$3,VLOOKUP($H213,Depreciation!$A$6:$L$10,9,FALSE)/2,IF($I213&lt;L$3,VLOOKUP($H213,Depreciation!$A$6:$L$10,9,FALSE),0))</f>
        <v>3.0676363676126896E-2</v>
      </c>
      <c r="M213" s="361">
        <f>+IF($I213=M$3,VLOOKUP($H213,Depreciation!$A$6:$L$10,10,FALSE)/2,IF($I213&lt;M$3,VLOOKUP($H213,Depreciation!$A$6:$L$10,10,FALSE),0))</f>
        <v>3.0676363676126896E-2</v>
      </c>
      <c r="N213" s="361">
        <f>+IF($I213=N$3,VLOOKUP($H213,Depreciation!$A$6:$L$10,11,FALSE)/2,IF($I213&lt;N$3,VLOOKUP($H213,Depreciation!$A$6:$L$10,11,FALSE),0))</f>
        <v>3.0676363676126896E-2</v>
      </c>
      <c r="O213" s="361">
        <f>+IF($I213=O$3,VLOOKUP($H213,Depreciation!$A$6:$L$10,12,FALSE)/2,IF($I213&lt;O$3,VLOOKUP($H213,Depreciation!$A$6:$L$10,12,FALSE),0))</f>
        <v>3.0676363676126896E-2</v>
      </c>
      <c r="P213" s="362">
        <f t="shared" si="11"/>
        <v>578042.58228255878</v>
      </c>
      <c r="Q213" s="362">
        <f t="shared" si="12"/>
        <v>0</v>
      </c>
      <c r="R213" s="363">
        <f t="shared" si="13"/>
        <v>578042.58228255878</v>
      </c>
    </row>
    <row r="214" spans="1:18">
      <c r="A214" s="359" t="str">
        <f>'Func Future Lines 2015'!A214</f>
        <v>PPS</v>
      </c>
      <c r="B214" s="359" t="str">
        <f>'Func Future Lines 2015'!B214</f>
        <v>line 464L</v>
      </c>
      <c r="C214" s="359">
        <f>'Func Future Lines 2015'!C214</f>
        <v>1263</v>
      </c>
      <c r="D214" s="359">
        <f>'Func Future Lines 2015'!D214</f>
        <v>138</v>
      </c>
      <c r="E214" s="359">
        <f>'Func Future Lines 2015'!E214</f>
        <v>0</v>
      </c>
      <c r="F214" s="359" t="str">
        <f>'Func Future Lines 2015'!F214</f>
        <v>Red_Deer</v>
      </c>
      <c r="G214" s="359">
        <f>'Func Future Lines 2015'!G214</f>
        <v>763058.82352941227</v>
      </c>
      <c r="H214" s="359" t="str">
        <f>'Func Future Lines 2015'!H214</f>
        <v>AltaLink</v>
      </c>
      <c r="I214" s="359">
        <f>'Func Future Lines 2015'!I214</f>
        <v>2016</v>
      </c>
      <c r="J214" s="361">
        <f>+IF($I214=J$3,VLOOKUP($H214,Depreciation!$A$6:$L$10,7,FALSE)/2,IF($I214&lt;J$3,VLOOKUP($H214,Depreciation!$A$6:$L$10,7,FALSE),0))</f>
        <v>0</v>
      </c>
      <c r="K214" s="361">
        <f>+IF($I214=K$3,VLOOKUP($H214,Depreciation!$A$6:$L$10,8,FALSE)/2,IF($I214&lt;K$3,VLOOKUP($H214,Depreciation!$A$6:$L$10,8,FALSE),0))</f>
        <v>1.5338181838063448E-2</v>
      </c>
      <c r="L214" s="361">
        <f>+IF($I214=L$3,VLOOKUP($H214,Depreciation!$A$6:$L$10,9,FALSE)/2,IF($I214&lt;L$3,VLOOKUP($H214,Depreciation!$A$6:$L$10,9,FALSE),0))</f>
        <v>3.0676363676126896E-2</v>
      </c>
      <c r="M214" s="361">
        <f>+IF($I214=M$3,VLOOKUP($H214,Depreciation!$A$6:$L$10,10,FALSE)/2,IF($I214&lt;M$3,VLOOKUP($H214,Depreciation!$A$6:$L$10,10,FALSE),0))</f>
        <v>3.0676363676126896E-2</v>
      </c>
      <c r="N214" s="361">
        <f>+IF($I214=N$3,VLOOKUP($H214,Depreciation!$A$6:$L$10,11,FALSE)/2,IF($I214&lt;N$3,VLOOKUP($H214,Depreciation!$A$6:$L$10,11,FALSE),0))</f>
        <v>3.0676363676126896E-2</v>
      </c>
      <c r="O214" s="361">
        <f>+IF($I214=O$3,VLOOKUP($H214,Depreciation!$A$6:$L$10,12,FALSE)/2,IF($I214&lt;O$3,VLOOKUP($H214,Depreciation!$A$6:$L$10,12,FALSE),0))</f>
        <v>3.0676363676126896E-2</v>
      </c>
      <c r="P214" s="362">
        <f t="shared" si="11"/>
        <v>728306.05273026042</v>
      </c>
      <c r="Q214" s="362">
        <f t="shared" si="12"/>
        <v>0</v>
      </c>
      <c r="R214" s="363">
        <f t="shared" si="13"/>
        <v>728306.05273026042</v>
      </c>
    </row>
    <row r="215" spans="1:18">
      <c r="A215" s="359" t="str">
        <f>'Func Future Lines 2015'!A215</f>
        <v>PPS</v>
      </c>
      <c r="B215" s="359" t="str">
        <f>'Func Future Lines 2015'!B215</f>
        <v>line 768L</v>
      </c>
      <c r="C215" s="359">
        <f>'Func Future Lines 2015'!C215</f>
        <v>1263</v>
      </c>
      <c r="D215" s="359">
        <f>'Func Future Lines 2015'!D215</f>
        <v>138</v>
      </c>
      <c r="E215" s="359">
        <f>'Func Future Lines 2015'!E215</f>
        <v>0</v>
      </c>
      <c r="F215" s="359" t="str">
        <f>'Func Future Lines 2015'!F215</f>
        <v>Red_Deer</v>
      </c>
      <c r="G215" s="359">
        <f>'Func Future Lines 2015'!G215</f>
        <v>763058.82352941227</v>
      </c>
      <c r="H215" s="359" t="str">
        <f>'Func Future Lines 2015'!H215</f>
        <v>AltaLink</v>
      </c>
      <c r="I215" s="359">
        <f>'Func Future Lines 2015'!I215</f>
        <v>2016</v>
      </c>
      <c r="J215" s="361">
        <f>+IF($I215=J$3,VLOOKUP($H215,Depreciation!$A$6:$L$10,7,FALSE)/2,IF($I215&lt;J$3,VLOOKUP($H215,Depreciation!$A$6:$L$10,7,FALSE),0))</f>
        <v>0</v>
      </c>
      <c r="K215" s="361">
        <f>+IF($I215=K$3,VLOOKUP($H215,Depreciation!$A$6:$L$10,8,FALSE)/2,IF($I215&lt;K$3,VLOOKUP($H215,Depreciation!$A$6:$L$10,8,FALSE),0))</f>
        <v>1.5338181838063448E-2</v>
      </c>
      <c r="L215" s="361">
        <f>+IF($I215=L$3,VLOOKUP($H215,Depreciation!$A$6:$L$10,9,FALSE)/2,IF($I215&lt;L$3,VLOOKUP($H215,Depreciation!$A$6:$L$10,9,FALSE),0))</f>
        <v>3.0676363676126896E-2</v>
      </c>
      <c r="M215" s="361">
        <f>+IF($I215=M$3,VLOOKUP($H215,Depreciation!$A$6:$L$10,10,FALSE)/2,IF($I215&lt;M$3,VLOOKUP($H215,Depreciation!$A$6:$L$10,10,FALSE),0))</f>
        <v>3.0676363676126896E-2</v>
      </c>
      <c r="N215" s="361">
        <f>+IF($I215=N$3,VLOOKUP($H215,Depreciation!$A$6:$L$10,11,FALSE)/2,IF($I215&lt;N$3,VLOOKUP($H215,Depreciation!$A$6:$L$10,11,FALSE),0))</f>
        <v>3.0676363676126896E-2</v>
      </c>
      <c r="O215" s="361">
        <f>+IF($I215=O$3,VLOOKUP($H215,Depreciation!$A$6:$L$10,12,FALSE)/2,IF($I215&lt;O$3,VLOOKUP($H215,Depreciation!$A$6:$L$10,12,FALSE),0))</f>
        <v>3.0676363676126896E-2</v>
      </c>
      <c r="P215" s="362">
        <f t="shared" si="11"/>
        <v>728306.05273026042</v>
      </c>
      <c r="Q215" s="362">
        <f t="shared" si="12"/>
        <v>0</v>
      </c>
      <c r="R215" s="363">
        <f t="shared" si="13"/>
        <v>728306.05273026042</v>
      </c>
    </row>
    <row r="216" spans="1:18">
      <c r="A216" s="359" t="str">
        <f>'Func Future Lines 2015'!A216</f>
        <v>PPS</v>
      </c>
      <c r="B216" s="359" t="str">
        <f>'Func Future Lines 2015'!B216</f>
        <v>line 778L</v>
      </c>
      <c r="C216" s="359">
        <f>'Func Future Lines 2015'!C216</f>
        <v>1263</v>
      </c>
      <c r="D216" s="359">
        <f>'Func Future Lines 2015'!D216</f>
        <v>138</v>
      </c>
      <c r="E216" s="359">
        <f>'Func Future Lines 2015'!E216</f>
        <v>0</v>
      </c>
      <c r="F216" s="359" t="str">
        <f>'Func Future Lines 2015'!F216</f>
        <v>Red_Deer</v>
      </c>
      <c r="G216" s="359">
        <f>'Func Future Lines 2015'!G216</f>
        <v>331764.70588235313</v>
      </c>
      <c r="H216" s="359" t="str">
        <f>'Func Future Lines 2015'!H216</f>
        <v>AltaLink</v>
      </c>
      <c r="I216" s="359">
        <f>'Func Future Lines 2015'!I216</f>
        <v>2016</v>
      </c>
      <c r="J216" s="361">
        <f>+IF($I216=J$3,VLOOKUP($H216,Depreciation!$A$6:$L$10,7,FALSE)/2,IF($I216&lt;J$3,VLOOKUP($H216,Depreciation!$A$6:$L$10,7,FALSE),0))</f>
        <v>0</v>
      </c>
      <c r="K216" s="361">
        <f>+IF($I216=K$3,VLOOKUP($H216,Depreciation!$A$6:$L$10,8,FALSE)/2,IF($I216&lt;K$3,VLOOKUP($H216,Depreciation!$A$6:$L$10,8,FALSE),0))</f>
        <v>1.5338181838063448E-2</v>
      </c>
      <c r="L216" s="361">
        <f>+IF($I216=L$3,VLOOKUP($H216,Depreciation!$A$6:$L$10,9,FALSE)/2,IF($I216&lt;L$3,VLOOKUP($H216,Depreciation!$A$6:$L$10,9,FALSE),0))</f>
        <v>3.0676363676126896E-2</v>
      </c>
      <c r="M216" s="361">
        <f>+IF($I216=M$3,VLOOKUP($H216,Depreciation!$A$6:$L$10,10,FALSE)/2,IF($I216&lt;M$3,VLOOKUP($H216,Depreciation!$A$6:$L$10,10,FALSE),0))</f>
        <v>3.0676363676126896E-2</v>
      </c>
      <c r="N216" s="361">
        <f>+IF($I216=N$3,VLOOKUP($H216,Depreciation!$A$6:$L$10,11,FALSE)/2,IF($I216&lt;N$3,VLOOKUP($H216,Depreciation!$A$6:$L$10,11,FALSE),0))</f>
        <v>3.0676363676126896E-2</v>
      </c>
      <c r="O216" s="361">
        <f>+IF($I216=O$3,VLOOKUP($H216,Depreciation!$A$6:$L$10,12,FALSE)/2,IF($I216&lt;O$3,VLOOKUP($H216,Depreciation!$A$6:$L$10,12,FALSE),0))</f>
        <v>3.0676363676126896E-2</v>
      </c>
      <c r="P216" s="362">
        <f t="shared" si="11"/>
        <v>316654.8055348958</v>
      </c>
      <c r="Q216" s="362">
        <f t="shared" si="12"/>
        <v>0</v>
      </c>
      <c r="R216" s="363">
        <f t="shared" si="13"/>
        <v>316654.8055348958</v>
      </c>
    </row>
    <row r="217" spans="1:18">
      <c r="A217" s="359" t="str">
        <f>'Func Future Lines 2015'!A217</f>
        <v>PPS</v>
      </c>
      <c r="B217" s="359" t="str">
        <f>'Func Future Lines 2015'!B217</f>
        <v>in and out of line 9L07 and 9L89 from lune 9L07 at Dawes Sub_180</v>
      </c>
      <c r="C217" s="359">
        <f>'Func Future Lines 2015'!C217</f>
        <v>1267</v>
      </c>
      <c r="D217" s="359">
        <f>'Func Future Lines 2015'!D217</f>
        <v>240</v>
      </c>
      <c r="E217" s="359">
        <f>'Func Future Lines 2015'!E217</f>
        <v>0</v>
      </c>
      <c r="F217" s="359">
        <f>'Func Future Lines 2015'!F217</f>
        <v>0</v>
      </c>
      <c r="G217" s="359">
        <f>'Func Future Lines 2015'!G217</f>
        <v>6518260.7904942483</v>
      </c>
      <c r="H217" s="359" t="str">
        <f>'Func Future Lines 2015'!H217</f>
        <v>ATCO</v>
      </c>
      <c r="I217" s="359">
        <f>'Func Future Lines 2015'!I217</f>
        <v>2015</v>
      </c>
      <c r="J217" s="361">
        <f>+IF($I217=J$3,VLOOKUP($H217,Depreciation!$A$6:$L$10,7,FALSE)/2,IF($I217&lt;J$3,VLOOKUP($H217,Depreciation!$A$6:$L$10,7,FALSE),0))</f>
        <v>1.239102859091515E-2</v>
      </c>
      <c r="K217" s="361">
        <f>+IF($I217=K$3,VLOOKUP($H217,Depreciation!$A$6:$L$10,8,FALSE)/2,IF($I217&lt;K$3,VLOOKUP($H217,Depreciation!$A$6:$L$10,8,FALSE),0))</f>
        <v>2.3943859731006666E-2</v>
      </c>
      <c r="L217" s="361">
        <f>+IF($I217=L$3,VLOOKUP($H217,Depreciation!$A$6:$L$10,9,FALSE)/2,IF($I217&lt;L$3,VLOOKUP($H217,Depreciation!$A$6:$L$10,9,FALSE),0))</f>
        <v>2.4002037926855919E-2</v>
      </c>
      <c r="M217" s="361">
        <f>+IF($I217=M$3,VLOOKUP($H217,Depreciation!$A$6:$L$10,10,FALSE)/2,IF($I217&lt;M$3,VLOOKUP($H217,Depreciation!$A$6:$L$10,10,FALSE),0))</f>
        <v>2.4002037926855919E-2</v>
      </c>
      <c r="N217" s="361">
        <f>+IF($I217=N$3,VLOOKUP($H217,Depreciation!$A$6:$L$10,11,FALSE)/2,IF($I217&lt;N$3,VLOOKUP($H217,Depreciation!$A$6:$L$10,11,FALSE),0))</f>
        <v>2.4002037926855919E-2</v>
      </c>
      <c r="O217" s="361">
        <f>+IF($I217=O$3,VLOOKUP($H217,Depreciation!$A$6:$L$10,12,FALSE)/2,IF($I217&lt;O$3,VLOOKUP($H217,Depreciation!$A$6:$L$10,12,FALSE),0))</f>
        <v>2.4002037926855919E-2</v>
      </c>
      <c r="P217" s="362">
        <f t="shared" si="11"/>
        <v>6132541.0983852893</v>
      </c>
      <c r="Q217" s="362">
        <f t="shared" si="12"/>
        <v>6132541.0983852893</v>
      </c>
      <c r="R217" s="363">
        <f t="shared" si="13"/>
        <v>0</v>
      </c>
    </row>
    <row r="218" spans="1:18">
      <c r="A218" s="359" t="str">
        <f>'Func Future Lines 2015'!A218</f>
        <v>PPS</v>
      </c>
      <c r="B218" s="359" t="str">
        <f>'Func Future Lines 2015'!B218</f>
        <v>new line 7L170_180</v>
      </c>
      <c r="C218" s="359">
        <f>'Func Future Lines 2015'!C218</f>
        <v>1267</v>
      </c>
      <c r="D218" s="359">
        <f>'Func Future Lines 2015'!D218</f>
        <v>144</v>
      </c>
      <c r="E218" s="359">
        <f>'Func Future Lines 2015'!E218</f>
        <v>0</v>
      </c>
      <c r="F218" s="359">
        <f>'Func Future Lines 2015'!F218</f>
        <v>0</v>
      </c>
      <c r="G218" s="359">
        <f>'Func Future Lines 2015'!G218</f>
        <v>3456133.2958460073</v>
      </c>
      <c r="H218" s="359" t="str">
        <f>'Func Future Lines 2015'!H218</f>
        <v>ATCO</v>
      </c>
      <c r="I218" s="359">
        <f>'Func Future Lines 2015'!I218</f>
        <v>2015</v>
      </c>
      <c r="J218" s="361">
        <f>+IF($I218=J$3,VLOOKUP($H218,Depreciation!$A$6:$L$10,7,FALSE)/2,IF($I218&lt;J$3,VLOOKUP($H218,Depreciation!$A$6:$L$10,7,FALSE),0))</f>
        <v>1.239102859091515E-2</v>
      </c>
      <c r="K218" s="361">
        <f>+IF($I218=K$3,VLOOKUP($H218,Depreciation!$A$6:$L$10,8,FALSE)/2,IF($I218&lt;K$3,VLOOKUP($H218,Depreciation!$A$6:$L$10,8,FALSE),0))</f>
        <v>2.3943859731006666E-2</v>
      </c>
      <c r="L218" s="361">
        <f>+IF($I218=L$3,VLOOKUP($H218,Depreciation!$A$6:$L$10,9,FALSE)/2,IF($I218&lt;L$3,VLOOKUP($H218,Depreciation!$A$6:$L$10,9,FALSE),0))</f>
        <v>2.4002037926855919E-2</v>
      </c>
      <c r="M218" s="361">
        <f>+IF($I218=M$3,VLOOKUP($H218,Depreciation!$A$6:$L$10,10,FALSE)/2,IF($I218&lt;M$3,VLOOKUP($H218,Depreciation!$A$6:$L$10,10,FALSE),0))</f>
        <v>2.4002037926855919E-2</v>
      </c>
      <c r="N218" s="361">
        <f>+IF($I218=N$3,VLOOKUP($H218,Depreciation!$A$6:$L$10,11,FALSE)/2,IF($I218&lt;N$3,VLOOKUP($H218,Depreciation!$A$6:$L$10,11,FALSE),0))</f>
        <v>2.4002037926855919E-2</v>
      </c>
      <c r="O218" s="361">
        <f>+IF($I218=O$3,VLOOKUP($H218,Depreciation!$A$6:$L$10,12,FALSE)/2,IF($I218&lt;O$3,VLOOKUP($H218,Depreciation!$A$6:$L$10,12,FALSE),0))</f>
        <v>2.4002037926855919E-2</v>
      </c>
      <c r="P218" s="362">
        <f t="shared" si="11"/>
        <v>3251615.754494281</v>
      </c>
      <c r="Q218" s="362">
        <f t="shared" si="12"/>
        <v>0</v>
      </c>
      <c r="R218" s="363">
        <f t="shared" si="13"/>
        <v>3251615.754494281</v>
      </c>
    </row>
    <row r="219" spans="1:18">
      <c r="A219" s="359" t="str">
        <f>'Func Future Lines 2015'!A219</f>
        <v>PPS</v>
      </c>
      <c r="B219" s="359" t="str">
        <f>'Func Future Lines 2015'!B219</f>
        <v>1135L/1136L preferred</v>
      </c>
      <c r="C219" s="359">
        <f>'Func Future Lines 2015'!C219</f>
        <v>1287</v>
      </c>
      <c r="D219" s="359">
        <f>'Func Future Lines 2015'!D219</f>
        <v>240</v>
      </c>
      <c r="E219" s="359">
        <f>'Func Future Lines 2015'!E219</f>
        <v>0</v>
      </c>
      <c r="F219" s="359">
        <f>'Func Future Lines 2015'!F219</f>
        <v>0</v>
      </c>
      <c r="G219" s="359">
        <f>'Func Future Lines 2015'!G219</f>
        <v>28342949.806082249</v>
      </c>
      <c r="H219" s="359" t="str">
        <f>'Func Future Lines 2015'!H219</f>
        <v>AltaLink</v>
      </c>
      <c r="I219" s="359">
        <f>'Func Future Lines 2015'!I219</f>
        <v>2019</v>
      </c>
      <c r="J219" s="361">
        <f>+IF($I219=J$3,VLOOKUP($H219,Depreciation!$A$6:$L$10,7,FALSE)/2,IF($I219&lt;J$3,VLOOKUP($H219,Depreciation!$A$6:$L$10,7,FALSE),0))</f>
        <v>0</v>
      </c>
      <c r="K219" s="361">
        <f>+IF($I219=K$3,VLOOKUP($H219,Depreciation!$A$6:$L$10,8,FALSE)/2,IF($I219&lt;K$3,VLOOKUP($H219,Depreciation!$A$6:$L$10,8,FALSE),0))</f>
        <v>0</v>
      </c>
      <c r="L219" s="361">
        <f>+IF($I219=L$3,VLOOKUP($H219,Depreciation!$A$6:$L$10,9,FALSE)/2,IF($I219&lt;L$3,VLOOKUP($H219,Depreciation!$A$6:$L$10,9,FALSE),0))</f>
        <v>0</v>
      </c>
      <c r="M219" s="361">
        <f>+IF($I219=M$3,VLOOKUP($H219,Depreciation!$A$6:$L$10,10,FALSE)/2,IF($I219&lt;M$3,VLOOKUP($H219,Depreciation!$A$6:$L$10,10,FALSE),0))</f>
        <v>0</v>
      </c>
      <c r="N219" s="361">
        <f>+IF($I219=N$3,VLOOKUP($H219,Depreciation!$A$6:$L$10,11,FALSE)/2,IF($I219&lt;N$3,VLOOKUP($H219,Depreciation!$A$6:$L$10,11,FALSE),0))</f>
        <v>1.5338181838063448E-2</v>
      </c>
      <c r="O219" s="361">
        <f>+IF($I219=O$3,VLOOKUP($H219,Depreciation!$A$6:$L$10,12,FALSE)/2,IF($I219&lt;O$3,VLOOKUP($H219,Depreciation!$A$6:$L$10,12,FALSE),0))</f>
        <v>3.0676363676126896E-2</v>
      </c>
      <c r="P219" s="362">
        <f t="shared" si="11"/>
        <v>0</v>
      </c>
      <c r="Q219" s="362">
        <f t="shared" si="12"/>
        <v>0</v>
      </c>
      <c r="R219" s="363">
        <f t="shared" si="13"/>
        <v>0</v>
      </c>
    </row>
    <row r="220" spans="1:18">
      <c r="A220" s="359" t="str">
        <f>'Func Future Lines 2015'!A220</f>
        <v>PPS</v>
      </c>
      <c r="B220" s="359" t="str">
        <f>'Func Future Lines 2015'!B220</f>
        <v>Line 9L930</v>
      </c>
      <c r="C220" s="359">
        <f>'Func Future Lines 2015'!C220</f>
        <v>1287</v>
      </c>
      <c r="D220" s="359">
        <f>'Func Future Lines 2015'!D220</f>
        <v>240</v>
      </c>
      <c r="E220" s="359">
        <f>'Func Future Lines 2015'!E220</f>
        <v>0</v>
      </c>
      <c r="F220" s="359">
        <f>'Func Future Lines 2015'!F220</f>
        <v>0</v>
      </c>
      <c r="G220" s="359">
        <f>'Func Future Lines 2015'!G220</f>
        <v>1903119.3553939713</v>
      </c>
      <c r="H220" s="359" t="str">
        <f>'Func Future Lines 2015'!H220</f>
        <v>ATCO</v>
      </c>
      <c r="I220" s="359">
        <f>'Func Future Lines 2015'!I220</f>
        <v>2019</v>
      </c>
      <c r="J220" s="361">
        <f>+IF($I220=J$3,VLOOKUP($H220,Depreciation!$A$6:$L$10,7,FALSE)/2,IF($I220&lt;J$3,VLOOKUP($H220,Depreciation!$A$6:$L$10,7,FALSE),0))</f>
        <v>0</v>
      </c>
      <c r="K220" s="361">
        <f>+IF($I220=K$3,VLOOKUP($H220,Depreciation!$A$6:$L$10,8,FALSE)/2,IF($I220&lt;K$3,VLOOKUP($H220,Depreciation!$A$6:$L$10,8,FALSE),0))</f>
        <v>0</v>
      </c>
      <c r="L220" s="361">
        <f>+IF($I220=L$3,VLOOKUP($H220,Depreciation!$A$6:$L$10,9,FALSE)/2,IF($I220&lt;L$3,VLOOKUP($H220,Depreciation!$A$6:$L$10,9,FALSE),0))</f>
        <v>0</v>
      </c>
      <c r="M220" s="361">
        <f>+IF($I220=M$3,VLOOKUP($H220,Depreciation!$A$6:$L$10,10,FALSE)/2,IF($I220&lt;M$3,VLOOKUP($H220,Depreciation!$A$6:$L$10,10,FALSE),0))</f>
        <v>0</v>
      </c>
      <c r="N220" s="361">
        <f>+IF($I220=N$3,VLOOKUP($H220,Depreciation!$A$6:$L$10,11,FALSE)/2,IF($I220&lt;N$3,VLOOKUP($H220,Depreciation!$A$6:$L$10,11,FALSE),0))</f>
        <v>1.2001018963427959E-2</v>
      </c>
      <c r="O220" s="361">
        <f>+IF($I220=O$3,VLOOKUP($H220,Depreciation!$A$6:$L$10,12,FALSE)/2,IF($I220&lt;O$3,VLOOKUP($H220,Depreciation!$A$6:$L$10,12,FALSE),0))</f>
        <v>2.4002037926855919E-2</v>
      </c>
      <c r="P220" s="362">
        <f t="shared" si="11"/>
        <v>0</v>
      </c>
      <c r="Q220" s="362">
        <f t="shared" si="12"/>
        <v>0</v>
      </c>
      <c r="R220" s="363">
        <f t="shared" si="13"/>
        <v>0</v>
      </c>
    </row>
    <row r="221" spans="1:18">
      <c r="A221" s="359" t="str">
        <f>'Func Future Lines 2015'!A221</f>
        <v>PPS</v>
      </c>
      <c r="B221" s="359" t="str">
        <f>'Func Future Lines 2015'!B221</f>
        <v>138kv s/c line 621L</v>
      </c>
      <c r="C221" s="359">
        <f>'Func Future Lines 2015'!C221</f>
        <v>1289</v>
      </c>
      <c r="D221" s="359">
        <f>'Func Future Lines 2015'!D221</f>
        <v>138</v>
      </c>
      <c r="E221" s="359">
        <f>'Func Future Lines 2015'!E221</f>
        <v>0</v>
      </c>
      <c r="F221" s="359" t="str">
        <f>'Func Future Lines 2015'!F221</f>
        <v>edmonton</v>
      </c>
      <c r="G221" s="359">
        <f>'Func Future Lines 2015'!G221</f>
        <v>1490787.1125611733</v>
      </c>
      <c r="H221" s="359" t="str">
        <f>'Func Future Lines 2015'!H221</f>
        <v>AltaLink</v>
      </c>
      <c r="I221" s="359">
        <f>'Func Future Lines 2015'!I221</f>
        <v>2017</v>
      </c>
      <c r="J221" s="361">
        <f>+IF($I221=J$3,VLOOKUP($H221,Depreciation!$A$6:$L$10,7,FALSE)/2,IF($I221&lt;J$3,VLOOKUP($H221,Depreciation!$A$6:$L$10,7,FALSE),0))</f>
        <v>0</v>
      </c>
      <c r="K221" s="361">
        <f>+IF($I221=K$3,VLOOKUP($H221,Depreciation!$A$6:$L$10,8,FALSE)/2,IF($I221&lt;K$3,VLOOKUP($H221,Depreciation!$A$6:$L$10,8,FALSE),0))</f>
        <v>0</v>
      </c>
      <c r="L221" s="361">
        <f>+IF($I221=L$3,VLOOKUP($H221,Depreciation!$A$6:$L$10,9,FALSE)/2,IF($I221&lt;L$3,VLOOKUP($H221,Depreciation!$A$6:$L$10,9,FALSE),0))</f>
        <v>1.5338181838063448E-2</v>
      </c>
      <c r="M221" s="361">
        <f>+IF($I221=M$3,VLOOKUP($H221,Depreciation!$A$6:$L$10,10,FALSE)/2,IF($I221&lt;M$3,VLOOKUP($H221,Depreciation!$A$6:$L$10,10,FALSE),0))</f>
        <v>3.0676363676126896E-2</v>
      </c>
      <c r="N221" s="361">
        <f>+IF($I221=N$3,VLOOKUP($H221,Depreciation!$A$6:$L$10,11,FALSE)/2,IF($I221&lt;N$3,VLOOKUP($H221,Depreciation!$A$6:$L$10,11,FALSE),0))</f>
        <v>3.0676363676126896E-2</v>
      </c>
      <c r="O221" s="361">
        <f>+IF($I221=O$3,VLOOKUP($H221,Depreciation!$A$6:$L$10,12,FALSE)/2,IF($I221&lt;O$3,VLOOKUP($H221,Depreciation!$A$6:$L$10,12,FALSE),0))</f>
        <v>3.0676363676126896E-2</v>
      </c>
      <c r="P221" s="362">
        <f t="shared" si="11"/>
        <v>1467921.1487468684</v>
      </c>
      <c r="Q221" s="362">
        <f t="shared" si="12"/>
        <v>0</v>
      </c>
      <c r="R221" s="363">
        <f t="shared" si="13"/>
        <v>1467921.1487468684</v>
      </c>
    </row>
    <row r="222" spans="1:18">
      <c r="A222" s="359" t="str">
        <f>'Func Future Lines 2015'!A222</f>
        <v>PPS</v>
      </c>
      <c r="B222" s="359" t="str">
        <f>'Func Future Lines 2015'!B222</f>
        <v xml:space="preserve">Rerouting 815L </v>
      </c>
      <c r="C222" s="359">
        <f>'Func Future Lines 2015'!C222</f>
        <v>1289</v>
      </c>
      <c r="D222" s="359">
        <f>'Func Future Lines 2015'!D222</f>
        <v>138</v>
      </c>
      <c r="E222" s="359">
        <f>'Func Future Lines 2015'!E222</f>
        <v>0</v>
      </c>
      <c r="F222" s="359" t="str">
        <f>'Func Future Lines 2015'!F222</f>
        <v>edmonton</v>
      </c>
      <c r="G222" s="359">
        <f>'Func Future Lines 2015'!G222</f>
        <v>437379.69004893926</v>
      </c>
      <c r="H222" s="359" t="str">
        <f>'Func Future Lines 2015'!H222</f>
        <v>AltaLink</v>
      </c>
      <c r="I222" s="359">
        <f>'Func Future Lines 2015'!I222</f>
        <v>2017</v>
      </c>
      <c r="J222" s="361">
        <f>+IF($I222=J$3,VLOOKUP($H222,Depreciation!$A$6:$L$10,7,FALSE)/2,IF($I222&lt;J$3,VLOOKUP($H222,Depreciation!$A$6:$L$10,7,FALSE),0))</f>
        <v>0</v>
      </c>
      <c r="K222" s="361">
        <f>+IF($I222=K$3,VLOOKUP($H222,Depreciation!$A$6:$L$10,8,FALSE)/2,IF($I222&lt;K$3,VLOOKUP($H222,Depreciation!$A$6:$L$10,8,FALSE),0))</f>
        <v>0</v>
      </c>
      <c r="L222" s="361">
        <f>+IF($I222=L$3,VLOOKUP($H222,Depreciation!$A$6:$L$10,9,FALSE)/2,IF($I222&lt;L$3,VLOOKUP($H222,Depreciation!$A$6:$L$10,9,FALSE),0))</f>
        <v>1.5338181838063448E-2</v>
      </c>
      <c r="M222" s="361">
        <f>+IF($I222=M$3,VLOOKUP($H222,Depreciation!$A$6:$L$10,10,FALSE)/2,IF($I222&lt;M$3,VLOOKUP($H222,Depreciation!$A$6:$L$10,10,FALSE),0))</f>
        <v>3.0676363676126896E-2</v>
      </c>
      <c r="N222" s="361">
        <f>+IF($I222=N$3,VLOOKUP($H222,Depreciation!$A$6:$L$10,11,FALSE)/2,IF($I222&lt;N$3,VLOOKUP($H222,Depreciation!$A$6:$L$10,11,FALSE),0))</f>
        <v>3.0676363676126896E-2</v>
      </c>
      <c r="O222" s="361">
        <f>+IF($I222=O$3,VLOOKUP($H222,Depreciation!$A$6:$L$10,12,FALSE)/2,IF($I222&lt;O$3,VLOOKUP($H222,Depreciation!$A$6:$L$10,12,FALSE),0))</f>
        <v>3.0676363676126896E-2</v>
      </c>
      <c r="P222" s="362">
        <f t="shared" si="11"/>
        <v>430671.08083069278</v>
      </c>
      <c r="Q222" s="362">
        <f t="shared" si="12"/>
        <v>0</v>
      </c>
      <c r="R222" s="363">
        <f t="shared" si="13"/>
        <v>430671.08083069278</v>
      </c>
    </row>
    <row r="223" spans="1:18">
      <c r="A223" s="359" t="str">
        <f>'Func Future Lines 2015'!A223</f>
        <v>PPS</v>
      </c>
      <c r="B223" s="359" t="str">
        <f>'Func Future Lines 2015'!B223</f>
        <v>7LA106 new line</v>
      </c>
      <c r="C223" s="359">
        <f>'Func Future Lines 2015'!C223</f>
        <v>1290</v>
      </c>
      <c r="D223" s="359">
        <f>'Func Future Lines 2015'!D223</f>
        <v>144</v>
      </c>
      <c r="E223" s="359">
        <f>'Func Future Lines 2015'!E223</f>
        <v>0</v>
      </c>
      <c r="F223" s="359" t="str">
        <f>'Func Future Lines 2015'!F223</f>
        <v>Peace_River</v>
      </c>
      <c r="G223" s="359">
        <f>'Func Future Lines 2015'!G223</f>
        <v>5368376.5324647576</v>
      </c>
      <c r="H223" s="359" t="str">
        <f>'Func Future Lines 2015'!H223</f>
        <v>ATCO</v>
      </c>
      <c r="I223" s="359">
        <f>'Func Future Lines 2015'!I223</f>
        <v>2018</v>
      </c>
      <c r="J223" s="361">
        <f>+IF($I223=J$3,VLOOKUP($H223,Depreciation!$A$6:$L$10,7,FALSE)/2,IF($I223&lt;J$3,VLOOKUP($H223,Depreciation!$A$6:$L$10,7,FALSE),0))</f>
        <v>0</v>
      </c>
      <c r="K223" s="361">
        <f>+IF($I223=K$3,VLOOKUP($H223,Depreciation!$A$6:$L$10,8,FALSE)/2,IF($I223&lt;K$3,VLOOKUP($H223,Depreciation!$A$6:$L$10,8,FALSE),0))</f>
        <v>0</v>
      </c>
      <c r="L223" s="361">
        <f>+IF($I223=L$3,VLOOKUP($H223,Depreciation!$A$6:$L$10,9,FALSE)/2,IF($I223&lt;L$3,VLOOKUP($H223,Depreciation!$A$6:$L$10,9,FALSE),0))</f>
        <v>0</v>
      </c>
      <c r="M223" s="361">
        <f>+IF($I223=M$3,VLOOKUP($H223,Depreciation!$A$6:$L$10,10,FALSE)/2,IF($I223&lt;M$3,VLOOKUP($H223,Depreciation!$A$6:$L$10,10,FALSE),0))</f>
        <v>1.2001018963427959E-2</v>
      </c>
      <c r="N223" s="361">
        <f>+IF($I223=N$3,VLOOKUP($H223,Depreciation!$A$6:$L$10,11,FALSE)/2,IF($I223&lt;N$3,VLOOKUP($H223,Depreciation!$A$6:$L$10,11,FALSE),0))</f>
        <v>2.4002037926855919E-2</v>
      </c>
      <c r="O223" s="361">
        <f>+IF($I223=O$3,VLOOKUP($H223,Depreciation!$A$6:$L$10,12,FALSE)/2,IF($I223&lt;O$3,VLOOKUP($H223,Depreciation!$A$6:$L$10,12,FALSE),0))</f>
        <v>2.4002037926855919E-2</v>
      </c>
      <c r="P223" s="362">
        <f t="shared" si="11"/>
        <v>0</v>
      </c>
      <c r="Q223" s="362">
        <f t="shared" si="12"/>
        <v>0</v>
      </c>
      <c r="R223" s="363">
        <f t="shared" si="13"/>
        <v>0</v>
      </c>
    </row>
    <row r="224" spans="1:18">
      <c r="A224" s="359" t="str">
        <f>'Func Future Lines 2015'!A224</f>
        <v>PPS</v>
      </c>
      <c r="B224" s="359" t="str">
        <f>'Func Future Lines 2015'!B224</f>
        <v>138-162.81L</v>
      </c>
      <c r="C224" s="359">
        <f>'Func Future Lines 2015'!C224</f>
        <v>1314</v>
      </c>
      <c r="D224" s="359">
        <f>'Func Future Lines 2015'!D224</f>
        <v>138</v>
      </c>
      <c r="E224" s="359">
        <f>'Func Future Lines 2015'!E224</f>
        <v>0</v>
      </c>
      <c r="F224" s="359" t="str">
        <f>'Func Future Lines 2015'!F224</f>
        <v>Fort McMurray</v>
      </c>
      <c r="G224" s="359">
        <f>'Func Future Lines 2015'!G224</f>
        <v>334297.27388090419</v>
      </c>
      <c r="H224" s="359" t="str">
        <f>'Func Future Lines 2015'!H224</f>
        <v>ENMAX</v>
      </c>
      <c r="I224" s="359">
        <f>'Func Future Lines 2015'!I224</f>
        <v>2015</v>
      </c>
      <c r="J224" s="361">
        <f>+IF($I224=J$3,VLOOKUP($H224,Depreciation!$A$6:$L$10,7,FALSE)/2,IF($I224&lt;J$3,VLOOKUP($H224,Depreciation!$A$6:$L$10,7,FALSE),0))</f>
        <v>1.3475179084025525E-2</v>
      </c>
      <c r="K224" s="361">
        <f>+IF($I224=K$3,VLOOKUP($H224,Depreciation!$A$6:$L$10,8,FALSE)/2,IF($I224&lt;K$3,VLOOKUP($H224,Depreciation!$A$6:$L$10,8,FALSE),0))</f>
        <v>2.6950358168051049E-2</v>
      </c>
      <c r="L224" s="361">
        <f>+IF($I224=L$3,VLOOKUP($H224,Depreciation!$A$6:$L$10,9,FALSE)/2,IF($I224&lt;L$3,VLOOKUP($H224,Depreciation!$A$6:$L$10,9,FALSE),0))</f>
        <v>2.6950358168051049E-2</v>
      </c>
      <c r="M224" s="361">
        <f>+IF($I224=M$3,VLOOKUP($H224,Depreciation!$A$6:$L$10,10,FALSE)/2,IF($I224&lt;M$3,VLOOKUP($H224,Depreciation!$A$6:$L$10,10,FALSE),0))</f>
        <v>2.6950358168051049E-2</v>
      </c>
      <c r="N224" s="361">
        <f>+IF($I224=N$3,VLOOKUP($H224,Depreciation!$A$6:$L$10,11,FALSE)/2,IF($I224&lt;N$3,VLOOKUP($H224,Depreciation!$A$6:$L$10,11,FALSE),0))</f>
        <v>2.6950358168051049E-2</v>
      </c>
      <c r="O224" s="361">
        <f>+IF($I224=O$3,VLOOKUP($H224,Depreciation!$A$6:$L$10,12,FALSE)/2,IF($I224&lt;O$3,VLOOKUP($H224,Depreciation!$A$6:$L$10,12,FALSE),0))</f>
        <v>2.6950358168051049E-2</v>
      </c>
      <c r="P224" s="362">
        <f t="shared" si="11"/>
        <v>312256.0386424812</v>
      </c>
      <c r="Q224" s="362">
        <f t="shared" si="12"/>
        <v>0</v>
      </c>
      <c r="R224" s="363">
        <f t="shared" si="13"/>
        <v>312256.0386424812</v>
      </c>
    </row>
    <row r="225" spans="1:18">
      <c r="A225" s="359" t="str">
        <f>'Func Future Lines 2015'!A225</f>
        <v>PPS</v>
      </c>
      <c r="B225" s="359" t="str">
        <f>'Func Future Lines 2015'!B225</f>
        <v>Two 240kV lines 9L124 | 9L139</v>
      </c>
      <c r="C225" s="359">
        <f>'Func Future Lines 2015'!C225</f>
        <v>1321</v>
      </c>
      <c r="D225" s="359">
        <f>'Func Future Lines 2015'!D225</f>
        <v>240</v>
      </c>
      <c r="E225" s="359">
        <f>'Func Future Lines 2015'!E225</f>
        <v>0</v>
      </c>
      <c r="F225" s="359" t="str">
        <f>'Func Future Lines 2015'!F225</f>
        <v>Peace_River</v>
      </c>
      <c r="G225" s="359">
        <f>'Func Future Lines 2015'!G225</f>
        <v>39192318.192983381</v>
      </c>
      <c r="H225" s="359" t="str">
        <f>'Func Future Lines 2015'!H225</f>
        <v>ATCO</v>
      </c>
      <c r="I225" s="359">
        <f>'Func Future Lines 2015'!I225</f>
        <v>2017</v>
      </c>
      <c r="J225" s="361">
        <f>+IF($I225=J$3,VLOOKUP($H225,Depreciation!$A$6:$L$10,7,FALSE)/2,IF($I225&lt;J$3,VLOOKUP($H225,Depreciation!$A$6:$L$10,7,FALSE),0))</f>
        <v>0</v>
      </c>
      <c r="K225" s="361">
        <f>+IF($I225=K$3,VLOOKUP($H225,Depreciation!$A$6:$L$10,8,FALSE)/2,IF($I225&lt;K$3,VLOOKUP($H225,Depreciation!$A$6:$L$10,8,FALSE),0))</f>
        <v>0</v>
      </c>
      <c r="L225" s="361">
        <f>+IF($I225=L$3,VLOOKUP($H225,Depreciation!$A$6:$L$10,9,FALSE)/2,IF($I225&lt;L$3,VLOOKUP($H225,Depreciation!$A$6:$L$10,9,FALSE),0))</f>
        <v>1.2001018963427959E-2</v>
      </c>
      <c r="M225" s="361">
        <f>+IF($I225=M$3,VLOOKUP($H225,Depreciation!$A$6:$L$10,10,FALSE)/2,IF($I225&lt;M$3,VLOOKUP($H225,Depreciation!$A$6:$L$10,10,FALSE),0))</f>
        <v>2.4002037926855919E-2</v>
      </c>
      <c r="N225" s="361">
        <f>+IF($I225=N$3,VLOOKUP($H225,Depreciation!$A$6:$L$10,11,FALSE)/2,IF($I225&lt;N$3,VLOOKUP($H225,Depreciation!$A$6:$L$10,11,FALSE),0))</f>
        <v>2.4002037926855919E-2</v>
      </c>
      <c r="O225" s="361">
        <f>+IF($I225=O$3,VLOOKUP($H225,Depreciation!$A$6:$L$10,12,FALSE)/2,IF($I225&lt;O$3,VLOOKUP($H225,Depreciation!$A$6:$L$10,12,FALSE),0))</f>
        <v>2.4002037926855919E-2</v>
      </c>
      <c r="P225" s="362">
        <f t="shared" si="11"/>
        <v>38721970.439128682</v>
      </c>
      <c r="Q225" s="362">
        <f t="shared" si="12"/>
        <v>38721970.439128682</v>
      </c>
      <c r="R225" s="363">
        <f t="shared" si="13"/>
        <v>0</v>
      </c>
    </row>
    <row r="226" spans="1:18">
      <c r="A226" s="359" t="str">
        <f>'Func Future Lines 2015'!A226</f>
        <v>PPS</v>
      </c>
      <c r="B226" s="359" t="str">
        <f>'Func Future Lines 2015'!B226</f>
        <v>675L</v>
      </c>
      <c r="C226" s="359">
        <f>'Func Future Lines 2015'!C226</f>
        <v>1326</v>
      </c>
      <c r="D226" s="359">
        <f>'Func Future Lines 2015'!D226</f>
        <v>138</v>
      </c>
      <c r="E226" s="359">
        <f>'Func Future Lines 2015'!E226</f>
        <v>0</v>
      </c>
      <c r="F226" s="359">
        <f>'Func Future Lines 2015'!F226</f>
        <v>0</v>
      </c>
      <c r="G226" s="359">
        <f>'Func Future Lines 2015'!G226</f>
        <v>174412.28457799382</v>
      </c>
      <c r="H226" s="359" t="str">
        <f>'Func Future Lines 2015'!H226</f>
        <v>AltaLink</v>
      </c>
      <c r="I226" s="359">
        <f>'Func Future Lines 2015'!I226</f>
        <v>2017</v>
      </c>
      <c r="J226" s="361">
        <f>+IF($I226=J$3,VLOOKUP($H226,Depreciation!$A$6:$L$10,7,FALSE)/2,IF($I226&lt;J$3,VLOOKUP($H226,Depreciation!$A$6:$L$10,7,FALSE),0))</f>
        <v>0</v>
      </c>
      <c r="K226" s="361">
        <f>+IF($I226=K$3,VLOOKUP($H226,Depreciation!$A$6:$L$10,8,FALSE)/2,IF($I226&lt;K$3,VLOOKUP($H226,Depreciation!$A$6:$L$10,8,FALSE),0))</f>
        <v>0</v>
      </c>
      <c r="L226" s="361">
        <f>+IF($I226=L$3,VLOOKUP($H226,Depreciation!$A$6:$L$10,9,FALSE)/2,IF($I226&lt;L$3,VLOOKUP($H226,Depreciation!$A$6:$L$10,9,FALSE),0))</f>
        <v>1.5338181838063448E-2</v>
      </c>
      <c r="M226" s="361">
        <f>+IF($I226=M$3,VLOOKUP($H226,Depreciation!$A$6:$L$10,10,FALSE)/2,IF($I226&lt;M$3,VLOOKUP($H226,Depreciation!$A$6:$L$10,10,FALSE),0))</f>
        <v>3.0676363676126896E-2</v>
      </c>
      <c r="N226" s="361">
        <f>+IF($I226=N$3,VLOOKUP($H226,Depreciation!$A$6:$L$10,11,FALSE)/2,IF($I226&lt;N$3,VLOOKUP($H226,Depreciation!$A$6:$L$10,11,FALSE),0))</f>
        <v>3.0676363676126896E-2</v>
      </c>
      <c r="O226" s="361">
        <f>+IF($I226=O$3,VLOOKUP($H226,Depreciation!$A$6:$L$10,12,FALSE)/2,IF($I226&lt;O$3,VLOOKUP($H226,Depreciation!$A$6:$L$10,12,FALSE),0))</f>
        <v>3.0676363676126896E-2</v>
      </c>
      <c r="P226" s="362">
        <f t="shared" si="11"/>
        <v>171737.11724234448</v>
      </c>
      <c r="Q226" s="362">
        <f t="shared" si="12"/>
        <v>0</v>
      </c>
      <c r="R226" s="363">
        <f t="shared" si="13"/>
        <v>171737.11724234448</v>
      </c>
    </row>
    <row r="227" spans="1:18">
      <c r="A227" s="359" t="str">
        <f>'Func Future Lines 2015'!A227</f>
        <v>PPS</v>
      </c>
      <c r="B227" s="359" t="str">
        <f>'Func Future Lines 2015'!B227</f>
        <v>880L</v>
      </c>
      <c r="C227" s="359">
        <f>'Func Future Lines 2015'!C227</f>
        <v>1326</v>
      </c>
      <c r="D227" s="359">
        <f>'Func Future Lines 2015'!D227</f>
        <v>138</v>
      </c>
      <c r="E227" s="359">
        <f>'Func Future Lines 2015'!E227</f>
        <v>0</v>
      </c>
      <c r="F227" s="359">
        <f>'Func Future Lines 2015'!F227</f>
        <v>0</v>
      </c>
      <c r="G227" s="359">
        <f>'Func Future Lines 2015'!G227</f>
        <v>450149.80114891741</v>
      </c>
      <c r="H227" s="359" t="str">
        <f>'Func Future Lines 2015'!H227</f>
        <v>AltaLink</v>
      </c>
      <c r="I227" s="359">
        <f>'Func Future Lines 2015'!I227</f>
        <v>2017</v>
      </c>
      <c r="J227" s="361">
        <f>+IF($I227=J$3,VLOOKUP($H227,Depreciation!$A$6:$L$10,7,FALSE)/2,IF($I227&lt;J$3,VLOOKUP($H227,Depreciation!$A$6:$L$10,7,FALSE),0))</f>
        <v>0</v>
      </c>
      <c r="K227" s="361">
        <f>+IF($I227=K$3,VLOOKUP($H227,Depreciation!$A$6:$L$10,8,FALSE)/2,IF($I227&lt;K$3,VLOOKUP($H227,Depreciation!$A$6:$L$10,8,FALSE),0))</f>
        <v>0</v>
      </c>
      <c r="L227" s="361">
        <f>+IF($I227=L$3,VLOOKUP($H227,Depreciation!$A$6:$L$10,9,FALSE)/2,IF($I227&lt;L$3,VLOOKUP($H227,Depreciation!$A$6:$L$10,9,FALSE),0))</f>
        <v>1.5338181838063448E-2</v>
      </c>
      <c r="M227" s="361">
        <f>+IF($I227=M$3,VLOOKUP($H227,Depreciation!$A$6:$L$10,10,FALSE)/2,IF($I227&lt;M$3,VLOOKUP($H227,Depreciation!$A$6:$L$10,10,FALSE),0))</f>
        <v>3.0676363676126896E-2</v>
      </c>
      <c r="N227" s="361">
        <f>+IF($I227=N$3,VLOOKUP($H227,Depreciation!$A$6:$L$10,11,FALSE)/2,IF($I227&lt;N$3,VLOOKUP($H227,Depreciation!$A$6:$L$10,11,FALSE),0))</f>
        <v>3.0676363676126896E-2</v>
      </c>
      <c r="O227" s="361">
        <f>+IF($I227=O$3,VLOOKUP($H227,Depreciation!$A$6:$L$10,12,FALSE)/2,IF($I227&lt;O$3,VLOOKUP($H227,Depreciation!$A$6:$L$10,12,FALSE),0))</f>
        <v>3.0676363676126896E-2</v>
      </c>
      <c r="P227" s="362">
        <f t="shared" si="11"/>
        <v>443245.3216445272</v>
      </c>
      <c r="Q227" s="362">
        <f t="shared" si="12"/>
        <v>0</v>
      </c>
      <c r="R227" s="363">
        <f t="shared" si="13"/>
        <v>443245.3216445272</v>
      </c>
    </row>
    <row r="228" spans="1:18">
      <c r="A228" s="359" t="str">
        <f>'Func Future Lines 2015'!A228</f>
        <v>PPS</v>
      </c>
      <c r="B228" s="359" t="str">
        <f>'Func Future Lines 2015'!B228</f>
        <v>882L</v>
      </c>
      <c r="C228" s="359">
        <f>'Func Future Lines 2015'!C228</f>
        <v>1326</v>
      </c>
      <c r="D228" s="359">
        <f>'Func Future Lines 2015'!D228</f>
        <v>138</v>
      </c>
      <c r="E228" s="359">
        <f>'Func Future Lines 2015'!E228</f>
        <v>0</v>
      </c>
      <c r="F228" s="359">
        <f>'Func Future Lines 2015'!F228</f>
        <v>0</v>
      </c>
      <c r="G228" s="359">
        <f>'Func Future Lines 2015'!G228</f>
        <v>292348.21034025634</v>
      </c>
      <c r="H228" s="359" t="str">
        <f>'Func Future Lines 2015'!H228</f>
        <v>AltaLink</v>
      </c>
      <c r="I228" s="359">
        <f>'Func Future Lines 2015'!I228</f>
        <v>2017</v>
      </c>
      <c r="J228" s="361">
        <f>+IF($I228=J$3,VLOOKUP($H228,Depreciation!$A$6:$L$10,7,FALSE)/2,IF($I228&lt;J$3,VLOOKUP($H228,Depreciation!$A$6:$L$10,7,FALSE),0))</f>
        <v>0</v>
      </c>
      <c r="K228" s="361">
        <f>+IF($I228=K$3,VLOOKUP($H228,Depreciation!$A$6:$L$10,8,FALSE)/2,IF($I228&lt;K$3,VLOOKUP($H228,Depreciation!$A$6:$L$10,8,FALSE),0))</f>
        <v>0</v>
      </c>
      <c r="L228" s="361">
        <f>+IF($I228=L$3,VLOOKUP($H228,Depreciation!$A$6:$L$10,9,FALSE)/2,IF($I228&lt;L$3,VLOOKUP($H228,Depreciation!$A$6:$L$10,9,FALSE),0))</f>
        <v>1.5338181838063448E-2</v>
      </c>
      <c r="M228" s="361">
        <f>+IF($I228=M$3,VLOOKUP($H228,Depreciation!$A$6:$L$10,10,FALSE)/2,IF($I228&lt;M$3,VLOOKUP($H228,Depreciation!$A$6:$L$10,10,FALSE),0))</f>
        <v>3.0676363676126896E-2</v>
      </c>
      <c r="N228" s="361">
        <f>+IF($I228=N$3,VLOOKUP($H228,Depreciation!$A$6:$L$10,11,FALSE)/2,IF($I228&lt;N$3,VLOOKUP($H228,Depreciation!$A$6:$L$10,11,FALSE),0))</f>
        <v>3.0676363676126896E-2</v>
      </c>
      <c r="O228" s="361">
        <f>+IF($I228=O$3,VLOOKUP($H228,Depreciation!$A$6:$L$10,12,FALSE)/2,IF($I228&lt;O$3,VLOOKUP($H228,Depreciation!$A$6:$L$10,12,FALSE),0))</f>
        <v>3.0676363676126896E-2</v>
      </c>
      <c r="P228" s="362">
        <f t="shared" si="11"/>
        <v>287864.12033002503</v>
      </c>
      <c r="Q228" s="362">
        <f t="shared" si="12"/>
        <v>0</v>
      </c>
      <c r="R228" s="363">
        <f t="shared" si="13"/>
        <v>287864.12033002503</v>
      </c>
    </row>
    <row r="229" spans="1:18">
      <c r="A229" s="359" t="str">
        <f>'Func Future Lines 2015'!A229</f>
        <v>PPS</v>
      </c>
      <c r="B229" s="359" t="str">
        <f>'Func Future Lines 2015'!B229</f>
        <v>New 100m 475L_(v1)</v>
      </c>
      <c r="C229" s="359">
        <f>'Func Future Lines 2015'!C229</f>
        <v>1336</v>
      </c>
      <c r="D229" s="359">
        <f>'Func Future Lines 2015'!D229</f>
        <v>138</v>
      </c>
      <c r="E229" s="359">
        <f>'Func Future Lines 2015'!E229</f>
        <v>0</v>
      </c>
      <c r="F229" s="359" t="str">
        <f>'Func Future Lines 2015'!F229</f>
        <v>Strathmore_Blackie</v>
      </c>
      <c r="G229" s="359">
        <f>'Func Future Lines 2015'!G229</f>
        <v>623924.51330949506</v>
      </c>
      <c r="H229" s="359" t="str">
        <f>'Func Future Lines 2015'!H229</f>
        <v>AltaLink</v>
      </c>
      <c r="I229" s="359">
        <f>'Func Future Lines 2015'!I229</f>
        <v>2018</v>
      </c>
      <c r="J229" s="361">
        <f>+IF($I229=J$3,VLOOKUP($H229,Depreciation!$A$6:$L$10,7,FALSE)/2,IF($I229&lt;J$3,VLOOKUP($H229,Depreciation!$A$6:$L$10,7,FALSE),0))</f>
        <v>0</v>
      </c>
      <c r="K229" s="361">
        <f>+IF($I229=K$3,VLOOKUP($H229,Depreciation!$A$6:$L$10,8,FALSE)/2,IF($I229&lt;K$3,VLOOKUP($H229,Depreciation!$A$6:$L$10,8,FALSE),0))</f>
        <v>0</v>
      </c>
      <c r="L229" s="361">
        <f>+IF($I229=L$3,VLOOKUP($H229,Depreciation!$A$6:$L$10,9,FALSE)/2,IF($I229&lt;L$3,VLOOKUP($H229,Depreciation!$A$6:$L$10,9,FALSE),0))</f>
        <v>0</v>
      </c>
      <c r="M229" s="361">
        <f>+IF($I229=M$3,VLOOKUP($H229,Depreciation!$A$6:$L$10,10,FALSE)/2,IF($I229&lt;M$3,VLOOKUP($H229,Depreciation!$A$6:$L$10,10,FALSE),0))</f>
        <v>1.5338181838063448E-2</v>
      </c>
      <c r="N229" s="361">
        <f>+IF($I229=N$3,VLOOKUP($H229,Depreciation!$A$6:$L$10,11,FALSE)/2,IF($I229&lt;N$3,VLOOKUP($H229,Depreciation!$A$6:$L$10,11,FALSE),0))</f>
        <v>3.0676363676126896E-2</v>
      </c>
      <c r="O229" s="361">
        <f>+IF($I229=O$3,VLOOKUP($H229,Depreciation!$A$6:$L$10,12,FALSE)/2,IF($I229&lt;O$3,VLOOKUP($H229,Depreciation!$A$6:$L$10,12,FALSE),0))</f>
        <v>3.0676363676126896E-2</v>
      </c>
      <c r="P229" s="362">
        <f t="shared" si="11"/>
        <v>0</v>
      </c>
      <c r="Q229" s="362">
        <f t="shared" si="12"/>
        <v>0</v>
      </c>
      <c r="R229" s="363">
        <f t="shared" si="13"/>
        <v>0</v>
      </c>
    </row>
    <row r="230" spans="1:18">
      <c r="A230" s="359" t="str">
        <f>'Func Future Lines 2015'!A230</f>
        <v>PPS</v>
      </c>
      <c r="B230" s="359" t="str">
        <f>'Func Future Lines 2015'!B230</f>
        <v>line 1071L</v>
      </c>
      <c r="C230" s="359">
        <f>'Func Future Lines 2015'!C230</f>
        <v>1343</v>
      </c>
      <c r="D230" s="359">
        <f>'Func Future Lines 2015'!D230</f>
        <v>240</v>
      </c>
      <c r="E230" s="359">
        <f>'Func Future Lines 2015'!E230</f>
        <v>0</v>
      </c>
      <c r="F230" s="359">
        <f>'Func Future Lines 2015'!F230</f>
        <v>0</v>
      </c>
      <c r="G230" s="359">
        <f>'Func Future Lines 2015'!G230</f>
        <v>19796706.182093833</v>
      </c>
      <c r="H230" s="359" t="str">
        <f>'Func Future Lines 2015'!H230</f>
        <v>AltaLink</v>
      </c>
      <c r="I230" s="359">
        <f>'Func Future Lines 2015'!I230</f>
        <v>2015</v>
      </c>
      <c r="J230" s="361">
        <f>+IF($I230=J$3,VLOOKUP($H230,Depreciation!$A$6:$L$10,7,FALSE)/2,IF($I230&lt;J$3,VLOOKUP($H230,Depreciation!$A$6:$L$10,7,FALSE),0))</f>
        <v>1.595020804044691E-2</v>
      </c>
      <c r="K230" s="361">
        <f>+IF($I230=K$3,VLOOKUP($H230,Depreciation!$A$6:$L$10,8,FALSE)/2,IF($I230&lt;K$3,VLOOKUP($H230,Depreciation!$A$6:$L$10,8,FALSE),0))</f>
        <v>3.0676363676126896E-2</v>
      </c>
      <c r="L230" s="361">
        <f>+IF($I230=L$3,VLOOKUP($H230,Depreciation!$A$6:$L$10,9,FALSE)/2,IF($I230&lt;L$3,VLOOKUP($H230,Depreciation!$A$6:$L$10,9,FALSE),0))</f>
        <v>3.0676363676126896E-2</v>
      </c>
      <c r="M230" s="361">
        <f>+IF($I230=M$3,VLOOKUP($H230,Depreciation!$A$6:$L$10,10,FALSE)/2,IF($I230&lt;M$3,VLOOKUP($H230,Depreciation!$A$6:$L$10,10,FALSE),0))</f>
        <v>3.0676363676126896E-2</v>
      </c>
      <c r="N230" s="361">
        <f>+IF($I230=N$3,VLOOKUP($H230,Depreciation!$A$6:$L$10,11,FALSE)/2,IF($I230&lt;N$3,VLOOKUP($H230,Depreciation!$A$6:$L$10,11,FALSE),0))</f>
        <v>3.0676363676126896E-2</v>
      </c>
      <c r="O230" s="361">
        <f>+IF($I230=O$3,VLOOKUP($H230,Depreciation!$A$6:$L$10,12,FALSE)/2,IF($I230&lt;O$3,VLOOKUP($H230,Depreciation!$A$6:$L$10,12,FALSE),0))</f>
        <v>3.0676363676126896E-2</v>
      </c>
      <c r="P230" s="362">
        <f t="shared" si="11"/>
        <v>18304067.851610806</v>
      </c>
      <c r="Q230" s="362">
        <f t="shared" si="12"/>
        <v>18304067.851610806</v>
      </c>
      <c r="R230" s="363">
        <f t="shared" si="13"/>
        <v>0</v>
      </c>
    </row>
    <row r="231" spans="1:18">
      <c r="A231" s="359" t="str">
        <f>'Func Future Lines 2015'!A231</f>
        <v>PPS</v>
      </c>
      <c r="B231" s="359" t="str">
        <f>'Func Future Lines 2015'!B231</f>
        <v>line 624L</v>
      </c>
      <c r="C231" s="359">
        <f>'Func Future Lines 2015'!C231</f>
        <v>1343</v>
      </c>
      <c r="D231" s="359">
        <f>'Func Future Lines 2015'!D231</f>
        <v>138</v>
      </c>
      <c r="E231" s="359">
        <f>'Func Future Lines 2015'!E231</f>
        <v>0</v>
      </c>
      <c r="F231" s="359">
        <f>'Func Future Lines 2015'!F231</f>
        <v>0</v>
      </c>
      <c r="G231" s="359">
        <f>'Func Future Lines 2015'!G231</f>
        <v>3112543.7968499968</v>
      </c>
      <c r="H231" s="359" t="str">
        <f>'Func Future Lines 2015'!H231</f>
        <v>AltaLink</v>
      </c>
      <c r="I231" s="359">
        <f>'Func Future Lines 2015'!I231</f>
        <v>2015</v>
      </c>
      <c r="J231" s="361">
        <f>+IF($I231=J$3,VLOOKUP($H231,Depreciation!$A$6:$L$10,7,FALSE)/2,IF($I231&lt;J$3,VLOOKUP($H231,Depreciation!$A$6:$L$10,7,FALSE),0))</f>
        <v>1.595020804044691E-2</v>
      </c>
      <c r="K231" s="361">
        <f>+IF($I231=K$3,VLOOKUP($H231,Depreciation!$A$6:$L$10,8,FALSE)/2,IF($I231&lt;K$3,VLOOKUP($H231,Depreciation!$A$6:$L$10,8,FALSE),0))</f>
        <v>3.0676363676126896E-2</v>
      </c>
      <c r="L231" s="361">
        <f>+IF($I231=L$3,VLOOKUP($H231,Depreciation!$A$6:$L$10,9,FALSE)/2,IF($I231&lt;L$3,VLOOKUP($H231,Depreciation!$A$6:$L$10,9,FALSE),0))</f>
        <v>3.0676363676126896E-2</v>
      </c>
      <c r="M231" s="361">
        <f>+IF($I231=M$3,VLOOKUP($H231,Depreciation!$A$6:$L$10,10,FALSE)/2,IF($I231&lt;M$3,VLOOKUP($H231,Depreciation!$A$6:$L$10,10,FALSE),0))</f>
        <v>3.0676363676126896E-2</v>
      </c>
      <c r="N231" s="361">
        <f>+IF($I231=N$3,VLOOKUP($H231,Depreciation!$A$6:$L$10,11,FALSE)/2,IF($I231&lt;N$3,VLOOKUP($H231,Depreciation!$A$6:$L$10,11,FALSE),0))</f>
        <v>3.0676363676126896E-2</v>
      </c>
      <c r="O231" s="361">
        <f>+IF($I231=O$3,VLOOKUP($H231,Depreciation!$A$6:$L$10,12,FALSE)/2,IF($I231&lt;O$3,VLOOKUP($H231,Depreciation!$A$6:$L$10,12,FALSE),0))</f>
        <v>3.0676363676126896E-2</v>
      </c>
      <c r="P231" s="362">
        <f t="shared" si="11"/>
        <v>2877863.2326313024</v>
      </c>
      <c r="Q231" s="362">
        <f t="shared" si="12"/>
        <v>0</v>
      </c>
      <c r="R231" s="363">
        <f t="shared" si="13"/>
        <v>2877863.2326313024</v>
      </c>
    </row>
    <row r="232" spans="1:18">
      <c r="A232" s="359" t="str">
        <f>'Func Future Lines 2015'!A232</f>
        <v>PPS</v>
      </c>
      <c r="B232" s="359" t="str">
        <f>'Func Future Lines 2015'!B232</f>
        <v>line 893AL</v>
      </c>
      <c r="C232" s="359">
        <f>'Func Future Lines 2015'!C232</f>
        <v>1343</v>
      </c>
      <c r="D232" s="359">
        <f>'Func Future Lines 2015'!D232</f>
        <v>138</v>
      </c>
      <c r="E232" s="359">
        <f>'Func Future Lines 2015'!E232</f>
        <v>0</v>
      </c>
      <c r="F232" s="359">
        <f>'Func Future Lines 2015'!F232</f>
        <v>0</v>
      </c>
      <c r="G232" s="359">
        <f>'Func Future Lines 2015'!G232</f>
        <v>39755.748336561956</v>
      </c>
      <c r="H232" s="359" t="str">
        <f>'Func Future Lines 2015'!H232</f>
        <v>AltaLink</v>
      </c>
      <c r="I232" s="359">
        <f>'Func Future Lines 2015'!I232</f>
        <v>2015</v>
      </c>
      <c r="J232" s="361">
        <f>+IF($I232=J$3,VLOOKUP($H232,Depreciation!$A$6:$L$10,7,FALSE)/2,IF($I232&lt;J$3,VLOOKUP($H232,Depreciation!$A$6:$L$10,7,FALSE),0))</f>
        <v>1.595020804044691E-2</v>
      </c>
      <c r="K232" s="361">
        <f>+IF($I232=K$3,VLOOKUP($H232,Depreciation!$A$6:$L$10,8,FALSE)/2,IF($I232&lt;K$3,VLOOKUP($H232,Depreciation!$A$6:$L$10,8,FALSE),0))</f>
        <v>3.0676363676126896E-2</v>
      </c>
      <c r="L232" s="361">
        <f>+IF($I232=L$3,VLOOKUP($H232,Depreciation!$A$6:$L$10,9,FALSE)/2,IF($I232&lt;L$3,VLOOKUP($H232,Depreciation!$A$6:$L$10,9,FALSE),0))</f>
        <v>3.0676363676126896E-2</v>
      </c>
      <c r="M232" s="361">
        <f>+IF($I232=M$3,VLOOKUP($H232,Depreciation!$A$6:$L$10,10,FALSE)/2,IF($I232&lt;M$3,VLOOKUP($H232,Depreciation!$A$6:$L$10,10,FALSE),0))</f>
        <v>3.0676363676126896E-2</v>
      </c>
      <c r="N232" s="361">
        <f>+IF($I232=N$3,VLOOKUP($H232,Depreciation!$A$6:$L$10,11,FALSE)/2,IF($I232&lt;N$3,VLOOKUP($H232,Depreciation!$A$6:$L$10,11,FALSE),0))</f>
        <v>3.0676363676126896E-2</v>
      </c>
      <c r="O232" s="361">
        <f>+IF($I232=O$3,VLOOKUP($H232,Depreciation!$A$6:$L$10,12,FALSE)/2,IF($I232&lt;O$3,VLOOKUP($H232,Depreciation!$A$6:$L$10,12,FALSE),0))</f>
        <v>3.0676363676126896E-2</v>
      </c>
      <c r="P232" s="362">
        <f t="shared" si="11"/>
        <v>36758.231816472195</v>
      </c>
      <c r="Q232" s="362">
        <f t="shared" si="12"/>
        <v>0</v>
      </c>
      <c r="R232" s="363">
        <f t="shared" si="13"/>
        <v>36758.231816472195</v>
      </c>
    </row>
    <row r="233" spans="1:18">
      <c r="A233" s="359" t="str">
        <f>'Func Future Lines 2015'!A233</f>
        <v>PPS</v>
      </c>
      <c r="B233" s="359" t="str">
        <f>'Func Future Lines 2015'!B233</f>
        <v>line 893L stage 1</v>
      </c>
      <c r="C233" s="359">
        <f>'Func Future Lines 2015'!C233</f>
        <v>1343</v>
      </c>
      <c r="D233" s="359">
        <f>'Func Future Lines 2015'!D233</f>
        <v>138</v>
      </c>
      <c r="E233" s="359">
        <f>'Func Future Lines 2015'!E233</f>
        <v>0</v>
      </c>
      <c r="F233" s="359">
        <f>'Func Future Lines 2015'!F233</f>
        <v>0</v>
      </c>
      <c r="G233" s="359">
        <f>'Func Future Lines 2015'!G233</f>
        <v>4325094.121115136</v>
      </c>
      <c r="H233" s="359" t="str">
        <f>'Func Future Lines 2015'!H233</f>
        <v>AltaLink</v>
      </c>
      <c r="I233" s="359">
        <f>'Func Future Lines 2015'!I233</f>
        <v>2015</v>
      </c>
      <c r="J233" s="361">
        <f>+IF($I233=J$3,VLOOKUP($H233,Depreciation!$A$6:$L$10,7,FALSE)/2,IF($I233&lt;J$3,VLOOKUP($H233,Depreciation!$A$6:$L$10,7,FALSE),0))</f>
        <v>1.595020804044691E-2</v>
      </c>
      <c r="K233" s="361">
        <f>+IF($I233=K$3,VLOOKUP($H233,Depreciation!$A$6:$L$10,8,FALSE)/2,IF($I233&lt;K$3,VLOOKUP($H233,Depreciation!$A$6:$L$10,8,FALSE),0))</f>
        <v>3.0676363676126896E-2</v>
      </c>
      <c r="L233" s="361">
        <f>+IF($I233=L$3,VLOOKUP($H233,Depreciation!$A$6:$L$10,9,FALSE)/2,IF($I233&lt;L$3,VLOOKUP($H233,Depreciation!$A$6:$L$10,9,FALSE),0))</f>
        <v>3.0676363676126896E-2</v>
      </c>
      <c r="M233" s="361">
        <f>+IF($I233=M$3,VLOOKUP($H233,Depreciation!$A$6:$L$10,10,FALSE)/2,IF($I233&lt;M$3,VLOOKUP($H233,Depreciation!$A$6:$L$10,10,FALSE),0))</f>
        <v>3.0676363676126896E-2</v>
      </c>
      <c r="N233" s="361">
        <f>+IF($I233=N$3,VLOOKUP($H233,Depreciation!$A$6:$L$10,11,FALSE)/2,IF($I233&lt;N$3,VLOOKUP($H233,Depreciation!$A$6:$L$10,11,FALSE),0))</f>
        <v>3.0676363676126896E-2</v>
      </c>
      <c r="O233" s="361">
        <f>+IF($I233=O$3,VLOOKUP($H233,Depreciation!$A$6:$L$10,12,FALSE)/2,IF($I233&lt;O$3,VLOOKUP($H233,Depreciation!$A$6:$L$10,12,FALSE),0))</f>
        <v>3.0676363676126896E-2</v>
      </c>
      <c r="P233" s="362">
        <f t="shared" si="11"/>
        <v>3998989.3030337044</v>
      </c>
      <c r="Q233" s="362">
        <f t="shared" si="12"/>
        <v>0</v>
      </c>
      <c r="R233" s="363">
        <f t="shared" si="13"/>
        <v>3998989.3030337044</v>
      </c>
    </row>
    <row r="234" spans="1:18">
      <c r="A234" s="359" t="str">
        <f>'Func Future Lines 2015'!A234</f>
        <v>PPS</v>
      </c>
      <c r="B234" s="359" t="str">
        <f>'Func Future Lines 2015'!B234</f>
        <v>line 893L stage 2</v>
      </c>
      <c r="C234" s="359">
        <f>'Func Future Lines 2015'!C234</f>
        <v>1343</v>
      </c>
      <c r="D234" s="359">
        <f>'Func Future Lines 2015'!D234</f>
        <v>138</v>
      </c>
      <c r="E234" s="359">
        <f>'Func Future Lines 2015'!E234</f>
        <v>0</v>
      </c>
      <c r="F234" s="359">
        <f>'Func Future Lines 2015'!F234</f>
        <v>0</v>
      </c>
      <c r="G234" s="359">
        <f>'Func Future Lines 2015'!G234</f>
        <v>57171.622130222037</v>
      </c>
      <c r="H234" s="359" t="str">
        <f>'Func Future Lines 2015'!H234</f>
        <v>AltaLink</v>
      </c>
      <c r="I234" s="359">
        <f>'Func Future Lines 2015'!I234</f>
        <v>2015</v>
      </c>
      <c r="J234" s="361">
        <f>+IF($I234=J$3,VLOOKUP($H234,Depreciation!$A$6:$L$10,7,FALSE)/2,IF($I234&lt;J$3,VLOOKUP($H234,Depreciation!$A$6:$L$10,7,FALSE),0))</f>
        <v>1.595020804044691E-2</v>
      </c>
      <c r="K234" s="361">
        <f>+IF($I234=K$3,VLOOKUP($H234,Depreciation!$A$6:$L$10,8,FALSE)/2,IF($I234&lt;K$3,VLOOKUP($H234,Depreciation!$A$6:$L$10,8,FALSE),0))</f>
        <v>3.0676363676126896E-2</v>
      </c>
      <c r="L234" s="361">
        <f>+IF($I234=L$3,VLOOKUP($H234,Depreciation!$A$6:$L$10,9,FALSE)/2,IF($I234&lt;L$3,VLOOKUP($H234,Depreciation!$A$6:$L$10,9,FALSE),0))</f>
        <v>3.0676363676126896E-2</v>
      </c>
      <c r="M234" s="361">
        <f>+IF($I234=M$3,VLOOKUP($H234,Depreciation!$A$6:$L$10,10,FALSE)/2,IF($I234&lt;M$3,VLOOKUP($H234,Depreciation!$A$6:$L$10,10,FALSE),0))</f>
        <v>3.0676363676126896E-2</v>
      </c>
      <c r="N234" s="361">
        <f>+IF($I234=N$3,VLOOKUP($H234,Depreciation!$A$6:$L$10,11,FALSE)/2,IF($I234&lt;N$3,VLOOKUP($H234,Depreciation!$A$6:$L$10,11,FALSE),0))</f>
        <v>3.0676363676126896E-2</v>
      </c>
      <c r="O234" s="361">
        <f>+IF($I234=O$3,VLOOKUP($H234,Depreciation!$A$6:$L$10,12,FALSE)/2,IF($I234&lt;O$3,VLOOKUP($H234,Depreciation!$A$6:$L$10,12,FALSE),0))</f>
        <v>3.0676363676126896E-2</v>
      </c>
      <c r="P234" s="362">
        <f t="shared" si="11"/>
        <v>52860.978035061984</v>
      </c>
      <c r="Q234" s="362">
        <f t="shared" si="12"/>
        <v>0</v>
      </c>
      <c r="R234" s="363">
        <f t="shared" si="13"/>
        <v>52860.978035061984</v>
      </c>
    </row>
    <row r="235" spans="1:18">
      <c r="A235" s="359" t="str">
        <f>'Func Future Lines 2015'!A235</f>
        <v>PPS</v>
      </c>
      <c r="B235" s="359" t="str">
        <f>'Func Future Lines 2015'!B235</f>
        <v>line 994L</v>
      </c>
      <c r="C235" s="359">
        <f>'Func Future Lines 2015'!C235</f>
        <v>1343</v>
      </c>
      <c r="D235" s="359">
        <f>'Func Future Lines 2015'!D235</f>
        <v>240</v>
      </c>
      <c r="E235" s="359">
        <f>'Func Future Lines 2015'!E235</f>
        <v>0</v>
      </c>
      <c r="F235" s="359">
        <f>'Func Future Lines 2015'!F235</f>
        <v>0</v>
      </c>
      <c r="G235" s="359">
        <f>'Func Future Lines 2015'!G235</f>
        <v>18544400.109492131</v>
      </c>
      <c r="H235" s="359" t="str">
        <f>'Func Future Lines 2015'!H235</f>
        <v>AltaLink</v>
      </c>
      <c r="I235" s="359">
        <f>'Func Future Lines 2015'!I235</f>
        <v>2015</v>
      </c>
      <c r="J235" s="361">
        <f>+IF($I235=J$3,VLOOKUP($H235,Depreciation!$A$6:$L$10,7,FALSE)/2,IF($I235&lt;J$3,VLOOKUP($H235,Depreciation!$A$6:$L$10,7,FALSE),0))</f>
        <v>1.595020804044691E-2</v>
      </c>
      <c r="K235" s="361">
        <f>+IF($I235=K$3,VLOOKUP($H235,Depreciation!$A$6:$L$10,8,FALSE)/2,IF($I235&lt;K$3,VLOOKUP($H235,Depreciation!$A$6:$L$10,8,FALSE),0))</f>
        <v>3.0676363676126896E-2</v>
      </c>
      <c r="L235" s="361">
        <f>+IF($I235=L$3,VLOOKUP($H235,Depreciation!$A$6:$L$10,9,FALSE)/2,IF($I235&lt;L$3,VLOOKUP($H235,Depreciation!$A$6:$L$10,9,FALSE),0))</f>
        <v>3.0676363676126896E-2</v>
      </c>
      <c r="M235" s="361">
        <f>+IF($I235=M$3,VLOOKUP($H235,Depreciation!$A$6:$L$10,10,FALSE)/2,IF($I235&lt;M$3,VLOOKUP($H235,Depreciation!$A$6:$L$10,10,FALSE),0))</f>
        <v>3.0676363676126896E-2</v>
      </c>
      <c r="N235" s="361">
        <f>+IF($I235=N$3,VLOOKUP($H235,Depreciation!$A$6:$L$10,11,FALSE)/2,IF($I235&lt;N$3,VLOOKUP($H235,Depreciation!$A$6:$L$10,11,FALSE),0))</f>
        <v>3.0676363676126896E-2</v>
      </c>
      <c r="O235" s="361">
        <f>+IF($I235=O$3,VLOOKUP($H235,Depreciation!$A$6:$L$10,12,FALSE)/2,IF($I235&lt;O$3,VLOOKUP($H235,Depreciation!$A$6:$L$10,12,FALSE),0))</f>
        <v>3.0676363676126896E-2</v>
      </c>
      <c r="P235" s="362">
        <f t="shared" si="11"/>
        <v>17146183.549391929</v>
      </c>
      <c r="Q235" s="362">
        <f t="shared" si="12"/>
        <v>17146183.549391929</v>
      </c>
      <c r="R235" s="363">
        <f t="shared" si="13"/>
        <v>0</v>
      </c>
    </row>
    <row r="236" spans="1:18">
      <c r="A236" s="359" t="str">
        <f>'Func Future Lines 2015'!A236</f>
        <v>PPS</v>
      </c>
      <c r="B236" s="359" t="str">
        <f>'Func Future Lines 2015'!B236</f>
        <v>Line 9L32</v>
      </c>
      <c r="C236" s="359">
        <f>'Func Future Lines 2015'!C236</f>
        <v>1348</v>
      </c>
      <c r="D236" s="359">
        <f>'Func Future Lines 2015'!D236</f>
        <v>240</v>
      </c>
      <c r="E236" s="359">
        <f>'Func Future Lines 2015'!E236</f>
        <v>0</v>
      </c>
      <c r="F236" s="359">
        <f>'Func Future Lines 2015'!F236</f>
        <v>0</v>
      </c>
      <c r="G236" s="359">
        <f>'Func Future Lines 2015'!G236</f>
        <v>1573745.900388991</v>
      </c>
      <c r="H236" s="359" t="str">
        <f>'Func Future Lines 2015'!H236</f>
        <v>ATCO</v>
      </c>
      <c r="I236" s="359">
        <f>'Func Future Lines 2015'!I236</f>
        <v>2016</v>
      </c>
      <c r="J236" s="361">
        <f>+IF($I236=J$3,VLOOKUP($H236,Depreciation!$A$6:$L$10,7,FALSE)/2,IF($I236&lt;J$3,VLOOKUP($H236,Depreciation!$A$6:$L$10,7,FALSE),0))</f>
        <v>0</v>
      </c>
      <c r="K236" s="361">
        <f>+IF($I236=K$3,VLOOKUP($H236,Depreciation!$A$6:$L$10,8,FALSE)/2,IF($I236&lt;K$3,VLOOKUP($H236,Depreciation!$A$6:$L$10,8,FALSE),0))</f>
        <v>1.1971929865503333E-2</v>
      </c>
      <c r="L236" s="361">
        <f>+IF($I236=L$3,VLOOKUP($H236,Depreciation!$A$6:$L$10,9,FALSE)/2,IF($I236&lt;L$3,VLOOKUP($H236,Depreciation!$A$6:$L$10,9,FALSE),0))</f>
        <v>2.4002037926855919E-2</v>
      </c>
      <c r="M236" s="361">
        <f>+IF($I236=M$3,VLOOKUP($H236,Depreciation!$A$6:$L$10,10,FALSE)/2,IF($I236&lt;M$3,VLOOKUP($H236,Depreciation!$A$6:$L$10,10,FALSE),0))</f>
        <v>2.4002037926855919E-2</v>
      </c>
      <c r="N236" s="361">
        <f>+IF($I236=N$3,VLOOKUP($H236,Depreciation!$A$6:$L$10,11,FALSE)/2,IF($I236&lt;N$3,VLOOKUP($H236,Depreciation!$A$6:$L$10,11,FALSE),0))</f>
        <v>2.4002037926855919E-2</v>
      </c>
      <c r="O236" s="361">
        <f>+IF($I236=O$3,VLOOKUP($H236,Depreciation!$A$6:$L$10,12,FALSE)/2,IF($I236&lt;O$3,VLOOKUP($H236,Depreciation!$A$6:$L$10,12,FALSE),0))</f>
        <v>2.4002037926855919E-2</v>
      </c>
      <c r="P236" s="362">
        <f t="shared" si="11"/>
        <v>1517584.2330642564</v>
      </c>
      <c r="Q236" s="362">
        <f t="shared" si="12"/>
        <v>1517584.2330642564</v>
      </c>
      <c r="R236" s="363">
        <f t="shared" si="13"/>
        <v>0</v>
      </c>
    </row>
    <row r="237" spans="1:18">
      <c r="A237" s="359" t="str">
        <f>'Func Future Lines 2015'!A237</f>
        <v>FINAL</v>
      </c>
      <c r="B237" s="359" t="str">
        <f>'Func Future Lines 2015'!B237</f>
        <v>732AL</v>
      </c>
      <c r="C237" s="359">
        <f>'Func Future Lines 2015'!C237</f>
        <v>1349</v>
      </c>
      <c r="D237" s="359">
        <f>'Func Future Lines 2015'!D237</f>
        <v>138</v>
      </c>
      <c r="E237" s="359">
        <f>'Func Future Lines 2015'!E237</f>
        <v>0</v>
      </c>
      <c r="F237" s="359" t="str">
        <f>'Func Future Lines 2015'!F237</f>
        <v>Wetaskiwin</v>
      </c>
      <c r="G237" s="359">
        <f>'Func Future Lines 2015'!G237</f>
        <v>696425.98546757339</v>
      </c>
      <c r="H237" s="359" t="str">
        <f>'Func Future Lines 2015'!H237</f>
        <v>AltaLink</v>
      </c>
      <c r="I237" s="359">
        <f>'Func Future Lines 2015'!I237</f>
        <v>2015</v>
      </c>
      <c r="J237" s="361">
        <f>+IF($I237=J$3,VLOOKUP($H237,Depreciation!$A$6:$L$10,7,FALSE)/2,IF($I237&lt;J$3,VLOOKUP($H237,Depreciation!$A$6:$L$10,7,FALSE),0))</f>
        <v>1.595020804044691E-2</v>
      </c>
      <c r="K237" s="361">
        <f>+IF($I237=K$3,VLOOKUP($H237,Depreciation!$A$6:$L$10,8,FALSE)/2,IF($I237&lt;K$3,VLOOKUP($H237,Depreciation!$A$6:$L$10,8,FALSE),0))</f>
        <v>3.0676363676126896E-2</v>
      </c>
      <c r="L237" s="361">
        <f>+IF($I237=L$3,VLOOKUP($H237,Depreciation!$A$6:$L$10,9,FALSE)/2,IF($I237&lt;L$3,VLOOKUP($H237,Depreciation!$A$6:$L$10,9,FALSE),0))</f>
        <v>3.0676363676126896E-2</v>
      </c>
      <c r="M237" s="361">
        <f>+IF($I237=M$3,VLOOKUP($H237,Depreciation!$A$6:$L$10,10,FALSE)/2,IF($I237&lt;M$3,VLOOKUP($H237,Depreciation!$A$6:$L$10,10,FALSE),0))</f>
        <v>3.0676363676126896E-2</v>
      </c>
      <c r="N237" s="361">
        <f>+IF($I237=N$3,VLOOKUP($H237,Depreciation!$A$6:$L$10,11,FALSE)/2,IF($I237&lt;N$3,VLOOKUP($H237,Depreciation!$A$6:$L$10,11,FALSE),0))</f>
        <v>3.0676363676126896E-2</v>
      </c>
      <c r="O237" s="361">
        <f>+IF($I237=O$3,VLOOKUP($H237,Depreciation!$A$6:$L$10,12,FALSE)/2,IF($I237&lt;O$3,VLOOKUP($H237,Depreciation!$A$6:$L$10,12,FALSE),0))</f>
        <v>3.0676363676126896E-2</v>
      </c>
      <c r="P237" s="362">
        <f t="shared" si="11"/>
        <v>643916.63817051868</v>
      </c>
      <c r="Q237" s="362">
        <f t="shared" si="12"/>
        <v>0</v>
      </c>
      <c r="R237" s="363">
        <f t="shared" si="13"/>
        <v>643916.63817051868</v>
      </c>
    </row>
    <row r="238" spans="1:18">
      <c r="A238" s="359" t="str">
        <f>'Func Future Lines 2015'!A238</f>
        <v>PPS</v>
      </c>
      <c r="B238" s="359" t="str">
        <f>'Func Future Lines 2015'!B238</f>
        <v>26.81L</v>
      </c>
      <c r="C238" s="359">
        <f>'Func Future Lines 2015'!C238</f>
        <v>1354</v>
      </c>
      <c r="D238" s="359">
        <f>'Func Future Lines 2015'!D238</f>
        <v>138</v>
      </c>
      <c r="E238" s="359">
        <f>'Func Future Lines 2015'!E238</f>
        <v>0</v>
      </c>
      <c r="F238" s="359" t="str">
        <f>'Func Future Lines 2015'!F238</f>
        <v>Calgary</v>
      </c>
      <c r="G238" s="359">
        <f>'Func Future Lines 2015'!G238</f>
        <v>5392.2554130521503</v>
      </c>
      <c r="H238" s="359" t="str">
        <f>'Func Future Lines 2015'!H238</f>
        <v>ENMAX</v>
      </c>
      <c r="I238" s="359">
        <f>'Func Future Lines 2015'!I238</f>
        <v>2017</v>
      </c>
      <c r="J238" s="361">
        <f>+IF($I238=J$3,VLOOKUP($H238,Depreciation!$A$6:$L$10,7,FALSE)/2,IF($I238&lt;J$3,VLOOKUP($H238,Depreciation!$A$6:$L$10,7,FALSE),0))</f>
        <v>0</v>
      </c>
      <c r="K238" s="361">
        <f>+IF($I238=K$3,VLOOKUP($H238,Depreciation!$A$6:$L$10,8,FALSE)/2,IF($I238&lt;K$3,VLOOKUP($H238,Depreciation!$A$6:$L$10,8,FALSE),0))</f>
        <v>0</v>
      </c>
      <c r="L238" s="361">
        <f>+IF($I238=L$3,VLOOKUP($H238,Depreciation!$A$6:$L$10,9,FALSE)/2,IF($I238&lt;L$3,VLOOKUP($H238,Depreciation!$A$6:$L$10,9,FALSE),0))</f>
        <v>1.3475179084025525E-2</v>
      </c>
      <c r="M238" s="361">
        <f>+IF($I238=M$3,VLOOKUP($H238,Depreciation!$A$6:$L$10,10,FALSE)/2,IF($I238&lt;M$3,VLOOKUP($H238,Depreciation!$A$6:$L$10,10,FALSE),0))</f>
        <v>2.6950358168051049E-2</v>
      </c>
      <c r="N238" s="361">
        <f>+IF($I238=N$3,VLOOKUP($H238,Depreciation!$A$6:$L$10,11,FALSE)/2,IF($I238&lt;N$3,VLOOKUP($H238,Depreciation!$A$6:$L$10,11,FALSE),0))</f>
        <v>2.6950358168051049E-2</v>
      </c>
      <c r="O238" s="361">
        <f>+IF($I238=O$3,VLOOKUP($H238,Depreciation!$A$6:$L$10,12,FALSE)/2,IF($I238&lt;O$3,VLOOKUP($H238,Depreciation!$A$6:$L$10,12,FALSE),0))</f>
        <v>2.6950358168051049E-2</v>
      </c>
      <c r="P238" s="362">
        <f t="shared" si="11"/>
        <v>5319.5938056944669</v>
      </c>
      <c r="Q238" s="362">
        <f t="shared" si="12"/>
        <v>0</v>
      </c>
      <c r="R238" s="363">
        <f t="shared" si="13"/>
        <v>5319.5938056944669</v>
      </c>
    </row>
    <row r="239" spans="1:18">
      <c r="A239" s="359" t="str">
        <f>'Func Future Lines 2015'!A239</f>
        <v>PPS</v>
      </c>
      <c r="B239" s="359" t="str">
        <f>'Func Future Lines 2015'!B239</f>
        <v>41.84L</v>
      </c>
      <c r="C239" s="359">
        <f>'Func Future Lines 2015'!C239</f>
        <v>1354</v>
      </c>
      <c r="D239" s="359">
        <f>'Func Future Lines 2015'!D239</f>
        <v>138</v>
      </c>
      <c r="E239" s="359">
        <f>'Func Future Lines 2015'!E239</f>
        <v>0</v>
      </c>
      <c r="F239" s="359" t="str">
        <f>'Func Future Lines 2015'!F239</f>
        <v>Calgary</v>
      </c>
      <c r="G239" s="359">
        <f>'Func Future Lines 2015'!G239</f>
        <v>10940358.319965452</v>
      </c>
      <c r="H239" s="359" t="str">
        <f>'Func Future Lines 2015'!H239</f>
        <v>ENMAX</v>
      </c>
      <c r="I239" s="359">
        <f>'Func Future Lines 2015'!I239</f>
        <v>2017</v>
      </c>
      <c r="J239" s="361">
        <f>+IF($I239=J$3,VLOOKUP($H239,Depreciation!$A$6:$L$10,7,FALSE)/2,IF($I239&lt;J$3,VLOOKUP($H239,Depreciation!$A$6:$L$10,7,FALSE),0))</f>
        <v>0</v>
      </c>
      <c r="K239" s="361">
        <f>+IF($I239=K$3,VLOOKUP($H239,Depreciation!$A$6:$L$10,8,FALSE)/2,IF($I239&lt;K$3,VLOOKUP($H239,Depreciation!$A$6:$L$10,8,FALSE),0))</f>
        <v>0</v>
      </c>
      <c r="L239" s="361">
        <f>+IF($I239=L$3,VLOOKUP($H239,Depreciation!$A$6:$L$10,9,FALSE)/2,IF($I239&lt;L$3,VLOOKUP($H239,Depreciation!$A$6:$L$10,9,FALSE),0))</f>
        <v>1.3475179084025525E-2</v>
      </c>
      <c r="M239" s="361">
        <f>+IF($I239=M$3,VLOOKUP($H239,Depreciation!$A$6:$L$10,10,FALSE)/2,IF($I239&lt;M$3,VLOOKUP($H239,Depreciation!$A$6:$L$10,10,FALSE),0))</f>
        <v>2.6950358168051049E-2</v>
      </c>
      <c r="N239" s="361">
        <f>+IF($I239=N$3,VLOOKUP($H239,Depreciation!$A$6:$L$10,11,FALSE)/2,IF($I239&lt;N$3,VLOOKUP($H239,Depreciation!$A$6:$L$10,11,FALSE),0))</f>
        <v>2.6950358168051049E-2</v>
      </c>
      <c r="O239" s="361">
        <f>+IF($I239=O$3,VLOOKUP($H239,Depreciation!$A$6:$L$10,12,FALSE)/2,IF($I239&lt;O$3,VLOOKUP($H239,Depreciation!$A$6:$L$10,12,FALSE),0))</f>
        <v>2.6950358168051049E-2</v>
      </c>
      <c r="P239" s="362">
        <f t="shared" si="11"/>
        <v>10792935.032360509</v>
      </c>
      <c r="Q239" s="362">
        <f t="shared" si="12"/>
        <v>0</v>
      </c>
      <c r="R239" s="363">
        <f t="shared" si="13"/>
        <v>10792935.032360509</v>
      </c>
    </row>
    <row r="240" spans="1:18">
      <c r="A240" s="359" t="str">
        <f>'Func Future Lines 2015'!A240</f>
        <v>PPS</v>
      </c>
      <c r="B240" s="359" t="str">
        <f>'Func Future Lines 2015'!B240</f>
        <v>54.81L</v>
      </c>
      <c r="C240" s="359">
        <f>'Func Future Lines 2015'!C240</f>
        <v>1354</v>
      </c>
      <c r="D240" s="359">
        <f>'Func Future Lines 2015'!D240</f>
        <v>138</v>
      </c>
      <c r="E240" s="359">
        <f>'Func Future Lines 2015'!E240</f>
        <v>0</v>
      </c>
      <c r="F240" s="359" t="str">
        <f>'Func Future Lines 2015'!F240</f>
        <v>Calgary</v>
      </c>
      <c r="G240" s="359">
        <f>'Func Future Lines 2015'!G240</f>
        <v>9176948.6694427244</v>
      </c>
      <c r="H240" s="359" t="str">
        <f>'Func Future Lines 2015'!H240</f>
        <v>ENMAX</v>
      </c>
      <c r="I240" s="359">
        <f>'Func Future Lines 2015'!I240</f>
        <v>2017</v>
      </c>
      <c r="J240" s="361">
        <f>+IF($I240=J$3,VLOOKUP($H240,Depreciation!$A$6:$L$10,7,FALSE)/2,IF($I240&lt;J$3,VLOOKUP($H240,Depreciation!$A$6:$L$10,7,FALSE),0))</f>
        <v>0</v>
      </c>
      <c r="K240" s="361">
        <f>+IF($I240=K$3,VLOOKUP($H240,Depreciation!$A$6:$L$10,8,FALSE)/2,IF($I240&lt;K$3,VLOOKUP($H240,Depreciation!$A$6:$L$10,8,FALSE),0))</f>
        <v>0</v>
      </c>
      <c r="L240" s="361">
        <f>+IF($I240=L$3,VLOOKUP($H240,Depreciation!$A$6:$L$10,9,FALSE)/2,IF($I240&lt;L$3,VLOOKUP($H240,Depreciation!$A$6:$L$10,9,FALSE),0))</f>
        <v>1.3475179084025525E-2</v>
      </c>
      <c r="M240" s="361">
        <f>+IF($I240=M$3,VLOOKUP($H240,Depreciation!$A$6:$L$10,10,FALSE)/2,IF($I240&lt;M$3,VLOOKUP($H240,Depreciation!$A$6:$L$10,10,FALSE),0))</f>
        <v>2.6950358168051049E-2</v>
      </c>
      <c r="N240" s="361">
        <f>+IF($I240=N$3,VLOOKUP($H240,Depreciation!$A$6:$L$10,11,FALSE)/2,IF($I240&lt;N$3,VLOOKUP($H240,Depreciation!$A$6:$L$10,11,FALSE),0))</f>
        <v>2.6950358168051049E-2</v>
      </c>
      <c r="O240" s="361">
        <f>+IF($I240=O$3,VLOOKUP($H240,Depreciation!$A$6:$L$10,12,FALSE)/2,IF($I240&lt;O$3,VLOOKUP($H240,Depreciation!$A$6:$L$10,12,FALSE),0))</f>
        <v>2.6950358168051049E-2</v>
      </c>
      <c r="P240" s="362">
        <f t="shared" si="11"/>
        <v>9053287.6426770743</v>
      </c>
      <c r="Q240" s="362">
        <f t="shared" si="12"/>
        <v>0</v>
      </c>
      <c r="R240" s="363">
        <f t="shared" si="13"/>
        <v>9053287.6426770743</v>
      </c>
    </row>
    <row r="241" spans="1:18">
      <c r="A241" s="359" t="str">
        <f>'Func Future Lines 2015'!A241</f>
        <v>NID</v>
      </c>
      <c r="B241" s="359" t="str">
        <f>'Func Future Lines 2015'!B241</f>
        <v>807L 138kV 1km_(Alt3)</v>
      </c>
      <c r="C241" s="359">
        <f>'Func Future Lines 2015'!C241</f>
        <v>1381</v>
      </c>
      <c r="D241" s="359">
        <f>'Func Future Lines 2015'!D241</f>
        <v>138</v>
      </c>
      <c r="E241" s="359">
        <f>'Func Future Lines 2015'!E241</f>
        <v>0</v>
      </c>
      <c r="F241" s="359" t="str">
        <f>'Func Future Lines 2015'!F241</f>
        <v>Fort_Saskatchewan</v>
      </c>
      <c r="G241" s="359">
        <f>'Func Future Lines 2015'!G241</f>
        <v>2854379.6561085959</v>
      </c>
      <c r="H241" s="359" t="str">
        <f>'Func Future Lines 2015'!H241</f>
        <v>AltaLink</v>
      </c>
      <c r="I241" s="359">
        <f>'Func Future Lines 2015'!I241</f>
        <v>2019</v>
      </c>
      <c r="J241" s="361">
        <f>+IF($I241=J$3,VLOOKUP($H241,Depreciation!$A$6:$L$10,7,FALSE)/2,IF($I241&lt;J$3,VLOOKUP($H241,Depreciation!$A$6:$L$10,7,FALSE),0))</f>
        <v>0</v>
      </c>
      <c r="K241" s="361">
        <f>+IF($I241=K$3,VLOOKUP($H241,Depreciation!$A$6:$L$10,8,FALSE)/2,IF($I241&lt;K$3,VLOOKUP($H241,Depreciation!$A$6:$L$10,8,FALSE),0))</f>
        <v>0</v>
      </c>
      <c r="L241" s="361">
        <f>+IF($I241=L$3,VLOOKUP($H241,Depreciation!$A$6:$L$10,9,FALSE)/2,IF($I241&lt;L$3,VLOOKUP($H241,Depreciation!$A$6:$L$10,9,FALSE),0))</f>
        <v>0</v>
      </c>
      <c r="M241" s="361">
        <f>+IF($I241=M$3,VLOOKUP($H241,Depreciation!$A$6:$L$10,10,FALSE)/2,IF($I241&lt;M$3,VLOOKUP($H241,Depreciation!$A$6:$L$10,10,FALSE),0))</f>
        <v>0</v>
      </c>
      <c r="N241" s="361">
        <f>+IF($I241=N$3,VLOOKUP($H241,Depreciation!$A$6:$L$10,11,FALSE)/2,IF($I241&lt;N$3,VLOOKUP($H241,Depreciation!$A$6:$L$10,11,FALSE),0))</f>
        <v>1.5338181838063448E-2</v>
      </c>
      <c r="O241" s="361">
        <f>+IF($I241=O$3,VLOOKUP($H241,Depreciation!$A$6:$L$10,12,FALSE)/2,IF($I241&lt;O$3,VLOOKUP($H241,Depreciation!$A$6:$L$10,12,FALSE),0))</f>
        <v>3.0676363676126896E-2</v>
      </c>
      <c r="P241" s="362">
        <f t="shared" si="11"/>
        <v>0</v>
      </c>
      <c r="Q241" s="362">
        <f t="shared" si="12"/>
        <v>0</v>
      </c>
      <c r="R241" s="363">
        <f t="shared" si="13"/>
        <v>0</v>
      </c>
    </row>
    <row r="242" spans="1:18">
      <c r="A242" s="359" t="str">
        <f>'Func Future Lines 2015'!A242</f>
        <v>NID</v>
      </c>
      <c r="B242" s="359" t="str">
        <f>'Func Future Lines 2015'!B242</f>
        <v>942L 240kV in/out 0.5km_(Alt3)</v>
      </c>
      <c r="C242" s="359">
        <f>'Func Future Lines 2015'!C242</f>
        <v>1381</v>
      </c>
      <c r="D242" s="359">
        <f>'Func Future Lines 2015'!D242</f>
        <v>240</v>
      </c>
      <c r="E242" s="359">
        <f>'Func Future Lines 2015'!E242</f>
        <v>0</v>
      </c>
      <c r="F242" s="359" t="str">
        <f>'Func Future Lines 2015'!F242</f>
        <v>Fort_Saskatchewan</v>
      </c>
      <c r="G242" s="359">
        <f>'Func Future Lines 2015'!G242</f>
        <v>534701.55370326247</v>
      </c>
      <c r="H242" s="359" t="str">
        <f>'Func Future Lines 2015'!H242</f>
        <v>AltaLink</v>
      </c>
      <c r="I242" s="359">
        <f>'Func Future Lines 2015'!I242</f>
        <v>2019</v>
      </c>
      <c r="J242" s="361">
        <f>+IF($I242=J$3,VLOOKUP($H242,Depreciation!$A$6:$L$10,7,FALSE)/2,IF($I242&lt;J$3,VLOOKUP($H242,Depreciation!$A$6:$L$10,7,FALSE),0))</f>
        <v>0</v>
      </c>
      <c r="K242" s="361">
        <f>+IF($I242=K$3,VLOOKUP($H242,Depreciation!$A$6:$L$10,8,FALSE)/2,IF($I242&lt;K$3,VLOOKUP($H242,Depreciation!$A$6:$L$10,8,FALSE),0))</f>
        <v>0</v>
      </c>
      <c r="L242" s="361">
        <f>+IF($I242=L$3,VLOOKUP($H242,Depreciation!$A$6:$L$10,9,FALSE)/2,IF($I242&lt;L$3,VLOOKUP($H242,Depreciation!$A$6:$L$10,9,FALSE),0))</f>
        <v>0</v>
      </c>
      <c r="M242" s="361">
        <f>+IF($I242=M$3,VLOOKUP($H242,Depreciation!$A$6:$L$10,10,FALSE)/2,IF($I242&lt;M$3,VLOOKUP($H242,Depreciation!$A$6:$L$10,10,FALSE),0))</f>
        <v>0</v>
      </c>
      <c r="N242" s="361">
        <f>+IF($I242=N$3,VLOOKUP($H242,Depreciation!$A$6:$L$10,11,FALSE)/2,IF($I242&lt;N$3,VLOOKUP($H242,Depreciation!$A$6:$L$10,11,FALSE),0))</f>
        <v>1.5338181838063448E-2</v>
      </c>
      <c r="O242" s="361">
        <f>+IF($I242=O$3,VLOOKUP($H242,Depreciation!$A$6:$L$10,12,FALSE)/2,IF($I242&lt;O$3,VLOOKUP($H242,Depreciation!$A$6:$L$10,12,FALSE),0))</f>
        <v>3.0676363676126896E-2</v>
      </c>
      <c r="P242" s="362">
        <f t="shared" si="11"/>
        <v>0</v>
      </c>
      <c r="Q242" s="362">
        <f t="shared" si="12"/>
        <v>0</v>
      </c>
      <c r="R242" s="363">
        <f t="shared" si="13"/>
        <v>0</v>
      </c>
    </row>
    <row r="243" spans="1:18">
      <c r="A243" s="359" t="str">
        <f>'Func Future Lines 2015'!A243</f>
        <v>PPS</v>
      </c>
      <c r="B243" s="359" t="str">
        <f>'Func Future Lines 2015'!B243</f>
        <v>971AL</v>
      </c>
      <c r="C243" s="359">
        <f>'Func Future Lines 2015'!C243</f>
        <v>1404</v>
      </c>
      <c r="D243" s="359">
        <f>'Func Future Lines 2015'!D243</f>
        <v>240</v>
      </c>
      <c r="E243" s="359">
        <f>'Func Future Lines 2015'!E243</f>
        <v>0</v>
      </c>
      <c r="F243" s="359" t="str">
        <f>'Func Future Lines 2015'!F243</f>
        <v>Fort McMurray</v>
      </c>
      <c r="G243" s="359">
        <f>'Func Future Lines 2015'!G243</f>
        <v>33123608.699931756</v>
      </c>
      <c r="H243" s="359" t="str">
        <f>'Func Future Lines 2015'!H243</f>
        <v>AltaLink</v>
      </c>
      <c r="I243" s="359">
        <f>'Func Future Lines 2015'!I243</f>
        <v>2017</v>
      </c>
      <c r="J243" s="361">
        <f>+IF($I243=J$3,VLOOKUP($H243,Depreciation!$A$6:$L$10,7,FALSE)/2,IF($I243&lt;J$3,VLOOKUP($H243,Depreciation!$A$6:$L$10,7,FALSE),0))</f>
        <v>0</v>
      </c>
      <c r="K243" s="361">
        <f>+IF($I243=K$3,VLOOKUP($H243,Depreciation!$A$6:$L$10,8,FALSE)/2,IF($I243&lt;K$3,VLOOKUP($H243,Depreciation!$A$6:$L$10,8,FALSE),0))</f>
        <v>0</v>
      </c>
      <c r="L243" s="361">
        <f>+IF($I243=L$3,VLOOKUP($H243,Depreciation!$A$6:$L$10,9,FALSE)/2,IF($I243&lt;L$3,VLOOKUP($H243,Depreciation!$A$6:$L$10,9,FALSE),0))</f>
        <v>1.5338181838063448E-2</v>
      </c>
      <c r="M243" s="361">
        <f>+IF($I243=M$3,VLOOKUP($H243,Depreciation!$A$6:$L$10,10,FALSE)/2,IF($I243&lt;M$3,VLOOKUP($H243,Depreciation!$A$6:$L$10,10,FALSE),0))</f>
        <v>3.0676363676126896E-2</v>
      </c>
      <c r="N243" s="361">
        <f>+IF($I243=N$3,VLOOKUP($H243,Depreciation!$A$6:$L$10,11,FALSE)/2,IF($I243&lt;N$3,VLOOKUP($H243,Depreciation!$A$6:$L$10,11,FALSE),0))</f>
        <v>3.0676363676126896E-2</v>
      </c>
      <c r="O243" s="361">
        <f>+IF($I243=O$3,VLOOKUP($H243,Depreciation!$A$6:$L$10,12,FALSE)/2,IF($I243&lt;O$3,VLOOKUP($H243,Depreciation!$A$6:$L$10,12,FALSE),0))</f>
        <v>3.0676363676126896E-2</v>
      </c>
      <c r="P243" s="362">
        <f t="shared" si="11"/>
        <v>32615552.76655934</v>
      </c>
      <c r="Q243" s="362">
        <f t="shared" si="12"/>
        <v>32615552.76655934</v>
      </c>
      <c r="R243" s="363">
        <f t="shared" si="13"/>
        <v>0</v>
      </c>
    </row>
    <row r="244" spans="1:18">
      <c r="A244" s="359" t="str">
        <f>'Func Future Lines 2015'!A244</f>
        <v>PPS</v>
      </c>
      <c r="B244" s="359" t="str">
        <f>'Func Future Lines 2015'!B244</f>
        <v>New 50m 144kV s/c  line 7LB65</v>
      </c>
      <c r="C244" s="359">
        <f>'Func Future Lines 2015'!C244</f>
        <v>1410</v>
      </c>
      <c r="D244" s="359">
        <f>'Func Future Lines 2015'!D244</f>
        <v>144</v>
      </c>
      <c r="E244" s="359">
        <f>'Func Future Lines 2015'!E244</f>
        <v>0</v>
      </c>
      <c r="F244" s="359" t="str">
        <f>'Func Future Lines 2015'!F244</f>
        <v>central</v>
      </c>
      <c r="G244" s="359">
        <f>'Func Future Lines 2015'!G244</f>
        <v>1252661.4598423878</v>
      </c>
      <c r="H244" s="359" t="str">
        <f>'Func Future Lines 2015'!H244</f>
        <v>ATCO</v>
      </c>
      <c r="I244" s="359">
        <f>'Func Future Lines 2015'!I244</f>
        <v>2017</v>
      </c>
      <c r="J244" s="361">
        <f>+IF($I244=J$3,VLOOKUP($H244,Depreciation!$A$6:$L$10,7,FALSE)/2,IF($I244&lt;J$3,VLOOKUP($H244,Depreciation!$A$6:$L$10,7,FALSE),0))</f>
        <v>0</v>
      </c>
      <c r="K244" s="361">
        <f>+IF($I244=K$3,VLOOKUP($H244,Depreciation!$A$6:$L$10,8,FALSE)/2,IF($I244&lt;K$3,VLOOKUP($H244,Depreciation!$A$6:$L$10,8,FALSE),0))</f>
        <v>0</v>
      </c>
      <c r="L244" s="361">
        <f>+IF($I244=L$3,VLOOKUP($H244,Depreciation!$A$6:$L$10,9,FALSE)/2,IF($I244&lt;L$3,VLOOKUP($H244,Depreciation!$A$6:$L$10,9,FALSE),0))</f>
        <v>1.2001018963427959E-2</v>
      </c>
      <c r="M244" s="361">
        <f>+IF($I244=M$3,VLOOKUP($H244,Depreciation!$A$6:$L$10,10,FALSE)/2,IF($I244&lt;M$3,VLOOKUP($H244,Depreciation!$A$6:$L$10,10,FALSE),0))</f>
        <v>2.4002037926855919E-2</v>
      </c>
      <c r="N244" s="361">
        <f>+IF($I244=N$3,VLOOKUP($H244,Depreciation!$A$6:$L$10,11,FALSE)/2,IF($I244&lt;N$3,VLOOKUP($H244,Depreciation!$A$6:$L$10,11,FALSE),0))</f>
        <v>2.4002037926855919E-2</v>
      </c>
      <c r="O244" s="361">
        <f>+IF($I244=O$3,VLOOKUP($H244,Depreciation!$A$6:$L$10,12,FALSE)/2,IF($I244&lt;O$3,VLOOKUP($H244,Depreciation!$A$6:$L$10,12,FALSE),0))</f>
        <v>2.4002037926855919E-2</v>
      </c>
      <c r="P244" s="362">
        <f t="shared" si="11"/>
        <v>1237628.2459080638</v>
      </c>
      <c r="Q244" s="362">
        <f t="shared" si="12"/>
        <v>0</v>
      </c>
      <c r="R244" s="363">
        <f t="shared" si="13"/>
        <v>1237628.2459080638</v>
      </c>
    </row>
    <row r="245" spans="1:18">
      <c r="A245" s="359" t="str">
        <f>'Func Future Lines 2015'!A245</f>
        <v>PPS</v>
      </c>
      <c r="B245" s="359" t="str">
        <f>'Func Future Lines 2015'!B245</f>
        <v>Phase1 1120L</v>
      </c>
      <c r="C245" s="359">
        <f>'Func Future Lines 2015'!C245</f>
        <v>1421</v>
      </c>
      <c r="D245" s="359">
        <f>'Func Future Lines 2015'!D245</f>
        <v>240</v>
      </c>
      <c r="E245" s="359">
        <f>'Func Future Lines 2015'!E245</f>
        <v>0</v>
      </c>
      <c r="F245" s="359" t="str">
        <f>'Func Future Lines 2015'!F245</f>
        <v>Fort_Saskatchewan</v>
      </c>
      <c r="G245" s="359">
        <f>'Func Future Lines 2015'!G245</f>
        <v>539203.14735113864</v>
      </c>
      <c r="H245" s="359" t="str">
        <f>'Func Future Lines 2015'!H245</f>
        <v>AltaLink</v>
      </c>
      <c r="I245" s="359">
        <f>'Func Future Lines 2015'!I245</f>
        <v>2019</v>
      </c>
      <c r="J245" s="361">
        <f>+IF($I245=J$3,VLOOKUP($H245,Depreciation!$A$6:$L$10,7,FALSE)/2,IF($I245&lt;J$3,VLOOKUP($H245,Depreciation!$A$6:$L$10,7,FALSE),0))</f>
        <v>0</v>
      </c>
      <c r="K245" s="361">
        <f>+IF($I245=K$3,VLOOKUP($H245,Depreciation!$A$6:$L$10,8,FALSE)/2,IF($I245&lt;K$3,VLOOKUP($H245,Depreciation!$A$6:$L$10,8,FALSE),0))</f>
        <v>0</v>
      </c>
      <c r="L245" s="361">
        <f>+IF($I245=L$3,VLOOKUP($H245,Depreciation!$A$6:$L$10,9,FALSE)/2,IF($I245&lt;L$3,VLOOKUP($H245,Depreciation!$A$6:$L$10,9,FALSE),0))</f>
        <v>0</v>
      </c>
      <c r="M245" s="361">
        <f>+IF($I245=M$3,VLOOKUP($H245,Depreciation!$A$6:$L$10,10,FALSE)/2,IF($I245&lt;M$3,VLOOKUP($H245,Depreciation!$A$6:$L$10,10,FALSE),0))</f>
        <v>0</v>
      </c>
      <c r="N245" s="361">
        <f>+IF($I245=N$3,VLOOKUP($H245,Depreciation!$A$6:$L$10,11,FALSE)/2,IF($I245&lt;N$3,VLOOKUP($H245,Depreciation!$A$6:$L$10,11,FALSE),0))</f>
        <v>1.5338181838063448E-2</v>
      </c>
      <c r="O245" s="361">
        <f>+IF($I245=O$3,VLOOKUP($H245,Depreciation!$A$6:$L$10,12,FALSE)/2,IF($I245&lt;O$3,VLOOKUP($H245,Depreciation!$A$6:$L$10,12,FALSE),0))</f>
        <v>3.0676363676126896E-2</v>
      </c>
      <c r="P245" s="362">
        <f t="shared" si="11"/>
        <v>0</v>
      </c>
      <c r="Q245" s="362">
        <f t="shared" si="12"/>
        <v>0</v>
      </c>
      <c r="R245" s="363">
        <f t="shared" si="13"/>
        <v>0</v>
      </c>
    </row>
    <row r="246" spans="1:18">
      <c r="A246" s="359" t="str">
        <f>'Func Future Lines 2015'!A246</f>
        <v>PPS</v>
      </c>
      <c r="B246" s="359" t="str">
        <f>'Func Future Lines 2015'!B246</f>
        <v>Phase1 1181L</v>
      </c>
      <c r="C246" s="359">
        <f>'Func Future Lines 2015'!C246</f>
        <v>1421</v>
      </c>
      <c r="D246" s="359">
        <f>'Func Future Lines 2015'!D246</f>
        <v>240</v>
      </c>
      <c r="E246" s="359">
        <f>'Func Future Lines 2015'!E246</f>
        <v>0</v>
      </c>
      <c r="F246" s="359" t="str">
        <f>'Func Future Lines 2015'!F246</f>
        <v>Fort_Saskatchewan</v>
      </c>
      <c r="G246" s="359">
        <f>'Func Future Lines 2015'!G246</f>
        <v>19967023.256146636</v>
      </c>
      <c r="H246" s="359" t="str">
        <f>'Func Future Lines 2015'!H246</f>
        <v>AltaLink</v>
      </c>
      <c r="I246" s="359">
        <f>'Func Future Lines 2015'!I246</f>
        <v>2019</v>
      </c>
      <c r="J246" s="361">
        <f>+IF($I246=J$3,VLOOKUP($H246,Depreciation!$A$6:$L$10,7,FALSE)/2,IF($I246&lt;J$3,VLOOKUP($H246,Depreciation!$A$6:$L$10,7,FALSE),0))</f>
        <v>0</v>
      </c>
      <c r="K246" s="361">
        <f>+IF($I246=K$3,VLOOKUP($H246,Depreciation!$A$6:$L$10,8,FALSE)/2,IF($I246&lt;K$3,VLOOKUP($H246,Depreciation!$A$6:$L$10,8,FALSE),0))</f>
        <v>0</v>
      </c>
      <c r="L246" s="361">
        <f>+IF($I246=L$3,VLOOKUP($H246,Depreciation!$A$6:$L$10,9,FALSE)/2,IF($I246&lt;L$3,VLOOKUP($H246,Depreciation!$A$6:$L$10,9,FALSE),0))</f>
        <v>0</v>
      </c>
      <c r="M246" s="361">
        <f>+IF($I246=M$3,VLOOKUP($H246,Depreciation!$A$6:$L$10,10,FALSE)/2,IF($I246&lt;M$3,VLOOKUP($H246,Depreciation!$A$6:$L$10,10,FALSE),0))</f>
        <v>0</v>
      </c>
      <c r="N246" s="361">
        <f>+IF($I246=N$3,VLOOKUP($H246,Depreciation!$A$6:$L$10,11,FALSE)/2,IF($I246&lt;N$3,VLOOKUP($H246,Depreciation!$A$6:$L$10,11,FALSE),0))</f>
        <v>1.5338181838063448E-2</v>
      </c>
      <c r="O246" s="361">
        <f>+IF($I246=O$3,VLOOKUP($H246,Depreciation!$A$6:$L$10,12,FALSE)/2,IF($I246&lt;O$3,VLOOKUP($H246,Depreciation!$A$6:$L$10,12,FALSE),0))</f>
        <v>3.0676363676126896E-2</v>
      </c>
      <c r="P246" s="362">
        <f t="shared" si="11"/>
        <v>0</v>
      </c>
      <c r="Q246" s="362">
        <f t="shared" si="12"/>
        <v>0</v>
      </c>
      <c r="R246" s="363">
        <f t="shared" si="13"/>
        <v>0</v>
      </c>
    </row>
    <row r="247" spans="1:18">
      <c r="A247" s="359" t="str">
        <f>'Func Future Lines 2015'!A247</f>
        <v>PPS</v>
      </c>
      <c r="B247" s="359" t="str">
        <f>'Func Future Lines 2015'!B247</f>
        <v>Phase1 807L</v>
      </c>
      <c r="C247" s="359">
        <f>'Func Future Lines 2015'!C247</f>
        <v>1421</v>
      </c>
      <c r="D247" s="359">
        <f>'Func Future Lines 2015'!D247</f>
        <v>240</v>
      </c>
      <c r="E247" s="359">
        <f>'Func Future Lines 2015'!E247</f>
        <v>0</v>
      </c>
      <c r="F247" s="359" t="str">
        <f>'Func Future Lines 2015'!F247</f>
        <v>Fort_Saskatchewan</v>
      </c>
      <c r="G247" s="359">
        <f>'Func Future Lines 2015'!G247</f>
        <v>499439.58032038546</v>
      </c>
      <c r="H247" s="359" t="str">
        <f>'Func Future Lines 2015'!H247</f>
        <v>AltaLink</v>
      </c>
      <c r="I247" s="359">
        <f>'Func Future Lines 2015'!I247</f>
        <v>2019</v>
      </c>
      <c r="J247" s="361">
        <f>+IF($I247=J$3,VLOOKUP($H247,Depreciation!$A$6:$L$10,7,FALSE)/2,IF($I247&lt;J$3,VLOOKUP($H247,Depreciation!$A$6:$L$10,7,FALSE),0))</f>
        <v>0</v>
      </c>
      <c r="K247" s="361">
        <f>+IF($I247=K$3,VLOOKUP($H247,Depreciation!$A$6:$L$10,8,FALSE)/2,IF($I247&lt;K$3,VLOOKUP($H247,Depreciation!$A$6:$L$10,8,FALSE),0))</f>
        <v>0</v>
      </c>
      <c r="L247" s="361">
        <f>+IF($I247=L$3,VLOOKUP($H247,Depreciation!$A$6:$L$10,9,FALSE)/2,IF($I247&lt;L$3,VLOOKUP($H247,Depreciation!$A$6:$L$10,9,FALSE),0))</f>
        <v>0</v>
      </c>
      <c r="M247" s="361">
        <f>+IF($I247=M$3,VLOOKUP($H247,Depreciation!$A$6:$L$10,10,FALSE)/2,IF($I247&lt;M$3,VLOOKUP($H247,Depreciation!$A$6:$L$10,10,FALSE),0))</f>
        <v>0</v>
      </c>
      <c r="N247" s="361">
        <f>+IF($I247=N$3,VLOOKUP($H247,Depreciation!$A$6:$L$10,11,FALSE)/2,IF($I247&lt;N$3,VLOOKUP($H247,Depreciation!$A$6:$L$10,11,FALSE),0))</f>
        <v>1.5338181838063448E-2</v>
      </c>
      <c r="O247" s="361">
        <f>+IF($I247=O$3,VLOOKUP($H247,Depreciation!$A$6:$L$10,12,FALSE)/2,IF($I247&lt;O$3,VLOOKUP($H247,Depreciation!$A$6:$L$10,12,FALSE),0))</f>
        <v>3.0676363676126896E-2</v>
      </c>
      <c r="P247" s="362">
        <f t="shared" si="11"/>
        <v>0</v>
      </c>
      <c r="Q247" s="362">
        <f t="shared" si="12"/>
        <v>0</v>
      </c>
      <c r="R247" s="363">
        <f t="shared" si="13"/>
        <v>0</v>
      </c>
    </row>
    <row r="248" spans="1:18">
      <c r="A248" s="359" t="str">
        <f>'Func Future Lines 2015'!A248</f>
        <v>PPS</v>
      </c>
      <c r="B248" s="359" t="str">
        <f>'Func Future Lines 2015'!B248</f>
        <v>Phase1 856L/776L/857L</v>
      </c>
      <c r="C248" s="359">
        <f>'Func Future Lines 2015'!C248</f>
        <v>1421</v>
      </c>
      <c r="D248" s="359">
        <f>'Func Future Lines 2015'!D248</f>
        <v>240</v>
      </c>
      <c r="E248" s="359">
        <f>'Func Future Lines 2015'!E248</f>
        <v>0</v>
      </c>
      <c r="F248" s="359" t="str">
        <f>'Func Future Lines 2015'!F248</f>
        <v>Fort_Saskatchewan</v>
      </c>
      <c r="G248" s="359">
        <f>'Func Future Lines 2015'!G248</f>
        <v>152011.1100611416</v>
      </c>
      <c r="H248" s="359" t="str">
        <f>'Func Future Lines 2015'!H248</f>
        <v>AltaLink</v>
      </c>
      <c r="I248" s="359">
        <f>'Func Future Lines 2015'!I248</f>
        <v>2019</v>
      </c>
      <c r="J248" s="361">
        <f>+IF($I248=J$3,VLOOKUP($H248,Depreciation!$A$6:$L$10,7,FALSE)/2,IF($I248&lt;J$3,VLOOKUP($H248,Depreciation!$A$6:$L$10,7,FALSE),0))</f>
        <v>0</v>
      </c>
      <c r="K248" s="361">
        <f>+IF($I248=K$3,VLOOKUP($H248,Depreciation!$A$6:$L$10,8,FALSE)/2,IF($I248&lt;K$3,VLOOKUP($H248,Depreciation!$A$6:$L$10,8,FALSE),0))</f>
        <v>0</v>
      </c>
      <c r="L248" s="361">
        <f>+IF($I248=L$3,VLOOKUP($H248,Depreciation!$A$6:$L$10,9,FALSE)/2,IF($I248&lt;L$3,VLOOKUP($H248,Depreciation!$A$6:$L$10,9,FALSE),0))</f>
        <v>0</v>
      </c>
      <c r="M248" s="361">
        <f>+IF($I248=M$3,VLOOKUP($H248,Depreciation!$A$6:$L$10,10,FALSE)/2,IF($I248&lt;M$3,VLOOKUP($H248,Depreciation!$A$6:$L$10,10,FALSE),0))</f>
        <v>0</v>
      </c>
      <c r="N248" s="361">
        <f>+IF($I248=N$3,VLOOKUP($H248,Depreciation!$A$6:$L$10,11,FALSE)/2,IF($I248&lt;N$3,VLOOKUP($H248,Depreciation!$A$6:$L$10,11,FALSE),0))</f>
        <v>1.5338181838063448E-2</v>
      </c>
      <c r="O248" s="361">
        <f>+IF($I248=O$3,VLOOKUP($H248,Depreciation!$A$6:$L$10,12,FALSE)/2,IF($I248&lt;O$3,VLOOKUP($H248,Depreciation!$A$6:$L$10,12,FALSE),0))</f>
        <v>3.0676363676126896E-2</v>
      </c>
      <c r="P248" s="362">
        <f t="shared" si="11"/>
        <v>0</v>
      </c>
      <c r="Q248" s="362">
        <f t="shared" si="12"/>
        <v>0</v>
      </c>
      <c r="R248" s="363">
        <f t="shared" si="13"/>
        <v>0</v>
      </c>
    </row>
    <row r="249" spans="1:18">
      <c r="A249" s="359" t="str">
        <f>'Func Future Lines 2015'!A249</f>
        <v>PPS</v>
      </c>
      <c r="B249" s="359" t="str">
        <f>'Func Future Lines 2015'!B249</f>
        <v>Phase2 1120L</v>
      </c>
      <c r="C249" s="359">
        <f>'Func Future Lines 2015'!C249</f>
        <v>1421</v>
      </c>
      <c r="D249" s="359">
        <f>'Func Future Lines 2015'!D249</f>
        <v>240</v>
      </c>
      <c r="E249" s="359">
        <f>'Func Future Lines 2015'!E249</f>
        <v>0</v>
      </c>
      <c r="F249" s="359" t="str">
        <f>'Func Future Lines 2015'!F249</f>
        <v>Fort_Saskatchewan</v>
      </c>
      <c r="G249" s="359">
        <f>'Func Future Lines 2015'!G249</f>
        <v>552930.93167308858</v>
      </c>
      <c r="H249" s="359" t="str">
        <f>'Func Future Lines 2015'!H249</f>
        <v>AltaLink</v>
      </c>
      <c r="I249" s="359">
        <f>'Func Future Lines 2015'!I249</f>
        <v>2019</v>
      </c>
      <c r="J249" s="361">
        <f>+IF($I249=J$3,VLOOKUP($H249,Depreciation!$A$6:$L$10,7,FALSE)/2,IF($I249&lt;J$3,VLOOKUP($H249,Depreciation!$A$6:$L$10,7,FALSE),0))</f>
        <v>0</v>
      </c>
      <c r="K249" s="361">
        <f>+IF($I249=K$3,VLOOKUP($H249,Depreciation!$A$6:$L$10,8,FALSE)/2,IF($I249&lt;K$3,VLOOKUP($H249,Depreciation!$A$6:$L$10,8,FALSE),0))</f>
        <v>0</v>
      </c>
      <c r="L249" s="361">
        <f>+IF($I249=L$3,VLOOKUP($H249,Depreciation!$A$6:$L$10,9,FALSE)/2,IF($I249&lt;L$3,VLOOKUP($H249,Depreciation!$A$6:$L$10,9,FALSE),0))</f>
        <v>0</v>
      </c>
      <c r="M249" s="361">
        <f>+IF($I249=M$3,VLOOKUP($H249,Depreciation!$A$6:$L$10,10,FALSE)/2,IF($I249&lt;M$3,VLOOKUP($H249,Depreciation!$A$6:$L$10,10,FALSE),0))</f>
        <v>0</v>
      </c>
      <c r="N249" s="361">
        <f>+IF($I249=N$3,VLOOKUP($H249,Depreciation!$A$6:$L$10,11,FALSE)/2,IF($I249&lt;N$3,VLOOKUP($H249,Depreciation!$A$6:$L$10,11,FALSE),0))</f>
        <v>1.5338181838063448E-2</v>
      </c>
      <c r="O249" s="361">
        <f>+IF($I249=O$3,VLOOKUP($H249,Depreciation!$A$6:$L$10,12,FALSE)/2,IF($I249&lt;O$3,VLOOKUP($H249,Depreciation!$A$6:$L$10,12,FALSE),0))</f>
        <v>3.0676363676126896E-2</v>
      </c>
      <c r="P249" s="362">
        <f t="shared" si="11"/>
        <v>0</v>
      </c>
      <c r="Q249" s="362">
        <f t="shared" si="12"/>
        <v>0</v>
      </c>
      <c r="R249" s="363">
        <f t="shared" si="13"/>
        <v>0</v>
      </c>
    </row>
    <row r="250" spans="1:18">
      <c r="A250" s="359" t="str">
        <f>'Func Future Lines 2015'!A250</f>
        <v>PPS</v>
      </c>
      <c r="B250" s="359" t="str">
        <f>'Func Future Lines 2015'!B250</f>
        <v>Phase2 1182L</v>
      </c>
      <c r="C250" s="359">
        <f>'Func Future Lines 2015'!C250</f>
        <v>1421</v>
      </c>
      <c r="D250" s="359">
        <f>'Func Future Lines 2015'!D250</f>
        <v>240</v>
      </c>
      <c r="E250" s="359">
        <f>'Func Future Lines 2015'!E250</f>
        <v>0</v>
      </c>
      <c r="F250" s="359" t="str">
        <f>'Func Future Lines 2015'!F250</f>
        <v>Fort_Saskatchewan</v>
      </c>
      <c r="G250" s="359">
        <f>'Func Future Lines 2015'!G250</f>
        <v>19778650.647485077</v>
      </c>
      <c r="H250" s="359" t="str">
        <f>'Func Future Lines 2015'!H250</f>
        <v>AltaLink</v>
      </c>
      <c r="I250" s="359">
        <f>'Func Future Lines 2015'!I250</f>
        <v>2019</v>
      </c>
      <c r="J250" s="361">
        <f>+IF($I250=J$3,VLOOKUP($H250,Depreciation!$A$6:$L$10,7,FALSE)/2,IF($I250&lt;J$3,VLOOKUP($H250,Depreciation!$A$6:$L$10,7,FALSE),0))</f>
        <v>0</v>
      </c>
      <c r="K250" s="361">
        <f>+IF($I250=K$3,VLOOKUP($H250,Depreciation!$A$6:$L$10,8,FALSE)/2,IF($I250&lt;K$3,VLOOKUP($H250,Depreciation!$A$6:$L$10,8,FALSE),0))</f>
        <v>0</v>
      </c>
      <c r="L250" s="361">
        <f>+IF($I250=L$3,VLOOKUP($H250,Depreciation!$A$6:$L$10,9,FALSE)/2,IF($I250&lt;L$3,VLOOKUP($H250,Depreciation!$A$6:$L$10,9,FALSE),0))</f>
        <v>0</v>
      </c>
      <c r="M250" s="361">
        <f>+IF($I250=M$3,VLOOKUP($H250,Depreciation!$A$6:$L$10,10,FALSE)/2,IF($I250&lt;M$3,VLOOKUP($H250,Depreciation!$A$6:$L$10,10,FALSE),0))</f>
        <v>0</v>
      </c>
      <c r="N250" s="361">
        <f>+IF($I250=N$3,VLOOKUP($H250,Depreciation!$A$6:$L$10,11,FALSE)/2,IF($I250&lt;N$3,VLOOKUP($H250,Depreciation!$A$6:$L$10,11,FALSE),0))</f>
        <v>1.5338181838063448E-2</v>
      </c>
      <c r="O250" s="361">
        <f>+IF($I250=O$3,VLOOKUP($H250,Depreciation!$A$6:$L$10,12,FALSE)/2,IF($I250&lt;O$3,VLOOKUP($H250,Depreciation!$A$6:$L$10,12,FALSE),0))</f>
        <v>3.0676363676126896E-2</v>
      </c>
      <c r="P250" s="362">
        <f t="shared" si="11"/>
        <v>0</v>
      </c>
      <c r="Q250" s="362">
        <f t="shared" si="12"/>
        <v>0</v>
      </c>
      <c r="R250" s="363">
        <f t="shared" si="13"/>
        <v>0</v>
      </c>
    </row>
    <row r="251" spans="1:18">
      <c r="A251" s="359" t="str">
        <f>'Func Future Lines 2015'!A251</f>
        <v>PPS</v>
      </c>
      <c r="B251" s="359" t="str">
        <f>'Func Future Lines 2015'!B251</f>
        <v>Phase2 942L/1131L</v>
      </c>
      <c r="C251" s="359">
        <f>'Func Future Lines 2015'!C251</f>
        <v>1421</v>
      </c>
      <c r="D251" s="359">
        <f>'Func Future Lines 2015'!D251</f>
        <v>240</v>
      </c>
      <c r="E251" s="359">
        <f>'Func Future Lines 2015'!E251</f>
        <v>0</v>
      </c>
      <c r="F251" s="359" t="str">
        <f>'Func Future Lines 2015'!F251</f>
        <v>Fort_Saskatchewan</v>
      </c>
      <c r="G251" s="359">
        <f>'Func Future Lines 2015'!G251</f>
        <v>987104.97626991919</v>
      </c>
      <c r="H251" s="359" t="str">
        <f>'Func Future Lines 2015'!H251</f>
        <v>AltaLink</v>
      </c>
      <c r="I251" s="359">
        <f>'Func Future Lines 2015'!I251</f>
        <v>2019</v>
      </c>
      <c r="J251" s="361">
        <f>+IF($I251=J$3,VLOOKUP($H251,Depreciation!$A$6:$L$10,7,FALSE)/2,IF($I251&lt;J$3,VLOOKUP($H251,Depreciation!$A$6:$L$10,7,FALSE),0))</f>
        <v>0</v>
      </c>
      <c r="K251" s="361">
        <f>+IF($I251=K$3,VLOOKUP($H251,Depreciation!$A$6:$L$10,8,FALSE)/2,IF($I251&lt;K$3,VLOOKUP($H251,Depreciation!$A$6:$L$10,8,FALSE),0))</f>
        <v>0</v>
      </c>
      <c r="L251" s="361">
        <f>+IF($I251=L$3,VLOOKUP($H251,Depreciation!$A$6:$L$10,9,FALSE)/2,IF($I251&lt;L$3,VLOOKUP($H251,Depreciation!$A$6:$L$10,9,FALSE),0))</f>
        <v>0</v>
      </c>
      <c r="M251" s="361">
        <f>+IF($I251=M$3,VLOOKUP($H251,Depreciation!$A$6:$L$10,10,FALSE)/2,IF($I251&lt;M$3,VLOOKUP($H251,Depreciation!$A$6:$L$10,10,FALSE),0))</f>
        <v>0</v>
      </c>
      <c r="N251" s="361">
        <f>+IF($I251=N$3,VLOOKUP($H251,Depreciation!$A$6:$L$10,11,FALSE)/2,IF($I251&lt;N$3,VLOOKUP($H251,Depreciation!$A$6:$L$10,11,FALSE),0))</f>
        <v>1.5338181838063448E-2</v>
      </c>
      <c r="O251" s="361">
        <f>+IF($I251=O$3,VLOOKUP($H251,Depreciation!$A$6:$L$10,12,FALSE)/2,IF($I251&lt;O$3,VLOOKUP($H251,Depreciation!$A$6:$L$10,12,FALSE),0))</f>
        <v>3.0676363676126896E-2</v>
      </c>
      <c r="P251" s="362">
        <f t="shared" si="11"/>
        <v>0</v>
      </c>
      <c r="Q251" s="362">
        <f t="shared" si="12"/>
        <v>0</v>
      </c>
      <c r="R251" s="363">
        <f t="shared" si="13"/>
        <v>0</v>
      </c>
    </row>
    <row r="252" spans="1:18">
      <c r="A252" s="359" t="str">
        <f>'Func Future Lines 2015'!A252</f>
        <v>PPS</v>
      </c>
      <c r="B252" s="359" t="str">
        <f>'Func Future Lines 2015'!B252</f>
        <v>Phase2 997L</v>
      </c>
      <c r="C252" s="359">
        <f>'Func Future Lines 2015'!C252</f>
        <v>1421</v>
      </c>
      <c r="D252" s="359">
        <f>'Func Future Lines 2015'!D252</f>
        <v>240</v>
      </c>
      <c r="E252" s="359">
        <f>'Func Future Lines 2015'!E252</f>
        <v>0</v>
      </c>
      <c r="F252" s="359" t="str">
        <f>'Func Future Lines 2015'!F252</f>
        <v>Fort_Saskatchewan</v>
      </c>
      <c r="G252" s="359">
        <f>'Func Future Lines 2015'!G252</f>
        <v>339650.72037236777</v>
      </c>
      <c r="H252" s="359" t="str">
        <f>'Func Future Lines 2015'!H252</f>
        <v>AltaLink</v>
      </c>
      <c r="I252" s="359">
        <f>'Func Future Lines 2015'!I252</f>
        <v>2019</v>
      </c>
      <c r="J252" s="361">
        <f>+IF($I252=J$3,VLOOKUP($H252,Depreciation!$A$6:$L$10,7,FALSE)/2,IF($I252&lt;J$3,VLOOKUP($H252,Depreciation!$A$6:$L$10,7,FALSE),0))</f>
        <v>0</v>
      </c>
      <c r="K252" s="361">
        <f>+IF($I252=K$3,VLOOKUP($H252,Depreciation!$A$6:$L$10,8,FALSE)/2,IF($I252&lt;K$3,VLOOKUP($H252,Depreciation!$A$6:$L$10,8,FALSE),0))</f>
        <v>0</v>
      </c>
      <c r="L252" s="361">
        <f>+IF($I252=L$3,VLOOKUP($H252,Depreciation!$A$6:$L$10,9,FALSE)/2,IF($I252&lt;L$3,VLOOKUP($H252,Depreciation!$A$6:$L$10,9,FALSE),0))</f>
        <v>0</v>
      </c>
      <c r="M252" s="361">
        <f>+IF($I252=M$3,VLOOKUP($H252,Depreciation!$A$6:$L$10,10,FALSE)/2,IF($I252&lt;M$3,VLOOKUP($H252,Depreciation!$A$6:$L$10,10,FALSE),0))</f>
        <v>0</v>
      </c>
      <c r="N252" s="361">
        <f>+IF($I252=N$3,VLOOKUP($H252,Depreciation!$A$6:$L$10,11,FALSE)/2,IF($I252&lt;N$3,VLOOKUP($H252,Depreciation!$A$6:$L$10,11,FALSE),0))</f>
        <v>1.5338181838063448E-2</v>
      </c>
      <c r="O252" s="361">
        <f>+IF($I252=O$3,VLOOKUP($H252,Depreciation!$A$6:$L$10,12,FALSE)/2,IF($I252&lt;O$3,VLOOKUP($H252,Depreciation!$A$6:$L$10,12,FALSE),0))</f>
        <v>3.0676363676126896E-2</v>
      </c>
      <c r="P252" s="362">
        <f t="shared" si="11"/>
        <v>0</v>
      </c>
      <c r="Q252" s="362">
        <f t="shared" si="12"/>
        <v>0</v>
      </c>
      <c r="R252" s="363">
        <f t="shared" si="13"/>
        <v>0</v>
      </c>
    </row>
    <row r="253" spans="1:18">
      <c r="A253" s="359" t="str">
        <f>'Func Future Lines 2015'!A253</f>
        <v>PPS</v>
      </c>
      <c r="B253" s="359" t="str">
        <f>'Func Future Lines 2015'!B253</f>
        <v>215AL</v>
      </c>
      <c r="C253" s="359">
        <f>'Func Future Lines 2015'!C253</f>
        <v>1442</v>
      </c>
      <c r="D253" s="359">
        <f>'Func Future Lines 2015'!D253</f>
        <v>138</v>
      </c>
      <c r="E253" s="359">
        <f>'Func Future Lines 2015'!E253</f>
        <v>0</v>
      </c>
      <c r="F253" s="359" t="str">
        <f>'Func Future Lines 2015'!F253</f>
        <v>Edmonton</v>
      </c>
      <c r="G253" s="359">
        <f>'Func Future Lines 2015'!G253</f>
        <v>1662085.6643356658</v>
      </c>
      <c r="H253" s="359" t="str">
        <f>'Func Future Lines 2015'!H253</f>
        <v>AltaLink</v>
      </c>
      <c r="I253" s="359">
        <f>'Func Future Lines 2015'!I253</f>
        <v>2019</v>
      </c>
      <c r="J253" s="361">
        <f>+IF($I253=J$3,VLOOKUP($H253,Depreciation!$A$6:$L$10,7,FALSE)/2,IF($I253&lt;J$3,VLOOKUP($H253,Depreciation!$A$6:$L$10,7,FALSE),0))</f>
        <v>0</v>
      </c>
      <c r="K253" s="361">
        <f>+IF($I253=K$3,VLOOKUP($H253,Depreciation!$A$6:$L$10,8,FALSE)/2,IF($I253&lt;K$3,VLOOKUP($H253,Depreciation!$A$6:$L$10,8,FALSE),0))</f>
        <v>0</v>
      </c>
      <c r="L253" s="361">
        <f>+IF($I253=L$3,VLOOKUP($H253,Depreciation!$A$6:$L$10,9,FALSE)/2,IF($I253&lt;L$3,VLOOKUP($H253,Depreciation!$A$6:$L$10,9,FALSE),0))</f>
        <v>0</v>
      </c>
      <c r="M253" s="361">
        <f>+IF($I253=M$3,VLOOKUP($H253,Depreciation!$A$6:$L$10,10,FALSE)/2,IF($I253&lt;M$3,VLOOKUP($H253,Depreciation!$A$6:$L$10,10,FALSE),0))</f>
        <v>0</v>
      </c>
      <c r="N253" s="361">
        <f>+IF($I253=N$3,VLOOKUP($H253,Depreciation!$A$6:$L$10,11,FALSE)/2,IF($I253&lt;N$3,VLOOKUP($H253,Depreciation!$A$6:$L$10,11,FALSE),0))</f>
        <v>1.5338181838063448E-2</v>
      </c>
      <c r="O253" s="361">
        <f>+IF($I253=O$3,VLOOKUP($H253,Depreciation!$A$6:$L$10,12,FALSE)/2,IF($I253&lt;O$3,VLOOKUP($H253,Depreciation!$A$6:$L$10,12,FALSE),0))</f>
        <v>3.0676363676126896E-2</v>
      </c>
      <c r="P253" s="362">
        <f t="shared" si="11"/>
        <v>0</v>
      </c>
      <c r="Q253" s="362">
        <f t="shared" si="12"/>
        <v>0</v>
      </c>
      <c r="R253" s="363">
        <f t="shared" si="13"/>
        <v>0</v>
      </c>
    </row>
    <row r="254" spans="1:18">
      <c r="A254" s="359" t="str">
        <f>'Func Future Lines 2015'!A254</f>
        <v>PPS</v>
      </c>
      <c r="B254" s="359" t="str">
        <f>'Func Future Lines 2015'!B254</f>
        <v>745L</v>
      </c>
      <c r="C254" s="359">
        <f>'Func Future Lines 2015'!C254</f>
        <v>1460</v>
      </c>
      <c r="D254" s="359">
        <f>'Func Future Lines 2015'!D254</f>
        <v>138</v>
      </c>
      <c r="E254" s="359">
        <f>'Func Future Lines 2015'!E254</f>
        <v>0</v>
      </c>
      <c r="F254" s="359" t="str">
        <f>'Func Future Lines 2015'!F254</f>
        <v>Hinton_Edson</v>
      </c>
      <c r="G254" s="359">
        <f>'Func Future Lines 2015'!G254</f>
        <v>1744293.0518617025</v>
      </c>
      <c r="H254" s="359" t="str">
        <f>'Func Future Lines 2015'!H254</f>
        <v>AltaLink</v>
      </c>
      <c r="I254" s="359">
        <f>'Func Future Lines 2015'!I254</f>
        <v>2019</v>
      </c>
      <c r="J254" s="361">
        <f>+IF($I254=J$3,VLOOKUP($H254,Depreciation!$A$6:$L$10,7,FALSE)/2,IF($I254&lt;J$3,VLOOKUP($H254,Depreciation!$A$6:$L$10,7,FALSE),0))</f>
        <v>0</v>
      </c>
      <c r="K254" s="361">
        <f>+IF($I254=K$3,VLOOKUP($H254,Depreciation!$A$6:$L$10,8,FALSE)/2,IF($I254&lt;K$3,VLOOKUP($H254,Depreciation!$A$6:$L$10,8,FALSE),0))</f>
        <v>0</v>
      </c>
      <c r="L254" s="361">
        <f>+IF($I254=L$3,VLOOKUP($H254,Depreciation!$A$6:$L$10,9,FALSE)/2,IF($I254&lt;L$3,VLOOKUP($H254,Depreciation!$A$6:$L$10,9,FALSE),0))</f>
        <v>0</v>
      </c>
      <c r="M254" s="361">
        <f>+IF($I254=M$3,VLOOKUP($H254,Depreciation!$A$6:$L$10,10,FALSE)/2,IF($I254&lt;M$3,VLOOKUP($H254,Depreciation!$A$6:$L$10,10,FALSE),0))</f>
        <v>0</v>
      </c>
      <c r="N254" s="361">
        <f>+IF($I254=N$3,VLOOKUP($H254,Depreciation!$A$6:$L$10,11,FALSE)/2,IF($I254&lt;N$3,VLOOKUP($H254,Depreciation!$A$6:$L$10,11,FALSE),0))</f>
        <v>1.5338181838063448E-2</v>
      </c>
      <c r="O254" s="361">
        <f>+IF($I254=O$3,VLOOKUP($H254,Depreciation!$A$6:$L$10,12,FALSE)/2,IF($I254&lt;O$3,VLOOKUP($H254,Depreciation!$A$6:$L$10,12,FALSE),0))</f>
        <v>3.0676363676126896E-2</v>
      </c>
      <c r="P254" s="362">
        <f t="shared" si="11"/>
        <v>0</v>
      </c>
      <c r="Q254" s="362">
        <f t="shared" si="12"/>
        <v>0</v>
      </c>
      <c r="R254" s="363">
        <f t="shared" si="13"/>
        <v>0</v>
      </c>
    </row>
    <row r="255" spans="1:18">
      <c r="A255" s="359" t="str">
        <f>'Func Future Lines 2015'!A255</f>
        <v>PPS</v>
      </c>
      <c r="B255" s="359" t="str">
        <f>'Func Future Lines 2015'!B255</f>
        <v>Line 9L144</v>
      </c>
      <c r="C255" s="359">
        <f>'Func Future Lines 2015'!C255</f>
        <v>1482</v>
      </c>
      <c r="D255" s="359">
        <f>'Func Future Lines 2015'!D255</f>
        <v>240</v>
      </c>
      <c r="E255" s="359">
        <f>'Func Future Lines 2015'!E255</f>
        <v>0</v>
      </c>
      <c r="F255" s="359">
        <f>'Func Future Lines 2015'!F255</f>
        <v>0</v>
      </c>
      <c r="G255" s="359">
        <f>'Func Future Lines 2015'!G255</f>
        <v>2696306.3908610074</v>
      </c>
      <c r="H255" s="359" t="str">
        <f>'Func Future Lines 2015'!H255</f>
        <v>ATCO</v>
      </c>
      <c r="I255" s="359">
        <f>'Func Future Lines 2015'!I255</f>
        <v>2016</v>
      </c>
      <c r="J255" s="361">
        <f>+IF($I255=J$3,VLOOKUP($H255,Depreciation!$A$6:$L$10,7,FALSE)/2,IF($I255&lt;J$3,VLOOKUP($H255,Depreciation!$A$6:$L$10,7,FALSE),0))</f>
        <v>0</v>
      </c>
      <c r="K255" s="361">
        <f>+IF($I255=K$3,VLOOKUP($H255,Depreciation!$A$6:$L$10,8,FALSE)/2,IF($I255&lt;K$3,VLOOKUP($H255,Depreciation!$A$6:$L$10,8,FALSE),0))</f>
        <v>1.1971929865503333E-2</v>
      </c>
      <c r="L255" s="361">
        <f>+IF($I255=L$3,VLOOKUP($H255,Depreciation!$A$6:$L$10,9,FALSE)/2,IF($I255&lt;L$3,VLOOKUP($H255,Depreciation!$A$6:$L$10,9,FALSE),0))</f>
        <v>2.4002037926855919E-2</v>
      </c>
      <c r="M255" s="361">
        <f>+IF($I255=M$3,VLOOKUP($H255,Depreciation!$A$6:$L$10,10,FALSE)/2,IF($I255&lt;M$3,VLOOKUP($H255,Depreciation!$A$6:$L$10,10,FALSE),0))</f>
        <v>2.4002037926855919E-2</v>
      </c>
      <c r="N255" s="361">
        <f>+IF($I255=N$3,VLOOKUP($H255,Depreciation!$A$6:$L$10,11,FALSE)/2,IF($I255&lt;N$3,VLOOKUP($H255,Depreciation!$A$6:$L$10,11,FALSE),0))</f>
        <v>2.4002037926855919E-2</v>
      </c>
      <c r="O255" s="361">
        <f>+IF($I255=O$3,VLOOKUP($H255,Depreciation!$A$6:$L$10,12,FALSE)/2,IF($I255&lt;O$3,VLOOKUP($H255,Depreciation!$A$6:$L$10,12,FALSE),0))</f>
        <v>2.4002037926855919E-2</v>
      </c>
      <c r="P255" s="362">
        <f t="shared" si="11"/>
        <v>2600084.3371662768</v>
      </c>
      <c r="Q255" s="362">
        <f t="shared" si="12"/>
        <v>2600084.3371662768</v>
      </c>
      <c r="R255" s="363">
        <f t="shared" si="13"/>
        <v>0</v>
      </c>
    </row>
    <row r="256" spans="1:18">
      <c r="A256" s="359" t="str">
        <f>'Func Future Lines 2015'!A256</f>
        <v>PPS</v>
      </c>
      <c r="B256" s="359" t="str">
        <f>'Func Future Lines 2015'!B256</f>
        <v>Line 9L57</v>
      </c>
      <c r="C256" s="359">
        <f>'Func Future Lines 2015'!C256</f>
        <v>1482</v>
      </c>
      <c r="D256" s="359">
        <f>'Func Future Lines 2015'!D256</f>
        <v>240</v>
      </c>
      <c r="E256" s="359">
        <f>'Func Future Lines 2015'!E256</f>
        <v>0</v>
      </c>
      <c r="F256" s="359">
        <f>'Func Future Lines 2015'!F256</f>
        <v>0</v>
      </c>
      <c r="G256" s="359">
        <f>'Func Future Lines 2015'!G256</f>
        <v>1212513.1677151551</v>
      </c>
      <c r="H256" s="359" t="str">
        <f>'Func Future Lines 2015'!H256</f>
        <v>ATCO</v>
      </c>
      <c r="I256" s="359">
        <f>'Func Future Lines 2015'!I256</f>
        <v>2016</v>
      </c>
      <c r="J256" s="361">
        <f>+IF($I256=J$3,VLOOKUP($H256,Depreciation!$A$6:$L$10,7,FALSE)/2,IF($I256&lt;J$3,VLOOKUP($H256,Depreciation!$A$6:$L$10,7,FALSE),0))</f>
        <v>0</v>
      </c>
      <c r="K256" s="361">
        <f>+IF($I256=K$3,VLOOKUP($H256,Depreciation!$A$6:$L$10,8,FALSE)/2,IF($I256&lt;K$3,VLOOKUP($H256,Depreciation!$A$6:$L$10,8,FALSE),0))</f>
        <v>1.1971929865503333E-2</v>
      </c>
      <c r="L256" s="361">
        <f>+IF($I256=L$3,VLOOKUP($H256,Depreciation!$A$6:$L$10,9,FALSE)/2,IF($I256&lt;L$3,VLOOKUP($H256,Depreciation!$A$6:$L$10,9,FALSE),0))</f>
        <v>2.4002037926855919E-2</v>
      </c>
      <c r="M256" s="361">
        <f>+IF($I256=M$3,VLOOKUP($H256,Depreciation!$A$6:$L$10,10,FALSE)/2,IF($I256&lt;M$3,VLOOKUP($H256,Depreciation!$A$6:$L$10,10,FALSE),0))</f>
        <v>2.4002037926855919E-2</v>
      </c>
      <c r="N256" s="361">
        <f>+IF($I256=N$3,VLOOKUP($H256,Depreciation!$A$6:$L$10,11,FALSE)/2,IF($I256&lt;N$3,VLOOKUP($H256,Depreciation!$A$6:$L$10,11,FALSE),0))</f>
        <v>2.4002037926855919E-2</v>
      </c>
      <c r="O256" s="361">
        <f>+IF($I256=O$3,VLOOKUP($H256,Depreciation!$A$6:$L$10,12,FALSE)/2,IF($I256&lt;O$3,VLOOKUP($H256,Depreciation!$A$6:$L$10,12,FALSE),0))</f>
        <v>2.4002037926855919E-2</v>
      </c>
      <c r="P256" s="362">
        <f t="shared" si="11"/>
        <v>1169242.674597272</v>
      </c>
      <c r="Q256" s="362">
        <f t="shared" si="12"/>
        <v>1169242.674597272</v>
      </c>
      <c r="R256" s="363">
        <f t="shared" si="13"/>
        <v>0</v>
      </c>
    </row>
    <row r="257" spans="1:18">
      <c r="A257" s="359" t="str">
        <f>'Func Future Lines 2015'!A257</f>
        <v>PPS</v>
      </c>
      <c r="B257" s="359" t="str">
        <f>'Func Future Lines 2015'!B257</f>
        <v xml:space="preserve">v180 - Retermination of 0.025km138kV 719L </v>
      </c>
      <c r="C257" s="359">
        <f>'Func Future Lines 2015'!C257</f>
        <v>1494</v>
      </c>
      <c r="D257" s="359">
        <f>'Func Future Lines 2015'!D257</f>
        <v>138</v>
      </c>
      <c r="E257" s="359">
        <f>'Func Future Lines 2015'!E257</f>
        <v>0</v>
      </c>
      <c r="F257" s="359" t="str">
        <f>'Func Future Lines 2015'!F257</f>
        <v>Caroline</v>
      </c>
      <c r="G257" s="359">
        <f>'Func Future Lines 2015'!G257</f>
        <v>51687.593104915919</v>
      </c>
      <c r="H257" s="359" t="str">
        <f>'Func Future Lines 2015'!H257</f>
        <v>AltaLink</v>
      </c>
      <c r="I257" s="359">
        <f>'Func Future Lines 2015'!I257</f>
        <v>2015</v>
      </c>
      <c r="J257" s="361">
        <f>+IF($I257=J$3,VLOOKUP($H257,Depreciation!$A$6:$L$10,7,FALSE)/2,IF($I257&lt;J$3,VLOOKUP($H257,Depreciation!$A$6:$L$10,7,FALSE),0))</f>
        <v>1.595020804044691E-2</v>
      </c>
      <c r="K257" s="361">
        <f>+IF($I257=K$3,VLOOKUP($H257,Depreciation!$A$6:$L$10,8,FALSE)/2,IF($I257&lt;K$3,VLOOKUP($H257,Depreciation!$A$6:$L$10,8,FALSE),0))</f>
        <v>3.0676363676126896E-2</v>
      </c>
      <c r="L257" s="361">
        <f>+IF($I257=L$3,VLOOKUP($H257,Depreciation!$A$6:$L$10,9,FALSE)/2,IF($I257&lt;L$3,VLOOKUP($H257,Depreciation!$A$6:$L$10,9,FALSE),0))</f>
        <v>3.0676363676126896E-2</v>
      </c>
      <c r="M257" s="361">
        <f>+IF($I257=M$3,VLOOKUP($H257,Depreciation!$A$6:$L$10,10,FALSE)/2,IF($I257&lt;M$3,VLOOKUP($H257,Depreciation!$A$6:$L$10,10,FALSE),0))</f>
        <v>3.0676363676126896E-2</v>
      </c>
      <c r="N257" s="361">
        <f>+IF($I257=N$3,VLOOKUP($H257,Depreciation!$A$6:$L$10,11,FALSE)/2,IF($I257&lt;N$3,VLOOKUP($H257,Depreciation!$A$6:$L$10,11,FALSE),0))</f>
        <v>3.0676363676126896E-2</v>
      </c>
      <c r="O257" s="361">
        <f>+IF($I257=O$3,VLOOKUP($H257,Depreciation!$A$6:$L$10,12,FALSE)/2,IF($I257&lt;O$3,VLOOKUP($H257,Depreciation!$A$6:$L$10,12,FALSE),0))</f>
        <v>3.0676363676126896E-2</v>
      </c>
      <c r="P257" s="362">
        <f t="shared" si="11"/>
        <v>47790.435569255205</v>
      </c>
      <c r="Q257" s="362">
        <f t="shared" si="12"/>
        <v>0</v>
      </c>
      <c r="R257" s="363">
        <f t="shared" si="13"/>
        <v>47790.435569255205</v>
      </c>
    </row>
    <row r="258" spans="1:18">
      <c r="A258" s="359" t="str">
        <f>'Func Future Lines 2015'!A258</f>
        <v>PPS</v>
      </c>
      <c r="B258" s="359" t="str">
        <f>'Func Future Lines 2015'!B258</f>
        <v>line upgrade</v>
      </c>
      <c r="C258" s="359">
        <f>'Func Future Lines 2015'!C258</f>
        <v>1503</v>
      </c>
      <c r="D258" s="359">
        <f>'Func Future Lines 2015'!D258</f>
        <v>25</v>
      </c>
      <c r="E258" s="359">
        <f>'Func Future Lines 2015'!E258</f>
        <v>0</v>
      </c>
      <c r="F258" s="359" t="str">
        <f>'Func Future Lines 2015'!F258</f>
        <v>Fort_Saskatchewan</v>
      </c>
      <c r="G258" s="359">
        <f>'Func Future Lines 2015'!G258</f>
        <v>391589.7435897438</v>
      </c>
      <c r="H258" s="359" t="str">
        <f>'Func Future Lines 2015'!H258</f>
        <v>AltaLink</v>
      </c>
      <c r="I258" s="359">
        <f>'Func Future Lines 2015'!I258</f>
        <v>2016</v>
      </c>
      <c r="J258" s="361">
        <f>+IF($I258=J$3,VLOOKUP($H258,Depreciation!$A$6:$L$10,7,FALSE)/2,IF($I258&lt;J$3,VLOOKUP($H258,Depreciation!$A$6:$L$10,7,FALSE),0))</f>
        <v>0</v>
      </c>
      <c r="K258" s="361">
        <f>+IF($I258=K$3,VLOOKUP($H258,Depreciation!$A$6:$L$10,8,FALSE)/2,IF($I258&lt;K$3,VLOOKUP($H258,Depreciation!$A$6:$L$10,8,FALSE),0))</f>
        <v>1.5338181838063448E-2</v>
      </c>
      <c r="L258" s="361">
        <f>+IF($I258=L$3,VLOOKUP($H258,Depreciation!$A$6:$L$10,9,FALSE)/2,IF($I258&lt;L$3,VLOOKUP($H258,Depreciation!$A$6:$L$10,9,FALSE),0))</f>
        <v>3.0676363676126896E-2</v>
      </c>
      <c r="M258" s="361">
        <f>+IF($I258=M$3,VLOOKUP($H258,Depreciation!$A$6:$L$10,10,FALSE)/2,IF($I258&lt;M$3,VLOOKUP($H258,Depreciation!$A$6:$L$10,10,FALSE),0))</f>
        <v>3.0676363676126896E-2</v>
      </c>
      <c r="N258" s="361">
        <f>+IF($I258=N$3,VLOOKUP($H258,Depreciation!$A$6:$L$10,11,FALSE)/2,IF($I258&lt;N$3,VLOOKUP($H258,Depreciation!$A$6:$L$10,11,FALSE),0))</f>
        <v>3.0676363676126896E-2</v>
      </c>
      <c r="O258" s="361">
        <f>+IF($I258=O$3,VLOOKUP($H258,Depreciation!$A$6:$L$10,12,FALSE)/2,IF($I258&lt;O$3,VLOOKUP($H258,Depreciation!$A$6:$L$10,12,FALSE),0))</f>
        <v>3.0676363676126896E-2</v>
      </c>
      <c r="P258" s="362">
        <f t="shared" si="11"/>
        <v>373755.17017726763</v>
      </c>
      <c r="Q258" s="362">
        <f t="shared" si="12"/>
        <v>0</v>
      </c>
      <c r="R258" s="363">
        <f t="shared" si="13"/>
        <v>0</v>
      </c>
    </row>
    <row r="259" spans="1:18">
      <c r="A259" s="359" t="str">
        <f>'Func Future Lines 2015'!A259</f>
        <v>PPS</v>
      </c>
      <c r="B259" s="359" t="str">
        <f>'Func Future Lines 2015'!B259</f>
        <v>685L/854L 60m in/out line</v>
      </c>
      <c r="C259" s="359">
        <f>'Func Future Lines 2015'!C259</f>
        <v>1515</v>
      </c>
      <c r="D259" s="359">
        <f>'Func Future Lines 2015'!D259</f>
        <v>138</v>
      </c>
      <c r="E259" s="359">
        <f>'Func Future Lines 2015'!E259</f>
        <v>0</v>
      </c>
      <c r="F259" s="359" t="str">
        <f>'Func Future Lines 2015'!F259</f>
        <v>Fox_Creek</v>
      </c>
      <c r="G259" s="359">
        <f>'Func Future Lines 2015'!G259</f>
        <v>1401330.1096067054</v>
      </c>
      <c r="H259" s="359" t="str">
        <f>'Func Future Lines 2015'!H259</f>
        <v>AltaLink</v>
      </c>
      <c r="I259" s="359">
        <f>'Func Future Lines 2015'!I259</f>
        <v>2016</v>
      </c>
      <c r="J259" s="361">
        <f>+IF($I259=J$3,VLOOKUP($H259,Depreciation!$A$6:$L$10,7,FALSE)/2,IF($I259&lt;J$3,VLOOKUP($H259,Depreciation!$A$6:$L$10,7,FALSE),0))</f>
        <v>0</v>
      </c>
      <c r="K259" s="361">
        <f>+IF($I259=K$3,VLOOKUP($H259,Depreciation!$A$6:$L$10,8,FALSE)/2,IF($I259&lt;K$3,VLOOKUP($H259,Depreciation!$A$6:$L$10,8,FALSE),0))</f>
        <v>1.5338181838063448E-2</v>
      </c>
      <c r="L259" s="361">
        <f>+IF($I259=L$3,VLOOKUP($H259,Depreciation!$A$6:$L$10,9,FALSE)/2,IF($I259&lt;L$3,VLOOKUP($H259,Depreciation!$A$6:$L$10,9,FALSE),0))</f>
        <v>3.0676363676126896E-2</v>
      </c>
      <c r="M259" s="361">
        <f>+IF($I259=M$3,VLOOKUP($H259,Depreciation!$A$6:$L$10,10,FALSE)/2,IF($I259&lt;M$3,VLOOKUP($H259,Depreciation!$A$6:$L$10,10,FALSE),0))</f>
        <v>3.0676363676126896E-2</v>
      </c>
      <c r="N259" s="361">
        <f>+IF($I259=N$3,VLOOKUP($H259,Depreciation!$A$6:$L$10,11,FALSE)/2,IF($I259&lt;N$3,VLOOKUP($H259,Depreciation!$A$6:$L$10,11,FALSE),0))</f>
        <v>3.0676363676126896E-2</v>
      </c>
      <c r="O259" s="361">
        <f>+IF($I259=O$3,VLOOKUP($H259,Depreciation!$A$6:$L$10,12,FALSE)/2,IF($I259&lt;O$3,VLOOKUP($H259,Depreciation!$A$6:$L$10,12,FALSE),0))</f>
        <v>3.0676363676126896E-2</v>
      </c>
      <c r="P259" s="362">
        <f t="shared" si="11"/>
        <v>1337507.8948423741</v>
      </c>
      <c r="Q259" s="362">
        <f t="shared" si="12"/>
        <v>0</v>
      </c>
      <c r="R259" s="363">
        <f t="shared" si="13"/>
        <v>1337507.8948423741</v>
      </c>
    </row>
    <row r="260" spans="1:18">
      <c r="A260" s="359" t="str">
        <f>'Func Future Lines 2015'!A260</f>
        <v>PPS</v>
      </c>
      <c r="B260" s="359" t="str">
        <f>'Func Future Lines 2015'!B260</f>
        <v>949L</v>
      </c>
      <c r="C260" s="359">
        <f>'Func Future Lines 2015'!C260</f>
        <v>1533</v>
      </c>
      <c r="D260" s="359">
        <f>'Func Future Lines 2015'!D260</f>
        <v>240</v>
      </c>
      <c r="E260" s="359">
        <f>'Func Future Lines 2015'!E260</f>
        <v>0</v>
      </c>
      <c r="F260" s="359">
        <f>'Func Future Lines 2015'!F260</f>
        <v>0</v>
      </c>
      <c r="G260" s="359">
        <f>'Func Future Lines 2015'!G260</f>
        <v>9435770.9999999963</v>
      </c>
      <c r="H260" s="359" t="str">
        <f>'Func Future Lines 2015'!H260</f>
        <v>AltaLink</v>
      </c>
      <c r="I260" s="359">
        <f>'Func Future Lines 2015'!I260</f>
        <v>2017</v>
      </c>
      <c r="J260" s="361">
        <f>+IF($I260=J$3,VLOOKUP($H260,Depreciation!$A$6:$L$10,7,FALSE)/2,IF($I260&lt;J$3,VLOOKUP($H260,Depreciation!$A$6:$L$10,7,FALSE),0))</f>
        <v>0</v>
      </c>
      <c r="K260" s="361">
        <f>+IF($I260=K$3,VLOOKUP($H260,Depreciation!$A$6:$L$10,8,FALSE)/2,IF($I260&lt;K$3,VLOOKUP($H260,Depreciation!$A$6:$L$10,8,FALSE),0))</f>
        <v>0</v>
      </c>
      <c r="L260" s="361">
        <f>+IF($I260=L$3,VLOOKUP($H260,Depreciation!$A$6:$L$10,9,FALSE)/2,IF($I260&lt;L$3,VLOOKUP($H260,Depreciation!$A$6:$L$10,9,FALSE),0))</f>
        <v>1.5338181838063448E-2</v>
      </c>
      <c r="M260" s="361">
        <f>+IF($I260=M$3,VLOOKUP($H260,Depreciation!$A$6:$L$10,10,FALSE)/2,IF($I260&lt;M$3,VLOOKUP($H260,Depreciation!$A$6:$L$10,10,FALSE),0))</f>
        <v>3.0676363676126896E-2</v>
      </c>
      <c r="N260" s="361">
        <f>+IF($I260=N$3,VLOOKUP($H260,Depreciation!$A$6:$L$10,11,FALSE)/2,IF($I260&lt;N$3,VLOOKUP($H260,Depreciation!$A$6:$L$10,11,FALSE),0))</f>
        <v>3.0676363676126896E-2</v>
      </c>
      <c r="O260" s="361">
        <f>+IF($I260=O$3,VLOOKUP($H260,Depreciation!$A$6:$L$10,12,FALSE)/2,IF($I260&lt;O$3,VLOOKUP($H260,Depreciation!$A$6:$L$10,12,FALSE),0))</f>
        <v>3.0676363676126896E-2</v>
      </c>
      <c r="P260" s="362">
        <f t="shared" si="11"/>
        <v>9291043.4286196698</v>
      </c>
      <c r="Q260" s="362">
        <f t="shared" si="12"/>
        <v>9291043.4286196698</v>
      </c>
      <c r="R260" s="363">
        <f t="shared" si="13"/>
        <v>0</v>
      </c>
    </row>
    <row r="261" spans="1:18">
      <c r="A261" s="359" t="str">
        <f>'Func Future Lines 2015'!A261</f>
        <v>PPS</v>
      </c>
      <c r="B261" s="359" t="str">
        <f>'Func Future Lines 2015'!B261</f>
        <v>949L</v>
      </c>
      <c r="C261" s="359">
        <f>'Func Future Lines 2015'!C261</f>
        <v>1533</v>
      </c>
      <c r="D261" s="359">
        <f>'Func Future Lines 2015'!D261</f>
        <v>240</v>
      </c>
      <c r="E261" s="359">
        <f>'Func Future Lines 2015'!E261</f>
        <v>0</v>
      </c>
      <c r="F261" s="359">
        <f>'Func Future Lines 2015'!F261</f>
        <v>0</v>
      </c>
      <c r="G261" s="359">
        <f>'Func Future Lines 2015'!G261</f>
        <v>130006.54878847413</v>
      </c>
      <c r="H261" s="359" t="str">
        <f>'Func Future Lines 2015'!H261</f>
        <v>AltaLink</v>
      </c>
      <c r="I261" s="359">
        <f>'Func Future Lines 2015'!I261</f>
        <v>2017</v>
      </c>
      <c r="J261" s="361">
        <f>+IF($I261=J$3,VLOOKUP($H261,Depreciation!$A$6:$L$10,7,FALSE)/2,IF($I261&lt;J$3,VLOOKUP($H261,Depreciation!$A$6:$L$10,7,FALSE),0))</f>
        <v>0</v>
      </c>
      <c r="K261" s="361">
        <f>+IF($I261=K$3,VLOOKUP($H261,Depreciation!$A$6:$L$10,8,FALSE)/2,IF($I261&lt;K$3,VLOOKUP($H261,Depreciation!$A$6:$L$10,8,FALSE),0))</f>
        <v>0</v>
      </c>
      <c r="L261" s="361">
        <f>+IF($I261=L$3,VLOOKUP($H261,Depreciation!$A$6:$L$10,9,FALSE)/2,IF($I261&lt;L$3,VLOOKUP($H261,Depreciation!$A$6:$L$10,9,FALSE),0))</f>
        <v>1.5338181838063448E-2</v>
      </c>
      <c r="M261" s="361">
        <f>+IF($I261=M$3,VLOOKUP($H261,Depreciation!$A$6:$L$10,10,FALSE)/2,IF($I261&lt;M$3,VLOOKUP($H261,Depreciation!$A$6:$L$10,10,FALSE),0))</f>
        <v>3.0676363676126896E-2</v>
      </c>
      <c r="N261" s="361">
        <f>+IF($I261=N$3,VLOOKUP($H261,Depreciation!$A$6:$L$10,11,FALSE)/2,IF($I261&lt;N$3,VLOOKUP($H261,Depreciation!$A$6:$L$10,11,FALSE),0))</f>
        <v>3.0676363676126896E-2</v>
      </c>
      <c r="O261" s="361">
        <f>+IF($I261=O$3,VLOOKUP($H261,Depreciation!$A$6:$L$10,12,FALSE)/2,IF($I261&lt;O$3,VLOOKUP($H261,Depreciation!$A$6:$L$10,12,FALSE),0))</f>
        <v>3.0676363676126896E-2</v>
      </c>
      <c r="P261" s="362">
        <f t="shared" ref="P261:P277" si="14">IF(I261&lt;=2017,G261*(1-J261)*(1-K261)*(1-L261),0)</f>
        <v>128012.48470301744</v>
      </c>
      <c r="Q261" s="362">
        <f t="shared" ref="Q261:Q277" si="15">IF(D261&gt;=240,P261,0)</f>
        <v>128012.48470301744</v>
      </c>
      <c r="R261" s="363">
        <f t="shared" ref="R261:R277" si="16">IF(AND(D261&gt;25,D261&lt;240),P261,0)</f>
        <v>0</v>
      </c>
    </row>
    <row r="262" spans="1:18">
      <c r="A262" s="359" t="str">
        <f>'Func Future Lines 2015'!A262</f>
        <v>PPS</v>
      </c>
      <c r="B262" s="359" t="str">
        <f>'Func Future Lines 2015'!B262</f>
        <v>769BL</v>
      </c>
      <c r="C262" s="359">
        <f>'Func Future Lines 2015'!C262</f>
        <v>1558</v>
      </c>
      <c r="D262" s="359">
        <f>'Func Future Lines 2015'!D262</f>
        <v>138</v>
      </c>
      <c r="E262" s="359">
        <f>'Func Future Lines 2015'!E262</f>
        <v>0</v>
      </c>
      <c r="F262" s="359" t="str">
        <f>'Func Future Lines 2015'!F262</f>
        <v>Wainwright</v>
      </c>
      <c r="G262" s="359">
        <f>'Func Future Lines 2015'!G262</f>
        <v>3292161.5302869286</v>
      </c>
      <c r="H262" s="359" t="str">
        <f>'Func Future Lines 2015'!H262</f>
        <v>AltaLink</v>
      </c>
      <c r="I262" s="359">
        <f>'Func Future Lines 2015'!I262</f>
        <v>2018</v>
      </c>
      <c r="J262" s="361">
        <f>+IF($I262=J$3,VLOOKUP($H262,Depreciation!$A$6:$L$10,7,FALSE)/2,IF($I262&lt;J$3,VLOOKUP($H262,Depreciation!$A$6:$L$10,7,FALSE),0))</f>
        <v>0</v>
      </c>
      <c r="K262" s="361">
        <f>+IF($I262=K$3,VLOOKUP($H262,Depreciation!$A$6:$L$10,8,FALSE)/2,IF($I262&lt;K$3,VLOOKUP($H262,Depreciation!$A$6:$L$10,8,FALSE),0))</f>
        <v>0</v>
      </c>
      <c r="L262" s="361">
        <f>+IF($I262=L$3,VLOOKUP($H262,Depreciation!$A$6:$L$10,9,FALSE)/2,IF($I262&lt;L$3,VLOOKUP($H262,Depreciation!$A$6:$L$10,9,FALSE),0))</f>
        <v>0</v>
      </c>
      <c r="M262" s="361">
        <f>+IF($I262=M$3,VLOOKUP($H262,Depreciation!$A$6:$L$10,10,FALSE)/2,IF($I262&lt;M$3,VLOOKUP($H262,Depreciation!$A$6:$L$10,10,FALSE),0))</f>
        <v>1.5338181838063448E-2</v>
      </c>
      <c r="N262" s="361">
        <f>+IF($I262=N$3,VLOOKUP($H262,Depreciation!$A$6:$L$10,11,FALSE)/2,IF($I262&lt;N$3,VLOOKUP($H262,Depreciation!$A$6:$L$10,11,FALSE),0))</f>
        <v>3.0676363676126896E-2</v>
      </c>
      <c r="O262" s="361">
        <f>+IF($I262=O$3,VLOOKUP($H262,Depreciation!$A$6:$L$10,12,FALSE)/2,IF($I262&lt;O$3,VLOOKUP($H262,Depreciation!$A$6:$L$10,12,FALSE),0))</f>
        <v>3.0676363676126896E-2</v>
      </c>
      <c r="P262" s="362">
        <f t="shared" si="14"/>
        <v>0</v>
      </c>
      <c r="Q262" s="362">
        <f t="shared" si="15"/>
        <v>0</v>
      </c>
      <c r="R262" s="363">
        <f t="shared" si="16"/>
        <v>0</v>
      </c>
    </row>
    <row r="263" spans="1:18">
      <c r="A263" s="359" t="str">
        <f>'Func Future Lines 2015'!A263</f>
        <v>PPS</v>
      </c>
      <c r="B263" s="359" t="str">
        <f>'Func Future Lines 2015'!B263</f>
        <v>769L</v>
      </c>
      <c r="C263" s="359">
        <f>'Func Future Lines 2015'!C263</f>
        <v>1558</v>
      </c>
      <c r="D263" s="359">
        <f>'Func Future Lines 2015'!D263</f>
        <v>138</v>
      </c>
      <c r="E263" s="359">
        <f>'Func Future Lines 2015'!E263</f>
        <v>0</v>
      </c>
      <c r="F263" s="359" t="str">
        <f>'Func Future Lines 2015'!F263</f>
        <v>Wainwright</v>
      </c>
      <c r="G263" s="359">
        <f>'Func Future Lines 2015'!G263</f>
        <v>96108.749557208634</v>
      </c>
      <c r="H263" s="359" t="str">
        <f>'Func Future Lines 2015'!H263</f>
        <v>AltaLink</v>
      </c>
      <c r="I263" s="359">
        <f>'Func Future Lines 2015'!I263</f>
        <v>2018</v>
      </c>
      <c r="J263" s="361">
        <f>+IF($I263=J$3,VLOOKUP($H263,Depreciation!$A$6:$L$10,7,FALSE)/2,IF($I263&lt;J$3,VLOOKUP($H263,Depreciation!$A$6:$L$10,7,FALSE),0))</f>
        <v>0</v>
      </c>
      <c r="K263" s="361">
        <f>+IF($I263=K$3,VLOOKUP($H263,Depreciation!$A$6:$L$10,8,FALSE)/2,IF($I263&lt;K$3,VLOOKUP($H263,Depreciation!$A$6:$L$10,8,FALSE),0))</f>
        <v>0</v>
      </c>
      <c r="L263" s="361">
        <f>+IF($I263=L$3,VLOOKUP($H263,Depreciation!$A$6:$L$10,9,FALSE)/2,IF($I263&lt;L$3,VLOOKUP($H263,Depreciation!$A$6:$L$10,9,FALSE),0))</f>
        <v>0</v>
      </c>
      <c r="M263" s="361">
        <f>+IF($I263=M$3,VLOOKUP($H263,Depreciation!$A$6:$L$10,10,FALSE)/2,IF($I263&lt;M$3,VLOOKUP($H263,Depreciation!$A$6:$L$10,10,FALSE),0))</f>
        <v>1.5338181838063448E-2</v>
      </c>
      <c r="N263" s="361">
        <f>+IF($I263=N$3,VLOOKUP($H263,Depreciation!$A$6:$L$10,11,FALSE)/2,IF($I263&lt;N$3,VLOOKUP($H263,Depreciation!$A$6:$L$10,11,FALSE),0))</f>
        <v>3.0676363676126896E-2</v>
      </c>
      <c r="O263" s="361">
        <f>+IF($I263=O$3,VLOOKUP($H263,Depreciation!$A$6:$L$10,12,FALSE)/2,IF($I263&lt;O$3,VLOOKUP($H263,Depreciation!$A$6:$L$10,12,FALSE),0))</f>
        <v>3.0676363676126896E-2</v>
      </c>
      <c r="P263" s="362">
        <f t="shared" si="14"/>
        <v>0</v>
      </c>
      <c r="Q263" s="362">
        <f t="shared" si="15"/>
        <v>0</v>
      </c>
      <c r="R263" s="363">
        <f t="shared" si="16"/>
        <v>0</v>
      </c>
    </row>
    <row r="264" spans="1:18">
      <c r="A264" s="359" t="str">
        <f>'Func Future Lines 2015'!A264</f>
        <v>PPS</v>
      </c>
      <c r="B264" s="359" t="str">
        <f>'Func Future Lines 2015'!B264</f>
        <v>7L05</v>
      </c>
      <c r="C264" s="359">
        <f>'Func Future Lines 2015'!C264</f>
        <v>1570</v>
      </c>
      <c r="D264" s="359">
        <f>'Func Future Lines 2015'!D264</f>
        <v>138</v>
      </c>
      <c r="E264" s="359">
        <f>'Func Future Lines 2015'!E264</f>
        <v>0</v>
      </c>
      <c r="F264" s="359" t="str">
        <f>'Func Future Lines 2015'!F264</f>
        <v>Fort McMurray</v>
      </c>
      <c r="G264" s="359">
        <f>'Func Future Lines 2015'!G264</f>
        <v>304434.26965509646</v>
      </c>
      <c r="H264" s="359" t="str">
        <f>'Func Future Lines 2015'!H264</f>
        <v>ATCO</v>
      </c>
      <c r="I264" s="359">
        <f>'Func Future Lines 2015'!I264</f>
        <v>2017</v>
      </c>
      <c r="J264" s="361">
        <f>+IF($I264=J$3,VLOOKUP($H264,Depreciation!$A$6:$L$10,7,FALSE)/2,IF($I264&lt;J$3,VLOOKUP($H264,Depreciation!$A$6:$L$10,7,FALSE),0))</f>
        <v>0</v>
      </c>
      <c r="K264" s="361">
        <f>+IF($I264=K$3,VLOOKUP($H264,Depreciation!$A$6:$L$10,8,FALSE)/2,IF($I264&lt;K$3,VLOOKUP($H264,Depreciation!$A$6:$L$10,8,FALSE),0))</f>
        <v>0</v>
      </c>
      <c r="L264" s="361">
        <f>+IF($I264=L$3,VLOOKUP($H264,Depreciation!$A$6:$L$10,9,FALSE)/2,IF($I264&lt;L$3,VLOOKUP($H264,Depreciation!$A$6:$L$10,9,FALSE),0))</f>
        <v>1.2001018963427959E-2</v>
      </c>
      <c r="M264" s="361">
        <f>+IF($I264=M$3,VLOOKUP($H264,Depreciation!$A$6:$L$10,10,FALSE)/2,IF($I264&lt;M$3,VLOOKUP($H264,Depreciation!$A$6:$L$10,10,FALSE),0))</f>
        <v>2.4002037926855919E-2</v>
      </c>
      <c r="N264" s="361">
        <f>+IF($I264=N$3,VLOOKUP($H264,Depreciation!$A$6:$L$10,11,FALSE)/2,IF($I264&lt;N$3,VLOOKUP($H264,Depreciation!$A$6:$L$10,11,FALSE),0))</f>
        <v>2.4002037926855919E-2</v>
      </c>
      <c r="O264" s="361">
        <f>+IF($I264=O$3,VLOOKUP($H264,Depreciation!$A$6:$L$10,12,FALSE)/2,IF($I264&lt;O$3,VLOOKUP($H264,Depreciation!$A$6:$L$10,12,FALSE),0))</f>
        <v>2.4002037926855919E-2</v>
      </c>
      <c r="P264" s="362">
        <f t="shared" si="14"/>
        <v>300780.74821184832</v>
      </c>
      <c r="Q264" s="362">
        <f t="shared" si="15"/>
        <v>0</v>
      </c>
      <c r="R264" s="363">
        <f t="shared" si="16"/>
        <v>300780.74821184832</v>
      </c>
    </row>
    <row r="265" spans="1:18">
      <c r="A265" s="359" t="str">
        <f>'Func Future Lines 2015'!A265</f>
        <v>PPS</v>
      </c>
      <c r="B265" s="359" t="str">
        <f>'Func Future Lines 2015'!B265</f>
        <v>704L</v>
      </c>
      <c r="C265" s="359">
        <f>'Func Future Lines 2015'!C265</f>
        <v>1594</v>
      </c>
      <c r="D265" s="359">
        <f>'Func Future Lines 2015'!D265</f>
        <v>138</v>
      </c>
      <c r="E265" s="359">
        <f>'Func Future Lines 2015'!E265</f>
        <v>0</v>
      </c>
      <c r="F265" s="359">
        <f>'Func Future Lines 2015'!F265</f>
        <v>0</v>
      </c>
      <c r="G265" s="359">
        <f>'Func Future Lines 2015'!G265</f>
        <v>14086571.090359084</v>
      </c>
      <c r="H265" s="359" t="str">
        <f>'Func Future Lines 2015'!H265</f>
        <v>AltaLink</v>
      </c>
      <c r="I265" s="359">
        <f>'Func Future Lines 2015'!I265</f>
        <v>2018</v>
      </c>
      <c r="J265" s="361">
        <f>+IF($I265=J$3,VLOOKUP($H265,Depreciation!$A$6:$L$10,7,FALSE)/2,IF($I265&lt;J$3,VLOOKUP($H265,Depreciation!$A$6:$L$10,7,FALSE),0))</f>
        <v>0</v>
      </c>
      <c r="K265" s="361">
        <f>+IF($I265=K$3,VLOOKUP($H265,Depreciation!$A$6:$L$10,8,FALSE)/2,IF($I265&lt;K$3,VLOOKUP($H265,Depreciation!$A$6:$L$10,8,FALSE),0))</f>
        <v>0</v>
      </c>
      <c r="L265" s="361">
        <f>+IF($I265=L$3,VLOOKUP($H265,Depreciation!$A$6:$L$10,9,FALSE)/2,IF($I265&lt;L$3,VLOOKUP($H265,Depreciation!$A$6:$L$10,9,FALSE),0))</f>
        <v>0</v>
      </c>
      <c r="M265" s="361">
        <f>+IF($I265=M$3,VLOOKUP($H265,Depreciation!$A$6:$L$10,10,FALSE)/2,IF($I265&lt;M$3,VLOOKUP($H265,Depreciation!$A$6:$L$10,10,FALSE),0))</f>
        <v>1.5338181838063448E-2</v>
      </c>
      <c r="N265" s="361">
        <f>+IF($I265=N$3,VLOOKUP($H265,Depreciation!$A$6:$L$10,11,FALSE)/2,IF($I265&lt;N$3,VLOOKUP($H265,Depreciation!$A$6:$L$10,11,FALSE),0))</f>
        <v>3.0676363676126896E-2</v>
      </c>
      <c r="O265" s="361">
        <f>+IF($I265=O$3,VLOOKUP($H265,Depreciation!$A$6:$L$10,12,FALSE)/2,IF($I265&lt;O$3,VLOOKUP($H265,Depreciation!$A$6:$L$10,12,FALSE),0))</f>
        <v>3.0676363676126896E-2</v>
      </c>
      <c r="P265" s="362">
        <f t="shared" si="14"/>
        <v>0</v>
      </c>
      <c r="Q265" s="362">
        <f t="shared" si="15"/>
        <v>0</v>
      </c>
      <c r="R265" s="363">
        <f t="shared" si="16"/>
        <v>0</v>
      </c>
    </row>
    <row r="266" spans="1:18">
      <c r="A266" s="359" t="str">
        <f>'Func Future Lines 2015'!A266</f>
        <v>PPS</v>
      </c>
      <c r="B266" s="359" t="str">
        <f>'Func Future Lines 2015'!B266</f>
        <v>7LA10</v>
      </c>
      <c r="C266" s="359">
        <f>'Func Future Lines 2015'!C266</f>
        <v>1618</v>
      </c>
      <c r="D266" s="359">
        <f>'Func Future Lines 2015'!D266</f>
        <v>144</v>
      </c>
      <c r="E266" s="359">
        <f>'Func Future Lines 2015'!E266</f>
        <v>0</v>
      </c>
      <c r="F266" s="359">
        <f>'Func Future Lines 2015'!F266</f>
        <v>0</v>
      </c>
      <c r="G266" s="359">
        <f>'Func Future Lines 2015'!G266</f>
        <v>994089.50036748685</v>
      </c>
      <c r="H266" s="359" t="str">
        <f>'Func Future Lines 2015'!H266</f>
        <v>ATCO</v>
      </c>
      <c r="I266" s="359">
        <f>'Func Future Lines 2015'!I266</f>
        <v>2017</v>
      </c>
      <c r="J266" s="361">
        <f>+IF($I266=J$3,VLOOKUP($H266,Depreciation!$A$6:$L$10,7,FALSE)/2,IF($I266&lt;J$3,VLOOKUP($H266,Depreciation!$A$6:$L$10,7,FALSE),0))</f>
        <v>0</v>
      </c>
      <c r="K266" s="361">
        <f>+IF($I266=K$3,VLOOKUP($H266,Depreciation!$A$6:$L$10,8,FALSE)/2,IF($I266&lt;K$3,VLOOKUP($H266,Depreciation!$A$6:$L$10,8,FALSE),0))</f>
        <v>0</v>
      </c>
      <c r="L266" s="361">
        <f>+IF($I266=L$3,VLOOKUP($H266,Depreciation!$A$6:$L$10,9,FALSE)/2,IF($I266&lt;L$3,VLOOKUP($H266,Depreciation!$A$6:$L$10,9,FALSE),0))</f>
        <v>1.2001018963427959E-2</v>
      </c>
      <c r="M266" s="361">
        <f>+IF($I266=M$3,VLOOKUP($H266,Depreciation!$A$6:$L$10,10,FALSE)/2,IF($I266&lt;M$3,VLOOKUP($H266,Depreciation!$A$6:$L$10,10,FALSE),0))</f>
        <v>2.4002037926855919E-2</v>
      </c>
      <c r="N266" s="361">
        <f>+IF($I266=N$3,VLOOKUP($H266,Depreciation!$A$6:$L$10,11,FALSE)/2,IF($I266&lt;N$3,VLOOKUP($H266,Depreciation!$A$6:$L$10,11,FALSE),0))</f>
        <v>2.4002037926855919E-2</v>
      </c>
      <c r="O266" s="361">
        <f>+IF($I266=O$3,VLOOKUP($H266,Depreciation!$A$6:$L$10,12,FALSE)/2,IF($I266&lt;O$3,VLOOKUP($H266,Depreciation!$A$6:$L$10,12,FALSE),0))</f>
        <v>2.4002037926855919E-2</v>
      </c>
      <c r="P266" s="362">
        <f t="shared" si="14"/>
        <v>982159.41342223203</v>
      </c>
      <c r="Q266" s="362">
        <f t="shared" si="15"/>
        <v>0</v>
      </c>
      <c r="R266" s="363">
        <f t="shared" si="16"/>
        <v>982159.41342223203</v>
      </c>
    </row>
    <row r="267" spans="1:18">
      <c r="A267" s="359" t="str">
        <f>'Func Future Lines 2015'!A267</f>
        <v>PPS</v>
      </c>
      <c r="B267" s="359" t="str">
        <f>'Func Future Lines 2015'!B267</f>
        <v>7L20/7L228_(v1)</v>
      </c>
      <c r="C267" s="359">
        <f>'Func Future Lines 2015'!C267</f>
        <v>1634</v>
      </c>
      <c r="D267" s="359">
        <f>'Func Future Lines 2015'!D267</f>
        <v>144</v>
      </c>
      <c r="E267" s="359">
        <f>'Func Future Lines 2015'!E267</f>
        <v>0</v>
      </c>
      <c r="F267" s="359" t="str">
        <f>'Func Future Lines 2015'!F267</f>
        <v>Grande Prairie</v>
      </c>
      <c r="G267" s="359">
        <f>'Func Future Lines 2015'!G267</f>
        <v>2547123.3415767057</v>
      </c>
      <c r="H267" s="359" t="str">
        <f>'Func Future Lines 2015'!H267</f>
        <v>ATCO</v>
      </c>
      <c r="I267" s="359">
        <f>'Func Future Lines 2015'!I267</f>
        <v>2016</v>
      </c>
      <c r="J267" s="361">
        <f>+IF($I267=J$3,VLOOKUP($H267,Depreciation!$A$6:$L$10,7,FALSE)/2,IF($I267&lt;J$3,VLOOKUP($H267,Depreciation!$A$6:$L$10,7,FALSE),0))</f>
        <v>0</v>
      </c>
      <c r="K267" s="361">
        <f>+IF($I267=K$3,VLOOKUP($H267,Depreciation!$A$6:$L$10,8,FALSE)/2,IF($I267&lt;K$3,VLOOKUP($H267,Depreciation!$A$6:$L$10,8,FALSE),0))</f>
        <v>1.1971929865503333E-2</v>
      </c>
      <c r="L267" s="361">
        <f>+IF($I267=L$3,VLOOKUP($H267,Depreciation!$A$6:$L$10,9,FALSE)/2,IF($I267&lt;L$3,VLOOKUP($H267,Depreciation!$A$6:$L$10,9,FALSE),0))</f>
        <v>2.4002037926855919E-2</v>
      </c>
      <c r="M267" s="361">
        <f>+IF($I267=M$3,VLOOKUP($H267,Depreciation!$A$6:$L$10,10,FALSE)/2,IF($I267&lt;M$3,VLOOKUP($H267,Depreciation!$A$6:$L$10,10,FALSE),0))</f>
        <v>2.4002037926855919E-2</v>
      </c>
      <c r="N267" s="361">
        <f>+IF($I267=N$3,VLOOKUP($H267,Depreciation!$A$6:$L$10,11,FALSE)/2,IF($I267&lt;N$3,VLOOKUP($H267,Depreciation!$A$6:$L$10,11,FALSE),0))</f>
        <v>2.4002037926855919E-2</v>
      </c>
      <c r="O267" s="361">
        <f>+IF($I267=O$3,VLOOKUP($H267,Depreciation!$A$6:$L$10,12,FALSE)/2,IF($I267&lt;O$3,VLOOKUP($H267,Depreciation!$A$6:$L$10,12,FALSE),0))</f>
        <v>2.4002037926855919E-2</v>
      </c>
      <c r="P267" s="362">
        <f t="shared" si="14"/>
        <v>2456225.1262362632</v>
      </c>
      <c r="Q267" s="362">
        <f t="shared" si="15"/>
        <v>0</v>
      </c>
      <c r="R267" s="363">
        <f t="shared" si="16"/>
        <v>2456225.1262362632</v>
      </c>
    </row>
    <row r="268" spans="1:18">
      <c r="A268" s="359" t="str">
        <f>'Func Future Lines 2015'!A268</f>
        <v>PPS</v>
      </c>
      <c r="B268" s="359" t="str">
        <f>'Func Future Lines 2015'!B268</f>
        <v>7L20/7L228_(v1)</v>
      </c>
      <c r="C268" s="359">
        <f>'Func Future Lines 2015'!C268</f>
        <v>1634</v>
      </c>
      <c r="D268" s="359">
        <f>'Func Future Lines 2015'!D268</f>
        <v>144</v>
      </c>
      <c r="E268" s="359">
        <f>'Func Future Lines 2015'!E268</f>
        <v>0</v>
      </c>
      <c r="F268" s="359" t="str">
        <f>'Func Future Lines 2015'!F268</f>
        <v>Grande Prairie</v>
      </c>
      <c r="G268" s="359">
        <f>'Func Future Lines 2015'!G268</f>
        <v>2545264.0744639053</v>
      </c>
      <c r="H268" s="359" t="str">
        <f>'Func Future Lines 2015'!H268</f>
        <v>ATCO</v>
      </c>
      <c r="I268" s="359">
        <f>'Func Future Lines 2015'!I268</f>
        <v>2016</v>
      </c>
      <c r="J268" s="361">
        <f>+IF($I268=J$3,VLOOKUP($H268,Depreciation!$A$6:$L$10,7,FALSE)/2,IF($I268&lt;J$3,VLOOKUP($H268,Depreciation!$A$6:$L$10,7,FALSE),0))</f>
        <v>0</v>
      </c>
      <c r="K268" s="361">
        <f>+IF($I268=K$3,VLOOKUP($H268,Depreciation!$A$6:$L$10,8,FALSE)/2,IF($I268&lt;K$3,VLOOKUP($H268,Depreciation!$A$6:$L$10,8,FALSE),0))</f>
        <v>1.1971929865503333E-2</v>
      </c>
      <c r="L268" s="361">
        <f>+IF($I268=L$3,VLOOKUP($H268,Depreciation!$A$6:$L$10,9,FALSE)/2,IF($I268&lt;L$3,VLOOKUP($H268,Depreciation!$A$6:$L$10,9,FALSE),0))</f>
        <v>2.4002037926855919E-2</v>
      </c>
      <c r="M268" s="361">
        <f>+IF($I268=M$3,VLOOKUP($H268,Depreciation!$A$6:$L$10,10,FALSE)/2,IF($I268&lt;M$3,VLOOKUP($H268,Depreciation!$A$6:$L$10,10,FALSE),0))</f>
        <v>2.4002037926855919E-2</v>
      </c>
      <c r="N268" s="361">
        <f>+IF($I268=N$3,VLOOKUP($H268,Depreciation!$A$6:$L$10,11,FALSE)/2,IF($I268&lt;N$3,VLOOKUP($H268,Depreciation!$A$6:$L$10,11,FALSE),0))</f>
        <v>2.4002037926855919E-2</v>
      </c>
      <c r="O268" s="361">
        <f>+IF($I268=O$3,VLOOKUP($H268,Depreciation!$A$6:$L$10,12,FALSE)/2,IF($I268&lt;O$3,VLOOKUP($H268,Depreciation!$A$6:$L$10,12,FALSE),0))</f>
        <v>2.4002037926855919E-2</v>
      </c>
      <c r="P268" s="362">
        <f t="shared" si="14"/>
        <v>2454432.2100769626</v>
      </c>
      <c r="Q268" s="362">
        <f t="shared" si="15"/>
        <v>0</v>
      </c>
      <c r="R268" s="363">
        <f t="shared" si="16"/>
        <v>2454432.2100769626</v>
      </c>
    </row>
    <row r="269" spans="1:18">
      <c r="A269" s="359" t="str">
        <f>'Func Future Lines 2015'!A269</f>
        <v>PPS</v>
      </c>
      <c r="B269" s="359" t="str">
        <f>'Func Future Lines 2015'!B269</f>
        <v>633L</v>
      </c>
      <c r="C269" s="359">
        <f>'Func Future Lines 2015'!C269</f>
        <v>1636</v>
      </c>
      <c r="D269" s="359">
        <f>'Func Future Lines 2015'!D269</f>
        <v>138</v>
      </c>
      <c r="E269" s="359">
        <f>'Func Future Lines 2015'!E269</f>
        <v>0</v>
      </c>
      <c r="F269" s="359" t="str">
        <f>'Func Future Lines 2015'!F269</f>
        <v>Athabasca/Lac</v>
      </c>
      <c r="G269" s="359">
        <f>'Func Future Lines 2015'!G269</f>
        <v>357000.61337149848</v>
      </c>
      <c r="H269" s="359" t="str">
        <f>'Func Future Lines 2015'!H269</f>
        <v>AltaLink</v>
      </c>
      <c r="I269" s="359">
        <f>'Func Future Lines 2015'!I269</f>
        <v>2016</v>
      </c>
      <c r="J269" s="361">
        <f>+IF($I269=J$3,VLOOKUP($H269,Depreciation!$A$6:$L$10,7,FALSE)/2,IF($I269&lt;J$3,VLOOKUP($H269,Depreciation!$A$6:$L$10,7,FALSE),0))</f>
        <v>0</v>
      </c>
      <c r="K269" s="361">
        <f>+IF($I269=K$3,VLOOKUP($H269,Depreciation!$A$6:$L$10,8,FALSE)/2,IF($I269&lt;K$3,VLOOKUP($H269,Depreciation!$A$6:$L$10,8,FALSE),0))</f>
        <v>1.5338181838063448E-2</v>
      </c>
      <c r="L269" s="361">
        <f>+IF($I269=L$3,VLOOKUP($H269,Depreciation!$A$6:$L$10,9,FALSE)/2,IF($I269&lt;L$3,VLOOKUP($H269,Depreciation!$A$6:$L$10,9,FALSE),0))</f>
        <v>3.0676363676126896E-2</v>
      </c>
      <c r="M269" s="361">
        <f>+IF($I269=M$3,VLOOKUP($H269,Depreciation!$A$6:$L$10,10,FALSE)/2,IF($I269&lt;M$3,VLOOKUP($H269,Depreciation!$A$6:$L$10,10,FALSE),0))</f>
        <v>3.0676363676126896E-2</v>
      </c>
      <c r="N269" s="361">
        <f>+IF($I269=N$3,VLOOKUP($H269,Depreciation!$A$6:$L$10,11,FALSE)/2,IF($I269&lt;N$3,VLOOKUP($H269,Depreciation!$A$6:$L$10,11,FALSE),0))</f>
        <v>3.0676363676126896E-2</v>
      </c>
      <c r="O269" s="361">
        <f>+IF($I269=O$3,VLOOKUP($H269,Depreciation!$A$6:$L$10,12,FALSE)/2,IF($I269&lt;O$3,VLOOKUP($H269,Depreciation!$A$6:$L$10,12,FALSE),0))</f>
        <v>3.0676363676126896E-2</v>
      </c>
      <c r="P269" s="362">
        <f t="shared" si="14"/>
        <v>340741.36820050277</v>
      </c>
      <c r="Q269" s="362">
        <f t="shared" si="15"/>
        <v>0</v>
      </c>
      <c r="R269" s="363">
        <f t="shared" si="16"/>
        <v>340741.36820050277</v>
      </c>
    </row>
    <row r="270" spans="1:18">
      <c r="A270" s="359" t="str">
        <f>'Func Future Lines 2015'!A270</f>
        <v>PPS</v>
      </c>
      <c r="B270" s="359" t="str">
        <f>'Func Future Lines 2015'!B270</f>
        <v>1214L</v>
      </c>
      <c r="C270" s="359">
        <f>'Func Future Lines 2015'!C270</f>
        <v>1655</v>
      </c>
      <c r="D270" s="359">
        <f>'Func Future Lines 2015'!D270</f>
        <v>500</v>
      </c>
      <c r="E270" s="359">
        <f>'Func Future Lines 2015'!E270</f>
        <v>0</v>
      </c>
      <c r="F270" s="359" t="str">
        <f>'Func Future Lines 2015'!F270</f>
        <v>Fort McMurray</v>
      </c>
      <c r="G270" s="359">
        <f>'Func Future Lines 2015'!G270</f>
        <v>816333.28402366897</v>
      </c>
      <c r="H270" s="359" t="str">
        <f>'Func Future Lines 2015'!H270</f>
        <v>AltaLink</v>
      </c>
      <c r="I270" s="359">
        <f>'Func Future Lines 2015'!I270</f>
        <v>2018</v>
      </c>
      <c r="J270" s="361">
        <f>+IF($I270=J$3,VLOOKUP($H270,Depreciation!$A$6:$L$10,7,FALSE)/2,IF($I270&lt;J$3,VLOOKUP($H270,Depreciation!$A$6:$L$10,7,FALSE),0))</f>
        <v>0</v>
      </c>
      <c r="K270" s="361">
        <f>+IF($I270=K$3,VLOOKUP($H270,Depreciation!$A$6:$L$10,8,FALSE)/2,IF($I270&lt;K$3,VLOOKUP($H270,Depreciation!$A$6:$L$10,8,FALSE),0))</f>
        <v>0</v>
      </c>
      <c r="L270" s="361">
        <f>+IF($I270=L$3,VLOOKUP($H270,Depreciation!$A$6:$L$10,9,FALSE)/2,IF($I270&lt;L$3,VLOOKUP($H270,Depreciation!$A$6:$L$10,9,FALSE),0))</f>
        <v>0</v>
      </c>
      <c r="M270" s="361">
        <f>+IF($I270=M$3,VLOOKUP($H270,Depreciation!$A$6:$L$10,10,FALSE)/2,IF($I270&lt;M$3,VLOOKUP($H270,Depreciation!$A$6:$L$10,10,FALSE),0))</f>
        <v>1.5338181838063448E-2</v>
      </c>
      <c r="N270" s="361">
        <f>+IF($I270=N$3,VLOOKUP($H270,Depreciation!$A$6:$L$10,11,FALSE)/2,IF($I270&lt;N$3,VLOOKUP($H270,Depreciation!$A$6:$L$10,11,FALSE),0))</f>
        <v>3.0676363676126896E-2</v>
      </c>
      <c r="O270" s="361">
        <f>+IF($I270=O$3,VLOOKUP($H270,Depreciation!$A$6:$L$10,12,FALSE)/2,IF($I270&lt;O$3,VLOOKUP($H270,Depreciation!$A$6:$L$10,12,FALSE),0))</f>
        <v>3.0676363676126896E-2</v>
      </c>
      <c r="P270" s="362">
        <f t="shared" si="14"/>
        <v>0</v>
      </c>
      <c r="Q270" s="362">
        <f t="shared" si="15"/>
        <v>0</v>
      </c>
      <c r="R270" s="363">
        <f t="shared" si="16"/>
        <v>0</v>
      </c>
    </row>
    <row r="271" spans="1:18">
      <c r="A271" s="359" t="str">
        <f>'Func Future Lines 2015'!A271</f>
        <v>OOM</v>
      </c>
      <c r="B271" s="359" t="str">
        <f>'Func Future Lines 2015'!B271</f>
        <v>New 7km s/c tap to 7L90</v>
      </c>
      <c r="C271" s="359">
        <f>'Func Future Lines 2015'!C271</f>
        <v>1722</v>
      </c>
      <c r="D271" s="359">
        <f>'Func Future Lines 2015'!D271</f>
        <v>144</v>
      </c>
      <c r="E271" s="359">
        <f>'Func Future Lines 2015'!E271</f>
        <v>0</v>
      </c>
      <c r="F271" s="359">
        <f>'Func Future Lines 2015'!F271</f>
        <v>0</v>
      </c>
      <c r="G271" s="359">
        <f>'Func Future Lines 2015'!G271</f>
        <v>5595520.8321615737</v>
      </c>
      <c r="H271" s="359" t="str">
        <f>'Func Future Lines 2015'!H271</f>
        <v>ATCO</v>
      </c>
      <c r="I271" s="359">
        <f>'Func Future Lines 2015'!I271</f>
        <v>2017</v>
      </c>
      <c r="J271" s="361">
        <f>+IF($I271=J$3,VLOOKUP($H271,Depreciation!$A$6:$L$10,7,FALSE)/2,IF($I271&lt;J$3,VLOOKUP($H271,Depreciation!$A$6:$L$10,7,FALSE),0))</f>
        <v>0</v>
      </c>
      <c r="K271" s="361">
        <f>+IF($I271=K$3,VLOOKUP($H271,Depreciation!$A$6:$L$10,8,FALSE)/2,IF($I271&lt;K$3,VLOOKUP($H271,Depreciation!$A$6:$L$10,8,FALSE),0))</f>
        <v>0</v>
      </c>
      <c r="L271" s="361">
        <f>+IF($I271=L$3,VLOOKUP($H271,Depreciation!$A$6:$L$10,9,FALSE)/2,IF($I271&lt;L$3,VLOOKUP($H271,Depreciation!$A$6:$L$10,9,FALSE),0))</f>
        <v>1.2001018963427959E-2</v>
      </c>
      <c r="M271" s="361">
        <f>+IF($I271=M$3,VLOOKUP($H271,Depreciation!$A$6:$L$10,10,FALSE)/2,IF($I271&lt;M$3,VLOOKUP($H271,Depreciation!$A$6:$L$10,10,FALSE),0))</f>
        <v>2.4002037926855919E-2</v>
      </c>
      <c r="N271" s="361">
        <f>+IF($I271=N$3,VLOOKUP($H271,Depreciation!$A$6:$L$10,11,FALSE)/2,IF($I271&lt;N$3,VLOOKUP($H271,Depreciation!$A$6:$L$10,11,FALSE),0))</f>
        <v>2.4002037926855919E-2</v>
      </c>
      <c r="O271" s="361">
        <f>+IF($I271=O$3,VLOOKUP($H271,Depreciation!$A$6:$L$10,12,FALSE)/2,IF($I271&lt;O$3,VLOOKUP($H271,Depreciation!$A$6:$L$10,12,FALSE),0))</f>
        <v>2.4002037926855919E-2</v>
      </c>
      <c r="P271" s="362">
        <f t="shared" si="14"/>
        <v>5528368.8805445461</v>
      </c>
      <c r="Q271" s="362">
        <f t="shared" si="15"/>
        <v>0</v>
      </c>
      <c r="R271" s="363">
        <f t="shared" si="16"/>
        <v>5528368.8805445461</v>
      </c>
    </row>
    <row r="272" spans="1:18">
      <c r="A272" s="359" t="str">
        <f>'Func Future Lines 2015'!A272</f>
        <v>NID</v>
      </c>
      <c r="B272" s="359" t="str">
        <f>'Func Future Lines 2015'!B272</f>
        <v>138kV line</v>
      </c>
      <c r="C272" s="359">
        <f>'Func Future Lines 2015'!C272</f>
        <v>1456</v>
      </c>
      <c r="D272" s="359">
        <f>'Func Future Lines 2015'!D272</f>
        <v>138</v>
      </c>
      <c r="E272" s="359">
        <f>'Func Future Lines 2015'!E272</f>
        <v>0</v>
      </c>
      <c r="F272" s="359" t="str">
        <f>'Func Future Lines 2015'!F272</f>
        <v>Calgary</v>
      </c>
      <c r="G272" s="359">
        <f>'Func Future Lines 2015'!G272</f>
        <v>74119816.894765332</v>
      </c>
      <c r="H272" s="359" t="str">
        <f>'Func Future Lines 2015'!H272</f>
        <v>ENMAX</v>
      </c>
      <c r="I272" s="359">
        <f>'Func Future Lines 2015'!I272</f>
        <v>2021</v>
      </c>
      <c r="J272" s="361">
        <f>+IF($I272=J$3,VLOOKUP($H272,Depreciation!$A$6:$L$10,7,FALSE)/2,IF($I272&lt;J$3,VLOOKUP($H272,Depreciation!$A$6:$L$10,7,FALSE),0))</f>
        <v>0</v>
      </c>
      <c r="K272" s="361">
        <f>+IF($I272=K$3,VLOOKUP($H272,Depreciation!$A$6:$L$10,8,FALSE)/2,IF($I272&lt;K$3,VLOOKUP($H272,Depreciation!$A$6:$L$10,8,FALSE),0))</f>
        <v>0</v>
      </c>
      <c r="L272" s="361">
        <f>+IF($I272=L$3,VLOOKUP($H272,Depreciation!$A$6:$L$10,9,FALSE)/2,IF($I272&lt;L$3,VLOOKUP($H272,Depreciation!$A$6:$L$10,9,FALSE),0))</f>
        <v>0</v>
      </c>
      <c r="M272" s="361">
        <f>+IF($I272=M$3,VLOOKUP($H272,Depreciation!$A$6:$L$10,10,FALSE)/2,IF($I272&lt;M$3,VLOOKUP($H272,Depreciation!$A$6:$L$10,10,FALSE),0))</f>
        <v>0</v>
      </c>
      <c r="N272" s="361">
        <f>+IF($I272=N$3,VLOOKUP($H272,Depreciation!$A$6:$L$10,11,FALSE)/2,IF($I272&lt;N$3,VLOOKUP($H272,Depreciation!$A$6:$L$10,11,FALSE),0))</f>
        <v>0</v>
      </c>
      <c r="O272" s="361">
        <f>+IF($I272=O$3,VLOOKUP($H272,Depreciation!$A$6:$L$10,12,FALSE)/2,IF($I272&lt;O$3,VLOOKUP($H272,Depreciation!$A$6:$L$10,12,FALSE),0))</f>
        <v>0</v>
      </c>
      <c r="P272" s="362">
        <f t="shared" si="14"/>
        <v>0</v>
      </c>
      <c r="Q272" s="362">
        <f t="shared" si="15"/>
        <v>0</v>
      </c>
      <c r="R272" s="363">
        <f t="shared" si="16"/>
        <v>0</v>
      </c>
    </row>
    <row r="273" spans="1:19">
      <c r="A273" s="359" t="str">
        <f>'Func Future Lines 2015'!A273</f>
        <v>Planning</v>
      </c>
      <c r="B273" s="359" t="str">
        <f>'Func Future Lines 2015'!B273</f>
        <v>144KV line</v>
      </c>
      <c r="C273" s="359">
        <f>'Func Future Lines 2015'!C273</f>
        <v>1784</v>
      </c>
      <c r="D273" s="359">
        <f>'Func Future Lines 2015'!D273</f>
        <v>144</v>
      </c>
      <c r="E273" s="359">
        <f>'Func Future Lines 2015'!E273</f>
        <v>0</v>
      </c>
      <c r="F273" s="359" t="str">
        <f>'Func Future Lines 2015'!F273</f>
        <v>Grande Prairie</v>
      </c>
      <c r="G273" s="359">
        <f>'Func Future Lines 2015'!G273</f>
        <v>35000000</v>
      </c>
      <c r="H273" s="359" t="str">
        <f>'Func Future Lines 2015'!H273</f>
        <v>ATCO</v>
      </c>
      <c r="I273" s="359">
        <f>'Func Future Lines 2015'!I273</f>
        <v>2020</v>
      </c>
      <c r="J273" s="361">
        <f>+IF($I273=J$3,VLOOKUP($H273,Depreciation!$A$6:$L$10,7,FALSE)/2,IF($I273&lt;J$3,VLOOKUP($H273,Depreciation!$A$6:$L$10,7,FALSE),0))</f>
        <v>0</v>
      </c>
      <c r="K273" s="361">
        <f>+IF($I273=K$3,VLOOKUP($H273,Depreciation!$A$6:$L$10,8,FALSE)/2,IF($I273&lt;K$3,VLOOKUP($H273,Depreciation!$A$6:$L$10,8,FALSE),0))</f>
        <v>0</v>
      </c>
      <c r="L273" s="361">
        <f>+IF($I273=L$3,VLOOKUP($H273,Depreciation!$A$6:$L$10,9,FALSE)/2,IF($I273&lt;L$3,VLOOKUP($H273,Depreciation!$A$6:$L$10,9,FALSE),0))</f>
        <v>0</v>
      </c>
      <c r="M273" s="361">
        <f>+IF($I273=M$3,VLOOKUP($H273,Depreciation!$A$6:$L$10,10,FALSE)/2,IF($I273&lt;M$3,VLOOKUP($H273,Depreciation!$A$6:$L$10,10,FALSE),0))</f>
        <v>0</v>
      </c>
      <c r="N273" s="361">
        <f>+IF($I273=N$3,VLOOKUP($H273,Depreciation!$A$6:$L$10,11,FALSE)/2,IF($I273&lt;N$3,VLOOKUP($H273,Depreciation!$A$6:$L$10,11,FALSE),0))</f>
        <v>0</v>
      </c>
      <c r="O273" s="361">
        <f>+IF($I273=O$3,VLOOKUP($H273,Depreciation!$A$6:$L$10,12,FALSE)/2,IF($I273&lt;O$3,VLOOKUP($H273,Depreciation!$A$6:$L$10,12,FALSE),0))</f>
        <v>1.2001018963427959E-2</v>
      </c>
      <c r="P273" s="362">
        <f t="shared" si="14"/>
        <v>0</v>
      </c>
      <c r="Q273" s="362">
        <f t="shared" si="15"/>
        <v>0</v>
      </c>
      <c r="R273" s="363">
        <f t="shared" si="16"/>
        <v>0</v>
      </c>
    </row>
    <row r="274" spans="1:19">
      <c r="A274" s="359" t="str">
        <f>'Func Future Lines 2015'!A274</f>
        <v>Planning</v>
      </c>
      <c r="B274" s="359" t="str">
        <f>'Func Future Lines 2015'!B274</f>
        <v>144 kV line</v>
      </c>
      <c r="C274" s="359">
        <f>'Func Future Lines 2015'!C274</f>
        <v>1785</v>
      </c>
      <c r="D274" s="359">
        <f>'Func Future Lines 2015'!D274</f>
        <v>144</v>
      </c>
      <c r="E274" s="359">
        <f>'Func Future Lines 2015'!E274</f>
        <v>0</v>
      </c>
      <c r="F274" s="359" t="str">
        <f>'Func Future Lines 2015'!F274</f>
        <v>Grande Prairie</v>
      </c>
      <c r="G274" s="359">
        <f>'Func Future Lines 2015'!G274</f>
        <v>40000000</v>
      </c>
      <c r="H274" s="359" t="str">
        <f>'Func Future Lines 2015'!H274</f>
        <v>ATCO</v>
      </c>
      <c r="I274" s="359">
        <f>'Func Future Lines 2015'!I274</f>
        <v>2020</v>
      </c>
      <c r="J274" s="361">
        <f>+IF($I274=J$3,VLOOKUP($H274,Depreciation!$A$6:$L$10,7,FALSE)/2,IF($I274&lt;J$3,VLOOKUP($H274,Depreciation!$A$6:$L$10,7,FALSE),0))</f>
        <v>0</v>
      </c>
      <c r="K274" s="361">
        <f>+IF($I274=K$3,VLOOKUP($H274,Depreciation!$A$6:$L$10,8,FALSE)/2,IF($I274&lt;K$3,VLOOKUP($H274,Depreciation!$A$6:$L$10,8,FALSE),0))</f>
        <v>0</v>
      </c>
      <c r="L274" s="361">
        <f>+IF($I274=L$3,VLOOKUP($H274,Depreciation!$A$6:$L$10,9,FALSE)/2,IF($I274&lt;L$3,VLOOKUP($H274,Depreciation!$A$6:$L$10,9,FALSE),0))</f>
        <v>0</v>
      </c>
      <c r="M274" s="361">
        <f>+IF($I274=M$3,VLOOKUP($H274,Depreciation!$A$6:$L$10,10,FALSE)/2,IF($I274&lt;M$3,VLOOKUP($H274,Depreciation!$A$6:$L$10,10,FALSE),0))</f>
        <v>0</v>
      </c>
      <c r="N274" s="361">
        <f>+IF($I274=N$3,VLOOKUP($H274,Depreciation!$A$6:$L$10,11,FALSE)/2,IF($I274&lt;N$3,VLOOKUP($H274,Depreciation!$A$6:$L$10,11,FALSE),0))</f>
        <v>0</v>
      </c>
      <c r="O274" s="361">
        <f>+IF($I274=O$3,VLOOKUP($H274,Depreciation!$A$6:$L$10,12,FALSE)/2,IF($I274&lt;O$3,VLOOKUP($H274,Depreciation!$A$6:$L$10,12,FALSE),0))</f>
        <v>1.2001018963427959E-2</v>
      </c>
      <c r="P274" s="362">
        <f t="shared" si="14"/>
        <v>0</v>
      </c>
      <c r="Q274" s="362">
        <f t="shared" si="15"/>
        <v>0</v>
      </c>
      <c r="R274" s="363">
        <f t="shared" si="16"/>
        <v>0</v>
      </c>
    </row>
    <row r="275" spans="1:19">
      <c r="A275" s="359" t="str">
        <f>'Func Future Lines 2015'!A275</f>
        <v>Planning</v>
      </c>
      <c r="B275" s="359" t="str">
        <f>'Func Future Lines 2015'!B275</f>
        <v>144kV line</v>
      </c>
      <c r="C275" s="359">
        <f>'Func Future Lines 2015'!C275</f>
        <v>1781</v>
      </c>
      <c r="D275" s="359">
        <f>'Func Future Lines 2015'!D275</f>
        <v>144</v>
      </c>
      <c r="E275" s="359">
        <f>'Func Future Lines 2015'!E275</f>
        <v>0</v>
      </c>
      <c r="F275" s="359" t="str">
        <f>'Func Future Lines 2015'!F275</f>
        <v>Central East</v>
      </c>
      <c r="G275" s="359">
        <f>'Func Future Lines 2015'!G275</f>
        <v>150186554.50853476</v>
      </c>
      <c r="H275" s="359" t="str">
        <f>'Func Future Lines 2015'!H275</f>
        <v>AltaLink</v>
      </c>
      <c r="I275" s="359">
        <f>'Func Future Lines 2015'!I275</f>
        <v>2021</v>
      </c>
      <c r="J275" s="361">
        <f>+IF($I275=J$3,VLOOKUP($H275,Depreciation!$A$6:$L$10,7,FALSE)/2,IF($I275&lt;J$3,VLOOKUP($H275,Depreciation!$A$6:$L$10,7,FALSE),0))</f>
        <v>0</v>
      </c>
      <c r="K275" s="361">
        <f>+IF($I275=K$3,VLOOKUP($H275,Depreciation!$A$6:$L$10,8,FALSE)/2,IF($I275&lt;K$3,VLOOKUP($H275,Depreciation!$A$6:$L$10,8,FALSE),0))</f>
        <v>0</v>
      </c>
      <c r="L275" s="361">
        <f>+IF($I275=L$3,VLOOKUP($H275,Depreciation!$A$6:$L$10,9,FALSE)/2,IF($I275&lt;L$3,VLOOKUP($H275,Depreciation!$A$6:$L$10,9,FALSE),0))</f>
        <v>0</v>
      </c>
      <c r="M275" s="361">
        <f>+IF($I275=M$3,VLOOKUP($H275,Depreciation!$A$6:$L$10,10,FALSE)/2,IF($I275&lt;M$3,VLOOKUP($H275,Depreciation!$A$6:$L$10,10,FALSE),0))</f>
        <v>0</v>
      </c>
      <c r="N275" s="361">
        <f>+IF($I275=N$3,VLOOKUP($H275,Depreciation!$A$6:$L$10,11,FALSE)/2,IF($I275&lt;N$3,VLOOKUP($H275,Depreciation!$A$6:$L$10,11,FALSE),0))</f>
        <v>0</v>
      </c>
      <c r="O275" s="361">
        <f>+IF($I275=O$3,VLOOKUP($H275,Depreciation!$A$6:$L$10,12,FALSE)/2,IF($I275&lt;O$3,VLOOKUP($H275,Depreciation!$A$6:$L$10,12,FALSE),0))</f>
        <v>0</v>
      </c>
      <c r="P275" s="362">
        <f t="shared" si="14"/>
        <v>0</v>
      </c>
      <c r="Q275" s="362">
        <f t="shared" si="15"/>
        <v>0</v>
      </c>
      <c r="R275" s="363">
        <f t="shared" si="16"/>
        <v>0</v>
      </c>
    </row>
    <row r="276" spans="1:19">
      <c r="A276" s="359" t="str">
        <f>'Func Future Lines 2015'!A276</f>
        <v>Planning</v>
      </c>
      <c r="B276" s="359" t="str">
        <f>'Func Future Lines 2015'!B276</f>
        <v>144KV line</v>
      </c>
      <c r="C276" s="359">
        <f>'Func Future Lines 2015'!C276</f>
        <v>1781</v>
      </c>
      <c r="D276" s="359">
        <f>'Func Future Lines 2015'!D276</f>
        <v>144</v>
      </c>
      <c r="E276" s="359">
        <f>'Func Future Lines 2015'!E276</f>
        <v>0</v>
      </c>
      <c r="F276" s="359" t="str">
        <f>'Func Future Lines 2015'!F276</f>
        <v>Central East</v>
      </c>
      <c r="G276" s="359">
        <f>'Func Future Lines 2015'!G276</f>
        <v>43590130.403618827</v>
      </c>
      <c r="H276" s="359" t="str">
        <f>'Func Future Lines 2015'!H276</f>
        <v>ATCO</v>
      </c>
      <c r="I276" s="359">
        <f>'Func Future Lines 2015'!I276</f>
        <v>2021</v>
      </c>
      <c r="J276" s="361">
        <f>+IF($I276=J$3,VLOOKUP($H276,Depreciation!$A$6:$L$10,7,FALSE)/2,IF($I276&lt;J$3,VLOOKUP($H276,Depreciation!$A$6:$L$10,7,FALSE),0))</f>
        <v>0</v>
      </c>
      <c r="K276" s="361">
        <f>+IF($I276=K$3,VLOOKUP($H276,Depreciation!$A$6:$L$10,8,FALSE)/2,IF($I276&lt;K$3,VLOOKUP($H276,Depreciation!$A$6:$L$10,8,FALSE),0))</f>
        <v>0</v>
      </c>
      <c r="L276" s="361">
        <f>+IF($I276=L$3,VLOOKUP($H276,Depreciation!$A$6:$L$10,9,FALSE)/2,IF($I276&lt;L$3,VLOOKUP($H276,Depreciation!$A$6:$L$10,9,FALSE),0))</f>
        <v>0</v>
      </c>
      <c r="M276" s="361">
        <f>+IF($I276=M$3,VLOOKUP($H276,Depreciation!$A$6:$L$10,10,FALSE)/2,IF($I276&lt;M$3,VLOOKUP($H276,Depreciation!$A$6:$L$10,10,FALSE),0))</f>
        <v>0</v>
      </c>
      <c r="N276" s="361">
        <f>+IF($I276=N$3,VLOOKUP($H276,Depreciation!$A$6:$L$10,11,FALSE)/2,IF($I276&lt;N$3,VLOOKUP($H276,Depreciation!$A$6:$L$10,11,FALSE),0))</f>
        <v>0</v>
      </c>
      <c r="O276" s="361">
        <f>+IF($I276=O$3,VLOOKUP($H276,Depreciation!$A$6:$L$10,12,FALSE)/2,IF($I276&lt;O$3,VLOOKUP($H276,Depreciation!$A$6:$L$10,12,FALSE),0))</f>
        <v>0</v>
      </c>
      <c r="P276" s="362">
        <f t="shared" si="14"/>
        <v>0</v>
      </c>
      <c r="Q276" s="362">
        <f t="shared" si="15"/>
        <v>0</v>
      </c>
      <c r="R276" s="363">
        <f t="shared" si="16"/>
        <v>0</v>
      </c>
    </row>
    <row r="277" spans="1:19">
      <c r="A277" s="359" t="str">
        <f>'Func Future Lines 2015'!A277</f>
        <v>Planning</v>
      </c>
      <c r="B277" s="359" t="str">
        <f>'Func Future Lines 2015'!B277</f>
        <v>Competitive Process</v>
      </c>
      <c r="C277" s="359">
        <f>'Func Future Lines 2015'!C277</f>
        <v>1590</v>
      </c>
      <c r="D277" s="359">
        <f>'Func Future Lines 2015'!D277</f>
        <v>500</v>
      </c>
      <c r="E277" s="359">
        <f>'Func Future Lines 2015'!E277</f>
        <v>0</v>
      </c>
      <c r="F277" s="359" t="str">
        <f>'Func Future Lines 2015'!F277</f>
        <v>Ft McMurray</v>
      </c>
      <c r="G277" s="359">
        <f>'Func Future Lines 2015'!G277</f>
        <v>0</v>
      </c>
      <c r="H277" s="359" t="str">
        <f>'Func Future Lines 2015'!H277</f>
        <v>Average</v>
      </c>
      <c r="I277" s="359">
        <f>'Func Future Lines 2015'!I277</f>
        <v>2019</v>
      </c>
      <c r="J277" s="361">
        <f>+IF($I277=J$3,VLOOKUP($H277,Depreciation!$A$6:$L$10,7,FALSE)/2,IF($I277&lt;J$3,VLOOKUP($H277,Depreciation!$A$6:$L$10,7,FALSE),0))</f>
        <v>0</v>
      </c>
      <c r="K277" s="361">
        <f>+IF($I277=K$3,VLOOKUP($H277,Depreciation!$A$6:$L$10,8,FALSE)/2,IF($I277&lt;K$3,VLOOKUP($H277,Depreciation!$A$6:$L$10,8,FALSE),0))</f>
        <v>0</v>
      </c>
      <c r="L277" s="361">
        <f>+IF($I277=L$3,VLOOKUP($H277,Depreciation!$A$6:$L$10,9,FALSE)/2,IF($I277&lt;L$3,VLOOKUP($H277,Depreciation!$A$6:$L$10,9,FALSE),0))</f>
        <v>0</v>
      </c>
      <c r="M277" s="361">
        <f>+IF($I277=M$3,VLOOKUP($H277,Depreciation!$A$6:$L$10,10,FALSE)/2,IF($I277&lt;M$3,VLOOKUP($H277,Depreciation!$A$6:$L$10,10,FALSE),0))</f>
        <v>0</v>
      </c>
      <c r="N277" s="361">
        <f>+IF($I277=N$3,VLOOKUP($H277,Depreciation!$A$6:$L$10,11,FALSE)/2,IF($I277&lt;N$3,VLOOKUP($H277,Depreciation!$A$6:$L$10,11,FALSE),0))</f>
        <v>1.3732050514778531E-2</v>
      </c>
      <c r="O277" s="361">
        <f>+IF($I277=O$3,VLOOKUP($H277,Depreciation!$A$6:$L$10,12,FALSE)/2,IF($I277&lt;O$3,VLOOKUP($H277,Depreciation!$A$6:$L$10,12,FALSE),0))</f>
        <v>2.7464101029557063E-2</v>
      </c>
      <c r="P277" s="362">
        <f t="shared" si="14"/>
        <v>0</v>
      </c>
      <c r="Q277" s="362">
        <f t="shared" si="15"/>
        <v>0</v>
      </c>
      <c r="R277" s="363">
        <f t="shared" si="16"/>
        <v>0</v>
      </c>
    </row>
    <row r="278" spans="1:19">
      <c r="F278" s="4"/>
      <c r="G278" s="4"/>
      <c r="H278" s="4"/>
      <c r="I278" s="4"/>
    </row>
    <row r="279" spans="1:19">
      <c r="F279" s="4"/>
      <c r="G279" s="101">
        <f>SUM(G4:G277)</f>
        <v>5884356833.6935625</v>
      </c>
      <c r="H279" s="4"/>
      <c r="I279" s="4"/>
      <c r="P279" s="367">
        <f>SUM(P4:P277)</f>
        <v>4971213505.2419977</v>
      </c>
      <c r="Q279" s="367">
        <f t="shared" ref="Q279:R279" si="17">SUM(Q4:Q277)</f>
        <v>4231111729.1205444</v>
      </c>
      <c r="R279" s="367">
        <f t="shared" si="17"/>
        <v>694856956.45022488</v>
      </c>
    </row>
    <row r="280" spans="1:19">
      <c r="F280" s="4"/>
      <c r="G280" s="101">
        <f>SUMIF(I4:I277,"&lt;=2017",G4:G277)</f>
        <v>5285470807.5390377</v>
      </c>
      <c r="H280" s="4"/>
      <c r="I280" s="4"/>
      <c r="P280" s="367"/>
      <c r="Q280" s="367"/>
      <c r="R280" s="367"/>
    </row>
    <row r="281" spans="1:19">
      <c r="F281" s="4"/>
      <c r="G281" s="4"/>
      <c r="H281" s="4"/>
      <c r="I281" s="4"/>
      <c r="J281" s="4"/>
      <c r="M281" s="594"/>
      <c r="N281" s="594"/>
      <c r="O281" s="594"/>
      <c r="P281" s="594"/>
      <c r="Q281" s="1006"/>
      <c r="R281" s="1006"/>
      <c r="S281" s="594"/>
    </row>
    <row r="282" spans="1:19">
      <c r="F282" s="4"/>
      <c r="G282" s="4"/>
      <c r="H282" s="4"/>
      <c r="I282" s="4"/>
      <c r="J282" s="4"/>
      <c r="M282" s="594"/>
      <c r="N282" s="594"/>
      <c r="O282" s="594"/>
      <c r="P282" s="594"/>
      <c r="Q282" s="594"/>
      <c r="R282" s="594"/>
      <c r="S282" s="594"/>
    </row>
    <row r="283" spans="1:19">
      <c r="F283" s="4"/>
      <c r="G283" s="4"/>
      <c r="H283" s="4"/>
      <c r="I283" s="4"/>
      <c r="J283" s="4"/>
      <c r="M283" s="594"/>
      <c r="N283" s="594"/>
      <c r="O283" s="594"/>
      <c r="P283" s="597"/>
      <c r="Q283" s="594"/>
      <c r="R283" s="594"/>
      <c r="S283" s="594"/>
    </row>
    <row r="284" spans="1:19">
      <c r="F284" s="4"/>
      <c r="G284" s="4"/>
      <c r="H284" s="4"/>
      <c r="I284" s="4"/>
      <c r="J284" s="4"/>
      <c r="M284" s="594"/>
      <c r="N284" s="594"/>
      <c r="O284" s="594"/>
      <c r="P284" s="594"/>
      <c r="Q284" s="594"/>
      <c r="R284" s="594"/>
      <c r="S284" s="594"/>
    </row>
    <row r="285" spans="1:19">
      <c r="F285" s="4"/>
      <c r="G285" s="4"/>
      <c r="H285" s="4"/>
      <c r="I285" s="4"/>
      <c r="J285" s="4"/>
      <c r="M285" s="594"/>
      <c r="N285" s="594"/>
      <c r="O285" s="594"/>
      <c r="P285" s="594"/>
      <c r="Q285" s="594"/>
      <c r="R285" s="594"/>
      <c r="S285" s="594"/>
    </row>
    <row r="286" spans="1:19">
      <c r="F286" s="4"/>
      <c r="G286" s="4"/>
      <c r="H286" s="4"/>
      <c r="I286" s="4"/>
      <c r="J286" s="4"/>
      <c r="M286" s="594"/>
      <c r="N286" s="594"/>
      <c r="O286" s="594"/>
      <c r="P286" s="594"/>
      <c r="Q286" s="594"/>
      <c r="R286" s="594"/>
      <c r="S286" s="594"/>
    </row>
    <row r="287" spans="1:19">
      <c r="F287" s="4"/>
      <c r="G287" s="4"/>
      <c r="H287" s="4"/>
      <c r="I287" s="4"/>
      <c r="J287" s="4"/>
      <c r="M287" s="594"/>
      <c r="N287" s="594"/>
      <c r="O287" s="594"/>
      <c r="P287" s="594"/>
      <c r="Q287" s="597"/>
      <c r="R287" s="597"/>
      <c r="S287" s="594"/>
    </row>
    <row r="288" spans="1:19">
      <c r="F288" s="4"/>
      <c r="G288" s="4"/>
      <c r="H288" s="4"/>
      <c r="I288" s="4"/>
      <c r="J288" s="4"/>
      <c r="M288" s="594"/>
      <c r="N288" s="594"/>
      <c r="O288" s="594"/>
      <c r="P288" s="594"/>
      <c r="Q288" s="594"/>
      <c r="R288" s="594"/>
      <c r="S288" s="594"/>
    </row>
    <row r="289" spans="6:19">
      <c r="F289" s="4"/>
      <c r="G289" s="4"/>
      <c r="H289" s="4"/>
      <c r="I289" s="4"/>
      <c r="J289" s="4"/>
      <c r="M289" s="594"/>
      <c r="N289" s="594"/>
      <c r="O289" s="594"/>
      <c r="P289" s="594"/>
      <c r="Q289" s="594"/>
      <c r="R289" s="594"/>
      <c r="S289" s="594"/>
    </row>
    <row r="290" spans="6:19">
      <c r="F290" s="4"/>
      <c r="G290" s="4"/>
      <c r="H290" s="4"/>
      <c r="I290" s="4"/>
      <c r="J290" s="4"/>
      <c r="M290" s="594"/>
      <c r="N290" s="594"/>
      <c r="O290" s="594"/>
      <c r="P290" s="594"/>
      <c r="Q290" s="594"/>
      <c r="R290" s="594"/>
      <c r="S290" s="594"/>
    </row>
    <row r="291" spans="6:19">
      <c r="F291" s="4"/>
      <c r="G291" s="4"/>
      <c r="H291" s="4"/>
      <c r="I291" s="4"/>
      <c r="J291" s="4"/>
      <c r="M291" s="594"/>
      <c r="N291" s="594"/>
      <c r="O291" s="594"/>
      <c r="P291" s="594"/>
      <c r="Q291" s="594"/>
      <c r="R291" s="594"/>
      <c r="S291" s="594"/>
    </row>
    <row r="292" spans="6:19">
      <c r="F292" s="4"/>
      <c r="G292" s="4"/>
      <c r="H292" s="4"/>
      <c r="I292" s="4"/>
      <c r="J292" s="4"/>
    </row>
    <row r="293" spans="6:19">
      <c r="F293" s="4"/>
      <c r="G293" s="4"/>
      <c r="H293" s="4"/>
      <c r="I293" s="4"/>
      <c r="J293" s="4"/>
    </row>
    <row r="294" spans="6:19">
      <c r="F294" s="4"/>
      <c r="G294" s="4"/>
      <c r="H294" s="4"/>
      <c r="I294" s="4"/>
      <c r="J294" s="4"/>
    </row>
    <row r="295" spans="6:19">
      <c r="F295" s="4"/>
      <c r="G295" s="4"/>
      <c r="H295" s="4"/>
      <c r="I295" s="4"/>
      <c r="J295" s="4"/>
    </row>
    <row r="296" spans="6:19">
      <c r="F296" s="4"/>
      <c r="G296" s="4"/>
      <c r="H296" s="4"/>
      <c r="I296" s="4"/>
      <c r="J296" s="4"/>
    </row>
    <row r="297" spans="6:19">
      <c r="F297" s="4"/>
      <c r="G297" s="4"/>
      <c r="H297" s="4"/>
      <c r="I297" s="4"/>
      <c r="J297" s="4"/>
    </row>
    <row r="298" spans="6:19">
      <c r="F298" s="4"/>
      <c r="G298" s="4"/>
      <c r="H298" s="4"/>
      <c r="I298" s="4"/>
      <c r="J298" s="4"/>
    </row>
    <row r="299" spans="6:19">
      <c r="F299" s="4"/>
      <c r="G299" s="4"/>
      <c r="H299" s="4"/>
      <c r="I299" s="4"/>
      <c r="J299" s="4"/>
    </row>
    <row r="300" spans="6:19">
      <c r="F300" s="4"/>
      <c r="G300" s="4"/>
      <c r="H300" s="4"/>
      <c r="I300" s="4"/>
      <c r="J300" s="4"/>
    </row>
    <row r="301" spans="6:19">
      <c r="F301" s="4"/>
      <c r="G301" s="4"/>
      <c r="H301" s="4"/>
      <c r="I301" s="4"/>
      <c r="J301" s="4"/>
    </row>
    <row r="302" spans="6:19">
      <c r="F302" s="4"/>
      <c r="G302" s="4"/>
      <c r="H302" s="4"/>
      <c r="I302" s="4"/>
      <c r="J302" s="4"/>
    </row>
    <row r="303" spans="6:19">
      <c r="F303" s="4"/>
      <c r="G303" s="4"/>
      <c r="H303" s="4"/>
      <c r="I303" s="4"/>
      <c r="J303" s="4"/>
    </row>
    <row r="304" spans="6:19">
      <c r="F304" s="4"/>
      <c r="G304" s="4"/>
      <c r="H304" s="4"/>
      <c r="I304" s="4"/>
      <c r="J304" s="4"/>
    </row>
    <row r="305" spans="6:10">
      <c r="F305" s="4"/>
      <c r="G305" s="4"/>
      <c r="H305" s="4"/>
      <c r="I305" s="4"/>
      <c r="J305" s="4"/>
    </row>
    <row r="306" spans="6:10">
      <c r="F306" s="4"/>
      <c r="G306" s="4"/>
      <c r="H306" s="4"/>
      <c r="I306" s="4"/>
      <c r="J306" s="4"/>
    </row>
    <row r="307" spans="6:10">
      <c r="F307" s="4"/>
      <c r="G307" s="4"/>
      <c r="H307" s="4"/>
      <c r="I307" s="4"/>
      <c r="J307" s="4"/>
    </row>
    <row r="308" spans="6:10">
      <c r="F308" s="4"/>
      <c r="G308" s="4"/>
      <c r="H308" s="4"/>
      <c r="I308" s="4"/>
      <c r="J308" s="4"/>
    </row>
    <row r="309" spans="6:10">
      <c r="F309" s="4"/>
      <c r="G309" s="4"/>
      <c r="H309" s="4"/>
      <c r="I309" s="4"/>
      <c r="J309" s="4"/>
    </row>
    <row r="310" spans="6:10">
      <c r="F310" s="4"/>
      <c r="G310" s="4"/>
      <c r="H310" s="4"/>
      <c r="I310" s="4"/>
      <c r="J310" s="4"/>
    </row>
    <row r="311" spans="6:10">
      <c r="F311" s="4"/>
      <c r="G311" s="4"/>
      <c r="H311" s="4"/>
      <c r="I311" s="4"/>
      <c r="J311" s="4"/>
    </row>
    <row r="312" spans="6:10">
      <c r="F312" s="4"/>
      <c r="G312" s="4"/>
      <c r="H312" s="4"/>
      <c r="I312" s="4"/>
      <c r="J312" s="4"/>
    </row>
    <row r="313" spans="6:10">
      <c r="F313" s="4"/>
      <c r="G313" s="4"/>
      <c r="H313" s="4"/>
      <c r="I313" s="4"/>
      <c r="J313" s="4"/>
    </row>
    <row r="314" spans="6:10">
      <c r="F314" s="4"/>
      <c r="G314" s="4"/>
      <c r="H314" s="4"/>
      <c r="I314" s="4"/>
      <c r="J314" s="4"/>
    </row>
    <row r="315" spans="6:10">
      <c r="F315" s="4"/>
      <c r="G315" s="4"/>
      <c r="H315" s="4"/>
      <c r="I315" s="4"/>
      <c r="J315" s="4"/>
    </row>
    <row r="316" spans="6:10">
      <c r="F316" s="4"/>
      <c r="G316" s="4"/>
      <c r="H316" s="4"/>
      <c r="I316" s="4"/>
      <c r="J316" s="4"/>
    </row>
    <row r="317" spans="6:10">
      <c r="F317" s="4"/>
      <c r="G317" s="4"/>
      <c r="H317" s="4"/>
      <c r="I317" s="4"/>
      <c r="J317" s="4"/>
    </row>
    <row r="318" spans="6:10">
      <c r="F318" s="4"/>
      <c r="G318" s="4"/>
      <c r="H318" s="4"/>
      <c r="I318" s="4"/>
      <c r="J318" s="4"/>
    </row>
    <row r="319" spans="6:10">
      <c r="F319" s="4"/>
      <c r="G319" s="4"/>
      <c r="H319" s="4"/>
      <c r="I319" s="4"/>
      <c r="J319" s="4"/>
    </row>
    <row r="320" spans="6:10">
      <c r="F320" s="4"/>
      <c r="G320" s="4"/>
      <c r="H320" s="4"/>
      <c r="I320" s="4"/>
      <c r="J320" s="4"/>
    </row>
    <row r="321" spans="6:10">
      <c r="F321" s="4"/>
      <c r="G321" s="4"/>
      <c r="H321" s="4"/>
      <c r="I321" s="4"/>
      <c r="J321" s="4"/>
    </row>
    <row r="322" spans="6:10">
      <c r="F322" s="4"/>
      <c r="G322" s="4"/>
      <c r="H322" s="4"/>
      <c r="I322" s="4"/>
      <c r="J322" s="4"/>
    </row>
    <row r="323" spans="6:10">
      <c r="F323" s="4"/>
      <c r="G323" s="4"/>
      <c r="H323" s="4"/>
      <c r="I323" s="4"/>
      <c r="J323" s="4"/>
    </row>
    <row r="324" spans="6:10">
      <c r="F324" s="4"/>
      <c r="G324" s="4"/>
      <c r="H324" s="4"/>
      <c r="I324" s="4"/>
      <c r="J324" s="4"/>
    </row>
    <row r="325" spans="6:10">
      <c r="F325" s="4"/>
      <c r="G325" s="4"/>
      <c r="H325" s="4"/>
      <c r="I325" s="4"/>
      <c r="J325" s="4"/>
    </row>
    <row r="326" spans="6:10">
      <c r="F326" s="4"/>
      <c r="G326" s="4"/>
      <c r="H326" s="4"/>
      <c r="I326" s="4"/>
      <c r="J326" s="4"/>
    </row>
    <row r="327" spans="6:10">
      <c r="F327" s="4"/>
      <c r="G327" s="4"/>
      <c r="H327" s="4"/>
      <c r="I327" s="4"/>
      <c r="J327" s="4"/>
    </row>
    <row r="328" spans="6:10">
      <c r="F328" s="4"/>
      <c r="G328" s="4"/>
      <c r="H328" s="4"/>
      <c r="I328" s="4"/>
      <c r="J328" s="4"/>
    </row>
    <row r="329" spans="6:10">
      <c r="F329" s="4"/>
      <c r="G329" s="4"/>
      <c r="H329" s="4"/>
      <c r="I329" s="4"/>
      <c r="J329" s="4"/>
    </row>
    <row r="330" spans="6:10">
      <c r="F330" s="4"/>
      <c r="G330" s="4"/>
      <c r="H330" s="4"/>
      <c r="I330" s="4"/>
      <c r="J330" s="4"/>
    </row>
    <row r="331" spans="6:10">
      <c r="F331" s="4"/>
      <c r="G331" s="4"/>
      <c r="H331" s="4"/>
      <c r="I331" s="4"/>
      <c r="J331" s="4"/>
    </row>
    <row r="332" spans="6:10">
      <c r="F332" s="4"/>
      <c r="G332" s="4"/>
      <c r="H332" s="4"/>
      <c r="I332" s="4"/>
      <c r="J332" s="4"/>
    </row>
    <row r="333" spans="6:10">
      <c r="F333" s="4"/>
      <c r="G333" s="4"/>
      <c r="H333" s="4"/>
      <c r="I333" s="4"/>
      <c r="J333" s="4"/>
    </row>
    <row r="334" spans="6:10">
      <c r="F334" s="4"/>
      <c r="G334" s="4"/>
      <c r="H334" s="4"/>
      <c r="I334" s="4"/>
      <c r="J334" s="4"/>
    </row>
    <row r="335" spans="6:10">
      <c r="F335" s="4"/>
      <c r="G335" s="4"/>
      <c r="H335" s="4"/>
      <c r="I335" s="4"/>
      <c r="J335" s="4"/>
    </row>
    <row r="336" spans="6:10">
      <c r="F336" s="4"/>
      <c r="G336" s="4"/>
      <c r="H336" s="4"/>
      <c r="I336" s="4"/>
      <c r="J336" s="4"/>
    </row>
    <row r="337" spans="6:10">
      <c r="F337" s="4"/>
      <c r="G337" s="4"/>
      <c r="H337" s="4"/>
      <c r="I337" s="4"/>
      <c r="J337" s="4"/>
    </row>
    <row r="338" spans="6:10">
      <c r="F338" s="4"/>
      <c r="G338" s="4"/>
      <c r="H338" s="4"/>
      <c r="I338" s="4"/>
      <c r="J338" s="4"/>
    </row>
    <row r="339" spans="6:10">
      <c r="F339" s="4"/>
      <c r="G339" s="4"/>
      <c r="H339" s="4"/>
      <c r="I339" s="4"/>
      <c r="J339" s="4"/>
    </row>
    <row r="340" spans="6:10">
      <c r="F340" s="4"/>
      <c r="G340" s="4"/>
      <c r="H340" s="4"/>
      <c r="I340" s="4"/>
      <c r="J340" s="4"/>
    </row>
    <row r="341" spans="6:10">
      <c r="F341" s="4"/>
      <c r="G341" s="4"/>
      <c r="H341" s="4"/>
      <c r="I341" s="4"/>
      <c r="J341" s="4"/>
    </row>
    <row r="342" spans="6:10">
      <c r="J342" s="4"/>
    </row>
    <row r="343" spans="6:10">
      <c r="J343" s="4"/>
    </row>
    <row r="344" spans="6:10">
      <c r="J344" s="4"/>
    </row>
    <row r="345" spans="6:10">
      <c r="J345" s="4"/>
    </row>
    <row r="346" spans="6:10">
      <c r="J346" s="4"/>
    </row>
    <row r="347" spans="6:10">
      <c r="J347" s="4"/>
    </row>
    <row r="348" spans="6:10">
      <c r="J348" s="4"/>
    </row>
    <row r="349" spans="6:10">
      <c r="J349" s="4"/>
    </row>
    <row r="350" spans="6:10">
      <c r="J350" s="4"/>
    </row>
    <row r="351" spans="6:10">
      <c r="J351" s="4"/>
    </row>
    <row r="352" spans="6:10">
      <c r="J352" s="4"/>
    </row>
    <row r="353" spans="10:10">
      <c r="J353" s="4"/>
    </row>
    <row r="354" spans="10:10">
      <c r="J354" s="4"/>
    </row>
    <row r="355" spans="10:10">
      <c r="J355" s="4"/>
    </row>
    <row r="356" spans="10:10">
      <c r="J356" s="4"/>
    </row>
    <row r="357" spans="10:10">
      <c r="J357" s="4"/>
    </row>
    <row r="358" spans="10:10">
      <c r="J358" s="4"/>
    </row>
    <row r="359" spans="10:10">
      <c r="J359" s="4"/>
    </row>
    <row r="360" spans="10:10">
      <c r="J360" s="4"/>
    </row>
    <row r="361" spans="10:10">
      <c r="J361" s="4"/>
    </row>
    <row r="362" spans="10:10">
      <c r="J362" s="4"/>
    </row>
    <row r="363" spans="10:10">
      <c r="J363" s="4"/>
    </row>
    <row r="364" spans="10:10">
      <c r="J364" s="4"/>
    </row>
    <row r="365" spans="10:10">
      <c r="J365" s="4"/>
    </row>
    <row r="366" spans="10:10">
      <c r="J366" s="4"/>
    </row>
    <row r="367" spans="10:10">
      <c r="J367" s="4"/>
    </row>
    <row r="368" spans="10:10">
      <c r="J368" s="4"/>
    </row>
    <row r="369" spans="10:10">
      <c r="J369" s="4"/>
    </row>
    <row r="370" spans="10:10">
      <c r="J370" s="4"/>
    </row>
    <row r="371" spans="10:10">
      <c r="J371" s="4"/>
    </row>
    <row r="372" spans="10:10">
      <c r="J372" s="4"/>
    </row>
    <row r="373" spans="10:10">
      <c r="J373" s="4"/>
    </row>
    <row r="374" spans="10:10">
      <c r="J374" s="4"/>
    </row>
    <row r="375" spans="10:10">
      <c r="J375" s="4"/>
    </row>
    <row r="376" spans="10:10">
      <c r="J376" s="4"/>
    </row>
    <row r="377" spans="10:10">
      <c r="J377" s="4"/>
    </row>
    <row r="378" spans="10:10">
      <c r="J378" s="4"/>
    </row>
    <row r="379" spans="10:10">
      <c r="J379" s="4"/>
    </row>
    <row r="380" spans="10:10">
      <c r="J380" s="4"/>
    </row>
    <row r="381" spans="10:10">
      <c r="J381" s="4"/>
    </row>
    <row r="382" spans="10:10">
      <c r="J382" s="4"/>
    </row>
    <row r="383" spans="10:10">
      <c r="J383" s="4"/>
    </row>
    <row r="384" spans="10:10">
      <c r="J384" s="4"/>
    </row>
    <row r="385" spans="10:10">
      <c r="J385" s="4"/>
    </row>
    <row r="386" spans="10:10">
      <c r="J386" s="4"/>
    </row>
    <row r="387" spans="10:10">
      <c r="J387" s="4"/>
    </row>
  </sheetData>
  <mergeCells count="5">
    <mergeCell ref="Q281:R281"/>
    <mergeCell ref="A1:I1"/>
    <mergeCell ref="K1:O1"/>
    <mergeCell ref="Q1:R1"/>
    <mergeCell ref="U1:W1"/>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sheetPr>
  <dimension ref="A1:L24"/>
  <sheetViews>
    <sheetView showGridLines="0" workbookViewId="0">
      <selection activeCell="E25" sqref="E25"/>
    </sheetView>
  </sheetViews>
  <sheetFormatPr defaultColWidth="9.109375" defaultRowHeight="13.8"/>
  <cols>
    <col min="1" max="1" width="26" style="4" customWidth="1"/>
    <col min="2" max="4" width="6" style="4" hidden="1" customWidth="1"/>
    <col min="5" max="8" width="7.109375" style="4" customWidth="1"/>
    <col min="9" max="16384" width="9.109375" style="4"/>
  </cols>
  <sheetData>
    <row r="1" spans="1:12">
      <c r="A1" s="776" t="s">
        <v>3139</v>
      </c>
    </row>
    <row r="2" spans="1:12">
      <c r="A2" s="4" t="s">
        <v>2059</v>
      </c>
    </row>
    <row r="4" spans="1:12">
      <c r="A4" s="501" t="s">
        <v>11</v>
      </c>
      <c r="B4" s="91"/>
      <c r="C4" s="91"/>
      <c r="D4" s="91"/>
      <c r="E4" s="91"/>
      <c r="F4" s="91"/>
      <c r="G4" s="91"/>
      <c r="H4" s="91"/>
    </row>
    <row r="5" spans="1:12">
      <c r="A5" s="427"/>
      <c r="B5" s="502"/>
      <c r="C5" s="503"/>
      <c r="D5" s="503"/>
      <c r="E5" s="503">
        <v>2013</v>
      </c>
      <c r="F5" s="503">
        <v>2014</v>
      </c>
      <c r="G5" s="503">
        <v>2015</v>
      </c>
      <c r="H5" s="503">
        <v>2016</v>
      </c>
      <c r="I5" s="503">
        <v>2017</v>
      </c>
      <c r="J5" s="503">
        <v>2018</v>
      </c>
      <c r="K5" s="503">
        <v>2019</v>
      </c>
      <c r="L5" s="503">
        <v>2020</v>
      </c>
    </row>
    <row r="6" spans="1:12">
      <c r="A6" s="169" t="s">
        <v>144</v>
      </c>
      <c r="B6" s="169" t="s">
        <v>140</v>
      </c>
      <c r="C6" s="504"/>
      <c r="D6" s="504"/>
      <c r="E6" s="505">
        <v>2.7085914795436161E-2</v>
      </c>
      <c r="F6" s="505">
        <v>2.8395444970673495E-2</v>
      </c>
      <c r="G6" s="506">
        <v>3.190041608089382E-2</v>
      </c>
      <c r="H6" s="506">
        <v>3.0676363676126896E-2</v>
      </c>
      <c r="I6" s="506">
        <f t="shared" ref="I6:L9" si="0">+H6</f>
        <v>3.0676363676126896E-2</v>
      </c>
      <c r="J6" s="506">
        <f t="shared" si="0"/>
        <v>3.0676363676126896E-2</v>
      </c>
      <c r="K6" s="506">
        <f t="shared" si="0"/>
        <v>3.0676363676126896E-2</v>
      </c>
      <c r="L6" s="506">
        <f>+K6</f>
        <v>3.0676363676126896E-2</v>
      </c>
    </row>
    <row r="7" spans="1:12">
      <c r="A7" s="169" t="s">
        <v>38</v>
      </c>
      <c r="B7" s="169" t="s">
        <v>139</v>
      </c>
      <c r="C7" s="506"/>
      <c r="D7" s="506"/>
      <c r="E7" s="505">
        <v>2.9006002285949673E-2</v>
      </c>
      <c r="F7" s="505">
        <v>2.9494326565110827E-2</v>
      </c>
      <c r="G7" s="506">
        <v>2.3061961303905882E-2</v>
      </c>
      <c r="H7" s="506">
        <v>2.3062337210051284E-2</v>
      </c>
      <c r="I7" s="506">
        <v>2.3063912319658014E-2</v>
      </c>
      <c r="J7" s="506">
        <f t="shared" si="0"/>
        <v>2.3063912319658014E-2</v>
      </c>
      <c r="K7" s="506">
        <f t="shared" si="0"/>
        <v>2.3063912319658014E-2</v>
      </c>
      <c r="L7" s="506">
        <f t="shared" si="0"/>
        <v>2.3063912319658014E-2</v>
      </c>
    </row>
    <row r="8" spans="1:12">
      <c r="A8" s="169" t="s">
        <v>64</v>
      </c>
      <c r="B8" s="169" t="s">
        <v>68</v>
      </c>
      <c r="C8" s="506"/>
      <c r="D8" s="506"/>
      <c r="E8" s="505">
        <v>2.012202977969595E-2</v>
      </c>
      <c r="F8" s="505">
        <v>1.8303750157664202E-2</v>
      </c>
      <c r="G8" s="506">
        <v>2.6950358168051049E-2</v>
      </c>
      <c r="H8" s="506">
        <f t="shared" ref="H8" si="1">+G8</f>
        <v>2.6950358168051049E-2</v>
      </c>
      <c r="I8" s="506">
        <f t="shared" si="0"/>
        <v>2.6950358168051049E-2</v>
      </c>
      <c r="J8" s="506">
        <f t="shared" si="0"/>
        <v>2.6950358168051049E-2</v>
      </c>
      <c r="K8" s="506">
        <f t="shared" si="0"/>
        <v>2.6950358168051049E-2</v>
      </c>
      <c r="L8" s="506">
        <f t="shared" si="0"/>
        <v>2.6950358168051049E-2</v>
      </c>
    </row>
    <row r="9" spans="1:12">
      <c r="A9" s="169" t="s">
        <v>66</v>
      </c>
      <c r="B9" s="169" t="s">
        <v>69</v>
      </c>
      <c r="C9" s="506"/>
      <c r="D9" s="506"/>
      <c r="E9" s="505">
        <v>3.0519999999999999E-2</v>
      </c>
      <c r="F9" s="505">
        <v>3.0519999999999999E-2</v>
      </c>
      <c r="G9" s="506">
        <v>2.4782057181830301E-2</v>
      </c>
      <c r="H9" s="506">
        <v>2.3943859731006666E-2</v>
      </c>
      <c r="I9" s="506">
        <v>2.4002037926855919E-2</v>
      </c>
      <c r="J9" s="506">
        <f t="shared" si="0"/>
        <v>2.4002037926855919E-2</v>
      </c>
      <c r="K9" s="506">
        <f t="shared" si="0"/>
        <v>2.4002037926855919E-2</v>
      </c>
      <c r="L9" s="506">
        <f t="shared" si="0"/>
        <v>2.4002037926855919E-2</v>
      </c>
    </row>
    <row r="10" spans="1:12">
      <c r="A10" s="726" t="s">
        <v>12</v>
      </c>
      <c r="B10" s="726" t="s">
        <v>143</v>
      </c>
      <c r="C10" s="727"/>
      <c r="D10" s="727"/>
      <c r="E10" s="727">
        <f>+E7</f>
        <v>2.9006002285949673E-2</v>
      </c>
      <c r="F10" s="727">
        <f>+F7</f>
        <v>2.9494326565110827E-2</v>
      </c>
      <c r="G10" s="728">
        <f>(G6*'Existing Asset Chart'!$B$4+Depreciation!G9*'Existing Asset Chart'!$B$6)/('Existing Asset Chart'!$B$4+'Existing Asset Chart'!$B$6)</f>
        <v>2.8474446289287934E-2</v>
      </c>
      <c r="H10" s="728">
        <f>(H6*'Existing Asset Chart'!$B$4+Depreciation!H9*'Existing Asset Chart'!$B$6)/('Existing Asset Chart'!$B$4+'Existing Asset Chart'!$B$6)</f>
        <v>2.7436100651332822E-2</v>
      </c>
      <c r="I10" s="728">
        <f>(I6*'Existing Asset Chart'!$B$4+Depreciation!I9*'Existing Asset Chart'!$B$6)/('Existing Asset Chart'!$B$4+'Existing Asset Chart'!$B$6)</f>
        <v>2.7464101029557063E-2</v>
      </c>
      <c r="J10" s="728">
        <f>(J6*'Existing Asset Chart'!$B$4+Depreciation!J9*'Existing Asset Chart'!$B$6)/('Existing Asset Chart'!$B$4+'Existing Asset Chart'!$B$6)</f>
        <v>2.7464101029557063E-2</v>
      </c>
      <c r="K10" s="728">
        <f>(K6*'Existing Asset Chart'!$B$4+Depreciation!K9*'Existing Asset Chart'!$B$6)/('Existing Asset Chart'!$B$4+'Existing Asset Chart'!$B$6)</f>
        <v>2.7464101029557063E-2</v>
      </c>
      <c r="L10" s="728">
        <f>(L6*'Existing Asset Chart'!$B$4+Depreciation!L9*'Existing Asset Chart'!$B$6)/('Existing Asset Chart'!$B$4+'Existing Asset Chart'!$B$6)</f>
        <v>2.7464101029557063E-2</v>
      </c>
    </row>
    <row r="11" spans="1:12">
      <c r="A11" s="91"/>
      <c r="B11" s="91"/>
      <c r="C11" s="91"/>
      <c r="D11" s="91"/>
      <c r="E11" s="91"/>
      <c r="F11" s="91"/>
      <c r="G11" s="91"/>
      <c r="H11" s="91"/>
      <c r="I11" s="91"/>
      <c r="J11" s="91"/>
      <c r="K11" s="91"/>
      <c r="L11" s="91"/>
    </row>
    <row r="12" spans="1:12">
      <c r="A12" s="501" t="s">
        <v>23</v>
      </c>
      <c r="B12" s="91"/>
      <c r="C12" s="91"/>
      <c r="D12" s="91"/>
      <c r="E12" s="91"/>
      <c r="F12" s="91"/>
      <c r="G12" s="91"/>
      <c r="H12" s="91"/>
      <c r="I12" s="91"/>
      <c r="J12" s="91"/>
      <c r="K12" s="91"/>
      <c r="L12" s="91"/>
    </row>
    <row r="13" spans="1:12">
      <c r="A13" s="502"/>
      <c r="B13" s="502"/>
      <c r="C13" s="503"/>
      <c r="D13" s="503"/>
      <c r="E13" s="503">
        <v>2013</v>
      </c>
      <c r="F13" s="503">
        <v>2014</v>
      </c>
      <c r="G13" s="503">
        <v>2015</v>
      </c>
      <c r="H13" s="503">
        <v>2016</v>
      </c>
      <c r="I13" s="503">
        <v>2017</v>
      </c>
      <c r="J13" s="503">
        <v>2018</v>
      </c>
      <c r="K13" s="503">
        <v>2019</v>
      </c>
      <c r="L13" s="503">
        <v>2020</v>
      </c>
    </row>
    <row r="14" spans="1:12">
      <c r="A14" s="169" t="s">
        <v>144</v>
      </c>
      <c r="B14" s="169" t="s">
        <v>140</v>
      </c>
      <c r="C14" s="504"/>
      <c r="D14" s="504"/>
      <c r="E14" s="505">
        <v>3.4669999999999999E-2</v>
      </c>
      <c r="F14" s="505">
        <v>3.5630000000000002E-2</v>
      </c>
      <c r="G14" s="506">
        <v>3.4456760644883469E-2</v>
      </c>
      <c r="H14" s="506">
        <v>3.343407856743718E-2</v>
      </c>
      <c r="I14" s="506">
        <f t="shared" ref="I14:L17" si="2">+H14</f>
        <v>3.343407856743718E-2</v>
      </c>
      <c r="J14" s="506">
        <f t="shared" si="2"/>
        <v>3.343407856743718E-2</v>
      </c>
      <c r="K14" s="506">
        <f t="shared" si="2"/>
        <v>3.343407856743718E-2</v>
      </c>
      <c r="L14" s="506">
        <f>+K14</f>
        <v>3.343407856743718E-2</v>
      </c>
    </row>
    <row r="15" spans="1:12">
      <c r="A15" s="169" t="s">
        <v>145</v>
      </c>
      <c r="B15" s="169" t="s">
        <v>139</v>
      </c>
      <c r="C15" s="506"/>
      <c r="D15" s="506"/>
      <c r="E15" s="505">
        <v>2.9499999999999998E-2</v>
      </c>
      <c r="F15" s="505">
        <v>2.9000000000000001E-2</v>
      </c>
      <c r="G15" s="506">
        <v>4.1215027244797309E-2</v>
      </c>
      <c r="H15" s="506">
        <v>4.1600055599844914E-2</v>
      </c>
      <c r="I15" s="506">
        <v>4.1145263498658789E-2</v>
      </c>
      <c r="J15" s="506">
        <f t="shared" si="2"/>
        <v>4.1145263498658789E-2</v>
      </c>
      <c r="K15" s="506">
        <f t="shared" si="2"/>
        <v>4.1145263498658789E-2</v>
      </c>
      <c r="L15" s="506">
        <f t="shared" si="2"/>
        <v>4.1145263498658789E-2</v>
      </c>
    </row>
    <row r="16" spans="1:12">
      <c r="A16" s="169" t="s">
        <v>64</v>
      </c>
      <c r="B16" s="169" t="s">
        <v>68</v>
      </c>
      <c r="C16" s="506"/>
      <c r="D16" s="506"/>
      <c r="E16" s="505">
        <v>2.6599999999999999E-2</v>
      </c>
      <c r="F16" s="505">
        <v>2.64E-2</v>
      </c>
      <c r="G16" s="506">
        <v>2.7856818539452578E-2</v>
      </c>
      <c r="H16" s="506">
        <f t="shared" ref="H16" si="3">+G16</f>
        <v>2.7856818539452578E-2</v>
      </c>
      <c r="I16" s="506">
        <f t="shared" si="2"/>
        <v>2.7856818539452578E-2</v>
      </c>
      <c r="J16" s="506">
        <f t="shared" si="2"/>
        <v>2.7856818539452578E-2</v>
      </c>
      <c r="K16" s="506">
        <f t="shared" si="2"/>
        <v>2.7856818539452578E-2</v>
      </c>
      <c r="L16" s="506">
        <f t="shared" si="2"/>
        <v>2.7856818539452578E-2</v>
      </c>
    </row>
    <row r="17" spans="1:12">
      <c r="A17" s="169" t="s">
        <v>66</v>
      </c>
      <c r="B17" s="169" t="s">
        <v>69</v>
      </c>
      <c r="C17" s="506"/>
      <c r="D17" s="506"/>
      <c r="E17" s="505">
        <v>2.2460000000000001E-2</v>
      </c>
      <c r="F17" s="505">
        <v>2.3E-2</v>
      </c>
      <c r="G17" s="506">
        <v>2.4434073671338239E-2</v>
      </c>
      <c r="H17" s="506">
        <v>2.4632450501084719E-2</v>
      </c>
      <c r="I17" s="506">
        <v>2.4351536427798831E-2</v>
      </c>
      <c r="J17" s="506">
        <f t="shared" si="2"/>
        <v>2.4351536427798831E-2</v>
      </c>
      <c r="K17" s="506">
        <f t="shared" si="2"/>
        <v>2.4351536427798831E-2</v>
      </c>
      <c r="L17" s="506">
        <f t="shared" si="2"/>
        <v>2.4351536427798831E-2</v>
      </c>
    </row>
    <row r="18" spans="1:12">
      <c r="A18" s="726" t="s">
        <v>12</v>
      </c>
      <c r="B18" s="726" t="s">
        <v>143</v>
      </c>
      <c r="C18" s="727"/>
      <c r="D18" s="727"/>
      <c r="E18" s="727">
        <f>+E15</f>
        <v>2.9499999999999998E-2</v>
      </c>
      <c r="F18" s="727">
        <f t="shared" ref="F18" si="4">+F15</f>
        <v>2.9000000000000001E-2</v>
      </c>
      <c r="G18" s="727">
        <f>(G14*'Existing Asset Chart'!$B$5+Depreciation!G17*'Existing Asset Chart'!$B$7)/('Existing Asset Chart'!$B$5+'Existing Asset Chart'!$B$7)</f>
        <v>3.0144965717757363E-2</v>
      </c>
      <c r="H18" s="727">
        <f>(H14*'Existing Asset Chart'!$B$5+Depreciation!H17*'Existing Asset Chart'!$B$7)/('Existing Asset Chart'!$B$5+'Existing Asset Chart'!$B$7)</f>
        <v>2.9647587445134342E-2</v>
      </c>
      <c r="I18" s="727">
        <f>(I14*'Existing Asset Chart'!$B$5+Depreciation!I17*'Existing Asset Chart'!$B$7)/('Existing Asset Chart'!$B$5+'Existing Asset Chart'!$B$7)</f>
        <v>2.9526737230082277E-2</v>
      </c>
      <c r="J18" s="727">
        <f>(J14*'Existing Asset Chart'!$B$5+Depreciation!J17*'Existing Asset Chart'!$B$7)/('Existing Asset Chart'!$B$5+'Existing Asset Chart'!$B$7)</f>
        <v>2.9526737230082277E-2</v>
      </c>
      <c r="K18" s="727">
        <f>(K14*'Existing Asset Chart'!$B$5+Depreciation!K17*'Existing Asset Chart'!$B$7)/('Existing Asset Chart'!$B$5+'Existing Asset Chart'!$B$7)</f>
        <v>2.9526737230082277E-2</v>
      </c>
      <c r="L18" s="727">
        <f>(L14*'Existing Asset Chart'!$B$5+Depreciation!L17*'Existing Asset Chart'!$B$7)/('Existing Asset Chart'!$B$5+'Existing Asset Chart'!$B$7)</f>
        <v>2.9526737230082277E-2</v>
      </c>
    </row>
    <row r="21" spans="1:12">
      <c r="A21" s="4" t="s">
        <v>2015</v>
      </c>
    </row>
    <row r="22" spans="1:12">
      <c r="A22" s="4" t="s">
        <v>2016</v>
      </c>
      <c r="E22" s="212">
        <f>(1-E23)</f>
        <v>0.20999999999999996</v>
      </c>
    </row>
    <row r="23" spans="1:12">
      <c r="A23" s="4" t="s">
        <v>46</v>
      </c>
      <c r="E23" s="769">
        <v>0.79</v>
      </c>
    </row>
    <row r="24" spans="1:12">
      <c r="A24" s="777" t="s">
        <v>2017</v>
      </c>
      <c r="B24" s="777"/>
      <c r="C24" s="777"/>
      <c r="D24" s="777"/>
      <c r="E24" s="777"/>
      <c r="F24" s="777"/>
      <c r="G24" s="729">
        <f>($E$23*G18+$E$22*G10)</f>
        <v>2.9794156637778783E-2</v>
      </c>
      <c r="H24" s="729">
        <f t="shared" ref="H24:L24" si="5">($E$23*H18+$E$22*H10)</f>
        <v>2.9183175218436021E-2</v>
      </c>
      <c r="I24" s="729">
        <f t="shared" si="5"/>
        <v>2.9093583627971979E-2</v>
      </c>
      <c r="J24" s="729">
        <f t="shared" si="5"/>
        <v>2.9093583627971979E-2</v>
      </c>
      <c r="K24" s="729">
        <f t="shared" si="5"/>
        <v>2.9093583627971979E-2</v>
      </c>
      <c r="L24" s="729">
        <f t="shared" si="5"/>
        <v>2.9093583627971979E-2</v>
      </c>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Y387"/>
  <sheetViews>
    <sheetView showGridLines="0" zoomScale="80" zoomScaleNormal="80" workbookViewId="0">
      <pane ySplit="3" topLeftCell="A4" activePane="bottomLeft" state="frozen"/>
      <selection activeCell="F18" sqref="F18"/>
      <selection pane="bottomLeft" activeCell="R279" sqref="A1:R279"/>
    </sheetView>
  </sheetViews>
  <sheetFormatPr defaultColWidth="9.109375" defaultRowHeight="13.8"/>
  <cols>
    <col min="1" max="1" width="12.109375" style="366" customWidth="1"/>
    <col min="2" max="2" width="101.6640625" style="366" customWidth="1"/>
    <col min="3" max="3" width="62.109375" style="366" bestFit="1" customWidth="1"/>
    <col min="4" max="4" width="7.44140625" style="366" bestFit="1" customWidth="1"/>
    <col min="5" max="5" width="9.44140625" style="366" bestFit="1" customWidth="1"/>
    <col min="6" max="6" width="43.88671875" style="366" bestFit="1" customWidth="1"/>
    <col min="7" max="7" width="32.6640625" style="366" customWidth="1"/>
    <col min="8" max="14" width="23.33203125" style="366" customWidth="1"/>
    <col min="15" max="15" width="23.44140625" style="366" bestFit="1" customWidth="1"/>
    <col min="16" max="16" width="23.44140625" style="366" customWidth="1"/>
    <col min="17" max="17" width="19.88671875" style="286" bestFit="1" customWidth="1"/>
    <col min="18" max="18" width="30" style="368" bestFit="1" customWidth="1"/>
    <col min="19" max="19" width="9.109375" style="286"/>
    <col min="20" max="20" width="0" style="286" hidden="1" customWidth="1"/>
    <col min="21" max="21" width="27.44140625" style="286" bestFit="1" customWidth="1"/>
    <col min="22" max="22" width="18.33203125" style="286" bestFit="1" customWidth="1"/>
    <col min="23" max="23" width="17.6640625" style="286" bestFit="1" customWidth="1"/>
    <col min="24" max="24" width="9.109375" style="286"/>
    <col min="25" max="25" width="10" style="286" bestFit="1" customWidth="1"/>
    <col min="26" max="16384" width="9.109375" style="286"/>
  </cols>
  <sheetData>
    <row r="1" spans="1:25" ht="14.4" thickBot="1">
      <c r="A1" s="1007" t="s">
        <v>2066</v>
      </c>
      <c r="B1" s="1008"/>
      <c r="C1" s="1008"/>
      <c r="D1" s="1008"/>
      <c r="E1" s="1008"/>
      <c r="F1" s="1008"/>
      <c r="G1" s="1008"/>
      <c r="H1" s="1008"/>
      <c r="I1" s="1008"/>
      <c r="J1" s="340"/>
      <c r="K1" s="1009" t="s">
        <v>51</v>
      </c>
      <c r="L1" s="1010"/>
      <c r="M1" s="1010"/>
      <c r="N1" s="1010"/>
      <c r="O1" s="1011"/>
      <c r="P1" s="783"/>
      <c r="Q1" s="1012" t="s">
        <v>119</v>
      </c>
      <c r="R1" s="1013"/>
      <c r="U1" s="986" t="s">
        <v>2069</v>
      </c>
      <c r="V1" s="986"/>
      <c r="W1" s="986"/>
    </row>
    <row r="2" spans="1:25">
      <c r="A2" s="341" t="s">
        <v>3799</v>
      </c>
      <c r="B2" s="342"/>
      <c r="C2" s="342"/>
      <c r="D2" s="342"/>
      <c r="E2" s="342"/>
      <c r="F2" s="342"/>
      <c r="G2" s="342"/>
      <c r="H2" s="343"/>
      <c r="I2" s="343"/>
      <c r="J2" s="344"/>
      <c r="K2" s="345"/>
      <c r="L2" s="344"/>
      <c r="M2" s="344"/>
      <c r="N2" s="344"/>
      <c r="O2" s="346"/>
      <c r="P2" s="344"/>
      <c r="Q2" s="347"/>
      <c r="R2" s="348"/>
      <c r="U2" s="349"/>
      <c r="V2" s="349"/>
      <c r="W2" s="349"/>
    </row>
    <row r="3" spans="1:25" ht="27.6">
      <c r="A3" s="350" t="s">
        <v>120</v>
      </c>
      <c r="B3" s="351" t="s">
        <v>121</v>
      </c>
      <c r="C3" s="351" t="s">
        <v>1205</v>
      </c>
      <c r="D3" s="351" t="s">
        <v>122</v>
      </c>
      <c r="E3" s="351" t="s">
        <v>123</v>
      </c>
      <c r="F3" s="351" t="s">
        <v>1216</v>
      </c>
      <c r="G3" s="352" t="s">
        <v>149</v>
      </c>
      <c r="H3" s="352" t="s">
        <v>148</v>
      </c>
      <c r="I3" s="353" t="s">
        <v>150</v>
      </c>
      <c r="J3" s="354">
        <v>2015</v>
      </c>
      <c r="K3" s="355">
        <v>2016</v>
      </c>
      <c r="L3" s="355">
        <v>2017</v>
      </c>
      <c r="M3" s="355">
        <v>2018</v>
      </c>
      <c r="N3" s="355">
        <v>2019</v>
      </c>
      <c r="O3" s="355">
        <v>2020</v>
      </c>
      <c r="P3" s="355" t="s">
        <v>1499</v>
      </c>
      <c r="Q3" s="356" t="s">
        <v>124</v>
      </c>
      <c r="R3" s="357" t="s">
        <v>125</v>
      </c>
      <c r="U3" s="358" t="s">
        <v>2093</v>
      </c>
      <c r="V3" s="358" t="s">
        <v>49</v>
      </c>
      <c r="W3" s="358" t="s">
        <v>74</v>
      </c>
    </row>
    <row r="4" spans="1:25" ht="15" customHeight="1">
      <c r="A4" s="359" t="str">
        <f>'Func Future Lines 2015'!A4</f>
        <v>PPS</v>
      </c>
      <c r="B4" s="359" t="str">
        <f>'Func Future Lines 2015'!B4</f>
        <v>978L_(v1)</v>
      </c>
      <c r="C4" s="359">
        <f>'Func Future Lines 2015'!C4</f>
        <v>479</v>
      </c>
      <c r="D4" s="359">
        <f>'Func Future Lines 2015'!D4</f>
        <v>240</v>
      </c>
      <c r="E4" s="359">
        <f>'Func Future Lines 2015'!E4</f>
        <v>0</v>
      </c>
      <c r="F4" s="359">
        <f>'Func Future Lines 2015'!F4</f>
        <v>0</v>
      </c>
      <c r="G4" s="359">
        <f>'Func Future Lines 2015'!G4</f>
        <v>43593801.111914299</v>
      </c>
      <c r="H4" s="359" t="str">
        <f>'Func Future Lines 2015'!H4</f>
        <v>AltaLink</v>
      </c>
      <c r="I4" s="359">
        <f>'Func Future Lines 2015'!I4</f>
        <v>2019</v>
      </c>
      <c r="J4" s="361">
        <f>+IF($I4=J$3,VLOOKUP($H4,Depreciation!$A$6:$L$10,7,FALSE)/2,IF($I4&lt;J$3,VLOOKUP($H4,Depreciation!$A$6:$L$10,7,FALSE),0))</f>
        <v>0</v>
      </c>
      <c r="K4" s="361">
        <f>+IF($I4=K$3,VLOOKUP($H4,Depreciation!$A$6:$L$10,8,FALSE)/2,IF($I4&lt;K$3,VLOOKUP($H4,Depreciation!$A$6:$L$10,8,FALSE),0))</f>
        <v>0</v>
      </c>
      <c r="L4" s="361">
        <f>+IF($I4=L$3,VLOOKUP($H4,Depreciation!$A$6:$L$10,9,FALSE)/2,IF($I4&lt;L$3,VLOOKUP($H4,Depreciation!$A$6:$L$10,9,FALSE),0))</f>
        <v>0</v>
      </c>
      <c r="M4" s="361">
        <f>+IF($I4=M$3,VLOOKUP($H4,Depreciation!$A$6:$L$10,10,FALSE)/2,IF($I4&lt;M$3,VLOOKUP($H4,Depreciation!$A$6:$L$10,10,FALSE),0))</f>
        <v>0</v>
      </c>
      <c r="N4" s="361">
        <f>+IF($I4=N$3,VLOOKUP($H4,Depreciation!$A$6:$L$10,11,FALSE)/2,IF($I4&lt;N$3,VLOOKUP($H4,Depreciation!$A$6:$L$10,11,FALSE),0))</f>
        <v>1.5338181838063448E-2</v>
      </c>
      <c r="O4" s="361">
        <f>+IF($I4=O$3,VLOOKUP($H4,Depreciation!$A$6:$L$10,12,FALSE)/2,IF($I4&lt;O$3,VLOOKUP($H4,Depreciation!$A$6:$L$10,12,FALSE),0))</f>
        <v>3.0676363676126896E-2</v>
      </c>
      <c r="P4" s="362">
        <f t="shared" ref="P4" si="0">IF(I4&lt;=2018,G4*(1-J4)*(1-K4)*(1-L4)*(1-M4),0)</f>
        <v>0</v>
      </c>
      <c r="Q4" s="362">
        <f t="shared" ref="Q4" si="1">IF(D4&gt;=240,P4,0)</f>
        <v>0</v>
      </c>
      <c r="R4" s="363">
        <f>IF(AND(D4&gt;25,D4&lt;240),P4,0)</f>
        <v>0</v>
      </c>
      <c r="U4" s="369" t="s">
        <v>108</v>
      </c>
      <c r="V4" s="376">
        <f>SUM(Q4:Q277)</f>
        <v>4170648806.3380013</v>
      </c>
      <c r="W4" s="376">
        <f>SUM(R4:R277)</f>
        <v>697900439.63669682</v>
      </c>
      <c r="Y4" s="365"/>
    </row>
    <row r="5" spans="1:25" ht="15" customHeight="1">
      <c r="A5" s="359" t="str">
        <f>'Func Future Lines 2015'!A5</f>
        <v>PPS</v>
      </c>
      <c r="B5" s="359" t="str">
        <f>'Func Future Lines 2015'!B5</f>
        <v>600AL</v>
      </c>
      <c r="C5" s="359">
        <f>'Func Future Lines 2015'!C5</f>
        <v>513</v>
      </c>
      <c r="D5" s="359">
        <f>'Func Future Lines 2015'!D5</f>
        <v>138</v>
      </c>
      <c r="E5" s="359">
        <f>'Func Future Lines 2015'!E5</f>
        <v>0</v>
      </c>
      <c r="F5" s="359">
        <f>'Func Future Lines 2015'!F5</f>
        <v>0</v>
      </c>
      <c r="G5" s="359">
        <f>'Func Future Lines 2015'!G5</f>
        <v>690724.36500470294</v>
      </c>
      <c r="H5" s="359" t="str">
        <f>'Func Future Lines 2015'!H5</f>
        <v>AltaLink</v>
      </c>
      <c r="I5" s="359">
        <f>'Func Future Lines 2015'!I5</f>
        <v>2017</v>
      </c>
      <c r="J5" s="361">
        <f>+IF($I5=J$3,VLOOKUP($H5,Depreciation!$A$6:$L$10,7,FALSE)/2,IF($I5&lt;J$3,VLOOKUP($H5,Depreciation!$A$6:$L$10,7,FALSE),0))</f>
        <v>0</v>
      </c>
      <c r="K5" s="361">
        <f>+IF($I5=K$3,VLOOKUP($H5,Depreciation!$A$6:$L$10,8,FALSE)/2,IF($I5&lt;K$3,VLOOKUP($H5,Depreciation!$A$6:$L$10,8,FALSE),0))</f>
        <v>0</v>
      </c>
      <c r="L5" s="361">
        <f>+IF($I5=L$3,VLOOKUP($H5,Depreciation!$A$6:$L$10,9,FALSE)/2,IF($I5&lt;L$3,VLOOKUP($H5,Depreciation!$A$6:$L$10,9,FALSE),0))</f>
        <v>1.5338181838063448E-2</v>
      </c>
      <c r="M5" s="361">
        <f>+IF($I5=M$3,VLOOKUP($H5,Depreciation!$A$6:$L$10,10,FALSE)/2,IF($I5&lt;M$3,VLOOKUP($H5,Depreciation!$A$6:$L$10,10,FALSE),0))</f>
        <v>3.0676363676126896E-2</v>
      </c>
      <c r="N5" s="361">
        <f>+IF($I5=N$3,VLOOKUP($H5,Depreciation!$A$6:$L$10,11,FALSE)/2,IF($I5&lt;N$3,VLOOKUP($H5,Depreciation!$A$6:$L$10,11,FALSE),0))</f>
        <v>3.0676363676126896E-2</v>
      </c>
      <c r="O5" s="361">
        <f>+IF($I5=O$3,VLOOKUP($H5,Depreciation!$A$6:$L$10,12,FALSE)/2,IF($I5&lt;O$3,VLOOKUP($H5,Depreciation!$A$6:$L$10,12,FALSE),0))</f>
        <v>3.0676363676126896E-2</v>
      </c>
      <c r="P5" s="362">
        <f t="shared" ref="P5:P68" si="2">IF(I5&lt;=2018,G5*(1-J5)*(1-K5)*(1-L5)*(1-M5),0)</f>
        <v>659265.99665589258</v>
      </c>
      <c r="Q5" s="362">
        <f t="shared" ref="Q5:Q68" si="3">IF(D5&gt;=240,P5,0)</f>
        <v>0</v>
      </c>
      <c r="R5" s="363">
        <f t="shared" ref="R5:R68" si="4">IF(AND(D5&gt;25,D5&lt;240),P5,0)</f>
        <v>659265.99665589258</v>
      </c>
      <c r="U5" s="369" t="s">
        <v>109</v>
      </c>
      <c r="V5" s="371">
        <f>+V4/SUM($V$4:$W$4)</f>
        <v>0.8566512518665147</v>
      </c>
      <c r="W5" s="371">
        <f>+W4/SUM($V$4:$W$4)</f>
        <v>0.1433487481334853</v>
      </c>
      <c r="Y5" s="365"/>
    </row>
    <row r="6" spans="1:25" ht="15" customHeight="1">
      <c r="A6" s="359" t="str">
        <f>'Func Future Lines 2015'!A6</f>
        <v>PPS</v>
      </c>
      <c r="B6" s="359" t="str">
        <f>'Func Future Lines 2015'!B6</f>
        <v>600L</v>
      </c>
      <c r="C6" s="359">
        <f>'Func Future Lines 2015'!C6</f>
        <v>513</v>
      </c>
      <c r="D6" s="359">
        <f>'Func Future Lines 2015'!D6</f>
        <v>138</v>
      </c>
      <c r="E6" s="359">
        <f>'Func Future Lines 2015'!E6</f>
        <v>0</v>
      </c>
      <c r="F6" s="359">
        <f>'Func Future Lines 2015'!F6</f>
        <v>0</v>
      </c>
      <c r="G6" s="359">
        <f>'Func Future Lines 2015'!G6</f>
        <v>982953.90404515422</v>
      </c>
      <c r="H6" s="359" t="str">
        <f>'Func Future Lines 2015'!H6</f>
        <v>AltaLink</v>
      </c>
      <c r="I6" s="359">
        <f>'Func Future Lines 2015'!I6</f>
        <v>2017</v>
      </c>
      <c r="J6" s="361">
        <f>+IF($I6=J$3,VLOOKUP($H6,Depreciation!$A$6:$L$10,7,FALSE)/2,IF($I6&lt;J$3,VLOOKUP($H6,Depreciation!$A$6:$L$10,7,FALSE),0))</f>
        <v>0</v>
      </c>
      <c r="K6" s="361">
        <f>+IF($I6=K$3,VLOOKUP($H6,Depreciation!$A$6:$L$10,8,FALSE)/2,IF($I6&lt;K$3,VLOOKUP($H6,Depreciation!$A$6:$L$10,8,FALSE),0))</f>
        <v>0</v>
      </c>
      <c r="L6" s="361">
        <f>+IF($I6=L$3,VLOOKUP($H6,Depreciation!$A$6:$L$10,9,FALSE)/2,IF($I6&lt;L$3,VLOOKUP($H6,Depreciation!$A$6:$L$10,9,FALSE),0))</f>
        <v>1.5338181838063448E-2</v>
      </c>
      <c r="M6" s="361">
        <f>+IF($I6=M$3,VLOOKUP($H6,Depreciation!$A$6:$L$10,10,FALSE)/2,IF($I6&lt;M$3,VLOOKUP($H6,Depreciation!$A$6:$L$10,10,FALSE),0))</f>
        <v>3.0676363676126896E-2</v>
      </c>
      <c r="N6" s="361">
        <f>+IF($I6=N$3,VLOOKUP($H6,Depreciation!$A$6:$L$10,11,FALSE)/2,IF($I6&lt;N$3,VLOOKUP($H6,Depreciation!$A$6:$L$10,11,FALSE),0))</f>
        <v>3.0676363676126896E-2</v>
      </c>
      <c r="O6" s="361">
        <f>+IF($I6=O$3,VLOOKUP($H6,Depreciation!$A$6:$L$10,12,FALSE)/2,IF($I6&lt;O$3,VLOOKUP($H6,Depreciation!$A$6:$L$10,12,FALSE),0))</f>
        <v>3.0676363676126896E-2</v>
      </c>
      <c r="P6" s="362">
        <f t="shared" si="2"/>
        <v>938186.22601030883</v>
      </c>
      <c r="Q6" s="362">
        <f t="shared" si="3"/>
        <v>0</v>
      </c>
      <c r="R6" s="363">
        <f t="shared" si="4"/>
        <v>938186.22601030883</v>
      </c>
      <c r="W6" s="4"/>
      <c r="Y6" s="365"/>
    </row>
    <row r="7" spans="1:25" ht="15" customHeight="1">
      <c r="A7" s="359" t="str">
        <f>'Func Future Lines 2015'!A7</f>
        <v>FINAL</v>
      </c>
      <c r="B7" s="359" t="str">
        <f>'Func Future Lines 2015'!B7</f>
        <v>807L_942L_1061L (942L/1001L )</v>
      </c>
      <c r="C7" s="359">
        <f>'Func Future Lines 2015'!C7</f>
        <v>559</v>
      </c>
      <c r="D7" s="359">
        <f>'Func Future Lines 2015'!D7</f>
        <v>240</v>
      </c>
      <c r="E7" s="359">
        <f>'Func Future Lines 2015'!E7</f>
        <v>0</v>
      </c>
      <c r="F7" s="359" t="str">
        <f>'Func Future Lines 2015'!F7</f>
        <v>Fort_Saskatchewan</v>
      </c>
      <c r="G7" s="359">
        <f>'Func Future Lines 2015'!G7</f>
        <v>23861790.750385337</v>
      </c>
      <c r="H7" s="359" t="str">
        <f>'Func Future Lines 2015'!H7</f>
        <v>AltaLink</v>
      </c>
      <c r="I7" s="359">
        <f>'Func Future Lines 2015'!I7</f>
        <v>2015</v>
      </c>
      <c r="J7" s="361">
        <f>+IF($I7=J$3,VLOOKUP($H7,Depreciation!$A$6:$L$10,7,FALSE)/2,IF($I7&lt;J$3,VLOOKUP($H7,Depreciation!$A$6:$L$10,7,FALSE),0))</f>
        <v>1.595020804044691E-2</v>
      </c>
      <c r="K7" s="361">
        <f>+IF($I7=K$3,VLOOKUP($H7,Depreciation!$A$6:$L$10,8,FALSE)/2,IF($I7&lt;K$3,VLOOKUP($H7,Depreciation!$A$6:$L$10,8,FALSE),0))</f>
        <v>3.0676363676126896E-2</v>
      </c>
      <c r="L7" s="361">
        <f>+IF($I7=L$3,VLOOKUP($H7,Depreciation!$A$6:$L$10,9,FALSE)/2,IF($I7&lt;L$3,VLOOKUP($H7,Depreciation!$A$6:$L$10,9,FALSE),0))</f>
        <v>3.0676363676126896E-2</v>
      </c>
      <c r="M7" s="361">
        <f>+IF($I7=M$3,VLOOKUP($H7,Depreciation!$A$6:$L$10,10,FALSE)/2,IF($I7&lt;M$3,VLOOKUP($H7,Depreciation!$A$6:$L$10,10,FALSE),0))</f>
        <v>3.0676363676126896E-2</v>
      </c>
      <c r="N7" s="361">
        <f>+IF($I7=N$3,VLOOKUP($H7,Depreciation!$A$6:$L$10,11,FALSE)/2,IF($I7&lt;N$3,VLOOKUP($H7,Depreciation!$A$6:$L$10,11,FALSE),0))</f>
        <v>3.0676363676126896E-2</v>
      </c>
      <c r="O7" s="361">
        <f>+IF($I7=O$3,VLOOKUP($H7,Depreciation!$A$6:$L$10,12,FALSE)/2,IF($I7&lt;O$3,VLOOKUP($H7,Depreciation!$A$6:$L$10,12,FALSE),0))</f>
        <v>3.0676363676126896E-2</v>
      </c>
      <c r="P7" s="362">
        <f t="shared" si="2"/>
        <v>21385849.951666884</v>
      </c>
      <c r="Q7" s="362">
        <f t="shared" si="3"/>
        <v>21385849.951666884</v>
      </c>
      <c r="R7" s="363">
        <f t="shared" si="4"/>
        <v>0</v>
      </c>
      <c r="U7" s="286" t="s">
        <v>179</v>
      </c>
      <c r="V7" s="374">
        <f>+SUM(P4:P277)</f>
        <v>4912705603.2044306</v>
      </c>
      <c r="W7" s="4"/>
      <c r="Y7" s="365"/>
    </row>
    <row r="8" spans="1:25" ht="15" customHeight="1">
      <c r="A8" s="359" t="str">
        <f>'Func Future Lines 2015'!A8</f>
        <v>FINAL</v>
      </c>
      <c r="B8" s="359" t="str">
        <f>'Func Future Lines 2015'!B8</f>
        <v>942L temp</v>
      </c>
      <c r="C8" s="359">
        <f>'Func Future Lines 2015'!C8</f>
        <v>559</v>
      </c>
      <c r="D8" s="359">
        <f>'Func Future Lines 2015'!D8</f>
        <v>240</v>
      </c>
      <c r="E8" s="359">
        <f>'Func Future Lines 2015'!E8</f>
        <v>0</v>
      </c>
      <c r="F8" s="359" t="str">
        <f>'Func Future Lines 2015'!F8</f>
        <v>Fort_Saskatchewan</v>
      </c>
      <c r="G8" s="359">
        <f>'Func Future Lines 2015'!G8</f>
        <v>121591.45834265216</v>
      </c>
      <c r="H8" s="359" t="str">
        <f>'Func Future Lines 2015'!H8</f>
        <v>AltaLink</v>
      </c>
      <c r="I8" s="359">
        <f>'Func Future Lines 2015'!I8</f>
        <v>2015</v>
      </c>
      <c r="J8" s="361">
        <f>+IF($I8=J$3,VLOOKUP($H8,Depreciation!$A$6:$L$10,7,FALSE)/2,IF($I8&lt;J$3,VLOOKUP($H8,Depreciation!$A$6:$L$10,7,FALSE),0))</f>
        <v>1.595020804044691E-2</v>
      </c>
      <c r="K8" s="361">
        <f>+IF($I8=K$3,VLOOKUP($H8,Depreciation!$A$6:$L$10,8,FALSE)/2,IF($I8&lt;K$3,VLOOKUP($H8,Depreciation!$A$6:$L$10,8,FALSE),0))</f>
        <v>3.0676363676126896E-2</v>
      </c>
      <c r="L8" s="361">
        <f>+IF($I8=L$3,VLOOKUP($H8,Depreciation!$A$6:$L$10,9,FALSE)/2,IF($I8&lt;L$3,VLOOKUP($H8,Depreciation!$A$6:$L$10,9,FALSE),0))</f>
        <v>3.0676363676126896E-2</v>
      </c>
      <c r="M8" s="361">
        <f>+IF($I8=M$3,VLOOKUP($H8,Depreciation!$A$6:$L$10,10,FALSE)/2,IF($I8&lt;M$3,VLOOKUP($H8,Depreciation!$A$6:$L$10,10,FALSE),0))</f>
        <v>3.0676363676126896E-2</v>
      </c>
      <c r="N8" s="361">
        <f>+IF($I8=N$3,VLOOKUP($H8,Depreciation!$A$6:$L$10,11,FALSE)/2,IF($I8&lt;N$3,VLOOKUP($H8,Depreciation!$A$6:$L$10,11,FALSE),0))</f>
        <v>3.0676363676126896E-2</v>
      </c>
      <c r="O8" s="361">
        <f>+IF($I8=O$3,VLOOKUP($H8,Depreciation!$A$6:$L$10,12,FALSE)/2,IF($I8&lt;O$3,VLOOKUP($H8,Depreciation!$A$6:$L$10,12,FALSE),0))</f>
        <v>3.0676363676126896E-2</v>
      </c>
      <c r="P8" s="362">
        <f t="shared" si="2"/>
        <v>108974.91771351326</v>
      </c>
      <c r="Q8" s="362">
        <f t="shared" si="3"/>
        <v>108974.91771351326</v>
      </c>
      <c r="R8" s="363">
        <f t="shared" si="4"/>
        <v>0</v>
      </c>
      <c r="V8" s="365"/>
    </row>
    <row r="9" spans="1:25" ht="15" customHeight="1">
      <c r="A9" s="359" t="str">
        <f>'Func Future Lines 2015'!A9</f>
        <v>FINAL</v>
      </c>
      <c r="B9" s="359" t="str">
        <f>'Func Future Lines 2015'!B9</f>
        <v>942L_943L mod</v>
      </c>
      <c r="C9" s="359">
        <f>'Func Future Lines 2015'!C9</f>
        <v>559</v>
      </c>
      <c r="D9" s="359">
        <f>'Func Future Lines 2015'!D9</f>
        <v>138</v>
      </c>
      <c r="E9" s="359">
        <f>'Func Future Lines 2015'!E9</f>
        <v>0</v>
      </c>
      <c r="F9" s="359" t="str">
        <f>'Func Future Lines 2015'!F9</f>
        <v>Fort_Saskatchewan</v>
      </c>
      <c r="G9" s="359">
        <f>'Func Future Lines 2015'!G9</f>
        <v>1655001.6528058015</v>
      </c>
      <c r="H9" s="359" t="str">
        <f>'Func Future Lines 2015'!H9</f>
        <v>AltaLink</v>
      </c>
      <c r="I9" s="359">
        <f>'Func Future Lines 2015'!I9</f>
        <v>2015</v>
      </c>
      <c r="J9" s="361">
        <f>+IF($I9=J$3,VLOOKUP($H9,Depreciation!$A$6:$L$10,7,FALSE)/2,IF($I9&lt;J$3,VLOOKUP($H9,Depreciation!$A$6:$L$10,7,FALSE),0))</f>
        <v>1.595020804044691E-2</v>
      </c>
      <c r="K9" s="361">
        <f>+IF($I9=K$3,VLOOKUP($H9,Depreciation!$A$6:$L$10,8,FALSE)/2,IF($I9&lt;K$3,VLOOKUP($H9,Depreciation!$A$6:$L$10,8,FALSE),0))</f>
        <v>3.0676363676126896E-2</v>
      </c>
      <c r="L9" s="361">
        <f>+IF($I9=L$3,VLOOKUP($H9,Depreciation!$A$6:$L$10,9,FALSE)/2,IF($I9&lt;L$3,VLOOKUP($H9,Depreciation!$A$6:$L$10,9,FALSE),0))</f>
        <v>3.0676363676126896E-2</v>
      </c>
      <c r="M9" s="361">
        <f>+IF($I9=M$3,VLOOKUP($H9,Depreciation!$A$6:$L$10,10,FALSE)/2,IF($I9&lt;M$3,VLOOKUP($H9,Depreciation!$A$6:$L$10,10,FALSE),0))</f>
        <v>3.0676363676126896E-2</v>
      </c>
      <c r="N9" s="361">
        <f>+IF($I9=N$3,VLOOKUP($H9,Depreciation!$A$6:$L$10,11,FALSE)/2,IF($I9&lt;N$3,VLOOKUP($H9,Depreciation!$A$6:$L$10,11,FALSE),0))</f>
        <v>3.0676363676126896E-2</v>
      </c>
      <c r="O9" s="361">
        <f>+IF($I9=O$3,VLOOKUP($H9,Depreciation!$A$6:$L$10,12,FALSE)/2,IF($I9&lt;O$3,VLOOKUP($H9,Depreciation!$A$6:$L$10,12,FALSE),0))</f>
        <v>3.0676363676126896E-2</v>
      </c>
      <c r="P9" s="362">
        <f t="shared" si="2"/>
        <v>1483275.8105589375</v>
      </c>
      <c r="Q9" s="362">
        <f t="shared" si="3"/>
        <v>0</v>
      </c>
      <c r="R9" s="363">
        <f t="shared" si="4"/>
        <v>1483275.8105589375</v>
      </c>
      <c r="V9" s="365"/>
    </row>
    <row r="10" spans="1:25" ht="15" customHeight="1">
      <c r="A10" s="359" t="str">
        <f>'Func Future Lines 2015'!A10</f>
        <v>PPS</v>
      </c>
      <c r="B10" s="359" t="str">
        <f>'Func Future Lines 2015'!B10</f>
        <v>New 100m 138kV line 130L</v>
      </c>
      <c r="C10" s="359">
        <f>'Func Future Lines 2015'!C10</f>
        <v>580</v>
      </c>
      <c r="D10" s="359">
        <f>'Func Future Lines 2015'!D10</f>
        <v>138</v>
      </c>
      <c r="E10" s="359">
        <f>'Func Future Lines 2015'!E10</f>
        <v>0</v>
      </c>
      <c r="F10" s="359" t="str">
        <f>'Func Future Lines 2015'!F10</f>
        <v>Fort_MacLeod</v>
      </c>
      <c r="G10" s="359">
        <f>'Func Future Lines 2015'!G10</f>
        <v>1145283.5820895538</v>
      </c>
      <c r="H10" s="359" t="str">
        <f>'Func Future Lines 2015'!H10</f>
        <v>AltaLink</v>
      </c>
      <c r="I10" s="359">
        <f>'Func Future Lines 2015'!I10</f>
        <v>2019</v>
      </c>
      <c r="J10" s="361">
        <f>+IF($I10=J$3,VLOOKUP($H10,Depreciation!$A$6:$L$10,7,FALSE)/2,IF($I10&lt;J$3,VLOOKUP($H10,Depreciation!$A$6:$L$10,7,FALSE),0))</f>
        <v>0</v>
      </c>
      <c r="K10" s="361">
        <f>+IF($I10=K$3,VLOOKUP($H10,Depreciation!$A$6:$L$10,8,FALSE)/2,IF($I10&lt;K$3,VLOOKUP($H10,Depreciation!$A$6:$L$10,8,FALSE),0))</f>
        <v>0</v>
      </c>
      <c r="L10" s="361">
        <f>+IF($I10=L$3,VLOOKUP($H10,Depreciation!$A$6:$L$10,9,FALSE)/2,IF($I10&lt;L$3,VLOOKUP($H10,Depreciation!$A$6:$L$10,9,FALSE),0))</f>
        <v>0</v>
      </c>
      <c r="M10" s="361">
        <f>+IF($I10=M$3,VLOOKUP($H10,Depreciation!$A$6:$L$10,10,FALSE)/2,IF($I10&lt;M$3,VLOOKUP($H10,Depreciation!$A$6:$L$10,10,FALSE),0))</f>
        <v>0</v>
      </c>
      <c r="N10" s="361">
        <f>+IF($I10=N$3,VLOOKUP($H10,Depreciation!$A$6:$L$10,11,FALSE)/2,IF($I10&lt;N$3,VLOOKUP($H10,Depreciation!$A$6:$L$10,11,FALSE),0))</f>
        <v>1.5338181838063448E-2</v>
      </c>
      <c r="O10" s="361">
        <f>+IF($I10=O$3,VLOOKUP($H10,Depreciation!$A$6:$L$10,12,FALSE)/2,IF($I10&lt;O$3,VLOOKUP($H10,Depreciation!$A$6:$L$10,12,FALSE),0))</f>
        <v>3.0676363676126896E-2</v>
      </c>
      <c r="P10" s="362">
        <f t="shared" si="2"/>
        <v>0</v>
      </c>
      <c r="Q10" s="362">
        <f t="shared" si="3"/>
        <v>0</v>
      </c>
      <c r="R10" s="363">
        <f t="shared" si="4"/>
        <v>0</v>
      </c>
      <c r="V10" s="365"/>
    </row>
    <row r="11" spans="1:25" ht="15" customHeight="1">
      <c r="A11" s="359" t="str">
        <f>'Func Future Lines 2015'!A11</f>
        <v>FINAL</v>
      </c>
      <c r="B11" s="359" t="str">
        <f>'Func Future Lines 2015'!B11</f>
        <v>1054L/1061L</v>
      </c>
      <c r="C11" s="359">
        <f>'Func Future Lines 2015'!C11</f>
        <v>629</v>
      </c>
      <c r="D11" s="359">
        <f>'Func Future Lines 2015'!D11</f>
        <v>240</v>
      </c>
      <c r="E11" s="359">
        <f>'Func Future Lines 2015'!E11</f>
        <v>0</v>
      </c>
      <c r="F11" s="359">
        <f>'Func Future Lines 2015'!F11</f>
        <v>0</v>
      </c>
      <c r="G11" s="359">
        <f>'Func Future Lines 2015'!G11</f>
        <v>61619635.006528027</v>
      </c>
      <c r="H11" s="359" t="str">
        <f>'Func Future Lines 2015'!H11</f>
        <v>AltaLink</v>
      </c>
      <c r="I11" s="359">
        <f>'Func Future Lines 2015'!I11</f>
        <v>2015</v>
      </c>
      <c r="J11" s="361">
        <f>+IF($I11=J$3,VLOOKUP($H11,Depreciation!$A$6:$L$10,7,FALSE)/2,IF($I11&lt;J$3,VLOOKUP($H11,Depreciation!$A$6:$L$10,7,FALSE),0))</f>
        <v>1.595020804044691E-2</v>
      </c>
      <c r="K11" s="361">
        <f>+IF($I11=K$3,VLOOKUP($H11,Depreciation!$A$6:$L$10,8,FALSE)/2,IF($I11&lt;K$3,VLOOKUP($H11,Depreciation!$A$6:$L$10,8,FALSE),0))</f>
        <v>3.0676363676126896E-2</v>
      </c>
      <c r="L11" s="361">
        <f>+IF($I11=L$3,VLOOKUP($H11,Depreciation!$A$6:$L$10,9,FALSE)/2,IF($I11&lt;L$3,VLOOKUP($H11,Depreciation!$A$6:$L$10,9,FALSE),0))</f>
        <v>3.0676363676126896E-2</v>
      </c>
      <c r="M11" s="361">
        <f>+IF($I11=M$3,VLOOKUP($H11,Depreciation!$A$6:$L$10,10,FALSE)/2,IF($I11&lt;M$3,VLOOKUP($H11,Depreciation!$A$6:$L$10,10,FALSE),0))</f>
        <v>3.0676363676126896E-2</v>
      </c>
      <c r="N11" s="361">
        <f>+IF($I11=N$3,VLOOKUP($H11,Depreciation!$A$6:$L$10,11,FALSE)/2,IF($I11&lt;N$3,VLOOKUP($H11,Depreciation!$A$6:$L$10,11,FALSE),0))</f>
        <v>3.0676363676126896E-2</v>
      </c>
      <c r="O11" s="361">
        <f>+IF($I11=O$3,VLOOKUP($H11,Depreciation!$A$6:$L$10,12,FALSE)/2,IF($I11&lt;O$3,VLOOKUP($H11,Depreciation!$A$6:$L$10,12,FALSE),0))</f>
        <v>3.0676363676126896E-2</v>
      </c>
      <c r="P11" s="362">
        <f t="shared" si="2"/>
        <v>55225874.793358006</v>
      </c>
      <c r="Q11" s="362">
        <f t="shared" si="3"/>
        <v>55225874.793358006</v>
      </c>
      <c r="R11" s="363">
        <f t="shared" si="4"/>
        <v>0</v>
      </c>
      <c r="V11" s="365"/>
    </row>
    <row r="12" spans="1:25" ht="15" customHeight="1">
      <c r="A12" s="359" t="str">
        <f>'Func Future Lines 2015'!A12</f>
        <v>FINAL</v>
      </c>
      <c r="B12" s="359" t="str">
        <f>'Func Future Lines 2015'!B12</f>
        <v>1058L</v>
      </c>
      <c r="C12" s="359">
        <f>'Func Future Lines 2015'!C12</f>
        <v>629</v>
      </c>
      <c r="D12" s="359">
        <f>'Func Future Lines 2015'!D12</f>
        <v>240</v>
      </c>
      <c r="E12" s="359">
        <f>'Func Future Lines 2015'!E12</f>
        <v>0</v>
      </c>
      <c r="F12" s="359">
        <f>'Func Future Lines 2015'!F12</f>
        <v>0</v>
      </c>
      <c r="G12" s="359">
        <f>'Func Future Lines 2015'!G12</f>
        <v>2898036.7235482754</v>
      </c>
      <c r="H12" s="359" t="str">
        <f>'Func Future Lines 2015'!H12</f>
        <v>AltaLink</v>
      </c>
      <c r="I12" s="359">
        <f>'Func Future Lines 2015'!I12</f>
        <v>2015</v>
      </c>
      <c r="J12" s="361">
        <f>+IF($I12=J$3,VLOOKUP($H12,Depreciation!$A$6:$L$10,7,FALSE)/2,IF($I12&lt;J$3,VLOOKUP($H12,Depreciation!$A$6:$L$10,7,FALSE),0))</f>
        <v>1.595020804044691E-2</v>
      </c>
      <c r="K12" s="361">
        <f>+IF($I12=K$3,VLOOKUP($H12,Depreciation!$A$6:$L$10,8,FALSE)/2,IF($I12&lt;K$3,VLOOKUP($H12,Depreciation!$A$6:$L$10,8,FALSE),0))</f>
        <v>3.0676363676126896E-2</v>
      </c>
      <c r="L12" s="361">
        <f>+IF($I12=L$3,VLOOKUP($H12,Depreciation!$A$6:$L$10,9,FALSE)/2,IF($I12&lt;L$3,VLOOKUP($H12,Depreciation!$A$6:$L$10,9,FALSE),0))</f>
        <v>3.0676363676126896E-2</v>
      </c>
      <c r="M12" s="361">
        <f>+IF($I12=M$3,VLOOKUP($H12,Depreciation!$A$6:$L$10,10,FALSE)/2,IF($I12&lt;M$3,VLOOKUP($H12,Depreciation!$A$6:$L$10,10,FALSE),0))</f>
        <v>3.0676363676126896E-2</v>
      </c>
      <c r="N12" s="361">
        <f>+IF($I12=N$3,VLOOKUP($H12,Depreciation!$A$6:$L$10,11,FALSE)/2,IF($I12&lt;N$3,VLOOKUP($H12,Depreciation!$A$6:$L$10,11,FALSE),0))</f>
        <v>3.0676363676126896E-2</v>
      </c>
      <c r="O12" s="361">
        <f>+IF($I12=O$3,VLOOKUP($H12,Depreciation!$A$6:$L$10,12,FALSE)/2,IF($I12&lt;O$3,VLOOKUP($H12,Depreciation!$A$6:$L$10,12,FALSE),0))</f>
        <v>3.0676363676126896E-2</v>
      </c>
      <c r="P12" s="362">
        <f t="shared" si="2"/>
        <v>2597331.4062031535</v>
      </c>
      <c r="Q12" s="362">
        <f t="shared" si="3"/>
        <v>2597331.4062031535</v>
      </c>
      <c r="R12" s="363">
        <f t="shared" si="4"/>
        <v>0</v>
      </c>
      <c r="V12" s="365"/>
    </row>
    <row r="13" spans="1:25" ht="15" customHeight="1">
      <c r="A13" s="359" t="str">
        <f>'Func Future Lines 2015'!A13</f>
        <v>FINAL</v>
      </c>
      <c r="B13" s="359" t="str">
        <f>'Func Future Lines 2015'!B13</f>
        <v>1206L/1212L</v>
      </c>
      <c r="C13" s="359">
        <f>'Func Future Lines 2015'!C13</f>
        <v>629</v>
      </c>
      <c r="D13" s="359">
        <f>'Func Future Lines 2015'!D13</f>
        <v>500</v>
      </c>
      <c r="E13" s="359">
        <f>'Func Future Lines 2015'!E13</f>
        <v>0</v>
      </c>
      <c r="F13" s="359">
        <f>'Func Future Lines 2015'!F13</f>
        <v>0</v>
      </c>
      <c r="G13" s="359">
        <f>'Func Future Lines 2015'!G13</f>
        <v>530866409.86294144</v>
      </c>
      <c r="H13" s="359" t="str">
        <f>'Func Future Lines 2015'!H13</f>
        <v>AltaLink</v>
      </c>
      <c r="I13" s="359">
        <f>'Func Future Lines 2015'!I13</f>
        <v>2015</v>
      </c>
      <c r="J13" s="361">
        <f>+IF($I13=J$3,VLOOKUP($H13,Depreciation!$A$6:$L$10,7,FALSE)/2,IF($I13&lt;J$3,VLOOKUP($H13,Depreciation!$A$6:$L$10,7,FALSE),0))</f>
        <v>1.595020804044691E-2</v>
      </c>
      <c r="K13" s="361">
        <f>+IF($I13=K$3,VLOOKUP($H13,Depreciation!$A$6:$L$10,8,FALSE)/2,IF($I13&lt;K$3,VLOOKUP($H13,Depreciation!$A$6:$L$10,8,FALSE),0))</f>
        <v>3.0676363676126896E-2</v>
      </c>
      <c r="L13" s="361">
        <f>+IF($I13=L$3,VLOOKUP($H13,Depreciation!$A$6:$L$10,9,FALSE)/2,IF($I13&lt;L$3,VLOOKUP($H13,Depreciation!$A$6:$L$10,9,FALSE),0))</f>
        <v>3.0676363676126896E-2</v>
      </c>
      <c r="M13" s="361">
        <f>+IF($I13=M$3,VLOOKUP($H13,Depreciation!$A$6:$L$10,10,FALSE)/2,IF($I13&lt;M$3,VLOOKUP($H13,Depreciation!$A$6:$L$10,10,FALSE),0))</f>
        <v>3.0676363676126896E-2</v>
      </c>
      <c r="N13" s="361">
        <f>+IF($I13=N$3,VLOOKUP($H13,Depreciation!$A$6:$L$10,11,FALSE)/2,IF($I13&lt;N$3,VLOOKUP($H13,Depreciation!$A$6:$L$10,11,FALSE),0))</f>
        <v>3.0676363676126896E-2</v>
      </c>
      <c r="O13" s="361">
        <f>+IF($I13=O$3,VLOOKUP($H13,Depreciation!$A$6:$L$10,12,FALSE)/2,IF($I13&lt;O$3,VLOOKUP($H13,Depreciation!$A$6:$L$10,12,FALSE),0))</f>
        <v>3.0676363676126896E-2</v>
      </c>
      <c r="P13" s="362">
        <f t="shared" si="2"/>
        <v>475782790.33922142</v>
      </c>
      <c r="Q13" s="362">
        <f t="shared" si="3"/>
        <v>475782790.33922142</v>
      </c>
      <c r="R13" s="363">
        <f t="shared" si="4"/>
        <v>0</v>
      </c>
      <c r="V13" s="365"/>
    </row>
    <row r="14" spans="1:25" ht="15" customHeight="1">
      <c r="A14" s="359" t="str">
        <f>'Func Future Lines 2015'!A14</f>
        <v>FINAL</v>
      </c>
      <c r="B14" s="359" t="str">
        <f>'Func Future Lines 2015'!B14</f>
        <v>726L</v>
      </c>
      <c r="C14" s="359">
        <f>'Func Future Lines 2015'!C14</f>
        <v>629</v>
      </c>
      <c r="D14" s="359">
        <f>'Func Future Lines 2015'!D14</f>
        <v>138</v>
      </c>
      <c r="E14" s="359">
        <f>'Func Future Lines 2015'!E14</f>
        <v>0</v>
      </c>
      <c r="F14" s="359">
        <f>'Func Future Lines 2015'!F14</f>
        <v>0</v>
      </c>
      <c r="G14" s="359">
        <f>'Func Future Lines 2015'!G14</f>
        <v>702156.82391399238</v>
      </c>
      <c r="H14" s="359" t="str">
        <f>'Func Future Lines 2015'!H14</f>
        <v>AltaLink</v>
      </c>
      <c r="I14" s="359">
        <f>'Func Future Lines 2015'!I14</f>
        <v>2015</v>
      </c>
      <c r="J14" s="361">
        <f>+IF($I14=J$3,VLOOKUP($H14,Depreciation!$A$6:$L$10,7,FALSE)/2,IF($I14&lt;J$3,VLOOKUP($H14,Depreciation!$A$6:$L$10,7,FALSE),0))</f>
        <v>1.595020804044691E-2</v>
      </c>
      <c r="K14" s="361">
        <f>+IF($I14=K$3,VLOOKUP($H14,Depreciation!$A$6:$L$10,8,FALSE)/2,IF($I14&lt;K$3,VLOOKUP($H14,Depreciation!$A$6:$L$10,8,FALSE),0))</f>
        <v>3.0676363676126896E-2</v>
      </c>
      <c r="L14" s="361">
        <f>+IF($I14=L$3,VLOOKUP($H14,Depreciation!$A$6:$L$10,9,FALSE)/2,IF($I14&lt;L$3,VLOOKUP($H14,Depreciation!$A$6:$L$10,9,FALSE),0))</f>
        <v>3.0676363676126896E-2</v>
      </c>
      <c r="M14" s="361">
        <f>+IF($I14=M$3,VLOOKUP($H14,Depreciation!$A$6:$L$10,10,FALSE)/2,IF($I14&lt;M$3,VLOOKUP($H14,Depreciation!$A$6:$L$10,10,FALSE),0))</f>
        <v>3.0676363676126896E-2</v>
      </c>
      <c r="N14" s="361">
        <f>+IF($I14=N$3,VLOOKUP($H14,Depreciation!$A$6:$L$10,11,FALSE)/2,IF($I14&lt;N$3,VLOOKUP($H14,Depreciation!$A$6:$L$10,11,FALSE),0))</f>
        <v>3.0676363676126896E-2</v>
      </c>
      <c r="O14" s="361">
        <f>+IF($I14=O$3,VLOOKUP($H14,Depreciation!$A$6:$L$10,12,FALSE)/2,IF($I14&lt;O$3,VLOOKUP($H14,Depreciation!$A$6:$L$10,12,FALSE),0))</f>
        <v>3.0676363676126896E-2</v>
      </c>
      <c r="P14" s="362">
        <f t="shared" si="2"/>
        <v>629299.81390944589</v>
      </c>
      <c r="Q14" s="362">
        <f t="shared" si="3"/>
        <v>0</v>
      </c>
      <c r="R14" s="363">
        <f t="shared" si="4"/>
        <v>629299.81390944589</v>
      </c>
      <c r="V14" s="365"/>
    </row>
    <row r="15" spans="1:25" ht="15" customHeight="1">
      <c r="A15" s="359" t="str">
        <f>'Func Future Lines 2015'!A15</f>
        <v>FINAL</v>
      </c>
      <c r="B15" s="359" t="str">
        <f>'Func Future Lines 2015'!B15</f>
        <v>731L</v>
      </c>
      <c r="C15" s="359">
        <f>'Func Future Lines 2015'!C15</f>
        <v>629</v>
      </c>
      <c r="D15" s="359">
        <f>'Func Future Lines 2015'!D15</f>
        <v>138</v>
      </c>
      <c r="E15" s="359">
        <f>'Func Future Lines 2015'!E15</f>
        <v>0</v>
      </c>
      <c r="F15" s="359">
        <f>'Func Future Lines 2015'!F15</f>
        <v>0</v>
      </c>
      <c r="G15" s="359">
        <f>'Func Future Lines 2015'!G15</f>
        <v>504109.03864587925</v>
      </c>
      <c r="H15" s="359" t="str">
        <f>'Func Future Lines 2015'!H15</f>
        <v>AltaLink</v>
      </c>
      <c r="I15" s="359">
        <f>'Func Future Lines 2015'!I15</f>
        <v>2015</v>
      </c>
      <c r="J15" s="361">
        <f>+IF($I15=J$3,VLOOKUP($H15,Depreciation!$A$6:$L$10,7,FALSE)/2,IF($I15&lt;J$3,VLOOKUP($H15,Depreciation!$A$6:$L$10,7,FALSE),0))</f>
        <v>1.595020804044691E-2</v>
      </c>
      <c r="K15" s="361">
        <f>+IF($I15=K$3,VLOOKUP($H15,Depreciation!$A$6:$L$10,8,FALSE)/2,IF($I15&lt;K$3,VLOOKUP($H15,Depreciation!$A$6:$L$10,8,FALSE),0))</f>
        <v>3.0676363676126896E-2</v>
      </c>
      <c r="L15" s="361">
        <f>+IF($I15=L$3,VLOOKUP($H15,Depreciation!$A$6:$L$10,9,FALSE)/2,IF($I15&lt;L$3,VLOOKUP($H15,Depreciation!$A$6:$L$10,9,FALSE),0))</f>
        <v>3.0676363676126896E-2</v>
      </c>
      <c r="M15" s="361">
        <f>+IF($I15=M$3,VLOOKUP($H15,Depreciation!$A$6:$L$10,10,FALSE)/2,IF($I15&lt;M$3,VLOOKUP($H15,Depreciation!$A$6:$L$10,10,FALSE),0))</f>
        <v>3.0676363676126896E-2</v>
      </c>
      <c r="N15" s="361">
        <f>+IF($I15=N$3,VLOOKUP($H15,Depreciation!$A$6:$L$10,11,FALSE)/2,IF($I15&lt;N$3,VLOOKUP($H15,Depreciation!$A$6:$L$10,11,FALSE),0))</f>
        <v>3.0676363676126896E-2</v>
      </c>
      <c r="O15" s="361">
        <f>+IF($I15=O$3,VLOOKUP($H15,Depreciation!$A$6:$L$10,12,FALSE)/2,IF($I15&lt;O$3,VLOOKUP($H15,Depreciation!$A$6:$L$10,12,FALSE),0))</f>
        <v>3.0676363676126896E-2</v>
      </c>
      <c r="P15" s="362">
        <f t="shared" si="2"/>
        <v>451801.81037274923</v>
      </c>
      <c r="Q15" s="362">
        <f t="shared" si="3"/>
        <v>0</v>
      </c>
      <c r="R15" s="363">
        <f t="shared" si="4"/>
        <v>451801.81037274923</v>
      </c>
      <c r="Y15" s="365"/>
    </row>
    <row r="16" spans="1:25" ht="15" customHeight="1">
      <c r="A16" s="359" t="str">
        <f>'Func Future Lines 2015'!A16</f>
        <v>FINAL</v>
      </c>
      <c r="B16" s="359" t="str">
        <f>'Func Future Lines 2015'!B16</f>
        <v>735L</v>
      </c>
      <c r="C16" s="359">
        <f>'Func Future Lines 2015'!C16</f>
        <v>629</v>
      </c>
      <c r="D16" s="359">
        <f>'Func Future Lines 2015'!D16</f>
        <v>138</v>
      </c>
      <c r="E16" s="359">
        <f>'Func Future Lines 2015'!E16</f>
        <v>0</v>
      </c>
      <c r="F16" s="359">
        <f>'Func Future Lines 2015'!F16</f>
        <v>0</v>
      </c>
      <c r="G16" s="359">
        <f>'Func Future Lines 2015'!G16</f>
        <v>2727.7774922550475</v>
      </c>
      <c r="H16" s="359" t="str">
        <f>'Func Future Lines 2015'!H16</f>
        <v>AltaLink</v>
      </c>
      <c r="I16" s="359">
        <f>'Func Future Lines 2015'!I16</f>
        <v>2015</v>
      </c>
      <c r="J16" s="361">
        <f>+IF($I16=J$3,VLOOKUP($H16,Depreciation!$A$6:$L$10,7,FALSE)/2,IF($I16&lt;J$3,VLOOKUP($H16,Depreciation!$A$6:$L$10,7,FALSE),0))</f>
        <v>1.595020804044691E-2</v>
      </c>
      <c r="K16" s="361">
        <f>+IF($I16=K$3,VLOOKUP($H16,Depreciation!$A$6:$L$10,8,FALSE)/2,IF($I16&lt;K$3,VLOOKUP($H16,Depreciation!$A$6:$L$10,8,FALSE),0))</f>
        <v>3.0676363676126896E-2</v>
      </c>
      <c r="L16" s="361">
        <f>+IF($I16=L$3,VLOOKUP($H16,Depreciation!$A$6:$L$10,9,FALSE)/2,IF($I16&lt;L$3,VLOOKUP($H16,Depreciation!$A$6:$L$10,9,FALSE),0))</f>
        <v>3.0676363676126896E-2</v>
      </c>
      <c r="M16" s="361">
        <f>+IF($I16=M$3,VLOOKUP($H16,Depreciation!$A$6:$L$10,10,FALSE)/2,IF($I16&lt;M$3,VLOOKUP($H16,Depreciation!$A$6:$L$10,10,FALSE),0))</f>
        <v>3.0676363676126896E-2</v>
      </c>
      <c r="N16" s="361">
        <f>+IF($I16=N$3,VLOOKUP($H16,Depreciation!$A$6:$L$10,11,FALSE)/2,IF($I16&lt;N$3,VLOOKUP($H16,Depreciation!$A$6:$L$10,11,FALSE),0))</f>
        <v>3.0676363676126896E-2</v>
      </c>
      <c r="O16" s="361">
        <f>+IF($I16=O$3,VLOOKUP($H16,Depreciation!$A$6:$L$10,12,FALSE)/2,IF($I16&lt;O$3,VLOOKUP($H16,Depreciation!$A$6:$L$10,12,FALSE),0))</f>
        <v>3.0676363676126896E-2</v>
      </c>
      <c r="P16" s="362">
        <f t="shared" si="2"/>
        <v>2444.738568079119</v>
      </c>
      <c r="Q16" s="362">
        <f t="shared" si="3"/>
        <v>0</v>
      </c>
      <c r="R16" s="363">
        <f t="shared" si="4"/>
        <v>2444.738568079119</v>
      </c>
      <c r="Y16" s="365"/>
    </row>
    <row r="17" spans="1:25" ht="15" customHeight="1">
      <c r="A17" s="359" t="str">
        <f>'Func Future Lines 2015'!A17</f>
        <v>FINAL</v>
      </c>
      <c r="B17" s="359" t="str">
        <f>'Func Future Lines 2015'!B17</f>
        <v>746L</v>
      </c>
      <c r="C17" s="359">
        <f>'Func Future Lines 2015'!C17</f>
        <v>629</v>
      </c>
      <c r="D17" s="359">
        <f>'Func Future Lines 2015'!D17</f>
        <v>138</v>
      </c>
      <c r="E17" s="359">
        <f>'Func Future Lines 2015'!E17</f>
        <v>0</v>
      </c>
      <c r="F17" s="359">
        <f>'Func Future Lines 2015'!F17</f>
        <v>0</v>
      </c>
      <c r="G17" s="359">
        <f>'Func Future Lines 2015'!G17</f>
        <v>227994.9241210825</v>
      </c>
      <c r="H17" s="359" t="str">
        <f>'Func Future Lines 2015'!H17</f>
        <v>AltaLink</v>
      </c>
      <c r="I17" s="359">
        <f>'Func Future Lines 2015'!I17</f>
        <v>2015</v>
      </c>
      <c r="J17" s="361">
        <f>+IF($I17=J$3,VLOOKUP($H17,Depreciation!$A$6:$L$10,7,FALSE)/2,IF($I17&lt;J$3,VLOOKUP($H17,Depreciation!$A$6:$L$10,7,FALSE),0))</f>
        <v>1.595020804044691E-2</v>
      </c>
      <c r="K17" s="361">
        <f>+IF($I17=K$3,VLOOKUP($H17,Depreciation!$A$6:$L$10,8,FALSE)/2,IF($I17&lt;K$3,VLOOKUP($H17,Depreciation!$A$6:$L$10,8,FALSE),0))</f>
        <v>3.0676363676126896E-2</v>
      </c>
      <c r="L17" s="361">
        <f>+IF($I17=L$3,VLOOKUP($H17,Depreciation!$A$6:$L$10,9,FALSE)/2,IF($I17&lt;L$3,VLOOKUP($H17,Depreciation!$A$6:$L$10,9,FALSE),0))</f>
        <v>3.0676363676126896E-2</v>
      </c>
      <c r="M17" s="361">
        <f>+IF($I17=M$3,VLOOKUP($H17,Depreciation!$A$6:$L$10,10,FALSE)/2,IF($I17&lt;M$3,VLOOKUP($H17,Depreciation!$A$6:$L$10,10,FALSE),0))</f>
        <v>3.0676363676126896E-2</v>
      </c>
      <c r="N17" s="361">
        <f>+IF($I17=N$3,VLOOKUP($H17,Depreciation!$A$6:$L$10,11,FALSE)/2,IF($I17&lt;N$3,VLOOKUP($H17,Depreciation!$A$6:$L$10,11,FALSE),0))</f>
        <v>3.0676363676126896E-2</v>
      </c>
      <c r="O17" s="361">
        <f>+IF($I17=O$3,VLOOKUP($H17,Depreciation!$A$6:$L$10,12,FALSE)/2,IF($I17&lt;O$3,VLOOKUP($H17,Depreciation!$A$6:$L$10,12,FALSE),0))</f>
        <v>3.0676363676126896E-2</v>
      </c>
      <c r="P17" s="362">
        <f t="shared" si="2"/>
        <v>204337.77531623055</v>
      </c>
      <c r="Q17" s="362">
        <f t="shared" si="3"/>
        <v>0</v>
      </c>
      <c r="R17" s="363">
        <f t="shared" si="4"/>
        <v>204337.77531623055</v>
      </c>
      <c r="Y17" s="365"/>
    </row>
    <row r="18" spans="1:25" ht="15" customHeight="1">
      <c r="A18" s="359" t="str">
        <f>'Func Future Lines 2015'!A18</f>
        <v>FINAL</v>
      </c>
      <c r="B18" s="359" t="str">
        <f>'Func Future Lines 2015'!B18</f>
        <v>780L</v>
      </c>
      <c r="C18" s="359">
        <f>'Func Future Lines 2015'!C18</f>
        <v>629</v>
      </c>
      <c r="D18" s="359">
        <f>'Func Future Lines 2015'!D18</f>
        <v>138</v>
      </c>
      <c r="E18" s="359">
        <f>'Func Future Lines 2015'!E18</f>
        <v>0</v>
      </c>
      <c r="F18" s="359">
        <f>'Func Future Lines 2015'!F18</f>
        <v>0</v>
      </c>
      <c r="G18" s="359">
        <f>'Func Future Lines 2015'!G18</f>
        <v>383859.96701394476</v>
      </c>
      <c r="H18" s="359" t="str">
        <f>'Func Future Lines 2015'!H18</f>
        <v>AltaLink</v>
      </c>
      <c r="I18" s="359">
        <f>'Func Future Lines 2015'!I18</f>
        <v>2015</v>
      </c>
      <c r="J18" s="361">
        <f>+IF($I18=J$3,VLOOKUP($H18,Depreciation!$A$6:$L$10,7,FALSE)/2,IF($I18&lt;J$3,VLOOKUP($H18,Depreciation!$A$6:$L$10,7,FALSE),0))</f>
        <v>1.595020804044691E-2</v>
      </c>
      <c r="K18" s="361">
        <f>+IF($I18=K$3,VLOOKUP($H18,Depreciation!$A$6:$L$10,8,FALSE)/2,IF($I18&lt;K$3,VLOOKUP($H18,Depreciation!$A$6:$L$10,8,FALSE),0))</f>
        <v>3.0676363676126896E-2</v>
      </c>
      <c r="L18" s="361">
        <f>+IF($I18=L$3,VLOOKUP($H18,Depreciation!$A$6:$L$10,9,FALSE)/2,IF($I18&lt;L$3,VLOOKUP($H18,Depreciation!$A$6:$L$10,9,FALSE),0))</f>
        <v>3.0676363676126896E-2</v>
      </c>
      <c r="M18" s="361">
        <f>+IF($I18=M$3,VLOOKUP($H18,Depreciation!$A$6:$L$10,10,FALSE)/2,IF($I18&lt;M$3,VLOOKUP($H18,Depreciation!$A$6:$L$10,10,FALSE),0))</f>
        <v>3.0676363676126896E-2</v>
      </c>
      <c r="N18" s="361">
        <f>+IF($I18=N$3,VLOOKUP($H18,Depreciation!$A$6:$L$10,11,FALSE)/2,IF($I18&lt;N$3,VLOOKUP($H18,Depreciation!$A$6:$L$10,11,FALSE),0))</f>
        <v>3.0676363676126896E-2</v>
      </c>
      <c r="O18" s="361">
        <f>+IF($I18=O$3,VLOOKUP($H18,Depreciation!$A$6:$L$10,12,FALSE)/2,IF($I18&lt;O$3,VLOOKUP($H18,Depreciation!$A$6:$L$10,12,FALSE),0))</f>
        <v>3.0676363676126896E-2</v>
      </c>
      <c r="P18" s="362">
        <f t="shared" si="2"/>
        <v>344029.99099635705</v>
      </c>
      <c r="Q18" s="362">
        <f t="shared" si="3"/>
        <v>0</v>
      </c>
      <c r="R18" s="363">
        <f t="shared" si="4"/>
        <v>344029.99099635705</v>
      </c>
      <c r="Y18" s="365"/>
    </row>
    <row r="19" spans="1:25" ht="15" customHeight="1">
      <c r="A19" s="359" t="str">
        <f>'Func Future Lines 2015'!A19</f>
        <v>FINAL</v>
      </c>
      <c r="B19" s="359" t="str">
        <f>'Func Future Lines 2015'!B19</f>
        <v>783L</v>
      </c>
      <c r="C19" s="359">
        <f>'Func Future Lines 2015'!C19</f>
        <v>629</v>
      </c>
      <c r="D19" s="359">
        <f>'Func Future Lines 2015'!D19</f>
        <v>138</v>
      </c>
      <c r="E19" s="359">
        <f>'Func Future Lines 2015'!E19</f>
        <v>0</v>
      </c>
      <c r="F19" s="359">
        <f>'Func Future Lines 2015'!F19</f>
        <v>0</v>
      </c>
      <c r="G19" s="359">
        <f>'Func Future Lines 2015'!G19</f>
        <v>455201.94438484032</v>
      </c>
      <c r="H19" s="359" t="str">
        <f>'Func Future Lines 2015'!H19</f>
        <v>AltaLink</v>
      </c>
      <c r="I19" s="359">
        <f>'Func Future Lines 2015'!I19</f>
        <v>2015</v>
      </c>
      <c r="J19" s="361">
        <f>+IF($I19=J$3,VLOOKUP($H19,Depreciation!$A$6:$L$10,7,FALSE)/2,IF($I19&lt;J$3,VLOOKUP($H19,Depreciation!$A$6:$L$10,7,FALSE),0))</f>
        <v>1.595020804044691E-2</v>
      </c>
      <c r="K19" s="361">
        <f>+IF($I19=K$3,VLOOKUP($H19,Depreciation!$A$6:$L$10,8,FALSE)/2,IF($I19&lt;K$3,VLOOKUP($H19,Depreciation!$A$6:$L$10,8,FALSE),0))</f>
        <v>3.0676363676126896E-2</v>
      </c>
      <c r="L19" s="361">
        <f>+IF($I19=L$3,VLOOKUP($H19,Depreciation!$A$6:$L$10,9,FALSE)/2,IF($I19&lt;L$3,VLOOKUP($H19,Depreciation!$A$6:$L$10,9,FALSE),0))</f>
        <v>3.0676363676126896E-2</v>
      </c>
      <c r="M19" s="361">
        <f>+IF($I19=M$3,VLOOKUP($H19,Depreciation!$A$6:$L$10,10,FALSE)/2,IF($I19&lt;M$3,VLOOKUP($H19,Depreciation!$A$6:$L$10,10,FALSE),0))</f>
        <v>3.0676363676126896E-2</v>
      </c>
      <c r="N19" s="361">
        <f>+IF($I19=N$3,VLOOKUP($H19,Depreciation!$A$6:$L$10,11,FALSE)/2,IF($I19&lt;N$3,VLOOKUP($H19,Depreciation!$A$6:$L$10,11,FALSE),0))</f>
        <v>3.0676363676126896E-2</v>
      </c>
      <c r="O19" s="361">
        <f>+IF($I19=O$3,VLOOKUP($H19,Depreciation!$A$6:$L$10,12,FALSE)/2,IF($I19&lt;O$3,VLOOKUP($H19,Depreciation!$A$6:$L$10,12,FALSE),0))</f>
        <v>3.0676363676126896E-2</v>
      </c>
      <c r="P19" s="362">
        <f t="shared" si="2"/>
        <v>407969.40104606375</v>
      </c>
      <c r="Q19" s="362">
        <f t="shared" si="3"/>
        <v>0</v>
      </c>
      <c r="R19" s="363">
        <f t="shared" si="4"/>
        <v>407969.40104606375</v>
      </c>
      <c r="Y19" s="365"/>
    </row>
    <row r="20" spans="1:25" ht="15" customHeight="1">
      <c r="A20" s="359" t="str">
        <f>'Func Future Lines 2015'!A20</f>
        <v>FINAL</v>
      </c>
      <c r="B20" s="359" t="str">
        <f>'Func Future Lines 2015'!B20</f>
        <v>874L</v>
      </c>
      <c r="C20" s="359">
        <f>'Func Future Lines 2015'!C20</f>
        <v>629</v>
      </c>
      <c r="D20" s="359">
        <f>'Func Future Lines 2015'!D20</f>
        <v>138</v>
      </c>
      <c r="E20" s="359">
        <f>'Func Future Lines 2015'!E20</f>
        <v>0</v>
      </c>
      <c r="F20" s="359">
        <f>'Func Future Lines 2015'!F20</f>
        <v>0</v>
      </c>
      <c r="G20" s="359">
        <f>'Func Future Lines 2015'!G20</f>
        <v>17456.145804520598</v>
      </c>
      <c r="H20" s="359" t="str">
        <f>'Func Future Lines 2015'!H20</f>
        <v>AltaLink</v>
      </c>
      <c r="I20" s="359">
        <f>'Func Future Lines 2015'!I20</f>
        <v>2015</v>
      </c>
      <c r="J20" s="361">
        <f>+IF($I20=J$3,VLOOKUP($H20,Depreciation!$A$6:$L$10,7,FALSE)/2,IF($I20&lt;J$3,VLOOKUP($H20,Depreciation!$A$6:$L$10,7,FALSE),0))</f>
        <v>1.595020804044691E-2</v>
      </c>
      <c r="K20" s="361">
        <f>+IF($I20=K$3,VLOOKUP($H20,Depreciation!$A$6:$L$10,8,FALSE)/2,IF($I20&lt;K$3,VLOOKUP($H20,Depreciation!$A$6:$L$10,8,FALSE),0))</f>
        <v>3.0676363676126896E-2</v>
      </c>
      <c r="L20" s="361">
        <f>+IF($I20=L$3,VLOOKUP($H20,Depreciation!$A$6:$L$10,9,FALSE)/2,IF($I20&lt;L$3,VLOOKUP($H20,Depreciation!$A$6:$L$10,9,FALSE),0))</f>
        <v>3.0676363676126896E-2</v>
      </c>
      <c r="M20" s="361">
        <f>+IF($I20=M$3,VLOOKUP($H20,Depreciation!$A$6:$L$10,10,FALSE)/2,IF($I20&lt;M$3,VLOOKUP($H20,Depreciation!$A$6:$L$10,10,FALSE),0))</f>
        <v>3.0676363676126896E-2</v>
      </c>
      <c r="N20" s="361">
        <f>+IF($I20=N$3,VLOOKUP($H20,Depreciation!$A$6:$L$10,11,FALSE)/2,IF($I20&lt;N$3,VLOOKUP($H20,Depreciation!$A$6:$L$10,11,FALSE),0))</f>
        <v>3.0676363676126896E-2</v>
      </c>
      <c r="O20" s="361">
        <f>+IF($I20=O$3,VLOOKUP($H20,Depreciation!$A$6:$L$10,12,FALSE)/2,IF($I20&lt;O$3,VLOOKUP($H20,Depreciation!$A$6:$L$10,12,FALSE),0))</f>
        <v>3.0676363676126896E-2</v>
      </c>
      <c r="P20" s="362">
        <f t="shared" si="2"/>
        <v>15644.865836562096</v>
      </c>
      <c r="Q20" s="362">
        <f t="shared" si="3"/>
        <v>0</v>
      </c>
      <c r="R20" s="363">
        <f t="shared" si="4"/>
        <v>15644.865836562096</v>
      </c>
      <c r="Y20" s="365"/>
    </row>
    <row r="21" spans="1:25" ht="15" customHeight="1">
      <c r="A21" s="359" t="str">
        <f>'Func Future Lines 2015'!A21</f>
        <v>FINAL</v>
      </c>
      <c r="B21" s="359" t="str">
        <f>'Func Future Lines 2015'!B21</f>
        <v>908L</v>
      </c>
      <c r="C21" s="359">
        <f>'Func Future Lines 2015'!C21</f>
        <v>629</v>
      </c>
      <c r="D21" s="359">
        <f>'Func Future Lines 2015'!D21</f>
        <v>240</v>
      </c>
      <c r="E21" s="359">
        <f>'Func Future Lines 2015'!E21</f>
        <v>0</v>
      </c>
      <c r="F21" s="359">
        <f>'Func Future Lines 2015'!F21</f>
        <v>0</v>
      </c>
      <c r="G21" s="359">
        <f>'Func Future Lines 2015'!G21</f>
        <v>2529823.4403768573</v>
      </c>
      <c r="H21" s="359" t="str">
        <f>'Func Future Lines 2015'!H21</f>
        <v>AltaLink</v>
      </c>
      <c r="I21" s="359">
        <f>'Func Future Lines 2015'!I21</f>
        <v>2015</v>
      </c>
      <c r="J21" s="361">
        <f>+IF($I21=J$3,VLOOKUP($H21,Depreciation!$A$6:$L$10,7,FALSE)/2,IF($I21&lt;J$3,VLOOKUP($H21,Depreciation!$A$6:$L$10,7,FALSE),0))</f>
        <v>1.595020804044691E-2</v>
      </c>
      <c r="K21" s="361">
        <f>+IF($I21=K$3,VLOOKUP($H21,Depreciation!$A$6:$L$10,8,FALSE)/2,IF($I21&lt;K$3,VLOOKUP($H21,Depreciation!$A$6:$L$10,8,FALSE),0))</f>
        <v>3.0676363676126896E-2</v>
      </c>
      <c r="L21" s="361">
        <f>+IF($I21=L$3,VLOOKUP($H21,Depreciation!$A$6:$L$10,9,FALSE)/2,IF($I21&lt;L$3,VLOOKUP($H21,Depreciation!$A$6:$L$10,9,FALSE),0))</f>
        <v>3.0676363676126896E-2</v>
      </c>
      <c r="M21" s="361">
        <f>+IF($I21=M$3,VLOOKUP($H21,Depreciation!$A$6:$L$10,10,FALSE)/2,IF($I21&lt;M$3,VLOOKUP($H21,Depreciation!$A$6:$L$10,10,FALSE),0))</f>
        <v>3.0676363676126896E-2</v>
      </c>
      <c r="N21" s="361">
        <f>+IF($I21=N$3,VLOOKUP($H21,Depreciation!$A$6:$L$10,11,FALSE)/2,IF($I21&lt;N$3,VLOOKUP($H21,Depreciation!$A$6:$L$10,11,FALSE),0))</f>
        <v>3.0676363676126896E-2</v>
      </c>
      <c r="O21" s="361">
        <f>+IF($I21=O$3,VLOOKUP($H21,Depreciation!$A$6:$L$10,12,FALSE)/2,IF($I21&lt;O$3,VLOOKUP($H21,Depreciation!$A$6:$L$10,12,FALSE),0))</f>
        <v>3.0676363676126896E-2</v>
      </c>
      <c r="P21" s="362">
        <f t="shared" si="2"/>
        <v>2267324.5719932183</v>
      </c>
      <c r="Q21" s="362">
        <f t="shared" si="3"/>
        <v>2267324.5719932183</v>
      </c>
      <c r="R21" s="363">
        <f t="shared" si="4"/>
        <v>0</v>
      </c>
      <c r="Y21" s="365"/>
    </row>
    <row r="22" spans="1:25" ht="15" customHeight="1">
      <c r="A22" s="359" t="str">
        <f>'Func Future Lines 2015'!A22</f>
        <v>FINAL</v>
      </c>
      <c r="B22" s="359" t="str">
        <f>'Func Future Lines 2015'!B22</f>
        <v>920/921L</v>
      </c>
      <c r="C22" s="359">
        <f>'Func Future Lines 2015'!C22</f>
        <v>629</v>
      </c>
      <c r="D22" s="359">
        <f>'Func Future Lines 2015'!D22</f>
        <v>240</v>
      </c>
      <c r="E22" s="359">
        <f>'Func Future Lines 2015'!E22</f>
        <v>0</v>
      </c>
      <c r="F22" s="359">
        <f>'Func Future Lines 2015'!F22</f>
        <v>0</v>
      </c>
      <c r="G22" s="359">
        <f>'Func Future Lines 2015'!G22</f>
        <v>6789772.358134713</v>
      </c>
      <c r="H22" s="359" t="str">
        <f>'Func Future Lines 2015'!H22</f>
        <v>AltaLink</v>
      </c>
      <c r="I22" s="359">
        <f>'Func Future Lines 2015'!I22</f>
        <v>2015</v>
      </c>
      <c r="J22" s="361">
        <f>+IF($I22=J$3,VLOOKUP($H22,Depreciation!$A$6:$L$10,7,FALSE)/2,IF($I22&lt;J$3,VLOOKUP($H22,Depreciation!$A$6:$L$10,7,FALSE),0))</f>
        <v>1.595020804044691E-2</v>
      </c>
      <c r="K22" s="361">
        <f>+IF($I22=K$3,VLOOKUP($H22,Depreciation!$A$6:$L$10,8,FALSE)/2,IF($I22&lt;K$3,VLOOKUP($H22,Depreciation!$A$6:$L$10,8,FALSE),0))</f>
        <v>3.0676363676126896E-2</v>
      </c>
      <c r="L22" s="361">
        <f>+IF($I22=L$3,VLOOKUP($H22,Depreciation!$A$6:$L$10,9,FALSE)/2,IF($I22&lt;L$3,VLOOKUP($H22,Depreciation!$A$6:$L$10,9,FALSE),0))</f>
        <v>3.0676363676126896E-2</v>
      </c>
      <c r="M22" s="361">
        <f>+IF($I22=M$3,VLOOKUP($H22,Depreciation!$A$6:$L$10,10,FALSE)/2,IF($I22&lt;M$3,VLOOKUP($H22,Depreciation!$A$6:$L$10,10,FALSE),0))</f>
        <v>3.0676363676126896E-2</v>
      </c>
      <c r="N22" s="361">
        <f>+IF($I22=N$3,VLOOKUP($H22,Depreciation!$A$6:$L$10,11,FALSE)/2,IF($I22&lt;N$3,VLOOKUP($H22,Depreciation!$A$6:$L$10,11,FALSE),0))</f>
        <v>3.0676363676126896E-2</v>
      </c>
      <c r="O22" s="361">
        <f>+IF($I22=O$3,VLOOKUP($H22,Depreciation!$A$6:$L$10,12,FALSE)/2,IF($I22&lt;O$3,VLOOKUP($H22,Depreciation!$A$6:$L$10,12,FALSE),0))</f>
        <v>3.0676363676126896E-2</v>
      </c>
      <c r="P22" s="362">
        <f t="shared" si="2"/>
        <v>6085253.8007735042</v>
      </c>
      <c r="Q22" s="362">
        <f t="shared" si="3"/>
        <v>6085253.8007735042</v>
      </c>
      <c r="R22" s="363">
        <f t="shared" si="4"/>
        <v>0</v>
      </c>
      <c r="Y22" s="365"/>
    </row>
    <row r="23" spans="1:25" ht="15" customHeight="1">
      <c r="A23" s="359" t="str">
        <f>'Func Future Lines 2015'!A23</f>
        <v>FINAL</v>
      </c>
      <c r="B23" s="359" t="str">
        <f>'Func Future Lines 2015'!B23</f>
        <v>946L</v>
      </c>
      <c r="C23" s="359">
        <f>'Func Future Lines 2015'!C23</f>
        <v>629</v>
      </c>
      <c r="D23" s="359">
        <f>'Func Future Lines 2015'!D23</f>
        <v>240</v>
      </c>
      <c r="E23" s="359">
        <f>'Func Future Lines 2015'!E23</f>
        <v>0</v>
      </c>
      <c r="F23" s="359">
        <f>'Func Future Lines 2015'!F23</f>
        <v>0</v>
      </c>
      <c r="G23" s="359">
        <f>'Func Future Lines 2015'!G23</f>
        <v>2351204.2774664294</v>
      </c>
      <c r="H23" s="359" t="str">
        <f>'Func Future Lines 2015'!H23</f>
        <v>AltaLink</v>
      </c>
      <c r="I23" s="359">
        <f>'Func Future Lines 2015'!I23</f>
        <v>2015</v>
      </c>
      <c r="J23" s="361">
        <f>+IF($I23=J$3,VLOOKUP($H23,Depreciation!$A$6:$L$10,7,FALSE)/2,IF($I23&lt;J$3,VLOOKUP($H23,Depreciation!$A$6:$L$10,7,FALSE),0))</f>
        <v>1.595020804044691E-2</v>
      </c>
      <c r="K23" s="361">
        <f>+IF($I23=K$3,VLOOKUP($H23,Depreciation!$A$6:$L$10,8,FALSE)/2,IF($I23&lt;K$3,VLOOKUP($H23,Depreciation!$A$6:$L$10,8,FALSE),0))</f>
        <v>3.0676363676126896E-2</v>
      </c>
      <c r="L23" s="361">
        <f>+IF($I23=L$3,VLOOKUP($H23,Depreciation!$A$6:$L$10,9,FALSE)/2,IF($I23&lt;L$3,VLOOKUP($H23,Depreciation!$A$6:$L$10,9,FALSE),0))</f>
        <v>3.0676363676126896E-2</v>
      </c>
      <c r="M23" s="361">
        <f>+IF($I23=M$3,VLOOKUP($H23,Depreciation!$A$6:$L$10,10,FALSE)/2,IF($I23&lt;M$3,VLOOKUP($H23,Depreciation!$A$6:$L$10,10,FALSE),0))</f>
        <v>3.0676363676126896E-2</v>
      </c>
      <c r="N23" s="361">
        <f>+IF($I23=N$3,VLOOKUP($H23,Depreciation!$A$6:$L$10,11,FALSE)/2,IF($I23&lt;N$3,VLOOKUP($H23,Depreciation!$A$6:$L$10,11,FALSE),0))</f>
        <v>3.0676363676126896E-2</v>
      </c>
      <c r="O23" s="361">
        <f>+IF($I23=O$3,VLOOKUP($H23,Depreciation!$A$6:$L$10,12,FALSE)/2,IF($I23&lt;O$3,VLOOKUP($H23,Depreciation!$A$6:$L$10,12,FALSE),0))</f>
        <v>3.0676363676126896E-2</v>
      </c>
      <c r="P23" s="362">
        <f t="shared" si="2"/>
        <v>2107239.2432576511</v>
      </c>
      <c r="Q23" s="362">
        <f t="shared" si="3"/>
        <v>2107239.2432576511</v>
      </c>
      <c r="R23" s="363">
        <f t="shared" si="4"/>
        <v>0</v>
      </c>
      <c r="Y23" s="365"/>
    </row>
    <row r="24" spans="1:25" ht="15" customHeight="1">
      <c r="A24" s="359" t="str">
        <f>'Func Future Lines 2015'!A24</f>
        <v>FINAL</v>
      </c>
      <c r="B24" s="359" t="str">
        <f>'Func Future Lines 2015'!B24</f>
        <v>947L</v>
      </c>
      <c r="C24" s="359">
        <f>'Func Future Lines 2015'!C24</f>
        <v>629</v>
      </c>
      <c r="D24" s="359">
        <f>'Func Future Lines 2015'!D24</f>
        <v>240</v>
      </c>
      <c r="E24" s="359">
        <f>'Func Future Lines 2015'!E24</f>
        <v>0</v>
      </c>
      <c r="F24" s="359">
        <f>'Func Future Lines 2015'!F24</f>
        <v>0</v>
      </c>
      <c r="G24" s="359">
        <f>'Func Future Lines 2015'!G24</f>
        <v>1685761.0563939137</v>
      </c>
      <c r="H24" s="359" t="str">
        <f>'Func Future Lines 2015'!H24</f>
        <v>AltaLink</v>
      </c>
      <c r="I24" s="359">
        <f>'Func Future Lines 2015'!I24</f>
        <v>2015</v>
      </c>
      <c r="J24" s="361">
        <f>+IF($I24=J$3,VLOOKUP($H24,Depreciation!$A$6:$L$10,7,FALSE)/2,IF($I24&lt;J$3,VLOOKUP($H24,Depreciation!$A$6:$L$10,7,FALSE),0))</f>
        <v>1.595020804044691E-2</v>
      </c>
      <c r="K24" s="361">
        <f>+IF($I24=K$3,VLOOKUP($H24,Depreciation!$A$6:$L$10,8,FALSE)/2,IF($I24&lt;K$3,VLOOKUP($H24,Depreciation!$A$6:$L$10,8,FALSE),0))</f>
        <v>3.0676363676126896E-2</v>
      </c>
      <c r="L24" s="361">
        <f>+IF($I24=L$3,VLOOKUP($H24,Depreciation!$A$6:$L$10,9,FALSE)/2,IF($I24&lt;L$3,VLOOKUP($H24,Depreciation!$A$6:$L$10,9,FALSE),0))</f>
        <v>3.0676363676126896E-2</v>
      </c>
      <c r="M24" s="361">
        <f>+IF($I24=M$3,VLOOKUP($H24,Depreciation!$A$6:$L$10,10,FALSE)/2,IF($I24&lt;M$3,VLOOKUP($H24,Depreciation!$A$6:$L$10,10,FALSE),0))</f>
        <v>3.0676363676126896E-2</v>
      </c>
      <c r="N24" s="361">
        <f>+IF($I24=N$3,VLOOKUP($H24,Depreciation!$A$6:$L$10,11,FALSE)/2,IF($I24&lt;N$3,VLOOKUP($H24,Depreciation!$A$6:$L$10,11,FALSE),0))</f>
        <v>3.0676363676126896E-2</v>
      </c>
      <c r="O24" s="361">
        <f>+IF($I24=O$3,VLOOKUP($H24,Depreciation!$A$6:$L$10,12,FALSE)/2,IF($I24&lt;O$3,VLOOKUP($H24,Depreciation!$A$6:$L$10,12,FALSE),0))</f>
        <v>3.0676363676126896E-2</v>
      </c>
      <c r="P24" s="362">
        <f t="shared" si="2"/>
        <v>1510843.5650757486</v>
      </c>
      <c r="Q24" s="362">
        <f t="shared" si="3"/>
        <v>1510843.5650757486</v>
      </c>
      <c r="R24" s="363">
        <f t="shared" si="4"/>
        <v>0</v>
      </c>
      <c r="Y24" s="365"/>
    </row>
    <row r="25" spans="1:25" ht="15" customHeight="1">
      <c r="A25" s="359" t="str">
        <f>'Func Future Lines 2015'!A25</f>
        <v>PPS</v>
      </c>
      <c r="B25" s="359" t="str">
        <f>'Func Future Lines 2015'!B25</f>
        <v>9L12</v>
      </c>
      <c r="C25" s="359">
        <f>'Func Future Lines 2015'!C25</f>
        <v>635</v>
      </c>
      <c r="D25" s="359">
        <f>'Func Future Lines 2015'!D25</f>
        <v>240</v>
      </c>
      <c r="E25" s="359">
        <f>'Func Future Lines 2015'!E25</f>
        <v>0</v>
      </c>
      <c r="F25" s="359" t="str">
        <f>'Func Future Lines 2015'!F25</f>
        <v>Hanna</v>
      </c>
      <c r="G25" s="359">
        <f>'Func Future Lines 2015'!G25</f>
        <v>427021.60758395493</v>
      </c>
      <c r="H25" s="359" t="str">
        <f>'Func Future Lines 2015'!H25</f>
        <v>ATCO</v>
      </c>
      <c r="I25" s="359">
        <f>'Func Future Lines 2015'!I25</f>
        <v>2019</v>
      </c>
      <c r="J25" s="361">
        <f>+IF($I25=J$3,VLOOKUP($H25,Depreciation!$A$6:$L$10,7,FALSE)/2,IF($I25&lt;J$3,VLOOKUP($H25,Depreciation!$A$6:$L$10,7,FALSE),0))</f>
        <v>0</v>
      </c>
      <c r="K25" s="361">
        <f>+IF($I25=K$3,VLOOKUP($H25,Depreciation!$A$6:$L$10,8,FALSE)/2,IF($I25&lt;K$3,VLOOKUP($H25,Depreciation!$A$6:$L$10,8,FALSE),0))</f>
        <v>0</v>
      </c>
      <c r="L25" s="361">
        <f>+IF($I25=L$3,VLOOKUP($H25,Depreciation!$A$6:$L$10,9,FALSE)/2,IF($I25&lt;L$3,VLOOKUP($H25,Depreciation!$A$6:$L$10,9,FALSE),0))</f>
        <v>0</v>
      </c>
      <c r="M25" s="361">
        <f>+IF($I25=M$3,VLOOKUP($H25,Depreciation!$A$6:$L$10,10,FALSE)/2,IF($I25&lt;M$3,VLOOKUP($H25,Depreciation!$A$6:$L$10,10,FALSE),0))</f>
        <v>0</v>
      </c>
      <c r="N25" s="361">
        <f>+IF($I25=N$3,VLOOKUP($H25,Depreciation!$A$6:$L$10,11,FALSE)/2,IF($I25&lt;N$3,VLOOKUP($H25,Depreciation!$A$6:$L$10,11,FALSE),0))</f>
        <v>1.2001018963427959E-2</v>
      </c>
      <c r="O25" s="361">
        <f>+IF($I25=O$3,VLOOKUP($H25,Depreciation!$A$6:$L$10,12,FALSE)/2,IF($I25&lt;O$3,VLOOKUP($H25,Depreciation!$A$6:$L$10,12,FALSE),0))</f>
        <v>2.4002037926855919E-2</v>
      </c>
      <c r="P25" s="362">
        <f t="shared" si="2"/>
        <v>0</v>
      </c>
      <c r="Q25" s="362">
        <f t="shared" si="3"/>
        <v>0</v>
      </c>
      <c r="R25" s="363">
        <f t="shared" si="4"/>
        <v>0</v>
      </c>
      <c r="Y25" s="365"/>
    </row>
    <row r="26" spans="1:25" ht="15" customHeight="1">
      <c r="A26" s="359" t="str">
        <f>'Func Future Lines 2015'!A26</f>
        <v>PPS</v>
      </c>
      <c r="B26" s="359" t="str">
        <f>'Func Future Lines 2015'!B26</f>
        <v>9L38 &amp; 9L94</v>
      </c>
      <c r="C26" s="359">
        <f>'Func Future Lines 2015'!C26</f>
        <v>635</v>
      </c>
      <c r="D26" s="359">
        <f>'Func Future Lines 2015'!D26</f>
        <v>240</v>
      </c>
      <c r="E26" s="359">
        <f>'Func Future Lines 2015'!E26</f>
        <v>0</v>
      </c>
      <c r="F26" s="359" t="str">
        <f>'Func Future Lines 2015'!F26</f>
        <v>Hanna</v>
      </c>
      <c r="G26" s="359">
        <f>'Func Future Lines 2015'!G26</f>
        <v>3545608.0808741758</v>
      </c>
      <c r="H26" s="359" t="str">
        <f>'Func Future Lines 2015'!H26</f>
        <v>ATCO</v>
      </c>
      <c r="I26" s="359">
        <f>'Func Future Lines 2015'!I26</f>
        <v>2019</v>
      </c>
      <c r="J26" s="361">
        <f>+IF($I26=J$3,VLOOKUP($H26,Depreciation!$A$6:$L$10,7,FALSE)/2,IF($I26&lt;J$3,VLOOKUP($H26,Depreciation!$A$6:$L$10,7,FALSE),0))</f>
        <v>0</v>
      </c>
      <c r="K26" s="361">
        <f>+IF($I26=K$3,VLOOKUP($H26,Depreciation!$A$6:$L$10,8,FALSE)/2,IF($I26&lt;K$3,VLOOKUP($H26,Depreciation!$A$6:$L$10,8,FALSE),0))</f>
        <v>0</v>
      </c>
      <c r="L26" s="361">
        <f>+IF($I26=L$3,VLOOKUP($H26,Depreciation!$A$6:$L$10,9,FALSE)/2,IF($I26&lt;L$3,VLOOKUP($H26,Depreciation!$A$6:$L$10,9,FALSE),0))</f>
        <v>0</v>
      </c>
      <c r="M26" s="361">
        <f>+IF($I26=M$3,VLOOKUP($H26,Depreciation!$A$6:$L$10,10,FALSE)/2,IF($I26&lt;M$3,VLOOKUP($H26,Depreciation!$A$6:$L$10,10,FALSE),0))</f>
        <v>0</v>
      </c>
      <c r="N26" s="361">
        <f>+IF($I26=N$3,VLOOKUP($H26,Depreciation!$A$6:$L$10,11,FALSE)/2,IF($I26&lt;N$3,VLOOKUP($H26,Depreciation!$A$6:$L$10,11,FALSE),0))</f>
        <v>1.2001018963427959E-2</v>
      </c>
      <c r="O26" s="361">
        <f>+IF($I26=O$3,VLOOKUP($H26,Depreciation!$A$6:$L$10,12,FALSE)/2,IF($I26&lt;O$3,VLOOKUP($H26,Depreciation!$A$6:$L$10,12,FALSE),0))</f>
        <v>2.4002037926855919E-2</v>
      </c>
      <c r="P26" s="362">
        <f t="shared" si="2"/>
        <v>0</v>
      </c>
      <c r="Q26" s="362">
        <f t="shared" si="3"/>
        <v>0</v>
      </c>
      <c r="R26" s="363">
        <f t="shared" si="4"/>
        <v>0</v>
      </c>
      <c r="U26" s="366"/>
      <c r="Y26" s="365"/>
    </row>
    <row r="27" spans="1:25" ht="15" customHeight="1">
      <c r="A27" s="359" t="str">
        <f>'Func Future Lines 2015'!A27</f>
        <v>PPS</v>
      </c>
      <c r="B27" s="359" t="str">
        <f>'Func Future Lines 2015'!B27</f>
        <v>9L94 line version 2</v>
      </c>
      <c r="C27" s="359">
        <f>'Func Future Lines 2015'!C27</f>
        <v>678</v>
      </c>
      <c r="D27" s="359">
        <f>'Func Future Lines 2015'!D27</f>
        <v>240</v>
      </c>
      <c r="E27" s="359">
        <f>'Func Future Lines 2015'!E27</f>
        <v>0</v>
      </c>
      <c r="F27" s="359">
        <f>'Func Future Lines 2015'!F27</f>
        <v>0</v>
      </c>
      <c r="G27" s="359">
        <f>'Func Future Lines 2015'!G27</f>
        <v>17467872.448014654</v>
      </c>
      <c r="H27" s="359" t="str">
        <f>'Func Future Lines 2015'!H27</f>
        <v>ATCO</v>
      </c>
      <c r="I27" s="359">
        <f>'Func Future Lines 2015'!I27</f>
        <v>2019</v>
      </c>
      <c r="J27" s="361">
        <f>+IF($I27=J$3,VLOOKUP($H27,Depreciation!$A$6:$L$10,7,FALSE)/2,IF($I27&lt;J$3,VLOOKUP($H27,Depreciation!$A$6:$L$10,7,FALSE),0))</f>
        <v>0</v>
      </c>
      <c r="K27" s="361">
        <f>+IF($I27=K$3,VLOOKUP($H27,Depreciation!$A$6:$L$10,8,FALSE)/2,IF($I27&lt;K$3,VLOOKUP($H27,Depreciation!$A$6:$L$10,8,FALSE),0))</f>
        <v>0</v>
      </c>
      <c r="L27" s="361">
        <f>+IF($I27=L$3,VLOOKUP($H27,Depreciation!$A$6:$L$10,9,FALSE)/2,IF($I27&lt;L$3,VLOOKUP($H27,Depreciation!$A$6:$L$10,9,FALSE),0))</f>
        <v>0</v>
      </c>
      <c r="M27" s="361">
        <f>+IF($I27=M$3,VLOOKUP($H27,Depreciation!$A$6:$L$10,10,FALSE)/2,IF($I27&lt;M$3,VLOOKUP($H27,Depreciation!$A$6:$L$10,10,FALSE),0))</f>
        <v>0</v>
      </c>
      <c r="N27" s="361">
        <f>+IF($I27=N$3,VLOOKUP($H27,Depreciation!$A$6:$L$10,11,FALSE)/2,IF($I27&lt;N$3,VLOOKUP($H27,Depreciation!$A$6:$L$10,11,FALSE),0))</f>
        <v>1.2001018963427959E-2</v>
      </c>
      <c r="O27" s="361">
        <f>+IF($I27=O$3,VLOOKUP($H27,Depreciation!$A$6:$L$10,12,FALSE)/2,IF($I27&lt;O$3,VLOOKUP($H27,Depreciation!$A$6:$L$10,12,FALSE),0))</f>
        <v>2.4002037926855919E-2</v>
      </c>
      <c r="P27" s="362">
        <f t="shared" si="2"/>
        <v>0</v>
      </c>
      <c r="Q27" s="362">
        <f t="shared" si="3"/>
        <v>0</v>
      </c>
      <c r="R27" s="363">
        <f t="shared" si="4"/>
        <v>0</v>
      </c>
      <c r="Y27" s="365"/>
    </row>
    <row r="28" spans="1:25" ht="15" customHeight="1">
      <c r="A28" s="359" t="str">
        <f>'Func Future Lines 2015'!A28</f>
        <v>PPS</v>
      </c>
      <c r="B28" s="359" t="str">
        <f>'Func Future Lines 2015'!B28</f>
        <v>983L/1074L_(v1)</v>
      </c>
      <c r="C28" s="359">
        <f>'Func Future Lines 2015'!C28</f>
        <v>693</v>
      </c>
      <c r="D28" s="359">
        <f>'Func Future Lines 2015'!D28</f>
        <v>240</v>
      </c>
      <c r="E28" s="359">
        <f>'Func Future Lines 2015'!E28</f>
        <v>0</v>
      </c>
      <c r="F28" s="359">
        <f>'Func Future Lines 2015'!F28</f>
        <v>0</v>
      </c>
      <c r="G28" s="359">
        <f>'Func Future Lines 2015'!G28</f>
        <v>1771692.0151243901</v>
      </c>
      <c r="H28" s="359" t="str">
        <f>'Func Future Lines 2015'!H28</f>
        <v>AltaLink</v>
      </c>
      <c r="I28" s="359">
        <f>'Func Future Lines 2015'!I28</f>
        <v>2019</v>
      </c>
      <c r="J28" s="361">
        <f>+IF($I28=J$3,VLOOKUP($H28,Depreciation!$A$6:$L$10,7,FALSE)/2,IF($I28&lt;J$3,VLOOKUP($H28,Depreciation!$A$6:$L$10,7,FALSE),0))</f>
        <v>0</v>
      </c>
      <c r="K28" s="361">
        <f>+IF($I28=K$3,VLOOKUP($H28,Depreciation!$A$6:$L$10,8,FALSE)/2,IF($I28&lt;K$3,VLOOKUP($H28,Depreciation!$A$6:$L$10,8,FALSE),0))</f>
        <v>0</v>
      </c>
      <c r="L28" s="361">
        <f>+IF($I28=L$3,VLOOKUP($H28,Depreciation!$A$6:$L$10,9,FALSE)/2,IF($I28&lt;L$3,VLOOKUP($H28,Depreciation!$A$6:$L$10,9,FALSE),0))</f>
        <v>0</v>
      </c>
      <c r="M28" s="361">
        <f>+IF($I28=M$3,VLOOKUP($H28,Depreciation!$A$6:$L$10,10,FALSE)/2,IF($I28&lt;M$3,VLOOKUP($H28,Depreciation!$A$6:$L$10,10,FALSE),0))</f>
        <v>0</v>
      </c>
      <c r="N28" s="361">
        <f>+IF($I28=N$3,VLOOKUP($H28,Depreciation!$A$6:$L$10,11,FALSE)/2,IF($I28&lt;N$3,VLOOKUP($H28,Depreciation!$A$6:$L$10,11,FALSE),0))</f>
        <v>1.5338181838063448E-2</v>
      </c>
      <c r="O28" s="361">
        <f>+IF($I28=O$3,VLOOKUP($H28,Depreciation!$A$6:$L$10,12,FALSE)/2,IF($I28&lt;O$3,VLOOKUP($H28,Depreciation!$A$6:$L$10,12,FALSE),0))</f>
        <v>3.0676363676126896E-2</v>
      </c>
      <c r="P28" s="362">
        <f t="shared" si="2"/>
        <v>0</v>
      </c>
      <c r="Q28" s="362">
        <f t="shared" si="3"/>
        <v>0</v>
      </c>
      <c r="R28" s="363">
        <f t="shared" si="4"/>
        <v>0</v>
      </c>
      <c r="Y28" s="365"/>
    </row>
    <row r="29" spans="1:25" ht="15" customHeight="1">
      <c r="A29" s="359" t="str">
        <f>'Func Future Lines 2015'!A29</f>
        <v>PPS</v>
      </c>
      <c r="B29" s="359" t="str">
        <f>'Func Future Lines 2015'!B29</f>
        <v>1003 UG</v>
      </c>
      <c r="C29" s="359">
        <f>'Func Future Lines 2015'!C29</f>
        <v>719</v>
      </c>
      <c r="D29" s="359">
        <f>'Func Future Lines 2015'!D29</f>
        <v>240</v>
      </c>
      <c r="E29" s="359">
        <f>'Func Future Lines 2015'!E29</f>
        <v>0</v>
      </c>
      <c r="F29" s="359" t="str">
        <f>'Func Future Lines 2015'!F29</f>
        <v>Calgary</v>
      </c>
      <c r="G29" s="359">
        <f>'Func Future Lines 2015'!G29</f>
        <v>4216204.8010803293</v>
      </c>
      <c r="H29" s="359" t="str">
        <f>'Func Future Lines 2015'!H29</f>
        <v>AltaLink</v>
      </c>
      <c r="I29" s="359">
        <f>'Func Future Lines 2015'!I29</f>
        <v>2015</v>
      </c>
      <c r="J29" s="361">
        <f>+IF($I29=J$3,VLOOKUP($H29,Depreciation!$A$6:$L$10,7,FALSE)/2,IF($I29&lt;J$3,VLOOKUP($H29,Depreciation!$A$6:$L$10,7,FALSE),0))</f>
        <v>1.595020804044691E-2</v>
      </c>
      <c r="K29" s="361">
        <f>+IF($I29=K$3,VLOOKUP($H29,Depreciation!$A$6:$L$10,8,FALSE)/2,IF($I29&lt;K$3,VLOOKUP($H29,Depreciation!$A$6:$L$10,8,FALSE),0))</f>
        <v>3.0676363676126896E-2</v>
      </c>
      <c r="L29" s="361">
        <f>+IF($I29=L$3,VLOOKUP($H29,Depreciation!$A$6:$L$10,9,FALSE)/2,IF($I29&lt;L$3,VLOOKUP($H29,Depreciation!$A$6:$L$10,9,FALSE),0))</f>
        <v>3.0676363676126896E-2</v>
      </c>
      <c r="M29" s="361">
        <f>+IF($I29=M$3,VLOOKUP($H29,Depreciation!$A$6:$L$10,10,FALSE)/2,IF($I29&lt;M$3,VLOOKUP($H29,Depreciation!$A$6:$L$10,10,FALSE),0))</f>
        <v>3.0676363676126896E-2</v>
      </c>
      <c r="N29" s="361">
        <f>+IF($I29=N$3,VLOOKUP($H29,Depreciation!$A$6:$L$10,11,FALSE)/2,IF($I29&lt;N$3,VLOOKUP($H29,Depreciation!$A$6:$L$10,11,FALSE),0))</f>
        <v>3.0676363676126896E-2</v>
      </c>
      <c r="O29" s="361">
        <f>+IF($I29=O$3,VLOOKUP($H29,Depreciation!$A$6:$L$10,12,FALSE)/2,IF($I29&lt;O$3,VLOOKUP($H29,Depreciation!$A$6:$L$10,12,FALSE),0))</f>
        <v>3.0676363676126896E-2</v>
      </c>
      <c r="P29" s="362">
        <f t="shared" si="2"/>
        <v>3778724.0775273913</v>
      </c>
      <c r="Q29" s="362">
        <f t="shared" si="3"/>
        <v>3778724.0775273913</v>
      </c>
      <c r="R29" s="363">
        <f t="shared" si="4"/>
        <v>0</v>
      </c>
      <c r="Y29" s="365"/>
    </row>
    <row r="30" spans="1:25" ht="15" customHeight="1">
      <c r="A30" s="359" t="str">
        <f>'Func Future Lines 2015'!A30</f>
        <v>PPS</v>
      </c>
      <c r="B30" s="359" t="str">
        <f>'Func Future Lines 2015'!B30</f>
        <v>1077L</v>
      </c>
      <c r="C30" s="359">
        <f>'Func Future Lines 2015'!C30</f>
        <v>719</v>
      </c>
      <c r="D30" s="359">
        <f>'Func Future Lines 2015'!D30</f>
        <v>240</v>
      </c>
      <c r="E30" s="359">
        <f>'Func Future Lines 2015'!E30</f>
        <v>0</v>
      </c>
      <c r="F30" s="359" t="str">
        <f>'Func Future Lines 2015'!F30</f>
        <v>Calgary</v>
      </c>
      <c r="G30" s="359">
        <f>'Func Future Lines 2015'!G30</f>
        <v>5877049.5211357661</v>
      </c>
      <c r="H30" s="359" t="str">
        <f>'Func Future Lines 2015'!H30</f>
        <v>AltaLink</v>
      </c>
      <c r="I30" s="359">
        <f>'Func Future Lines 2015'!I30</f>
        <v>2015</v>
      </c>
      <c r="J30" s="361">
        <f>+IF($I30=J$3,VLOOKUP($H30,Depreciation!$A$6:$L$10,7,FALSE)/2,IF($I30&lt;J$3,VLOOKUP($H30,Depreciation!$A$6:$L$10,7,FALSE),0))</f>
        <v>1.595020804044691E-2</v>
      </c>
      <c r="K30" s="361">
        <f>+IF($I30=K$3,VLOOKUP($H30,Depreciation!$A$6:$L$10,8,FALSE)/2,IF($I30&lt;K$3,VLOOKUP($H30,Depreciation!$A$6:$L$10,8,FALSE),0))</f>
        <v>3.0676363676126896E-2</v>
      </c>
      <c r="L30" s="361">
        <f>+IF($I30=L$3,VLOOKUP($H30,Depreciation!$A$6:$L$10,9,FALSE)/2,IF($I30&lt;L$3,VLOOKUP($H30,Depreciation!$A$6:$L$10,9,FALSE),0))</f>
        <v>3.0676363676126896E-2</v>
      </c>
      <c r="M30" s="361">
        <f>+IF($I30=M$3,VLOOKUP($H30,Depreciation!$A$6:$L$10,10,FALSE)/2,IF($I30&lt;M$3,VLOOKUP($H30,Depreciation!$A$6:$L$10,10,FALSE),0))</f>
        <v>3.0676363676126896E-2</v>
      </c>
      <c r="N30" s="361">
        <f>+IF($I30=N$3,VLOOKUP($H30,Depreciation!$A$6:$L$10,11,FALSE)/2,IF($I30&lt;N$3,VLOOKUP($H30,Depreciation!$A$6:$L$10,11,FALSE),0))</f>
        <v>3.0676363676126896E-2</v>
      </c>
      <c r="O30" s="361">
        <f>+IF($I30=O$3,VLOOKUP($H30,Depreciation!$A$6:$L$10,12,FALSE)/2,IF($I30&lt;O$3,VLOOKUP($H30,Depreciation!$A$6:$L$10,12,FALSE),0))</f>
        <v>3.0676363676126896E-2</v>
      </c>
      <c r="P30" s="362">
        <f t="shared" si="2"/>
        <v>5267236.6685428061</v>
      </c>
      <c r="Q30" s="362">
        <f t="shared" si="3"/>
        <v>5267236.6685428061</v>
      </c>
      <c r="R30" s="363">
        <f t="shared" si="4"/>
        <v>0</v>
      </c>
      <c r="Y30" s="365"/>
    </row>
    <row r="31" spans="1:25" ht="15" customHeight="1">
      <c r="A31" s="359" t="str">
        <f>'Func Future Lines 2015'!A31</f>
        <v>PPS</v>
      </c>
      <c r="B31" s="359" t="str">
        <f>'Func Future Lines 2015'!B31</f>
        <v>1077L UG</v>
      </c>
      <c r="C31" s="359">
        <f>'Func Future Lines 2015'!C31</f>
        <v>719</v>
      </c>
      <c r="D31" s="359">
        <f>'Func Future Lines 2015'!D31</f>
        <v>240</v>
      </c>
      <c r="E31" s="359">
        <f>'Func Future Lines 2015'!E31</f>
        <v>0</v>
      </c>
      <c r="F31" s="359" t="str">
        <f>'Func Future Lines 2015'!F31</f>
        <v>Calgary</v>
      </c>
      <c r="G31" s="359">
        <f>'Func Future Lines 2015'!G31</f>
        <v>2258581.6201425032</v>
      </c>
      <c r="H31" s="359" t="str">
        <f>'Func Future Lines 2015'!H31</f>
        <v>AltaLink</v>
      </c>
      <c r="I31" s="359">
        <f>'Func Future Lines 2015'!I31</f>
        <v>2015</v>
      </c>
      <c r="J31" s="361">
        <f>+IF($I31=J$3,VLOOKUP($H31,Depreciation!$A$6:$L$10,7,FALSE)/2,IF($I31&lt;J$3,VLOOKUP($H31,Depreciation!$A$6:$L$10,7,FALSE),0))</f>
        <v>1.595020804044691E-2</v>
      </c>
      <c r="K31" s="361">
        <f>+IF($I31=K$3,VLOOKUP($H31,Depreciation!$A$6:$L$10,8,FALSE)/2,IF($I31&lt;K$3,VLOOKUP($H31,Depreciation!$A$6:$L$10,8,FALSE),0))</f>
        <v>3.0676363676126896E-2</v>
      </c>
      <c r="L31" s="361">
        <f>+IF($I31=L$3,VLOOKUP($H31,Depreciation!$A$6:$L$10,9,FALSE)/2,IF($I31&lt;L$3,VLOOKUP($H31,Depreciation!$A$6:$L$10,9,FALSE),0))</f>
        <v>3.0676363676126896E-2</v>
      </c>
      <c r="M31" s="361">
        <f>+IF($I31=M$3,VLOOKUP($H31,Depreciation!$A$6:$L$10,10,FALSE)/2,IF($I31&lt;M$3,VLOOKUP($H31,Depreciation!$A$6:$L$10,10,FALSE),0))</f>
        <v>3.0676363676126896E-2</v>
      </c>
      <c r="N31" s="361">
        <f>+IF($I31=N$3,VLOOKUP($H31,Depreciation!$A$6:$L$10,11,FALSE)/2,IF($I31&lt;N$3,VLOOKUP($H31,Depreciation!$A$6:$L$10,11,FALSE),0))</f>
        <v>3.0676363676126896E-2</v>
      </c>
      <c r="O31" s="361">
        <f>+IF($I31=O$3,VLOOKUP($H31,Depreciation!$A$6:$L$10,12,FALSE)/2,IF($I31&lt;O$3,VLOOKUP($H31,Depreciation!$A$6:$L$10,12,FALSE),0))</f>
        <v>3.0676363676126896E-2</v>
      </c>
      <c r="P31" s="362">
        <f t="shared" si="2"/>
        <v>2024227.273520126</v>
      </c>
      <c r="Q31" s="362">
        <f t="shared" si="3"/>
        <v>2024227.273520126</v>
      </c>
      <c r="R31" s="363">
        <f t="shared" si="4"/>
        <v>0</v>
      </c>
      <c r="Y31" s="365"/>
    </row>
    <row r="32" spans="1:25" ht="15" customHeight="1">
      <c r="A32" s="359" t="str">
        <f>'Func Future Lines 2015'!A32</f>
        <v>PPS</v>
      </c>
      <c r="B32" s="359" t="str">
        <f>'Func Future Lines 2015'!B32</f>
        <v>138-2.80</v>
      </c>
      <c r="C32" s="359">
        <f>'Func Future Lines 2015'!C32</f>
        <v>719</v>
      </c>
      <c r="D32" s="359">
        <f>'Func Future Lines 2015'!D32</f>
        <v>138</v>
      </c>
      <c r="E32" s="359">
        <f>'Func Future Lines 2015'!E32</f>
        <v>0</v>
      </c>
      <c r="F32" s="359" t="str">
        <f>'Func Future Lines 2015'!F32</f>
        <v>Calgary</v>
      </c>
      <c r="G32" s="359">
        <f>'Func Future Lines 2015'!G32</f>
        <v>7170911.0867936574</v>
      </c>
      <c r="H32" s="359" t="str">
        <f>'Func Future Lines 2015'!H32</f>
        <v>ENMAX</v>
      </c>
      <c r="I32" s="359">
        <f>'Func Future Lines 2015'!I32</f>
        <v>2015</v>
      </c>
      <c r="J32" s="361">
        <f>+IF($I32=J$3,VLOOKUP($H32,Depreciation!$A$6:$L$10,7,FALSE)/2,IF($I32&lt;J$3,VLOOKUP($H32,Depreciation!$A$6:$L$10,7,FALSE),0))</f>
        <v>1.3475179084025525E-2</v>
      </c>
      <c r="K32" s="361">
        <f>+IF($I32=K$3,VLOOKUP($H32,Depreciation!$A$6:$L$10,8,FALSE)/2,IF($I32&lt;K$3,VLOOKUP($H32,Depreciation!$A$6:$L$10,8,FALSE),0))</f>
        <v>2.6950358168051049E-2</v>
      </c>
      <c r="L32" s="361">
        <f>+IF($I32=L$3,VLOOKUP($H32,Depreciation!$A$6:$L$10,9,FALSE)/2,IF($I32&lt;L$3,VLOOKUP($H32,Depreciation!$A$6:$L$10,9,FALSE),0))</f>
        <v>2.6950358168051049E-2</v>
      </c>
      <c r="M32" s="361">
        <f>+IF($I32=M$3,VLOOKUP($H32,Depreciation!$A$6:$L$10,10,FALSE)/2,IF($I32&lt;M$3,VLOOKUP($H32,Depreciation!$A$6:$L$10,10,FALSE),0))</f>
        <v>2.6950358168051049E-2</v>
      </c>
      <c r="N32" s="361">
        <f>+IF($I32=N$3,VLOOKUP($H32,Depreciation!$A$6:$L$10,11,FALSE)/2,IF($I32&lt;N$3,VLOOKUP($H32,Depreciation!$A$6:$L$10,11,FALSE),0))</f>
        <v>2.6950358168051049E-2</v>
      </c>
      <c r="O32" s="361">
        <f>+IF($I32=O$3,VLOOKUP($H32,Depreciation!$A$6:$L$10,12,FALSE)/2,IF($I32&lt;O$3,VLOOKUP($H32,Depreciation!$A$6:$L$10,12,FALSE),0))</f>
        <v>2.6950358168051049E-2</v>
      </c>
      <c r="P32" s="362">
        <f t="shared" si="2"/>
        <v>6517594.6316580474</v>
      </c>
      <c r="Q32" s="362">
        <f t="shared" si="3"/>
        <v>0</v>
      </c>
      <c r="R32" s="363">
        <f t="shared" si="4"/>
        <v>6517594.6316580474</v>
      </c>
      <c r="Y32" s="365"/>
    </row>
    <row r="33" spans="1:25" ht="15" customHeight="1">
      <c r="A33" s="359" t="str">
        <f>'Func Future Lines 2015'!A33</f>
        <v>PPS</v>
      </c>
      <c r="B33" s="359" t="str">
        <f>'Func Future Lines 2015'!B33</f>
        <v>138-23.80</v>
      </c>
      <c r="C33" s="359">
        <f>'Func Future Lines 2015'!C33</f>
        <v>719</v>
      </c>
      <c r="D33" s="359">
        <f>'Func Future Lines 2015'!D33</f>
        <v>138</v>
      </c>
      <c r="E33" s="359">
        <f>'Func Future Lines 2015'!E33</f>
        <v>0</v>
      </c>
      <c r="F33" s="359" t="str">
        <f>'Func Future Lines 2015'!F33</f>
        <v>Calgary</v>
      </c>
      <c r="G33" s="359">
        <f>'Func Future Lines 2015'!G33</f>
        <v>7724058.5663275765</v>
      </c>
      <c r="H33" s="359" t="str">
        <f>'Func Future Lines 2015'!H33</f>
        <v>ENMAX</v>
      </c>
      <c r="I33" s="359">
        <f>'Func Future Lines 2015'!I33</f>
        <v>2015</v>
      </c>
      <c r="J33" s="361">
        <f>+IF($I33=J$3,VLOOKUP($H33,Depreciation!$A$6:$L$10,7,FALSE)/2,IF($I33&lt;J$3,VLOOKUP($H33,Depreciation!$A$6:$L$10,7,FALSE),0))</f>
        <v>1.3475179084025525E-2</v>
      </c>
      <c r="K33" s="361">
        <f>+IF($I33=K$3,VLOOKUP($H33,Depreciation!$A$6:$L$10,8,FALSE)/2,IF($I33&lt;K$3,VLOOKUP($H33,Depreciation!$A$6:$L$10,8,FALSE),0))</f>
        <v>2.6950358168051049E-2</v>
      </c>
      <c r="L33" s="361">
        <f>+IF($I33=L$3,VLOOKUP($H33,Depreciation!$A$6:$L$10,9,FALSE)/2,IF($I33&lt;L$3,VLOOKUP($H33,Depreciation!$A$6:$L$10,9,FALSE),0))</f>
        <v>2.6950358168051049E-2</v>
      </c>
      <c r="M33" s="361">
        <f>+IF($I33=M$3,VLOOKUP($H33,Depreciation!$A$6:$L$10,10,FALSE)/2,IF($I33&lt;M$3,VLOOKUP($H33,Depreciation!$A$6:$L$10,10,FALSE),0))</f>
        <v>2.6950358168051049E-2</v>
      </c>
      <c r="N33" s="361">
        <f>+IF($I33=N$3,VLOOKUP($H33,Depreciation!$A$6:$L$10,11,FALSE)/2,IF($I33&lt;N$3,VLOOKUP($H33,Depreciation!$A$6:$L$10,11,FALSE),0))</f>
        <v>2.6950358168051049E-2</v>
      </c>
      <c r="O33" s="361">
        <f>+IF($I33=O$3,VLOOKUP($H33,Depreciation!$A$6:$L$10,12,FALSE)/2,IF($I33&lt;O$3,VLOOKUP($H33,Depreciation!$A$6:$L$10,12,FALSE),0))</f>
        <v>2.6950358168051049E-2</v>
      </c>
      <c r="P33" s="362">
        <f t="shared" si="2"/>
        <v>7020346.792365348</v>
      </c>
      <c r="Q33" s="362">
        <f t="shared" si="3"/>
        <v>0</v>
      </c>
      <c r="R33" s="363">
        <f t="shared" si="4"/>
        <v>7020346.792365348</v>
      </c>
      <c r="Y33" s="365"/>
    </row>
    <row r="34" spans="1:25" ht="15" customHeight="1">
      <c r="A34" s="359" t="str">
        <f>'Func Future Lines 2015'!A34</f>
        <v>PPS</v>
      </c>
      <c r="B34" s="359" t="str">
        <f>'Func Future Lines 2015'!B34</f>
        <v>2.80/2.81/2.82/2.83/833L U/G</v>
      </c>
      <c r="C34" s="359">
        <f>'Func Future Lines 2015'!C34</f>
        <v>719</v>
      </c>
      <c r="D34" s="359">
        <f>'Func Future Lines 2015'!D34</f>
        <v>240</v>
      </c>
      <c r="E34" s="359">
        <f>'Func Future Lines 2015'!E34</f>
        <v>0</v>
      </c>
      <c r="F34" s="359" t="str">
        <f>'Func Future Lines 2015'!F34</f>
        <v>Calgary</v>
      </c>
      <c r="G34" s="359">
        <f>'Func Future Lines 2015'!G34</f>
        <v>5095063.3611532655</v>
      </c>
      <c r="H34" s="359" t="str">
        <f>'Func Future Lines 2015'!H34</f>
        <v>ENMAX</v>
      </c>
      <c r="I34" s="359">
        <f>'Func Future Lines 2015'!I34</f>
        <v>2015</v>
      </c>
      <c r="J34" s="361">
        <f>+IF($I34=J$3,VLOOKUP($H34,Depreciation!$A$6:$L$10,7,FALSE)/2,IF($I34&lt;J$3,VLOOKUP($H34,Depreciation!$A$6:$L$10,7,FALSE),0))</f>
        <v>1.3475179084025525E-2</v>
      </c>
      <c r="K34" s="361">
        <f>+IF($I34=K$3,VLOOKUP($H34,Depreciation!$A$6:$L$10,8,FALSE)/2,IF($I34&lt;K$3,VLOOKUP($H34,Depreciation!$A$6:$L$10,8,FALSE),0))</f>
        <v>2.6950358168051049E-2</v>
      </c>
      <c r="L34" s="361">
        <f>+IF($I34=L$3,VLOOKUP($H34,Depreciation!$A$6:$L$10,9,FALSE)/2,IF($I34&lt;L$3,VLOOKUP($H34,Depreciation!$A$6:$L$10,9,FALSE),0))</f>
        <v>2.6950358168051049E-2</v>
      </c>
      <c r="M34" s="361">
        <f>+IF($I34=M$3,VLOOKUP($H34,Depreciation!$A$6:$L$10,10,FALSE)/2,IF($I34&lt;M$3,VLOOKUP($H34,Depreciation!$A$6:$L$10,10,FALSE),0))</f>
        <v>2.6950358168051049E-2</v>
      </c>
      <c r="N34" s="361">
        <f>+IF($I34=N$3,VLOOKUP($H34,Depreciation!$A$6:$L$10,11,FALSE)/2,IF($I34&lt;N$3,VLOOKUP($H34,Depreciation!$A$6:$L$10,11,FALSE),0))</f>
        <v>2.6950358168051049E-2</v>
      </c>
      <c r="O34" s="361">
        <f>+IF($I34=O$3,VLOOKUP($H34,Depreciation!$A$6:$L$10,12,FALSE)/2,IF($I34&lt;O$3,VLOOKUP($H34,Depreciation!$A$6:$L$10,12,FALSE),0))</f>
        <v>2.6950358168051049E-2</v>
      </c>
      <c r="P34" s="362">
        <f t="shared" si="2"/>
        <v>4630870.0817343816</v>
      </c>
      <c r="Q34" s="362">
        <f t="shared" si="3"/>
        <v>4630870.0817343816</v>
      </c>
      <c r="R34" s="363">
        <f t="shared" si="4"/>
        <v>0</v>
      </c>
      <c r="Y34" s="365"/>
    </row>
    <row r="35" spans="1:25" ht="15" customHeight="1">
      <c r="A35" s="359" t="str">
        <f>'Func Future Lines 2015'!A35</f>
        <v>PPS</v>
      </c>
      <c r="B35" s="359" t="str">
        <f>'Func Future Lines 2015'!B35</f>
        <v>23.80L</v>
      </c>
      <c r="C35" s="359">
        <f>'Func Future Lines 2015'!C35</f>
        <v>719</v>
      </c>
      <c r="D35" s="359">
        <f>'Func Future Lines 2015'!D35</f>
        <v>138</v>
      </c>
      <c r="E35" s="359">
        <f>'Func Future Lines 2015'!E35</f>
        <v>0</v>
      </c>
      <c r="F35" s="359" t="str">
        <f>'Func Future Lines 2015'!F35</f>
        <v>Calgary</v>
      </c>
      <c r="G35" s="359">
        <f>'Func Future Lines 2015'!G35</f>
        <v>18113.239396577752</v>
      </c>
      <c r="H35" s="359" t="str">
        <f>'Func Future Lines 2015'!H35</f>
        <v>AltaLink</v>
      </c>
      <c r="I35" s="359">
        <f>'Func Future Lines 2015'!I35</f>
        <v>2015</v>
      </c>
      <c r="J35" s="361">
        <f>+IF($I35=J$3,VLOOKUP($H35,Depreciation!$A$6:$L$10,7,FALSE)/2,IF($I35&lt;J$3,VLOOKUP($H35,Depreciation!$A$6:$L$10,7,FALSE),0))</f>
        <v>1.595020804044691E-2</v>
      </c>
      <c r="K35" s="361">
        <f>+IF($I35=K$3,VLOOKUP($H35,Depreciation!$A$6:$L$10,8,FALSE)/2,IF($I35&lt;K$3,VLOOKUP($H35,Depreciation!$A$6:$L$10,8,FALSE),0))</f>
        <v>3.0676363676126896E-2</v>
      </c>
      <c r="L35" s="361">
        <f>+IF($I35=L$3,VLOOKUP($H35,Depreciation!$A$6:$L$10,9,FALSE)/2,IF($I35&lt;L$3,VLOOKUP($H35,Depreciation!$A$6:$L$10,9,FALSE),0))</f>
        <v>3.0676363676126896E-2</v>
      </c>
      <c r="M35" s="361">
        <f>+IF($I35=M$3,VLOOKUP($H35,Depreciation!$A$6:$L$10,10,FALSE)/2,IF($I35&lt;M$3,VLOOKUP($H35,Depreciation!$A$6:$L$10,10,FALSE),0))</f>
        <v>3.0676363676126896E-2</v>
      </c>
      <c r="N35" s="361">
        <f>+IF($I35=N$3,VLOOKUP($H35,Depreciation!$A$6:$L$10,11,FALSE)/2,IF($I35&lt;N$3,VLOOKUP($H35,Depreciation!$A$6:$L$10,11,FALSE),0))</f>
        <v>3.0676363676126896E-2</v>
      </c>
      <c r="O35" s="361">
        <f>+IF($I35=O$3,VLOOKUP($H35,Depreciation!$A$6:$L$10,12,FALSE)/2,IF($I35&lt;O$3,VLOOKUP($H35,Depreciation!$A$6:$L$10,12,FALSE),0))</f>
        <v>3.0676363676126896E-2</v>
      </c>
      <c r="P35" s="362">
        <f t="shared" si="2"/>
        <v>16233.778257718466</v>
      </c>
      <c r="Q35" s="362">
        <f t="shared" si="3"/>
        <v>0</v>
      </c>
      <c r="R35" s="363">
        <f t="shared" si="4"/>
        <v>16233.778257718466</v>
      </c>
      <c r="Y35" s="365"/>
    </row>
    <row r="36" spans="1:25" ht="15" customHeight="1">
      <c r="A36" s="359" t="str">
        <f>'Func Future Lines 2015'!A36</f>
        <v>PPS</v>
      </c>
      <c r="B36" s="359" t="str">
        <f>'Func Future Lines 2015'!B36</f>
        <v>850L</v>
      </c>
      <c r="C36" s="359">
        <f>'Func Future Lines 2015'!C36</f>
        <v>719</v>
      </c>
      <c r="D36" s="359">
        <f>'Func Future Lines 2015'!D36</f>
        <v>138</v>
      </c>
      <c r="E36" s="359">
        <f>'Func Future Lines 2015'!E36</f>
        <v>0</v>
      </c>
      <c r="F36" s="359" t="str">
        <f>'Func Future Lines 2015'!F36</f>
        <v>Calgary</v>
      </c>
      <c r="G36" s="359">
        <f>'Func Future Lines 2015'!G36</f>
        <v>41799.783222871738</v>
      </c>
      <c r="H36" s="359" t="str">
        <f>'Func Future Lines 2015'!H36</f>
        <v>AltaLink</v>
      </c>
      <c r="I36" s="359">
        <f>'Func Future Lines 2015'!I36</f>
        <v>2015</v>
      </c>
      <c r="J36" s="361">
        <f>+IF($I36=J$3,VLOOKUP($H36,Depreciation!$A$6:$L$10,7,FALSE)/2,IF($I36&lt;J$3,VLOOKUP($H36,Depreciation!$A$6:$L$10,7,FALSE),0))</f>
        <v>1.595020804044691E-2</v>
      </c>
      <c r="K36" s="361">
        <f>+IF($I36=K$3,VLOOKUP($H36,Depreciation!$A$6:$L$10,8,FALSE)/2,IF($I36&lt;K$3,VLOOKUP($H36,Depreciation!$A$6:$L$10,8,FALSE),0))</f>
        <v>3.0676363676126896E-2</v>
      </c>
      <c r="L36" s="361">
        <f>+IF($I36=L$3,VLOOKUP($H36,Depreciation!$A$6:$L$10,9,FALSE)/2,IF($I36&lt;L$3,VLOOKUP($H36,Depreciation!$A$6:$L$10,9,FALSE),0))</f>
        <v>3.0676363676126896E-2</v>
      </c>
      <c r="M36" s="361">
        <f>+IF($I36=M$3,VLOOKUP($H36,Depreciation!$A$6:$L$10,10,FALSE)/2,IF($I36&lt;M$3,VLOOKUP($H36,Depreciation!$A$6:$L$10,10,FALSE),0))</f>
        <v>3.0676363676126896E-2</v>
      </c>
      <c r="N36" s="361">
        <f>+IF($I36=N$3,VLOOKUP($H36,Depreciation!$A$6:$L$10,11,FALSE)/2,IF($I36&lt;N$3,VLOOKUP($H36,Depreciation!$A$6:$L$10,11,FALSE),0))</f>
        <v>3.0676363676126896E-2</v>
      </c>
      <c r="O36" s="361">
        <f>+IF($I36=O$3,VLOOKUP($H36,Depreciation!$A$6:$L$10,12,FALSE)/2,IF($I36&lt;O$3,VLOOKUP($H36,Depreciation!$A$6:$L$10,12,FALSE),0))</f>
        <v>3.0676363676126896E-2</v>
      </c>
      <c r="P36" s="362">
        <f t="shared" si="2"/>
        <v>37462.565210119545</v>
      </c>
      <c r="Q36" s="362">
        <f t="shared" si="3"/>
        <v>0</v>
      </c>
      <c r="R36" s="363">
        <f t="shared" si="4"/>
        <v>37462.565210119545</v>
      </c>
      <c r="Y36" s="365"/>
    </row>
    <row r="37" spans="1:25" ht="15" customHeight="1">
      <c r="A37" s="359" t="str">
        <f>'Func Future Lines 2015'!A37</f>
        <v>PPS</v>
      </c>
      <c r="B37" s="359" t="str">
        <f>'Func Future Lines 2015'!B37</f>
        <v>911L</v>
      </c>
      <c r="C37" s="359">
        <f>'Func Future Lines 2015'!C37</f>
        <v>719</v>
      </c>
      <c r="D37" s="359">
        <f>'Func Future Lines 2015'!D37</f>
        <v>240</v>
      </c>
      <c r="E37" s="359">
        <f>'Func Future Lines 2015'!E37</f>
        <v>0</v>
      </c>
      <c r="F37" s="359" t="str">
        <f>'Func Future Lines 2015'!F37</f>
        <v>Calgary</v>
      </c>
      <c r="G37" s="359">
        <f>'Func Future Lines 2015'!G37</f>
        <v>613063.48726878548</v>
      </c>
      <c r="H37" s="359" t="str">
        <f>'Func Future Lines 2015'!H37</f>
        <v>AltaLink</v>
      </c>
      <c r="I37" s="359">
        <f>'Func Future Lines 2015'!I37</f>
        <v>2015</v>
      </c>
      <c r="J37" s="361">
        <f>+IF($I37=J$3,VLOOKUP($H37,Depreciation!$A$6:$L$10,7,FALSE)/2,IF($I37&lt;J$3,VLOOKUP($H37,Depreciation!$A$6:$L$10,7,FALSE),0))</f>
        <v>1.595020804044691E-2</v>
      </c>
      <c r="K37" s="361">
        <f>+IF($I37=K$3,VLOOKUP($H37,Depreciation!$A$6:$L$10,8,FALSE)/2,IF($I37&lt;K$3,VLOOKUP($H37,Depreciation!$A$6:$L$10,8,FALSE),0))</f>
        <v>3.0676363676126896E-2</v>
      </c>
      <c r="L37" s="361">
        <f>+IF($I37=L$3,VLOOKUP($H37,Depreciation!$A$6:$L$10,9,FALSE)/2,IF($I37&lt;L$3,VLOOKUP($H37,Depreciation!$A$6:$L$10,9,FALSE),0))</f>
        <v>3.0676363676126896E-2</v>
      </c>
      <c r="M37" s="361">
        <f>+IF($I37=M$3,VLOOKUP($H37,Depreciation!$A$6:$L$10,10,FALSE)/2,IF($I37&lt;M$3,VLOOKUP($H37,Depreciation!$A$6:$L$10,10,FALSE),0))</f>
        <v>3.0676363676126896E-2</v>
      </c>
      <c r="N37" s="361">
        <f>+IF($I37=N$3,VLOOKUP($H37,Depreciation!$A$6:$L$10,11,FALSE)/2,IF($I37&lt;N$3,VLOOKUP($H37,Depreciation!$A$6:$L$10,11,FALSE),0))</f>
        <v>3.0676363676126896E-2</v>
      </c>
      <c r="O37" s="361">
        <f>+IF($I37=O$3,VLOOKUP($H37,Depreciation!$A$6:$L$10,12,FALSE)/2,IF($I37&lt;O$3,VLOOKUP($H37,Depreciation!$A$6:$L$10,12,FALSE),0))</f>
        <v>3.0676363676126896E-2</v>
      </c>
      <c r="P37" s="362">
        <f t="shared" si="2"/>
        <v>549450.95641508664</v>
      </c>
      <c r="Q37" s="362">
        <f t="shared" si="3"/>
        <v>549450.95641508664</v>
      </c>
      <c r="R37" s="363">
        <f t="shared" si="4"/>
        <v>0</v>
      </c>
      <c r="Y37" s="365"/>
    </row>
    <row r="38" spans="1:25" ht="15" customHeight="1">
      <c r="A38" s="359" t="str">
        <f>'Func Future Lines 2015'!A38</f>
        <v>PPS</v>
      </c>
      <c r="B38" s="359" t="str">
        <f>'Func Future Lines 2015'!B38</f>
        <v>911L UG</v>
      </c>
      <c r="C38" s="359">
        <f>'Func Future Lines 2015'!C38</f>
        <v>719</v>
      </c>
      <c r="D38" s="359">
        <f>'Func Future Lines 2015'!D38</f>
        <v>240</v>
      </c>
      <c r="E38" s="359">
        <f>'Func Future Lines 2015'!E38</f>
        <v>0</v>
      </c>
      <c r="F38" s="359" t="str">
        <f>'Func Future Lines 2015'!F38</f>
        <v>Calgary</v>
      </c>
      <c r="G38" s="359">
        <f>'Func Future Lines 2015'!G38</f>
        <v>5403318.6446098872</v>
      </c>
      <c r="H38" s="359" t="str">
        <f>'Func Future Lines 2015'!H38</f>
        <v>AltaLink</v>
      </c>
      <c r="I38" s="359">
        <f>'Func Future Lines 2015'!I38</f>
        <v>2015</v>
      </c>
      <c r="J38" s="361">
        <f>+IF($I38=J$3,VLOOKUP($H38,Depreciation!$A$6:$L$10,7,FALSE)/2,IF($I38&lt;J$3,VLOOKUP($H38,Depreciation!$A$6:$L$10,7,FALSE),0))</f>
        <v>1.595020804044691E-2</v>
      </c>
      <c r="K38" s="361">
        <f>+IF($I38=K$3,VLOOKUP($H38,Depreciation!$A$6:$L$10,8,FALSE)/2,IF($I38&lt;K$3,VLOOKUP($H38,Depreciation!$A$6:$L$10,8,FALSE),0))</f>
        <v>3.0676363676126896E-2</v>
      </c>
      <c r="L38" s="361">
        <f>+IF($I38=L$3,VLOOKUP($H38,Depreciation!$A$6:$L$10,9,FALSE)/2,IF($I38&lt;L$3,VLOOKUP($H38,Depreciation!$A$6:$L$10,9,FALSE),0))</f>
        <v>3.0676363676126896E-2</v>
      </c>
      <c r="M38" s="361">
        <f>+IF($I38=M$3,VLOOKUP($H38,Depreciation!$A$6:$L$10,10,FALSE)/2,IF($I38&lt;M$3,VLOOKUP($H38,Depreciation!$A$6:$L$10,10,FALSE),0))</f>
        <v>3.0676363676126896E-2</v>
      </c>
      <c r="N38" s="361">
        <f>+IF($I38=N$3,VLOOKUP($H38,Depreciation!$A$6:$L$10,11,FALSE)/2,IF($I38&lt;N$3,VLOOKUP($H38,Depreciation!$A$6:$L$10,11,FALSE),0))</f>
        <v>3.0676363676126896E-2</v>
      </c>
      <c r="O38" s="361">
        <f>+IF($I38=O$3,VLOOKUP($H38,Depreciation!$A$6:$L$10,12,FALSE)/2,IF($I38&lt;O$3,VLOOKUP($H38,Depreciation!$A$6:$L$10,12,FALSE),0))</f>
        <v>3.0676363676126896E-2</v>
      </c>
      <c r="P38" s="362">
        <f t="shared" si="2"/>
        <v>4842660.9294947861</v>
      </c>
      <c r="Q38" s="362">
        <f t="shared" si="3"/>
        <v>4842660.9294947861</v>
      </c>
      <c r="R38" s="363">
        <f t="shared" si="4"/>
        <v>0</v>
      </c>
      <c r="Y38" s="365"/>
    </row>
    <row r="39" spans="1:25" ht="15" customHeight="1">
      <c r="A39" s="359" t="str">
        <f>'Func Future Lines 2015'!A39</f>
        <v>PPS</v>
      </c>
      <c r="B39" s="359" t="str">
        <f>'Func Future Lines 2015'!B39</f>
        <v>916L</v>
      </c>
      <c r="C39" s="359">
        <f>'Func Future Lines 2015'!C39</f>
        <v>719</v>
      </c>
      <c r="D39" s="359">
        <f>'Func Future Lines 2015'!D39</f>
        <v>240</v>
      </c>
      <c r="E39" s="359">
        <f>'Func Future Lines 2015'!E39</f>
        <v>0</v>
      </c>
      <c r="F39" s="359" t="str">
        <f>'Func Future Lines 2015'!F39</f>
        <v>Calgary</v>
      </c>
      <c r="G39" s="359">
        <f>'Func Future Lines 2015'!G39</f>
        <v>411031.20169157209</v>
      </c>
      <c r="H39" s="359" t="str">
        <f>'Func Future Lines 2015'!H39</f>
        <v>AltaLink</v>
      </c>
      <c r="I39" s="359">
        <f>'Func Future Lines 2015'!I39</f>
        <v>2015</v>
      </c>
      <c r="J39" s="361">
        <f>+IF($I39=J$3,VLOOKUP($H39,Depreciation!$A$6:$L$10,7,FALSE)/2,IF($I39&lt;J$3,VLOOKUP($H39,Depreciation!$A$6:$L$10,7,FALSE),0))</f>
        <v>1.595020804044691E-2</v>
      </c>
      <c r="K39" s="361">
        <f>+IF($I39=K$3,VLOOKUP($H39,Depreciation!$A$6:$L$10,8,FALSE)/2,IF($I39&lt;K$3,VLOOKUP($H39,Depreciation!$A$6:$L$10,8,FALSE),0))</f>
        <v>3.0676363676126896E-2</v>
      </c>
      <c r="L39" s="361">
        <f>+IF($I39=L$3,VLOOKUP($H39,Depreciation!$A$6:$L$10,9,FALSE)/2,IF($I39&lt;L$3,VLOOKUP($H39,Depreciation!$A$6:$L$10,9,FALSE),0))</f>
        <v>3.0676363676126896E-2</v>
      </c>
      <c r="M39" s="361">
        <f>+IF($I39=M$3,VLOOKUP($H39,Depreciation!$A$6:$L$10,10,FALSE)/2,IF($I39&lt;M$3,VLOOKUP($H39,Depreciation!$A$6:$L$10,10,FALSE),0))</f>
        <v>3.0676363676126896E-2</v>
      </c>
      <c r="N39" s="361">
        <f>+IF($I39=N$3,VLOOKUP($H39,Depreciation!$A$6:$L$10,11,FALSE)/2,IF($I39&lt;N$3,VLOOKUP($H39,Depreciation!$A$6:$L$10,11,FALSE),0))</f>
        <v>3.0676363676126896E-2</v>
      </c>
      <c r="O39" s="361">
        <f>+IF($I39=O$3,VLOOKUP($H39,Depreciation!$A$6:$L$10,12,FALSE)/2,IF($I39&lt;O$3,VLOOKUP($H39,Depreciation!$A$6:$L$10,12,FALSE),0))</f>
        <v>3.0676363676126896E-2</v>
      </c>
      <c r="P39" s="362">
        <f t="shared" si="2"/>
        <v>368381.89123284211</v>
      </c>
      <c r="Q39" s="362">
        <f t="shared" si="3"/>
        <v>368381.89123284211</v>
      </c>
      <c r="R39" s="363">
        <f t="shared" si="4"/>
        <v>0</v>
      </c>
      <c r="Y39" s="365"/>
    </row>
    <row r="40" spans="1:25" ht="15" customHeight="1">
      <c r="A40" s="359" t="str">
        <f>'Func Future Lines 2015'!A40</f>
        <v>PPS</v>
      </c>
      <c r="B40" s="359" t="str">
        <f>'Func Future Lines 2015'!B40</f>
        <v>936L</v>
      </c>
      <c r="C40" s="359">
        <f>'Func Future Lines 2015'!C40</f>
        <v>719</v>
      </c>
      <c r="D40" s="359">
        <f>'Func Future Lines 2015'!D40</f>
        <v>240</v>
      </c>
      <c r="E40" s="359">
        <f>'Func Future Lines 2015'!E40</f>
        <v>0</v>
      </c>
      <c r="F40" s="359" t="str">
        <f>'Func Future Lines 2015'!F40</f>
        <v>Calgary</v>
      </c>
      <c r="G40" s="359">
        <f>'Func Future Lines 2015'!G40</f>
        <v>73846.283693740072</v>
      </c>
      <c r="H40" s="359" t="str">
        <f>'Func Future Lines 2015'!H40</f>
        <v>AltaLink</v>
      </c>
      <c r="I40" s="359">
        <f>'Func Future Lines 2015'!I40</f>
        <v>2015</v>
      </c>
      <c r="J40" s="361">
        <f>+IF($I40=J$3,VLOOKUP($H40,Depreciation!$A$6:$L$10,7,FALSE)/2,IF($I40&lt;J$3,VLOOKUP($H40,Depreciation!$A$6:$L$10,7,FALSE),0))</f>
        <v>1.595020804044691E-2</v>
      </c>
      <c r="K40" s="361">
        <f>+IF($I40=K$3,VLOOKUP($H40,Depreciation!$A$6:$L$10,8,FALSE)/2,IF($I40&lt;K$3,VLOOKUP($H40,Depreciation!$A$6:$L$10,8,FALSE),0))</f>
        <v>3.0676363676126896E-2</v>
      </c>
      <c r="L40" s="361">
        <f>+IF($I40=L$3,VLOOKUP($H40,Depreciation!$A$6:$L$10,9,FALSE)/2,IF($I40&lt;L$3,VLOOKUP($H40,Depreciation!$A$6:$L$10,9,FALSE),0))</f>
        <v>3.0676363676126896E-2</v>
      </c>
      <c r="M40" s="361">
        <f>+IF($I40=M$3,VLOOKUP($H40,Depreciation!$A$6:$L$10,10,FALSE)/2,IF($I40&lt;M$3,VLOOKUP($H40,Depreciation!$A$6:$L$10,10,FALSE),0))</f>
        <v>3.0676363676126896E-2</v>
      </c>
      <c r="N40" s="361">
        <f>+IF($I40=N$3,VLOOKUP($H40,Depreciation!$A$6:$L$10,11,FALSE)/2,IF($I40&lt;N$3,VLOOKUP($H40,Depreciation!$A$6:$L$10,11,FALSE),0))</f>
        <v>3.0676363676126896E-2</v>
      </c>
      <c r="O40" s="361">
        <f>+IF($I40=O$3,VLOOKUP($H40,Depreciation!$A$6:$L$10,12,FALSE)/2,IF($I40&lt;O$3,VLOOKUP($H40,Depreciation!$A$6:$L$10,12,FALSE),0))</f>
        <v>3.0676363676126896E-2</v>
      </c>
      <c r="P40" s="362">
        <f t="shared" si="2"/>
        <v>66183.86520454452</v>
      </c>
      <c r="Q40" s="362">
        <f t="shared" si="3"/>
        <v>66183.86520454452</v>
      </c>
      <c r="R40" s="363">
        <f t="shared" si="4"/>
        <v>0</v>
      </c>
      <c r="Y40" s="365"/>
    </row>
    <row r="41" spans="1:25" ht="15" customHeight="1">
      <c r="A41" s="359" t="str">
        <f>'Func Future Lines 2015'!A41</f>
        <v>PPS</v>
      </c>
      <c r="B41" s="359" t="str">
        <f>'Func Future Lines 2015'!B41</f>
        <v>937L</v>
      </c>
      <c r="C41" s="359">
        <f>'Func Future Lines 2015'!C41</f>
        <v>719</v>
      </c>
      <c r="D41" s="359">
        <f>'Func Future Lines 2015'!D41</f>
        <v>240</v>
      </c>
      <c r="E41" s="359">
        <f>'Func Future Lines 2015'!E41</f>
        <v>0</v>
      </c>
      <c r="F41" s="359" t="str">
        <f>'Func Future Lines 2015'!F41</f>
        <v>Calgary</v>
      </c>
      <c r="G41" s="359">
        <f>'Func Future Lines 2015'!G41</f>
        <v>69666.305371452894</v>
      </c>
      <c r="H41" s="359" t="str">
        <f>'Func Future Lines 2015'!H41</f>
        <v>AltaLink</v>
      </c>
      <c r="I41" s="359">
        <f>'Func Future Lines 2015'!I41</f>
        <v>2015</v>
      </c>
      <c r="J41" s="361">
        <f>+IF($I41=J$3,VLOOKUP($H41,Depreciation!$A$6:$L$10,7,FALSE)/2,IF($I41&lt;J$3,VLOOKUP($H41,Depreciation!$A$6:$L$10,7,FALSE),0))</f>
        <v>1.595020804044691E-2</v>
      </c>
      <c r="K41" s="361">
        <f>+IF($I41=K$3,VLOOKUP($H41,Depreciation!$A$6:$L$10,8,FALSE)/2,IF($I41&lt;K$3,VLOOKUP($H41,Depreciation!$A$6:$L$10,8,FALSE),0))</f>
        <v>3.0676363676126896E-2</v>
      </c>
      <c r="L41" s="361">
        <f>+IF($I41=L$3,VLOOKUP($H41,Depreciation!$A$6:$L$10,9,FALSE)/2,IF($I41&lt;L$3,VLOOKUP($H41,Depreciation!$A$6:$L$10,9,FALSE),0))</f>
        <v>3.0676363676126896E-2</v>
      </c>
      <c r="M41" s="361">
        <f>+IF($I41=M$3,VLOOKUP($H41,Depreciation!$A$6:$L$10,10,FALSE)/2,IF($I41&lt;M$3,VLOOKUP($H41,Depreciation!$A$6:$L$10,10,FALSE),0))</f>
        <v>3.0676363676126896E-2</v>
      </c>
      <c r="N41" s="361">
        <f>+IF($I41=N$3,VLOOKUP($H41,Depreciation!$A$6:$L$10,11,FALSE)/2,IF($I41&lt;N$3,VLOOKUP($H41,Depreciation!$A$6:$L$10,11,FALSE),0))</f>
        <v>3.0676363676126896E-2</v>
      </c>
      <c r="O41" s="361">
        <f>+IF($I41=O$3,VLOOKUP($H41,Depreciation!$A$6:$L$10,12,FALSE)/2,IF($I41&lt;O$3,VLOOKUP($H41,Depreciation!$A$6:$L$10,12,FALSE),0))</f>
        <v>3.0676363676126896E-2</v>
      </c>
      <c r="P41" s="362">
        <f t="shared" si="2"/>
        <v>62437.608683532548</v>
      </c>
      <c r="Q41" s="362">
        <f t="shared" si="3"/>
        <v>62437.608683532548</v>
      </c>
      <c r="R41" s="363">
        <f t="shared" si="4"/>
        <v>0</v>
      </c>
      <c r="Y41" s="365"/>
    </row>
    <row r="42" spans="1:25" ht="15" customHeight="1">
      <c r="A42" s="359" t="str">
        <f>'Func Future Lines 2015'!A42</f>
        <v>PPS</v>
      </c>
      <c r="B42" s="359" t="str">
        <f>'Func Future Lines 2015'!B42</f>
        <v>985 UG</v>
      </c>
      <c r="C42" s="359">
        <f>'Func Future Lines 2015'!C42</f>
        <v>719</v>
      </c>
      <c r="D42" s="359">
        <f>'Func Future Lines 2015'!D42</f>
        <v>240</v>
      </c>
      <c r="E42" s="359">
        <f>'Func Future Lines 2015'!E42</f>
        <v>0</v>
      </c>
      <c r="F42" s="359" t="str">
        <f>'Func Future Lines 2015'!F42</f>
        <v>Calgary</v>
      </c>
      <c r="G42" s="359">
        <f>'Func Future Lines 2015'!G42</f>
        <v>4393157.2167238202</v>
      </c>
      <c r="H42" s="359" t="str">
        <f>'Func Future Lines 2015'!H42</f>
        <v>AltaLink</v>
      </c>
      <c r="I42" s="359">
        <f>'Func Future Lines 2015'!I42</f>
        <v>2015</v>
      </c>
      <c r="J42" s="361">
        <f>+IF($I42=J$3,VLOOKUP($H42,Depreciation!$A$6:$L$10,7,FALSE)/2,IF($I42&lt;J$3,VLOOKUP($H42,Depreciation!$A$6:$L$10,7,FALSE),0))</f>
        <v>1.595020804044691E-2</v>
      </c>
      <c r="K42" s="361">
        <f>+IF($I42=K$3,VLOOKUP($H42,Depreciation!$A$6:$L$10,8,FALSE)/2,IF($I42&lt;K$3,VLOOKUP($H42,Depreciation!$A$6:$L$10,8,FALSE),0))</f>
        <v>3.0676363676126896E-2</v>
      </c>
      <c r="L42" s="361">
        <f>+IF($I42=L$3,VLOOKUP($H42,Depreciation!$A$6:$L$10,9,FALSE)/2,IF($I42&lt;L$3,VLOOKUP($H42,Depreciation!$A$6:$L$10,9,FALSE),0))</f>
        <v>3.0676363676126896E-2</v>
      </c>
      <c r="M42" s="361">
        <f>+IF($I42=M$3,VLOOKUP($H42,Depreciation!$A$6:$L$10,10,FALSE)/2,IF($I42&lt;M$3,VLOOKUP($H42,Depreciation!$A$6:$L$10,10,FALSE),0))</f>
        <v>3.0676363676126896E-2</v>
      </c>
      <c r="N42" s="361">
        <f>+IF($I42=N$3,VLOOKUP($H42,Depreciation!$A$6:$L$10,11,FALSE)/2,IF($I42&lt;N$3,VLOOKUP($H42,Depreciation!$A$6:$L$10,11,FALSE),0))</f>
        <v>3.0676363676126896E-2</v>
      </c>
      <c r="O42" s="361">
        <f>+IF($I42=O$3,VLOOKUP($H42,Depreciation!$A$6:$L$10,12,FALSE)/2,IF($I42&lt;O$3,VLOOKUP($H42,Depreciation!$A$6:$L$10,12,FALSE),0))</f>
        <v>3.0676363676126896E-2</v>
      </c>
      <c r="P42" s="362">
        <f t="shared" si="2"/>
        <v>3937315.6035835641</v>
      </c>
      <c r="Q42" s="362">
        <f t="shared" si="3"/>
        <v>3937315.6035835641</v>
      </c>
      <c r="R42" s="363">
        <f t="shared" si="4"/>
        <v>0</v>
      </c>
      <c r="Y42" s="365"/>
    </row>
    <row r="43" spans="1:25" ht="15" customHeight="1">
      <c r="A43" s="359" t="str">
        <f>'Func Future Lines 2015'!A43</f>
        <v>PPS</v>
      </c>
      <c r="B43" s="359" t="str">
        <f>'Func Future Lines 2015'!B43</f>
        <v>985/1003L</v>
      </c>
      <c r="C43" s="359">
        <f>'Func Future Lines 2015'!C43</f>
        <v>719</v>
      </c>
      <c r="D43" s="359">
        <f>'Func Future Lines 2015'!D43</f>
        <v>240</v>
      </c>
      <c r="E43" s="359">
        <f>'Func Future Lines 2015'!E43</f>
        <v>0</v>
      </c>
      <c r="F43" s="359" t="str">
        <f>'Func Future Lines 2015'!F43</f>
        <v>Calgary</v>
      </c>
      <c r="G43" s="359">
        <f>'Func Future Lines 2015'!G43</f>
        <v>9552643.7925336212</v>
      </c>
      <c r="H43" s="359" t="str">
        <f>'Func Future Lines 2015'!H43</f>
        <v>AltaLink</v>
      </c>
      <c r="I43" s="359">
        <f>'Func Future Lines 2015'!I43</f>
        <v>2015</v>
      </c>
      <c r="J43" s="361">
        <f>+IF($I43=J$3,VLOOKUP($H43,Depreciation!$A$6:$L$10,7,FALSE)/2,IF($I43&lt;J$3,VLOOKUP($H43,Depreciation!$A$6:$L$10,7,FALSE),0))</f>
        <v>1.595020804044691E-2</v>
      </c>
      <c r="K43" s="361">
        <f>+IF($I43=K$3,VLOOKUP($H43,Depreciation!$A$6:$L$10,8,FALSE)/2,IF($I43&lt;K$3,VLOOKUP($H43,Depreciation!$A$6:$L$10,8,FALSE),0))</f>
        <v>3.0676363676126896E-2</v>
      </c>
      <c r="L43" s="361">
        <f>+IF($I43=L$3,VLOOKUP($H43,Depreciation!$A$6:$L$10,9,FALSE)/2,IF($I43&lt;L$3,VLOOKUP($H43,Depreciation!$A$6:$L$10,9,FALSE),0))</f>
        <v>3.0676363676126896E-2</v>
      </c>
      <c r="M43" s="361">
        <f>+IF($I43=M$3,VLOOKUP($H43,Depreciation!$A$6:$L$10,10,FALSE)/2,IF($I43&lt;M$3,VLOOKUP($H43,Depreciation!$A$6:$L$10,10,FALSE),0))</f>
        <v>3.0676363676126896E-2</v>
      </c>
      <c r="N43" s="361">
        <f>+IF($I43=N$3,VLOOKUP($H43,Depreciation!$A$6:$L$10,11,FALSE)/2,IF($I43&lt;N$3,VLOOKUP($H43,Depreciation!$A$6:$L$10,11,FALSE),0))</f>
        <v>3.0676363676126896E-2</v>
      </c>
      <c r="O43" s="361">
        <f>+IF($I43=O$3,VLOOKUP($H43,Depreciation!$A$6:$L$10,12,FALSE)/2,IF($I43&lt;O$3,VLOOKUP($H43,Depreciation!$A$6:$L$10,12,FALSE),0))</f>
        <v>3.0676363676126896E-2</v>
      </c>
      <c r="P43" s="362">
        <f t="shared" si="2"/>
        <v>8561444.902685985</v>
      </c>
      <c r="Q43" s="362">
        <f t="shared" si="3"/>
        <v>8561444.902685985</v>
      </c>
      <c r="R43" s="363">
        <f t="shared" si="4"/>
        <v>0</v>
      </c>
      <c r="Y43" s="365"/>
    </row>
    <row r="44" spans="1:25" ht="15" customHeight="1">
      <c r="A44" s="359" t="str">
        <f>'Func Future Lines 2015'!A44</f>
        <v>PPS</v>
      </c>
      <c r="B44" s="359" t="str">
        <f>'Func Future Lines 2015'!B44</f>
        <v>985/1003L</v>
      </c>
      <c r="C44" s="359">
        <f>'Func Future Lines 2015'!C44</f>
        <v>719</v>
      </c>
      <c r="D44" s="359">
        <f>'Func Future Lines 2015'!D44</f>
        <v>240</v>
      </c>
      <c r="E44" s="359">
        <f>'Func Future Lines 2015'!E44</f>
        <v>0</v>
      </c>
      <c r="F44" s="359" t="str">
        <f>'Func Future Lines 2015'!F44</f>
        <v>Calgary</v>
      </c>
      <c r="G44" s="359">
        <f>'Func Future Lines 2015'!G44</f>
        <v>9913515.2543577477</v>
      </c>
      <c r="H44" s="359" t="str">
        <f>'Func Future Lines 2015'!H44</f>
        <v>AltaLink</v>
      </c>
      <c r="I44" s="359">
        <f>'Func Future Lines 2015'!I44</f>
        <v>2015</v>
      </c>
      <c r="J44" s="361">
        <f>+IF($I44=J$3,VLOOKUP($H44,Depreciation!$A$6:$L$10,7,FALSE)/2,IF($I44&lt;J$3,VLOOKUP($H44,Depreciation!$A$6:$L$10,7,FALSE),0))</f>
        <v>1.595020804044691E-2</v>
      </c>
      <c r="K44" s="361">
        <f>+IF($I44=K$3,VLOOKUP($H44,Depreciation!$A$6:$L$10,8,FALSE)/2,IF($I44&lt;K$3,VLOOKUP($H44,Depreciation!$A$6:$L$10,8,FALSE),0))</f>
        <v>3.0676363676126896E-2</v>
      </c>
      <c r="L44" s="361">
        <f>+IF($I44=L$3,VLOOKUP($H44,Depreciation!$A$6:$L$10,9,FALSE)/2,IF($I44&lt;L$3,VLOOKUP($H44,Depreciation!$A$6:$L$10,9,FALSE),0))</f>
        <v>3.0676363676126896E-2</v>
      </c>
      <c r="M44" s="361">
        <f>+IF($I44=M$3,VLOOKUP($H44,Depreciation!$A$6:$L$10,10,FALSE)/2,IF($I44&lt;M$3,VLOOKUP($H44,Depreciation!$A$6:$L$10,10,FALSE),0))</f>
        <v>3.0676363676126896E-2</v>
      </c>
      <c r="N44" s="361">
        <f>+IF($I44=N$3,VLOOKUP($H44,Depreciation!$A$6:$L$10,11,FALSE)/2,IF($I44&lt;N$3,VLOOKUP($H44,Depreciation!$A$6:$L$10,11,FALSE),0))</f>
        <v>3.0676363676126896E-2</v>
      </c>
      <c r="O44" s="361">
        <f>+IF($I44=O$3,VLOOKUP($H44,Depreciation!$A$6:$L$10,12,FALSE)/2,IF($I44&lt;O$3,VLOOKUP($H44,Depreciation!$A$6:$L$10,12,FALSE),0))</f>
        <v>3.0676363676126896E-2</v>
      </c>
      <c r="P44" s="362">
        <f t="shared" si="2"/>
        <v>8884871.7156666834</v>
      </c>
      <c r="Q44" s="362">
        <f t="shared" si="3"/>
        <v>8884871.7156666834</v>
      </c>
      <c r="R44" s="363">
        <f t="shared" si="4"/>
        <v>0</v>
      </c>
      <c r="Y44" s="365"/>
    </row>
    <row r="45" spans="1:25" ht="15" customHeight="1">
      <c r="A45" s="359" t="str">
        <f>'Func Future Lines 2015'!A45</f>
        <v>PPS</v>
      </c>
      <c r="B45" s="359" t="str">
        <f>'Func Future Lines 2015'!B45</f>
        <v>Reconfigure 917L</v>
      </c>
      <c r="C45" s="359">
        <f>'Func Future Lines 2015'!C45</f>
        <v>719</v>
      </c>
      <c r="D45" s="359">
        <f>'Func Future Lines 2015'!D45</f>
        <v>240</v>
      </c>
      <c r="E45" s="359">
        <f>'Func Future Lines 2015'!E45</f>
        <v>0</v>
      </c>
      <c r="F45" s="359" t="str">
        <f>'Func Future Lines 2015'!F45</f>
        <v>Calgary</v>
      </c>
      <c r="G45" s="359">
        <f>'Func Future Lines 2015'!G45</f>
        <v>540610.52968247444</v>
      </c>
      <c r="H45" s="359" t="str">
        <f>'Func Future Lines 2015'!H45</f>
        <v>AltaLink</v>
      </c>
      <c r="I45" s="359">
        <f>'Func Future Lines 2015'!I45</f>
        <v>2015</v>
      </c>
      <c r="J45" s="361">
        <f>+IF($I45=J$3,VLOOKUP($H45,Depreciation!$A$6:$L$10,7,FALSE)/2,IF($I45&lt;J$3,VLOOKUP($H45,Depreciation!$A$6:$L$10,7,FALSE),0))</f>
        <v>1.595020804044691E-2</v>
      </c>
      <c r="K45" s="361">
        <f>+IF($I45=K$3,VLOOKUP($H45,Depreciation!$A$6:$L$10,8,FALSE)/2,IF($I45&lt;K$3,VLOOKUP($H45,Depreciation!$A$6:$L$10,8,FALSE),0))</f>
        <v>3.0676363676126896E-2</v>
      </c>
      <c r="L45" s="361">
        <f>+IF($I45=L$3,VLOOKUP($H45,Depreciation!$A$6:$L$10,9,FALSE)/2,IF($I45&lt;L$3,VLOOKUP($H45,Depreciation!$A$6:$L$10,9,FALSE),0))</f>
        <v>3.0676363676126896E-2</v>
      </c>
      <c r="M45" s="361">
        <f>+IF($I45=M$3,VLOOKUP($H45,Depreciation!$A$6:$L$10,10,FALSE)/2,IF($I45&lt;M$3,VLOOKUP($H45,Depreciation!$A$6:$L$10,10,FALSE),0))</f>
        <v>3.0676363676126896E-2</v>
      </c>
      <c r="N45" s="361">
        <f>+IF($I45=N$3,VLOOKUP($H45,Depreciation!$A$6:$L$10,11,FALSE)/2,IF($I45&lt;N$3,VLOOKUP($H45,Depreciation!$A$6:$L$10,11,FALSE),0))</f>
        <v>3.0676363676126896E-2</v>
      </c>
      <c r="O45" s="361">
        <f>+IF($I45=O$3,VLOOKUP($H45,Depreciation!$A$6:$L$10,12,FALSE)/2,IF($I45&lt;O$3,VLOOKUP($H45,Depreciation!$A$6:$L$10,12,FALSE),0))</f>
        <v>3.0676363676126896E-2</v>
      </c>
      <c r="P45" s="362">
        <f t="shared" si="2"/>
        <v>484515.8433842127</v>
      </c>
      <c r="Q45" s="362">
        <f t="shared" si="3"/>
        <v>484515.8433842127</v>
      </c>
      <c r="R45" s="363">
        <f t="shared" si="4"/>
        <v>0</v>
      </c>
      <c r="Y45" s="365"/>
    </row>
    <row r="46" spans="1:25" ht="15" customHeight="1">
      <c r="A46" s="359" t="str">
        <f>'Func Future Lines 2015'!A46</f>
        <v>PPS</v>
      </c>
      <c r="B46" s="359" t="str">
        <f>'Func Future Lines 2015'!B46</f>
        <v>1043L</v>
      </c>
      <c r="C46" s="359">
        <f>'Func Future Lines 2015'!C46</f>
        <v>786</v>
      </c>
      <c r="D46" s="359">
        <f>'Func Future Lines 2015'!D46</f>
        <v>240</v>
      </c>
      <c r="E46" s="359">
        <f>'Func Future Lines 2015'!E46</f>
        <v>0</v>
      </c>
      <c r="F46" s="359" t="str">
        <f>'Func Future Lines 2015'!F46</f>
        <v>edmonton</v>
      </c>
      <c r="G46" s="359">
        <f>'Func Future Lines 2015'!G46</f>
        <v>33338680.294401988</v>
      </c>
      <c r="H46" s="359" t="str">
        <f>'Func Future Lines 2015'!H46</f>
        <v>AltaLink</v>
      </c>
      <c r="I46" s="359">
        <f>'Func Future Lines 2015'!I46</f>
        <v>2016</v>
      </c>
      <c r="J46" s="361">
        <f>+IF($I46=J$3,VLOOKUP($H46,Depreciation!$A$6:$L$10,7,FALSE)/2,IF($I46&lt;J$3,VLOOKUP($H46,Depreciation!$A$6:$L$10,7,FALSE),0))</f>
        <v>0</v>
      </c>
      <c r="K46" s="361">
        <f>+IF($I46=K$3,VLOOKUP($H46,Depreciation!$A$6:$L$10,8,FALSE)/2,IF($I46&lt;K$3,VLOOKUP($H46,Depreciation!$A$6:$L$10,8,FALSE),0))</f>
        <v>1.5338181838063448E-2</v>
      </c>
      <c r="L46" s="361">
        <f>+IF($I46=L$3,VLOOKUP($H46,Depreciation!$A$6:$L$10,9,FALSE)/2,IF($I46&lt;L$3,VLOOKUP($H46,Depreciation!$A$6:$L$10,9,FALSE),0))</f>
        <v>3.0676363676126896E-2</v>
      </c>
      <c r="M46" s="361">
        <f>+IF($I46=M$3,VLOOKUP($H46,Depreciation!$A$6:$L$10,10,FALSE)/2,IF($I46&lt;M$3,VLOOKUP($H46,Depreciation!$A$6:$L$10,10,FALSE),0))</f>
        <v>3.0676363676126896E-2</v>
      </c>
      <c r="N46" s="361">
        <f>+IF($I46=N$3,VLOOKUP($H46,Depreciation!$A$6:$L$10,11,FALSE)/2,IF($I46&lt;N$3,VLOOKUP($H46,Depreciation!$A$6:$L$10,11,FALSE),0))</f>
        <v>3.0676363676126896E-2</v>
      </c>
      <c r="O46" s="361">
        <f>+IF($I46=O$3,VLOOKUP($H46,Depreciation!$A$6:$L$10,12,FALSE)/2,IF($I46&lt;O$3,VLOOKUP($H46,Depreciation!$A$6:$L$10,12,FALSE),0))</f>
        <v>3.0676363676126896E-2</v>
      </c>
      <c r="P46" s="362">
        <f t="shared" si="2"/>
        <v>30844171.402477991</v>
      </c>
      <c r="Q46" s="362">
        <f t="shared" si="3"/>
        <v>30844171.402477991</v>
      </c>
      <c r="R46" s="363">
        <f t="shared" si="4"/>
        <v>0</v>
      </c>
      <c r="Y46" s="365"/>
    </row>
    <row r="47" spans="1:25" ht="15" customHeight="1">
      <c r="A47" s="359" t="str">
        <f>'Func Future Lines 2015'!A47</f>
        <v>PPS</v>
      </c>
      <c r="B47" s="359" t="str">
        <f>'Func Future Lines 2015'!B47</f>
        <v>1043LB</v>
      </c>
      <c r="C47" s="359">
        <f>'Func Future Lines 2015'!C47</f>
        <v>786</v>
      </c>
      <c r="D47" s="359">
        <f>'Func Future Lines 2015'!D47</f>
        <v>240</v>
      </c>
      <c r="E47" s="359">
        <f>'Func Future Lines 2015'!E47</f>
        <v>0</v>
      </c>
      <c r="F47" s="359" t="str">
        <f>'Func Future Lines 2015'!F47</f>
        <v>edmonton</v>
      </c>
      <c r="G47" s="359">
        <f>'Func Future Lines 2015'!G47</f>
        <v>8330617.7071102019</v>
      </c>
      <c r="H47" s="359" t="str">
        <f>'Func Future Lines 2015'!H47</f>
        <v>AltaLink</v>
      </c>
      <c r="I47" s="359">
        <f>'Func Future Lines 2015'!I47</f>
        <v>2016</v>
      </c>
      <c r="J47" s="361">
        <f>+IF($I47=J$3,VLOOKUP($H47,Depreciation!$A$6:$L$10,7,FALSE)/2,IF($I47&lt;J$3,VLOOKUP($H47,Depreciation!$A$6:$L$10,7,FALSE),0))</f>
        <v>0</v>
      </c>
      <c r="K47" s="361">
        <f>+IF($I47=K$3,VLOOKUP($H47,Depreciation!$A$6:$L$10,8,FALSE)/2,IF($I47&lt;K$3,VLOOKUP($H47,Depreciation!$A$6:$L$10,8,FALSE),0))</f>
        <v>1.5338181838063448E-2</v>
      </c>
      <c r="L47" s="361">
        <f>+IF($I47=L$3,VLOOKUP($H47,Depreciation!$A$6:$L$10,9,FALSE)/2,IF($I47&lt;L$3,VLOOKUP($H47,Depreciation!$A$6:$L$10,9,FALSE),0))</f>
        <v>3.0676363676126896E-2</v>
      </c>
      <c r="M47" s="361">
        <f>+IF($I47=M$3,VLOOKUP($H47,Depreciation!$A$6:$L$10,10,FALSE)/2,IF($I47&lt;M$3,VLOOKUP($H47,Depreciation!$A$6:$L$10,10,FALSE),0))</f>
        <v>3.0676363676126896E-2</v>
      </c>
      <c r="N47" s="361">
        <f>+IF($I47=N$3,VLOOKUP($H47,Depreciation!$A$6:$L$10,11,FALSE)/2,IF($I47&lt;N$3,VLOOKUP($H47,Depreciation!$A$6:$L$10,11,FALSE),0))</f>
        <v>3.0676363676126896E-2</v>
      </c>
      <c r="O47" s="361">
        <f>+IF($I47=O$3,VLOOKUP($H47,Depreciation!$A$6:$L$10,12,FALSE)/2,IF($I47&lt;O$3,VLOOKUP($H47,Depreciation!$A$6:$L$10,12,FALSE),0))</f>
        <v>3.0676363676126896E-2</v>
      </c>
      <c r="P47" s="362">
        <f t="shared" si="2"/>
        <v>7707293.695418736</v>
      </c>
      <c r="Q47" s="362">
        <f t="shared" si="3"/>
        <v>7707293.695418736</v>
      </c>
      <c r="R47" s="363">
        <f t="shared" si="4"/>
        <v>0</v>
      </c>
      <c r="Y47" s="365"/>
    </row>
    <row r="48" spans="1:25" ht="15" customHeight="1">
      <c r="A48" s="359" t="str">
        <f>'Func Future Lines 2015'!A48</f>
        <v>PPS</v>
      </c>
      <c r="B48" s="359" t="str">
        <f>'Func Future Lines 2015'!B48</f>
        <v>1045L/909L</v>
      </c>
      <c r="C48" s="359">
        <f>'Func Future Lines 2015'!C48</f>
        <v>786</v>
      </c>
      <c r="D48" s="359">
        <f>'Func Future Lines 2015'!D48</f>
        <v>240</v>
      </c>
      <c r="E48" s="359">
        <f>'Func Future Lines 2015'!E48</f>
        <v>0</v>
      </c>
      <c r="F48" s="359" t="str">
        <f>'Func Future Lines 2015'!F48</f>
        <v>edmonton</v>
      </c>
      <c r="G48" s="359">
        <f>'Func Future Lines 2015'!G48</f>
        <v>289844.87394607428</v>
      </c>
      <c r="H48" s="359" t="str">
        <f>'Func Future Lines 2015'!H48</f>
        <v>AltaLink</v>
      </c>
      <c r="I48" s="359">
        <f>'Func Future Lines 2015'!I48</f>
        <v>2016</v>
      </c>
      <c r="J48" s="361">
        <f>+IF($I48=J$3,VLOOKUP($H48,Depreciation!$A$6:$L$10,7,FALSE)/2,IF($I48&lt;J$3,VLOOKUP($H48,Depreciation!$A$6:$L$10,7,FALSE),0))</f>
        <v>0</v>
      </c>
      <c r="K48" s="361">
        <f>+IF($I48=K$3,VLOOKUP($H48,Depreciation!$A$6:$L$10,8,FALSE)/2,IF($I48&lt;K$3,VLOOKUP($H48,Depreciation!$A$6:$L$10,8,FALSE),0))</f>
        <v>1.5338181838063448E-2</v>
      </c>
      <c r="L48" s="361">
        <f>+IF($I48=L$3,VLOOKUP($H48,Depreciation!$A$6:$L$10,9,FALSE)/2,IF($I48&lt;L$3,VLOOKUP($H48,Depreciation!$A$6:$L$10,9,FALSE),0))</f>
        <v>3.0676363676126896E-2</v>
      </c>
      <c r="M48" s="361">
        <f>+IF($I48=M$3,VLOOKUP($H48,Depreciation!$A$6:$L$10,10,FALSE)/2,IF($I48&lt;M$3,VLOOKUP($H48,Depreciation!$A$6:$L$10,10,FALSE),0))</f>
        <v>3.0676363676126896E-2</v>
      </c>
      <c r="N48" s="361">
        <f>+IF($I48=N$3,VLOOKUP($H48,Depreciation!$A$6:$L$10,11,FALSE)/2,IF($I48&lt;N$3,VLOOKUP($H48,Depreciation!$A$6:$L$10,11,FALSE),0))</f>
        <v>3.0676363676126896E-2</v>
      </c>
      <c r="O48" s="361">
        <f>+IF($I48=O$3,VLOOKUP($H48,Depreciation!$A$6:$L$10,12,FALSE)/2,IF($I48&lt;O$3,VLOOKUP($H48,Depreciation!$A$6:$L$10,12,FALSE),0))</f>
        <v>3.0676363676126896E-2</v>
      </c>
      <c r="P48" s="362">
        <f t="shared" si="2"/>
        <v>268157.73429470434</v>
      </c>
      <c r="Q48" s="362">
        <f t="shared" si="3"/>
        <v>268157.73429470434</v>
      </c>
      <c r="R48" s="363">
        <f t="shared" si="4"/>
        <v>0</v>
      </c>
      <c r="Y48" s="365"/>
    </row>
    <row r="49" spans="1:25" ht="15" customHeight="1">
      <c r="A49" s="359" t="str">
        <f>'Func Future Lines 2015'!A49</f>
        <v>PPS</v>
      </c>
      <c r="B49" s="359" t="str">
        <f>'Func Future Lines 2015'!B49</f>
        <v>190L / 903L</v>
      </c>
      <c r="C49" s="359">
        <f>'Func Future Lines 2015'!C49</f>
        <v>786</v>
      </c>
      <c r="D49" s="359">
        <f>'Func Future Lines 2015'!D49</f>
        <v>240</v>
      </c>
      <c r="E49" s="359">
        <f>'Func Future Lines 2015'!E49</f>
        <v>0</v>
      </c>
      <c r="F49" s="359" t="str">
        <f>'Func Future Lines 2015'!F49</f>
        <v>edmonton</v>
      </c>
      <c r="G49" s="359">
        <f>'Func Future Lines 2015'!G49</f>
        <v>414192.41502029379</v>
      </c>
      <c r="H49" s="359" t="str">
        <f>'Func Future Lines 2015'!H49</f>
        <v>AltaLink</v>
      </c>
      <c r="I49" s="359">
        <f>'Func Future Lines 2015'!I49</f>
        <v>2016</v>
      </c>
      <c r="J49" s="361">
        <f>+IF($I49=J$3,VLOOKUP($H49,Depreciation!$A$6:$L$10,7,FALSE)/2,IF($I49&lt;J$3,VLOOKUP($H49,Depreciation!$A$6:$L$10,7,FALSE),0))</f>
        <v>0</v>
      </c>
      <c r="K49" s="361">
        <f>+IF($I49=K$3,VLOOKUP($H49,Depreciation!$A$6:$L$10,8,FALSE)/2,IF($I49&lt;K$3,VLOOKUP($H49,Depreciation!$A$6:$L$10,8,FALSE),0))</f>
        <v>1.5338181838063448E-2</v>
      </c>
      <c r="L49" s="361">
        <f>+IF($I49=L$3,VLOOKUP($H49,Depreciation!$A$6:$L$10,9,FALSE)/2,IF($I49&lt;L$3,VLOOKUP($H49,Depreciation!$A$6:$L$10,9,FALSE),0))</f>
        <v>3.0676363676126896E-2</v>
      </c>
      <c r="M49" s="361">
        <f>+IF($I49=M$3,VLOOKUP($H49,Depreciation!$A$6:$L$10,10,FALSE)/2,IF($I49&lt;M$3,VLOOKUP($H49,Depreciation!$A$6:$L$10,10,FALSE),0))</f>
        <v>3.0676363676126896E-2</v>
      </c>
      <c r="N49" s="361">
        <f>+IF($I49=N$3,VLOOKUP($H49,Depreciation!$A$6:$L$10,11,FALSE)/2,IF($I49&lt;N$3,VLOOKUP($H49,Depreciation!$A$6:$L$10,11,FALSE),0))</f>
        <v>3.0676363676126896E-2</v>
      </c>
      <c r="O49" s="361">
        <f>+IF($I49=O$3,VLOOKUP($H49,Depreciation!$A$6:$L$10,12,FALSE)/2,IF($I49&lt;O$3,VLOOKUP($H49,Depreciation!$A$6:$L$10,12,FALSE),0))</f>
        <v>3.0676363676126896E-2</v>
      </c>
      <c r="P49" s="362">
        <f t="shared" si="2"/>
        <v>383201.1864200097</v>
      </c>
      <c r="Q49" s="362">
        <f t="shared" si="3"/>
        <v>383201.1864200097</v>
      </c>
      <c r="R49" s="363">
        <f t="shared" si="4"/>
        <v>0</v>
      </c>
      <c r="Y49" s="365"/>
    </row>
    <row r="50" spans="1:25" ht="15" customHeight="1">
      <c r="A50" s="359" t="str">
        <f>'Func Future Lines 2015'!A50</f>
        <v>PPS</v>
      </c>
      <c r="B50" s="359" t="str">
        <f>'Func Future Lines 2015'!B50</f>
        <v>902L</v>
      </c>
      <c r="C50" s="359">
        <f>'Func Future Lines 2015'!C50</f>
        <v>786</v>
      </c>
      <c r="D50" s="359">
        <f>'Func Future Lines 2015'!D50</f>
        <v>240</v>
      </c>
      <c r="E50" s="359">
        <f>'Func Future Lines 2015'!E50</f>
        <v>0</v>
      </c>
      <c r="F50" s="359" t="str">
        <f>'Func Future Lines 2015'!F50</f>
        <v>edmonton</v>
      </c>
      <c r="G50" s="359">
        <f>'Func Future Lines 2015'!G50</f>
        <v>1003247.4189437164</v>
      </c>
      <c r="H50" s="359" t="str">
        <f>'Func Future Lines 2015'!H50</f>
        <v>AltaLink</v>
      </c>
      <c r="I50" s="359">
        <f>'Func Future Lines 2015'!I50</f>
        <v>2016</v>
      </c>
      <c r="J50" s="361">
        <f>+IF($I50=J$3,VLOOKUP($H50,Depreciation!$A$6:$L$10,7,FALSE)/2,IF($I50&lt;J$3,VLOOKUP($H50,Depreciation!$A$6:$L$10,7,FALSE),0))</f>
        <v>0</v>
      </c>
      <c r="K50" s="361">
        <f>+IF($I50=K$3,VLOOKUP($H50,Depreciation!$A$6:$L$10,8,FALSE)/2,IF($I50&lt;K$3,VLOOKUP($H50,Depreciation!$A$6:$L$10,8,FALSE),0))</f>
        <v>1.5338181838063448E-2</v>
      </c>
      <c r="L50" s="361">
        <f>+IF($I50=L$3,VLOOKUP($H50,Depreciation!$A$6:$L$10,9,FALSE)/2,IF($I50&lt;L$3,VLOOKUP($H50,Depreciation!$A$6:$L$10,9,FALSE),0))</f>
        <v>3.0676363676126896E-2</v>
      </c>
      <c r="M50" s="361">
        <f>+IF($I50=M$3,VLOOKUP($H50,Depreciation!$A$6:$L$10,10,FALSE)/2,IF($I50&lt;M$3,VLOOKUP($H50,Depreciation!$A$6:$L$10,10,FALSE),0))</f>
        <v>3.0676363676126896E-2</v>
      </c>
      <c r="N50" s="361">
        <f>+IF($I50=N$3,VLOOKUP($H50,Depreciation!$A$6:$L$10,11,FALSE)/2,IF($I50&lt;N$3,VLOOKUP($H50,Depreciation!$A$6:$L$10,11,FALSE),0))</f>
        <v>3.0676363676126896E-2</v>
      </c>
      <c r="O50" s="361">
        <f>+IF($I50=O$3,VLOOKUP($H50,Depreciation!$A$6:$L$10,12,FALSE)/2,IF($I50&lt;O$3,VLOOKUP($H50,Depreciation!$A$6:$L$10,12,FALSE),0))</f>
        <v>3.0676363676126896E-2</v>
      </c>
      <c r="P50" s="362">
        <f t="shared" si="2"/>
        <v>928181.17201206682</v>
      </c>
      <c r="Q50" s="362">
        <f t="shared" si="3"/>
        <v>928181.17201206682</v>
      </c>
      <c r="R50" s="363">
        <f t="shared" si="4"/>
        <v>0</v>
      </c>
      <c r="Y50" s="365"/>
    </row>
    <row r="51" spans="1:25" ht="15" customHeight="1">
      <c r="A51" s="359" t="str">
        <f>'Func Future Lines 2015'!A51</f>
        <v>PPS</v>
      </c>
      <c r="B51" s="359" t="str">
        <f>'Func Future Lines 2015'!B51</f>
        <v>902L / 913L</v>
      </c>
      <c r="C51" s="359">
        <f>'Func Future Lines 2015'!C51</f>
        <v>786</v>
      </c>
      <c r="D51" s="359">
        <f>'Func Future Lines 2015'!D51</f>
        <v>240</v>
      </c>
      <c r="E51" s="359">
        <f>'Func Future Lines 2015'!E51</f>
        <v>0</v>
      </c>
      <c r="F51" s="359" t="str">
        <f>'Func Future Lines 2015'!F51</f>
        <v>edmonton</v>
      </c>
      <c r="G51" s="359">
        <f>'Func Future Lines 2015'!G51</f>
        <v>5049558.4464780493</v>
      </c>
      <c r="H51" s="359" t="str">
        <f>'Func Future Lines 2015'!H51</f>
        <v>AltaLink</v>
      </c>
      <c r="I51" s="359">
        <f>'Func Future Lines 2015'!I51</f>
        <v>2016</v>
      </c>
      <c r="J51" s="361">
        <f>+IF($I51=J$3,VLOOKUP($H51,Depreciation!$A$6:$L$10,7,FALSE)/2,IF($I51&lt;J$3,VLOOKUP($H51,Depreciation!$A$6:$L$10,7,FALSE),0))</f>
        <v>0</v>
      </c>
      <c r="K51" s="361">
        <f>+IF($I51=K$3,VLOOKUP($H51,Depreciation!$A$6:$L$10,8,FALSE)/2,IF($I51&lt;K$3,VLOOKUP($H51,Depreciation!$A$6:$L$10,8,FALSE),0))</f>
        <v>1.5338181838063448E-2</v>
      </c>
      <c r="L51" s="361">
        <f>+IF($I51=L$3,VLOOKUP($H51,Depreciation!$A$6:$L$10,9,FALSE)/2,IF($I51&lt;L$3,VLOOKUP($H51,Depreciation!$A$6:$L$10,9,FALSE),0))</f>
        <v>3.0676363676126896E-2</v>
      </c>
      <c r="M51" s="361">
        <f>+IF($I51=M$3,VLOOKUP($H51,Depreciation!$A$6:$L$10,10,FALSE)/2,IF($I51&lt;M$3,VLOOKUP($H51,Depreciation!$A$6:$L$10,10,FALSE),0))</f>
        <v>3.0676363676126896E-2</v>
      </c>
      <c r="N51" s="361">
        <f>+IF($I51=N$3,VLOOKUP($H51,Depreciation!$A$6:$L$10,11,FALSE)/2,IF($I51&lt;N$3,VLOOKUP($H51,Depreciation!$A$6:$L$10,11,FALSE),0))</f>
        <v>3.0676363676126896E-2</v>
      </c>
      <c r="O51" s="361">
        <f>+IF($I51=O$3,VLOOKUP($H51,Depreciation!$A$6:$L$10,12,FALSE)/2,IF($I51&lt;O$3,VLOOKUP($H51,Depreciation!$A$6:$L$10,12,FALSE),0))</f>
        <v>3.0676363676126896E-2</v>
      </c>
      <c r="P51" s="362">
        <f t="shared" si="2"/>
        <v>4671733.9995054295</v>
      </c>
      <c r="Q51" s="362">
        <f t="shared" si="3"/>
        <v>4671733.9995054295</v>
      </c>
      <c r="R51" s="363">
        <f t="shared" si="4"/>
        <v>0</v>
      </c>
      <c r="Y51" s="365"/>
    </row>
    <row r="52" spans="1:25" ht="15" customHeight="1">
      <c r="A52" s="359" t="str">
        <f>'Func Future Lines 2015'!A52</f>
        <v>PPS</v>
      </c>
      <c r="B52" s="359" t="str">
        <f>'Func Future Lines 2015'!B52</f>
        <v>902L / 913L</v>
      </c>
      <c r="C52" s="359">
        <f>'Func Future Lines 2015'!C52</f>
        <v>786</v>
      </c>
      <c r="D52" s="359">
        <f>'Func Future Lines 2015'!D52</f>
        <v>240</v>
      </c>
      <c r="E52" s="359">
        <f>'Func Future Lines 2015'!E52</f>
        <v>0</v>
      </c>
      <c r="F52" s="359" t="str">
        <f>'Func Future Lines 2015'!F52</f>
        <v>edmonton</v>
      </c>
      <c r="G52" s="359">
        <f>'Func Future Lines 2015'!G52</f>
        <v>1156144.4203365908</v>
      </c>
      <c r="H52" s="359" t="str">
        <f>'Func Future Lines 2015'!H52</f>
        <v>AltaLink</v>
      </c>
      <c r="I52" s="359">
        <f>'Func Future Lines 2015'!I52</f>
        <v>2016</v>
      </c>
      <c r="J52" s="361">
        <f>+IF($I52=J$3,VLOOKUP($H52,Depreciation!$A$6:$L$10,7,FALSE)/2,IF($I52&lt;J$3,VLOOKUP($H52,Depreciation!$A$6:$L$10,7,FALSE),0))</f>
        <v>0</v>
      </c>
      <c r="K52" s="361">
        <f>+IF($I52=K$3,VLOOKUP($H52,Depreciation!$A$6:$L$10,8,FALSE)/2,IF($I52&lt;K$3,VLOOKUP($H52,Depreciation!$A$6:$L$10,8,FALSE),0))</f>
        <v>1.5338181838063448E-2</v>
      </c>
      <c r="L52" s="361">
        <f>+IF($I52=L$3,VLOOKUP($H52,Depreciation!$A$6:$L$10,9,FALSE)/2,IF($I52&lt;L$3,VLOOKUP($H52,Depreciation!$A$6:$L$10,9,FALSE),0))</f>
        <v>3.0676363676126896E-2</v>
      </c>
      <c r="M52" s="361">
        <f>+IF($I52=M$3,VLOOKUP($H52,Depreciation!$A$6:$L$10,10,FALSE)/2,IF($I52&lt;M$3,VLOOKUP($H52,Depreciation!$A$6:$L$10,10,FALSE),0))</f>
        <v>3.0676363676126896E-2</v>
      </c>
      <c r="N52" s="361">
        <f>+IF($I52=N$3,VLOOKUP($H52,Depreciation!$A$6:$L$10,11,FALSE)/2,IF($I52&lt;N$3,VLOOKUP($H52,Depreciation!$A$6:$L$10,11,FALSE),0))</f>
        <v>3.0676363676126896E-2</v>
      </c>
      <c r="O52" s="361">
        <f>+IF($I52=O$3,VLOOKUP($H52,Depreciation!$A$6:$L$10,12,FALSE)/2,IF($I52&lt;O$3,VLOOKUP($H52,Depreciation!$A$6:$L$10,12,FALSE),0))</f>
        <v>3.0676363676126896E-2</v>
      </c>
      <c r="P52" s="362">
        <f t="shared" si="2"/>
        <v>1069637.9206368348</v>
      </c>
      <c r="Q52" s="362">
        <f t="shared" si="3"/>
        <v>1069637.9206368348</v>
      </c>
      <c r="R52" s="363">
        <f t="shared" si="4"/>
        <v>0</v>
      </c>
      <c r="Y52" s="365"/>
    </row>
    <row r="53" spans="1:25" ht="15" customHeight="1">
      <c r="A53" s="359" t="str">
        <f>'Func Future Lines 2015'!A53</f>
        <v>PPS</v>
      </c>
      <c r="B53" s="359" t="str">
        <f>'Func Future Lines 2015'!B53</f>
        <v>902L T</v>
      </c>
      <c r="C53" s="359">
        <f>'Func Future Lines 2015'!C53</f>
        <v>786</v>
      </c>
      <c r="D53" s="359">
        <f>'Func Future Lines 2015'!D53</f>
        <v>240</v>
      </c>
      <c r="E53" s="359">
        <f>'Func Future Lines 2015'!E53</f>
        <v>0</v>
      </c>
      <c r="F53" s="359" t="str">
        <f>'Func Future Lines 2015'!F53</f>
        <v>edmonton</v>
      </c>
      <c r="G53" s="359">
        <f>'Func Future Lines 2015'!G53</f>
        <v>74703.733323158798</v>
      </c>
      <c r="H53" s="359" t="str">
        <f>'Func Future Lines 2015'!H53</f>
        <v>AltaLink</v>
      </c>
      <c r="I53" s="359">
        <f>'Func Future Lines 2015'!I53</f>
        <v>2016</v>
      </c>
      <c r="J53" s="361">
        <f>+IF($I53=J$3,VLOOKUP($H53,Depreciation!$A$6:$L$10,7,FALSE)/2,IF($I53&lt;J$3,VLOOKUP($H53,Depreciation!$A$6:$L$10,7,FALSE),0))</f>
        <v>0</v>
      </c>
      <c r="K53" s="361">
        <f>+IF($I53=K$3,VLOOKUP($H53,Depreciation!$A$6:$L$10,8,FALSE)/2,IF($I53&lt;K$3,VLOOKUP($H53,Depreciation!$A$6:$L$10,8,FALSE),0))</f>
        <v>1.5338181838063448E-2</v>
      </c>
      <c r="L53" s="361">
        <f>+IF($I53=L$3,VLOOKUP($H53,Depreciation!$A$6:$L$10,9,FALSE)/2,IF($I53&lt;L$3,VLOOKUP($H53,Depreciation!$A$6:$L$10,9,FALSE),0))</f>
        <v>3.0676363676126896E-2</v>
      </c>
      <c r="M53" s="361">
        <f>+IF($I53=M$3,VLOOKUP($H53,Depreciation!$A$6:$L$10,10,FALSE)/2,IF($I53&lt;M$3,VLOOKUP($H53,Depreciation!$A$6:$L$10,10,FALSE),0))</f>
        <v>3.0676363676126896E-2</v>
      </c>
      <c r="N53" s="361">
        <f>+IF($I53=N$3,VLOOKUP($H53,Depreciation!$A$6:$L$10,11,FALSE)/2,IF($I53&lt;N$3,VLOOKUP($H53,Depreciation!$A$6:$L$10,11,FALSE),0))</f>
        <v>3.0676363676126896E-2</v>
      </c>
      <c r="O53" s="361">
        <f>+IF($I53=O$3,VLOOKUP($H53,Depreciation!$A$6:$L$10,12,FALSE)/2,IF($I53&lt;O$3,VLOOKUP($H53,Depreciation!$A$6:$L$10,12,FALSE),0))</f>
        <v>3.0676363676126896E-2</v>
      </c>
      <c r="P53" s="362">
        <f t="shared" si="2"/>
        <v>69114.156129671959</v>
      </c>
      <c r="Q53" s="362">
        <f t="shared" si="3"/>
        <v>69114.156129671959</v>
      </c>
      <c r="R53" s="363">
        <f t="shared" si="4"/>
        <v>0</v>
      </c>
      <c r="Y53" s="365"/>
    </row>
    <row r="54" spans="1:25" ht="15" customHeight="1">
      <c r="A54" s="359" t="str">
        <f>'Func Future Lines 2015'!A54</f>
        <v>PPS</v>
      </c>
      <c r="B54" s="359" t="str">
        <f>'Func Future Lines 2015'!B54</f>
        <v>904L AML</v>
      </c>
      <c r="C54" s="359">
        <f>'Func Future Lines 2015'!C54</f>
        <v>786</v>
      </c>
      <c r="D54" s="359">
        <f>'Func Future Lines 2015'!D54</f>
        <v>240</v>
      </c>
      <c r="E54" s="359">
        <f>'Func Future Lines 2015'!E54</f>
        <v>0</v>
      </c>
      <c r="F54" s="359" t="str">
        <f>'Func Future Lines 2015'!F54</f>
        <v>edmonton</v>
      </c>
      <c r="G54" s="359">
        <f>'Func Future Lines 2015'!G54</f>
        <v>49162456.433123253</v>
      </c>
      <c r="H54" s="359" t="str">
        <f>'Func Future Lines 2015'!H54</f>
        <v>AltaLink</v>
      </c>
      <c r="I54" s="359">
        <f>'Func Future Lines 2015'!I54</f>
        <v>2016</v>
      </c>
      <c r="J54" s="361">
        <f>+IF($I54=J$3,VLOOKUP($H54,Depreciation!$A$6:$L$10,7,FALSE)/2,IF($I54&lt;J$3,VLOOKUP($H54,Depreciation!$A$6:$L$10,7,FALSE),0))</f>
        <v>0</v>
      </c>
      <c r="K54" s="361">
        <f>+IF($I54=K$3,VLOOKUP($H54,Depreciation!$A$6:$L$10,8,FALSE)/2,IF($I54&lt;K$3,VLOOKUP($H54,Depreciation!$A$6:$L$10,8,FALSE),0))</f>
        <v>1.5338181838063448E-2</v>
      </c>
      <c r="L54" s="361">
        <f>+IF($I54=L$3,VLOOKUP($H54,Depreciation!$A$6:$L$10,9,FALSE)/2,IF($I54&lt;L$3,VLOOKUP($H54,Depreciation!$A$6:$L$10,9,FALSE),0))</f>
        <v>3.0676363676126896E-2</v>
      </c>
      <c r="M54" s="361">
        <f>+IF($I54=M$3,VLOOKUP($H54,Depreciation!$A$6:$L$10,10,FALSE)/2,IF($I54&lt;M$3,VLOOKUP($H54,Depreciation!$A$6:$L$10,10,FALSE),0))</f>
        <v>3.0676363676126896E-2</v>
      </c>
      <c r="N54" s="361">
        <f>+IF($I54=N$3,VLOOKUP($H54,Depreciation!$A$6:$L$10,11,FALSE)/2,IF($I54&lt;N$3,VLOOKUP($H54,Depreciation!$A$6:$L$10,11,FALSE),0))</f>
        <v>3.0676363676126896E-2</v>
      </c>
      <c r="O54" s="361">
        <f>+IF($I54=O$3,VLOOKUP($H54,Depreciation!$A$6:$L$10,12,FALSE)/2,IF($I54&lt;O$3,VLOOKUP($H54,Depreciation!$A$6:$L$10,12,FALSE),0))</f>
        <v>3.0676363676126896E-2</v>
      </c>
      <c r="P54" s="362">
        <f t="shared" si="2"/>
        <v>45483960.954649135</v>
      </c>
      <c r="Q54" s="362">
        <f t="shared" si="3"/>
        <v>45483960.954649135</v>
      </c>
      <c r="R54" s="363">
        <f t="shared" si="4"/>
        <v>0</v>
      </c>
      <c r="Y54" s="365"/>
    </row>
    <row r="55" spans="1:25" ht="15" customHeight="1">
      <c r="A55" s="359" t="str">
        <f>'Func Future Lines 2015'!A55</f>
        <v>PPS</v>
      </c>
      <c r="B55" s="359" t="str">
        <f>'Func Future Lines 2015'!B55</f>
        <v>904L EDTI</v>
      </c>
      <c r="C55" s="359">
        <f>'Func Future Lines 2015'!C55</f>
        <v>786</v>
      </c>
      <c r="D55" s="359">
        <f>'Func Future Lines 2015'!D55</f>
        <v>240</v>
      </c>
      <c r="E55" s="359">
        <f>'Func Future Lines 2015'!E55</f>
        <v>0</v>
      </c>
      <c r="F55" s="359" t="str">
        <f>'Func Future Lines 2015'!F55</f>
        <v>edmonton</v>
      </c>
      <c r="G55" s="359">
        <f>'Func Future Lines 2015'!G55</f>
        <v>3984477.4999999995</v>
      </c>
      <c r="H55" s="359" t="str">
        <f>'Func Future Lines 2015'!H55</f>
        <v>EPCOR</v>
      </c>
      <c r="I55" s="359">
        <f>'Func Future Lines 2015'!I55</f>
        <v>2016</v>
      </c>
      <c r="J55" s="361">
        <f>+IF($I55=J$3,VLOOKUP($H55,Depreciation!$A$6:$L$10,7,FALSE)/2,IF($I55&lt;J$3,VLOOKUP($H55,Depreciation!$A$6:$L$10,7,FALSE),0))</f>
        <v>0</v>
      </c>
      <c r="K55" s="361">
        <f>+IF($I55=K$3,VLOOKUP($H55,Depreciation!$A$6:$L$10,8,FALSE)/2,IF($I55&lt;K$3,VLOOKUP($H55,Depreciation!$A$6:$L$10,8,FALSE),0))</f>
        <v>1.1531168605025642E-2</v>
      </c>
      <c r="L55" s="361">
        <f>+IF($I55=L$3,VLOOKUP($H55,Depreciation!$A$6:$L$10,9,FALSE)/2,IF($I55&lt;L$3,VLOOKUP($H55,Depreciation!$A$6:$L$10,9,FALSE),0))</f>
        <v>2.3063912319658014E-2</v>
      </c>
      <c r="M55" s="361">
        <f>+IF($I55=M$3,VLOOKUP($H55,Depreciation!$A$6:$L$10,10,FALSE)/2,IF($I55&lt;M$3,VLOOKUP($H55,Depreciation!$A$6:$L$10,10,FALSE),0))</f>
        <v>2.3063912319658014E-2</v>
      </c>
      <c r="N55" s="361">
        <f>+IF($I55=N$3,VLOOKUP($H55,Depreciation!$A$6:$L$10,11,FALSE)/2,IF($I55&lt;N$3,VLOOKUP($H55,Depreciation!$A$6:$L$10,11,FALSE),0))</f>
        <v>2.3063912319658014E-2</v>
      </c>
      <c r="O55" s="361">
        <f>+IF($I55=O$3,VLOOKUP($H55,Depreciation!$A$6:$L$10,12,FALSE)/2,IF($I55&lt;O$3,VLOOKUP($H55,Depreciation!$A$6:$L$10,12,FALSE),0))</f>
        <v>2.3063912319658014E-2</v>
      </c>
      <c r="P55" s="362">
        <f t="shared" si="2"/>
        <v>3758950.991673091</v>
      </c>
      <c r="Q55" s="362">
        <f t="shared" si="3"/>
        <v>3758950.991673091</v>
      </c>
      <c r="R55" s="363">
        <f t="shared" si="4"/>
        <v>0</v>
      </c>
      <c r="Y55" s="365"/>
    </row>
    <row r="56" spans="1:25" ht="15" customHeight="1">
      <c r="A56" s="359" t="str">
        <f>'Func Future Lines 2015'!A56</f>
        <v>PPS</v>
      </c>
      <c r="B56" s="359" t="str">
        <f>'Func Future Lines 2015'!B56</f>
        <v>904L EDTI</v>
      </c>
      <c r="C56" s="359">
        <f>'Func Future Lines 2015'!C56</f>
        <v>786</v>
      </c>
      <c r="D56" s="359">
        <f>'Func Future Lines 2015'!D56</f>
        <v>240</v>
      </c>
      <c r="E56" s="359">
        <f>'Func Future Lines 2015'!E56</f>
        <v>0</v>
      </c>
      <c r="F56" s="359" t="str">
        <f>'Func Future Lines 2015'!F56</f>
        <v>edmonton</v>
      </c>
      <c r="G56" s="359">
        <f>'Func Future Lines 2015'!G56</f>
        <v>3984477.4999999995</v>
      </c>
      <c r="H56" s="359" t="str">
        <f>'Func Future Lines 2015'!H56</f>
        <v>EPCOR</v>
      </c>
      <c r="I56" s="359">
        <f>'Func Future Lines 2015'!I56</f>
        <v>2016</v>
      </c>
      <c r="J56" s="361">
        <f>+IF($I56=J$3,VLOOKUP($H56,Depreciation!$A$6:$L$10,7,FALSE)/2,IF($I56&lt;J$3,VLOOKUP($H56,Depreciation!$A$6:$L$10,7,FALSE),0))</f>
        <v>0</v>
      </c>
      <c r="K56" s="361">
        <f>+IF($I56=K$3,VLOOKUP($H56,Depreciation!$A$6:$L$10,8,FALSE)/2,IF($I56&lt;K$3,VLOOKUP($H56,Depreciation!$A$6:$L$10,8,FALSE),0))</f>
        <v>1.1531168605025642E-2</v>
      </c>
      <c r="L56" s="361">
        <f>+IF($I56=L$3,VLOOKUP($H56,Depreciation!$A$6:$L$10,9,FALSE)/2,IF($I56&lt;L$3,VLOOKUP($H56,Depreciation!$A$6:$L$10,9,FALSE),0))</f>
        <v>2.3063912319658014E-2</v>
      </c>
      <c r="M56" s="361">
        <f>+IF($I56=M$3,VLOOKUP($H56,Depreciation!$A$6:$L$10,10,FALSE)/2,IF($I56&lt;M$3,VLOOKUP($H56,Depreciation!$A$6:$L$10,10,FALSE),0))</f>
        <v>2.3063912319658014E-2</v>
      </c>
      <c r="N56" s="361">
        <f>+IF($I56=N$3,VLOOKUP($H56,Depreciation!$A$6:$L$10,11,FALSE)/2,IF($I56&lt;N$3,VLOOKUP($H56,Depreciation!$A$6:$L$10,11,FALSE),0))</f>
        <v>2.3063912319658014E-2</v>
      </c>
      <c r="O56" s="361">
        <f>+IF($I56=O$3,VLOOKUP($H56,Depreciation!$A$6:$L$10,12,FALSE)/2,IF($I56&lt;O$3,VLOOKUP($H56,Depreciation!$A$6:$L$10,12,FALSE),0))</f>
        <v>2.3063912319658014E-2</v>
      </c>
      <c r="P56" s="362">
        <f t="shared" si="2"/>
        <v>3758950.991673091</v>
      </c>
      <c r="Q56" s="362">
        <f t="shared" si="3"/>
        <v>3758950.991673091</v>
      </c>
      <c r="R56" s="363">
        <f t="shared" si="4"/>
        <v>0</v>
      </c>
      <c r="Y56" s="365"/>
    </row>
    <row r="57" spans="1:25" ht="15" customHeight="1">
      <c r="A57" s="359" t="str">
        <f>'Func Future Lines 2015'!A57</f>
        <v>PPS</v>
      </c>
      <c r="B57" s="359" t="str">
        <f>'Func Future Lines 2015'!B57</f>
        <v>908L/909L</v>
      </c>
      <c r="C57" s="359">
        <f>'Func Future Lines 2015'!C57</f>
        <v>786</v>
      </c>
      <c r="D57" s="359">
        <f>'Func Future Lines 2015'!D57</f>
        <v>240</v>
      </c>
      <c r="E57" s="359">
        <f>'Func Future Lines 2015'!E57</f>
        <v>0</v>
      </c>
      <c r="F57" s="359" t="str">
        <f>'Func Future Lines 2015'!F57</f>
        <v>edmonton</v>
      </c>
      <c r="G57" s="359">
        <f>'Func Future Lines 2015'!G57</f>
        <v>3109824.4563445696</v>
      </c>
      <c r="H57" s="359" t="str">
        <f>'Func Future Lines 2015'!H57</f>
        <v>AltaLink</v>
      </c>
      <c r="I57" s="359">
        <f>'Func Future Lines 2015'!I57</f>
        <v>2016</v>
      </c>
      <c r="J57" s="361">
        <f>+IF($I57=J$3,VLOOKUP($H57,Depreciation!$A$6:$L$10,7,FALSE)/2,IF($I57&lt;J$3,VLOOKUP($H57,Depreciation!$A$6:$L$10,7,FALSE),0))</f>
        <v>0</v>
      </c>
      <c r="K57" s="361">
        <f>+IF($I57=K$3,VLOOKUP($H57,Depreciation!$A$6:$L$10,8,FALSE)/2,IF($I57&lt;K$3,VLOOKUP($H57,Depreciation!$A$6:$L$10,8,FALSE),0))</f>
        <v>1.5338181838063448E-2</v>
      </c>
      <c r="L57" s="361">
        <f>+IF($I57=L$3,VLOOKUP($H57,Depreciation!$A$6:$L$10,9,FALSE)/2,IF($I57&lt;L$3,VLOOKUP($H57,Depreciation!$A$6:$L$10,9,FALSE),0))</f>
        <v>3.0676363676126896E-2</v>
      </c>
      <c r="M57" s="361">
        <f>+IF($I57=M$3,VLOOKUP($H57,Depreciation!$A$6:$L$10,10,FALSE)/2,IF($I57&lt;M$3,VLOOKUP($H57,Depreciation!$A$6:$L$10,10,FALSE),0))</f>
        <v>3.0676363676126896E-2</v>
      </c>
      <c r="N57" s="361">
        <f>+IF($I57=N$3,VLOOKUP($H57,Depreciation!$A$6:$L$10,11,FALSE)/2,IF($I57&lt;N$3,VLOOKUP($H57,Depreciation!$A$6:$L$10,11,FALSE),0))</f>
        <v>3.0676363676126896E-2</v>
      </c>
      <c r="O57" s="361">
        <f>+IF($I57=O$3,VLOOKUP($H57,Depreciation!$A$6:$L$10,12,FALSE)/2,IF($I57&lt;O$3,VLOOKUP($H57,Depreciation!$A$6:$L$10,12,FALSE),0))</f>
        <v>3.0676363676126896E-2</v>
      </c>
      <c r="P57" s="362">
        <f t="shared" si="2"/>
        <v>2877137.2386691649</v>
      </c>
      <c r="Q57" s="362">
        <f t="shared" si="3"/>
        <v>2877137.2386691649</v>
      </c>
      <c r="R57" s="363">
        <f t="shared" si="4"/>
        <v>0</v>
      </c>
      <c r="Y57" s="365"/>
    </row>
    <row r="58" spans="1:25" ht="15" customHeight="1">
      <c r="A58" s="359" t="str">
        <f>'Func Future Lines 2015'!A58</f>
        <v>PPS</v>
      </c>
      <c r="B58" s="359" t="str">
        <f>'Func Future Lines 2015'!B58</f>
        <v>910L</v>
      </c>
      <c r="C58" s="359">
        <f>'Func Future Lines 2015'!C58</f>
        <v>786</v>
      </c>
      <c r="D58" s="359">
        <f>'Func Future Lines 2015'!D58</f>
        <v>240</v>
      </c>
      <c r="E58" s="359">
        <f>'Func Future Lines 2015'!E58</f>
        <v>0</v>
      </c>
      <c r="F58" s="359" t="str">
        <f>'Func Future Lines 2015'!F58</f>
        <v>northwest</v>
      </c>
      <c r="G58" s="359">
        <f>'Func Future Lines 2015'!G58</f>
        <v>346386.25820651586</v>
      </c>
      <c r="H58" s="359" t="str">
        <f>'Func Future Lines 2015'!H58</f>
        <v>ATCO</v>
      </c>
      <c r="I58" s="359">
        <f>'Func Future Lines 2015'!I58</f>
        <v>2016</v>
      </c>
      <c r="J58" s="361">
        <f>+IF($I58=J$3,VLOOKUP($H58,Depreciation!$A$6:$L$10,7,FALSE)/2,IF($I58&lt;J$3,VLOOKUP($H58,Depreciation!$A$6:$L$10,7,FALSE),0))</f>
        <v>0</v>
      </c>
      <c r="K58" s="361">
        <f>+IF($I58=K$3,VLOOKUP($H58,Depreciation!$A$6:$L$10,8,FALSE)/2,IF($I58&lt;K$3,VLOOKUP($H58,Depreciation!$A$6:$L$10,8,FALSE),0))</f>
        <v>1.1971929865503333E-2</v>
      </c>
      <c r="L58" s="361">
        <f>+IF($I58=L$3,VLOOKUP($H58,Depreciation!$A$6:$L$10,9,FALSE)/2,IF($I58&lt;L$3,VLOOKUP($H58,Depreciation!$A$6:$L$10,9,FALSE),0))</f>
        <v>2.4002037926855919E-2</v>
      </c>
      <c r="M58" s="361">
        <f>+IF($I58=M$3,VLOOKUP($H58,Depreciation!$A$6:$L$10,10,FALSE)/2,IF($I58&lt;M$3,VLOOKUP($H58,Depreciation!$A$6:$L$10,10,FALSE),0))</f>
        <v>2.4002037926855919E-2</v>
      </c>
      <c r="N58" s="361">
        <f>+IF($I58=N$3,VLOOKUP($H58,Depreciation!$A$6:$L$10,11,FALSE)/2,IF($I58&lt;N$3,VLOOKUP($H58,Depreciation!$A$6:$L$10,11,FALSE),0))</f>
        <v>2.4002037926855919E-2</v>
      </c>
      <c r="O58" s="361">
        <f>+IF($I58=O$3,VLOOKUP($H58,Depreciation!$A$6:$L$10,12,FALSE)/2,IF($I58&lt;O$3,VLOOKUP($H58,Depreciation!$A$6:$L$10,12,FALSE),0))</f>
        <v>2.4002037926855919E-2</v>
      </c>
      <c r="P58" s="362">
        <f t="shared" si="2"/>
        <v>326007.62602383533</v>
      </c>
      <c r="Q58" s="362">
        <f t="shared" si="3"/>
        <v>326007.62602383533</v>
      </c>
      <c r="R58" s="363">
        <f t="shared" si="4"/>
        <v>0</v>
      </c>
      <c r="Y58" s="365"/>
    </row>
    <row r="59" spans="1:25" ht="15" customHeight="1">
      <c r="A59" s="359" t="str">
        <f>'Func Future Lines 2015'!A59</f>
        <v>PPS</v>
      </c>
      <c r="B59" s="359" t="str">
        <f>'Func Future Lines 2015'!B59</f>
        <v>Jasper Tap</v>
      </c>
      <c r="C59" s="359">
        <f>'Func Future Lines 2015'!C59</f>
        <v>786</v>
      </c>
      <c r="D59" s="359">
        <f>'Func Future Lines 2015'!D59</f>
        <v>240</v>
      </c>
      <c r="E59" s="359">
        <f>'Func Future Lines 2015'!E59</f>
        <v>0</v>
      </c>
      <c r="F59" s="359" t="str">
        <f>'Func Future Lines 2015'!F59</f>
        <v>edmonton</v>
      </c>
      <c r="G59" s="359">
        <f>'Func Future Lines 2015'!G59</f>
        <v>1657515.1531787047</v>
      </c>
      <c r="H59" s="359" t="str">
        <f>'Func Future Lines 2015'!H59</f>
        <v>AltaLink</v>
      </c>
      <c r="I59" s="359">
        <f>'Func Future Lines 2015'!I59</f>
        <v>2016</v>
      </c>
      <c r="J59" s="361">
        <f>+IF($I59=J$3,VLOOKUP($H59,Depreciation!$A$6:$L$10,7,FALSE)/2,IF($I59&lt;J$3,VLOOKUP($H59,Depreciation!$A$6:$L$10,7,FALSE),0))</f>
        <v>0</v>
      </c>
      <c r="K59" s="361">
        <f>+IF($I59=K$3,VLOOKUP($H59,Depreciation!$A$6:$L$10,8,FALSE)/2,IF($I59&lt;K$3,VLOOKUP($H59,Depreciation!$A$6:$L$10,8,FALSE),0))</f>
        <v>1.5338181838063448E-2</v>
      </c>
      <c r="L59" s="361">
        <f>+IF($I59=L$3,VLOOKUP($H59,Depreciation!$A$6:$L$10,9,FALSE)/2,IF($I59&lt;L$3,VLOOKUP($H59,Depreciation!$A$6:$L$10,9,FALSE),0))</f>
        <v>3.0676363676126896E-2</v>
      </c>
      <c r="M59" s="361">
        <f>+IF($I59=M$3,VLOOKUP($H59,Depreciation!$A$6:$L$10,10,FALSE)/2,IF($I59&lt;M$3,VLOOKUP($H59,Depreciation!$A$6:$L$10,10,FALSE),0))</f>
        <v>3.0676363676126896E-2</v>
      </c>
      <c r="N59" s="361">
        <f>+IF($I59=N$3,VLOOKUP($H59,Depreciation!$A$6:$L$10,11,FALSE)/2,IF($I59&lt;N$3,VLOOKUP($H59,Depreciation!$A$6:$L$10,11,FALSE),0))</f>
        <v>3.0676363676126896E-2</v>
      </c>
      <c r="O59" s="361">
        <f>+IF($I59=O$3,VLOOKUP($H59,Depreciation!$A$6:$L$10,12,FALSE)/2,IF($I59&lt;O$3,VLOOKUP($H59,Depreciation!$A$6:$L$10,12,FALSE),0))</f>
        <v>3.0676363676126896E-2</v>
      </c>
      <c r="P59" s="362">
        <f t="shared" si="2"/>
        <v>1533494.4585503899</v>
      </c>
      <c r="Q59" s="362">
        <f t="shared" si="3"/>
        <v>1533494.4585503899</v>
      </c>
      <c r="R59" s="363">
        <f t="shared" si="4"/>
        <v>0</v>
      </c>
      <c r="Y59" s="365"/>
    </row>
    <row r="60" spans="1:25" ht="15" customHeight="1">
      <c r="A60" s="359" t="str">
        <f>'Func Future Lines 2015'!A60</f>
        <v>PPS</v>
      </c>
      <c r="B60" s="359" t="str">
        <f>'Func Future Lines 2015'!B60</f>
        <v>Jasper Tap</v>
      </c>
      <c r="C60" s="359">
        <f>'Func Future Lines 2015'!C60</f>
        <v>786</v>
      </c>
      <c r="D60" s="359">
        <f>'Func Future Lines 2015'!D60</f>
        <v>240</v>
      </c>
      <c r="E60" s="359">
        <f>'Func Future Lines 2015'!E60</f>
        <v>0</v>
      </c>
      <c r="F60" s="359" t="str">
        <f>'Func Future Lines 2015'!F60</f>
        <v>edmonton</v>
      </c>
      <c r="G60" s="359">
        <f>'Func Future Lines 2015'!G60</f>
        <v>1321477.0395329923</v>
      </c>
      <c r="H60" s="359" t="str">
        <f>'Func Future Lines 2015'!H60</f>
        <v>AltaLink</v>
      </c>
      <c r="I60" s="359">
        <f>'Func Future Lines 2015'!I60</f>
        <v>2016</v>
      </c>
      <c r="J60" s="361">
        <f>+IF($I60=J$3,VLOOKUP($H60,Depreciation!$A$6:$L$10,7,FALSE)/2,IF($I60&lt;J$3,VLOOKUP($H60,Depreciation!$A$6:$L$10,7,FALSE),0))</f>
        <v>0</v>
      </c>
      <c r="K60" s="361">
        <f>+IF($I60=K$3,VLOOKUP($H60,Depreciation!$A$6:$L$10,8,FALSE)/2,IF($I60&lt;K$3,VLOOKUP($H60,Depreciation!$A$6:$L$10,8,FALSE),0))</f>
        <v>1.5338181838063448E-2</v>
      </c>
      <c r="L60" s="361">
        <f>+IF($I60=L$3,VLOOKUP($H60,Depreciation!$A$6:$L$10,9,FALSE)/2,IF($I60&lt;L$3,VLOOKUP($H60,Depreciation!$A$6:$L$10,9,FALSE),0))</f>
        <v>3.0676363676126896E-2</v>
      </c>
      <c r="M60" s="361">
        <f>+IF($I60=M$3,VLOOKUP($H60,Depreciation!$A$6:$L$10,10,FALSE)/2,IF($I60&lt;M$3,VLOOKUP($H60,Depreciation!$A$6:$L$10,10,FALSE),0))</f>
        <v>3.0676363676126896E-2</v>
      </c>
      <c r="N60" s="361">
        <f>+IF($I60=N$3,VLOOKUP($H60,Depreciation!$A$6:$L$10,11,FALSE)/2,IF($I60&lt;N$3,VLOOKUP($H60,Depreciation!$A$6:$L$10,11,FALSE),0))</f>
        <v>3.0676363676126896E-2</v>
      </c>
      <c r="O60" s="361">
        <f>+IF($I60=O$3,VLOOKUP($H60,Depreciation!$A$6:$L$10,12,FALSE)/2,IF($I60&lt;O$3,VLOOKUP($H60,Depreciation!$A$6:$L$10,12,FALSE),0))</f>
        <v>3.0676363676126896E-2</v>
      </c>
      <c r="P60" s="362">
        <f t="shared" si="2"/>
        <v>1222599.8135456769</v>
      </c>
      <c r="Q60" s="362">
        <f t="shared" si="3"/>
        <v>1222599.8135456769</v>
      </c>
      <c r="R60" s="363">
        <f t="shared" si="4"/>
        <v>0</v>
      </c>
      <c r="Y60" s="365"/>
    </row>
    <row r="61" spans="1:25" ht="15" customHeight="1">
      <c r="A61" s="359" t="str">
        <f>'Func Future Lines 2015'!A61</f>
        <v>PPS</v>
      </c>
      <c r="B61" s="359" t="str">
        <f>'Func Future Lines 2015'!B61</f>
        <v>7L180</v>
      </c>
      <c r="C61" s="359">
        <f>'Func Future Lines 2015'!C61</f>
        <v>803</v>
      </c>
      <c r="D61" s="359">
        <f>'Func Future Lines 2015'!D61</f>
        <v>138</v>
      </c>
      <c r="E61" s="359">
        <f>'Func Future Lines 2015'!E61</f>
        <v>0</v>
      </c>
      <c r="F61" s="359" t="str">
        <f>'Func Future Lines 2015'!F61</f>
        <v>High_Level</v>
      </c>
      <c r="G61" s="359">
        <f>'Func Future Lines 2015'!G61</f>
        <v>12917630.079449499</v>
      </c>
      <c r="H61" s="359" t="str">
        <f>'Func Future Lines 2015'!H61</f>
        <v>ATCO</v>
      </c>
      <c r="I61" s="359">
        <f>'Func Future Lines 2015'!I61</f>
        <v>2017</v>
      </c>
      <c r="J61" s="361">
        <f>+IF($I61=J$3,VLOOKUP($H61,Depreciation!$A$6:$L$10,7,FALSE)/2,IF($I61&lt;J$3,VLOOKUP($H61,Depreciation!$A$6:$L$10,7,FALSE),0))</f>
        <v>0</v>
      </c>
      <c r="K61" s="361">
        <f>+IF($I61=K$3,VLOOKUP($H61,Depreciation!$A$6:$L$10,8,FALSE)/2,IF($I61&lt;K$3,VLOOKUP($H61,Depreciation!$A$6:$L$10,8,FALSE),0))</f>
        <v>0</v>
      </c>
      <c r="L61" s="361">
        <f>+IF($I61=L$3,VLOOKUP($H61,Depreciation!$A$6:$L$10,9,FALSE)/2,IF($I61&lt;L$3,VLOOKUP($H61,Depreciation!$A$6:$L$10,9,FALSE),0))</f>
        <v>1.2001018963427959E-2</v>
      </c>
      <c r="M61" s="361">
        <f>+IF($I61=M$3,VLOOKUP($H61,Depreciation!$A$6:$L$10,10,FALSE)/2,IF($I61&lt;M$3,VLOOKUP($H61,Depreciation!$A$6:$L$10,10,FALSE),0))</f>
        <v>2.4002037926855919E-2</v>
      </c>
      <c r="N61" s="361">
        <f>+IF($I61=N$3,VLOOKUP($H61,Depreciation!$A$6:$L$10,11,FALSE)/2,IF($I61&lt;N$3,VLOOKUP($H61,Depreciation!$A$6:$L$10,11,FALSE),0))</f>
        <v>2.4002037926855919E-2</v>
      </c>
      <c r="O61" s="361">
        <f>+IF($I61=O$3,VLOOKUP($H61,Depreciation!$A$6:$L$10,12,FALSE)/2,IF($I61&lt;O$3,VLOOKUP($H61,Depreciation!$A$6:$L$10,12,FALSE),0))</f>
        <v>2.4002037926855919E-2</v>
      </c>
      <c r="P61" s="362">
        <f t="shared" si="2"/>
        <v>12456276.818105588</v>
      </c>
      <c r="Q61" s="362">
        <f t="shared" si="3"/>
        <v>0</v>
      </c>
      <c r="R61" s="363">
        <f t="shared" si="4"/>
        <v>12456276.818105588</v>
      </c>
      <c r="Y61" s="365"/>
    </row>
    <row r="62" spans="1:25" ht="15" customHeight="1">
      <c r="A62" s="359" t="str">
        <f>'Func Future Lines 2015'!A62</f>
        <v>PPS</v>
      </c>
      <c r="B62" s="359" t="str">
        <f>'Func Future Lines 2015'!B62</f>
        <v>6L05 Dead End180</v>
      </c>
      <c r="C62" s="359">
        <f>'Func Future Lines 2015'!C62</f>
        <v>811</v>
      </c>
      <c r="D62" s="359">
        <f>'Func Future Lines 2015'!D62</f>
        <v>69</v>
      </c>
      <c r="E62" s="359">
        <f>'Func Future Lines 2015'!E62</f>
        <v>0</v>
      </c>
      <c r="F62" s="359" t="str">
        <f>'Func Future Lines 2015'!F62</f>
        <v>central</v>
      </c>
      <c r="G62" s="359">
        <f>'Func Future Lines 2015'!G62</f>
        <v>243484.314248574</v>
      </c>
      <c r="H62" s="359" t="str">
        <f>'Func Future Lines 2015'!H62</f>
        <v>ATCO</v>
      </c>
      <c r="I62" s="359">
        <f>'Func Future Lines 2015'!I62</f>
        <v>2017</v>
      </c>
      <c r="J62" s="361">
        <f>+IF($I62=J$3,VLOOKUP($H62,Depreciation!$A$6:$L$10,7,FALSE)/2,IF($I62&lt;J$3,VLOOKUP($H62,Depreciation!$A$6:$L$10,7,FALSE),0))</f>
        <v>0</v>
      </c>
      <c r="K62" s="361">
        <f>+IF($I62=K$3,VLOOKUP($H62,Depreciation!$A$6:$L$10,8,FALSE)/2,IF($I62&lt;K$3,VLOOKUP($H62,Depreciation!$A$6:$L$10,8,FALSE),0))</f>
        <v>0</v>
      </c>
      <c r="L62" s="361">
        <f>+IF($I62=L$3,VLOOKUP($H62,Depreciation!$A$6:$L$10,9,FALSE)/2,IF($I62&lt;L$3,VLOOKUP($H62,Depreciation!$A$6:$L$10,9,FALSE),0))</f>
        <v>1.2001018963427959E-2</v>
      </c>
      <c r="M62" s="361">
        <f>+IF($I62=M$3,VLOOKUP($H62,Depreciation!$A$6:$L$10,10,FALSE)/2,IF($I62&lt;M$3,VLOOKUP($H62,Depreciation!$A$6:$L$10,10,FALSE),0))</f>
        <v>2.4002037926855919E-2</v>
      </c>
      <c r="N62" s="361">
        <f>+IF($I62=N$3,VLOOKUP($H62,Depreciation!$A$6:$L$10,11,FALSE)/2,IF($I62&lt;N$3,VLOOKUP($H62,Depreciation!$A$6:$L$10,11,FALSE),0))</f>
        <v>2.4002037926855919E-2</v>
      </c>
      <c r="O62" s="361">
        <f>+IF($I62=O$3,VLOOKUP($H62,Depreciation!$A$6:$L$10,12,FALSE)/2,IF($I62&lt;O$3,VLOOKUP($H62,Depreciation!$A$6:$L$10,12,FALSE),0))</f>
        <v>2.4002037926855919E-2</v>
      </c>
      <c r="P62" s="362">
        <f t="shared" si="2"/>
        <v>234788.27002267737</v>
      </c>
      <c r="Q62" s="362">
        <f t="shared" si="3"/>
        <v>0</v>
      </c>
      <c r="R62" s="363">
        <f t="shared" si="4"/>
        <v>234788.27002267737</v>
      </c>
      <c r="Y62" s="365"/>
    </row>
    <row r="63" spans="1:25" ht="15" customHeight="1">
      <c r="A63" s="359" t="str">
        <f>'Func Future Lines 2015'!A63</f>
        <v>PPS</v>
      </c>
      <c r="B63" s="359" t="str">
        <f>'Func Future Lines 2015'!B63</f>
        <v>7L1170</v>
      </c>
      <c r="C63" s="359">
        <f>'Func Future Lines 2015'!C63</f>
        <v>811</v>
      </c>
      <c r="D63" s="359">
        <f>'Func Future Lines 2015'!D63</f>
        <v>144</v>
      </c>
      <c r="E63" s="359">
        <f>'Func Future Lines 2015'!E63</f>
        <v>0</v>
      </c>
      <c r="F63" s="359" t="str">
        <f>'Func Future Lines 2015'!F63</f>
        <v>central</v>
      </c>
      <c r="G63" s="359">
        <f>'Func Future Lines 2015'!G63</f>
        <v>2439411.4217569879</v>
      </c>
      <c r="H63" s="359" t="str">
        <f>'Func Future Lines 2015'!H63</f>
        <v>ATCO</v>
      </c>
      <c r="I63" s="359">
        <f>'Func Future Lines 2015'!I63</f>
        <v>2017</v>
      </c>
      <c r="J63" s="361">
        <f>+IF($I63=J$3,VLOOKUP($H63,Depreciation!$A$6:$L$10,7,FALSE)/2,IF($I63&lt;J$3,VLOOKUP($H63,Depreciation!$A$6:$L$10,7,FALSE),0))</f>
        <v>0</v>
      </c>
      <c r="K63" s="361">
        <f>+IF($I63=K$3,VLOOKUP($H63,Depreciation!$A$6:$L$10,8,FALSE)/2,IF($I63&lt;K$3,VLOOKUP($H63,Depreciation!$A$6:$L$10,8,FALSE),0))</f>
        <v>0</v>
      </c>
      <c r="L63" s="361">
        <f>+IF($I63=L$3,VLOOKUP($H63,Depreciation!$A$6:$L$10,9,FALSE)/2,IF($I63&lt;L$3,VLOOKUP($H63,Depreciation!$A$6:$L$10,9,FALSE),0))</f>
        <v>1.2001018963427959E-2</v>
      </c>
      <c r="M63" s="361">
        <f>+IF($I63=M$3,VLOOKUP($H63,Depreciation!$A$6:$L$10,10,FALSE)/2,IF($I63&lt;M$3,VLOOKUP($H63,Depreciation!$A$6:$L$10,10,FALSE),0))</f>
        <v>2.4002037926855919E-2</v>
      </c>
      <c r="N63" s="361">
        <f>+IF($I63=N$3,VLOOKUP($H63,Depreciation!$A$6:$L$10,11,FALSE)/2,IF($I63&lt;N$3,VLOOKUP($H63,Depreciation!$A$6:$L$10,11,FALSE),0))</f>
        <v>2.4002037926855919E-2</v>
      </c>
      <c r="O63" s="361">
        <f>+IF($I63=O$3,VLOOKUP($H63,Depreciation!$A$6:$L$10,12,FALSE)/2,IF($I63&lt;O$3,VLOOKUP($H63,Depreciation!$A$6:$L$10,12,FALSE),0))</f>
        <v>2.4002037926855919E-2</v>
      </c>
      <c r="P63" s="362">
        <f t="shared" si="2"/>
        <v>2352287.8233674038</v>
      </c>
      <c r="Q63" s="362">
        <f t="shared" si="3"/>
        <v>0</v>
      </c>
      <c r="R63" s="363">
        <f t="shared" si="4"/>
        <v>2352287.8233674038</v>
      </c>
      <c r="Y63" s="365"/>
    </row>
    <row r="64" spans="1:25" ht="15" customHeight="1">
      <c r="A64" s="359" t="str">
        <f>'Func Future Lines 2015'!A64</f>
        <v>PPS</v>
      </c>
      <c r="B64" s="359" t="str">
        <f>'Func Future Lines 2015'!B64</f>
        <v>7L14/7L130180</v>
      </c>
      <c r="C64" s="359">
        <f>'Func Future Lines 2015'!C64</f>
        <v>811</v>
      </c>
      <c r="D64" s="359">
        <f>'Func Future Lines 2015'!D64</f>
        <v>144</v>
      </c>
      <c r="E64" s="359">
        <f>'Func Future Lines 2015'!E64</f>
        <v>0</v>
      </c>
      <c r="F64" s="359" t="str">
        <f>'Func Future Lines 2015'!F64</f>
        <v>central</v>
      </c>
      <c r="G64" s="359">
        <f>'Func Future Lines 2015'!G64</f>
        <v>14367348.961213691</v>
      </c>
      <c r="H64" s="359" t="str">
        <f>'Func Future Lines 2015'!H64</f>
        <v>ATCO</v>
      </c>
      <c r="I64" s="359">
        <f>'Func Future Lines 2015'!I64</f>
        <v>2017</v>
      </c>
      <c r="J64" s="361">
        <f>+IF($I64=J$3,VLOOKUP($H64,Depreciation!$A$6:$L$10,7,FALSE)/2,IF($I64&lt;J$3,VLOOKUP($H64,Depreciation!$A$6:$L$10,7,FALSE),0))</f>
        <v>0</v>
      </c>
      <c r="K64" s="361">
        <f>+IF($I64=K$3,VLOOKUP($H64,Depreciation!$A$6:$L$10,8,FALSE)/2,IF($I64&lt;K$3,VLOOKUP($H64,Depreciation!$A$6:$L$10,8,FALSE),0))</f>
        <v>0</v>
      </c>
      <c r="L64" s="361">
        <f>+IF($I64=L$3,VLOOKUP($H64,Depreciation!$A$6:$L$10,9,FALSE)/2,IF($I64&lt;L$3,VLOOKUP($H64,Depreciation!$A$6:$L$10,9,FALSE),0))</f>
        <v>1.2001018963427959E-2</v>
      </c>
      <c r="M64" s="361">
        <f>+IF($I64=M$3,VLOOKUP($H64,Depreciation!$A$6:$L$10,10,FALSE)/2,IF($I64&lt;M$3,VLOOKUP($H64,Depreciation!$A$6:$L$10,10,FALSE),0))</f>
        <v>2.4002037926855919E-2</v>
      </c>
      <c r="N64" s="361">
        <f>+IF($I64=N$3,VLOOKUP($H64,Depreciation!$A$6:$L$10,11,FALSE)/2,IF($I64&lt;N$3,VLOOKUP($H64,Depreciation!$A$6:$L$10,11,FALSE),0))</f>
        <v>2.4002037926855919E-2</v>
      </c>
      <c r="O64" s="361">
        <f>+IF($I64=O$3,VLOOKUP($H64,Depreciation!$A$6:$L$10,12,FALSE)/2,IF($I64&lt;O$3,VLOOKUP($H64,Depreciation!$A$6:$L$10,12,FALSE),0))</f>
        <v>2.4002037926855919E-2</v>
      </c>
      <c r="P64" s="362">
        <f t="shared" si="2"/>
        <v>13854218.978441769</v>
      </c>
      <c r="Q64" s="362">
        <f t="shared" si="3"/>
        <v>0</v>
      </c>
      <c r="R64" s="363">
        <f t="shared" si="4"/>
        <v>13854218.978441769</v>
      </c>
      <c r="Y64" s="365"/>
    </row>
    <row r="65" spans="1:25" ht="15" customHeight="1">
      <c r="A65" s="359" t="str">
        <f>'Func Future Lines 2015'!A65</f>
        <v>PPS</v>
      </c>
      <c r="B65" s="359" t="str">
        <f>'Func Future Lines 2015'!B65</f>
        <v>7L140</v>
      </c>
      <c r="C65" s="359">
        <f>'Func Future Lines 2015'!C65</f>
        <v>811</v>
      </c>
      <c r="D65" s="359">
        <f>'Func Future Lines 2015'!D65</f>
        <v>144</v>
      </c>
      <c r="E65" s="359">
        <f>'Func Future Lines 2015'!E65</f>
        <v>0</v>
      </c>
      <c r="F65" s="359" t="str">
        <f>'Func Future Lines 2015'!F65</f>
        <v>central</v>
      </c>
      <c r="G65" s="359">
        <f>'Func Future Lines 2015'!G65</f>
        <v>6851824.4335497497</v>
      </c>
      <c r="H65" s="359" t="str">
        <f>'Func Future Lines 2015'!H65</f>
        <v>ATCO</v>
      </c>
      <c r="I65" s="359">
        <f>'Func Future Lines 2015'!I65</f>
        <v>2017</v>
      </c>
      <c r="J65" s="361">
        <f>+IF($I65=J$3,VLOOKUP($H65,Depreciation!$A$6:$L$10,7,FALSE)/2,IF($I65&lt;J$3,VLOOKUP($H65,Depreciation!$A$6:$L$10,7,FALSE),0))</f>
        <v>0</v>
      </c>
      <c r="K65" s="361">
        <f>+IF($I65=K$3,VLOOKUP($H65,Depreciation!$A$6:$L$10,8,FALSE)/2,IF($I65&lt;K$3,VLOOKUP($H65,Depreciation!$A$6:$L$10,8,FALSE),0))</f>
        <v>0</v>
      </c>
      <c r="L65" s="361">
        <f>+IF($I65=L$3,VLOOKUP($H65,Depreciation!$A$6:$L$10,9,FALSE)/2,IF($I65&lt;L$3,VLOOKUP($H65,Depreciation!$A$6:$L$10,9,FALSE),0))</f>
        <v>1.2001018963427959E-2</v>
      </c>
      <c r="M65" s="361">
        <f>+IF($I65=M$3,VLOOKUP($H65,Depreciation!$A$6:$L$10,10,FALSE)/2,IF($I65&lt;M$3,VLOOKUP($H65,Depreciation!$A$6:$L$10,10,FALSE),0))</f>
        <v>2.4002037926855919E-2</v>
      </c>
      <c r="N65" s="361">
        <f>+IF($I65=N$3,VLOOKUP($H65,Depreciation!$A$6:$L$10,11,FALSE)/2,IF($I65&lt;N$3,VLOOKUP($H65,Depreciation!$A$6:$L$10,11,FALSE),0))</f>
        <v>2.4002037926855919E-2</v>
      </c>
      <c r="O65" s="361">
        <f>+IF($I65=O$3,VLOOKUP($H65,Depreciation!$A$6:$L$10,12,FALSE)/2,IF($I65&lt;O$3,VLOOKUP($H65,Depreciation!$A$6:$L$10,12,FALSE),0))</f>
        <v>2.4002037926855919E-2</v>
      </c>
      <c r="P65" s="362">
        <f t="shared" si="2"/>
        <v>6607111.4692419199</v>
      </c>
      <c r="Q65" s="362">
        <f t="shared" si="3"/>
        <v>0</v>
      </c>
      <c r="R65" s="363">
        <f t="shared" si="4"/>
        <v>6607111.4692419199</v>
      </c>
      <c r="Y65" s="365"/>
    </row>
    <row r="66" spans="1:25" ht="15" customHeight="1">
      <c r="A66" s="359" t="str">
        <f>'Func Future Lines 2015'!A66</f>
        <v>PPS</v>
      </c>
      <c r="B66" s="359" t="str">
        <f>'Func Future Lines 2015'!B66</f>
        <v>7L157(180)</v>
      </c>
      <c r="C66" s="359">
        <f>'Func Future Lines 2015'!C66</f>
        <v>811</v>
      </c>
      <c r="D66" s="359">
        <f>'Func Future Lines 2015'!D66</f>
        <v>144</v>
      </c>
      <c r="E66" s="359">
        <f>'Func Future Lines 2015'!E66</f>
        <v>0</v>
      </c>
      <c r="F66" s="359" t="str">
        <f>'Func Future Lines 2015'!F66</f>
        <v>central</v>
      </c>
      <c r="G66" s="359">
        <f>'Func Future Lines 2015'!G66</f>
        <v>918753.56140999962</v>
      </c>
      <c r="H66" s="359" t="str">
        <f>'Func Future Lines 2015'!H66</f>
        <v>ATCO</v>
      </c>
      <c r="I66" s="359">
        <f>'Func Future Lines 2015'!I66</f>
        <v>2017</v>
      </c>
      <c r="J66" s="361">
        <f>+IF($I66=J$3,VLOOKUP($H66,Depreciation!$A$6:$L$10,7,FALSE)/2,IF($I66&lt;J$3,VLOOKUP($H66,Depreciation!$A$6:$L$10,7,FALSE),0))</f>
        <v>0</v>
      </c>
      <c r="K66" s="361">
        <f>+IF($I66=K$3,VLOOKUP($H66,Depreciation!$A$6:$L$10,8,FALSE)/2,IF($I66&lt;K$3,VLOOKUP($H66,Depreciation!$A$6:$L$10,8,FALSE),0))</f>
        <v>0</v>
      </c>
      <c r="L66" s="361">
        <f>+IF($I66=L$3,VLOOKUP($H66,Depreciation!$A$6:$L$10,9,FALSE)/2,IF($I66&lt;L$3,VLOOKUP($H66,Depreciation!$A$6:$L$10,9,FALSE),0))</f>
        <v>1.2001018963427959E-2</v>
      </c>
      <c r="M66" s="361">
        <f>+IF($I66=M$3,VLOOKUP($H66,Depreciation!$A$6:$L$10,10,FALSE)/2,IF($I66&lt;M$3,VLOOKUP($H66,Depreciation!$A$6:$L$10,10,FALSE),0))</f>
        <v>2.4002037926855919E-2</v>
      </c>
      <c r="N66" s="361">
        <f>+IF($I66=N$3,VLOOKUP($H66,Depreciation!$A$6:$L$10,11,FALSE)/2,IF($I66&lt;N$3,VLOOKUP($H66,Depreciation!$A$6:$L$10,11,FALSE),0))</f>
        <v>2.4002037926855919E-2</v>
      </c>
      <c r="O66" s="361">
        <f>+IF($I66=O$3,VLOOKUP($H66,Depreciation!$A$6:$L$10,12,FALSE)/2,IF($I66&lt;O$3,VLOOKUP($H66,Depreciation!$A$6:$L$10,12,FALSE),0))</f>
        <v>2.4002037926855919E-2</v>
      </c>
      <c r="P66" s="362">
        <f t="shared" si="2"/>
        <v>885940.2706344598</v>
      </c>
      <c r="Q66" s="362">
        <f t="shared" si="3"/>
        <v>0</v>
      </c>
      <c r="R66" s="363">
        <f t="shared" si="4"/>
        <v>885940.2706344598</v>
      </c>
      <c r="Y66" s="365"/>
    </row>
    <row r="67" spans="1:25" ht="15" customHeight="1">
      <c r="A67" s="359" t="str">
        <f>'Func Future Lines 2015'!A67</f>
        <v>PPS</v>
      </c>
      <c r="B67" s="359" t="str">
        <f>'Func Future Lines 2015'!B67</f>
        <v>7L160(180)</v>
      </c>
      <c r="C67" s="359">
        <f>'Func Future Lines 2015'!C67</f>
        <v>811</v>
      </c>
      <c r="D67" s="359">
        <f>'Func Future Lines 2015'!D67</f>
        <v>144</v>
      </c>
      <c r="E67" s="359">
        <f>'Func Future Lines 2015'!E67</f>
        <v>0</v>
      </c>
      <c r="F67" s="359" t="str">
        <f>'Func Future Lines 2015'!F67</f>
        <v>central</v>
      </c>
      <c r="G67" s="359">
        <f>'Func Future Lines 2015'!G67</f>
        <v>956623.00131934194</v>
      </c>
      <c r="H67" s="359" t="str">
        <f>'Func Future Lines 2015'!H67</f>
        <v>ATCO</v>
      </c>
      <c r="I67" s="359">
        <f>'Func Future Lines 2015'!I67</f>
        <v>2017</v>
      </c>
      <c r="J67" s="361">
        <f>+IF($I67=J$3,VLOOKUP($H67,Depreciation!$A$6:$L$10,7,FALSE)/2,IF($I67&lt;J$3,VLOOKUP($H67,Depreciation!$A$6:$L$10,7,FALSE),0))</f>
        <v>0</v>
      </c>
      <c r="K67" s="361">
        <f>+IF($I67=K$3,VLOOKUP($H67,Depreciation!$A$6:$L$10,8,FALSE)/2,IF($I67&lt;K$3,VLOOKUP($H67,Depreciation!$A$6:$L$10,8,FALSE),0))</f>
        <v>0</v>
      </c>
      <c r="L67" s="361">
        <f>+IF($I67=L$3,VLOOKUP($H67,Depreciation!$A$6:$L$10,9,FALSE)/2,IF($I67&lt;L$3,VLOOKUP($H67,Depreciation!$A$6:$L$10,9,FALSE),0))</f>
        <v>1.2001018963427959E-2</v>
      </c>
      <c r="M67" s="361">
        <f>+IF($I67=M$3,VLOOKUP($H67,Depreciation!$A$6:$L$10,10,FALSE)/2,IF($I67&lt;M$3,VLOOKUP($H67,Depreciation!$A$6:$L$10,10,FALSE),0))</f>
        <v>2.4002037926855919E-2</v>
      </c>
      <c r="N67" s="361">
        <f>+IF($I67=N$3,VLOOKUP($H67,Depreciation!$A$6:$L$10,11,FALSE)/2,IF($I67&lt;N$3,VLOOKUP($H67,Depreciation!$A$6:$L$10,11,FALSE),0))</f>
        <v>2.4002037926855919E-2</v>
      </c>
      <c r="O67" s="361">
        <f>+IF($I67=O$3,VLOOKUP($H67,Depreciation!$A$6:$L$10,12,FALSE)/2,IF($I67&lt;O$3,VLOOKUP($H67,Depreciation!$A$6:$L$10,12,FALSE),0))</f>
        <v>2.4002037926855919E-2</v>
      </c>
      <c r="P67" s="362">
        <f t="shared" si="2"/>
        <v>922457.20319531893</v>
      </c>
      <c r="Q67" s="362">
        <f t="shared" si="3"/>
        <v>0</v>
      </c>
      <c r="R67" s="363">
        <f t="shared" si="4"/>
        <v>922457.20319531893</v>
      </c>
      <c r="Y67" s="365"/>
    </row>
    <row r="68" spans="1:25" ht="15" customHeight="1">
      <c r="A68" s="359" t="str">
        <f>'Func Future Lines 2015'!A68</f>
        <v>PPS</v>
      </c>
      <c r="B68" s="359" t="str">
        <f>'Func Future Lines 2015'!B68</f>
        <v>7L530</v>
      </c>
      <c r="C68" s="359">
        <f>'Func Future Lines 2015'!C68</f>
        <v>811</v>
      </c>
      <c r="D68" s="359">
        <f>'Func Future Lines 2015'!D68</f>
        <v>144</v>
      </c>
      <c r="E68" s="359">
        <f>'Func Future Lines 2015'!E68</f>
        <v>0</v>
      </c>
      <c r="F68" s="359" t="str">
        <f>'Func Future Lines 2015'!F68</f>
        <v>central</v>
      </c>
      <c r="G68" s="359">
        <f>'Func Future Lines 2015'!G68</f>
        <v>2787898.7677222718</v>
      </c>
      <c r="H68" s="359" t="str">
        <f>'Func Future Lines 2015'!H68</f>
        <v>ATCO</v>
      </c>
      <c r="I68" s="359">
        <f>'Func Future Lines 2015'!I68</f>
        <v>2017</v>
      </c>
      <c r="J68" s="361">
        <f>+IF($I68=J$3,VLOOKUP($H68,Depreciation!$A$6:$L$10,7,FALSE)/2,IF($I68&lt;J$3,VLOOKUP($H68,Depreciation!$A$6:$L$10,7,FALSE),0))</f>
        <v>0</v>
      </c>
      <c r="K68" s="361">
        <f>+IF($I68=K$3,VLOOKUP($H68,Depreciation!$A$6:$L$10,8,FALSE)/2,IF($I68&lt;K$3,VLOOKUP($H68,Depreciation!$A$6:$L$10,8,FALSE),0))</f>
        <v>0</v>
      </c>
      <c r="L68" s="361">
        <f>+IF($I68=L$3,VLOOKUP($H68,Depreciation!$A$6:$L$10,9,FALSE)/2,IF($I68&lt;L$3,VLOOKUP($H68,Depreciation!$A$6:$L$10,9,FALSE),0))</f>
        <v>1.2001018963427959E-2</v>
      </c>
      <c r="M68" s="361">
        <f>+IF($I68=M$3,VLOOKUP($H68,Depreciation!$A$6:$L$10,10,FALSE)/2,IF($I68&lt;M$3,VLOOKUP($H68,Depreciation!$A$6:$L$10,10,FALSE),0))</f>
        <v>2.4002037926855919E-2</v>
      </c>
      <c r="N68" s="361">
        <f>+IF($I68=N$3,VLOOKUP($H68,Depreciation!$A$6:$L$10,11,FALSE)/2,IF($I68&lt;N$3,VLOOKUP($H68,Depreciation!$A$6:$L$10,11,FALSE),0))</f>
        <v>2.4002037926855919E-2</v>
      </c>
      <c r="O68" s="361">
        <f>+IF($I68=O$3,VLOOKUP($H68,Depreciation!$A$6:$L$10,12,FALSE)/2,IF($I68&lt;O$3,VLOOKUP($H68,Depreciation!$A$6:$L$10,12,FALSE),0))</f>
        <v>2.4002037926855919E-2</v>
      </c>
      <c r="P68" s="362">
        <f t="shared" si="2"/>
        <v>2688328.9409913183</v>
      </c>
      <c r="Q68" s="362">
        <f t="shared" si="3"/>
        <v>0</v>
      </c>
      <c r="R68" s="363">
        <f t="shared" si="4"/>
        <v>2688328.9409913183</v>
      </c>
      <c r="Y68" s="365"/>
    </row>
    <row r="69" spans="1:25" ht="15" customHeight="1">
      <c r="A69" s="359" t="str">
        <f>'Func Future Lines 2015'!A69</f>
        <v>PPS</v>
      </c>
      <c r="B69" s="359" t="str">
        <f>'Func Future Lines 2015'!B69</f>
        <v>7L7010</v>
      </c>
      <c r="C69" s="359">
        <f>'Func Future Lines 2015'!C69</f>
        <v>811</v>
      </c>
      <c r="D69" s="359">
        <f>'Func Future Lines 2015'!D69</f>
        <v>144</v>
      </c>
      <c r="E69" s="359">
        <f>'Func Future Lines 2015'!E69</f>
        <v>0</v>
      </c>
      <c r="F69" s="359" t="str">
        <f>'Func Future Lines 2015'!F69</f>
        <v>central</v>
      </c>
      <c r="G69" s="359">
        <f>'Func Future Lines 2015'!G69</f>
        <v>1203865.376970981</v>
      </c>
      <c r="H69" s="359" t="str">
        <f>'Func Future Lines 2015'!H69</f>
        <v>ATCO</v>
      </c>
      <c r="I69" s="359">
        <f>'Func Future Lines 2015'!I69</f>
        <v>2017</v>
      </c>
      <c r="J69" s="361">
        <f>+IF($I69=J$3,VLOOKUP($H69,Depreciation!$A$6:$L$10,7,FALSE)/2,IF($I69&lt;J$3,VLOOKUP($H69,Depreciation!$A$6:$L$10,7,FALSE),0))</f>
        <v>0</v>
      </c>
      <c r="K69" s="361">
        <f>+IF($I69=K$3,VLOOKUP($H69,Depreciation!$A$6:$L$10,8,FALSE)/2,IF($I69&lt;K$3,VLOOKUP($H69,Depreciation!$A$6:$L$10,8,FALSE),0))</f>
        <v>0</v>
      </c>
      <c r="L69" s="361">
        <f>+IF($I69=L$3,VLOOKUP($H69,Depreciation!$A$6:$L$10,9,FALSE)/2,IF($I69&lt;L$3,VLOOKUP($H69,Depreciation!$A$6:$L$10,9,FALSE),0))</f>
        <v>1.2001018963427959E-2</v>
      </c>
      <c r="M69" s="361">
        <f>+IF($I69=M$3,VLOOKUP($H69,Depreciation!$A$6:$L$10,10,FALSE)/2,IF($I69&lt;M$3,VLOOKUP($H69,Depreciation!$A$6:$L$10,10,FALSE),0))</f>
        <v>2.4002037926855919E-2</v>
      </c>
      <c r="N69" s="361">
        <f>+IF($I69=N$3,VLOOKUP($H69,Depreciation!$A$6:$L$10,11,FALSE)/2,IF($I69&lt;N$3,VLOOKUP($H69,Depreciation!$A$6:$L$10,11,FALSE),0))</f>
        <v>2.4002037926855919E-2</v>
      </c>
      <c r="O69" s="361">
        <f>+IF($I69=O$3,VLOOKUP($H69,Depreciation!$A$6:$L$10,12,FALSE)/2,IF($I69&lt;O$3,VLOOKUP($H69,Depreciation!$A$6:$L$10,12,FALSE),0))</f>
        <v>2.4002037926855919E-2</v>
      </c>
      <c r="P69" s="362">
        <f t="shared" ref="P69:P132" si="5">IF(I69&lt;=2018,G69*(1-J69)*(1-K69)*(1-L69)*(1-M69),0)</f>
        <v>1160869.3154280691</v>
      </c>
      <c r="Q69" s="362">
        <f t="shared" ref="Q69:Q132" si="6">IF(D69&gt;=240,P69,0)</f>
        <v>0</v>
      </c>
      <c r="R69" s="363">
        <f t="shared" ref="R69:R132" si="7">IF(AND(D69&gt;25,D69&lt;240),P69,0)</f>
        <v>1160869.3154280691</v>
      </c>
      <c r="Y69" s="365"/>
    </row>
    <row r="70" spans="1:25" ht="15" customHeight="1">
      <c r="A70" s="359" t="str">
        <f>'Func Future Lines 2015'!A70</f>
        <v>PPS</v>
      </c>
      <c r="B70" s="359" t="str">
        <f>'Func Future Lines 2015'!B70</f>
        <v>7L74(180)</v>
      </c>
      <c r="C70" s="359">
        <f>'Func Future Lines 2015'!C70</f>
        <v>811</v>
      </c>
      <c r="D70" s="359">
        <f>'Func Future Lines 2015'!D70</f>
        <v>144</v>
      </c>
      <c r="E70" s="359">
        <f>'Func Future Lines 2015'!E70</f>
        <v>0</v>
      </c>
      <c r="F70" s="359" t="str">
        <f>'Func Future Lines 2015'!F70</f>
        <v>central</v>
      </c>
      <c r="G70" s="359">
        <f>'Func Future Lines 2015'!G70</f>
        <v>17920449.216898397</v>
      </c>
      <c r="H70" s="359" t="str">
        <f>'Func Future Lines 2015'!H70</f>
        <v>ATCO</v>
      </c>
      <c r="I70" s="359">
        <f>'Func Future Lines 2015'!I70</f>
        <v>2017</v>
      </c>
      <c r="J70" s="361">
        <f>+IF($I70=J$3,VLOOKUP($H70,Depreciation!$A$6:$L$10,7,FALSE)/2,IF($I70&lt;J$3,VLOOKUP($H70,Depreciation!$A$6:$L$10,7,FALSE),0))</f>
        <v>0</v>
      </c>
      <c r="K70" s="361">
        <f>+IF($I70=K$3,VLOOKUP($H70,Depreciation!$A$6:$L$10,8,FALSE)/2,IF($I70&lt;K$3,VLOOKUP($H70,Depreciation!$A$6:$L$10,8,FALSE),0))</f>
        <v>0</v>
      </c>
      <c r="L70" s="361">
        <f>+IF($I70=L$3,VLOOKUP($H70,Depreciation!$A$6:$L$10,9,FALSE)/2,IF($I70&lt;L$3,VLOOKUP($H70,Depreciation!$A$6:$L$10,9,FALSE),0))</f>
        <v>1.2001018963427959E-2</v>
      </c>
      <c r="M70" s="361">
        <f>+IF($I70=M$3,VLOOKUP($H70,Depreciation!$A$6:$L$10,10,FALSE)/2,IF($I70&lt;M$3,VLOOKUP($H70,Depreciation!$A$6:$L$10,10,FALSE),0))</f>
        <v>2.4002037926855919E-2</v>
      </c>
      <c r="N70" s="361">
        <f>+IF($I70=N$3,VLOOKUP($H70,Depreciation!$A$6:$L$10,11,FALSE)/2,IF($I70&lt;N$3,VLOOKUP($H70,Depreciation!$A$6:$L$10,11,FALSE),0))</f>
        <v>2.4002037926855919E-2</v>
      </c>
      <c r="O70" s="361">
        <f>+IF($I70=O$3,VLOOKUP($H70,Depreciation!$A$6:$L$10,12,FALSE)/2,IF($I70&lt;O$3,VLOOKUP($H70,Depreciation!$A$6:$L$10,12,FALSE),0))</f>
        <v>2.4002037926855919E-2</v>
      </c>
      <c r="P70" s="362">
        <f t="shared" si="5"/>
        <v>17280420.230148192</v>
      </c>
      <c r="Q70" s="362">
        <f t="shared" si="6"/>
        <v>0</v>
      </c>
      <c r="R70" s="363">
        <f t="shared" si="7"/>
        <v>17280420.230148192</v>
      </c>
      <c r="Y70" s="365"/>
    </row>
    <row r="71" spans="1:25" ht="15" customHeight="1">
      <c r="A71" s="359" t="str">
        <f>'Func Future Lines 2015'!A71</f>
        <v>PPS</v>
      </c>
      <c r="B71" s="359" t="str">
        <f>'Func Future Lines 2015'!B71</f>
        <v>7L7491</v>
      </c>
      <c r="C71" s="359">
        <f>'Func Future Lines 2015'!C71</f>
        <v>811</v>
      </c>
      <c r="D71" s="359">
        <f>'Func Future Lines 2015'!D71</f>
        <v>144</v>
      </c>
      <c r="E71" s="359">
        <f>'Func Future Lines 2015'!E71</f>
        <v>0</v>
      </c>
      <c r="F71" s="359" t="str">
        <f>'Func Future Lines 2015'!F71</f>
        <v>central</v>
      </c>
      <c r="G71" s="359">
        <f>'Func Future Lines 2015'!G71</f>
        <v>34200999.99999997</v>
      </c>
      <c r="H71" s="359" t="str">
        <f>'Func Future Lines 2015'!H71</f>
        <v>ATCO</v>
      </c>
      <c r="I71" s="359">
        <f>'Func Future Lines 2015'!I71</f>
        <v>2017</v>
      </c>
      <c r="J71" s="361">
        <f>+IF($I71=J$3,VLOOKUP($H71,Depreciation!$A$6:$L$10,7,FALSE)/2,IF($I71&lt;J$3,VLOOKUP($H71,Depreciation!$A$6:$L$10,7,FALSE),0))</f>
        <v>0</v>
      </c>
      <c r="K71" s="361">
        <f>+IF($I71=K$3,VLOOKUP($H71,Depreciation!$A$6:$L$10,8,FALSE)/2,IF($I71&lt;K$3,VLOOKUP($H71,Depreciation!$A$6:$L$10,8,FALSE),0))</f>
        <v>0</v>
      </c>
      <c r="L71" s="361">
        <f>+IF($I71=L$3,VLOOKUP($H71,Depreciation!$A$6:$L$10,9,FALSE)/2,IF($I71&lt;L$3,VLOOKUP($H71,Depreciation!$A$6:$L$10,9,FALSE),0))</f>
        <v>1.2001018963427959E-2</v>
      </c>
      <c r="M71" s="361">
        <f>+IF($I71=M$3,VLOOKUP($H71,Depreciation!$A$6:$L$10,10,FALSE)/2,IF($I71&lt;M$3,VLOOKUP($H71,Depreciation!$A$6:$L$10,10,FALSE),0))</f>
        <v>2.4002037926855919E-2</v>
      </c>
      <c r="N71" s="361">
        <f>+IF($I71=N$3,VLOOKUP($H71,Depreciation!$A$6:$L$10,11,FALSE)/2,IF($I71&lt;N$3,VLOOKUP($H71,Depreciation!$A$6:$L$10,11,FALSE),0))</f>
        <v>2.4002037926855919E-2</v>
      </c>
      <c r="O71" s="361">
        <f>+IF($I71=O$3,VLOOKUP($H71,Depreciation!$A$6:$L$10,12,FALSE)/2,IF($I71&lt;O$3,VLOOKUP($H71,Depreciation!$A$6:$L$10,12,FALSE),0))</f>
        <v>2.4002037926855919E-2</v>
      </c>
      <c r="P71" s="362">
        <f t="shared" si="5"/>
        <v>32979511.012145661</v>
      </c>
      <c r="Q71" s="362">
        <f t="shared" si="6"/>
        <v>0</v>
      </c>
      <c r="R71" s="363">
        <f t="shared" si="7"/>
        <v>32979511.012145661</v>
      </c>
      <c r="Y71" s="365"/>
    </row>
    <row r="72" spans="1:25" ht="15" customHeight="1">
      <c r="A72" s="359" t="str">
        <f>'Func Future Lines 2015'!A72</f>
        <v>PPS</v>
      </c>
      <c r="B72" s="359" t="str">
        <f>'Func Future Lines 2015'!B72</f>
        <v>7L83(180)</v>
      </c>
      <c r="C72" s="359">
        <f>'Func Future Lines 2015'!C72</f>
        <v>811</v>
      </c>
      <c r="D72" s="359">
        <f>'Func Future Lines 2015'!D72</f>
        <v>144</v>
      </c>
      <c r="E72" s="359">
        <f>'Func Future Lines 2015'!E72</f>
        <v>0</v>
      </c>
      <c r="F72" s="359" t="str">
        <f>'Func Future Lines 2015'!F72</f>
        <v>central</v>
      </c>
      <c r="G72" s="359">
        <f>'Func Future Lines 2015'!G72</f>
        <v>7546228.6782723581</v>
      </c>
      <c r="H72" s="359" t="str">
        <f>'Func Future Lines 2015'!H72</f>
        <v>ATCO</v>
      </c>
      <c r="I72" s="359">
        <f>'Func Future Lines 2015'!I72</f>
        <v>2017</v>
      </c>
      <c r="J72" s="361">
        <f>+IF($I72=J$3,VLOOKUP($H72,Depreciation!$A$6:$L$10,7,FALSE)/2,IF($I72&lt;J$3,VLOOKUP($H72,Depreciation!$A$6:$L$10,7,FALSE),0))</f>
        <v>0</v>
      </c>
      <c r="K72" s="361">
        <f>+IF($I72=K$3,VLOOKUP($H72,Depreciation!$A$6:$L$10,8,FALSE)/2,IF($I72&lt;K$3,VLOOKUP($H72,Depreciation!$A$6:$L$10,8,FALSE),0))</f>
        <v>0</v>
      </c>
      <c r="L72" s="361">
        <f>+IF($I72=L$3,VLOOKUP($H72,Depreciation!$A$6:$L$10,9,FALSE)/2,IF($I72&lt;L$3,VLOOKUP($H72,Depreciation!$A$6:$L$10,9,FALSE),0))</f>
        <v>1.2001018963427959E-2</v>
      </c>
      <c r="M72" s="361">
        <f>+IF($I72=M$3,VLOOKUP($H72,Depreciation!$A$6:$L$10,10,FALSE)/2,IF($I72&lt;M$3,VLOOKUP($H72,Depreciation!$A$6:$L$10,10,FALSE),0))</f>
        <v>2.4002037926855919E-2</v>
      </c>
      <c r="N72" s="361">
        <f>+IF($I72=N$3,VLOOKUP($H72,Depreciation!$A$6:$L$10,11,FALSE)/2,IF($I72&lt;N$3,VLOOKUP($H72,Depreciation!$A$6:$L$10,11,FALSE),0))</f>
        <v>2.4002037926855919E-2</v>
      </c>
      <c r="O72" s="361">
        <f>+IF($I72=O$3,VLOOKUP($H72,Depreciation!$A$6:$L$10,12,FALSE)/2,IF($I72&lt;O$3,VLOOKUP($H72,Depreciation!$A$6:$L$10,12,FALSE),0))</f>
        <v>2.4002037926855919E-2</v>
      </c>
      <c r="P72" s="362">
        <f t="shared" si="5"/>
        <v>7276715.060824329</v>
      </c>
      <c r="Q72" s="362">
        <f t="shared" si="6"/>
        <v>0</v>
      </c>
      <c r="R72" s="363">
        <f t="shared" si="7"/>
        <v>7276715.060824329</v>
      </c>
      <c r="Y72" s="365"/>
    </row>
    <row r="73" spans="1:25" ht="15" customHeight="1">
      <c r="A73" s="359" t="str">
        <f>'Func Future Lines 2015'!A73</f>
        <v>PPS</v>
      </c>
      <c r="B73" s="359" t="str">
        <f>'Func Future Lines 2015'!B73</f>
        <v>7L87(180)</v>
      </c>
      <c r="C73" s="359">
        <f>'Func Future Lines 2015'!C73</f>
        <v>811</v>
      </c>
      <c r="D73" s="359">
        <f>'Func Future Lines 2015'!D73</f>
        <v>144</v>
      </c>
      <c r="E73" s="359">
        <f>'Func Future Lines 2015'!E73</f>
        <v>0</v>
      </c>
      <c r="F73" s="359" t="str">
        <f>'Func Future Lines 2015'!F73</f>
        <v>central</v>
      </c>
      <c r="G73" s="359">
        <f>'Func Future Lines 2015'!G73</f>
        <v>12282104.825654209</v>
      </c>
      <c r="H73" s="359" t="str">
        <f>'Func Future Lines 2015'!H73</f>
        <v>ATCO</v>
      </c>
      <c r="I73" s="359">
        <f>'Func Future Lines 2015'!I73</f>
        <v>2017</v>
      </c>
      <c r="J73" s="361">
        <f>+IF($I73=J$3,VLOOKUP($H73,Depreciation!$A$6:$L$10,7,FALSE)/2,IF($I73&lt;J$3,VLOOKUP($H73,Depreciation!$A$6:$L$10,7,FALSE),0))</f>
        <v>0</v>
      </c>
      <c r="K73" s="361">
        <f>+IF($I73=K$3,VLOOKUP($H73,Depreciation!$A$6:$L$10,8,FALSE)/2,IF($I73&lt;K$3,VLOOKUP($H73,Depreciation!$A$6:$L$10,8,FALSE),0))</f>
        <v>0</v>
      </c>
      <c r="L73" s="361">
        <f>+IF($I73=L$3,VLOOKUP($H73,Depreciation!$A$6:$L$10,9,FALSE)/2,IF($I73&lt;L$3,VLOOKUP($H73,Depreciation!$A$6:$L$10,9,FALSE),0))</f>
        <v>1.2001018963427959E-2</v>
      </c>
      <c r="M73" s="361">
        <f>+IF($I73=M$3,VLOOKUP($H73,Depreciation!$A$6:$L$10,10,FALSE)/2,IF($I73&lt;M$3,VLOOKUP($H73,Depreciation!$A$6:$L$10,10,FALSE),0))</f>
        <v>2.4002037926855919E-2</v>
      </c>
      <c r="N73" s="361">
        <f>+IF($I73=N$3,VLOOKUP($H73,Depreciation!$A$6:$L$10,11,FALSE)/2,IF($I73&lt;N$3,VLOOKUP($H73,Depreciation!$A$6:$L$10,11,FALSE),0))</f>
        <v>2.4002037926855919E-2</v>
      </c>
      <c r="O73" s="361">
        <f>+IF($I73=O$3,VLOOKUP($H73,Depreciation!$A$6:$L$10,12,FALSE)/2,IF($I73&lt;O$3,VLOOKUP($H73,Depreciation!$A$6:$L$10,12,FALSE),0))</f>
        <v>2.4002037926855919E-2</v>
      </c>
      <c r="P73" s="362">
        <f t="shared" si="5"/>
        <v>11843449.353819793</v>
      </c>
      <c r="Q73" s="362">
        <f t="shared" si="6"/>
        <v>0</v>
      </c>
      <c r="R73" s="363">
        <f t="shared" si="7"/>
        <v>11843449.353819793</v>
      </c>
      <c r="Y73" s="365"/>
    </row>
    <row r="74" spans="1:25" ht="15" customHeight="1">
      <c r="A74" s="359" t="str">
        <f>'Func Future Lines 2015'!A74</f>
        <v>PPS</v>
      </c>
      <c r="B74" s="359" t="str">
        <f>'Func Future Lines 2015'!B74</f>
        <v>7LA701180</v>
      </c>
      <c r="C74" s="359">
        <f>'Func Future Lines 2015'!C74</f>
        <v>811</v>
      </c>
      <c r="D74" s="359">
        <f>'Func Future Lines 2015'!D74</f>
        <v>144</v>
      </c>
      <c r="E74" s="359">
        <f>'Func Future Lines 2015'!E74</f>
        <v>0</v>
      </c>
      <c r="F74" s="359" t="str">
        <f>'Func Future Lines 2015'!F74</f>
        <v>central</v>
      </c>
      <c r="G74" s="359">
        <f>'Func Future Lines 2015'!G74</f>
        <v>3334547.5681531723</v>
      </c>
      <c r="H74" s="359" t="str">
        <f>'Func Future Lines 2015'!H74</f>
        <v>ATCO</v>
      </c>
      <c r="I74" s="359">
        <f>'Func Future Lines 2015'!I74</f>
        <v>2017</v>
      </c>
      <c r="J74" s="361">
        <f>+IF($I74=J$3,VLOOKUP($H74,Depreciation!$A$6:$L$10,7,FALSE)/2,IF($I74&lt;J$3,VLOOKUP($H74,Depreciation!$A$6:$L$10,7,FALSE),0))</f>
        <v>0</v>
      </c>
      <c r="K74" s="361">
        <f>+IF($I74=K$3,VLOOKUP($H74,Depreciation!$A$6:$L$10,8,FALSE)/2,IF($I74&lt;K$3,VLOOKUP($H74,Depreciation!$A$6:$L$10,8,FALSE),0))</f>
        <v>0</v>
      </c>
      <c r="L74" s="361">
        <f>+IF($I74=L$3,VLOOKUP($H74,Depreciation!$A$6:$L$10,9,FALSE)/2,IF($I74&lt;L$3,VLOOKUP($H74,Depreciation!$A$6:$L$10,9,FALSE),0))</f>
        <v>1.2001018963427959E-2</v>
      </c>
      <c r="M74" s="361">
        <f>+IF($I74=M$3,VLOOKUP($H74,Depreciation!$A$6:$L$10,10,FALSE)/2,IF($I74&lt;M$3,VLOOKUP($H74,Depreciation!$A$6:$L$10,10,FALSE),0))</f>
        <v>2.4002037926855919E-2</v>
      </c>
      <c r="N74" s="361">
        <f>+IF($I74=N$3,VLOOKUP($H74,Depreciation!$A$6:$L$10,11,FALSE)/2,IF($I74&lt;N$3,VLOOKUP($H74,Depreciation!$A$6:$L$10,11,FALSE),0))</f>
        <v>2.4002037926855919E-2</v>
      </c>
      <c r="O74" s="361">
        <f>+IF($I74=O$3,VLOOKUP($H74,Depreciation!$A$6:$L$10,12,FALSE)/2,IF($I74&lt;O$3,VLOOKUP($H74,Depreciation!$A$6:$L$10,12,FALSE),0))</f>
        <v>2.4002037926855919E-2</v>
      </c>
      <c r="P74" s="362">
        <f t="shared" si="5"/>
        <v>3215454.1751536853</v>
      </c>
      <c r="Q74" s="362">
        <f t="shared" si="6"/>
        <v>0</v>
      </c>
      <c r="R74" s="363">
        <f t="shared" si="7"/>
        <v>3215454.1751536853</v>
      </c>
      <c r="Y74" s="365"/>
    </row>
    <row r="75" spans="1:25" ht="15" customHeight="1">
      <c r="A75" s="359" t="str">
        <f>'Func Future Lines 2015'!A75</f>
        <v>PPS</v>
      </c>
      <c r="B75" s="359" t="str">
        <f>'Func Future Lines 2015'!B75</f>
        <v>unknown line St.Paul</v>
      </c>
      <c r="C75" s="359">
        <f>'Func Future Lines 2015'!C75</f>
        <v>811</v>
      </c>
      <c r="D75" s="359">
        <f>'Func Future Lines 2015'!D75</f>
        <v>0</v>
      </c>
      <c r="E75" s="359">
        <f>'Func Future Lines 2015'!E75</f>
        <v>0</v>
      </c>
      <c r="F75" s="359" t="str">
        <f>'Func Future Lines 2015'!F75</f>
        <v>central</v>
      </c>
      <c r="G75" s="359">
        <f>'Func Future Lines 2015'!G75</f>
        <v>45416104.026721418</v>
      </c>
      <c r="H75" s="359" t="str">
        <f>'Func Future Lines 2015'!H75</f>
        <v>ATCO</v>
      </c>
      <c r="I75" s="359">
        <f>'Func Future Lines 2015'!I75</f>
        <v>2017</v>
      </c>
      <c r="J75" s="361">
        <f>+IF($I75=J$3,VLOOKUP($H75,Depreciation!$A$6:$L$10,7,FALSE)/2,IF($I75&lt;J$3,VLOOKUP($H75,Depreciation!$A$6:$L$10,7,FALSE),0))</f>
        <v>0</v>
      </c>
      <c r="K75" s="361">
        <f>+IF($I75=K$3,VLOOKUP($H75,Depreciation!$A$6:$L$10,8,FALSE)/2,IF($I75&lt;K$3,VLOOKUP($H75,Depreciation!$A$6:$L$10,8,FALSE),0))</f>
        <v>0</v>
      </c>
      <c r="L75" s="361">
        <f>+IF($I75=L$3,VLOOKUP($H75,Depreciation!$A$6:$L$10,9,FALSE)/2,IF($I75&lt;L$3,VLOOKUP($H75,Depreciation!$A$6:$L$10,9,FALSE),0))</f>
        <v>1.2001018963427959E-2</v>
      </c>
      <c r="M75" s="361">
        <f>+IF($I75=M$3,VLOOKUP($H75,Depreciation!$A$6:$L$10,10,FALSE)/2,IF($I75&lt;M$3,VLOOKUP($H75,Depreciation!$A$6:$L$10,10,FALSE),0))</f>
        <v>2.4002037926855919E-2</v>
      </c>
      <c r="N75" s="361">
        <f>+IF($I75=N$3,VLOOKUP($H75,Depreciation!$A$6:$L$10,11,FALSE)/2,IF($I75&lt;N$3,VLOOKUP($H75,Depreciation!$A$6:$L$10,11,FALSE),0))</f>
        <v>2.4002037926855919E-2</v>
      </c>
      <c r="O75" s="361">
        <f>+IF($I75=O$3,VLOOKUP($H75,Depreciation!$A$6:$L$10,12,FALSE)/2,IF($I75&lt;O$3,VLOOKUP($H75,Depreciation!$A$6:$L$10,12,FALSE),0))</f>
        <v>2.4002037926855919E-2</v>
      </c>
      <c r="P75" s="362">
        <f t="shared" si="5"/>
        <v>43794067.509079076</v>
      </c>
      <c r="Q75" s="362">
        <f t="shared" si="6"/>
        <v>0</v>
      </c>
      <c r="R75" s="363">
        <f t="shared" si="7"/>
        <v>0</v>
      </c>
      <c r="Y75" s="365"/>
    </row>
    <row r="76" spans="1:25" ht="15" customHeight="1">
      <c r="A76" s="359" t="str">
        <f>'Func Future Lines 2015'!A76</f>
        <v>PPS</v>
      </c>
      <c r="B76" s="359" t="str">
        <f>'Func Future Lines 2015'!B76</f>
        <v>166L</v>
      </c>
      <c r="C76" s="359">
        <f>'Func Future Lines 2015'!C76</f>
        <v>813</v>
      </c>
      <c r="D76" s="359">
        <f>'Func Future Lines 2015'!D76</f>
        <v>138</v>
      </c>
      <c r="E76" s="359">
        <f>'Func Future Lines 2015'!E76</f>
        <v>0</v>
      </c>
      <c r="F76" s="359" t="str">
        <f>'Func Future Lines 2015'!F76</f>
        <v>Red_Deer</v>
      </c>
      <c r="G76" s="359">
        <f>'Func Future Lines 2015'!G76</f>
        <v>583496.13042435877</v>
      </c>
      <c r="H76" s="359" t="str">
        <f>'Func Future Lines 2015'!H76</f>
        <v>AltaLink</v>
      </c>
      <c r="I76" s="359">
        <f>'Func Future Lines 2015'!I76</f>
        <v>2017</v>
      </c>
      <c r="J76" s="361">
        <f>+IF($I76=J$3,VLOOKUP($H76,Depreciation!$A$6:$L$10,7,FALSE)/2,IF($I76&lt;J$3,VLOOKUP($H76,Depreciation!$A$6:$L$10,7,FALSE),0))</f>
        <v>0</v>
      </c>
      <c r="K76" s="361">
        <f>+IF($I76=K$3,VLOOKUP($H76,Depreciation!$A$6:$L$10,8,FALSE)/2,IF($I76&lt;K$3,VLOOKUP($H76,Depreciation!$A$6:$L$10,8,FALSE),0))</f>
        <v>0</v>
      </c>
      <c r="L76" s="361">
        <f>+IF($I76=L$3,VLOOKUP($H76,Depreciation!$A$6:$L$10,9,FALSE)/2,IF($I76&lt;L$3,VLOOKUP($H76,Depreciation!$A$6:$L$10,9,FALSE),0))</f>
        <v>1.5338181838063448E-2</v>
      </c>
      <c r="M76" s="361">
        <f>+IF($I76=M$3,VLOOKUP($H76,Depreciation!$A$6:$L$10,10,FALSE)/2,IF($I76&lt;M$3,VLOOKUP($H76,Depreciation!$A$6:$L$10,10,FALSE),0))</f>
        <v>3.0676363676126896E-2</v>
      </c>
      <c r="N76" s="361">
        <f>+IF($I76=N$3,VLOOKUP($H76,Depreciation!$A$6:$L$10,11,FALSE)/2,IF($I76&lt;N$3,VLOOKUP($H76,Depreciation!$A$6:$L$10,11,FALSE),0))</f>
        <v>3.0676363676126896E-2</v>
      </c>
      <c r="O76" s="361">
        <f>+IF($I76=O$3,VLOOKUP($H76,Depreciation!$A$6:$L$10,12,FALSE)/2,IF($I76&lt;O$3,VLOOKUP($H76,Depreciation!$A$6:$L$10,12,FALSE),0))</f>
        <v>3.0676363676126896E-2</v>
      </c>
      <c r="P76" s="362">
        <f t="shared" si="5"/>
        <v>556921.36756526958</v>
      </c>
      <c r="Q76" s="362">
        <f t="shared" si="6"/>
        <v>0</v>
      </c>
      <c r="R76" s="363">
        <f t="shared" si="7"/>
        <v>556921.36756526958</v>
      </c>
      <c r="Y76" s="365"/>
    </row>
    <row r="77" spans="1:25" ht="15" customHeight="1">
      <c r="A77" s="359" t="str">
        <f>'Func Future Lines 2015'!A77</f>
        <v>PPS</v>
      </c>
      <c r="B77" s="359" t="str">
        <f>'Func Future Lines 2015'!B77</f>
        <v>417L/418L</v>
      </c>
      <c r="C77" s="359">
        <f>'Func Future Lines 2015'!C77</f>
        <v>813</v>
      </c>
      <c r="D77" s="359">
        <f>'Func Future Lines 2015'!D77</f>
        <v>138</v>
      </c>
      <c r="E77" s="359">
        <f>'Func Future Lines 2015'!E77</f>
        <v>0</v>
      </c>
      <c r="F77" s="359" t="str">
        <f>'Func Future Lines 2015'!F77</f>
        <v>Red_Deer</v>
      </c>
      <c r="G77" s="359">
        <f>'Func Future Lines 2015'!G77</f>
        <v>1650657.1949172863</v>
      </c>
      <c r="H77" s="359" t="str">
        <f>'Func Future Lines 2015'!H77</f>
        <v>AltaLink</v>
      </c>
      <c r="I77" s="359">
        <f>'Func Future Lines 2015'!I77</f>
        <v>2017</v>
      </c>
      <c r="J77" s="361">
        <f>+IF($I77=J$3,VLOOKUP($H77,Depreciation!$A$6:$L$10,7,FALSE)/2,IF($I77&lt;J$3,VLOOKUP($H77,Depreciation!$A$6:$L$10,7,FALSE),0))</f>
        <v>0</v>
      </c>
      <c r="K77" s="361">
        <f>+IF($I77=K$3,VLOOKUP($H77,Depreciation!$A$6:$L$10,8,FALSE)/2,IF($I77&lt;K$3,VLOOKUP($H77,Depreciation!$A$6:$L$10,8,FALSE),0))</f>
        <v>0</v>
      </c>
      <c r="L77" s="361">
        <f>+IF($I77=L$3,VLOOKUP($H77,Depreciation!$A$6:$L$10,9,FALSE)/2,IF($I77&lt;L$3,VLOOKUP($H77,Depreciation!$A$6:$L$10,9,FALSE),0))</f>
        <v>1.5338181838063448E-2</v>
      </c>
      <c r="M77" s="361">
        <f>+IF($I77=M$3,VLOOKUP($H77,Depreciation!$A$6:$L$10,10,FALSE)/2,IF($I77&lt;M$3,VLOOKUP($H77,Depreciation!$A$6:$L$10,10,FALSE),0))</f>
        <v>3.0676363676126896E-2</v>
      </c>
      <c r="N77" s="361">
        <f>+IF($I77=N$3,VLOOKUP($H77,Depreciation!$A$6:$L$10,11,FALSE)/2,IF($I77&lt;N$3,VLOOKUP($H77,Depreciation!$A$6:$L$10,11,FALSE),0))</f>
        <v>3.0676363676126896E-2</v>
      </c>
      <c r="O77" s="361">
        <f>+IF($I77=O$3,VLOOKUP($H77,Depreciation!$A$6:$L$10,12,FALSE)/2,IF($I77&lt;O$3,VLOOKUP($H77,Depreciation!$A$6:$L$10,12,FALSE),0))</f>
        <v>3.0676363676126896E-2</v>
      </c>
      <c r="P77" s="362">
        <f t="shared" si="5"/>
        <v>1575479.6209294794</v>
      </c>
      <c r="Q77" s="362">
        <f t="shared" si="6"/>
        <v>0</v>
      </c>
      <c r="R77" s="363">
        <f t="shared" si="7"/>
        <v>1575479.6209294794</v>
      </c>
      <c r="Y77" s="365"/>
    </row>
    <row r="78" spans="1:25" ht="15" customHeight="1">
      <c r="A78" s="359" t="str">
        <f>'Func Future Lines 2015'!A78</f>
        <v>PPS</v>
      </c>
      <c r="B78" s="359" t="str">
        <f>'Func Future Lines 2015'!B78</f>
        <v>417L/418L</v>
      </c>
      <c r="C78" s="359">
        <f>'Func Future Lines 2015'!C78</f>
        <v>813</v>
      </c>
      <c r="D78" s="359">
        <f>'Func Future Lines 2015'!D78</f>
        <v>138</v>
      </c>
      <c r="E78" s="359">
        <f>'Func Future Lines 2015'!E78</f>
        <v>0</v>
      </c>
      <c r="F78" s="359" t="str">
        <f>'Func Future Lines 2015'!F78</f>
        <v>Red_Deer</v>
      </c>
      <c r="G78" s="359">
        <f>'Func Future Lines 2015'!G78</f>
        <v>1827943.6298249823</v>
      </c>
      <c r="H78" s="359" t="str">
        <f>'Func Future Lines 2015'!H78</f>
        <v>AltaLink</v>
      </c>
      <c r="I78" s="359">
        <f>'Func Future Lines 2015'!I78</f>
        <v>2017</v>
      </c>
      <c r="J78" s="361">
        <f>+IF($I78=J$3,VLOOKUP($H78,Depreciation!$A$6:$L$10,7,FALSE)/2,IF($I78&lt;J$3,VLOOKUP($H78,Depreciation!$A$6:$L$10,7,FALSE),0))</f>
        <v>0</v>
      </c>
      <c r="K78" s="361">
        <f>+IF($I78=K$3,VLOOKUP($H78,Depreciation!$A$6:$L$10,8,FALSE)/2,IF($I78&lt;K$3,VLOOKUP($H78,Depreciation!$A$6:$L$10,8,FALSE),0))</f>
        <v>0</v>
      </c>
      <c r="L78" s="361">
        <f>+IF($I78=L$3,VLOOKUP($H78,Depreciation!$A$6:$L$10,9,FALSE)/2,IF($I78&lt;L$3,VLOOKUP($H78,Depreciation!$A$6:$L$10,9,FALSE),0))</f>
        <v>1.5338181838063448E-2</v>
      </c>
      <c r="M78" s="361">
        <f>+IF($I78=M$3,VLOOKUP($H78,Depreciation!$A$6:$L$10,10,FALSE)/2,IF($I78&lt;M$3,VLOOKUP($H78,Depreciation!$A$6:$L$10,10,FALSE),0))</f>
        <v>3.0676363676126896E-2</v>
      </c>
      <c r="N78" s="361">
        <f>+IF($I78=N$3,VLOOKUP($H78,Depreciation!$A$6:$L$10,11,FALSE)/2,IF($I78&lt;N$3,VLOOKUP($H78,Depreciation!$A$6:$L$10,11,FALSE),0))</f>
        <v>3.0676363676126896E-2</v>
      </c>
      <c r="O78" s="361">
        <f>+IF($I78=O$3,VLOOKUP($H78,Depreciation!$A$6:$L$10,12,FALSE)/2,IF($I78&lt;O$3,VLOOKUP($H78,Depreciation!$A$6:$L$10,12,FALSE),0))</f>
        <v>3.0676363676126896E-2</v>
      </c>
      <c r="P78" s="362">
        <f t="shared" si="5"/>
        <v>1744691.7178593401</v>
      </c>
      <c r="Q78" s="362">
        <f t="shared" si="6"/>
        <v>0</v>
      </c>
      <c r="R78" s="363">
        <f t="shared" si="7"/>
        <v>1744691.7178593401</v>
      </c>
      <c r="Y78" s="365"/>
    </row>
    <row r="79" spans="1:25" ht="15" customHeight="1">
      <c r="A79" s="359" t="str">
        <f>'Func Future Lines 2015'!A79</f>
        <v>PPS</v>
      </c>
      <c r="B79" s="359" t="str">
        <f>'Func Future Lines 2015'!B79</f>
        <v>419L/420L</v>
      </c>
      <c r="C79" s="359">
        <f>'Func Future Lines 2015'!C79</f>
        <v>813</v>
      </c>
      <c r="D79" s="359">
        <f>'Func Future Lines 2015'!D79</f>
        <v>138</v>
      </c>
      <c r="E79" s="359">
        <f>'Func Future Lines 2015'!E79</f>
        <v>0</v>
      </c>
      <c r="F79" s="359" t="str">
        <f>'Func Future Lines 2015'!F79</f>
        <v>Red_Deer</v>
      </c>
      <c r="G79" s="359">
        <f>'Func Future Lines 2015'!G79</f>
        <v>8144848.6406137627</v>
      </c>
      <c r="H79" s="359" t="str">
        <f>'Func Future Lines 2015'!H79</f>
        <v>AltaLink</v>
      </c>
      <c r="I79" s="359">
        <f>'Func Future Lines 2015'!I79</f>
        <v>2017</v>
      </c>
      <c r="J79" s="361">
        <f>+IF($I79=J$3,VLOOKUP($H79,Depreciation!$A$6:$L$10,7,FALSE)/2,IF($I79&lt;J$3,VLOOKUP($H79,Depreciation!$A$6:$L$10,7,FALSE),0))</f>
        <v>0</v>
      </c>
      <c r="K79" s="361">
        <f>+IF($I79=K$3,VLOOKUP($H79,Depreciation!$A$6:$L$10,8,FALSE)/2,IF($I79&lt;K$3,VLOOKUP($H79,Depreciation!$A$6:$L$10,8,FALSE),0))</f>
        <v>0</v>
      </c>
      <c r="L79" s="361">
        <f>+IF($I79=L$3,VLOOKUP($H79,Depreciation!$A$6:$L$10,9,FALSE)/2,IF($I79&lt;L$3,VLOOKUP($H79,Depreciation!$A$6:$L$10,9,FALSE),0))</f>
        <v>1.5338181838063448E-2</v>
      </c>
      <c r="M79" s="361">
        <f>+IF($I79=M$3,VLOOKUP($H79,Depreciation!$A$6:$L$10,10,FALSE)/2,IF($I79&lt;M$3,VLOOKUP($H79,Depreciation!$A$6:$L$10,10,FALSE),0))</f>
        <v>3.0676363676126896E-2</v>
      </c>
      <c r="N79" s="361">
        <f>+IF($I79=N$3,VLOOKUP($H79,Depreciation!$A$6:$L$10,11,FALSE)/2,IF($I79&lt;N$3,VLOOKUP($H79,Depreciation!$A$6:$L$10,11,FALSE),0))</f>
        <v>3.0676363676126896E-2</v>
      </c>
      <c r="O79" s="361">
        <f>+IF($I79=O$3,VLOOKUP($H79,Depreciation!$A$6:$L$10,12,FALSE)/2,IF($I79&lt;O$3,VLOOKUP($H79,Depreciation!$A$6:$L$10,12,FALSE),0))</f>
        <v>3.0676363676126896E-2</v>
      </c>
      <c r="P79" s="362">
        <f t="shared" si="5"/>
        <v>7773899.4434184534</v>
      </c>
      <c r="Q79" s="362">
        <f t="shared" si="6"/>
        <v>0</v>
      </c>
      <c r="R79" s="363">
        <f t="shared" si="7"/>
        <v>7773899.4434184534</v>
      </c>
      <c r="Y79" s="365"/>
    </row>
    <row r="80" spans="1:25" ht="15" customHeight="1">
      <c r="A80" s="359" t="str">
        <f>'Func Future Lines 2015'!A80</f>
        <v>PPS</v>
      </c>
      <c r="B80" s="359" t="str">
        <f>'Func Future Lines 2015'!B80</f>
        <v>419L/420L</v>
      </c>
      <c r="C80" s="359">
        <f>'Func Future Lines 2015'!C80</f>
        <v>813</v>
      </c>
      <c r="D80" s="359">
        <f>'Func Future Lines 2015'!D80</f>
        <v>138</v>
      </c>
      <c r="E80" s="359">
        <f>'Func Future Lines 2015'!E80</f>
        <v>0</v>
      </c>
      <c r="F80" s="359" t="str">
        <f>'Func Future Lines 2015'!F80</f>
        <v>Red_Deer</v>
      </c>
      <c r="G80" s="359">
        <f>'Func Future Lines 2015'!G80</f>
        <v>8079441.9947254863</v>
      </c>
      <c r="H80" s="359" t="str">
        <f>'Func Future Lines 2015'!H80</f>
        <v>AltaLink</v>
      </c>
      <c r="I80" s="359">
        <f>'Func Future Lines 2015'!I80</f>
        <v>2017</v>
      </c>
      <c r="J80" s="361">
        <f>+IF($I80=J$3,VLOOKUP($H80,Depreciation!$A$6:$L$10,7,FALSE)/2,IF($I80&lt;J$3,VLOOKUP($H80,Depreciation!$A$6:$L$10,7,FALSE),0))</f>
        <v>0</v>
      </c>
      <c r="K80" s="361">
        <f>+IF($I80=K$3,VLOOKUP($H80,Depreciation!$A$6:$L$10,8,FALSE)/2,IF($I80&lt;K$3,VLOOKUP($H80,Depreciation!$A$6:$L$10,8,FALSE),0))</f>
        <v>0</v>
      </c>
      <c r="L80" s="361">
        <f>+IF($I80=L$3,VLOOKUP($H80,Depreciation!$A$6:$L$10,9,FALSE)/2,IF($I80&lt;L$3,VLOOKUP($H80,Depreciation!$A$6:$L$10,9,FALSE),0))</f>
        <v>1.5338181838063448E-2</v>
      </c>
      <c r="M80" s="361">
        <f>+IF($I80=M$3,VLOOKUP($H80,Depreciation!$A$6:$L$10,10,FALSE)/2,IF($I80&lt;M$3,VLOOKUP($H80,Depreciation!$A$6:$L$10,10,FALSE),0))</f>
        <v>3.0676363676126896E-2</v>
      </c>
      <c r="N80" s="361">
        <f>+IF($I80=N$3,VLOOKUP($H80,Depreciation!$A$6:$L$10,11,FALSE)/2,IF($I80&lt;N$3,VLOOKUP($H80,Depreciation!$A$6:$L$10,11,FALSE),0))</f>
        <v>3.0676363676126896E-2</v>
      </c>
      <c r="O80" s="361">
        <f>+IF($I80=O$3,VLOOKUP($H80,Depreciation!$A$6:$L$10,12,FALSE)/2,IF($I80&lt;O$3,VLOOKUP($H80,Depreciation!$A$6:$L$10,12,FALSE),0))</f>
        <v>3.0676363676126896E-2</v>
      </c>
      <c r="P80" s="362">
        <f t="shared" si="5"/>
        <v>7711471.6795025822</v>
      </c>
      <c r="Q80" s="362">
        <f t="shared" si="6"/>
        <v>0</v>
      </c>
      <c r="R80" s="363">
        <f t="shared" si="7"/>
        <v>7711471.6795025822</v>
      </c>
      <c r="Y80" s="365"/>
    </row>
    <row r="81" spans="1:25" ht="15" customHeight="1">
      <c r="A81" s="359" t="str">
        <f>'Func Future Lines 2015'!A81</f>
        <v>PPS</v>
      </c>
      <c r="B81" s="359" t="str">
        <f>'Func Future Lines 2015'!B81</f>
        <v>421L/422L</v>
      </c>
      <c r="C81" s="359">
        <f>'Func Future Lines 2015'!C81</f>
        <v>813</v>
      </c>
      <c r="D81" s="359">
        <f>'Func Future Lines 2015'!D81</f>
        <v>138</v>
      </c>
      <c r="E81" s="359">
        <f>'Func Future Lines 2015'!E81</f>
        <v>0</v>
      </c>
      <c r="F81" s="359" t="str">
        <f>'Func Future Lines 2015'!F81</f>
        <v>Red_Deer</v>
      </c>
      <c r="G81" s="359">
        <f>'Func Future Lines 2015'!G81</f>
        <v>3903744.023016064</v>
      </c>
      <c r="H81" s="359" t="str">
        <f>'Func Future Lines 2015'!H81</f>
        <v>AltaLink</v>
      </c>
      <c r="I81" s="359">
        <f>'Func Future Lines 2015'!I81</f>
        <v>2017</v>
      </c>
      <c r="J81" s="361">
        <f>+IF($I81=J$3,VLOOKUP($H81,Depreciation!$A$6:$L$10,7,FALSE)/2,IF($I81&lt;J$3,VLOOKUP($H81,Depreciation!$A$6:$L$10,7,FALSE),0))</f>
        <v>0</v>
      </c>
      <c r="K81" s="361">
        <f>+IF($I81=K$3,VLOOKUP($H81,Depreciation!$A$6:$L$10,8,FALSE)/2,IF($I81&lt;K$3,VLOOKUP($H81,Depreciation!$A$6:$L$10,8,FALSE),0))</f>
        <v>0</v>
      </c>
      <c r="L81" s="361">
        <f>+IF($I81=L$3,VLOOKUP($H81,Depreciation!$A$6:$L$10,9,FALSE)/2,IF($I81&lt;L$3,VLOOKUP($H81,Depreciation!$A$6:$L$10,9,FALSE),0))</f>
        <v>1.5338181838063448E-2</v>
      </c>
      <c r="M81" s="361">
        <f>+IF($I81=M$3,VLOOKUP($H81,Depreciation!$A$6:$L$10,10,FALSE)/2,IF($I81&lt;M$3,VLOOKUP($H81,Depreciation!$A$6:$L$10,10,FALSE),0))</f>
        <v>3.0676363676126896E-2</v>
      </c>
      <c r="N81" s="361">
        <f>+IF($I81=N$3,VLOOKUP($H81,Depreciation!$A$6:$L$10,11,FALSE)/2,IF($I81&lt;N$3,VLOOKUP($H81,Depreciation!$A$6:$L$10,11,FALSE),0))</f>
        <v>3.0676363676126896E-2</v>
      </c>
      <c r="O81" s="361">
        <f>+IF($I81=O$3,VLOOKUP($H81,Depreciation!$A$6:$L$10,12,FALSE)/2,IF($I81&lt;O$3,VLOOKUP($H81,Depreciation!$A$6:$L$10,12,FALSE),0))</f>
        <v>3.0676363676126896E-2</v>
      </c>
      <c r="P81" s="362">
        <f t="shared" si="5"/>
        <v>3725951.8042419804</v>
      </c>
      <c r="Q81" s="362">
        <f t="shared" si="6"/>
        <v>0</v>
      </c>
      <c r="R81" s="363">
        <f t="shared" si="7"/>
        <v>3725951.8042419804</v>
      </c>
      <c r="Y81" s="365"/>
    </row>
    <row r="82" spans="1:25" ht="15" customHeight="1">
      <c r="A82" s="359" t="str">
        <f>'Func Future Lines 2015'!A82</f>
        <v>PPS</v>
      </c>
      <c r="B82" s="359" t="str">
        <f>'Func Future Lines 2015'!B82</f>
        <v>421L/422L</v>
      </c>
      <c r="C82" s="359">
        <f>'Func Future Lines 2015'!C82</f>
        <v>813</v>
      </c>
      <c r="D82" s="359">
        <f>'Func Future Lines 2015'!D82</f>
        <v>138</v>
      </c>
      <c r="E82" s="359">
        <f>'Func Future Lines 2015'!E82</f>
        <v>0</v>
      </c>
      <c r="F82" s="359" t="str">
        <f>'Func Future Lines 2015'!F82</f>
        <v>Red_Deer</v>
      </c>
      <c r="G82" s="359">
        <f>'Func Future Lines 2015'!G82</f>
        <v>3860713.3349316716</v>
      </c>
      <c r="H82" s="359" t="str">
        <f>'Func Future Lines 2015'!H82</f>
        <v>AltaLink</v>
      </c>
      <c r="I82" s="359">
        <f>'Func Future Lines 2015'!I82</f>
        <v>2017</v>
      </c>
      <c r="J82" s="361">
        <f>+IF($I82=J$3,VLOOKUP($H82,Depreciation!$A$6:$L$10,7,FALSE)/2,IF($I82&lt;J$3,VLOOKUP($H82,Depreciation!$A$6:$L$10,7,FALSE),0))</f>
        <v>0</v>
      </c>
      <c r="K82" s="361">
        <f>+IF($I82=K$3,VLOOKUP($H82,Depreciation!$A$6:$L$10,8,FALSE)/2,IF($I82&lt;K$3,VLOOKUP($H82,Depreciation!$A$6:$L$10,8,FALSE),0))</f>
        <v>0</v>
      </c>
      <c r="L82" s="361">
        <f>+IF($I82=L$3,VLOOKUP($H82,Depreciation!$A$6:$L$10,9,FALSE)/2,IF($I82&lt;L$3,VLOOKUP($H82,Depreciation!$A$6:$L$10,9,FALSE),0))</f>
        <v>1.5338181838063448E-2</v>
      </c>
      <c r="M82" s="361">
        <f>+IF($I82=M$3,VLOOKUP($H82,Depreciation!$A$6:$L$10,10,FALSE)/2,IF($I82&lt;M$3,VLOOKUP($H82,Depreciation!$A$6:$L$10,10,FALSE),0))</f>
        <v>3.0676363676126896E-2</v>
      </c>
      <c r="N82" s="361">
        <f>+IF($I82=N$3,VLOOKUP($H82,Depreciation!$A$6:$L$10,11,FALSE)/2,IF($I82&lt;N$3,VLOOKUP($H82,Depreciation!$A$6:$L$10,11,FALSE),0))</f>
        <v>3.0676363676126896E-2</v>
      </c>
      <c r="O82" s="361">
        <f>+IF($I82=O$3,VLOOKUP($H82,Depreciation!$A$6:$L$10,12,FALSE)/2,IF($I82&lt;O$3,VLOOKUP($H82,Depreciation!$A$6:$L$10,12,FALSE),0))</f>
        <v>3.0676363676126896E-2</v>
      </c>
      <c r="P82" s="362">
        <f t="shared" si="5"/>
        <v>3684880.9069289071</v>
      </c>
      <c r="Q82" s="362">
        <f t="shared" si="6"/>
        <v>0</v>
      </c>
      <c r="R82" s="363">
        <f t="shared" si="7"/>
        <v>3684880.9069289071</v>
      </c>
      <c r="Y82" s="365"/>
    </row>
    <row r="83" spans="1:25" ht="15" customHeight="1">
      <c r="A83" s="359" t="str">
        <f>'Func Future Lines 2015'!A83</f>
        <v>PPS</v>
      </c>
      <c r="B83" s="359" t="str">
        <f>'Func Future Lines 2015'!B83</f>
        <v>423L</v>
      </c>
      <c r="C83" s="359">
        <f>'Func Future Lines 2015'!C83</f>
        <v>813</v>
      </c>
      <c r="D83" s="359">
        <f>'Func Future Lines 2015'!D83</f>
        <v>138</v>
      </c>
      <c r="E83" s="359">
        <f>'Func Future Lines 2015'!E83</f>
        <v>0</v>
      </c>
      <c r="F83" s="359" t="str">
        <f>'Func Future Lines 2015'!F83</f>
        <v>Red_Deer</v>
      </c>
      <c r="G83" s="359">
        <f>'Func Future Lines 2015'!G83</f>
        <v>27816758.005274519</v>
      </c>
      <c r="H83" s="359" t="str">
        <f>'Func Future Lines 2015'!H83</f>
        <v>AltaLink</v>
      </c>
      <c r="I83" s="359">
        <f>'Func Future Lines 2015'!I83</f>
        <v>2017</v>
      </c>
      <c r="J83" s="361">
        <f>+IF($I83=J$3,VLOOKUP($H83,Depreciation!$A$6:$L$10,7,FALSE)/2,IF($I83&lt;J$3,VLOOKUP($H83,Depreciation!$A$6:$L$10,7,FALSE),0))</f>
        <v>0</v>
      </c>
      <c r="K83" s="361">
        <f>+IF($I83=K$3,VLOOKUP($H83,Depreciation!$A$6:$L$10,8,FALSE)/2,IF($I83&lt;K$3,VLOOKUP($H83,Depreciation!$A$6:$L$10,8,FALSE),0))</f>
        <v>0</v>
      </c>
      <c r="L83" s="361">
        <f>+IF($I83=L$3,VLOOKUP($H83,Depreciation!$A$6:$L$10,9,FALSE)/2,IF($I83&lt;L$3,VLOOKUP($H83,Depreciation!$A$6:$L$10,9,FALSE),0))</f>
        <v>1.5338181838063448E-2</v>
      </c>
      <c r="M83" s="361">
        <f>+IF($I83=M$3,VLOOKUP($H83,Depreciation!$A$6:$L$10,10,FALSE)/2,IF($I83&lt;M$3,VLOOKUP($H83,Depreciation!$A$6:$L$10,10,FALSE),0))</f>
        <v>3.0676363676126896E-2</v>
      </c>
      <c r="N83" s="361">
        <f>+IF($I83=N$3,VLOOKUP($H83,Depreciation!$A$6:$L$10,11,FALSE)/2,IF($I83&lt;N$3,VLOOKUP($H83,Depreciation!$A$6:$L$10,11,FALSE),0))</f>
        <v>3.0676363676126896E-2</v>
      </c>
      <c r="O83" s="361">
        <f>+IF($I83=O$3,VLOOKUP($H83,Depreciation!$A$6:$L$10,12,FALSE)/2,IF($I83&lt;O$3,VLOOKUP($H83,Depreciation!$A$6:$L$10,12,FALSE),0))</f>
        <v>3.0676363676126896E-2</v>
      </c>
      <c r="P83" s="362">
        <f t="shared" si="5"/>
        <v>26549870.859062895</v>
      </c>
      <c r="Q83" s="362">
        <f t="shared" si="6"/>
        <v>0</v>
      </c>
      <c r="R83" s="363">
        <f t="shared" si="7"/>
        <v>26549870.859062895</v>
      </c>
      <c r="Y83" s="365"/>
    </row>
    <row r="84" spans="1:25" ht="15" customHeight="1">
      <c r="A84" s="359" t="str">
        <f>'Func Future Lines 2015'!A84</f>
        <v>PPS</v>
      </c>
      <c r="B84" s="359" t="str">
        <f>'Func Future Lines 2015'!B84</f>
        <v>423L/784L shared route</v>
      </c>
      <c r="C84" s="359">
        <f>'Func Future Lines 2015'!C84</f>
        <v>813</v>
      </c>
      <c r="D84" s="359">
        <f>'Func Future Lines 2015'!D84</f>
        <v>138</v>
      </c>
      <c r="E84" s="359">
        <f>'Func Future Lines 2015'!E84</f>
        <v>0</v>
      </c>
      <c r="F84" s="359" t="str">
        <f>'Func Future Lines 2015'!F84</f>
        <v>Red_Deer</v>
      </c>
      <c r="G84" s="359">
        <f>'Func Future Lines 2015'!G84</f>
        <v>2516434.6391752581</v>
      </c>
      <c r="H84" s="359" t="str">
        <f>'Func Future Lines 2015'!H84</f>
        <v>AltaLink</v>
      </c>
      <c r="I84" s="359">
        <f>'Func Future Lines 2015'!I84</f>
        <v>2017</v>
      </c>
      <c r="J84" s="361">
        <f>+IF($I84=J$3,VLOOKUP($H84,Depreciation!$A$6:$L$10,7,FALSE)/2,IF($I84&lt;J$3,VLOOKUP($H84,Depreciation!$A$6:$L$10,7,FALSE),0))</f>
        <v>0</v>
      </c>
      <c r="K84" s="361">
        <f>+IF($I84=K$3,VLOOKUP($H84,Depreciation!$A$6:$L$10,8,FALSE)/2,IF($I84&lt;K$3,VLOOKUP($H84,Depreciation!$A$6:$L$10,8,FALSE),0))</f>
        <v>0</v>
      </c>
      <c r="L84" s="361">
        <f>+IF($I84=L$3,VLOOKUP($H84,Depreciation!$A$6:$L$10,9,FALSE)/2,IF($I84&lt;L$3,VLOOKUP($H84,Depreciation!$A$6:$L$10,9,FALSE),0))</f>
        <v>1.5338181838063448E-2</v>
      </c>
      <c r="M84" s="361">
        <f>+IF($I84=M$3,VLOOKUP($H84,Depreciation!$A$6:$L$10,10,FALSE)/2,IF($I84&lt;M$3,VLOOKUP($H84,Depreciation!$A$6:$L$10,10,FALSE),0))</f>
        <v>3.0676363676126896E-2</v>
      </c>
      <c r="N84" s="361">
        <f>+IF($I84=N$3,VLOOKUP($H84,Depreciation!$A$6:$L$10,11,FALSE)/2,IF($I84&lt;N$3,VLOOKUP($H84,Depreciation!$A$6:$L$10,11,FALSE),0))</f>
        <v>3.0676363676126896E-2</v>
      </c>
      <c r="O84" s="361">
        <f>+IF($I84=O$3,VLOOKUP($H84,Depreciation!$A$6:$L$10,12,FALSE)/2,IF($I84&lt;O$3,VLOOKUP($H84,Depreciation!$A$6:$L$10,12,FALSE),0))</f>
        <v>3.0676363676126896E-2</v>
      </c>
      <c r="P84" s="362">
        <f t="shared" si="5"/>
        <v>2401826.0748685077</v>
      </c>
      <c r="Q84" s="362">
        <f t="shared" si="6"/>
        <v>0</v>
      </c>
      <c r="R84" s="363">
        <f t="shared" si="7"/>
        <v>2401826.0748685077</v>
      </c>
      <c r="Y84" s="365"/>
    </row>
    <row r="85" spans="1:25" ht="15" customHeight="1">
      <c r="A85" s="359" t="str">
        <f>'Func Future Lines 2015'!A85</f>
        <v>PPS</v>
      </c>
      <c r="B85" s="359" t="str">
        <f>'Func Future Lines 2015'!B85</f>
        <v>423L/80AL shared route</v>
      </c>
      <c r="C85" s="359">
        <f>'Func Future Lines 2015'!C85</f>
        <v>813</v>
      </c>
      <c r="D85" s="359">
        <f>'Func Future Lines 2015'!D85</f>
        <v>138</v>
      </c>
      <c r="E85" s="359">
        <f>'Func Future Lines 2015'!E85</f>
        <v>0</v>
      </c>
      <c r="F85" s="359" t="str">
        <f>'Func Future Lines 2015'!F85</f>
        <v>Red_Deer</v>
      </c>
      <c r="G85" s="359">
        <f>'Func Future Lines 2015'!G85</f>
        <v>2922644.3346919208</v>
      </c>
      <c r="H85" s="359" t="str">
        <f>'Func Future Lines 2015'!H85</f>
        <v>AltaLink</v>
      </c>
      <c r="I85" s="359">
        <f>'Func Future Lines 2015'!I85</f>
        <v>2017</v>
      </c>
      <c r="J85" s="361">
        <f>+IF($I85=J$3,VLOOKUP($H85,Depreciation!$A$6:$L$10,7,FALSE)/2,IF($I85&lt;J$3,VLOOKUP($H85,Depreciation!$A$6:$L$10,7,FALSE),0))</f>
        <v>0</v>
      </c>
      <c r="K85" s="361">
        <f>+IF($I85=K$3,VLOOKUP($H85,Depreciation!$A$6:$L$10,8,FALSE)/2,IF($I85&lt;K$3,VLOOKUP($H85,Depreciation!$A$6:$L$10,8,FALSE),0))</f>
        <v>0</v>
      </c>
      <c r="L85" s="361">
        <f>+IF($I85=L$3,VLOOKUP($H85,Depreciation!$A$6:$L$10,9,FALSE)/2,IF($I85&lt;L$3,VLOOKUP($H85,Depreciation!$A$6:$L$10,9,FALSE),0))</f>
        <v>1.5338181838063448E-2</v>
      </c>
      <c r="M85" s="361">
        <f>+IF($I85=M$3,VLOOKUP($H85,Depreciation!$A$6:$L$10,10,FALSE)/2,IF($I85&lt;M$3,VLOOKUP($H85,Depreciation!$A$6:$L$10,10,FALSE),0))</f>
        <v>3.0676363676126896E-2</v>
      </c>
      <c r="N85" s="361">
        <f>+IF($I85=N$3,VLOOKUP($H85,Depreciation!$A$6:$L$10,11,FALSE)/2,IF($I85&lt;N$3,VLOOKUP($H85,Depreciation!$A$6:$L$10,11,FALSE),0))</f>
        <v>3.0676363676126896E-2</v>
      </c>
      <c r="O85" s="361">
        <f>+IF($I85=O$3,VLOOKUP($H85,Depreciation!$A$6:$L$10,12,FALSE)/2,IF($I85&lt;O$3,VLOOKUP($H85,Depreciation!$A$6:$L$10,12,FALSE),0))</f>
        <v>3.0676363676126896E-2</v>
      </c>
      <c r="P85" s="362">
        <f t="shared" si="5"/>
        <v>2789535.345503917</v>
      </c>
      <c r="Q85" s="362">
        <f t="shared" si="6"/>
        <v>0</v>
      </c>
      <c r="R85" s="363">
        <f t="shared" si="7"/>
        <v>2789535.345503917</v>
      </c>
      <c r="Y85" s="365"/>
    </row>
    <row r="86" spans="1:25" ht="15" customHeight="1">
      <c r="A86" s="359" t="str">
        <f>'Func Future Lines 2015'!A86</f>
        <v>PPS</v>
      </c>
      <c r="B86" s="359" t="str">
        <f>'Func Future Lines 2015'!B86</f>
        <v>444L</v>
      </c>
      <c r="C86" s="359">
        <f>'Func Future Lines 2015'!C86</f>
        <v>813</v>
      </c>
      <c r="D86" s="359">
        <f>'Func Future Lines 2015'!D86</f>
        <v>138</v>
      </c>
      <c r="E86" s="359">
        <f>'Func Future Lines 2015'!E86</f>
        <v>0</v>
      </c>
      <c r="F86" s="359" t="str">
        <f>'Func Future Lines 2015'!F86</f>
        <v>Red_Deer</v>
      </c>
      <c r="G86" s="359">
        <f>'Func Future Lines 2015'!G86</f>
        <v>246135.53584272359</v>
      </c>
      <c r="H86" s="359" t="str">
        <f>'Func Future Lines 2015'!H86</f>
        <v>AltaLink</v>
      </c>
      <c r="I86" s="359">
        <f>'Func Future Lines 2015'!I86</f>
        <v>2017</v>
      </c>
      <c r="J86" s="361">
        <f>+IF($I86=J$3,VLOOKUP($H86,Depreciation!$A$6:$L$10,7,FALSE)/2,IF($I86&lt;J$3,VLOOKUP($H86,Depreciation!$A$6:$L$10,7,FALSE),0))</f>
        <v>0</v>
      </c>
      <c r="K86" s="361">
        <f>+IF($I86=K$3,VLOOKUP($H86,Depreciation!$A$6:$L$10,8,FALSE)/2,IF($I86&lt;K$3,VLOOKUP($H86,Depreciation!$A$6:$L$10,8,FALSE),0))</f>
        <v>0</v>
      </c>
      <c r="L86" s="361">
        <f>+IF($I86=L$3,VLOOKUP($H86,Depreciation!$A$6:$L$10,9,FALSE)/2,IF($I86&lt;L$3,VLOOKUP($H86,Depreciation!$A$6:$L$10,9,FALSE),0))</f>
        <v>1.5338181838063448E-2</v>
      </c>
      <c r="M86" s="361">
        <f>+IF($I86=M$3,VLOOKUP($H86,Depreciation!$A$6:$L$10,10,FALSE)/2,IF($I86&lt;M$3,VLOOKUP($H86,Depreciation!$A$6:$L$10,10,FALSE),0))</f>
        <v>3.0676363676126896E-2</v>
      </c>
      <c r="N86" s="361">
        <f>+IF($I86=N$3,VLOOKUP($H86,Depreciation!$A$6:$L$10,11,FALSE)/2,IF($I86&lt;N$3,VLOOKUP($H86,Depreciation!$A$6:$L$10,11,FALSE),0))</f>
        <v>3.0676363676126896E-2</v>
      </c>
      <c r="O86" s="361">
        <f>+IF($I86=O$3,VLOOKUP($H86,Depreciation!$A$6:$L$10,12,FALSE)/2,IF($I86&lt;O$3,VLOOKUP($H86,Depreciation!$A$6:$L$10,12,FALSE),0))</f>
        <v>3.0676363676126896E-2</v>
      </c>
      <c r="P86" s="362">
        <f t="shared" si="5"/>
        <v>234925.53263077739</v>
      </c>
      <c r="Q86" s="362">
        <f t="shared" si="6"/>
        <v>0</v>
      </c>
      <c r="R86" s="363">
        <f t="shared" si="7"/>
        <v>234925.53263077739</v>
      </c>
      <c r="Y86" s="365"/>
    </row>
    <row r="87" spans="1:25" ht="15" customHeight="1">
      <c r="A87" s="359" t="str">
        <f>'Func Future Lines 2015'!A87</f>
        <v>PPS</v>
      </c>
      <c r="B87" s="359" t="str">
        <f>'Func Future Lines 2015'!B87</f>
        <v>637L</v>
      </c>
      <c r="C87" s="359">
        <f>'Func Future Lines 2015'!C87</f>
        <v>813</v>
      </c>
      <c r="D87" s="359">
        <f>'Func Future Lines 2015'!D87</f>
        <v>138</v>
      </c>
      <c r="E87" s="359">
        <f>'Func Future Lines 2015'!E87</f>
        <v>0</v>
      </c>
      <c r="F87" s="359" t="str">
        <f>'Func Future Lines 2015'!F87</f>
        <v>Red_Deer</v>
      </c>
      <c r="G87" s="359">
        <f>'Func Future Lines 2015'!G87</f>
        <v>17472564.238193929</v>
      </c>
      <c r="H87" s="359" t="str">
        <f>'Func Future Lines 2015'!H87</f>
        <v>AltaLink</v>
      </c>
      <c r="I87" s="359">
        <f>'Func Future Lines 2015'!I87</f>
        <v>2017</v>
      </c>
      <c r="J87" s="361">
        <f>+IF($I87=J$3,VLOOKUP($H87,Depreciation!$A$6:$L$10,7,FALSE)/2,IF($I87&lt;J$3,VLOOKUP($H87,Depreciation!$A$6:$L$10,7,FALSE),0))</f>
        <v>0</v>
      </c>
      <c r="K87" s="361">
        <f>+IF($I87=K$3,VLOOKUP($H87,Depreciation!$A$6:$L$10,8,FALSE)/2,IF($I87&lt;K$3,VLOOKUP($H87,Depreciation!$A$6:$L$10,8,FALSE),0))</f>
        <v>0</v>
      </c>
      <c r="L87" s="361">
        <f>+IF($I87=L$3,VLOOKUP($H87,Depreciation!$A$6:$L$10,9,FALSE)/2,IF($I87&lt;L$3,VLOOKUP($H87,Depreciation!$A$6:$L$10,9,FALSE),0))</f>
        <v>1.5338181838063448E-2</v>
      </c>
      <c r="M87" s="361">
        <f>+IF($I87=M$3,VLOOKUP($H87,Depreciation!$A$6:$L$10,10,FALSE)/2,IF($I87&lt;M$3,VLOOKUP($H87,Depreciation!$A$6:$L$10,10,FALSE),0))</f>
        <v>3.0676363676126896E-2</v>
      </c>
      <c r="N87" s="361">
        <f>+IF($I87=N$3,VLOOKUP($H87,Depreciation!$A$6:$L$10,11,FALSE)/2,IF($I87&lt;N$3,VLOOKUP($H87,Depreciation!$A$6:$L$10,11,FALSE),0))</f>
        <v>3.0676363676126896E-2</v>
      </c>
      <c r="O87" s="361">
        <f>+IF($I87=O$3,VLOOKUP($H87,Depreciation!$A$6:$L$10,12,FALSE)/2,IF($I87&lt;O$3,VLOOKUP($H87,Depreciation!$A$6:$L$10,12,FALSE),0))</f>
        <v>3.0676363676126896E-2</v>
      </c>
      <c r="P87" s="362">
        <f t="shared" si="5"/>
        <v>16676793.320514467</v>
      </c>
      <c r="Q87" s="362">
        <f t="shared" si="6"/>
        <v>0</v>
      </c>
      <c r="R87" s="363">
        <f t="shared" si="7"/>
        <v>16676793.320514467</v>
      </c>
      <c r="Y87" s="365"/>
    </row>
    <row r="88" spans="1:25" ht="15" customHeight="1">
      <c r="A88" s="359" t="str">
        <f>'Func Future Lines 2015'!A88</f>
        <v>PPS</v>
      </c>
      <c r="B88" s="359" t="str">
        <f>'Func Future Lines 2015'!B88</f>
        <v>648L</v>
      </c>
      <c r="C88" s="359">
        <f>'Func Future Lines 2015'!C88</f>
        <v>813</v>
      </c>
      <c r="D88" s="359">
        <f>'Func Future Lines 2015'!D88</f>
        <v>138</v>
      </c>
      <c r="E88" s="359">
        <f>'Func Future Lines 2015'!E88</f>
        <v>0</v>
      </c>
      <c r="F88" s="359" t="str">
        <f>'Func Future Lines 2015'!F88</f>
        <v>Red_Deer</v>
      </c>
      <c r="G88" s="359">
        <f>'Func Future Lines 2015'!G88</f>
        <v>16434659.559384897</v>
      </c>
      <c r="H88" s="359" t="str">
        <f>'Func Future Lines 2015'!H88</f>
        <v>AltaLink</v>
      </c>
      <c r="I88" s="359">
        <f>'Func Future Lines 2015'!I88</f>
        <v>2017</v>
      </c>
      <c r="J88" s="361">
        <f>+IF($I88=J$3,VLOOKUP($H88,Depreciation!$A$6:$L$10,7,FALSE)/2,IF($I88&lt;J$3,VLOOKUP($H88,Depreciation!$A$6:$L$10,7,FALSE),0))</f>
        <v>0</v>
      </c>
      <c r="K88" s="361">
        <f>+IF($I88=K$3,VLOOKUP($H88,Depreciation!$A$6:$L$10,8,FALSE)/2,IF($I88&lt;K$3,VLOOKUP($H88,Depreciation!$A$6:$L$10,8,FALSE),0))</f>
        <v>0</v>
      </c>
      <c r="L88" s="361">
        <f>+IF($I88=L$3,VLOOKUP($H88,Depreciation!$A$6:$L$10,9,FALSE)/2,IF($I88&lt;L$3,VLOOKUP($H88,Depreciation!$A$6:$L$10,9,FALSE),0))</f>
        <v>1.5338181838063448E-2</v>
      </c>
      <c r="M88" s="361">
        <f>+IF($I88=M$3,VLOOKUP($H88,Depreciation!$A$6:$L$10,10,FALSE)/2,IF($I88&lt;M$3,VLOOKUP($H88,Depreciation!$A$6:$L$10,10,FALSE),0))</f>
        <v>3.0676363676126896E-2</v>
      </c>
      <c r="N88" s="361">
        <f>+IF($I88=N$3,VLOOKUP($H88,Depreciation!$A$6:$L$10,11,FALSE)/2,IF($I88&lt;N$3,VLOOKUP($H88,Depreciation!$A$6:$L$10,11,FALSE),0))</f>
        <v>3.0676363676126896E-2</v>
      </c>
      <c r="O88" s="361">
        <f>+IF($I88=O$3,VLOOKUP($H88,Depreciation!$A$6:$L$10,12,FALSE)/2,IF($I88&lt;O$3,VLOOKUP($H88,Depreciation!$A$6:$L$10,12,FALSE),0))</f>
        <v>3.0676363676126896E-2</v>
      </c>
      <c r="P88" s="362">
        <f t="shared" si="5"/>
        <v>15686158.999247706</v>
      </c>
      <c r="Q88" s="362">
        <f t="shared" si="6"/>
        <v>0</v>
      </c>
      <c r="R88" s="363">
        <f t="shared" si="7"/>
        <v>15686158.999247706</v>
      </c>
      <c r="Y88" s="365"/>
    </row>
    <row r="89" spans="1:25" ht="15" customHeight="1">
      <c r="A89" s="359" t="str">
        <f>'Func Future Lines 2015'!A89</f>
        <v>PPS</v>
      </c>
      <c r="B89" s="359" t="str">
        <f>'Func Future Lines 2015'!B89</f>
        <v>755L (427L) d/c section</v>
      </c>
      <c r="C89" s="359">
        <f>'Func Future Lines 2015'!C89</f>
        <v>813</v>
      </c>
      <c r="D89" s="359">
        <f>'Func Future Lines 2015'!D89</f>
        <v>240</v>
      </c>
      <c r="E89" s="359">
        <f>'Func Future Lines 2015'!E89</f>
        <v>0</v>
      </c>
      <c r="F89" s="359" t="str">
        <f>'Func Future Lines 2015'!F89</f>
        <v>Red_Deer</v>
      </c>
      <c r="G89" s="359">
        <f>'Func Future Lines 2015'!G89</f>
        <v>22442935.461882446</v>
      </c>
      <c r="H89" s="359" t="str">
        <f>'Func Future Lines 2015'!H89</f>
        <v>AltaLink</v>
      </c>
      <c r="I89" s="359">
        <f>'Func Future Lines 2015'!I89</f>
        <v>2017</v>
      </c>
      <c r="J89" s="361">
        <f>+IF($I89=J$3,VLOOKUP($H89,Depreciation!$A$6:$L$10,7,FALSE)/2,IF($I89&lt;J$3,VLOOKUP($H89,Depreciation!$A$6:$L$10,7,FALSE),0))</f>
        <v>0</v>
      </c>
      <c r="K89" s="361">
        <f>+IF($I89=K$3,VLOOKUP($H89,Depreciation!$A$6:$L$10,8,FALSE)/2,IF($I89&lt;K$3,VLOOKUP($H89,Depreciation!$A$6:$L$10,8,FALSE),0))</f>
        <v>0</v>
      </c>
      <c r="L89" s="361">
        <f>+IF($I89=L$3,VLOOKUP($H89,Depreciation!$A$6:$L$10,9,FALSE)/2,IF($I89&lt;L$3,VLOOKUP($H89,Depreciation!$A$6:$L$10,9,FALSE),0))</f>
        <v>1.5338181838063448E-2</v>
      </c>
      <c r="M89" s="361">
        <f>+IF($I89=M$3,VLOOKUP($H89,Depreciation!$A$6:$L$10,10,FALSE)/2,IF($I89&lt;M$3,VLOOKUP($H89,Depreciation!$A$6:$L$10,10,FALSE),0))</f>
        <v>3.0676363676126896E-2</v>
      </c>
      <c r="N89" s="361">
        <f>+IF($I89=N$3,VLOOKUP($H89,Depreciation!$A$6:$L$10,11,FALSE)/2,IF($I89&lt;N$3,VLOOKUP($H89,Depreciation!$A$6:$L$10,11,FALSE),0))</f>
        <v>3.0676363676126896E-2</v>
      </c>
      <c r="O89" s="361">
        <f>+IF($I89=O$3,VLOOKUP($H89,Depreciation!$A$6:$L$10,12,FALSE)/2,IF($I89&lt;O$3,VLOOKUP($H89,Depreciation!$A$6:$L$10,12,FALSE),0))</f>
        <v>3.0676363676126896E-2</v>
      </c>
      <c r="P89" s="362">
        <f t="shared" si="5"/>
        <v>21420793.828607835</v>
      </c>
      <c r="Q89" s="362">
        <f t="shared" si="6"/>
        <v>21420793.828607835</v>
      </c>
      <c r="R89" s="363">
        <f t="shared" si="7"/>
        <v>0</v>
      </c>
      <c r="Y89" s="365"/>
    </row>
    <row r="90" spans="1:25" ht="15" customHeight="1">
      <c r="A90" s="359" t="str">
        <f>'Func Future Lines 2015'!A90</f>
        <v>PPS</v>
      </c>
      <c r="B90" s="359" t="str">
        <f>'Func Future Lines 2015'!B90</f>
        <v>755L d/c monopole section</v>
      </c>
      <c r="C90" s="359">
        <f>'Func Future Lines 2015'!C90</f>
        <v>813</v>
      </c>
      <c r="D90" s="359">
        <f>'Func Future Lines 2015'!D90</f>
        <v>240</v>
      </c>
      <c r="E90" s="359">
        <f>'Func Future Lines 2015'!E90</f>
        <v>0</v>
      </c>
      <c r="F90" s="359" t="str">
        <f>'Func Future Lines 2015'!F90</f>
        <v>Red_Deer</v>
      </c>
      <c r="G90" s="359">
        <f>'Func Future Lines 2015'!G90</f>
        <v>37092819.745882899</v>
      </c>
      <c r="H90" s="359" t="str">
        <f>'Func Future Lines 2015'!H90</f>
        <v>AltaLink</v>
      </c>
      <c r="I90" s="359">
        <f>'Func Future Lines 2015'!I90</f>
        <v>2017</v>
      </c>
      <c r="J90" s="361">
        <f>+IF($I90=J$3,VLOOKUP($H90,Depreciation!$A$6:$L$10,7,FALSE)/2,IF($I90&lt;J$3,VLOOKUP($H90,Depreciation!$A$6:$L$10,7,FALSE),0))</f>
        <v>0</v>
      </c>
      <c r="K90" s="361">
        <f>+IF($I90=K$3,VLOOKUP($H90,Depreciation!$A$6:$L$10,8,FALSE)/2,IF($I90&lt;K$3,VLOOKUP($H90,Depreciation!$A$6:$L$10,8,FALSE),0))</f>
        <v>0</v>
      </c>
      <c r="L90" s="361">
        <f>+IF($I90=L$3,VLOOKUP($H90,Depreciation!$A$6:$L$10,9,FALSE)/2,IF($I90&lt;L$3,VLOOKUP($H90,Depreciation!$A$6:$L$10,9,FALSE),0))</f>
        <v>1.5338181838063448E-2</v>
      </c>
      <c r="M90" s="361">
        <f>+IF($I90=M$3,VLOOKUP($H90,Depreciation!$A$6:$L$10,10,FALSE)/2,IF($I90&lt;M$3,VLOOKUP($H90,Depreciation!$A$6:$L$10,10,FALSE),0))</f>
        <v>3.0676363676126896E-2</v>
      </c>
      <c r="N90" s="361">
        <f>+IF($I90=N$3,VLOOKUP($H90,Depreciation!$A$6:$L$10,11,FALSE)/2,IF($I90&lt;N$3,VLOOKUP($H90,Depreciation!$A$6:$L$10,11,FALSE),0))</f>
        <v>3.0676363676126896E-2</v>
      </c>
      <c r="O90" s="361">
        <f>+IF($I90=O$3,VLOOKUP($H90,Depreciation!$A$6:$L$10,12,FALSE)/2,IF($I90&lt;O$3,VLOOKUP($H90,Depreciation!$A$6:$L$10,12,FALSE),0))</f>
        <v>3.0676363676126896E-2</v>
      </c>
      <c r="P90" s="362">
        <f t="shared" si="5"/>
        <v>35403463.403785333</v>
      </c>
      <c r="Q90" s="362">
        <f t="shared" si="6"/>
        <v>35403463.403785333</v>
      </c>
      <c r="R90" s="363">
        <f t="shared" si="7"/>
        <v>0</v>
      </c>
      <c r="Y90" s="365"/>
    </row>
    <row r="91" spans="1:25" ht="15" customHeight="1">
      <c r="A91" s="359" t="str">
        <f>'Func Future Lines 2015'!A91</f>
        <v>FINAL</v>
      </c>
      <c r="B91" s="359" t="str">
        <f>'Func Future Lines 2015'!B91</f>
        <v>768L/778L</v>
      </c>
      <c r="C91" s="359">
        <f>'Func Future Lines 2015'!C91</f>
        <v>813</v>
      </c>
      <c r="D91" s="359">
        <f>'Func Future Lines 2015'!D91</f>
        <v>138</v>
      </c>
      <c r="E91" s="359">
        <f>'Func Future Lines 2015'!E91</f>
        <v>0</v>
      </c>
      <c r="F91" s="359" t="str">
        <f>'Func Future Lines 2015'!F91</f>
        <v>Red_Deer</v>
      </c>
      <c r="G91" s="359">
        <f>'Func Future Lines 2015'!G91</f>
        <v>1301580.81090504</v>
      </c>
      <c r="H91" s="359" t="str">
        <f>'Func Future Lines 2015'!H91</f>
        <v>AltaLink</v>
      </c>
      <c r="I91" s="359">
        <f>'Func Future Lines 2015'!I91</f>
        <v>2017</v>
      </c>
      <c r="J91" s="361">
        <f>+IF($I91=J$3,VLOOKUP($H91,Depreciation!$A$6:$L$10,7,FALSE)/2,IF($I91&lt;J$3,VLOOKUP($H91,Depreciation!$A$6:$L$10,7,FALSE),0))</f>
        <v>0</v>
      </c>
      <c r="K91" s="361">
        <f>+IF($I91=K$3,VLOOKUP($H91,Depreciation!$A$6:$L$10,8,FALSE)/2,IF($I91&lt;K$3,VLOOKUP($H91,Depreciation!$A$6:$L$10,8,FALSE),0))</f>
        <v>0</v>
      </c>
      <c r="L91" s="361">
        <f>+IF($I91=L$3,VLOOKUP($H91,Depreciation!$A$6:$L$10,9,FALSE)/2,IF($I91&lt;L$3,VLOOKUP($H91,Depreciation!$A$6:$L$10,9,FALSE),0))</f>
        <v>1.5338181838063448E-2</v>
      </c>
      <c r="M91" s="361">
        <f>+IF($I91=M$3,VLOOKUP($H91,Depreciation!$A$6:$L$10,10,FALSE)/2,IF($I91&lt;M$3,VLOOKUP($H91,Depreciation!$A$6:$L$10,10,FALSE),0))</f>
        <v>3.0676363676126896E-2</v>
      </c>
      <c r="N91" s="361">
        <f>+IF($I91=N$3,VLOOKUP($H91,Depreciation!$A$6:$L$10,11,FALSE)/2,IF($I91&lt;N$3,VLOOKUP($H91,Depreciation!$A$6:$L$10,11,FALSE),0))</f>
        <v>3.0676363676126896E-2</v>
      </c>
      <c r="O91" s="361">
        <f>+IF($I91=O$3,VLOOKUP($H91,Depreciation!$A$6:$L$10,12,FALSE)/2,IF($I91&lt;O$3,VLOOKUP($H91,Depreciation!$A$6:$L$10,12,FALSE),0))</f>
        <v>3.0676363676126896E-2</v>
      </c>
      <c r="P91" s="362">
        <f t="shared" si="5"/>
        <v>1242301.5807812915</v>
      </c>
      <c r="Q91" s="362">
        <f t="shared" si="6"/>
        <v>0</v>
      </c>
      <c r="R91" s="363">
        <f t="shared" si="7"/>
        <v>1242301.5807812915</v>
      </c>
      <c r="Y91" s="365"/>
    </row>
    <row r="92" spans="1:25" ht="15" customHeight="1">
      <c r="A92" s="359" t="str">
        <f>'Func Future Lines 2015'!A92</f>
        <v>FINAL</v>
      </c>
      <c r="B92" s="359" t="str">
        <f>'Func Future Lines 2015'!B92</f>
        <v>80L</v>
      </c>
      <c r="C92" s="359">
        <f>'Func Future Lines 2015'!C92</f>
        <v>813</v>
      </c>
      <c r="D92" s="359">
        <f>'Func Future Lines 2015'!D92</f>
        <v>138</v>
      </c>
      <c r="E92" s="359">
        <f>'Func Future Lines 2015'!E92</f>
        <v>0</v>
      </c>
      <c r="F92" s="359" t="str">
        <f>'Func Future Lines 2015'!F92</f>
        <v>Red_Deer</v>
      </c>
      <c r="G92" s="359">
        <f>'Func Future Lines 2015'!G92</f>
        <v>629225.31498373614</v>
      </c>
      <c r="H92" s="359" t="str">
        <f>'Func Future Lines 2015'!H92</f>
        <v>AltaLink</v>
      </c>
      <c r="I92" s="359">
        <f>'Func Future Lines 2015'!I92</f>
        <v>2017</v>
      </c>
      <c r="J92" s="361">
        <f>+IF($I92=J$3,VLOOKUP($H92,Depreciation!$A$6:$L$10,7,FALSE)/2,IF($I92&lt;J$3,VLOOKUP($H92,Depreciation!$A$6:$L$10,7,FALSE),0))</f>
        <v>0</v>
      </c>
      <c r="K92" s="361">
        <f>+IF($I92=K$3,VLOOKUP($H92,Depreciation!$A$6:$L$10,8,FALSE)/2,IF($I92&lt;K$3,VLOOKUP($H92,Depreciation!$A$6:$L$10,8,FALSE),0))</f>
        <v>0</v>
      </c>
      <c r="L92" s="361">
        <f>+IF($I92=L$3,VLOOKUP($H92,Depreciation!$A$6:$L$10,9,FALSE)/2,IF($I92&lt;L$3,VLOOKUP($H92,Depreciation!$A$6:$L$10,9,FALSE),0))</f>
        <v>1.5338181838063448E-2</v>
      </c>
      <c r="M92" s="361">
        <f>+IF($I92=M$3,VLOOKUP($H92,Depreciation!$A$6:$L$10,10,FALSE)/2,IF($I92&lt;M$3,VLOOKUP($H92,Depreciation!$A$6:$L$10,10,FALSE),0))</f>
        <v>3.0676363676126896E-2</v>
      </c>
      <c r="N92" s="361">
        <f>+IF($I92=N$3,VLOOKUP($H92,Depreciation!$A$6:$L$10,11,FALSE)/2,IF($I92&lt;N$3,VLOOKUP($H92,Depreciation!$A$6:$L$10,11,FALSE),0))</f>
        <v>3.0676363676126896E-2</v>
      </c>
      <c r="O92" s="361">
        <f>+IF($I92=O$3,VLOOKUP($H92,Depreciation!$A$6:$L$10,12,FALSE)/2,IF($I92&lt;O$3,VLOOKUP($H92,Depreciation!$A$6:$L$10,12,FALSE),0))</f>
        <v>3.0676363676126896E-2</v>
      </c>
      <c r="P92" s="362">
        <f t="shared" si="5"/>
        <v>600567.86096006096</v>
      </c>
      <c r="Q92" s="362">
        <f t="shared" si="6"/>
        <v>0</v>
      </c>
      <c r="R92" s="363">
        <f t="shared" si="7"/>
        <v>600567.86096006096</v>
      </c>
      <c r="Y92" s="365"/>
    </row>
    <row r="93" spans="1:25" ht="15" customHeight="1">
      <c r="A93" s="359" t="str">
        <f>'Func Future Lines 2015'!A93</f>
        <v>PPS</v>
      </c>
      <c r="B93" s="359" t="str">
        <f>'Func Future Lines 2015'!B93</f>
        <v>80L (GD)</v>
      </c>
      <c r="C93" s="359">
        <f>'Func Future Lines 2015'!C93</f>
        <v>813</v>
      </c>
      <c r="D93" s="359">
        <f>'Func Future Lines 2015'!D93</f>
        <v>138</v>
      </c>
      <c r="E93" s="359">
        <f>'Func Future Lines 2015'!E93</f>
        <v>0</v>
      </c>
      <c r="F93" s="359" t="str">
        <f>'Func Future Lines 2015'!F93</f>
        <v>Red_Deer</v>
      </c>
      <c r="G93" s="359">
        <f>'Func Future Lines 2015'!G93</f>
        <v>442355.47350755217</v>
      </c>
      <c r="H93" s="359" t="str">
        <f>'Func Future Lines 2015'!H93</f>
        <v>AltaLink</v>
      </c>
      <c r="I93" s="359">
        <f>'Func Future Lines 2015'!I93</f>
        <v>2017</v>
      </c>
      <c r="J93" s="361">
        <f>+IF($I93=J$3,VLOOKUP($H93,Depreciation!$A$6:$L$10,7,FALSE)/2,IF($I93&lt;J$3,VLOOKUP($H93,Depreciation!$A$6:$L$10,7,FALSE),0))</f>
        <v>0</v>
      </c>
      <c r="K93" s="361">
        <f>+IF($I93=K$3,VLOOKUP($H93,Depreciation!$A$6:$L$10,8,FALSE)/2,IF($I93&lt;K$3,VLOOKUP($H93,Depreciation!$A$6:$L$10,8,FALSE),0))</f>
        <v>0</v>
      </c>
      <c r="L93" s="361">
        <f>+IF($I93=L$3,VLOOKUP($H93,Depreciation!$A$6:$L$10,9,FALSE)/2,IF($I93&lt;L$3,VLOOKUP($H93,Depreciation!$A$6:$L$10,9,FALSE),0))</f>
        <v>1.5338181838063448E-2</v>
      </c>
      <c r="M93" s="361">
        <f>+IF($I93=M$3,VLOOKUP($H93,Depreciation!$A$6:$L$10,10,FALSE)/2,IF($I93&lt;M$3,VLOOKUP($H93,Depreciation!$A$6:$L$10,10,FALSE),0))</f>
        <v>3.0676363676126896E-2</v>
      </c>
      <c r="N93" s="361">
        <f>+IF($I93=N$3,VLOOKUP($H93,Depreciation!$A$6:$L$10,11,FALSE)/2,IF($I93&lt;N$3,VLOOKUP($H93,Depreciation!$A$6:$L$10,11,FALSE),0))</f>
        <v>3.0676363676126896E-2</v>
      </c>
      <c r="O93" s="361">
        <f>+IF($I93=O$3,VLOOKUP($H93,Depreciation!$A$6:$L$10,12,FALSE)/2,IF($I93&lt;O$3,VLOOKUP($H93,Depreciation!$A$6:$L$10,12,FALSE),0))</f>
        <v>3.0676363676126896E-2</v>
      </c>
      <c r="P93" s="362">
        <f t="shared" si="5"/>
        <v>422208.82437839016</v>
      </c>
      <c r="Q93" s="362">
        <f t="shared" si="6"/>
        <v>0</v>
      </c>
      <c r="R93" s="363">
        <f t="shared" si="7"/>
        <v>422208.82437839016</v>
      </c>
      <c r="Y93" s="365"/>
    </row>
    <row r="94" spans="1:25" ht="15" customHeight="1">
      <c r="A94" s="359" t="str">
        <f>'Func Future Lines 2015'!A94</f>
        <v>PPS</v>
      </c>
      <c r="B94" s="359" t="str">
        <f>'Func Future Lines 2015'!B94</f>
        <v>80L North (425L)</v>
      </c>
      <c r="C94" s="359">
        <f>'Func Future Lines 2015'!C94</f>
        <v>813</v>
      </c>
      <c r="D94" s="359">
        <f>'Func Future Lines 2015'!D94</f>
        <v>138</v>
      </c>
      <c r="E94" s="359">
        <f>'Func Future Lines 2015'!E94</f>
        <v>0</v>
      </c>
      <c r="F94" s="359" t="str">
        <f>'Func Future Lines 2015'!F94</f>
        <v>Red_Deer</v>
      </c>
      <c r="G94" s="359">
        <f>'Func Future Lines 2015'!G94</f>
        <v>14334305.158686891</v>
      </c>
      <c r="H94" s="359" t="str">
        <f>'Func Future Lines 2015'!H94</f>
        <v>AltaLink</v>
      </c>
      <c r="I94" s="359">
        <f>'Func Future Lines 2015'!I94</f>
        <v>2017</v>
      </c>
      <c r="J94" s="361">
        <f>+IF($I94=J$3,VLOOKUP($H94,Depreciation!$A$6:$L$10,7,FALSE)/2,IF($I94&lt;J$3,VLOOKUP($H94,Depreciation!$A$6:$L$10,7,FALSE),0))</f>
        <v>0</v>
      </c>
      <c r="K94" s="361">
        <f>+IF($I94=K$3,VLOOKUP($H94,Depreciation!$A$6:$L$10,8,FALSE)/2,IF($I94&lt;K$3,VLOOKUP($H94,Depreciation!$A$6:$L$10,8,FALSE),0))</f>
        <v>0</v>
      </c>
      <c r="L94" s="361">
        <f>+IF($I94=L$3,VLOOKUP($H94,Depreciation!$A$6:$L$10,9,FALSE)/2,IF($I94&lt;L$3,VLOOKUP($H94,Depreciation!$A$6:$L$10,9,FALSE),0))</f>
        <v>1.5338181838063448E-2</v>
      </c>
      <c r="M94" s="361">
        <f>+IF($I94=M$3,VLOOKUP($H94,Depreciation!$A$6:$L$10,10,FALSE)/2,IF($I94&lt;M$3,VLOOKUP($H94,Depreciation!$A$6:$L$10,10,FALSE),0))</f>
        <v>3.0676363676126896E-2</v>
      </c>
      <c r="N94" s="361">
        <f>+IF($I94=N$3,VLOOKUP($H94,Depreciation!$A$6:$L$10,11,FALSE)/2,IF($I94&lt;N$3,VLOOKUP($H94,Depreciation!$A$6:$L$10,11,FALSE),0))</f>
        <v>3.0676363676126896E-2</v>
      </c>
      <c r="O94" s="361">
        <f>+IF($I94=O$3,VLOOKUP($H94,Depreciation!$A$6:$L$10,12,FALSE)/2,IF($I94&lt;O$3,VLOOKUP($H94,Depreciation!$A$6:$L$10,12,FALSE),0))</f>
        <v>3.0676363676126896E-2</v>
      </c>
      <c r="P94" s="362">
        <f t="shared" si="5"/>
        <v>13681463.193711247</v>
      </c>
      <c r="Q94" s="362">
        <f t="shared" si="6"/>
        <v>0</v>
      </c>
      <c r="R94" s="363">
        <f t="shared" si="7"/>
        <v>13681463.193711247</v>
      </c>
      <c r="Y94" s="365"/>
    </row>
    <row r="95" spans="1:25" ht="15" customHeight="1">
      <c r="A95" s="359" t="str">
        <f>'Func Future Lines 2015'!A95</f>
        <v>PPS</v>
      </c>
      <c r="B95" s="359" t="str">
        <f>'Func Future Lines 2015'!B95</f>
        <v>80L South (426L)</v>
      </c>
      <c r="C95" s="359">
        <f>'Func Future Lines 2015'!C95</f>
        <v>813</v>
      </c>
      <c r="D95" s="359">
        <f>'Func Future Lines 2015'!D95</f>
        <v>138</v>
      </c>
      <c r="E95" s="359">
        <f>'Func Future Lines 2015'!E95</f>
        <v>0</v>
      </c>
      <c r="F95" s="359" t="str">
        <f>'Func Future Lines 2015'!F95</f>
        <v>Red_Deer</v>
      </c>
      <c r="G95" s="359">
        <f>'Func Future Lines 2015'!G95</f>
        <v>10724430.608572371</v>
      </c>
      <c r="H95" s="359" t="str">
        <f>'Func Future Lines 2015'!H95</f>
        <v>AltaLink</v>
      </c>
      <c r="I95" s="359">
        <f>'Func Future Lines 2015'!I95</f>
        <v>2017</v>
      </c>
      <c r="J95" s="361">
        <f>+IF($I95=J$3,VLOOKUP($H95,Depreciation!$A$6:$L$10,7,FALSE)/2,IF($I95&lt;J$3,VLOOKUP($H95,Depreciation!$A$6:$L$10,7,FALSE),0))</f>
        <v>0</v>
      </c>
      <c r="K95" s="361">
        <f>+IF($I95=K$3,VLOOKUP($H95,Depreciation!$A$6:$L$10,8,FALSE)/2,IF($I95&lt;K$3,VLOOKUP($H95,Depreciation!$A$6:$L$10,8,FALSE),0))</f>
        <v>0</v>
      </c>
      <c r="L95" s="361">
        <f>+IF($I95=L$3,VLOOKUP($H95,Depreciation!$A$6:$L$10,9,FALSE)/2,IF($I95&lt;L$3,VLOOKUP($H95,Depreciation!$A$6:$L$10,9,FALSE),0))</f>
        <v>1.5338181838063448E-2</v>
      </c>
      <c r="M95" s="361">
        <f>+IF($I95=M$3,VLOOKUP($H95,Depreciation!$A$6:$L$10,10,FALSE)/2,IF($I95&lt;M$3,VLOOKUP($H95,Depreciation!$A$6:$L$10,10,FALSE),0))</f>
        <v>3.0676363676126896E-2</v>
      </c>
      <c r="N95" s="361">
        <f>+IF($I95=N$3,VLOOKUP($H95,Depreciation!$A$6:$L$10,11,FALSE)/2,IF($I95&lt;N$3,VLOOKUP($H95,Depreciation!$A$6:$L$10,11,FALSE),0))</f>
        <v>3.0676363676126896E-2</v>
      </c>
      <c r="O95" s="361">
        <f>+IF($I95=O$3,VLOOKUP($H95,Depreciation!$A$6:$L$10,12,FALSE)/2,IF($I95&lt;O$3,VLOOKUP($H95,Depreciation!$A$6:$L$10,12,FALSE),0))</f>
        <v>3.0676363676126896E-2</v>
      </c>
      <c r="P95" s="362">
        <f t="shared" si="5"/>
        <v>10235996.863494581</v>
      </c>
      <c r="Q95" s="362">
        <f t="shared" si="6"/>
        <v>0</v>
      </c>
      <c r="R95" s="363">
        <f t="shared" si="7"/>
        <v>10235996.863494581</v>
      </c>
      <c r="Y95" s="365"/>
    </row>
    <row r="96" spans="1:25" ht="15" customHeight="1">
      <c r="A96" s="359" t="str">
        <f>'Func Future Lines 2015'!A96</f>
        <v>PPS</v>
      </c>
      <c r="B96" s="359" t="str">
        <f>'Func Future Lines 2015'!B96</f>
        <v>80L underground</v>
      </c>
      <c r="C96" s="359">
        <f>'Func Future Lines 2015'!C96</f>
        <v>813</v>
      </c>
      <c r="D96" s="359">
        <f>'Func Future Lines 2015'!D96</f>
        <v>138</v>
      </c>
      <c r="E96" s="359">
        <f>'Func Future Lines 2015'!E96</f>
        <v>0</v>
      </c>
      <c r="F96" s="359" t="str">
        <f>'Func Future Lines 2015'!F96</f>
        <v>Red_Deer</v>
      </c>
      <c r="G96" s="359">
        <f>'Func Future Lines 2015'!G96</f>
        <v>8700999.9999999944</v>
      </c>
      <c r="H96" s="359" t="str">
        <f>'Func Future Lines 2015'!H96</f>
        <v>AltaLink</v>
      </c>
      <c r="I96" s="359">
        <f>'Func Future Lines 2015'!I96</f>
        <v>2017</v>
      </c>
      <c r="J96" s="361">
        <f>+IF($I96=J$3,VLOOKUP($H96,Depreciation!$A$6:$L$10,7,FALSE)/2,IF($I96&lt;J$3,VLOOKUP($H96,Depreciation!$A$6:$L$10,7,FALSE),0))</f>
        <v>0</v>
      </c>
      <c r="K96" s="361">
        <f>+IF($I96=K$3,VLOOKUP($H96,Depreciation!$A$6:$L$10,8,FALSE)/2,IF($I96&lt;K$3,VLOOKUP($H96,Depreciation!$A$6:$L$10,8,FALSE),0))</f>
        <v>0</v>
      </c>
      <c r="L96" s="361">
        <f>+IF($I96=L$3,VLOOKUP($H96,Depreciation!$A$6:$L$10,9,FALSE)/2,IF($I96&lt;L$3,VLOOKUP($H96,Depreciation!$A$6:$L$10,9,FALSE),0))</f>
        <v>1.5338181838063448E-2</v>
      </c>
      <c r="M96" s="361">
        <f>+IF($I96=M$3,VLOOKUP($H96,Depreciation!$A$6:$L$10,10,FALSE)/2,IF($I96&lt;M$3,VLOOKUP($H96,Depreciation!$A$6:$L$10,10,FALSE),0))</f>
        <v>3.0676363676126896E-2</v>
      </c>
      <c r="N96" s="361">
        <f>+IF($I96=N$3,VLOOKUP($H96,Depreciation!$A$6:$L$10,11,FALSE)/2,IF($I96&lt;N$3,VLOOKUP($H96,Depreciation!$A$6:$L$10,11,FALSE),0))</f>
        <v>3.0676363676126896E-2</v>
      </c>
      <c r="O96" s="361">
        <f>+IF($I96=O$3,VLOOKUP($H96,Depreciation!$A$6:$L$10,12,FALSE)/2,IF($I96&lt;O$3,VLOOKUP($H96,Depreciation!$A$6:$L$10,12,FALSE),0))</f>
        <v>3.0676363676126896E-2</v>
      </c>
      <c r="P96" s="362">
        <f t="shared" si="5"/>
        <v>8304721.4309051642</v>
      </c>
      <c r="Q96" s="362">
        <f t="shared" si="6"/>
        <v>0</v>
      </c>
      <c r="R96" s="363">
        <f t="shared" si="7"/>
        <v>8304721.4309051642</v>
      </c>
      <c r="Y96" s="365"/>
    </row>
    <row r="97" spans="1:25" ht="15" customHeight="1">
      <c r="A97" s="359" t="str">
        <f>'Func Future Lines 2015'!A97</f>
        <v>PPS</v>
      </c>
      <c r="B97" s="359" t="str">
        <f>'Func Future Lines 2015'!B97</f>
        <v>883L</v>
      </c>
      <c r="C97" s="359">
        <f>'Func Future Lines 2015'!C97</f>
        <v>813</v>
      </c>
      <c r="D97" s="359">
        <f>'Func Future Lines 2015'!D97</f>
        <v>138</v>
      </c>
      <c r="E97" s="359">
        <f>'Func Future Lines 2015'!E97</f>
        <v>0</v>
      </c>
      <c r="F97" s="359" t="str">
        <f>'Func Future Lines 2015'!F97</f>
        <v>Red_Deer</v>
      </c>
      <c r="G97" s="359">
        <f>'Func Future Lines 2015'!G97</f>
        <v>2041375.8427235677</v>
      </c>
      <c r="H97" s="359" t="str">
        <f>'Func Future Lines 2015'!H97</f>
        <v>AltaLink</v>
      </c>
      <c r="I97" s="359">
        <f>'Func Future Lines 2015'!I97</f>
        <v>2017</v>
      </c>
      <c r="J97" s="361">
        <f>+IF($I97=J$3,VLOOKUP($H97,Depreciation!$A$6:$L$10,7,FALSE)/2,IF($I97&lt;J$3,VLOOKUP($H97,Depreciation!$A$6:$L$10,7,FALSE),0))</f>
        <v>0</v>
      </c>
      <c r="K97" s="361">
        <f>+IF($I97=K$3,VLOOKUP($H97,Depreciation!$A$6:$L$10,8,FALSE)/2,IF($I97&lt;K$3,VLOOKUP($H97,Depreciation!$A$6:$L$10,8,FALSE),0))</f>
        <v>0</v>
      </c>
      <c r="L97" s="361">
        <f>+IF($I97=L$3,VLOOKUP($H97,Depreciation!$A$6:$L$10,9,FALSE)/2,IF($I97&lt;L$3,VLOOKUP($H97,Depreciation!$A$6:$L$10,9,FALSE),0))</f>
        <v>1.5338181838063448E-2</v>
      </c>
      <c r="M97" s="361">
        <f>+IF($I97=M$3,VLOOKUP($H97,Depreciation!$A$6:$L$10,10,FALSE)/2,IF($I97&lt;M$3,VLOOKUP($H97,Depreciation!$A$6:$L$10,10,FALSE),0))</f>
        <v>3.0676363676126896E-2</v>
      </c>
      <c r="N97" s="361">
        <f>+IF($I97=N$3,VLOOKUP($H97,Depreciation!$A$6:$L$10,11,FALSE)/2,IF($I97&lt;N$3,VLOOKUP($H97,Depreciation!$A$6:$L$10,11,FALSE),0))</f>
        <v>3.0676363676126896E-2</v>
      </c>
      <c r="O97" s="361">
        <f>+IF($I97=O$3,VLOOKUP($H97,Depreciation!$A$6:$L$10,12,FALSE)/2,IF($I97&lt;O$3,VLOOKUP($H97,Depreciation!$A$6:$L$10,12,FALSE),0))</f>
        <v>3.0676363676126896E-2</v>
      </c>
      <c r="P97" s="362">
        <f t="shared" si="5"/>
        <v>1948403.368532182</v>
      </c>
      <c r="Q97" s="362">
        <f t="shared" si="6"/>
        <v>0</v>
      </c>
      <c r="R97" s="363">
        <f t="shared" si="7"/>
        <v>1948403.368532182</v>
      </c>
      <c r="Y97" s="365"/>
    </row>
    <row r="98" spans="1:25" ht="15" customHeight="1">
      <c r="A98" s="359" t="str">
        <f>'Func Future Lines 2015'!A98</f>
        <v>PPS</v>
      </c>
      <c r="B98" s="359" t="str">
        <f>'Func Future Lines 2015'!B98</f>
        <v>910L/1083L</v>
      </c>
      <c r="C98" s="359">
        <f>'Func Future Lines 2015'!C98</f>
        <v>813</v>
      </c>
      <c r="D98" s="359">
        <f>'Func Future Lines 2015'!D98</f>
        <v>240</v>
      </c>
      <c r="E98" s="359">
        <f>'Func Future Lines 2015'!E98</f>
        <v>0</v>
      </c>
      <c r="F98" s="359" t="str">
        <f>'Func Future Lines 2015'!F98</f>
        <v>Red_Deer</v>
      </c>
      <c r="G98" s="359">
        <f>'Func Future Lines 2015'!G98</f>
        <v>1595577.9141692643</v>
      </c>
      <c r="H98" s="359" t="str">
        <f>'Func Future Lines 2015'!H98</f>
        <v>AltaLink</v>
      </c>
      <c r="I98" s="359">
        <f>'Func Future Lines 2015'!I98</f>
        <v>2017</v>
      </c>
      <c r="J98" s="361">
        <f>+IF($I98=J$3,VLOOKUP($H98,Depreciation!$A$6:$L$10,7,FALSE)/2,IF($I98&lt;J$3,VLOOKUP($H98,Depreciation!$A$6:$L$10,7,FALSE),0))</f>
        <v>0</v>
      </c>
      <c r="K98" s="361">
        <f>+IF($I98=K$3,VLOOKUP($H98,Depreciation!$A$6:$L$10,8,FALSE)/2,IF($I98&lt;K$3,VLOOKUP($H98,Depreciation!$A$6:$L$10,8,FALSE),0))</f>
        <v>0</v>
      </c>
      <c r="L98" s="361">
        <f>+IF($I98=L$3,VLOOKUP($H98,Depreciation!$A$6:$L$10,9,FALSE)/2,IF($I98&lt;L$3,VLOOKUP($H98,Depreciation!$A$6:$L$10,9,FALSE),0))</f>
        <v>1.5338181838063448E-2</v>
      </c>
      <c r="M98" s="361">
        <f>+IF($I98=M$3,VLOOKUP($H98,Depreciation!$A$6:$L$10,10,FALSE)/2,IF($I98&lt;M$3,VLOOKUP($H98,Depreciation!$A$6:$L$10,10,FALSE),0))</f>
        <v>3.0676363676126896E-2</v>
      </c>
      <c r="N98" s="361">
        <f>+IF($I98=N$3,VLOOKUP($H98,Depreciation!$A$6:$L$10,11,FALSE)/2,IF($I98&lt;N$3,VLOOKUP($H98,Depreciation!$A$6:$L$10,11,FALSE),0))</f>
        <v>3.0676363676126896E-2</v>
      </c>
      <c r="O98" s="361">
        <f>+IF($I98=O$3,VLOOKUP($H98,Depreciation!$A$6:$L$10,12,FALSE)/2,IF($I98&lt;O$3,VLOOKUP($H98,Depreciation!$A$6:$L$10,12,FALSE),0))</f>
        <v>3.0676363676126896E-2</v>
      </c>
      <c r="P98" s="362">
        <f t="shared" si="5"/>
        <v>1522908.872368746</v>
      </c>
      <c r="Q98" s="362">
        <f t="shared" si="6"/>
        <v>1522908.872368746</v>
      </c>
      <c r="R98" s="363">
        <f t="shared" si="7"/>
        <v>0</v>
      </c>
      <c r="Y98" s="365"/>
    </row>
    <row r="99" spans="1:25" ht="15" customHeight="1">
      <c r="A99" s="359" t="str">
        <f>'Func Future Lines 2015'!A99</f>
        <v>PPS</v>
      </c>
      <c r="B99" s="359" t="str">
        <f>'Func Future Lines 2015'!B99</f>
        <v>910L/1083L</v>
      </c>
      <c r="C99" s="359">
        <f>'Func Future Lines 2015'!C99</f>
        <v>813</v>
      </c>
      <c r="D99" s="359">
        <f>'Func Future Lines 2015'!D99</f>
        <v>240</v>
      </c>
      <c r="E99" s="359">
        <f>'Func Future Lines 2015'!E99</f>
        <v>0</v>
      </c>
      <c r="F99" s="359" t="str">
        <f>'Func Future Lines 2015'!F99</f>
        <v>Red_Deer</v>
      </c>
      <c r="G99" s="359">
        <f>'Func Future Lines 2015'!G99</f>
        <v>1626560.0095900265</v>
      </c>
      <c r="H99" s="359" t="str">
        <f>'Func Future Lines 2015'!H99</f>
        <v>AltaLink</v>
      </c>
      <c r="I99" s="359">
        <f>'Func Future Lines 2015'!I99</f>
        <v>2017</v>
      </c>
      <c r="J99" s="361">
        <f>+IF($I99=J$3,VLOOKUP($H99,Depreciation!$A$6:$L$10,7,FALSE)/2,IF($I99&lt;J$3,VLOOKUP($H99,Depreciation!$A$6:$L$10,7,FALSE),0))</f>
        <v>0</v>
      </c>
      <c r="K99" s="361">
        <f>+IF($I99=K$3,VLOOKUP($H99,Depreciation!$A$6:$L$10,8,FALSE)/2,IF($I99&lt;K$3,VLOOKUP($H99,Depreciation!$A$6:$L$10,8,FALSE),0))</f>
        <v>0</v>
      </c>
      <c r="L99" s="361">
        <f>+IF($I99=L$3,VLOOKUP($H99,Depreciation!$A$6:$L$10,9,FALSE)/2,IF($I99&lt;L$3,VLOOKUP($H99,Depreciation!$A$6:$L$10,9,FALSE),0))</f>
        <v>1.5338181838063448E-2</v>
      </c>
      <c r="M99" s="361">
        <f>+IF($I99=M$3,VLOOKUP($H99,Depreciation!$A$6:$L$10,10,FALSE)/2,IF($I99&lt;M$3,VLOOKUP($H99,Depreciation!$A$6:$L$10,10,FALSE),0))</f>
        <v>3.0676363676126896E-2</v>
      </c>
      <c r="N99" s="361">
        <f>+IF($I99=N$3,VLOOKUP($H99,Depreciation!$A$6:$L$10,11,FALSE)/2,IF($I99&lt;N$3,VLOOKUP($H99,Depreciation!$A$6:$L$10,11,FALSE),0))</f>
        <v>3.0676363676126896E-2</v>
      </c>
      <c r="O99" s="361">
        <f>+IF($I99=O$3,VLOOKUP($H99,Depreciation!$A$6:$L$10,12,FALSE)/2,IF($I99&lt;O$3,VLOOKUP($H99,Depreciation!$A$6:$L$10,12,FALSE),0))</f>
        <v>3.0676363676126896E-2</v>
      </c>
      <c r="P99" s="362">
        <f t="shared" si="5"/>
        <v>1552479.9184341584</v>
      </c>
      <c r="Q99" s="362">
        <f t="shared" si="6"/>
        <v>1552479.9184341584</v>
      </c>
      <c r="R99" s="363">
        <f t="shared" si="7"/>
        <v>0</v>
      </c>
      <c r="Y99" s="365"/>
    </row>
    <row r="100" spans="1:25" ht="15" customHeight="1">
      <c r="A100" s="359" t="str">
        <f>'Func Future Lines 2015'!A100</f>
        <v>PPS</v>
      </c>
      <c r="B100" s="359" t="str">
        <f>'Func Future Lines 2015'!B100</f>
        <v>918L/1081L</v>
      </c>
      <c r="C100" s="359">
        <f>'Func Future Lines 2015'!C100</f>
        <v>813</v>
      </c>
      <c r="D100" s="359">
        <f>'Func Future Lines 2015'!D100</f>
        <v>240</v>
      </c>
      <c r="E100" s="359">
        <f>'Func Future Lines 2015'!E100</f>
        <v>0</v>
      </c>
      <c r="F100" s="359" t="str">
        <f>'Func Future Lines 2015'!F100</f>
        <v>Red_Deer</v>
      </c>
      <c r="G100" s="359">
        <f>'Func Future Lines 2015'!G100</f>
        <v>1543941.0884679935</v>
      </c>
      <c r="H100" s="359" t="str">
        <f>'Func Future Lines 2015'!H100</f>
        <v>AltaLink</v>
      </c>
      <c r="I100" s="359">
        <f>'Func Future Lines 2015'!I100</f>
        <v>2017</v>
      </c>
      <c r="J100" s="361">
        <f>+IF($I100=J$3,VLOOKUP($H100,Depreciation!$A$6:$L$10,7,FALSE)/2,IF($I100&lt;J$3,VLOOKUP($H100,Depreciation!$A$6:$L$10,7,FALSE),0))</f>
        <v>0</v>
      </c>
      <c r="K100" s="361">
        <f>+IF($I100=K$3,VLOOKUP($H100,Depreciation!$A$6:$L$10,8,FALSE)/2,IF($I100&lt;K$3,VLOOKUP($H100,Depreciation!$A$6:$L$10,8,FALSE),0))</f>
        <v>0</v>
      </c>
      <c r="L100" s="361">
        <f>+IF($I100=L$3,VLOOKUP($H100,Depreciation!$A$6:$L$10,9,FALSE)/2,IF($I100&lt;L$3,VLOOKUP($H100,Depreciation!$A$6:$L$10,9,FALSE),0))</f>
        <v>1.5338181838063448E-2</v>
      </c>
      <c r="M100" s="361">
        <f>+IF($I100=M$3,VLOOKUP($H100,Depreciation!$A$6:$L$10,10,FALSE)/2,IF($I100&lt;M$3,VLOOKUP($H100,Depreciation!$A$6:$L$10,10,FALSE),0))</f>
        <v>3.0676363676126896E-2</v>
      </c>
      <c r="N100" s="361">
        <f>+IF($I100=N$3,VLOOKUP($H100,Depreciation!$A$6:$L$10,11,FALSE)/2,IF($I100&lt;N$3,VLOOKUP($H100,Depreciation!$A$6:$L$10,11,FALSE),0))</f>
        <v>3.0676363676126896E-2</v>
      </c>
      <c r="O100" s="361">
        <f>+IF($I100=O$3,VLOOKUP($H100,Depreciation!$A$6:$L$10,12,FALSE)/2,IF($I100&lt;O$3,VLOOKUP($H100,Depreciation!$A$6:$L$10,12,FALSE),0))</f>
        <v>3.0676363676126896E-2</v>
      </c>
      <c r="P100" s="362">
        <f t="shared" si="5"/>
        <v>1473623.7955930585</v>
      </c>
      <c r="Q100" s="362">
        <f t="shared" si="6"/>
        <v>1473623.7955930585</v>
      </c>
      <c r="R100" s="363">
        <f t="shared" si="7"/>
        <v>0</v>
      </c>
      <c r="Y100" s="365"/>
    </row>
    <row r="101" spans="1:25" ht="15" customHeight="1">
      <c r="A101" s="359" t="str">
        <f>'Func Future Lines 2015'!A101</f>
        <v>PPS</v>
      </c>
      <c r="B101" s="359" t="str">
        <f>'Func Future Lines 2015'!B101</f>
        <v>918L/1081L</v>
      </c>
      <c r="C101" s="359">
        <f>'Func Future Lines 2015'!C101</f>
        <v>813</v>
      </c>
      <c r="D101" s="359">
        <f>'Func Future Lines 2015'!D101</f>
        <v>240</v>
      </c>
      <c r="E101" s="359">
        <f>'Func Future Lines 2015'!E101</f>
        <v>0</v>
      </c>
      <c r="F101" s="359" t="str">
        <f>'Func Future Lines 2015'!F101</f>
        <v>Red_Deer</v>
      </c>
      <c r="G101" s="359">
        <f>'Func Future Lines 2015'!G101</f>
        <v>1657542.1050107889</v>
      </c>
      <c r="H101" s="359" t="str">
        <f>'Func Future Lines 2015'!H101</f>
        <v>AltaLink</v>
      </c>
      <c r="I101" s="359">
        <f>'Func Future Lines 2015'!I101</f>
        <v>2017</v>
      </c>
      <c r="J101" s="361">
        <f>+IF($I101=J$3,VLOOKUP($H101,Depreciation!$A$6:$L$10,7,FALSE)/2,IF($I101&lt;J$3,VLOOKUP($H101,Depreciation!$A$6:$L$10,7,FALSE),0))</f>
        <v>0</v>
      </c>
      <c r="K101" s="361">
        <f>+IF($I101=K$3,VLOOKUP($H101,Depreciation!$A$6:$L$10,8,FALSE)/2,IF($I101&lt;K$3,VLOOKUP($H101,Depreciation!$A$6:$L$10,8,FALSE),0))</f>
        <v>0</v>
      </c>
      <c r="L101" s="361">
        <f>+IF($I101=L$3,VLOOKUP($H101,Depreciation!$A$6:$L$10,9,FALSE)/2,IF($I101&lt;L$3,VLOOKUP($H101,Depreciation!$A$6:$L$10,9,FALSE),0))</f>
        <v>1.5338181838063448E-2</v>
      </c>
      <c r="M101" s="361">
        <f>+IF($I101=M$3,VLOOKUP($H101,Depreciation!$A$6:$L$10,10,FALSE)/2,IF($I101&lt;M$3,VLOOKUP($H101,Depreciation!$A$6:$L$10,10,FALSE),0))</f>
        <v>3.0676363676126896E-2</v>
      </c>
      <c r="N101" s="361">
        <f>+IF($I101=N$3,VLOOKUP($H101,Depreciation!$A$6:$L$10,11,FALSE)/2,IF($I101&lt;N$3,VLOOKUP($H101,Depreciation!$A$6:$L$10,11,FALSE),0))</f>
        <v>3.0676363676126896E-2</v>
      </c>
      <c r="O101" s="361">
        <f>+IF($I101=O$3,VLOOKUP($H101,Depreciation!$A$6:$L$10,12,FALSE)/2,IF($I101&lt;O$3,VLOOKUP($H101,Depreciation!$A$6:$L$10,12,FALSE),0))</f>
        <v>3.0676363676126896E-2</v>
      </c>
      <c r="P101" s="362">
        <f t="shared" si="5"/>
        <v>1582050.9644995709</v>
      </c>
      <c r="Q101" s="362">
        <f t="shared" si="6"/>
        <v>1582050.9644995709</v>
      </c>
      <c r="R101" s="363">
        <f t="shared" si="7"/>
        <v>0</v>
      </c>
      <c r="Y101" s="365"/>
    </row>
    <row r="102" spans="1:25" ht="15" customHeight="1">
      <c r="A102" s="359" t="str">
        <f>'Func Future Lines 2015'!A102</f>
        <v>PPS</v>
      </c>
      <c r="B102" s="359" t="str">
        <f>'Func Future Lines 2015'!B102</f>
        <v>929L/1082L</v>
      </c>
      <c r="C102" s="359">
        <f>'Func Future Lines 2015'!C102</f>
        <v>813</v>
      </c>
      <c r="D102" s="359">
        <f>'Func Future Lines 2015'!D102</f>
        <v>240</v>
      </c>
      <c r="E102" s="359">
        <f>'Func Future Lines 2015'!E102</f>
        <v>0</v>
      </c>
      <c r="F102" s="359" t="str">
        <f>'Func Future Lines 2015'!F102</f>
        <v>Red_Deer</v>
      </c>
      <c r="G102" s="359">
        <f>'Func Future Lines 2015'!G102</f>
        <v>1650657.1949172863</v>
      </c>
      <c r="H102" s="359" t="str">
        <f>'Func Future Lines 2015'!H102</f>
        <v>AltaLink</v>
      </c>
      <c r="I102" s="359">
        <f>'Func Future Lines 2015'!I102</f>
        <v>2017</v>
      </c>
      <c r="J102" s="361">
        <f>+IF($I102=J$3,VLOOKUP($H102,Depreciation!$A$6:$L$10,7,FALSE)/2,IF($I102&lt;J$3,VLOOKUP($H102,Depreciation!$A$6:$L$10,7,FALSE),0))</f>
        <v>0</v>
      </c>
      <c r="K102" s="361">
        <f>+IF($I102=K$3,VLOOKUP($H102,Depreciation!$A$6:$L$10,8,FALSE)/2,IF($I102&lt;K$3,VLOOKUP($H102,Depreciation!$A$6:$L$10,8,FALSE),0))</f>
        <v>0</v>
      </c>
      <c r="L102" s="361">
        <f>+IF($I102=L$3,VLOOKUP($H102,Depreciation!$A$6:$L$10,9,FALSE)/2,IF($I102&lt;L$3,VLOOKUP($H102,Depreciation!$A$6:$L$10,9,FALSE),0))</f>
        <v>1.5338181838063448E-2</v>
      </c>
      <c r="M102" s="361">
        <f>+IF($I102=M$3,VLOOKUP($H102,Depreciation!$A$6:$L$10,10,FALSE)/2,IF($I102&lt;M$3,VLOOKUP($H102,Depreciation!$A$6:$L$10,10,FALSE),0))</f>
        <v>3.0676363676126896E-2</v>
      </c>
      <c r="N102" s="361">
        <f>+IF($I102=N$3,VLOOKUP($H102,Depreciation!$A$6:$L$10,11,FALSE)/2,IF($I102&lt;N$3,VLOOKUP($H102,Depreciation!$A$6:$L$10,11,FALSE),0))</f>
        <v>3.0676363676126896E-2</v>
      </c>
      <c r="O102" s="361">
        <f>+IF($I102=O$3,VLOOKUP($H102,Depreciation!$A$6:$L$10,12,FALSE)/2,IF($I102&lt;O$3,VLOOKUP($H102,Depreciation!$A$6:$L$10,12,FALSE),0))</f>
        <v>3.0676363676126896E-2</v>
      </c>
      <c r="P102" s="362">
        <f t="shared" si="5"/>
        <v>1575479.6209294794</v>
      </c>
      <c r="Q102" s="362">
        <f t="shared" si="6"/>
        <v>1575479.6209294794</v>
      </c>
      <c r="R102" s="363">
        <f t="shared" si="7"/>
        <v>0</v>
      </c>
      <c r="Y102" s="365"/>
    </row>
    <row r="103" spans="1:25" ht="15" customHeight="1">
      <c r="A103" s="359" t="str">
        <f>'Func Future Lines 2015'!A103</f>
        <v>PPS</v>
      </c>
      <c r="B103" s="359" t="str">
        <f>'Func Future Lines 2015'!B103</f>
        <v>929L/1082L</v>
      </c>
      <c r="C103" s="359">
        <f>'Func Future Lines 2015'!C103</f>
        <v>813</v>
      </c>
      <c r="D103" s="359">
        <f>'Func Future Lines 2015'!D103</f>
        <v>240</v>
      </c>
      <c r="E103" s="359">
        <f>'Func Future Lines 2015'!E103</f>
        <v>0</v>
      </c>
      <c r="F103" s="359" t="str">
        <f>'Func Future Lines 2015'!F103</f>
        <v>Red_Deer</v>
      </c>
      <c r="G103" s="359">
        <f>'Func Future Lines 2015'!G103</f>
        <v>1645493.5123471592</v>
      </c>
      <c r="H103" s="359" t="str">
        <f>'Func Future Lines 2015'!H103</f>
        <v>AltaLink</v>
      </c>
      <c r="I103" s="359">
        <f>'Func Future Lines 2015'!I103</f>
        <v>2017</v>
      </c>
      <c r="J103" s="361">
        <f>+IF($I103=J$3,VLOOKUP($H103,Depreciation!$A$6:$L$10,7,FALSE)/2,IF($I103&lt;J$3,VLOOKUP($H103,Depreciation!$A$6:$L$10,7,FALSE),0))</f>
        <v>0</v>
      </c>
      <c r="K103" s="361">
        <f>+IF($I103=K$3,VLOOKUP($H103,Depreciation!$A$6:$L$10,8,FALSE)/2,IF($I103&lt;K$3,VLOOKUP($H103,Depreciation!$A$6:$L$10,8,FALSE),0))</f>
        <v>0</v>
      </c>
      <c r="L103" s="361">
        <f>+IF($I103=L$3,VLOOKUP($H103,Depreciation!$A$6:$L$10,9,FALSE)/2,IF($I103&lt;L$3,VLOOKUP($H103,Depreciation!$A$6:$L$10,9,FALSE),0))</f>
        <v>1.5338181838063448E-2</v>
      </c>
      <c r="M103" s="361">
        <f>+IF($I103=M$3,VLOOKUP($H103,Depreciation!$A$6:$L$10,10,FALSE)/2,IF($I103&lt;M$3,VLOOKUP($H103,Depreciation!$A$6:$L$10,10,FALSE),0))</f>
        <v>3.0676363676126896E-2</v>
      </c>
      <c r="N103" s="361">
        <f>+IF($I103=N$3,VLOOKUP($H103,Depreciation!$A$6:$L$10,11,FALSE)/2,IF($I103&lt;N$3,VLOOKUP($H103,Depreciation!$A$6:$L$10,11,FALSE),0))</f>
        <v>3.0676363676126896E-2</v>
      </c>
      <c r="O103" s="361">
        <f>+IF($I103=O$3,VLOOKUP($H103,Depreciation!$A$6:$L$10,12,FALSE)/2,IF($I103&lt;O$3,VLOOKUP($H103,Depreciation!$A$6:$L$10,12,FALSE),0))</f>
        <v>3.0676363676126896E-2</v>
      </c>
      <c r="P103" s="362">
        <f t="shared" si="5"/>
        <v>1570551.1132519108</v>
      </c>
      <c r="Q103" s="362">
        <f t="shared" si="6"/>
        <v>1570551.1132519108</v>
      </c>
      <c r="R103" s="363">
        <f t="shared" si="7"/>
        <v>0</v>
      </c>
      <c r="Y103" s="365"/>
    </row>
    <row r="104" spans="1:25" ht="15" customHeight="1">
      <c r="A104" s="359" t="str">
        <f>'Func Future Lines 2015'!A104</f>
        <v>PPS</v>
      </c>
      <c r="B104" s="359" t="str">
        <f>'Func Future Lines 2015'!B104</f>
        <v>transmission line 166AL_(v2)</v>
      </c>
      <c r="C104" s="359">
        <f>'Func Future Lines 2015'!C104</f>
        <v>813</v>
      </c>
      <c r="D104" s="359">
        <f>'Func Future Lines 2015'!D104</f>
        <v>138</v>
      </c>
      <c r="E104" s="359">
        <f>'Func Future Lines 2015'!E104</f>
        <v>0</v>
      </c>
      <c r="F104" s="359" t="str">
        <f>'Func Future Lines 2015'!F104</f>
        <v>Red_Deer</v>
      </c>
      <c r="G104" s="359">
        <f>'Func Future Lines 2015'!G104</f>
        <v>178318.62548469054</v>
      </c>
      <c r="H104" s="359" t="str">
        <f>'Func Future Lines 2015'!H104</f>
        <v>AltaLink</v>
      </c>
      <c r="I104" s="359">
        <f>'Func Future Lines 2015'!I104</f>
        <v>2017</v>
      </c>
      <c r="J104" s="361">
        <f>+IF($I104=J$3,VLOOKUP($H104,Depreciation!$A$6:$L$10,7,FALSE)/2,IF($I104&lt;J$3,VLOOKUP($H104,Depreciation!$A$6:$L$10,7,FALSE),0))</f>
        <v>0</v>
      </c>
      <c r="K104" s="361">
        <f>+IF($I104=K$3,VLOOKUP($H104,Depreciation!$A$6:$L$10,8,FALSE)/2,IF($I104&lt;K$3,VLOOKUP($H104,Depreciation!$A$6:$L$10,8,FALSE),0))</f>
        <v>0</v>
      </c>
      <c r="L104" s="361">
        <f>+IF($I104=L$3,VLOOKUP($H104,Depreciation!$A$6:$L$10,9,FALSE)/2,IF($I104&lt;L$3,VLOOKUP($H104,Depreciation!$A$6:$L$10,9,FALSE),0))</f>
        <v>1.5338181838063448E-2</v>
      </c>
      <c r="M104" s="361">
        <f>+IF($I104=M$3,VLOOKUP($H104,Depreciation!$A$6:$L$10,10,FALSE)/2,IF($I104&lt;M$3,VLOOKUP($H104,Depreciation!$A$6:$L$10,10,FALSE),0))</f>
        <v>3.0676363676126896E-2</v>
      </c>
      <c r="N104" s="361">
        <f>+IF($I104=N$3,VLOOKUP($H104,Depreciation!$A$6:$L$10,11,FALSE)/2,IF($I104&lt;N$3,VLOOKUP($H104,Depreciation!$A$6:$L$10,11,FALSE),0))</f>
        <v>3.0676363676126896E-2</v>
      </c>
      <c r="O104" s="361">
        <f>+IF($I104=O$3,VLOOKUP($H104,Depreciation!$A$6:$L$10,12,FALSE)/2,IF($I104&lt;O$3,VLOOKUP($H104,Depreciation!$A$6:$L$10,12,FALSE),0))</f>
        <v>3.0676363676126896E-2</v>
      </c>
      <c r="P104" s="362">
        <f t="shared" si="5"/>
        <v>170197.27739251376</v>
      </c>
      <c r="Q104" s="362">
        <f t="shared" si="6"/>
        <v>0</v>
      </c>
      <c r="R104" s="363">
        <f t="shared" si="7"/>
        <v>170197.27739251376</v>
      </c>
      <c r="Y104" s="365"/>
    </row>
    <row r="105" spans="1:25" ht="15" customHeight="1">
      <c r="A105" s="359" t="str">
        <f>'Func Future Lines 2015'!A105</f>
        <v>PPS</v>
      </c>
      <c r="B105" s="359" t="str">
        <f>'Func Future Lines 2015'!B105</f>
        <v>transmission line 166L_(v2)</v>
      </c>
      <c r="C105" s="359">
        <f>'Func Future Lines 2015'!C105</f>
        <v>813</v>
      </c>
      <c r="D105" s="359">
        <f>'Func Future Lines 2015'!D105</f>
        <v>138</v>
      </c>
      <c r="E105" s="359">
        <f>'Func Future Lines 2015'!E105</f>
        <v>0</v>
      </c>
      <c r="F105" s="359" t="str">
        <f>'Func Future Lines 2015'!F105</f>
        <v>Red_Deer</v>
      </c>
      <c r="G105" s="359">
        <f>'Func Future Lines 2015'!G105</f>
        <v>24543692.672817234</v>
      </c>
      <c r="H105" s="359" t="str">
        <f>'Func Future Lines 2015'!H105</f>
        <v>AltaLink</v>
      </c>
      <c r="I105" s="359">
        <f>'Func Future Lines 2015'!I105</f>
        <v>2017</v>
      </c>
      <c r="J105" s="361">
        <f>+IF($I105=J$3,VLOOKUP($H105,Depreciation!$A$6:$L$10,7,FALSE)/2,IF($I105&lt;J$3,VLOOKUP($H105,Depreciation!$A$6:$L$10,7,FALSE),0))</f>
        <v>0</v>
      </c>
      <c r="K105" s="361">
        <f>+IF($I105=K$3,VLOOKUP($H105,Depreciation!$A$6:$L$10,8,FALSE)/2,IF($I105&lt;K$3,VLOOKUP($H105,Depreciation!$A$6:$L$10,8,FALSE),0))</f>
        <v>0</v>
      </c>
      <c r="L105" s="361">
        <f>+IF($I105=L$3,VLOOKUP($H105,Depreciation!$A$6:$L$10,9,FALSE)/2,IF($I105&lt;L$3,VLOOKUP($H105,Depreciation!$A$6:$L$10,9,FALSE),0))</f>
        <v>1.5338181838063448E-2</v>
      </c>
      <c r="M105" s="361">
        <f>+IF($I105=M$3,VLOOKUP($H105,Depreciation!$A$6:$L$10,10,FALSE)/2,IF($I105&lt;M$3,VLOOKUP($H105,Depreciation!$A$6:$L$10,10,FALSE),0))</f>
        <v>3.0676363676126896E-2</v>
      </c>
      <c r="N105" s="361">
        <f>+IF($I105=N$3,VLOOKUP($H105,Depreciation!$A$6:$L$10,11,FALSE)/2,IF($I105&lt;N$3,VLOOKUP($H105,Depreciation!$A$6:$L$10,11,FALSE),0))</f>
        <v>3.0676363676126896E-2</v>
      </c>
      <c r="O105" s="361">
        <f>+IF($I105=O$3,VLOOKUP($H105,Depreciation!$A$6:$L$10,12,FALSE)/2,IF($I105&lt;O$3,VLOOKUP($H105,Depreciation!$A$6:$L$10,12,FALSE),0))</f>
        <v>3.0676363676126896E-2</v>
      </c>
      <c r="P105" s="362">
        <f t="shared" si="5"/>
        <v>23425874.098781232</v>
      </c>
      <c r="Q105" s="362">
        <f t="shared" si="6"/>
        <v>0</v>
      </c>
      <c r="R105" s="363">
        <f t="shared" si="7"/>
        <v>23425874.098781232</v>
      </c>
      <c r="Y105" s="365"/>
    </row>
    <row r="106" spans="1:25" ht="15" customHeight="1">
      <c r="A106" s="359" t="str">
        <f>'Func Future Lines 2015'!A106</f>
        <v>PPS</v>
      </c>
      <c r="B106" s="359" t="str">
        <f>'Func Future Lines 2015'!B106</f>
        <v>1043L/1139L</v>
      </c>
      <c r="C106" s="359">
        <f>'Func Future Lines 2015'!C106</f>
        <v>850</v>
      </c>
      <c r="D106" s="359">
        <f>'Func Future Lines 2015'!D106</f>
        <v>240</v>
      </c>
      <c r="E106" s="359">
        <f>'Func Future Lines 2015'!E106</f>
        <v>0</v>
      </c>
      <c r="F106" s="359" t="str">
        <f>'Func Future Lines 2015'!F106</f>
        <v>edmonton</v>
      </c>
      <c r="G106" s="359">
        <f>'Func Future Lines 2015'!G106</f>
        <v>15139710.076689346</v>
      </c>
      <c r="H106" s="359" t="str">
        <f>'Func Future Lines 2015'!H106</f>
        <v>AltaLink</v>
      </c>
      <c r="I106" s="359">
        <f>'Func Future Lines 2015'!I106</f>
        <v>2017</v>
      </c>
      <c r="J106" s="361">
        <f>+IF($I106=J$3,VLOOKUP($H106,Depreciation!$A$6:$L$10,7,FALSE)/2,IF($I106&lt;J$3,VLOOKUP($H106,Depreciation!$A$6:$L$10,7,FALSE),0))</f>
        <v>0</v>
      </c>
      <c r="K106" s="361">
        <f>+IF($I106=K$3,VLOOKUP($H106,Depreciation!$A$6:$L$10,8,FALSE)/2,IF($I106&lt;K$3,VLOOKUP($H106,Depreciation!$A$6:$L$10,8,FALSE),0))</f>
        <v>0</v>
      </c>
      <c r="L106" s="361">
        <f>+IF($I106=L$3,VLOOKUP($H106,Depreciation!$A$6:$L$10,9,FALSE)/2,IF($I106&lt;L$3,VLOOKUP($H106,Depreciation!$A$6:$L$10,9,FALSE),0))</f>
        <v>1.5338181838063448E-2</v>
      </c>
      <c r="M106" s="361">
        <f>+IF($I106=M$3,VLOOKUP($H106,Depreciation!$A$6:$L$10,10,FALSE)/2,IF($I106&lt;M$3,VLOOKUP($H106,Depreciation!$A$6:$L$10,10,FALSE),0))</f>
        <v>3.0676363676126896E-2</v>
      </c>
      <c r="N106" s="361">
        <f>+IF($I106=N$3,VLOOKUP($H106,Depreciation!$A$6:$L$10,11,FALSE)/2,IF($I106&lt;N$3,VLOOKUP($H106,Depreciation!$A$6:$L$10,11,FALSE),0))</f>
        <v>3.0676363676126896E-2</v>
      </c>
      <c r="O106" s="361">
        <f>+IF($I106=O$3,VLOOKUP($H106,Depreciation!$A$6:$L$10,12,FALSE)/2,IF($I106&lt;O$3,VLOOKUP($H106,Depreciation!$A$6:$L$10,12,FALSE),0))</f>
        <v>3.0676363676126896E-2</v>
      </c>
      <c r="P106" s="362">
        <f t="shared" si="5"/>
        <v>14450186.729292376</v>
      </c>
      <c r="Q106" s="362">
        <f t="shared" si="6"/>
        <v>14450186.729292376</v>
      </c>
      <c r="R106" s="363">
        <f t="shared" si="7"/>
        <v>0</v>
      </c>
      <c r="Y106" s="365"/>
    </row>
    <row r="107" spans="1:25" ht="15" customHeight="1">
      <c r="A107" s="359" t="str">
        <f>'Func Future Lines 2015'!A107</f>
        <v>PPS</v>
      </c>
      <c r="B107" s="359" t="str">
        <f>'Func Future Lines 2015'!B107</f>
        <v>1140L/1112L</v>
      </c>
      <c r="C107" s="359">
        <f>'Func Future Lines 2015'!C107</f>
        <v>850</v>
      </c>
      <c r="D107" s="359">
        <f>'Func Future Lines 2015'!D107</f>
        <v>240</v>
      </c>
      <c r="E107" s="359">
        <f>'Func Future Lines 2015'!E107</f>
        <v>0</v>
      </c>
      <c r="F107" s="359" t="str">
        <f>'Func Future Lines 2015'!F107</f>
        <v>edmonton</v>
      </c>
      <c r="G107" s="359">
        <f>'Func Future Lines 2015'!G107</f>
        <v>20197707.055992737</v>
      </c>
      <c r="H107" s="359" t="str">
        <f>'Func Future Lines 2015'!H107</f>
        <v>AltaLink</v>
      </c>
      <c r="I107" s="359">
        <f>'Func Future Lines 2015'!I107</f>
        <v>2017</v>
      </c>
      <c r="J107" s="361">
        <f>+IF($I107=J$3,VLOOKUP($H107,Depreciation!$A$6:$L$10,7,FALSE)/2,IF($I107&lt;J$3,VLOOKUP($H107,Depreciation!$A$6:$L$10,7,FALSE),0))</f>
        <v>0</v>
      </c>
      <c r="K107" s="361">
        <f>+IF($I107=K$3,VLOOKUP($H107,Depreciation!$A$6:$L$10,8,FALSE)/2,IF($I107&lt;K$3,VLOOKUP($H107,Depreciation!$A$6:$L$10,8,FALSE),0))</f>
        <v>0</v>
      </c>
      <c r="L107" s="361">
        <f>+IF($I107=L$3,VLOOKUP($H107,Depreciation!$A$6:$L$10,9,FALSE)/2,IF($I107&lt;L$3,VLOOKUP($H107,Depreciation!$A$6:$L$10,9,FALSE),0))</f>
        <v>1.5338181838063448E-2</v>
      </c>
      <c r="M107" s="361">
        <f>+IF($I107=M$3,VLOOKUP($H107,Depreciation!$A$6:$L$10,10,FALSE)/2,IF($I107&lt;M$3,VLOOKUP($H107,Depreciation!$A$6:$L$10,10,FALSE),0))</f>
        <v>3.0676363676126896E-2</v>
      </c>
      <c r="N107" s="361">
        <f>+IF($I107=N$3,VLOOKUP($H107,Depreciation!$A$6:$L$10,11,FALSE)/2,IF($I107&lt;N$3,VLOOKUP($H107,Depreciation!$A$6:$L$10,11,FALSE),0))</f>
        <v>3.0676363676126896E-2</v>
      </c>
      <c r="O107" s="361">
        <f>+IF($I107=O$3,VLOOKUP($H107,Depreciation!$A$6:$L$10,12,FALSE)/2,IF($I107&lt;O$3,VLOOKUP($H107,Depreciation!$A$6:$L$10,12,FALSE),0))</f>
        <v>3.0676363676126896E-2</v>
      </c>
      <c r="P107" s="362">
        <f t="shared" si="5"/>
        <v>19277822.163320016</v>
      </c>
      <c r="Q107" s="362">
        <f t="shared" si="6"/>
        <v>19277822.163320016</v>
      </c>
      <c r="R107" s="363">
        <f t="shared" si="7"/>
        <v>0</v>
      </c>
      <c r="Y107" s="365"/>
    </row>
    <row r="108" spans="1:25" ht="15" customHeight="1">
      <c r="A108" s="359" t="str">
        <f>'Func Future Lines 2015'!A108</f>
        <v>PPS</v>
      </c>
      <c r="B108" s="359" t="str">
        <f>'Func Future Lines 2015'!B108</f>
        <v>446L/452L/453L</v>
      </c>
      <c r="C108" s="359">
        <f>'Func Future Lines 2015'!C108</f>
        <v>850</v>
      </c>
      <c r="D108" s="359">
        <f>'Func Future Lines 2015'!D108</f>
        <v>138</v>
      </c>
      <c r="E108" s="359">
        <f>'Func Future Lines 2015'!E108</f>
        <v>0</v>
      </c>
      <c r="F108" s="359" t="str">
        <f>'Func Future Lines 2015'!F108</f>
        <v>edmonton</v>
      </c>
      <c r="G108" s="359">
        <f>'Func Future Lines 2015'!G108</f>
        <v>19650687.416100234</v>
      </c>
      <c r="H108" s="359" t="str">
        <f>'Func Future Lines 2015'!H108</f>
        <v>AltaLink</v>
      </c>
      <c r="I108" s="359">
        <f>'Func Future Lines 2015'!I108</f>
        <v>2017</v>
      </c>
      <c r="J108" s="361">
        <f>+IF($I108=J$3,VLOOKUP($H108,Depreciation!$A$6:$L$10,7,FALSE)/2,IF($I108&lt;J$3,VLOOKUP($H108,Depreciation!$A$6:$L$10,7,FALSE),0))</f>
        <v>0</v>
      </c>
      <c r="K108" s="361">
        <f>+IF($I108=K$3,VLOOKUP($H108,Depreciation!$A$6:$L$10,8,FALSE)/2,IF($I108&lt;K$3,VLOOKUP($H108,Depreciation!$A$6:$L$10,8,FALSE),0))</f>
        <v>0</v>
      </c>
      <c r="L108" s="361">
        <f>+IF($I108=L$3,VLOOKUP($H108,Depreciation!$A$6:$L$10,9,FALSE)/2,IF($I108&lt;L$3,VLOOKUP($H108,Depreciation!$A$6:$L$10,9,FALSE),0))</f>
        <v>1.5338181838063448E-2</v>
      </c>
      <c r="M108" s="361">
        <f>+IF($I108=M$3,VLOOKUP($H108,Depreciation!$A$6:$L$10,10,FALSE)/2,IF($I108&lt;M$3,VLOOKUP($H108,Depreciation!$A$6:$L$10,10,FALSE),0))</f>
        <v>3.0676363676126896E-2</v>
      </c>
      <c r="N108" s="361">
        <f>+IF($I108=N$3,VLOOKUP($H108,Depreciation!$A$6:$L$10,11,FALSE)/2,IF($I108&lt;N$3,VLOOKUP($H108,Depreciation!$A$6:$L$10,11,FALSE),0))</f>
        <v>3.0676363676126896E-2</v>
      </c>
      <c r="O108" s="361">
        <f>+IF($I108=O$3,VLOOKUP($H108,Depreciation!$A$6:$L$10,12,FALSE)/2,IF($I108&lt;O$3,VLOOKUP($H108,Depreciation!$A$6:$L$10,12,FALSE),0))</f>
        <v>3.0676363676126896E-2</v>
      </c>
      <c r="P108" s="362">
        <f t="shared" si="5"/>
        <v>18755716.000058174</v>
      </c>
      <c r="Q108" s="362">
        <f t="shared" si="6"/>
        <v>0</v>
      </c>
      <c r="R108" s="363">
        <f t="shared" si="7"/>
        <v>18755716.000058174</v>
      </c>
      <c r="Y108" s="365"/>
    </row>
    <row r="109" spans="1:25" ht="15" customHeight="1">
      <c r="A109" s="359" t="str">
        <f>'Func Future Lines 2015'!A109</f>
        <v>PPS</v>
      </c>
      <c r="B109" s="359" t="str">
        <f>'Func Future Lines 2015'!B109</f>
        <v>446L/453L</v>
      </c>
      <c r="C109" s="359">
        <f>'Func Future Lines 2015'!C109</f>
        <v>850</v>
      </c>
      <c r="D109" s="359">
        <f>'Func Future Lines 2015'!D109</f>
        <v>138</v>
      </c>
      <c r="E109" s="359">
        <f>'Func Future Lines 2015'!E109</f>
        <v>0</v>
      </c>
      <c r="F109" s="359" t="str">
        <f>'Func Future Lines 2015'!F109</f>
        <v>edmonton</v>
      </c>
      <c r="G109" s="359">
        <f>'Func Future Lines 2015'!G109</f>
        <v>11579761.499715252</v>
      </c>
      <c r="H109" s="359" t="str">
        <f>'Func Future Lines 2015'!H109</f>
        <v>AltaLink</v>
      </c>
      <c r="I109" s="359">
        <f>'Func Future Lines 2015'!I109</f>
        <v>2017</v>
      </c>
      <c r="J109" s="361">
        <f>+IF($I109=J$3,VLOOKUP($H109,Depreciation!$A$6:$L$10,7,FALSE)/2,IF($I109&lt;J$3,VLOOKUP($H109,Depreciation!$A$6:$L$10,7,FALSE),0))</f>
        <v>0</v>
      </c>
      <c r="K109" s="361">
        <f>+IF($I109=K$3,VLOOKUP($H109,Depreciation!$A$6:$L$10,8,FALSE)/2,IF($I109&lt;K$3,VLOOKUP($H109,Depreciation!$A$6:$L$10,8,FALSE),0))</f>
        <v>0</v>
      </c>
      <c r="L109" s="361">
        <f>+IF($I109=L$3,VLOOKUP($H109,Depreciation!$A$6:$L$10,9,FALSE)/2,IF($I109&lt;L$3,VLOOKUP($H109,Depreciation!$A$6:$L$10,9,FALSE),0))</f>
        <v>1.5338181838063448E-2</v>
      </c>
      <c r="M109" s="361">
        <f>+IF($I109=M$3,VLOOKUP($H109,Depreciation!$A$6:$L$10,10,FALSE)/2,IF($I109&lt;M$3,VLOOKUP($H109,Depreciation!$A$6:$L$10,10,FALSE),0))</f>
        <v>3.0676363676126896E-2</v>
      </c>
      <c r="N109" s="361">
        <f>+IF($I109=N$3,VLOOKUP($H109,Depreciation!$A$6:$L$10,11,FALSE)/2,IF($I109&lt;N$3,VLOOKUP($H109,Depreciation!$A$6:$L$10,11,FALSE),0))</f>
        <v>3.0676363676126896E-2</v>
      </c>
      <c r="O109" s="361">
        <f>+IF($I109=O$3,VLOOKUP($H109,Depreciation!$A$6:$L$10,12,FALSE)/2,IF($I109&lt;O$3,VLOOKUP($H109,Depreciation!$A$6:$L$10,12,FALSE),0))</f>
        <v>3.0676363676126896E-2</v>
      </c>
      <c r="P109" s="362">
        <f t="shared" si="5"/>
        <v>11052372.542403845</v>
      </c>
      <c r="Q109" s="362">
        <f t="shared" si="6"/>
        <v>0</v>
      </c>
      <c r="R109" s="363">
        <f t="shared" si="7"/>
        <v>11052372.542403845</v>
      </c>
      <c r="Y109" s="365"/>
    </row>
    <row r="110" spans="1:25" ht="15" customHeight="1">
      <c r="A110" s="359" t="str">
        <f>'Func Future Lines 2015'!A110</f>
        <v>PPS</v>
      </c>
      <c r="B110" s="359" t="str">
        <f>'Func Future Lines 2015'!B110</f>
        <v>452L 10km OPGW replacement</v>
      </c>
      <c r="C110" s="359">
        <f>'Func Future Lines 2015'!C110</f>
        <v>850</v>
      </c>
      <c r="D110" s="359">
        <f>'Func Future Lines 2015'!D110</f>
        <v>138</v>
      </c>
      <c r="E110" s="359">
        <f>'Func Future Lines 2015'!E110</f>
        <v>0</v>
      </c>
      <c r="F110" s="359" t="str">
        <f>'Func Future Lines 2015'!F110</f>
        <v>edmonton</v>
      </c>
      <c r="G110" s="359">
        <f>'Func Future Lines 2015'!G110</f>
        <v>4288035.0624691956</v>
      </c>
      <c r="H110" s="359" t="str">
        <f>'Func Future Lines 2015'!H110</f>
        <v>AltaLink</v>
      </c>
      <c r="I110" s="359">
        <f>'Func Future Lines 2015'!I110</f>
        <v>2017</v>
      </c>
      <c r="J110" s="361">
        <f>+IF($I110=J$3,VLOOKUP($H110,Depreciation!$A$6:$L$10,7,FALSE)/2,IF($I110&lt;J$3,VLOOKUP($H110,Depreciation!$A$6:$L$10,7,FALSE),0))</f>
        <v>0</v>
      </c>
      <c r="K110" s="361">
        <f>+IF($I110=K$3,VLOOKUP($H110,Depreciation!$A$6:$L$10,8,FALSE)/2,IF($I110&lt;K$3,VLOOKUP($H110,Depreciation!$A$6:$L$10,8,FALSE),0))</f>
        <v>0</v>
      </c>
      <c r="L110" s="361">
        <f>+IF($I110=L$3,VLOOKUP($H110,Depreciation!$A$6:$L$10,9,FALSE)/2,IF($I110&lt;L$3,VLOOKUP($H110,Depreciation!$A$6:$L$10,9,FALSE),0))</f>
        <v>1.5338181838063448E-2</v>
      </c>
      <c r="M110" s="361">
        <f>+IF($I110=M$3,VLOOKUP($H110,Depreciation!$A$6:$L$10,10,FALSE)/2,IF($I110&lt;M$3,VLOOKUP($H110,Depreciation!$A$6:$L$10,10,FALSE),0))</f>
        <v>3.0676363676126896E-2</v>
      </c>
      <c r="N110" s="361">
        <f>+IF($I110=N$3,VLOOKUP($H110,Depreciation!$A$6:$L$10,11,FALSE)/2,IF($I110&lt;N$3,VLOOKUP($H110,Depreciation!$A$6:$L$10,11,FALSE),0))</f>
        <v>3.0676363676126896E-2</v>
      </c>
      <c r="O110" s="361">
        <f>+IF($I110=O$3,VLOOKUP($H110,Depreciation!$A$6:$L$10,12,FALSE)/2,IF($I110&lt;O$3,VLOOKUP($H110,Depreciation!$A$6:$L$10,12,FALSE),0))</f>
        <v>3.0676363676126896E-2</v>
      </c>
      <c r="P110" s="362">
        <f t="shared" si="5"/>
        <v>4092740.6826526518</v>
      </c>
      <c r="Q110" s="362">
        <f t="shared" si="6"/>
        <v>0</v>
      </c>
      <c r="R110" s="363">
        <f t="shared" si="7"/>
        <v>4092740.6826526518</v>
      </c>
      <c r="Y110" s="365"/>
    </row>
    <row r="111" spans="1:25" ht="15" customHeight="1">
      <c r="A111" s="359" t="str">
        <f>'Func Future Lines 2015'!A111</f>
        <v>PPS</v>
      </c>
      <c r="B111" s="359" t="str">
        <f>'Func Future Lines 2015'!B111</f>
        <v>454L/455L</v>
      </c>
      <c r="C111" s="359">
        <f>'Func Future Lines 2015'!C111</f>
        <v>850</v>
      </c>
      <c r="D111" s="359">
        <f>'Func Future Lines 2015'!D111</f>
        <v>138</v>
      </c>
      <c r="E111" s="359">
        <f>'Func Future Lines 2015'!E111</f>
        <v>0</v>
      </c>
      <c r="F111" s="359" t="str">
        <f>'Func Future Lines 2015'!F111</f>
        <v>edmonton</v>
      </c>
      <c r="G111" s="359">
        <f>'Func Future Lines 2015'!G111</f>
        <v>7815341.9759696973</v>
      </c>
      <c r="H111" s="359" t="str">
        <f>'Func Future Lines 2015'!H111</f>
        <v>AltaLink</v>
      </c>
      <c r="I111" s="359">
        <f>'Func Future Lines 2015'!I111</f>
        <v>2017</v>
      </c>
      <c r="J111" s="361">
        <f>+IF($I111=J$3,VLOOKUP($H111,Depreciation!$A$6:$L$10,7,FALSE)/2,IF($I111&lt;J$3,VLOOKUP($H111,Depreciation!$A$6:$L$10,7,FALSE),0))</f>
        <v>0</v>
      </c>
      <c r="K111" s="361">
        <f>+IF($I111=K$3,VLOOKUP($H111,Depreciation!$A$6:$L$10,8,FALSE)/2,IF($I111&lt;K$3,VLOOKUP($H111,Depreciation!$A$6:$L$10,8,FALSE),0))</f>
        <v>0</v>
      </c>
      <c r="L111" s="361">
        <f>+IF($I111=L$3,VLOOKUP($H111,Depreciation!$A$6:$L$10,9,FALSE)/2,IF($I111&lt;L$3,VLOOKUP($H111,Depreciation!$A$6:$L$10,9,FALSE),0))</f>
        <v>1.5338181838063448E-2</v>
      </c>
      <c r="M111" s="361">
        <f>+IF($I111=M$3,VLOOKUP($H111,Depreciation!$A$6:$L$10,10,FALSE)/2,IF($I111&lt;M$3,VLOOKUP($H111,Depreciation!$A$6:$L$10,10,FALSE),0))</f>
        <v>3.0676363676126896E-2</v>
      </c>
      <c r="N111" s="361">
        <f>+IF($I111=N$3,VLOOKUP($H111,Depreciation!$A$6:$L$10,11,FALSE)/2,IF($I111&lt;N$3,VLOOKUP($H111,Depreciation!$A$6:$L$10,11,FALSE),0))</f>
        <v>3.0676363676126896E-2</v>
      </c>
      <c r="O111" s="361">
        <f>+IF($I111=O$3,VLOOKUP($H111,Depreciation!$A$6:$L$10,12,FALSE)/2,IF($I111&lt;O$3,VLOOKUP($H111,Depreciation!$A$6:$L$10,12,FALSE),0))</f>
        <v>3.0676363676126896E-2</v>
      </c>
      <c r="P111" s="362">
        <f t="shared" si="5"/>
        <v>7459399.8388332734</v>
      </c>
      <c r="Q111" s="362">
        <f t="shared" si="6"/>
        <v>0</v>
      </c>
      <c r="R111" s="363">
        <f t="shared" si="7"/>
        <v>7459399.8388332734</v>
      </c>
      <c r="Y111" s="365"/>
    </row>
    <row r="112" spans="1:25" ht="15" customHeight="1">
      <c r="A112" s="359" t="str">
        <f>'Func Future Lines 2015'!A112</f>
        <v>PPS</v>
      </c>
      <c r="B112" s="359" t="str">
        <f>'Func Future Lines 2015'!B112</f>
        <v>739L</v>
      </c>
      <c r="C112" s="359">
        <f>'Func Future Lines 2015'!C112</f>
        <v>850</v>
      </c>
      <c r="D112" s="359">
        <f>'Func Future Lines 2015'!D112</f>
        <v>138</v>
      </c>
      <c r="E112" s="359">
        <f>'Func Future Lines 2015'!E112</f>
        <v>0</v>
      </c>
      <c r="F112" s="359" t="str">
        <f>'Func Future Lines 2015'!F112</f>
        <v>edmonton</v>
      </c>
      <c r="G112" s="359">
        <f>'Func Future Lines 2015'!G112</f>
        <v>318689.25924461719</v>
      </c>
      <c r="H112" s="359" t="str">
        <f>'Func Future Lines 2015'!H112</f>
        <v>AltaLink</v>
      </c>
      <c r="I112" s="359">
        <f>'Func Future Lines 2015'!I112</f>
        <v>2017</v>
      </c>
      <c r="J112" s="361">
        <f>+IF($I112=J$3,VLOOKUP($H112,Depreciation!$A$6:$L$10,7,FALSE)/2,IF($I112&lt;J$3,VLOOKUP($H112,Depreciation!$A$6:$L$10,7,FALSE),0))</f>
        <v>0</v>
      </c>
      <c r="K112" s="361">
        <f>+IF($I112=K$3,VLOOKUP($H112,Depreciation!$A$6:$L$10,8,FALSE)/2,IF($I112&lt;K$3,VLOOKUP($H112,Depreciation!$A$6:$L$10,8,FALSE),0))</f>
        <v>0</v>
      </c>
      <c r="L112" s="361">
        <f>+IF($I112=L$3,VLOOKUP($H112,Depreciation!$A$6:$L$10,9,FALSE)/2,IF($I112&lt;L$3,VLOOKUP($H112,Depreciation!$A$6:$L$10,9,FALSE),0))</f>
        <v>1.5338181838063448E-2</v>
      </c>
      <c r="M112" s="361">
        <f>+IF($I112=M$3,VLOOKUP($H112,Depreciation!$A$6:$L$10,10,FALSE)/2,IF($I112&lt;M$3,VLOOKUP($H112,Depreciation!$A$6:$L$10,10,FALSE),0))</f>
        <v>3.0676363676126896E-2</v>
      </c>
      <c r="N112" s="361">
        <f>+IF($I112=N$3,VLOOKUP($H112,Depreciation!$A$6:$L$10,11,FALSE)/2,IF($I112&lt;N$3,VLOOKUP($H112,Depreciation!$A$6:$L$10,11,FALSE),0))</f>
        <v>3.0676363676126896E-2</v>
      </c>
      <c r="O112" s="361">
        <f>+IF($I112=O$3,VLOOKUP($H112,Depreciation!$A$6:$L$10,12,FALSE)/2,IF($I112&lt;O$3,VLOOKUP($H112,Depreciation!$A$6:$L$10,12,FALSE),0))</f>
        <v>3.0676363676126896E-2</v>
      </c>
      <c r="P112" s="362">
        <f t="shared" si="5"/>
        <v>304174.86737709073</v>
      </c>
      <c r="Q112" s="362">
        <f t="shared" si="6"/>
        <v>0</v>
      </c>
      <c r="R112" s="363">
        <f t="shared" si="7"/>
        <v>304174.86737709073</v>
      </c>
      <c r="Y112" s="365"/>
    </row>
    <row r="113" spans="1:25" ht="15" customHeight="1">
      <c r="A113" s="359" t="str">
        <f>'Func Future Lines 2015'!A113</f>
        <v>PPS</v>
      </c>
      <c r="B113" s="359" t="str">
        <f>'Func Future Lines 2015'!B113</f>
        <v>780L/174L</v>
      </c>
      <c r="C113" s="359">
        <f>'Func Future Lines 2015'!C113</f>
        <v>850</v>
      </c>
      <c r="D113" s="359">
        <f>'Func Future Lines 2015'!D113</f>
        <v>138</v>
      </c>
      <c r="E113" s="359">
        <f>'Func Future Lines 2015'!E113</f>
        <v>0</v>
      </c>
      <c r="F113" s="359" t="str">
        <f>'Func Future Lines 2015'!F113</f>
        <v>edmonton</v>
      </c>
      <c r="G113" s="359">
        <f>'Func Future Lines 2015'!G113</f>
        <v>61607075.013380922</v>
      </c>
      <c r="H113" s="359" t="str">
        <f>'Func Future Lines 2015'!H113</f>
        <v>AltaLink</v>
      </c>
      <c r="I113" s="359">
        <f>'Func Future Lines 2015'!I113</f>
        <v>2017</v>
      </c>
      <c r="J113" s="361">
        <f>+IF($I113=J$3,VLOOKUP($H113,Depreciation!$A$6:$L$10,7,FALSE)/2,IF($I113&lt;J$3,VLOOKUP($H113,Depreciation!$A$6:$L$10,7,FALSE),0))</f>
        <v>0</v>
      </c>
      <c r="K113" s="361">
        <f>+IF($I113=K$3,VLOOKUP($H113,Depreciation!$A$6:$L$10,8,FALSE)/2,IF($I113&lt;K$3,VLOOKUP($H113,Depreciation!$A$6:$L$10,8,FALSE),0))</f>
        <v>0</v>
      </c>
      <c r="L113" s="361">
        <f>+IF($I113=L$3,VLOOKUP($H113,Depreciation!$A$6:$L$10,9,FALSE)/2,IF($I113&lt;L$3,VLOOKUP($H113,Depreciation!$A$6:$L$10,9,FALSE),0))</f>
        <v>1.5338181838063448E-2</v>
      </c>
      <c r="M113" s="361">
        <f>+IF($I113=M$3,VLOOKUP($H113,Depreciation!$A$6:$L$10,10,FALSE)/2,IF($I113&lt;M$3,VLOOKUP($H113,Depreciation!$A$6:$L$10,10,FALSE),0))</f>
        <v>3.0676363676126896E-2</v>
      </c>
      <c r="N113" s="361">
        <f>+IF($I113=N$3,VLOOKUP($H113,Depreciation!$A$6:$L$10,11,FALSE)/2,IF($I113&lt;N$3,VLOOKUP($H113,Depreciation!$A$6:$L$10,11,FALSE),0))</f>
        <v>3.0676363676126896E-2</v>
      </c>
      <c r="O113" s="361">
        <f>+IF($I113=O$3,VLOOKUP($H113,Depreciation!$A$6:$L$10,12,FALSE)/2,IF($I113&lt;O$3,VLOOKUP($H113,Depreciation!$A$6:$L$10,12,FALSE),0))</f>
        <v>3.0676363676126896E-2</v>
      </c>
      <c r="P113" s="362">
        <f t="shared" si="5"/>
        <v>58801240.795196757</v>
      </c>
      <c r="Q113" s="362">
        <f t="shared" si="6"/>
        <v>0</v>
      </c>
      <c r="R113" s="363">
        <f t="shared" si="7"/>
        <v>58801240.795196757</v>
      </c>
      <c r="Y113" s="365"/>
    </row>
    <row r="114" spans="1:25" ht="15" customHeight="1">
      <c r="A114" s="359" t="str">
        <f>'Func Future Lines 2015'!A114</f>
        <v>PPS</v>
      </c>
      <c r="B114" s="359" t="str">
        <f>'Func Future Lines 2015'!B114</f>
        <v xml:space="preserve">780L/858L </v>
      </c>
      <c r="C114" s="359">
        <f>'Func Future Lines 2015'!C114</f>
        <v>850</v>
      </c>
      <c r="D114" s="359">
        <f>'Func Future Lines 2015'!D114</f>
        <v>138</v>
      </c>
      <c r="E114" s="359">
        <f>'Func Future Lines 2015'!E114</f>
        <v>0</v>
      </c>
      <c r="F114" s="359" t="str">
        <f>'Func Future Lines 2015'!F114</f>
        <v>edmonton</v>
      </c>
      <c r="G114" s="359">
        <f>'Func Future Lines 2015'!G114</f>
        <v>6668353.1939536864</v>
      </c>
      <c r="H114" s="359" t="str">
        <f>'Func Future Lines 2015'!H114</f>
        <v>AltaLink</v>
      </c>
      <c r="I114" s="359">
        <f>'Func Future Lines 2015'!I114</f>
        <v>2017</v>
      </c>
      <c r="J114" s="361">
        <f>+IF($I114=J$3,VLOOKUP($H114,Depreciation!$A$6:$L$10,7,FALSE)/2,IF($I114&lt;J$3,VLOOKUP($H114,Depreciation!$A$6:$L$10,7,FALSE),0))</f>
        <v>0</v>
      </c>
      <c r="K114" s="361">
        <f>+IF($I114=K$3,VLOOKUP($H114,Depreciation!$A$6:$L$10,8,FALSE)/2,IF($I114&lt;K$3,VLOOKUP($H114,Depreciation!$A$6:$L$10,8,FALSE),0))</f>
        <v>0</v>
      </c>
      <c r="L114" s="361">
        <f>+IF($I114=L$3,VLOOKUP($H114,Depreciation!$A$6:$L$10,9,FALSE)/2,IF($I114&lt;L$3,VLOOKUP($H114,Depreciation!$A$6:$L$10,9,FALSE),0))</f>
        <v>1.5338181838063448E-2</v>
      </c>
      <c r="M114" s="361">
        <f>+IF($I114=M$3,VLOOKUP($H114,Depreciation!$A$6:$L$10,10,FALSE)/2,IF($I114&lt;M$3,VLOOKUP($H114,Depreciation!$A$6:$L$10,10,FALSE),0))</f>
        <v>3.0676363676126896E-2</v>
      </c>
      <c r="N114" s="361">
        <f>+IF($I114=N$3,VLOOKUP($H114,Depreciation!$A$6:$L$10,11,FALSE)/2,IF($I114&lt;N$3,VLOOKUP($H114,Depreciation!$A$6:$L$10,11,FALSE),0))</f>
        <v>3.0676363676126896E-2</v>
      </c>
      <c r="O114" s="361">
        <f>+IF($I114=O$3,VLOOKUP($H114,Depreciation!$A$6:$L$10,12,FALSE)/2,IF($I114&lt;O$3,VLOOKUP($H114,Depreciation!$A$6:$L$10,12,FALSE),0))</f>
        <v>3.0676363676126896E-2</v>
      </c>
      <c r="P114" s="362">
        <f t="shared" si="5"/>
        <v>6364649.5435779933</v>
      </c>
      <c r="Q114" s="362">
        <f t="shared" si="6"/>
        <v>0</v>
      </c>
      <c r="R114" s="363">
        <f t="shared" si="7"/>
        <v>6364649.5435779933</v>
      </c>
      <c r="Y114" s="365"/>
    </row>
    <row r="115" spans="1:25" ht="15" customHeight="1">
      <c r="A115" s="359" t="str">
        <f>'Func Future Lines 2015'!A115</f>
        <v>PPS</v>
      </c>
      <c r="B115" s="359" t="str">
        <f>'Func Future Lines 2015'!B115</f>
        <v>790L/790AL</v>
      </c>
      <c r="C115" s="359">
        <f>'Func Future Lines 2015'!C115</f>
        <v>850</v>
      </c>
      <c r="D115" s="359">
        <f>'Func Future Lines 2015'!D115</f>
        <v>138</v>
      </c>
      <c r="E115" s="359">
        <f>'Func Future Lines 2015'!E115</f>
        <v>0</v>
      </c>
      <c r="F115" s="359" t="str">
        <f>'Func Future Lines 2015'!F115</f>
        <v>edmonton</v>
      </c>
      <c r="G115" s="359">
        <f>'Func Future Lines 2015'!G115</f>
        <v>139024.45893739656</v>
      </c>
      <c r="H115" s="359" t="str">
        <f>'Func Future Lines 2015'!H115</f>
        <v>AltaLink</v>
      </c>
      <c r="I115" s="359">
        <f>'Func Future Lines 2015'!I115</f>
        <v>2017</v>
      </c>
      <c r="J115" s="361">
        <f>+IF($I115=J$3,VLOOKUP($H115,Depreciation!$A$6:$L$10,7,FALSE)/2,IF($I115&lt;J$3,VLOOKUP($H115,Depreciation!$A$6:$L$10,7,FALSE),0))</f>
        <v>0</v>
      </c>
      <c r="K115" s="361">
        <f>+IF($I115=K$3,VLOOKUP($H115,Depreciation!$A$6:$L$10,8,FALSE)/2,IF($I115&lt;K$3,VLOOKUP($H115,Depreciation!$A$6:$L$10,8,FALSE),0))</f>
        <v>0</v>
      </c>
      <c r="L115" s="361">
        <f>+IF($I115=L$3,VLOOKUP($H115,Depreciation!$A$6:$L$10,9,FALSE)/2,IF($I115&lt;L$3,VLOOKUP($H115,Depreciation!$A$6:$L$10,9,FALSE),0))</f>
        <v>1.5338181838063448E-2</v>
      </c>
      <c r="M115" s="361">
        <f>+IF($I115=M$3,VLOOKUP($H115,Depreciation!$A$6:$L$10,10,FALSE)/2,IF($I115&lt;M$3,VLOOKUP($H115,Depreciation!$A$6:$L$10,10,FALSE),0))</f>
        <v>3.0676363676126896E-2</v>
      </c>
      <c r="N115" s="361">
        <f>+IF($I115=N$3,VLOOKUP($H115,Depreciation!$A$6:$L$10,11,FALSE)/2,IF($I115&lt;N$3,VLOOKUP($H115,Depreciation!$A$6:$L$10,11,FALSE),0))</f>
        <v>3.0676363676126896E-2</v>
      </c>
      <c r="O115" s="361">
        <f>+IF($I115=O$3,VLOOKUP($H115,Depreciation!$A$6:$L$10,12,FALSE)/2,IF($I115&lt;O$3,VLOOKUP($H115,Depreciation!$A$6:$L$10,12,FALSE),0))</f>
        <v>3.0676363676126896E-2</v>
      </c>
      <c r="P115" s="362">
        <f t="shared" si="5"/>
        <v>132692.72538298965</v>
      </c>
      <c r="Q115" s="362">
        <f t="shared" si="6"/>
        <v>0</v>
      </c>
      <c r="R115" s="363">
        <f t="shared" si="7"/>
        <v>132692.72538298965</v>
      </c>
      <c r="Y115" s="365"/>
    </row>
    <row r="116" spans="1:25" ht="15" customHeight="1">
      <c r="A116" s="359" t="str">
        <f>'Func Future Lines 2015'!A116</f>
        <v>PPS</v>
      </c>
      <c r="B116" s="359" t="str">
        <f>'Func Future Lines 2015'!B116</f>
        <v>874L</v>
      </c>
      <c r="C116" s="359">
        <f>'Func Future Lines 2015'!C116</f>
        <v>850</v>
      </c>
      <c r="D116" s="359">
        <f>'Func Future Lines 2015'!D116</f>
        <v>138</v>
      </c>
      <c r="E116" s="359">
        <f>'Func Future Lines 2015'!E116</f>
        <v>0</v>
      </c>
      <c r="F116" s="359" t="str">
        <f>'Func Future Lines 2015'!F116</f>
        <v>edmonton</v>
      </c>
      <c r="G116" s="359">
        <f>'Func Future Lines 2015'!G116</f>
        <v>187987.90275759264</v>
      </c>
      <c r="H116" s="359" t="str">
        <f>'Func Future Lines 2015'!H116</f>
        <v>AltaLink</v>
      </c>
      <c r="I116" s="359">
        <f>'Func Future Lines 2015'!I116</f>
        <v>2017</v>
      </c>
      <c r="J116" s="361">
        <f>+IF($I116=J$3,VLOOKUP($H116,Depreciation!$A$6:$L$10,7,FALSE)/2,IF($I116&lt;J$3,VLOOKUP($H116,Depreciation!$A$6:$L$10,7,FALSE),0))</f>
        <v>0</v>
      </c>
      <c r="K116" s="361">
        <f>+IF($I116=K$3,VLOOKUP($H116,Depreciation!$A$6:$L$10,8,FALSE)/2,IF($I116&lt;K$3,VLOOKUP($H116,Depreciation!$A$6:$L$10,8,FALSE),0))</f>
        <v>0</v>
      </c>
      <c r="L116" s="361">
        <f>+IF($I116=L$3,VLOOKUP($H116,Depreciation!$A$6:$L$10,9,FALSE)/2,IF($I116&lt;L$3,VLOOKUP($H116,Depreciation!$A$6:$L$10,9,FALSE),0))</f>
        <v>1.5338181838063448E-2</v>
      </c>
      <c r="M116" s="361">
        <f>+IF($I116=M$3,VLOOKUP($H116,Depreciation!$A$6:$L$10,10,FALSE)/2,IF($I116&lt;M$3,VLOOKUP($H116,Depreciation!$A$6:$L$10,10,FALSE),0))</f>
        <v>3.0676363676126896E-2</v>
      </c>
      <c r="N116" s="361">
        <f>+IF($I116=N$3,VLOOKUP($H116,Depreciation!$A$6:$L$10,11,FALSE)/2,IF($I116&lt;N$3,VLOOKUP($H116,Depreciation!$A$6:$L$10,11,FALSE),0))</f>
        <v>3.0676363676126896E-2</v>
      </c>
      <c r="O116" s="361">
        <f>+IF($I116=O$3,VLOOKUP($H116,Depreciation!$A$6:$L$10,12,FALSE)/2,IF($I116&lt;O$3,VLOOKUP($H116,Depreciation!$A$6:$L$10,12,FALSE),0))</f>
        <v>3.0676363676126896E-2</v>
      </c>
      <c r="P116" s="362">
        <f t="shared" si="5"/>
        <v>179426.17685115465</v>
      </c>
      <c r="Q116" s="362">
        <f t="shared" si="6"/>
        <v>0</v>
      </c>
      <c r="R116" s="363">
        <f t="shared" si="7"/>
        <v>179426.17685115465</v>
      </c>
      <c r="Y116" s="365"/>
    </row>
    <row r="117" spans="1:25" ht="15" customHeight="1">
      <c r="A117" s="359" t="str">
        <f>'Func Future Lines 2015'!A117</f>
        <v>PPS</v>
      </c>
      <c r="B117" s="359" t="str">
        <f>'Func Future Lines 2015'!B117</f>
        <v>910L/914L</v>
      </c>
      <c r="C117" s="359">
        <f>'Func Future Lines 2015'!C117</f>
        <v>850</v>
      </c>
      <c r="D117" s="359">
        <f>'Func Future Lines 2015'!D117</f>
        <v>240</v>
      </c>
      <c r="E117" s="359">
        <f>'Func Future Lines 2015'!E117</f>
        <v>0</v>
      </c>
      <c r="F117" s="359" t="str">
        <f>'Func Future Lines 2015'!F117</f>
        <v>edmonton</v>
      </c>
      <c r="G117" s="359">
        <f>'Func Future Lines 2015'!G117</f>
        <v>14418523.778933475</v>
      </c>
      <c r="H117" s="359" t="str">
        <f>'Func Future Lines 2015'!H117</f>
        <v>AltaLink</v>
      </c>
      <c r="I117" s="359">
        <f>'Func Future Lines 2015'!I117</f>
        <v>2017</v>
      </c>
      <c r="J117" s="361">
        <f>+IF($I117=J$3,VLOOKUP($H117,Depreciation!$A$6:$L$10,7,FALSE)/2,IF($I117&lt;J$3,VLOOKUP($H117,Depreciation!$A$6:$L$10,7,FALSE),0))</f>
        <v>0</v>
      </c>
      <c r="K117" s="361">
        <f>+IF($I117=K$3,VLOOKUP($H117,Depreciation!$A$6:$L$10,8,FALSE)/2,IF($I117&lt;K$3,VLOOKUP($H117,Depreciation!$A$6:$L$10,8,FALSE),0))</f>
        <v>0</v>
      </c>
      <c r="L117" s="361">
        <f>+IF($I117=L$3,VLOOKUP($H117,Depreciation!$A$6:$L$10,9,FALSE)/2,IF($I117&lt;L$3,VLOOKUP($H117,Depreciation!$A$6:$L$10,9,FALSE),0))</f>
        <v>1.5338181838063448E-2</v>
      </c>
      <c r="M117" s="361">
        <f>+IF($I117=M$3,VLOOKUP($H117,Depreciation!$A$6:$L$10,10,FALSE)/2,IF($I117&lt;M$3,VLOOKUP($H117,Depreciation!$A$6:$L$10,10,FALSE),0))</f>
        <v>3.0676363676126896E-2</v>
      </c>
      <c r="N117" s="361">
        <f>+IF($I117=N$3,VLOOKUP($H117,Depreciation!$A$6:$L$10,11,FALSE)/2,IF($I117&lt;N$3,VLOOKUP($H117,Depreciation!$A$6:$L$10,11,FALSE),0))</f>
        <v>3.0676363676126896E-2</v>
      </c>
      <c r="O117" s="361">
        <f>+IF($I117=O$3,VLOOKUP($H117,Depreciation!$A$6:$L$10,12,FALSE)/2,IF($I117&lt;O$3,VLOOKUP($H117,Depreciation!$A$6:$L$10,12,FALSE),0))</f>
        <v>3.0676363676126896E-2</v>
      </c>
      <c r="P117" s="362">
        <f t="shared" si="5"/>
        <v>13761846.158938585</v>
      </c>
      <c r="Q117" s="362">
        <f t="shared" si="6"/>
        <v>13761846.158938585</v>
      </c>
      <c r="R117" s="363">
        <f t="shared" si="7"/>
        <v>0</v>
      </c>
      <c r="Y117" s="365"/>
    </row>
    <row r="118" spans="1:25" ht="15" customHeight="1">
      <c r="A118" s="359" t="str">
        <f>'Func Future Lines 2015'!A118</f>
        <v>PPS</v>
      </c>
      <c r="B118" s="359" t="str">
        <f>'Func Future Lines 2015'!B118</f>
        <v>2.83L</v>
      </c>
      <c r="C118" s="359">
        <f>'Func Future Lines 2015'!C118</f>
        <v>859</v>
      </c>
      <c r="D118" s="359">
        <f>'Func Future Lines 2015'!D118</f>
        <v>144</v>
      </c>
      <c r="E118" s="359">
        <f>'Func Future Lines 2015'!E118</f>
        <v>0</v>
      </c>
      <c r="F118" s="359">
        <f>'Func Future Lines 2015'!F118</f>
        <v>0</v>
      </c>
      <c r="G118" s="359">
        <f>'Func Future Lines 2015'!G118</f>
        <v>277558.40845329966</v>
      </c>
      <c r="H118" s="359" t="str">
        <f>'Func Future Lines 2015'!H118</f>
        <v>ENMAX</v>
      </c>
      <c r="I118" s="359">
        <f>'Func Future Lines 2015'!I118</f>
        <v>2015</v>
      </c>
      <c r="J118" s="361">
        <f>+IF($I118=J$3,VLOOKUP($H118,Depreciation!$A$6:$L$10,7,FALSE)/2,IF($I118&lt;J$3,VLOOKUP($H118,Depreciation!$A$6:$L$10,7,FALSE),0))</f>
        <v>1.3475179084025525E-2</v>
      </c>
      <c r="K118" s="361">
        <f>+IF($I118=K$3,VLOOKUP($H118,Depreciation!$A$6:$L$10,8,FALSE)/2,IF($I118&lt;K$3,VLOOKUP($H118,Depreciation!$A$6:$L$10,8,FALSE),0))</f>
        <v>2.6950358168051049E-2</v>
      </c>
      <c r="L118" s="361">
        <f>+IF($I118=L$3,VLOOKUP($H118,Depreciation!$A$6:$L$10,9,FALSE)/2,IF($I118&lt;L$3,VLOOKUP($H118,Depreciation!$A$6:$L$10,9,FALSE),0))</f>
        <v>2.6950358168051049E-2</v>
      </c>
      <c r="M118" s="361">
        <f>+IF($I118=M$3,VLOOKUP($H118,Depreciation!$A$6:$L$10,10,FALSE)/2,IF($I118&lt;M$3,VLOOKUP($H118,Depreciation!$A$6:$L$10,10,FALSE),0))</f>
        <v>2.6950358168051049E-2</v>
      </c>
      <c r="N118" s="361">
        <f>+IF($I118=N$3,VLOOKUP($H118,Depreciation!$A$6:$L$10,11,FALSE)/2,IF($I118&lt;N$3,VLOOKUP($H118,Depreciation!$A$6:$L$10,11,FALSE),0))</f>
        <v>2.6950358168051049E-2</v>
      </c>
      <c r="O118" s="361">
        <f>+IF($I118=O$3,VLOOKUP($H118,Depreciation!$A$6:$L$10,12,FALSE)/2,IF($I118&lt;O$3,VLOOKUP($H118,Depreciation!$A$6:$L$10,12,FALSE),0))</f>
        <v>2.6950358168051049E-2</v>
      </c>
      <c r="P118" s="362">
        <f t="shared" si="5"/>
        <v>252271.03934371119</v>
      </c>
      <c r="Q118" s="362">
        <f t="shared" si="6"/>
        <v>0</v>
      </c>
      <c r="R118" s="363">
        <f t="shared" si="7"/>
        <v>252271.03934371119</v>
      </c>
      <c r="Y118" s="365"/>
    </row>
    <row r="119" spans="1:25" ht="15" customHeight="1">
      <c r="A119" s="359" t="str">
        <f>'Func Future Lines 2015'!A119</f>
        <v>PPS</v>
      </c>
      <c r="B119" s="359" t="str">
        <f>'Func Future Lines 2015'!B119</f>
        <v>1037L/1038L</v>
      </c>
      <c r="C119" s="359">
        <f>'Func Future Lines 2015'!C119</f>
        <v>882</v>
      </c>
      <c r="D119" s="359">
        <f>'Func Future Lines 2015'!D119</f>
        <v>240</v>
      </c>
      <c r="E119" s="359">
        <f>'Func Future Lines 2015'!E119</f>
        <v>0</v>
      </c>
      <c r="F119" s="359">
        <f>'Func Future Lines 2015'!F119</f>
        <v>0</v>
      </c>
      <c r="G119" s="359">
        <f>'Func Future Lines 2015'!G119</f>
        <v>175713694.57219195</v>
      </c>
      <c r="H119" s="359" t="str">
        <f>'Func Future Lines 2015'!H119</f>
        <v>AltaLink</v>
      </c>
      <c r="I119" s="359">
        <f>'Func Future Lines 2015'!I119</f>
        <v>2015</v>
      </c>
      <c r="J119" s="361">
        <f>+IF($I119=J$3,VLOOKUP($H119,Depreciation!$A$6:$L$10,7,FALSE)/2,IF($I119&lt;J$3,VLOOKUP($H119,Depreciation!$A$6:$L$10,7,FALSE),0))</f>
        <v>1.595020804044691E-2</v>
      </c>
      <c r="K119" s="361">
        <f>+IF($I119=K$3,VLOOKUP($H119,Depreciation!$A$6:$L$10,8,FALSE)/2,IF($I119&lt;K$3,VLOOKUP($H119,Depreciation!$A$6:$L$10,8,FALSE),0))</f>
        <v>3.0676363676126896E-2</v>
      </c>
      <c r="L119" s="361">
        <f>+IF($I119=L$3,VLOOKUP($H119,Depreciation!$A$6:$L$10,9,FALSE)/2,IF($I119&lt;L$3,VLOOKUP($H119,Depreciation!$A$6:$L$10,9,FALSE),0))</f>
        <v>3.0676363676126896E-2</v>
      </c>
      <c r="M119" s="361">
        <f>+IF($I119=M$3,VLOOKUP($H119,Depreciation!$A$6:$L$10,10,FALSE)/2,IF($I119&lt;M$3,VLOOKUP($H119,Depreciation!$A$6:$L$10,10,FALSE),0))</f>
        <v>3.0676363676126896E-2</v>
      </c>
      <c r="N119" s="361">
        <f>+IF($I119=N$3,VLOOKUP($H119,Depreciation!$A$6:$L$10,11,FALSE)/2,IF($I119&lt;N$3,VLOOKUP($H119,Depreciation!$A$6:$L$10,11,FALSE),0))</f>
        <v>3.0676363676126896E-2</v>
      </c>
      <c r="O119" s="361">
        <f>+IF($I119=O$3,VLOOKUP($H119,Depreciation!$A$6:$L$10,12,FALSE)/2,IF($I119&lt;O$3,VLOOKUP($H119,Depreciation!$A$6:$L$10,12,FALSE),0))</f>
        <v>3.0676363676126896E-2</v>
      </c>
      <c r="P119" s="362">
        <f t="shared" si="5"/>
        <v>157481336.83190721</v>
      </c>
      <c r="Q119" s="362">
        <f t="shared" si="6"/>
        <v>157481336.83190721</v>
      </c>
      <c r="R119" s="363">
        <f t="shared" si="7"/>
        <v>0</v>
      </c>
      <c r="Y119" s="365"/>
    </row>
    <row r="120" spans="1:25" ht="15" customHeight="1">
      <c r="A120" s="359" t="str">
        <f>'Func Future Lines 2015'!A120</f>
        <v>PPS</v>
      </c>
      <c r="B120" s="359" t="str">
        <f>'Func Future Lines 2015'!B120</f>
        <v>1037L/1038L</v>
      </c>
      <c r="C120" s="359">
        <f>'Func Future Lines 2015'!C120</f>
        <v>882</v>
      </c>
      <c r="D120" s="359">
        <f>'Func Future Lines 2015'!D120</f>
        <v>240</v>
      </c>
      <c r="E120" s="359">
        <f>'Func Future Lines 2015'!E120</f>
        <v>0</v>
      </c>
      <c r="F120" s="359">
        <f>'Func Future Lines 2015'!F120</f>
        <v>0</v>
      </c>
      <c r="G120" s="359">
        <f>'Func Future Lines 2015'!G120</f>
        <v>175713694.57219195</v>
      </c>
      <c r="H120" s="359" t="str">
        <f>'Func Future Lines 2015'!H120</f>
        <v>AltaLink</v>
      </c>
      <c r="I120" s="359">
        <f>'Func Future Lines 2015'!I120</f>
        <v>2015</v>
      </c>
      <c r="J120" s="361">
        <f>+IF($I120=J$3,VLOOKUP($H120,Depreciation!$A$6:$L$10,7,FALSE)/2,IF($I120&lt;J$3,VLOOKUP($H120,Depreciation!$A$6:$L$10,7,FALSE),0))</f>
        <v>1.595020804044691E-2</v>
      </c>
      <c r="K120" s="361">
        <f>+IF($I120=K$3,VLOOKUP($H120,Depreciation!$A$6:$L$10,8,FALSE)/2,IF($I120&lt;K$3,VLOOKUP($H120,Depreciation!$A$6:$L$10,8,FALSE),0))</f>
        <v>3.0676363676126896E-2</v>
      </c>
      <c r="L120" s="361">
        <f>+IF($I120=L$3,VLOOKUP($H120,Depreciation!$A$6:$L$10,9,FALSE)/2,IF($I120&lt;L$3,VLOOKUP($H120,Depreciation!$A$6:$L$10,9,FALSE),0))</f>
        <v>3.0676363676126896E-2</v>
      </c>
      <c r="M120" s="361">
        <f>+IF($I120=M$3,VLOOKUP($H120,Depreciation!$A$6:$L$10,10,FALSE)/2,IF($I120&lt;M$3,VLOOKUP($H120,Depreciation!$A$6:$L$10,10,FALSE),0))</f>
        <v>3.0676363676126896E-2</v>
      </c>
      <c r="N120" s="361">
        <f>+IF($I120=N$3,VLOOKUP($H120,Depreciation!$A$6:$L$10,11,FALSE)/2,IF($I120&lt;N$3,VLOOKUP($H120,Depreciation!$A$6:$L$10,11,FALSE),0))</f>
        <v>3.0676363676126896E-2</v>
      </c>
      <c r="O120" s="361">
        <f>+IF($I120=O$3,VLOOKUP($H120,Depreciation!$A$6:$L$10,12,FALSE)/2,IF($I120&lt;O$3,VLOOKUP($H120,Depreciation!$A$6:$L$10,12,FALSE),0))</f>
        <v>3.0676363676126896E-2</v>
      </c>
      <c r="P120" s="362">
        <f t="shared" si="5"/>
        <v>157481336.83190721</v>
      </c>
      <c r="Q120" s="362">
        <f t="shared" si="6"/>
        <v>157481336.83190721</v>
      </c>
      <c r="R120" s="363">
        <f t="shared" si="7"/>
        <v>0</v>
      </c>
      <c r="Y120" s="365"/>
    </row>
    <row r="121" spans="1:25" ht="15" customHeight="1">
      <c r="A121" s="359" t="str">
        <f>'Func Future Lines 2015'!A121</f>
        <v>PPS</v>
      </c>
      <c r="B121" s="359" t="str">
        <f>'Func Future Lines 2015'!B121</f>
        <v>1048L/1049L</v>
      </c>
      <c r="C121" s="359">
        <f>'Func Future Lines 2015'!C121</f>
        <v>882</v>
      </c>
      <c r="D121" s="359">
        <f>'Func Future Lines 2015'!D121</f>
        <v>240</v>
      </c>
      <c r="E121" s="359">
        <f>'Func Future Lines 2015'!E121</f>
        <v>0</v>
      </c>
      <c r="F121" s="359">
        <f>'Func Future Lines 2015'!F121</f>
        <v>0</v>
      </c>
      <c r="G121" s="359">
        <f>'Func Future Lines 2015'!G121</f>
        <v>1408640.4351352858</v>
      </c>
      <c r="H121" s="359" t="str">
        <f>'Func Future Lines 2015'!H121</f>
        <v>AltaLink</v>
      </c>
      <c r="I121" s="359">
        <f>'Func Future Lines 2015'!I121</f>
        <v>2015</v>
      </c>
      <c r="J121" s="361">
        <f>+IF($I121=J$3,VLOOKUP($H121,Depreciation!$A$6:$L$10,7,FALSE)/2,IF($I121&lt;J$3,VLOOKUP($H121,Depreciation!$A$6:$L$10,7,FALSE),0))</f>
        <v>1.595020804044691E-2</v>
      </c>
      <c r="K121" s="361">
        <f>+IF($I121=K$3,VLOOKUP($H121,Depreciation!$A$6:$L$10,8,FALSE)/2,IF($I121&lt;K$3,VLOOKUP($H121,Depreciation!$A$6:$L$10,8,FALSE),0))</f>
        <v>3.0676363676126896E-2</v>
      </c>
      <c r="L121" s="361">
        <f>+IF($I121=L$3,VLOOKUP($H121,Depreciation!$A$6:$L$10,9,FALSE)/2,IF($I121&lt;L$3,VLOOKUP($H121,Depreciation!$A$6:$L$10,9,FALSE),0))</f>
        <v>3.0676363676126896E-2</v>
      </c>
      <c r="M121" s="361">
        <f>+IF($I121=M$3,VLOOKUP($H121,Depreciation!$A$6:$L$10,10,FALSE)/2,IF($I121&lt;M$3,VLOOKUP($H121,Depreciation!$A$6:$L$10,10,FALSE),0))</f>
        <v>3.0676363676126896E-2</v>
      </c>
      <c r="N121" s="361">
        <f>+IF($I121=N$3,VLOOKUP($H121,Depreciation!$A$6:$L$10,11,FALSE)/2,IF($I121&lt;N$3,VLOOKUP($H121,Depreciation!$A$6:$L$10,11,FALSE),0))</f>
        <v>3.0676363676126896E-2</v>
      </c>
      <c r="O121" s="361">
        <f>+IF($I121=O$3,VLOOKUP($H121,Depreciation!$A$6:$L$10,12,FALSE)/2,IF($I121&lt;O$3,VLOOKUP($H121,Depreciation!$A$6:$L$10,12,FALSE),0))</f>
        <v>3.0676363676126896E-2</v>
      </c>
      <c r="P121" s="362">
        <f t="shared" si="5"/>
        <v>1262477.4601699787</v>
      </c>
      <c r="Q121" s="362">
        <f t="shared" si="6"/>
        <v>1262477.4601699787</v>
      </c>
      <c r="R121" s="363">
        <f t="shared" si="7"/>
        <v>0</v>
      </c>
      <c r="Y121" s="365"/>
    </row>
    <row r="122" spans="1:25" ht="15" customHeight="1">
      <c r="A122" s="359" t="str">
        <f>'Func Future Lines 2015'!A122</f>
        <v>PPS</v>
      </c>
      <c r="B122" s="359" t="str">
        <f>'Func Future Lines 2015'!B122</f>
        <v>1048L/1049L</v>
      </c>
      <c r="C122" s="359">
        <f>'Func Future Lines 2015'!C122</f>
        <v>882</v>
      </c>
      <c r="D122" s="359">
        <f>'Func Future Lines 2015'!D122</f>
        <v>240</v>
      </c>
      <c r="E122" s="359">
        <f>'Func Future Lines 2015'!E122</f>
        <v>0</v>
      </c>
      <c r="F122" s="359">
        <f>'Func Future Lines 2015'!F122</f>
        <v>0</v>
      </c>
      <c r="G122" s="359">
        <f>'Func Future Lines 2015'!G122</f>
        <v>1408640.4351352858</v>
      </c>
      <c r="H122" s="359" t="str">
        <f>'Func Future Lines 2015'!H122</f>
        <v>AltaLink</v>
      </c>
      <c r="I122" s="359">
        <f>'Func Future Lines 2015'!I122</f>
        <v>2015</v>
      </c>
      <c r="J122" s="361">
        <f>+IF($I122=J$3,VLOOKUP($H122,Depreciation!$A$6:$L$10,7,FALSE)/2,IF($I122&lt;J$3,VLOOKUP($H122,Depreciation!$A$6:$L$10,7,FALSE),0))</f>
        <v>1.595020804044691E-2</v>
      </c>
      <c r="K122" s="361">
        <f>+IF($I122=K$3,VLOOKUP($H122,Depreciation!$A$6:$L$10,8,FALSE)/2,IF($I122&lt;K$3,VLOOKUP($H122,Depreciation!$A$6:$L$10,8,FALSE),0))</f>
        <v>3.0676363676126896E-2</v>
      </c>
      <c r="L122" s="361">
        <f>+IF($I122=L$3,VLOOKUP($H122,Depreciation!$A$6:$L$10,9,FALSE)/2,IF($I122&lt;L$3,VLOOKUP($H122,Depreciation!$A$6:$L$10,9,FALSE),0))</f>
        <v>3.0676363676126896E-2</v>
      </c>
      <c r="M122" s="361">
        <f>+IF($I122=M$3,VLOOKUP($H122,Depreciation!$A$6:$L$10,10,FALSE)/2,IF($I122&lt;M$3,VLOOKUP($H122,Depreciation!$A$6:$L$10,10,FALSE),0))</f>
        <v>3.0676363676126896E-2</v>
      </c>
      <c r="N122" s="361">
        <f>+IF($I122=N$3,VLOOKUP($H122,Depreciation!$A$6:$L$10,11,FALSE)/2,IF($I122&lt;N$3,VLOOKUP($H122,Depreciation!$A$6:$L$10,11,FALSE),0))</f>
        <v>3.0676363676126896E-2</v>
      </c>
      <c r="O122" s="361">
        <f>+IF($I122=O$3,VLOOKUP($H122,Depreciation!$A$6:$L$10,12,FALSE)/2,IF($I122&lt;O$3,VLOOKUP($H122,Depreciation!$A$6:$L$10,12,FALSE),0))</f>
        <v>3.0676363676126896E-2</v>
      </c>
      <c r="P122" s="362">
        <f t="shared" si="5"/>
        <v>1262477.4601699787</v>
      </c>
      <c r="Q122" s="362">
        <f t="shared" si="6"/>
        <v>1262477.4601699787</v>
      </c>
      <c r="R122" s="363">
        <f t="shared" si="7"/>
        <v>0</v>
      </c>
      <c r="Y122" s="365"/>
    </row>
    <row r="123" spans="1:25" ht="15" customHeight="1">
      <c r="A123" s="359" t="str">
        <f>'Func Future Lines 2015'!A123</f>
        <v>PPS</v>
      </c>
      <c r="B123" s="359" t="str">
        <f>'Func Future Lines 2015'!B123</f>
        <v>603L to Windy Flats 138S</v>
      </c>
      <c r="C123" s="359">
        <f>'Func Future Lines 2015'!C123</f>
        <v>882</v>
      </c>
      <c r="D123" s="359">
        <f>'Func Future Lines 2015'!D123</f>
        <v>138</v>
      </c>
      <c r="E123" s="359">
        <f>'Func Future Lines 2015'!E123</f>
        <v>0</v>
      </c>
      <c r="F123" s="359">
        <f>'Func Future Lines 2015'!F123</f>
        <v>0</v>
      </c>
      <c r="G123" s="359">
        <f>'Func Future Lines 2015'!G123</f>
        <v>408645.45604728005</v>
      </c>
      <c r="H123" s="359" t="str">
        <f>'Func Future Lines 2015'!H123</f>
        <v>AltaLink</v>
      </c>
      <c r="I123" s="359">
        <f>'Func Future Lines 2015'!I123</f>
        <v>2015</v>
      </c>
      <c r="J123" s="361">
        <f>+IF($I123=J$3,VLOOKUP($H123,Depreciation!$A$6:$L$10,7,FALSE)/2,IF($I123&lt;J$3,VLOOKUP($H123,Depreciation!$A$6:$L$10,7,FALSE),0))</f>
        <v>1.595020804044691E-2</v>
      </c>
      <c r="K123" s="361">
        <f>+IF($I123=K$3,VLOOKUP($H123,Depreciation!$A$6:$L$10,8,FALSE)/2,IF($I123&lt;K$3,VLOOKUP($H123,Depreciation!$A$6:$L$10,8,FALSE),0))</f>
        <v>3.0676363676126896E-2</v>
      </c>
      <c r="L123" s="361">
        <f>+IF($I123=L$3,VLOOKUP($H123,Depreciation!$A$6:$L$10,9,FALSE)/2,IF($I123&lt;L$3,VLOOKUP($H123,Depreciation!$A$6:$L$10,9,FALSE),0))</f>
        <v>3.0676363676126896E-2</v>
      </c>
      <c r="M123" s="361">
        <f>+IF($I123=M$3,VLOOKUP($H123,Depreciation!$A$6:$L$10,10,FALSE)/2,IF($I123&lt;M$3,VLOOKUP($H123,Depreciation!$A$6:$L$10,10,FALSE),0))</f>
        <v>3.0676363676126896E-2</v>
      </c>
      <c r="N123" s="361">
        <f>+IF($I123=N$3,VLOOKUP($H123,Depreciation!$A$6:$L$10,11,FALSE)/2,IF($I123&lt;N$3,VLOOKUP($H123,Depreciation!$A$6:$L$10,11,FALSE),0))</f>
        <v>3.0676363676126896E-2</v>
      </c>
      <c r="O123" s="361">
        <f>+IF($I123=O$3,VLOOKUP($H123,Depreciation!$A$6:$L$10,12,FALSE)/2,IF($I123&lt;O$3,VLOOKUP($H123,Depreciation!$A$6:$L$10,12,FALSE),0))</f>
        <v>3.0676363676126896E-2</v>
      </c>
      <c r="P123" s="362">
        <f t="shared" si="5"/>
        <v>366243.69469489588</v>
      </c>
      <c r="Q123" s="362">
        <f t="shared" si="6"/>
        <v>0</v>
      </c>
      <c r="R123" s="363">
        <f t="shared" si="7"/>
        <v>366243.69469489588</v>
      </c>
      <c r="Y123" s="365"/>
    </row>
    <row r="124" spans="1:25" ht="15" customHeight="1">
      <c r="A124" s="359" t="str">
        <f>'Func Future Lines 2015'!A124</f>
        <v>PPS</v>
      </c>
      <c r="B124" s="359" t="str">
        <f>'Func Future Lines 2015'!B124</f>
        <v xml:space="preserve">608L - 138kV both s/c and d/c </v>
      </c>
      <c r="C124" s="359">
        <f>'Func Future Lines 2015'!C124</f>
        <v>882</v>
      </c>
      <c r="D124" s="359">
        <f>'Func Future Lines 2015'!D124</f>
        <v>138</v>
      </c>
      <c r="E124" s="359">
        <f>'Func Future Lines 2015'!E124</f>
        <v>0</v>
      </c>
      <c r="F124" s="359">
        <f>'Func Future Lines 2015'!F124</f>
        <v>0</v>
      </c>
      <c r="G124" s="359">
        <f>'Func Future Lines 2015'!G124</f>
        <v>6799479.65835247</v>
      </c>
      <c r="H124" s="359" t="str">
        <f>'Func Future Lines 2015'!H124</f>
        <v>AltaLink</v>
      </c>
      <c r="I124" s="359">
        <f>'Func Future Lines 2015'!I124</f>
        <v>2015</v>
      </c>
      <c r="J124" s="361">
        <f>+IF($I124=J$3,VLOOKUP($H124,Depreciation!$A$6:$L$10,7,FALSE)/2,IF($I124&lt;J$3,VLOOKUP($H124,Depreciation!$A$6:$L$10,7,FALSE),0))</f>
        <v>1.595020804044691E-2</v>
      </c>
      <c r="K124" s="361">
        <f>+IF($I124=K$3,VLOOKUP($H124,Depreciation!$A$6:$L$10,8,FALSE)/2,IF($I124&lt;K$3,VLOOKUP($H124,Depreciation!$A$6:$L$10,8,FALSE),0))</f>
        <v>3.0676363676126896E-2</v>
      </c>
      <c r="L124" s="361">
        <f>+IF($I124=L$3,VLOOKUP($H124,Depreciation!$A$6:$L$10,9,FALSE)/2,IF($I124&lt;L$3,VLOOKUP($H124,Depreciation!$A$6:$L$10,9,FALSE),0))</f>
        <v>3.0676363676126896E-2</v>
      </c>
      <c r="M124" s="361">
        <f>+IF($I124=M$3,VLOOKUP($H124,Depreciation!$A$6:$L$10,10,FALSE)/2,IF($I124&lt;M$3,VLOOKUP($H124,Depreciation!$A$6:$L$10,10,FALSE),0))</f>
        <v>3.0676363676126896E-2</v>
      </c>
      <c r="N124" s="361">
        <f>+IF($I124=N$3,VLOOKUP($H124,Depreciation!$A$6:$L$10,11,FALSE)/2,IF($I124&lt;N$3,VLOOKUP($H124,Depreciation!$A$6:$L$10,11,FALSE),0))</f>
        <v>3.0676363676126896E-2</v>
      </c>
      <c r="O124" s="361">
        <f>+IF($I124=O$3,VLOOKUP($H124,Depreciation!$A$6:$L$10,12,FALSE)/2,IF($I124&lt;O$3,VLOOKUP($H124,Depreciation!$A$6:$L$10,12,FALSE),0))</f>
        <v>3.0676363676126896E-2</v>
      </c>
      <c r="P124" s="362">
        <f t="shared" si="5"/>
        <v>6093953.854682466</v>
      </c>
      <c r="Q124" s="362">
        <f t="shared" si="6"/>
        <v>0</v>
      </c>
      <c r="R124" s="363">
        <f t="shared" si="7"/>
        <v>6093953.854682466</v>
      </c>
      <c r="Y124" s="365"/>
    </row>
    <row r="125" spans="1:25" ht="15" customHeight="1">
      <c r="A125" s="359" t="str">
        <f>'Func Future Lines 2015'!A125</f>
        <v>PPS</v>
      </c>
      <c r="B125" s="359" t="str">
        <f>'Func Future Lines 2015'!B125</f>
        <v>608L - d/c 725BL</v>
      </c>
      <c r="C125" s="359">
        <f>'Func Future Lines 2015'!C125</f>
        <v>882</v>
      </c>
      <c r="D125" s="359">
        <f>'Func Future Lines 2015'!D125</f>
        <v>138</v>
      </c>
      <c r="E125" s="359">
        <f>'Func Future Lines 2015'!E125</f>
        <v>0</v>
      </c>
      <c r="F125" s="359">
        <f>'Func Future Lines 2015'!F125</f>
        <v>0</v>
      </c>
      <c r="G125" s="359">
        <f>'Func Future Lines 2015'!G125</f>
        <v>2371991.3149319356</v>
      </c>
      <c r="H125" s="359" t="str">
        <f>'Func Future Lines 2015'!H125</f>
        <v>AltaLink</v>
      </c>
      <c r="I125" s="359">
        <f>'Func Future Lines 2015'!I125</f>
        <v>2015</v>
      </c>
      <c r="J125" s="361">
        <f>+IF($I125=J$3,VLOOKUP($H125,Depreciation!$A$6:$L$10,7,FALSE)/2,IF($I125&lt;J$3,VLOOKUP($H125,Depreciation!$A$6:$L$10,7,FALSE),0))</f>
        <v>1.595020804044691E-2</v>
      </c>
      <c r="K125" s="361">
        <f>+IF($I125=K$3,VLOOKUP($H125,Depreciation!$A$6:$L$10,8,FALSE)/2,IF($I125&lt;K$3,VLOOKUP($H125,Depreciation!$A$6:$L$10,8,FALSE),0))</f>
        <v>3.0676363676126896E-2</v>
      </c>
      <c r="L125" s="361">
        <f>+IF($I125=L$3,VLOOKUP($H125,Depreciation!$A$6:$L$10,9,FALSE)/2,IF($I125&lt;L$3,VLOOKUP($H125,Depreciation!$A$6:$L$10,9,FALSE),0))</f>
        <v>3.0676363676126896E-2</v>
      </c>
      <c r="M125" s="361">
        <f>+IF($I125=M$3,VLOOKUP($H125,Depreciation!$A$6:$L$10,10,FALSE)/2,IF($I125&lt;M$3,VLOOKUP($H125,Depreciation!$A$6:$L$10,10,FALSE),0))</f>
        <v>3.0676363676126896E-2</v>
      </c>
      <c r="N125" s="361">
        <f>+IF($I125=N$3,VLOOKUP($H125,Depreciation!$A$6:$L$10,11,FALSE)/2,IF($I125&lt;N$3,VLOOKUP($H125,Depreciation!$A$6:$L$10,11,FALSE),0))</f>
        <v>3.0676363676126896E-2</v>
      </c>
      <c r="O125" s="361">
        <f>+IF($I125=O$3,VLOOKUP($H125,Depreciation!$A$6:$L$10,12,FALSE)/2,IF($I125&lt;O$3,VLOOKUP($H125,Depreciation!$A$6:$L$10,12,FALSE),0))</f>
        <v>3.0676363676126896E-2</v>
      </c>
      <c r="P125" s="362">
        <f t="shared" si="5"/>
        <v>2125869.3816587185</v>
      </c>
      <c r="Q125" s="362">
        <f t="shared" si="6"/>
        <v>0</v>
      </c>
      <c r="R125" s="363">
        <f t="shared" si="7"/>
        <v>2125869.3816587185</v>
      </c>
      <c r="Y125" s="365"/>
    </row>
    <row r="126" spans="1:25" ht="15" customHeight="1">
      <c r="A126" s="359" t="str">
        <f>'Func Future Lines 2015'!A126</f>
        <v>PPS</v>
      </c>
      <c r="B126" s="359" t="str">
        <f>'Func Future Lines 2015'!B126</f>
        <v>911L By-Pass</v>
      </c>
      <c r="C126" s="359">
        <f>'Func Future Lines 2015'!C126</f>
        <v>882</v>
      </c>
      <c r="D126" s="359">
        <f>'Func Future Lines 2015'!D126</f>
        <v>240</v>
      </c>
      <c r="E126" s="359">
        <f>'Func Future Lines 2015'!E126</f>
        <v>0</v>
      </c>
      <c r="F126" s="359">
        <f>'Func Future Lines 2015'!F126</f>
        <v>0</v>
      </c>
      <c r="G126" s="359">
        <f>'Func Future Lines 2015'!G126</f>
        <v>11928878.215178415</v>
      </c>
      <c r="H126" s="359" t="str">
        <f>'Func Future Lines 2015'!H126</f>
        <v>AltaLink</v>
      </c>
      <c r="I126" s="359">
        <f>'Func Future Lines 2015'!I126</f>
        <v>2015</v>
      </c>
      <c r="J126" s="361">
        <f>+IF($I126=J$3,VLOOKUP($H126,Depreciation!$A$6:$L$10,7,FALSE)/2,IF($I126&lt;J$3,VLOOKUP($H126,Depreciation!$A$6:$L$10,7,FALSE),0))</f>
        <v>1.595020804044691E-2</v>
      </c>
      <c r="K126" s="361">
        <f>+IF($I126=K$3,VLOOKUP($H126,Depreciation!$A$6:$L$10,8,FALSE)/2,IF($I126&lt;K$3,VLOOKUP($H126,Depreciation!$A$6:$L$10,8,FALSE),0))</f>
        <v>3.0676363676126896E-2</v>
      </c>
      <c r="L126" s="361">
        <f>+IF($I126=L$3,VLOOKUP($H126,Depreciation!$A$6:$L$10,9,FALSE)/2,IF($I126&lt;L$3,VLOOKUP($H126,Depreciation!$A$6:$L$10,9,FALSE),0))</f>
        <v>3.0676363676126896E-2</v>
      </c>
      <c r="M126" s="361">
        <f>+IF($I126=M$3,VLOOKUP($H126,Depreciation!$A$6:$L$10,10,FALSE)/2,IF($I126&lt;M$3,VLOOKUP($H126,Depreciation!$A$6:$L$10,10,FALSE),0))</f>
        <v>3.0676363676126896E-2</v>
      </c>
      <c r="N126" s="361">
        <f>+IF($I126=N$3,VLOOKUP($H126,Depreciation!$A$6:$L$10,11,FALSE)/2,IF($I126&lt;N$3,VLOOKUP($H126,Depreciation!$A$6:$L$10,11,FALSE),0))</f>
        <v>3.0676363676126896E-2</v>
      </c>
      <c r="O126" s="361">
        <f>+IF($I126=O$3,VLOOKUP($H126,Depreciation!$A$6:$L$10,12,FALSE)/2,IF($I126&lt;O$3,VLOOKUP($H126,Depreciation!$A$6:$L$10,12,FALSE),0))</f>
        <v>3.0676363676126896E-2</v>
      </c>
      <c r="P126" s="362">
        <f t="shared" si="5"/>
        <v>10691117.119841218</v>
      </c>
      <c r="Q126" s="362">
        <f t="shared" si="6"/>
        <v>10691117.119841218</v>
      </c>
      <c r="R126" s="363">
        <f t="shared" si="7"/>
        <v>0</v>
      </c>
      <c r="Y126" s="365"/>
    </row>
    <row r="127" spans="1:25" ht="15" customHeight="1">
      <c r="A127" s="359" t="str">
        <f>'Func Future Lines 2015'!A127</f>
        <v>PPS</v>
      </c>
      <c r="B127" s="359" t="str">
        <f>'Func Future Lines 2015'!B127</f>
        <v>911L Crossing</v>
      </c>
      <c r="C127" s="359">
        <f>'Func Future Lines 2015'!C127</f>
        <v>882</v>
      </c>
      <c r="D127" s="359">
        <f>'Func Future Lines 2015'!D127</f>
        <v>240</v>
      </c>
      <c r="E127" s="359">
        <f>'Func Future Lines 2015'!E127</f>
        <v>0</v>
      </c>
      <c r="F127" s="359">
        <f>'Func Future Lines 2015'!F127</f>
        <v>0</v>
      </c>
      <c r="G127" s="359">
        <f>'Func Future Lines 2015'!G127</f>
        <v>4366097.6160243107</v>
      </c>
      <c r="H127" s="359" t="str">
        <f>'Func Future Lines 2015'!H127</f>
        <v>AltaLink</v>
      </c>
      <c r="I127" s="359">
        <f>'Func Future Lines 2015'!I127</f>
        <v>2015</v>
      </c>
      <c r="J127" s="361">
        <f>+IF($I127=J$3,VLOOKUP($H127,Depreciation!$A$6:$L$10,7,FALSE)/2,IF($I127&lt;J$3,VLOOKUP($H127,Depreciation!$A$6:$L$10,7,FALSE),0))</f>
        <v>1.595020804044691E-2</v>
      </c>
      <c r="K127" s="361">
        <f>+IF($I127=K$3,VLOOKUP($H127,Depreciation!$A$6:$L$10,8,FALSE)/2,IF($I127&lt;K$3,VLOOKUP($H127,Depreciation!$A$6:$L$10,8,FALSE),0))</f>
        <v>3.0676363676126896E-2</v>
      </c>
      <c r="L127" s="361">
        <f>+IF($I127=L$3,VLOOKUP($H127,Depreciation!$A$6:$L$10,9,FALSE)/2,IF($I127&lt;L$3,VLOOKUP($H127,Depreciation!$A$6:$L$10,9,FALSE),0))</f>
        <v>3.0676363676126896E-2</v>
      </c>
      <c r="M127" s="361">
        <f>+IF($I127=M$3,VLOOKUP($H127,Depreciation!$A$6:$L$10,10,FALSE)/2,IF($I127&lt;M$3,VLOOKUP($H127,Depreciation!$A$6:$L$10,10,FALSE),0))</f>
        <v>3.0676363676126896E-2</v>
      </c>
      <c r="N127" s="361">
        <f>+IF($I127=N$3,VLOOKUP($H127,Depreciation!$A$6:$L$10,11,FALSE)/2,IF($I127&lt;N$3,VLOOKUP($H127,Depreciation!$A$6:$L$10,11,FALSE),0))</f>
        <v>3.0676363676126896E-2</v>
      </c>
      <c r="O127" s="361">
        <f>+IF($I127=O$3,VLOOKUP($H127,Depreciation!$A$6:$L$10,12,FALSE)/2,IF($I127&lt;O$3,VLOOKUP($H127,Depreciation!$A$6:$L$10,12,FALSE),0))</f>
        <v>3.0676363676126896E-2</v>
      </c>
      <c r="P127" s="362">
        <f t="shared" si="5"/>
        <v>3913063.7539899885</v>
      </c>
      <c r="Q127" s="362">
        <f t="shared" si="6"/>
        <v>3913063.7539899885</v>
      </c>
      <c r="R127" s="363">
        <f t="shared" si="7"/>
        <v>0</v>
      </c>
      <c r="Y127" s="365"/>
    </row>
    <row r="128" spans="1:25" ht="15" customHeight="1">
      <c r="A128" s="359" t="str">
        <f>'Func Future Lines 2015'!A128</f>
        <v>PPS</v>
      </c>
      <c r="B128" s="359" t="str">
        <f>'Func Future Lines 2015'!B128</f>
        <v>967L/968L</v>
      </c>
      <c r="C128" s="359">
        <f>'Func Future Lines 2015'!C128</f>
        <v>882</v>
      </c>
      <c r="D128" s="359">
        <f>'Func Future Lines 2015'!D128</f>
        <v>240</v>
      </c>
      <c r="E128" s="359">
        <f>'Func Future Lines 2015'!E128</f>
        <v>0</v>
      </c>
      <c r="F128" s="359">
        <f>'Func Future Lines 2015'!F128</f>
        <v>0</v>
      </c>
      <c r="G128" s="359">
        <f>'Func Future Lines 2015'!G128</f>
        <v>1457386.3381379189</v>
      </c>
      <c r="H128" s="359" t="str">
        <f>'Func Future Lines 2015'!H128</f>
        <v>AltaLink</v>
      </c>
      <c r="I128" s="359">
        <f>'Func Future Lines 2015'!I128</f>
        <v>2015</v>
      </c>
      <c r="J128" s="361">
        <f>+IF($I128=J$3,VLOOKUP($H128,Depreciation!$A$6:$L$10,7,FALSE)/2,IF($I128&lt;J$3,VLOOKUP($H128,Depreciation!$A$6:$L$10,7,FALSE),0))</f>
        <v>1.595020804044691E-2</v>
      </c>
      <c r="K128" s="361">
        <f>+IF($I128=K$3,VLOOKUP($H128,Depreciation!$A$6:$L$10,8,FALSE)/2,IF($I128&lt;K$3,VLOOKUP($H128,Depreciation!$A$6:$L$10,8,FALSE),0))</f>
        <v>3.0676363676126896E-2</v>
      </c>
      <c r="L128" s="361">
        <f>+IF($I128=L$3,VLOOKUP($H128,Depreciation!$A$6:$L$10,9,FALSE)/2,IF($I128&lt;L$3,VLOOKUP($H128,Depreciation!$A$6:$L$10,9,FALSE),0))</f>
        <v>3.0676363676126896E-2</v>
      </c>
      <c r="M128" s="361">
        <f>+IF($I128=M$3,VLOOKUP($H128,Depreciation!$A$6:$L$10,10,FALSE)/2,IF($I128&lt;M$3,VLOOKUP($H128,Depreciation!$A$6:$L$10,10,FALSE),0))</f>
        <v>3.0676363676126896E-2</v>
      </c>
      <c r="N128" s="361">
        <f>+IF($I128=N$3,VLOOKUP($H128,Depreciation!$A$6:$L$10,11,FALSE)/2,IF($I128&lt;N$3,VLOOKUP($H128,Depreciation!$A$6:$L$10,11,FALSE),0))</f>
        <v>3.0676363676126896E-2</v>
      </c>
      <c r="O128" s="361">
        <f>+IF($I128=O$3,VLOOKUP($H128,Depreciation!$A$6:$L$10,12,FALSE)/2,IF($I128&lt;O$3,VLOOKUP($H128,Depreciation!$A$6:$L$10,12,FALSE),0))</f>
        <v>3.0676363676126896E-2</v>
      </c>
      <c r="P128" s="362">
        <f t="shared" si="5"/>
        <v>1306165.4037228315</v>
      </c>
      <c r="Q128" s="362">
        <f t="shared" si="6"/>
        <v>1306165.4037228315</v>
      </c>
      <c r="R128" s="363">
        <f t="shared" si="7"/>
        <v>0</v>
      </c>
      <c r="Y128" s="365"/>
    </row>
    <row r="129" spans="1:25" ht="15" customHeight="1">
      <c r="A129" s="359" t="str">
        <f>'Func Future Lines 2015'!A129</f>
        <v>PPS</v>
      </c>
      <c r="B129" s="359" t="str">
        <f>'Func Future Lines 2015'!B129</f>
        <v>967L/968L</v>
      </c>
      <c r="C129" s="359">
        <f>'Func Future Lines 2015'!C129</f>
        <v>882</v>
      </c>
      <c r="D129" s="359">
        <f>'Func Future Lines 2015'!D129</f>
        <v>240</v>
      </c>
      <c r="E129" s="359">
        <f>'Func Future Lines 2015'!E129</f>
        <v>0</v>
      </c>
      <c r="F129" s="359">
        <f>'Func Future Lines 2015'!F129</f>
        <v>0</v>
      </c>
      <c r="G129" s="359">
        <f>'Func Future Lines 2015'!G129</f>
        <v>1445486.0678757485</v>
      </c>
      <c r="H129" s="359" t="str">
        <f>'Func Future Lines 2015'!H129</f>
        <v>AltaLink</v>
      </c>
      <c r="I129" s="359">
        <f>'Func Future Lines 2015'!I129</f>
        <v>2015</v>
      </c>
      <c r="J129" s="361">
        <f>+IF($I129=J$3,VLOOKUP($H129,Depreciation!$A$6:$L$10,7,FALSE)/2,IF($I129&lt;J$3,VLOOKUP($H129,Depreciation!$A$6:$L$10,7,FALSE),0))</f>
        <v>1.595020804044691E-2</v>
      </c>
      <c r="K129" s="361">
        <f>+IF($I129=K$3,VLOOKUP($H129,Depreciation!$A$6:$L$10,8,FALSE)/2,IF($I129&lt;K$3,VLOOKUP($H129,Depreciation!$A$6:$L$10,8,FALSE),0))</f>
        <v>3.0676363676126896E-2</v>
      </c>
      <c r="L129" s="361">
        <f>+IF($I129=L$3,VLOOKUP($H129,Depreciation!$A$6:$L$10,9,FALSE)/2,IF($I129&lt;L$3,VLOOKUP($H129,Depreciation!$A$6:$L$10,9,FALSE),0))</f>
        <v>3.0676363676126896E-2</v>
      </c>
      <c r="M129" s="361">
        <f>+IF($I129=M$3,VLOOKUP($H129,Depreciation!$A$6:$L$10,10,FALSE)/2,IF($I129&lt;M$3,VLOOKUP($H129,Depreciation!$A$6:$L$10,10,FALSE),0))</f>
        <v>3.0676363676126896E-2</v>
      </c>
      <c r="N129" s="361">
        <f>+IF($I129=N$3,VLOOKUP($H129,Depreciation!$A$6:$L$10,11,FALSE)/2,IF($I129&lt;N$3,VLOOKUP($H129,Depreciation!$A$6:$L$10,11,FALSE),0))</f>
        <v>3.0676363676126896E-2</v>
      </c>
      <c r="O129" s="361">
        <f>+IF($I129=O$3,VLOOKUP($H129,Depreciation!$A$6:$L$10,12,FALSE)/2,IF($I129&lt;O$3,VLOOKUP($H129,Depreciation!$A$6:$L$10,12,FALSE),0))</f>
        <v>3.0676363676126896E-2</v>
      </c>
      <c r="P129" s="362">
        <f t="shared" si="5"/>
        <v>1295499.9261451713</v>
      </c>
      <c r="Q129" s="362">
        <f t="shared" si="6"/>
        <v>1295499.9261451713</v>
      </c>
      <c r="R129" s="363">
        <f t="shared" si="7"/>
        <v>0</v>
      </c>
      <c r="Y129" s="365"/>
    </row>
    <row r="130" spans="1:25" ht="15" customHeight="1">
      <c r="A130" s="359" t="str">
        <f>'Func Future Lines 2015'!A130</f>
        <v>PPS</v>
      </c>
      <c r="B130" s="359" t="str">
        <f>'Func Future Lines 2015'!B130</f>
        <v>Connection of 603L to 138S - 603L</v>
      </c>
      <c r="C130" s="359">
        <f>'Func Future Lines 2015'!C130</f>
        <v>882</v>
      </c>
      <c r="D130" s="359">
        <f>'Func Future Lines 2015'!D130</f>
        <v>138</v>
      </c>
      <c r="E130" s="359">
        <f>'Func Future Lines 2015'!E130</f>
        <v>0</v>
      </c>
      <c r="F130" s="359">
        <f>'Func Future Lines 2015'!F130</f>
        <v>0</v>
      </c>
      <c r="G130" s="359">
        <f>'Func Future Lines 2015'!G130</f>
        <v>19309.423592515817</v>
      </c>
      <c r="H130" s="359" t="str">
        <f>'Func Future Lines 2015'!H130</f>
        <v>AltaLink</v>
      </c>
      <c r="I130" s="359">
        <f>'Func Future Lines 2015'!I130</f>
        <v>2015</v>
      </c>
      <c r="J130" s="361">
        <f>+IF($I130=J$3,VLOOKUP($H130,Depreciation!$A$6:$L$10,7,FALSE)/2,IF($I130&lt;J$3,VLOOKUP($H130,Depreciation!$A$6:$L$10,7,FALSE),0))</f>
        <v>1.595020804044691E-2</v>
      </c>
      <c r="K130" s="361">
        <f>+IF($I130=K$3,VLOOKUP($H130,Depreciation!$A$6:$L$10,8,FALSE)/2,IF($I130&lt;K$3,VLOOKUP($H130,Depreciation!$A$6:$L$10,8,FALSE),0))</f>
        <v>3.0676363676126896E-2</v>
      </c>
      <c r="L130" s="361">
        <f>+IF($I130=L$3,VLOOKUP($H130,Depreciation!$A$6:$L$10,9,FALSE)/2,IF($I130&lt;L$3,VLOOKUP($H130,Depreciation!$A$6:$L$10,9,FALSE),0))</f>
        <v>3.0676363676126896E-2</v>
      </c>
      <c r="M130" s="361">
        <f>+IF($I130=M$3,VLOOKUP($H130,Depreciation!$A$6:$L$10,10,FALSE)/2,IF($I130&lt;M$3,VLOOKUP($H130,Depreciation!$A$6:$L$10,10,FALSE),0))</f>
        <v>3.0676363676126896E-2</v>
      </c>
      <c r="N130" s="361">
        <f>+IF($I130=N$3,VLOOKUP($H130,Depreciation!$A$6:$L$10,11,FALSE)/2,IF($I130&lt;N$3,VLOOKUP($H130,Depreciation!$A$6:$L$10,11,FALSE),0))</f>
        <v>3.0676363676126896E-2</v>
      </c>
      <c r="O130" s="361">
        <f>+IF($I130=O$3,VLOOKUP($H130,Depreciation!$A$6:$L$10,12,FALSE)/2,IF($I130&lt;O$3,VLOOKUP($H130,Depreciation!$A$6:$L$10,12,FALSE),0))</f>
        <v>3.0676363676126896E-2</v>
      </c>
      <c r="P130" s="362">
        <f t="shared" si="5"/>
        <v>17305.844306595111</v>
      </c>
      <c r="Q130" s="362">
        <f t="shared" si="6"/>
        <v>0</v>
      </c>
      <c r="R130" s="363">
        <f t="shared" si="7"/>
        <v>17305.844306595111</v>
      </c>
      <c r="Y130" s="365"/>
    </row>
    <row r="131" spans="1:25" ht="15" customHeight="1">
      <c r="A131" s="359" t="str">
        <f>'Func Future Lines 2015'!A131</f>
        <v>PPS</v>
      </c>
      <c r="B131" s="359" t="str">
        <f>'Func Future Lines 2015'!B131</f>
        <v>Connection of 608L to 138S - 608AL</v>
      </c>
      <c r="C131" s="359">
        <f>'Func Future Lines 2015'!C131</f>
        <v>882</v>
      </c>
      <c r="D131" s="359">
        <f>'Func Future Lines 2015'!D131</f>
        <v>138</v>
      </c>
      <c r="E131" s="359">
        <f>'Func Future Lines 2015'!E131</f>
        <v>0</v>
      </c>
      <c r="F131" s="359">
        <f>'Func Future Lines 2015'!F131</f>
        <v>0</v>
      </c>
      <c r="G131" s="359">
        <f>'Func Future Lines 2015'!G131</f>
        <v>34179.513153324726</v>
      </c>
      <c r="H131" s="359" t="str">
        <f>'Func Future Lines 2015'!H131</f>
        <v>AltaLink</v>
      </c>
      <c r="I131" s="359">
        <f>'Func Future Lines 2015'!I131</f>
        <v>2015</v>
      </c>
      <c r="J131" s="361">
        <f>+IF($I131=J$3,VLOOKUP($H131,Depreciation!$A$6:$L$10,7,FALSE)/2,IF($I131&lt;J$3,VLOOKUP($H131,Depreciation!$A$6:$L$10,7,FALSE),0))</f>
        <v>1.595020804044691E-2</v>
      </c>
      <c r="K131" s="361">
        <f>+IF($I131=K$3,VLOOKUP($H131,Depreciation!$A$6:$L$10,8,FALSE)/2,IF($I131&lt;K$3,VLOOKUP($H131,Depreciation!$A$6:$L$10,8,FALSE),0))</f>
        <v>3.0676363676126896E-2</v>
      </c>
      <c r="L131" s="361">
        <f>+IF($I131=L$3,VLOOKUP($H131,Depreciation!$A$6:$L$10,9,FALSE)/2,IF($I131&lt;L$3,VLOOKUP($H131,Depreciation!$A$6:$L$10,9,FALSE),0))</f>
        <v>3.0676363676126896E-2</v>
      </c>
      <c r="M131" s="361">
        <f>+IF($I131=M$3,VLOOKUP($H131,Depreciation!$A$6:$L$10,10,FALSE)/2,IF($I131&lt;M$3,VLOOKUP($H131,Depreciation!$A$6:$L$10,10,FALSE),0))</f>
        <v>3.0676363676126896E-2</v>
      </c>
      <c r="N131" s="361">
        <f>+IF($I131=N$3,VLOOKUP($H131,Depreciation!$A$6:$L$10,11,FALSE)/2,IF($I131&lt;N$3,VLOOKUP($H131,Depreciation!$A$6:$L$10,11,FALSE),0))</f>
        <v>3.0676363676126896E-2</v>
      </c>
      <c r="O131" s="361">
        <f>+IF($I131=O$3,VLOOKUP($H131,Depreciation!$A$6:$L$10,12,FALSE)/2,IF($I131&lt;O$3,VLOOKUP($H131,Depreciation!$A$6:$L$10,12,FALSE),0))</f>
        <v>3.0676363676126896E-2</v>
      </c>
      <c r="P131" s="362">
        <f t="shared" si="5"/>
        <v>30632.987581044108</v>
      </c>
      <c r="Q131" s="362">
        <f t="shared" si="6"/>
        <v>0</v>
      </c>
      <c r="R131" s="363">
        <f t="shared" si="7"/>
        <v>30632.987581044108</v>
      </c>
      <c r="Y131" s="365"/>
    </row>
    <row r="132" spans="1:25" ht="15" customHeight="1">
      <c r="A132" s="359" t="str">
        <f>'Func Future Lines 2015'!A132</f>
        <v>PPS</v>
      </c>
      <c r="B132" s="359" t="str">
        <f>'Func Future Lines 2015'!B132</f>
        <v>600L</v>
      </c>
      <c r="C132" s="359">
        <f>'Func Future Lines 2015'!C132</f>
        <v>888</v>
      </c>
      <c r="D132" s="359">
        <f>'Func Future Lines 2015'!D132</f>
        <v>138</v>
      </c>
      <c r="E132" s="359">
        <f>'Func Future Lines 2015'!E132</f>
        <v>0</v>
      </c>
      <c r="F132" s="359" t="str">
        <f>'Func Future Lines 2015'!F132</f>
        <v>Medicine Hat</v>
      </c>
      <c r="G132" s="359">
        <f>'Func Future Lines 2015'!G132</f>
        <v>428091.81000980013</v>
      </c>
      <c r="H132" s="359" t="str">
        <f>'Func Future Lines 2015'!H132</f>
        <v>AltaLink</v>
      </c>
      <c r="I132" s="359">
        <f>'Func Future Lines 2015'!I132</f>
        <v>2016</v>
      </c>
      <c r="J132" s="361">
        <f>+IF($I132=J$3,VLOOKUP($H132,Depreciation!$A$6:$L$10,7,FALSE)/2,IF($I132&lt;J$3,VLOOKUP($H132,Depreciation!$A$6:$L$10,7,FALSE),0))</f>
        <v>0</v>
      </c>
      <c r="K132" s="361">
        <f>+IF($I132=K$3,VLOOKUP($H132,Depreciation!$A$6:$L$10,8,FALSE)/2,IF($I132&lt;K$3,VLOOKUP($H132,Depreciation!$A$6:$L$10,8,FALSE),0))</f>
        <v>1.5338181838063448E-2</v>
      </c>
      <c r="L132" s="361">
        <f>+IF($I132=L$3,VLOOKUP($H132,Depreciation!$A$6:$L$10,9,FALSE)/2,IF($I132&lt;L$3,VLOOKUP($H132,Depreciation!$A$6:$L$10,9,FALSE),0))</f>
        <v>3.0676363676126896E-2</v>
      </c>
      <c r="M132" s="361">
        <f>+IF($I132=M$3,VLOOKUP($H132,Depreciation!$A$6:$L$10,10,FALSE)/2,IF($I132&lt;M$3,VLOOKUP($H132,Depreciation!$A$6:$L$10,10,FALSE),0))</f>
        <v>3.0676363676126896E-2</v>
      </c>
      <c r="N132" s="361">
        <f>+IF($I132=N$3,VLOOKUP($H132,Depreciation!$A$6:$L$10,11,FALSE)/2,IF($I132&lt;N$3,VLOOKUP($H132,Depreciation!$A$6:$L$10,11,FALSE),0))</f>
        <v>3.0676363676126896E-2</v>
      </c>
      <c r="O132" s="361">
        <f>+IF($I132=O$3,VLOOKUP($H132,Depreciation!$A$6:$L$10,12,FALSE)/2,IF($I132&lt;O$3,VLOOKUP($H132,Depreciation!$A$6:$L$10,12,FALSE),0))</f>
        <v>3.0676363676126896E-2</v>
      </c>
      <c r="P132" s="362">
        <f t="shared" si="5"/>
        <v>396060.5833025871</v>
      </c>
      <c r="Q132" s="362">
        <f t="shared" si="6"/>
        <v>0</v>
      </c>
      <c r="R132" s="363">
        <f t="shared" si="7"/>
        <v>396060.5833025871</v>
      </c>
      <c r="Y132" s="365"/>
    </row>
    <row r="133" spans="1:25" ht="15" customHeight="1">
      <c r="A133" s="359" t="str">
        <f>'Func Future Lines 2015'!A133</f>
        <v>PPS</v>
      </c>
      <c r="B133" s="359" t="str">
        <f>'Func Future Lines 2015'!B133</f>
        <v>674L</v>
      </c>
      <c r="C133" s="359">
        <f>'Func Future Lines 2015'!C133</f>
        <v>888</v>
      </c>
      <c r="D133" s="359">
        <f>'Func Future Lines 2015'!D133</f>
        <v>138</v>
      </c>
      <c r="E133" s="359">
        <f>'Func Future Lines 2015'!E133</f>
        <v>0</v>
      </c>
      <c r="F133" s="359" t="str">
        <f>'Func Future Lines 2015'!F133</f>
        <v>Medicine Hat</v>
      </c>
      <c r="G133" s="359">
        <f>'Func Future Lines 2015'!G133</f>
        <v>1327232.7396843631</v>
      </c>
      <c r="H133" s="359" t="str">
        <f>'Func Future Lines 2015'!H133</f>
        <v>AltaLink</v>
      </c>
      <c r="I133" s="359">
        <f>'Func Future Lines 2015'!I133</f>
        <v>2016</v>
      </c>
      <c r="J133" s="361">
        <f>+IF($I133=J$3,VLOOKUP($H133,Depreciation!$A$6:$L$10,7,FALSE)/2,IF($I133&lt;J$3,VLOOKUP($H133,Depreciation!$A$6:$L$10,7,FALSE),0))</f>
        <v>0</v>
      </c>
      <c r="K133" s="361">
        <f>+IF($I133=K$3,VLOOKUP($H133,Depreciation!$A$6:$L$10,8,FALSE)/2,IF($I133&lt;K$3,VLOOKUP($H133,Depreciation!$A$6:$L$10,8,FALSE),0))</f>
        <v>1.5338181838063448E-2</v>
      </c>
      <c r="L133" s="361">
        <f>+IF($I133=L$3,VLOOKUP($H133,Depreciation!$A$6:$L$10,9,FALSE)/2,IF($I133&lt;L$3,VLOOKUP($H133,Depreciation!$A$6:$L$10,9,FALSE),0))</f>
        <v>3.0676363676126896E-2</v>
      </c>
      <c r="M133" s="361">
        <f>+IF($I133=M$3,VLOOKUP($H133,Depreciation!$A$6:$L$10,10,FALSE)/2,IF($I133&lt;M$3,VLOOKUP($H133,Depreciation!$A$6:$L$10,10,FALSE),0))</f>
        <v>3.0676363676126896E-2</v>
      </c>
      <c r="N133" s="361">
        <f>+IF($I133=N$3,VLOOKUP($H133,Depreciation!$A$6:$L$10,11,FALSE)/2,IF($I133&lt;N$3,VLOOKUP($H133,Depreciation!$A$6:$L$10,11,FALSE),0))</f>
        <v>3.0676363676126896E-2</v>
      </c>
      <c r="O133" s="361">
        <f>+IF($I133=O$3,VLOOKUP($H133,Depreciation!$A$6:$L$10,12,FALSE)/2,IF($I133&lt;O$3,VLOOKUP($H133,Depreciation!$A$6:$L$10,12,FALSE),0))</f>
        <v>3.0676363676126896E-2</v>
      </c>
      <c r="P133" s="362">
        <f t="shared" ref="P133:P196" si="8">IF(I133&lt;=2018,G133*(1-J133)*(1-K133)*(1-L133)*(1-M133),0)</f>
        <v>1227924.853422554</v>
      </c>
      <c r="Q133" s="362">
        <f t="shared" ref="Q133:Q196" si="9">IF(D133&gt;=240,P133,0)</f>
        <v>0</v>
      </c>
      <c r="R133" s="363">
        <f t="shared" ref="R133:R196" si="10">IF(AND(D133&gt;25,D133&lt;240),P133,0)</f>
        <v>1227924.853422554</v>
      </c>
      <c r="Y133" s="365"/>
    </row>
    <row r="134" spans="1:25" ht="15" customHeight="1">
      <c r="A134" s="359" t="str">
        <f>'Func Future Lines 2015'!A134</f>
        <v>PPS</v>
      </c>
      <c r="B134" s="359" t="str">
        <f>'Func Future Lines 2015'!B134</f>
        <v xml:space="preserve">675L/892L </v>
      </c>
      <c r="C134" s="359">
        <f>'Func Future Lines 2015'!C134</f>
        <v>888</v>
      </c>
      <c r="D134" s="359">
        <f>'Func Future Lines 2015'!D134</f>
        <v>138</v>
      </c>
      <c r="E134" s="359">
        <f>'Func Future Lines 2015'!E134</f>
        <v>0</v>
      </c>
      <c r="F134" s="359" t="str">
        <f>'Func Future Lines 2015'!F134</f>
        <v>Medicine Hat</v>
      </c>
      <c r="G134" s="359">
        <f>'Func Future Lines 2015'!G134</f>
        <v>32638667.61853265</v>
      </c>
      <c r="H134" s="359" t="str">
        <f>'Func Future Lines 2015'!H134</f>
        <v>AltaLink</v>
      </c>
      <c r="I134" s="359">
        <f>'Func Future Lines 2015'!I134</f>
        <v>2016</v>
      </c>
      <c r="J134" s="361">
        <f>+IF($I134=J$3,VLOOKUP($H134,Depreciation!$A$6:$L$10,7,FALSE)/2,IF($I134&lt;J$3,VLOOKUP($H134,Depreciation!$A$6:$L$10,7,FALSE),0))</f>
        <v>0</v>
      </c>
      <c r="K134" s="361">
        <f>+IF($I134=K$3,VLOOKUP($H134,Depreciation!$A$6:$L$10,8,FALSE)/2,IF($I134&lt;K$3,VLOOKUP($H134,Depreciation!$A$6:$L$10,8,FALSE),0))</f>
        <v>1.5338181838063448E-2</v>
      </c>
      <c r="L134" s="361">
        <f>+IF($I134=L$3,VLOOKUP($H134,Depreciation!$A$6:$L$10,9,FALSE)/2,IF($I134&lt;L$3,VLOOKUP($H134,Depreciation!$A$6:$L$10,9,FALSE),0))</f>
        <v>3.0676363676126896E-2</v>
      </c>
      <c r="M134" s="361">
        <f>+IF($I134=M$3,VLOOKUP($H134,Depreciation!$A$6:$L$10,10,FALSE)/2,IF($I134&lt;M$3,VLOOKUP($H134,Depreciation!$A$6:$L$10,10,FALSE),0))</f>
        <v>3.0676363676126896E-2</v>
      </c>
      <c r="N134" s="361">
        <f>+IF($I134=N$3,VLOOKUP($H134,Depreciation!$A$6:$L$10,11,FALSE)/2,IF($I134&lt;N$3,VLOOKUP($H134,Depreciation!$A$6:$L$10,11,FALSE),0))</f>
        <v>3.0676363676126896E-2</v>
      </c>
      <c r="O134" s="361">
        <f>+IF($I134=O$3,VLOOKUP($H134,Depreciation!$A$6:$L$10,12,FALSE)/2,IF($I134&lt;O$3,VLOOKUP($H134,Depreciation!$A$6:$L$10,12,FALSE),0))</f>
        <v>3.0676363676126896E-2</v>
      </c>
      <c r="P134" s="362">
        <f t="shared" si="8"/>
        <v>30196535.960170262</v>
      </c>
      <c r="Q134" s="362">
        <f t="shared" si="9"/>
        <v>0</v>
      </c>
      <c r="R134" s="363">
        <f t="shared" si="10"/>
        <v>30196535.960170262</v>
      </c>
      <c r="Y134" s="365"/>
    </row>
    <row r="135" spans="1:25" ht="15" customHeight="1">
      <c r="A135" s="359" t="str">
        <f>'Func Future Lines 2015'!A135</f>
        <v>PPS</v>
      </c>
      <c r="B135" s="359" t="str">
        <f>'Func Future Lines 2015'!B135</f>
        <v xml:space="preserve">675L/892L </v>
      </c>
      <c r="C135" s="359">
        <f>'Func Future Lines 2015'!C135</f>
        <v>888</v>
      </c>
      <c r="D135" s="359">
        <f>'Func Future Lines 2015'!D135</f>
        <v>138</v>
      </c>
      <c r="E135" s="359">
        <f>'Func Future Lines 2015'!E135</f>
        <v>0</v>
      </c>
      <c r="F135" s="359" t="str">
        <f>'Func Future Lines 2015'!F135</f>
        <v>Medicine Hat</v>
      </c>
      <c r="G135" s="359">
        <f>'Func Future Lines 2015'!G135</f>
        <v>26144707.427934162</v>
      </c>
      <c r="H135" s="359" t="str">
        <f>'Func Future Lines 2015'!H135</f>
        <v>AltaLink</v>
      </c>
      <c r="I135" s="359">
        <f>'Func Future Lines 2015'!I135</f>
        <v>2016</v>
      </c>
      <c r="J135" s="361">
        <f>+IF($I135=J$3,VLOOKUP($H135,Depreciation!$A$6:$L$10,7,FALSE)/2,IF($I135&lt;J$3,VLOOKUP($H135,Depreciation!$A$6:$L$10,7,FALSE),0))</f>
        <v>0</v>
      </c>
      <c r="K135" s="361">
        <f>+IF($I135=K$3,VLOOKUP($H135,Depreciation!$A$6:$L$10,8,FALSE)/2,IF($I135&lt;K$3,VLOOKUP($H135,Depreciation!$A$6:$L$10,8,FALSE),0))</f>
        <v>1.5338181838063448E-2</v>
      </c>
      <c r="L135" s="361">
        <f>+IF($I135=L$3,VLOOKUP($H135,Depreciation!$A$6:$L$10,9,FALSE)/2,IF($I135&lt;L$3,VLOOKUP($H135,Depreciation!$A$6:$L$10,9,FALSE),0))</f>
        <v>3.0676363676126896E-2</v>
      </c>
      <c r="M135" s="361">
        <f>+IF($I135=M$3,VLOOKUP($H135,Depreciation!$A$6:$L$10,10,FALSE)/2,IF($I135&lt;M$3,VLOOKUP($H135,Depreciation!$A$6:$L$10,10,FALSE),0))</f>
        <v>3.0676363676126896E-2</v>
      </c>
      <c r="N135" s="361">
        <f>+IF($I135=N$3,VLOOKUP($H135,Depreciation!$A$6:$L$10,11,FALSE)/2,IF($I135&lt;N$3,VLOOKUP($H135,Depreciation!$A$6:$L$10,11,FALSE),0))</f>
        <v>3.0676363676126896E-2</v>
      </c>
      <c r="O135" s="361">
        <f>+IF($I135=O$3,VLOOKUP($H135,Depreciation!$A$6:$L$10,12,FALSE)/2,IF($I135&lt;O$3,VLOOKUP($H135,Depreciation!$A$6:$L$10,12,FALSE),0))</f>
        <v>3.0676363676126896E-2</v>
      </c>
      <c r="P135" s="362">
        <f t="shared" si="8"/>
        <v>24188475.070209906</v>
      </c>
      <c r="Q135" s="362">
        <f t="shared" si="9"/>
        <v>0</v>
      </c>
      <c r="R135" s="363">
        <f t="shared" si="10"/>
        <v>24188475.070209906</v>
      </c>
      <c r="Y135" s="365"/>
    </row>
    <row r="136" spans="1:25" ht="15" customHeight="1">
      <c r="A136" s="359" t="str">
        <f>'Func Future Lines 2015'!A136</f>
        <v>PPS</v>
      </c>
      <c r="B136" s="359" t="str">
        <f>'Func Future Lines 2015'!B136</f>
        <v>676L/879L</v>
      </c>
      <c r="C136" s="359">
        <f>'Func Future Lines 2015'!C136</f>
        <v>888</v>
      </c>
      <c r="D136" s="359">
        <f>'Func Future Lines 2015'!D136</f>
        <v>138</v>
      </c>
      <c r="E136" s="359">
        <f>'Func Future Lines 2015'!E136</f>
        <v>0</v>
      </c>
      <c r="F136" s="359" t="str">
        <f>'Func Future Lines 2015'!F136</f>
        <v>Medicine Hat</v>
      </c>
      <c r="G136" s="359">
        <f>'Func Future Lines 2015'!G136</f>
        <v>38066101.500456207</v>
      </c>
      <c r="H136" s="359" t="str">
        <f>'Func Future Lines 2015'!H136</f>
        <v>AltaLink</v>
      </c>
      <c r="I136" s="359">
        <f>'Func Future Lines 2015'!I136</f>
        <v>2016</v>
      </c>
      <c r="J136" s="361">
        <f>+IF($I136=J$3,VLOOKUP($H136,Depreciation!$A$6:$L$10,7,FALSE)/2,IF($I136&lt;J$3,VLOOKUP($H136,Depreciation!$A$6:$L$10,7,FALSE),0))</f>
        <v>0</v>
      </c>
      <c r="K136" s="361">
        <f>+IF($I136=K$3,VLOOKUP($H136,Depreciation!$A$6:$L$10,8,FALSE)/2,IF($I136&lt;K$3,VLOOKUP($H136,Depreciation!$A$6:$L$10,8,FALSE),0))</f>
        <v>1.5338181838063448E-2</v>
      </c>
      <c r="L136" s="361">
        <f>+IF($I136=L$3,VLOOKUP($H136,Depreciation!$A$6:$L$10,9,FALSE)/2,IF($I136&lt;L$3,VLOOKUP($H136,Depreciation!$A$6:$L$10,9,FALSE),0))</f>
        <v>3.0676363676126896E-2</v>
      </c>
      <c r="M136" s="361">
        <f>+IF($I136=M$3,VLOOKUP($H136,Depreciation!$A$6:$L$10,10,FALSE)/2,IF($I136&lt;M$3,VLOOKUP($H136,Depreciation!$A$6:$L$10,10,FALSE),0))</f>
        <v>3.0676363676126896E-2</v>
      </c>
      <c r="N136" s="361">
        <f>+IF($I136=N$3,VLOOKUP($H136,Depreciation!$A$6:$L$10,11,FALSE)/2,IF($I136&lt;N$3,VLOOKUP($H136,Depreciation!$A$6:$L$10,11,FALSE),0))</f>
        <v>3.0676363676126896E-2</v>
      </c>
      <c r="O136" s="361">
        <f>+IF($I136=O$3,VLOOKUP($H136,Depreciation!$A$6:$L$10,12,FALSE)/2,IF($I136&lt;O$3,VLOOKUP($H136,Depreciation!$A$6:$L$10,12,FALSE),0))</f>
        <v>3.0676363676126896E-2</v>
      </c>
      <c r="P136" s="362">
        <f t="shared" si="8"/>
        <v>35217871.521487489</v>
      </c>
      <c r="Q136" s="362">
        <f t="shared" si="9"/>
        <v>0</v>
      </c>
      <c r="R136" s="363">
        <f t="shared" si="10"/>
        <v>35217871.521487489</v>
      </c>
      <c r="Y136" s="365"/>
    </row>
    <row r="137" spans="1:25" ht="15" customHeight="1">
      <c r="A137" s="359" t="str">
        <f>'Func Future Lines 2015'!A137</f>
        <v>PPS</v>
      </c>
      <c r="B137" s="359" t="str">
        <f>'Func Future Lines 2015'!B137</f>
        <v>676L/879L</v>
      </c>
      <c r="C137" s="359">
        <f>'Func Future Lines 2015'!C137</f>
        <v>888</v>
      </c>
      <c r="D137" s="359">
        <f>'Func Future Lines 2015'!D137</f>
        <v>138</v>
      </c>
      <c r="E137" s="359">
        <f>'Func Future Lines 2015'!E137</f>
        <v>0</v>
      </c>
      <c r="F137" s="359" t="str">
        <f>'Func Future Lines 2015'!F137</f>
        <v>Medicine Hat</v>
      </c>
      <c r="G137" s="359">
        <f>'Func Future Lines 2015'!G137</f>
        <v>42259623.694704458</v>
      </c>
      <c r="H137" s="359" t="str">
        <f>'Func Future Lines 2015'!H137</f>
        <v>AltaLink</v>
      </c>
      <c r="I137" s="359">
        <f>'Func Future Lines 2015'!I137</f>
        <v>2016</v>
      </c>
      <c r="J137" s="361">
        <f>+IF($I137=J$3,VLOOKUP($H137,Depreciation!$A$6:$L$10,7,FALSE)/2,IF($I137&lt;J$3,VLOOKUP($H137,Depreciation!$A$6:$L$10,7,FALSE),0))</f>
        <v>0</v>
      </c>
      <c r="K137" s="361">
        <f>+IF($I137=K$3,VLOOKUP($H137,Depreciation!$A$6:$L$10,8,FALSE)/2,IF($I137&lt;K$3,VLOOKUP($H137,Depreciation!$A$6:$L$10,8,FALSE),0))</f>
        <v>1.5338181838063448E-2</v>
      </c>
      <c r="L137" s="361">
        <f>+IF($I137=L$3,VLOOKUP($H137,Depreciation!$A$6:$L$10,9,FALSE)/2,IF($I137&lt;L$3,VLOOKUP($H137,Depreciation!$A$6:$L$10,9,FALSE),0))</f>
        <v>3.0676363676126896E-2</v>
      </c>
      <c r="M137" s="361">
        <f>+IF($I137=M$3,VLOOKUP($H137,Depreciation!$A$6:$L$10,10,FALSE)/2,IF($I137&lt;M$3,VLOOKUP($H137,Depreciation!$A$6:$L$10,10,FALSE),0))</f>
        <v>3.0676363676126896E-2</v>
      </c>
      <c r="N137" s="361">
        <f>+IF($I137=N$3,VLOOKUP($H137,Depreciation!$A$6:$L$10,11,FALSE)/2,IF($I137&lt;N$3,VLOOKUP($H137,Depreciation!$A$6:$L$10,11,FALSE),0))</f>
        <v>3.0676363676126896E-2</v>
      </c>
      <c r="O137" s="361">
        <f>+IF($I137=O$3,VLOOKUP($H137,Depreciation!$A$6:$L$10,12,FALSE)/2,IF($I137&lt;O$3,VLOOKUP($H137,Depreciation!$A$6:$L$10,12,FALSE),0))</f>
        <v>3.0676363676126896E-2</v>
      </c>
      <c r="P137" s="362">
        <f t="shared" si="8"/>
        <v>39097620.695638433</v>
      </c>
      <c r="Q137" s="362">
        <f t="shared" si="9"/>
        <v>0</v>
      </c>
      <c r="R137" s="363">
        <f t="shared" si="10"/>
        <v>39097620.695638433</v>
      </c>
      <c r="Y137" s="365"/>
    </row>
    <row r="138" spans="1:25" ht="15" customHeight="1">
      <c r="A138" s="359" t="str">
        <f>'Func Future Lines 2015'!A138</f>
        <v>PPS</v>
      </c>
      <c r="B138" s="359" t="str">
        <f>'Func Future Lines 2015'!B138</f>
        <v>9L19 and 9L28</v>
      </c>
      <c r="C138" s="359">
        <f>'Func Future Lines 2015'!C138</f>
        <v>948</v>
      </c>
      <c r="D138" s="359">
        <f>'Func Future Lines 2015'!D138</f>
        <v>240</v>
      </c>
      <c r="E138" s="359">
        <f>'Func Future Lines 2015'!E138</f>
        <v>0</v>
      </c>
      <c r="F138" s="359">
        <f>'Func Future Lines 2015'!F138</f>
        <v>0</v>
      </c>
      <c r="G138" s="359">
        <f>'Func Future Lines 2015'!G138</f>
        <v>9503247.7097484916</v>
      </c>
      <c r="H138" s="359" t="str">
        <f>'Func Future Lines 2015'!H138</f>
        <v>ATCO</v>
      </c>
      <c r="I138" s="359">
        <f>'Func Future Lines 2015'!I138</f>
        <v>2015</v>
      </c>
      <c r="J138" s="361">
        <f>+IF($I138=J$3,VLOOKUP($H138,Depreciation!$A$6:$L$10,7,FALSE)/2,IF($I138&lt;J$3,VLOOKUP($H138,Depreciation!$A$6:$L$10,7,FALSE),0))</f>
        <v>1.239102859091515E-2</v>
      </c>
      <c r="K138" s="361">
        <f>+IF($I138=K$3,VLOOKUP($H138,Depreciation!$A$6:$L$10,8,FALSE)/2,IF($I138&lt;K$3,VLOOKUP($H138,Depreciation!$A$6:$L$10,8,FALSE),0))</f>
        <v>2.3943859731006666E-2</v>
      </c>
      <c r="L138" s="361">
        <f>+IF($I138=L$3,VLOOKUP($H138,Depreciation!$A$6:$L$10,9,FALSE)/2,IF($I138&lt;L$3,VLOOKUP($H138,Depreciation!$A$6:$L$10,9,FALSE),0))</f>
        <v>2.4002037926855919E-2</v>
      </c>
      <c r="M138" s="361">
        <f>+IF($I138=M$3,VLOOKUP($H138,Depreciation!$A$6:$L$10,10,FALSE)/2,IF($I138&lt;M$3,VLOOKUP($H138,Depreciation!$A$6:$L$10,10,FALSE),0))</f>
        <v>2.4002037926855919E-2</v>
      </c>
      <c r="N138" s="361">
        <f>+IF($I138=N$3,VLOOKUP($H138,Depreciation!$A$6:$L$10,11,FALSE)/2,IF($I138&lt;N$3,VLOOKUP($H138,Depreciation!$A$6:$L$10,11,FALSE),0))</f>
        <v>2.4002037926855919E-2</v>
      </c>
      <c r="O138" s="361">
        <f>+IF($I138=O$3,VLOOKUP($H138,Depreciation!$A$6:$L$10,12,FALSE)/2,IF($I138&lt;O$3,VLOOKUP($H138,Depreciation!$A$6:$L$10,12,FALSE),0))</f>
        <v>2.4002037926855919E-2</v>
      </c>
      <c r="P138" s="362">
        <f t="shared" si="8"/>
        <v>8726291.0822940227</v>
      </c>
      <c r="Q138" s="362">
        <f t="shared" si="9"/>
        <v>8726291.0822940227</v>
      </c>
      <c r="R138" s="363">
        <f t="shared" si="10"/>
        <v>0</v>
      </c>
      <c r="Y138" s="365"/>
    </row>
    <row r="139" spans="1:25" ht="15" customHeight="1">
      <c r="A139" s="359" t="str">
        <f>'Func Future Lines 2015'!A139</f>
        <v>PPS</v>
      </c>
      <c r="B139" s="359" t="str">
        <f>'Func Future Lines 2015'!B139</f>
        <v>1035L/1034L Tie-in180</v>
      </c>
      <c r="C139" s="359">
        <f>'Func Future Lines 2015'!C139</f>
        <v>961</v>
      </c>
      <c r="D139" s="359">
        <f>'Func Future Lines 2015'!D139</f>
        <v>240</v>
      </c>
      <c r="E139" s="359">
        <f>'Func Future Lines 2015'!E139</f>
        <v>0</v>
      </c>
      <c r="F139" s="359">
        <f>'Func Future Lines 2015'!F139</f>
        <v>0</v>
      </c>
      <c r="G139" s="359">
        <f>'Func Future Lines 2015'!G139</f>
        <v>12067928.360521985</v>
      </c>
      <c r="H139" s="359" t="str">
        <f>'Func Future Lines 2015'!H139</f>
        <v>AltaLink</v>
      </c>
      <c r="I139" s="359">
        <f>'Func Future Lines 2015'!I139</f>
        <v>2015</v>
      </c>
      <c r="J139" s="361">
        <f>+IF($I139=J$3,VLOOKUP($H139,Depreciation!$A$6:$L$10,7,FALSE)/2,IF($I139&lt;J$3,VLOOKUP($H139,Depreciation!$A$6:$L$10,7,FALSE),0))</f>
        <v>1.595020804044691E-2</v>
      </c>
      <c r="K139" s="361">
        <f>+IF($I139=K$3,VLOOKUP($H139,Depreciation!$A$6:$L$10,8,FALSE)/2,IF($I139&lt;K$3,VLOOKUP($H139,Depreciation!$A$6:$L$10,8,FALSE),0))</f>
        <v>3.0676363676126896E-2</v>
      </c>
      <c r="L139" s="361">
        <f>+IF($I139=L$3,VLOOKUP($H139,Depreciation!$A$6:$L$10,9,FALSE)/2,IF($I139&lt;L$3,VLOOKUP($H139,Depreciation!$A$6:$L$10,9,FALSE),0))</f>
        <v>3.0676363676126896E-2</v>
      </c>
      <c r="M139" s="361">
        <f>+IF($I139=M$3,VLOOKUP($H139,Depreciation!$A$6:$L$10,10,FALSE)/2,IF($I139&lt;M$3,VLOOKUP($H139,Depreciation!$A$6:$L$10,10,FALSE),0))</f>
        <v>3.0676363676126896E-2</v>
      </c>
      <c r="N139" s="361">
        <f>+IF($I139=N$3,VLOOKUP($H139,Depreciation!$A$6:$L$10,11,FALSE)/2,IF($I139&lt;N$3,VLOOKUP($H139,Depreciation!$A$6:$L$10,11,FALSE),0))</f>
        <v>3.0676363676126896E-2</v>
      </c>
      <c r="O139" s="361">
        <f>+IF($I139=O$3,VLOOKUP($H139,Depreciation!$A$6:$L$10,12,FALSE)/2,IF($I139&lt;O$3,VLOOKUP($H139,Depreciation!$A$6:$L$10,12,FALSE),0))</f>
        <v>3.0676363676126896E-2</v>
      </c>
      <c r="P139" s="362">
        <f t="shared" si="8"/>
        <v>10815739.180908743</v>
      </c>
      <c r="Q139" s="362">
        <f t="shared" si="9"/>
        <v>10815739.180908743</v>
      </c>
      <c r="R139" s="363">
        <f t="shared" si="10"/>
        <v>0</v>
      </c>
      <c r="Y139" s="365"/>
    </row>
    <row r="140" spans="1:25" ht="15" customHeight="1">
      <c r="A140" s="359" t="str">
        <f>'Func Future Lines 2015'!A140</f>
        <v>PPS</v>
      </c>
      <c r="B140" s="359" t="str">
        <f>'Func Future Lines 2015'!B140</f>
        <v>1053L crossing180</v>
      </c>
      <c r="C140" s="359">
        <f>'Func Future Lines 2015'!C140</f>
        <v>961</v>
      </c>
      <c r="D140" s="359">
        <f>'Func Future Lines 2015'!D140</f>
        <v>240</v>
      </c>
      <c r="E140" s="359">
        <f>'Func Future Lines 2015'!E140</f>
        <v>0</v>
      </c>
      <c r="F140" s="359">
        <f>'Func Future Lines 2015'!F140</f>
        <v>0</v>
      </c>
      <c r="G140" s="359">
        <f>'Func Future Lines 2015'!G140</f>
        <v>2180206.2000116054</v>
      </c>
      <c r="H140" s="359" t="str">
        <f>'Func Future Lines 2015'!H140</f>
        <v>AltaLink</v>
      </c>
      <c r="I140" s="359">
        <f>'Func Future Lines 2015'!I140</f>
        <v>2015</v>
      </c>
      <c r="J140" s="361">
        <f>+IF($I140=J$3,VLOOKUP($H140,Depreciation!$A$6:$L$10,7,FALSE)/2,IF($I140&lt;J$3,VLOOKUP($H140,Depreciation!$A$6:$L$10,7,FALSE),0))</f>
        <v>1.595020804044691E-2</v>
      </c>
      <c r="K140" s="361">
        <f>+IF($I140=K$3,VLOOKUP($H140,Depreciation!$A$6:$L$10,8,FALSE)/2,IF($I140&lt;K$3,VLOOKUP($H140,Depreciation!$A$6:$L$10,8,FALSE),0))</f>
        <v>3.0676363676126896E-2</v>
      </c>
      <c r="L140" s="361">
        <f>+IF($I140=L$3,VLOOKUP($H140,Depreciation!$A$6:$L$10,9,FALSE)/2,IF($I140&lt;L$3,VLOOKUP($H140,Depreciation!$A$6:$L$10,9,FALSE),0))</f>
        <v>3.0676363676126896E-2</v>
      </c>
      <c r="M140" s="361">
        <f>+IF($I140=M$3,VLOOKUP($H140,Depreciation!$A$6:$L$10,10,FALSE)/2,IF($I140&lt;M$3,VLOOKUP($H140,Depreciation!$A$6:$L$10,10,FALSE),0))</f>
        <v>3.0676363676126896E-2</v>
      </c>
      <c r="N140" s="361">
        <f>+IF($I140=N$3,VLOOKUP($H140,Depreciation!$A$6:$L$10,11,FALSE)/2,IF($I140&lt;N$3,VLOOKUP($H140,Depreciation!$A$6:$L$10,11,FALSE),0))</f>
        <v>3.0676363676126896E-2</v>
      </c>
      <c r="O140" s="361">
        <f>+IF($I140=O$3,VLOOKUP($H140,Depreciation!$A$6:$L$10,12,FALSE)/2,IF($I140&lt;O$3,VLOOKUP($H140,Depreciation!$A$6:$L$10,12,FALSE),0))</f>
        <v>3.0676363676126896E-2</v>
      </c>
      <c r="P140" s="362">
        <f t="shared" si="8"/>
        <v>1953984.2229313445</v>
      </c>
      <c r="Q140" s="362">
        <f t="shared" si="9"/>
        <v>1953984.2229313445</v>
      </c>
      <c r="R140" s="363">
        <f t="shared" si="10"/>
        <v>0</v>
      </c>
      <c r="Y140" s="365"/>
    </row>
    <row r="141" spans="1:25" ht="15" customHeight="1">
      <c r="A141" s="359" t="str">
        <f>'Func Future Lines 2015'!A141</f>
        <v>PPS</v>
      </c>
      <c r="B141" s="359" t="str">
        <f>'Func Future Lines 2015'!B141</f>
        <v>1206_1212L180</v>
      </c>
      <c r="C141" s="359">
        <f>'Func Future Lines 2015'!C141</f>
        <v>961</v>
      </c>
      <c r="D141" s="359">
        <f>'Func Future Lines 2015'!D141</f>
        <v>240</v>
      </c>
      <c r="E141" s="359">
        <f>'Func Future Lines 2015'!E141</f>
        <v>0</v>
      </c>
      <c r="F141" s="359">
        <f>'Func Future Lines 2015'!F141</f>
        <v>0</v>
      </c>
      <c r="G141" s="359">
        <f>'Func Future Lines 2015'!G141</f>
        <v>12147807.385961929</v>
      </c>
      <c r="H141" s="359" t="str">
        <f>'Func Future Lines 2015'!H141</f>
        <v>AltaLink</v>
      </c>
      <c r="I141" s="359">
        <f>'Func Future Lines 2015'!I141</f>
        <v>2015</v>
      </c>
      <c r="J141" s="361">
        <f>+IF($I141=J$3,VLOOKUP($H141,Depreciation!$A$6:$L$10,7,FALSE)/2,IF($I141&lt;J$3,VLOOKUP($H141,Depreciation!$A$6:$L$10,7,FALSE),0))</f>
        <v>1.595020804044691E-2</v>
      </c>
      <c r="K141" s="361">
        <f>+IF($I141=K$3,VLOOKUP($H141,Depreciation!$A$6:$L$10,8,FALSE)/2,IF($I141&lt;K$3,VLOOKUP($H141,Depreciation!$A$6:$L$10,8,FALSE),0))</f>
        <v>3.0676363676126896E-2</v>
      </c>
      <c r="L141" s="361">
        <f>+IF($I141=L$3,VLOOKUP($H141,Depreciation!$A$6:$L$10,9,FALSE)/2,IF($I141&lt;L$3,VLOOKUP($H141,Depreciation!$A$6:$L$10,9,FALSE),0))</f>
        <v>3.0676363676126896E-2</v>
      </c>
      <c r="M141" s="361">
        <f>+IF($I141=M$3,VLOOKUP($H141,Depreciation!$A$6:$L$10,10,FALSE)/2,IF($I141&lt;M$3,VLOOKUP($H141,Depreciation!$A$6:$L$10,10,FALSE),0))</f>
        <v>3.0676363676126896E-2</v>
      </c>
      <c r="N141" s="361">
        <f>+IF($I141=N$3,VLOOKUP($H141,Depreciation!$A$6:$L$10,11,FALSE)/2,IF($I141&lt;N$3,VLOOKUP($H141,Depreciation!$A$6:$L$10,11,FALSE),0))</f>
        <v>3.0676363676126896E-2</v>
      </c>
      <c r="O141" s="361">
        <f>+IF($I141=O$3,VLOOKUP($H141,Depreciation!$A$6:$L$10,12,FALSE)/2,IF($I141&lt;O$3,VLOOKUP($H141,Depreciation!$A$6:$L$10,12,FALSE),0))</f>
        <v>3.0676363676126896E-2</v>
      </c>
      <c r="P141" s="362">
        <f t="shared" si="8"/>
        <v>10887329.820111563</v>
      </c>
      <c r="Q141" s="362">
        <f t="shared" si="9"/>
        <v>10887329.820111563</v>
      </c>
      <c r="R141" s="363">
        <f t="shared" si="10"/>
        <v>0</v>
      </c>
      <c r="Y141" s="365"/>
    </row>
    <row r="142" spans="1:25" ht="15" customHeight="1">
      <c r="A142" s="359" t="str">
        <f>'Func Future Lines 2015'!A142</f>
        <v>PPS</v>
      </c>
      <c r="B142" s="359" t="str">
        <f>'Func Future Lines 2015'!B142</f>
        <v>138 kV AC Lines180</v>
      </c>
      <c r="C142" s="359">
        <f>'Func Future Lines 2015'!C142</f>
        <v>961</v>
      </c>
      <c r="D142" s="359">
        <f>'Func Future Lines 2015'!D142</f>
        <v>138</v>
      </c>
      <c r="E142" s="359">
        <f>'Func Future Lines 2015'!E142</f>
        <v>0</v>
      </c>
      <c r="F142" s="359">
        <f>'Func Future Lines 2015'!F142</f>
        <v>0</v>
      </c>
      <c r="G142" s="359">
        <f>'Func Future Lines 2015'!G142</f>
        <v>386437.04663201742</v>
      </c>
      <c r="H142" s="359" t="str">
        <f>'Func Future Lines 2015'!H142</f>
        <v>ATCO</v>
      </c>
      <c r="I142" s="359">
        <f>'Func Future Lines 2015'!I142</f>
        <v>2015</v>
      </c>
      <c r="J142" s="361">
        <f>+IF($I142=J$3,VLOOKUP($H142,Depreciation!$A$6:$L$10,7,FALSE)/2,IF($I142&lt;J$3,VLOOKUP($H142,Depreciation!$A$6:$L$10,7,FALSE),0))</f>
        <v>1.239102859091515E-2</v>
      </c>
      <c r="K142" s="361">
        <f>+IF($I142=K$3,VLOOKUP($H142,Depreciation!$A$6:$L$10,8,FALSE)/2,IF($I142&lt;K$3,VLOOKUP($H142,Depreciation!$A$6:$L$10,8,FALSE),0))</f>
        <v>2.3943859731006666E-2</v>
      </c>
      <c r="L142" s="361">
        <f>+IF($I142=L$3,VLOOKUP($H142,Depreciation!$A$6:$L$10,9,FALSE)/2,IF($I142&lt;L$3,VLOOKUP($H142,Depreciation!$A$6:$L$10,9,FALSE),0))</f>
        <v>2.4002037926855919E-2</v>
      </c>
      <c r="M142" s="361">
        <f>+IF($I142=M$3,VLOOKUP($H142,Depreciation!$A$6:$L$10,10,FALSE)/2,IF($I142&lt;M$3,VLOOKUP($H142,Depreciation!$A$6:$L$10,10,FALSE),0))</f>
        <v>2.4002037926855919E-2</v>
      </c>
      <c r="N142" s="361">
        <f>+IF($I142=N$3,VLOOKUP($H142,Depreciation!$A$6:$L$10,11,FALSE)/2,IF($I142&lt;N$3,VLOOKUP($H142,Depreciation!$A$6:$L$10,11,FALSE),0))</f>
        <v>2.4002037926855919E-2</v>
      </c>
      <c r="O142" s="361">
        <f>+IF($I142=O$3,VLOOKUP($H142,Depreciation!$A$6:$L$10,12,FALSE)/2,IF($I142&lt;O$3,VLOOKUP($H142,Depreciation!$A$6:$L$10,12,FALSE),0))</f>
        <v>2.4002037926855919E-2</v>
      </c>
      <c r="P142" s="362">
        <f t="shared" si="8"/>
        <v>354843.12909510167</v>
      </c>
      <c r="Q142" s="362">
        <f t="shared" si="9"/>
        <v>0</v>
      </c>
      <c r="R142" s="363">
        <f t="shared" si="10"/>
        <v>354843.12909510167</v>
      </c>
      <c r="Y142" s="365"/>
    </row>
    <row r="143" spans="1:25" ht="15" customHeight="1">
      <c r="A143" s="359" t="str">
        <f>'Func Future Lines 2015'!A143</f>
        <v>PPS</v>
      </c>
      <c r="B143" s="359" t="str">
        <f>'Func Future Lines 2015'!B143</f>
        <v>240 kV AC Lines 923L and XXXL180</v>
      </c>
      <c r="C143" s="359">
        <f>'Func Future Lines 2015'!C143</f>
        <v>961</v>
      </c>
      <c r="D143" s="359">
        <f>'Func Future Lines 2015'!D143</f>
        <v>240</v>
      </c>
      <c r="E143" s="359">
        <f>'Func Future Lines 2015'!E143</f>
        <v>0</v>
      </c>
      <c r="F143" s="359">
        <f>'Func Future Lines 2015'!F143</f>
        <v>0</v>
      </c>
      <c r="G143" s="359">
        <f>'Func Future Lines 2015'!G143</f>
        <v>24745691.127936423</v>
      </c>
      <c r="H143" s="359" t="str">
        <f>'Func Future Lines 2015'!H143</f>
        <v>ATCO</v>
      </c>
      <c r="I143" s="359">
        <f>'Func Future Lines 2015'!I143</f>
        <v>2015</v>
      </c>
      <c r="J143" s="361">
        <f>+IF($I143=J$3,VLOOKUP($H143,Depreciation!$A$6:$L$10,7,FALSE)/2,IF($I143&lt;J$3,VLOOKUP($H143,Depreciation!$A$6:$L$10,7,FALSE),0))</f>
        <v>1.239102859091515E-2</v>
      </c>
      <c r="K143" s="361">
        <f>+IF($I143=K$3,VLOOKUP($H143,Depreciation!$A$6:$L$10,8,FALSE)/2,IF($I143&lt;K$3,VLOOKUP($H143,Depreciation!$A$6:$L$10,8,FALSE),0))</f>
        <v>2.3943859731006666E-2</v>
      </c>
      <c r="L143" s="361">
        <f>+IF($I143=L$3,VLOOKUP($H143,Depreciation!$A$6:$L$10,9,FALSE)/2,IF($I143&lt;L$3,VLOOKUP($H143,Depreciation!$A$6:$L$10,9,FALSE),0))</f>
        <v>2.4002037926855919E-2</v>
      </c>
      <c r="M143" s="361">
        <f>+IF($I143=M$3,VLOOKUP($H143,Depreciation!$A$6:$L$10,10,FALSE)/2,IF($I143&lt;M$3,VLOOKUP($H143,Depreciation!$A$6:$L$10,10,FALSE),0))</f>
        <v>2.4002037926855919E-2</v>
      </c>
      <c r="N143" s="361">
        <f>+IF($I143=N$3,VLOOKUP($H143,Depreciation!$A$6:$L$10,11,FALSE)/2,IF($I143&lt;N$3,VLOOKUP($H143,Depreciation!$A$6:$L$10,11,FALSE),0))</f>
        <v>2.4002037926855919E-2</v>
      </c>
      <c r="O143" s="361">
        <f>+IF($I143=O$3,VLOOKUP($H143,Depreciation!$A$6:$L$10,12,FALSE)/2,IF($I143&lt;O$3,VLOOKUP($H143,Depreciation!$A$6:$L$10,12,FALSE),0))</f>
        <v>2.4002037926855919E-2</v>
      </c>
      <c r="P143" s="362">
        <f t="shared" si="8"/>
        <v>22722558.688373797</v>
      </c>
      <c r="Q143" s="362">
        <f t="shared" si="9"/>
        <v>22722558.688373797</v>
      </c>
      <c r="R143" s="363">
        <f t="shared" si="10"/>
        <v>0</v>
      </c>
      <c r="Y143" s="365"/>
    </row>
    <row r="144" spans="1:25" ht="15" customHeight="1">
      <c r="A144" s="359" t="str">
        <f>'Func Future Lines 2015'!A144</f>
        <v>Final</v>
      </c>
      <c r="B144" s="359" t="str">
        <f>'Func Future Lines 2015'!B144</f>
        <v>500 kV DC Transmission Line 13L50180</v>
      </c>
      <c r="C144" s="359">
        <f>'Func Future Lines 2015'!C144</f>
        <v>961</v>
      </c>
      <c r="D144" s="359">
        <f>'Func Future Lines 2015'!D144</f>
        <v>500</v>
      </c>
      <c r="E144" s="359">
        <f>'Func Future Lines 2015'!E144</f>
        <v>0</v>
      </c>
      <c r="F144" s="359">
        <f>'Func Future Lines 2015'!F144</f>
        <v>0</v>
      </c>
      <c r="G144" s="359">
        <f>'Func Future Lines 2015'!G144</f>
        <v>1297658759.5</v>
      </c>
      <c r="H144" s="359" t="str">
        <f>'Func Future Lines 2015'!H144</f>
        <v>ATCO</v>
      </c>
      <c r="I144" s="359">
        <f>'Func Future Lines 2015'!I144</f>
        <v>2015</v>
      </c>
      <c r="J144" s="361">
        <f>+IF($I144=J$3,VLOOKUP($H144,Depreciation!$A$6:$L$10,7,FALSE)/2,IF($I144&lt;J$3,VLOOKUP($H144,Depreciation!$A$6:$L$10,7,FALSE),0))</f>
        <v>1.239102859091515E-2</v>
      </c>
      <c r="K144" s="361">
        <f>+IF($I144=K$3,VLOOKUP($H144,Depreciation!$A$6:$L$10,8,FALSE)/2,IF($I144&lt;K$3,VLOOKUP($H144,Depreciation!$A$6:$L$10,8,FALSE),0))</f>
        <v>2.3943859731006666E-2</v>
      </c>
      <c r="L144" s="361">
        <f>+IF($I144=L$3,VLOOKUP($H144,Depreciation!$A$6:$L$10,9,FALSE)/2,IF($I144&lt;L$3,VLOOKUP($H144,Depreciation!$A$6:$L$10,9,FALSE),0))</f>
        <v>2.4002037926855919E-2</v>
      </c>
      <c r="M144" s="361">
        <f>+IF($I144=M$3,VLOOKUP($H144,Depreciation!$A$6:$L$10,10,FALSE)/2,IF($I144&lt;M$3,VLOOKUP($H144,Depreciation!$A$6:$L$10,10,FALSE),0))</f>
        <v>2.4002037926855919E-2</v>
      </c>
      <c r="N144" s="361">
        <f>+IF($I144=N$3,VLOOKUP($H144,Depreciation!$A$6:$L$10,11,FALSE)/2,IF($I144&lt;N$3,VLOOKUP($H144,Depreciation!$A$6:$L$10,11,FALSE),0))</f>
        <v>2.4002037926855919E-2</v>
      </c>
      <c r="O144" s="361">
        <f>+IF($I144=O$3,VLOOKUP($H144,Depreciation!$A$6:$L$10,12,FALSE)/2,IF($I144&lt;O$3,VLOOKUP($H144,Depreciation!$A$6:$L$10,12,FALSE),0))</f>
        <v>2.4002037926855919E-2</v>
      </c>
      <c r="P144" s="362">
        <f t="shared" si="8"/>
        <v>1191566126.3117032</v>
      </c>
      <c r="Q144" s="362">
        <f t="shared" si="9"/>
        <v>1191566126.3117032</v>
      </c>
      <c r="R144" s="363">
        <f t="shared" si="10"/>
        <v>0</v>
      </c>
      <c r="Y144" s="365"/>
    </row>
    <row r="145" spans="1:25" ht="15" customHeight="1">
      <c r="A145" s="359" t="str">
        <f>'Func Future Lines 2015'!A145</f>
        <v>PPS</v>
      </c>
      <c r="B145" s="359" t="str">
        <f>'Func Future Lines 2015'!B145</f>
        <v>500kV AC 12L70 &amp; 12L85180</v>
      </c>
      <c r="C145" s="359">
        <f>'Func Future Lines 2015'!C145</f>
        <v>961</v>
      </c>
      <c r="D145" s="359">
        <f>'Func Future Lines 2015'!D145</f>
        <v>500</v>
      </c>
      <c r="E145" s="359">
        <f>'Func Future Lines 2015'!E145</f>
        <v>0</v>
      </c>
      <c r="F145" s="359">
        <f>'Func Future Lines 2015'!F145</f>
        <v>0</v>
      </c>
      <c r="G145" s="359">
        <f>'Func Future Lines 2015'!G145</f>
        <v>22941771.346200299</v>
      </c>
      <c r="H145" s="359" t="str">
        <f>'Func Future Lines 2015'!H145</f>
        <v>ATCO</v>
      </c>
      <c r="I145" s="359">
        <f>'Func Future Lines 2015'!I145</f>
        <v>2015</v>
      </c>
      <c r="J145" s="361">
        <f>+IF($I145=J$3,VLOOKUP($H145,Depreciation!$A$6:$L$10,7,FALSE)/2,IF($I145&lt;J$3,VLOOKUP($H145,Depreciation!$A$6:$L$10,7,FALSE),0))</f>
        <v>1.239102859091515E-2</v>
      </c>
      <c r="K145" s="361">
        <f>+IF($I145=K$3,VLOOKUP($H145,Depreciation!$A$6:$L$10,8,FALSE)/2,IF($I145&lt;K$3,VLOOKUP($H145,Depreciation!$A$6:$L$10,8,FALSE),0))</f>
        <v>2.3943859731006666E-2</v>
      </c>
      <c r="L145" s="361">
        <f>+IF($I145=L$3,VLOOKUP($H145,Depreciation!$A$6:$L$10,9,FALSE)/2,IF($I145&lt;L$3,VLOOKUP($H145,Depreciation!$A$6:$L$10,9,FALSE),0))</f>
        <v>2.4002037926855919E-2</v>
      </c>
      <c r="M145" s="361">
        <f>+IF($I145=M$3,VLOOKUP($H145,Depreciation!$A$6:$L$10,10,FALSE)/2,IF($I145&lt;M$3,VLOOKUP($H145,Depreciation!$A$6:$L$10,10,FALSE),0))</f>
        <v>2.4002037926855919E-2</v>
      </c>
      <c r="N145" s="361">
        <f>+IF($I145=N$3,VLOOKUP($H145,Depreciation!$A$6:$L$10,11,FALSE)/2,IF($I145&lt;N$3,VLOOKUP($H145,Depreciation!$A$6:$L$10,11,FALSE),0))</f>
        <v>2.4002037926855919E-2</v>
      </c>
      <c r="O145" s="361">
        <f>+IF($I145=O$3,VLOOKUP($H145,Depreciation!$A$6:$L$10,12,FALSE)/2,IF($I145&lt;O$3,VLOOKUP($H145,Depreciation!$A$6:$L$10,12,FALSE),0))</f>
        <v>2.4002037926855919E-2</v>
      </c>
      <c r="P145" s="362">
        <f t="shared" si="8"/>
        <v>21066121.901148941</v>
      </c>
      <c r="Q145" s="362">
        <f t="shared" si="9"/>
        <v>21066121.901148941</v>
      </c>
      <c r="R145" s="363">
        <f t="shared" si="10"/>
        <v>0</v>
      </c>
      <c r="Y145" s="365"/>
    </row>
    <row r="146" spans="1:25" ht="15" customHeight="1">
      <c r="A146" s="359" t="str">
        <f>'Func Future Lines 2015'!A146</f>
        <v>PPS</v>
      </c>
      <c r="B146" s="359" t="str">
        <f>'Func Future Lines 2015'!B146</f>
        <v>923L/935L Tie-in180</v>
      </c>
      <c r="C146" s="359">
        <f>'Func Future Lines 2015'!C146</f>
        <v>961</v>
      </c>
      <c r="D146" s="359">
        <f>'Func Future Lines 2015'!D146</f>
        <v>240</v>
      </c>
      <c r="E146" s="359">
        <f>'Func Future Lines 2015'!E146</f>
        <v>0</v>
      </c>
      <c r="F146" s="359">
        <f>'Func Future Lines 2015'!F146</f>
        <v>0</v>
      </c>
      <c r="G146" s="359">
        <f>'Func Future Lines 2015'!G146</f>
        <v>9328355.294053847</v>
      </c>
      <c r="H146" s="359" t="str">
        <f>'Func Future Lines 2015'!H146</f>
        <v>AltaLink</v>
      </c>
      <c r="I146" s="359">
        <f>'Func Future Lines 2015'!I146</f>
        <v>2015</v>
      </c>
      <c r="J146" s="361">
        <f>+IF($I146=J$3,VLOOKUP($H146,Depreciation!$A$6:$L$10,7,FALSE)/2,IF($I146&lt;J$3,VLOOKUP($H146,Depreciation!$A$6:$L$10,7,FALSE),0))</f>
        <v>1.595020804044691E-2</v>
      </c>
      <c r="K146" s="361">
        <f>+IF($I146=K$3,VLOOKUP($H146,Depreciation!$A$6:$L$10,8,FALSE)/2,IF($I146&lt;K$3,VLOOKUP($H146,Depreciation!$A$6:$L$10,8,FALSE),0))</f>
        <v>3.0676363676126896E-2</v>
      </c>
      <c r="L146" s="361">
        <f>+IF($I146=L$3,VLOOKUP($H146,Depreciation!$A$6:$L$10,9,FALSE)/2,IF($I146&lt;L$3,VLOOKUP($H146,Depreciation!$A$6:$L$10,9,FALSE),0))</f>
        <v>3.0676363676126896E-2</v>
      </c>
      <c r="M146" s="361">
        <f>+IF($I146=M$3,VLOOKUP($H146,Depreciation!$A$6:$L$10,10,FALSE)/2,IF($I146&lt;M$3,VLOOKUP($H146,Depreciation!$A$6:$L$10,10,FALSE),0))</f>
        <v>3.0676363676126896E-2</v>
      </c>
      <c r="N146" s="361">
        <f>+IF($I146=N$3,VLOOKUP($H146,Depreciation!$A$6:$L$10,11,FALSE)/2,IF($I146&lt;N$3,VLOOKUP($H146,Depreciation!$A$6:$L$10,11,FALSE),0))</f>
        <v>3.0676363676126896E-2</v>
      </c>
      <c r="O146" s="361">
        <f>+IF($I146=O$3,VLOOKUP($H146,Depreciation!$A$6:$L$10,12,FALSE)/2,IF($I146&lt;O$3,VLOOKUP($H146,Depreciation!$A$6:$L$10,12,FALSE),0))</f>
        <v>3.0676363676126896E-2</v>
      </c>
      <c r="P146" s="362">
        <f t="shared" si="8"/>
        <v>8360428.9678573878</v>
      </c>
      <c r="Q146" s="362">
        <f t="shared" si="9"/>
        <v>8360428.9678573878</v>
      </c>
      <c r="R146" s="363">
        <f t="shared" si="10"/>
        <v>0</v>
      </c>
      <c r="Y146" s="365"/>
    </row>
    <row r="147" spans="1:25" ht="15" customHeight="1">
      <c r="A147" s="359" t="str">
        <f>'Func Future Lines 2015'!A147</f>
        <v>PPS</v>
      </c>
      <c r="B147" s="359" t="str">
        <f>'Func Future Lines 2015'!B147</f>
        <v>931L/933L crossing180</v>
      </c>
      <c r="C147" s="359">
        <f>'Func Future Lines 2015'!C147</f>
        <v>961</v>
      </c>
      <c r="D147" s="359">
        <f>'Func Future Lines 2015'!D147</f>
        <v>240</v>
      </c>
      <c r="E147" s="359">
        <f>'Func Future Lines 2015'!E147</f>
        <v>0</v>
      </c>
      <c r="F147" s="359">
        <f>'Func Future Lines 2015'!F147</f>
        <v>0</v>
      </c>
      <c r="G147" s="359">
        <f>'Func Future Lines 2015'!G147</f>
        <v>15784803.775025563</v>
      </c>
      <c r="H147" s="359" t="str">
        <f>'Func Future Lines 2015'!H147</f>
        <v>AltaLink</v>
      </c>
      <c r="I147" s="359">
        <f>'Func Future Lines 2015'!I147</f>
        <v>2015</v>
      </c>
      <c r="J147" s="361">
        <f>+IF($I147=J$3,VLOOKUP($H147,Depreciation!$A$6:$L$10,7,FALSE)/2,IF($I147&lt;J$3,VLOOKUP($H147,Depreciation!$A$6:$L$10,7,FALSE),0))</f>
        <v>1.595020804044691E-2</v>
      </c>
      <c r="K147" s="361">
        <f>+IF($I147=K$3,VLOOKUP($H147,Depreciation!$A$6:$L$10,8,FALSE)/2,IF($I147&lt;K$3,VLOOKUP($H147,Depreciation!$A$6:$L$10,8,FALSE),0))</f>
        <v>3.0676363676126896E-2</v>
      </c>
      <c r="L147" s="361">
        <f>+IF($I147=L$3,VLOOKUP($H147,Depreciation!$A$6:$L$10,9,FALSE)/2,IF($I147&lt;L$3,VLOOKUP($H147,Depreciation!$A$6:$L$10,9,FALSE),0))</f>
        <v>3.0676363676126896E-2</v>
      </c>
      <c r="M147" s="361">
        <f>+IF($I147=M$3,VLOOKUP($H147,Depreciation!$A$6:$L$10,10,FALSE)/2,IF($I147&lt;M$3,VLOOKUP($H147,Depreciation!$A$6:$L$10,10,FALSE),0))</f>
        <v>3.0676363676126896E-2</v>
      </c>
      <c r="N147" s="361">
        <f>+IF($I147=N$3,VLOOKUP($H147,Depreciation!$A$6:$L$10,11,FALSE)/2,IF($I147&lt;N$3,VLOOKUP($H147,Depreciation!$A$6:$L$10,11,FALSE),0))</f>
        <v>3.0676363676126896E-2</v>
      </c>
      <c r="O147" s="361">
        <f>+IF($I147=O$3,VLOOKUP($H147,Depreciation!$A$6:$L$10,12,FALSE)/2,IF($I147&lt;O$3,VLOOKUP($H147,Depreciation!$A$6:$L$10,12,FALSE),0))</f>
        <v>3.0676363676126896E-2</v>
      </c>
      <c r="P147" s="362">
        <f t="shared" si="8"/>
        <v>14146945.155143077</v>
      </c>
      <c r="Q147" s="362">
        <f t="shared" si="9"/>
        <v>14146945.155143077</v>
      </c>
      <c r="R147" s="363">
        <f t="shared" si="10"/>
        <v>0</v>
      </c>
      <c r="Y147" s="365"/>
    </row>
    <row r="148" spans="1:25" ht="15" customHeight="1">
      <c r="A148" s="359" t="str">
        <f>'Func Future Lines 2015'!A148</f>
        <v>PPS</v>
      </c>
      <c r="B148" s="359" t="str">
        <f>'Func Future Lines 2015'!B148</f>
        <v>950L crossing180</v>
      </c>
      <c r="C148" s="359">
        <f>'Func Future Lines 2015'!C148</f>
        <v>961</v>
      </c>
      <c r="D148" s="359">
        <f>'Func Future Lines 2015'!D148</f>
        <v>240</v>
      </c>
      <c r="E148" s="359">
        <f>'Func Future Lines 2015'!E148</f>
        <v>0</v>
      </c>
      <c r="F148" s="359">
        <f>'Func Future Lines 2015'!F148</f>
        <v>0</v>
      </c>
      <c r="G148" s="359">
        <f>'Func Future Lines 2015'!G148</f>
        <v>4171061.3966196976</v>
      </c>
      <c r="H148" s="359" t="str">
        <f>'Func Future Lines 2015'!H148</f>
        <v>AltaLink</v>
      </c>
      <c r="I148" s="359">
        <f>'Func Future Lines 2015'!I148</f>
        <v>2015</v>
      </c>
      <c r="J148" s="361">
        <f>+IF($I148=J$3,VLOOKUP($H148,Depreciation!$A$6:$L$10,7,FALSE)/2,IF($I148&lt;J$3,VLOOKUP($H148,Depreciation!$A$6:$L$10,7,FALSE),0))</f>
        <v>1.595020804044691E-2</v>
      </c>
      <c r="K148" s="361">
        <f>+IF($I148=K$3,VLOOKUP($H148,Depreciation!$A$6:$L$10,8,FALSE)/2,IF($I148&lt;K$3,VLOOKUP($H148,Depreciation!$A$6:$L$10,8,FALSE),0))</f>
        <v>3.0676363676126896E-2</v>
      </c>
      <c r="L148" s="361">
        <f>+IF($I148=L$3,VLOOKUP($H148,Depreciation!$A$6:$L$10,9,FALSE)/2,IF($I148&lt;L$3,VLOOKUP($H148,Depreciation!$A$6:$L$10,9,FALSE),0))</f>
        <v>3.0676363676126896E-2</v>
      </c>
      <c r="M148" s="361">
        <f>+IF($I148=M$3,VLOOKUP($H148,Depreciation!$A$6:$L$10,10,FALSE)/2,IF($I148&lt;M$3,VLOOKUP($H148,Depreciation!$A$6:$L$10,10,FALSE),0))</f>
        <v>3.0676363676126896E-2</v>
      </c>
      <c r="N148" s="361">
        <f>+IF($I148=N$3,VLOOKUP($H148,Depreciation!$A$6:$L$10,11,FALSE)/2,IF($I148&lt;N$3,VLOOKUP($H148,Depreciation!$A$6:$L$10,11,FALSE),0))</f>
        <v>3.0676363676126896E-2</v>
      </c>
      <c r="O148" s="361">
        <f>+IF($I148=O$3,VLOOKUP($H148,Depreciation!$A$6:$L$10,12,FALSE)/2,IF($I148&lt;O$3,VLOOKUP($H148,Depreciation!$A$6:$L$10,12,FALSE),0))</f>
        <v>3.0676363676126896E-2</v>
      </c>
      <c r="P148" s="362">
        <f t="shared" si="8"/>
        <v>3738264.8310189578</v>
      </c>
      <c r="Q148" s="362">
        <f t="shared" si="9"/>
        <v>3738264.8310189578</v>
      </c>
      <c r="R148" s="363">
        <f t="shared" si="10"/>
        <v>0</v>
      </c>
      <c r="Y148" s="365"/>
    </row>
    <row r="149" spans="1:25" ht="15" customHeight="1">
      <c r="A149" s="359" t="str">
        <f>'Func Future Lines 2015'!A149</f>
        <v>PPS</v>
      </c>
      <c r="B149" s="359" t="str">
        <f>'Func Future Lines 2015'!B149</f>
        <v>1113L 180</v>
      </c>
      <c r="C149" s="359">
        <f>'Func Future Lines 2015'!C149</f>
        <v>962</v>
      </c>
      <c r="D149" s="359">
        <f>'Func Future Lines 2015'!D149</f>
        <v>240</v>
      </c>
      <c r="E149" s="359">
        <f>'Func Future Lines 2015'!E149</f>
        <v>0</v>
      </c>
      <c r="F149" s="359">
        <f>'Func Future Lines 2015'!F149</f>
        <v>0</v>
      </c>
      <c r="G149" s="359">
        <f>'Func Future Lines 2015'!G149</f>
        <v>5050035.9456107607</v>
      </c>
      <c r="H149" s="359" t="str">
        <f>'Func Future Lines 2015'!H149</f>
        <v>AltaLink</v>
      </c>
      <c r="I149" s="359">
        <f>'Func Future Lines 2015'!I149</f>
        <v>2015</v>
      </c>
      <c r="J149" s="361">
        <f>+IF($I149=J$3,VLOOKUP($H149,Depreciation!$A$6:$L$10,7,FALSE)/2,IF($I149&lt;J$3,VLOOKUP($H149,Depreciation!$A$6:$L$10,7,FALSE),0))</f>
        <v>1.595020804044691E-2</v>
      </c>
      <c r="K149" s="361">
        <f>+IF($I149=K$3,VLOOKUP($H149,Depreciation!$A$6:$L$10,8,FALSE)/2,IF($I149&lt;K$3,VLOOKUP($H149,Depreciation!$A$6:$L$10,8,FALSE),0))</f>
        <v>3.0676363676126896E-2</v>
      </c>
      <c r="L149" s="361">
        <f>+IF($I149=L$3,VLOOKUP($H149,Depreciation!$A$6:$L$10,9,FALSE)/2,IF($I149&lt;L$3,VLOOKUP($H149,Depreciation!$A$6:$L$10,9,FALSE),0))</f>
        <v>3.0676363676126896E-2</v>
      </c>
      <c r="M149" s="361">
        <f>+IF($I149=M$3,VLOOKUP($H149,Depreciation!$A$6:$L$10,10,FALSE)/2,IF($I149&lt;M$3,VLOOKUP($H149,Depreciation!$A$6:$L$10,10,FALSE),0))</f>
        <v>3.0676363676126896E-2</v>
      </c>
      <c r="N149" s="361">
        <f>+IF($I149=N$3,VLOOKUP($H149,Depreciation!$A$6:$L$10,11,FALSE)/2,IF($I149&lt;N$3,VLOOKUP($H149,Depreciation!$A$6:$L$10,11,FALSE),0))</f>
        <v>3.0676363676126896E-2</v>
      </c>
      <c r="O149" s="361">
        <f>+IF($I149=O$3,VLOOKUP($H149,Depreciation!$A$6:$L$10,12,FALSE)/2,IF($I149&lt;O$3,VLOOKUP($H149,Depreciation!$A$6:$L$10,12,FALSE),0))</f>
        <v>3.0676363676126896E-2</v>
      </c>
      <c r="P149" s="362">
        <f t="shared" si="8"/>
        <v>4526035.4561449615</v>
      </c>
      <c r="Q149" s="362">
        <f t="shared" si="9"/>
        <v>4526035.4561449615</v>
      </c>
      <c r="R149" s="363">
        <f t="shared" si="10"/>
        <v>0</v>
      </c>
      <c r="Y149" s="365"/>
    </row>
    <row r="150" spans="1:25" ht="15" customHeight="1">
      <c r="A150" s="359" t="str">
        <f>'Func Future Lines 2015'!A150</f>
        <v>PPS</v>
      </c>
      <c r="B150" s="359" t="str">
        <f>'Func Future Lines 2015'!B150</f>
        <v>1114L 180</v>
      </c>
      <c r="C150" s="359">
        <f>'Func Future Lines 2015'!C150</f>
        <v>962</v>
      </c>
      <c r="D150" s="359">
        <f>'Func Future Lines 2015'!D150</f>
        <v>240</v>
      </c>
      <c r="E150" s="359">
        <f>'Func Future Lines 2015'!E150</f>
        <v>0</v>
      </c>
      <c r="F150" s="359">
        <f>'Func Future Lines 2015'!F150</f>
        <v>0</v>
      </c>
      <c r="G150" s="359">
        <f>'Func Future Lines 2015'!G150</f>
        <v>508638.67860466533</v>
      </c>
      <c r="H150" s="359" t="str">
        <f>'Func Future Lines 2015'!H150</f>
        <v>AltaLink</v>
      </c>
      <c r="I150" s="359">
        <f>'Func Future Lines 2015'!I150</f>
        <v>2015</v>
      </c>
      <c r="J150" s="361">
        <f>+IF($I150=J$3,VLOOKUP($H150,Depreciation!$A$6:$L$10,7,FALSE)/2,IF($I150&lt;J$3,VLOOKUP($H150,Depreciation!$A$6:$L$10,7,FALSE),0))</f>
        <v>1.595020804044691E-2</v>
      </c>
      <c r="K150" s="361">
        <f>+IF($I150=K$3,VLOOKUP($H150,Depreciation!$A$6:$L$10,8,FALSE)/2,IF($I150&lt;K$3,VLOOKUP($H150,Depreciation!$A$6:$L$10,8,FALSE),0))</f>
        <v>3.0676363676126896E-2</v>
      </c>
      <c r="L150" s="361">
        <f>+IF($I150=L$3,VLOOKUP($H150,Depreciation!$A$6:$L$10,9,FALSE)/2,IF($I150&lt;L$3,VLOOKUP($H150,Depreciation!$A$6:$L$10,9,FALSE),0))</f>
        <v>3.0676363676126896E-2</v>
      </c>
      <c r="M150" s="361">
        <f>+IF($I150=M$3,VLOOKUP($H150,Depreciation!$A$6:$L$10,10,FALSE)/2,IF($I150&lt;M$3,VLOOKUP($H150,Depreciation!$A$6:$L$10,10,FALSE),0))</f>
        <v>3.0676363676126896E-2</v>
      </c>
      <c r="N150" s="361">
        <f>+IF($I150=N$3,VLOOKUP($H150,Depreciation!$A$6:$L$10,11,FALSE)/2,IF($I150&lt;N$3,VLOOKUP($H150,Depreciation!$A$6:$L$10,11,FALSE),0))</f>
        <v>3.0676363676126896E-2</v>
      </c>
      <c r="O150" s="361">
        <f>+IF($I150=O$3,VLOOKUP($H150,Depreciation!$A$6:$L$10,12,FALSE)/2,IF($I150&lt;O$3,VLOOKUP($H150,Depreciation!$A$6:$L$10,12,FALSE),0))</f>
        <v>3.0676363676126896E-2</v>
      </c>
      <c r="P150" s="362">
        <f t="shared" si="8"/>
        <v>455861.4470323369</v>
      </c>
      <c r="Q150" s="362">
        <f t="shared" si="9"/>
        <v>455861.4470323369</v>
      </c>
      <c r="R150" s="363">
        <f t="shared" si="10"/>
        <v>0</v>
      </c>
      <c r="Y150" s="365"/>
    </row>
    <row r="151" spans="1:25" ht="15" customHeight="1">
      <c r="A151" s="359" t="str">
        <f>'Func Future Lines 2015'!A151</f>
        <v>PPS</v>
      </c>
      <c r="B151" s="359" t="str">
        <f>'Func Future Lines 2015'!B151</f>
        <v>1201L</v>
      </c>
      <c r="C151" s="359">
        <f>'Func Future Lines 2015'!C151</f>
        <v>962</v>
      </c>
      <c r="D151" s="359">
        <f>'Func Future Lines 2015'!D151</f>
        <v>500</v>
      </c>
      <c r="E151" s="359">
        <f>'Func Future Lines 2015'!E151</f>
        <v>0</v>
      </c>
      <c r="F151" s="359">
        <f>'Func Future Lines 2015'!F151</f>
        <v>0</v>
      </c>
      <c r="G151" s="359">
        <f>'Func Future Lines 2015'!G151</f>
        <v>17806288.979760934</v>
      </c>
      <c r="H151" s="359" t="str">
        <f>'Func Future Lines 2015'!H151</f>
        <v>AltaLink</v>
      </c>
      <c r="I151" s="359">
        <f>'Func Future Lines 2015'!I151</f>
        <v>2015</v>
      </c>
      <c r="J151" s="361">
        <f>+IF($I151=J$3,VLOOKUP($H151,Depreciation!$A$6:$L$10,7,FALSE)/2,IF($I151&lt;J$3,VLOOKUP($H151,Depreciation!$A$6:$L$10,7,FALSE),0))</f>
        <v>1.595020804044691E-2</v>
      </c>
      <c r="K151" s="361">
        <f>+IF($I151=K$3,VLOOKUP($H151,Depreciation!$A$6:$L$10,8,FALSE)/2,IF($I151&lt;K$3,VLOOKUP($H151,Depreciation!$A$6:$L$10,8,FALSE),0))</f>
        <v>3.0676363676126896E-2</v>
      </c>
      <c r="L151" s="361">
        <f>+IF($I151=L$3,VLOOKUP($H151,Depreciation!$A$6:$L$10,9,FALSE)/2,IF($I151&lt;L$3,VLOOKUP($H151,Depreciation!$A$6:$L$10,9,FALSE),0))</f>
        <v>3.0676363676126896E-2</v>
      </c>
      <c r="M151" s="361">
        <f>+IF($I151=M$3,VLOOKUP($H151,Depreciation!$A$6:$L$10,10,FALSE)/2,IF($I151&lt;M$3,VLOOKUP($H151,Depreciation!$A$6:$L$10,10,FALSE),0))</f>
        <v>3.0676363676126896E-2</v>
      </c>
      <c r="N151" s="361">
        <f>+IF($I151=N$3,VLOOKUP($H151,Depreciation!$A$6:$L$10,11,FALSE)/2,IF($I151&lt;N$3,VLOOKUP($H151,Depreciation!$A$6:$L$10,11,FALSE),0))</f>
        <v>3.0676363676126896E-2</v>
      </c>
      <c r="O151" s="361">
        <f>+IF($I151=O$3,VLOOKUP($H151,Depreciation!$A$6:$L$10,12,FALSE)/2,IF($I151&lt;O$3,VLOOKUP($H151,Depreciation!$A$6:$L$10,12,FALSE),0))</f>
        <v>3.0676363676126896E-2</v>
      </c>
      <c r="P151" s="362">
        <f t="shared" si="8"/>
        <v>15958677.548584132</v>
      </c>
      <c r="Q151" s="362">
        <f t="shared" si="9"/>
        <v>15958677.548584132</v>
      </c>
      <c r="R151" s="363">
        <f t="shared" si="10"/>
        <v>0</v>
      </c>
      <c r="Y151" s="365"/>
    </row>
    <row r="152" spans="1:25" ht="15" customHeight="1">
      <c r="A152" s="359" t="str">
        <f>'Func Future Lines 2015'!A152</f>
        <v>PPS</v>
      </c>
      <c r="B152" s="359" t="str">
        <f>'Func Future Lines 2015'!B152</f>
        <v>1203L / 1238L / 1239L to 510S</v>
      </c>
      <c r="C152" s="359">
        <f>'Func Future Lines 2015'!C152</f>
        <v>962</v>
      </c>
      <c r="D152" s="359">
        <f>'Func Future Lines 2015'!D152</f>
        <v>500</v>
      </c>
      <c r="E152" s="359">
        <f>'Func Future Lines 2015'!E152</f>
        <v>0</v>
      </c>
      <c r="F152" s="359" t="str">
        <f>'Func Future Lines 2015'!F152</f>
        <v>northwest</v>
      </c>
      <c r="G152" s="359">
        <f>'Func Future Lines 2015'!G152</f>
        <v>4282968.0875220895</v>
      </c>
      <c r="H152" s="359" t="str">
        <f>'Func Future Lines 2015'!H152</f>
        <v>EPCOR</v>
      </c>
      <c r="I152" s="359">
        <f>'Func Future Lines 2015'!I152</f>
        <v>2015</v>
      </c>
      <c r="J152" s="361">
        <f>+IF($I152=J$3,VLOOKUP($H152,Depreciation!$A$6:$L$10,7,FALSE)/2,IF($I152&lt;J$3,VLOOKUP($H152,Depreciation!$A$6:$L$10,7,FALSE),0))</f>
        <v>1.1530980651952941E-2</v>
      </c>
      <c r="K152" s="361">
        <f>+IF($I152=K$3,VLOOKUP($H152,Depreciation!$A$6:$L$10,8,FALSE)/2,IF($I152&lt;K$3,VLOOKUP($H152,Depreciation!$A$6:$L$10,8,FALSE),0))</f>
        <v>2.3062337210051284E-2</v>
      </c>
      <c r="L152" s="361">
        <f>+IF($I152=L$3,VLOOKUP($H152,Depreciation!$A$6:$L$10,9,FALSE)/2,IF($I152&lt;L$3,VLOOKUP($H152,Depreciation!$A$6:$L$10,9,FALSE),0))</f>
        <v>2.3063912319658014E-2</v>
      </c>
      <c r="M152" s="361">
        <f>+IF($I152=M$3,VLOOKUP($H152,Depreciation!$A$6:$L$10,10,FALSE)/2,IF($I152&lt;M$3,VLOOKUP($H152,Depreciation!$A$6:$L$10,10,FALSE),0))</f>
        <v>2.3063912319658014E-2</v>
      </c>
      <c r="N152" s="361">
        <f>+IF($I152=N$3,VLOOKUP($H152,Depreciation!$A$6:$L$10,11,FALSE)/2,IF($I152&lt;N$3,VLOOKUP($H152,Depreciation!$A$6:$L$10,11,FALSE),0))</f>
        <v>2.3063912319658014E-2</v>
      </c>
      <c r="O152" s="361">
        <f>+IF($I152=O$3,VLOOKUP($H152,Depreciation!$A$6:$L$10,12,FALSE)/2,IF($I152&lt;O$3,VLOOKUP($H152,Depreciation!$A$6:$L$10,12,FALSE),0))</f>
        <v>2.3063912319658014E-2</v>
      </c>
      <c r="P152" s="362">
        <f t="shared" si="8"/>
        <v>3947362.9328958569</v>
      </c>
      <c r="Q152" s="362">
        <f t="shared" si="9"/>
        <v>3947362.9328958569</v>
      </c>
      <c r="R152" s="363">
        <f t="shared" si="10"/>
        <v>0</v>
      </c>
      <c r="Y152" s="365"/>
    </row>
    <row r="153" spans="1:25" ht="15" customHeight="1">
      <c r="A153" s="359" t="str">
        <f>'Func Future Lines 2015'!A153</f>
        <v>PPS</v>
      </c>
      <c r="B153" s="359" t="str">
        <f>'Func Future Lines 2015'!B153</f>
        <v>1209L 330P to 89S</v>
      </c>
      <c r="C153" s="359">
        <f>'Func Future Lines 2015'!C153</f>
        <v>962</v>
      </c>
      <c r="D153" s="359">
        <f>'Func Future Lines 2015'!D153</f>
        <v>500</v>
      </c>
      <c r="E153" s="359">
        <f>'Func Future Lines 2015'!E153</f>
        <v>0</v>
      </c>
      <c r="F153" s="359" t="str">
        <f>'Func Future Lines 2015'!F153</f>
        <v>northwest</v>
      </c>
      <c r="G153" s="359">
        <f>'Func Future Lines 2015'!G153</f>
        <v>7200931.5202669203</v>
      </c>
      <c r="H153" s="359" t="str">
        <f>'Func Future Lines 2015'!H153</f>
        <v>EPCOR</v>
      </c>
      <c r="I153" s="359">
        <f>'Func Future Lines 2015'!I153</f>
        <v>2015</v>
      </c>
      <c r="J153" s="361">
        <f>+IF($I153=J$3,VLOOKUP($H153,Depreciation!$A$6:$L$10,7,FALSE)/2,IF($I153&lt;J$3,VLOOKUP($H153,Depreciation!$A$6:$L$10,7,FALSE),0))</f>
        <v>1.1530980651952941E-2</v>
      </c>
      <c r="K153" s="361">
        <f>+IF($I153=K$3,VLOOKUP($H153,Depreciation!$A$6:$L$10,8,FALSE)/2,IF($I153&lt;K$3,VLOOKUP($H153,Depreciation!$A$6:$L$10,8,FALSE),0))</f>
        <v>2.3062337210051284E-2</v>
      </c>
      <c r="L153" s="361">
        <f>+IF($I153=L$3,VLOOKUP($H153,Depreciation!$A$6:$L$10,9,FALSE)/2,IF($I153&lt;L$3,VLOOKUP($H153,Depreciation!$A$6:$L$10,9,FALSE),0))</f>
        <v>2.3063912319658014E-2</v>
      </c>
      <c r="M153" s="361">
        <f>+IF($I153=M$3,VLOOKUP($H153,Depreciation!$A$6:$L$10,10,FALSE)/2,IF($I153&lt;M$3,VLOOKUP($H153,Depreciation!$A$6:$L$10,10,FALSE),0))</f>
        <v>2.3063912319658014E-2</v>
      </c>
      <c r="N153" s="361">
        <f>+IF($I153=N$3,VLOOKUP($H153,Depreciation!$A$6:$L$10,11,FALSE)/2,IF($I153&lt;N$3,VLOOKUP($H153,Depreciation!$A$6:$L$10,11,FALSE),0))</f>
        <v>2.3063912319658014E-2</v>
      </c>
      <c r="O153" s="361">
        <f>+IF($I153=O$3,VLOOKUP($H153,Depreciation!$A$6:$L$10,12,FALSE)/2,IF($I153&lt;O$3,VLOOKUP($H153,Depreciation!$A$6:$L$10,12,FALSE),0))</f>
        <v>2.3063912319658014E-2</v>
      </c>
      <c r="P153" s="362">
        <f t="shared" si="8"/>
        <v>6636680.3545034481</v>
      </c>
      <c r="Q153" s="362">
        <f t="shared" si="9"/>
        <v>6636680.3545034481</v>
      </c>
      <c r="R153" s="363">
        <f t="shared" si="10"/>
        <v>0</v>
      </c>
      <c r="Y153" s="365"/>
    </row>
    <row r="154" spans="1:25" ht="15" customHeight="1">
      <c r="A154" s="359" t="str">
        <f>'Func Future Lines 2015'!A154</f>
        <v>PPS</v>
      </c>
      <c r="B154" s="359" t="str">
        <f>'Func Future Lines 2015'!B154</f>
        <v>1323L / 1323AL</v>
      </c>
      <c r="C154" s="359">
        <f>'Func Future Lines 2015'!C154</f>
        <v>962</v>
      </c>
      <c r="D154" s="359">
        <f>'Func Future Lines 2015'!D154</f>
        <v>500</v>
      </c>
      <c r="E154" s="359">
        <f>'Func Future Lines 2015'!E154</f>
        <v>0</v>
      </c>
      <c r="F154" s="359">
        <f>'Func Future Lines 2015'!F154</f>
        <v>0</v>
      </c>
      <c r="G154" s="359">
        <f>'Func Future Lines 2015'!G154</f>
        <v>5797511.6642460758</v>
      </c>
      <c r="H154" s="359" t="str">
        <f>'Func Future Lines 2015'!H154</f>
        <v>AltaLink</v>
      </c>
      <c r="I154" s="359">
        <f>'Func Future Lines 2015'!I154</f>
        <v>2015</v>
      </c>
      <c r="J154" s="361">
        <f>+IF($I154=J$3,VLOOKUP($H154,Depreciation!$A$6:$L$10,7,FALSE)/2,IF($I154&lt;J$3,VLOOKUP($H154,Depreciation!$A$6:$L$10,7,FALSE),0))</f>
        <v>1.595020804044691E-2</v>
      </c>
      <c r="K154" s="361">
        <f>+IF($I154=K$3,VLOOKUP($H154,Depreciation!$A$6:$L$10,8,FALSE)/2,IF($I154&lt;K$3,VLOOKUP($H154,Depreciation!$A$6:$L$10,8,FALSE),0))</f>
        <v>3.0676363676126896E-2</v>
      </c>
      <c r="L154" s="361">
        <f>+IF($I154=L$3,VLOOKUP($H154,Depreciation!$A$6:$L$10,9,FALSE)/2,IF($I154&lt;L$3,VLOOKUP($H154,Depreciation!$A$6:$L$10,9,FALSE),0))</f>
        <v>3.0676363676126896E-2</v>
      </c>
      <c r="M154" s="361">
        <f>+IF($I154=M$3,VLOOKUP($H154,Depreciation!$A$6:$L$10,10,FALSE)/2,IF($I154&lt;M$3,VLOOKUP($H154,Depreciation!$A$6:$L$10,10,FALSE),0))</f>
        <v>3.0676363676126896E-2</v>
      </c>
      <c r="N154" s="361">
        <f>+IF($I154=N$3,VLOOKUP($H154,Depreciation!$A$6:$L$10,11,FALSE)/2,IF($I154&lt;N$3,VLOOKUP($H154,Depreciation!$A$6:$L$10,11,FALSE),0))</f>
        <v>3.0676363676126896E-2</v>
      </c>
      <c r="O154" s="361">
        <f>+IF($I154=O$3,VLOOKUP($H154,Depreciation!$A$6:$L$10,12,FALSE)/2,IF($I154&lt;O$3,VLOOKUP($H154,Depreciation!$A$6:$L$10,12,FALSE),0))</f>
        <v>3.0676363676126896E-2</v>
      </c>
      <c r="P154" s="362">
        <f t="shared" si="8"/>
        <v>5195951.7976496788</v>
      </c>
      <c r="Q154" s="362">
        <f t="shared" si="9"/>
        <v>5195951.7976496788</v>
      </c>
      <c r="R154" s="363">
        <f t="shared" si="10"/>
        <v>0</v>
      </c>
      <c r="Y154" s="365"/>
    </row>
    <row r="155" spans="1:25" ht="15" customHeight="1">
      <c r="A155" s="359" t="str">
        <f>'Func Future Lines 2015'!A155</f>
        <v>PPS</v>
      </c>
      <c r="B155" s="359" t="str">
        <f>'Func Future Lines 2015'!B155</f>
        <v>1323L / 1323AL</v>
      </c>
      <c r="C155" s="359">
        <f>'Func Future Lines 2015'!C155</f>
        <v>962</v>
      </c>
      <c r="D155" s="359">
        <f>'Func Future Lines 2015'!D155</f>
        <v>500</v>
      </c>
      <c r="E155" s="359">
        <f>'Func Future Lines 2015'!E155</f>
        <v>0</v>
      </c>
      <c r="F155" s="359">
        <f>'Func Future Lines 2015'!F155</f>
        <v>0</v>
      </c>
      <c r="G155" s="359">
        <f>'Func Future Lines 2015'!G155</f>
        <v>5797512.9227138078</v>
      </c>
      <c r="H155" s="359" t="str">
        <f>'Func Future Lines 2015'!H155</f>
        <v>AltaLink</v>
      </c>
      <c r="I155" s="359">
        <f>'Func Future Lines 2015'!I155</f>
        <v>2015</v>
      </c>
      <c r="J155" s="361">
        <f>+IF($I155=J$3,VLOOKUP($H155,Depreciation!$A$6:$L$10,7,FALSE)/2,IF($I155&lt;J$3,VLOOKUP($H155,Depreciation!$A$6:$L$10,7,FALSE),0))</f>
        <v>1.595020804044691E-2</v>
      </c>
      <c r="K155" s="361">
        <f>+IF($I155=K$3,VLOOKUP($H155,Depreciation!$A$6:$L$10,8,FALSE)/2,IF($I155&lt;K$3,VLOOKUP($H155,Depreciation!$A$6:$L$10,8,FALSE),0))</f>
        <v>3.0676363676126896E-2</v>
      </c>
      <c r="L155" s="361">
        <f>+IF($I155=L$3,VLOOKUP($H155,Depreciation!$A$6:$L$10,9,FALSE)/2,IF($I155&lt;L$3,VLOOKUP($H155,Depreciation!$A$6:$L$10,9,FALSE),0))</f>
        <v>3.0676363676126896E-2</v>
      </c>
      <c r="M155" s="361">
        <f>+IF($I155=M$3,VLOOKUP($H155,Depreciation!$A$6:$L$10,10,FALSE)/2,IF($I155&lt;M$3,VLOOKUP($H155,Depreciation!$A$6:$L$10,10,FALSE),0))</f>
        <v>3.0676363676126896E-2</v>
      </c>
      <c r="N155" s="361">
        <f>+IF($I155=N$3,VLOOKUP($H155,Depreciation!$A$6:$L$10,11,FALSE)/2,IF($I155&lt;N$3,VLOOKUP($H155,Depreciation!$A$6:$L$10,11,FALSE),0))</f>
        <v>3.0676363676126896E-2</v>
      </c>
      <c r="O155" s="361">
        <f>+IF($I155=O$3,VLOOKUP($H155,Depreciation!$A$6:$L$10,12,FALSE)/2,IF($I155&lt;O$3,VLOOKUP($H155,Depreciation!$A$6:$L$10,12,FALSE),0))</f>
        <v>3.0676363676126896E-2</v>
      </c>
      <c r="P155" s="362">
        <f t="shared" si="8"/>
        <v>5195952.9255366148</v>
      </c>
      <c r="Q155" s="362">
        <f t="shared" si="9"/>
        <v>5195952.9255366148</v>
      </c>
      <c r="R155" s="363">
        <f t="shared" si="10"/>
        <v>0</v>
      </c>
      <c r="Y155" s="365"/>
    </row>
    <row r="156" spans="1:25" ht="15" customHeight="1">
      <c r="A156" s="359" t="str">
        <f>'Func Future Lines 2015'!A156</f>
        <v>PPS</v>
      </c>
      <c r="B156" s="359" t="str">
        <f>'Func Future Lines 2015'!B156</f>
        <v>166L crossing180</v>
      </c>
      <c r="C156" s="359">
        <f>'Func Future Lines 2015'!C156</f>
        <v>962</v>
      </c>
      <c r="D156" s="359">
        <f>'Func Future Lines 2015'!D156</f>
        <v>138</v>
      </c>
      <c r="E156" s="359">
        <f>'Func Future Lines 2015'!E156</f>
        <v>0</v>
      </c>
      <c r="F156" s="359">
        <f>'Func Future Lines 2015'!F156</f>
        <v>0</v>
      </c>
      <c r="G156" s="359">
        <f>'Func Future Lines 2015'!G156</f>
        <v>1759.3378891942859</v>
      </c>
      <c r="H156" s="359" t="str">
        <f>'Func Future Lines 2015'!H156</f>
        <v>AltaLink</v>
      </c>
      <c r="I156" s="359">
        <f>'Func Future Lines 2015'!I156</f>
        <v>2015</v>
      </c>
      <c r="J156" s="361">
        <f>+IF($I156=J$3,VLOOKUP($H156,Depreciation!$A$6:$L$10,7,FALSE)/2,IF($I156&lt;J$3,VLOOKUP($H156,Depreciation!$A$6:$L$10,7,FALSE),0))</f>
        <v>1.595020804044691E-2</v>
      </c>
      <c r="K156" s="361">
        <f>+IF($I156=K$3,VLOOKUP($H156,Depreciation!$A$6:$L$10,8,FALSE)/2,IF($I156&lt;K$3,VLOOKUP($H156,Depreciation!$A$6:$L$10,8,FALSE),0))</f>
        <v>3.0676363676126896E-2</v>
      </c>
      <c r="L156" s="361">
        <f>+IF($I156=L$3,VLOOKUP($H156,Depreciation!$A$6:$L$10,9,FALSE)/2,IF($I156&lt;L$3,VLOOKUP($H156,Depreciation!$A$6:$L$10,9,FALSE),0))</f>
        <v>3.0676363676126896E-2</v>
      </c>
      <c r="M156" s="361">
        <f>+IF($I156=M$3,VLOOKUP($H156,Depreciation!$A$6:$L$10,10,FALSE)/2,IF($I156&lt;M$3,VLOOKUP($H156,Depreciation!$A$6:$L$10,10,FALSE),0))</f>
        <v>3.0676363676126896E-2</v>
      </c>
      <c r="N156" s="361">
        <f>+IF($I156=N$3,VLOOKUP($H156,Depreciation!$A$6:$L$10,11,FALSE)/2,IF($I156&lt;N$3,VLOOKUP($H156,Depreciation!$A$6:$L$10,11,FALSE),0))</f>
        <v>3.0676363676126896E-2</v>
      </c>
      <c r="O156" s="361">
        <f>+IF($I156=O$3,VLOOKUP($H156,Depreciation!$A$6:$L$10,12,FALSE)/2,IF($I156&lt;O$3,VLOOKUP($H156,Depreciation!$A$6:$L$10,12,FALSE),0))</f>
        <v>3.0676363676126896E-2</v>
      </c>
      <c r="P156" s="362">
        <f t="shared" si="8"/>
        <v>1576.785938079008</v>
      </c>
      <c r="Q156" s="362">
        <f t="shared" si="9"/>
        <v>0</v>
      </c>
      <c r="R156" s="363">
        <f t="shared" si="10"/>
        <v>1576.785938079008</v>
      </c>
      <c r="Y156" s="365"/>
    </row>
    <row r="157" spans="1:25" ht="15" customHeight="1">
      <c r="A157" s="359" t="str">
        <f>'Func Future Lines 2015'!A157</f>
        <v>PPS</v>
      </c>
      <c r="B157" s="359" t="str">
        <f>'Func Future Lines 2015'!B157</f>
        <v>189L crossing180</v>
      </c>
      <c r="C157" s="359">
        <f>'Func Future Lines 2015'!C157</f>
        <v>962</v>
      </c>
      <c r="D157" s="359">
        <f>'Func Future Lines 2015'!D157</f>
        <v>138</v>
      </c>
      <c r="E157" s="359">
        <f>'Func Future Lines 2015'!E157</f>
        <v>0</v>
      </c>
      <c r="F157" s="359">
        <f>'Func Future Lines 2015'!F157</f>
        <v>0</v>
      </c>
      <c r="G157" s="359">
        <f>'Func Future Lines 2015'!G157</f>
        <v>6009.1834198159622</v>
      </c>
      <c r="H157" s="359" t="str">
        <f>'Func Future Lines 2015'!H157</f>
        <v>AltaLink</v>
      </c>
      <c r="I157" s="359">
        <f>'Func Future Lines 2015'!I157</f>
        <v>2015</v>
      </c>
      <c r="J157" s="361">
        <f>+IF($I157=J$3,VLOOKUP($H157,Depreciation!$A$6:$L$10,7,FALSE)/2,IF($I157&lt;J$3,VLOOKUP($H157,Depreciation!$A$6:$L$10,7,FALSE),0))</f>
        <v>1.595020804044691E-2</v>
      </c>
      <c r="K157" s="361">
        <f>+IF($I157=K$3,VLOOKUP($H157,Depreciation!$A$6:$L$10,8,FALSE)/2,IF($I157&lt;K$3,VLOOKUP($H157,Depreciation!$A$6:$L$10,8,FALSE),0))</f>
        <v>3.0676363676126896E-2</v>
      </c>
      <c r="L157" s="361">
        <f>+IF($I157=L$3,VLOOKUP($H157,Depreciation!$A$6:$L$10,9,FALSE)/2,IF($I157&lt;L$3,VLOOKUP($H157,Depreciation!$A$6:$L$10,9,FALSE),0))</f>
        <v>3.0676363676126896E-2</v>
      </c>
      <c r="M157" s="361">
        <f>+IF($I157=M$3,VLOOKUP($H157,Depreciation!$A$6:$L$10,10,FALSE)/2,IF($I157&lt;M$3,VLOOKUP($H157,Depreciation!$A$6:$L$10,10,FALSE),0))</f>
        <v>3.0676363676126896E-2</v>
      </c>
      <c r="N157" s="361">
        <f>+IF($I157=N$3,VLOOKUP($H157,Depreciation!$A$6:$L$10,11,FALSE)/2,IF($I157&lt;N$3,VLOOKUP($H157,Depreciation!$A$6:$L$10,11,FALSE),0))</f>
        <v>3.0676363676126896E-2</v>
      </c>
      <c r="O157" s="361">
        <f>+IF($I157=O$3,VLOOKUP($H157,Depreciation!$A$6:$L$10,12,FALSE)/2,IF($I157&lt;O$3,VLOOKUP($H157,Depreciation!$A$6:$L$10,12,FALSE),0))</f>
        <v>3.0676363676126896E-2</v>
      </c>
      <c r="P157" s="362">
        <f t="shared" si="8"/>
        <v>5385.6601246976143</v>
      </c>
      <c r="Q157" s="362">
        <f t="shared" si="9"/>
        <v>0</v>
      </c>
      <c r="R157" s="363">
        <f t="shared" si="10"/>
        <v>5385.6601246976143</v>
      </c>
      <c r="Y157" s="365"/>
    </row>
    <row r="158" spans="1:25" ht="15" customHeight="1">
      <c r="A158" s="359" t="str">
        <f>'Func Future Lines 2015'!A158</f>
        <v>PPS</v>
      </c>
      <c r="B158" s="359" t="str">
        <f>'Func Future Lines 2015'!B158</f>
        <v>717L crossing180</v>
      </c>
      <c r="C158" s="359">
        <f>'Func Future Lines 2015'!C158</f>
        <v>962</v>
      </c>
      <c r="D158" s="359">
        <f>'Func Future Lines 2015'!D158</f>
        <v>138</v>
      </c>
      <c r="E158" s="359">
        <f>'Func Future Lines 2015'!E158</f>
        <v>0</v>
      </c>
      <c r="F158" s="359">
        <f>'Func Future Lines 2015'!F158</f>
        <v>0</v>
      </c>
      <c r="G158" s="359">
        <f>'Func Future Lines 2015'!G158</f>
        <v>649.36934965969351</v>
      </c>
      <c r="H158" s="359" t="str">
        <f>'Func Future Lines 2015'!H158</f>
        <v>AltaLink</v>
      </c>
      <c r="I158" s="359">
        <f>'Func Future Lines 2015'!I158</f>
        <v>2015</v>
      </c>
      <c r="J158" s="361">
        <f>+IF($I158=J$3,VLOOKUP($H158,Depreciation!$A$6:$L$10,7,FALSE)/2,IF($I158&lt;J$3,VLOOKUP($H158,Depreciation!$A$6:$L$10,7,FALSE),0))</f>
        <v>1.595020804044691E-2</v>
      </c>
      <c r="K158" s="361">
        <f>+IF($I158=K$3,VLOOKUP($H158,Depreciation!$A$6:$L$10,8,FALSE)/2,IF($I158&lt;K$3,VLOOKUP($H158,Depreciation!$A$6:$L$10,8,FALSE),0))</f>
        <v>3.0676363676126896E-2</v>
      </c>
      <c r="L158" s="361">
        <f>+IF($I158=L$3,VLOOKUP($H158,Depreciation!$A$6:$L$10,9,FALSE)/2,IF($I158&lt;L$3,VLOOKUP($H158,Depreciation!$A$6:$L$10,9,FALSE),0))</f>
        <v>3.0676363676126896E-2</v>
      </c>
      <c r="M158" s="361">
        <f>+IF($I158=M$3,VLOOKUP($H158,Depreciation!$A$6:$L$10,10,FALSE)/2,IF($I158&lt;M$3,VLOOKUP($H158,Depreciation!$A$6:$L$10,10,FALSE),0))</f>
        <v>3.0676363676126896E-2</v>
      </c>
      <c r="N158" s="361">
        <f>+IF($I158=N$3,VLOOKUP($H158,Depreciation!$A$6:$L$10,11,FALSE)/2,IF($I158&lt;N$3,VLOOKUP($H158,Depreciation!$A$6:$L$10,11,FALSE),0))</f>
        <v>3.0676363676126896E-2</v>
      </c>
      <c r="O158" s="361">
        <f>+IF($I158=O$3,VLOOKUP($H158,Depreciation!$A$6:$L$10,12,FALSE)/2,IF($I158&lt;O$3,VLOOKUP($H158,Depreciation!$A$6:$L$10,12,FALSE),0))</f>
        <v>3.0676363676126896E-2</v>
      </c>
      <c r="P158" s="362">
        <f t="shared" si="8"/>
        <v>581.98965954847506</v>
      </c>
      <c r="Q158" s="362">
        <f t="shared" si="9"/>
        <v>0</v>
      </c>
      <c r="R158" s="363">
        <f t="shared" si="10"/>
        <v>581.98965954847506</v>
      </c>
      <c r="Y158" s="365"/>
    </row>
    <row r="159" spans="1:25" ht="15" customHeight="1">
      <c r="A159" s="359" t="str">
        <f>'Func Future Lines 2015'!A159</f>
        <v>PPS</v>
      </c>
      <c r="B159" s="359" t="str">
        <f>'Func Future Lines 2015'!B159</f>
        <v>757L crossing180</v>
      </c>
      <c r="C159" s="359">
        <f>'Func Future Lines 2015'!C159</f>
        <v>962</v>
      </c>
      <c r="D159" s="359">
        <f>'Func Future Lines 2015'!D159</f>
        <v>138</v>
      </c>
      <c r="E159" s="359">
        <f>'Func Future Lines 2015'!E159</f>
        <v>0</v>
      </c>
      <c r="F159" s="359">
        <f>'Func Future Lines 2015'!F159</f>
        <v>0</v>
      </c>
      <c r="G159" s="359">
        <f>'Func Future Lines 2015'!G159</f>
        <v>36306.794065275499</v>
      </c>
      <c r="H159" s="359" t="str">
        <f>'Func Future Lines 2015'!H159</f>
        <v>AltaLink</v>
      </c>
      <c r="I159" s="359">
        <f>'Func Future Lines 2015'!I159</f>
        <v>2015</v>
      </c>
      <c r="J159" s="361">
        <f>+IF($I159=J$3,VLOOKUP($H159,Depreciation!$A$6:$L$10,7,FALSE)/2,IF($I159&lt;J$3,VLOOKUP($H159,Depreciation!$A$6:$L$10,7,FALSE),0))</f>
        <v>1.595020804044691E-2</v>
      </c>
      <c r="K159" s="361">
        <f>+IF($I159=K$3,VLOOKUP($H159,Depreciation!$A$6:$L$10,8,FALSE)/2,IF($I159&lt;K$3,VLOOKUP($H159,Depreciation!$A$6:$L$10,8,FALSE),0))</f>
        <v>3.0676363676126896E-2</v>
      </c>
      <c r="L159" s="361">
        <f>+IF($I159=L$3,VLOOKUP($H159,Depreciation!$A$6:$L$10,9,FALSE)/2,IF($I159&lt;L$3,VLOOKUP($H159,Depreciation!$A$6:$L$10,9,FALSE),0))</f>
        <v>3.0676363676126896E-2</v>
      </c>
      <c r="M159" s="361">
        <f>+IF($I159=M$3,VLOOKUP($H159,Depreciation!$A$6:$L$10,10,FALSE)/2,IF($I159&lt;M$3,VLOOKUP($H159,Depreciation!$A$6:$L$10,10,FALSE),0))</f>
        <v>3.0676363676126896E-2</v>
      </c>
      <c r="N159" s="361">
        <f>+IF($I159=N$3,VLOOKUP($H159,Depreciation!$A$6:$L$10,11,FALSE)/2,IF($I159&lt;N$3,VLOOKUP($H159,Depreciation!$A$6:$L$10,11,FALSE),0))</f>
        <v>3.0676363676126896E-2</v>
      </c>
      <c r="O159" s="361">
        <f>+IF($I159=O$3,VLOOKUP($H159,Depreciation!$A$6:$L$10,12,FALSE)/2,IF($I159&lt;O$3,VLOOKUP($H159,Depreciation!$A$6:$L$10,12,FALSE),0))</f>
        <v>3.0676363676126896E-2</v>
      </c>
      <c r="P159" s="362">
        <f t="shared" si="8"/>
        <v>32539.538135607574</v>
      </c>
      <c r="Q159" s="362">
        <f t="shared" si="9"/>
        <v>0</v>
      </c>
      <c r="R159" s="363">
        <f t="shared" si="10"/>
        <v>32539.538135607574</v>
      </c>
      <c r="Y159" s="365"/>
    </row>
    <row r="160" spans="1:25" ht="15" customHeight="1">
      <c r="A160" s="359" t="str">
        <f>'Func Future Lines 2015'!A160</f>
        <v>PPS</v>
      </c>
      <c r="B160" s="359" t="str">
        <f>'Func Future Lines 2015'!B160</f>
        <v>809L re-route &amp; in-out</v>
      </c>
      <c r="C160" s="359">
        <f>'Func Future Lines 2015'!C160</f>
        <v>962</v>
      </c>
      <c r="D160" s="359">
        <f>'Func Future Lines 2015'!D160</f>
        <v>138</v>
      </c>
      <c r="E160" s="359">
        <f>'Func Future Lines 2015'!E160</f>
        <v>0</v>
      </c>
      <c r="F160" s="359" t="str">
        <f>'Func Future Lines 2015'!F160</f>
        <v>northwest</v>
      </c>
      <c r="G160" s="359">
        <f>'Func Future Lines 2015'!G160</f>
        <v>1102453.8091297615</v>
      </c>
      <c r="H160" s="359" t="str">
        <f>'Func Future Lines 2015'!H160</f>
        <v>EPCOR</v>
      </c>
      <c r="I160" s="359">
        <f>'Func Future Lines 2015'!I160</f>
        <v>2015</v>
      </c>
      <c r="J160" s="361">
        <f>+IF($I160=J$3,VLOOKUP($H160,Depreciation!$A$6:$L$10,7,FALSE)/2,IF($I160&lt;J$3,VLOOKUP($H160,Depreciation!$A$6:$L$10,7,FALSE),0))</f>
        <v>1.1530980651952941E-2</v>
      </c>
      <c r="K160" s="361">
        <f>+IF($I160=K$3,VLOOKUP($H160,Depreciation!$A$6:$L$10,8,FALSE)/2,IF($I160&lt;K$3,VLOOKUP($H160,Depreciation!$A$6:$L$10,8,FALSE),0))</f>
        <v>2.3062337210051284E-2</v>
      </c>
      <c r="L160" s="361">
        <f>+IF($I160=L$3,VLOOKUP($H160,Depreciation!$A$6:$L$10,9,FALSE)/2,IF($I160&lt;L$3,VLOOKUP($H160,Depreciation!$A$6:$L$10,9,FALSE),0))</f>
        <v>2.3063912319658014E-2</v>
      </c>
      <c r="M160" s="361">
        <f>+IF($I160=M$3,VLOOKUP($H160,Depreciation!$A$6:$L$10,10,FALSE)/2,IF($I160&lt;M$3,VLOOKUP($H160,Depreciation!$A$6:$L$10,10,FALSE),0))</f>
        <v>2.3063912319658014E-2</v>
      </c>
      <c r="N160" s="361">
        <f>+IF($I160=N$3,VLOOKUP($H160,Depreciation!$A$6:$L$10,11,FALSE)/2,IF($I160&lt;N$3,VLOOKUP($H160,Depreciation!$A$6:$L$10,11,FALSE),0))</f>
        <v>2.3063912319658014E-2</v>
      </c>
      <c r="O160" s="361">
        <f>+IF($I160=O$3,VLOOKUP($H160,Depreciation!$A$6:$L$10,12,FALSE)/2,IF($I160&lt;O$3,VLOOKUP($H160,Depreciation!$A$6:$L$10,12,FALSE),0))</f>
        <v>2.3063912319658014E-2</v>
      </c>
      <c r="P160" s="362">
        <f t="shared" si="8"/>
        <v>1016067.6457214488</v>
      </c>
      <c r="Q160" s="362">
        <f t="shared" si="9"/>
        <v>0</v>
      </c>
      <c r="R160" s="363">
        <f t="shared" si="10"/>
        <v>1016067.6457214488</v>
      </c>
      <c r="Y160" s="365"/>
    </row>
    <row r="161" spans="1:25" ht="15" customHeight="1">
      <c r="A161" s="359" t="str">
        <f>'Func Future Lines 2015'!A161</f>
        <v>PPS</v>
      </c>
      <c r="B161" s="359" t="str">
        <f>'Func Future Lines 2015'!B161</f>
        <v>80L crossing180</v>
      </c>
      <c r="C161" s="359">
        <f>'Func Future Lines 2015'!C161</f>
        <v>962</v>
      </c>
      <c r="D161" s="359">
        <f>'Func Future Lines 2015'!D161</f>
        <v>138</v>
      </c>
      <c r="E161" s="359">
        <f>'Func Future Lines 2015'!E161</f>
        <v>0</v>
      </c>
      <c r="F161" s="359">
        <f>'Func Future Lines 2015'!F161</f>
        <v>0</v>
      </c>
      <c r="G161" s="359">
        <f>'Func Future Lines 2015'!G161</f>
        <v>357.40483585921118</v>
      </c>
      <c r="H161" s="359" t="str">
        <f>'Func Future Lines 2015'!H161</f>
        <v>AltaLink</v>
      </c>
      <c r="I161" s="359">
        <f>'Func Future Lines 2015'!I161</f>
        <v>2015</v>
      </c>
      <c r="J161" s="361">
        <f>+IF($I161=J$3,VLOOKUP($H161,Depreciation!$A$6:$L$10,7,FALSE)/2,IF($I161&lt;J$3,VLOOKUP($H161,Depreciation!$A$6:$L$10,7,FALSE),0))</f>
        <v>1.595020804044691E-2</v>
      </c>
      <c r="K161" s="361">
        <f>+IF($I161=K$3,VLOOKUP($H161,Depreciation!$A$6:$L$10,8,FALSE)/2,IF($I161&lt;K$3,VLOOKUP($H161,Depreciation!$A$6:$L$10,8,FALSE),0))</f>
        <v>3.0676363676126896E-2</v>
      </c>
      <c r="L161" s="361">
        <f>+IF($I161=L$3,VLOOKUP($H161,Depreciation!$A$6:$L$10,9,FALSE)/2,IF($I161&lt;L$3,VLOOKUP($H161,Depreciation!$A$6:$L$10,9,FALSE),0))</f>
        <v>3.0676363676126896E-2</v>
      </c>
      <c r="M161" s="361">
        <f>+IF($I161=M$3,VLOOKUP($H161,Depreciation!$A$6:$L$10,10,FALSE)/2,IF($I161&lt;M$3,VLOOKUP($H161,Depreciation!$A$6:$L$10,10,FALSE),0))</f>
        <v>3.0676363676126896E-2</v>
      </c>
      <c r="N161" s="361">
        <f>+IF($I161=N$3,VLOOKUP($H161,Depreciation!$A$6:$L$10,11,FALSE)/2,IF($I161&lt;N$3,VLOOKUP($H161,Depreciation!$A$6:$L$10,11,FALSE),0))</f>
        <v>3.0676363676126896E-2</v>
      </c>
      <c r="O161" s="361">
        <f>+IF($I161=O$3,VLOOKUP($H161,Depreciation!$A$6:$L$10,12,FALSE)/2,IF($I161&lt;O$3,VLOOKUP($H161,Depreciation!$A$6:$L$10,12,FALSE),0))</f>
        <v>3.0676363676126896E-2</v>
      </c>
      <c r="P161" s="362">
        <f t="shared" si="8"/>
        <v>320.31989013908321</v>
      </c>
      <c r="Q161" s="362">
        <f t="shared" si="9"/>
        <v>0</v>
      </c>
      <c r="R161" s="363">
        <f t="shared" si="10"/>
        <v>320.31989013908321</v>
      </c>
      <c r="Y161" s="365"/>
    </row>
    <row r="162" spans="1:25" ht="15" customHeight="1">
      <c r="A162" s="359" t="str">
        <f>'Func Future Lines 2015'!A162</f>
        <v>PPS</v>
      </c>
      <c r="B162" s="359" t="str">
        <f>'Func Future Lines 2015'!B162</f>
        <v>906L / 928L 180</v>
      </c>
      <c r="C162" s="359">
        <f>'Func Future Lines 2015'!C162</f>
        <v>962</v>
      </c>
      <c r="D162" s="359">
        <f>'Func Future Lines 2015'!D162</f>
        <v>240</v>
      </c>
      <c r="E162" s="359">
        <f>'Func Future Lines 2015'!E162</f>
        <v>0</v>
      </c>
      <c r="F162" s="359">
        <f>'Func Future Lines 2015'!F162</f>
        <v>0</v>
      </c>
      <c r="G162" s="359">
        <f>'Func Future Lines 2015'!G162</f>
        <v>3139139.5289961915</v>
      </c>
      <c r="H162" s="359" t="str">
        <f>'Func Future Lines 2015'!H162</f>
        <v>AltaLink</v>
      </c>
      <c r="I162" s="359">
        <f>'Func Future Lines 2015'!I162</f>
        <v>2015</v>
      </c>
      <c r="J162" s="361">
        <f>+IF($I162=J$3,VLOOKUP($H162,Depreciation!$A$6:$L$10,7,FALSE)/2,IF($I162&lt;J$3,VLOOKUP($H162,Depreciation!$A$6:$L$10,7,FALSE),0))</f>
        <v>1.595020804044691E-2</v>
      </c>
      <c r="K162" s="361">
        <f>+IF($I162=K$3,VLOOKUP($H162,Depreciation!$A$6:$L$10,8,FALSE)/2,IF($I162&lt;K$3,VLOOKUP($H162,Depreciation!$A$6:$L$10,8,FALSE),0))</f>
        <v>3.0676363676126896E-2</v>
      </c>
      <c r="L162" s="361">
        <f>+IF($I162=L$3,VLOOKUP($H162,Depreciation!$A$6:$L$10,9,FALSE)/2,IF($I162&lt;L$3,VLOOKUP($H162,Depreciation!$A$6:$L$10,9,FALSE),0))</f>
        <v>3.0676363676126896E-2</v>
      </c>
      <c r="M162" s="361">
        <f>+IF($I162=M$3,VLOOKUP($H162,Depreciation!$A$6:$L$10,10,FALSE)/2,IF($I162&lt;M$3,VLOOKUP($H162,Depreciation!$A$6:$L$10,10,FALSE),0))</f>
        <v>3.0676363676126896E-2</v>
      </c>
      <c r="N162" s="361">
        <f>+IF($I162=N$3,VLOOKUP($H162,Depreciation!$A$6:$L$10,11,FALSE)/2,IF($I162&lt;N$3,VLOOKUP($H162,Depreciation!$A$6:$L$10,11,FALSE),0))</f>
        <v>3.0676363676126896E-2</v>
      </c>
      <c r="O162" s="361">
        <f>+IF($I162=O$3,VLOOKUP($H162,Depreciation!$A$6:$L$10,12,FALSE)/2,IF($I162&lt;O$3,VLOOKUP($H162,Depreciation!$A$6:$L$10,12,FALSE),0))</f>
        <v>3.0676363676126896E-2</v>
      </c>
      <c r="P162" s="362">
        <f t="shared" si="8"/>
        <v>2813416.9663429265</v>
      </c>
      <c r="Q162" s="362">
        <f t="shared" si="9"/>
        <v>2813416.9663429265</v>
      </c>
      <c r="R162" s="363">
        <f t="shared" si="10"/>
        <v>0</v>
      </c>
      <c r="Y162" s="365"/>
    </row>
    <row r="163" spans="1:25" ht="15" customHeight="1">
      <c r="A163" s="359" t="str">
        <f>'Func Future Lines 2015'!A163</f>
        <v>PPS</v>
      </c>
      <c r="B163" s="359" t="str">
        <f>'Func Future Lines 2015'!B163</f>
        <v>918L 180</v>
      </c>
      <c r="C163" s="359">
        <f>'Func Future Lines 2015'!C163</f>
        <v>962</v>
      </c>
      <c r="D163" s="359">
        <f>'Func Future Lines 2015'!D163</f>
        <v>240</v>
      </c>
      <c r="E163" s="359">
        <f>'Func Future Lines 2015'!E163</f>
        <v>0</v>
      </c>
      <c r="F163" s="359">
        <f>'Func Future Lines 2015'!F163</f>
        <v>0</v>
      </c>
      <c r="G163" s="359">
        <f>'Func Future Lines 2015'!G163</f>
        <v>2722397.9395779595</v>
      </c>
      <c r="H163" s="359" t="str">
        <f>'Func Future Lines 2015'!H163</f>
        <v>AltaLink</v>
      </c>
      <c r="I163" s="359">
        <f>'Func Future Lines 2015'!I163</f>
        <v>2015</v>
      </c>
      <c r="J163" s="361">
        <f>+IF($I163=J$3,VLOOKUP($H163,Depreciation!$A$6:$L$10,7,FALSE)/2,IF($I163&lt;J$3,VLOOKUP($H163,Depreciation!$A$6:$L$10,7,FALSE),0))</f>
        <v>1.595020804044691E-2</v>
      </c>
      <c r="K163" s="361">
        <f>+IF($I163=K$3,VLOOKUP($H163,Depreciation!$A$6:$L$10,8,FALSE)/2,IF($I163&lt;K$3,VLOOKUP($H163,Depreciation!$A$6:$L$10,8,FALSE),0))</f>
        <v>3.0676363676126896E-2</v>
      </c>
      <c r="L163" s="361">
        <f>+IF($I163=L$3,VLOOKUP($H163,Depreciation!$A$6:$L$10,9,FALSE)/2,IF($I163&lt;L$3,VLOOKUP($H163,Depreciation!$A$6:$L$10,9,FALSE),0))</f>
        <v>3.0676363676126896E-2</v>
      </c>
      <c r="M163" s="361">
        <f>+IF($I163=M$3,VLOOKUP($H163,Depreciation!$A$6:$L$10,10,FALSE)/2,IF($I163&lt;M$3,VLOOKUP($H163,Depreciation!$A$6:$L$10,10,FALSE),0))</f>
        <v>3.0676363676126896E-2</v>
      </c>
      <c r="N163" s="361">
        <f>+IF($I163=N$3,VLOOKUP($H163,Depreciation!$A$6:$L$10,11,FALSE)/2,IF($I163&lt;N$3,VLOOKUP($H163,Depreciation!$A$6:$L$10,11,FALSE),0))</f>
        <v>3.0676363676126896E-2</v>
      </c>
      <c r="O163" s="361">
        <f>+IF($I163=O$3,VLOOKUP($H163,Depreciation!$A$6:$L$10,12,FALSE)/2,IF($I163&lt;O$3,VLOOKUP($H163,Depreciation!$A$6:$L$10,12,FALSE),0))</f>
        <v>3.0676363676126896E-2</v>
      </c>
      <c r="P163" s="362">
        <f t="shared" si="8"/>
        <v>2439917.2071191324</v>
      </c>
      <c r="Q163" s="362">
        <f t="shared" si="9"/>
        <v>2439917.2071191324</v>
      </c>
      <c r="R163" s="363">
        <f t="shared" si="10"/>
        <v>0</v>
      </c>
      <c r="Y163" s="365"/>
    </row>
    <row r="164" spans="1:25">
      <c r="A164" s="359" t="str">
        <f>'Func Future Lines 2015'!A164</f>
        <v>PPS</v>
      </c>
      <c r="B164" s="359" t="str">
        <f>'Func Future Lines 2015'!B164</f>
        <v>924L / 927L</v>
      </c>
      <c r="C164" s="359">
        <f>'Func Future Lines 2015'!C164</f>
        <v>962</v>
      </c>
      <c r="D164" s="359">
        <f>'Func Future Lines 2015'!D164</f>
        <v>240</v>
      </c>
      <c r="E164" s="359">
        <f>'Func Future Lines 2015'!E164</f>
        <v>0</v>
      </c>
      <c r="F164" s="359">
        <f>'Func Future Lines 2015'!F164</f>
        <v>0</v>
      </c>
      <c r="G164" s="359">
        <f>'Func Future Lines 2015'!G164</f>
        <v>1942419.7748308987</v>
      </c>
      <c r="H164" s="359" t="str">
        <f>'Func Future Lines 2015'!H164</f>
        <v>AltaLink</v>
      </c>
      <c r="I164" s="359">
        <f>'Func Future Lines 2015'!I164</f>
        <v>2015</v>
      </c>
      <c r="J164" s="361">
        <f>+IF($I164=J$3,VLOOKUP($H164,Depreciation!$A$6:$L$10,7,FALSE)/2,IF($I164&lt;J$3,VLOOKUP($H164,Depreciation!$A$6:$L$10,7,FALSE),0))</f>
        <v>1.595020804044691E-2</v>
      </c>
      <c r="K164" s="361">
        <f>+IF($I164=K$3,VLOOKUP($H164,Depreciation!$A$6:$L$10,8,FALSE)/2,IF($I164&lt;K$3,VLOOKUP($H164,Depreciation!$A$6:$L$10,8,FALSE),0))</f>
        <v>3.0676363676126896E-2</v>
      </c>
      <c r="L164" s="361">
        <f>+IF($I164=L$3,VLOOKUP($H164,Depreciation!$A$6:$L$10,9,FALSE)/2,IF($I164&lt;L$3,VLOOKUP($H164,Depreciation!$A$6:$L$10,9,FALSE),0))</f>
        <v>3.0676363676126896E-2</v>
      </c>
      <c r="M164" s="361">
        <f>+IF($I164=M$3,VLOOKUP($H164,Depreciation!$A$6:$L$10,10,FALSE)/2,IF($I164&lt;M$3,VLOOKUP($H164,Depreciation!$A$6:$L$10,10,FALSE),0))</f>
        <v>3.0676363676126896E-2</v>
      </c>
      <c r="N164" s="361">
        <f>+IF($I164=N$3,VLOOKUP($H164,Depreciation!$A$6:$L$10,11,FALSE)/2,IF($I164&lt;N$3,VLOOKUP($H164,Depreciation!$A$6:$L$10,11,FALSE),0))</f>
        <v>3.0676363676126896E-2</v>
      </c>
      <c r="O164" s="361">
        <f>+IF($I164=O$3,VLOOKUP($H164,Depreciation!$A$6:$L$10,12,FALSE)/2,IF($I164&lt;O$3,VLOOKUP($H164,Depreciation!$A$6:$L$10,12,FALSE),0))</f>
        <v>3.0676363676126896E-2</v>
      </c>
      <c r="P164" s="362">
        <f t="shared" si="8"/>
        <v>1740870.9296896907</v>
      </c>
      <c r="Q164" s="362">
        <f t="shared" si="9"/>
        <v>1740870.9296896907</v>
      </c>
      <c r="R164" s="363">
        <f t="shared" si="10"/>
        <v>0</v>
      </c>
    </row>
    <row r="165" spans="1:25">
      <c r="A165" s="359" t="str">
        <f>'Func Future Lines 2015'!A165</f>
        <v>PPS</v>
      </c>
      <c r="B165" s="359" t="str">
        <f>'Func Future Lines 2015'!B165</f>
        <v>925L / 929L 180</v>
      </c>
      <c r="C165" s="359">
        <f>'Func Future Lines 2015'!C165</f>
        <v>962</v>
      </c>
      <c r="D165" s="359">
        <f>'Func Future Lines 2015'!D165</f>
        <v>240</v>
      </c>
      <c r="E165" s="359">
        <f>'Func Future Lines 2015'!E165</f>
        <v>0</v>
      </c>
      <c r="F165" s="359">
        <f>'Func Future Lines 2015'!F165</f>
        <v>0</v>
      </c>
      <c r="G165" s="359">
        <f>'Func Future Lines 2015'!G165</f>
        <v>5765561.6854686337</v>
      </c>
      <c r="H165" s="359" t="str">
        <f>'Func Future Lines 2015'!H165</f>
        <v>AltaLink</v>
      </c>
      <c r="I165" s="359">
        <f>'Func Future Lines 2015'!I165</f>
        <v>2015</v>
      </c>
      <c r="J165" s="361">
        <f>+IF($I165=J$3,VLOOKUP($H165,Depreciation!$A$6:$L$10,7,FALSE)/2,IF($I165&lt;J$3,VLOOKUP($H165,Depreciation!$A$6:$L$10,7,FALSE),0))</f>
        <v>1.595020804044691E-2</v>
      </c>
      <c r="K165" s="361">
        <f>+IF($I165=K$3,VLOOKUP($H165,Depreciation!$A$6:$L$10,8,FALSE)/2,IF($I165&lt;K$3,VLOOKUP($H165,Depreciation!$A$6:$L$10,8,FALSE),0))</f>
        <v>3.0676363676126896E-2</v>
      </c>
      <c r="L165" s="361">
        <f>+IF($I165=L$3,VLOOKUP($H165,Depreciation!$A$6:$L$10,9,FALSE)/2,IF($I165&lt;L$3,VLOOKUP($H165,Depreciation!$A$6:$L$10,9,FALSE),0))</f>
        <v>3.0676363676126896E-2</v>
      </c>
      <c r="M165" s="361">
        <f>+IF($I165=M$3,VLOOKUP($H165,Depreciation!$A$6:$L$10,10,FALSE)/2,IF($I165&lt;M$3,VLOOKUP($H165,Depreciation!$A$6:$L$10,10,FALSE),0))</f>
        <v>3.0676363676126896E-2</v>
      </c>
      <c r="N165" s="361">
        <f>+IF($I165=N$3,VLOOKUP($H165,Depreciation!$A$6:$L$10,11,FALSE)/2,IF($I165&lt;N$3,VLOOKUP($H165,Depreciation!$A$6:$L$10,11,FALSE),0))</f>
        <v>3.0676363676126896E-2</v>
      </c>
      <c r="O165" s="361">
        <f>+IF($I165=O$3,VLOOKUP($H165,Depreciation!$A$6:$L$10,12,FALSE)/2,IF($I165&lt;O$3,VLOOKUP($H165,Depreciation!$A$6:$L$10,12,FALSE),0))</f>
        <v>3.0676363676126896E-2</v>
      </c>
      <c r="P165" s="362">
        <f t="shared" si="8"/>
        <v>5167317.0040903436</v>
      </c>
      <c r="Q165" s="362">
        <f t="shared" si="9"/>
        <v>5167317.0040903436</v>
      </c>
      <c r="R165" s="363">
        <f t="shared" si="10"/>
        <v>0</v>
      </c>
    </row>
    <row r="166" spans="1:25">
      <c r="A166" s="359" t="str">
        <f>'Func Future Lines 2015'!A166</f>
        <v>PPS</v>
      </c>
      <c r="B166" s="359" t="str">
        <f>'Func Future Lines 2015'!B166</f>
        <v>936L / 937L</v>
      </c>
      <c r="C166" s="359">
        <f>'Func Future Lines 2015'!C166</f>
        <v>962</v>
      </c>
      <c r="D166" s="359">
        <f>'Func Future Lines 2015'!D166</f>
        <v>240</v>
      </c>
      <c r="E166" s="359">
        <f>'Func Future Lines 2015'!E166</f>
        <v>0</v>
      </c>
      <c r="F166" s="359">
        <f>'Func Future Lines 2015'!F166</f>
        <v>0</v>
      </c>
      <c r="G166" s="359">
        <f>'Func Future Lines 2015'!G166</f>
        <v>2839515.9805793739</v>
      </c>
      <c r="H166" s="359" t="str">
        <f>'Func Future Lines 2015'!H166</f>
        <v>AltaLink</v>
      </c>
      <c r="I166" s="359">
        <f>'Func Future Lines 2015'!I166</f>
        <v>2015</v>
      </c>
      <c r="J166" s="361">
        <f>+IF($I166=J$3,VLOOKUP($H166,Depreciation!$A$6:$L$10,7,FALSE)/2,IF($I166&lt;J$3,VLOOKUP($H166,Depreciation!$A$6:$L$10,7,FALSE),0))</f>
        <v>1.595020804044691E-2</v>
      </c>
      <c r="K166" s="361">
        <f>+IF($I166=K$3,VLOOKUP($H166,Depreciation!$A$6:$L$10,8,FALSE)/2,IF($I166&lt;K$3,VLOOKUP($H166,Depreciation!$A$6:$L$10,8,FALSE),0))</f>
        <v>3.0676363676126896E-2</v>
      </c>
      <c r="L166" s="361">
        <f>+IF($I166=L$3,VLOOKUP($H166,Depreciation!$A$6:$L$10,9,FALSE)/2,IF($I166&lt;L$3,VLOOKUP($H166,Depreciation!$A$6:$L$10,9,FALSE),0))</f>
        <v>3.0676363676126896E-2</v>
      </c>
      <c r="M166" s="361">
        <f>+IF($I166=M$3,VLOOKUP($H166,Depreciation!$A$6:$L$10,10,FALSE)/2,IF($I166&lt;M$3,VLOOKUP($H166,Depreciation!$A$6:$L$10,10,FALSE),0))</f>
        <v>3.0676363676126896E-2</v>
      </c>
      <c r="N166" s="361">
        <f>+IF($I166=N$3,VLOOKUP($H166,Depreciation!$A$6:$L$10,11,FALSE)/2,IF($I166&lt;N$3,VLOOKUP($H166,Depreciation!$A$6:$L$10,11,FALSE),0))</f>
        <v>3.0676363676126896E-2</v>
      </c>
      <c r="O166" s="361">
        <f>+IF($I166=O$3,VLOOKUP($H166,Depreciation!$A$6:$L$10,12,FALSE)/2,IF($I166&lt;O$3,VLOOKUP($H166,Depreciation!$A$6:$L$10,12,FALSE),0))</f>
        <v>3.0676363676126896E-2</v>
      </c>
      <c r="P166" s="362">
        <f t="shared" si="8"/>
        <v>2544882.877034286</v>
      </c>
      <c r="Q166" s="362">
        <f t="shared" si="9"/>
        <v>2544882.877034286</v>
      </c>
      <c r="R166" s="363">
        <f t="shared" si="10"/>
        <v>0</v>
      </c>
    </row>
    <row r="167" spans="1:25">
      <c r="A167" s="359" t="str">
        <f>'Func Future Lines 2015'!A167</f>
        <v>`+/-5%</v>
      </c>
      <c r="B167" s="359" t="str">
        <f>'Func Future Lines 2015'!B167</f>
        <v>HVDC Line 1325L</v>
      </c>
      <c r="C167" s="359">
        <f>'Func Future Lines 2015'!C167</f>
        <v>962</v>
      </c>
      <c r="D167" s="359">
        <f>'Func Future Lines 2015'!D167</f>
        <v>500</v>
      </c>
      <c r="E167" s="359">
        <f>'Func Future Lines 2015'!E167</f>
        <v>0</v>
      </c>
      <c r="F167" s="359">
        <f>'Func Future Lines 2015'!F167</f>
        <v>0</v>
      </c>
      <c r="G167" s="359">
        <f>'Func Future Lines 2015'!G167</f>
        <v>968825472.25300002</v>
      </c>
      <c r="H167" s="359" t="str">
        <f>'Func Future Lines 2015'!H167</f>
        <v>AltaLink</v>
      </c>
      <c r="I167" s="359">
        <f>'Func Future Lines 2015'!I167</f>
        <v>2015</v>
      </c>
      <c r="J167" s="361">
        <f>+IF($I167=J$3,VLOOKUP($H167,Depreciation!$A$6:$L$10,7,FALSE)/2,IF($I167&lt;J$3,VLOOKUP($H167,Depreciation!$A$6:$L$10,7,FALSE),0))</f>
        <v>1.595020804044691E-2</v>
      </c>
      <c r="K167" s="361">
        <f>+IF($I167=K$3,VLOOKUP($H167,Depreciation!$A$6:$L$10,8,FALSE)/2,IF($I167&lt;K$3,VLOOKUP($H167,Depreciation!$A$6:$L$10,8,FALSE),0))</f>
        <v>3.0676363676126896E-2</v>
      </c>
      <c r="L167" s="361">
        <f>+IF($I167=L$3,VLOOKUP($H167,Depreciation!$A$6:$L$10,9,FALSE)/2,IF($I167&lt;L$3,VLOOKUP($H167,Depreciation!$A$6:$L$10,9,FALSE),0))</f>
        <v>3.0676363676126896E-2</v>
      </c>
      <c r="M167" s="361">
        <f>+IF($I167=M$3,VLOOKUP($H167,Depreciation!$A$6:$L$10,10,FALSE)/2,IF($I167&lt;M$3,VLOOKUP($H167,Depreciation!$A$6:$L$10,10,FALSE),0))</f>
        <v>3.0676363676126896E-2</v>
      </c>
      <c r="N167" s="361">
        <f>+IF($I167=N$3,VLOOKUP($H167,Depreciation!$A$6:$L$10,11,FALSE)/2,IF($I167&lt;N$3,VLOOKUP($H167,Depreciation!$A$6:$L$10,11,FALSE),0))</f>
        <v>3.0676363676126896E-2</v>
      </c>
      <c r="O167" s="361">
        <f>+IF($I167=O$3,VLOOKUP($H167,Depreciation!$A$6:$L$10,12,FALSE)/2,IF($I167&lt;O$3,VLOOKUP($H167,Depreciation!$A$6:$L$10,12,FALSE),0))</f>
        <v>3.0676363676126896E-2</v>
      </c>
      <c r="P167" s="362">
        <f t="shared" si="8"/>
        <v>868298460.7356379</v>
      </c>
      <c r="Q167" s="362">
        <f t="shared" si="9"/>
        <v>868298460.7356379</v>
      </c>
      <c r="R167" s="363">
        <f t="shared" si="10"/>
        <v>0</v>
      </c>
    </row>
    <row r="168" spans="1:25">
      <c r="A168" s="359" t="str">
        <f>'Func Future Lines 2015'!A168</f>
        <v>PPS</v>
      </c>
      <c r="B168" s="359" t="str">
        <f>'Func Future Lines 2015'!B168</f>
        <v>1099L180</v>
      </c>
      <c r="C168" s="359">
        <f>'Func Future Lines 2015'!C168</f>
        <v>1101</v>
      </c>
      <c r="D168" s="359">
        <f>'Func Future Lines 2015'!D168</f>
        <v>240</v>
      </c>
      <c r="E168" s="359">
        <f>'Func Future Lines 2015'!E168</f>
        <v>0</v>
      </c>
      <c r="F168" s="359" t="str">
        <f>'Func Future Lines 2015'!F168</f>
        <v>Fort McMurray</v>
      </c>
      <c r="G168" s="359">
        <f>'Func Future Lines 2015'!G168</f>
        <v>1698665.125113552</v>
      </c>
      <c r="H168" s="359" t="str">
        <f>'Func Future Lines 2015'!H168</f>
        <v>AltaLink</v>
      </c>
      <c r="I168" s="359">
        <f>'Func Future Lines 2015'!I168</f>
        <v>2016</v>
      </c>
      <c r="J168" s="361">
        <f>+IF($I168=J$3,VLOOKUP($H168,Depreciation!$A$6:$L$10,7,FALSE)/2,IF($I168&lt;J$3,VLOOKUP($H168,Depreciation!$A$6:$L$10,7,FALSE),0))</f>
        <v>0</v>
      </c>
      <c r="K168" s="361">
        <f>+IF($I168=K$3,VLOOKUP($H168,Depreciation!$A$6:$L$10,8,FALSE)/2,IF($I168&lt;K$3,VLOOKUP($H168,Depreciation!$A$6:$L$10,8,FALSE),0))</f>
        <v>1.5338181838063448E-2</v>
      </c>
      <c r="L168" s="361">
        <f>+IF($I168=L$3,VLOOKUP($H168,Depreciation!$A$6:$L$10,9,FALSE)/2,IF($I168&lt;L$3,VLOOKUP($H168,Depreciation!$A$6:$L$10,9,FALSE),0))</f>
        <v>3.0676363676126896E-2</v>
      </c>
      <c r="M168" s="361">
        <f>+IF($I168=M$3,VLOOKUP($H168,Depreciation!$A$6:$L$10,10,FALSE)/2,IF($I168&lt;M$3,VLOOKUP($H168,Depreciation!$A$6:$L$10,10,FALSE),0))</f>
        <v>3.0676363676126896E-2</v>
      </c>
      <c r="N168" s="361">
        <f>+IF($I168=N$3,VLOOKUP($H168,Depreciation!$A$6:$L$10,11,FALSE)/2,IF($I168&lt;N$3,VLOOKUP($H168,Depreciation!$A$6:$L$10,11,FALSE),0))</f>
        <v>3.0676363676126896E-2</v>
      </c>
      <c r="O168" s="361">
        <f>+IF($I168=O$3,VLOOKUP($H168,Depreciation!$A$6:$L$10,12,FALSE)/2,IF($I168&lt;O$3,VLOOKUP($H168,Depreciation!$A$6:$L$10,12,FALSE),0))</f>
        <v>3.0676363676126896E-2</v>
      </c>
      <c r="P168" s="362">
        <f t="shared" si="8"/>
        <v>1571565.4552532411</v>
      </c>
      <c r="Q168" s="362">
        <f t="shared" si="9"/>
        <v>1571565.4552532411</v>
      </c>
      <c r="R168" s="363">
        <f t="shared" si="10"/>
        <v>0</v>
      </c>
    </row>
    <row r="169" spans="1:25">
      <c r="A169" s="359" t="str">
        <f>'Func Future Lines 2015'!A169</f>
        <v>PPS</v>
      </c>
      <c r="B169" s="359" t="str">
        <f>'Func Future Lines 2015'!B169</f>
        <v>1115L180</v>
      </c>
      <c r="C169" s="359">
        <f>'Func Future Lines 2015'!C169</f>
        <v>1101</v>
      </c>
      <c r="D169" s="359">
        <f>'Func Future Lines 2015'!D169</f>
        <v>240</v>
      </c>
      <c r="E169" s="359">
        <f>'Func Future Lines 2015'!E169</f>
        <v>0</v>
      </c>
      <c r="F169" s="359" t="str">
        <f>'Func Future Lines 2015'!F169</f>
        <v>Fort McMurray</v>
      </c>
      <c r="G169" s="359">
        <f>'Func Future Lines 2015'!G169</f>
        <v>84737752.660274148</v>
      </c>
      <c r="H169" s="359" t="str">
        <f>'Func Future Lines 2015'!H169</f>
        <v>AltaLink</v>
      </c>
      <c r="I169" s="359">
        <f>'Func Future Lines 2015'!I169</f>
        <v>2016</v>
      </c>
      <c r="J169" s="361">
        <f>+IF($I169=J$3,VLOOKUP($H169,Depreciation!$A$6:$L$10,7,FALSE)/2,IF($I169&lt;J$3,VLOOKUP($H169,Depreciation!$A$6:$L$10,7,FALSE),0))</f>
        <v>0</v>
      </c>
      <c r="K169" s="361">
        <f>+IF($I169=K$3,VLOOKUP($H169,Depreciation!$A$6:$L$10,8,FALSE)/2,IF($I169&lt;K$3,VLOOKUP($H169,Depreciation!$A$6:$L$10,8,FALSE),0))</f>
        <v>1.5338181838063448E-2</v>
      </c>
      <c r="L169" s="361">
        <f>+IF($I169=L$3,VLOOKUP($H169,Depreciation!$A$6:$L$10,9,FALSE)/2,IF($I169&lt;L$3,VLOOKUP($H169,Depreciation!$A$6:$L$10,9,FALSE),0))</f>
        <v>3.0676363676126896E-2</v>
      </c>
      <c r="M169" s="361">
        <f>+IF($I169=M$3,VLOOKUP($H169,Depreciation!$A$6:$L$10,10,FALSE)/2,IF($I169&lt;M$3,VLOOKUP($H169,Depreciation!$A$6:$L$10,10,FALSE),0))</f>
        <v>3.0676363676126896E-2</v>
      </c>
      <c r="N169" s="361">
        <f>+IF($I169=N$3,VLOOKUP($H169,Depreciation!$A$6:$L$10,11,FALSE)/2,IF($I169&lt;N$3,VLOOKUP($H169,Depreciation!$A$6:$L$10,11,FALSE),0))</f>
        <v>3.0676363676126896E-2</v>
      </c>
      <c r="O169" s="361">
        <f>+IF($I169=O$3,VLOOKUP($H169,Depreciation!$A$6:$L$10,12,FALSE)/2,IF($I169&lt;O$3,VLOOKUP($H169,Depreciation!$A$6:$L$10,12,FALSE),0))</f>
        <v>3.0676363676126896E-2</v>
      </c>
      <c r="P169" s="362">
        <f t="shared" si="8"/>
        <v>78397397.384477466</v>
      </c>
      <c r="Q169" s="362">
        <f t="shared" si="9"/>
        <v>78397397.384477466</v>
      </c>
      <c r="R169" s="363">
        <f t="shared" si="10"/>
        <v>0</v>
      </c>
    </row>
    <row r="170" spans="1:25">
      <c r="A170" s="359" t="str">
        <f>'Func Future Lines 2015'!A170</f>
        <v>PPS</v>
      </c>
      <c r="B170" s="359" t="str">
        <f>'Func Future Lines 2015'!B170</f>
        <v>1116L 180</v>
      </c>
      <c r="C170" s="359">
        <f>'Func Future Lines 2015'!C170</f>
        <v>1101</v>
      </c>
      <c r="D170" s="359">
        <f>'Func Future Lines 2015'!D170</f>
        <v>240</v>
      </c>
      <c r="E170" s="359">
        <f>'Func Future Lines 2015'!E170</f>
        <v>0</v>
      </c>
      <c r="F170" s="359" t="str">
        <f>'Func Future Lines 2015'!F170</f>
        <v>Fort McMurray</v>
      </c>
      <c r="G170" s="359">
        <f>'Func Future Lines 2015'!G170</f>
        <v>87576930.822218701</v>
      </c>
      <c r="H170" s="359" t="str">
        <f>'Func Future Lines 2015'!H170</f>
        <v>AltaLink</v>
      </c>
      <c r="I170" s="359">
        <f>'Func Future Lines 2015'!I170</f>
        <v>2016</v>
      </c>
      <c r="J170" s="361">
        <f>+IF($I170=J$3,VLOOKUP($H170,Depreciation!$A$6:$L$10,7,FALSE)/2,IF($I170&lt;J$3,VLOOKUP($H170,Depreciation!$A$6:$L$10,7,FALSE),0))</f>
        <v>0</v>
      </c>
      <c r="K170" s="361">
        <f>+IF($I170=K$3,VLOOKUP($H170,Depreciation!$A$6:$L$10,8,FALSE)/2,IF($I170&lt;K$3,VLOOKUP($H170,Depreciation!$A$6:$L$10,8,FALSE),0))</f>
        <v>1.5338181838063448E-2</v>
      </c>
      <c r="L170" s="361">
        <f>+IF($I170=L$3,VLOOKUP($H170,Depreciation!$A$6:$L$10,9,FALSE)/2,IF($I170&lt;L$3,VLOOKUP($H170,Depreciation!$A$6:$L$10,9,FALSE),0))</f>
        <v>3.0676363676126896E-2</v>
      </c>
      <c r="M170" s="361">
        <f>+IF($I170=M$3,VLOOKUP($H170,Depreciation!$A$6:$L$10,10,FALSE)/2,IF($I170&lt;M$3,VLOOKUP($H170,Depreciation!$A$6:$L$10,10,FALSE),0))</f>
        <v>3.0676363676126896E-2</v>
      </c>
      <c r="N170" s="361">
        <f>+IF($I170=N$3,VLOOKUP($H170,Depreciation!$A$6:$L$10,11,FALSE)/2,IF($I170&lt;N$3,VLOOKUP($H170,Depreciation!$A$6:$L$10,11,FALSE),0))</f>
        <v>3.0676363676126896E-2</v>
      </c>
      <c r="O170" s="361">
        <f>+IF($I170=O$3,VLOOKUP($H170,Depreciation!$A$6:$L$10,12,FALSE)/2,IF($I170&lt;O$3,VLOOKUP($H170,Depreciation!$A$6:$L$10,12,FALSE),0))</f>
        <v>3.0676363676126896E-2</v>
      </c>
      <c r="P170" s="362">
        <f t="shared" si="8"/>
        <v>81024138.968003631</v>
      </c>
      <c r="Q170" s="362">
        <f t="shared" si="9"/>
        <v>81024138.968003631</v>
      </c>
      <c r="R170" s="363">
        <f t="shared" si="10"/>
        <v>0</v>
      </c>
    </row>
    <row r="171" spans="1:25">
      <c r="A171" s="359" t="str">
        <f>'Func Future Lines 2015'!A171</f>
        <v>PPS</v>
      </c>
      <c r="B171" s="359" t="str">
        <f>'Func Future Lines 2015'!B171</f>
        <v>1117L 180</v>
      </c>
      <c r="C171" s="359">
        <f>'Func Future Lines 2015'!C171</f>
        <v>1101</v>
      </c>
      <c r="D171" s="359">
        <f>'Func Future Lines 2015'!D171</f>
        <v>240</v>
      </c>
      <c r="E171" s="359">
        <f>'Func Future Lines 2015'!E171</f>
        <v>0</v>
      </c>
      <c r="F171" s="359" t="str">
        <f>'Func Future Lines 2015'!F171</f>
        <v>Fort McMurray</v>
      </c>
      <c r="G171" s="359">
        <f>'Func Future Lines 2015'!G171</f>
        <v>191472515.65566897</v>
      </c>
      <c r="H171" s="359" t="str">
        <f>'Func Future Lines 2015'!H171</f>
        <v>AltaLink</v>
      </c>
      <c r="I171" s="359">
        <f>'Func Future Lines 2015'!I171</f>
        <v>2016</v>
      </c>
      <c r="J171" s="361">
        <f>+IF($I171=J$3,VLOOKUP($H171,Depreciation!$A$6:$L$10,7,FALSE)/2,IF($I171&lt;J$3,VLOOKUP($H171,Depreciation!$A$6:$L$10,7,FALSE),0))</f>
        <v>0</v>
      </c>
      <c r="K171" s="361">
        <f>+IF($I171=K$3,VLOOKUP($H171,Depreciation!$A$6:$L$10,8,FALSE)/2,IF($I171&lt;K$3,VLOOKUP($H171,Depreciation!$A$6:$L$10,8,FALSE),0))</f>
        <v>1.5338181838063448E-2</v>
      </c>
      <c r="L171" s="361">
        <f>+IF($I171=L$3,VLOOKUP($H171,Depreciation!$A$6:$L$10,9,FALSE)/2,IF($I171&lt;L$3,VLOOKUP($H171,Depreciation!$A$6:$L$10,9,FALSE),0))</f>
        <v>3.0676363676126896E-2</v>
      </c>
      <c r="M171" s="361">
        <f>+IF($I171=M$3,VLOOKUP($H171,Depreciation!$A$6:$L$10,10,FALSE)/2,IF($I171&lt;M$3,VLOOKUP($H171,Depreciation!$A$6:$L$10,10,FALSE),0))</f>
        <v>3.0676363676126896E-2</v>
      </c>
      <c r="N171" s="361">
        <f>+IF($I171=N$3,VLOOKUP($H171,Depreciation!$A$6:$L$10,11,FALSE)/2,IF($I171&lt;N$3,VLOOKUP($H171,Depreciation!$A$6:$L$10,11,FALSE),0))</f>
        <v>3.0676363676126896E-2</v>
      </c>
      <c r="O171" s="361">
        <f>+IF($I171=O$3,VLOOKUP($H171,Depreciation!$A$6:$L$10,12,FALSE)/2,IF($I171&lt;O$3,VLOOKUP($H171,Depreciation!$A$6:$L$10,12,FALSE),0))</f>
        <v>3.0676363676126896E-2</v>
      </c>
      <c r="P171" s="362">
        <f t="shared" si="8"/>
        <v>177145916.98276579</v>
      </c>
      <c r="Q171" s="362">
        <f t="shared" si="9"/>
        <v>177145916.98276579</v>
      </c>
      <c r="R171" s="363">
        <f t="shared" si="10"/>
        <v>0</v>
      </c>
    </row>
    <row r="172" spans="1:25">
      <c r="A172" s="359" t="str">
        <f>'Func Future Lines 2015'!A172</f>
        <v>PPS</v>
      </c>
      <c r="B172" s="359" t="str">
        <f>'Func Future Lines 2015'!B172</f>
        <v>428L/457L 180</v>
      </c>
      <c r="C172" s="359">
        <f>'Func Future Lines 2015'!C172</f>
        <v>1101</v>
      </c>
      <c r="D172" s="359">
        <f>'Func Future Lines 2015'!D172</f>
        <v>138</v>
      </c>
      <c r="E172" s="359">
        <f>'Func Future Lines 2015'!E172</f>
        <v>0</v>
      </c>
      <c r="F172" s="359" t="str">
        <f>'Func Future Lines 2015'!F172</f>
        <v>Fort McMurray</v>
      </c>
      <c r="G172" s="359">
        <f>'Func Future Lines 2015'!G172</f>
        <v>2172995.8566099619</v>
      </c>
      <c r="H172" s="359" t="str">
        <f>'Func Future Lines 2015'!H172</f>
        <v>AltaLink</v>
      </c>
      <c r="I172" s="359">
        <f>'Func Future Lines 2015'!I172</f>
        <v>2016</v>
      </c>
      <c r="J172" s="361">
        <f>+IF($I172=J$3,VLOOKUP($H172,Depreciation!$A$6:$L$10,7,FALSE)/2,IF($I172&lt;J$3,VLOOKUP($H172,Depreciation!$A$6:$L$10,7,FALSE),0))</f>
        <v>0</v>
      </c>
      <c r="K172" s="361">
        <f>+IF($I172=K$3,VLOOKUP($H172,Depreciation!$A$6:$L$10,8,FALSE)/2,IF($I172&lt;K$3,VLOOKUP($H172,Depreciation!$A$6:$L$10,8,FALSE),0))</f>
        <v>1.5338181838063448E-2</v>
      </c>
      <c r="L172" s="361">
        <f>+IF($I172=L$3,VLOOKUP($H172,Depreciation!$A$6:$L$10,9,FALSE)/2,IF($I172&lt;L$3,VLOOKUP($H172,Depreciation!$A$6:$L$10,9,FALSE),0))</f>
        <v>3.0676363676126896E-2</v>
      </c>
      <c r="M172" s="361">
        <f>+IF($I172=M$3,VLOOKUP($H172,Depreciation!$A$6:$L$10,10,FALSE)/2,IF($I172&lt;M$3,VLOOKUP($H172,Depreciation!$A$6:$L$10,10,FALSE),0))</f>
        <v>3.0676363676126896E-2</v>
      </c>
      <c r="N172" s="361">
        <f>+IF($I172=N$3,VLOOKUP($H172,Depreciation!$A$6:$L$10,11,FALSE)/2,IF($I172&lt;N$3,VLOOKUP($H172,Depreciation!$A$6:$L$10,11,FALSE),0))</f>
        <v>3.0676363676126896E-2</v>
      </c>
      <c r="O172" s="361">
        <f>+IF($I172=O$3,VLOOKUP($H172,Depreciation!$A$6:$L$10,12,FALSE)/2,IF($I172&lt;O$3,VLOOKUP($H172,Depreciation!$A$6:$L$10,12,FALSE),0))</f>
        <v>3.0676363676126896E-2</v>
      </c>
      <c r="P172" s="362">
        <f t="shared" si="8"/>
        <v>2010405.212992382</v>
      </c>
      <c r="Q172" s="362">
        <f t="shared" si="9"/>
        <v>0</v>
      </c>
      <c r="R172" s="363">
        <f t="shared" si="10"/>
        <v>2010405.212992382</v>
      </c>
    </row>
    <row r="173" spans="1:25">
      <c r="A173" s="359" t="str">
        <f>'Func Future Lines 2015'!A173</f>
        <v>PPS</v>
      </c>
      <c r="B173" s="359" t="str">
        <f>'Func Future Lines 2015'!B173</f>
        <v>428L/457L 180</v>
      </c>
      <c r="C173" s="359">
        <f>'Func Future Lines 2015'!C173</f>
        <v>1101</v>
      </c>
      <c r="D173" s="359">
        <f>'Func Future Lines 2015'!D173</f>
        <v>138</v>
      </c>
      <c r="E173" s="359">
        <f>'Func Future Lines 2015'!E173</f>
        <v>0</v>
      </c>
      <c r="F173" s="359" t="str">
        <f>'Func Future Lines 2015'!F173</f>
        <v>Fort McMurray</v>
      </c>
      <c r="G173" s="359">
        <f>'Func Future Lines 2015'!G173</f>
        <v>2175159.297149288</v>
      </c>
      <c r="H173" s="359" t="str">
        <f>'Func Future Lines 2015'!H173</f>
        <v>AltaLink</v>
      </c>
      <c r="I173" s="359">
        <f>'Func Future Lines 2015'!I173</f>
        <v>2016</v>
      </c>
      <c r="J173" s="361">
        <f>+IF($I173=J$3,VLOOKUP($H173,Depreciation!$A$6:$L$10,7,FALSE)/2,IF($I173&lt;J$3,VLOOKUP($H173,Depreciation!$A$6:$L$10,7,FALSE),0))</f>
        <v>0</v>
      </c>
      <c r="K173" s="361">
        <f>+IF($I173=K$3,VLOOKUP($H173,Depreciation!$A$6:$L$10,8,FALSE)/2,IF($I173&lt;K$3,VLOOKUP($H173,Depreciation!$A$6:$L$10,8,FALSE),0))</f>
        <v>1.5338181838063448E-2</v>
      </c>
      <c r="L173" s="361">
        <f>+IF($I173=L$3,VLOOKUP($H173,Depreciation!$A$6:$L$10,9,FALSE)/2,IF($I173&lt;L$3,VLOOKUP($H173,Depreciation!$A$6:$L$10,9,FALSE),0))</f>
        <v>3.0676363676126896E-2</v>
      </c>
      <c r="M173" s="361">
        <f>+IF($I173=M$3,VLOOKUP($H173,Depreciation!$A$6:$L$10,10,FALSE)/2,IF($I173&lt;M$3,VLOOKUP($H173,Depreciation!$A$6:$L$10,10,FALSE),0))</f>
        <v>3.0676363676126896E-2</v>
      </c>
      <c r="N173" s="361">
        <f>+IF($I173=N$3,VLOOKUP($H173,Depreciation!$A$6:$L$10,11,FALSE)/2,IF($I173&lt;N$3,VLOOKUP($H173,Depreciation!$A$6:$L$10,11,FALSE),0))</f>
        <v>3.0676363676126896E-2</v>
      </c>
      <c r="O173" s="361">
        <f>+IF($I173=O$3,VLOOKUP($H173,Depreciation!$A$6:$L$10,12,FALSE)/2,IF($I173&lt;O$3,VLOOKUP($H173,Depreciation!$A$6:$L$10,12,FALSE),0))</f>
        <v>3.0676363676126896E-2</v>
      </c>
      <c r="P173" s="362">
        <f t="shared" si="8"/>
        <v>2012406.7778481224</v>
      </c>
      <c r="Q173" s="362">
        <f t="shared" si="9"/>
        <v>0</v>
      </c>
      <c r="R173" s="363">
        <f t="shared" si="10"/>
        <v>2012406.7778481224</v>
      </c>
    </row>
    <row r="174" spans="1:25">
      <c r="A174" s="359" t="str">
        <f>'Func Future Lines 2015'!A174</f>
        <v>PPS</v>
      </c>
      <c r="B174" s="359" t="str">
        <f>'Func Future Lines 2015'!B174</f>
        <v>971L180</v>
      </c>
      <c r="C174" s="359">
        <f>'Func Future Lines 2015'!C174</f>
        <v>1101</v>
      </c>
      <c r="D174" s="359">
        <f>'Func Future Lines 2015'!D174</f>
        <v>240</v>
      </c>
      <c r="E174" s="359">
        <f>'Func Future Lines 2015'!E174</f>
        <v>0</v>
      </c>
      <c r="F174" s="359" t="str">
        <f>'Func Future Lines 2015'!F174</f>
        <v>Fort McMurray</v>
      </c>
      <c r="G174" s="359">
        <f>'Func Future Lines 2015'!G174</f>
        <v>1786314.2703774052</v>
      </c>
      <c r="H174" s="359" t="str">
        <f>'Func Future Lines 2015'!H174</f>
        <v>AltaLink</v>
      </c>
      <c r="I174" s="359">
        <f>'Func Future Lines 2015'!I174</f>
        <v>2016</v>
      </c>
      <c r="J174" s="361">
        <f>+IF($I174=J$3,VLOOKUP($H174,Depreciation!$A$6:$L$10,7,FALSE)/2,IF($I174&lt;J$3,VLOOKUP($H174,Depreciation!$A$6:$L$10,7,FALSE),0))</f>
        <v>0</v>
      </c>
      <c r="K174" s="361">
        <f>+IF($I174=K$3,VLOOKUP($H174,Depreciation!$A$6:$L$10,8,FALSE)/2,IF($I174&lt;K$3,VLOOKUP($H174,Depreciation!$A$6:$L$10,8,FALSE),0))</f>
        <v>1.5338181838063448E-2</v>
      </c>
      <c r="L174" s="361">
        <f>+IF($I174=L$3,VLOOKUP($H174,Depreciation!$A$6:$L$10,9,FALSE)/2,IF($I174&lt;L$3,VLOOKUP($H174,Depreciation!$A$6:$L$10,9,FALSE),0))</f>
        <v>3.0676363676126896E-2</v>
      </c>
      <c r="M174" s="361">
        <f>+IF($I174=M$3,VLOOKUP($H174,Depreciation!$A$6:$L$10,10,FALSE)/2,IF($I174&lt;M$3,VLOOKUP($H174,Depreciation!$A$6:$L$10,10,FALSE),0))</f>
        <v>3.0676363676126896E-2</v>
      </c>
      <c r="N174" s="361">
        <f>+IF($I174=N$3,VLOOKUP($H174,Depreciation!$A$6:$L$10,11,FALSE)/2,IF($I174&lt;N$3,VLOOKUP($H174,Depreciation!$A$6:$L$10,11,FALSE),0))</f>
        <v>3.0676363676126896E-2</v>
      </c>
      <c r="O174" s="361">
        <f>+IF($I174=O$3,VLOOKUP($H174,Depreciation!$A$6:$L$10,12,FALSE)/2,IF($I174&lt;O$3,VLOOKUP($H174,Depreciation!$A$6:$L$10,12,FALSE),0))</f>
        <v>3.0676363676126896E-2</v>
      </c>
      <c r="P174" s="362">
        <f t="shared" si="8"/>
        <v>1652656.4053426161</v>
      </c>
      <c r="Q174" s="362">
        <f t="shared" si="9"/>
        <v>1652656.4053426161</v>
      </c>
      <c r="R174" s="363">
        <f t="shared" si="10"/>
        <v>0</v>
      </c>
    </row>
    <row r="175" spans="1:25">
      <c r="A175" s="359" t="str">
        <f>'Func Future Lines 2015'!A175</f>
        <v>PPS</v>
      </c>
      <c r="B175" s="359" t="str">
        <f>'Func Future Lines 2015'!B175</f>
        <v>line 9L930_v181</v>
      </c>
      <c r="C175" s="359">
        <f>'Func Future Lines 2015'!C175</f>
        <v>1101</v>
      </c>
      <c r="D175" s="359">
        <f>'Func Future Lines 2015'!D175</f>
        <v>240</v>
      </c>
      <c r="E175" s="359">
        <f>'Func Future Lines 2015'!E175</f>
        <v>0</v>
      </c>
      <c r="F175" s="359" t="str">
        <f>'Func Future Lines 2015'!F175</f>
        <v>Fort McMurray</v>
      </c>
      <c r="G175" s="359">
        <f>'Func Future Lines 2015'!G175</f>
        <v>4698744.242259468</v>
      </c>
      <c r="H175" s="359" t="str">
        <f>'Func Future Lines 2015'!H175</f>
        <v>ATCO</v>
      </c>
      <c r="I175" s="359">
        <f>'Func Future Lines 2015'!I175</f>
        <v>2016</v>
      </c>
      <c r="J175" s="361">
        <f>+IF($I175=J$3,VLOOKUP($H175,Depreciation!$A$6:$L$10,7,FALSE)/2,IF($I175&lt;J$3,VLOOKUP($H175,Depreciation!$A$6:$L$10,7,FALSE),0))</f>
        <v>0</v>
      </c>
      <c r="K175" s="361">
        <f>+IF($I175=K$3,VLOOKUP($H175,Depreciation!$A$6:$L$10,8,FALSE)/2,IF($I175&lt;K$3,VLOOKUP($H175,Depreciation!$A$6:$L$10,8,FALSE),0))</f>
        <v>1.1971929865503333E-2</v>
      </c>
      <c r="L175" s="361">
        <f>+IF($I175=L$3,VLOOKUP($H175,Depreciation!$A$6:$L$10,9,FALSE)/2,IF($I175&lt;L$3,VLOOKUP($H175,Depreciation!$A$6:$L$10,9,FALSE),0))</f>
        <v>2.4002037926855919E-2</v>
      </c>
      <c r="M175" s="361">
        <f>+IF($I175=M$3,VLOOKUP($H175,Depreciation!$A$6:$L$10,10,FALSE)/2,IF($I175&lt;M$3,VLOOKUP($H175,Depreciation!$A$6:$L$10,10,FALSE),0))</f>
        <v>2.4002037926855919E-2</v>
      </c>
      <c r="N175" s="361">
        <f>+IF($I175=N$3,VLOOKUP($H175,Depreciation!$A$6:$L$10,11,FALSE)/2,IF($I175&lt;N$3,VLOOKUP($H175,Depreciation!$A$6:$L$10,11,FALSE),0))</f>
        <v>2.4002037926855919E-2</v>
      </c>
      <c r="O175" s="361">
        <f>+IF($I175=O$3,VLOOKUP($H175,Depreciation!$A$6:$L$10,12,FALSE)/2,IF($I175&lt;O$3,VLOOKUP($H175,Depreciation!$A$6:$L$10,12,FALSE),0))</f>
        <v>2.4002037926855919E-2</v>
      </c>
      <c r="P175" s="362">
        <f t="shared" si="8"/>
        <v>4422307.2348294416</v>
      </c>
      <c r="Q175" s="362">
        <f t="shared" si="9"/>
        <v>4422307.2348294416</v>
      </c>
      <c r="R175" s="363">
        <f t="shared" si="10"/>
        <v>0</v>
      </c>
    </row>
    <row r="176" spans="1:25">
      <c r="A176" s="359" t="str">
        <f>'Func Future Lines 2015'!A176</f>
        <v>PPS</v>
      </c>
      <c r="B176" s="359" t="str">
        <f>'Func Future Lines 2015'!B176</f>
        <v>1064L/1065L_(v180)</v>
      </c>
      <c r="C176" s="359">
        <f>'Func Future Lines 2015'!C176</f>
        <v>1117</v>
      </c>
      <c r="D176" s="359">
        <f>'Func Future Lines 2015'!D176</f>
        <v>240</v>
      </c>
      <c r="E176" s="359">
        <f>'Func Future Lines 2015'!E176</f>
        <v>0</v>
      </c>
      <c r="F176" s="359" t="str">
        <f>'Func Future Lines 2015'!F176</f>
        <v>Calgary</v>
      </c>
      <c r="G176" s="359">
        <f>'Func Future Lines 2015'!G176</f>
        <v>22476180.185840409</v>
      </c>
      <c r="H176" s="359" t="str">
        <f>'Func Future Lines 2015'!H176</f>
        <v>AltaLink</v>
      </c>
      <c r="I176" s="359">
        <f>'Func Future Lines 2015'!I176</f>
        <v>2015</v>
      </c>
      <c r="J176" s="361">
        <f>+IF($I176=J$3,VLOOKUP($H176,Depreciation!$A$6:$L$10,7,FALSE)/2,IF($I176&lt;J$3,VLOOKUP($H176,Depreciation!$A$6:$L$10,7,FALSE),0))</f>
        <v>1.595020804044691E-2</v>
      </c>
      <c r="K176" s="361">
        <f>+IF($I176=K$3,VLOOKUP($H176,Depreciation!$A$6:$L$10,8,FALSE)/2,IF($I176&lt;K$3,VLOOKUP($H176,Depreciation!$A$6:$L$10,8,FALSE),0))</f>
        <v>3.0676363676126896E-2</v>
      </c>
      <c r="L176" s="361">
        <f>+IF($I176=L$3,VLOOKUP($H176,Depreciation!$A$6:$L$10,9,FALSE)/2,IF($I176&lt;L$3,VLOOKUP($H176,Depreciation!$A$6:$L$10,9,FALSE),0))</f>
        <v>3.0676363676126896E-2</v>
      </c>
      <c r="M176" s="361">
        <f>+IF($I176=M$3,VLOOKUP($H176,Depreciation!$A$6:$L$10,10,FALSE)/2,IF($I176&lt;M$3,VLOOKUP($H176,Depreciation!$A$6:$L$10,10,FALSE),0))</f>
        <v>3.0676363676126896E-2</v>
      </c>
      <c r="N176" s="361">
        <f>+IF($I176=N$3,VLOOKUP($H176,Depreciation!$A$6:$L$10,11,FALSE)/2,IF($I176&lt;N$3,VLOOKUP($H176,Depreciation!$A$6:$L$10,11,FALSE),0))</f>
        <v>3.0676363676126896E-2</v>
      </c>
      <c r="O176" s="361">
        <f>+IF($I176=O$3,VLOOKUP($H176,Depreciation!$A$6:$L$10,12,FALSE)/2,IF($I176&lt;O$3,VLOOKUP($H176,Depreciation!$A$6:$L$10,12,FALSE),0))</f>
        <v>3.0676363676126896E-2</v>
      </c>
      <c r="P176" s="362">
        <f t="shared" si="8"/>
        <v>20144012.742767394</v>
      </c>
      <c r="Q176" s="362">
        <f t="shared" si="9"/>
        <v>20144012.742767394</v>
      </c>
      <c r="R176" s="363">
        <f t="shared" si="10"/>
        <v>0</v>
      </c>
    </row>
    <row r="177" spans="1:18">
      <c r="A177" s="359" t="str">
        <f>'Func Future Lines 2015'!A177</f>
        <v>PPS</v>
      </c>
      <c r="B177" s="359" t="str">
        <f>'Func Future Lines 2015'!B177</f>
        <v>1064L/1065L_(v180)</v>
      </c>
      <c r="C177" s="359">
        <f>'Func Future Lines 2015'!C177</f>
        <v>1117</v>
      </c>
      <c r="D177" s="359">
        <f>'Func Future Lines 2015'!D177</f>
        <v>240</v>
      </c>
      <c r="E177" s="359">
        <f>'Func Future Lines 2015'!E177</f>
        <v>0</v>
      </c>
      <c r="F177" s="359" t="str">
        <f>'Func Future Lines 2015'!F177</f>
        <v>Calgary</v>
      </c>
      <c r="G177" s="359">
        <f>'Func Future Lines 2015'!G177</f>
        <v>22476180.185840409</v>
      </c>
      <c r="H177" s="359" t="str">
        <f>'Func Future Lines 2015'!H177</f>
        <v>AltaLink</v>
      </c>
      <c r="I177" s="359">
        <f>'Func Future Lines 2015'!I177</f>
        <v>2015</v>
      </c>
      <c r="J177" s="361">
        <f>+IF($I177=J$3,VLOOKUP($H177,Depreciation!$A$6:$L$10,7,FALSE)/2,IF($I177&lt;J$3,VLOOKUP($H177,Depreciation!$A$6:$L$10,7,FALSE),0))</f>
        <v>1.595020804044691E-2</v>
      </c>
      <c r="K177" s="361">
        <f>+IF($I177=K$3,VLOOKUP($H177,Depreciation!$A$6:$L$10,8,FALSE)/2,IF($I177&lt;K$3,VLOOKUP($H177,Depreciation!$A$6:$L$10,8,FALSE),0))</f>
        <v>3.0676363676126896E-2</v>
      </c>
      <c r="L177" s="361">
        <f>+IF($I177=L$3,VLOOKUP($H177,Depreciation!$A$6:$L$10,9,FALSE)/2,IF($I177&lt;L$3,VLOOKUP($H177,Depreciation!$A$6:$L$10,9,FALSE),0))</f>
        <v>3.0676363676126896E-2</v>
      </c>
      <c r="M177" s="361">
        <f>+IF($I177=M$3,VLOOKUP($H177,Depreciation!$A$6:$L$10,10,FALSE)/2,IF($I177&lt;M$3,VLOOKUP($H177,Depreciation!$A$6:$L$10,10,FALSE),0))</f>
        <v>3.0676363676126896E-2</v>
      </c>
      <c r="N177" s="361">
        <f>+IF($I177=N$3,VLOOKUP($H177,Depreciation!$A$6:$L$10,11,FALSE)/2,IF($I177&lt;N$3,VLOOKUP($H177,Depreciation!$A$6:$L$10,11,FALSE),0))</f>
        <v>3.0676363676126896E-2</v>
      </c>
      <c r="O177" s="361">
        <f>+IF($I177=O$3,VLOOKUP($H177,Depreciation!$A$6:$L$10,12,FALSE)/2,IF($I177&lt;O$3,VLOOKUP($H177,Depreciation!$A$6:$L$10,12,FALSE),0))</f>
        <v>3.0676363676126896E-2</v>
      </c>
      <c r="P177" s="362">
        <f t="shared" si="8"/>
        <v>20144012.742767394</v>
      </c>
      <c r="Q177" s="362">
        <f t="shared" si="9"/>
        <v>20144012.742767394</v>
      </c>
      <c r="R177" s="363">
        <f t="shared" si="10"/>
        <v>0</v>
      </c>
    </row>
    <row r="178" spans="1:18">
      <c r="A178" s="359" t="str">
        <f>'Func Future Lines 2015'!A178</f>
        <v>PPS</v>
      </c>
      <c r="B178" s="359" t="str">
        <f>'Func Future Lines 2015'!B178</f>
        <v>1064L/1065L_(v180)</v>
      </c>
      <c r="C178" s="359">
        <f>'Func Future Lines 2015'!C178</f>
        <v>1117</v>
      </c>
      <c r="D178" s="359">
        <f>'Func Future Lines 2015'!D178</f>
        <v>240</v>
      </c>
      <c r="E178" s="359">
        <f>'Func Future Lines 2015'!E178</f>
        <v>0</v>
      </c>
      <c r="F178" s="359" t="str">
        <f>'Func Future Lines 2015'!F178</f>
        <v>Calgary</v>
      </c>
      <c r="G178" s="359">
        <f>'Func Future Lines 2015'!G178</f>
        <v>17889351.244998507</v>
      </c>
      <c r="H178" s="359" t="str">
        <f>'Func Future Lines 2015'!H178</f>
        <v>AltaLink</v>
      </c>
      <c r="I178" s="359">
        <f>'Func Future Lines 2015'!I178</f>
        <v>2015</v>
      </c>
      <c r="J178" s="361">
        <f>+IF($I178=J$3,VLOOKUP($H178,Depreciation!$A$6:$L$10,7,FALSE)/2,IF($I178&lt;J$3,VLOOKUP($H178,Depreciation!$A$6:$L$10,7,FALSE),0))</f>
        <v>1.595020804044691E-2</v>
      </c>
      <c r="K178" s="361">
        <f>+IF($I178=K$3,VLOOKUP($H178,Depreciation!$A$6:$L$10,8,FALSE)/2,IF($I178&lt;K$3,VLOOKUP($H178,Depreciation!$A$6:$L$10,8,FALSE),0))</f>
        <v>3.0676363676126896E-2</v>
      </c>
      <c r="L178" s="361">
        <f>+IF($I178=L$3,VLOOKUP($H178,Depreciation!$A$6:$L$10,9,FALSE)/2,IF($I178&lt;L$3,VLOOKUP($H178,Depreciation!$A$6:$L$10,9,FALSE),0))</f>
        <v>3.0676363676126896E-2</v>
      </c>
      <c r="M178" s="361">
        <f>+IF($I178=M$3,VLOOKUP($H178,Depreciation!$A$6:$L$10,10,FALSE)/2,IF($I178&lt;M$3,VLOOKUP($H178,Depreciation!$A$6:$L$10,10,FALSE),0))</f>
        <v>3.0676363676126896E-2</v>
      </c>
      <c r="N178" s="361">
        <f>+IF($I178=N$3,VLOOKUP($H178,Depreciation!$A$6:$L$10,11,FALSE)/2,IF($I178&lt;N$3,VLOOKUP($H178,Depreciation!$A$6:$L$10,11,FALSE),0))</f>
        <v>3.0676363676126896E-2</v>
      </c>
      <c r="O178" s="361">
        <f>+IF($I178=O$3,VLOOKUP($H178,Depreciation!$A$6:$L$10,12,FALSE)/2,IF($I178&lt;O$3,VLOOKUP($H178,Depreciation!$A$6:$L$10,12,FALSE),0))</f>
        <v>3.0676363676126896E-2</v>
      </c>
      <c r="P178" s="362">
        <f t="shared" si="8"/>
        <v>16033121.129101561</v>
      </c>
      <c r="Q178" s="362">
        <f t="shared" si="9"/>
        <v>16033121.129101561</v>
      </c>
      <c r="R178" s="363">
        <f t="shared" si="10"/>
        <v>0</v>
      </c>
    </row>
    <row r="179" spans="1:18">
      <c r="A179" s="359" t="str">
        <f>'Func Future Lines 2015'!A179</f>
        <v>PPS</v>
      </c>
      <c r="B179" s="359" t="str">
        <f>'Func Future Lines 2015'!B179</f>
        <v>1064L/1065L_(v180)</v>
      </c>
      <c r="C179" s="359">
        <f>'Func Future Lines 2015'!C179</f>
        <v>1117</v>
      </c>
      <c r="D179" s="359">
        <f>'Func Future Lines 2015'!D179</f>
        <v>240</v>
      </c>
      <c r="E179" s="359">
        <f>'Func Future Lines 2015'!E179</f>
        <v>0</v>
      </c>
      <c r="F179" s="359" t="str">
        <f>'Func Future Lines 2015'!F179</f>
        <v>Calgary</v>
      </c>
      <c r="G179" s="359">
        <f>'Func Future Lines 2015'!G179</f>
        <v>17889351.244998507</v>
      </c>
      <c r="H179" s="359" t="str">
        <f>'Func Future Lines 2015'!H179</f>
        <v>AltaLink</v>
      </c>
      <c r="I179" s="359">
        <f>'Func Future Lines 2015'!I179</f>
        <v>2015</v>
      </c>
      <c r="J179" s="361">
        <f>+IF($I179=J$3,VLOOKUP($H179,Depreciation!$A$6:$L$10,7,FALSE)/2,IF($I179&lt;J$3,VLOOKUP($H179,Depreciation!$A$6:$L$10,7,FALSE),0))</f>
        <v>1.595020804044691E-2</v>
      </c>
      <c r="K179" s="361">
        <f>+IF($I179=K$3,VLOOKUP($H179,Depreciation!$A$6:$L$10,8,FALSE)/2,IF($I179&lt;K$3,VLOOKUP($H179,Depreciation!$A$6:$L$10,8,FALSE),0))</f>
        <v>3.0676363676126896E-2</v>
      </c>
      <c r="L179" s="361">
        <f>+IF($I179=L$3,VLOOKUP($H179,Depreciation!$A$6:$L$10,9,FALSE)/2,IF($I179&lt;L$3,VLOOKUP($H179,Depreciation!$A$6:$L$10,9,FALSE),0))</f>
        <v>3.0676363676126896E-2</v>
      </c>
      <c r="M179" s="361">
        <f>+IF($I179=M$3,VLOOKUP($H179,Depreciation!$A$6:$L$10,10,FALSE)/2,IF($I179&lt;M$3,VLOOKUP($H179,Depreciation!$A$6:$L$10,10,FALSE),0))</f>
        <v>3.0676363676126896E-2</v>
      </c>
      <c r="N179" s="361">
        <f>+IF($I179=N$3,VLOOKUP($H179,Depreciation!$A$6:$L$10,11,FALSE)/2,IF($I179&lt;N$3,VLOOKUP($H179,Depreciation!$A$6:$L$10,11,FALSE),0))</f>
        <v>3.0676363676126896E-2</v>
      </c>
      <c r="O179" s="361">
        <f>+IF($I179=O$3,VLOOKUP($H179,Depreciation!$A$6:$L$10,12,FALSE)/2,IF($I179&lt;O$3,VLOOKUP($H179,Depreciation!$A$6:$L$10,12,FALSE),0))</f>
        <v>3.0676363676126896E-2</v>
      </c>
      <c r="P179" s="362">
        <f t="shared" si="8"/>
        <v>16033121.129101561</v>
      </c>
      <c r="Q179" s="362">
        <f t="shared" si="9"/>
        <v>16033121.129101561</v>
      </c>
      <c r="R179" s="363">
        <f t="shared" si="10"/>
        <v>0</v>
      </c>
    </row>
    <row r="180" spans="1:18">
      <c r="A180" s="359" t="str">
        <f>'Func Future Lines 2015'!A180</f>
        <v>PPS</v>
      </c>
      <c r="B180" s="359" t="str">
        <f>'Func Future Lines 2015'!B180</f>
        <v>1080L/1109L_180</v>
      </c>
      <c r="C180" s="359">
        <f>'Func Future Lines 2015'!C180</f>
        <v>1117</v>
      </c>
      <c r="D180" s="359">
        <f>'Func Future Lines 2015'!D180</f>
        <v>240</v>
      </c>
      <c r="E180" s="359">
        <f>'Func Future Lines 2015'!E180</f>
        <v>0</v>
      </c>
      <c r="F180" s="359" t="str">
        <f>'Func Future Lines 2015'!F180</f>
        <v>Calgary</v>
      </c>
      <c r="G180" s="359">
        <f>'Func Future Lines 2015'!G180</f>
        <v>2104869.8933907058</v>
      </c>
      <c r="H180" s="359" t="str">
        <f>'Func Future Lines 2015'!H180</f>
        <v>AltaLink</v>
      </c>
      <c r="I180" s="359">
        <f>'Func Future Lines 2015'!I180</f>
        <v>2015</v>
      </c>
      <c r="J180" s="361">
        <f>+IF($I180=J$3,VLOOKUP($H180,Depreciation!$A$6:$L$10,7,FALSE)/2,IF($I180&lt;J$3,VLOOKUP($H180,Depreciation!$A$6:$L$10,7,FALSE),0))</f>
        <v>1.595020804044691E-2</v>
      </c>
      <c r="K180" s="361">
        <f>+IF($I180=K$3,VLOOKUP($H180,Depreciation!$A$6:$L$10,8,FALSE)/2,IF($I180&lt;K$3,VLOOKUP($H180,Depreciation!$A$6:$L$10,8,FALSE),0))</f>
        <v>3.0676363676126896E-2</v>
      </c>
      <c r="L180" s="361">
        <f>+IF($I180=L$3,VLOOKUP($H180,Depreciation!$A$6:$L$10,9,FALSE)/2,IF($I180&lt;L$3,VLOOKUP($H180,Depreciation!$A$6:$L$10,9,FALSE),0))</f>
        <v>3.0676363676126896E-2</v>
      </c>
      <c r="M180" s="361">
        <f>+IF($I180=M$3,VLOOKUP($H180,Depreciation!$A$6:$L$10,10,FALSE)/2,IF($I180&lt;M$3,VLOOKUP($H180,Depreciation!$A$6:$L$10,10,FALSE),0))</f>
        <v>3.0676363676126896E-2</v>
      </c>
      <c r="N180" s="361">
        <f>+IF($I180=N$3,VLOOKUP($H180,Depreciation!$A$6:$L$10,11,FALSE)/2,IF($I180&lt;N$3,VLOOKUP($H180,Depreciation!$A$6:$L$10,11,FALSE),0))</f>
        <v>3.0676363676126896E-2</v>
      </c>
      <c r="O180" s="361">
        <f>+IF($I180=O$3,VLOOKUP($H180,Depreciation!$A$6:$L$10,12,FALSE)/2,IF($I180&lt;O$3,VLOOKUP($H180,Depreciation!$A$6:$L$10,12,FALSE),0))</f>
        <v>3.0676363676126896E-2</v>
      </c>
      <c r="P180" s="362">
        <f t="shared" si="8"/>
        <v>1886464.9421631435</v>
      </c>
      <c r="Q180" s="362">
        <f t="shared" si="9"/>
        <v>1886464.9421631435</v>
      </c>
      <c r="R180" s="363">
        <f t="shared" si="10"/>
        <v>0</v>
      </c>
    </row>
    <row r="181" spans="1:18">
      <c r="A181" s="359" t="str">
        <f>'Func Future Lines 2015'!A181</f>
        <v>Final</v>
      </c>
      <c r="B181" s="359" t="str">
        <f>'Func Future Lines 2015'!B181</f>
        <v>1106L_180</v>
      </c>
      <c r="C181" s="359">
        <f>'Func Future Lines 2015'!C181</f>
        <v>1117</v>
      </c>
      <c r="D181" s="359">
        <f>'Func Future Lines 2015'!D181</f>
        <v>240</v>
      </c>
      <c r="E181" s="359">
        <f>'Func Future Lines 2015'!E181</f>
        <v>0</v>
      </c>
      <c r="F181" s="359">
        <f>'Func Future Lines 2015'!F181</f>
        <v>0</v>
      </c>
      <c r="G181" s="359">
        <f>'Func Future Lines 2015'!G181</f>
        <v>83540470.165999994</v>
      </c>
      <c r="H181" s="359" t="str">
        <f>'Func Future Lines 2015'!H181</f>
        <v>AltaLink</v>
      </c>
      <c r="I181" s="359">
        <f>'Func Future Lines 2015'!I181</f>
        <v>2015</v>
      </c>
      <c r="J181" s="361">
        <f>+IF($I181=J$3,VLOOKUP($H181,Depreciation!$A$6:$L$10,7,FALSE)/2,IF($I181&lt;J$3,VLOOKUP($H181,Depreciation!$A$6:$L$10,7,FALSE),0))</f>
        <v>1.595020804044691E-2</v>
      </c>
      <c r="K181" s="361">
        <f>+IF($I181=K$3,VLOOKUP($H181,Depreciation!$A$6:$L$10,8,FALSE)/2,IF($I181&lt;K$3,VLOOKUP($H181,Depreciation!$A$6:$L$10,8,FALSE),0))</f>
        <v>3.0676363676126896E-2</v>
      </c>
      <c r="L181" s="361">
        <f>+IF($I181=L$3,VLOOKUP($H181,Depreciation!$A$6:$L$10,9,FALSE)/2,IF($I181&lt;L$3,VLOOKUP($H181,Depreciation!$A$6:$L$10,9,FALSE),0))</f>
        <v>3.0676363676126896E-2</v>
      </c>
      <c r="M181" s="361">
        <f>+IF($I181=M$3,VLOOKUP($H181,Depreciation!$A$6:$L$10,10,FALSE)/2,IF($I181&lt;M$3,VLOOKUP($H181,Depreciation!$A$6:$L$10,10,FALSE),0))</f>
        <v>3.0676363676126896E-2</v>
      </c>
      <c r="N181" s="361">
        <f>+IF($I181=N$3,VLOOKUP($H181,Depreciation!$A$6:$L$10,11,FALSE)/2,IF($I181&lt;N$3,VLOOKUP($H181,Depreciation!$A$6:$L$10,11,FALSE),0))</f>
        <v>3.0676363676126896E-2</v>
      </c>
      <c r="O181" s="361">
        <f>+IF($I181=O$3,VLOOKUP($H181,Depreciation!$A$6:$L$10,12,FALSE)/2,IF($I181&lt;O$3,VLOOKUP($H181,Depreciation!$A$6:$L$10,12,FALSE),0))</f>
        <v>3.0676363676126896E-2</v>
      </c>
      <c r="P181" s="362">
        <f t="shared" si="8"/>
        <v>74872166.072989672</v>
      </c>
      <c r="Q181" s="362">
        <f t="shared" si="9"/>
        <v>74872166.072989672</v>
      </c>
      <c r="R181" s="363">
        <f t="shared" si="10"/>
        <v>0</v>
      </c>
    </row>
    <row r="182" spans="1:18">
      <c r="A182" s="359" t="str">
        <f>'Func Future Lines 2015'!A182</f>
        <v>Final</v>
      </c>
      <c r="B182" s="359" t="str">
        <f>'Func Future Lines 2015'!B182</f>
        <v>1107L_180</v>
      </c>
      <c r="C182" s="359">
        <f>'Func Future Lines 2015'!C182</f>
        <v>1117</v>
      </c>
      <c r="D182" s="359">
        <f>'Func Future Lines 2015'!D182</f>
        <v>240</v>
      </c>
      <c r="E182" s="359">
        <f>'Func Future Lines 2015'!E182</f>
        <v>0</v>
      </c>
      <c r="F182" s="359">
        <f>'Func Future Lines 2015'!F182</f>
        <v>0</v>
      </c>
      <c r="G182" s="359">
        <f>'Func Future Lines 2015'!G182</f>
        <v>81881919.074000001</v>
      </c>
      <c r="H182" s="359" t="str">
        <f>'Func Future Lines 2015'!H182</f>
        <v>AltaLink</v>
      </c>
      <c r="I182" s="359">
        <f>'Func Future Lines 2015'!I182</f>
        <v>2015</v>
      </c>
      <c r="J182" s="361">
        <f>+IF($I182=J$3,VLOOKUP($H182,Depreciation!$A$6:$L$10,7,FALSE)/2,IF($I182&lt;J$3,VLOOKUP($H182,Depreciation!$A$6:$L$10,7,FALSE),0))</f>
        <v>1.595020804044691E-2</v>
      </c>
      <c r="K182" s="361">
        <f>+IF($I182=K$3,VLOOKUP($H182,Depreciation!$A$6:$L$10,8,FALSE)/2,IF($I182&lt;K$3,VLOOKUP($H182,Depreciation!$A$6:$L$10,8,FALSE),0))</f>
        <v>3.0676363676126896E-2</v>
      </c>
      <c r="L182" s="361">
        <f>+IF($I182=L$3,VLOOKUP($H182,Depreciation!$A$6:$L$10,9,FALSE)/2,IF($I182&lt;L$3,VLOOKUP($H182,Depreciation!$A$6:$L$10,9,FALSE),0))</f>
        <v>3.0676363676126896E-2</v>
      </c>
      <c r="M182" s="361">
        <f>+IF($I182=M$3,VLOOKUP($H182,Depreciation!$A$6:$L$10,10,FALSE)/2,IF($I182&lt;M$3,VLOOKUP($H182,Depreciation!$A$6:$L$10,10,FALSE),0))</f>
        <v>3.0676363676126896E-2</v>
      </c>
      <c r="N182" s="361">
        <f>+IF($I182=N$3,VLOOKUP($H182,Depreciation!$A$6:$L$10,11,FALSE)/2,IF($I182&lt;N$3,VLOOKUP($H182,Depreciation!$A$6:$L$10,11,FALSE),0))</f>
        <v>3.0676363676126896E-2</v>
      </c>
      <c r="O182" s="361">
        <f>+IF($I182=O$3,VLOOKUP($H182,Depreciation!$A$6:$L$10,12,FALSE)/2,IF($I182&lt;O$3,VLOOKUP($H182,Depreciation!$A$6:$L$10,12,FALSE),0))</f>
        <v>3.0676363676126896E-2</v>
      </c>
      <c r="P182" s="362">
        <f t="shared" si="8"/>
        <v>73385709.119204164</v>
      </c>
      <c r="Q182" s="362">
        <f t="shared" si="9"/>
        <v>73385709.119204164</v>
      </c>
      <c r="R182" s="363">
        <f t="shared" si="10"/>
        <v>0</v>
      </c>
    </row>
    <row r="183" spans="1:18">
      <c r="A183" s="359" t="str">
        <f>'Func Future Lines 2015'!A183</f>
        <v>PPS</v>
      </c>
      <c r="B183" s="359" t="str">
        <f>'Func Future Lines 2015'!B183</f>
        <v>434L/646L_180</v>
      </c>
      <c r="C183" s="359">
        <f>'Func Future Lines 2015'!C183</f>
        <v>1117</v>
      </c>
      <c r="D183" s="359">
        <f>'Func Future Lines 2015'!D183</f>
        <v>138</v>
      </c>
      <c r="E183" s="359">
        <f>'Func Future Lines 2015'!E183</f>
        <v>0</v>
      </c>
      <c r="F183" s="359" t="str">
        <f>'Func Future Lines 2015'!F183</f>
        <v>Calgary</v>
      </c>
      <c r="G183" s="359">
        <f>'Func Future Lines 2015'!G183</f>
        <v>23035758.945204999</v>
      </c>
      <c r="H183" s="359" t="str">
        <f>'Func Future Lines 2015'!H183</f>
        <v>AltaLink</v>
      </c>
      <c r="I183" s="359">
        <f>'Func Future Lines 2015'!I183</f>
        <v>2015</v>
      </c>
      <c r="J183" s="361">
        <f>+IF($I183=J$3,VLOOKUP($H183,Depreciation!$A$6:$L$10,7,FALSE)/2,IF($I183&lt;J$3,VLOOKUP($H183,Depreciation!$A$6:$L$10,7,FALSE),0))</f>
        <v>1.595020804044691E-2</v>
      </c>
      <c r="K183" s="361">
        <f>+IF($I183=K$3,VLOOKUP($H183,Depreciation!$A$6:$L$10,8,FALSE)/2,IF($I183&lt;K$3,VLOOKUP($H183,Depreciation!$A$6:$L$10,8,FALSE),0))</f>
        <v>3.0676363676126896E-2</v>
      </c>
      <c r="L183" s="361">
        <f>+IF($I183=L$3,VLOOKUP($H183,Depreciation!$A$6:$L$10,9,FALSE)/2,IF($I183&lt;L$3,VLOOKUP($H183,Depreciation!$A$6:$L$10,9,FALSE),0))</f>
        <v>3.0676363676126896E-2</v>
      </c>
      <c r="M183" s="361">
        <f>+IF($I183=M$3,VLOOKUP($H183,Depreciation!$A$6:$L$10,10,FALSE)/2,IF($I183&lt;M$3,VLOOKUP($H183,Depreciation!$A$6:$L$10,10,FALSE),0))</f>
        <v>3.0676363676126896E-2</v>
      </c>
      <c r="N183" s="361">
        <f>+IF($I183=N$3,VLOOKUP($H183,Depreciation!$A$6:$L$10,11,FALSE)/2,IF($I183&lt;N$3,VLOOKUP($H183,Depreciation!$A$6:$L$10,11,FALSE),0))</f>
        <v>3.0676363676126896E-2</v>
      </c>
      <c r="O183" s="361">
        <f>+IF($I183=O$3,VLOOKUP($H183,Depreciation!$A$6:$L$10,12,FALSE)/2,IF($I183&lt;O$3,VLOOKUP($H183,Depreciation!$A$6:$L$10,12,FALSE),0))</f>
        <v>3.0676363676126896E-2</v>
      </c>
      <c r="P183" s="362">
        <f t="shared" si="8"/>
        <v>20645528.639419775</v>
      </c>
      <c r="Q183" s="362">
        <f t="shared" si="9"/>
        <v>0</v>
      </c>
      <c r="R183" s="363">
        <f t="shared" si="10"/>
        <v>20645528.639419775</v>
      </c>
    </row>
    <row r="184" spans="1:18">
      <c r="A184" s="359" t="str">
        <f>'Func Future Lines 2015'!A184</f>
        <v>PPS</v>
      </c>
      <c r="B184" s="359" t="str">
        <f>'Func Future Lines 2015'!B184</f>
        <v>434L/646L_180</v>
      </c>
      <c r="C184" s="359">
        <f>'Func Future Lines 2015'!C184</f>
        <v>1117</v>
      </c>
      <c r="D184" s="359">
        <f>'Func Future Lines 2015'!D184</f>
        <v>138</v>
      </c>
      <c r="E184" s="359">
        <f>'Func Future Lines 2015'!E184</f>
        <v>0</v>
      </c>
      <c r="F184" s="359" t="str">
        <f>'Func Future Lines 2015'!F184</f>
        <v>Calgary</v>
      </c>
      <c r="G184" s="359">
        <f>'Func Future Lines 2015'!G184</f>
        <v>23035758.945204999</v>
      </c>
      <c r="H184" s="359" t="str">
        <f>'Func Future Lines 2015'!H184</f>
        <v>AltaLink</v>
      </c>
      <c r="I184" s="359">
        <f>'Func Future Lines 2015'!I184</f>
        <v>2015</v>
      </c>
      <c r="J184" s="361">
        <f>+IF($I184=J$3,VLOOKUP($H184,Depreciation!$A$6:$L$10,7,FALSE)/2,IF($I184&lt;J$3,VLOOKUP($H184,Depreciation!$A$6:$L$10,7,FALSE),0))</f>
        <v>1.595020804044691E-2</v>
      </c>
      <c r="K184" s="361">
        <f>+IF($I184=K$3,VLOOKUP($H184,Depreciation!$A$6:$L$10,8,FALSE)/2,IF($I184&lt;K$3,VLOOKUP($H184,Depreciation!$A$6:$L$10,8,FALSE),0))</f>
        <v>3.0676363676126896E-2</v>
      </c>
      <c r="L184" s="361">
        <f>+IF($I184=L$3,VLOOKUP($H184,Depreciation!$A$6:$L$10,9,FALSE)/2,IF($I184&lt;L$3,VLOOKUP($H184,Depreciation!$A$6:$L$10,9,FALSE),0))</f>
        <v>3.0676363676126896E-2</v>
      </c>
      <c r="M184" s="361">
        <f>+IF($I184=M$3,VLOOKUP($H184,Depreciation!$A$6:$L$10,10,FALSE)/2,IF($I184&lt;M$3,VLOOKUP($H184,Depreciation!$A$6:$L$10,10,FALSE),0))</f>
        <v>3.0676363676126896E-2</v>
      </c>
      <c r="N184" s="361">
        <f>+IF($I184=N$3,VLOOKUP($H184,Depreciation!$A$6:$L$10,11,FALSE)/2,IF($I184&lt;N$3,VLOOKUP($H184,Depreciation!$A$6:$L$10,11,FALSE),0))</f>
        <v>3.0676363676126896E-2</v>
      </c>
      <c r="O184" s="361">
        <f>+IF($I184=O$3,VLOOKUP($H184,Depreciation!$A$6:$L$10,12,FALSE)/2,IF($I184&lt;O$3,VLOOKUP($H184,Depreciation!$A$6:$L$10,12,FALSE),0))</f>
        <v>3.0676363676126896E-2</v>
      </c>
      <c r="P184" s="362">
        <f t="shared" si="8"/>
        <v>20645528.639419775</v>
      </c>
      <c r="Q184" s="362">
        <f t="shared" si="9"/>
        <v>0</v>
      </c>
      <c r="R184" s="363">
        <f t="shared" si="10"/>
        <v>20645528.639419775</v>
      </c>
    </row>
    <row r="185" spans="1:18">
      <c r="A185" s="359" t="str">
        <f>'Func Future Lines 2015'!A185</f>
        <v>PPS</v>
      </c>
      <c r="B185" s="359" t="str">
        <f>'Func Future Lines 2015'!B185</f>
        <v>646L/850L_180</v>
      </c>
      <c r="C185" s="359">
        <f>'Func Future Lines 2015'!C185</f>
        <v>1117</v>
      </c>
      <c r="D185" s="359">
        <f>'Func Future Lines 2015'!D185</f>
        <v>138</v>
      </c>
      <c r="E185" s="359">
        <f>'Func Future Lines 2015'!E185</f>
        <v>0</v>
      </c>
      <c r="F185" s="359" t="str">
        <f>'Func Future Lines 2015'!F185</f>
        <v>Calgary</v>
      </c>
      <c r="G185" s="359">
        <f>'Func Future Lines 2015'!G185</f>
        <v>1379161.0196992834</v>
      </c>
      <c r="H185" s="359" t="str">
        <f>'Func Future Lines 2015'!H185</f>
        <v>AltaLink</v>
      </c>
      <c r="I185" s="359">
        <f>'Func Future Lines 2015'!I185</f>
        <v>2015</v>
      </c>
      <c r="J185" s="361">
        <f>+IF($I185=J$3,VLOOKUP($H185,Depreciation!$A$6:$L$10,7,FALSE)/2,IF($I185&lt;J$3,VLOOKUP($H185,Depreciation!$A$6:$L$10,7,FALSE),0))</f>
        <v>1.595020804044691E-2</v>
      </c>
      <c r="K185" s="361">
        <f>+IF($I185=K$3,VLOOKUP($H185,Depreciation!$A$6:$L$10,8,FALSE)/2,IF($I185&lt;K$3,VLOOKUP($H185,Depreciation!$A$6:$L$10,8,FALSE),0))</f>
        <v>3.0676363676126896E-2</v>
      </c>
      <c r="L185" s="361">
        <f>+IF($I185=L$3,VLOOKUP($H185,Depreciation!$A$6:$L$10,9,FALSE)/2,IF($I185&lt;L$3,VLOOKUP($H185,Depreciation!$A$6:$L$10,9,FALSE),0))</f>
        <v>3.0676363676126896E-2</v>
      </c>
      <c r="M185" s="361">
        <f>+IF($I185=M$3,VLOOKUP($H185,Depreciation!$A$6:$L$10,10,FALSE)/2,IF($I185&lt;M$3,VLOOKUP($H185,Depreciation!$A$6:$L$10,10,FALSE),0))</f>
        <v>3.0676363676126896E-2</v>
      </c>
      <c r="N185" s="361">
        <f>+IF($I185=N$3,VLOOKUP($H185,Depreciation!$A$6:$L$10,11,FALSE)/2,IF($I185&lt;N$3,VLOOKUP($H185,Depreciation!$A$6:$L$10,11,FALSE),0))</f>
        <v>3.0676363676126896E-2</v>
      </c>
      <c r="O185" s="361">
        <f>+IF($I185=O$3,VLOOKUP($H185,Depreciation!$A$6:$L$10,12,FALSE)/2,IF($I185&lt;O$3,VLOOKUP($H185,Depreciation!$A$6:$L$10,12,FALSE),0))</f>
        <v>3.0676363676126896E-2</v>
      </c>
      <c r="P185" s="362">
        <f t="shared" si="8"/>
        <v>1236056.8800143583</v>
      </c>
      <c r="Q185" s="362">
        <f t="shared" si="9"/>
        <v>0</v>
      </c>
      <c r="R185" s="363">
        <f t="shared" si="10"/>
        <v>1236056.8800143583</v>
      </c>
    </row>
    <row r="186" spans="1:18">
      <c r="A186" s="359" t="str">
        <f>'Func Future Lines 2015'!A186</f>
        <v>PPS</v>
      </c>
      <c r="B186" s="359" t="str">
        <f>'Func Future Lines 2015'!B186</f>
        <v>727L salvage_180</v>
      </c>
      <c r="C186" s="359">
        <f>'Func Future Lines 2015'!C186</f>
        <v>1117</v>
      </c>
      <c r="D186" s="359">
        <f>'Func Future Lines 2015'!D186</f>
        <v>138</v>
      </c>
      <c r="E186" s="359">
        <f>'Func Future Lines 2015'!E186</f>
        <v>0</v>
      </c>
      <c r="F186" s="359" t="str">
        <f>'Func Future Lines 2015'!F186</f>
        <v>Calgary</v>
      </c>
      <c r="G186" s="359">
        <f>'Func Future Lines 2015'!G186</f>
        <v>58119.541832429939</v>
      </c>
      <c r="H186" s="359" t="str">
        <f>'Func Future Lines 2015'!H186</f>
        <v>AltaLink</v>
      </c>
      <c r="I186" s="359">
        <f>'Func Future Lines 2015'!I186</f>
        <v>2015</v>
      </c>
      <c r="J186" s="361">
        <f>+IF($I186=J$3,VLOOKUP($H186,Depreciation!$A$6:$L$10,7,FALSE)/2,IF($I186&lt;J$3,VLOOKUP($H186,Depreciation!$A$6:$L$10,7,FALSE),0))</f>
        <v>1.595020804044691E-2</v>
      </c>
      <c r="K186" s="361">
        <f>+IF($I186=K$3,VLOOKUP($H186,Depreciation!$A$6:$L$10,8,FALSE)/2,IF($I186&lt;K$3,VLOOKUP($H186,Depreciation!$A$6:$L$10,8,FALSE),0))</f>
        <v>3.0676363676126896E-2</v>
      </c>
      <c r="L186" s="361">
        <f>+IF($I186=L$3,VLOOKUP($H186,Depreciation!$A$6:$L$10,9,FALSE)/2,IF($I186&lt;L$3,VLOOKUP($H186,Depreciation!$A$6:$L$10,9,FALSE),0))</f>
        <v>3.0676363676126896E-2</v>
      </c>
      <c r="M186" s="361">
        <f>+IF($I186=M$3,VLOOKUP($H186,Depreciation!$A$6:$L$10,10,FALSE)/2,IF($I186&lt;M$3,VLOOKUP($H186,Depreciation!$A$6:$L$10,10,FALSE),0))</f>
        <v>3.0676363676126896E-2</v>
      </c>
      <c r="N186" s="361">
        <f>+IF($I186=N$3,VLOOKUP($H186,Depreciation!$A$6:$L$10,11,FALSE)/2,IF($I186&lt;N$3,VLOOKUP($H186,Depreciation!$A$6:$L$10,11,FALSE),0))</f>
        <v>3.0676363676126896E-2</v>
      </c>
      <c r="O186" s="361">
        <f>+IF($I186=O$3,VLOOKUP($H186,Depreciation!$A$6:$L$10,12,FALSE)/2,IF($I186&lt;O$3,VLOOKUP($H186,Depreciation!$A$6:$L$10,12,FALSE),0))</f>
        <v>3.0676363676126896E-2</v>
      </c>
      <c r="P186" s="362">
        <f t="shared" si="8"/>
        <v>52088.957358236061</v>
      </c>
      <c r="Q186" s="362">
        <f t="shared" si="9"/>
        <v>0</v>
      </c>
      <c r="R186" s="363">
        <f t="shared" si="10"/>
        <v>52088.957358236061</v>
      </c>
    </row>
    <row r="187" spans="1:18">
      <c r="A187" s="359" t="str">
        <f>'Func Future Lines 2015'!A187</f>
        <v>PPS</v>
      </c>
      <c r="B187" s="359" t="str">
        <f>'Func Future Lines 2015'!B187</f>
        <v>727L temporary_180</v>
      </c>
      <c r="C187" s="359">
        <f>'Func Future Lines 2015'!C187</f>
        <v>1117</v>
      </c>
      <c r="D187" s="359">
        <f>'Func Future Lines 2015'!D187</f>
        <v>138</v>
      </c>
      <c r="E187" s="359">
        <f>'Func Future Lines 2015'!E187</f>
        <v>0</v>
      </c>
      <c r="F187" s="359" t="str">
        <f>'Func Future Lines 2015'!F187</f>
        <v>Calgary</v>
      </c>
      <c r="G187" s="359">
        <f>'Func Future Lines 2015'!G187</f>
        <v>113097.48680905285</v>
      </c>
      <c r="H187" s="359" t="str">
        <f>'Func Future Lines 2015'!H187</f>
        <v>AltaLink</v>
      </c>
      <c r="I187" s="359">
        <f>'Func Future Lines 2015'!I187</f>
        <v>2015</v>
      </c>
      <c r="J187" s="361">
        <f>+IF($I187=J$3,VLOOKUP($H187,Depreciation!$A$6:$L$10,7,FALSE)/2,IF($I187&lt;J$3,VLOOKUP($H187,Depreciation!$A$6:$L$10,7,FALSE),0))</f>
        <v>1.595020804044691E-2</v>
      </c>
      <c r="K187" s="361">
        <f>+IF($I187=K$3,VLOOKUP($H187,Depreciation!$A$6:$L$10,8,FALSE)/2,IF($I187&lt;K$3,VLOOKUP($H187,Depreciation!$A$6:$L$10,8,FALSE),0))</f>
        <v>3.0676363676126896E-2</v>
      </c>
      <c r="L187" s="361">
        <f>+IF($I187=L$3,VLOOKUP($H187,Depreciation!$A$6:$L$10,9,FALSE)/2,IF($I187&lt;L$3,VLOOKUP($H187,Depreciation!$A$6:$L$10,9,FALSE),0))</f>
        <v>3.0676363676126896E-2</v>
      </c>
      <c r="M187" s="361">
        <f>+IF($I187=M$3,VLOOKUP($H187,Depreciation!$A$6:$L$10,10,FALSE)/2,IF($I187&lt;M$3,VLOOKUP($H187,Depreciation!$A$6:$L$10,10,FALSE),0))</f>
        <v>3.0676363676126896E-2</v>
      </c>
      <c r="N187" s="361">
        <f>+IF($I187=N$3,VLOOKUP($H187,Depreciation!$A$6:$L$10,11,FALSE)/2,IF($I187&lt;N$3,VLOOKUP($H187,Depreciation!$A$6:$L$10,11,FALSE),0))</f>
        <v>3.0676363676126896E-2</v>
      </c>
      <c r="O187" s="361">
        <f>+IF($I187=O$3,VLOOKUP($H187,Depreciation!$A$6:$L$10,12,FALSE)/2,IF($I187&lt;O$3,VLOOKUP($H187,Depreciation!$A$6:$L$10,12,FALSE),0))</f>
        <v>3.0676363676126896E-2</v>
      </c>
      <c r="P187" s="362">
        <f t="shared" si="8"/>
        <v>101362.2953998107</v>
      </c>
      <c r="Q187" s="362">
        <f t="shared" si="9"/>
        <v>0</v>
      </c>
      <c r="R187" s="363">
        <f t="shared" si="10"/>
        <v>101362.2953998107</v>
      </c>
    </row>
    <row r="188" spans="1:18">
      <c r="A188" s="359" t="str">
        <f>'Func Future Lines 2015'!A188</f>
        <v>PPS</v>
      </c>
      <c r="B188" s="359" t="str">
        <f>'Func Future Lines 2015'!B188</f>
        <v>727L/646L rebuild to d/c_180</v>
      </c>
      <c r="C188" s="359">
        <f>'Func Future Lines 2015'!C188</f>
        <v>1117</v>
      </c>
      <c r="D188" s="359">
        <f>'Func Future Lines 2015'!D188</f>
        <v>138</v>
      </c>
      <c r="E188" s="359">
        <f>'Func Future Lines 2015'!E188</f>
        <v>0</v>
      </c>
      <c r="F188" s="359" t="str">
        <f>'Func Future Lines 2015'!F188</f>
        <v>Calgary</v>
      </c>
      <c r="G188" s="359">
        <f>'Func Future Lines 2015'!G188</f>
        <v>10552623.838655792</v>
      </c>
      <c r="H188" s="359" t="str">
        <f>'Func Future Lines 2015'!H188</f>
        <v>AltaLink</v>
      </c>
      <c r="I188" s="359">
        <f>'Func Future Lines 2015'!I188</f>
        <v>2015</v>
      </c>
      <c r="J188" s="361">
        <f>+IF($I188=J$3,VLOOKUP($H188,Depreciation!$A$6:$L$10,7,FALSE)/2,IF($I188&lt;J$3,VLOOKUP($H188,Depreciation!$A$6:$L$10,7,FALSE),0))</f>
        <v>1.595020804044691E-2</v>
      </c>
      <c r="K188" s="361">
        <f>+IF($I188=K$3,VLOOKUP($H188,Depreciation!$A$6:$L$10,8,FALSE)/2,IF($I188&lt;K$3,VLOOKUP($H188,Depreciation!$A$6:$L$10,8,FALSE),0))</f>
        <v>3.0676363676126896E-2</v>
      </c>
      <c r="L188" s="361">
        <f>+IF($I188=L$3,VLOOKUP($H188,Depreciation!$A$6:$L$10,9,FALSE)/2,IF($I188&lt;L$3,VLOOKUP($H188,Depreciation!$A$6:$L$10,9,FALSE),0))</f>
        <v>3.0676363676126896E-2</v>
      </c>
      <c r="M188" s="361">
        <f>+IF($I188=M$3,VLOOKUP($H188,Depreciation!$A$6:$L$10,10,FALSE)/2,IF($I188&lt;M$3,VLOOKUP($H188,Depreciation!$A$6:$L$10,10,FALSE),0))</f>
        <v>3.0676363676126896E-2</v>
      </c>
      <c r="N188" s="361">
        <f>+IF($I188=N$3,VLOOKUP($H188,Depreciation!$A$6:$L$10,11,FALSE)/2,IF($I188&lt;N$3,VLOOKUP($H188,Depreciation!$A$6:$L$10,11,FALSE),0))</f>
        <v>3.0676363676126896E-2</v>
      </c>
      <c r="O188" s="361">
        <f>+IF($I188=O$3,VLOOKUP($H188,Depreciation!$A$6:$L$10,12,FALSE)/2,IF($I188&lt;O$3,VLOOKUP($H188,Depreciation!$A$6:$L$10,12,FALSE),0))</f>
        <v>3.0676363676126896E-2</v>
      </c>
      <c r="P188" s="362">
        <f t="shared" si="8"/>
        <v>9457665.2846656721</v>
      </c>
      <c r="Q188" s="362">
        <f t="shared" si="9"/>
        <v>0</v>
      </c>
      <c r="R188" s="363">
        <f t="shared" si="10"/>
        <v>9457665.2846656721</v>
      </c>
    </row>
    <row r="189" spans="1:18">
      <c r="A189" s="359" t="str">
        <f>'Func Future Lines 2015'!A189</f>
        <v>PPS</v>
      </c>
      <c r="B189" s="359" t="str">
        <f>'Func Future Lines 2015'!B189</f>
        <v>727L/646L rebuild to d/c_180</v>
      </c>
      <c r="C189" s="359">
        <f>'Func Future Lines 2015'!C189</f>
        <v>1117</v>
      </c>
      <c r="D189" s="359">
        <f>'Func Future Lines 2015'!D189</f>
        <v>138</v>
      </c>
      <c r="E189" s="359">
        <f>'Func Future Lines 2015'!E189</f>
        <v>0</v>
      </c>
      <c r="F189" s="359" t="str">
        <f>'Func Future Lines 2015'!F189</f>
        <v>Calgary</v>
      </c>
      <c r="G189" s="359">
        <f>'Func Future Lines 2015'!G189</f>
        <v>6925650.2686265837</v>
      </c>
      <c r="H189" s="359" t="str">
        <f>'Func Future Lines 2015'!H189</f>
        <v>AltaLink</v>
      </c>
      <c r="I189" s="359">
        <f>'Func Future Lines 2015'!I189</f>
        <v>2015</v>
      </c>
      <c r="J189" s="361">
        <f>+IF($I189=J$3,VLOOKUP($H189,Depreciation!$A$6:$L$10,7,FALSE)/2,IF($I189&lt;J$3,VLOOKUP($H189,Depreciation!$A$6:$L$10,7,FALSE),0))</f>
        <v>1.595020804044691E-2</v>
      </c>
      <c r="K189" s="361">
        <f>+IF($I189=K$3,VLOOKUP($H189,Depreciation!$A$6:$L$10,8,FALSE)/2,IF($I189&lt;K$3,VLOOKUP($H189,Depreciation!$A$6:$L$10,8,FALSE),0))</f>
        <v>3.0676363676126896E-2</v>
      </c>
      <c r="L189" s="361">
        <f>+IF($I189=L$3,VLOOKUP($H189,Depreciation!$A$6:$L$10,9,FALSE)/2,IF($I189&lt;L$3,VLOOKUP($H189,Depreciation!$A$6:$L$10,9,FALSE),0))</f>
        <v>3.0676363676126896E-2</v>
      </c>
      <c r="M189" s="361">
        <f>+IF($I189=M$3,VLOOKUP($H189,Depreciation!$A$6:$L$10,10,FALSE)/2,IF($I189&lt;M$3,VLOOKUP($H189,Depreciation!$A$6:$L$10,10,FALSE),0))</f>
        <v>3.0676363676126896E-2</v>
      </c>
      <c r="N189" s="361">
        <f>+IF($I189=N$3,VLOOKUP($H189,Depreciation!$A$6:$L$10,11,FALSE)/2,IF($I189&lt;N$3,VLOOKUP($H189,Depreciation!$A$6:$L$10,11,FALSE),0))</f>
        <v>3.0676363676126896E-2</v>
      </c>
      <c r="O189" s="361">
        <f>+IF($I189=O$3,VLOOKUP($H189,Depreciation!$A$6:$L$10,12,FALSE)/2,IF($I189&lt;O$3,VLOOKUP($H189,Depreciation!$A$6:$L$10,12,FALSE),0))</f>
        <v>3.0676363676126896E-2</v>
      </c>
      <c r="P189" s="362">
        <f t="shared" si="8"/>
        <v>6207032.783580075</v>
      </c>
      <c r="Q189" s="362">
        <f t="shared" si="9"/>
        <v>0</v>
      </c>
      <c r="R189" s="363">
        <f t="shared" si="10"/>
        <v>6207032.783580075</v>
      </c>
    </row>
    <row r="190" spans="1:18">
      <c r="A190" s="359" t="str">
        <f>'Func Future Lines 2015'!A190</f>
        <v>PPS</v>
      </c>
      <c r="B190" s="359" t="str">
        <f>'Func Future Lines 2015'!B190</f>
        <v>850L temporary line_180</v>
      </c>
      <c r="C190" s="359">
        <f>'Func Future Lines 2015'!C190</f>
        <v>1117</v>
      </c>
      <c r="D190" s="359">
        <f>'Func Future Lines 2015'!D190</f>
        <v>240</v>
      </c>
      <c r="E190" s="359">
        <f>'Func Future Lines 2015'!E190</f>
        <v>0</v>
      </c>
      <c r="F190" s="359">
        <f>'Func Future Lines 2015'!F190</f>
        <v>0</v>
      </c>
      <c r="G190" s="359">
        <f>'Func Future Lines 2015'!G190</f>
        <v>6383232.2672256418</v>
      </c>
      <c r="H190" s="359" t="str">
        <f>'Func Future Lines 2015'!H190</f>
        <v>AltaLink</v>
      </c>
      <c r="I190" s="359">
        <f>'Func Future Lines 2015'!I190</f>
        <v>2015</v>
      </c>
      <c r="J190" s="361">
        <f>+IF($I190=J$3,VLOOKUP($H190,Depreciation!$A$6:$L$10,7,FALSE)/2,IF($I190&lt;J$3,VLOOKUP($H190,Depreciation!$A$6:$L$10,7,FALSE),0))</f>
        <v>1.595020804044691E-2</v>
      </c>
      <c r="K190" s="361">
        <f>+IF($I190=K$3,VLOOKUP($H190,Depreciation!$A$6:$L$10,8,FALSE)/2,IF($I190&lt;K$3,VLOOKUP($H190,Depreciation!$A$6:$L$10,8,FALSE),0))</f>
        <v>3.0676363676126896E-2</v>
      </c>
      <c r="L190" s="361">
        <f>+IF($I190=L$3,VLOOKUP($H190,Depreciation!$A$6:$L$10,9,FALSE)/2,IF($I190&lt;L$3,VLOOKUP($H190,Depreciation!$A$6:$L$10,9,FALSE),0))</f>
        <v>3.0676363676126896E-2</v>
      </c>
      <c r="M190" s="361">
        <f>+IF($I190=M$3,VLOOKUP($H190,Depreciation!$A$6:$L$10,10,FALSE)/2,IF($I190&lt;M$3,VLOOKUP($H190,Depreciation!$A$6:$L$10,10,FALSE),0))</f>
        <v>3.0676363676126896E-2</v>
      </c>
      <c r="N190" s="361">
        <f>+IF($I190=N$3,VLOOKUP($H190,Depreciation!$A$6:$L$10,11,FALSE)/2,IF($I190&lt;N$3,VLOOKUP($H190,Depreciation!$A$6:$L$10,11,FALSE),0))</f>
        <v>3.0676363676126896E-2</v>
      </c>
      <c r="O190" s="361">
        <f>+IF($I190=O$3,VLOOKUP($H190,Depreciation!$A$6:$L$10,12,FALSE)/2,IF($I190&lt;O$3,VLOOKUP($H190,Depreciation!$A$6:$L$10,12,FALSE),0))</f>
        <v>3.0676363676126896E-2</v>
      </c>
      <c r="P190" s="362">
        <f t="shared" si="8"/>
        <v>5720897.0148781277</v>
      </c>
      <c r="Q190" s="362">
        <f t="shared" si="9"/>
        <v>5720897.0148781277</v>
      </c>
      <c r="R190" s="363">
        <f t="shared" si="10"/>
        <v>0</v>
      </c>
    </row>
    <row r="191" spans="1:18">
      <c r="A191" s="359" t="str">
        <f>'Func Future Lines 2015'!A191</f>
        <v>PPS</v>
      </c>
      <c r="B191" s="359" t="str">
        <f>'Func Future Lines 2015'!B191</f>
        <v>850L/911L salvage_180</v>
      </c>
      <c r="C191" s="359">
        <f>'Func Future Lines 2015'!C191</f>
        <v>1117</v>
      </c>
      <c r="D191" s="359">
        <f>'Func Future Lines 2015'!D191</f>
        <v>240</v>
      </c>
      <c r="E191" s="359">
        <f>'Func Future Lines 2015'!E191</f>
        <v>0</v>
      </c>
      <c r="F191" s="359">
        <f>'Func Future Lines 2015'!F191</f>
        <v>0</v>
      </c>
      <c r="G191" s="359">
        <f>'Func Future Lines 2015'!G191</f>
        <v>40534.58651700589</v>
      </c>
      <c r="H191" s="359" t="str">
        <f>'Func Future Lines 2015'!H191</f>
        <v>AltaLink</v>
      </c>
      <c r="I191" s="359">
        <f>'Func Future Lines 2015'!I191</f>
        <v>2015</v>
      </c>
      <c r="J191" s="361">
        <f>+IF($I191=J$3,VLOOKUP($H191,Depreciation!$A$6:$L$10,7,FALSE)/2,IF($I191&lt;J$3,VLOOKUP($H191,Depreciation!$A$6:$L$10,7,FALSE),0))</f>
        <v>1.595020804044691E-2</v>
      </c>
      <c r="K191" s="361">
        <f>+IF($I191=K$3,VLOOKUP($H191,Depreciation!$A$6:$L$10,8,FALSE)/2,IF($I191&lt;K$3,VLOOKUP($H191,Depreciation!$A$6:$L$10,8,FALSE),0))</f>
        <v>3.0676363676126896E-2</v>
      </c>
      <c r="L191" s="361">
        <f>+IF($I191=L$3,VLOOKUP($H191,Depreciation!$A$6:$L$10,9,FALSE)/2,IF($I191&lt;L$3,VLOOKUP($H191,Depreciation!$A$6:$L$10,9,FALSE),0))</f>
        <v>3.0676363676126896E-2</v>
      </c>
      <c r="M191" s="361">
        <f>+IF($I191=M$3,VLOOKUP($H191,Depreciation!$A$6:$L$10,10,FALSE)/2,IF($I191&lt;M$3,VLOOKUP($H191,Depreciation!$A$6:$L$10,10,FALSE),0))</f>
        <v>3.0676363676126896E-2</v>
      </c>
      <c r="N191" s="361">
        <f>+IF($I191=N$3,VLOOKUP($H191,Depreciation!$A$6:$L$10,11,FALSE)/2,IF($I191&lt;N$3,VLOOKUP($H191,Depreciation!$A$6:$L$10,11,FALSE),0))</f>
        <v>3.0676363676126896E-2</v>
      </c>
      <c r="O191" s="361">
        <f>+IF($I191=O$3,VLOOKUP($H191,Depreciation!$A$6:$L$10,12,FALSE)/2,IF($I191&lt;O$3,VLOOKUP($H191,Depreciation!$A$6:$L$10,12,FALSE),0))</f>
        <v>3.0676363676126896E-2</v>
      </c>
      <c r="P191" s="362">
        <f t="shared" si="8"/>
        <v>36328.647509053728</v>
      </c>
      <c r="Q191" s="362">
        <f t="shared" si="9"/>
        <v>36328.647509053728</v>
      </c>
      <c r="R191" s="363">
        <f t="shared" si="10"/>
        <v>0</v>
      </c>
    </row>
    <row r="192" spans="1:18">
      <c r="A192" s="359" t="str">
        <f>'Func Future Lines 2015'!A192</f>
        <v>PPS</v>
      </c>
      <c r="B192" s="359" t="str">
        <f>'Func Future Lines 2015'!B192</f>
        <v>850L/911L_(v180)</v>
      </c>
      <c r="C192" s="359">
        <f>'Func Future Lines 2015'!C192</f>
        <v>1117</v>
      </c>
      <c r="D192" s="359">
        <f>'Func Future Lines 2015'!D192</f>
        <v>240</v>
      </c>
      <c r="E192" s="359">
        <f>'Func Future Lines 2015'!E192</f>
        <v>0</v>
      </c>
      <c r="F192" s="359" t="str">
        <f>'Func Future Lines 2015'!F192</f>
        <v>Calgary</v>
      </c>
      <c r="G192" s="359">
        <f>'Func Future Lines 2015'!G192</f>
        <v>4954996.4948249059</v>
      </c>
      <c r="H192" s="359" t="str">
        <f>'Func Future Lines 2015'!H192</f>
        <v>AltaLink</v>
      </c>
      <c r="I192" s="359">
        <f>'Func Future Lines 2015'!I192</f>
        <v>2015</v>
      </c>
      <c r="J192" s="361">
        <f>+IF($I192=J$3,VLOOKUP($H192,Depreciation!$A$6:$L$10,7,FALSE)/2,IF($I192&lt;J$3,VLOOKUP($H192,Depreciation!$A$6:$L$10,7,FALSE),0))</f>
        <v>1.595020804044691E-2</v>
      </c>
      <c r="K192" s="361">
        <f>+IF($I192=K$3,VLOOKUP($H192,Depreciation!$A$6:$L$10,8,FALSE)/2,IF($I192&lt;K$3,VLOOKUP($H192,Depreciation!$A$6:$L$10,8,FALSE),0))</f>
        <v>3.0676363676126896E-2</v>
      </c>
      <c r="L192" s="361">
        <f>+IF($I192=L$3,VLOOKUP($H192,Depreciation!$A$6:$L$10,9,FALSE)/2,IF($I192&lt;L$3,VLOOKUP($H192,Depreciation!$A$6:$L$10,9,FALSE),0))</f>
        <v>3.0676363676126896E-2</v>
      </c>
      <c r="M192" s="361">
        <f>+IF($I192=M$3,VLOOKUP($H192,Depreciation!$A$6:$L$10,10,FALSE)/2,IF($I192&lt;M$3,VLOOKUP($H192,Depreciation!$A$6:$L$10,10,FALSE),0))</f>
        <v>3.0676363676126896E-2</v>
      </c>
      <c r="N192" s="361">
        <f>+IF($I192=N$3,VLOOKUP($H192,Depreciation!$A$6:$L$10,11,FALSE)/2,IF($I192&lt;N$3,VLOOKUP($H192,Depreciation!$A$6:$L$10,11,FALSE),0))</f>
        <v>3.0676363676126896E-2</v>
      </c>
      <c r="O192" s="361">
        <f>+IF($I192=O$3,VLOOKUP($H192,Depreciation!$A$6:$L$10,12,FALSE)/2,IF($I192&lt;O$3,VLOOKUP($H192,Depreciation!$A$6:$L$10,12,FALSE),0))</f>
        <v>3.0676363676126896E-2</v>
      </c>
      <c r="P192" s="362">
        <f t="shared" si="8"/>
        <v>4440857.4636272667</v>
      </c>
      <c r="Q192" s="362">
        <f t="shared" si="9"/>
        <v>4440857.4636272667</v>
      </c>
      <c r="R192" s="363">
        <f t="shared" si="10"/>
        <v>0</v>
      </c>
    </row>
    <row r="193" spans="1:18">
      <c r="A193" s="359" t="str">
        <f>'Func Future Lines 2015'!A193</f>
        <v>PPS</v>
      </c>
      <c r="B193" s="359" t="str">
        <f>'Func Future Lines 2015'!B193</f>
        <v>850L/911L_(v180)</v>
      </c>
      <c r="C193" s="359">
        <f>'Func Future Lines 2015'!C193</f>
        <v>1117</v>
      </c>
      <c r="D193" s="359">
        <f>'Func Future Lines 2015'!D193</f>
        <v>240</v>
      </c>
      <c r="E193" s="359">
        <f>'Func Future Lines 2015'!E193</f>
        <v>0</v>
      </c>
      <c r="F193" s="359" t="str">
        <f>'Func Future Lines 2015'!F193</f>
        <v>Calgary</v>
      </c>
      <c r="G193" s="359">
        <f>'Func Future Lines 2015'!G193</f>
        <v>6050519.460335305</v>
      </c>
      <c r="H193" s="359" t="str">
        <f>'Func Future Lines 2015'!H193</f>
        <v>AltaLink</v>
      </c>
      <c r="I193" s="359">
        <f>'Func Future Lines 2015'!I193</f>
        <v>2015</v>
      </c>
      <c r="J193" s="361">
        <f>+IF($I193=J$3,VLOOKUP($H193,Depreciation!$A$6:$L$10,7,FALSE)/2,IF($I193&lt;J$3,VLOOKUP($H193,Depreciation!$A$6:$L$10,7,FALSE),0))</f>
        <v>1.595020804044691E-2</v>
      </c>
      <c r="K193" s="361">
        <f>+IF($I193=K$3,VLOOKUP($H193,Depreciation!$A$6:$L$10,8,FALSE)/2,IF($I193&lt;K$3,VLOOKUP($H193,Depreciation!$A$6:$L$10,8,FALSE),0))</f>
        <v>3.0676363676126896E-2</v>
      </c>
      <c r="L193" s="361">
        <f>+IF($I193=L$3,VLOOKUP($H193,Depreciation!$A$6:$L$10,9,FALSE)/2,IF($I193&lt;L$3,VLOOKUP($H193,Depreciation!$A$6:$L$10,9,FALSE),0))</f>
        <v>3.0676363676126896E-2</v>
      </c>
      <c r="M193" s="361">
        <f>+IF($I193=M$3,VLOOKUP($H193,Depreciation!$A$6:$L$10,10,FALSE)/2,IF($I193&lt;M$3,VLOOKUP($H193,Depreciation!$A$6:$L$10,10,FALSE),0))</f>
        <v>3.0676363676126896E-2</v>
      </c>
      <c r="N193" s="361">
        <f>+IF($I193=N$3,VLOOKUP($H193,Depreciation!$A$6:$L$10,11,FALSE)/2,IF($I193&lt;N$3,VLOOKUP($H193,Depreciation!$A$6:$L$10,11,FALSE),0))</f>
        <v>3.0676363676126896E-2</v>
      </c>
      <c r="O193" s="361">
        <f>+IF($I193=O$3,VLOOKUP($H193,Depreciation!$A$6:$L$10,12,FALSE)/2,IF($I193&lt;O$3,VLOOKUP($H193,Depreciation!$A$6:$L$10,12,FALSE),0))</f>
        <v>3.0676363676126896E-2</v>
      </c>
      <c r="P193" s="362">
        <f t="shared" si="8"/>
        <v>5422707.0659515271</v>
      </c>
      <c r="Q193" s="362">
        <f t="shared" si="9"/>
        <v>5422707.0659515271</v>
      </c>
      <c r="R193" s="363">
        <f t="shared" si="10"/>
        <v>0</v>
      </c>
    </row>
    <row r="194" spans="1:18">
      <c r="A194" s="359" t="str">
        <f>'Func Future Lines 2015'!A194</f>
        <v>PPS</v>
      </c>
      <c r="B194" s="359" t="str">
        <f>'Func Future Lines 2015'!B194</f>
        <v>911L temporary line_180</v>
      </c>
      <c r="C194" s="359">
        <f>'Func Future Lines 2015'!C194</f>
        <v>1117</v>
      </c>
      <c r="D194" s="359">
        <f>'Func Future Lines 2015'!D194</f>
        <v>240</v>
      </c>
      <c r="E194" s="359">
        <f>'Func Future Lines 2015'!E194</f>
        <v>0</v>
      </c>
      <c r="F194" s="359">
        <f>'Func Future Lines 2015'!F194</f>
        <v>0</v>
      </c>
      <c r="G194" s="359">
        <f>'Func Future Lines 2015'!G194</f>
        <v>5690283.8596253982</v>
      </c>
      <c r="H194" s="359" t="str">
        <f>'Func Future Lines 2015'!H194</f>
        <v>AltaLink</v>
      </c>
      <c r="I194" s="359">
        <f>'Func Future Lines 2015'!I194</f>
        <v>2015</v>
      </c>
      <c r="J194" s="361">
        <f>+IF($I194=J$3,VLOOKUP($H194,Depreciation!$A$6:$L$10,7,FALSE)/2,IF($I194&lt;J$3,VLOOKUP($H194,Depreciation!$A$6:$L$10,7,FALSE),0))</f>
        <v>1.595020804044691E-2</v>
      </c>
      <c r="K194" s="361">
        <f>+IF($I194=K$3,VLOOKUP($H194,Depreciation!$A$6:$L$10,8,FALSE)/2,IF($I194&lt;K$3,VLOOKUP($H194,Depreciation!$A$6:$L$10,8,FALSE),0))</f>
        <v>3.0676363676126896E-2</v>
      </c>
      <c r="L194" s="361">
        <f>+IF($I194=L$3,VLOOKUP($H194,Depreciation!$A$6:$L$10,9,FALSE)/2,IF($I194&lt;L$3,VLOOKUP($H194,Depreciation!$A$6:$L$10,9,FALSE),0))</f>
        <v>3.0676363676126896E-2</v>
      </c>
      <c r="M194" s="361">
        <f>+IF($I194=M$3,VLOOKUP($H194,Depreciation!$A$6:$L$10,10,FALSE)/2,IF($I194&lt;M$3,VLOOKUP($H194,Depreciation!$A$6:$L$10,10,FALSE),0))</f>
        <v>3.0676363676126896E-2</v>
      </c>
      <c r="N194" s="361">
        <f>+IF($I194=N$3,VLOOKUP($H194,Depreciation!$A$6:$L$10,11,FALSE)/2,IF($I194&lt;N$3,VLOOKUP($H194,Depreciation!$A$6:$L$10,11,FALSE),0))</f>
        <v>3.0676363676126896E-2</v>
      </c>
      <c r="O194" s="361">
        <f>+IF($I194=O$3,VLOOKUP($H194,Depreciation!$A$6:$L$10,12,FALSE)/2,IF($I194&lt;O$3,VLOOKUP($H194,Depreciation!$A$6:$L$10,12,FALSE),0))</f>
        <v>3.0676363676126896E-2</v>
      </c>
      <c r="P194" s="362">
        <f t="shared" si="8"/>
        <v>5099850.1360328756</v>
      </c>
      <c r="Q194" s="362">
        <f t="shared" si="9"/>
        <v>5099850.1360328756</v>
      </c>
      <c r="R194" s="363">
        <f t="shared" si="10"/>
        <v>0</v>
      </c>
    </row>
    <row r="195" spans="1:18">
      <c r="A195" s="359" t="str">
        <f>'Func Future Lines 2015'!A195</f>
        <v>PPS</v>
      </c>
      <c r="B195" s="359" t="str">
        <f>'Func Future Lines 2015'!B195</f>
        <v>936L/937L_(v180)</v>
      </c>
      <c r="C195" s="359">
        <f>'Func Future Lines 2015'!C195</f>
        <v>1117</v>
      </c>
      <c r="D195" s="359">
        <f>'Func Future Lines 2015'!D195</f>
        <v>240</v>
      </c>
      <c r="E195" s="359">
        <f>'Func Future Lines 2015'!E195</f>
        <v>0</v>
      </c>
      <c r="F195" s="359" t="str">
        <f>'Func Future Lines 2015'!F195</f>
        <v>Calgary</v>
      </c>
      <c r="G195" s="359">
        <f>'Func Future Lines 2015'!G195</f>
        <v>5966110.3138123723</v>
      </c>
      <c r="H195" s="359" t="str">
        <f>'Func Future Lines 2015'!H195</f>
        <v>AltaLink</v>
      </c>
      <c r="I195" s="359">
        <f>'Func Future Lines 2015'!I195</f>
        <v>2015</v>
      </c>
      <c r="J195" s="361">
        <f>+IF($I195=J$3,VLOOKUP($H195,Depreciation!$A$6:$L$10,7,FALSE)/2,IF($I195&lt;J$3,VLOOKUP($H195,Depreciation!$A$6:$L$10,7,FALSE),0))</f>
        <v>1.595020804044691E-2</v>
      </c>
      <c r="K195" s="361">
        <f>+IF($I195=K$3,VLOOKUP($H195,Depreciation!$A$6:$L$10,8,FALSE)/2,IF($I195&lt;K$3,VLOOKUP($H195,Depreciation!$A$6:$L$10,8,FALSE),0))</f>
        <v>3.0676363676126896E-2</v>
      </c>
      <c r="L195" s="361">
        <f>+IF($I195=L$3,VLOOKUP($H195,Depreciation!$A$6:$L$10,9,FALSE)/2,IF($I195&lt;L$3,VLOOKUP($H195,Depreciation!$A$6:$L$10,9,FALSE),0))</f>
        <v>3.0676363676126896E-2</v>
      </c>
      <c r="M195" s="361">
        <f>+IF($I195=M$3,VLOOKUP($H195,Depreciation!$A$6:$L$10,10,FALSE)/2,IF($I195&lt;M$3,VLOOKUP($H195,Depreciation!$A$6:$L$10,10,FALSE),0))</f>
        <v>3.0676363676126896E-2</v>
      </c>
      <c r="N195" s="361">
        <f>+IF($I195=N$3,VLOOKUP($H195,Depreciation!$A$6:$L$10,11,FALSE)/2,IF($I195&lt;N$3,VLOOKUP($H195,Depreciation!$A$6:$L$10,11,FALSE),0))</f>
        <v>3.0676363676126896E-2</v>
      </c>
      <c r="O195" s="361">
        <f>+IF($I195=O$3,VLOOKUP($H195,Depreciation!$A$6:$L$10,12,FALSE)/2,IF($I195&lt;O$3,VLOOKUP($H195,Depreciation!$A$6:$L$10,12,FALSE),0))</f>
        <v>3.0676363676126896E-2</v>
      </c>
      <c r="P195" s="362">
        <f t="shared" si="8"/>
        <v>5347056.3588871974</v>
      </c>
      <c r="Q195" s="362">
        <f t="shared" si="9"/>
        <v>5347056.3588871974</v>
      </c>
      <c r="R195" s="363">
        <f t="shared" si="10"/>
        <v>0</v>
      </c>
    </row>
    <row r="196" spans="1:18">
      <c r="A196" s="359" t="str">
        <f>'Func Future Lines 2015'!A196</f>
        <v>PPS</v>
      </c>
      <c r="B196" s="359" t="str">
        <f>'Func Future Lines 2015'!B196</f>
        <v>936L/937L_(v180)</v>
      </c>
      <c r="C196" s="359">
        <f>'Func Future Lines 2015'!C196</f>
        <v>1117</v>
      </c>
      <c r="D196" s="359">
        <f>'Func Future Lines 2015'!D196</f>
        <v>240</v>
      </c>
      <c r="E196" s="359">
        <f>'Func Future Lines 2015'!E196</f>
        <v>0</v>
      </c>
      <c r="F196" s="359" t="str">
        <f>'Func Future Lines 2015'!F196</f>
        <v>Calgary</v>
      </c>
      <c r="G196" s="359">
        <f>'Func Future Lines 2015'!G196</f>
        <v>5966110.3138123723</v>
      </c>
      <c r="H196" s="359" t="str">
        <f>'Func Future Lines 2015'!H196</f>
        <v>AltaLink</v>
      </c>
      <c r="I196" s="359">
        <f>'Func Future Lines 2015'!I196</f>
        <v>2015</v>
      </c>
      <c r="J196" s="361">
        <f>+IF($I196=J$3,VLOOKUP($H196,Depreciation!$A$6:$L$10,7,FALSE)/2,IF($I196&lt;J$3,VLOOKUP($H196,Depreciation!$A$6:$L$10,7,FALSE),0))</f>
        <v>1.595020804044691E-2</v>
      </c>
      <c r="K196" s="361">
        <f>+IF($I196=K$3,VLOOKUP($H196,Depreciation!$A$6:$L$10,8,FALSE)/2,IF($I196&lt;K$3,VLOOKUP($H196,Depreciation!$A$6:$L$10,8,FALSE),0))</f>
        <v>3.0676363676126896E-2</v>
      </c>
      <c r="L196" s="361">
        <f>+IF($I196=L$3,VLOOKUP($H196,Depreciation!$A$6:$L$10,9,FALSE)/2,IF($I196&lt;L$3,VLOOKUP($H196,Depreciation!$A$6:$L$10,9,FALSE),0))</f>
        <v>3.0676363676126896E-2</v>
      </c>
      <c r="M196" s="361">
        <f>+IF($I196=M$3,VLOOKUP($H196,Depreciation!$A$6:$L$10,10,FALSE)/2,IF($I196&lt;M$3,VLOOKUP($H196,Depreciation!$A$6:$L$10,10,FALSE),0))</f>
        <v>3.0676363676126896E-2</v>
      </c>
      <c r="N196" s="361">
        <f>+IF($I196=N$3,VLOOKUP($H196,Depreciation!$A$6:$L$10,11,FALSE)/2,IF($I196&lt;N$3,VLOOKUP($H196,Depreciation!$A$6:$L$10,11,FALSE),0))</f>
        <v>3.0676363676126896E-2</v>
      </c>
      <c r="O196" s="361">
        <f>+IF($I196=O$3,VLOOKUP($H196,Depreciation!$A$6:$L$10,12,FALSE)/2,IF($I196&lt;O$3,VLOOKUP($H196,Depreciation!$A$6:$L$10,12,FALSE),0))</f>
        <v>3.0676363676126896E-2</v>
      </c>
      <c r="P196" s="362">
        <f t="shared" si="8"/>
        <v>5347056.3588871974</v>
      </c>
      <c r="Q196" s="362">
        <f t="shared" si="9"/>
        <v>5347056.3588871974</v>
      </c>
      <c r="R196" s="363">
        <f t="shared" si="10"/>
        <v>0</v>
      </c>
    </row>
    <row r="197" spans="1:18">
      <c r="A197" s="359" t="str">
        <f>'Func Future Lines 2015'!A197</f>
        <v>PPS</v>
      </c>
      <c r="B197" s="359" t="str">
        <f>'Func Future Lines 2015'!B197</f>
        <v>937L UG_(v180)</v>
      </c>
      <c r="C197" s="359">
        <f>'Func Future Lines 2015'!C197</f>
        <v>1117</v>
      </c>
      <c r="D197" s="359">
        <f>'Func Future Lines 2015'!D197</f>
        <v>240</v>
      </c>
      <c r="E197" s="359">
        <f>'Func Future Lines 2015'!E197</f>
        <v>0</v>
      </c>
      <c r="F197" s="359" t="str">
        <f>'Func Future Lines 2015'!F197</f>
        <v>Calgary</v>
      </c>
      <c r="G197" s="359">
        <f>'Func Future Lines 2015'!G197</f>
        <v>6197786.4819285059</v>
      </c>
      <c r="H197" s="359" t="str">
        <f>'Func Future Lines 2015'!H197</f>
        <v>AltaLink</v>
      </c>
      <c r="I197" s="359">
        <f>'Func Future Lines 2015'!I197</f>
        <v>2015</v>
      </c>
      <c r="J197" s="361">
        <f>+IF($I197=J$3,VLOOKUP($H197,Depreciation!$A$6:$L$10,7,FALSE)/2,IF($I197&lt;J$3,VLOOKUP($H197,Depreciation!$A$6:$L$10,7,FALSE),0))</f>
        <v>1.595020804044691E-2</v>
      </c>
      <c r="K197" s="361">
        <f>+IF($I197=K$3,VLOOKUP($H197,Depreciation!$A$6:$L$10,8,FALSE)/2,IF($I197&lt;K$3,VLOOKUP($H197,Depreciation!$A$6:$L$10,8,FALSE),0))</f>
        <v>3.0676363676126896E-2</v>
      </c>
      <c r="L197" s="361">
        <f>+IF($I197=L$3,VLOOKUP($H197,Depreciation!$A$6:$L$10,9,FALSE)/2,IF($I197&lt;L$3,VLOOKUP($H197,Depreciation!$A$6:$L$10,9,FALSE),0))</f>
        <v>3.0676363676126896E-2</v>
      </c>
      <c r="M197" s="361">
        <f>+IF($I197=M$3,VLOOKUP($H197,Depreciation!$A$6:$L$10,10,FALSE)/2,IF($I197&lt;M$3,VLOOKUP($H197,Depreciation!$A$6:$L$10,10,FALSE),0))</f>
        <v>3.0676363676126896E-2</v>
      </c>
      <c r="N197" s="361">
        <f>+IF($I197=N$3,VLOOKUP($H197,Depreciation!$A$6:$L$10,11,FALSE)/2,IF($I197&lt;N$3,VLOOKUP($H197,Depreciation!$A$6:$L$10,11,FALSE),0))</f>
        <v>3.0676363676126896E-2</v>
      </c>
      <c r="O197" s="361">
        <f>+IF($I197=O$3,VLOOKUP($H197,Depreciation!$A$6:$L$10,12,FALSE)/2,IF($I197&lt;O$3,VLOOKUP($H197,Depreciation!$A$6:$L$10,12,FALSE),0))</f>
        <v>3.0676363676126896E-2</v>
      </c>
      <c r="P197" s="362">
        <f t="shared" ref="P197:P260" si="11">IF(I197&lt;=2018,G197*(1-J197)*(1-K197)*(1-L197)*(1-M197),0)</f>
        <v>5554693.4059360987</v>
      </c>
      <c r="Q197" s="362">
        <f t="shared" ref="Q197:Q260" si="12">IF(D197&gt;=240,P197,0)</f>
        <v>5554693.4059360987</v>
      </c>
      <c r="R197" s="363">
        <f t="shared" ref="R197:R260" si="13">IF(AND(D197&gt;25,D197&lt;240),P197,0)</f>
        <v>0</v>
      </c>
    </row>
    <row r="198" spans="1:18">
      <c r="A198" s="359" t="str">
        <f>'Func Future Lines 2015'!A198</f>
        <v>PPS</v>
      </c>
      <c r="B198" s="359" t="str">
        <f>'Func Future Lines 2015'!B198</f>
        <v>7L167 Transmission Line</v>
      </c>
      <c r="C198" s="359">
        <f>'Func Future Lines 2015'!C198</f>
        <v>1128</v>
      </c>
      <c r="D198" s="359">
        <f>'Func Future Lines 2015'!D198</f>
        <v>144</v>
      </c>
      <c r="E198" s="359">
        <f>'Func Future Lines 2015'!E198</f>
        <v>0</v>
      </c>
      <c r="F198" s="359" t="str">
        <f>'Func Future Lines 2015'!F198</f>
        <v>Fort McMurray</v>
      </c>
      <c r="G198" s="359">
        <f>'Func Future Lines 2015'!G198</f>
        <v>5836667.1107417718</v>
      </c>
      <c r="H198" s="359" t="str">
        <f>'Func Future Lines 2015'!H198</f>
        <v>ATCO</v>
      </c>
      <c r="I198" s="359">
        <f>'Func Future Lines 2015'!I198</f>
        <v>2015</v>
      </c>
      <c r="J198" s="361">
        <f>+IF($I198=J$3,VLOOKUP($H198,Depreciation!$A$6:$L$10,7,FALSE)/2,IF($I198&lt;J$3,VLOOKUP($H198,Depreciation!$A$6:$L$10,7,FALSE),0))</f>
        <v>1.239102859091515E-2</v>
      </c>
      <c r="K198" s="361">
        <f>+IF($I198=K$3,VLOOKUP($H198,Depreciation!$A$6:$L$10,8,FALSE)/2,IF($I198&lt;K$3,VLOOKUP($H198,Depreciation!$A$6:$L$10,8,FALSE),0))</f>
        <v>2.3943859731006666E-2</v>
      </c>
      <c r="L198" s="361">
        <f>+IF($I198=L$3,VLOOKUP($H198,Depreciation!$A$6:$L$10,9,FALSE)/2,IF($I198&lt;L$3,VLOOKUP($H198,Depreciation!$A$6:$L$10,9,FALSE),0))</f>
        <v>2.4002037926855919E-2</v>
      </c>
      <c r="M198" s="361">
        <f>+IF($I198=M$3,VLOOKUP($H198,Depreciation!$A$6:$L$10,10,FALSE)/2,IF($I198&lt;M$3,VLOOKUP($H198,Depreciation!$A$6:$L$10,10,FALSE),0))</f>
        <v>2.4002037926855919E-2</v>
      </c>
      <c r="N198" s="361">
        <f>+IF($I198=N$3,VLOOKUP($H198,Depreciation!$A$6:$L$10,11,FALSE)/2,IF($I198&lt;N$3,VLOOKUP($H198,Depreciation!$A$6:$L$10,11,FALSE),0))</f>
        <v>2.4002037926855919E-2</v>
      </c>
      <c r="O198" s="361">
        <f>+IF($I198=O$3,VLOOKUP($H198,Depreciation!$A$6:$L$10,12,FALSE)/2,IF($I198&lt;O$3,VLOOKUP($H198,Depreciation!$A$6:$L$10,12,FALSE),0))</f>
        <v>2.4002037926855919E-2</v>
      </c>
      <c r="P198" s="362">
        <f t="shared" si="11"/>
        <v>5359478.9607070759</v>
      </c>
      <c r="Q198" s="362">
        <f t="shared" si="12"/>
        <v>0</v>
      </c>
      <c r="R198" s="363">
        <f t="shared" si="13"/>
        <v>5359478.9607070759</v>
      </c>
    </row>
    <row r="199" spans="1:18">
      <c r="A199" s="359" t="str">
        <f>'Func Future Lines 2015'!A199</f>
        <v>PPS</v>
      </c>
      <c r="B199" s="359" t="str">
        <f>'Func Future Lines 2015'!B199</f>
        <v>7L183 transmission line</v>
      </c>
      <c r="C199" s="359">
        <f>'Func Future Lines 2015'!C199</f>
        <v>1128</v>
      </c>
      <c r="D199" s="359">
        <f>'Func Future Lines 2015'!D199</f>
        <v>144</v>
      </c>
      <c r="E199" s="359">
        <f>'Func Future Lines 2015'!E199</f>
        <v>0</v>
      </c>
      <c r="F199" s="359">
        <f>'Func Future Lines 2015'!F199</f>
        <v>0</v>
      </c>
      <c r="G199" s="359">
        <f>'Func Future Lines 2015'!G199</f>
        <v>9964313.8981428742</v>
      </c>
      <c r="H199" s="359" t="str">
        <f>'Func Future Lines 2015'!H199</f>
        <v>ATCO</v>
      </c>
      <c r="I199" s="359">
        <f>'Func Future Lines 2015'!I199</f>
        <v>2015</v>
      </c>
      <c r="J199" s="361">
        <f>+IF($I199=J$3,VLOOKUP($H199,Depreciation!$A$6:$L$10,7,FALSE)/2,IF($I199&lt;J$3,VLOOKUP($H199,Depreciation!$A$6:$L$10,7,FALSE),0))</f>
        <v>1.239102859091515E-2</v>
      </c>
      <c r="K199" s="361">
        <f>+IF($I199=K$3,VLOOKUP($H199,Depreciation!$A$6:$L$10,8,FALSE)/2,IF($I199&lt;K$3,VLOOKUP($H199,Depreciation!$A$6:$L$10,8,FALSE),0))</f>
        <v>2.3943859731006666E-2</v>
      </c>
      <c r="L199" s="361">
        <f>+IF($I199=L$3,VLOOKUP($H199,Depreciation!$A$6:$L$10,9,FALSE)/2,IF($I199&lt;L$3,VLOOKUP($H199,Depreciation!$A$6:$L$10,9,FALSE),0))</f>
        <v>2.4002037926855919E-2</v>
      </c>
      <c r="M199" s="361">
        <f>+IF($I199=M$3,VLOOKUP($H199,Depreciation!$A$6:$L$10,10,FALSE)/2,IF($I199&lt;M$3,VLOOKUP($H199,Depreciation!$A$6:$L$10,10,FALSE),0))</f>
        <v>2.4002037926855919E-2</v>
      </c>
      <c r="N199" s="361">
        <f>+IF($I199=N$3,VLOOKUP($H199,Depreciation!$A$6:$L$10,11,FALSE)/2,IF($I199&lt;N$3,VLOOKUP($H199,Depreciation!$A$6:$L$10,11,FALSE),0))</f>
        <v>2.4002037926855919E-2</v>
      </c>
      <c r="O199" s="361">
        <f>+IF($I199=O$3,VLOOKUP($H199,Depreciation!$A$6:$L$10,12,FALSE)/2,IF($I199&lt;O$3,VLOOKUP($H199,Depreciation!$A$6:$L$10,12,FALSE),0))</f>
        <v>2.4002037926855919E-2</v>
      </c>
      <c r="P199" s="362">
        <f t="shared" si="11"/>
        <v>9149661.901514696</v>
      </c>
      <c r="Q199" s="362">
        <f t="shared" si="12"/>
        <v>0</v>
      </c>
      <c r="R199" s="363">
        <f t="shared" si="13"/>
        <v>9149661.901514696</v>
      </c>
    </row>
    <row r="200" spans="1:18">
      <c r="A200" s="359" t="str">
        <f>'Func Future Lines 2015'!A200</f>
        <v>PPS</v>
      </c>
      <c r="B200" s="359" t="str">
        <f>'Func Future Lines 2015'!B200</f>
        <v>9L08 and 9L76 240kV s/c line</v>
      </c>
      <c r="C200" s="359">
        <f>'Func Future Lines 2015'!C200</f>
        <v>1180</v>
      </c>
      <c r="D200" s="359">
        <f>'Func Future Lines 2015'!D200</f>
        <v>240</v>
      </c>
      <c r="E200" s="359">
        <f>'Func Future Lines 2015'!E200</f>
        <v>0</v>
      </c>
      <c r="F200" s="359" t="str">
        <f>'Func Future Lines 2015'!F200</f>
        <v>Fort McMurray</v>
      </c>
      <c r="G200" s="359">
        <f>'Func Future Lines 2015'!G200</f>
        <v>0</v>
      </c>
      <c r="H200" s="359" t="str">
        <f>'Func Future Lines 2015'!H200</f>
        <v>ATCO</v>
      </c>
      <c r="I200" s="359">
        <f>'Func Future Lines 2015'!I200</f>
        <v>2100</v>
      </c>
      <c r="J200" s="361">
        <f>+IF($I200=J$3,VLOOKUP($H200,Depreciation!$A$6:$L$10,7,FALSE)/2,IF($I200&lt;J$3,VLOOKUP($H200,Depreciation!$A$6:$L$10,7,FALSE),0))</f>
        <v>0</v>
      </c>
      <c r="K200" s="361">
        <f>+IF($I200=K$3,VLOOKUP($H200,Depreciation!$A$6:$L$10,8,FALSE)/2,IF($I200&lt;K$3,VLOOKUP($H200,Depreciation!$A$6:$L$10,8,FALSE),0))</f>
        <v>0</v>
      </c>
      <c r="L200" s="361">
        <f>+IF($I200=L$3,VLOOKUP($H200,Depreciation!$A$6:$L$10,9,FALSE)/2,IF($I200&lt;L$3,VLOOKUP($H200,Depreciation!$A$6:$L$10,9,FALSE),0))</f>
        <v>0</v>
      </c>
      <c r="M200" s="361">
        <f>+IF($I200=M$3,VLOOKUP($H200,Depreciation!$A$6:$L$10,10,FALSE)/2,IF($I200&lt;M$3,VLOOKUP($H200,Depreciation!$A$6:$L$10,10,FALSE),0))</f>
        <v>0</v>
      </c>
      <c r="N200" s="361">
        <f>+IF($I200=N$3,VLOOKUP($H200,Depreciation!$A$6:$L$10,11,FALSE)/2,IF($I200&lt;N$3,VLOOKUP($H200,Depreciation!$A$6:$L$10,11,FALSE),0))</f>
        <v>0</v>
      </c>
      <c r="O200" s="361">
        <f>+IF($I200=O$3,VLOOKUP($H200,Depreciation!$A$6:$L$10,12,FALSE)/2,IF($I200&lt;O$3,VLOOKUP($H200,Depreciation!$A$6:$L$10,12,FALSE),0))</f>
        <v>0</v>
      </c>
      <c r="P200" s="362">
        <f t="shared" si="11"/>
        <v>0</v>
      </c>
      <c r="Q200" s="362">
        <f t="shared" si="12"/>
        <v>0</v>
      </c>
      <c r="R200" s="363">
        <f t="shared" si="13"/>
        <v>0</v>
      </c>
    </row>
    <row r="201" spans="1:18">
      <c r="A201" s="359" t="str">
        <f>'Func Future Lines 2015'!A201</f>
        <v>PPS</v>
      </c>
      <c r="B201" s="359" t="str">
        <f>'Func Future Lines 2015'!B201</f>
        <v>9L95</v>
      </c>
      <c r="C201" s="359">
        <f>'Func Future Lines 2015'!C201</f>
        <v>1180</v>
      </c>
      <c r="D201" s="359">
        <f>'Func Future Lines 2015'!D201</f>
        <v>240</v>
      </c>
      <c r="E201" s="359">
        <f>'Func Future Lines 2015'!E201</f>
        <v>0</v>
      </c>
      <c r="F201" s="359" t="str">
        <f>'Func Future Lines 2015'!F201</f>
        <v>Fort McMurray</v>
      </c>
      <c r="G201" s="359">
        <f>'Func Future Lines 2015'!G201</f>
        <v>0</v>
      </c>
      <c r="H201" s="359" t="str">
        <f>'Func Future Lines 2015'!H201</f>
        <v>ATCO</v>
      </c>
      <c r="I201" s="359">
        <f>'Func Future Lines 2015'!I201</f>
        <v>2100</v>
      </c>
      <c r="J201" s="361">
        <f>+IF($I201=J$3,VLOOKUP($H201,Depreciation!$A$6:$L$10,7,FALSE)/2,IF($I201&lt;J$3,VLOOKUP($H201,Depreciation!$A$6:$L$10,7,FALSE),0))</f>
        <v>0</v>
      </c>
      <c r="K201" s="361">
        <f>+IF($I201=K$3,VLOOKUP($H201,Depreciation!$A$6:$L$10,8,FALSE)/2,IF($I201&lt;K$3,VLOOKUP($H201,Depreciation!$A$6:$L$10,8,FALSE),0))</f>
        <v>0</v>
      </c>
      <c r="L201" s="361">
        <f>+IF($I201=L$3,VLOOKUP($H201,Depreciation!$A$6:$L$10,9,FALSE)/2,IF($I201&lt;L$3,VLOOKUP($H201,Depreciation!$A$6:$L$10,9,FALSE),0))</f>
        <v>0</v>
      </c>
      <c r="M201" s="361">
        <f>+IF($I201=M$3,VLOOKUP($H201,Depreciation!$A$6:$L$10,10,FALSE)/2,IF($I201&lt;M$3,VLOOKUP($H201,Depreciation!$A$6:$L$10,10,FALSE),0))</f>
        <v>0</v>
      </c>
      <c r="N201" s="361">
        <f>+IF($I201=N$3,VLOOKUP($H201,Depreciation!$A$6:$L$10,11,FALSE)/2,IF($I201&lt;N$3,VLOOKUP($H201,Depreciation!$A$6:$L$10,11,FALSE),0))</f>
        <v>0</v>
      </c>
      <c r="O201" s="361">
        <f>+IF($I201=O$3,VLOOKUP($H201,Depreciation!$A$6:$L$10,12,FALSE)/2,IF($I201&lt;O$3,VLOOKUP($H201,Depreciation!$A$6:$L$10,12,FALSE),0))</f>
        <v>0</v>
      </c>
      <c r="P201" s="362">
        <f t="shared" si="11"/>
        <v>0</v>
      </c>
      <c r="Q201" s="362">
        <f t="shared" si="12"/>
        <v>0</v>
      </c>
      <c r="R201" s="363">
        <f t="shared" si="13"/>
        <v>0</v>
      </c>
    </row>
    <row r="202" spans="1:18">
      <c r="A202" s="359" t="str">
        <f>'Func Future Lines 2015'!A202</f>
        <v>PPS</v>
      </c>
      <c r="B202" s="359" t="str">
        <f>'Func Future Lines 2015'!B202</f>
        <v>Construction of 1.3km of 240kV in/out on H-frame, 9L57 &amp; 9L74 180day</v>
      </c>
      <c r="C202" s="359">
        <f>'Func Future Lines 2015'!C202</f>
        <v>1180</v>
      </c>
      <c r="D202" s="359">
        <f>'Func Future Lines 2015'!D202</f>
        <v>240</v>
      </c>
      <c r="E202" s="359">
        <f>'Func Future Lines 2015'!E202</f>
        <v>0</v>
      </c>
      <c r="F202" s="359" t="str">
        <f>'Func Future Lines 2015'!F202</f>
        <v>Fort McMurray</v>
      </c>
      <c r="G202" s="359">
        <f>'Func Future Lines 2015'!G202</f>
        <v>0</v>
      </c>
      <c r="H202" s="359" t="str">
        <f>'Func Future Lines 2015'!H202</f>
        <v>ATCO</v>
      </c>
      <c r="I202" s="359">
        <f>'Func Future Lines 2015'!I202</f>
        <v>2100</v>
      </c>
      <c r="J202" s="361">
        <f>+IF($I202=J$3,VLOOKUP($H202,Depreciation!$A$6:$L$10,7,FALSE)/2,IF($I202&lt;J$3,VLOOKUP($H202,Depreciation!$A$6:$L$10,7,FALSE),0))</f>
        <v>0</v>
      </c>
      <c r="K202" s="361">
        <f>+IF($I202=K$3,VLOOKUP($H202,Depreciation!$A$6:$L$10,8,FALSE)/2,IF($I202&lt;K$3,VLOOKUP($H202,Depreciation!$A$6:$L$10,8,FALSE),0))</f>
        <v>0</v>
      </c>
      <c r="L202" s="361">
        <f>+IF($I202=L$3,VLOOKUP($H202,Depreciation!$A$6:$L$10,9,FALSE)/2,IF($I202&lt;L$3,VLOOKUP($H202,Depreciation!$A$6:$L$10,9,FALSE),0))</f>
        <v>0</v>
      </c>
      <c r="M202" s="361">
        <f>+IF($I202=M$3,VLOOKUP($H202,Depreciation!$A$6:$L$10,10,FALSE)/2,IF($I202&lt;M$3,VLOOKUP($H202,Depreciation!$A$6:$L$10,10,FALSE),0))</f>
        <v>0</v>
      </c>
      <c r="N202" s="361">
        <f>+IF($I202=N$3,VLOOKUP($H202,Depreciation!$A$6:$L$10,11,FALSE)/2,IF($I202&lt;N$3,VLOOKUP($H202,Depreciation!$A$6:$L$10,11,FALSE),0))</f>
        <v>0</v>
      </c>
      <c r="O202" s="361">
        <f>+IF($I202=O$3,VLOOKUP($H202,Depreciation!$A$6:$L$10,12,FALSE)/2,IF($I202&lt;O$3,VLOOKUP($H202,Depreciation!$A$6:$L$10,12,FALSE),0))</f>
        <v>0</v>
      </c>
      <c r="P202" s="362">
        <f t="shared" si="11"/>
        <v>0</v>
      </c>
      <c r="Q202" s="362">
        <f t="shared" si="12"/>
        <v>0</v>
      </c>
      <c r="R202" s="363">
        <f t="shared" si="13"/>
        <v>0</v>
      </c>
    </row>
    <row r="203" spans="1:18">
      <c r="A203" s="359" t="str">
        <f>'Func Future Lines 2015'!A203</f>
        <v>PPS</v>
      </c>
      <c r="B203" s="359" t="str">
        <f>'Func Future Lines 2015'!B203</f>
        <v xml:space="preserve"> 9L01</v>
      </c>
      <c r="C203" s="359">
        <f>'Func Future Lines 2015'!C203</f>
        <v>1186</v>
      </c>
      <c r="D203" s="359">
        <f>'Func Future Lines 2015'!D203</f>
        <v>240</v>
      </c>
      <c r="E203" s="359">
        <f>'Func Future Lines 2015'!E203</f>
        <v>0</v>
      </c>
      <c r="F203" s="359" t="str">
        <f>'Func Future Lines 2015'!F203</f>
        <v>Fort McMurray</v>
      </c>
      <c r="G203" s="359">
        <f>'Func Future Lines 2015'!G203</f>
        <v>24561972.623612437</v>
      </c>
      <c r="H203" s="359" t="str">
        <f>'Func Future Lines 2015'!H203</f>
        <v>ATCO</v>
      </c>
      <c r="I203" s="359">
        <f>'Func Future Lines 2015'!I203</f>
        <v>2018</v>
      </c>
      <c r="J203" s="361">
        <f>+IF($I203=J$3,VLOOKUP($H203,Depreciation!$A$6:$L$10,7,FALSE)/2,IF($I203&lt;J$3,VLOOKUP($H203,Depreciation!$A$6:$L$10,7,FALSE),0))</f>
        <v>0</v>
      </c>
      <c r="K203" s="361">
        <f>+IF($I203=K$3,VLOOKUP($H203,Depreciation!$A$6:$L$10,8,FALSE)/2,IF($I203&lt;K$3,VLOOKUP($H203,Depreciation!$A$6:$L$10,8,FALSE),0))</f>
        <v>0</v>
      </c>
      <c r="L203" s="361">
        <f>+IF($I203=L$3,VLOOKUP($H203,Depreciation!$A$6:$L$10,9,FALSE)/2,IF($I203&lt;L$3,VLOOKUP($H203,Depreciation!$A$6:$L$10,9,FALSE),0))</f>
        <v>0</v>
      </c>
      <c r="M203" s="361">
        <f>+IF($I203=M$3,VLOOKUP($H203,Depreciation!$A$6:$L$10,10,FALSE)/2,IF($I203&lt;M$3,VLOOKUP($H203,Depreciation!$A$6:$L$10,10,FALSE),0))</f>
        <v>1.2001018963427959E-2</v>
      </c>
      <c r="N203" s="361">
        <f>+IF($I203=N$3,VLOOKUP($H203,Depreciation!$A$6:$L$10,11,FALSE)/2,IF($I203&lt;N$3,VLOOKUP($H203,Depreciation!$A$6:$L$10,11,FALSE),0))</f>
        <v>2.4002037926855919E-2</v>
      </c>
      <c r="O203" s="361">
        <f>+IF($I203=O$3,VLOOKUP($H203,Depreciation!$A$6:$L$10,12,FALSE)/2,IF($I203&lt;O$3,VLOOKUP($H203,Depreciation!$A$6:$L$10,12,FALSE),0))</f>
        <v>2.4002037926855919E-2</v>
      </c>
      <c r="P203" s="362">
        <f t="shared" si="11"/>
        <v>24267203.924377266</v>
      </c>
      <c r="Q203" s="362">
        <f t="shared" si="12"/>
        <v>24267203.924377266</v>
      </c>
      <c r="R203" s="363">
        <f t="shared" si="13"/>
        <v>0</v>
      </c>
    </row>
    <row r="204" spans="1:18">
      <c r="A204" s="359" t="str">
        <f>'Func Future Lines 2015'!A204</f>
        <v>PPS</v>
      </c>
      <c r="B204" s="359" t="str">
        <f>'Func Future Lines 2015'!B204</f>
        <v>9L07</v>
      </c>
      <c r="C204" s="359">
        <f>'Func Future Lines 2015'!C204</f>
        <v>1186</v>
      </c>
      <c r="D204" s="359">
        <f>'Func Future Lines 2015'!D204</f>
        <v>240</v>
      </c>
      <c r="E204" s="359">
        <f>'Func Future Lines 2015'!E204</f>
        <v>0</v>
      </c>
      <c r="F204" s="359" t="str">
        <f>'Func Future Lines 2015'!F204</f>
        <v>Fort McMurray</v>
      </c>
      <c r="G204" s="359">
        <f>'Func Future Lines 2015'!G204</f>
        <v>5710678.2441424122</v>
      </c>
      <c r="H204" s="359" t="str">
        <f>'Func Future Lines 2015'!H204</f>
        <v>ATCO</v>
      </c>
      <c r="I204" s="359">
        <f>'Func Future Lines 2015'!I204</f>
        <v>2018</v>
      </c>
      <c r="J204" s="361">
        <f>+IF($I204=J$3,VLOOKUP($H204,Depreciation!$A$6:$L$10,7,FALSE)/2,IF($I204&lt;J$3,VLOOKUP($H204,Depreciation!$A$6:$L$10,7,FALSE),0))</f>
        <v>0</v>
      </c>
      <c r="K204" s="361">
        <f>+IF($I204=K$3,VLOOKUP($H204,Depreciation!$A$6:$L$10,8,FALSE)/2,IF($I204&lt;K$3,VLOOKUP($H204,Depreciation!$A$6:$L$10,8,FALSE),0))</f>
        <v>0</v>
      </c>
      <c r="L204" s="361">
        <f>+IF($I204=L$3,VLOOKUP($H204,Depreciation!$A$6:$L$10,9,FALSE)/2,IF($I204&lt;L$3,VLOOKUP($H204,Depreciation!$A$6:$L$10,9,FALSE),0))</f>
        <v>0</v>
      </c>
      <c r="M204" s="361">
        <f>+IF($I204=M$3,VLOOKUP($H204,Depreciation!$A$6:$L$10,10,FALSE)/2,IF($I204&lt;M$3,VLOOKUP($H204,Depreciation!$A$6:$L$10,10,FALSE),0))</f>
        <v>1.2001018963427959E-2</v>
      </c>
      <c r="N204" s="361">
        <f>+IF($I204=N$3,VLOOKUP($H204,Depreciation!$A$6:$L$10,11,FALSE)/2,IF($I204&lt;N$3,VLOOKUP($H204,Depreciation!$A$6:$L$10,11,FALSE),0))</f>
        <v>2.4002037926855919E-2</v>
      </c>
      <c r="O204" s="361">
        <f>+IF($I204=O$3,VLOOKUP($H204,Depreciation!$A$6:$L$10,12,FALSE)/2,IF($I204&lt;O$3,VLOOKUP($H204,Depreciation!$A$6:$L$10,12,FALSE),0))</f>
        <v>2.4002037926855919E-2</v>
      </c>
      <c r="P204" s="362">
        <f t="shared" si="11"/>
        <v>5642144.2862404231</v>
      </c>
      <c r="Q204" s="362">
        <f t="shared" si="12"/>
        <v>5642144.2862404231</v>
      </c>
      <c r="R204" s="363">
        <f t="shared" si="13"/>
        <v>0</v>
      </c>
    </row>
    <row r="205" spans="1:18">
      <c r="A205" s="359" t="str">
        <f>'Func Future Lines 2015'!A205</f>
        <v>PPS</v>
      </c>
      <c r="B205" s="359" t="str">
        <f>'Func Future Lines 2015'!B205</f>
        <v>9L112</v>
      </c>
      <c r="C205" s="359">
        <f>'Func Future Lines 2015'!C205</f>
        <v>1186</v>
      </c>
      <c r="D205" s="359">
        <f>'Func Future Lines 2015'!D205</f>
        <v>240</v>
      </c>
      <c r="E205" s="359">
        <f>'Func Future Lines 2015'!E205</f>
        <v>0</v>
      </c>
      <c r="F205" s="359" t="str">
        <f>'Func Future Lines 2015'!F205</f>
        <v>Fort McMurray</v>
      </c>
      <c r="G205" s="359">
        <f>'Func Future Lines 2015'!G205</f>
        <v>4958275.2426534528</v>
      </c>
      <c r="H205" s="359" t="str">
        <f>'Func Future Lines 2015'!H205</f>
        <v>ATCO</v>
      </c>
      <c r="I205" s="359">
        <f>'Func Future Lines 2015'!I205</f>
        <v>2018</v>
      </c>
      <c r="J205" s="361">
        <f>+IF($I205=J$3,VLOOKUP($H205,Depreciation!$A$6:$L$10,7,FALSE)/2,IF($I205&lt;J$3,VLOOKUP($H205,Depreciation!$A$6:$L$10,7,FALSE),0))</f>
        <v>0</v>
      </c>
      <c r="K205" s="361">
        <f>+IF($I205=K$3,VLOOKUP($H205,Depreciation!$A$6:$L$10,8,FALSE)/2,IF($I205&lt;K$3,VLOOKUP($H205,Depreciation!$A$6:$L$10,8,FALSE),0))</f>
        <v>0</v>
      </c>
      <c r="L205" s="361">
        <f>+IF($I205=L$3,VLOOKUP($H205,Depreciation!$A$6:$L$10,9,FALSE)/2,IF($I205&lt;L$3,VLOOKUP($H205,Depreciation!$A$6:$L$10,9,FALSE),0))</f>
        <v>0</v>
      </c>
      <c r="M205" s="361">
        <f>+IF($I205=M$3,VLOOKUP($H205,Depreciation!$A$6:$L$10,10,FALSE)/2,IF($I205&lt;M$3,VLOOKUP($H205,Depreciation!$A$6:$L$10,10,FALSE),0))</f>
        <v>1.2001018963427959E-2</v>
      </c>
      <c r="N205" s="361">
        <f>+IF($I205=N$3,VLOOKUP($H205,Depreciation!$A$6:$L$10,11,FALSE)/2,IF($I205&lt;N$3,VLOOKUP($H205,Depreciation!$A$6:$L$10,11,FALSE),0))</f>
        <v>2.4002037926855919E-2</v>
      </c>
      <c r="O205" s="361">
        <f>+IF($I205=O$3,VLOOKUP($H205,Depreciation!$A$6:$L$10,12,FALSE)/2,IF($I205&lt;O$3,VLOOKUP($H205,Depreciation!$A$6:$L$10,12,FALSE),0))</f>
        <v>2.4002037926855919E-2</v>
      </c>
      <c r="P205" s="362">
        <f t="shared" si="11"/>
        <v>4898770.8874404728</v>
      </c>
      <c r="Q205" s="362">
        <f t="shared" si="12"/>
        <v>4898770.8874404728</v>
      </c>
      <c r="R205" s="363">
        <f t="shared" si="13"/>
        <v>0</v>
      </c>
    </row>
    <row r="206" spans="1:18">
      <c r="A206" s="359" t="str">
        <f>'Func Future Lines 2015'!A206</f>
        <v>PPS</v>
      </c>
      <c r="B206" s="359" t="str">
        <f>'Func Future Lines 2015'!B206</f>
        <v>9L30</v>
      </c>
      <c r="C206" s="359">
        <f>'Func Future Lines 2015'!C206</f>
        <v>1186</v>
      </c>
      <c r="D206" s="359">
        <f>'Func Future Lines 2015'!D206</f>
        <v>240</v>
      </c>
      <c r="E206" s="359">
        <f>'Func Future Lines 2015'!E206</f>
        <v>0</v>
      </c>
      <c r="F206" s="359" t="str">
        <f>'Func Future Lines 2015'!F206</f>
        <v>Fort McMurray</v>
      </c>
      <c r="G206" s="359">
        <f>'Func Future Lines 2015'!G206</f>
        <v>24561820.810818728</v>
      </c>
      <c r="H206" s="359" t="str">
        <f>'Func Future Lines 2015'!H206</f>
        <v>ATCO</v>
      </c>
      <c r="I206" s="359">
        <f>'Func Future Lines 2015'!I206</f>
        <v>2018</v>
      </c>
      <c r="J206" s="361">
        <f>+IF($I206=J$3,VLOOKUP($H206,Depreciation!$A$6:$L$10,7,FALSE)/2,IF($I206&lt;J$3,VLOOKUP($H206,Depreciation!$A$6:$L$10,7,FALSE),0))</f>
        <v>0</v>
      </c>
      <c r="K206" s="361">
        <f>+IF($I206=K$3,VLOOKUP($H206,Depreciation!$A$6:$L$10,8,FALSE)/2,IF($I206&lt;K$3,VLOOKUP($H206,Depreciation!$A$6:$L$10,8,FALSE),0))</f>
        <v>0</v>
      </c>
      <c r="L206" s="361">
        <f>+IF($I206=L$3,VLOOKUP($H206,Depreciation!$A$6:$L$10,9,FALSE)/2,IF($I206&lt;L$3,VLOOKUP($H206,Depreciation!$A$6:$L$10,9,FALSE),0))</f>
        <v>0</v>
      </c>
      <c r="M206" s="361">
        <f>+IF($I206=M$3,VLOOKUP($H206,Depreciation!$A$6:$L$10,10,FALSE)/2,IF($I206&lt;M$3,VLOOKUP($H206,Depreciation!$A$6:$L$10,10,FALSE),0))</f>
        <v>1.2001018963427959E-2</v>
      </c>
      <c r="N206" s="361">
        <f>+IF($I206=N$3,VLOOKUP($H206,Depreciation!$A$6:$L$10,11,FALSE)/2,IF($I206&lt;N$3,VLOOKUP($H206,Depreciation!$A$6:$L$10,11,FALSE),0))</f>
        <v>2.4002037926855919E-2</v>
      </c>
      <c r="O206" s="361">
        <f>+IF($I206=O$3,VLOOKUP($H206,Depreciation!$A$6:$L$10,12,FALSE)/2,IF($I206&lt;O$3,VLOOKUP($H206,Depreciation!$A$6:$L$10,12,FALSE),0))</f>
        <v>2.4002037926855919E-2</v>
      </c>
      <c r="P206" s="362">
        <f t="shared" si="11"/>
        <v>24267053.933491774</v>
      </c>
      <c r="Q206" s="362">
        <f t="shared" si="12"/>
        <v>24267053.933491774</v>
      </c>
      <c r="R206" s="363">
        <f t="shared" si="13"/>
        <v>0</v>
      </c>
    </row>
    <row r="207" spans="1:18">
      <c r="A207" s="359" t="str">
        <f>'Func Future Lines 2015'!A207</f>
        <v>PPS</v>
      </c>
      <c r="B207" s="359" t="str">
        <f>'Func Future Lines 2015'!B207</f>
        <v>bypass 9L07/9L112</v>
      </c>
      <c r="C207" s="359">
        <f>'Func Future Lines 2015'!C207</f>
        <v>1186</v>
      </c>
      <c r="D207" s="359">
        <f>'Func Future Lines 2015'!D207</f>
        <v>240</v>
      </c>
      <c r="E207" s="359">
        <f>'Func Future Lines 2015'!E207</f>
        <v>0</v>
      </c>
      <c r="F207" s="359" t="str">
        <f>'Func Future Lines 2015'!F207</f>
        <v>Fort McMurray</v>
      </c>
      <c r="G207" s="359">
        <f>'Func Future Lines 2015'!G207</f>
        <v>424792.43850217451</v>
      </c>
      <c r="H207" s="359" t="str">
        <f>'Func Future Lines 2015'!H207</f>
        <v>ATCO</v>
      </c>
      <c r="I207" s="359">
        <f>'Func Future Lines 2015'!I207</f>
        <v>2018</v>
      </c>
      <c r="J207" s="361">
        <f>+IF($I207=J$3,VLOOKUP($H207,Depreciation!$A$6:$L$10,7,FALSE)/2,IF($I207&lt;J$3,VLOOKUP($H207,Depreciation!$A$6:$L$10,7,FALSE),0))</f>
        <v>0</v>
      </c>
      <c r="K207" s="361">
        <f>+IF($I207=K$3,VLOOKUP($H207,Depreciation!$A$6:$L$10,8,FALSE)/2,IF($I207&lt;K$3,VLOOKUP($H207,Depreciation!$A$6:$L$10,8,FALSE),0))</f>
        <v>0</v>
      </c>
      <c r="L207" s="361">
        <f>+IF($I207=L$3,VLOOKUP($H207,Depreciation!$A$6:$L$10,9,FALSE)/2,IF($I207&lt;L$3,VLOOKUP($H207,Depreciation!$A$6:$L$10,9,FALSE),0))</f>
        <v>0</v>
      </c>
      <c r="M207" s="361">
        <f>+IF($I207=M$3,VLOOKUP($H207,Depreciation!$A$6:$L$10,10,FALSE)/2,IF($I207&lt;M$3,VLOOKUP($H207,Depreciation!$A$6:$L$10,10,FALSE),0))</f>
        <v>1.2001018963427959E-2</v>
      </c>
      <c r="N207" s="361">
        <f>+IF($I207=N$3,VLOOKUP($H207,Depreciation!$A$6:$L$10,11,FALSE)/2,IF($I207&lt;N$3,VLOOKUP($H207,Depreciation!$A$6:$L$10,11,FALSE),0))</f>
        <v>2.4002037926855919E-2</v>
      </c>
      <c r="O207" s="361">
        <f>+IF($I207=O$3,VLOOKUP($H207,Depreciation!$A$6:$L$10,12,FALSE)/2,IF($I207&lt;O$3,VLOOKUP($H207,Depreciation!$A$6:$L$10,12,FALSE),0))</f>
        <v>2.4002037926855919E-2</v>
      </c>
      <c r="P207" s="362">
        <f t="shared" si="11"/>
        <v>419694.49639218912</v>
      </c>
      <c r="Q207" s="362">
        <f t="shared" si="12"/>
        <v>419694.49639218912</v>
      </c>
      <c r="R207" s="363">
        <f t="shared" si="13"/>
        <v>0</v>
      </c>
    </row>
    <row r="208" spans="1:18">
      <c r="A208" s="359" t="str">
        <f>'Func Future Lines 2015'!A208</f>
        <v>PPS</v>
      </c>
      <c r="B208" s="359" t="str">
        <f>'Func Future Lines 2015'!B208</f>
        <v>7L134</v>
      </c>
      <c r="C208" s="359">
        <f>'Func Future Lines 2015'!C208</f>
        <v>1250</v>
      </c>
      <c r="D208" s="359">
        <f>'Func Future Lines 2015'!D208</f>
        <v>138</v>
      </c>
      <c r="E208" s="359">
        <f>'Func Future Lines 2015'!E208</f>
        <v>0</v>
      </c>
      <c r="F208" s="359" t="str">
        <f>'Func Future Lines 2015'!F208</f>
        <v>Lloydminster</v>
      </c>
      <c r="G208" s="359">
        <f>'Func Future Lines 2015'!G208</f>
        <v>257636.33243920893</v>
      </c>
      <c r="H208" s="359" t="str">
        <f>'Func Future Lines 2015'!H208</f>
        <v>ATCO</v>
      </c>
      <c r="I208" s="359">
        <f>'Func Future Lines 2015'!I208</f>
        <v>2017</v>
      </c>
      <c r="J208" s="361">
        <f>+IF($I208=J$3,VLOOKUP($H208,Depreciation!$A$6:$L$10,7,FALSE)/2,IF($I208&lt;J$3,VLOOKUP($H208,Depreciation!$A$6:$L$10,7,FALSE),0))</f>
        <v>0</v>
      </c>
      <c r="K208" s="361">
        <f>+IF($I208=K$3,VLOOKUP($H208,Depreciation!$A$6:$L$10,8,FALSE)/2,IF($I208&lt;K$3,VLOOKUP($H208,Depreciation!$A$6:$L$10,8,FALSE),0))</f>
        <v>0</v>
      </c>
      <c r="L208" s="361">
        <f>+IF($I208=L$3,VLOOKUP($H208,Depreciation!$A$6:$L$10,9,FALSE)/2,IF($I208&lt;L$3,VLOOKUP($H208,Depreciation!$A$6:$L$10,9,FALSE),0))</f>
        <v>1.2001018963427959E-2</v>
      </c>
      <c r="M208" s="361">
        <f>+IF($I208=M$3,VLOOKUP($H208,Depreciation!$A$6:$L$10,10,FALSE)/2,IF($I208&lt;M$3,VLOOKUP($H208,Depreciation!$A$6:$L$10,10,FALSE),0))</f>
        <v>2.4002037926855919E-2</v>
      </c>
      <c r="N208" s="361">
        <f>+IF($I208=N$3,VLOOKUP($H208,Depreciation!$A$6:$L$10,11,FALSE)/2,IF($I208&lt;N$3,VLOOKUP($H208,Depreciation!$A$6:$L$10,11,FALSE),0))</f>
        <v>2.4002037926855919E-2</v>
      </c>
      <c r="O208" s="361">
        <f>+IF($I208=O$3,VLOOKUP($H208,Depreciation!$A$6:$L$10,12,FALSE)/2,IF($I208&lt;O$3,VLOOKUP($H208,Depreciation!$A$6:$L$10,12,FALSE),0))</f>
        <v>2.4002037926855919E-2</v>
      </c>
      <c r="P208" s="362">
        <f t="shared" si="11"/>
        <v>248434.8487707295</v>
      </c>
      <c r="Q208" s="362">
        <f t="shared" si="12"/>
        <v>0</v>
      </c>
      <c r="R208" s="363">
        <f t="shared" si="13"/>
        <v>248434.8487707295</v>
      </c>
    </row>
    <row r="209" spans="1:18">
      <c r="A209" s="359" t="str">
        <f>'Func Future Lines 2015'!A209</f>
        <v>PPS</v>
      </c>
      <c r="B209" s="359" t="str">
        <f>'Func Future Lines 2015'!B209</f>
        <v>7LA65</v>
      </c>
      <c r="C209" s="359">
        <f>'Func Future Lines 2015'!C209</f>
        <v>1250</v>
      </c>
      <c r="D209" s="359">
        <f>'Func Future Lines 2015'!D209</f>
        <v>138</v>
      </c>
      <c r="E209" s="359">
        <f>'Func Future Lines 2015'!E209</f>
        <v>0</v>
      </c>
      <c r="F209" s="359" t="str">
        <f>'Func Future Lines 2015'!F209</f>
        <v>Lloydminster</v>
      </c>
      <c r="G209" s="359">
        <f>'Func Future Lines 2015'!G209</f>
        <v>15341741.522818552</v>
      </c>
      <c r="H209" s="359" t="str">
        <f>'Func Future Lines 2015'!H209</f>
        <v>ATCO</v>
      </c>
      <c r="I209" s="359">
        <f>'Func Future Lines 2015'!I209</f>
        <v>2017</v>
      </c>
      <c r="J209" s="361">
        <f>+IF($I209=J$3,VLOOKUP($H209,Depreciation!$A$6:$L$10,7,FALSE)/2,IF($I209&lt;J$3,VLOOKUP($H209,Depreciation!$A$6:$L$10,7,FALSE),0))</f>
        <v>0</v>
      </c>
      <c r="K209" s="361">
        <f>+IF($I209=K$3,VLOOKUP($H209,Depreciation!$A$6:$L$10,8,FALSE)/2,IF($I209&lt;K$3,VLOOKUP($H209,Depreciation!$A$6:$L$10,8,FALSE),0))</f>
        <v>0</v>
      </c>
      <c r="L209" s="361">
        <f>+IF($I209=L$3,VLOOKUP($H209,Depreciation!$A$6:$L$10,9,FALSE)/2,IF($I209&lt;L$3,VLOOKUP($H209,Depreciation!$A$6:$L$10,9,FALSE),0))</f>
        <v>1.2001018963427959E-2</v>
      </c>
      <c r="M209" s="361">
        <f>+IF($I209=M$3,VLOOKUP($H209,Depreciation!$A$6:$L$10,10,FALSE)/2,IF($I209&lt;M$3,VLOOKUP($H209,Depreciation!$A$6:$L$10,10,FALSE),0))</f>
        <v>2.4002037926855919E-2</v>
      </c>
      <c r="N209" s="361">
        <f>+IF($I209=N$3,VLOOKUP($H209,Depreciation!$A$6:$L$10,11,FALSE)/2,IF($I209&lt;N$3,VLOOKUP($H209,Depreciation!$A$6:$L$10,11,FALSE),0))</f>
        <v>2.4002037926855919E-2</v>
      </c>
      <c r="O209" s="361">
        <f>+IF($I209=O$3,VLOOKUP($H209,Depreciation!$A$6:$L$10,12,FALSE)/2,IF($I209&lt;O$3,VLOOKUP($H209,Depreciation!$A$6:$L$10,12,FALSE),0))</f>
        <v>2.4002037926855919E-2</v>
      </c>
      <c r="P209" s="362">
        <f t="shared" si="11"/>
        <v>14793811.101935245</v>
      </c>
      <c r="Q209" s="362">
        <f t="shared" si="12"/>
        <v>0</v>
      </c>
      <c r="R209" s="363">
        <f t="shared" si="13"/>
        <v>14793811.101935245</v>
      </c>
    </row>
    <row r="210" spans="1:18">
      <c r="A210" s="359" t="str">
        <f>'Func Future Lines 2015'!A210</f>
        <v>PPS</v>
      </c>
      <c r="B210" s="359" t="str">
        <f>'Func Future Lines 2015'!B210</f>
        <v>476L &amp; 477L A</v>
      </c>
      <c r="C210" s="359">
        <f>'Func Future Lines 2015'!C210</f>
        <v>1258</v>
      </c>
      <c r="D210" s="359">
        <f>'Func Future Lines 2015'!D210</f>
        <v>138</v>
      </c>
      <c r="E210" s="359">
        <f>'Func Future Lines 2015'!E210</f>
        <v>0</v>
      </c>
      <c r="F210" s="359" t="str">
        <f>'Func Future Lines 2015'!F210</f>
        <v>Fort McMurray</v>
      </c>
      <c r="G210" s="359">
        <f>'Func Future Lines 2015'!G210</f>
        <v>11720551.545892363</v>
      </c>
      <c r="H210" s="359" t="str">
        <f>'Func Future Lines 2015'!H210</f>
        <v>AltaLink</v>
      </c>
      <c r="I210" s="359">
        <f>'Func Future Lines 2015'!I210</f>
        <v>2019</v>
      </c>
      <c r="J210" s="361">
        <f>+IF($I210=J$3,VLOOKUP($H210,Depreciation!$A$6:$L$10,7,FALSE)/2,IF($I210&lt;J$3,VLOOKUP($H210,Depreciation!$A$6:$L$10,7,FALSE),0))</f>
        <v>0</v>
      </c>
      <c r="K210" s="361">
        <f>+IF($I210=K$3,VLOOKUP($H210,Depreciation!$A$6:$L$10,8,FALSE)/2,IF($I210&lt;K$3,VLOOKUP($H210,Depreciation!$A$6:$L$10,8,FALSE),0))</f>
        <v>0</v>
      </c>
      <c r="L210" s="361">
        <f>+IF($I210=L$3,VLOOKUP($H210,Depreciation!$A$6:$L$10,9,FALSE)/2,IF($I210&lt;L$3,VLOOKUP($H210,Depreciation!$A$6:$L$10,9,FALSE),0))</f>
        <v>0</v>
      </c>
      <c r="M210" s="361">
        <f>+IF($I210=M$3,VLOOKUP($H210,Depreciation!$A$6:$L$10,10,FALSE)/2,IF($I210&lt;M$3,VLOOKUP($H210,Depreciation!$A$6:$L$10,10,FALSE),0))</f>
        <v>0</v>
      </c>
      <c r="N210" s="361">
        <f>+IF($I210=N$3,VLOOKUP($H210,Depreciation!$A$6:$L$10,11,FALSE)/2,IF($I210&lt;N$3,VLOOKUP($H210,Depreciation!$A$6:$L$10,11,FALSE),0))</f>
        <v>1.5338181838063448E-2</v>
      </c>
      <c r="O210" s="361">
        <f>+IF($I210=O$3,VLOOKUP($H210,Depreciation!$A$6:$L$10,12,FALSE)/2,IF($I210&lt;O$3,VLOOKUP($H210,Depreciation!$A$6:$L$10,12,FALSE),0))</f>
        <v>3.0676363676126896E-2</v>
      </c>
      <c r="P210" s="362">
        <f t="shared" si="11"/>
        <v>0</v>
      </c>
      <c r="Q210" s="362">
        <f t="shared" si="12"/>
        <v>0</v>
      </c>
      <c r="R210" s="363">
        <f t="shared" si="13"/>
        <v>0</v>
      </c>
    </row>
    <row r="211" spans="1:18">
      <c r="A211" s="359" t="str">
        <f>'Func Future Lines 2015'!A211</f>
        <v>PPS</v>
      </c>
      <c r="B211" s="359" t="str">
        <f>'Func Future Lines 2015'!B211</f>
        <v>476L &amp; 477L B</v>
      </c>
      <c r="C211" s="359">
        <f>'Func Future Lines 2015'!C211</f>
        <v>1258</v>
      </c>
      <c r="D211" s="359">
        <f>'Func Future Lines 2015'!D211</f>
        <v>138</v>
      </c>
      <c r="E211" s="359">
        <f>'Func Future Lines 2015'!E211</f>
        <v>0</v>
      </c>
      <c r="F211" s="359" t="str">
        <f>'Func Future Lines 2015'!F211</f>
        <v>Fort McMurray</v>
      </c>
      <c r="G211" s="359">
        <f>'Func Future Lines 2015'!G211</f>
        <v>11959135.439218925</v>
      </c>
      <c r="H211" s="359" t="str">
        <f>'Func Future Lines 2015'!H211</f>
        <v>AltaLink</v>
      </c>
      <c r="I211" s="359">
        <f>'Func Future Lines 2015'!I211</f>
        <v>2019</v>
      </c>
      <c r="J211" s="361">
        <f>+IF($I211=J$3,VLOOKUP($H211,Depreciation!$A$6:$L$10,7,FALSE)/2,IF($I211&lt;J$3,VLOOKUP($H211,Depreciation!$A$6:$L$10,7,FALSE),0))</f>
        <v>0</v>
      </c>
      <c r="K211" s="361">
        <f>+IF($I211=K$3,VLOOKUP($H211,Depreciation!$A$6:$L$10,8,FALSE)/2,IF($I211&lt;K$3,VLOOKUP($H211,Depreciation!$A$6:$L$10,8,FALSE),0))</f>
        <v>0</v>
      </c>
      <c r="L211" s="361">
        <f>+IF($I211=L$3,VLOOKUP($H211,Depreciation!$A$6:$L$10,9,FALSE)/2,IF($I211&lt;L$3,VLOOKUP($H211,Depreciation!$A$6:$L$10,9,FALSE),0))</f>
        <v>0</v>
      </c>
      <c r="M211" s="361">
        <f>+IF($I211=M$3,VLOOKUP($H211,Depreciation!$A$6:$L$10,10,FALSE)/2,IF($I211&lt;M$3,VLOOKUP($H211,Depreciation!$A$6:$L$10,10,FALSE),0))</f>
        <v>0</v>
      </c>
      <c r="N211" s="361">
        <f>+IF($I211=N$3,VLOOKUP($H211,Depreciation!$A$6:$L$10,11,FALSE)/2,IF($I211&lt;N$3,VLOOKUP($H211,Depreciation!$A$6:$L$10,11,FALSE),0))</f>
        <v>1.5338181838063448E-2</v>
      </c>
      <c r="O211" s="361">
        <f>+IF($I211=O$3,VLOOKUP($H211,Depreciation!$A$6:$L$10,12,FALSE)/2,IF($I211&lt;O$3,VLOOKUP($H211,Depreciation!$A$6:$L$10,12,FALSE),0))</f>
        <v>3.0676363676126896E-2</v>
      </c>
      <c r="P211" s="362">
        <f t="shared" si="11"/>
        <v>0</v>
      </c>
      <c r="Q211" s="362">
        <f t="shared" si="12"/>
        <v>0</v>
      </c>
      <c r="R211" s="363">
        <f t="shared" si="13"/>
        <v>0</v>
      </c>
    </row>
    <row r="212" spans="1:18">
      <c r="A212" s="359" t="str">
        <f>'Func Future Lines 2015'!A212</f>
        <v>PPS</v>
      </c>
      <c r="B212" s="359" t="str">
        <f>'Func Future Lines 2015'!B212</f>
        <v>172L/463L[v180]</v>
      </c>
      <c r="C212" s="359">
        <f>'Func Future Lines 2015'!C212</f>
        <v>1260</v>
      </c>
      <c r="D212" s="359">
        <f>'Func Future Lines 2015'!D212</f>
        <v>138</v>
      </c>
      <c r="E212" s="359">
        <f>'Func Future Lines 2015'!E212</f>
        <v>0</v>
      </c>
      <c r="F212" s="359" t="str">
        <f>'Func Future Lines 2015'!F212</f>
        <v>Lethbridge</v>
      </c>
      <c r="G212" s="359">
        <f>'Func Future Lines 2015'!G212</f>
        <v>2113680.3025660682</v>
      </c>
      <c r="H212" s="359" t="str">
        <f>'Func Future Lines 2015'!H212</f>
        <v>ENMAX</v>
      </c>
      <c r="I212" s="359">
        <f>'Func Future Lines 2015'!I212</f>
        <v>2016</v>
      </c>
      <c r="J212" s="361">
        <f>+IF($I212=J$3,VLOOKUP($H212,Depreciation!$A$6:$L$10,7,FALSE)/2,IF($I212&lt;J$3,VLOOKUP($H212,Depreciation!$A$6:$L$10,7,FALSE),0))</f>
        <v>0</v>
      </c>
      <c r="K212" s="361">
        <f>+IF($I212=K$3,VLOOKUP($H212,Depreciation!$A$6:$L$10,8,FALSE)/2,IF($I212&lt;K$3,VLOOKUP($H212,Depreciation!$A$6:$L$10,8,FALSE),0))</f>
        <v>1.3475179084025525E-2</v>
      </c>
      <c r="L212" s="361">
        <f>+IF($I212=L$3,VLOOKUP($H212,Depreciation!$A$6:$L$10,9,FALSE)/2,IF($I212&lt;L$3,VLOOKUP($H212,Depreciation!$A$6:$L$10,9,FALSE),0))</f>
        <v>2.6950358168051049E-2</v>
      </c>
      <c r="M212" s="361">
        <f>+IF($I212=M$3,VLOOKUP($H212,Depreciation!$A$6:$L$10,10,FALSE)/2,IF($I212&lt;M$3,VLOOKUP($H212,Depreciation!$A$6:$L$10,10,FALSE),0))</f>
        <v>2.6950358168051049E-2</v>
      </c>
      <c r="N212" s="361">
        <f>+IF($I212=N$3,VLOOKUP($H212,Depreciation!$A$6:$L$10,11,FALSE)/2,IF($I212&lt;N$3,VLOOKUP($H212,Depreciation!$A$6:$L$10,11,FALSE),0))</f>
        <v>2.6950358168051049E-2</v>
      </c>
      <c r="O212" s="361">
        <f>+IF($I212=O$3,VLOOKUP($H212,Depreciation!$A$6:$L$10,12,FALSE)/2,IF($I212&lt;O$3,VLOOKUP($H212,Depreciation!$A$6:$L$10,12,FALSE),0))</f>
        <v>2.6950358168051049E-2</v>
      </c>
      <c r="P212" s="362">
        <f t="shared" si="11"/>
        <v>1974318.9364776413</v>
      </c>
      <c r="Q212" s="362">
        <f t="shared" si="12"/>
        <v>0</v>
      </c>
      <c r="R212" s="363">
        <f t="shared" si="13"/>
        <v>1974318.9364776413</v>
      </c>
    </row>
    <row r="213" spans="1:18">
      <c r="A213" s="359" t="str">
        <f>'Func Future Lines 2015'!A213</f>
        <v>PPS</v>
      </c>
      <c r="B213" s="359" t="str">
        <f>'Func Future Lines 2015'!B213</f>
        <v>line 172L</v>
      </c>
      <c r="C213" s="359">
        <f>'Func Future Lines 2015'!C213</f>
        <v>1260</v>
      </c>
      <c r="D213" s="359">
        <f>'Func Future Lines 2015'!D213</f>
        <v>138</v>
      </c>
      <c r="E213" s="359">
        <f>'Func Future Lines 2015'!E213</f>
        <v>0</v>
      </c>
      <c r="F213" s="359" t="str">
        <f>'Func Future Lines 2015'!F213</f>
        <v>Lethbridge</v>
      </c>
      <c r="G213" s="359">
        <f>'Func Future Lines 2015'!G213</f>
        <v>605625.19167995139</v>
      </c>
      <c r="H213" s="359" t="str">
        <f>'Func Future Lines 2015'!H213</f>
        <v>AltaLink</v>
      </c>
      <c r="I213" s="359">
        <f>'Func Future Lines 2015'!I213</f>
        <v>2016</v>
      </c>
      <c r="J213" s="361">
        <f>+IF($I213=J$3,VLOOKUP($H213,Depreciation!$A$6:$L$10,7,FALSE)/2,IF($I213&lt;J$3,VLOOKUP($H213,Depreciation!$A$6:$L$10,7,FALSE),0))</f>
        <v>0</v>
      </c>
      <c r="K213" s="361">
        <f>+IF($I213=K$3,VLOOKUP($H213,Depreciation!$A$6:$L$10,8,FALSE)/2,IF($I213&lt;K$3,VLOOKUP($H213,Depreciation!$A$6:$L$10,8,FALSE),0))</f>
        <v>1.5338181838063448E-2</v>
      </c>
      <c r="L213" s="361">
        <f>+IF($I213=L$3,VLOOKUP($H213,Depreciation!$A$6:$L$10,9,FALSE)/2,IF($I213&lt;L$3,VLOOKUP($H213,Depreciation!$A$6:$L$10,9,FALSE),0))</f>
        <v>3.0676363676126896E-2</v>
      </c>
      <c r="M213" s="361">
        <f>+IF($I213=M$3,VLOOKUP($H213,Depreciation!$A$6:$L$10,10,FALSE)/2,IF($I213&lt;M$3,VLOOKUP($H213,Depreciation!$A$6:$L$10,10,FALSE),0))</f>
        <v>3.0676363676126896E-2</v>
      </c>
      <c r="N213" s="361">
        <f>+IF($I213=N$3,VLOOKUP($H213,Depreciation!$A$6:$L$10,11,FALSE)/2,IF($I213&lt;N$3,VLOOKUP($H213,Depreciation!$A$6:$L$10,11,FALSE),0))</f>
        <v>3.0676363676126896E-2</v>
      </c>
      <c r="O213" s="361">
        <f>+IF($I213=O$3,VLOOKUP($H213,Depreciation!$A$6:$L$10,12,FALSE)/2,IF($I213&lt;O$3,VLOOKUP($H213,Depreciation!$A$6:$L$10,12,FALSE),0))</f>
        <v>3.0676363676126896E-2</v>
      </c>
      <c r="P213" s="362">
        <f t="shared" si="11"/>
        <v>560310.33780817152</v>
      </c>
      <c r="Q213" s="362">
        <f t="shared" si="12"/>
        <v>0</v>
      </c>
      <c r="R213" s="363">
        <f t="shared" si="13"/>
        <v>560310.33780817152</v>
      </c>
    </row>
    <row r="214" spans="1:18">
      <c r="A214" s="359" t="str">
        <f>'Func Future Lines 2015'!A214</f>
        <v>PPS</v>
      </c>
      <c r="B214" s="359" t="str">
        <f>'Func Future Lines 2015'!B214</f>
        <v>line 464L</v>
      </c>
      <c r="C214" s="359">
        <f>'Func Future Lines 2015'!C214</f>
        <v>1263</v>
      </c>
      <c r="D214" s="359">
        <f>'Func Future Lines 2015'!D214</f>
        <v>138</v>
      </c>
      <c r="E214" s="359">
        <f>'Func Future Lines 2015'!E214</f>
        <v>0</v>
      </c>
      <c r="F214" s="359" t="str">
        <f>'Func Future Lines 2015'!F214</f>
        <v>Red_Deer</v>
      </c>
      <c r="G214" s="359">
        <f>'Func Future Lines 2015'!G214</f>
        <v>763058.82352941227</v>
      </c>
      <c r="H214" s="359" t="str">
        <f>'Func Future Lines 2015'!H214</f>
        <v>AltaLink</v>
      </c>
      <c r="I214" s="359">
        <f>'Func Future Lines 2015'!I214</f>
        <v>2016</v>
      </c>
      <c r="J214" s="361">
        <f>+IF($I214=J$3,VLOOKUP($H214,Depreciation!$A$6:$L$10,7,FALSE)/2,IF($I214&lt;J$3,VLOOKUP($H214,Depreciation!$A$6:$L$10,7,FALSE),0))</f>
        <v>0</v>
      </c>
      <c r="K214" s="361">
        <f>+IF($I214=K$3,VLOOKUP($H214,Depreciation!$A$6:$L$10,8,FALSE)/2,IF($I214&lt;K$3,VLOOKUP($H214,Depreciation!$A$6:$L$10,8,FALSE),0))</f>
        <v>1.5338181838063448E-2</v>
      </c>
      <c r="L214" s="361">
        <f>+IF($I214=L$3,VLOOKUP($H214,Depreciation!$A$6:$L$10,9,FALSE)/2,IF($I214&lt;L$3,VLOOKUP($H214,Depreciation!$A$6:$L$10,9,FALSE),0))</f>
        <v>3.0676363676126896E-2</v>
      </c>
      <c r="M214" s="361">
        <f>+IF($I214=M$3,VLOOKUP($H214,Depreciation!$A$6:$L$10,10,FALSE)/2,IF($I214&lt;M$3,VLOOKUP($H214,Depreciation!$A$6:$L$10,10,FALSE),0))</f>
        <v>3.0676363676126896E-2</v>
      </c>
      <c r="N214" s="361">
        <f>+IF($I214=N$3,VLOOKUP($H214,Depreciation!$A$6:$L$10,11,FALSE)/2,IF($I214&lt;N$3,VLOOKUP($H214,Depreciation!$A$6:$L$10,11,FALSE),0))</f>
        <v>3.0676363676126896E-2</v>
      </c>
      <c r="O214" s="361">
        <f>+IF($I214=O$3,VLOOKUP($H214,Depreciation!$A$6:$L$10,12,FALSE)/2,IF($I214&lt;O$3,VLOOKUP($H214,Depreciation!$A$6:$L$10,12,FALSE),0))</f>
        <v>3.0676363676126896E-2</v>
      </c>
      <c r="P214" s="362">
        <f t="shared" si="11"/>
        <v>705964.27138918242</v>
      </c>
      <c r="Q214" s="362">
        <f t="shared" si="12"/>
        <v>0</v>
      </c>
      <c r="R214" s="363">
        <f t="shared" si="13"/>
        <v>705964.27138918242</v>
      </c>
    </row>
    <row r="215" spans="1:18">
      <c r="A215" s="359" t="str">
        <f>'Func Future Lines 2015'!A215</f>
        <v>PPS</v>
      </c>
      <c r="B215" s="359" t="str">
        <f>'Func Future Lines 2015'!B215</f>
        <v>line 768L</v>
      </c>
      <c r="C215" s="359">
        <f>'Func Future Lines 2015'!C215</f>
        <v>1263</v>
      </c>
      <c r="D215" s="359">
        <f>'Func Future Lines 2015'!D215</f>
        <v>138</v>
      </c>
      <c r="E215" s="359">
        <f>'Func Future Lines 2015'!E215</f>
        <v>0</v>
      </c>
      <c r="F215" s="359" t="str">
        <f>'Func Future Lines 2015'!F215</f>
        <v>Red_Deer</v>
      </c>
      <c r="G215" s="359">
        <f>'Func Future Lines 2015'!G215</f>
        <v>763058.82352941227</v>
      </c>
      <c r="H215" s="359" t="str">
        <f>'Func Future Lines 2015'!H215</f>
        <v>AltaLink</v>
      </c>
      <c r="I215" s="359">
        <f>'Func Future Lines 2015'!I215</f>
        <v>2016</v>
      </c>
      <c r="J215" s="361">
        <f>+IF($I215=J$3,VLOOKUP($H215,Depreciation!$A$6:$L$10,7,FALSE)/2,IF($I215&lt;J$3,VLOOKUP($H215,Depreciation!$A$6:$L$10,7,FALSE),0))</f>
        <v>0</v>
      </c>
      <c r="K215" s="361">
        <f>+IF($I215=K$3,VLOOKUP($H215,Depreciation!$A$6:$L$10,8,FALSE)/2,IF($I215&lt;K$3,VLOOKUP($H215,Depreciation!$A$6:$L$10,8,FALSE),0))</f>
        <v>1.5338181838063448E-2</v>
      </c>
      <c r="L215" s="361">
        <f>+IF($I215=L$3,VLOOKUP($H215,Depreciation!$A$6:$L$10,9,FALSE)/2,IF($I215&lt;L$3,VLOOKUP($H215,Depreciation!$A$6:$L$10,9,FALSE),0))</f>
        <v>3.0676363676126896E-2</v>
      </c>
      <c r="M215" s="361">
        <f>+IF($I215=M$3,VLOOKUP($H215,Depreciation!$A$6:$L$10,10,FALSE)/2,IF($I215&lt;M$3,VLOOKUP($H215,Depreciation!$A$6:$L$10,10,FALSE),0))</f>
        <v>3.0676363676126896E-2</v>
      </c>
      <c r="N215" s="361">
        <f>+IF($I215=N$3,VLOOKUP($H215,Depreciation!$A$6:$L$10,11,FALSE)/2,IF($I215&lt;N$3,VLOOKUP($H215,Depreciation!$A$6:$L$10,11,FALSE),0))</f>
        <v>3.0676363676126896E-2</v>
      </c>
      <c r="O215" s="361">
        <f>+IF($I215=O$3,VLOOKUP($H215,Depreciation!$A$6:$L$10,12,FALSE)/2,IF($I215&lt;O$3,VLOOKUP($H215,Depreciation!$A$6:$L$10,12,FALSE),0))</f>
        <v>3.0676363676126896E-2</v>
      </c>
      <c r="P215" s="362">
        <f t="shared" si="11"/>
        <v>705964.27138918242</v>
      </c>
      <c r="Q215" s="362">
        <f t="shared" si="12"/>
        <v>0</v>
      </c>
      <c r="R215" s="363">
        <f t="shared" si="13"/>
        <v>705964.27138918242</v>
      </c>
    </row>
    <row r="216" spans="1:18">
      <c r="A216" s="359" t="str">
        <f>'Func Future Lines 2015'!A216</f>
        <v>PPS</v>
      </c>
      <c r="B216" s="359" t="str">
        <f>'Func Future Lines 2015'!B216</f>
        <v>line 778L</v>
      </c>
      <c r="C216" s="359">
        <f>'Func Future Lines 2015'!C216</f>
        <v>1263</v>
      </c>
      <c r="D216" s="359">
        <f>'Func Future Lines 2015'!D216</f>
        <v>138</v>
      </c>
      <c r="E216" s="359">
        <f>'Func Future Lines 2015'!E216</f>
        <v>0</v>
      </c>
      <c r="F216" s="359" t="str">
        <f>'Func Future Lines 2015'!F216</f>
        <v>Red_Deer</v>
      </c>
      <c r="G216" s="359">
        <f>'Func Future Lines 2015'!G216</f>
        <v>331764.70588235313</v>
      </c>
      <c r="H216" s="359" t="str">
        <f>'Func Future Lines 2015'!H216</f>
        <v>AltaLink</v>
      </c>
      <c r="I216" s="359">
        <f>'Func Future Lines 2015'!I216</f>
        <v>2016</v>
      </c>
      <c r="J216" s="361">
        <f>+IF($I216=J$3,VLOOKUP($H216,Depreciation!$A$6:$L$10,7,FALSE)/2,IF($I216&lt;J$3,VLOOKUP($H216,Depreciation!$A$6:$L$10,7,FALSE),0))</f>
        <v>0</v>
      </c>
      <c r="K216" s="361">
        <f>+IF($I216=K$3,VLOOKUP($H216,Depreciation!$A$6:$L$10,8,FALSE)/2,IF($I216&lt;K$3,VLOOKUP($H216,Depreciation!$A$6:$L$10,8,FALSE),0))</f>
        <v>1.5338181838063448E-2</v>
      </c>
      <c r="L216" s="361">
        <f>+IF($I216=L$3,VLOOKUP($H216,Depreciation!$A$6:$L$10,9,FALSE)/2,IF($I216&lt;L$3,VLOOKUP($H216,Depreciation!$A$6:$L$10,9,FALSE),0))</f>
        <v>3.0676363676126896E-2</v>
      </c>
      <c r="M216" s="361">
        <f>+IF($I216=M$3,VLOOKUP($H216,Depreciation!$A$6:$L$10,10,FALSE)/2,IF($I216&lt;M$3,VLOOKUP($H216,Depreciation!$A$6:$L$10,10,FALSE),0))</f>
        <v>3.0676363676126896E-2</v>
      </c>
      <c r="N216" s="361">
        <f>+IF($I216=N$3,VLOOKUP($H216,Depreciation!$A$6:$L$10,11,FALSE)/2,IF($I216&lt;N$3,VLOOKUP($H216,Depreciation!$A$6:$L$10,11,FALSE),0))</f>
        <v>3.0676363676126896E-2</v>
      </c>
      <c r="O216" s="361">
        <f>+IF($I216=O$3,VLOOKUP($H216,Depreciation!$A$6:$L$10,12,FALSE)/2,IF($I216&lt;O$3,VLOOKUP($H216,Depreciation!$A$6:$L$10,12,FALSE),0))</f>
        <v>3.0676363676126896E-2</v>
      </c>
      <c r="P216" s="362">
        <f t="shared" si="11"/>
        <v>306940.98756051407</v>
      </c>
      <c r="Q216" s="362">
        <f t="shared" si="12"/>
        <v>0</v>
      </c>
      <c r="R216" s="363">
        <f t="shared" si="13"/>
        <v>306940.98756051407</v>
      </c>
    </row>
    <row r="217" spans="1:18">
      <c r="A217" s="359" t="str">
        <f>'Func Future Lines 2015'!A217</f>
        <v>PPS</v>
      </c>
      <c r="B217" s="359" t="str">
        <f>'Func Future Lines 2015'!B217</f>
        <v>in and out of line 9L07 and 9L89 from lune 9L07 at Dawes Sub_180</v>
      </c>
      <c r="C217" s="359">
        <f>'Func Future Lines 2015'!C217</f>
        <v>1267</v>
      </c>
      <c r="D217" s="359">
        <f>'Func Future Lines 2015'!D217</f>
        <v>240</v>
      </c>
      <c r="E217" s="359">
        <f>'Func Future Lines 2015'!E217</f>
        <v>0</v>
      </c>
      <c r="F217" s="359">
        <f>'Func Future Lines 2015'!F217</f>
        <v>0</v>
      </c>
      <c r="G217" s="359">
        <f>'Func Future Lines 2015'!G217</f>
        <v>6518260.7904942483</v>
      </c>
      <c r="H217" s="359" t="str">
        <f>'Func Future Lines 2015'!H217</f>
        <v>ATCO</v>
      </c>
      <c r="I217" s="359">
        <f>'Func Future Lines 2015'!I217</f>
        <v>2015</v>
      </c>
      <c r="J217" s="361">
        <f>+IF($I217=J$3,VLOOKUP($H217,Depreciation!$A$6:$L$10,7,FALSE)/2,IF($I217&lt;J$3,VLOOKUP($H217,Depreciation!$A$6:$L$10,7,FALSE),0))</f>
        <v>1.239102859091515E-2</v>
      </c>
      <c r="K217" s="361">
        <f>+IF($I217=K$3,VLOOKUP($H217,Depreciation!$A$6:$L$10,8,FALSE)/2,IF($I217&lt;K$3,VLOOKUP($H217,Depreciation!$A$6:$L$10,8,FALSE),0))</f>
        <v>2.3943859731006666E-2</v>
      </c>
      <c r="L217" s="361">
        <f>+IF($I217=L$3,VLOOKUP($H217,Depreciation!$A$6:$L$10,9,FALSE)/2,IF($I217&lt;L$3,VLOOKUP($H217,Depreciation!$A$6:$L$10,9,FALSE),0))</f>
        <v>2.4002037926855919E-2</v>
      </c>
      <c r="M217" s="361">
        <f>+IF($I217=M$3,VLOOKUP($H217,Depreciation!$A$6:$L$10,10,FALSE)/2,IF($I217&lt;M$3,VLOOKUP($H217,Depreciation!$A$6:$L$10,10,FALSE),0))</f>
        <v>2.4002037926855919E-2</v>
      </c>
      <c r="N217" s="361">
        <f>+IF($I217=N$3,VLOOKUP($H217,Depreciation!$A$6:$L$10,11,FALSE)/2,IF($I217&lt;N$3,VLOOKUP($H217,Depreciation!$A$6:$L$10,11,FALSE),0))</f>
        <v>2.4002037926855919E-2</v>
      </c>
      <c r="O217" s="361">
        <f>+IF($I217=O$3,VLOOKUP($H217,Depreciation!$A$6:$L$10,12,FALSE)/2,IF($I217&lt;O$3,VLOOKUP($H217,Depreciation!$A$6:$L$10,12,FALSE),0))</f>
        <v>2.4002037926855919E-2</v>
      </c>
      <c r="P217" s="362">
        <f t="shared" si="11"/>
        <v>5985347.614353843</v>
      </c>
      <c r="Q217" s="362">
        <f t="shared" si="12"/>
        <v>5985347.614353843</v>
      </c>
      <c r="R217" s="363">
        <f t="shared" si="13"/>
        <v>0</v>
      </c>
    </row>
    <row r="218" spans="1:18">
      <c r="A218" s="359" t="str">
        <f>'Func Future Lines 2015'!A218</f>
        <v>PPS</v>
      </c>
      <c r="B218" s="359" t="str">
        <f>'Func Future Lines 2015'!B218</f>
        <v>new line 7L170_180</v>
      </c>
      <c r="C218" s="359">
        <f>'Func Future Lines 2015'!C218</f>
        <v>1267</v>
      </c>
      <c r="D218" s="359">
        <f>'Func Future Lines 2015'!D218</f>
        <v>144</v>
      </c>
      <c r="E218" s="359">
        <f>'Func Future Lines 2015'!E218</f>
        <v>0</v>
      </c>
      <c r="F218" s="359">
        <f>'Func Future Lines 2015'!F218</f>
        <v>0</v>
      </c>
      <c r="G218" s="359">
        <f>'Func Future Lines 2015'!G218</f>
        <v>3456133.2958460073</v>
      </c>
      <c r="H218" s="359" t="str">
        <f>'Func Future Lines 2015'!H218</f>
        <v>ATCO</v>
      </c>
      <c r="I218" s="359">
        <f>'Func Future Lines 2015'!I218</f>
        <v>2015</v>
      </c>
      <c r="J218" s="361">
        <f>+IF($I218=J$3,VLOOKUP($H218,Depreciation!$A$6:$L$10,7,FALSE)/2,IF($I218&lt;J$3,VLOOKUP($H218,Depreciation!$A$6:$L$10,7,FALSE),0))</f>
        <v>1.239102859091515E-2</v>
      </c>
      <c r="K218" s="361">
        <f>+IF($I218=K$3,VLOOKUP($H218,Depreciation!$A$6:$L$10,8,FALSE)/2,IF($I218&lt;K$3,VLOOKUP($H218,Depreciation!$A$6:$L$10,8,FALSE),0))</f>
        <v>2.3943859731006666E-2</v>
      </c>
      <c r="L218" s="361">
        <f>+IF($I218=L$3,VLOOKUP($H218,Depreciation!$A$6:$L$10,9,FALSE)/2,IF($I218&lt;L$3,VLOOKUP($H218,Depreciation!$A$6:$L$10,9,FALSE),0))</f>
        <v>2.4002037926855919E-2</v>
      </c>
      <c r="M218" s="361">
        <f>+IF($I218=M$3,VLOOKUP($H218,Depreciation!$A$6:$L$10,10,FALSE)/2,IF($I218&lt;M$3,VLOOKUP($H218,Depreciation!$A$6:$L$10,10,FALSE),0))</f>
        <v>2.4002037926855919E-2</v>
      </c>
      <c r="N218" s="361">
        <f>+IF($I218=N$3,VLOOKUP($H218,Depreciation!$A$6:$L$10,11,FALSE)/2,IF($I218&lt;N$3,VLOOKUP($H218,Depreciation!$A$6:$L$10,11,FALSE),0))</f>
        <v>2.4002037926855919E-2</v>
      </c>
      <c r="O218" s="361">
        <f>+IF($I218=O$3,VLOOKUP($H218,Depreciation!$A$6:$L$10,12,FALSE)/2,IF($I218&lt;O$3,VLOOKUP($H218,Depreciation!$A$6:$L$10,12,FALSE),0))</f>
        <v>2.4002037926855919E-2</v>
      </c>
      <c r="P218" s="362">
        <f t="shared" si="11"/>
        <v>3173570.3498313469</v>
      </c>
      <c r="Q218" s="362">
        <f t="shared" si="12"/>
        <v>0</v>
      </c>
      <c r="R218" s="363">
        <f t="shared" si="13"/>
        <v>3173570.3498313469</v>
      </c>
    </row>
    <row r="219" spans="1:18">
      <c r="A219" s="359" t="str">
        <f>'Func Future Lines 2015'!A219</f>
        <v>PPS</v>
      </c>
      <c r="B219" s="359" t="str">
        <f>'Func Future Lines 2015'!B219</f>
        <v>1135L/1136L preferred</v>
      </c>
      <c r="C219" s="359">
        <f>'Func Future Lines 2015'!C219</f>
        <v>1287</v>
      </c>
      <c r="D219" s="359">
        <f>'Func Future Lines 2015'!D219</f>
        <v>240</v>
      </c>
      <c r="E219" s="359">
        <f>'Func Future Lines 2015'!E219</f>
        <v>0</v>
      </c>
      <c r="F219" s="359">
        <f>'Func Future Lines 2015'!F219</f>
        <v>0</v>
      </c>
      <c r="G219" s="359">
        <f>'Func Future Lines 2015'!G219</f>
        <v>28342949.806082249</v>
      </c>
      <c r="H219" s="359" t="str">
        <f>'Func Future Lines 2015'!H219</f>
        <v>AltaLink</v>
      </c>
      <c r="I219" s="359">
        <f>'Func Future Lines 2015'!I219</f>
        <v>2019</v>
      </c>
      <c r="J219" s="361">
        <f>+IF($I219=J$3,VLOOKUP($H219,Depreciation!$A$6:$L$10,7,FALSE)/2,IF($I219&lt;J$3,VLOOKUP($H219,Depreciation!$A$6:$L$10,7,FALSE),0))</f>
        <v>0</v>
      </c>
      <c r="K219" s="361">
        <f>+IF($I219=K$3,VLOOKUP($H219,Depreciation!$A$6:$L$10,8,FALSE)/2,IF($I219&lt;K$3,VLOOKUP($H219,Depreciation!$A$6:$L$10,8,FALSE),0))</f>
        <v>0</v>
      </c>
      <c r="L219" s="361">
        <f>+IF($I219=L$3,VLOOKUP($H219,Depreciation!$A$6:$L$10,9,FALSE)/2,IF($I219&lt;L$3,VLOOKUP($H219,Depreciation!$A$6:$L$10,9,FALSE),0))</f>
        <v>0</v>
      </c>
      <c r="M219" s="361">
        <f>+IF($I219=M$3,VLOOKUP($H219,Depreciation!$A$6:$L$10,10,FALSE)/2,IF($I219&lt;M$3,VLOOKUP($H219,Depreciation!$A$6:$L$10,10,FALSE),0))</f>
        <v>0</v>
      </c>
      <c r="N219" s="361">
        <f>+IF($I219=N$3,VLOOKUP($H219,Depreciation!$A$6:$L$10,11,FALSE)/2,IF($I219&lt;N$3,VLOOKUP($H219,Depreciation!$A$6:$L$10,11,FALSE),0))</f>
        <v>1.5338181838063448E-2</v>
      </c>
      <c r="O219" s="361">
        <f>+IF($I219=O$3,VLOOKUP($H219,Depreciation!$A$6:$L$10,12,FALSE)/2,IF($I219&lt;O$3,VLOOKUP($H219,Depreciation!$A$6:$L$10,12,FALSE),0))</f>
        <v>3.0676363676126896E-2</v>
      </c>
      <c r="P219" s="362">
        <f t="shared" si="11"/>
        <v>0</v>
      </c>
      <c r="Q219" s="362">
        <f t="shared" si="12"/>
        <v>0</v>
      </c>
      <c r="R219" s="363">
        <f t="shared" si="13"/>
        <v>0</v>
      </c>
    </row>
    <row r="220" spans="1:18">
      <c r="A220" s="359" t="str">
        <f>'Func Future Lines 2015'!A220</f>
        <v>PPS</v>
      </c>
      <c r="B220" s="359" t="str">
        <f>'Func Future Lines 2015'!B220</f>
        <v>Line 9L930</v>
      </c>
      <c r="C220" s="359">
        <f>'Func Future Lines 2015'!C220</f>
        <v>1287</v>
      </c>
      <c r="D220" s="359">
        <f>'Func Future Lines 2015'!D220</f>
        <v>240</v>
      </c>
      <c r="E220" s="359">
        <f>'Func Future Lines 2015'!E220</f>
        <v>0</v>
      </c>
      <c r="F220" s="359">
        <f>'Func Future Lines 2015'!F220</f>
        <v>0</v>
      </c>
      <c r="G220" s="359">
        <f>'Func Future Lines 2015'!G220</f>
        <v>1903119.3553939713</v>
      </c>
      <c r="H220" s="359" t="str">
        <f>'Func Future Lines 2015'!H220</f>
        <v>ATCO</v>
      </c>
      <c r="I220" s="359">
        <f>'Func Future Lines 2015'!I220</f>
        <v>2019</v>
      </c>
      <c r="J220" s="361">
        <f>+IF($I220=J$3,VLOOKUP($H220,Depreciation!$A$6:$L$10,7,FALSE)/2,IF($I220&lt;J$3,VLOOKUP($H220,Depreciation!$A$6:$L$10,7,FALSE),0))</f>
        <v>0</v>
      </c>
      <c r="K220" s="361">
        <f>+IF($I220=K$3,VLOOKUP($H220,Depreciation!$A$6:$L$10,8,FALSE)/2,IF($I220&lt;K$3,VLOOKUP($H220,Depreciation!$A$6:$L$10,8,FALSE),0))</f>
        <v>0</v>
      </c>
      <c r="L220" s="361">
        <f>+IF($I220=L$3,VLOOKUP($H220,Depreciation!$A$6:$L$10,9,FALSE)/2,IF($I220&lt;L$3,VLOOKUP($H220,Depreciation!$A$6:$L$10,9,FALSE),0))</f>
        <v>0</v>
      </c>
      <c r="M220" s="361">
        <f>+IF($I220=M$3,VLOOKUP($H220,Depreciation!$A$6:$L$10,10,FALSE)/2,IF($I220&lt;M$3,VLOOKUP($H220,Depreciation!$A$6:$L$10,10,FALSE),0))</f>
        <v>0</v>
      </c>
      <c r="N220" s="361">
        <f>+IF($I220=N$3,VLOOKUP($H220,Depreciation!$A$6:$L$10,11,FALSE)/2,IF($I220&lt;N$3,VLOOKUP($H220,Depreciation!$A$6:$L$10,11,FALSE),0))</f>
        <v>1.2001018963427959E-2</v>
      </c>
      <c r="O220" s="361">
        <f>+IF($I220=O$3,VLOOKUP($H220,Depreciation!$A$6:$L$10,12,FALSE)/2,IF($I220&lt;O$3,VLOOKUP($H220,Depreciation!$A$6:$L$10,12,FALSE),0))</f>
        <v>2.4002037926855919E-2</v>
      </c>
      <c r="P220" s="362">
        <f t="shared" si="11"/>
        <v>0</v>
      </c>
      <c r="Q220" s="362">
        <f t="shared" si="12"/>
        <v>0</v>
      </c>
      <c r="R220" s="363">
        <f t="shared" si="13"/>
        <v>0</v>
      </c>
    </row>
    <row r="221" spans="1:18">
      <c r="A221" s="359" t="str">
        <f>'Func Future Lines 2015'!A221</f>
        <v>PPS</v>
      </c>
      <c r="B221" s="359" t="str">
        <f>'Func Future Lines 2015'!B221</f>
        <v>138kv s/c line 621L</v>
      </c>
      <c r="C221" s="359">
        <f>'Func Future Lines 2015'!C221</f>
        <v>1289</v>
      </c>
      <c r="D221" s="359">
        <f>'Func Future Lines 2015'!D221</f>
        <v>138</v>
      </c>
      <c r="E221" s="359">
        <f>'Func Future Lines 2015'!E221</f>
        <v>0</v>
      </c>
      <c r="F221" s="359" t="str">
        <f>'Func Future Lines 2015'!F221</f>
        <v>edmonton</v>
      </c>
      <c r="G221" s="359">
        <f>'Func Future Lines 2015'!G221</f>
        <v>1490787.1125611733</v>
      </c>
      <c r="H221" s="359" t="str">
        <f>'Func Future Lines 2015'!H221</f>
        <v>AltaLink</v>
      </c>
      <c r="I221" s="359">
        <f>'Func Future Lines 2015'!I221</f>
        <v>2017</v>
      </c>
      <c r="J221" s="361">
        <f>+IF($I221=J$3,VLOOKUP($H221,Depreciation!$A$6:$L$10,7,FALSE)/2,IF($I221&lt;J$3,VLOOKUP($H221,Depreciation!$A$6:$L$10,7,FALSE),0))</f>
        <v>0</v>
      </c>
      <c r="K221" s="361">
        <f>+IF($I221=K$3,VLOOKUP($H221,Depreciation!$A$6:$L$10,8,FALSE)/2,IF($I221&lt;K$3,VLOOKUP($H221,Depreciation!$A$6:$L$10,8,FALSE),0))</f>
        <v>0</v>
      </c>
      <c r="L221" s="361">
        <f>+IF($I221=L$3,VLOOKUP($H221,Depreciation!$A$6:$L$10,9,FALSE)/2,IF($I221&lt;L$3,VLOOKUP($H221,Depreciation!$A$6:$L$10,9,FALSE),0))</f>
        <v>1.5338181838063448E-2</v>
      </c>
      <c r="M221" s="361">
        <f>+IF($I221=M$3,VLOOKUP($H221,Depreciation!$A$6:$L$10,10,FALSE)/2,IF($I221&lt;M$3,VLOOKUP($H221,Depreciation!$A$6:$L$10,10,FALSE),0))</f>
        <v>3.0676363676126896E-2</v>
      </c>
      <c r="N221" s="361">
        <f>+IF($I221=N$3,VLOOKUP($H221,Depreciation!$A$6:$L$10,11,FALSE)/2,IF($I221&lt;N$3,VLOOKUP($H221,Depreciation!$A$6:$L$10,11,FALSE),0))</f>
        <v>3.0676363676126896E-2</v>
      </c>
      <c r="O221" s="361">
        <f>+IF($I221=O$3,VLOOKUP($H221,Depreciation!$A$6:$L$10,12,FALSE)/2,IF($I221&lt;O$3,VLOOKUP($H221,Depreciation!$A$6:$L$10,12,FALSE),0))</f>
        <v>3.0676363676126896E-2</v>
      </c>
      <c r="P221" s="362">
        <f t="shared" si="11"/>
        <v>1422890.6657400315</v>
      </c>
      <c r="Q221" s="362">
        <f t="shared" si="12"/>
        <v>0</v>
      </c>
      <c r="R221" s="363">
        <f t="shared" si="13"/>
        <v>1422890.6657400315</v>
      </c>
    </row>
    <row r="222" spans="1:18">
      <c r="A222" s="359" t="str">
        <f>'Func Future Lines 2015'!A222</f>
        <v>PPS</v>
      </c>
      <c r="B222" s="359" t="str">
        <f>'Func Future Lines 2015'!B222</f>
        <v xml:space="preserve">Rerouting 815L </v>
      </c>
      <c r="C222" s="359">
        <f>'Func Future Lines 2015'!C222</f>
        <v>1289</v>
      </c>
      <c r="D222" s="359">
        <f>'Func Future Lines 2015'!D222</f>
        <v>138</v>
      </c>
      <c r="E222" s="359">
        <f>'Func Future Lines 2015'!E222</f>
        <v>0</v>
      </c>
      <c r="F222" s="359" t="str">
        <f>'Func Future Lines 2015'!F222</f>
        <v>edmonton</v>
      </c>
      <c r="G222" s="359">
        <f>'Func Future Lines 2015'!G222</f>
        <v>437379.69004893926</v>
      </c>
      <c r="H222" s="359" t="str">
        <f>'Func Future Lines 2015'!H222</f>
        <v>AltaLink</v>
      </c>
      <c r="I222" s="359">
        <f>'Func Future Lines 2015'!I222</f>
        <v>2017</v>
      </c>
      <c r="J222" s="361">
        <f>+IF($I222=J$3,VLOOKUP($H222,Depreciation!$A$6:$L$10,7,FALSE)/2,IF($I222&lt;J$3,VLOOKUP($H222,Depreciation!$A$6:$L$10,7,FALSE),0))</f>
        <v>0</v>
      </c>
      <c r="K222" s="361">
        <f>+IF($I222=K$3,VLOOKUP($H222,Depreciation!$A$6:$L$10,8,FALSE)/2,IF($I222&lt;K$3,VLOOKUP($H222,Depreciation!$A$6:$L$10,8,FALSE),0))</f>
        <v>0</v>
      </c>
      <c r="L222" s="361">
        <f>+IF($I222=L$3,VLOOKUP($H222,Depreciation!$A$6:$L$10,9,FALSE)/2,IF($I222&lt;L$3,VLOOKUP($H222,Depreciation!$A$6:$L$10,9,FALSE),0))</f>
        <v>1.5338181838063448E-2</v>
      </c>
      <c r="M222" s="361">
        <f>+IF($I222=M$3,VLOOKUP($H222,Depreciation!$A$6:$L$10,10,FALSE)/2,IF($I222&lt;M$3,VLOOKUP($H222,Depreciation!$A$6:$L$10,10,FALSE),0))</f>
        <v>3.0676363676126896E-2</v>
      </c>
      <c r="N222" s="361">
        <f>+IF($I222=N$3,VLOOKUP($H222,Depreciation!$A$6:$L$10,11,FALSE)/2,IF($I222&lt;N$3,VLOOKUP($H222,Depreciation!$A$6:$L$10,11,FALSE),0))</f>
        <v>3.0676363676126896E-2</v>
      </c>
      <c r="O222" s="361">
        <f>+IF($I222=O$3,VLOOKUP($H222,Depreciation!$A$6:$L$10,12,FALSE)/2,IF($I222&lt;O$3,VLOOKUP($H222,Depreciation!$A$6:$L$10,12,FALSE),0))</f>
        <v>3.0676363676126896E-2</v>
      </c>
      <c r="P222" s="362">
        <f t="shared" si="11"/>
        <v>417459.65813033981</v>
      </c>
      <c r="Q222" s="362">
        <f t="shared" si="12"/>
        <v>0</v>
      </c>
      <c r="R222" s="363">
        <f t="shared" si="13"/>
        <v>417459.65813033981</v>
      </c>
    </row>
    <row r="223" spans="1:18">
      <c r="A223" s="359" t="str">
        <f>'Func Future Lines 2015'!A223</f>
        <v>PPS</v>
      </c>
      <c r="B223" s="359" t="str">
        <f>'Func Future Lines 2015'!B223</f>
        <v>7LA106 new line</v>
      </c>
      <c r="C223" s="359">
        <f>'Func Future Lines 2015'!C223</f>
        <v>1290</v>
      </c>
      <c r="D223" s="359">
        <f>'Func Future Lines 2015'!D223</f>
        <v>144</v>
      </c>
      <c r="E223" s="359">
        <f>'Func Future Lines 2015'!E223</f>
        <v>0</v>
      </c>
      <c r="F223" s="359" t="str">
        <f>'Func Future Lines 2015'!F223</f>
        <v>Peace_River</v>
      </c>
      <c r="G223" s="359">
        <f>'Func Future Lines 2015'!G223</f>
        <v>5368376.5324647576</v>
      </c>
      <c r="H223" s="359" t="str">
        <f>'Func Future Lines 2015'!H223</f>
        <v>ATCO</v>
      </c>
      <c r="I223" s="359">
        <f>'Func Future Lines 2015'!I223</f>
        <v>2018</v>
      </c>
      <c r="J223" s="361">
        <f>+IF($I223=J$3,VLOOKUP($H223,Depreciation!$A$6:$L$10,7,FALSE)/2,IF($I223&lt;J$3,VLOOKUP($H223,Depreciation!$A$6:$L$10,7,FALSE),0))</f>
        <v>0</v>
      </c>
      <c r="K223" s="361">
        <f>+IF($I223=K$3,VLOOKUP($H223,Depreciation!$A$6:$L$10,8,FALSE)/2,IF($I223&lt;K$3,VLOOKUP($H223,Depreciation!$A$6:$L$10,8,FALSE),0))</f>
        <v>0</v>
      </c>
      <c r="L223" s="361">
        <f>+IF($I223=L$3,VLOOKUP($H223,Depreciation!$A$6:$L$10,9,FALSE)/2,IF($I223&lt;L$3,VLOOKUP($H223,Depreciation!$A$6:$L$10,9,FALSE),0))</f>
        <v>0</v>
      </c>
      <c r="M223" s="361">
        <f>+IF($I223=M$3,VLOOKUP($H223,Depreciation!$A$6:$L$10,10,FALSE)/2,IF($I223&lt;M$3,VLOOKUP($H223,Depreciation!$A$6:$L$10,10,FALSE),0))</f>
        <v>1.2001018963427959E-2</v>
      </c>
      <c r="N223" s="361">
        <f>+IF($I223=N$3,VLOOKUP($H223,Depreciation!$A$6:$L$10,11,FALSE)/2,IF($I223&lt;N$3,VLOOKUP($H223,Depreciation!$A$6:$L$10,11,FALSE),0))</f>
        <v>2.4002037926855919E-2</v>
      </c>
      <c r="O223" s="361">
        <f>+IF($I223=O$3,VLOOKUP($H223,Depreciation!$A$6:$L$10,12,FALSE)/2,IF($I223&lt;O$3,VLOOKUP($H223,Depreciation!$A$6:$L$10,12,FALSE),0))</f>
        <v>2.4002037926855919E-2</v>
      </c>
      <c r="P223" s="362">
        <f t="shared" si="11"/>
        <v>5303950.5438958267</v>
      </c>
      <c r="Q223" s="362">
        <f t="shared" si="12"/>
        <v>0</v>
      </c>
      <c r="R223" s="363">
        <f t="shared" si="13"/>
        <v>5303950.5438958267</v>
      </c>
    </row>
    <row r="224" spans="1:18">
      <c r="A224" s="359" t="str">
        <f>'Func Future Lines 2015'!A224</f>
        <v>PPS</v>
      </c>
      <c r="B224" s="359" t="str">
        <f>'Func Future Lines 2015'!B224</f>
        <v>138-162.81L</v>
      </c>
      <c r="C224" s="359">
        <f>'Func Future Lines 2015'!C224</f>
        <v>1314</v>
      </c>
      <c r="D224" s="359">
        <f>'Func Future Lines 2015'!D224</f>
        <v>138</v>
      </c>
      <c r="E224" s="359">
        <f>'Func Future Lines 2015'!E224</f>
        <v>0</v>
      </c>
      <c r="F224" s="359" t="str">
        <f>'Func Future Lines 2015'!F224</f>
        <v>Fort McMurray</v>
      </c>
      <c r="G224" s="359">
        <f>'Func Future Lines 2015'!G224</f>
        <v>334297.27388090419</v>
      </c>
      <c r="H224" s="359" t="str">
        <f>'Func Future Lines 2015'!H224</f>
        <v>ENMAX</v>
      </c>
      <c r="I224" s="359">
        <f>'Func Future Lines 2015'!I224</f>
        <v>2015</v>
      </c>
      <c r="J224" s="361">
        <f>+IF($I224=J$3,VLOOKUP($H224,Depreciation!$A$6:$L$10,7,FALSE)/2,IF($I224&lt;J$3,VLOOKUP($H224,Depreciation!$A$6:$L$10,7,FALSE),0))</f>
        <v>1.3475179084025525E-2</v>
      </c>
      <c r="K224" s="361">
        <f>+IF($I224=K$3,VLOOKUP($H224,Depreciation!$A$6:$L$10,8,FALSE)/2,IF($I224&lt;K$3,VLOOKUP($H224,Depreciation!$A$6:$L$10,8,FALSE),0))</f>
        <v>2.6950358168051049E-2</v>
      </c>
      <c r="L224" s="361">
        <f>+IF($I224=L$3,VLOOKUP($H224,Depreciation!$A$6:$L$10,9,FALSE)/2,IF($I224&lt;L$3,VLOOKUP($H224,Depreciation!$A$6:$L$10,9,FALSE),0))</f>
        <v>2.6950358168051049E-2</v>
      </c>
      <c r="M224" s="361">
        <f>+IF($I224=M$3,VLOOKUP($H224,Depreciation!$A$6:$L$10,10,FALSE)/2,IF($I224&lt;M$3,VLOOKUP($H224,Depreciation!$A$6:$L$10,10,FALSE),0))</f>
        <v>2.6950358168051049E-2</v>
      </c>
      <c r="N224" s="361">
        <f>+IF($I224=N$3,VLOOKUP($H224,Depreciation!$A$6:$L$10,11,FALSE)/2,IF($I224&lt;N$3,VLOOKUP($H224,Depreciation!$A$6:$L$10,11,FALSE),0))</f>
        <v>2.6950358168051049E-2</v>
      </c>
      <c r="O224" s="361">
        <f>+IF($I224=O$3,VLOOKUP($H224,Depreciation!$A$6:$L$10,12,FALSE)/2,IF($I224&lt;O$3,VLOOKUP($H224,Depreciation!$A$6:$L$10,12,FALSE),0))</f>
        <v>2.6950358168051049E-2</v>
      </c>
      <c r="P224" s="362">
        <f t="shared" si="11"/>
        <v>303840.62656092958</v>
      </c>
      <c r="Q224" s="362">
        <f t="shared" si="12"/>
        <v>0</v>
      </c>
      <c r="R224" s="363">
        <f t="shared" si="13"/>
        <v>303840.62656092958</v>
      </c>
    </row>
    <row r="225" spans="1:18">
      <c r="A225" s="359" t="str">
        <f>'Func Future Lines 2015'!A225</f>
        <v>PPS</v>
      </c>
      <c r="B225" s="359" t="str">
        <f>'Func Future Lines 2015'!B225</f>
        <v>Two 240kV lines 9L124 | 9L139</v>
      </c>
      <c r="C225" s="359">
        <f>'Func Future Lines 2015'!C225</f>
        <v>1321</v>
      </c>
      <c r="D225" s="359">
        <f>'Func Future Lines 2015'!D225</f>
        <v>240</v>
      </c>
      <c r="E225" s="359">
        <f>'Func Future Lines 2015'!E225</f>
        <v>0</v>
      </c>
      <c r="F225" s="359" t="str">
        <f>'Func Future Lines 2015'!F225</f>
        <v>Peace_River</v>
      </c>
      <c r="G225" s="359">
        <f>'Func Future Lines 2015'!G225</f>
        <v>39192318.192983381</v>
      </c>
      <c r="H225" s="359" t="str">
        <f>'Func Future Lines 2015'!H225</f>
        <v>ATCO</v>
      </c>
      <c r="I225" s="359">
        <f>'Func Future Lines 2015'!I225</f>
        <v>2017</v>
      </c>
      <c r="J225" s="361">
        <f>+IF($I225=J$3,VLOOKUP($H225,Depreciation!$A$6:$L$10,7,FALSE)/2,IF($I225&lt;J$3,VLOOKUP($H225,Depreciation!$A$6:$L$10,7,FALSE),0))</f>
        <v>0</v>
      </c>
      <c r="K225" s="361">
        <f>+IF($I225=K$3,VLOOKUP($H225,Depreciation!$A$6:$L$10,8,FALSE)/2,IF($I225&lt;K$3,VLOOKUP($H225,Depreciation!$A$6:$L$10,8,FALSE),0))</f>
        <v>0</v>
      </c>
      <c r="L225" s="361">
        <f>+IF($I225=L$3,VLOOKUP($H225,Depreciation!$A$6:$L$10,9,FALSE)/2,IF($I225&lt;L$3,VLOOKUP($H225,Depreciation!$A$6:$L$10,9,FALSE),0))</f>
        <v>1.2001018963427959E-2</v>
      </c>
      <c r="M225" s="361">
        <f>+IF($I225=M$3,VLOOKUP($H225,Depreciation!$A$6:$L$10,10,FALSE)/2,IF($I225&lt;M$3,VLOOKUP($H225,Depreciation!$A$6:$L$10,10,FALSE),0))</f>
        <v>2.4002037926855919E-2</v>
      </c>
      <c r="N225" s="361">
        <f>+IF($I225=N$3,VLOOKUP($H225,Depreciation!$A$6:$L$10,11,FALSE)/2,IF($I225&lt;N$3,VLOOKUP($H225,Depreciation!$A$6:$L$10,11,FALSE),0))</f>
        <v>2.4002037926855919E-2</v>
      </c>
      <c r="O225" s="361">
        <f>+IF($I225=O$3,VLOOKUP($H225,Depreciation!$A$6:$L$10,12,FALSE)/2,IF($I225&lt;O$3,VLOOKUP($H225,Depreciation!$A$6:$L$10,12,FALSE),0))</f>
        <v>2.4002037926855919E-2</v>
      </c>
      <c r="P225" s="362">
        <f t="shared" si="11"/>
        <v>37792564.236046121</v>
      </c>
      <c r="Q225" s="362">
        <f t="shared" si="12"/>
        <v>37792564.236046121</v>
      </c>
      <c r="R225" s="363">
        <f t="shared" si="13"/>
        <v>0</v>
      </c>
    </row>
    <row r="226" spans="1:18">
      <c r="A226" s="359" t="str">
        <f>'Func Future Lines 2015'!A226</f>
        <v>PPS</v>
      </c>
      <c r="B226" s="359" t="str">
        <f>'Func Future Lines 2015'!B226</f>
        <v>675L</v>
      </c>
      <c r="C226" s="359">
        <f>'Func Future Lines 2015'!C226</f>
        <v>1326</v>
      </c>
      <c r="D226" s="359">
        <f>'Func Future Lines 2015'!D226</f>
        <v>138</v>
      </c>
      <c r="E226" s="359">
        <f>'Func Future Lines 2015'!E226</f>
        <v>0</v>
      </c>
      <c r="F226" s="359">
        <f>'Func Future Lines 2015'!F226</f>
        <v>0</v>
      </c>
      <c r="G226" s="359">
        <f>'Func Future Lines 2015'!G226</f>
        <v>174412.28457799382</v>
      </c>
      <c r="H226" s="359" t="str">
        <f>'Func Future Lines 2015'!H226</f>
        <v>AltaLink</v>
      </c>
      <c r="I226" s="359">
        <f>'Func Future Lines 2015'!I226</f>
        <v>2017</v>
      </c>
      <c r="J226" s="361">
        <f>+IF($I226=J$3,VLOOKUP($H226,Depreciation!$A$6:$L$10,7,FALSE)/2,IF($I226&lt;J$3,VLOOKUP($H226,Depreciation!$A$6:$L$10,7,FALSE),0))</f>
        <v>0</v>
      </c>
      <c r="K226" s="361">
        <f>+IF($I226=K$3,VLOOKUP($H226,Depreciation!$A$6:$L$10,8,FALSE)/2,IF($I226&lt;K$3,VLOOKUP($H226,Depreciation!$A$6:$L$10,8,FALSE),0))</f>
        <v>0</v>
      </c>
      <c r="L226" s="361">
        <f>+IF($I226=L$3,VLOOKUP($H226,Depreciation!$A$6:$L$10,9,FALSE)/2,IF($I226&lt;L$3,VLOOKUP($H226,Depreciation!$A$6:$L$10,9,FALSE),0))</f>
        <v>1.5338181838063448E-2</v>
      </c>
      <c r="M226" s="361">
        <f>+IF($I226=M$3,VLOOKUP($H226,Depreciation!$A$6:$L$10,10,FALSE)/2,IF($I226&lt;M$3,VLOOKUP($H226,Depreciation!$A$6:$L$10,10,FALSE),0))</f>
        <v>3.0676363676126896E-2</v>
      </c>
      <c r="N226" s="361">
        <f>+IF($I226=N$3,VLOOKUP($H226,Depreciation!$A$6:$L$10,11,FALSE)/2,IF($I226&lt;N$3,VLOOKUP($H226,Depreciation!$A$6:$L$10,11,FALSE),0))</f>
        <v>3.0676363676126896E-2</v>
      </c>
      <c r="O226" s="361">
        <f>+IF($I226=O$3,VLOOKUP($H226,Depreciation!$A$6:$L$10,12,FALSE)/2,IF($I226&lt;O$3,VLOOKUP($H226,Depreciation!$A$6:$L$10,12,FALSE),0))</f>
        <v>3.0676363676126896E-2</v>
      </c>
      <c r="P226" s="362">
        <f t="shared" si="11"/>
        <v>166468.84697712868</v>
      </c>
      <c r="Q226" s="362">
        <f t="shared" si="12"/>
        <v>0</v>
      </c>
      <c r="R226" s="363">
        <f t="shared" si="13"/>
        <v>166468.84697712868</v>
      </c>
    </row>
    <row r="227" spans="1:18">
      <c r="A227" s="359" t="str">
        <f>'Func Future Lines 2015'!A227</f>
        <v>PPS</v>
      </c>
      <c r="B227" s="359" t="str">
        <f>'Func Future Lines 2015'!B227</f>
        <v>880L</v>
      </c>
      <c r="C227" s="359">
        <f>'Func Future Lines 2015'!C227</f>
        <v>1326</v>
      </c>
      <c r="D227" s="359">
        <f>'Func Future Lines 2015'!D227</f>
        <v>138</v>
      </c>
      <c r="E227" s="359">
        <f>'Func Future Lines 2015'!E227</f>
        <v>0</v>
      </c>
      <c r="F227" s="359">
        <f>'Func Future Lines 2015'!F227</f>
        <v>0</v>
      </c>
      <c r="G227" s="359">
        <f>'Func Future Lines 2015'!G227</f>
        <v>450149.80114891741</v>
      </c>
      <c r="H227" s="359" t="str">
        <f>'Func Future Lines 2015'!H227</f>
        <v>AltaLink</v>
      </c>
      <c r="I227" s="359">
        <f>'Func Future Lines 2015'!I227</f>
        <v>2017</v>
      </c>
      <c r="J227" s="361">
        <f>+IF($I227=J$3,VLOOKUP($H227,Depreciation!$A$6:$L$10,7,FALSE)/2,IF($I227&lt;J$3,VLOOKUP($H227,Depreciation!$A$6:$L$10,7,FALSE),0))</f>
        <v>0</v>
      </c>
      <c r="K227" s="361">
        <f>+IF($I227=K$3,VLOOKUP($H227,Depreciation!$A$6:$L$10,8,FALSE)/2,IF($I227&lt;K$3,VLOOKUP($H227,Depreciation!$A$6:$L$10,8,FALSE),0))</f>
        <v>0</v>
      </c>
      <c r="L227" s="361">
        <f>+IF($I227=L$3,VLOOKUP($H227,Depreciation!$A$6:$L$10,9,FALSE)/2,IF($I227&lt;L$3,VLOOKUP($H227,Depreciation!$A$6:$L$10,9,FALSE),0))</f>
        <v>1.5338181838063448E-2</v>
      </c>
      <c r="M227" s="361">
        <f>+IF($I227=M$3,VLOOKUP($H227,Depreciation!$A$6:$L$10,10,FALSE)/2,IF($I227&lt;M$3,VLOOKUP($H227,Depreciation!$A$6:$L$10,10,FALSE),0))</f>
        <v>3.0676363676126896E-2</v>
      </c>
      <c r="N227" s="361">
        <f>+IF($I227=N$3,VLOOKUP($H227,Depreciation!$A$6:$L$10,11,FALSE)/2,IF($I227&lt;N$3,VLOOKUP($H227,Depreciation!$A$6:$L$10,11,FALSE),0))</f>
        <v>3.0676363676126896E-2</v>
      </c>
      <c r="O227" s="361">
        <f>+IF($I227=O$3,VLOOKUP($H227,Depreciation!$A$6:$L$10,12,FALSE)/2,IF($I227&lt;O$3,VLOOKUP($H227,Depreciation!$A$6:$L$10,12,FALSE),0))</f>
        <v>3.0676363676126896E-2</v>
      </c>
      <c r="P227" s="362">
        <f t="shared" si="11"/>
        <v>429648.16696001781</v>
      </c>
      <c r="Q227" s="362">
        <f t="shared" si="12"/>
        <v>0</v>
      </c>
      <c r="R227" s="363">
        <f t="shared" si="13"/>
        <v>429648.16696001781</v>
      </c>
    </row>
    <row r="228" spans="1:18">
      <c r="A228" s="359" t="str">
        <f>'Func Future Lines 2015'!A228</f>
        <v>PPS</v>
      </c>
      <c r="B228" s="359" t="str">
        <f>'Func Future Lines 2015'!B228</f>
        <v>882L</v>
      </c>
      <c r="C228" s="359">
        <f>'Func Future Lines 2015'!C228</f>
        <v>1326</v>
      </c>
      <c r="D228" s="359">
        <f>'Func Future Lines 2015'!D228</f>
        <v>138</v>
      </c>
      <c r="E228" s="359">
        <f>'Func Future Lines 2015'!E228</f>
        <v>0</v>
      </c>
      <c r="F228" s="359">
        <f>'Func Future Lines 2015'!F228</f>
        <v>0</v>
      </c>
      <c r="G228" s="359">
        <f>'Func Future Lines 2015'!G228</f>
        <v>292348.21034025634</v>
      </c>
      <c r="H228" s="359" t="str">
        <f>'Func Future Lines 2015'!H228</f>
        <v>AltaLink</v>
      </c>
      <c r="I228" s="359">
        <f>'Func Future Lines 2015'!I228</f>
        <v>2017</v>
      </c>
      <c r="J228" s="361">
        <f>+IF($I228=J$3,VLOOKUP($H228,Depreciation!$A$6:$L$10,7,FALSE)/2,IF($I228&lt;J$3,VLOOKUP($H228,Depreciation!$A$6:$L$10,7,FALSE),0))</f>
        <v>0</v>
      </c>
      <c r="K228" s="361">
        <f>+IF($I228=K$3,VLOOKUP($H228,Depreciation!$A$6:$L$10,8,FALSE)/2,IF($I228&lt;K$3,VLOOKUP($H228,Depreciation!$A$6:$L$10,8,FALSE),0))</f>
        <v>0</v>
      </c>
      <c r="L228" s="361">
        <f>+IF($I228=L$3,VLOOKUP($H228,Depreciation!$A$6:$L$10,9,FALSE)/2,IF($I228&lt;L$3,VLOOKUP($H228,Depreciation!$A$6:$L$10,9,FALSE),0))</f>
        <v>1.5338181838063448E-2</v>
      </c>
      <c r="M228" s="361">
        <f>+IF($I228=M$3,VLOOKUP($H228,Depreciation!$A$6:$L$10,10,FALSE)/2,IF($I228&lt;M$3,VLOOKUP($H228,Depreciation!$A$6:$L$10,10,FALSE),0))</f>
        <v>3.0676363676126896E-2</v>
      </c>
      <c r="N228" s="361">
        <f>+IF($I228=N$3,VLOOKUP($H228,Depreciation!$A$6:$L$10,11,FALSE)/2,IF($I228&lt;N$3,VLOOKUP($H228,Depreciation!$A$6:$L$10,11,FALSE),0))</f>
        <v>3.0676363676126896E-2</v>
      </c>
      <c r="O228" s="361">
        <f>+IF($I228=O$3,VLOOKUP($H228,Depreciation!$A$6:$L$10,12,FALSE)/2,IF($I228&lt;O$3,VLOOKUP($H228,Depreciation!$A$6:$L$10,12,FALSE),0))</f>
        <v>3.0676363676126896E-2</v>
      </c>
      <c r="P228" s="362">
        <f t="shared" si="11"/>
        <v>279033.4958854728</v>
      </c>
      <c r="Q228" s="362">
        <f t="shared" si="12"/>
        <v>0</v>
      </c>
      <c r="R228" s="363">
        <f t="shared" si="13"/>
        <v>279033.4958854728</v>
      </c>
    </row>
    <row r="229" spans="1:18">
      <c r="A229" s="359" t="str">
        <f>'Func Future Lines 2015'!A229</f>
        <v>PPS</v>
      </c>
      <c r="B229" s="359" t="str">
        <f>'Func Future Lines 2015'!B229</f>
        <v>New 100m 475L_(v1)</v>
      </c>
      <c r="C229" s="359">
        <f>'Func Future Lines 2015'!C229</f>
        <v>1336</v>
      </c>
      <c r="D229" s="359">
        <f>'Func Future Lines 2015'!D229</f>
        <v>138</v>
      </c>
      <c r="E229" s="359">
        <f>'Func Future Lines 2015'!E229</f>
        <v>0</v>
      </c>
      <c r="F229" s="359" t="str">
        <f>'Func Future Lines 2015'!F229</f>
        <v>Strathmore_Blackie</v>
      </c>
      <c r="G229" s="359">
        <f>'Func Future Lines 2015'!G229</f>
        <v>623924.51330949506</v>
      </c>
      <c r="H229" s="359" t="str">
        <f>'Func Future Lines 2015'!H229</f>
        <v>AltaLink</v>
      </c>
      <c r="I229" s="359">
        <f>'Func Future Lines 2015'!I229</f>
        <v>2018</v>
      </c>
      <c r="J229" s="361">
        <f>+IF($I229=J$3,VLOOKUP($H229,Depreciation!$A$6:$L$10,7,FALSE)/2,IF($I229&lt;J$3,VLOOKUP($H229,Depreciation!$A$6:$L$10,7,FALSE),0))</f>
        <v>0</v>
      </c>
      <c r="K229" s="361">
        <f>+IF($I229=K$3,VLOOKUP($H229,Depreciation!$A$6:$L$10,8,FALSE)/2,IF($I229&lt;K$3,VLOOKUP($H229,Depreciation!$A$6:$L$10,8,FALSE),0))</f>
        <v>0</v>
      </c>
      <c r="L229" s="361">
        <f>+IF($I229=L$3,VLOOKUP($H229,Depreciation!$A$6:$L$10,9,FALSE)/2,IF($I229&lt;L$3,VLOOKUP($H229,Depreciation!$A$6:$L$10,9,FALSE),0))</f>
        <v>0</v>
      </c>
      <c r="M229" s="361">
        <f>+IF($I229=M$3,VLOOKUP($H229,Depreciation!$A$6:$L$10,10,FALSE)/2,IF($I229&lt;M$3,VLOOKUP($H229,Depreciation!$A$6:$L$10,10,FALSE),0))</f>
        <v>1.5338181838063448E-2</v>
      </c>
      <c r="N229" s="361">
        <f>+IF($I229=N$3,VLOOKUP($H229,Depreciation!$A$6:$L$10,11,FALSE)/2,IF($I229&lt;N$3,VLOOKUP($H229,Depreciation!$A$6:$L$10,11,FALSE),0))</f>
        <v>3.0676363676126896E-2</v>
      </c>
      <c r="O229" s="361">
        <f>+IF($I229=O$3,VLOOKUP($H229,Depreciation!$A$6:$L$10,12,FALSE)/2,IF($I229&lt;O$3,VLOOKUP($H229,Depreciation!$A$6:$L$10,12,FALSE),0))</f>
        <v>3.0676363676126896E-2</v>
      </c>
      <c r="P229" s="362">
        <f t="shared" si="11"/>
        <v>614354.64567112876</v>
      </c>
      <c r="Q229" s="362">
        <f t="shared" si="12"/>
        <v>0</v>
      </c>
      <c r="R229" s="363">
        <f t="shared" si="13"/>
        <v>614354.64567112876</v>
      </c>
    </row>
    <row r="230" spans="1:18">
      <c r="A230" s="359" t="str">
        <f>'Func Future Lines 2015'!A230</f>
        <v>PPS</v>
      </c>
      <c r="B230" s="359" t="str">
        <f>'Func Future Lines 2015'!B230</f>
        <v>line 1071L</v>
      </c>
      <c r="C230" s="359">
        <f>'Func Future Lines 2015'!C230</f>
        <v>1343</v>
      </c>
      <c r="D230" s="359">
        <f>'Func Future Lines 2015'!D230</f>
        <v>240</v>
      </c>
      <c r="E230" s="359">
        <f>'Func Future Lines 2015'!E230</f>
        <v>0</v>
      </c>
      <c r="F230" s="359">
        <f>'Func Future Lines 2015'!F230</f>
        <v>0</v>
      </c>
      <c r="G230" s="359">
        <f>'Func Future Lines 2015'!G230</f>
        <v>19796706.182093833</v>
      </c>
      <c r="H230" s="359" t="str">
        <f>'Func Future Lines 2015'!H230</f>
        <v>AltaLink</v>
      </c>
      <c r="I230" s="359">
        <f>'Func Future Lines 2015'!I230</f>
        <v>2015</v>
      </c>
      <c r="J230" s="361">
        <f>+IF($I230=J$3,VLOOKUP($H230,Depreciation!$A$6:$L$10,7,FALSE)/2,IF($I230&lt;J$3,VLOOKUP($H230,Depreciation!$A$6:$L$10,7,FALSE),0))</f>
        <v>1.595020804044691E-2</v>
      </c>
      <c r="K230" s="361">
        <f>+IF($I230=K$3,VLOOKUP($H230,Depreciation!$A$6:$L$10,8,FALSE)/2,IF($I230&lt;K$3,VLOOKUP($H230,Depreciation!$A$6:$L$10,8,FALSE),0))</f>
        <v>3.0676363676126896E-2</v>
      </c>
      <c r="L230" s="361">
        <f>+IF($I230=L$3,VLOOKUP($H230,Depreciation!$A$6:$L$10,9,FALSE)/2,IF($I230&lt;L$3,VLOOKUP($H230,Depreciation!$A$6:$L$10,9,FALSE),0))</f>
        <v>3.0676363676126896E-2</v>
      </c>
      <c r="M230" s="361">
        <f>+IF($I230=M$3,VLOOKUP($H230,Depreciation!$A$6:$L$10,10,FALSE)/2,IF($I230&lt;M$3,VLOOKUP($H230,Depreciation!$A$6:$L$10,10,FALSE),0))</f>
        <v>3.0676363676126896E-2</v>
      </c>
      <c r="N230" s="361">
        <f>+IF($I230=N$3,VLOOKUP($H230,Depreciation!$A$6:$L$10,11,FALSE)/2,IF($I230&lt;N$3,VLOOKUP($H230,Depreciation!$A$6:$L$10,11,FALSE),0))</f>
        <v>3.0676363676126896E-2</v>
      </c>
      <c r="O230" s="361">
        <f>+IF($I230=O$3,VLOOKUP($H230,Depreciation!$A$6:$L$10,12,FALSE)/2,IF($I230&lt;O$3,VLOOKUP($H230,Depreciation!$A$6:$L$10,12,FALSE),0))</f>
        <v>3.0676363676126896E-2</v>
      </c>
      <c r="P230" s="362">
        <f t="shared" si="11"/>
        <v>17742565.60944229</v>
      </c>
      <c r="Q230" s="362">
        <f t="shared" si="12"/>
        <v>17742565.60944229</v>
      </c>
      <c r="R230" s="363">
        <f t="shared" si="13"/>
        <v>0</v>
      </c>
    </row>
    <row r="231" spans="1:18">
      <c r="A231" s="359" t="str">
        <f>'Func Future Lines 2015'!A231</f>
        <v>PPS</v>
      </c>
      <c r="B231" s="359" t="str">
        <f>'Func Future Lines 2015'!B231</f>
        <v>line 624L</v>
      </c>
      <c r="C231" s="359">
        <f>'Func Future Lines 2015'!C231</f>
        <v>1343</v>
      </c>
      <c r="D231" s="359">
        <f>'Func Future Lines 2015'!D231</f>
        <v>138</v>
      </c>
      <c r="E231" s="359">
        <f>'Func Future Lines 2015'!E231</f>
        <v>0</v>
      </c>
      <c r="F231" s="359">
        <f>'Func Future Lines 2015'!F231</f>
        <v>0</v>
      </c>
      <c r="G231" s="359">
        <f>'Func Future Lines 2015'!G231</f>
        <v>3112543.7968499968</v>
      </c>
      <c r="H231" s="359" t="str">
        <f>'Func Future Lines 2015'!H231</f>
        <v>AltaLink</v>
      </c>
      <c r="I231" s="359">
        <f>'Func Future Lines 2015'!I231</f>
        <v>2015</v>
      </c>
      <c r="J231" s="361">
        <f>+IF($I231=J$3,VLOOKUP($H231,Depreciation!$A$6:$L$10,7,FALSE)/2,IF($I231&lt;J$3,VLOOKUP($H231,Depreciation!$A$6:$L$10,7,FALSE),0))</f>
        <v>1.595020804044691E-2</v>
      </c>
      <c r="K231" s="361">
        <f>+IF($I231=K$3,VLOOKUP($H231,Depreciation!$A$6:$L$10,8,FALSE)/2,IF($I231&lt;K$3,VLOOKUP($H231,Depreciation!$A$6:$L$10,8,FALSE),0))</f>
        <v>3.0676363676126896E-2</v>
      </c>
      <c r="L231" s="361">
        <f>+IF($I231=L$3,VLOOKUP($H231,Depreciation!$A$6:$L$10,9,FALSE)/2,IF($I231&lt;L$3,VLOOKUP($H231,Depreciation!$A$6:$L$10,9,FALSE),0))</f>
        <v>3.0676363676126896E-2</v>
      </c>
      <c r="M231" s="361">
        <f>+IF($I231=M$3,VLOOKUP($H231,Depreciation!$A$6:$L$10,10,FALSE)/2,IF($I231&lt;M$3,VLOOKUP($H231,Depreciation!$A$6:$L$10,10,FALSE),0))</f>
        <v>3.0676363676126896E-2</v>
      </c>
      <c r="N231" s="361">
        <f>+IF($I231=N$3,VLOOKUP($H231,Depreciation!$A$6:$L$10,11,FALSE)/2,IF($I231&lt;N$3,VLOOKUP($H231,Depreciation!$A$6:$L$10,11,FALSE),0))</f>
        <v>3.0676363676126896E-2</v>
      </c>
      <c r="O231" s="361">
        <f>+IF($I231=O$3,VLOOKUP($H231,Depreciation!$A$6:$L$10,12,FALSE)/2,IF($I231&lt;O$3,VLOOKUP($H231,Depreciation!$A$6:$L$10,12,FALSE),0))</f>
        <v>3.0676363676126896E-2</v>
      </c>
      <c r="P231" s="362">
        <f t="shared" si="11"/>
        <v>2789580.8534969506</v>
      </c>
      <c r="Q231" s="362">
        <f t="shared" si="12"/>
        <v>0</v>
      </c>
      <c r="R231" s="363">
        <f t="shared" si="13"/>
        <v>2789580.8534969506</v>
      </c>
    </row>
    <row r="232" spans="1:18">
      <c r="A232" s="359" t="str">
        <f>'Func Future Lines 2015'!A232</f>
        <v>PPS</v>
      </c>
      <c r="B232" s="359" t="str">
        <f>'Func Future Lines 2015'!B232</f>
        <v>line 893AL</v>
      </c>
      <c r="C232" s="359">
        <f>'Func Future Lines 2015'!C232</f>
        <v>1343</v>
      </c>
      <c r="D232" s="359">
        <f>'Func Future Lines 2015'!D232</f>
        <v>138</v>
      </c>
      <c r="E232" s="359">
        <f>'Func Future Lines 2015'!E232</f>
        <v>0</v>
      </c>
      <c r="F232" s="359">
        <f>'Func Future Lines 2015'!F232</f>
        <v>0</v>
      </c>
      <c r="G232" s="359">
        <f>'Func Future Lines 2015'!G232</f>
        <v>39755.748336561956</v>
      </c>
      <c r="H232" s="359" t="str">
        <f>'Func Future Lines 2015'!H232</f>
        <v>AltaLink</v>
      </c>
      <c r="I232" s="359">
        <f>'Func Future Lines 2015'!I232</f>
        <v>2015</v>
      </c>
      <c r="J232" s="361">
        <f>+IF($I232=J$3,VLOOKUP($H232,Depreciation!$A$6:$L$10,7,FALSE)/2,IF($I232&lt;J$3,VLOOKUP($H232,Depreciation!$A$6:$L$10,7,FALSE),0))</f>
        <v>1.595020804044691E-2</v>
      </c>
      <c r="K232" s="361">
        <f>+IF($I232=K$3,VLOOKUP($H232,Depreciation!$A$6:$L$10,8,FALSE)/2,IF($I232&lt;K$3,VLOOKUP($H232,Depreciation!$A$6:$L$10,8,FALSE),0))</f>
        <v>3.0676363676126896E-2</v>
      </c>
      <c r="L232" s="361">
        <f>+IF($I232=L$3,VLOOKUP($H232,Depreciation!$A$6:$L$10,9,FALSE)/2,IF($I232&lt;L$3,VLOOKUP($H232,Depreciation!$A$6:$L$10,9,FALSE),0))</f>
        <v>3.0676363676126896E-2</v>
      </c>
      <c r="M232" s="361">
        <f>+IF($I232=M$3,VLOOKUP($H232,Depreciation!$A$6:$L$10,10,FALSE)/2,IF($I232&lt;M$3,VLOOKUP($H232,Depreciation!$A$6:$L$10,10,FALSE),0))</f>
        <v>3.0676363676126896E-2</v>
      </c>
      <c r="N232" s="361">
        <f>+IF($I232=N$3,VLOOKUP($H232,Depreciation!$A$6:$L$10,11,FALSE)/2,IF($I232&lt;N$3,VLOOKUP($H232,Depreciation!$A$6:$L$10,11,FALSE),0))</f>
        <v>3.0676363676126896E-2</v>
      </c>
      <c r="O232" s="361">
        <f>+IF($I232=O$3,VLOOKUP($H232,Depreciation!$A$6:$L$10,12,FALSE)/2,IF($I232&lt;O$3,VLOOKUP($H232,Depreciation!$A$6:$L$10,12,FALSE),0))</f>
        <v>3.0676363676126896E-2</v>
      </c>
      <c r="P232" s="362">
        <f t="shared" si="11"/>
        <v>35630.622929178717</v>
      </c>
      <c r="Q232" s="362">
        <f t="shared" si="12"/>
        <v>0</v>
      </c>
      <c r="R232" s="363">
        <f t="shared" si="13"/>
        <v>35630.622929178717</v>
      </c>
    </row>
    <row r="233" spans="1:18">
      <c r="A233" s="359" t="str">
        <f>'Func Future Lines 2015'!A233</f>
        <v>PPS</v>
      </c>
      <c r="B233" s="359" t="str">
        <f>'Func Future Lines 2015'!B233</f>
        <v>line 893L stage 1</v>
      </c>
      <c r="C233" s="359">
        <f>'Func Future Lines 2015'!C233</f>
        <v>1343</v>
      </c>
      <c r="D233" s="359">
        <f>'Func Future Lines 2015'!D233</f>
        <v>138</v>
      </c>
      <c r="E233" s="359">
        <f>'Func Future Lines 2015'!E233</f>
        <v>0</v>
      </c>
      <c r="F233" s="359">
        <f>'Func Future Lines 2015'!F233</f>
        <v>0</v>
      </c>
      <c r="G233" s="359">
        <f>'Func Future Lines 2015'!G233</f>
        <v>4325094.121115136</v>
      </c>
      <c r="H233" s="359" t="str">
        <f>'Func Future Lines 2015'!H233</f>
        <v>AltaLink</v>
      </c>
      <c r="I233" s="359">
        <f>'Func Future Lines 2015'!I233</f>
        <v>2015</v>
      </c>
      <c r="J233" s="361">
        <f>+IF($I233=J$3,VLOOKUP($H233,Depreciation!$A$6:$L$10,7,FALSE)/2,IF($I233&lt;J$3,VLOOKUP($H233,Depreciation!$A$6:$L$10,7,FALSE),0))</f>
        <v>1.595020804044691E-2</v>
      </c>
      <c r="K233" s="361">
        <f>+IF($I233=K$3,VLOOKUP($H233,Depreciation!$A$6:$L$10,8,FALSE)/2,IF($I233&lt;K$3,VLOOKUP($H233,Depreciation!$A$6:$L$10,8,FALSE),0))</f>
        <v>3.0676363676126896E-2</v>
      </c>
      <c r="L233" s="361">
        <f>+IF($I233=L$3,VLOOKUP($H233,Depreciation!$A$6:$L$10,9,FALSE)/2,IF($I233&lt;L$3,VLOOKUP($H233,Depreciation!$A$6:$L$10,9,FALSE),0))</f>
        <v>3.0676363676126896E-2</v>
      </c>
      <c r="M233" s="361">
        <f>+IF($I233=M$3,VLOOKUP($H233,Depreciation!$A$6:$L$10,10,FALSE)/2,IF($I233&lt;M$3,VLOOKUP($H233,Depreciation!$A$6:$L$10,10,FALSE),0))</f>
        <v>3.0676363676126896E-2</v>
      </c>
      <c r="N233" s="361">
        <f>+IF($I233=N$3,VLOOKUP($H233,Depreciation!$A$6:$L$10,11,FALSE)/2,IF($I233&lt;N$3,VLOOKUP($H233,Depreciation!$A$6:$L$10,11,FALSE),0))</f>
        <v>3.0676363676126896E-2</v>
      </c>
      <c r="O233" s="361">
        <f>+IF($I233=O$3,VLOOKUP($H233,Depreciation!$A$6:$L$10,12,FALSE)/2,IF($I233&lt;O$3,VLOOKUP($H233,Depreciation!$A$6:$L$10,12,FALSE),0))</f>
        <v>3.0676363676126896E-2</v>
      </c>
      <c r="P233" s="362">
        <f t="shared" si="11"/>
        <v>3876314.8528369013</v>
      </c>
      <c r="Q233" s="362">
        <f t="shared" si="12"/>
        <v>0</v>
      </c>
      <c r="R233" s="363">
        <f t="shared" si="13"/>
        <v>3876314.8528369013</v>
      </c>
    </row>
    <row r="234" spans="1:18">
      <c r="A234" s="359" t="str">
        <f>'Func Future Lines 2015'!A234</f>
        <v>PPS</v>
      </c>
      <c r="B234" s="359" t="str">
        <f>'Func Future Lines 2015'!B234</f>
        <v>line 893L stage 2</v>
      </c>
      <c r="C234" s="359">
        <f>'Func Future Lines 2015'!C234</f>
        <v>1343</v>
      </c>
      <c r="D234" s="359">
        <f>'Func Future Lines 2015'!D234</f>
        <v>138</v>
      </c>
      <c r="E234" s="359">
        <f>'Func Future Lines 2015'!E234</f>
        <v>0</v>
      </c>
      <c r="F234" s="359">
        <f>'Func Future Lines 2015'!F234</f>
        <v>0</v>
      </c>
      <c r="G234" s="359">
        <f>'Func Future Lines 2015'!G234</f>
        <v>57171.622130222037</v>
      </c>
      <c r="H234" s="359" t="str">
        <f>'Func Future Lines 2015'!H234</f>
        <v>AltaLink</v>
      </c>
      <c r="I234" s="359">
        <f>'Func Future Lines 2015'!I234</f>
        <v>2015</v>
      </c>
      <c r="J234" s="361">
        <f>+IF($I234=J$3,VLOOKUP($H234,Depreciation!$A$6:$L$10,7,FALSE)/2,IF($I234&lt;J$3,VLOOKUP($H234,Depreciation!$A$6:$L$10,7,FALSE),0))</f>
        <v>1.595020804044691E-2</v>
      </c>
      <c r="K234" s="361">
        <f>+IF($I234=K$3,VLOOKUP($H234,Depreciation!$A$6:$L$10,8,FALSE)/2,IF($I234&lt;K$3,VLOOKUP($H234,Depreciation!$A$6:$L$10,8,FALSE),0))</f>
        <v>3.0676363676126896E-2</v>
      </c>
      <c r="L234" s="361">
        <f>+IF($I234=L$3,VLOOKUP($H234,Depreciation!$A$6:$L$10,9,FALSE)/2,IF($I234&lt;L$3,VLOOKUP($H234,Depreciation!$A$6:$L$10,9,FALSE),0))</f>
        <v>3.0676363676126896E-2</v>
      </c>
      <c r="M234" s="361">
        <f>+IF($I234=M$3,VLOOKUP($H234,Depreciation!$A$6:$L$10,10,FALSE)/2,IF($I234&lt;M$3,VLOOKUP($H234,Depreciation!$A$6:$L$10,10,FALSE),0))</f>
        <v>3.0676363676126896E-2</v>
      </c>
      <c r="N234" s="361">
        <f>+IF($I234=N$3,VLOOKUP($H234,Depreciation!$A$6:$L$10,11,FALSE)/2,IF($I234&lt;N$3,VLOOKUP($H234,Depreciation!$A$6:$L$10,11,FALSE),0))</f>
        <v>3.0676363676126896E-2</v>
      </c>
      <c r="O234" s="361">
        <f>+IF($I234=O$3,VLOOKUP($H234,Depreciation!$A$6:$L$10,12,FALSE)/2,IF($I234&lt;O$3,VLOOKUP($H234,Depreciation!$A$6:$L$10,12,FALSE),0))</f>
        <v>3.0676363676126896E-2</v>
      </c>
      <c r="P234" s="362">
        <f t="shared" si="11"/>
        <v>51239.395448582669</v>
      </c>
      <c r="Q234" s="362">
        <f t="shared" si="12"/>
        <v>0</v>
      </c>
      <c r="R234" s="363">
        <f t="shared" si="13"/>
        <v>51239.395448582669</v>
      </c>
    </row>
    <row r="235" spans="1:18">
      <c r="A235" s="359" t="str">
        <f>'Func Future Lines 2015'!A235</f>
        <v>PPS</v>
      </c>
      <c r="B235" s="359" t="str">
        <f>'Func Future Lines 2015'!B235</f>
        <v>line 994L</v>
      </c>
      <c r="C235" s="359">
        <f>'Func Future Lines 2015'!C235</f>
        <v>1343</v>
      </c>
      <c r="D235" s="359">
        <f>'Func Future Lines 2015'!D235</f>
        <v>240</v>
      </c>
      <c r="E235" s="359">
        <f>'Func Future Lines 2015'!E235</f>
        <v>0</v>
      </c>
      <c r="F235" s="359">
        <f>'Func Future Lines 2015'!F235</f>
        <v>0</v>
      </c>
      <c r="G235" s="359">
        <f>'Func Future Lines 2015'!G235</f>
        <v>18544400.109492131</v>
      </c>
      <c r="H235" s="359" t="str">
        <f>'Func Future Lines 2015'!H235</f>
        <v>AltaLink</v>
      </c>
      <c r="I235" s="359">
        <f>'Func Future Lines 2015'!I235</f>
        <v>2015</v>
      </c>
      <c r="J235" s="361">
        <f>+IF($I235=J$3,VLOOKUP($H235,Depreciation!$A$6:$L$10,7,FALSE)/2,IF($I235&lt;J$3,VLOOKUP($H235,Depreciation!$A$6:$L$10,7,FALSE),0))</f>
        <v>1.595020804044691E-2</v>
      </c>
      <c r="K235" s="361">
        <f>+IF($I235=K$3,VLOOKUP($H235,Depreciation!$A$6:$L$10,8,FALSE)/2,IF($I235&lt;K$3,VLOOKUP($H235,Depreciation!$A$6:$L$10,8,FALSE),0))</f>
        <v>3.0676363676126896E-2</v>
      </c>
      <c r="L235" s="361">
        <f>+IF($I235=L$3,VLOOKUP($H235,Depreciation!$A$6:$L$10,9,FALSE)/2,IF($I235&lt;L$3,VLOOKUP($H235,Depreciation!$A$6:$L$10,9,FALSE),0))</f>
        <v>3.0676363676126896E-2</v>
      </c>
      <c r="M235" s="361">
        <f>+IF($I235=M$3,VLOOKUP($H235,Depreciation!$A$6:$L$10,10,FALSE)/2,IF($I235&lt;M$3,VLOOKUP($H235,Depreciation!$A$6:$L$10,10,FALSE),0))</f>
        <v>3.0676363676126896E-2</v>
      </c>
      <c r="N235" s="361">
        <f>+IF($I235=N$3,VLOOKUP($H235,Depreciation!$A$6:$L$10,11,FALSE)/2,IF($I235&lt;N$3,VLOOKUP($H235,Depreciation!$A$6:$L$10,11,FALSE),0))</f>
        <v>3.0676363676126896E-2</v>
      </c>
      <c r="O235" s="361">
        <f>+IF($I235=O$3,VLOOKUP($H235,Depreciation!$A$6:$L$10,12,FALSE)/2,IF($I235&lt;O$3,VLOOKUP($H235,Depreciation!$A$6:$L$10,12,FALSE),0))</f>
        <v>3.0676363676126896E-2</v>
      </c>
      <c r="P235" s="362">
        <f t="shared" si="11"/>
        <v>16620200.987173157</v>
      </c>
      <c r="Q235" s="362">
        <f t="shared" si="12"/>
        <v>16620200.987173157</v>
      </c>
      <c r="R235" s="363">
        <f t="shared" si="13"/>
        <v>0</v>
      </c>
    </row>
    <row r="236" spans="1:18">
      <c r="A236" s="359" t="str">
        <f>'Func Future Lines 2015'!A236</f>
        <v>PPS</v>
      </c>
      <c r="B236" s="359" t="str">
        <f>'Func Future Lines 2015'!B236</f>
        <v>Line 9L32</v>
      </c>
      <c r="C236" s="359">
        <f>'Func Future Lines 2015'!C236</f>
        <v>1348</v>
      </c>
      <c r="D236" s="359">
        <f>'Func Future Lines 2015'!D236</f>
        <v>240</v>
      </c>
      <c r="E236" s="359">
        <f>'Func Future Lines 2015'!E236</f>
        <v>0</v>
      </c>
      <c r="F236" s="359">
        <f>'Func Future Lines 2015'!F236</f>
        <v>0</v>
      </c>
      <c r="G236" s="359">
        <f>'Func Future Lines 2015'!G236</f>
        <v>1573745.900388991</v>
      </c>
      <c r="H236" s="359" t="str">
        <f>'Func Future Lines 2015'!H236</f>
        <v>ATCO</v>
      </c>
      <c r="I236" s="359">
        <f>'Func Future Lines 2015'!I236</f>
        <v>2016</v>
      </c>
      <c r="J236" s="361">
        <f>+IF($I236=J$3,VLOOKUP($H236,Depreciation!$A$6:$L$10,7,FALSE)/2,IF($I236&lt;J$3,VLOOKUP($H236,Depreciation!$A$6:$L$10,7,FALSE),0))</f>
        <v>0</v>
      </c>
      <c r="K236" s="361">
        <f>+IF($I236=K$3,VLOOKUP($H236,Depreciation!$A$6:$L$10,8,FALSE)/2,IF($I236&lt;K$3,VLOOKUP($H236,Depreciation!$A$6:$L$10,8,FALSE),0))</f>
        <v>1.1971929865503333E-2</v>
      </c>
      <c r="L236" s="361">
        <f>+IF($I236=L$3,VLOOKUP($H236,Depreciation!$A$6:$L$10,9,FALSE)/2,IF($I236&lt;L$3,VLOOKUP($H236,Depreciation!$A$6:$L$10,9,FALSE),0))</f>
        <v>2.4002037926855919E-2</v>
      </c>
      <c r="M236" s="361">
        <f>+IF($I236=M$3,VLOOKUP($H236,Depreciation!$A$6:$L$10,10,FALSE)/2,IF($I236&lt;M$3,VLOOKUP($H236,Depreciation!$A$6:$L$10,10,FALSE),0))</f>
        <v>2.4002037926855919E-2</v>
      </c>
      <c r="N236" s="361">
        <f>+IF($I236=N$3,VLOOKUP($H236,Depreciation!$A$6:$L$10,11,FALSE)/2,IF($I236&lt;N$3,VLOOKUP($H236,Depreciation!$A$6:$L$10,11,FALSE),0))</f>
        <v>2.4002037926855919E-2</v>
      </c>
      <c r="O236" s="361">
        <f>+IF($I236=O$3,VLOOKUP($H236,Depreciation!$A$6:$L$10,12,FALSE)/2,IF($I236&lt;O$3,VLOOKUP($H236,Depreciation!$A$6:$L$10,12,FALSE),0))</f>
        <v>2.4002037926855919E-2</v>
      </c>
      <c r="P236" s="362">
        <f t="shared" si="11"/>
        <v>1481159.1187450495</v>
      </c>
      <c r="Q236" s="362">
        <f t="shared" si="12"/>
        <v>1481159.1187450495</v>
      </c>
      <c r="R236" s="363">
        <f t="shared" si="13"/>
        <v>0</v>
      </c>
    </row>
    <row r="237" spans="1:18">
      <c r="A237" s="359" t="str">
        <f>'Func Future Lines 2015'!A237</f>
        <v>FINAL</v>
      </c>
      <c r="B237" s="359" t="str">
        <f>'Func Future Lines 2015'!B237</f>
        <v>732AL</v>
      </c>
      <c r="C237" s="359">
        <f>'Func Future Lines 2015'!C237</f>
        <v>1349</v>
      </c>
      <c r="D237" s="359">
        <f>'Func Future Lines 2015'!D237</f>
        <v>138</v>
      </c>
      <c r="E237" s="359">
        <f>'Func Future Lines 2015'!E237</f>
        <v>0</v>
      </c>
      <c r="F237" s="359" t="str">
        <f>'Func Future Lines 2015'!F237</f>
        <v>Wetaskiwin</v>
      </c>
      <c r="G237" s="359">
        <f>'Func Future Lines 2015'!G237</f>
        <v>696425.98546757339</v>
      </c>
      <c r="H237" s="359" t="str">
        <f>'Func Future Lines 2015'!H237</f>
        <v>AltaLink</v>
      </c>
      <c r="I237" s="359">
        <f>'Func Future Lines 2015'!I237</f>
        <v>2015</v>
      </c>
      <c r="J237" s="361">
        <f>+IF($I237=J$3,VLOOKUP($H237,Depreciation!$A$6:$L$10,7,FALSE)/2,IF($I237&lt;J$3,VLOOKUP($H237,Depreciation!$A$6:$L$10,7,FALSE),0))</f>
        <v>1.595020804044691E-2</v>
      </c>
      <c r="K237" s="361">
        <f>+IF($I237=K$3,VLOOKUP($H237,Depreciation!$A$6:$L$10,8,FALSE)/2,IF($I237&lt;K$3,VLOOKUP($H237,Depreciation!$A$6:$L$10,8,FALSE),0))</f>
        <v>3.0676363676126896E-2</v>
      </c>
      <c r="L237" s="361">
        <f>+IF($I237=L$3,VLOOKUP($H237,Depreciation!$A$6:$L$10,9,FALSE)/2,IF($I237&lt;L$3,VLOOKUP($H237,Depreciation!$A$6:$L$10,9,FALSE),0))</f>
        <v>3.0676363676126896E-2</v>
      </c>
      <c r="M237" s="361">
        <f>+IF($I237=M$3,VLOOKUP($H237,Depreciation!$A$6:$L$10,10,FALSE)/2,IF($I237&lt;M$3,VLOOKUP($H237,Depreciation!$A$6:$L$10,10,FALSE),0))</f>
        <v>3.0676363676126896E-2</v>
      </c>
      <c r="N237" s="361">
        <f>+IF($I237=N$3,VLOOKUP($H237,Depreciation!$A$6:$L$10,11,FALSE)/2,IF($I237&lt;N$3,VLOOKUP($H237,Depreciation!$A$6:$L$10,11,FALSE),0))</f>
        <v>3.0676363676126896E-2</v>
      </c>
      <c r="O237" s="361">
        <f>+IF($I237=O$3,VLOOKUP($H237,Depreciation!$A$6:$L$10,12,FALSE)/2,IF($I237&lt;O$3,VLOOKUP($H237,Depreciation!$A$6:$L$10,12,FALSE),0))</f>
        <v>3.0676363676126896E-2</v>
      </c>
      <c r="P237" s="362">
        <f t="shared" si="11"/>
        <v>624163.61720089079</v>
      </c>
      <c r="Q237" s="362">
        <f t="shared" si="12"/>
        <v>0</v>
      </c>
      <c r="R237" s="363">
        <f t="shared" si="13"/>
        <v>624163.61720089079</v>
      </c>
    </row>
    <row r="238" spans="1:18">
      <c r="A238" s="359" t="str">
        <f>'Func Future Lines 2015'!A238</f>
        <v>PPS</v>
      </c>
      <c r="B238" s="359" t="str">
        <f>'Func Future Lines 2015'!B238</f>
        <v>26.81L</v>
      </c>
      <c r="C238" s="359">
        <f>'Func Future Lines 2015'!C238</f>
        <v>1354</v>
      </c>
      <c r="D238" s="359">
        <f>'Func Future Lines 2015'!D238</f>
        <v>138</v>
      </c>
      <c r="E238" s="359">
        <f>'Func Future Lines 2015'!E238</f>
        <v>0</v>
      </c>
      <c r="F238" s="359" t="str">
        <f>'Func Future Lines 2015'!F238</f>
        <v>Calgary</v>
      </c>
      <c r="G238" s="359">
        <f>'Func Future Lines 2015'!G238</f>
        <v>5392.2554130521503</v>
      </c>
      <c r="H238" s="359" t="str">
        <f>'Func Future Lines 2015'!H238</f>
        <v>ENMAX</v>
      </c>
      <c r="I238" s="359">
        <f>'Func Future Lines 2015'!I238</f>
        <v>2017</v>
      </c>
      <c r="J238" s="361">
        <f>+IF($I238=J$3,VLOOKUP($H238,Depreciation!$A$6:$L$10,7,FALSE)/2,IF($I238&lt;J$3,VLOOKUP($H238,Depreciation!$A$6:$L$10,7,FALSE),0))</f>
        <v>0</v>
      </c>
      <c r="K238" s="361">
        <f>+IF($I238=K$3,VLOOKUP($H238,Depreciation!$A$6:$L$10,8,FALSE)/2,IF($I238&lt;K$3,VLOOKUP($H238,Depreciation!$A$6:$L$10,8,FALSE),0))</f>
        <v>0</v>
      </c>
      <c r="L238" s="361">
        <f>+IF($I238=L$3,VLOOKUP($H238,Depreciation!$A$6:$L$10,9,FALSE)/2,IF($I238&lt;L$3,VLOOKUP($H238,Depreciation!$A$6:$L$10,9,FALSE),0))</f>
        <v>1.3475179084025525E-2</v>
      </c>
      <c r="M238" s="361">
        <f>+IF($I238=M$3,VLOOKUP($H238,Depreciation!$A$6:$L$10,10,FALSE)/2,IF($I238&lt;M$3,VLOOKUP($H238,Depreciation!$A$6:$L$10,10,FALSE),0))</f>
        <v>2.6950358168051049E-2</v>
      </c>
      <c r="N238" s="361">
        <f>+IF($I238=N$3,VLOOKUP($H238,Depreciation!$A$6:$L$10,11,FALSE)/2,IF($I238&lt;N$3,VLOOKUP($H238,Depreciation!$A$6:$L$10,11,FALSE),0))</f>
        <v>2.6950358168051049E-2</v>
      </c>
      <c r="O238" s="361">
        <f>+IF($I238=O$3,VLOOKUP($H238,Depreciation!$A$6:$L$10,12,FALSE)/2,IF($I238&lt;O$3,VLOOKUP($H238,Depreciation!$A$6:$L$10,12,FALSE),0))</f>
        <v>2.6950358168051049E-2</v>
      </c>
      <c r="P238" s="362">
        <f t="shared" si="11"/>
        <v>5176.2288473224553</v>
      </c>
      <c r="Q238" s="362">
        <f t="shared" si="12"/>
        <v>0</v>
      </c>
      <c r="R238" s="363">
        <f t="shared" si="13"/>
        <v>5176.2288473224553</v>
      </c>
    </row>
    <row r="239" spans="1:18">
      <c r="A239" s="359" t="str">
        <f>'Func Future Lines 2015'!A239</f>
        <v>PPS</v>
      </c>
      <c r="B239" s="359" t="str">
        <f>'Func Future Lines 2015'!B239</f>
        <v>41.84L</v>
      </c>
      <c r="C239" s="359">
        <f>'Func Future Lines 2015'!C239</f>
        <v>1354</v>
      </c>
      <c r="D239" s="359">
        <f>'Func Future Lines 2015'!D239</f>
        <v>138</v>
      </c>
      <c r="E239" s="359">
        <f>'Func Future Lines 2015'!E239</f>
        <v>0</v>
      </c>
      <c r="F239" s="359" t="str">
        <f>'Func Future Lines 2015'!F239</f>
        <v>Calgary</v>
      </c>
      <c r="G239" s="359">
        <f>'Func Future Lines 2015'!G239</f>
        <v>10940358.319965452</v>
      </c>
      <c r="H239" s="359" t="str">
        <f>'Func Future Lines 2015'!H239</f>
        <v>ENMAX</v>
      </c>
      <c r="I239" s="359">
        <f>'Func Future Lines 2015'!I239</f>
        <v>2017</v>
      </c>
      <c r="J239" s="361">
        <f>+IF($I239=J$3,VLOOKUP($H239,Depreciation!$A$6:$L$10,7,FALSE)/2,IF($I239&lt;J$3,VLOOKUP($H239,Depreciation!$A$6:$L$10,7,FALSE),0))</f>
        <v>0</v>
      </c>
      <c r="K239" s="361">
        <f>+IF($I239=K$3,VLOOKUP($H239,Depreciation!$A$6:$L$10,8,FALSE)/2,IF($I239&lt;K$3,VLOOKUP($H239,Depreciation!$A$6:$L$10,8,FALSE),0))</f>
        <v>0</v>
      </c>
      <c r="L239" s="361">
        <f>+IF($I239=L$3,VLOOKUP($H239,Depreciation!$A$6:$L$10,9,FALSE)/2,IF($I239&lt;L$3,VLOOKUP($H239,Depreciation!$A$6:$L$10,9,FALSE),0))</f>
        <v>1.3475179084025525E-2</v>
      </c>
      <c r="M239" s="361">
        <f>+IF($I239=M$3,VLOOKUP($H239,Depreciation!$A$6:$L$10,10,FALSE)/2,IF($I239&lt;M$3,VLOOKUP($H239,Depreciation!$A$6:$L$10,10,FALSE),0))</f>
        <v>2.6950358168051049E-2</v>
      </c>
      <c r="N239" s="361">
        <f>+IF($I239=N$3,VLOOKUP($H239,Depreciation!$A$6:$L$10,11,FALSE)/2,IF($I239&lt;N$3,VLOOKUP($H239,Depreciation!$A$6:$L$10,11,FALSE),0))</f>
        <v>2.6950358168051049E-2</v>
      </c>
      <c r="O239" s="361">
        <f>+IF($I239=O$3,VLOOKUP($H239,Depreciation!$A$6:$L$10,12,FALSE)/2,IF($I239&lt;O$3,VLOOKUP($H239,Depreciation!$A$6:$L$10,12,FALSE),0))</f>
        <v>2.6950358168051049E-2</v>
      </c>
      <c r="P239" s="362">
        <f t="shared" si="11"/>
        <v>10502061.567553887</v>
      </c>
      <c r="Q239" s="362">
        <f t="shared" si="12"/>
        <v>0</v>
      </c>
      <c r="R239" s="363">
        <f t="shared" si="13"/>
        <v>10502061.567553887</v>
      </c>
    </row>
    <row r="240" spans="1:18">
      <c r="A240" s="359" t="str">
        <f>'Func Future Lines 2015'!A240</f>
        <v>PPS</v>
      </c>
      <c r="B240" s="359" t="str">
        <f>'Func Future Lines 2015'!B240</f>
        <v>54.81L</v>
      </c>
      <c r="C240" s="359">
        <f>'Func Future Lines 2015'!C240</f>
        <v>1354</v>
      </c>
      <c r="D240" s="359">
        <f>'Func Future Lines 2015'!D240</f>
        <v>138</v>
      </c>
      <c r="E240" s="359">
        <f>'Func Future Lines 2015'!E240</f>
        <v>0</v>
      </c>
      <c r="F240" s="359" t="str">
        <f>'Func Future Lines 2015'!F240</f>
        <v>Calgary</v>
      </c>
      <c r="G240" s="359">
        <f>'Func Future Lines 2015'!G240</f>
        <v>9176948.6694427244</v>
      </c>
      <c r="H240" s="359" t="str">
        <f>'Func Future Lines 2015'!H240</f>
        <v>ENMAX</v>
      </c>
      <c r="I240" s="359">
        <f>'Func Future Lines 2015'!I240</f>
        <v>2017</v>
      </c>
      <c r="J240" s="361">
        <f>+IF($I240=J$3,VLOOKUP($H240,Depreciation!$A$6:$L$10,7,FALSE)/2,IF($I240&lt;J$3,VLOOKUP($H240,Depreciation!$A$6:$L$10,7,FALSE),0))</f>
        <v>0</v>
      </c>
      <c r="K240" s="361">
        <f>+IF($I240=K$3,VLOOKUP($H240,Depreciation!$A$6:$L$10,8,FALSE)/2,IF($I240&lt;K$3,VLOOKUP($H240,Depreciation!$A$6:$L$10,8,FALSE),0))</f>
        <v>0</v>
      </c>
      <c r="L240" s="361">
        <f>+IF($I240=L$3,VLOOKUP($H240,Depreciation!$A$6:$L$10,9,FALSE)/2,IF($I240&lt;L$3,VLOOKUP($H240,Depreciation!$A$6:$L$10,9,FALSE),0))</f>
        <v>1.3475179084025525E-2</v>
      </c>
      <c r="M240" s="361">
        <f>+IF($I240=M$3,VLOOKUP($H240,Depreciation!$A$6:$L$10,10,FALSE)/2,IF($I240&lt;M$3,VLOOKUP($H240,Depreciation!$A$6:$L$10,10,FALSE),0))</f>
        <v>2.6950358168051049E-2</v>
      </c>
      <c r="N240" s="361">
        <f>+IF($I240=N$3,VLOOKUP($H240,Depreciation!$A$6:$L$10,11,FALSE)/2,IF($I240&lt;N$3,VLOOKUP($H240,Depreciation!$A$6:$L$10,11,FALSE),0))</f>
        <v>2.6950358168051049E-2</v>
      </c>
      <c r="O240" s="361">
        <f>+IF($I240=O$3,VLOOKUP($H240,Depreciation!$A$6:$L$10,12,FALSE)/2,IF($I240&lt;O$3,VLOOKUP($H240,Depreciation!$A$6:$L$10,12,FALSE),0))</f>
        <v>2.6950358168051049E-2</v>
      </c>
      <c r="P240" s="362">
        <f t="shared" si="11"/>
        <v>8809298.2981085368</v>
      </c>
      <c r="Q240" s="362">
        <f t="shared" si="12"/>
        <v>0</v>
      </c>
      <c r="R240" s="363">
        <f t="shared" si="13"/>
        <v>8809298.2981085368</v>
      </c>
    </row>
    <row r="241" spans="1:18">
      <c r="A241" s="359" t="str">
        <f>'Func Future Lines 2015'!A241</f>
        <v>NID</v>
      </c>
      <c r="B241" s="359" t="str">
        <f>'Func Future Lines 2015'!B241</f>
        <v>807L 138kV 1km_(Alt3)</v>
      </c>
      <c r="C241" s="359">
        <f>'Func Future Lines 2015'!C241</f>
        <v>1381</v>
      </c>
      <c r="D241" s="359">
        <f>'Func Future Lines 2015'!D241</f>
        <v>138</v>
      </c>
      <c r="E241" s="359">
        <f>'Func Future Lines 2015'!E241</f>
        <v>0</v>
      </c>
      <c r="F241" s="359" t="str">
        <f>'Func Future Lines 2015'!F241</f>
        <v>Fort_Saskatchewan</v>
      </c>
      <c r="G241" s="359">
        <f>'Func Future Lines 2015'!G241</f>
        <v>2854379.6561085959</v>
      </c>
      <c r="H241" s="359" t="str">
        <f>'Func Future Lines 2015'!H241</f>
        <v>AltaLink</v>
      </c>
      <c r="I241" s="359">
        <f>'Func Future Lines 2015'!I241</f>
        <v>2019</v>
      </c>
      <c r="J241" s="361">
        <f>+IF($I241=J$3,VLOOKUP($H241,Depreciation!$A$6:$L$10,7,FALSE)/2,IF($I241&lt;J$3,VLOOKUP($H241,Depreciation!$A$6:$L$10,7,FALSE),0))</f>
        <v>0</v>
      </c>
      <c r="K241" s="361">
        <f>+IF($I241=K$3,VLOOKUP($H241,Depreciation!$A$6:$L$10,8,FALSE)/2,IF($I241&lt;K$3,VLOOKUP($H241,Depreciation!$A$6:$L$10,8,FALSE),0))</f>
        <v>0</v>
      </c>
      <c r="L241" s="361">
        <f>+IF($I241=L$3,VLOOKUP($H241,Depreciation!$A$6:$L$10,9,FALSE)/2,IF($I241&lt;L$3,VLOOKUP($H241,Depreciation!$A$6:$L$10,9,FALSE),0))</f>
        <v>0</v>
      </c>
      <c r="M241" s="361">
        <f>+IF($I241=M$3,VLOOKUP($H241,Depreciation!$A$6:$L$10,10,FALSE)/2,IF($I241&lt;M$3,VLOOKUP($H241,Depreciation!$A$6:$L$10,10,FALSE),0))</f>
        <v>0</v>
      </c>
      <c r="N241" s="361">
        <f>+IF($I241=N$3,VLOOKUP($H241,Depreciation!$A$6:$L$10,11,FALSE)/2,IF($I241&lt;N$3,VLOOKUP($H241,Depreciation!$A$6:$L$10,11,FALSE),0))</f>
        <v>1.5338181838063448E-2</v>
      </c>
      <c r="O241" s="361">
        <f>+IF($I241=O$3,VLOOKUP($H241,Depreciation!$A$6:$L$10,12,FALSE)/2,IF($I241&lt;O$3,VLOOKUP($H241,Depreciation!$A$6:$L$10,12,FALSE),0))</f>
        <v>3.0676363676126896E-2</v>
      </c>
      <c r="P241" s="362">
        <f t="shared" si="11"/>
        <v>0</v>
      </c>
      <c r="Q241" s="362">
        <f t="shared" si="12"/>
        <v>0</v>
      </c>
      <c r="R241" s="363">
        <f t="shared" si="13"/>
        <v>0</v>
      </c>
    </row>
    <row r="242" spans="1:18">
      <c r="A242" s="359" t="str">
        <f>'Func Future Lines 2015'!A242</f>
        <v>NID</v>
      </c>
      <c r="B242" s="359" t="str">
        <f>'Func Future Lines 2015'!B242</f>
        <v>942L 240kV in/out 0.5km_(Alt3)</v>
      </c>
      <c r="C242" s="359">
        <f>'Func Future Lines 2015'!C242</f>
        <v>1381</v>
      </c>
      <c r="D242" s="359">
        <f>'Func Future Lines 2015'!D242</f>
        <v>240</v>
      </c>
      <c r="E242" s="359">
        <f>'Func Future Lines 2015'!E242</f>
        <v>0</v>
      </c>
      <c r="F242" s="359" t="str">
        <f>'Func Future Lines 2015'!F242</f>
        <v>Fort_Saskatchewan</v>
      </c>
      <c r="G242" s="359">
        <f>'Func Future Lines 2015'!G242</f>
        <v>534701.55370326247</v>
      </c>
      <c r="H242" s="359" t="str">
        <f>'Func Future Lines 2015'!H242</f>
        <v>AltaLink</v>
      </c>
      <c r="I242" s="359">
        <f>'Func Future Lines 2015'!I242</f>
        <v>2019</v>
      </c>
      <c r="J242" s="361">
        <f>+IF($I242=J$3,VLOOKUP($H242,Depreciation!$A$6:$L$10,7,FALSE)/2,IF($I242&lt;J$3,VLOOKUP($H242,Depreciation!$A$6:$L$10,7,FALSE),0))</f>
        <v>0</v>
      </c>
      <c r="K242" s="361">
        <f>+IF($I242=K$3,VLOOKUP($H242,Depreciation!$A$6:$L$10,8,FALSE)/2,IF($I242&lt;K$3,VLOOKUP($H242,Depreciation!$A$6:$L$10,8,FALSE),0))</f>
        <v>0</v>
      </c>
      <c r="L242" s="361">
        <f>+IF($I242=L$3,VLOOKUP($H242,Depreciation!$A$6:$L$10,9,FALSE)/2,IF($I242&lt;L$3,VLOOKUP($H242,Depreciation!$A$6:$L$10,9,FALSE),0))</f>
        <v>0</v>
      </c>
      <c r="M242" s="361">
        <f>+IF($I242=M$3,VLOOKUP($H242,Depreciation!$A$6:$L$10,10,FALSE)/2,IF($I242&lt;M$3,VLOOKUP($H242,Depreciation!$A$6:$L$10,10,FALSE),0))</f>
        <v>0</v>
      </c>
      <c r="N242" s="361">
        <f>+IF($I242=N$3,VLOOKUP($H242,Depreciation!$A$6:$L$10,11,FALSE)/2,IF($I242&lt;N$3,VLOOKUP($H242,Depreciation!$A$6:$L$10,11,FALSE),0))</f>
        <v>1.5338181838063448E-2</v>
      </c>
      <c r="O242" s="361">
        <f>+IF($I242=O$3,VLOOKUP($H242,Depreciation!$A$6:$L$10,12,FALSE)/2,IF($I242&lt;O$3,VLOOKUP($H242,Depreciation!$A$6:$L$10,12,FALSE),0))</f>
        <v>3.0676363676126896E-2</v>
      </c>
      <c r="P242" s="362">
        <f t="shared" si="11"/>
        <v>0</v>
      </c>
      <c r="Q242" s="362">
        <f t="shared" si="12"/>
        <v>0</v>
      </c>
      <c r="R242" s="363">
        <f t="shared" si="13"/>
        <v>0</v>
      </c>
    </row>
    <row r="243" spans="1:18">
      <c r="A243" s="359" t="str">
        <f>'Func Future Lines 2015'!A243</f>
        <v>PPS</v>
      </c>
      <c r="B243" s="359" t="str">
        <f>'Func Future Lines 2015'!B243</f>
        <v>971AL</v>
      </c>
      <c r="C243" s="359">
        <f>'Func Future Lines 2015'!C243</f>
        <v>1404</v>
      </c>
      <c r="D243" s="359">
        <f>'Func Future Lines 2015'!D243</f>
        <v>240</v>
      </c>
      <c r="E243" s="359">
        <f>'Func Future Lines 2015'!E243</f>
        <v>0</v>
      </c>
      <c r="F243" s="359" t="str">
        <f>'Func Future Lines 2015'!F243</f>
        <v>Fort McMurray</v>
      </c>
      <c r="G243" s="359">
        <f>'Func Future Lines 2015'!G243</f>
        <v>33123608.699931756</v>
      </c>
      <c r="H243" s="359" t="str">
        <f>'Func Future Lines 2015'!H243</f>
        <v>AltaLink</v>
      </c>
      <c r="I243" s="359">
        <f>'Func Future Lines 2015'!I243</f>
        <v>2017</v>
      </c>
      <c r="J243" s="361">
        <f>+IF($I243=J$3,VLOOKUP($H243,Depreciation!$A$6:$L$10,7,FALSE)/2,IF($I243&lt;J$3,VLOOKUP($H243,Depreciation!$A$6:$L$10,7,FALSE),0))</f>
        <v>0</v>
      </c>
      <c r="K243" s="361">
        <f>+IF($I243=K$3,VLOOKUP($H243,Depreciation!$A$6:$L$10,8,FALSE)/2,IF($I243&lt;K$3,VLOOKUP($H243,Depreciation!$A$6:$L$10,8,FALSE),0))</f>
        <v>0</v>
      </c>
      <c r="L243" s="361">
        <f>+IF($I243=L$3,VLOOKUP($H243,Depreciation!$A$6:$L$10,9,FALSE)/2,IF($I243&lt;L$3,VLOOKUP($H243,Depreciation!$A$6:$L$10,9,FALSE),0))</f>
        <v>1.5338181838063448E-2</v>
      </c>
      <c r="M243" s="361">
        <f>+IF($I243=M$3,VLOOKUP($H243,Depreciation!$A$6:$L$10,10,FALSE)/2,IF($I243&lt;M$3,VLOOKUP($H243,Depreciation!$A$6:$L$10,10,FALSE),0))</f>
        <v>3.0676363676126896E-2</v>
      </c>
      <c r="N243" s="361">
        <f>+IF($I243=N$3,VLOOKUP($H243,Depreciation!$A$6:$L$10,11,FALSE)/2,IF($I243&lt;N$3,VLOOKUP($H243,Depreciation!$A$6:$L$10,11,FALSE),0))</f>
        <v>3.0676363676126896E-2</v>
      </c>
      <c r="O243" s="361">
        <f>+IF($I243=O$3,VLOOKUP($H243,Depreciation!$A$6:$L$10,12,FALSE)/2,IF($I243&lt;O$3,VLOOKUP($H243,Depreciation!$A$6:$L$10,12,FALSE),0))</f>
        <v>3.0676363676126896E-2</v>
      </c>
      <c r="P243" s="362">
        <f t="shared" si="11"/>
        <v>31615026.208394457</v>
      </c>
      <c r="Q243" s="362">
        <f t="shared" si="12"/>
        <v>31615026.208394457</v>
      </c>
      <c r="R243" s="363">
        <f t="shared" si="13"/>
        <v>0</v>
      </c>
    </row>
    <row r="244" spans="1:18">
      <c r="A244" s="359" t="str">
        <f>'Func Future Lines 2015'!A244</f>
        <v>PPS</v>
      </c>
      <c r="B244" s="359" t="str">
        <f>'Func Future Lines 2015'!B244</f>
        <v>New 50m 144kV s/c  line 7LB65</v>
      </c>
      <c r="C244" s="359">
        <f>'Func Future Lines 2015'!C244</f>
        <v>1410</v>
      </c>
      <c r="D244" s="359">
        <f>'Func Future Lines 2015'!D244</f>
        <v>144</v>
      </c>
      <c r="E244" s="359">
        <f>'Func Future Lines 2015'!E244</f>
        <v>0</v>
      </c>
      <c r="F244" s="359" t="str">
        <f>'Func Future Lines 2015'!F244</f>
        <v>central</v>
      </c>
      <c r="G244" s="359">
        <f>'Func Future Lines 2015'!G244</f>
        <v>1252661.4598423878</v>
      </c>
      <c r="H244" s="359" t="str">
        <f>'Func Future Lines 2015'!H244</f>
        <v>ATCO</v>
      </c>
      <c r="I244" s="359">
        <f>'Func Future Lines 2015'!I244</f>
        <v>2017</v>
      </c>
      <c r="J244" s="361">
        <f>+IF($I244=J$3,VLOOKUP($H244,Depreciation!$A$6:$L$10,7,FALSE)/2,IF($I244&lt;J$3,VLOOKUP($H244,Depreciation!$A$6:$L$10,7,FALSE),0))</f>
        <v>0</v>
      </c>
      <c r="K244" s="361">
        <f>+IF($I244=K$3,VLOOKUP($H244,Depreciation!$A$6:$L$10,8,FALSE)/2,IF($I244&lt;K$3,VLOOKUP($H244,Depreciation!$A$6:$L$10,8,FALSE),0))</f>
        <v>0</v>
      </c>
      <c r="L244" s="361">
        <f>+IF($I244=L$3,VLOOKUP($H244,Depreciation!$A$6:$L$10,9,FALSE)/2,IF($I244&lt;L$3,VLOOKUP($H244,Depreciation!$A$6:$L$10,9,FALSE),0))</f>
        <v>1.2001018963427959E-2</v>
      </c>
      <c r="M244" s="361">
        <f>+IF($I244=M$3,VLOOKUP($H244,Depreciation!$A$6:$L$10,10,FALSE)/2,IF($I244&lt;M$3,VLOOKUP($H244,Depreciation!$A$6:$L$10,10,FALSE),0))</f>
        <v>2.4002037926855919E-2</v>
      </c>
      <c r="N244" s="361">
        <f>+IF($I244=N$3,VLOOKUP($H244,Depreciation!$A$6:$L$10,11,FALSE)/2,IF($I244&lt;N$3,VLOOKUP($H244,Depreciation!$A$6:$L$10,11,FALSE),0))</f>
        <v>2.4002037926855919E-2</v>
      </c>
      <c r="O244" s="361">
        <f>+IF($I244=O$3,VLOOKUP($H244,Depreciation!$A$6:$L$10,12,FALSE)/2,IF($I244&lt;O$3,VLOOKUP($H244,Depreciation!$A$6:$L$10,12,FALSE),0))</f>
        <v>2.4002037926855919E-2</v>
      </c>
      <c r="P244" s="362">
        <f t="shared" si="11"/>
        <v>1207922.6458104302</v>
      </c>
      <c r="Q244" s="362">
        <f t="shared" si="12"/>
        <v>0</v>
      </c>
      <c r="R244" s="363">
        <f t="shared" si="13"/>
        <v>1207922.6458104302</v>
      </c>
    </row>
    <row r="245" spans="1:18">
      <c r="A245" s="359" t="str">
        <f>'Func Future Lines 2015'!A245</f>
        <v>PPS</v>
      </c>
      <c r="B245" s="359" t="str">
        <f>'Func Future Lines 2015'!B245</f>
        <v>Phase1 1120L</v>
      </c>
      <c r="C245" s="359">
        <f>'Func Future Lines 2015'!C245</f>
        <v>1421</v>
      </c>
      <c r="D245" s="359">
        <f>'Func Future Lines 2015'!D245</f>
        <v>240</v>
      </c>
      <c r="E245" s="359">
        <f>'Func Future Lines 2015'!E245</f>
        <v>0</v>
      </c>
      <c r="F245" s="359" t="str">
        <f>'Func Future Lines 2015'!F245</f>
        <v>Fort_Saskatchewan</v>
      </c>
      <c r="G245" s="359">
        <f>'Func Future Lines 2015'!G245</f>
        <v>539203.14735113864</v>
      </c>
      <c r="H245" s="359" t="str">
        <f>'Func Future Lines 2015'!H245</f>
        <v>AltaLink</v>
      </c>
      <c r="I245" s="359">
        <f>'Func Future Lines 2015'!I245</f>
        <v>2019</v>
      </c>
      <c r="J245" s="361">
        <f>+IF($I245=J$3,VLOOKUP($H245,Depreciation!$A$6:$L$10,7,FALSE)/2,IF($I245&lt;J$3,VLOOKUP($H245,Depreciation!$A$6:$L$10,7,FALSE),0))</f>
        <v>0</v>
      </c>
      <c r="K245" s="361">
        <f>+IF($I245=K$3,VLOOKUP($H245,Depreciation!$A$6:$L$10,8,FALSE)/2,IF($I245&lt;K$3,VLOOKUP($H245,Depreciation!$A$6:$L$10,8,FALSE),0))</f>
        <v>0</v>
      </c>
      <c r="L245" s="361">
        <f>+IF($I245=L$3,VLOOKUP($H245,Depreciation!$A$6:$L$10,9,FALSE)/2,IF($I245&lt;L$3,VLOOKUP($H245,Depreciation!$A$6:$L$10,9,FALSE),0))</f>
        <v>0</v>
      </c>
      <c r="M245" s="361">
        <f>+IF($I245=M$3,VLOOKUP($H245,Depreciation!$A$6:$L$10,10,FALSE)/2,IF($I245&lt;M$3,VLOOKUP($H245,Depreciation!$A$6:$L$10,10,FALSE),0))</f>
        <v>0</v>
      </c>
      <c r="N245" s="361">
        <f>+IF($I245=N$3,VLOOKUP($H245,Depreciation!$A$6:$L$10,11,FALSE)/2,IF($I245&lt;N$3,VLOOKUP($H245,Depreciation!$A$6:$L$10,11,FALSE),0))</f>
        <v>1.5338181838063448E-2</v>
      </c>
      <c r="O245" s="361">
        <f>+IF($I245=O$3,VLOOKUP($H245,Depreciation!$A$6:$L$10,12,FALSE)/2,IF($I245&lt;O$3,VLOOKUP($H245,Depreciation!$A$6:$L$10,12,FALSE),0))</f>
        <v>3.0676363676126896E-2</v>
      </c>
      <c r="P245" s="362">
        <f t="shared" si="11"/>
        <v>0</v>
      </c>
      <c r="Q245" s="362">
        <f t="shared" si="12"/>
        <v>0</v>
      </c>
      <c r="R245" s="363">
        <f t="shared" si="13"/>
        <v>0</v>
      </c>
    </row>
    <row r="246" spans="1:18">
      <c r="A246" s="359" t="str">
        <f>'Func Future Lines 2015'!A246</f>
        <v>PPS</v>
      </c>
      <c r="B246" s="359" t="str">
        <f>'Func Future Lines 2015'!B246</f>
        <v>Phase1 1181L</v>
      </c>
      <c r="C246" s="359">
        <f>'Func Future Lines 2015'!C246</f>
        <v>1421</v>
      </c>
      <c r="D246" s="359">
        <f>'Func Future Lines 2015'!D246</f>
        <v>240</v>
      </c>
      <c r="E246" s="359">
        <f>'Func Future Lines 2015'!E246</f>
        <v>0</v>
      </c>
      <c r="F246" s="359" t="str">
        <f>'Func Future Lines 2015'!F246</f>
        <v>Fort_Saskatchewan</v>
      </c>
      <c r="G246" s="359">
        <f>'Func Future Lines 2015'!G246</f>
        <v>19967023.256146636</v>
      </c>
      <c r="H246" s="359" t="str">
        <f>'Func Future Lines 2015'!H246</f>
        <v>AltaLink</v>
      </c>
      <c r="I246" s="359">
        <f>'Func Future Lines 2015'!I246</f>
        <v>2019</v>
      </c>
      <c r="J246" s="361">
        <f>+IF($I246=J$3,VLOOKUP($H246,Depreciation!$A$6:$L$10,7,FALSE)/2,IF($I246&lt;J$3,VLOOKUP($H246,Depreciation!$A$6:$L$10,7,FALSE),0))</f>
        <v>0</v>
      </c>
      <c r="K246" s="361">
        <f>+IF($I246=K$3,VLOOKUP($H246,Depreciation!$A$6:$L$10,8,FALSE)/2,IF($I246&lt;K$3,VLOOKUP($H246,Depreciation!$A$6:$L$10,8,FALSE),0))</f>
        <v>0</v>
      </c>
      <c r="L246" s="361">
        <f>+IF($I246=L$3,VLOOKUP($H246,Depreciation!$A$6:$L$10,9,FALSE)/2,IF($I246&lt;L$3,VLOOKUP($H246,Depreciation!$A$6:$L$10,9,FALSE),0))</f>
        <v>0</v>
      </c>
      <c r="M246" s="361">
        <f>+IF($I246=M$3,VLOOKUP($H246,Depreciation!$A$6:$L$10,10,FALSE)/2,IF($I246&lt;M$3,VLOOKUP($H246,Depreciation!$A$6:$L$10,10,FALSE),0))</f>
        <v>0</v>
      </c>
      <c r="N246" s="361">
        <f>+IF($I246=N$3,VLOOKUP($H246,Depreciation!$A$6:$L$10,11,FALSE)/2,IF($I246&lt;N$3,VLOOKUP($H246,Depreciation!$A$6:$L$10,11,FALSE),0))</f>
        <v>1.5338181838063448E-2</v>
      </c>
      <c r="O246" s="361">
        <f>+IF($I246=O$3,VLOOKUP($H246,Depreciation!$A$6:$L$10,12,FALSE)/2,IF($I246&lt;O$3,VLOOKUP($H246,Depreciation!$A$6:$L$10,12,FALSE),0))</f>
        <v>3.0676363676126896E-2</v>
      </c>
      <c r="P246" s="362">
        <f t="shared" si="11"/>
        <v>0</v>
      </c>
      <c r="Q246" s="362">
        <f t="shared" si="12"/>
        <v>0</v>
      </c>
      <c r="R246" s="363">
        <f t="shared" si="13"/>
        <v>0</v>
      </c>
    </row>
    <row r="247" spans="1:18">
      <c r="A247" s="359" t="str">
        <f>'Func Future Lines 2015'!A247</f>
        <v>PPS</v>
      </c>
      <c r="B247" s="359" t="str">
        <f>'Func Future Lines 2015'!B247</f>
        <v>Phase1 807L</v>
      </c>
      <c r="C247" s="359">
        <f>'Func Future Lines 2015'!C247</f>
        <v>1421</v>
      </c>
      <c r="D247" s="359">
        <f>'Func Future Lines 2015'!D247</f>
        <v>240</v>
      </c>
      <c r="E247" s="359">
        <f>'Func Future Lines 2015'!E247</f>
        <v>0</v>
      </c>
      <c r="F247" s="359" t="str">
        <f>'Func Future Lines 2015'!F247</f>
        <v>Fort_Saskatchewan</v>
      </c>
      <c r="G247" s="359">
        <f>'Func Future Lines 2015'!G247</f>
        <v>499439.58032038546</v>
      </c>
      <c r="H247" s="359" t="str">
        <f>'Func Future Lines 2015'!H247</f>
        <v>AltaLink</v>
      </c>
      <c r="I247" s="359">
        <f>'Func Future Lines 2015'!I247</f>
        <v>2019</v>
      </c>
      <c r="J247" s="361">
        <f>+IF($I247=J$3,VLOOKUP($H247,Depreciation!$A$6:$L$10,7,FALSE)/2,IF($I247&lt;J$3,VLOOKUP($H247,Depreciation!$A$6:$L$10,7,FALSE),0))</f>
        <v>0</v>
      </c>
      <c r="K247" s="361">
        <f>+IF($I247=K$3,VLOOKUP($H247,Depreciation!$A$6:$L$10,8,FALSE)/2,IF($I247&lt;K$3,VLOOKUP($H247,Depreciation!$A$6:$L$10,8,FALSE),0))</f>
        <v>0</v>
      </c>
      <c r="L247" s="361">
        <f>+IF($I247=L$3,VLOOKUP($H247,Depreciation!$A$6:$L$10,9,FALSE)/2,IF($I247&lt;L$3,VLOOKUP($H247,Depreciation!$A$6:$L$10,9,FALSE),0))</f>
        <v>0</v>
      </c>
      <c r="M247" s="361">
        <f>+IF($I247=M$3,VLOOKUP($H247,Depreciation!$A$6:$L$10,10,FALSE)/2,IF($I247&lt;M$3,VLOOKUP($H247,Depreciation!$A$6:$L$10,10,FALSE),0))</f>
        <v>0</v>
      </c>
      <c r="N247" s="361">
        <f>+IF($I247=N$3,VLOOKUP($H247,Depreciation!$A$6:$L$10,11,FALSE)/2,IF($I247&lt;N$3,VLOOKUP($H247,Depreciation!$A$6:$L$10,11,FALSE),0))</f>
        <v>1.5338181838063448E-2</v>
      </c>
      <c r="O247" s="361">
        <f>+IF($I247=O$3,VLOOKUP($H247,Depreciation!$A$6:$L$10,12,FALSE)/2,IF($I247&lt;O$3,VLOOKUP($H247,Depreciation!$A$6:$L$10,12,FALSE),0))</f>
        <v>3.0676363676126896E-2</v>
      </c>
      <c r="P247" s="362">
        <f t="shared" si="11"/>
        <v>0</v>
      </c>
      <c r="Q247" s="362">
        <f t="shared" si="12"/>
        <v>0</v>
      </c>
      <c r="R247" s="363">
        <f t="shared" si="13"/>
        <v>0</v>
      </c>
    </row>
    <row r="248" spans="1:18">
      <c r="A248" s="359" t="str">
        <f>'Func Future Lines 2015'!A248</f>
        <v>PPS</v>
      </c>
      <c r="B248" s="359" t="str">
        <f>'Func Future Lines 2015'!B248</f>
        <v>Phase1 856L/776L/857L</v>
      </c>
      <c r="C248" s="359">
        <f>'Func Future Lines 2015'!C248</f>
        <v>1421</v>
      </c>
      <c r="D248" s="359">
        <f>'Func Future Lines 2015'!D248</f>
        <v>240</v>
      </c>
      <c r="E248" s="359">
        <f>'Func Future Lines 2015'!E248</f>
        <v>0</v>
      </c>
      <c r="F248" s="359" t="str">
        <f>'Func Future Lines 2015'!F248</f>
        <v>Fort_Saskatchewan</v>
      </c>
      <c r="G248" s="359">
        <f>'Func Future Lines 2015'!G248</f>
        <v>152011.1100611416</v>
      </c>
      <c r="H248" s="359" t="str">
        <f>'Func Future Lines 2015'!H248</f>
        <v>AltaLink</v>
      </c>
      <c r="I248" s="359">
        <f>'Func Future Lines 2015'!I248</f>
        <v>2019</v>
      </c>
      <c r="J248" s="361">
        <f>+IF($I248=J$3,VLOOKUP($H248,Depreciation!$A$6:$L$10,7,FALSE)/2,IF($I248&lt;J$3,VLOOKUP($H248,Depreciation!$A$6:$L$10,7,FALSE),0))</f>
        <v>0</v>
      </c>
      <c r="K248" s="361">
        <f>+IF($I248=K$3,VLOOKUP($H248,Depreciation!$A$6:$L$10,8,FALSE)/2,IF($I248&lt;K$3,VLOOKUP($H248,Depreciation!$A$6:$L$10,8,FALSE),0))</f>
        <v>0</v>
      </c>
      <c r="L248" s="361">
        <f>+IF($I248=L$3,VLOOKUP($H248,Depreciation!$A$6:$L$10,9,FALSE)/2,IF($I248&lt;L$3,VLOOKUP($H248,Depreciation!$A$6:$L$10,9,FALSE),0))</f>
        <v>0</v>
      </c>
      <c r="M248" s="361">
        <f>+IF($I248=M$3,VLOOKUP($H248,Depreciation!$A$6:$L$10,10,FALSE)/2,IF($I248&lt;M$3,VLOOKUP($H248,Depreciation!$A$6:$L$10,10,FALSE),0))</f>
        <v>0</v>
      </c>
      <c r="N248" s="361">
        <f>+IF($I248=N$3,VLOOKUP($H248,Depreciation!$A$6:$L$10,11,FALSE)/2,IF($I248&lt;N$3,VLOOKUP($H248,Depreciation!$A$6:$L$10,11,FALSE),0))</f>
        <v>1.5338181838063448E-2</v>
      </c>
      <c r="O248" s="361">
        <f>+IF($I248=O$3,VLOOKUP($H248,Depreciation!$A$6:$L$10,12,FALSE)/2,IF($I248&lt;O$3,VLOOKUP($H248,Depreciation!$A$6:$L$10,12,FALSE),0))</f>
        <v>3.0676363676126896E-2</v>
      </c>
      <c r="P248" s="362">
        <f t="shared" si="11"/>
        <v>0</v>
      </c>
      <c r="Q248" s="362">
        <f t="shared" si="12"/>
        <v>0</v>
      </c>
      <c r="R248" s="363">
        <f t="shared" si="13"/>
        <v>0</v>
      </c>
    </row>
    <row r="249" spans="1:18">
      <c r="A249" s="359" t="str">
        <f>'Func Future Lines 2015'!A249</f>
        <v>PPS</v>
      </c>
      <c r="B249" s="359" t="str">
        <f>'Func Future Lines 2015'!B249</f>
        <v>Phase2 1120L</v>
      </c>
      <c r="C249" s="359">
        <f>'Func Future Lines 2015'!C249</f>
        <v>1421</v>
      </c>
      <c r="D249" s="359">
        <f>'Func Future Lines 2015'!D249</f>
        <v>240</v>
      </c>
      <c r="E249" s="359">
        <f>'Func Future Lines 2015'!E249</f>
        <v>0</v>
      </c>
      <c r="F249" s="359" t="str">
        <f>'Func Future Lines 2015'!F249</f>
        <v>Fort_Saskatchewan</v>
      </c>
      <c r="G249" s="359">
        <f>'Func Future Lines 2015'!G249</f>
        <v>552930.93167308858</v>
      </c>
      <c r="H249" s="359" t="str">
        <f>'Func Future Lines 2015'!H249</f>
        <v>AltaLink</v>
      </c>
      <c r="I249" s="359">
        <f>'Func Future Lines 2015'!I249</f>
        <v>2019</v>
      </c>
      <c r="J249" s="361">
        <f>+IF($I249=J$3,VLOOKUP($H249,Depreciation!$A$6:$L$10,7,FALSE)/2,IF($I249&lt;J$3,VLOOKUP($H249,Depreciation!$A$6:$L$10,7,FALSE),0))</f>
        <v>0</v>
      </c>
      <c r="K249" s="361">
        <f>+IF($I249=K$3,VLOOKUP($H249,Depreciation!$A$6:$L$10,8,FALSE)/2,IF($I249&lt;K$3,VLOOKUP($H249,Depreciation!$A$6:$L$10,8,FALSE),0))</f>
        <v>0</v>
      </c>
      <c r="L249" s="361">
        <f>+IF($I249=L$3,VLOOKUP($H249,Depreciation!$A$6:$L$10,9,FALSE)/2,IF($I249&lt;L$3,VLOOKUP($H249,Depreciation!$A$6:$L$10,9,FALSE),0))</f>
        <v>0</v>
      </c>
      <c r="M249" s="361">
        <f>+IF($I249=M$3,VLOOKUP($H249,Depreciation!$A$6:$L$10,10,FALSE)/2,IF($I249&lt;M$3,VLOOKUP($H249,Depreciation!$A$6:$L$10,10,FALSE),0))</f>
        <v>0</v>
      </c>
      <c r="N249" s="361">
        <f>+IF($I249=N$3,VLOOKUP($H249,Depreciation!$A$6:$L$10,11,FALSE)/2,IF($I249&lt;N$3,VLOOKUP($H249,Depreciation!$A$6:$L$10,11,FALSE),0))</f>
        <v>1.5338181838063448E-2</v>
      </c>
      <c r="O249" s="361">
        <f>+IF($I249=O$3,VLOOKUP($H249,Depreciation!$A$6:$L$10,12,FALSE)/2,IF($I249&lt;O$3,VLOOKUP($H249,Depreciation!$A$6:$L$10,12,FALSE),0))</f>
        <v>3.0676363676126896E-2</v>
      </c>
      <c r="P249" s="362">
        <f t="shared" si="11"/>
        <v>0</v>
      </c>
      <c r="Q249" s="362">
        <f t="shared" si="12"/>
        <v>0</v>
      </c>
      <c r="R249" s="363">
        <f t="shared" si="13"/>
        <v>0</v>
      </c>
    </row>
    <row r="250" spans="1:18">
      <c r="A250" s="359" t="str">
        <f>'Func Future Lines 2015'!A250</f>
        <v>PPS</v>
      </c>
      <c r="B250" s="359" t="str">
        <f>'Func Future Lines 2015'!B250</f>
        <v>Phase2 1182L</v>
      </c>
      <c r="C250" s="359">
        <f>'Func Future Lines 2015'!C250</f>
        <v>1421</v>
      </c>
      <c r="D250" s="359">
        <f>'Func Future Lines 2015'!D250</f>
        <v>240</v>
      </c>
      <c r="E250" s="359">
        <f>'Func Future Lines 2015'!E250</f>
        <v>0</v>
      </c>
      <c r="F250" s="359" t="str">
        <f>'Func Future Lines 2015'!F250</f>
        <v>Fort_Saskatchewan</v>
      </c>
      <c r="G250" s="359">
        <f>'Func Future Lines 2015'!G250</f>
        <v>19778650.647485077</v>
      </c>
      <c r="H250" s="359" t="str">
        <f>'Func Future Lines 2015'!H250</f>
        <v>AltaLink</v>
      </c>
      <c r="I250" s="359">
        <f>'Func Future Lines 2015'!I250</f>
        <v>2019</v>
      </c>
      <c r="J250" s="361">
        <f>+IF($I250=J$3,VLOOKUP($H250,Depreciation!$A$6:$L$10,7,FALSE)/2,IF($I250&lt;J$3,VLOOKUP($H250,Depreciation!$A$6:$L$10,7,FALSE),0))</f>
        <v>0</v>
      </c>
      <c r="K250" s="361">
        <f>+IF($I250=K$3,VLOOKUP($H250,Depreciation!$A$6:$L$10,8,FALSE)/2,IF($I250&lt;K$3,VLOOKUP($H250,Depreciation!$A$6:$L$10,8,FALSE),0))</f>
        <v>0</v>
      </c>
      <c r="L250" s="361">
        <f>+IF($I250=L$3,VLOOKUP($H250,Depreciation!$A$6:$L$10,9,FALSE)/2,IF($I250&lt;L$3,VLOOKUP($H250,Depreciation!$A$6:$L$10,9,FALSE),0))</f>
        <v>0</v>
      </c>
      <c r="M250" s="361">
        <f>+IF($I250=M$3,VLOOKUP($H250,Depreciation!$A$6:$L$10,10,FALSE)/2,IF($I250&lt;M$3,VLOOKUP($H250,Depreciation!$A$6:$L$10,10,FALSE),0))</f>
        <v>0</v>
      </c>
      <c r="N250" s="361">
        <f>+IF($I250=N$3,VLOOKUP($H250,Depreciation!$A$6:$L$10,11,FALSE)/2,IF($I250&lt;N$3,VLOOKUP($H250,Depreciation!$A$6:$L$10,11,FALSE),0))</f>
        <v>1.5338181838063448E-2</v>
      </c>
      <c r="O250" s="361">
        <f>+IF($I250=O$3,VLOOKUP($H250,Depreciation!$A$6:$L$10,12,FALSE)/2,IF($I250&lt;O$3,VLOOKUP($H250,Depreciation!$A$6:$L$10,12,FALSE),0))</f>
        <v>3.0676363676126896E-2</v>
      </c>
      <c r="P250" s="362">
        <f t="shared" si="11"/>
        <v>0</v>
      </c>
      <c r="Q250" s="362">
        <f t="shared" si="12"/>
        <v>0</v>
      </c>
      <c r="R250" s="363">
        <f t="shared" si="13"/>
        <v>0</v>
      </c>
    </row>
    <row r="251" spans="1:18">
      <c r="A251" s="359" t="str">
        <f>'Func Future Lines 2015'!A251</f>
        <v>PPS</v>
      </c>
      <c r="B251" s="359" t="str">
        <f>'Func Future Lines 2015'!B251</f>
        <v>Phase2 942L/1131L</v>
      </c>
      <c r="C251" s="359">
        <f>'Func Future Lines 2015'!C251</f>
        <v>1421</v>
      </c>
      <c r="D251" s="359">
        <f>'Func Future Lines 2015'!D251</f>
        <v>240</v>
      </c>
      <c r="E251" s="359">
        <f>'Func Future Lines 2015'!E251</f>
        <v>0</v>
      </c>
      <c r="F251" s="359" t="str">
        <f>'Func Future Lines 2015'!F251</f>
        <v>Fort_Saskatchewan</v>
      </c>
      <c r="G251" s="359">
        <f>'Func Future Lines 2015'!G251</f>
        <v>987104.97626991919</v>
      </c>
      <c r="H251" s="359" t="str">
        <f>'Func Future Lines 2015'!H251</f>
        <v>AltaLink</v>
      </c>
      <c r="I251" s="359">
        <f>'Func Future Lines 2015'!I251</f>
        <v>2019</v>
      </c>
      <c r="J251" s="361">
        <f>+IF($I251=J$3,VLOOKUP($H251,Depreciation!$A$6:$L$10,7,FALSE)/2,IF($I251&lt;J$3,VLOOKUP($H251,Depreciation!$A$6:$L$10,7,FALSE),0))</f>
        <v>0</v>
      </c>
      <c r="K251" s="361">
        <f>+IF($I251=K$3,VLOOKUP($H251,Depreciation!$A$6:$L$10,8,FALSE)/2,IF($I251&lt;K$3,VLOOKUP($H251,Depreciation!$A$6:$L$10,8,FALSE),0))</f>
        <v>0</v>
      </c>
      <c r="L251" s="361">
        <f>+IF($I251=L$3,VLOOKUP($H251,Depreciation!$A$6:$L$10,9,FALSE)/2,IF($I251&lt;L$3,VLOOKUP($H251,Depreciation!$A$6:$L$10,9,FALSE),0))</f>
        <v>0</v>
      </c>
      <c r="M251" s="361">
        <f>+IF($I251=M$3,VLOOKUP($H251,Depreciation!$A$6:$L$10,10,FALSE)/2,IF($I251&lt;M$3,VLOOKUP($H251,Depreciation!$A$6:$L$10,10,FALSE),0))</f>
        <v>0</v>
      </c>
      <c r="N251" s="361">
        <f>+IF($I251=N$3,VLOOKUP($H251,Depreciation!$A$6:$L$10,11,FALSE)/2,IF($I251&lt;N$3,VLOOKUP($H251,Depreciation!$A$6:$L$10,11,FALSE),0))</f>
        <v>1.5338181838063448E-2</v>
      </c>
      <c r="O251" s="361">
        <f>+IF($I251=O$3,VLOOKUP($H251,Depreciation!$A$6:$L$10,12,FALSE)/2,IF($I251&lt;O$3,VLOOKUP($H251,Depreciation!$A$6:$L$10,12,FALSE),0))</f>
        <v>3.0676363676126896E-2</v>
      </c>
      <c r="P251" s="362">
        <f t="shared" si="11"/>
        <v>0</v>
      </c>
      <c r="Q251" s="362">
        <f t="shared" si="12"/>
        <v>0</v>
      </c>
      <c r="R251" s="363">
        <f t="shared" si="13"/>
        <v>0</v>
      </c>
    </row>
    <row r="252" spans="1:18">
      <c r="A252" s="359" t="str">
        <f>'Func Future Lines 2015'!A252</f>
        <v>PPS</v>
      </c>
      <c r="B252" s="359" t="str">
        <f>'Func Future Lines 2015'!B252</f>
        <v>Phase2 997L</v>
      </c>
      <c r="C252" s="359">
        <f>'Func Future Lines 2015'!C252</f>
        <v>1421</v>
      </c>
      <c r="D252" s="359">
        <f>'Func Future Lines 2015'!D252</f>
        <v>240</v>
      </c>
      <c r="E252" s="359">
        <f>'Func Future Lines 2015'!E252</f>
        <v>0</v>
      </c>
      <c r="F252" s="359" t="str">
        <f>'Func Future Lines 2015'!F252</f>
        <v>Fort_Saskatchewan</v>
      </c>
      <c r="G252" s="359">
        <f>'Func Future Lines 2015'!G252</f>
        <v>339650.72037236777</v>
      </c>
      <c r="H252" s="359" t="str">
        <f>'Func Future Lines 2015'!H252</f>
        <v>AltaLink</v>
      </c>
      <c r="I252" s="359">
        <f>'Func Future Lines 2015'!I252</f>
        <v>2019</v>
      </c>
      <c r="J252" s="361">
        <f>+IF($I252=J$3,VLOOKUP($H252,Depreciation!$A$6:$L$10,7,FALSE)/2,IF($I252&lt;J$3,VLOOKUP($H252,Depreciation!$A$6:$L$10,7,FALSE),0))</f>
        <v>0</v>
      </c>
      <c r="K252" s="361">
        <f>+IF($I252=K$3,VLOOKUP($H252,Depreciation!$A$6:$L$10,8,FALSE)/2,IF($I252&lt;K$3,VLOOKUP($H252,Depreciation!$A$6:$L$10,8,FALSE),0))</f>
        <v>0</v>
      </c>
      <c r="L252" s="361">
        <f>+IF($I252=L$3,VLOOKUP($H252,Depreciation!$A$6:$L$10,9,FALSE)/2,IF($I252&lt;L$3,VLOOKUP($H252,Depreciation!$A$6:$L$10,9,FALSE),0))</f>
        <v>0</v>
      </c>
      <c r="M252" s="361">
        <f>+IF($I252=M$3,VLOOKUP($H252,Depreciation!$A$6:$L$10,10,FALSE)/2,IF($I252&lt;M$3,VLOOKUP($H252,Depreciation!$A$6:$L$10,10,FALSE),0))</f>
        <v>0</v>
      </c>
      <c r="N252" s="361">
        <f>+IF($I252=N$3,VLOOKUP($H252,Depreciation!$A$6:$L$10,11,FALSE)/2,IF($I252&lt;N$3,VLOOKUP($H252,Depreciation!$A$6:$L$10,11,FALSE),0))</f>
        <v>1.5338181838063448E-2</v>
      </c>
      <c r="O252" s="361">
        <f>+IF($I252=O$3,VLOOKUP($H252,Depreciation!$A$6:$L$10,12,FALSE)/2,IF($I252&lt;O$3,VLOOKUP($H252,Depreciation!$A$6:$L$10,12,FALSE),0))</f>
        <v>3.0676363676126896E-2</v>
      </c>
      <c r="P252" s="362">
        <f t="shared" si="11"/>
        <v>0</v>
      </c>
      <c r="Q252" s="362">
        <f t="shared" si="12"/>
        <v>0</v>
      </c>
      <c r="R252" s="363">
        <f t="shared" si="13"/>
        <v>0</v>
      </c>
    </row>
    <row r="253" spans="1:18">
      <c r="A253" s="359" t="str">
        <f>'Func Future Lines 2015'!A253</f>
        <v>PPS</v>
      </c>
      <c r="B253" s="359" t="str">
        <f>'Func Future Lines 2015'!B253</f>
        <v>215AL</v>
      </c>
      <c r="C253" s="359">
        <f>'Func Future Lines 2015'!C253</f>
        <v>1442</v>
      </c>
      <c r="D253" s="359">
        <f>'Func Future Lines 2015'!D253</f>
        <v>138</v>
      </c>
      <c r="E253" s="359">
        <f>'Func Future Lines 2015'!E253</f>
        <v>0</v>
      </c>
      <c r="F253" s="359" t="str">
        <f>'Func Future Lines 2015'!F253</f>
        <v>Edmonton</v>
      </c>
      <c r="G253" s="359">
        <f>'Func Future Lines 2015'!G253</f>
        <v>1662085.6643356658</v>
      </c>
      <c r="H253" s="359" t="str">
        <f>'Func Future Lines 2015'!H253</f>
        <v>AltaLink</v>
      </c>
      <c r="I253" s="359">
        <f>'Func Future Lines 2015'!I253</f>
        <v>2019</v>
      </c>
      <c r="J253" s="361">
        <f>+IF($I253=J$3,VLOOKUP($H253,Depreciation!$A$6:$L$10,7,FALSE)/2,IF($I253&lt;J$3,VLOOKUP($H253,Depreciation!$A$6:$L$10,7,FALSE),0))</f>
        <v>0</v>
      </c>
      <c r="K253" s="361">
        <f>+IF($I253=K$3,VLOOKUP($H253,Depreciation!$A$6:$L$10,8,FALSE)/2,IF($I253&lt;K$3,VLOOKUP($H253,Depreciation!$A$6:$L$10,8,FALSE),0))</f>
        <v>0</v>
      </c>
      <c r="L253" s="361">
        <f>+IF($I253=L$3,VLOOKUP($H253,Depreciation!$A$6:$L$10,9,FALSE)/2,IF($I253&lt;L$3,VLOOKUP($H253,Depreciation!$A$6:$L$10,9,FALSE),0))</f>
        <v>0</v>
      </c>
      <c r="M253" s="361">
        <f>+IF($I253=M$3,VLOOKUP($H253,Depreciation!$A$6:$L$10,10,FALSE)/2,IF($I253&lt;M$3,VLOOKUP($H253,Depreciation!$A$6:$L$10,10,FALSE),0))</f>
        <v>0</v>
      </c>
      <c r="N253" s="361">
        <f>+IF($I253=N$3,VLOOKUP($H253,Depreciation!$A$6:$L$10,11,FALSE)/2,IF($I253&lt;N$3,VLOOKUP($H253,Depreciation!$A$6:$L$10,11,FALSE),0))</f>
        <v>1.5338181838063448E-2</v>
      </c>
      <c r="O253" s="361">
        <f>+IF($I253=O$3,VLOOKUP($H253,Depreciation!$A$6:$L$10,12,FALSE)/2,IF($I253&lt;O$3,VLOOKUP($H253,Depreciation!$A$6:$L$10,12,FALSE),0))</f>
        <v>3.0676363676126896E-2</v>
      </c>
      <c r="P253" s="362">
        <f t="shared" si="11"/>
        <v>0</v>
      </c>
      <c r="Q253" s="362">
        <f t="shared" si="12"/>
        <v>0</v>
      </c>
      <c r="R253" s="363">
        <f t="shared" si="13"/>
        <v>0</v>
      </c>
    </row>
    <row r="254" spans="1:18">
      <c r="A254" s="359" t="str">
        <f>'Func Future Lines 2015'!A254</f>
        <v>PPS</v>
      </c>
      <c r="B254" s="359" t="str">
        <f>'Func Future Lines 2015'!B254</f>
        <v>745L</v>
      </c>
      <c r="C254" s="359">
        <f>'Func Future Lines 2015'!C254</f>
        <v>1460</v>
      </c>
      <c r="D254" s="359">
        <f>'Func Future Lines 2015'!D254</f>
        <v>138</v>
      </c>
      <c r="E254" s="359">
        <f>'Func Future Lines 2015'!E254</f>
        <v>0</v>
      </c>
      <c r="F254" s="359" t="str">
        <f>'Func Future Lines 2015'!F254</f>
        <v>Hinton_Edson</v>
      </c>
      <c r="G254" s="359">
        <f>'Func Future Lines 2015'!G254</f>
        <v>1744293.0518617025</v>
      </c>
      <c r="H254" s="359" t="str">
        <f>'Func Future Lines 2015'!H254</f>
        <v>AltaLink</v>
      </c>
      <c r="I254" s="359">
        <f>'Func Future Lines 2015'!I254</f>
        <v>2019</v>
      </c>
      <c r="J254" s="361">
        <f>+IF($I254=J$3,VLOOKUP($H254,Depreciation!$A$6:$L$10,7,FALSE)/2,IF($I254&lt;J$3,VLOOKUP($H254,Depreciation!$A$6:$L$10,7,FALSE),0))</f>
        <v>0</v>
      </c>
      <c r="K254" s="361">
        <f>+IF($I254=K$3,VLOOKUP($H254,Depreciation!$A$6:$L$10,8,FALSE)/2,IF($I254&lt;K$3,VLOOKUP($H254,Depreciation!$A$6:$L$10,8,FALSE),0))</f>
        <v>0</v>
      </c>
      <c r="L254" s="361">
        <f>+IF($I254=L$3,VLOOKUP($H254,Depreciation!$A$6:$L$10,9,FALSE)/2,IF($I254&lt;L$3,VLOOKUP($H254,Depreciation!$A$6:$L$10,9,FALSE),0))</f>
        <v>0</v>
      </c>
      <c r="M254" s="361">
        <f>+IF($I254=M$3,VLOOKUP($H254,Depreciation!$A$6:$L$10,10,FALSE)/2,IF($I254&lt;M$3,VLOOKUP($H254,Depreciation!$A$6:$L$10,10,FALSE),0))</f>
        <v>0</v>
      </c>
      <c r="N254" s="361">
        <f>+IF($I254=N$3,VLOOKUP($H254,Depreciation!$A$6:$L$10,11,FALSE)/2,IF($I254&lt;N$3,VLOOKUP($H254,Depreciation!$A$6:$L$10,11,FALSE),0))</f>
        <v>1.5338181838063448E-2</v>
      </c>
      <c r="O254" s="361">
        <f>+IF($I254=O$3,VLOOKUP($H254,Depreciation!$A$6:$L$10,12,FALSE)/2,IF($I254&lt;O$3,VLOOKUP($H254,Depreciation!$A$6:$L$10,12,FALSE),0))</f>
        <v>3.0676363676126896E-2</v>
      </c>
      <c r="P254" s="362">
        <f t="shared" si="11"/>
        <v>0</v>
      </c>
      <c r="Q254" s="362">
        <f t="shared" si="12"/>
        <v>0</v>
      </c>
      <c r="R254" s="363">
        <f t="shared" si="13"/>
        <v>0</v>
      </c>
    </row>
    <row r="255" spans="1:18">
      <c r="A255" s="359" t="str">
        <f>'Func Future Lines 2015'!A255</f>
        <v>PPS</v>
      </c>
      <c r="B255" s="359" t="str">
        <f>'Func Future Lines 2015'!B255</f>
        <v>Line 9L144</v>
      </c>
      <c r="C255" s="359">
        <f>'Func Future Lines 2015'!C255</f>
        <v>1482</v>
      </c>
      <c r="D255" s="359">
        <f>'Func Future Lines 2015'!D255</f>
        <v>240</v>
      </c>
      <c r="E255" s="359">
        <f>'Func Future Lines 2015'!E255</f>
        <v>0</v>
      </c>
      <c r="F255" s="359">
        <f>'Func Future Lines 2015'!F255</f>
        <v>0</v>
      </c>
      <c r="G255" s="359">
        <f>'Func Future Lines 2015'!G255</f>
        <v>2696306.3908610074</v>
      </c>
      <c r="H255" s="359" t="str">
        <f>'Func Future Lines 2015'!H255</f>
        <v>ATCO</v>
      </c>
      <c r="I255" s="359">
        <f>'Func Future Lines 2015'!I255</f>
        <v>2016</v>
      </c>
      <c r="J255" s="361">
        <f>+IF($I255=J$3,VLOOKUP($H255,Depreciation!$A$6:$L$10,7,FALSE)/2,IF($I255&lt;J$3,VLOOKUP($H255,Depreciation!$A$6:$L$10,7,FALSE),0))</f>
        <v>0</v>
      </c>
      <c r="K255" s="361">
        <f>+IF($I255=K$3,VLOOKUP($H255,Depreciation!$A$6:$L$10,8,FALSE)/2,IF($I255&lt;K$3,VLOOKUP($H255,Depreciation!$A$6:$L$10,8,FALSE),0))</f>
        <v>1.1971929865503333E-2</v>
      </c>
      <c r="L255" s="361">
        <f>+IF($I255=L$3,VLOOKUP($H255,Depreciation!$A$6:$L$10,9,FALSE)/2,IF($I255&lt;L$3,VLOOKUP($H255,Depreciation!$A$6:$L$10,9,FALSE),0))</f>
        <v>2.4002037926855919E-2</v>
      </c>
      <c r="M255" s="361">
        <f>+IF($I255=M$3,VLOOKUP($H255,Depreciation!$A$6:$L$10,10,FALSE)/2,IF($I255&lt;M$3,VLOOKUP($H255,Depreciation!$A$6:$L$10,10,FALSE),0))</f>
        <v>2.4002037926855919E-2</v>
      </c>
      <c r="N255" s="361">
        <f>+IF($I255=N$3,VLOOKUP($H255,Depreciation!$A$6:$L$10,11,FALSE)/2,IF($I255&lt;N$3,VLOOKUP($H255,Depreciation!$A$6:$L$10,11,FALSE),0))</f>
        <v>2.4002037926855919E-2</v>
      </c>
      <c r="O255" s="361">
        <f>+IF($I255=O$3,VLOOKUP($H255,Depreciation!$A$6:$L$10,12,FALSE)/2,IF($I255&lt;O$3,VLOOKUP($H255,Depreciation!$A$6:$L$10,12,FALSE),0))</f>
        <v>2.4002037926855919E-2</v>
      </c>
      <c r="P255" s="362">
        <f t="shared" si="11"/>
        <v>2537677.0142925875</v>
      </c>
      <c r="Q255" s="362">
        <f t="shared" si="12"/>
        <v>2537677.0142925875</v>
      </c>
      <c r="R255" s="363">
        <f t="shared" si="13"/>
        <v>0</v>
      </c>
    </row>
    <row r="256" spans="1:18">
      <c r="A256" s="359" t="str">
        <f>'Func Future Lines 2015'!A256</f>
        <v>PPS</v>
      </c>
      <c r="B256" s="359" t="str">
        <f>'Func Future Lines 2015'!B256</f>
        <v>Line 9L57</v>
      </c>
      <c r="C256" s="359">
        <f>'Func Future Lines 2015'!C256</f>
        <v>1482</v>
      </c>
      <c r="D256" s="359">
        <f>'Func Future Lines 2015'!D256</f>
        <v>240</v>
      </c>
      <c r="E256" s="359">
        <f>'Func Future Lines 2015'!E256</f>
        <v>0</v>
      </c>
      <c r="F256" s="359">
        <f>'Func Future Lines 2015'!F256</f>
        <v>0</v>
      </c>
      <c r="G256" s="359">
        <f>'Func Future Lines 2015'!G256</f>
        <v>1212513.1677151551</v>
      </c>
      <c r="H256" s="359" t="str">
        <f>'Func Future Lines 2015'!H256</f>
        <v>ATCO</v>
      </c>
      <c r="I256" s="359">
        <f>'Func Future Lines 2015'!I256</f>
        <v>2016</v>
      </c>
      <c r="J256" s="361">
        <f>+IF($I256=J$3,VLOOKUP($H256,Depreciation!$A$6:$L$10,7,FALSE)/2,IF($I256&lt;J$3,VLOOKUP($H256,Depreciation!$A$6:$L$10,7,FALSE),0))</f>
        <v>0</v>
      </c>
      <c r="K256" s="361">
        <f>+IF($I256=K$3,VLOOKUP($H256,Depreciation!$A$6:$L$10,8,FALSE)/2,IF($I256&lt;K$3,VLOOKUP($H256,Depreciation!$A$6:$L$10,8,FALSE),0))</f>
        <v>1.1971929865503333E-2</v>
      </c>
      <c r="L256" s="361">
        <f>+IF($I256=L$3,VLOOKUP($H256,Depreciation!$A$6:$L$10,9,FALSE)/2,IF($I256&lt;L$3,VLOOKUP($H256,Depreciation!$A$6:$L$10,9,FALSE),0))</f>
        <v>2.4002037926855919E-2</v>
      </c>
      <c r="M256" s="361">
        <f>+IF($I256=M$3,VLOOKUP($H256,Depreciation!$A$6:$L$10,10,FALSE)/2,IF($I256&lt;M$3,VLOOKUP($H256,Depreciation!$A$6:$L$10,10,FALSE),0))</f>
        <v>2.4002037926855919E-2</v>
      </c>
      <c r="N256" s="361">
        <f>+IF($I256=N$3,VLOOKUP($H256,Depreciation!$A$6:$L$10,11,FALSE)/2,IF($I256&lt;N$3,VLOOKUP($H256,Depreciation!$A$6:$L$10,11,FALSE),0))</f>
        <v>2.4002037926855919E-2</v>
      </c>
      <c r="O256" s="361">
        <f>+IF($I256=O$3,VLOOKUP($H256,Depreciation!$A$6:$L$10,12,FALSE)/2,IF($I256&lt;O$3,VLOOKUP($H256,Depreciation!$A$6:$L$10,12,FALSE),0))</f>
        <v>2.4002037926855919E-2</v>
      </c>
      <c r="P256" s="362">
        <f t="shared" si="11"/>
        <v>1141178.4675758898</v>
      </c>
      <c r="Q256" s="362">
        <f t="shared" si="12"/>
        <v>1141178.4675758898</v>
      </c>
      <c r="R256" s="363">
        <f t="shared" si="13"/>
        <v>0</v>
      </c>
    </row>
    <row r="257" spans="1:18">
      <c r="A257" s="359" t="str">
        <f>'Func Future Lines 2015'!A257</f>
        <v>PPS</v>
      </c>
      <c r="B257" s="359" t="str">
        <f>'Func Future Lines 2015'!B257</f>
        <v xml:space="preserve">v180 - Retermination of 0.025km138kV 719L </v>
      </c>
      <c r="C257" s="359">
        <f>'Func Future Lines 2015'!C257</f>
        <v>1494</v>
      </c>
      <c r="D257" s="359">
        <f>'Func Future Lines 2015'!D257</f>
        <v>138</v>
      </c>
      <c r="E257" s="359">
        <f>'Func Future Lines 2015'!E257</f>
        <v>0</v>
      </c>
      <c r="F257" s="359" t="str">
        <f>'Func Future Lines 2015'!F257</f>
        <v>Caroline</v>
      </c>
      <c r="G257" s="359">
        <f>'Func Future Lines 2015'!G257</f>
        <v>51687.593104915919</v>
      </c>
      <c r="H257" s="359" t="str">
        <f>'Func Future Lines 2015'!H257</f>
        <v>AltaLink</v>
      </c>
      <c r="I257" s="359">
        <f>'Func Future Lines 2015'!I257</f>
        <v>2015</v>
      </c>
      <c r="J257" s="361">
        <f>+IF($I257=J$3,VLOOKUP($H257,Depreciation!$A$6:$L$10,7,FALSE)/2,IF($I257&lt;J$3,VLOOKUP($H257,Depreciation!$A$6:$L$10,7,FALSE),0))</f>
        <v>1.595020804044691E-2</v>
      </c>
      <c r="K257" s="361">
        <f>+IF($I257=K$3,VLOOKUP($H257,Depreciation!$A$6:$L$10,8,FALSE)/2,IF($I257&lt;K$3,VLOOKUP($H257,Depreciation!$A$6:$L$10,8,FALSE),0))</f>
        <v>3.0676363676126896E-2</v>
      </c>
      <c r="L257" s="361">
        <f>+IF($I257=L$3,VLOOKUP($H257,Depreciation!$A$6:$L$10,9,FALSE)/2,IF($I257&lt;L$3,VLOOKUP($H257,Depreciation!$A$6:$L$10,9,FALSE),0))</f>
        <v>3.0676363676126896E-2</v>
      </c>
      <c r="M257" s="361">
        <f>+IF($I257=M$3,VLOOKUP($H257,Depreciation!$A$6:$L$10,10,FALSE)/2,IF($I257&lt;M$3,VLOOKUP($H257,Depreciation!$A$6:$L$10,10,FALSE),0))</f>
        <v>3.0676363676126896E-2</v>
      </c>
      <c r="N257" s="361">
        <f>+IF($I257=N$3,VLOOKUP($H257,Depreciation!$A$6:$L$10,11,FALSE)/2,IF($I257&lt;N$3,VLOOKUP($H257,Depreciation!$A$6:$L$10,11,FALSE),0))</f>
        <v>3.0676363676126896E-2</v>
      </c>
      <c r="O257" s="361">
        <f>+IF($I257=O$3,VLOOKUP($H257,Depreciation!$A$6:$L$10,12,FALSE)/2,IF($I257&lt;O$3,VLOOKUP($H257,Depreciation!$A$6:$L$10,12,FALSE),0))</f>
        <v>3.0676363676126896E-2</v>
      </c>
      <c r="P257" s="362">
        <f t="shared" si="11"/>
        <v>46324.398787492224</v>
      </c>
      <c r="Q257" s="362">
        <f t="shared" si="12"/>
        <v>0</v>
      </c>
      <c r="R257" s="363">
        <f t="shared" si="13"/>
        <v>46324.398787492224</v>
      </c>
    </row>
    <row r="258" spans="1:18">
      <c r="A258" s="359" t="str">
        <f>'Func Future Lines 2015'!A258</f>
        <v>PPS</v>
      </c>
      <c r="B258" s="359" t="str">
        <f>'Func Future Lines 2015'!B258</f>
        <v>line upgrade</v>
      </c>
      <c r="C258" s="359">
        <f>'Func Future Lines 2015'!C258</f>
        <v>1503</v>
      </c>
      <c r="D258" s="359">
        <f>'Func Future Lines 2015'!D258</f>
        <v>25</v>
      </c>
      <c r="E258" s="359">
        <f>'Func Future Lines 2015'!E258</f>
        <v>0</v>
      </c>
      <c r="F258" s="359" t="str">
        <f>'Func Future Lines 2015'!F258</f>
        <v>Fort_Saskatchewan</v>
      </c>
      <c r="G258" s="359">
        <f>'Func Future Lines 2015'!G258</f>
        <v>391589.7435897438</v>
      </c>
      <c r="H258" s="359" t="str">
        <f>'Func Future Lines 2015'!H258</f>
        <v>AltaLink</v>
      </c>
      <c r="I258" s="359">
        <f>'Func Future Lines 2015'!I258</f>
        <v>2016</v>
      </c>
      <c r="J258" s="361">
        <f>+IF($I258=J$3,VLOOKUP($H258,Depreciation!$A$6:$L$10,7,FALSE)/2,IF($I258&lt;J$3,VLOOKUP($H258,Depreciation!$A$6:$L$10,7,FALSE),0))</f>
        <v>0</v>
      </c>
      <c r="K258" s="361">
        <f>+IF($I258=K$3,VLOOKUP($H258,Depreciation!$A$6:$L$10,8,FALSE)/2,IF($I258&lt;K$3,VLOOKUP($H258,Depreciation!$A$6:$L$10,8,FALSE),0))</f>
        <v>1.5338181838063448E-2</v>
      </c>
      <c r="L258" s="361">
        <f>+IF($I258=L$3,VLOOKUP($H258,Depreciation!$A$6:$L$10,9,FALSE)/2,IF($I258&lt;L$3,VLOOKUP($H258,Depreciation!$A$6:$L$10,9,FALSE),0))</f>
        <v>3.0676363676126896E-2</v>
      </c>
      <c r="M258" s="361">
        <f>+IF($I258=M$3,VLOOKUP($H258,Depreciation!$A$6:$L$10,10,FALSE)/2,IF($I258&lt;M$3,VLOOKUP($H258,Depreciation!$A$6:$L$10,10,FALSE),0))</f>
        <v>3.0676363676126896E-2</v>
      </c>
      <c r="N258" s="361">
        <f>+IF($I258=N$3,VLOOKUP($H258,Depreciation!$A$6:$L$10,11,FALSE)/2,IF($I258&lt;N$3,VLOOKUP($H258,Depreciation!$A$6:$L$10,11,FALSE),0))</f>
        <v>3.0676363676126896E-2</v>
      </c>
      <c r="O258" s="361">
        <f>+IF($I258=O$3,VLOOKUP($H258,Depreciation!$A$6:$L$10,12,FALSE)/2,IF($I258&lt;O$3,VLOOKUP($H258,Depreciation!$A$6:$L$10,12,FALSE),0))</f>
        <v>3.0676363676126896E-2</v>
      </c>
      <c r="P258" s="362">
        <f t="shared" si="11"/>
        <v>362289.72065107705</v>
      </c>
      <c r="Q258" s="362">
        <f t="shared" si="12"/>
        <v>0</v>
      </c>
      <c r="R258" s="363">
        <f t="shared" si="13"/>
        <v>0</v>
      </c>
    </row>
    <row r="259" spans="1:18">
      <c r="A259" s="359" t="str">
        <f>'Func Future Lines 2015'!A259</f>
        <v>PPS</v>
      </c>
      <c r="B259" s="359" t="str">
        <f>'Func Future Lines 2015'!B259</f>
        <v>685L/854L 60m in/out line</v>
      </c>
      <c r="C259" s="359">
        <f>'Func Future Lines 2015'!C259</f>
        <v>1515</v>
      </c>
      <c r="D259" s="359">
        <f>'Func Future Lines 2015'!D259</f>
        <v>138</v>
      </c>
      <c r="E259" s="359">
        <f>'Func Future Lines 2015'!E259</f>
        <v>0</v>
      </c>
      <c r="F259" s="359" t="str">
        <f>'Func Future Lines 2015'!F259</f>
        <v>Fox_Creek</v>
      </c>
      <c r="G259" s="359">
        <f>'Func Future Lines 2015'!G259</f>
        <v>1401330.1096067054</v>
      </c>
      <c r="H259" s="359" t="str">
        <f>'Func Future Lines 2015'!H259</f>
        <v>AltaLink</v>
      </c>
      <c r="I259" s="359">
        <f>'Func Future Lines 2015'!I259</f>
        <v>2016</v>
      </c>
      <c r="J259" s="361">
        <f>+IF($I259=J$3,VLOOKUP($H259,Depreciation!$A$6:$L$10,7,FALSE)/2,IF($I259&lt;J$3,VLOOKUP($H259,Depreciation!$A$6:$L$10,7,FALSE),0))</f>
        <v>0</v>
      </c>
      <c r="K259" s="361">
        <f>+IF($I259=K$3,VLOOKUP($H259,Depreciation!$A$6:$L$10,8,FALSE)/2,IF($I259&lt;K$3,VLOOKUP($H259,Depreciation!$A$6:$L$10,8,FALSE),0))</f>
        <v>1.5338181838063448E-2</v>
      </c>
      <c r="L259" s="361">
        <f>+IF($I259=L$3,VLOOKUP($H259,Depreciation!$A$6:$L$10,9,FALSE)/2,IF($I259&lt;L$3,VLOOKUP($H259,Depreciation!$A$6:$L$10,9,FALSE),0))</f>
        <v>3.0676363676126896E-2</v>
      </c>
      <c r="M259" s="361">
        <f>+IF($I259=M$3,VLOOKUP($H259,Depreciation!$A$6:$L$10,10,FALSE)/2,IF($I259&lt;M$3,VLOOKUP($H259,Depreciation!$A$6:$L$10,10,FALSE),0))</f>
        <v>3.0676363676126896E-2</v>
      </c>
      <c r="N259" s="361">
        <f>+IF($I259=N$3,VLOOKUP($H259,Depreciation!$A$6:$L$10,11,FALSE)/2,IF($I259&lt;N$3,VLOOKUP($H259,Depreciation!$A$6:$L$10,11,FALSE),0))</f>
        <v>3.0676363676126896E-2</v>
      </c>
      <c r="O259" s="361">
        <f>+IF($I259=O$3,VLOOKUP($H259,Depreciation!$A$6:$L$10,12,FALSE)/2,IF($I259&lt;O$3,VLOOKUP($H259,Depreciation!$A$6:$L$10,12,FALSE),0))</f>
        <v>3.0676363676126896E-2</v>
      </c>
      <c r="P259" s="362">
        <f t="shared" si="11"/>
        <v>1296478.0162404985</v>
      </c>
      <c r="Q259" s="362">
        <f t="shared" si="12"/>
        <v>0</v>
      </c>
      <c r="R259" s="363">
        <f t="shared" si="13"/>
        <v>1296478.0162404985</v>
      </c>
    </row>
    <row r="260" spans="1:18">
      <c r="A260" s="359" t="str">
        <f>'Func Future Lines 2015'!A260</f>
        <v>PPS</v>
      </c>
      <c r="B260" s="359" t="str">
        <f>'Func Future Lines 2015'!B260</f>
        <v>949L</v>
      </c>
      <c r="C260" s="359">
        <f>'Func Future Lines 2015'!C260</f>
        <v>1533</v>
      </c>
      <c r="D260" s="359">
        <f>'Func Future Lines 2015'!D260</f>
        <v>240</v>
      </c>
      <c r="E260" s="359">
        <f>'Func Future Lines 2015'!E260</f>
        <v>0</v>
      </c>
      <c r="F260" s="359">
        <f>'Func Future Lines 2015'!F260</f>
        <v>0</v>
      </c>
      <c r="G260" s="359">
        <f>'Func Future Lines 2015'!G260</f>
        <v>9435770.9999999963</v>
      </c>
      <c r="H260" s="359" t="str">
        <f>'Func Future Lines 2015'!H260</f>
        <v>AltaLink</v>
      </c>
      <c r="I260" s="359">
        <f>'Func Future Lines 2015'!I260</f>
        <v>2017</v>
      </c>
      <c r="J260" s="361">
        <f>+IF($I260=J$3,VLOOKUP($H260,Depreciation!$A$6:$L$10,7,FALSE)/2,IF($I260&lt;J$3,VLOOKUP($H260,Depreciation!$A$6:$L$10,7,FALSE),0))</f>
        <v>0</v>
      </c>
      <c r="K260" s="361">
        <f>+IF($I260=K$3,VLOOKUP($H260,Depreciation!$A$6:$L$10,8,FALSE)/2,IF($I260&lt;K$3,VLOOKUP($H260,Depreciation!$A$6:$L$10,8,FALSE),0))</f>
        <v>0</v>
      </c>
      <c r="L260" s="361">
        <f>+IF($I260=L$3,VLOOKUP($H260,Depreciation!$A$6:$L$10,9,FALSE)/2,IF($I260&lt;L$3,VLOOKUP($H260,Depreciation!$A$6:$L$10,9,FALSE),0))</f>
        <v>1.5338181838063448E-2</v>
      </c>
      <c r="M260" s="361">
        <f>+IF($I260=M$3,VLOOKUP($H260,Depreciation!$A$6:$L$10,10,FALSE)/2,IF($I260&lt;M$3,VLOOKUP($H260,Depreciation!$A$6:$L$10,10,FALSE),0))</f>
        <v>3.0676363676126896E-2</v>
      </c>
      <c r="N260" s="361">
        <f>+IF($I260=N$3,VLOOKUP($H260,Depreciation!$A$6:$L$10,11,FALSE)/2,IF($I260&lt;N$3,VLOOKUP($H260,Depreciation!$A$6:$L$10,11,FALSE),0))</f>
        <v>3.0676363676126896E-2</v>
      </c>
      <c r="O260" s="361">
        <f>+IF($I260=O$3,VLOOKUP($H260,Depreciation!$A$6:$L$10,12,FALSE)/2,IF($I260&lt;O$3,VLOOKUP($H260,Depreciation!$A$6:$L$10,12,FALSE),0))</f>
        <v>3.0676363676126896E-2</v>
      </c>
      <c r="P260" s="362">
        <f t="shared" si="11"/>
        <v>9006028.0014726445</v>
      </c>
      <c r="Q260" s="362">
        <f t="shared" si="12"/>
        <v>9006028.0014726445</v>
      </c>
      <c r="R260" s="363">
        <f t="shared" si="13"/>
        <v>0</v>
      </c>
    </row>
    <row r="261" spans="1:18">
      <c r="A261" s="359" t="str">
        <f>'Func Future Lines 2015'!A261</f>
        <v>PPS</v>
      </c>
      <c r="B261" s="359" t="str">
        <f>'Func Future Lines 2015'!B261</f>
        <v>949L</v>
      </c>
      <c r="C261" s="359">
        <f>'Func Future Lines 2015'!C261</f>
        <v>1533</v>
      </c>
      <c r="D261" s="359">
        <f>'Func Future Lines 2015'!D261</f>
        <v>240</v>
      </c>
      <c r="E261" s="359">
        <f>'Func Future Lines 2015'!E261</f>
        <v>0</v>
      </c>
      <c r="F261" s="359">
        <f>'Func Future Lines 2015'!F261</f>
        <v>0</v>
      </c>
      <c r="G261" s="359">
        <f>'Func Future Lines 2015'!G261</f>
        <v>130006.54878847413</v>
      </c>
      <c r="H261" s="359" t="str">
        <f>'Func Future Lines 2015'!H261</f>
        <v>AltaLink</v>
      </c>
      <c r="I261" s="359">
        <f>'Func Future Lines 2015'!I261</f>
        <v>2017</v>
      </c>
      <c r="J261" s="361">
        <f>+IF($I261=J$3,VLOOKUP($H261,Depreciation!$A$6:$L$10,7,FALSE)/2,IF($I261&lt;J$3,VLOOKUP($H261,Depreciation!$A$6:$L$10,7,FALSE),0))</f>
        <v>0</v>
      </c>
      <c r="K261" s="361">
        <f>+IF($I261=K$3,VLOOKUP($H261,Depreciation!$A$6:$L$10,8,FALSE)/2,IF($I261&lt;K$3,VLOOKUP($H261,Depreciation!$A$6:$L$10,8,FALSE),0))</f>
        <v>0</v>
      </c>
      <c r="L261" s="361">
        <f>+IF($I261=L$3,VLOOKUP($H261,Depreciation!$A$6:$L$10,9,FALSE)/2,IF($I261&lt;L$3,VLOOKUP($H261,Depreciation!$A$6:$L$10,9,FALSE),0))</f>
        <v>1.5338181838063448E-2</v>
      </c>
      <c r="M261" s="361">
        <f>+IF($I261=M$3,VLOOKUP($H261,Depreciation!$A$6:$L$10,10,FALSE)/2,IF($I261&lt;M$3,VLOOKUP($H261,Depreciation!$A$6:$L$10,10,FALSE),0))</f>
        <v>3.0676363676126896E-2</v>
      </c>
      <c r="N261" s="361">
        <f>+IF($I261=N$3,VLOOKUP($H261,Depreciation!$A$6:$L$10,11,FALSE)/2,IF($I261&lt;N$3,VLOOKUP($H261,Depreciation!$A$6:$L$10,11,FALSE),0))</f>
        <v>3.0676363676126896E-2</v>
      </c>
      <c r="O261" s="361">
        <f>+IF($I261=O$3,VLOOKUP($H261,Depreciation!$A$6:$L$10,12,FALSE)/2,IF($I261&lt;O$3,VLOOKUP($H261,Depreciation!$A$6:$L$10,12,FALSE),0))</f>
        <v>3.0676363676126896E-2</v>
      </c>
      <c r="P261" s="362">
        <f t="shared" ref="P261:P277" si="14">IF(I261&lt;=2018,G261*(1-J261)*(1-K261)*(1-L261)*(1-M261),0)</f>
        <v>124085.52716718304</v>
      </c>
      <c r="Q261" s="362">
        <f t="shared" ref="Q261:Q277" si="15">IF(D261&gt;=240,P261,0)</f>
        <v>124085.52716718304</v>
      </c>
      <c r="R261" s="363">
        <f t="shared" ref="R261:R277" si="16">IF(AND(D261&gt;25,D261&lt;240),P261,0)</f>
        <v>0</v>
      </c>
    </row>
    <row r="262" spans="1:18">
      <c r="A262" s="359" t="str">
        <f>'Func Future Lines 2015'!A262</f>
        <v>PPS</v>
      </c>
      <c r="B262" s="359" t="str">
        <f>'Func Future Lines 2015'!B262</f>
        <v>769BL</v>
      </c>
      <c r="C262" s="359">
        <f>'Func Future Lines 2015'!C262</f>
        <v>1558</v>
      </c>
      <c r="D262" s="359">
        <f>'Func Future Lines 2015'!D262</f>
        <v>138</v>
      </c>
      <c r="E262" s="359">
        <f>'Func Future Lines 2015'!E262</f>
        <v>0</v>
      </c>
      <c r="F262" s="359" t="str">
        <f>'Func Future Lines 2015'!F262</f>
        <v>Wainwright</v>
      </c>
      <c r="G262" s="359">
        <f>'Func Future Lines 2015'!G262</f>
        <v>3292161.5302869286</v>
      </c>
      <c r="H262" s="359" t="str">
        <f>'Func Future Lines 2015'!H262</f>
        <v>AltaLink</v>
      </c>
      <c r="I262" s="359">
        <f>'Func Future Lines 2015'!I262</f>
        <v>2018</v>
      </c>
      <c r="J262" s="361">
        <f>+IF($I262=J$3,VLOOKUP($H262,Depreciation!$A$6:$L$10,7,FALSE)/2,IF($I262&lt;J$3,VLOOKUP($H262,Depreciation!$A$6:$L$10,7,FALSE),0))</f>
        <v>0</v>
      </c>
      <c r="K262" s="361">
        <f>+IF($I262=K$3,VLOOKUP($H262,Depreciation!$A$6:$L$10,8,FALSE)/2,IF($I262&lt;K$3,VLOOKUP($H262,Depreciation!$A$6:$L$10,8,FALSE),0))</f>
        <v>0</v>
      </c>
      <c r="L262" s="361">
        <f>+IF($I262=L$3,VLOOKUP($H262,Depreciation!$A$6:$L$10,9,FALSE)/2,IF($I262&lt;L$3,VLOOKUP($H262,Depreciation!$A$6:$L$10,9,FALSE),0))</f>
        <v>0</v>
      </c>
      <c r="M262" s="361">
        <f>+IF($I262=M$3,VLOOKUP($H262,Depreciation!$A$6:$L$10,10,FALSE)/2,IF($I262&lt;M$3,VLOOKUP($H262,Depreciation!$A$6:$L$10,10,FALSE),0))</f>
        <v>1.5338181838063448E-2</v>
      </c>
      <c r="N262" s="361">
        <f>+IF($I262=N$3,VLOOKUP($H262,Depreciation!$A$6:$L$10,11,FALSE)/2,IF($I262&lt;N$3,VLOOKUP($H262,Depreciation!$A$6:$L$10,11,FALSE),0))</f>
        <v>3.0676363676126896E-2</v>
      </c>
      <c r="O262" s="361">
        <f>+IF($I262=O$3,VLOOKUP($H262,Depreciation!$A$6:$L$10,12,FALSE)/2,IF($I262&lt;O$3,VLOOKUP($H262,Depreciation!$A$6:$L$10,12,FALSE),0))</f>
        <v>3.0676363676126896E-2</v>
      </c>
      <c r="P262" s="362">
        <f t="shared" si="14"/>
        <v>3241665.7580951103</v>
      </c>
      <c r="Q262" s="362">
        <f t="shared" si="15"/>
        <v>0</v>
      </c>
      <c r="R262" s="363">
        <f t="shared" si="16"/>
        <v>3241665.7580951103</v>
      </c>
    </row>
    <row r="263" spans="1:18">
      <c r="A263" s="359" t="str">
        <f>'Func Future Lines 2015'!A263</f>
        <v>PPS</v>
      </c>
      <c r="B263" s="359" t="str">
        <f>'Func Future Lines 2015'!B263</f>
        <v>769L</v>
      </c>
      <c r="C263" s="359">
        <f>'Func Future Lines 2015'!C263</f>
        <v>1558</v>
      </c>
      <c r="D263" s="359">
        <f>'Func Future Lines 2015'!D263</f>
        <v>138</v>
      </c>
      <c r="E263" s="359">
        <f>'Func Future Lines 2015'!E263</f>
        <v>0</v>
      </c>
      <c r="F263" s="359" t="str">
        <f>'Func Future Lines 2015'!F263</f>
        <v>Wainwright</v>
      </c>
      <c r="G263" s="359">
        <f>'Func Future Lines 2015'!G263</f>
        <v>96108.749557208634</v>
      </c>
      <c r="H263" s="359" t="str">
        <f>'Func Future Lines 2015'!H263</f>
        <v>AltaLink</v>
      </c>
      <c r="I263" s="359">
        <f>'Func Future Lines 2015'!I263</f>
        <v>2018</v>
      </c>
      <c r="J263" s="361">
        <f>+IF($I263=J$3,VLOOKUP($H263,Depreciation!$A$6:$L$10,7,FALSE)/2,IF($I263&lt;J$3,VLOOKUP($H263,Depreciation!$A$6:$L$10,7,FALSE),0))</f>
        <v>0</v>
      </c>
      <c r="K263" s="361">
        <f>+IF($I263=K$3,VLOOKUP($H263,Depreciation!$A$6:$L$10,8,FALSE)/2,IF($I263&lt;K$3,VLOOKUP($H263,Depreciation!$A$6:$L$10,8,FALSE),0))</f>
        <v>0</v>
      </c>
      <c r="L263" s="361">
        <f>+IF($I263=L$3,VLOOKUP($H263,Depreciation!$A$6:$L$10,9,FALSE)/2,IF($I263&lt;L$3,VLOOKUP($H263,Depreciation!$A$6:$L$10,9,FALSE),0))</f>
        <v>0</v>
      </c>
      <c r="M263" s="361">
        <f>+IF($I263=M$3,VLOOKUP($H263,Depreciation!$A$6:$L$10,10,FALSE)/2,IF($I263&lt;M$3,VLOOKUP($H263,Depreciation!$A$6:$L$10,10,FALSE),0))</f>
        <v>1.5338181838063448E-2</v>
      </c>
      <c r="N263" s="361">
        <f>+IF($I263=N$3,VLOOKUP($H263,Depreciation!$A$6:$L$10,11,FALSE)/2,IF($I263&lt;N$3,VLOOKUP($H263,Depreciation!$A$6:$L$10,11,FALSE),0))</f>
        <v>3.0676363676126896E-2</v>
      </c>
      <c r="O263" s="361">
        <f>+IF($I263=O$3,VLOOKUP($H263,Depreciation!$A$6:$L$10,12,FALSE)/2,IF($I263&lt;O$3,VLOOKUP($H263,Depreciation!$A$6:$L$10,12,FALSE),0))</f>
        <v>3.0676363676126896E-2</v>
      </c>
      <c r="P263" s="362">
        <f t="shared" si="14"/>
        <v>94634.616080271269</v>
      </c>
      <c r="Q263" s="362">
        <f t="shared" si="15"/>
        <v>0</v>
      </c>
      <c r="R263" s="363">
        <f t="shared" si="16"/>
        <v>94634.616080271269</v>
      </c>
    </row>
    <row r="264" spans="1:18">
      <c r="A264" s="359" t="str">
        <f>'Func Future Lines 2015'!A264</f>
        <v>PPS</v>
      </c>
      <c r="B264" s="359" t="str">
        <f>'Func Future Lines 2015'!B264</f>
        <v>7L05</v>
      </c>
      <c r="C264" s="359">
        <f>'Func Future Lines 2015'!C264</f>
        <v>1570</v>
      </c>
      <c r="D264" s="359">
        <f>'Func Future Lines 2015'!D264</f>
        <v>138</v>
      </c>
      <c r="E264" s="359">
        <f>'Func Future Lines 2015'!E264</f>
        <v>0</v>
      </c>
      <c r="F264" s="359" t="str">
        <f>'Func Future Lines 2015'!F264</f>
        <v>Fort McMurray</v>
      </c>
      <c r="G264" s="359">
        <f>'Func Future Lines 2015'!G264</f>
        <v>304434.26965509646</v>
      </c>
      <c r="H264" s="359" t="str">
        <f>'Func Future Lines 2015'!H264</f>
        <v>ATCO</v>
      </c>
      <c r="I264" s="359">
        <f>'Func Future Lines 2015'!I264</f>
        <v>2017</v>
      </c>
      <c r="J264" s="361">
        <f>+IF($I264=J$3,VLOOKUP($H264,Depreciation!$A$6:$L$10,7,FALSE)/2,IF($I264&lt;J$3,VLOOKUP($H264,Depreciation!$A$6:$L$10,7,FALSE),0))</f>
        <v>0</v>
      </c>
      <c r="K264" s="361">
        <f>+IF($I264=K$3,VLOOKUP($H264,Depreciation!$A$6:$L$10,8,FALSE)/2,IF($I264&lt;K$3,VLOOKUP($H264,Depreciation!$A$6:$L$10,8,FALSE),0))</f>
        <v>0</v>
      </c>
      <c r="L264" s="361">
        <f>+IF($I264=L$3,VLOOKUP($H264,Depreciation!$A$6:$L$10,9,FALSE)/2,IF($I264&lt;L$3,VLOOKUP($H264,Depreciation!$A$6:$L$10,9,FALSE),0))</f>
        <v>1.2001018963427959E-2</v>
      </c>
      <c r="M264" s="361">
        <f>+IF($I264=M$3,VLOOKUP($H264,Depreciation!$A$6:$L$10,10,FALSE)/2,IF($I264&lt;M$3,VLOOKUP($H264,Depreciation!$A$6:$L$10,10,FALSE),0))</f>
        <v>2.4002037926855919E-2</v>
      </c>
      <c r="N264" s="361">
        <f>+IF($I264=N$3,VLOOKUP($H264,Depreciation!$A$6:$L$10,11,FALSE)/2,IF($I264&lt;N$3,VLOOKUP($H264,Depreciation!$A$6:$L$10,11,FALSE),0))</f>
        <v>2.4002037926855919E-2</v>
      </c>
      <c r="O264" s="361">
        <f>+IF($I264=O$3,VLOOKUP($H264,Depreciation!$A$6:$L$10,12,FALSE)/2,IF($I264&lt;O$3,VLOOKUP($H264,Depreciation!$A$6:$L$10,12,FALSE),0))</f>
        <v>2.4002037926855919E-2</v>
      </c>
      <c r="P264" s="362">
        <f t="shared" si="14"/>
        <v>293561.39728559944</v>
      </c>
      <c r="Q264" s="362">
        <f t="shared" si="15"/>
        <v>0</v>
      </c>
      <c r="R264" s="363">
        <f t="shared" si="16"/>
        <v>293561.39728559944</v>
      </c>
    </row>
    <row r="265" spans="1:18">
      <c r="A265" s="359" t="str">
        <f>'Func Future Lines 2015'!A265</f>
        <v>PPS</v>
      </c>
      <c r="B265" s="359" t="str">
        <f>'Func Future Lines 2015'!B265</f>
        <v>704L</v>
      </c>
      <c r="C265" s="359">
        <f>'Func Future Lines 2015'!C265</f>
        <v>1594</v>
      </c>
      <c r="D265" s="359">
        <f>'Func Future Lines 2015'!D265</f>
        <v>138</v>
      </c>
      <c r="E265" s="359">
        <f>'Func Future Lines 2015'!E265</f>
        <v>0</v>
      </c>
      <c r="F265" s="359">
        <f>'Func Future Lines 2015'!F265</f>
        <v>0</v>
      </c>
      <c r="G265" s="359">
        <f>'Func Future Lines 2015'!G265</f>
        <v>14086571.090359084</v>
      </c>
      <c r="H265" s="359" t="str">
        <f>'Func Future Lines 2015'!H265</f>
        <v>AltaLink</v>
      </c>
      <c r="I265" s="359">
        <f>'Func Future Lines 2015'!I265</f>
        <v>2018</v>
      </c>
      <c r="J265" s="361">
        <f>+IF($I265=J$3,VLOOKUP($H265,Depreciation!$A$6:$L$10,7,FALSE)/2,IF($I265&lt;J$3,VLOOKUP($H265,Depreciation!$A$6:$L$10,7,FALSE),0))</f>
        <v>0</v>
      </c>
      <c r="K265" s="361">
        <f>+IF($I265=K$3,VLOOKUP($H265,Depreciation!$A$6:$L$10,8,FALSE)/2,IF($I265&lt;K$3,VLOOKUP($H265,Depreciation!$A$6:$L$10,8,FALSE),0))</f>
        <v>0</v>
      </c>
      <c r="L265" s="361">
        <f>+IF($I265=L$3,VLOOKUP($H265,Depreciation!$A$6:$L$10,9,FALSE)/2,IF($I265&lt;L$3,VLOOKUP($H265,Depreciation!$A$6:$L$10,9,FALSE),0))</f>
        <v>0</v>
      </c>
      <c r="M265" s="361">
        <f>+IF($I265=M$3,VLOOKUP($H265,Depreciation!$A$6:$L$10,10,FALSE)/2,IF($I265&lt;M$3,VLOOKUP($H265,Depreciation!$A$6:$L$10,10,FALSE),0))</f>
        <v>1.5338181838063448E-2</v>
      </c>
      <c r="N265" s="361">
        <f>+IF($I265=N$3,VLOOKUP($H265,Depreciation!$A$6:$L$10,11,FALSE)/2,IF($I265&lt;N$3,VLOOKUP($H265,Depreciation!$A$6:$L$10,11,FALSE),0))</f>
        <v>3.0676363676126896E-2</v>
      </c>
      <c r="O265" s="361">
        <f>+IF($I265=O$3,VLOOKUP($H265,Depreciation!$A$6:$L$10,12,FALSE)/2,IF($I265&lt;O$3,VLOOKUP($H265,Depreciation!$A$6:$L$10,12,FALSE),0))</f>
        <v>3.0676363676126896E-2</v>
      </c>
      <c r="P265" s="362">
        <f t="shared" si="14"/>
        <v>13870508.701500349</v>
      </c>
      <c r="Q265" s="362">
        <f t="shared" si="15"/>
        <v>0</v>
      </c>
      <c r="R265" s="363">
        <f t="shared" si="16"/>
        <v>13870508.701500349</v>
      </c>
    </row>
    <row r="266" spans="1:18">
      <c r="A266" s="359" t="str">
        <f>'Func Future Lines 2015'!A266</f>
        <v>PPS</v>
      </c>
      <c r="B266" s="359" t="str">
        <f>'Func Future Lines 2015'!B266</f>
        <v>7LA10</v>
      </c>
      <c r="C266" s="359">
        <f>'Func Future Lines 2015'!C266</f>
        <v>1618</v>
      </c>
      <c r="D266" s="359">
        <f>'Func Future Lines 2015'!D266</f>
        <v>144</v>
      </c>
      <c r="E266" s="359">
        <f>'Func Future Lines 2015'!E266</f>
        <v>0</v>
      </c>
      <c r="F266" s="359">
        <f>'Func Future Lines 2015'!F266</f>
        <v>0</v>
      </c>
      <c r="G266" s="359">
        <f>'Func Future Lines 2015'!G266</f>
        <v>994089.50036748685</v>
      </c>
      <c r="H266" s="359" t="str">
        <f>'Func Future Lines 2015'!H266</f>
        <v>ATCO</v>
      </c>
      <c r="I266" s="359">
        <f>'Func Future Lines 2015'!I266</f>
        <v>2017</v>
      </c>
      <c r="J266" s="361">
        <f>+IF($I266=J$3,VLOOKUP($H266,Depreciation!$A$6:$L$10,7,FALSE)/2,IF($I266&lt;J$3,VLOOKUP($H266,Depreciation!$A$6:$L$10,7,FALSE),0))</f>
        <v>0</v>
      </c>
      <c r="K266" s="361">
        <f>+IF($I266=K$3,VLOOKUP($H266,Depreciation!$A$6:$L$10,8,FALSE)/2,IF($I266&lt;K$3,VLOOKUP($H266,Depreciation!$A$6:$L$10,8,FALSE),0))</f>
        <v>0</v>
      </c>
      <c r="L266" s="361">
        <f>+IF($I266=L$3,VLOOKUP($H266,Depreciation!$A$6:$L$10,9,FALSE)/2,IF($I266&lt;L$3,VLOOKUP($H266,Depreciation!$A$6:$L$10,9,FALSE),0))</f>
        <v>1.2001018963427959E-2</v>
      </c>
      <c r="M266" s="361">
        <f>+IF($I266=M$3,VLOOKUP($H266,Depreciation!$A$6:$L$10,10,FALSE)/2,IF($I266&lt;M$3,VLOOKUP($H266,Depreciation!$A$6:$L$10,10,FALSE),0))</f>
        <v>2.4002037926855919E-2</v>
      </c>
      <c r="N266" s="361">
        <f>+IF($I266=N$3,VLOOKUP($H266,Depreciation!$A$6:$L$10,11,FALSE)/2,IF($I266&lt;N$3,VLOOKUP($H266,Depreciation!$A$6:$L$10,11,FALSE),0))</f>
        <v>2.4002037926855919E-2</v>
      </c>
      <c r="O266" s="361">
        <f>+IF($I266=O$3,VLOOKUP($H266,Depreciation!$A$6:$L$10,12,FALSE)/2,IF($I266&lt;O$3,VLOOKUP($H266,Depreciation!$A$6:$L$10,12,FALSE),0))</f>
        <v>2.4002037926855919E-2</v>
      </c>
      <c r="P266" s="362">
        <f t="shared" si="14"/>
        <v>958585.58593105304</v>
      </c>
      <c r="Q266" s="362">
        <f t="shared" si="15"/>
        <v>0</v>
      </c>
      <c r="R266" s="363">
        <f t="shared" si="16"/>
        <v>958585.58593105304</v>
      </c>
    </row>
    <row r="267" spans="1:18">
      <c r="A267" s="359" t="str">
        <f>'Func Future Lines 2015'!A267</f>
        <v>PPS</v>
      </c>
      <c r="B267" s="359" t="str">
        <f>'Func Future Lines 2015'!B267</f>
        <v>7L20/7L228_(v1)</v>
      </c>
      <c r="C267" s="359">
        <f>'Func Future Lines 2015'!C267</f>
        <v>1634</v>
      </c>
      <c r="D267" s="359">
        <f>'Func Future Lines 2015'!D267</f>
        <v>144</v>
      </c>
      <c r="E267" s="359">
        <f>'Func Future Lines 2015'!E267</f>
        <v>0</v>
      </c>
      <c r="F267" s="359" t="str">
        <f>'Func Future Lines 2015'!F267</f>
        <v>Grande Prairie</v>
      </c>
      <c r="G267" s="359">
        <f>'Func Future Lines 2015'!G267</f>
        <v>2547123.3415767057</v>
      </c>
      <c r="H267" s="359" t="str">
        <f>'Func Future Lines 2015'!H267</f>
        <v>ATCO</v>
      </c>
      <c r="I267" s="359">
        <f>'Func Future Lines 2015'!I267</f>
        <v>2016</v>
      </c>
      <c r="J267" s="361">
        <f>+IF($I267=J$3,VLOOKUP($H267,Depreciation!$A$6:$L$10,7,FALSE)/2,IF($I267&lt;J$3,VLOOKUP($H267,Depreciation!$A$6:$L$10,7,FALSE),0))</f>
        <v>0</v>
      </c>
      <c r="K267" s="361">
        <f>+IF($I267=K$3,VLOOKUP($H267,Depreciation!$A$6:$L$10,8,FALSE)/2,IF($I267&lt;K$3,VLOOKUP($H267,Depreciation!$A$6:$L$10,8,FALSE),0))</f>
        <v>1.1971929865503333E-2</v>
      </c>
      <c r="L267" s="361">
        <f>+IF($I267=L$3,VLOOKUP($H267,Depreciation!$A$6:$L$10,9,FALSE)/2,IF($I267&lt;L$3,VLOOKUP($H267,Depreciation!$A$6:$L$10,9,FALSE),0))</f>
        <v>2.4002037926855919E-2</v>
      </c>
      <c r="M267" s="361">
        <f>+IF($I267=M$3,VLOOKUP($H267,Depreciation!$A$6:$L$10,10,FALSE)/2,IF($I267&lt;M$3,VLOOKUP($H267,Depreciation!$A$6:$L$10,10,FALSE),0))</f>
        <v>2.4002037926855919E-2</v>
      </c>
      <c r="N267" s="361">
        <f>+IF($I267=N$3,VLOOKUP($H267,Depreciation!$A$6:$L$10,11,FALSE)/2,IF($I267&lt;N$3,VLOOKUP($H267,Depreciation!$A$6:$L$10,11,FALSE),0))</f>
        <v>2.4002037926855919E-2</v>
      </c>
      <c r="O267" s="361">
        <f>+IF($I267=O$3,VLOOKUP($H267,Depreciation!$A$6:$L$10,12,FALSE)/2,IF($I267&lt;O$3,VLOOKUP($H267,Depreciation!$A$6:$L$10,12,FALSE),0))</f>
        <v>2.4002037926855919E-2</v>
      </c>
      <c r="P267" s="362">
        <f t="shared" si="14"/>
        <v>2397270.7175994436</v>
      </c>
      <c r="Q267" s="362">
        <f t="shared" si="15"/>
        <v>0</v>
      </c>
      <c r="R267" s="363">
        <f t="shared" si="16"/>
        <v>2397270.7175994436</v>
      </c>
    </row>
    <row r="268" spans="1:18">
      <c r="A268" s="359" t="str">
        <f>'Func Future Lines 2015'!A268</f>
        <v>PPS</v>
      </c>
      <c r="B268" s="359" t="str">
        <f>'Func Future Lines 2015'!B268</f>
        <v>7L20/7L228_(v1)</v>
      </c>
      <c r="C268" s="359">
        <f>'Func Future Lines 2015'!C268</f>
        <v>1634</v>
      </c>
      <c r="D268" s="359">
        <f>'Func Future Lines 2015'!D268</f>
        <v>144</v>
      </c>
      <c r="E268" s="359">
        <f>'Func Future Lines 2015'!E268</f>
        <v>0</v>
      </c>
      <c r="F268" s="359" t="str">
        <f>'Func Future Lines 2015'!F268</f>
        <v>Grande Prairie</v>
      </c>
      <c r="G268" s="359">
        <f>'Func Future Lines 2015'!G268</f>
        <v>2545264.0744639053</v>
      </c>
      <c r="H268" s="359" t="str">
        <f>'Func Future Lines 2015'!H268</f>
        <v>ATCO</v>
      </c>
      <c r="I268" s="359">
        <f>'Func Future Lines 2015'!I268</f>
        <v>2016</v>
      </c>
      <c r="J268" s="361">
        <f>+IF($I268=J$3,VLOOKUP($H268,Depreciation!$A$6:$L$10,7,FALSE)/2,IF($I268&lt;J$3,VLOOKUP($H268,Depreciation!$A$6:$L$10,7,FALSE),0))</f>
        <v>0</v>
      </c>
      <c r="K268" s="361">
        <f>+IF($I268=K$3,VLOOKUP($H268,Depreciation!$A$6:$L$10,8,FALSE)/2,IF($I268&lt;K$3,VLOOKUP($H268,Depreciation!$A$6:$L$10,8,FALSE),0))</f>
        <v>1.1971929865503333E-2</v>
      </c>
      <c r="L268" s="361">
        <f>+IF($I268=L$3,VLOOKUP($H268,Depreciation!$A$6:$L$10,9,FALSE)/2,IF($I268&lt;L$3,VLOOKUP($H268,Depreciation!$A$6:$L$10,9,FALSE),0))</f>
        <v>2.4002037926855919E-2</v>
      </c>
      <c r="M268" s="361">
        <f>+IF($I268=M$3,VLOOKUP($H268,Depreciation!$A$6:$L$10,10,FALSE)/2,IF($I268&lt;M$3,VLOOKUP($H268,Depreciation!$A$6:$L$10,10,FALSE),0))</f>
        <v>2.4002037926855919E-2</v>
      </c>
      <c r="N268" s="361">
        <f>+IF($I268=N$3,VLOOKUP($H268,Depreciation!$A$6:$L$10,11,FALSE)/2,IF($I268&lt;N$3,VLOOKUP($H268,Depreciation!$A$6:$L$10,11,FALSE),0))</f>
        <v>2.4002037926855919E-2</v>
      </c>
      <c r="O268" s="361">
        <f>+IF($I268=O$3,VLOOKUP($H268,Depreciation!$A$6:$L$10,12,FALSE)/2,IF($I268&lt;O$3,VLOOKUP($H268,Depreciation!$A$6:$L$10,12,FALSE),0))</f>
        <v>2.4002037926855919E-2</v>
      </c>
      <c r="P268" s="362">
        <f t="shared" si="14"/>
        <v>2395520.8350817985</v>
      </c>
      <c r="Q268" s="362">
        <f t="shared" si="15"/>
        <v>0</v>
      </c>
      <c r="R268" s="363">
        <f t="shared" si="16"/>
        <v>2395520.8350817985</v>
      </c>
    </row>
    <row r="269" spans="1:18">
      <c r="A269" s="359" t="str">
        <f>'Func Future Lines 2015'!A269</f>
        <v>PPS</v>
      </c>
      <c r="B269" s="359" t="str">
        <f>'Func Future Lines 2015'!B269</f>
        <v>633L</v>
      </c>
      <c r="C269" s="359">
        <f>'Func Future Lines 2015'!C269</f>
        <v>1636</v>
      </c>
      <c r="D269" s="359">
        <f>'Func Future Lines 2015'!D269</f>
        <v>138</v>
      </c>
      <c r="E269" s="359">
        <f>'Func Future Lines 2015'!E269</f>
        <v>0</v>
      </c>
      <c r="F269" s="359" t="str">
        <f>'Func Future Lines 2015'!F269</f>
        <v>Athabasca/Lac</v>
      </c>
      <c r="G269" s="359">
        <f>'Func Future Lines 2015'!G269</f>
        <v>357000.61337149848</v>
      </c>
      <c r="H269" s="359" t="str">
        <f>'Func Future Lines 2015'!H269</f>
        <v>AltaLink</v>
      </c>
      <c r="I269" s="359">
        <f>'Func Future Lines 2015'!I269</f>
        <v>2016</v>
      </c>
      <c r="J269" s="361">
        <f>+IF($I269=J$3,VLOOKUP($H269,Depreciation!$A$6:$L$10,7,FALSE)/2,IF($I269&lt;J$3,VLOOKUP($H269,Depreciation!$A$6:$L$10,7,FALSE),0))</f>
        <v>0</v>
      </c>
      <c r="K269" s="361">
        <f>+IF($I269=K$3,VLOOKUP($H269,Depreciation!$A$6:$L$10,8,FALSE)/2,IF($I269&lt;K$3,VLOOKUP($H269,Depreciation!$A$6:$L$10,8,FALSE),0))</f>
        <v>1.5338181838063448E-2</v>
      </c>
      <c r="L269" s="361">
        <f>+IF($I269=L$3,VLOOKUP($H269,Depreciation!$A$6:$L$10,9,FALSE)/2,IF($I269&lt;L$3,VLOOKUP($H269,Depreciation!$A$6:$L$10,9,FALSE),0))</f>
        <v>3.0676363676126896E-2</v>
      </c>
      <c r="M269" s="361">
        <f>+IF($I269=M$3,VLOOKUP($H269,Depreciation!$A$6:$L$10,10,FALSE)/2,IF($I269&lt;M$3,VLOOKUP($H269,Depreciation!$A$6:$L$10,10,FALSE),0))</f>
        <v>3.0676363676126896E-2</v>
      </c>
      <c r="N269" s="361">
        <f>+IF($I269=N$3,VLOOKUP($H269,Depreciation!$A$6:$L$10,11,FALSE)/2,IF($I269&lt;N$3,VLOOKUP($H269,Depreciation!$A$6:$L$10,11,FALSE),0))</f>
        <v>3.0676363676126896E-2</v>
      </c>
      <c r="O269" s="361">
        <f>+IF($I269=O$3,VLOOKUP($H269,Depreciation!$A$6:$L$10,12,FALSE)/2,IF($I269&lt;O$3,VLOOKUP($H269,Depreciation!$A$6:$L$10,12,FALSE),0))</f>
        <v>3.0676363676126896E-2</v>
      </c>
      <c r="P269" s="362">
        <f t="shared" si="14"/>
        <v>330288.66207008308</v>
      </c>
      <c r="Q269" s="362">
        <f t="shared" si="15"/>
        <v>0</v>
      </c>
      <c r="R269" s="363">
        <f t="shared" si="16"/>
        <v>330288.66207008308</v>
      </c>
    </row>
    <row r="270" spans="1:18">
      <c r="A270" s="359" t="str">
        <f>'Func Future Lines 2015'!A270</f>
        <v>PPS</v>
      </c>
      <c r="B270" s="359" t="str">
        <f>'Func Future Lines 2015'!B270</f>
        <v>1214L</v>
      </c>
      <c r="C270" s="359">
        <f>'Func Future Lines 2015'!C270</f>
        <v>1655</v>
      </c>
      <c r="D270" s="359">
        <f>'Func Future Lines 2015'!D270</f>
        <v>500</v>
      </c>
      <c r="E270" s="359">
        <f>'Func Future Lines 2015'!E270</f>
        <v>0</v>
      </c>
      <c r="F270" s="359" t="str">
        <f>'Func Future Lines 2015'!F270</f>
        <v>Fort McMurray</v>
      </c>
      <c r="G270" s="359">
        <f>'Func Future Lines 2015'!G270</f>
        <v>816333.28402366897</v>
      </c>
      <c r="H270" s="359" t="str">
        <f>'Func Future Lines 2015'!H270</f>
        <v>AltaLink</v>
      </c>
      <c r="I270" s="359">
        <f>'Func Future Lines 2015'!I270</f>
        <v>2018</v>
      </c>
      <c r="J270" s="361">
        <f>+IF($I270=J$3,VLOOKUP($H270,Depreciation!$A$6:$L$10,7,FALSE)/2,IF($I270&lt;J$3,VLOOKUP($H270,Depreciation!$A$6:$L$10,7,FALSE),0))</f>
        <v>0</v>
      </c>
      <c r="K270" s="361">
        <f>+IF($I270=K$3,VLOOKUP($H270,Depreciation!$A$6:$L$10,8,FALSE)/2,IF($I270&lt;K$3,VLOOKUP($H270,Depreciation!$A$6:$L$10,8,FALSE),0))</f>
        <v>0</v>
      </c>
      <c r="L270" s="361">
        <f>+IF($I270=L$3,VLOOKUP($H270,Depreciation!$A$6:$L$10,9,FALSE)/2,IF($I270&lt;L$3,VLOOKUP($H270,Depreciation!$A$6:$L$10,9,FALSE),0))</f>
        <v>0</v>
      </c>
      <c r="M270" s="361">
        <f>+IF($I270=M$3,VLOOKUP($H270,Depreciation!$A$6:$L$10,10,FALSE)/2,IF($I270&lt;M$3,VLOOKUP($H270,Depreciation!$A$6:$L$10,10,FALSE),0))</f>
        <v>1.5338181838063448E-2</v>
      </c>
      <c r="N270" s="361">
        <f>+IF($I270=N$3,VLOOKUP($H270,Depreciation!$A$6:$L$10,11,FALSE)/2,IF($I270&lt;N$3,VLOOKUP($H270,Depreciation!$A$6:$L$10,11,FALSE),0))</f>
        <v>3.0676363676126896E-2</v>
      </c>
      <c r="O270" s="361">
        <f>+IF($I270=O$3,VLOOKUP($H270,Depreciation!$A$6:$L$10,12,FALSE)/2,IF($I270&lt;O$3,VLOOKUP($H270,Depreciation!$A$6:$L$10,12,FALSE),0))</f>
        <v>3.0676363676126896E-2</v>
      </c>
      <c r="P270" s="362">
        <f t="shared" si="14"/>
        <v>803812.21567285038</v>
      </c>
      <c r="Q270" s="362">
        <f t="shared" si="15"/>
        <v>803812.21567285038</v>
      </c>
      <c r="R270" s="363">
        <f t="shared" si="16"/>
        <v>0</v>
      </c>
    </row>
    <row r="271" spans="1:18">
      <c r="A271" s="359" t="str">
        <f>'Func Future Lines 2015'!A271</f>
        <v>OOM</v>
      </c>
      <c r="B271" s="359" t="str">
        <f>'Func Future Lines 2015'!B271</f>
        <v>New 7km s/c tap to 7L90</v>
      </c>
      <c r="C271" s="359">
        <f>'Func Future Lines 2015'!C271</f>
        <v>1722</v>
      </c>
      <c r="D271" s="359">
        <f>'Func Future Lines 2015'!D271</f>
        <v>144</v>
      </c>
      <c r="E271" s="359">
        <f>'Func Future Lines 2015'!E271</f>
        <v>0</v>
      </c>
      <c r="F271" s="359">
        <f>'Func Future Lines 2015'!F271</f>
        <v>0</v>
      </c>
      <c r="G271" s="359">
        <f>'Func Future Lines 2015'!G271</f>
        <v>5595520.8321615737</v>
      </c>
      <c r="H271" s="359" t="str">
        <f>'Func Future Lines 2015'!H271</f>
        <v>ATCO</v>
      </c>
      <c r="I271" s="359">
        <f>'Func Future Lines 2015'!I271</f>
        <v>2017</v>
      </c>
      <c r="J271" s="361">
        <f>+IF($I271=J$3,VLOOKUP($H271,Depreciation!$A$6:$L$10,7,FALSE)/2,IF($I271&lt;J$3,VLOOKUP($H271,Depreciation!$A$6:$L$10,7,FALSE),0))</f>
        <v>0</v>
      </c>
      <c r="K271" s="361">
        <f>+IF($I271=K$3,VLOOKUP($H271,Depreciation!$A$6:$L$10,8,FALSE)/2,IF($I271&lt;K$3,VLOOKUP($H271,Depreciation!$A$6:$L$10,8,FALSE),0))</f>
        <v>0</v>
      </c>
      <c r="L271" s="361">
        <f>+IF($I271=L$3,VLOOKUP($H271,Depreciation!$A$6:$L$10,9,FALSE)/2,IF($I271&lt;L$3,VLOOKUP($H271,Depreciation!$A$6:$L$10,9,FALSE),0))</f>
        <v>1.2001018963427959E-2</v>
      </c>
      <c r="M271" s="361">
        <f>+IF($I271=M$3,VLOOKUP($H271,Depreciation!$A$6:$L$10,10,FALSE)/2,IF($I271&lt;M$3,VLOOKUP($H271,Depreciation!$A$6:$L$10,10,FALSE),0))</f>
        <v>2.4002037926855919E-2</v>
      </c>
      <c r="N271" s="361">
        <f>+IF($I271=N$3,VLOOKUP($H271,Depreciation!$A$6:$L$10,11,FALSE)/2,IF($I271&lt;N$3,VLOOKUP($H271,Depreciation!$A$6:$L$10,11,FALSE),0))</f>
        <v>2.4002037926855919E-2</v>
      </c>
      <c r="O271" s="361">
        <f>+IF($I271=O$3,VLOOKUP($H271,Depreciation!$A$6:$L$10,12,FALSE)/2,IF($I271&lt;O$3,VLOOKUP($H271,Depreciation!$A$6:$L$10,12,FALSE),0))</f>
        <v>2.4002037926855919E-2</v>
      </c>
      <c r="P271" s="362">
        <f t="shared" si="14"/>
        <v>5395676.7610000661</v>
      </c>
      <c r="Q271" s="362">
        <f t="shared" si="15"/>
        <v>0</v>
      </c>
      <c r="R271" s="363">
        <f t="shared" si="16"/>
        <v>5395676.7610000661</v>
      </c>
    </row>
    <row r="272" spans="1:18">
      <c r="A272" s="359" t="str">
        <f>'Func Future Lines 2015'!A272</f>
        <v>NID</v>
      </c>
      <c r="B272" s="359" t="str">
        <f>'Func Future Lines 2015'!B272</f>
        <v>138kV line</v>
      </c>
      <c r="C272" s="359">
        <f>'Func Future Lines 2015'!C272</f>
        <v>1456</v>
      </c>
      <c r="D272" s="359">
        <f>'Func Future Lines 2015'!D272</f>
        <v>138</v>
      </c>
      <c r="E272" s="359">
        <f>'Func Future Lines 2015'!E272</f>
        <v>0</v>
      </c>
      <c r="F272" s="359" t="str">
        <f>'Func Future Lines 2015'!F272</f>
        <v>Calgary</v>
      </c>
      <c r="G272" s="359">
        <f>'Func Future Lines 2015'!G272</f>
        <v>74119816.894765332</v>
      </c>
      <c r="H272" s="359" t="str">
        <f>'Func Future Lines 2015'!H272</f>
        <v>ENMAX</v>
      </c>
      <c r="I272" s="359">
        <f>'Func Future Lines 2015'!I272</f>
        <v>2021</v>
      </c>
      <c r="J272" s="361">
        <f>+IF($I272=J$3,VLOOKUP($H272,Depreciation!$A$6:$L$10,7,FALSE)/2,IF($I272&lt;J$3,VLOOKUP($H272,Depreciation!$A$6:$L$10,7,FALSE),0))</f>
        <v>0</v>
      </c>
      <c r="K272" s="361">
        <f>+IF($I272=K$3,VLOOKUP($H272,Depreciation!$A$6:$L$10,8,FALSE)/2,IF($I272&lt;K$3,VLOOKUP($H272,Depreciation!$A$6:$L$10,8,FALSE),0))</f>
        <v>0</v>
      </c>
      <c r="L272" s="361">
        <f>+IF($I272=L$3,VLOOKUP($H272,Depreciation!$A$6:$L$10,9,FALSE)/2,IF($I272&lt;L$3,VLOOKUP($H272,Depreciation!$A$6:$L$10,9,FALSE),0))</f>
        <v>0</v>
      </c>
      <c r="M272" s="361">
        <f>+IF($I272=M$3,VLOOKUP($H272,Depreciation!$A$6:$L$10,10,FALSE)/2,IF($I272&lt;M$3,VLOOKUP($H272,Depreciation!$A$6:$L$10,10,FALSE),0))</f>
        <v>0</v>
      </c>
      <c r="N272" s="361">
        <f>+IF($I272=N$3,VLOOKUP($H272,Depreciation!$A$6:$L$10,11,FALSE)/2,IF($I272&lt;N$3,VLOOKUP($H272,Depreciation!$A$6:$L$10,11,FALSE),0))</f>
        <v>0</v>
      </c>
      <c r="O272" s="361">
        <f>+IF($I272=O$3,VLOOKUP($H272,Depreciation!$A$6:$L$10,12,FALSE)/2,IF($I272&lt;O$3,VLOOKUP($H272,Depreciation!$A$6:$L$10,12,FALSE),0))</f>
        <v>0</v>
      </c>
      <c r="P272" s="362">
        <f t="shared" si="14"/>
        <v>0</v>
      </c>
      <c r="Q272" s="362">
        <f t="shared" si="15"/>
        <v>0</v>
      </c>
      <c r="R272" s="363">
        <f t="shared" si="16"/>
        <v>0</v>
      </c>
    </row>
    <row r="273" spans="1:19">
      <c r="A273" s="359" t="str">
        <f>'Func Future Lines 2015'!A273</f>
        <v>Planning</v>
      </c>
      <c r="B273" s="359" t="str">
        <f>'Func Future Lines 2015'!B273</f>
        <v>144KV line</v>
      </c>
      <c r="C273" s="359">
        <f>'Func Future Lines 2015'!C273</f>
        <v>1784</v>
      </c>
      <c r="D273" s="359">
        <f>'Func Future Lines 2015'!D273</f>
        <v>144</v>
      </c>
      <c r="E273" s="359">
        <f>'Func Future Lines 2015'!E273</f>
        <v>0</v>
      </c>
      <c r="F273" s="359" t="str">
        <f>'Func Future Lines 2015'!F273</f>
        <v>Grande Prairie</v>
      </c>
      <c r="G273" s="359">
        <f>'Func Future Lines 2015'!G273</f>
        <v>35000000</v>
      </c>
      <c r="H273" s="359" t="str">
        <f>'Func Future Lines 2015'!H273</f>
        <v>ATCO</v>
      </c>
      <c r="I273" s="359">
        <f>'Func Future Lines 2015'!I273</f>
        <v>2020</v>
      </c>
      <c r="J273" s="361">
        <f>+IF($I273=J$3,VLOOKUP($H273,Depreciation!$A$6:$L$10,7,FALSE)/2,IF($I273&lt;J$3,VLOOKUP($H273,Depreciation!$A$6:$L$10,7,FALSE),0))</f>
        <v>0</v>
      </c>
      <c r="K273" s="361">
        <f>+IF($I273=K$3,VLOOKUP($H273,Depreciation!$A$6:$L$10,8,FALSE)/2,IF($I273&lt;K$3,VLOOKUP($H273,Depreciation!$A$6:$L$10,8,FALSE),0))</f>
        <v>0</v>
      </c>
      <c r="L273" s="361">
        <f>+IF($I273=L$3,VLOOKUP($H273,Depreciation!$A$6:$L$10,9,FALSE)/2,IF($I273&lt;L$3,VLOOKUP($H273,Depreciation!$A$6:$L$10,9,FALSE),0))</f>
        <v>0</v>
      </c>
      <c r="M273" s="361">
        <f>+IF($I273=M$3,VLOOKUP($H273,Depreciation!$A$6:$L$10,10,FALSE)/2,IF($I273&lt;M$3,VLOOKUP($H273,Depreciation!$A$6:$L$10,10,FALSE),0))</f>
        <v>0</v>
      </c>
      <c r="N273" s="361">
        <f>+IF($I273=N$3,VLOOKUP($H273,Depreciation!$A$6:$L$10,11,FALSE)/2,IF($I273&lt;N$3,VLOOKUP($H273,Depreciation!$A$6:$L$10,11,FALSE),0))</f>
        <v>0</v>
      </c>
      <c r="O273" s="361">
        <f>+IF($I273=O$3,VLOOKUP($H273,Depreciation!$A$6:$L$10,12,FALSE)/2,IF($I273&lt;O$3,VLOOKUP($H273,Depreciation!$A$6:$L$10,12,FALSE),0))</f>
        <v>1.2001018963427959E-2</v>
      </c>
      <c r="P273" s="362">
        <f t="shared" si="14"/>
        <v>0</v>
      </c>
      <c r="Q273" s="362">
        <f t="shared" si="15"/>
        <v>0</v>
      </c>
      <c r="R273" s="363">
        <f t="shared" si="16"/>
        <v>0</v>
      </c>
    </row>
    <row r="274" spans="1:19">
      <c r="A274" s="359" t="str">
        <f>'Func Future Lines 2015'!A274</f>
        <v>Planning</v>
      </c>
      <c r="B274" s="359" t="str">
        <f>'Func Future Lines 2015'!B274</f>
        <v>144 kV line</v>
      </c>
      <c r="C274" s="359">
        <f>'Func Future Lines 2015'!C274</f>
        <v>1785</v>
      </c>
      <c r="D274" s="359">
        <f>'Func Future Lines 2015'!D274</f>
        <v>144</v>
      </c>
      <c r="E274" s="359">
        <f>'Func Future Lines 2015'!E274</f>
        <v>0</v>
      </c>
      <c r="F274" s="359" t="str">
        <f>'Func Future Lines 2015'!F274</f>
        <v>Grande Prairie</v>
      </c>
      <c r="G274" s="359">
        <f>'Func Future Lines 2015'!G274</f>
        <v>40000000</v>
      </c>
      <c r="H274" s="359" t="str">
        <f>'Func Future Lines 2015'!H274</f>
        <v>ATCO</v>
      </c>
      <c r="I274" s="359">
        <f>'Func Future Lines 2015'!I274</f>
        <v>2020</v>
      </c>
      <c r="J274" s="361">
        <f>+IF($I274=J$3,VLOOKUP($H274,Depreciation!$A$6:$L$10,7,FALSE)/2,IF($I274&lt;J$3,VLOOKUP($H274,Depreciation!$A$6:$L$10,7,FALSE),0))</f>
        <v>0</v>
      </c>
      <c r="K274" s="361">
        <f>+IF($I274=K$3,VLOOKUP($H274,Depreciation!$A$6:$L$10,8,FALSE)/2,IF($I274&lt;K$3,VLOOKUP($H274,Depreciation!$A$6:$L$10,8,FALSE),0))</f>
        <v>0</v>
      </c>
      <c r="L274" s="361">
        <f>+IF($I274=L$3,VLOOKUP($H274,Depreciation!$A$6:$L$10,9,FALSE)/2,IF($I274&lt;L$3,VLOOKUP($H274,Depreciation!$A$6:$L$10,9,FALSE),0))</f>
        <v>0</v>
      </c>
      <c r="M274" s="361">
        <f>+IF($I274=M$3,VLOOKUP($H274,Depreciation!$A$6:$L$10,10,FALSE)/2,IF($I274&lt;M$3,VLOOKUP($H274,Depreciation!$A$6:$L$10,10,FALSE),0))</f>
        <v>0</v>
      </c>
      <c r="N274" s="361">
        <f>+IF($I274=N$3,VLOOKUP($H274,Depreciation!$A$6:$L$10,11,FALSE)/2,IF($I274&lt;N$3,VLOOKUP($H274,Depreciation!$A$6:$L$10,11,FALSE),0))</f>
        <v>0</v>
      </c>
      <c r="O274" s="361">
        <f>+IF($I274=O$3,VLOOKUP($H274,Depreciation!$A$6:$L$10,12,FALSE)/2,IF($I274&lt;O$3,VLOOKUP($H274,Depreciation!$A$6:$L$10,12,FALSE),0))</f>
        <v>1.2001018963427959E-2</v>
      </c>
      <c r="P274" s="362">
        <f t="shared" si="14"/>
        <v>0</v>
      </c>
      <c r="Q274" s="362">
        <f t="shared" si="15"/>
        <v>0</v>
      </c>
      <c r="R274" s="363">
        <f t="shared" si="16"/>
        <v>0</v>
      </c>
    </row>
    <row r="275" spans="1:19">
      <c r="A275" s="359" t="str">
        <f>'Func Future Lines 2015'!A275</f>
        <v>Planning</v>
      </c>
      <c r="B275" s="359" t="str">
        <f>'Func Future Lines 2015'!B275</f>
        <v>144kV line</v>
      </c>
      <c r="C275" s="359">
        <f>'Func Future Lines 2015'!C275</f>
        <v>1781</v>
      </c>
      <c r="D275" s="359">
        <f>'Func Future Lines 2015'!D275</f>
        <v>144</v>
      </c>
      <c r="E275" s="359">
        <f>'Func Future Lines 2015'!E275</f>
        <v>0</v>
      </c>
      <c r="F275" s="359" t="str">
        <f>'Func Future Lines 2015'!F275</f>
        <v>Central East</v>
      </c>
      <c r="G275" s="359">
        <f>'Func Future Lines 2015'!G275</f>
        <v>150186554.50853476</v>
      </c>
      <c r="H275" s="359" t="str">
        <f>'Func Future Lines 2015'!H275</f>
        <v>AltaLink</v>
      </c>
      <c r="I275" s="359">
        <f>'Func Future Lines 2015'!I275</f>
        <v>2021</v>
      </c>
      <c r="J275" s="361">
        <f>+IF($I275=J$3,VLOOKUP($H275,Depreciation!$A$6:$L$10,7,FALSE)/2,IF($I275&lt;J$3,VLOOKUP($H275,Depreciation!$A$6:$L$10,7,FALSE),0))</f>
        <v>0</v>
      </c>
      <c r="K275" s="361">
        <f>+IF($I275=K$3,VLOOKUP($H275,Depreciation!$A$6:$L$10,8,FALSE)/2,IF($I275&lt;K$3,VLOOKUP($H275,Depreciation!$A$6:$L$10,8,FALSE),0))</f>
        <v>0</v>
      </c>
      <c r="L275" s="361">
        <f>+IF($I275=L$3,VLOOKUP($H275,Depreciation!$A$6:$L$10,9,FALSE)/2,IF($I275&lt;L$3,VLOOKUP($H275,Depreciation!$A$6:$L$10,9,FALSE),0))</f>
        <v>0</v>
      </c>
      <c r="M275" s="361">
        <f>+IF($I275=M$3,VLOOKUP($H275,Depreciation!$A$6:$L$10,10,FALSE)/2,IF($I275&lt;M$3,VLOOKUP($H275,Depreciation!$A$6:$L$10,10,FALSE),0))</f>
        <v>0</v>
      </c>
      <c r="N275" s="361">
        <f>+IF($I275=N$3,VLOOKUP($H275,Depreciation!$A$6:$L$10,11,FALSE)/2,IF($I275&lt;N$3,VLOOKUP($H275,Depreciation!$A$6:$L$10,11,FALSE),0))</f>
        <v>0</v>
      </c>
      <c r="O275" s="361">
        <f>+IF($I275=O$3,VLOOKUP($H275,Depreciation!$A$6:$L$10,12,FALSE)/2,IF($I275&lt;O$3,VLOOKUP($H275,Depreciation!$A$6:$L$10,12,FALSE),0))</f>
        <v>0</v>
      </c>
      <c r="P275" s="362">
        <f t="shared" si="14"/>
        <v>0</v>
      </c>
      <c r="Q275" s="362">
        <f t="shared" si="15"/>
        <v>0</v>
      </c>
      <c r="R275" s="363">
        <f t="shared" si="16"/>
        <v>0</v>
      </c>
    </row>
    <row r="276" spans="1:19">
      <c r="A276" s="359" t="str">
        <f>'Func Future Lines 2015'!A276</f>
        <v>Planning</v>
      </c>
      <c r="B276" s="359" t="str">
        <f>'Func Future Lines 2015'!B276</f>
        <v>144KV line</v>
      </c>
      <c r="C276" s="359">
        <f>'Func Future Lines 2015'!C276</f>
        <v>1781</v>
      </c>
      <c r="D276" s="359">
        <f>'Func Future Lines 2015'!D276</f>
        <v>144</v>
      </c>
      <c r="E276" s="359">
        <f>'Func Future Lines 2015'!E276</f>
        <v>0</v>
      </c>
      <c r="F276" s="359" t="str">
        <f>'Func Future Lines 2015'!F276</f>
        <v>Central East</v>
      </c>
      <c r="G276" s="359">
        <f>'Func Future Lines 2015'!G276</f>
        <v>43590130.403618827</v>
      </c>
      <c r="H276" s="359" t="str">
        <f>'Func Future Lines 2015'!H276</f>
        <v>ATCO</v>
      </c>
      <c r="I276" s="359">
        <f>'Func Future Lines 2015'!I276</f>
        <v>2021</v>
      </c>
      <c r="J276" s="361">
        <f>+IF($I276=J$3,VLOOKUP($H276,Depreciation!$A$6:$L$10,7,FALSE)/2,IF($I276&lt;J$3,VLOOKUP($H276,Depreciation!$A$6:$L$10,7,FALSE),0))</f>
        <v>0</v>
      </c>
      <c r="K276" s="361">
        <f>+IF($I276=K$3,VLOOKUP($H276,Depreciation!$A$6:$L$10,8,FALSE)/2,IF($I276&lt;K$3,VLOOKUP($H276,Depreciation!$A$6:$L$10,8,FALSE),0))</f>
        <v>0</v>
      </c>
      <c r="L276" s="361">
        <f>+IF($I276=L$3,VLOOKUP($H276,Depreciation!$A$6:$L$10,9,FALSE)/2,IF($I276&lt;L$3,VLOOKUP($H276,Depreciation!$A$6:$L$10,9,FALSE),0))</f>
        <v>0</v>
      </c>
      <c r="M276" s="361">
        <f>+IF($I276=M$3,VLOOKUP($H276,Depreciation!$A$6:$L$10,10,FALSE)/2,IF($I276&lt;M$3,VLOOKUP($H276,Depreciation!$A$6:$L$10,10,FALSE),0))</f>
        <v>0</v>
      </c>
      <c r="N276" s="361">
        <f>+IF($I276=N$3,VLOOKUP($H276,Depreciation!$A$6:$L$10,11,FALSE)/2,IF($I276&lt;N$3,VLOOKUP($H276,Depreciation!$A$6:$L$10,11,FALSE),0))</f>
        <v>0</v>
      </c>
      <c r="O276" s="361">
        <f>+IF($I276=O$3,VLOOKUP($H276,Depreciation!$A$6:$L$10,12,FALSE)/2,IF($I276&lt;O$3,VLOOKUP($H276,Depreciation!$A$6:$L$10,12,FALSE),0))</f>
        <v>0</v>
      </c>
      <c r="P276" s="362">
        <f t="shared" si="14"/>
        <v>0</v>
      </c>
      <c r="Q276" s="362">
        <f t="shared" si="15"/>
        <v>0</v>
      </c>
      <c r="R276" s="363">
        <f t="shared" si="16"/>
        <v>0</v>
      </c>
    </row>
    <row r="277" spans="1:19">
      <c r="A277" s="359" t="str">
        <f>'Func Future Lines 2015'!A277</f>
        <v>Planning</v>
      </c>
      <c r="B277" s="359" t="str">
        <f>'Func Future Lines 2015'!B277</f>
        <v>Competitive Process</v>
      </c>
      <c r="C277" s="359">
        <f>'Func Future Lines 2015'!C277</f>
        <v>1590</v>
      </c>
      <c r="D277" s="359">
        <f>'Func Future Lines 2015'!D277</f>
        <v>500</v>
      </c>
      <c r="E277" s="359">
        <f>'Func Future Lines 2015'!E277</f>
        <v>0</v>
      </c>
      <c r="F277" s="359" t="str">
        <f>'Func Future Lines 2015'!F277</f>
        <v>Ft McMurray</v>
      </c>
      <c r="G277" s="359">
        <f>'Func Future Lines 2015'!G277</f>
        <v>0</v>
      </c>
      <c r="H277" s="359" t="str">
        <f>'Func Future Lines 2015'!H277</f>
        <v>Average</v>
      </c>
      <c r="I277" s="359">
        <f>'Func Future Lines 2015'!I277</f>
        <v>2019</v>
      </c>
      <c r="J277" s="361">
        <f>+IF($I277=J$3,VLOOKUP($H277,Depreciation!$A$6:$L$10,7,FALSE)/2,IF($I277&lt;J$3,VLOOKUP($H277,Depreciation!$A$6:$L$10,7,FALSE),0))</f>
        <v>0</v>
      </c>
      <c r="K277" s="361">
        <f>+IF($I277=K$3,VLOOKUP($H277,Depreciation!$A$6:$L$10,8,FALSE)/2,IF($I277&lt;K$3,VLOOKUP($H277,Depreciation!$A$6:$L$10,8,FALSE),0))</f>
        <v>0</v>
      </c>
      <c r="L277" s="361">
        <f>+IF($I277=L$3,VLOOKUP($H277,Depreciation!$A$6:$L$10,9,FALSE)/2,IF($I277&lt;L$3,VLOOKUP($H277,Depreciation!$A$6:$L$10,9,FALSE),0))</f>
        <v>0</v>
      </c>
      <c r="M277" s="361">
        <f>+IF($I277=M$3,VLOOKUP($H277,Depreciation!$A$6:$L$10,10,FALSE)/2,IF($I277&lt;M$3,VLOOKUP($H277,Depreciation!$A$6:$L$10,10,FALSE),0))</f>
        <v>0</v>
      </c>
      <c r="N277" s="361">
        <f>+IF($I277=N$3,VLOOKUP($H277,Depreciation!$A$6:$L$10,11,FALSE)/2,IF($I277&lt;N$3,VLOOKUP($H277,Depreciation!$A$6:$L$10,11,FALSE),0))</f>
        <v>1.3732050514778531E-2</v>
      </c>
      <c r="O277" s="361">
        <f>+IF($I277=O$3,VLOOKUP($H277,Depreciation!$A$6:$L$10,12,FALSE)/2,IF($I277&lt;O$3,VLOOKUP($H277,Depreciation!$A$6:$L$10,12,FALSE),0))</f>
        <v>2.7464101029557063E-2</v>
      </c>
      <c r="P277" s="362">
        <f t="shared" si="14"/>
        <v>0</v>
      </c>
      <c r="Q277" s="362">
        <f t="shared" si="15"/>
        <v>0</v>
      </c>
      <c r="R277" s="363">
        <f t="shared" si="16"/>
        <v>0</v>
      </c>
    </row>
    <row r="278" spans="1:19">
      <c r="F278" s="4"/>
      <c r="G278" s="4"/>
      <c r="H278" s="4"/>
      <c r="I278" s="4"/>
    </row>
    <row r="279" spans="1:19">
      <c r="F279" s="4"/>
      <c r="G279" s="101">
        <f>SUM(G4:G277)</f>
        <v>5884356833.6935625</v>
      </c>
      <c r="H279" s="4"/>
      <c r="I279" s="4"/>
      <c r="P279" s="367">
        <f>SUM(P4:P277)</f>
        <v>4912705603.2044306</v>
      </c>
      <c r="Q279" s="367">
        <f t="shared" ref="Q279:R279" si="17">SUM(Q4:Q277)</f>
        <v>4170648806.3380013</v>
      </c>
      <c r="R279" s="367">
        <f t="shared" si="17"/>
        <v>697900439.63669682</v>
      </c>
    </row>
    <row r="280" spans="1:19">
      <c r="F280" s="4"/>
      <c r="G280" s="4">
        <f>SUMIF(I4:I277,"&lt;=2018",G4:G277)</f>
        <v>5369971822.5987682</v>
      </c>
      <c r="H280" s="4"/>
      <c r="I280" s="4"/>
      <c r="N280" s="594"/>
      <c r="O280" s="594"/>
      <c r="P280" s="596"/>
      <c r="Q280" s="596"/>
      <c r="R280" s="596"/>
      <c r="S280" s="594"/>
    </row>
    <row r="281" spans="1:19">
      <c r="F281" s="4"/>
      <c r="G281" s="4"/>
      <c r="H281" s="4"/>
      <c r="I281" s="4"/>
      <c r="J281" s="4"/>
      <c r="N281" s="594"/>
      <c r="O281" s="594"/>
      <c r="P281" s="594"/>
      <c r="Q281" s="1006"/>
      <c r="R281" s="1006"/>
      <c r="S281" s="594"/>
    </row>
    <row r="282" spans="1:19">
      <c r="F282" s="4"/>
      <c r="G282" s="4"/>
      <c r="H282" s="4"/>
      <c r="I282" s="4"/>
      <c r="J282" s="4"/>
      <c r="N282" s="594"/>
      <c r="O282" s="594"/>
      <c r="P282" s="594"/>
      <c r="Q282" s="594"/>
      <c r="R282" s="594"/>
      <c r="S282" s="594"/>
    </row>
    <row r="283" spans="1:19">
      <c r="F283" s="4"/>
      <c r="G283" s="4"/>
      <c r="H283" s="4"/>
      <c r="I283" s="4"/>
      <c r="J283" s="4"/>
      <c r="N283" s="594"/>
      <c r="O283" s="594"/>
      <c r="P283" s="594"/>
      <c r="Q283" s="594"/>
      <c r="R283" s="594"/>
      <c r="S283" s="594"/>
    </row>
    <row r="284" spans="1:19">
      <c r="F284" s="4"/>
      <c r="G284" s="4"/>
      <c r="H284" s="4"/>
      <c r="I284" s="4"/>
      <c r="J284" s="4"/>
      <c r="N284" s="594"/>
      <c r="O284" s="594"/>
      <c r="P284" s="594"/>
      <c r="Q284" s="594"/>
      <c r="R284" s="594"/>
      <c r="S284" s="594"/>
    </row>
    <row r="285" spans="1:19">
      <c r="F285" s="4"/>
      <c r="G285" s="4"/>
      <c r="H285" s="4"/>
      <c r="I285" s="4"/>
      <c r="J285" s="4"/>
      <c r="R285" s="286"/>
    </row>
    <row r="286" spans="1:19">
      <c r="F286" s="4"/>
      <c r="G286" s="4"/>
      <c r="H286" s="4"/>
      <c r="I286" s="4"/>
      <c r="J286" s="4"/>
      <c r="Q286" s="323"/>
      <c r="R286" s="372"/>
    </row>
    <row r="287" spans="1:19">
      <c r="F287" s="4"/>
      <c r="G287" s="4"/>
      <c r="H287" s="4"/>
      <c r="I287" s="4"/>
      <c r="J287" s="4"/>
    </row>
    <row r="288" spans="1:19">
      <c r="F288" s="4"/>
      <c r="G288" s="4"/>
      <c r="H288" s="4"/>
      <c r="I288" s="4"/>
      <c r="J288" s="4"/>
    </row>
    <row r="289" spans="6:10">
      <c r="F289" s="4"/>
      <c r="G289" s="4"/>
      <c r="H289" s="4"/>
      <c r="I289" s="4"/>
      <c r="J289" s="4"/>
    </row>
    <row r="290" spans="6:10">
      <c r="F290" s="4"/>
      <c r="G290" s="4"/>
      <c r="H290" s="4"/>
      <c r="I290" s="4"/>
      <c r="J290" s="4"/>
    </row>
    <row r="291" spans="6:10">
      <c r="F291" s="4"/>
      <c r="G291" s="4"/>
      <c r="H291" s="4"/>
      <c r="I291" s="4"/>
      <c r="J291" s="4"/>
    </row>
    <row r="292" spans="6:10">
      <c r="F292" s="4"/>
      <c r="G292" s="4"/>
      <c r="H292" s="4"/>
      <c r="I292" s="4"/>
      <c r="J292" s="4"/>
    </row>
    <row r="293" spans="6:10">
      <c r="F293" s="4"/>
      <c r="G293" s="4"/>
      <c r="H293" s="4"/>
      <c r="I293" s="4"/>
      <c r="J293" s="4"/>
    </row>
    <row r="294" spans="6:10">
      <c r="F294" s="4"/>
      <c r="G294" s="4"/>
      <c r="H294" s="4"/>
      <c r="I294" s="4"/>
      <c r="J294" s="4"/>
    </row>
    <row r="295" spans="6:10">
      <c r="F295" s="4"/>
      <c r="G295" s="4"/>
      <c r="H295" s="4"/>
      <c r="I295" s="4"/>
      <c r="J295" s="4"/>
    </row>
    <row r="296" spans="6:10">
      <c r="F296" s="4"/>
      <c r="G296" s="4"/>
      <c r="H296" s="4"/>
      <c r="I296" s="4"/>
      <c r="J296" s="4"/>
    </row>
    <row r="297" spans="6:10">
      <c r="F297" s="4"/>
      <c r="G297" s="4"/>
      <c r="H297" s="4"/>
      <c r="I297" s="4"/>
      <c r="J297" s="4"/>
    </row>
    <row r="298" spans="6:10">
      <c r="F298" s="4"/>
      <c r="G298" s="4"/>
      <c r="H298" s="4"/>
      <c r="I298" s="4"/>
      <c r="J298" s="4"/>
    </row>
    <row r="299" spans="6:10">
      <c r="F299" s="4"/>
      <c r="G299" s="4"/>
      <c r="H299" s="4"/>
      <c r="I299" s="4"/>
      <c r="J299" s="4"/>
    </row>
    <row r="300" spans="6:10">
      <c r="F300" s="4"/>
      <c r="G300" s="4"/>
      <c r="H300" s="4"/>
      <c r="I300" s="4"/>
      <c r="J300" s="4"/>
    </row>
    <row r="301" spans="6:10">
      <c r="F301" s="4"/>
      <c r="G301" s="4"/>
      <c r="H301" s="4"/>
      <c r="I301" s="4"/>
      <c r="J301" s="4"/>
    </row>
    <row r="302" spans="6:10">
      <c r="F302" s="4"/>
      <c r="G302" s="4"/>
      <c r="H302" s="4"/>
      <c r="I302" s="4"/>
      <c r="J302" s="4"/>
    </row>
    <row r="303" spans="6:10">
      <c r="F303" s="4"/>
      <c r="G303" s="4"/>
      <c r="H303" s="4"/>
      <c r="I303" s="4"/>
      <c r="J303" s="4"/>
    </row>
    <row r="304" spans="6:10">
      <c r="F304" s="4"/>
      <c r="G304" s="4"/>
      <c r="H304" s="4"/>
      <c r="I304" s="4"/>
      <c r="J304" s="4"/>
    </row>
    <row r="305" spans="6:10">
      <c r="F305" s="4"/>
      <c r="G305" s="4"/>
      <c r="H305" s="4"/>
      <c r="I305" s="4"/>
      <c r="J305" s="4"/>
    </row>
    <row r="306" spans="6:10">
      <c r="F306" s="4"/>
      <c r="G306" s="4"/>
      <c r="H306" s="4"/>
      <c r="I306" s="4"/>
      <c r="J306" s="4"/>
    </row>
    <row r="307" spans="6:10">
      <c r="F307" s="4"/>
      <c r="G307" s="4"/>
      <c r="H307" s="4"/>
      <c r="I307" s="4"/>
      <c r="J307" s="4"/>
    </row>
    <row r="308" spans="6:10">
      <c r="F308" s="4"/>
      <c r="G308" s="4"/>
      <c r="H308" s="4"/>
      <c r="I308" s="4"/>
      <c r="J308" s="4"/>
    </row>
    <row r="309" spans="6:10">
      <c r="F309" s="4"/>
      <c r="G309" s="4"/>
      <c r="H309" s="4"/>
      <c r="I309" s="4"/>
      <c r="J309" s="4"/>
    </row>
    <row r="310" spans="6:10">
      <c r="F310" s="4"/>
      <c r="G310" s="4"/>
      <c r="H310" s="4"/>
      <c r="I310" s="4"/>
      <c r="J310" s="4"/>
    </row>
    <row r="311" spans="6:10">
      <c r="F311" s="4"/>
      <c r="G311" s="4"/>
      <c r="H311" s="4"/>
      <c r="I311" s="4"/>
      <c r="J311" s="4"/>
    </row>
    <row r="312" spans="6:10">
      <c r="F312" s="4"/>
      <c r="G312" s="4"/>
      <c r="H312" s="4"/>
      <c r="I312" s="4"/>
      <c r="J312" s="4"/>
    </row>
    <row r="313" spans="6:10">
      <c r="F313" s="4"/>
      <c r="G313" s="4"/>
      <c r="H313" s="4"/>
      <c r="I313" s="4"/>
      <c r="J313" s="4"/>
    </row>
    <row r="314" spans="6:10">
      <c r="F314" s="4"/>
      <c r="G314" s="4"/>
      <c r="H314" s="4"/>
      <c r="I314" s="4"/>
      <c r="J314" s="4"/>
    </row>
    <row r="315" spans="6:10">
      <c r="F315" s="4"/>
      <c r="G315" s="4"/>
      <c r="H315" s="4"/>
      <c r="I315" s="4"/>
      <c r="J315" s="4"/>
    </row>
    <row r="316" spans="6:10">
      <c r="F316" s="4"/>
      <c r="G316" s="4"/>
      <c r="H316" s="4"/>
      <c r="I316" s="4"/>
      <c r="J316" s="4"/>
    </row>
    <row r="317" spans="6:10">
      <c r="F317" s="4"/>
      <c r="G317" s="4"/>
      <c r="H317" s="4"/>
      <c r="I317" s="4"/>
      <c r="J317" s="4"/>
    </row>
    <row r="318" spans="6:10">
      <c r="F318" s="4"/>
      <c r="G318" s="4"/>
      <c r="H318" s="4"/>
      <c r="I318" s="4"/>
      <c r="J318" s="4"/>
    </row>
    <row r="319" spans="6:10">
      <c r="F319" s="4"/>
      <c r="G319" s="4"/>
      <c r="H319" s="4"/>
      <c r="I319" s="4"/>
      <c r="J319" s="4"/>
    </row>
    <row r="320" spans="6:10">
      <c r="F320" s="4"/>
      <c r="G320" s="4"/>
      <c r="H320" s="4"/>
      <c r="I320" s="4"/>
      <c r="J320" s="4"/>
    </row>
    <row r="321" spans="6:10">
      <c r="F321" s="4"/>
      <c r="G321" s="4"/>
      <c r="H321" s="4"/>
      <c r="I321" s="4"/>
      <c r="J321" s="4"/>
    </row>
    <row r="322" spans="6:10">
      <c r="F322" s="4"/>
      <c r="G322" s="4"/>
      <c r="H322" s="4"/>
      <c r="I322" s="4"/>
      <c r="J322" s="4"/>
    </row>
    <row r="323" spans="6:10">
      <c r="F323" s="4"/>
      <c r="G323" s="4"/>
      <c r="H323" s="4"/>
      <c r="I323" s="4"/>
      <c r="J323" s="4"/>
    </row>
    <row r="324" spans="6:10">
      <c r="F324" s="4"/>
      <c r="G324" s="4"/>
      <c r="H324" s="4"/>
      <c r="I324" s="4"/>
      <c r="J324" s="4"/>
    </row>
    <row r="325" spans="6:10">
      <c r="F325" s="4"/>
      <c r="G325" s="4"/>
      <c r="H325" s="4"/>
      <c r="I325" s="4"/>
      <c r="J325" s="4"/>
    </row>
    <row r="326" spans="6:10">
      <c r="F326" s="4"/>
      <c r="G326" s="4"/>
      <c r="H326" s="4"/>
      <c r="I326" s="4"/>
      <c r="J326" s="4"/>
    </row>
    <row r="327" spans="6:10">
      <c r="F327" s="4"/>
      <c r="G327" s="4"/>
      <c r="H327" s="4"/>
      <c r="I327" s="4"/>
      <c r="J327" s="4"/>
    </row>
    <row r="328" spans="6:10">
      <c r="F328" s="4"/>
      <c r="G328" s="4"/>
      <c r="H328" s="4"/>
      <c r="I328" s="4"/>
      <c r="J328" s="4"/>
    </row>
    <row r="329" spans="6:10">
      <c r="F329" s="4"/>
      <c r="G329" s="4"/>
      <c r="H329" s="4"/>
      <c r="I329" s="4"/>
      <c r="J329" s="4"/>
    </row>
    <row r="330" spans="6:10">
      <c r="F330" s="4"/>
      <c r="G330" s="4"/>
      <c r="H330" s="4"/>
      <c r="I330" s="4"/>
      <c r="J330" s="4"/>
    </row>
    <row r="331" spans="6:10">
      <c r="F331" s="4"/>
      <c r="G331" s="4"/>
      <c r="H331" s="4"/>
      <c r="I331" s="4"/>
      <c r="J331" s="4"/>
    </row>
    <row r="332" spans="6:10">
      <c r="F332" s="4"/>
      <c r="G332" s="4"/>
      <c r="H332" s="4"/>
      <c r="I332" s="4"/>
      <c r="J332" s="4"/>
    </row>
    <row r="333" spans="6:10">
      <c r="F333" s="4"/>
      <c r="G333" s="4"/>
      <c r="H333" s="4"/>
      <c r="I333" s="4"/>
      <c r="J333" s="4"/>
    </row>
    <row r="334" spans="6:10">
      <c r="F334" s="4"/>
      <c r="G334" s="4"/>
      <c r="H334" s="4"/>
      <c r="I334" s="4"/>
      <c r="J334" s="4"/>
    </row>
    <row r="335" spans="6:10">
      <c r="F335" s="4"/>
      <c r="G335" s="4"/>
      <c r="H335" s="4"/>
      <c r="I335" s="4"/>
      <c r="J335" s="4"/>
    </row>
    <row r="336" spans="6:10">
      <c r="F336" s="4"/>
      <c r="G336" s="4"/>
      <c r="H336" s="4"/>
      <c r="I336" s="4"/>
      <c r="J336" s="4"/>
    </row>
    <row r="337" spans="6:10">
      <c r="F337" s="4"/>
      <c r="G337" s="4"/>
      <c r="H337" s="4"/>
      <c r="I337" s="4"/>
      <c r="J337" s="4"/>
    </row>
    <row r="338" spans="6:10">
      <c r="F338" s="4"/>
      <c r="G338" s="4"/>
      <c r="H338" s="4"/>
      <c r="I338" s="4"/>
      <c r="J338" s="4"/>
    </row>
    <row r="339" spans="6:10">
      <c r="F339" s="4"/>
      <c r="G339" s="4"/>
      <c r="H339" s="4"/>
      <c r="I339" s="4"/>
      <c r="J339" s="4"/>
    </row>
    <row r="340" spans="6:10">
      <c r="F340" s="4"/>
      <c r="G340" s="4"/>
      <c r="H340" s="4"/>
      <c r="I340" s="4"/>
      <c r="J340" s="4"/>
    </row>
    <row r="341" spans="6:10">
      <c r="J341" s="4"/>
    </row>
    <row r="342" spans="6:10">
      <c r="J342" s="4"/>
    </row>
    <row r="343" spans="6:10">
      <c r="J343" s="4"/>
    </row>
    <row r="344" spans="6:10">
      <c r="J344" s="4"/>
    </row>
    <row r="345" spans="6:10">
      <c r="J345" s="4"/>
    </row>
    <row r="346" spans="6:10">
      <c r="J346" s="4"/>
    </row>
    <row r="347" spans="6:10">
      <c r="J347" s="4"/>
    </row>
    <row r="348" spans="6:10">
      <c r="J348" s="4"/>
    </row>
    <row r="349" spans="6:10">
      <c r="J349" s="4"/>
    </row>
    <row r="350" spans="6:10">
      <c r="J350" s="4"/>
    </row>
    <row r="351" spans="6:10">
      <c r="J351" s="4"/>
    </row>
    <row r="352" spans="6:10">
      <c r="J352" s="4"/>
    </row>
    <row r="353" spans="10:10">
      <c r="J353" s="4"/>
    </row>
    <row r="354" spans="10:10">
      <c r="J354" s="4"/>
    </row>
    <row r="355" spans="10:10">
      <c r="J355" s="4"/>
    </row>
    <row r="356" spans="10:10">
      <c r="J356" s="4"/>
    </row>
    <row r="357" spans="10:10">
      <c r="J357" s="4"/>
    </row>
    <row r="358" spans="10:10">
      <c r="J358" s="4"/>
    </row>
    <row r="359" spans="10:10">
      <c r="J359" s="4"/>
    </row>
    <row r="360" spans="10:10">
      <c r="J360" s="4"/>
    </row>
    <row r="361" spans="10:10">
      <c r="J361" s="4"/>
    </row>
    <row r="362" spans="10:10">
      <c r="J362" s="4"/>
    </row>
    <row r="363" spans="10:10">
      <c r="J363" s="4"/>
    </row>
    <row r="364" spans="10:10">
      <c r="J364" s="4"/>
    </row>
    <row r="365" spans="10:10">
      <c r="J365" s="4"/>
    </row>
    <row r="366" spans="10:10">
      <c r="J366" s="4"/>
    </row>
    <row r="367" spans="10:10">
      <c r="J367" s="4"/>
    </row>
    <row r="368" spans="10:10">
      <c r="J368" s="4"/>
    </row>
    <row r="369" spans="10:10">
      <c r="J369" s="4"/>
    </row>
    <row r="370" spans="10:10">
      <c r="J370" s="4"/>
    </row>
    <row r="371" spans="10:10">
      <c r="J371" s="4"/>
    </row>
    <row r="372" spans="10:10">
      <c r="J372" s="4"/>
    </row>
    <row r="373" spans="10:10">
      <c r="J373" s="4"/>
    </row>
    <row r="374" spans="10:10">
      <c r="J374" s="4"/>
    </row>
    <row r="375" spans="10:10">
      <c r="J375" s="4"/>
    </row>
    <row r="376" spans="10:10">
      <c r="J376" s="4"/>
    </row>
    <row r="377" spans="10:10">
      <c r="J377" s="4"/>
    </row>
    <row r="378" spans="10:10">
      <c r="J378" s="4"/>
    </row>
    <row r="379" spans="10:10">
      <c r="J379" s="4"/>
    </row>
    <row r="380" spans="10:10">
      <c r="J380" s="4"/>
    </row>
    <row r="381" spans="10:10">
      <c r="J381" s="4"/>
    </row>
    <row r="382" spans="10:10">
      <c r="J382" s="4"/>
    </row>
    <row r="383" spans="10:10">
      <c r="J383" s="4"/>
    </row>
    <row r="384" spans="10:10">
      <c r="J384" s="4"/>
    </row>
    <row r="385" spans="10:10">
      <c r="J385" s="4"/>
    </row>
    <row r="386" spans="10:10">
      <c r="J386" s="4"/>
    </row>
    <row r="387" spans="10:10">
      <c r="J387" s="4"/>
    </row>
  </sheetData>
  <mergeCells count="5">
    <mergeCell ref="Q281:R281"/>
    <mergeCell ref="A1:I1"/>
    <mergeCell ref="K1:O1"/>
    <mergeCell ref="Q1:R1"/>
    <mergeCell ref="U1:W1"/>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Y387"/>
  <sheetViews>
    <sheetView showGridLines="0" zoomScale="60" zoomScaleNormal="60" workbookViewId="0">
      <pane ySplit="3" topLeftCell="A4" activePane="bottomLeft" state="frozen"/>
      <selection activeCell="F18" sqref="F18"/>
      <selection pane="bottomLeft" activeCell="R279" sqref="A1:R279"/>
    </sheetView>
  </sheetViews>
  <sheetFormatPr defaultColWidth="9.109375" defaultRowHeight="13.8"/>
  <cols>
    <col min="1" max="1" width="12.109375" style="366" customWidth="1"/>
    <col min="2" max="2" width="101.6640625" style="366" customWidth="1"/>
    <col min="3" max="3" width="62.109375" style="366" bestFit="1" customWidth="1"/>
    <col min="4" max="4" width="7.44140625" style="366" bestFit="1" customWidth="1"/>
    <col min="5" max="5" width="9.44140625" style="366" bestFit="1" customWidth="1"/>
    <col min="6" max="6" width="43.88671875" style="366" bestFit="1" customWidth="1"/>
    <col min="7" max="7" width="32.6640625" style="366" customWidth="1"/>
    <col min="8" max="14" width="23.33203125" style="366" customWidth="1"/>
    <col min="15" max="15" width="23.44140625" style="366" bestFit="1" customWidth="1"/>
    <col min="16" max="16" width="23.44140625" style="366" customWidth="1"/>
    <col min="17" max="17" width="19.88671875" style="286" bestFit="1" customWidth="1"/>
    <col min="18" max="18" width="30" style="368" bestFit="1" customWidth="1"/>
    <col min="19" max="19" width="9.109375" style="286"/>
    <col min="20" max="20" width="0" style="286" hidden="1" customWidth="1"/>
    <col min="21" max="21" width="27.44140625" style="286" bestFit="1" customWidth="1"/>
    <col min="22" max="22" width="19.88671875" style="286" bestFit="1" customWidth="1"/>
    <col min="23" max="23" width="17.5546875" style="286" bestFit="1" customWidth="1"/>
    <col min="24" max="24" width="9.109375" style="286"/>
    <col min="25" max="25" width="10" style="286" bestFit="1" customWidth="1"/>
    <col min="26" max="16384" width="9.109375" style="286"/>
  </cols>
  <sheetData>
    <row r="1" spans="1:25" ht="14.4" thickBot="1">
      <c r="A1" s="1007" t="s">
        <v>2066</v>
      </c>
      <c r="B1" s="1008"/>
      <c r="C1" s="1008"/>
      <c r="D1" s="1008"/>
      <c r="E1" s="1008"/>
      <c r="F1" s="1008"/>
      <c r="G1" s="1008"/>
      <c r="H1" s="1008"/>
      <c r="I1" s="1008"/>
      <c r="J1" s="340"/>
      <c r="K1" s="1009" t="s">
        <v>51</v>
      </c>
      <c r="L1" s="1010"/>
      <c r="M1" s="1010"/>
      <c r="N1" s="1010"/>
      <c r="O1" s="1011"/>
      <c r="P1" s="783"/>
      <c r="Q1" s="1012" t="s">
        <v>119</v>
      </c>
      <c r="R1" s="1013"/>
      <c r="U1" s="986" t="s">
        <v>2068</v>
      </c>
      <c r="V1" s="986"/>
      <c r="W1" s="986"/>
    </row>
    <row r="2" spans="1:25">
      <c r="A2" s="341" t="s">
        <v>3800</v>
      </c>
      <c r="B2" s="342"/>
      <c r="C2" s="342"/>
      <c r="D2" s="342"/>
      <c r="E2" s="342"/>
      <c r="F2" s="342"/>
      <c r="G2" s="342"/>
      <c r="H2" s="343"/>
      <c r="I2" s="343"/>
      <c r="J2" s="344"/>
      <c r="K2" s="345"/>
      <c r="L2" s="344"/>
      <c r="M2" s="344"/>
      <c r="N2" s="344"/>
      <c r="O2" s="346"/>
      <c r="P2" s="344"/>
      <c r="Q2" s="347"/>
      <c r="R2" s="348"/>
      <c r="U2" s="349"/>
      <c r="V2" s="349"/>
      <c r="W2" s="349"/>
    </row>
    <row r="3" spans="1:25" ht="27.6">
      <c r="A3" s="350" t="s">
        <v>120</v>
      </c>
      <c r="B3" s="351" t="s">
        <v>121</v>
      </c>
      <c r="C3" s="351" t="s">
        <v>1205</v>
      </c>
      <c r="D3" s="351" t="s">
        <v>122</v>
      </c>
      <c r="E3" s="351" t="s">
        <v>123</v>
      </c>
      <c r="F3" s="351" t="s">
        <v>1216</v>
      </c>
      <c r="G3" s="352" t="s">
        <v>149</v>
      </c>
      <c r="H3" s="352" t="s">
        <v>148</v>
      </c>
      <c r="I3" s="353" t="s">
        <v>150</v>
      </c>
      <c r="J3" s="354">
        <v>2015</v>
      </c>
      <c r="K3" s="355">
        <v>2016</v>
      </c>
      <c r="L3" s="355">
        <v>2017</v>
      </c>
      <c r="M3" s="355">
        <v>2018</v>
      </c>
      <c r="N3" s="355">
        <v>2019</v>
      </c>
      <c r="O3" s="355">
        <v>2020</v>
      </c>
      <c r="P3" s="355" t="s">
        <v>1500</v>
      </c>
      <c r="Q3" s="356" t="s">
        <v>124</v>
      </c>
      <c r="R3" s="357" t="s">
        <v>125</v>
      </c>
      <c r="U3" s="358" t="s">
        <v>2093</v>
      </c>
      <c r="V3" s="358" t="s">
        <v>49</v>
      </c>
      <c r="W3" s="358" t="s">
        <v>74</v>
      </c>
    </row>
    <row r="4" spans="1:25" ht="15" customHeight="1">
      <c r="A4" s="359" t="str">
        <f>'Func Future Lines 2015'!A4</f>
        <v>PPS</v>
      </c>
      <c r="B4" s="359" t="str">
        <f>'Func Future Lines 2015'!B4</f>
        <v>978L_(v1)</v>
      </c>
      <c r="C4" s="359">
        <f>'Func Future Lines 2015'!C4</f>
        <v>479</v>
      </c>
      <c r="D4" s="359">
        <f>'Func Future Lines 2015'!D4</f>
        <v>240</v>
      </c>
      <c r="E4" s="359">
        <f>'Func Future Lines 2015'!E4</f>
        <v>0</v>
      </c>
      <c r="F4" s="359">
        <f>'Func Future Lines 2015'!F4</f>
        <v>0</v>
      </c>
      <c r="G4" s="359">
        <f>'Func Future Lines 2015'!G4</f>
        <v>43593801.111914299</v>
      </c>
      <c r="H4" s="359" t="str">
        <f>'Func Future Lines 2015'!H4</f>
        <v>AltaLink</v>
      </c>
      <c r="I4" s="359">
        <f>'Func Future Lines 2015'!I4</f>
        <v>2019</v>
      </c>
      <c r="J4" s="361">
        <f>+IF($I4=J$3,VLOOKUP($H4,Depreciation!$A$6:$L$10,7,FALSE)/2,IF($I4&lt;J$3,VLOOKUP($H4,Depreciation!$A$6:$L$10,7,FALSE),0))</f>
        <v>0</v>
      </c>
      <c r="K4" s="361">
        <f>+IF($I4=K$3,VLOOKUP($H4,Depreciation!$A$6:$L$10,8,FALSE)/2,IF($I4&lt;K$3,VLOOKUP($H4,Depreciation!$A$6:$L$10,8,FALSE),0))</f>
        <v>0</v>
      </c>
      <c r="L4" s="361">
        <f>+IF($I4=L$3,VLOOKUP($H4,Depreciation!$A$6:$L$10,9,FALSE)/2,IF($I4&lt;L$3,VLOOKUP($H4,Depreciation!$A$6:$L$10,9,FALSE),0))</f>
        <v>0</v>
      </c>
      <c r="M4" s="361">
        <f>+IF($I4=M$3,VLOOKUP($H4,Depreciation!$A$6:$L$10,10,FALSE)/2,IF($I4&lt;M$3,VLOOKUP($H4,Depreciation!$A$6:$L$10,10,FALSE),0))</f>
        <v>0</v>
      </c>
      <c r="N4" s="361">
        <f>+IF($I4=N$3,VLOOKUP($H4,Depreciation!$A$6:$L$10,11,FALSE)/2,IF($I4&lt;N$3,VLOOKUP($H4,Depreciation!$A$6:$L$10,11,FALSE),0))</f>
        <v>1.5338181838063448E-2</v>
      </c>
      <c r="O4" s="361">
        <f>+IF($I4=O$3,VLOOKUP($H4,Depreciation!$A$6:$L$10,12,FALSE)/2,IF($I4&lt;O$3,VLOOKUP($H4,Depreciation!$A$6:$L$10,12,FALSE),0))</f>
        <v>3.0676363676126896E-2</v>
      </c>
      <c r="P4" s="362">
        <f t="shared" ref="P4" si="0">IF(I4&lt;=2019,G4*(1-J4)*(1-K4)*(1-L4)*(1-M4)*(1-N4),0)</f>
        <v>42925151.463447385</v>
      </c>
      <c r="Q4" s="362">
        <f t="shared" ref="Q4" si="1">IF(D4&gt;=240,P4,0)</f>
        <v>42925151.463447385</v>
      </c>
      <c r="R4" s="363">
        <f>IF(AND(D4&gt;25,D4&lt;240),P4,0)</f>
        <v>0</v>
      </c>
      <c r="U4" s="369" t="s">
        <v>108</v>
      </c>
      <c r="V4" s="370">
        <f>SUM(Q4:Q277)</f>
        <v>4190249490.1499691</v>
      </c>
      <c r="W4" s="370">
        <f>SUM(R4:R277)</f>
        <v>708339764.37101686</v>
      </c>
      <c r="Y4" s="365"/>
    </row>
    <row r="5" spans="1:25" ht="15" customHeight="1">
      <c r="A5" s="359" t="str">
        <f>'Func Future Lines 2015'!A5</f>
        <v>PPS</v>
      </c>
      <c r="B5" s="359" t="str">
        <f>'Func Future Lines 2015'!B5</f>
        <v>600AL</v>
      </c>
      <c r="C5" s="359">
        <f>'Func Future Lines 2015'!C5</f>
        <v>513</v>
      </c>
      <c r="D5" s="359">
        <f>'Func Future Lines 2015'!D5</f>
        <v>138</v>
      </c>
      <c r="E5" s="359">
        <f>'Func Future Lines 2015'!E5</f>
        <v>0</v>
      </c>
      <c r="F5" s="359">
        <f>'Func Future Lines 2015'!F5</f>
        <v>0</v>
      </c>
      <c r="G5" s="359">
        <f>'Func Future Lines 2015'!G5</f>
        <v>690724.36500470294</v>
      </c>
      <c r="H5" s="359" t="str">
        <f>'Func Future Lines 2015'!H5</f>
        <v>AltaLink</v>
      </c>
      <c r="I5" s="359">
        <f>'Func Future Lines 2015'!I5</f>
        <v>2017</v>
      </c>
      <c r="J5" s="361">
        <f>+IF($I5=J$3,VLOOKUP($H5,Depreciation!$A$6:$L$10,7,FALSE)/2,IF($I5&lt;J$3,VLOOKUP($H5,Depreciation!$A$6:$L$10,7,FALSE),0))</f>
        <v>0</v>
      </c>
      <c r="K5" s="361">
        <f>+IF($I5=K$3,VLOOKUP($H5,Depreciation!$A$6:$L$10,8,FALSE)/2,IF($I5&lt;K$3,VLOOKUP($H5,Depreciation!$A$6:$L$10,8,FALSE),0))</f>
        <v>0</v>
      </c>
      <c r="L5" s="361">
        <f>+IF($I5=L$3,VLOOKUP($H5,Depreciation!$A$6:$L$10,9,FALSE)/2,IF($I5&lt;L$3,VLOOKUP($H5,Depreciation!$A$6:$L$10,9,FALSE),0))</f>
        <v>1.5338181838063448E-2</v>
      </c>
      <c r="M5" s="361">
        <f>+IF($I5=M$3,VLOOKUP($H5,Depreciation!$A$6:$L$10,10,FALSE)/2,IF($I5&lt;M$3,VLOOKUP($H5,Depreciation!$A$6:$L$10,10,FALSE),0))</f>
        <v>3.0676363676126896E-2</v>
      </c>
      <c r="N5" s="361">
        <f>+IF($I5=N$3,VLOOKUP($H5,Depreciation!$A$6:$L$10,11,FALSE)/2,IF($I5&lt;N$3,VLOOKUP($H5,Depreciation!$A$6:$L$10,11,FALSE),0))</f>
        <v>3.0676363676126896E-2</v>
      </c>
      <c r="O5" s="361">
        <f>+IF($I5=O$3,VLOOKUP($H5,Depreciation!$A$6:$L$10,12,FALSE)/2,IF($I5&lt;O$3,VLOOKUP($H5,Depreciation!$A$6:$L$10,12,FALSE),0))</f>
        <v>3.0676363676126896E-2</v>
      </c>
      <c r="P5" s="362">
        <f t="shared" ref="P5:P68" si="2">IF(I5&lt;=2019,G5*(1-J5)*(1-K5)*(1-L5)*(1-M5)*(1-N5),0)</f>
        <v>639042.11318317219</v>
      </c>
      <c r="Q5" s="362">
        <f t="shared" ref="Q5:Q68" si="3">IF(D5&gt;=240,P5,0)</f>
        <v>0</v>
      </c>
      <c r="R5" s="363">
        <f t="shared" ref="R5:R68" si="4">IF(AND(D5&gt;25,D5&lt;240),P5,0)</f>
        <v>639042.11318317219</v>
      </c>
      <c r="U5" s="369" t="s">
        <v>109</v>
      </c>
      <c r="V5" s="375">
        <f>+V4/SUM($V$4:$W$4)</f>
        <v>0.85539923280620467</v>
      </c>
      <c r="W5" s="375">
        <f>+W4/SUM($V$4:$W$4)</f>
        <v>0.14460076719379542</v>
      </c>
      <c r="Y5" s="365"/>
    </row>
    <row r="6" spans="1:25" ht="15" customHeight="1">
      <c r="A6" s="359" t="str">
        <f>'Func Future Lines 2015'!A6</f>
        <v>PPS</v>
      </c>
      <c r="B6" s="359" t="str">
        <f>'Func Future Lines 2015'!B6</f>
        <v>600L</v>
      </c>
      <c r="C6" s="359">
        <f>'Func Future Lines 2015'!C6</f>
        <v>513</v>
      </c>
      <c r="D6" s="359">
        <f>'Func Future Lines 2015'!D6</f>
        <v>138</v>
      </c>
      <c r="E6" s="359">
        <f>'Func Future Lines 2015'!E6</f>
        <v>0</v>
      </c>
      <c r="F6" s="359">
        <f>'Func Future Lines 2015'!F6</f>
        <v>0</v>
      </c>
      <c r="G6" s="359">
        <f>'Func Future Lines 2015'!G6</f>
        <v>982953.90404515422</v>
      </c>
      <c r="H6" s="359" t="str">
        <f>'Func Future Lines 2015'!H6</f>
        <v>AltaLink</v>
      </c>
      <c r="I6" s="359">
        <f>'Func Future Lines 2015'!I6</f>
        <v>2017</v>
      </c>
      <c r="J6" s="361">
        <f>+IF($I6=J$3,VLOOKUP($H6,Depreciation!$A$6:$L$10,7,FALSE)/2,IF($I6&lt;J$3,VLOOKUP($H6,Depreciation!$A$6:$L$10,7,FALSE),0))</f>
        <v>0</v>
      </c>
      <c r="K6" s="361">
        <f>+IF($I6=K$3,VLOOKUP($H6,Depreciation!$A$6:$L$10,8,FALSE)/2,IF($I6&lt;K$3,VLOOKUP($H6,Depreciation!$A$6:$L$10,8,FALSE),0))</f>
        <v>0</v>
      </c>
      <c r="L6" s="361">
        <f>+IF($I6=L$3,VLOOKUP($H6,Depreciation!$A$6:$L$10,9,FALSE)/2,IF($I6&lt;L$3,VLOOKUP($H6,Depreciation!$A$6:$L$10,9,FALSE),0))</f>
        <v>1.5338181838063448E-2</v>
      </c>
      <c r="M6" s="361">
        <f>+IF($I6=M$3,VLOOKUP($H6,Depreciation!$A$6:$L$10,10,FALSE)/2,IF($I6&lt;M$3,VLOOKUP($H6,Depreciation!$A$6:$L$10,10,FALSE),0))</f>
        <v>3.0676363676126896E-2</v>
      </c>
      <c r="N6" s="361">
        <f>+IF($I6=N$3,VLOOKUP($H6,Depreciation!$A$6:$L$10,11,FALSE)/2,IF($I6&lt;N$3,VLOOKUP($H6,Depreciation!$A$6:$L$10,11,FALSE),0))</f>
        <v>3.0676363676126896E-2</v>
      </c>
      <c r="O6" s="361">
        <f>+IF($I6=O$3,VLOOKUP($H6,Depreciation!$A$6:$L$10,12,FALSE)/2,IF($I6&lt;O$3,VLOOKUP($H6,Depreciation!$A$6:$L$10,12,FALSE),0))</f>
        <v>3.0676363676126896E-2</v>
      </c>
      <c r="P6" s="362">
        <f t="shared" si="2"/>
        <v>909406.08414528356</v>
      </c>
      <c r="Q6" s="362">
        <f t="shared" si="3"/>
        <v>0</v>
      </c>
      <c r="R6" s="363">
        <f t="shared" si="4"/>
        <v>909406.08414528356</v>
      </c>
      <c r="W6" s="4"/>
      <c r="Y6" s="365"/>
    </row>
    <row r="7" spans="1:25" ht="15" customHeight="1">
      <c r="A7" s="359" t="str">
        <f>'Func Future Lines 2015'!A7</f>
        <v>FINAL</v>
      </c>
      <c r="B7" s="359" t="str">
        <f>'Func Future Lines 2015'!B7</f>
        <v>807L_942L_1061L (942L/1001L )</v>
      </c>
      <c r="C7" s="359">
        <f>'Func Future Lines 2015'!C7</f>
        <v>559</v>
      </c>
      <c r="D7" s="359">
        <f>'Func Future Lines 2015'!D7</f>
        <v>240</v>
      </c>
      <c r="E7" s="359">
        <f>'Func Future Lines 2015'!E7</f>
        <v>0</v>
      </c>
      <c r="F7" s="359" t="str">
        <f>'Func Future Lines 2015'!F7</f>
        <v>Fort_Saskatchewan</v>
      </c>
      <c r="G7" s="359">
        <f>'Func Future Lines 2015'!G7</f>
        <v>23861790.750385337</v>
      </c>
      <c r="H7" s="359" t="str">
        <f>'Func Future Lines 2015'!H7</f>
        <v>AltaLink</v>
      </c>
      <c r="I7" s="359">
        <f>'Func Future Lines 2015'!I7</f>
        <v>2015</v>
      </c>
      <c r="J7" s="361">
        <f>+IF($I7=J$3,VLOOKUP($H7,Depreciation!$A$6:$L$10,7,FALSE)/2,IF($I7&lt;J$3,VLOOKUP($H7,Depreciation!$A$6:$L$10,7,FALSE),0))</f>
        <v>1.595020804044691E-2</v>
      </c>
      <c r="K7" s="361">
        <f>+IF($I7=K$3,VLOOKUP($H7,Depreciation!$A$6:$L$10,8,FALSE)/2,IF($I7&lt;K$3,VLOOKUP($H7,Depreciation!$A$6:$L$10,8,FALSE),0))</f>
        <v>3.0676363676126896E-2</v>
      </c>
      <c r="L7" s="361">
        <f>+IF($I7=L$3,VLOOKUP($H7,Depreciation!$A$6:$L$10,9,FALSE)/2,IF($I7&lt;L$3,VLOOKUP($H7,Depreciation!$A$6:$L$10,9,FALSE),0))</f>
        <v>3.0676363676126896E-2</v>
      </c>
      <c r="M7" s="361">
        <f>+IF($I7=M$3,VLOOKUP($H7,Depreciation!$A$6:$L$10,10,FALSE)/2,IF($I7&lt;M$3,VLOOKUP($H7,Depreciation!$A$6:$L$10,10,FALSE),0))</f>
        <v>3.0676363676126896E-2</v>
      </c>
      <c r="N7" s="361">
        <f>+IF($I7=N$3,VLOOKUP($H7,Depreciation!$A$6:$L$10,11,FALSE)/2,IF($I7&lt;N$3,VLOOKUP($H7,Depreciation!$A$6:$L$10,11,FALSE),0))</f>
        <v>3.0676363676126896E-2</v>
      </c>
      <c r="O7" s="361">
        <f>+IF($I7=O$3,VLOOKUP($H7,Depreciation!$A$6:$L$10,12,FALSE)/2,IF($I7&lt;O$3,VLOOKUP($H7,Depreciation!$A$6:$L$10,12,FALSE),0))</f>
        <v>3.0676363676126896E-2</v>
      </c>
      <c r="P7" s="362">
        <f t="shared" si="2"/>
        <v>20729809.84102647</v>
      </c>
      <c r="Q7" s="362">
        <f t="shared" si="3"/>
        <v>20729809.84102647</v>
      </c>
      <c r="R7" s="363">
        <f t="shared" si="4"/>
        <v>0</v>
      </c>
      <c r="U7" s="286" t="s">
        <v>179</v>
      </c>
      <c r="V7" s="374">
        <f>+SUM(P4:P277)</f>
        <v>4941683351.1501684</v>
      </c>
      <c r="W7" s="4"/>
      <c r="Y7" s="365"/>
    </row>
    <row r="8" spans="1:25" ht="15" customHeight="1">
      <c r="A8" s="359" t="str">
        <f>'Func Future Lines 2015'!A8</f>
        <v>FINAL</v>
      </c>
      <c r="B8" s="359" t="str">
        <f>'Func Future Lines 2015'!B8</f>
        <v>942L temp</v>
      </c>
      <c r="C8" s="359">
        <f>'Func Future Lines 2015'!C8</f>
        <v>559</v>
      </c>
      <c r="D8" s="359">
        <f>'Func Future Lines 2015'!D8</f>
        <v>240</v>
      </c>
      <c r="E8" s="359">
        <f>'Func Future Lines 2015'!E8</f>
        <v>0</v>
      </c>
      <c r="F8" s="359" t="str">
        <f>'Func Future Lines 2015'!F8</f>
        <v>Fort_Saskatchewan</v>
      </c>
      <c r="G8" s="359">
        <f>'Func Future Lines 2015'!G8</f>
        <v>121591.45834265216</v>
      </c>
      <c r="H8" s="359" t="str">
        <f>'Func Future Lines 2015'!H8</f>
        <v>AltaLink</v>
      </c>
      <c r="I8" s="359">
        <f>'Func Future Lines 2015'!I8</f>
        <v>2015</v>
      </c>
      <c r="J8" s="361">
        <f>+IF($I8=J$3,VLOOKUP($H8,Depreciation!$A$6:$L$10,7,FALSE)/2,IF($I8&lt;J$3,VLOOKUP($H8,Depreciation!$A$6:$L$10,7,FALSE),0))</f>
        <v>1.595020804044691E-2</v>
      </c>
      <c r="K8" s="361">
        <f>+IF($I8=K$3,VLOOKUP($H8,Depreciation!$A$6:$L$10,8,FALSE)/2,IF($I8&lt;K$3,VLOOKUP($H8,Depreciation!$A$6:$L$10,8,FALSE),0))</f>
        <v>3.0676363676126896E-2</v>
      </c>
      <c r="L8" s="361">
        <f>+IF($I8=L$3,VLOOKUP($H8,Depreciation!$A$6:$L$10,9,FALSE)/2,IF($I8&lt;L$3,VLOOKUP($H8,Depreciation!$A$6:$L$10,9,FALSE),0))</f>
        <v>3.0676363676126896E-2</v>
      </c>
      <c r="M8" s="361">
        <f>+IF($I8=M$3,VLOOKUP($H8,Depreciation!$A$6:$L$10,10,FALSE)/2,IF($I8&lt;M$3,VLOOKUP($H8,Depreciation!$A$6:$L$10,10,FALSE),0))</f>
        <v>3.0676363676126896E-2</v>
      </c>
      <c r="N8" s="361">
        <f>+IF($I8=N$3,VLOOKUP($H8,Depreciation!$A$6:$L$10,11,FALSE)/2,IF($I8&lt;N$3,VLOOKUP($H8,Depreciation!$A$6:$L$10,11,FALSE),0))</f>
        <v>3.0676363676126896E-2</v>
      </c>
      <c r="O8" s="361">
        <f>+IF($I8=O$3,VLOOKUP($H8,Depreciation!$A$6:$L$10,12,FALSE)/2,IF($I8&lt;O$3,VLOOKUP($H8,Depreciation!$A$6:$L$10,12,FALSE),0))</f>
        <v>3.0676363676126896E-2</v>
      </c>
      <c r="P8" s="362">
        <f t="shared" si="2"/>
        <v>105631.96350615752</v>
      </c>
      <c r="Q8" s="362">
        <f t="shared" si="3"/>
        <v>105631.96350615752</v>
      </c>
      <c r="R8" s="363">
        <f t="shared" si="4"/>
        <v>0</v>
      </c>
      <c r="V8" s="365"/>
    </row>
    <row r="9" spans="1:25" ht="15" customHeight="1">
      <c r="A9" s="359" t="str">
        <f>'Func Future Lines 2015'!A9</f>
        <v>FINAL</v>
      </c>
      <c r="B9" s="359" t="str">
        <f>'Func Future Lines 2015'!B9</f>
        <v>942L_943L mod</v>
      </c>
      <c r="C9" s="359">
        <f>'Func Future Lines 2015'!C9</f>
        <v>559</v>
      </c>
      <c r="D9" s="359">
        <f>'Func Future Lines 2015'!D9</f>
        <v>138</v>
      </c>
      <c r="E9" s="359">
        <f>'Func Future Lines 2015'!E9</f>
        <v>0</v>
      </c>
      <c r="F9" s="359" t="str">
        <f>'Func Future Lines 2015'!F9</f>
        <v>Fort_Saskatchewan</v>
      </c>
      <c r="G9" s="359">
        <f>'Func Future Lines 2015'!G9</f>
        <v>1655001.6528058015</v>
      </c>
      <c r="H9" s="359" t="str">
        <f>'Func Future Lines 2015'!H9</f>
        <v>AltaLink</v>
      </c>
      <c r="I9" s="359">
        <f>'Func Future Lines 2015'!I9</f>
        <v>2015</v>
      </c>
      <c r="J9" s="361">
        <f>+IF($I9=J$3,VLOOKUP($H9,Depreciation!$A$6:$L$10,7,FALSE)/2,IF($I9&lt;J$3,VLOOKUP($H9,Depreciation!$A$6:$L$10,7,FALSE),0))</f>
        <v>1.595020804044691E-2</v>
      </c>
      <c r="K9" s="361">
        <f>+IF($I9=K$3,VLOOKUP($H9,Depreciation!$A$6:$L$10,8,FALSE)/2,IF($I9&lt;K$3,VLOOKUP($H9,Depreciation!$A$6:$L$10,8,FALSE),0))</f>
        <v>3.0676363676126896E-2</v>
      </c>
      <c r="L9" s="361">
        <f>+IF($I9=L$3,VLOOKUP($H9,Depreciation!$A$6:$L$10,9,FALSE)/2,IF($I9&lt;L$3,VLOOKUP($H9,Depreciation!$A$6:$L$10,9,FALSE),0))</f>
        <v>3.0676363676126896E-2</v>
      </c>
      <c r="M9" s="361">
        <f>+IF($I9=M$3,VLOOKUP($H9,Depreciation!$A$6:$L$10,10,FALSE)/2,IF($I9&lt;M$3,VLOOKUP($H9,Depreciation!$A$6:$L$10,10,FALSE),0))</f>
        <v>3.0676363676126896E-2</v>
      </c>
      <c r="N9" s="361">
        <f>+IF($I9=N$3,VLOOKUP($H9,Depreciation!$A$6:$L$10,11,FALSE)/2,IF($I9&lt;N$3,VLOOKUP($H9,Depreciation!$A$6:$L$10,11,FALSE),0))</f>
        <v>3.0676363676126896E-2</v>
      </c>
      <c r="O9" s="361">
        <f>+IF($I9=O$3,VLOOKUP($H9,Depreciation!$A$6:$L$10,12,FALSE)/2,IF($I9&lt;O$3,VLOOKUP($H9,Depreciation!$A$6:$L$10,12,FALSE),0))</f>
        <v>3.0676363676126896E-2</v>
      </c>
      <c r="P9" s="362">
        <f t="shared" si="2"/>
        <v>1437774.3023622297</v>
      </c>
      <c r="Q9" s="362">
        <f t="shared" si="3"/>
        <v>0</v>
      </c>
      <c r="R9" s="363">
        <f t="shared" si="4"/>
        <v>1437774.3023622297</v>
      </c>
      <c r="V9" s="365"/>
    </row>
    <row r="10" spans="1:25" ht="15" customHeight="1">
      <c r="A10" s="359" t="str">
        <f>'Func Future Lines 2015'!A10</f>
        <v>PPS</v>
      </c>
      <c r="B10" s="359" t="str">
        <f>'Func Future Lines 2015'!B10</f>
        <v>New 100m 138kV line 130L</v>
      </c>
      <c r="C10" s="359">
        <f>'Func Future Lines 2015'!C10</f>
        <v>580</v>
      </c>
      <c r="D10" s="359">
        <f>'Func Future Lines 2015'!D10</f>
        <v>138</v>
      </c>
      <c r="E10" s="359">
        <f>'Func Future Lines 2015'!E10</f>
        <v>0</v>
      </c>
      <c r="F10" s="359" t="str">
        <f>'Func Future Lines 2015'!F10</f>
        <v>Fort_MacLeod</v>
      </c>
      <c r="G10" s="359">
        <f>'Func Future Lines 2015'!G10</f>
        <v>1145283.5820895538</v>
      </c>
      <c r="H10" s="359" t="str">
        <f>'Func Future Lines 2015'!H10</f>
        <v>AltaLink</v>
      </c>
      <c r="I10" s="359">
        <f>'Func Future Lines 2015'!I10</f>
        <v>2019</v>
      </c>
      <c r="J10" s="361">
        <f>+IF($I10=J$3,VLOOKUP($H10,Depreciation!$A$6:$L$10,7,FALSE)/2,IF($I10&lt;J$3,VLOOKUP($H10,Depreciation!$A$6:$L$10,7,FALSE),0))</f>
        <v>0</v>
      </c>
      <c r="K10" s="361">
        <f>+IF($I10=K$3,VLOOKUP($H10,Depreciation!$A$6:$L$10,8,FALSE)/2,IF($I10&lt;K$3,VLOOKUP($H10,Depreciation!$A$6:$L$10,8,FALSE),0))</f>
        <v>0</v>
      </c>
      <c r="L10" s="361">
        <f>+IF($I10=L$3,VLOOKUP($H10,Depreciation!$A$6:$L$10,9,FALSE)/2,IF($I10&lt;L$3,VLOOKUP($H10,Depreciation!$A$6:$L$10,9,FALSE),0))</f>
        <v>0</v>
      </c>
      <c r="M10" s="361">
        <f>+IF($I10=M$3,VLOOKUP($H10,Depreciation!$A$6:$L$10,10,FALSE)/2,IF($I10&lt;M$3,VLOOKUP($H10,Depreciation!$A$6:$L$10,10,FALSE),0))</f>
        <v>0</v>
      </c>
      <c r="N10" s="361">
        <f>+IF($I10=N$3,VLOOKUP($H10,Depreciation!$A$6:$L$10,11,FALSE)/2,IF($I10&lt;N$3,VLOOKUP($H10,Depreciation!$A$6:$L$10,11,FALSE),0))</f>
        <v>1.5338181838063448E-2</v>
      </c>
      <c r="O10" s="361">
        <f>+IF($I10=O$3,VLOOKUP($H10,Depreciation!$A$6:$L$10,12,FALSE)/2,IF($I10&lt;O$3,VLOOKUP($H10,Depreciation!$A$6:$L$10,12,FALSE),0))</f>
        <v>3.0676363676126896E-2</v>
      </c>
      <c r="P10" s="362">
        <f t="shared" si="2"/>
        <v>1127717.0142513155</v>
      </c>
      <c r="Q10" s="362">
        <f t="shared" si="3"/>
        <v>0</v>
      </c>
      <c r="R10" s="363">
        <f t="shared" si="4"/>
        <v>1127717.0142513155</v>
      </c>
      <c r="V10" s="365"/>
    </row>
    <row r="11" spans="1:25" ht="15" customHeight="1">
      <c r="A11" s="359" t="str">
        <f>'Func Future Lines 2015'!A11</f>
        <v>FINAL</v>
      </c>
      <c r="B11" s="359" t="str">
        <f>'Func Future Lines 2015'!B11</f>
        <v>1054L/1061L</v>
      </c>
      <c r="C11" s="359">
        <f>'Func Future Lines 2015'!C11</f>
        <v>629</v>
      </c>
      <c r="D11" s="359">
        <f>'Func Future Lines 2015'!D11</f>
        <v>240</v>
      </c>
      <c r="E11" s="359">
        <f>'Func Future Lines 2015'!E11</f>
        <v>0</v>
      </c>
      <c r="F11" s="359">
        <f>'Func Future Lines 2015'!F11</f>
        <v>0</v>
      </c>
      <c r="G11" s="359">
        <f>'Func Future Lines 2015'!G11</f>
        <v>61619635.006528027</v>
      </c>
      <c r="H11" s="359" t="str">
        <f>'Func Future Lines 2015'!H11</f>
        <v>AltaLink</v>
      </c>
      <c r="I11" s="359">
        <f>'Func Future Lines 2015'!I11</f>
        <v>2015</v>
      </c>
      <c r="J11" s="361">
        <f>+IF($I11=J$3,VLOOKUP($H11,Depreciation!$A$6:$L$10,7,FALSE)/2,IF($I11&lt;J$3,VLOOKUP($H11,Depreciation!$A$6:$L$10,7,FALSE),0))</f>
        <v>1.595020804044691E-2</v>
      </c>
      <c r="K11" s="361">
        <f>+IF($I11=K$3,VLOOKUP($H11,Depreciation!$A$6:$L$10,8,FALSE)/2,IF($I11&lt;K$3,VLOOKUP($H11,Depreciation!$A$6:$L$10,8,FALSE),0))</f>
        <v>3.0676363676126896E-2</v>
      </c>
      <c r="L11" s="361">
        <f>+IF($I11=L$3,VLOOKUP($H11,Depreciation!$A$6:$L$10,9,FALSE)/2,IF($I11&lt;L$3,VLOOKUP($H11,Depreciation!$A$6:$L$10,9,FALSE),0))</f>
        <v>3.0676363676126896E-2</v>
      </c>
      <c r="M11" s="361">
        <f>+IF($I11=M$3,VLOOKUP($H11,Depreciation!$A$6:$L$10,10,FALSE)/2,IF($I11&lt;M$3,VLOOKUP($H11,Depreciation!$A$6:$L$10,10,FALSE),0))</f>
        <v>3.0676363676126896E-2</v>
      </c>
      <c r="N11" s="361">
        <f>+IF($I11=N$3,VLOOKUP($H11,Depreciation!$A$6:$L$10,11,FALSE)/2,IF($I11&lt;N$3,VLOOKUP($H11,Depreciation!$A$6:$L$10,11,FALSE),0))</f>
        <v>3.0676363676126896E-2</v>
      </c>
      <c r="O11" s="361">
        <f>+IF($I11=O$3,VLOOKUP($H11,Depreciation!$A$6:$L$10,12,FALSE)/2,IF($I11&lt;O$3,VLOOKUP($H11,Depreciation!$A$6:$L$10,12,FALSE),0))</f>
        <v>3.0676363676126896E-2</v>
      </c>
      <c r="P11" s="362">
        <f t="shared" si="2"/>
        <v>53531745.773864701</v>
      </c>
      <c r="Q11" s="362">
        <f t="shared" si="3"/>
        <v>53531745.773864701</v>
      </c>
      <c r="R11" s="363">
        <f t="shared" si="4"/>
        <v>0</v>
      </c>
      <c r="V11" s="365"/>
    </row>
    <row r="12" spans="1:25" ht="15" customHeight="1">
      <c r="A12" s="359" t="str">
        <f>'Func Future Lines 2015'!A12</f>
        <v>FINAL</v>
      </c>
      <c r="B12" s="359" t="str">
        <f>'Func Future Lines 2015'!B12</f>
        <v>1058L</v>
      </c>
      <c r="C12" s="359">
        <f>'Func Future Lines 2015'!C12</f>
        <v>629</v>
      </c>
      <c r="D12" s="359">
        <f>'Func Future Lines 2015'!D12</f>
        <v>240</v>
      </c>
      <c r="E12" s="359">
        <f>'Func Future Lines 2015'!E12</f>
        <v>0</v>
      </c>
      <c r="F12" s="359">
        <f>'Func Future Lines 2015'!F12</f>
        <v>0</v>
      </c>
      <c r="G12" s="359">
        <f>'Func Future Lines 2015'!G12</f>
        <v>2898036.7235482754</v>
      </c>
      <c r="H12" s="359" t="str">
        <f>'Func Future Lines 2015'!H12</f>
        <v>AltaLink</v>
      </c>
      <c r="I12" s="359">
        <f>'Func Future Lines 2015'!I12</f>
        <v>2015</v>
      </c>
      <c r="J12" s="361">
        <f>+IF($I12=J$3,VLOOKUP($H12,Depreciation!$A$6:$L$10,7,FALSE)/2,IF($I12&lt;J$3,VLOOKUP($H12,Depreciation!$A$6:$L$10,7,FALSE),0))</f>
        <v>1.595020804044691E-2</v>
      </c>
      <c r="K12" s="361">
        <f>+IF($I12=K$3,VLOOKUP($H12,Depreciation!$A$6:$L$10,8,FALSE)/2,IF($I12&lt;K$3,VLOOKUP($H12,Depreciation!$A$6:$L$10,8,FALSE),0))</f>
        <v>3.0676363676126896E-2</v>
      </c>
      <c r="L12" s="361">
        <f>+IF($I12=L$3,VLOOKUP($H12,Depreciation!$A$6:$L$10,9,FALSE)/2,IF($I12&lt;L$3,VLOOKUP($H12,Depreciation!$A$6:$L$10,9,FALSE),0))</f>
        <v>3.0676363676126896E-2</v>
      </c>
      <c r="M12" s="361">
        <f>+IF($I12=M$3,VLOOKUP($H12,Depreciation!$A$6:$L$10,10,FALSE)/2,IF($I12&lt;M$3,VLOOKUP($H12,Depreciation!$A$6:$L$10,10,FALSE),0))</f>
        <v>3.0676363676126896E-2</v>
      </c>
      <c r="N12" s="361">
        <f>+IF($I12=N$3,VLOOKUP($H12,Depreciation!$A$6:$L$10,11,FALSE)/2,IF($I12&lt;N$3,VLOOKUP($H12,Depreciation!$A$6:$L$10,11,FALSE),0))</f>
        <v>3.0676363676126896E-2</v>
      </c>
      <c r="O12" s="361">
        <f>+IF($I12=O$3,VLOOKUP($H12,Depreciation!$A$6:$L$10,12,FALSE)/2,IF($I12&lt;O$3,VLOOKUP($H12,Depreciation!$A$6:$L$10,12,FALSE),0))</f>
        <v>3.0676363676126896E-2</v>
      </c>
      <c r="P12" s="362">
        <f t="shared" si="2"/>
        <v>2517654.7233990394</v>
      </c>
      <c r="Q12" s="362">
        <f t="shared" si="3"/>
        <v>2517654.7233990394</v>
      </c>
      <c r="R12" s="363">
        <f t="shared" si="4"/>
        <v>0</v>
      </c>
      <c r="V12" s="365"/>
    </row>
    <row r="13" spans="1:25" ht="15" customHeight="1">
      <c r="A13" s="359" t="str">
        <f>'Func Future Lines 2015'!A13</f>
        <v>FINAL</v>
      </c>
      <c r="B13" s="359" t="str">
        <f>'Func Future Lines 2015'!B13</f>
        <v>1206L/1212L</v>
      </c>
      <c r="C13" s="359">
        <f>'Func Future Lines 2015'!C13</f>
        <v>629</v>
      </c>
      <c r="D13" s="359">
        <f>'Func Future Lines 2015'!D13</f>
        <v>500</v>
      </c>
      <c r="E13" s="359">
        <f>'Func Future Lines 2015'!E13</f>
        <v>0</v>
      </c>
      <c r="F13" s="359">
        <f>'Func Future Lines 2015'!F13</f>
        <v>0</v>
      </c>
      <c r="G13" s="359">
        <f>'Func Future Lines 2015'!G13</f>
        <v>530866409.86294144</v>
      </c>
      <c r="H13" s="359" t="str">
        <f>'Func Future Lines 2015'!H13</f>
        <v>AltaLink</v>
      </c>
      <c r="I13" s="359">
        <f>'Func Future Lines 2015'!I13</f>
        <v>2015</v>
      </c>
      <c r="J13" s="361">
        <f>+IF($I13=J$3,VLOOKUP($H13,Depreciation!$A$6:$L$10,7,FALSE)/2,IF($I13&lt;J$3,VLOOKUP($H13,Depreciation!$A$6:$L$10,7,FALSE),0))</f>
        <v>1.595020804044691E-2</v>
      </c>
      <c r="K13" s="361">
        <f>+IF($I13=K$3,VLOOKUP($H13,Depreciation!$A$6:$L$10,8,FALSE)/2,IF($I13&lt;K$3,VLOOKUP($H13,Depreciation!$A$6:$L$10,8,FALSE),0))</f>
        <v>3.0676363676126896E-2</v>
      </c>
      <c r="L13" s="361">
        <f>+IF($I13=L$3,VLOOKUP($H13,Depreciation!$A$6:$L$10,9,FALSE)/2,IF($I13&lt;L$3,VLOOKUP($H13,Depreciation!$A$6:$L$10,9,FALSE),0))</f>
        <v>3.0676363676126896E-2</v>
      </c>
      <c r="M13" s="361">
        <f>+IF($I13=M$3,VLOOKUP($H13,Depreciation!$A$6:$L$10,10,FALSE)/2,IF($I13&lt;M$3,VLOOKUP($H13,Depreciation!$A$6:$L$10,10,FALSE),0))</f>
        <v>3.0676363676126896E-2</v>
      </c>
      <c r="N13" s="361">
        <f>+IF($I13=N$3,VLOOKUP($H13,Depreciation!$A$6:$L$10,11,FALSE)/2,IF($I13&lt;N$3,VLOOKUP($H13,Depreciation!$A$6:$L$10,11,FALSE),0))</f>
        <v>3.0676363676126896E-2</v>
      </c>
      <c r="O13" s="361">
        <f>+IF($I13=O$3,VLOOKUP($H13,Depreciation!$A$6:$L$10,12,FALSE)/2,IF($I13&lt;O$3,VLOOKUP($H13,Depreciation!$A$6:$L$10,12,FALSE),0))</f>
        <v>3.0676363676126896E-2</v>
      </c>
      <c r="P13" s="362">
        <f t="shared" si="2"/>
        <v>461187504.43193305</v>
      </c>
      <c r="Q13" s="362">
        <f t="shared" si="3"/>
        <v>461187504.43193305</v>
      </c>
      <c r="R13" s="363">
        <f t="shared" si="4"/>
        <v>0</v>
      </c>
      <c r="V13" s="365"/>
    </row>
    <row r="14" spans="1:25" ht="15" customHeight="1">
      <c r="A14" s="359" t="str">
        <f>'Func Future Lines 2015'!A14</f>
        <v>FINAL</v>
      </c>
      <c r="B14" s="359" t="str">
        <f>'Func Future Lines 2015'!B14</f>
        <v>726L</v>
      </c>
      <c r="C14" s="359">
        <f>'Func Future Lines 2015'!C14</f>
        <v>629</v>
      </c>
      <c r="D14" s="359">
        <f>'Func Future Lines 2015'!D14</f>
        <v>138</v>
      </c>
      <c r="E14" s="359">
        <f>'Func Future Lines 2015'!E14</f>
        <v>0</v>
      </c>
      <c r="F14" s="359">
        <f>'Func Future Lines 2015'!F14</f>
        <v>0</v>
      </c>
      <c r="G14" s="359">
        <f>'Func Future Lines 2015'!G14</f>
        <v>702156.82391399238</v>
      </c>
      <c r="H14" s="359" t="str">
        <f>'Func Future Lines 2015'!H14</f>
        <v>AltaLink</v>
      </c>
      <c r="I14" s="359">
        <f>'Func Future Lines 2015'!I14</f>
        <v>2015</v>
      </c>
      <c r="J14" s="361">
        <f>+IF($I14=J$3,VLOOKUP($H14,Depreciation!$A$6:$L$10,7,FALSE)/2,IF($I14&lt;J$3,VLOOKUP($H14,Depreciation!$A$6:$L$10,7,FALSE),0))</f>
        <v>1.595020804044691E-2</v>
      </c>
      <c r="K14" s="361">
        <f>+IF($I14=K$3,VLOOKUP($H14,Depreciation!$A$6:$L$10,8,FALSE)/2,IF($I14&lt;K$3,VLOOKUP($H14,Depreciation!$A$6:$L$10,8,FALSE),0))</f>
        <v>3.0676363676126896E-2</v>
      </c>
      <c r="L14" s="361">
        <f>+IF($I14=L$3,VLOOKUP($H14,Depreciation!$A$6:$L$10,9,FALSE)/2,IF($I14&lt;L$3,VLOOKUP($H14,Depreciation!$A$6:$L$10,9,FALSE),0))</f>
        <v>3.0676363676126896E-2</v>
      </c>
      <c r="M14" s="361">
        <f>+IF($I14=M$3,VLOOKUP($H14,Depreciation!$A$6:$L$10,10,FALSE)/2,IF($I14&lt;M$3,VLOOKUP($H14,Depreciation!$A$6:$L$10,10,FALSE),0))</f>
        <v>3.0676363676126896E-2</v>
      </c>
      <c r="N14" s="361">
        <f>+IF($I14=N$3,VLOOKUP($H14,Depreciation!$A$6:$L$10,11,FALSE)/2,IF($I14&lt;N$3,VLOOKUP($H14,Depreciation!$A$6:$L$10,11,FALSE),0))</f>
        <v>3.0676363676126896E-2</v>
      </c>
      <c r="O14" s="361">
        <f>+IF($I14=O$3,VLOOKUP($H14,Depreciation!$A$6:$L$10,12,FALSE)/2,IF($I14&lt;O$3,VLOOKUP($H14,Depreciation!$A$6:$L$10,12,FALSE),0))</f>
        <v>3.0676363676126896E-2</v>
      </c>
      <c r="P14" s="362">
        <f t="shared" si="2"/>
        <v>609995.18395664077</v>
      </c>
      <c r="Q14" s="362">
        <f t="shared" si="3"/>
        <v>0</v>
      </c>
      <c r="R14" s="363">
        <f t="shared" si="4"/>
        <v>609995.18395664077</v>
      </c>
      <c r="V14" s="365"/>
    </row>
    <row r="15" spans="1:25" ht="15" customHeight="1">
      <c r="A15" s="359" t="str">
        <f>'Func Future Lines 2015'!A15</f>
        <v>FINAL</v>
      </c>
      <c r="B15" s="359" t="str">
        <f>'Func Future Lines 2015'!B15</f>
        <v>731L</v>
      </c>
      <c r="C15" s="359">
        <f>'Func Future Lines 2015'!C15</f>
        <v>629</v>
      </c>
      <c r="D15" s="359">
        <f>'Func Future Lines 2015'!D15</f>
        <v>138</v>
      </c>
      <c r="E15" s="359">
        <f>'Func Future Lines 2015'!E15</f>
        <v>0</v>
      </c>
      <c r="F15" s="359">
        <f>'Func Future Lines 2015'!F15</f>
        <v>0</v>
      </c>
      <c r="G15" s="359">
        <f>'Func Future Lines 2015'!G15</f>
        <v>504109.03864587925</v>
      </c>
      <c r="H15" s="359" t="str">
        <f>'Func Future Lines 2015'!H15</f>
        <v>AltaLink</v>
      </c>
      <c r="I15" s="359">
        <f>'Func Future Lines 2015'!I15</f>
        <v>2015</v>
      </c>
      <c r="J15" s="361">
        <f>+IF($I15=J$3,VLOOKUP($H15,Depreciation!$A$6:$L$10,7,FALSE)/2,IF($I15&lt;J$3,VLOOKUP($H15,Depreciation!$A$6:$L$10,7,FALSE),0))</f>
        <v>1.595020804044691E-2</v>
      </c>
      <c r="K15" s="361">
        <f>+IF($I15=K$3,VLOOKUP($H15,Depreciation!$A$6:$L$10,8,FALSE)/2,IF($I15&lt;K$3,VLOOKUP($H15,Depreciation!$A$6:$L$10,8,FALSE),0))</f>
        <v>3.0676363676126896E-2</v>
      </c>
      <c r="L15" s="361">
        <f>+IF($I15=L$3,VLOOKUP($H15,Depreciation!$A$6:$L$10,9,FALSE)/2,IF($I15&lt;L$3,VLOOKUP($H15,Depreciation!$A$6:$L$10,9,FALSE),0))</f>
        <v>3.0676363676126896E-2</v>
      </c>
      <c r="M15" s="361">
        <f>+IF($I15=M$3,VLOOKUP($H15,Depreciation!$A$6:$L$10,10,FALSE)/2,IF($I15&lt;M$3,VLOOKUP($H15,Depreciation!$A$6:$L$10,10,FALSE),0))</f>
        <v>3.0676363676126896E-2</v>
      </c>
      <c r="N15" s="361">
        <f>+IF($I15=N$3,VLOOKUP($H15,Depreciation!$A$6:$L$10,11,FALSE)/2,IF($I15&lt;N$3,VLOOKUP($H15,Depreciation!$A$6:$L$10,11,FALSE),0))</f>
        <v>3.0676363676126896E-2</v>
      </c>
      <c r="O15" s="361">
        <f>+IF($I15=O$3,VLOOKUP($H15,Depreciation!$A$6:$L$10,12,FALSE)/2,IF($I15&lt;O$3,VLOOKUP($H15,Depreciation!$A$6:$L$10,12,FALSE),0))</f>
        <v>3.0676363676126896E-2</v>
      </c>
      <c r="P15" s="362">
        <f t="shared" si="2"/>
        <v>437942.17372822226</v>
      </c>
      <c r="Q15" s="362">
        <f t="shared" si="3"/>
        <v>0</v>
      </c>
      <c r="R15" s="363">
        <f t="shared" si="4"/>
        <v>437942.17372822226</v>
      </c>
      <c r="Y15" s="365"/>
    </row>
    <row r="16" spans="1:25" ht="15" customHeight="1">
      <c r="A16" s="359" t="str">
        <f>'Func Future Lines 2015'!A16</f>
        <v>FINAL</v>
      </c>
      <c r="B16" s="359" t="str">
        <f>'Func Future Lines 2015'!B16</f>
        <v>735L</v>
      </c>
      <c r="C16" s="359">
        <f>'Func Future Lines 2015'!C16</f>
        <v>629</v>
      </c>
      <c r="D16" s="359">
        <f>'Func Future Lines 2015'!D16</f>
        <v>138</v>
      </c>
      <c r="E16" s="359">
        <f>'Func Future Lines 2015'!E16</f>
        <v>0</v>
      </c>
      <c r="F16" s="359">
        <f>'Func Future Lines 2015'!F16</f>
        <v>0</v>
      </c>
      <c r="G16" s="359">
        <f>'Func Future Lines 2015'!G16</f>
        <v>2727.7774922550475</v>
      </c>
      <c r="H16" s="359" t="str">
        <f>'Func Future Lines 2015'!H16</f>
        <v>AltaLink</v>
      </c>
      <c r="I16" s="359">
        <f>'Func Future Lines 2015'!I16</f>
        <v>2015</v>
      </c>
      <c r="J16" s="361">
        <f>+IF($I16=J$3,VLOOKUP($H16,Depreciation!$A$6:$L$10,7,FALSE)/2,IF($I16&lt;J$3,VLOOKUP($H16,Depreciation!$A$6:$L$10,7,FALSE),0))</f>
        <v>1.595020804044691E-2</v>
      </c>
      <c r="K16" s="361">
        <f>+IF($I16=K$3,VLOOKUP($H16,Depreciation!$A$6:$L$10,8,FALSE)/2,IF($I16&lt;K$3,VLOOKUP($H16,Depreciation!$A$6:$L$10,8,FALSE),0))</f>
        <v>3.0676363676126896E-2</v>
      </c>
      <c r="L16" s="361">
        <f>+IF($I16=L$3,VLOOKUP($H16,Depreciation!$A$6:$L$10,9,FALSE)/2,IF($I16&lt;L$3,VLOOKUP($H16,Depreciation!$A$6:$L$10,9,FALSE),0))</f>
        <v>3.0676363676126896E-2</v>
      </c>
      <c r="M16" s="361">
        <f>+IF($I16=M$3,VLOOKUP($H16,Depreciation!$A$6:$L$10,10,FALSE)/2,IF($I16&lt;M$3,VLOOKUP($H16,Depreciation!$A$6:$L$10,10,FALSE),0))</f>
        <v>3.0676363676126896E-2</v>
      </c>
      <c r="N16" s="361">
        <f>+IF($I16=N$3,VLOOKUP($H16,Depreciation!$A$6:$L$10,11,FALSE)/2,IF($I16&lt;N$3,VLOOKUP($H16,Depreciation!$A$6:$L$10,11,FALSE),0))</f>
        <v>3.0676363676126896E-2</v>
      </c>
      <c r="O16" s="361">
        <f>+IF($I16=O$3,VLOOKUP($H16,Depreciation!$A$6:$L$10,12,FALSE)/2,IF($I16&lt;O$3,VLOOKUP($H16,Depreciation!$A$6:$L$10,12,FALSE),0))</f>
        <v>3.0676363676126896E-2</v>
      </c>
      <c r="P16" s="362">
        <f t="shared" si="2"/>
        <v>2369.74287867167</v>
      </c>
      <c r="Q16" s="362">
        <f t="shared" si="3"/>
        <v>0</v>
      </c>
      <c r="R16" s="363">
        <f t="shared" si="4"/>
        <v>2369.74287867167</v>
      </c>
      <c r="Y16" s="365"/>
    </row>
    <row r="17" spans="1:25" ht="15" customHeight="1">
      <c r="A17" s="359" t="str">
        <f>'Func Future Lines 2015'!A17</f>
        <v>FINAL</v>
      </c>
      <c r="B17" s="359" t="str">
        <f>'Func Future Lines 2015'!B17</f>
        <v>746L</v>
      </c>
      <c r="C17" s="359">
        <f>'Func Future Lines 2015'!C17</f>
        <v>629</v>
      </c>
      <c r="D17" s="359">
        <f>'Func Future Lines 2015'!D17</f>
        <v>138</v>
      </c>
      <c r="E17" s="359">
        <f>'Func Future Lines 2015'!E17</f>
        <v>0</v>
      </c>
      <c r="F17" s="359">
        <f>'Func Future Lines 2015'!F17</f>
        <v>0</v>
      </c>
      <c r="G17" s="359">
        <f>'Func Future Lines 2015'!G17</f>
        <v>227994.9241210825</v>
      </c>
      <c r="H17" s="359" t="str">
        <f>'Func Future Lines 2015'!H17</f>
        <v>AltaLink</v>
      </c>
      <c r="I17" s="359">
        <f>'Func Future Lines 2015'!I17</f>
        <v>2015</v>
      </c>
      <c r="J17" s="361">
        <f>+IF($I17=J$3,VLOOKUP($H17,Depreciation!$A$6:$L$10,7,FALSE)/2,IF($I17&lt;J$3,VLOOKUP($H17,Depreciation!$A$6:$L$10,7,FALSE),0))</f>
        <v>1.595020804044691E-2</v>
      </c>
      <c r="K17" s="361">
        <f>+IF($I17=K$3,VLOOKUP($H17,Depreciation!$A$6:$L$10,8,FALSE)/2,IF($I17&lt;K$3,VLOOKUP($H17,Depreciation!$A$6:$L$10,8,FALSE),0))</f>
        <v>3.0676363676126896E-2</v>
      </c>
      <c r="L17" s="361">
        <f>+IF($I17=L$3,VLOOKUP($H17,Depreciation!$A$6:$L$10,9,FALSE)/2,IF($I17&lt;L$3,VLOOKUP($H17,Depreciation!$A$6:$L$10,9,FALSE),0))</f>
        <v>3.0676363676126896E-2</v>
      </c>
      <c r="M17" s="361">
        <f>+IF($I17=M$3,VLOOKUP($H17,Depreciation!$A$6:$L$10,10,FALSE)/2,IF($I17&lt;M$3,VLOOKUP($H17,Depreciation!$A$6:$L$10,10,FALSE),0))</f>
        <v>3.0676363676126896E-2</v>
      </c>
      <c r="N17" s="361">
        <f>+IF($I17=N$3,VLOOKUP($H17,Depreciation!$A$6:$L$10,11,FALSE)/2,IF($I17&lt;N$3,VLOOKUP($H17,Depreciation!$A$6:$L$10,11,FALSE),0))</f>
        <v>3.0676363676126896E-2</v>
      </c>
      <c r="O17" s="361">
        <f>+IF($I17=O$3,VLOOKUP($H17,Depreciation!$A$6:$L$10,12,FALSE)/2,IF($I17&lt;O$3,VLOOKUP($H17,Depreciation!$A$6:$L$10,12,FALSE),0))</f>
        <v>3.0676363676126896E-2</v>
      </c>
      <c r="P17" s="362">
        <f t="shared" si="2"/>
        <v>198069.43540785916</v>
      </c>
      <c r="Q17" s="362">
        <f t="shared" si="3"/>
        <v>0</v>
      </c>
      <c r="R17" s="363">
        <f t="shared" si="4"/>
        <v>198069.43540785916</v>
      </c>
      <c r="Y17" s="365"/>
    </row>
    <row r="18" spans="1:25" ht="15" customHeight="1">
      <c r="A18" s="359" t="str">
        <f>'Func Future Lines 2015'!A18</f>
        <v>FINAL</v>
      </c>
      <c r="B18" s="359" t="str">
        <f>'Func Future Lines 2015'!B18</f>
        <v>780L</v>
      </c>
      <c r="C18" s="359">
        <f>'Func Future Lines 2015'!C18</f>
        <v>629</v>
      </c>
      <c r="D18" s="359">
        <f>'Func Future Lines 2015'!D18</f>
        <v>138</v>
      </c>
      <c r="E18" s="359">
        <f>'Func Future Lines 2015'!E18</f>
        <v>0</v>
      </c>
      <c r="F18" s="359">
        <f>'Func Future Lines 2015'!F18</f>
        <v>0</v>
      </c>
      <c r="G18" s="359">
        <f>'Func Future Lines 2015'!G18</f>
        <v>383859.96701394476</v>
      </c>
      <c r="H18" s="359" t="str">
        <f>'Func Future Lines 2015'!H18</f>
        <v>AltaLink</v>
      </c>
      <c r="I18" s="359">
        <f>'Func Future Lines 2015'!I18</f>
        <v>2015</v>
      </c>
      <c r="J18" s="361">
        <f>+IF($I18=J$3,VLOOKUP($H18,Depreciation!$A$6:$L$10,7,FALSE)/2,IF($I18&lt;J$3,VLOOKUP($H18,Depreciation!$A$6:$L$10,7,FALSE),0))</f>
        <v>1.595020804044691E-2</v>
      </c>
      <c r="K18" s="361">
        <f>+IF($I18=K$3,VLOOKUP($H18,Depreciation!$A$6:$L$10,8,FALSE)/2,IF($I18&lt;K$3,VLOOKUP($H18,Depreciation!$A$6:$L$10,8,FALSE),0))</f>
        <v>3.0676363676126896E-2</v>
      </c>
      <c r="L18" s="361">
        <f>+IF($I18=L$3,VLOOKUP($H18,Depreciation!$A$6:$L$10,9,FALSE)/2,IF($I18&lt;L$3,VLOOKUP($H18,Depreciation!$A$6:$L$10,9,FALSE),0))</f>
        <v>3.0676363676126896E-2</v>
      </c>
      <c r="M18" s="361">
        <f>+IF($I18=M$3,VLOOKUP($H18,Depreciation!$A$6:$L$10,10,FALSE)/2,IF($I18&lt;M$3,VLOOKUP($H18,Depreciation!$A$6:$L$10,10,FALSE),0))</f>
        <v>3.0676363676126896E-2</v>
      </c>
      <c r="N18" s="361">
        <f>+IF($I18=N$3,VLOOKUP($H18,Depreciation!$A$6:$L$10,11,FALSE)/2,IF($I18&lt;N$3,VLOOKUP($H18,Depreciation!$A$6:$L$10,11,FALSE),0))</f>
        <v>3.0676363676126896E-2</v>
      </c>
      <c r="O18" s="361">
        <f>+IF($I18=O$3,VLOOKUP($H18,Depreciation!$A$6:$L$10,12,FALSE)/2,IF($I18&lt;O$3,VLOOKUP($H18,Depreciation!$A$6:$L$10,12,FALSE),0))</f>
        <v>3.0676363676126896E-2</v>
      </c>
      <c r="P18" s="362">
        <f t="shared" si="2"/>
        <v>333476.40187705815</v>
      </c>
      <c r="Q18" s="362">
        <f t="shared" si="3"/>
        <v>0</v>
      </c>
      <c r="R18" s="363">
        <f t="shared" si="4"/>
        <v>333476.40187705815</v>
      </c>
      <c r="Y18" s="365"/>
    </row>
    <row r="19" spans="1:25" ht="15" customHeight="1">
      <c r="A19" s="359" t="str">
        <f>'Func Future Lines 2015'!A19</f>
        <v>FINAL</v>
      </c>
      <c r="B19" s="359" t="str">
        <f>'Func Future Lines 2015'!B19</f>
        <v>783L</v>
      </c>
      <c r="C19" s="359">
        <f>'Func Future Lines 2015'!C19</f>
        <v>629</v>
      </c>
      <c r="D19" s="359">
        <f>'Func Future Lines 2015'!D19</f>
        <v>138</v>
      </c>
      <c r="E19" s="359">
        <f>'Func Future Lines 2015'!E19</f>
        <v>0</v>
      </c>
      <c r="F19" s="359">
        <f>'Func Future Lines 2015'!F19</f>
        <v>0</v>
      </c>
      <c r="G19" s="359">
        <f>'Func Future Lines 2015'!G19</f>
        <v>455201.94438484032</v>
      </c>
      <c r="H19" s="359" t="str">
        <f>'Func Future Lines 2015'!H19</f>
        <v>AltaLink</v>
      </c>
      <c r="I19" s="359">
        <f>'Func Future Lines 2015'!I19</f>
        <v>2015</v>
      </c>
      <c r="J19" s="361">
        <f>+IF($I19=J$3,VLOOKUP($H19,Depreciation!$A$6:$L$10,7,FALSE)/2,IF($I19&lt;J$3,VLOOKUP($H19,Depreciation!$A$6:$L$10,7,FALSE),0))</f>
        <v>1.595020804044691E-2</v>
      </c>
      <c r="K19" s="361">
        <f>+IF($I19=K$3,VLOOKUP($H19,Depreciation!$A$6:$L$10,8,FALSE)/2,IF($I19&lt;K$3,VLOOKUP($H19,Depreciation!$A$6:$L$10,8,FALSE),0))</f>
        <v>3.0676363676126896E-2</v>
      </c>
      <c r="L19" s="361">
        <f>+IF($I19=L$3,VLOOKUP($H19,Depreciation!$A$6:$L$10,9,FALSE)/2,IF($I19&lt;L$3,VLOOKUP($H19,Depreciation!$A$6:$L$10,9,FALSE),0))</f>
        <v>3.0676363676126896E-2</v>
      </c>
      <c r="M19" s="361">
        <f>+IF($I19=M$3,VLOOKUP($H19,Depreciation!$A$6:$L$10,10,FALSE)/2,IF($I19&lt;M$3,VLOOKUP($H19,Depreciation!$A$6:$L$10,10,FALSE),0))</f>
        <v>3.0676363676126896E-2</v>
      </c>
      <c r="N19" s="361">
        <f>+IF($I19=N$3,VLOOKUP($H19,Depreciation!$A$6:$L$10,11,FALSE)/2,IF($I19&lt;N$3,VLOOKUP($H19,Depreciation!$A$6:$L$10,11,FALSE),0))</f>
        <v>3.0676363676126896E-2</v>
      </c>
      <c r="O19" s="361">
        <f>+IF($I19=O$3,VLOOKUP($H19,Depreciation!$A$6:$L$10,12,FALSE)/2,IF($I19&lt;O$3,VLOOKUP($H19,Depreciation!$A$6:$L$10,12,FALSE),0))</f>
        <v>3.0676363676126896E-2</v>
      </c>
      <c r="P19" s="362">
        <f t="shared" si="2"/>
        <v>395454.383330843</v>
      </c>
      <c r="Q19" s="362">
        <f t="shared" si="3"/>
        <v>0</v>
      </c>
      <c r="R19" s="363">
        <f t="shared" si="4"/>
        <v>395454.383330843</v>
      </c>
      <c r="Y19" s="365"/>
    </row>
    <row r="20" spans="1:25" ht="15" customHeight="1">
      <c r="A20" s="359" t="str">
        <f>'Func Future Lines 2015'!A20</f>
        <v>FINAL</v>
      </c>
      <c r="B20" s="359" t="str">
        <f>'Func Future Lines 2015'!B20</f>
        <v>874L</v>
      </c>
      <c r="C20" s="359">
        <f>'Func Future Lines 2015'!C20</f>
        <v>629</v>
      </c>
      <c r="D20" s="359">
        <f>'Func Future Lines 2015'!D20</f>
        <v>138</v>
      </c>
      <c r="E20" s="359">
        <f>'Func Future Lines 2015'!E20</f>
        <v>0</v>
      </c>
      <c r="F20" s="359">
        <f>'Func Future Lines 2015'!F20</f>
        <v>0</v>
      </c>
      <c r="G20" s="359">
        <f>'Func Future Lines 2015'!G20</f>
        <v>17456.145804520598</v>
      </c>
      <c r="H20" s="359" t="str">
        <f>'Func Future Lines 2015'!H20</f>
        <v>AltaLink</v>
      </c>
      <c r="I20" s="359">
        <f>'Func Future Lines 2015'!I20</f>
        <v>2015</v>
      </c>
      <c r="J20" s="361">
        <f>+IF($I20=J$3,VLOOKUP($H20,Depreciation!$A$6:$L$10,7,FALSE)/2,IF($I20&lt;J$3,VLOOKUP($H20,Depreciation!$A$6:$L$10,7,FALSE),0))</f>
        <v>1.595020804044691E-2</v>
      </c>
      <c r="K20" s="361">
        <f>+IF($I20=K$3,VLOOKUP($H20,Depreciation!$A$6:$L$10,8,FALSE)/2,IF($I20&lt;K$3,VLOOKUP($H20,Depreciation!$A$6:$L$10,8,FALSE),0))</f>
        <v>3.0676363676126896E-2</v>
      </c>
      <c r="L20" s="361">
        <f>+IF($I20=L$3,VLOOKUP($H20,Depreciation!$A$6:$L$10,9,FALSE)/2,IF($I20&lt;L$3,VLOOKUP($H20,Depreciation!$A$6:$L$10,9,FALSE),0))</f>
        <v>3.0676363676126896E-2</v>
      </c>
      <c r="M20" s="361">
        <f>+IF($I20=M$3,VLOOKUP($H20,Depreciation!$A$6:$L$10,10,FALSE)/2,IF($I20&lt;M$3,VLOOKUP($H20,Depreciation!$A$6:$L$10,10,FALSE),0))</f>
        <v>3.0676363676126896E-2</v>
      </c>
      <c r="N20" s="361">
        <f>+IF($I20=N$3,VLOOKUP($H20,Depreciation!$A$6:$L$10,11,FALSE)/2,IF($I20&lt;N$3,VLOOKUP($H20,Depreciation!$A$6:$L$10,11,FALSE),0))</f>
        <v>3.0676363676126896E-2</v>
      </c>
      <c r="O20" s="361">
        <f>+IF($I20=O$3,VLOOKUP($H20,Depreciation!$A$6:$L$10,12,FALSE)/2,IF($I20&lt;O$3,VLOOKUP($H20,Depreciation!$A$6:$L$10,12,FALSE),0))</f>
        <v>3.0676363676126896E-2</v>
      </c>
      <c r="P20" s="362">
        <f t="shared" si="2"/>
        <v>15164.938242495504</v>
      </c>
      <c r="Q20" s="362">
        <f t="shared" si="3"/>
        <v>0</v>
      </c>
      <c r="R20" s="363">
        <f t="shared" si="4"/>
        <v>15164.938242495504</v>
      </c>
      <c r="Y20" s="365"/>
    </row>
    <row r="21" spans="1:25" ht="15" customHeight="1">
      <c r="A21" s="359" t="str">
        <f>'Func Future Lines 2015'!A21</f>
        <v>FINAL</v>
      </c>
      <c r="B21" s="359" t="str">
        <f>'Func Future Lines 2015'!B21</f>
        <v>908L</v>
      </c>
      <c r="C21" s="359">
        <f>'Func Future Lines 2015'!C21</f>
        <v>629</v>
      </c>
      <c r="D21" s="359">
        <f>'Func Future Lines 2015'!D21</f>
        <v>240</v>
      </c>
      <c r="E21" s="359">
        <f>'Func Future Lines 2015'!E21</f>
        <v>0</v>
      </c>
      <c r="F21" s="359">
        <f>'Func Future Lines 2015'!F21</f>
        <v>0</v>
      </c>
      <c r="G21" s="359">
        <f>'Func Future Lines 2015'!G21</f>
        <v>2529823.4403768573</v>
      </c>
      <c r="H21" s="359" t="str">
        <f>'Func Future Lines 2015'!H21</f>
        <v>AltaLink</v>
      </c>
      <c r="I21" s="359">
        <f>'Func Future Lines 2015'!I21</f>
        <v>2015</v>
      </c>
      <c r="J21" s="361">
        <f>+IF($I21=J$3,VLOOKUP($H21,Depreciation!$A$6:$L$10,7,FALSE)/2,IF($I21&lt;J$3,VLOOKUP($H21,Depreciation!$A$6:$L$10,7,FALSE),0))</f>
        <v>1.595020804044691E-2</v>
      </c>
      <c r="K21" s="361">
        <f>+IF($I21=K$3,VLOOKUP($H21,Depreciation!$A$6:$L$10,8,FALSE)/2,IF($I21&lt;K$3,VLOOKUP($H21,Depreciation!$A$6:$L$10,8,FALSE),0))</f>
        <v>3.0676363676126896E-2</v>
      </c>
      <c r="L21" s="361">
        <f>+IF($I21=L$3,VLOOKUP($H21,Depreciation!$A$6:$L$10,9,FALSE)/2,IF($I21&lt;L$3,VLOOKUP($H21,Depreciation!$A$6:$L$10,9,FALSE),0))</f>
        <v>3.0676363676126896E-2</v>
      </c>
      <c r="M21" s="361">
        <f>+IF($I21=M$3,VLOOKUP($H21,Depreciation!$A$6:$L$10,10,FALSE)/2,IF($I21&lt;M$3,VLOOKUP($H21,Depreciation!$A$6:$L$10,10,FALSE),0))</f>
        <v>3.0676363676126896E-2</v>
      </c>
      <c r="N21" s="361">
        <f>+IF($I21=N$3,VLOOKUP($H21,Depreciation!$A$6:$L$10,11,FALSE)/2,IF($I21&lt;N$3,VLOOKUP($H21,Depreciation!$A$6:$L$10,11,FALSE),0))</f>
        <v>3.0676363676126896E-2</v>
      </c>
      <c r="O21" s="361">
        <f>+IF($I21=O$3,VLOOKUP($H21,Depreciation!$A$6:$L$10,12,FALSE)/2,IF($I21&lt;O$3,VLOOKUP($H21,Depreciation!$A$6:$L$10,12,FALSE),0))</f>
        <v>3.0676363676126896E-2</v>
      </c>
      <c r="P21" s="362">
        <f t="shared" si="2"/>
        <v>2197771.2988509354</v>
      </c>
      <c r="Q21" s="362">
        <f t="shared" si="3"/>
        <v>2197771.2988509354</v>
      </c>
      <c r="R21" s="363">
        <f t="shared" si="4"/>
        <v>0</v>
      </c>
      <c r="Y21" s="365"/>
    </row>
    <row r="22" spans="1:25" ht="15" customHeight="1">
      <c r="A22" s="359" t="str">
        <f>'Func Future Lines 2015'!A22</f>
        <v>FINAL</v>
      </c>
      <c r="B22" s="359" t="str">
        <f>'Func Future Lines 2015'!B22</f>
        <v>920/921L</v>
      </c>
      <c r="C22" s="359">
        <f>'Func Future Lines 2015'!C22</f>
        <v>629</v>
      </c>
      <c r="D22" s="359">
        <f>'Func Future Lines 2015'!D22</f>
        <v>240</v>
      </c>
      <c r="E22" s="359">
        <f>'Func Future Lines 2015'!E22</f>
        <v>0</v>
      </c>
      <c r="F22" s="359">
        <f>'Func Future Lines 2015'!F22</f>
        <v>0</v>
      </c>
      <c r="G22" s="359">
        <f>'Func Future Lines 2015'!G22</f>
        <v>6789772.358134713</v>
      </c>
      <c r="H22" s="359" t="str">
        <f>'Func Future Lines 2015'!H22</f>
        <v>AltaLink</v>
      </c>
      <c r="I22" s="359">
        <f>'Func Future Lines 2015'!I22</f>
        <v>2015</v>
      </c>
      <c r="J22" s="361">
        <f>+IF($I22=J$3,VLOOKUP($H22,Depreciation!$A$6:$L$10,7,FALSE)/2,IF($I22&lt;J$3,VLOOKUP($H22,Depreciation!$A$6:$L$10,7,FALSE),0))</f>
        <v>1.595020804044691E-2</v>
      </c>
      <c r="K22" s="361">
        <f>+IF($I22=K$3,VLOOKUP($H22,Depreciation!$A$6:$L$10,8,FALSE)/2,IF($I22&lt;K$3,VLOOKUP($H22,Depreciation!$A$6:$L$10,8,FALSE),0))</f>
        <v>3.0676363676126896E-2</v>
      </c>
      <c r="L22" s="361">
        <f>+IF($I22=L$3,VLOOKUP($H22,Depreciation!$A$6:$L$10,9,FALSE)/2,IF($I22&lt;L$3,VLOOKUP($H22,Depreciation!$A$6:$L$10,9,FALSE),0))</f>
        <v>3.0676363676126896E-2</v>
      </c>
      <c r="M22" s="361">
        <f>+IF($I22=M$3,VLOOKUP($H22,Depreciation!$A$6:$L$10,10,FALSE)/2,IF($I22&lt;M$3,VLOOKUP($H22,Depreciation!$A$6:$L$10,10,FALSE),0))</f>
        <v>3.0676363676126896E-2</v>
      </c>
      <c r="N22" s="361">
        <f>+IF($I22=N$3,VLOOKUP($H22,Depreciation!$A$6:$L$10,11,FALSE)/2,IF($I22&lt;N$3,VLOOKUP($H22,Depreciation!$A$6:$L$10,11,FALSE),0))</f>
        <v>3.0676363676126896E-2</v>
      </c>
      <c r="O22" s="361">
        <f>+IF($I22=O$3,VLOOKUP($H22,Depreciation!$A$6:$L$10,12,FALSE)/2,IF($I22&lt;O$3,VLOOKUP($H22,Depreciation!$A$6:$L$10,12,FALSE),0))</f>
        <v>3.0676363676126896E-2</v>
      </c>
      <c r="P22" s="362">
        <f t="shared" si="2"/>
        <v>5898580.3421194423</v>
      </c>
      <c r="Q22" s="362">
        <f t="shared" si="3"/>
        <v>5898580.3421194423</v>
      </c>
      <c r="R22" s="363">
        <f t="shared" si="4"/>
        <v>0</v>
      </c>
      <c r="Y22" s="365"/>
    </row>
    <row r="23" spans="1:25" ht="15" customHeight="1">
      <c r="A23" s="359" t="str">
        <f>'Func Future Lines 2015'!A23</f>
        <v>FINAL</v>
      </c>
      <c r="B23" s="359" t="str">
        <f>'Func Future Lines 2015'!B23</f>
        <v>946L</v>
      </c>
      <c r="C23" s="359">
        <f>'Func Future Lines 2015'!C23</f>
        <v>629</v>
      </c>
      <c r="D23" s="359">
        <f>'Func Future Lines 2015'!D23</f>
        <v>240</v>
      </c>
      <c r="E23" s="359">
        <f>'Func Future Lines 2015'!E23</f>
        <v>0</v>
      </c>
      <c r="F23" s="359">
        <f>'Func Future Lines 2015'!F23</f>
        <v>0</v>
      </c>
      <c r="G23" s="359">
        <f>'Func Future Lines 2015'!G23</f>
        <v>2351204.2774664294</v>
      </c>
      <c r="H23" s="359" t="str">
        <f>'Func Future Lines 2015'!H23</f>
        <v>AltaLink</v>
      </c>
      <c r="I23" s="359">
        <f>'Func Future Lines 2015'!I23</f>
        <v>2015</v>
      </c>
      <c r="J23" s="361">
        <f>+IF($I23=J$3,VLOOKUP($H23,Depreciation!$A$6:$L$10,7,FALSE)/2,IF($I23&lt;J$3,VLOOKUP($H23,Depreciation!$A$6:$L$10,7,FALSE),0))</f>
        <v>1.595020804044691E-2</v>
      </c>
      <c r="K23" s="361">
        <f>+IF($I23=K$3,VLOOKUP($H23,Depreciation!$A$6:$L$10,8,FALSE)/2,IF($I23&lt;K$3,VLOOKUP($H23,Depreciation!$A$6:$L$10,8,FALSE),0))</f>
        <v>3.0676363676126896E-2</v>
      </c>
      <c r="L23" s="361">
        <f>+IF($I23=L$3,VLOOKUP($H23,Depreciation!$A$6:$L$10,9,FALSE)/2,IF($I23&lt;L$3,VLOOKUP($H23,Depreciation!$A$6:$L$10,9,FALSE),0))</f>
        <v>3.0676363676126896E-2</v>
      </c>
      <c r="M23" s="361">
        <f>+IF($I23=M$3,VLOOKUP($H23,Depreciation!$A$6:$L$10,10,FALSE)/2,IF($I23&lt;M$3,VLOOKUP($H23,Depreciation!$A$6:$L$10,10,FALSE),0))</f>
        <v>3.0676363676126896E-2</v>
      </c>
      <c r="N23" s="361">
        <f>+IF($I23=N$3,VLOOKUP($H23,Depreciation!$A$6:$L$10,11,FALSE)/2,IF($I23&lt;N$3,VLOOKUP($H23,Depreciation!$A$6:$L$10,11,FALSE),0))</f>
        <v>3.0676363676126896E-2</v>
      </c>
      <c r="O23" s="361">
        <f>+IF($I23=O$3,VLOOKUP($H23,Depreciation!$A$6:$L$10,12,FALSE)/2,IF($I23&lt;O$3,VLOOKUP($H23,Depreciation!$A$6:$L$10,12,FALSE),0))</f>
        <v>3.0676363676126896E-2</v>
      </c>
      <c r="P23" s="362">
        <f t="shared" si="2"/>
        <v>2042596.805878873</v>
      </c>
      <c r="Q23" s="362">
        <f t="shared" si="3"/>
        <v>2042596.805878873</v>
      </c>
      <c r="R23" s="363">
        <f t="shared" si="4"/>
        <v>0</v>
      </c>
      <c r="Y23" s="365"/>
    </row>
    <row r="24" spans="1:25" ht="15" customHeight="1">
      <c r="A24" s="359" t="str">
        <f>'Func Future Lines 2015'!A24</f>
        <v>FINAL</v>
      </c>
      <c r="B24" s="359" t="str">
        <f>'Func Future Lines 2015'!B24</f>
        <v>947L</v>
      </c>
      <c r="C24" s="359">
        <f>'Func Future Lines 2015'!C24</f>
        <v>629</v>
      </c>
      <c r="D24" s="359">
        <f>'Func Future Lines 2015'!D24</f>
        <v>240</v>
      </c>
      <c r="E24" s="359">
        <f>'Func Future Lines 2015'!E24</f>
        <v>0</v>
      </c>
      <c r="F24" s="359">
        <f>'Func Future Lines 2015'!F24</f>
        <v>0</v>
      </c>
      <c r="G24" s="359">
        <f>'Func Future Lines 2015'!G24</f>
        <v>1685761.0563939137</v>
      </c>
      <c r="H24" s="359" t="str">
        <f>'Func Future Lines 2015'!H24</f>
        <v>AltaLink</v>
      </c>
      <c r="I24" s="359">
        <f>'Func Future Lines 2015'!I24</f>
        <v>2015</v>
      </c>
      <c r="J24" s="361">
        <f>+IF($I24=J$3,VLOOKUP($H24,Depreciation!$A$6:$L$10,7,FALSE)/2,IF($I24&lt;J$3,VLOOKUP($H24,Depreciation!$A$6:$L$10,7,FALSE),0))</f>
        <v>1.595020804044691E-2</v>
      </c>
      <c r="K24" s="361">
        <f>+IF($I24=K$3,VLOOKUP($H24,Depreciation!$A$6:$L$10,8,FALSE)/2,IF($I24&lt;K$3,VLOOKUP($H24,Depreciation!$A$6:$L$10,8,FALSE),0))</f>
        <v>3.0676363676126896E-2</v>
      </c>
      <c r="L24" s="361">
        <f>+IF($I24=L$3,VLOOKUP($H24,Depreciation!$A$6:$L$10,9,FALSE)/2,IF($I24&lt;L$3,VLOOKUP($H24,Depreciation!$A$6:$L$10,9,FALSE),0))</f>
        <v>3.0676363676126896E-2</v>
      </c>
      <c r="M24" s="361">
        <f>+IF($I24=M$3,VLOOKUP($H24,Depreciation!$A$6:$L$10,10,FALSE)/2,IF($I24&lt;M$3,VLOOKUP($H24,Depreciation!$A$6:$L$10,10,FALSE),0))</f>
        <v>3.0676363676126896E-2</v>
      </c>
      <c r="N24" s="361">
        <f>+IF($I24=N$3,VLOOKUP($H24,Depreciation!$A$6:$L$10,11,FALSE)/2,IF($I24&lt;N$3,VLOOKUP($H24,Depreciation!$A$6:$L$10,11,FALSE),0))</f>
        <v>3.0676363676126896E-2</v>
      </c>
      <c r="O24" s="361">
        <f>+IF($I24=O$3,VLOOKUP($H24,Depreciation!$A$6:$L$10,12,FALSE)/2,IF($I24&lt;O$3,VLOOKUP($H24,Depreciation!$A$6:$L$10,12,FALSE),0))</f>
        <v>3.0676363676126896E-2</v>
      </c>
      <c r="P24" s="362">
        <f t="shared" si="2"/>
        <v>1464496.3784157487</v>
      </c>
      <c r="Q24" s="362">
        <f t="shared" si="3"/>
        <v>1464496.3784157487</v>
      </c>
      <c r="R24" s="363">
        <f t="shared" si="4"/>
        <v>0</v>
      </c>
      <c r="Y24" s="365"/>
    </row>
    <row r="25" spans="1:25" ht="15" customHeight="1">
      <c r="A25" s="359" t="str">
        <f>'Func Future Lines 2015'!A25</f>
        <v>PPS</v>
      </c>
      <c r="B25" s="359" t="str">
        <f>'Func Future Lines 2015'!B25</f>
        <v>9L12</v>
      </c>
      <c r="C25" s="359">
        <f>'Func Future Lines 2015'!C25</f>
        <v>635</v>
      </c>
      <c r="D25" s="359">
        <f>'Func Future Lines 2015'!D25</f>
        <v>240</v>
      </c>
      <c r="E25" s="359">
        <f>'Func Future Lines 2015'!E25</f>
        <v>0</v>
      </c>
      <c r="F25" s="359" t="str">
        <f>'Func Future Lines 2015'!F25</f>
        <v>Hanna</v>
      </c>
      <c r="G25" s="359">
        <f>'Func Future Lines 2015'!G25</f>
        <v>427021.60758395493</v>
      </c>
      <c r="H25" s="359" t="str">
        <f>'Func Future Lines 2015'!H25</f>
        <v>ATCO</v>
      </c>
      <c r="I25" s="359">
        <f>'Func Future Lines 2015'!I25</f>
        <v>2019</v>
      </c>
      <c r="J25" s="361">
        <f>+IF($I25=J$3,VLOOKUP($H25,Depreciation!$A$6:$L$10,7,FALSE)/2,IF($I25&lt;J$3,VLOOKUP($H25,Depreciation!$A$6:$L$10,7,FALSE),0))</f>
        <v>0</v>
      </c>
      <c r="K25" s="361">
        <f>+IF($I25=K$3,VLOOKUP($H25,Depreciation!$A$6:$L$10,8,FALSE)/2,IF($I25&lt;K$3,VLOOKUP($H25,Depreciation!$A$6:$L$10,8,FALSE),0))</f>
        <v>0</v>
      </c>
      <c r="L25" s="361">
        <f>+IF($I25=L$3,VLOOKUP($H25,Depreciation!$A$6:$L$10,9,FALSE)/2,IF($I25&lt;L$3,VLOOKUP($H25,Depreciation!$A$6:$L$10,9,FALSE),0))</f>
        <v>0</v>
      </c>
      <c r="M25" s="361">
        <f>+IF($I25=M$3,VLOOKUP($H25,Depreciation!$A$6:$L$10,10,FALSE)/2,IF($I25&lt;M$3,VLOOKUP($H25,Depreciation!$A$6:$L$10,10,FALSE),0))</f>
        <v>0</v>
      </c>
      <c r="N25" s="361">
        <f>+IF($I25=N$3,VLOOKUP($H25,Depreciation!$A$6:$L$10,11,FALSE)/2,IF($I25&lt;N$3,VLOOKUP($H25,Depreciation!$A$6:$L$10,11,FALSE),0))</f>
        <v>1.2001018963427959E-2</v>
      </c>
      <c r="O25" s="361">
        <f>+IF($I25=O$3,VLOOKUP($H25,Depreciation!$A$6:$L$10,12,FALSE)/2,IF($I25&lt;O$3,VLOOKUP($H25,Depreciation!$A$6:$L$10,12,FALSE),0))</f>
        <v>2.4002037926855919E-2</v>
      </c>
      <c r="P25" s="362">
        <f t="shared" si="2"/>
        <v>421896.91317354637</v>
      </c>
      <c r="Q25" s="362">
        <f t="shared" si="3"/>
        <v>421896.91317354637</v>
      </c>
      <c r="R25" s="363">
        <f t="shared" si="4"/>
        <v>0</v>
      </c>
      <c r="Y25" s="365"/>
    </row>
    <row r="26" spans="1:25" ht="15" customHeight="1">
      <c r="A26" s="359" t="str">
        <f>'Func Future Lines 2015'!A26</f>
        <v>PPS</v>
      </c>
      <c r="B26" s="359" t="str">
        <f>'Func Future Lines 2015'!B26</f>
        <v>9L38 &amp; 9L94</v>
      </c>
      <c r="C26" s="359">
        <f>'Func Future Lines 2015'!C26</f>
        <v>635</v>
      </c>
      <c r="D26" s="359">
        <f>'Func Future Lines 2015'!D26</f>
        <v>240</v>
      </c>
      <c r="E26" s="359">
        <f>'Func Future Lines 2015'!E26</f>
        <v>0</v>
      </c>
      <c r="F26" s="359" t="str">
        <f>'Func Future Lines 2015'!F26</f>
        <v>Hanna</v>
      </c>
      <c r="G26" s="359">
        <f>'Func Future Lines 2015'!G26</f>
        <v>3545608.0808741758</v>
      </c>
      <c r="H26" s="359" t="str">
        <f>'Func Future Lines 2015'!H26</f>
        <v>ATCO</v>
      </c>
      <c r="I26" s="359">
        <f>'Func Future Lines 2015'!I26</f>
        <v>2019</v>
      </c>
      <c r="J26" s="361">
        <f>+IF($I26=J$3,VLOOKUP($H26,Depreciation!$A$6:$L$10,7,FALSE)/2,IF($I26&lt;J$3,VLOOKUP($H26,Depreciation!$A$6:$L$10,7,FALSE),0))</f>
        <v>0</v>
      </c>
      <c r="K26" s="361">
        <f>+IF($I26=K$3,VLOOKUP($H26,Depreciation!$A$6:$L$10,8,FALSE)/2,IF($I26&lt;K$3,VLOOKUP($H26,Depreciation!$A$6:$L$10,8,FALSE),0))</f>
        <v>0</v>
      </c>
      <c r="L26" s="361">
        <f>+IF($I26=L$3,VLOOKUP($H26,Depreciation!$A$6:$L$10,9,FALSE)/2,IF($I26&lt;L$3,VLOOKUP($H26,Depreciation!$A$6:$L$10,9,FALSE),0))</f>
        <v>0</v>
      </c>
      <c r="M26" s="361">
        <f>+IF($I26=M$3,VLOOKUP($H26,Depreciation!$A$6:$L$10,10,FALSE)/2,IF($I26&lt;M$3,VLOOKUP($H26,Depreciation!$A$6:$L$10,10,FALSE),0))</f>
        <v>0</v>
      </c>
      <c r="N26" s="361">
        <f>+IF($I26=N$3,VLOOKUP($H26,Depreciation!$A$6:$L$10,11,FALSE)/2,IF($I26&lt;N$3,VLOOKUP($H26,Depreciation!$A$6:$L$10,11,FALSE),0))</f>
        <v>1.2001018963427959E-2</v>
      </c>
      <c r="O26" s="361">
        <f>+IF($I26=O$3,VLOOKUP($H26,Depreciation!$A$6:$L$10,12,FALSE)/2,IF($I26&lt;O$3,VLOOKUP($H26,Depreciation!$A$6:$L$10,12,FALSE),0))</f>
        <v>2.4002037926855919E-2</v>
      </c>
      <c r="P26" s="362">
        <f t="shared" si="2"/>
        <v>3503057.1710587214</v>
      </c>
      <c r="Q26" s="362">
        <f t="shared" si="3"/>
        <v>3503057.1710587214</v>
      </c>
      <c r="R26" s="363">
        <f t="shared" si="4"/>
        <v>0</v>
      </c>
      <c r="U26" s="366"/>
      <c r="Y26" s="365"/>
    </row>
    <row r="27" spans="1:25" ht="15" customHeight="1">
      <c r="A27" s="359" t="str">
        <f>'Func Future Lines 2015'!A27</f>
        <v>PPS</v>
      </c>
      <c r="B27" s="359" t="str">
        <f>'Func Future Lines 2015'!B27</f>
        <v>9L94 line version 2</v>
      </c>
      <c r="C27" s="359">
        <f>'Func Future Lines 2015'!C27</f>
        <v>678</v>
      </c>
      <c r="D27" s="359">
        <f>'Func Future Lines 2015'!D27</f>
        <v>240</v>
      </c>
      <c r="E27" s="359">
        <f>'Func Future Lines 2015'!E27</f>
        <v>0</v>
      </c>
      <c r="F27" s="359">
        <f>'Func Future Lines 2015'!F27</f>
        <v>0</v>
      </c>
      <c r="G27" s="359">
        <f>'Func Future Lines 2015'!G27</f>
        <v>17467872.448014654</v>
      </c>
      <c r="H27" s="359" t="str">
        <f>'Func Future Lines 2015'!H27</f>
        <v>ATCO</v>
      </c>
      <c r="I27" s="359">
        <f>'Func Future Lines 2015'!I27</f>
        <v>2019</v>
      </c>
      <c r="J27" s="361">
        <f>+IF($I27=J$3,VLOOKUP($H27,Depreciation!$A$6:$L$10,7,FALSE)/2,IF($I27&lt;J$3,VLOOKUP($H27,Depreciation!$A$6:$L$10,7,FALSE),0))</f>
        <v>0</v>
      </c>
      <c r="K27" s="361">
        <f>+IF($I27=K$3,VLOOKUP($H27,Depreciation!$A$6:$L$10,8,FALSE)/2,IF($I27&lt;K$3,VLOOKUP($H27,Depreciation!$A$6:$L$10,8,FALSE),0))</f>
        <v>0</v>
      </c>
      <c r="L27" s="361">
        <f>+IF($I27=L$3,VLOOKUP($H27,Depreciation!$A$6:$L$10,9,FALSE)/2,IF($I27&lt;L$3,VLOOKUP($H27,Depreciation!$A$6:$L$10,9,FALSE),0))</f>
        <v>0</v>
      </c>
      <c r="M27" s="361">
        <f>+IF($I27=M$3,VLOOKUP($H27,Depreciation!$A$6:$L$10,10,FALSE)/2,IF($I27&lt;M$3,VLOOKUP($H27,Depreciation!$A$6:$L$10,10,FALSE),0))</f>
        <v>0</v>
      </c>
      <c r="N27" s="361">
        <f>+IF($I27=N$3,VLOOKUP($H27,Depreciation!$A$6:$L$10,11,FALSE)/2,IF($I27&lt;N$3,VLOOKUP($H27,Depreciation!$A$6:$L$10,11,FALSE),0))</f>
        <v>1.2001018963427959E-2</v>
      </c>
      <c r="O27" s="361">
        <f>+IF($I27=O$3,VLOOKUP($H27,Depreciation!$A$6:$L$10,12,FALSE)/2,IF($I27&lt;O$3,VLOOKUP($H27,Depreciation!$A$6:$L$10,12,FALSE),0))</f>
        <v>2.4002037926855919E-2</v>
      </c>
      <c r="P27" s="362">
        <f t="shared" si="2"/>
        <v>17258240.179515291</v>
      </c>
      <c r="Q27" s="362">
        <f t="shared" si="3"/>
        <v>17258240.179515291</v>
      </c>
      <c r="R27" s="363">
        <f t="shared" si="4"/>
        <v>0</v>
      </c>
      <c r="Y27" s="365"/>
    </row>
    <row r="28" spans="1:25" ht="15" customHeight="1">
      <c r="A28" s="359" t="str">
        <f>'Func Future Lines 2015'!A28</f>
        <v>PPS</v>
      </c>
      <c r="B28" s="359" t="str">
        <f>'Func Future Lines 2015'!B28</f>
        <v>983L/1074L_(v1)</v>
      </c>
      <c r="C28" s="359">
        <f>'Func Future Lines 2015'!C28</f>
        <v>693</v>
      </c>
      <c r="D28" s="359">
        <f>'Func Future Lines 2015'!D28</f>
        <v>240</v>
      </c>
      <c r="E28" s="359">
        <f>'Func Future Lines 2015'!E28</f>
        <v>0</v>
      </c>
      <c r="F28" s="359">
        <f>'Func Future Lines 2015'!F28</f>
        <v>0</v>
      </c>
      <c r="G28" s="359">
        <f>'Func Future Lines 2015'!G28</f>
        <v>1771692.0151243901</v>
      </c>
      <c r="H28" s="359" t="str">
        <f>'Func Future Lines 2015'!H28</f>
        <v>AltaLink</v>
      </c>
      <c r="I28" s="359">
        <f>'Func Future Lines 2015'!I28</f>
        <v>2019</v>
      </c>
      <c r="J28" s="361">
        <f>+IF($I28=J$3,VLOOKUP($H28,Depreciation!$A$6:$L$10,7,FALSE)/2,IF($I28&lt;J$3,VLOOKUP($H28,Depreciation!$A$6:$L$10,7,FALSE),0))</f>
        <v>0</v>
      </c>
      <c r="K28" s="361">
        <f>+IF($I28=K$3,VLOOKUP($H28,Depreciation!$A$6:$L$10,8,FALSE)/2,IF($I28&lt;K$3,VLOOKUP($H28,Depreciation!$A$6:$L$10,8,FALSE),0))</f>
        <v>0</v>
      </c>
      <c r="L28" s="361">
        <f>+IF($I28=L$3,VLOOKUP($H28,Depreciation!$A$6:$L$10,9,FALSE)/2,IF($I28&lt;L$3,VLOOKUP($H28,Depreciation!$A$6:$L$10,9,FALSE),0))</f>
        <v>0</v>
      </c>
      <c r="M28" s="361">
        <f>+IF($I28=M$3,VLOOKUP($H28,Depreciation!$A$6:$L$10,10,FALSE)/2,IF($I28&lt;M$3,VLOOKUP($H28,Depreciation!$A$6:$L$10,10,FALSE),0))</f>
        <v>0</v>
      </c>
      <c r="N28" s="361">
        <f>+IF($I28=N$3,VLOOKUP($H28,Depreciation!$A$6:$L$10,11,FALSE)/2,IF($I28&lt;N$3,VLOOKUP($H28,Depreciation!$A$6:$L$10,11,FALSE),0))</f>
        <v>1.5338181838063448E-2</v>
      </c>
      <c r="O28" s="361">
        <f>+IF($I28=O$3,VLOOKUP($H28,Depreciation!$A$6:$L$10,12,FALSE)/2,IF($I28&lt;O$3,VLOOKUP($H28,Depreciation!$A$6:$L$10,12,FALSE),0))</f>
        <v>3.0676363676126896E-2</v>
      </c>
      <c r="P28" s="362">
        <f t="shared" si="2"/>
        <v>1744517.4808353672</v>
      </c>
      <c r="Q28" s="362">
        <f t="shared" si="3"/>
        <v>1744517.4808353672</v>
      </c>
      <c r="R28" s="363">
        <f t="shared" si="4"/>
        <v>0</v>
      </c>
      <c r="Y28" s="365"/>
    </row>
    <row r="29" spans="1:25" ht="15" customHeight="1">
      <c r="A29" s="359" t="str">
        <f>'Func Future Lines 2015'!A29</f>
        <v>PPS</v>
      </c>
      <c r="B29" s="359" t="str">
        <f>'Func Future Lines 2015'!B29</f>
        <v>1003 UG</v>
      </c>
      <c r="C29" s="359">
        <f>'Func Future Lines 2015'!C29</f>
        <v>719</v>
      </c>
      <c r="D29" s="359">
        <f>'Func Future Lines 2015'!D29</f>
        <v>240</v>
      </c>
      <c r="E29" s="359">
        <f>'Func Future Lines 2015'!E29</f>
        <v>0</v>
      </c>
      <c r="F29" s="359" t="str">
        <f>'Func Future Lines 2015'!F29</f>
        <v>Calgary</v>
      </c>
      <c r="G29" s="359">
        <f>'Func Future Lines 2015'!G29</f>
        <v>4216204.8010803293</v>
      </c>
      <c r="H29" s="359" t="str">
        <f>'Func Future Lines 2015'!H29</f>
        <v>AltaLink</v>
      </c>
      <c r="I29" s="359">
        <f>'Func Future Lines 2015'!I29</f>
        <v>2015</v>
      </c>
      <c r="J29" s="361">
        <f>+IF($I29=J$3,VLOOKUP($H29,Depreciation!$A$6:$L$10,7,FALSE)/2,IF($I29&lt;J$3,VLOOKUP($H29,Depreciation!$A$6:$L$10,7,FALSE),0))</f>
        <v>1.595020804044691E-2</v>
      </c>
      <c r="K29" s="361">
        <f>+IF($I29=K$3,VLOOKUP($H29,Depreciation!$A$6:$L$10,8,FALSE)/2,IF($I29&lt;K$3,VLOOKUP($H29,Depreciation!$A$6:$L$10,8,FALSE),0))</f>
        <v>3.0676363676126896E-2</v>
      </c>
      <c r="L29" s="361">
        <f>+IF($I29=L$3,VLOOKUP($H29,Depreciation!$A$6:$L$10,9,FALSE)/2,IF($I29&lt;L$3,VLOOKUP($H29,Depreciation!$A$6:$L$10,9,FALSE),0))</f>
        <v>3.0676363676126896E-2</v>
      </c>
      <c r="M29" s="361">
        <f>+IF($I29=M$3,VLOOKUP($H29,Depreciation!$A$6:$L$10,10,FALSE)/2,IF($I29&lt;M$3,VLOOKUP($H29,Depreciation!$A$6:$L$10,10,FALSE),0))</f>
        <v>3.0676363676126896E-2</v>
      </c>
      <c r="N29" s="361">
        <f>+IF($I29=N$3,VLOOKUP($H29,Depreciation!$A$6:$L$10,11,FALSE)/2,IF($I29&lt;N$3,VLOOKUP($H29,Depreciation!$A$6:$L$10,11,FALSE),0))</f>
        <v>3.0676363676126896E-2</v>
      </c>
      <c r="O29" s="361">
        <f>+IF($I29=O$3,VLOOKUP($H29,Depreciation!$A$6:$L$10,12,FALSE)/2,IF($I29&lt;O$3,VLOOKUP($H29,Depreciation!$A$6:$L$10,12,FALSE),0))</f>
        <v>3.0676363676126896E-2</v>
      </c>
      <c r="P29" s="362">
        <f t="shared" si="2"/>
        <v>3662806.5634934236</v>
      </c>
      <c r="Q29" s="362">
        <f t="shared" si="3"/>
        <v>3662806.5634934236</v>
      </c>
      <c r="R29" s="363">
        <f t="shared" si="4"/>
        <v>0</v>
      </c>
      <c r="Y29" s="365"/>
    </row>
    <row r="30" spans="1:25" ht="15" customHeight="1">
      <c r="A30" s="359" t="str">
        <f>'Func Future Lines 2015'!A30</f>
        <v>PPS</v>
      </c>
      <c r="B30" s="359" t="str">
        <f>'Func Future Lines 2015'!B30</f>
        <v>1077L</v>
      </c>
      <c r="C30" s="359">
        <f>'Func Future Lines 2015'!C30</f>
        <v>719</v>
      </c>
      <c r="D30" s="359">
        <f>'Func Future Lines 2015'!D30</f>
        <v>240</v>
      </c>
      <c r="E30" s="359">
        <f>'Func Future Lines 2015'!E30</f>
        <v>0</v>
      </c>
      <c r="F30" s="359" t="str">
        <f>'Func Future Lines 2015'!F30</f>
        <v>Calgary</v>
      </c>
      <c r="G30" s="359">
        <f>'Func Future Lines 2015'!G30</f>
        <v>5877049.5211357661</v>
      </c>
      <c r="H30" s="359" t="str">
        <f>'Func Future Lines 2015'!H30</f>
        <v>AltaLink</v>
      </c>
      <c r="I30" s="359">
        <f>'Func Future Lines 2015'!I30</f>
        <v>2015</v>
      </c>
      <c r="J30" s="361">
        <f>+IF($I30=J$3,VLOOKUP($H30,Depreciation!$A$6:$L$10,7,FALSE)/2,IF($I30&lt;J$3,VLOOKUP($H30,Depreciation!$A$6:$L$10,7,FALSE),0))</f>
        <v>1.595020804044691E-2</v>
      </c>
      <c r="K30" s="361">
        <f>+IF($I30=K$3,VLOOKUP($H30,Depreciation!$A$6:$L$10,8,FALSE)/2,IF($I30&lt;K$3,VLOOKUP($H30,Depreciation!$A$6:$L$10,8,FALSE),0))</f>
        <v>3.0676363676126896E-2</v>
      </c>
      <c r="L30" s="361">
        <f>+IF($I30=L$3,VLOOKUP($H30,Depreciation!$A$6:$L$10,9,FALSE)/2,IF($I30&lt;L$3,VLOOKUP($H30,Depreciation!$A$6:$L$10,9,FALSE),0))</f>
        <v>3.0676363676126896E-2</v>
      </c>
      <c r="M30" s="361">
        <f>+IF($I30=M$3,VLOOKUP($H30,Depreciation!$A$6:$L$10,10,FALSE)/2,IF($I30&lt;M$3,VLOOKUP($H30,Depreciation!$A$6:$L$10,10,FALSE),0))</f>
        <v>3.0676363676126896E-2</v>
      </c>
      <c r="N30" s="361">
        <f>+IF($I30=N$3,VLOOKUP($H30,Depreciation!$A$6:$L$10,11,FALSE)/2,IF($I30&lt;N$3,VLOOKUP($H30,Depreciation!$A$6:$L$10,11,FALSE),0))</f>
        <v>3.0676363676126896E-2</v>
      </c>
      <c r="O30" s="361">
        <f>+IF($I30=O$3,VLOOKUP($H30,Depreciation!$A$6:$L$10,12,FALSE)/2,IF($I30&lt;O$3,VLOOKUP($H30,Depreciation!$A$6:$L$10,12,FALSE),0))</f>
        <v>3.0676363676126896E-2</v>
      </c>
      <c r="P30" s="362">
        <f t="shared" si="2"/>
        <v>5105657.0009303559</v>
      </c>
      <c r="Q30" s="362">
        <f t="shared" si="3"/>
        <v>5105657.0009303559</v>
      </c>
      <c r="R30" s="363">
        <f t="shared" si="4"/>
        <v>0</v>
      </c>
      <c r="Y30" s="365"/>
    </row>
    <row r="31" spans="1:25" ht="15" customHeight="1">
      <c r="A31" s="359" t="str">
        <f>'Func Future Lines 2015'!A31</f>
        <v>PPS</v>
      </c>
      <c r="B31" s="359" t="str">
        <f>'Func Future Lines 2015'!B31</f>
        <v>1077L UG</v>
      </c>
      <c r="C31" s="359">
        <f>'Func Future Lines 2015'!C31</f>
        <v>719</v>
      </c>
      <c r="D31" s="359">
        <f>'Func Future Lines 2015'!D31</f>
        <v>240</v>
      </c>
      <c r="E31" s="359">
        <f>'Func Future Lines 2015'!E31</f>
        <v>0</v>
      </c>
      <c r="F31" s="359" t="str">
        <f>'Func Future Lines 2015'!F31</f>
        <v>Calgary</v>
      </c>
      <c r="G31" s="359">
        <f>'Func Future Lines 2015'!G31</f>
        <v>2258581.6201425032</v>
      </c>
      <c r="H31" s="359" t="str">
        <f>'Func Future Lines 2015'!H31</f>
        <v>AltaLink</v>
      </c>
      <c r="I31" s="359">
        <f>'Func Future Lines 2015'!I31</f>
        <v>2015</v>
      </c>
      <c r="J31" s="361">
        <f>+IF($I31=J$3,VLOOKUP($H31,Depreciation!$A$6:$L$10,7,FALSE)/2,IF($I31&lt;J$3,VLOOKUP($H31,Depreciation!$A$6:$L$10,7,FALSE),0))</f>
        <v>1.595020804044691E-2</v>
      </c>
      <c r="K31" s="361">
        <f>+IF($I31=K$3,VLOOKUP($H31,Depreciation!$A$6:$L$10,8,FALSE)/2,IF($I31&lt;K$3,VLOOKUP($H31,Depreciation!$A$6:$L$10,8,FALSE),0))</f>
        <v>3.0676363676126896E-2</v>
      </c>
      <c r="L31" s="361">
        <f>+IF($I31=L$3,VLOOKUP($H31,Depreciation!$A$6:$L$10,9,FALSE)/2,IF($I31&lt;L$3,VLOOKUP($H31,Depreciation!$A$6:$L$10,9,FALSE),0))</f>
        <v>3.0676363676126896E-2</v>
      </c>
      <c r="M31" s="361">
        <f>+IF($I31=M$3,VLOOKUP($H31,Depreciation!$A$6:$L$10,10,FALSE)/2,IF($I31&lt;M$3,VLOOKUP($H31,Depreciation!$A$6:$L$10,10,FALSE),0))</f>
        <v>3.0676363676126896E-2</v>
      </c>
      <c r="N31" s="361">
        <f>+IF($I31=N$3,VLOOKUP($H31,Depreciation!$A$6:$L$10,11,FALSE)/2,IF($I31&lt;N$3,VLOOKUP($H31,Depreciation!$A$6:$L$10,11,FALSE),0))</f>
        <v>3.0676363676126896E-2</v>
      </c>
      <c r="O31" s="361">
        <f>+IF($I31=O$3,VLOOKUP($H31,Depreciation!$A$6:$L$10,12,FALSE)/2,IF($I31&lt;O$3,VLOOKUP($H31,Depreciation!$A$6:$L$10,12,FALSE),0))</f>
        <v>3.0676363676126896E-2</v>
      </c>
      <c r="P31" s="362">
        <f t="shared" si="2"/>
        <v>1962131.3415144878</v>
      </c>
      <c r="Q31" s="362">
        <f t="shared" si="3"/>
        <v>1962131.3415144878</v>
      </c>
      <c r="R31" s="363">
        <f t="shared" si="4"/>
        <v>0</v>
      </c>
      <c r="Y31" s="365"/>
    </row>
    <row r="32" spans="1:25" ht="15" customHeight="1">
      <c r="A32" s="359" t="str">
        <f>'Func Future Lines 2015'!A32</f>
        <v>PPS</v>
      </c>
      <c r="B32" s="359" t="str">
        <f>'Func Future Lines 2015'!B32</f>
        <v>138-2.80</v>
      </c>
      <c r="C32" s="359">
        <f>'Func Future Lines 2015'!C32</f>
        <v>719</v>
      </c>
      <c r="D32" s="359">
        <f>'Func Future Lines 2015'!D32</f>
        <v>138</v>
      </c>
      <c r="E32" s="359">
        <f>'Func Future Lines 2015'!E32</f>
        <v>0</v>
      </c>
      <c r="F32" s="359" t="str">
        <f>'Func Future Lines 2015'!F32</f>
        <v>Calgary</v>
      </c>
      <c r="G32" s="359">
        <f>'Func Future Lines 2015'!G32</f>
        <v>7170911.0867936574</v>
      </c>
      <c r="H32" s="359" t="str">
        <f>'Func Future Lines 2015'!H32</f>
        <v>ENMAX</v>
      </c>
      <c r="I32" s="359">
        <f>'Func Future Lines 2015'!I32</f>
        <v>2015</v>
      </c>
      <c r="J32" s="361">
        <f>+IF($I32=J$3,VLOOKUP($H32,Depreciation!$A$6:$L$10,7,FALSE)/2,IF($I32&lt;J$3,VLOOKUP($H32,Depreciation!$A$6:$L$10,7,FALSE),0))</f>
        <v>1.3475179084025525E-2</v>
      </c>
      <c r="K32" s="361">
        <f>+IF($I32=K$3,VLOOKUP($H32,Depreciation!$A$6:$L$10,8,FALSE)/2,IF($I32&lt;K$3,VLOOKUP($H32,Depreciation!$A$6:$L$10,8,FALSE),0))</f>
        <v>2.6950358168051049E-2</v>
      </c>
      <c r="L32" s="361">
        <f>+IF($I32=L$3,VLOOKUP($H32,Depreciation!$A$6:$L$10,9,FALSE)/2,IF($I32&lt;L$3,VLOOKUP($H32,Depreciation!$A$6:$L$10,9,FALSE),0))</f>
        <v>2.6950358168051049E-2</v>
      </c>
      <c r="M32" s="361">
        <f>+IF($I32=M$3,VLOOKUP($H32,Depreciation!$A$6:$L$10,10,FALSE)/2,IF($I32&lt;M$3,VLOOKUP($H32,Depreciation!$A$6:$L$10,10,FALSE),0))</f>
        <v>2.6950358168051049E-2</v>
      </c>
      <c r="N32" s="361">
        <f>+IF($I32=N$3,VLOOKUP($H32,Depreciation!$A$6:$L$10,11,FALSE)/2,IF($I32&lt;N$3,VLOOKUP($H32,Depreciation!$A$6:$L$10,11,FALSE),0))</f>
        <v>2.6950358168051049E-2</v>
      </c>
      <c r="O32" s="361">
        <f>+IF($I32=O$3,VLOOKUP($H32,Depreciation!$A$6:$L$10,12,FALSE)/2,IF($I32&lt;O$3,VLOOKUP($H32,Depreciation!$A$6:$L$10,12,FALSE),0))</f>
        <v>2.6950358168051049E-2</v>
      </c>
      <c r="P32" s="362">
        <f t="shared" si="2"/>
        <v>6341943.1219406966</v>
      </c>
      <c r="Q32" s="362">
        <f t="shared" si="3"/>
        <v>0</v>
      </c>
      <c r="R32" s="363">
        <f t="shared" si="4"/>
        <v>6341943.1219406966</v>
      </c>
      <c r="Y32" s="365"/>
    </row>
    <row r="33" spans="1:25" ht="15" customHeight="1">
      <c r="A33" s="359" t="str">
        <f>'Func Future Lines 2015'!A33</f>
        <v>PPS</v>
      </c>
      <c r="B33" s="359" t="str">
        <f>'Func Future Lines 2015'!B33</f>
        <v>138-23.80</v>
      </c>
      <c r="C33" s="359">
        <f>'Func Future Lines 2015'!C33</f>
        <v>719</v>
      </c>
      <c r="D33" s="359">
        <f>'Func Future Lines 2015'!D33</f>
        <v>138</v>
      </c>
      <c r="E33" s="359">
        <f>'Func Future Lines 2015'!E33</f>
        <v>0</v>
      </c>
      <c r="F33" s="359" t="str">
        <f>'Func Future Lines 2015'!F33</f>
        <v>Calgary</v>
      </c>
      <c r="G33" s="359">
        <f>'Func Future Lines 2015'!G33</f>
        <v>7724058.5663275765</v>
      </c>
      <c r="H33" s="359" t="str">
        <f>'Func Future Lines 2015'!H33</f>
        <v>ENMAX</v>
      </c>
      <c r="I33" s="359">
        <f>'Func Future Lines 2015'!I33</f>
        <v>2015</v>
      </c>
      <c r="J33" s="361">
        <f>+IF($I33=J$3,VLOOKUP($H33,Depreciation!$A$6:$L$10,7,FALSE)/2,IF($I33&lt;J$3,VLOOKUP($H33,Depreciation!$A$6:$L$10,7,FALSE),0))</f>
        <v>1.3475179084025525E-2</v>
      </c>
      <c r="K33" s="361">
        <f>+IF($I33=K$3,VLOOKUP($H33,Depreciation!$A$6:$L$10,8,FALSE)/2,IF($I33&lt;K$3,VLOOKUP($H33,Depreciation!$A$6:$L$10,8,FALSE),0))</f>
        <v>2.6950358168051049E-2</v>
      </c>
      <c r="L33" s="361">
        <f>+IF($I33=L$3,VLOOKUP($H33,Depreciation!$A$6:$L$10,9,FALSE)/2,IF($I33&lt;L$3,VLOOKUP($H33,Depreciation!$A$6:$L$10,9,FALSE),0))</f>
        <v>2.6950358168051049E-2</v>
      </c>
      <c r="M33" s="361">
        <f>+IF($I33=M$3,VLOOKUP($H33,Depreciation!$A$6:$L$10,10,FALSE)/2,IF($I33&lt;M$3,VLOOKUP($H33,Depreciation!$A$6:$L$10,10,FALSE),0))</f>
        <v>2.6950358168051049E-2</v>
      </c>
      <c r="N33" s="361">
        <f>+IF($I33=N$3,VLOOKUP($H33,Depreciation!$A$6:$L$10,11,FALSE)/2,IF($I33&lt;N$3,VLOOKUP($H33,Depreciation!$A$6:$L$10,11,FALSE),0))</f>
        <v>2.6950358168051049E-2</v>
      </c>
      <c r="O33" s="361">
        <f>+IF($I33=O$3,VLOOKUP($H33,Depreciation!$A$6:$L$10,12,FALSE)/2,IF($I33&lt;O$3,VLOOKUP($H33,Depreciation!$A$6:$L$10,12,FALSE),0))</f>
        <v>2.6950358168051049E-2</v>
      </c>
      <c r="P33" s="362">
        <f t="shared" si="2"/>
        <v>6831145.9318471737</v>
      </c>
      <c r="Q33" s="362">
        <f t="shared" si="3"/>
        <v>0</v>
      </c>
      <c r="R33" s="363">
        <f t="shared" si="4"/>
        <v>6831145.9318471737</v>
      </c>
      <c r="Y33" s="365"/>
    </row>
    <row r="34" spans="1:25" ht="15" customHeight="1">
      <c r="A34" s="359" t="str">
        <f>'Func Future Lines 2015'!A34</f>
        <v>PPS</v>
      </c>
      <c r="B34" s="359" t="str">
        <f>'Func Future Lines 2015'!B34</f>
        <v>2.80/2.81/2.82/2.83/833L U/G</v>
      </c>
      <c r="C34" s="359">
        <f>'Func Future Lines 2015'!C34</f>
        <v>719</v>
      </c>
      <c r="D34" s="359">
        <f>'Func Future Lines 2015'!D34</f>
        <v>240</v>
      </c>
      <c r="E34" s="359">
        <f>'Func Future Lines 2015'!E34</f>
        <v>0</v>
      </c>
      <c r="F34" s="359" t="str">
        <f>'Func Future Lines 2015'!F34</f>
        <v>Calgary</v>
      </c>
      <c r="G34" s="359">
        <f>'Func Future Lines 2015'!G34</f>
        <v>5095063.3611532655</v>
      </c>
      <c r="H34" s="359" t="str">
        <f>'Func Future Lines 2015'!H34</f>
        <v>ENMAX</v>
      </c>
      <c r="I34" s="359">
        <f>'Func Future Lines 2015'!I34</f>
        <v>2015</v>
      </c>
      <c r="J34" s="361">
        <f>+IF($I34=J$3,VLOOKUP($H34,Depreciation!$A$6:$L$10,7,FALSE)/2,IF($I34&lt;J$3,VLOOKUP($H34,Depreciation!$A$6:$L$10,7,FALSE),0))</f>
        <v>1.3475179084025525E-2</v>
      </c>
      <c r="K34" s="361">
        <f>+IF($I34=K$3,VLOOKUP($H34,Depreciation!$A$6:$L$10,8,FALSE)/2,IF($I34&lt;K$3,VLOOKUP($H34,Depreciation!$A$6:$L$10,8,FALSE),0))</f>
        <v>2.6950358168051049E-2</v>
      </c>
      <c r="L34" s="361">
        <f>+IF($I34=L$3,VLOOKUP($H34,Depreciation!$A$6:$L$10,9,FALSE)/2,IF($I34&lt;L$3,VLOOKUP($H34,Depreciation!$A$6:$L$10,9,FALSE),0))</f>
        <v>2.6950358168051049E-2</v>
      </c>
      <c r="M34" s="361">
        <f>+IF($I34=M$3,VLOOKUP($H34,Depreciation!$A$6:$L$10,10,FALSE)/2,IF($I34&lt;M$3,VLOOKUP($H34,Depreciation!$A$6:$L$10,10,FALSE),0))</f>
        <v>2.6950358168051049E-2</v>
      </c>
      <c r="N34" s="361">
        <f>+IF($I34=N$3,VLOOKUP($H34,Depreciation!$A$6:$L$10,11,FALSE)/2,IF($I34&lt;N$3,VLOOKUP($H34,Depreciation!$A$6:$L$10,11,FALSE),0))</f>
        <v>2.6950358168051049E-2</v>
      </c>
      <c r="O34" s="361">
        <f>+IF($I34=O$3,VLOOKUP($H34,Depreciation!$A$6:$L$10,12,FALSE)/2,IF($I34&lt;O$3,VLOOKUP($H34,Depreciation!$A$6:$L$10,12,FALSE),0))</f>
        <v>2.6950358168051049E-2</v>
      </c>
      <c r="P34" s="362">
        <f t="shared" si="2"/>
        <v>4506066.4744019285</v>
      </c>
      <c r="Q34" s="362">
        <f t="shared" si="3"/>
        <v>4506066.4744019285</v>
      </c>
      <c r="R34" s="363">
        <f t="shared" si="4"/>
        <v>0</v>
      </c>
      <c r="Y34" s="365"/>
    </row>
    <row r="35" spans="1:25" ht="15" customHeight="1">
      <c r="A35" s="359" t="str">
        <f>'Func Future Lines 2015'!A35</f>
        <v>PPS</v>
      </c>
      <c r="B35" s="359" t="str">
        <f>'Func Future Lines 2015'!B35</f>
        <v>23.80L</v>
      </c>
      <c r="C35" s="359">
        <f>'Func Future Lines 2015'!C35</f>
        <v>719</v>
      </c>
      <c r="D35" s="359">
        <f>'Func Future Lines 2015'!D35</f>
        <v>138</v>
      </c>
      <c r="E35" s="359">
        <f>'Func Future Lines 2015'!E35</f>
        <v>0</v>
      </c>
      <c r="F35" s="359" t="str">
        <f>'Func Future Lines 2015'!F35</f>
        <v>Calgary</v>
      </c>
      <c r="G35" s="359">
        <f>'Func Future Lines 2015'!G35</f>
        <v>18113.239396577752</v>
      </c>
      <c r="H35" s="359" t="str">
        <f>'Func Future Lines 2015'!H35</f>
        <v>AltaLink</v>
      </c>
      <c r="I35" s="359">
        <f>'Func Future Lines 2015'!I35</f>
        <v>2015</v>
      </c>
      <c r="J35" s="361">
        <f>+IF($I35=J$3,VLOOKUP($H35,Depreciation!$A$6:$L$10,7,FALSE)/2,IF($I35&lt;J$3,VLOOKUP($H35,Depreciation!$A$6:$L$10,7,FALSE),0))</f>
        <v>1.595020804044691E-2</v>
      </c>
      <c r="K35" s="361">
        <f>+IF($I35=K$3,VLOOKUP($H35,Depreciation!$A$6:$L$10,8,FALSE)/2,IF($I35&lt;K$3,VLOOKUP($H35,Depreciation!$A$6:$L$10,8,FALSE),0))</f>
        <v>3.0676363676126896E-2</v>
      </c>
      <c r="L35" s="361">
        <f>+IF($I35=L$3,VLOOKUP($H35,Depreciation!$A$6:$L$10,9,FALSE)/2,IF($I35&lt;L$3,VLOOKUP($H35,Depreciation!$A$6:$L$10,9,FALSE),0))</f>
        <v>3.0676363676126896E-2</v>
      </c>
      <c r="M35" s="361">
        <f>+IF($I35=M$3,VLOOKUP($H35,Depreciation!$A$6:$L$10,10,FALSE)/2,IF($I35&lt;M$3,VLOOKUP($H35,Depreciation!$A$6:$L$10,10,FALSE),0))</f>
        <v>3.0676363676126896E-2</v>
      </c>
      <c r="N35" s="361">
        <f>+IF($I35=N$3,VLOOKUP($H35,Depreciation!$A$6:$L$10,11,FALSE)/2,IF($I35&lt;N$3,VLOOKUP($H35,Depreciation!$A$6:$L$10,11,FALSE),0))</f>
        <v>3.0676363676126896E-2</v>
      </c>
      <c r="O35" s="361">
        <f>+IF($I35=O$3,VLOOKUP($H35,Depreciation!$A$6:$L$10,12,FALSE)/2,IF($I35&lt;O$3,VLOOKUP($H35,Depreciation!$A$6:$L$10,12,FALSE),0))</f>
        <v>3.0676363676126896E-2</v>
      </c>
      <c r="P35" s="362">
        <f t="shared" si="2"/>
        <v>15735.784972047093</v>
      </c>
      <c r="Q35" s="362">
        <f t="shared" si="3"/>
        <v>0</v>
      </c>
      <c r="R35" s="363">
        <f t="shared" si="4"/>
        <v>15735.784972047093</v>
      </c>
      <c r="Y35" s="365"/>
    </row>
    <row r="36" spans="1:25" ht="15" customHeight="1">
      <c r="A36" s="359" t="str">
        <f>'Func Future Lines 2015'!A36</f>
        <v>PPS</v>
      </c>
      <c r="B36" s="359" t="str">
        <f>'Func Future Lines 2015'!B36</f>
        <v>850L</v>
      </c>
      <c r="C36" s="359">
        <f>'Func Future Lines 2015'!C36</f>
        <v>719</v>
      </c>
      <c r="D36" s="359">
        <f>'Func Future Lines 2015'!D36</f>
        <v>138</v>
      </c>
      <c r="E36" s="359">
        <f>'Func Future Lines 2015'!E36</f>
        <v>0</v>
      </c>
      <c r="F36" s="359" t="str">
        <f>'Func Future Lines 2015'!F36</f>
        <v>Calgary</v>
      </c>
      <c r="G36" s="359">
        <f>'Func Future Lines 2015'!G36</f>
        <v>41799.783222871738</v>
      </c>
      <c r="H36" s="359" t="str">
        <f>'Func Future Lines 2015'!H36</f>
        <v>AltaLink</v>
      </c>
      <c r="I36" s="359">
        <f>'Func Future Lines 2015'!I36</f>
        <v>2015</v>
      </c>
      <c r="J36" s="361">
        <f>+IF($I36=J$3,VLOOKUP($H36,Depreciation!$A$6:$L$10,7,FALSE)/2,IF($I36&lt;J$3,VLOOKUP($H36,Depreciation!$A$6:$L$10,7,FALSE),0))</f>
        <v>1.595020804044691E-2</v>
      </c>
      <c r="K36" s="361">
        <f>+IF($I36=K$3,VLOOKUP($H36,Depreciation!$A$6:$L$10,8,FALSE)/2,IF($I36&lt;K$3,VLOOKUP($H36,Depreciation!$A$6:$L$10,8,FALSE),0))</f>
        <v>3.0676363676126896E-2</v>
      </c>
      <c r="L36" s="361">
        <f>+IF($I36=L$3,VLOOKUP($H36,Depreciation!$A$6:$L$10,9,FALSE)/2,IF($I36&lt;L$3,VLOOKUP($H36,Depreciation!$A$6:$L$10,9,FALSE),0))</f>
        <v>3.0676363676126896E-2</v>
      </c>
      <c r="M36" s="361">
        <f>+IF($I36=M$3,VLOOKUP($H36,Depreciation!$A$6:$L$10,10,FALSE)/2,IF($I36&lt;M$3,VLOOKUP($H36,Depreciation!$A$6:$L$10,10,FALSE),0))</f>
        <v>3.0676363676126896E-2</v>
      </c>
      <c r="N36" s="361">
        <f>+IF($I36=N$3,VLOOKUP($H36,Depreciation!$A$6:$L$10,11,FALSE)/2,IF($I36&lt;N$3,VLOOKUP($H36,Depreciation!$A$6:$L$10,11,FALSE),0))</f>
        <v>3.0676363676126896E-2</v>
      </c>
      <c r="O36" s="361">
        <f>+IF($I36=O$3,VLOOKUP($H36,Depreciation!$A$6:$L$10,12,FALSE)/2,IF($I36&lt;O$3,VLOOKUP($H36,Depreciation!$A$6:$L$10,12,FALSE),0))</f>
        <v>3.0676363676126896E-2</v>
      </c>
      <c r="P36" s="362">
        <f t="shared" si="2"/>
        <v>36313.349935493301</v>
      </c>
      <c r="Q36" s="362">
        <f t="shared" si="3"/>
        <v>0</v>
      </c>
      <c r="R36" s="363">
        <f t="shared" si="4"/>
        <v>36313.349935493301</v>
      </c>
      <c r="Y36" s="365"/>
    </row>
    <row r="37" spans="1:25" ht="15" customHeight="1">
      <c r="A37" s="359" t="str">
        <f>'Func Future Lines 2015'!A37</f>
        <v>PPS</v>
      </c>
      <c r="B37" s="359" t="str">
        <f>'Func Future Lines 2015'!B37</f>
        <v>911L</v>
      </c>
      <c r="C37" s="359">
        <f>'Func Future Lines 2015'!C37</f>
        <v>719</v>
      </c>
      <c r="D37" s="359">
        <f>'Func Future Lines 2015'!D37</f>
        <v>240</v>
      </c>
      <c r="E37" s="359">
        <f>'Func Future Lines 2015'!E37</f>
        <v>0</v>
      </c>
      <c r="F37" s="359" t="str">
        <f>'Func Future Lines 2015'!F37</f>
        <v>Calgary</v>
      </c>
      <c r="G37" s="359">
        <f>'Func Future Lines 2015'!G37</f>
        <v>613063.48726878548</v>
      </c>
      <c r="H37" s="359" t="str">
        <f>'Func Future Lines 2015'!H37</f>
        <v>AltaLink</v>
      </c>
      <c r="I37" s="359">
        <f>'Func Future Lines 2015'!I37</f>
        <v>2015</v>
      </c>
      <c r="J37" s="361">
        <f>+IF($I37=J$3,VLOOKUP($H37,Depreciation!$A$6:$L$10,7,FALSE)/2,IF($I37&lt;J$3,VLOOKUP($H37,Depreciation!$A$6:$L$10,7,FALSE),0))</f>
        <v>1.595020804044691E-2</v>
      </c>
      <c r="K37" s="361">
        <f>+IF($I37=K$3,VLOOKUP($H37,Depreciation!$A$6:$L$10,8,FALSE)/2,IF($I37&lt;K$3,VLOOKUP($H37,Depreciation!$A$6:$L$10,8,FALSE),0))</f>
        <v>3.0676363676126896E-2</v>
      </c>
      <c r="L37" s="361">
        <f>+IF($I37=L$3,VLOOKUP($H37,Depreciation!$A$6:$L$10,9,FALSE)/2,IF($I37&lt;L$3,VLOOKUP($H37,Depreciation!$A$6:$L$10,9,FALSE),0))</f>
        <v>3.0676363676126896E-2</v>
      </c>
      <c r="M37" s="361">
        <f>+IF($I37=M$3,VLOOKUP($H37,Depreciation!$A$6:$L$10,10,FALSE)/2,IF($I37&lt;M$3,VLOOKUP($H37,Depreciation!$A$6:$L$10,10,FALSE),0))</f>
        <v>3.0676363676126896E-2</v>
      </c>
      <c r="N37" s="361">
        <f>+IF($I37=N$3,VLOOKUP($H37,Depreciation!$A$6:$L$10,11,FALSE)/2,IF($I37&lt;N$3,VLOOKUP($H37,Depreciation!$A$6:$L$10,11,FALSE),0))</f>
        <v>3.0676363676126896E-2</v>
      </c>
      <c r="O37" s="361">
        <f>+IF($I37=O$3,VLOOKUP($H37,Depreciation!$A$6:$L$10,12,FALSE)/2,IF($I37&lt;O$3,VLOOKUP($H37,Depreciation!$A$6:$L$10,12,FALSE),0))</f>
        <v>3.0676363676126896E-2</v>
      </c>
      <c r="P37" s="362">
        <f t="shared" si="2"/>
        <v>532595.79905390169</v>
      </c>
      <c r="Q37" s="362">
        <f t="shared" si="3"/>
        <v>532595.79905390169</v>
      </c>
      <c r="R37" s="363">
        <f t="shared" si="4"/>
        <v>0</v>
      </c>
      <c r="Y37" s="365"/>
    </row>
    <row r="38" spans="1:25" ht="15" customHeight="1">
      <c r="A38" s="359" t="str">
        <f>'Func Future Lines 2015'!A38</f>
        <v>PPS</v>
      </c>
      <c r="B38" s="359" t="str">
        <f>'Func Future Lines 2015'!B38</f>
        <v>911L UG</v>
      </c>
      <c r="C38" s="359">
        <f>'Func Future Lines 2015'!C38</f>
        <v>719</v>
      </c>
      <c r="D38" s="359">
        <f>'Func Future Lines 2015'!D38</f>
        <v>240</v>
      </c>
      <c r="E38" s="359">
        <f>'Func Future Lines 2015'!E38</f>
        <v>0</v>
      </c>
      <c r="F38" s="359" t="str">
        <f>'Func Future Lines 2015'!F38</f>
        <v>Calgary</v>
      </c>
      <c r="G38" s="359">
        <f>'Func Future Lines 2015'!G38</f>
        <v>5403318.6446098872</v>
      </c>
      <c r="H38" s="359" t="str">
        <f>'Func Future Lines 2015'!H38</f>
        <v>AltaLink</v>
      </c>
      <c r="I38" s="359">
        <f>'Func Future Lines 2015'!I38</f>
        <v>2015</v>
      </c>
      <c r="J38" s="361">
        <f>+IF($I38=J$3,VLOOKUP($H38,Depreciation!$A$6:$L$10,7,FALSE)/2,IF($I38&lt;J$3,VLOOKUP($H38,Depreciation!$A$6:$L$10,7,FALSE),0))</f>
        <v>1.595020804044691E-2</v>
      </c>
      <c r="K38" s="361">
        <f>+IF($I38=K$3,VLOOKUP($H38,Depreciation!$A$6:$L$10,8,FALSE)/2,IF($I38&lt;K$3,VLOOKUP($H38,Depreciation!$A$6:$L$10,8,FALSE),0))</f>
        <v>3.0676363676126896E-2</v>
      </c>
      <c r="L38" s="361">
        <f>+IF($I38=L$3,VLOOKUP($H38,Depreciation!$A$6:$L$10,9,FALSE)/2,IF($I38&lt;L$3,VLOOKUP($H38,Depreciation!$A$6:$L$10,9,FALSE),0))</f>
        <v>3.0676363676126896E-2</v>
      </c>
      <c r="M38" s="361">
        <f>+IF($I38=M$3,VLOOKUP($H38,Depreciation!$A$6:$L$10,10,FALSE)/2,IF($I38&lt;M$3,VLOOKUP($H38,Depreciation!$A$6:$L$10,10,FALSE),0))</f>
        <v>3.0676363676126896E-2</v>
      </c>
      <c r="N38" s="361">
        <f>+IF($I38=N$3,VLOOKUP($H38,Depreciation!$A$6:$L$10,11,FALSE)/2,IF($I38&lt;N$3,VLOOKUP($H38,Depreciation!$A$6:$L$10,11,FALSE),0))</f>
        <v>3.0676363676126896E-2</v>
      </c>
      <c r="O38" s="361">
        <f>+IF($I38=O$3,VLOOKUP($H38,Depreciation!$A$6:$L$10,12,FALSE)/2,IF($I38&lt;O$3,VLOOKUP($H38,Depreciation!$A$6:$L$10,12,FALSE),0))</f>
        <v>3.0676363676126896E-2</v>
      </c>
      <c r="P38" s="362">
        <f t="shared" si="2"/>
        <v>4694105.7016614331</v>
      </c>
      <c r="Q38" s="362">
        <f t="shared" si="3"/>
        <v>4694105.7016614331</v>
      </c>
      <c r="R38" s="363">
        <f t="shared" si="4"/>
        <v>0</v>
      </c>
      <c r="Y38" s="365"/>
    </row>
    <row r="39" spans="1:25" ht="15" customHeight="1">
      <c r="A39" s="359" t="str">
        <f>'Func Future Lines 2015'!A39</f>
        <v>PPS</v>
      </c>
      <c r="B39" s="359" t="str">
        <f>'Func Future Lines 2015'!B39</f>
        <v>916L</v>
      </c>
      <c r="C39" s="359">
        <f>'Func Future Lines 2015'!C39</f>
        <v>719</v>
      </c>
      <c r="D39" s="359">
        <f>'Func Future Lines 2015'!D39</f>
        <v>240</v>
      </c>
      <c r="E39" s="359">
        <f>'Func Future Lines 2015'!E39</f>
        <v>0</v>
      </c>
      <c r="F39" s="359" t="str">
        <f>'Func Future Lines 2015'!F39</f>
        <v>Calgary</v>
      </c>
      <c r="G39" s="359">
        <f>'Func Future Lines 2015'!G39</f>
        <v>411031.20169157209</v>
      </c>
      <c r="H39" s="359" t="str">
        <f>'Func Future Lines 2015'!H39</f>
        <v>AltaLink</v>
      </c>
      <c r="I39" s="359">
        <f>'Func Future Lines 2015'!I39</f>
        <v>2015</v>
      </c>
      <c r="J39" s="361">
        <f>+IF($I39=J$3,VLOOKUP($H39,Depreciation!$A$6:$L$10,7,FALSE)/2,IF($I39&lt;J$3,VLOOKUP($H39,Depreciation!$A$6:$L$10,7,FALSE),0))</f>
        <v>1.595020804044691E-2</v>
      </c>
      <c r="K39" s="361">
        <f>+IF($I39=K$3,VLOOKUP($H39,Depreciation!$A$6:$L$10,8,FALSE)/2,IF($I39&lt;K$3,VLOOKUP($H39,Depreciation!$A$6:$L$10,8,FALSE),0))</f>
        <v>3.0676363676126896E-2</v>
      </c>
      <c r="L39" s="361">
        <f>+IF($I39=L$3,VLOOKUP($H39,Depreciation!$A$6:$L$10,9,FALSE)/2,IF($I39&lt;L$3,VLOOKUP($H39,Depreciation!$A$6:$L$10,9,FALSE),0))</f>
        <v>3.0676363676126896E-2</v>
      </c>
      <c r="M39" s="361">
        <f>+IF($I39=M$3,VLOOKUP($H39,Depreciation!$A$6:$L$10,10,FALSE)/2,IF($I39&lt;M$3,VLOOKUP($H39,Depreciation!$A$6:$L$10,10,FALSE),0))</f>
        <v>3.0676363676126896E-2</v>
      </c>
      <c r="N39" s="361">
        <f>+IF($I39=N$3,VLOOKUP($H39,Depreciation!$A$6:$L$10,11,FALSE)/2,IF($I39&lt;N$3,VLOOKUP($H39,Depreciation!$A$6:$L$10,11,FALSE),0))</f>
        <v>3.0676363676126896E-2</v>
      </c>
      <c r="O39" s="361">
        <f>+IF($I39=O$3,VLOOKUP($H39,Depreciation!$A$6:$L$10,12,FALSE)/2,IF($I39&lt;O$3,VLOOKUP($H39,Depreciation!$A$6:$L$10,12,FALSE),0))</f>
        <v>3.0676363676126896E-2</v>
      </c>
      <c r="P39" s="362">
        <f t="shared" si="2"/>
        <v>357081.27436568402</v>
      </c>
      <c r="Q39" s="362">
        <f t="shared" si="3"/>
        <v>357081.27436568402</v>
      </c>
      <c r="R39" s="363">
        <f t="shared" si="4"/>
        <v>0</v>
      </c>
      <c r="Y39" s="365"/>
    </row>
    <row r="40" spans="1:25" ht="15" customHeight="1">
      <c r="A40" s="359" t="str">
        <f>'Func Future Lines 2015'!A40</f>
        <v>PPS</v>
      </c>
      <c r="B40" s="359" t="str">
        <f>'Func Future Lines 2015'!B40</f>
        <v>936L</v>
      </c>
      <c r="C40" s="359">
        <f>'Func Future Lines 2015'!C40</f>
        <v>719</v>
      </c>
      <c r="D40" s="359">
        <f>'Func Future Lines 2015'!D40</f>
        <v>240</v>
      </c>
      <c r="E40" s="359">
        <f>'Func Future Lines 2015'!E40</f>
        <v>0</v>
      </c>
      <c r="F40" s="359" t="str">
        <f>'Func Future Lines 2015'!F40</f>
        <v>Calgary</v>
      </c>
      <c r="G40" s="359">
        <f>'Func Future Lines 2015'!G40</f>
        <v>73846.283693740072</v>
      </c>
      <c r="H40" s="359" t="str">
        <f>'Func Future Lines 2015'!H40</f>
        <v>AltaLink</v>
      </c>
      <c r="I40" s="359">
        <f>'Func Future Lines 2015'!I40</f>
        <v>2015</v>
      </c>
      <c r="J40" s="361">
        <f>+IF($I40=J$3,VLOOKUP($H40,Depreciation!$A$6:$L$10,7,FALSE)/2,IF($I40&lt;J$3,VLOOKUP($H40,Depreciation!$A$6:$L$10,7,FALSE),0))</f>
        <v>1.595020804044691E-2</v>
      </c>
      <c r="K40" s="361">
        <f>+IF($I40=K$3,VLOOKUP($H40,Depreciation!$A$6:$L$10,8,FALSE)/2,IF($I40&lt;K$3,VLOOKUP($H40,Depreciation!$A$6:$L$10,8,FALSE),0))</f>
        <v>3.0676363676126896E-2</v>
      </c>
      <c r="L40" s="361">
        <f>+IF($I40=L$3,VLOOKUP($H40,Depreciation!$A$6:$L$10,9,FALSE)/2,IF($I40&lt;L$3,VLOOKUP($H40,Depreciation!$A$6:$L$10,9,FALSE),0))</f>
        <v>3.0676363676126896E-2</v>
      </c>
      <c r="M40" s="361">
        <f>+IF($I40=M$3,VLOOKUP($H40,Depreciation!$A$6:$L$10,10,FALSE)/2,IF($I40&lt;M$3,VLOOKUP($H40,Depreciation!$A$6:$L$10,10,FALSE),0))</f>
        <v>3.0676363676126896E-2</v>
      </c>
      <c r="N40" s="361">
        <f>+IF($I40=N$3,VLOOKUP($H40,Depreciation!$A$6:$L$10,11,FALSE)/2,IF($I40&lt;N$3,VLOOKUP($H40,Depreciation!$A$6:$L$10,11,FALSE),0))</f>
        <v>3.0676363676126896E-2</v>
      </c>
      <c r="O40" s="361">
        <f>+IF($I40=O$3,VLOOKUP($H40,Depreciation!$A$6:$L$10,12,FALSE)/2,IF($I40&lt;O$3,VLOOKUP($H40,Depreciation!$A$6:$L$10,12,FALSE),0))</f>
        <v>3.0676363676126896E-2</v>
      </c>
      <c r="P40" s="362">
        <f t="shared" si="2"/>
        <v>64153.584886038152</v>
      </c>
      <c r="Q40" s="362">
        <f t="shared" si="3"/>
        <v>64153.584886038152</v>
      </c>
      <c r="R40" s="363">
        <f t="shared" si="4"/>
        <v>0</v>
      </c>
      <c r="Y40" s="365"/>
    </row>
    <row r="41" spans="1:25" ht="15" customHeight="1">
      <c r="A41" s="359" t="str">
        <f>'Func Future Lines 2015'!A41</f>
        <v>PPS</v>
      </c>
      <c r="B41" s="359" t="str">
        <f>'Func Future Lines 2015'!B41</f>
        <v>937L</v>
      </c>
      <c r="C41" s="359">
        <f>'Func Future Lines 2015'!C41</f>
        <v>719</v>
      </c>
      <c r="D41" s="359">
        <f>'Func Future Lines 2015'!D41</f>
        <v>240</v>
      </c>
      <c r="E41" s="359">
        <f>'Func Future Lines 2015'!E41</f>
        <v>0</v>
      </c>
      <c r="F41" s="359" t="str">
        <f>'Func Future Lines 2015'!F41</f>
        <v>Calgary</v>
      </c>
      <c r="G41" s="359">
        <f>'Func Future Lines 2015'!G41</f>
        <v>69666.305371452894</v>
      </c>
      <c r="H41" s="359" t="str">
        <f>'Func Future Lines 2015'!H41</f>
        <v>AltaLink</v>
      </c>
      <c r="I41" s="359">
        <f>'Func Future Lines 2015'!I41</f>
        <v>2015</v>
      </c>
      <c r="J41" s="361">
        <f>+IF($I41=J$3,VLOOKUP($H41,Depreciation!$A$6:$L$10,7,FALSE)/2,IF($I41&lt;J$3,VLOOKUP($H41,Depreciation!$A$6:$L$10,7,FALSE),0))</f>
        <v>1.595020804044691E-2</v>
      </c>
      <c r="K41" s="361">
        <f>+IF($I41=K$3,VLOOKUP($H41,Depreciation!$A$6:$L$10,8,FALSE)/2,IF($I41&lt;K$3,VLOOKUP($H41,Depreciation!$A$6:$L$10,8,FALSE),0))</f>
        <v>3.0676363676126896E-2</v>
      </c>
      <c r="L41" s="361">
        <f>+IF($I41=L$3,VLOOKUP($H41,Depreciation!$A$6:$L$10,9,FALSE)/2,IF($I41&lt;L$3,VLOOKUP($H41,Depreciation!$A$6:$L$10,9,FALSE),0))</f>
        <v>3.0676363676126896E-2</v>
      </c>
      <c r="M41" s="361">
        <f>+IF($I41=M$3,VLOOKUP($H41,Depreciation!$A$6:$L$10,10,FALSE)/2,IF($I41&lt;M$3,VLOOKUP($H41,Depreciation!$A$6:$L$10,10,FALSE),0))</f>
        <v>3.0676363676126896E-2</v>
      </c>
      <c r="N41" s="361">
        <f>+IF($I41=N$3,VLOOKUP($H41,Depreciation!$A$6:$L$10,11,FALSE)/2,IF($I41&lt;N$3,VLOOKUP($H41,Depreciation!$A$6:$L$10,11,FALSE),0))</f>
        <v>3.0676363676126896E-2</v>
      </c>
      <c r="O41" s="361">
        <f>+IF($I41=O$3,VLOOKUP($H41,Depreciation!$A$6:$L$10,12,FALSE)/2,IF($I41&lt;O$3,VLOOKUP($H41,Depreciation!$A$6:$L$10,12,FALSE),0))</f>
        <v>3.0676363676126896E-2</v>
      </c>
      <c r="P41" s="362">
        <f t="shared" si="2"/>
        <v>60522.249892488806</v>
      </c>
      <c r="Q41" s="362">
        <f t="shared" si="3"/>
        <v>60522.249892488806</v>
      </c>
      <c r="R41" s="363">
        <f t="shared" si="4"/>
        <v>0</v>
      </c>
      <c r="Y41" s="365"/>
    </row>
    <row r="42" spans="1:25" ht="15" customHeight="1">
      <c r="A42" s="359" t="str">
        <f>'Func Future Lines 2015'!A42</f>
        <v>PPS</v>
      </c>
      <c r="B42" s="359" t="str">
        <f>'Func Future Lines 2015'!B42</f>
        <v>985 UG</v>
      </c>
      <c r="C42" s="359">
        <f>'Func Future Lines 2015'!C42</f>
        <v>719</v>
      </c>
      <c r="D42" s="359">
        <f>'Func Future Lines 2015'!D42</f>
        <v>240</v>
      </c>
      <c r="E42" s="359">
        <f>'Func Future Lines 2015'!E42</f>
        <v>0</v>
      </c>
      <c r="F42" s="359" t="str">
        <f>'Func Future Lines 2015'!F42</f>
        <v>Calgary</v>
      </c>
      <c r="G42" s="359">
        <f>'Func Future Lines 2015'!G42</f>
        <v>4393157.2167238202</v>
      </c>
      <c r="H42" s="359" t="str">
        <f>'Func Future Lines 2015'!H42</f>
        <v>AltaLink</v>
      </c>
      <c r="I42" s="359">
        <f>'Func Future Lines 2015'!I42</f>
        <v>2015</v>
      </c>
      <c r="J42" s="361">
        <f>+IF($I42=J$3,VLOOKUP($H42,Depreciation!$A$6:$L$10,7,FALSE)/2,IF($I42&lt;J$3,VLOOKUP($H42,Depreciation!$A$6:$L$10,7,FALSE),0))</f>
        <v>1.595020804044691E-2</v>
      </c>
      <c r="K42" s="361">
        <f>+IF($I42=K$3,VLOOKUP($H42,Depreciation!$A$6:$L$10,8,FALSE)/2,IF($I42&lt;K$3,VLOOKUP($H42,Depreciation!$A$6:$L$10,8,FALSE),0))</f>
        <v>3.0676363676126896E-2</v>
      </c>
      <c r="L42" s="361">
        <f>+IF($I42=L$3,VLOOKUP($H42,Depreciation!$A$6:$L$10,9,FALSE)/2,IF($I42&lt;L$3,VLOOKUP($H42,Depreciation!$A$6:$L$10,9,FALSE),0))</f>
        <v>3.0676363676126896E-2</v>
      </c>
      <c r="M42" s="361">
        <f>+IF($I42=M$3,VLOOKUP($H42,Depreciation!$A$6:$L$10,10,FALSE)/2,IF($I42&lt;M$3,VLOOKUP($H42,Depreciation!$A$6:$L$10,10,FALSE),0))</f>
        <v>3.0676363676126896E-2</v>
      </c>
      <c r="N42" s="361">
        <f>+IF($I42=N$3,VLOOKUP($H42,Depreciation!$A$6:$L$10,11,FALSE)/2,IF($I42&lt;N$3,VLOOKUP($H42,Depreciation!$A$6:$L$10,11,FALSE),0))</f>
        <v>3.0676363676126896E-2</v>
      </c>
      <c r="O42" s="361">
        <f>+IF($I42=O$3,VLOOKUP($H42,Depreciation!$A$6:$L$10,12,FALSE)/2,IF($I42&lt;O$3,VLOOKUP($H42,Depreciation!$A$6:$L$10,12,FALSE),0))</f>
        <v>3.0676363676126896E-2</v>
      </c>
      <c r="P42" s="362">
        <f t="shared" si="2"/>
        <v>3816533.0782203455</v>
      </c>
      <c r="Q42" s="362">
        <f t="shared" si="3"/>
        <v>3816533.0782203455</v>
      </c>
      <c r="R42" s="363">
        <f t="shared" si="4"/>
        <v>0</v>
      </c>
      <c r="Y42" s="365"/>
    </row>
    <row r="43" spans="1:25" ht="15" customHeight="1">
      <c r="A43" s="359" t="str">
        <f>'Func Future Lines 2015'!A43</f>
        <v>PPS</v>
      </c>
      <c r="B43" s="359" t="str">
        <f>'Func Future Lines 2015'!B43</f>
        <v>985/1003L</v>
      </c>
      <c r="C43" s="359">
        <f>'Func Future Lines 2015'!C43</f>
        <v>719</v>
      </c>
      <c r="D43" s="359">
        <f>'Func Future Lines 2015'!D43</f>
        <v>240</v>
      </c>
      <c r="E43" s="359">
        <f>'Func Future Lines 2015'!E43</f>
        <v>0</v>
      </c>
      <c r="F43" s="359" t="str">
        <f>'Func Future Lines 2015'!F43</f>
        <v>Calgary</v>
      </c>
      <c r="G43" s="359">
        <f>'Func Future Lines 2015'!G43</f>
        <v>9552643.7925336212</v>
      </c>
      <c r="H43" s="359" t="str">
        <f>'Func Future Lines 2015'!H43</f>
        <v>AltaLink</v>
      </c>
      <c r="I43" s="359">
        <f>'Func Future Lines 2015'!I43</f>
        <v>2015</v>
      </c>
      <c r="J43" s="361">
        <f>+IF($I43=J$3,VLOOKUP($H43,Depreciation!$A$6:$L$10,7,FALSE)/2,IF($I43&lt;J$3,VLOOKUP($H43,Depreciation!$A$6:$L$10,7,FALSE),0))</f>
        <v>1.595020804044691E-2</v>
      </c>
      <c r="K43" s="361">
        <f>+IF($I43=K$3,VLOOKUP($H43,Depreciation!$A$6:$L$10,8,FALSE)/2,IF($I43&lt;K$3,VLOOKUP($H43,Depreciation!$A$6:$L$10,8,FALSE),0))</f>
        <v>3.0676363676126896E-2</v>
      </c>
      <c r="L43" s="361">
        <f>+IF($I43=L$3,VLOOKUP($H43,Depreciation!$A$6:$L$10,9,FALSE)/2,IF($I43&lt;L$3,VLOOKUP($H43,Depreciation!$A$6:$L$10,9,FALSE),0))</f>
        <v>3.0676363676126896E-2</v>
      </c>
      <c r="M43" s="361">
        <f>+IF($I43=M$3,VLOOKUP($H43,Depreciation!$A$6:$L$10,10,FALSE)/2,IF($I43&lt;M$3,VLOOKUP($H43,Depreciation!$A$6:$L$10,10,FALSE),0))</f>
        <v>3.0676363676126896E-2</v>
      </c>
      <c r="N43" s="361">
        <f>+IF($I43=N$3,VLOOKUP($H43,Depreciation!$A$6:$L$10,11,FALSE)/2,IF($I43&lt;N$3,VLOOKUP($H43,Depreciation!$A$6:$L$10,11,FALSE),0))</f>
        <v>3.0676363676126896E-2</v>
      </c>
      <c r="O43" s="361">
        <f>+IF($I43=O$3,VLOOKUP($H43,Depreciation!$A$6:$L$10,12,FALSE)/2,IF($I43&lt;O$3,VLOOKUP($H43,Depreciation!$A$6:$L$10,12,FALSE),0))</f>
        <v>3.0676363676126896E-2</v>
      </c>
      <c r="P43" s="362">
        <f t="shared" si="2"/>
        <v>8298810.905258067</v>
      </c>
      <c r="Q43" s="362">
        <f t="shared" si="3"/>
        <v>8298810.905258067</v>
      </c>
      <c r="R43" s="363">
        <f t="shared" si="4"/>
        <v>0</v>
      </c>
      <c r="Y43" s="365"/>
    </row>
    <row r="44" spans="1:25" ht="15" customHeight="1">
      <c r="A44" s="359" t="str">
        <f>'Func Future Lines 2015'!A44</f>
        <v>PPS</v>
      </c>
      <c r="B44" s="359" t="str">
        <f>'Func Future Lines 2015'!B44</f>
        <v>985/1003L</v>
      </c>
      <c r="C44" s="359">
        <f>'Func Future Lines 2015'!C44</f>
        <v>719</v>
      </c>
      <c r="D44" s="359">
        <f>'Func Future Lines 2015'!D44</f>
        <v>240</v>
      </c>
      <c r="E44" s="359">
        <f>'Func Future Lines 2015'!E44</f>
        <v>0</v>
      </c>
      <c r="F44" s="359" t="str">
        <f>'Func Future Lines 2015'!F44</f>
        <v>Calgary</v>
      </c>
      <c r="G44" s="359">
        <f>'Func Future Lines 2015'!G44</f>
        <v>9913515.2543577477</v>
      </c>
      <c r="H44" s="359" t="str">
        <f>'Func Future Lines 2015'!H44</f>
        <v>AltaLink</v>
      </c>
      <c r="I44" s="359">
        <f>'Func Future Lines 2015'!I44</f>
        <v>2015</v>
      </c>
      <c r="J44" s="361">
        <f>+IF($I44=J$3,VLOOKUP($H44,Depreciation!$A$6:$L$10,7,FALSE)/2,IF($I44&lt;J$3,VLOOKUP($H44,Depreciation!$A$6:$L$10,7,FALSE),0))</f>
        <v>1.595020804044691E-2</v>
      </c>
      <c r="K44" s="361">
        <f>+IF($I44=K$3,VLOOKUP($H44,Depreciation!$A$6:$L$10,8,FALSE)/2,IF($I44&lt;K$3,VLOOKUP($H44,Depreciation!$A$6:$L$10,8,FALSE),0))</f>
        <v>3.0676363676126896E-2</v>
      </c>
      <c r="L44" s="361">
        <f>+IF($I44=L$3,VLOOKUP($H44,Depreciation!$A$6:$L$10,9,FALSE)/2,IF($I44&lt;L$3,VLOOKUP($H44,Depreciation!$A$6:$L$10,9,FALSE),0))</f>
        <v>3.0676363676126896E-2</v>
      </c>
      <c r="M44" s="361">
        <f>+IF($I44=M$3,VLOOKUP($H44,Depreciation!$A$6:$L$10,10,FALSE)/2,IF($I44&lt;M$3,VLOOKUP($H44,Depreciation!$A$6:$L$10,10,FALSE),0))</f>
        <v>3.0676363676126896E-2</v>
      </c>
      <c r="N44" s="361">
        <f>+IF($I44=N$3,VLOOKUP($H44,Depreciation!$A$6:$L$10,11,FALSE)/2,IF($I44&lt;N$3,VLOOKUP($H44,Depreciation!$A$6:$L$10,11,FALSE),0))</f>
        <v>3.0676363676126896E-2</v>
      </c>
      <c r="O44" s="361">
        <f>+IF($I44=O$3,VLOOKUP($H44,Depreciation!$A$6:$L$10,12,FALSE)/2,IF($I44&lt;O$3,VLOOKUP($H44,Depreciation!$A$6:$L$10,12,FALSE),0))</f>
        <v>3.0676363676126896E-2</v>
      </c>
      <c r="P44" s="362">
        <f t="shared" si="2"/>
        <v>8612316.1597011592</v>
      </c>
      <c r="Q44" s="362">
        <f t="shared" si="3"/>
        <v>8612316.1597011592</v>
      </c>
      <c r="R44" s="363">
        <f t="shared" si="4"/>
        <v>0</v>
      </c>
      <c r="Y44" s="365"/>
    </row>
    <row r="45" spans="1:25" ht="15" customHeight="1">
      <c r="A45" s="359" t="str">
        <f>'Func Future Lines 2015'!A45</f>
        <v>PPS</v>
      </c>
      <c r="B45" s="359" t="str">
        <f>'Func Future Lines 2015'!B45</f>
        <v>Reconfigure 917L</v>
      </c>
      <c r="C45" s="359">
        <f>'Func Future Lines 2015'!C45</f>
        <v>719</v>
      </c>
      <c r="D45" s="359">
        <f>'Func Future Lines 2015'!D45</f>
        <v>240</v>
      </c>
      <c r="E45" s="359">
        <f>'Func Future Lines 2015'!E45</f>
        <v>0</v>
      </c>
      <c r="F45" s="359" t="str">
        <f>'Func Future Lines 2015'!F45</f>
        <v>Calgary</v>
      </c>
      <c r="G45" s="359">
        <f>'Func Future Lines 2015'!G45</f>
        <v>540610.52968247444</v>
      </c>
      <c r="H45" s="359" t="str">
        <f>'Func Future Lines 2015'!H45</f>
        <v>AltaLink</v>
      </c>
      <c r="I45" s="359">
        <f>'Func Future Lines 2015'!I45</f>
        <v>2015</v>
      </c>
      <c r="J45" s="361">
        <f>+IF($I45=J$3,VLOOKUP($H45,Depreciation!$A$6:$L$10,7,FALSE)/2,IF($I45&lt;J$3,VLOOKUP($H45,Depreciation!$A$6:$L$10,7,FALSE),0))</f>
        <v>1.595020804044691E-2</v>
      </c>
      <c r="K45" s="361">
        <f>+IF($I45=K$3,VLOOKUP($H45,Depreciation!$A$6:$L$10,8,FALSE)/2,IF($I45&lt;K$3,VLOOKUP($H45,Depreciation!$A$6:$L$10,8,FALSE),0))</f>
        <v>3.0676363676126896E-2</v>
      </c>
      <c r="L45" s="361">
        <f>+IF($I45=L$3,VLOOKUP($H45,Depreciation!$A$6:$L$10,9,FALSE)/2,IF($I45&lt;L$3,VLOOKUP($H45,Depreciation!$A$6:$L$10,9,FALSE),0))</f>
        <v>3.0676363676126896E-2</v>
      </c>
      <c r="M45" s="361">
        <f>+IF($I45=M$3,VLOOKUP($H45,Depreciation!$A$6:$L$10,10,FALSE)/2,IF($I45&lt;M$3,VLOOKUP($H45,Depreciation!$A$6:$L$10,10,FALSE),0))</f>
        <v>3.0676363676126896E-2</v>
      </c>
      <c r="N45" s="361">
        <f>+IF($I45=N$3,VLOOKUP($H45,Depreciation!$A$6:$L$10,11,FALSE)/2,IF($I45&lt;N$3,VLOOKUP($H45,Depreciation!$A$6:$L$10,11,FALSE),0))</f>
        <v>3.0676363676126896E-2</v>
      </c>
      <c r="O45" s="361">
        <f>+IF($I45=O$3,VLOOKUP($H45,Depreciation!$A$6:$L$10,12,FALSE)/2,IF($I45&lt;O$3,VLOOKUP($H45,Depreciation!$A$6:$L$10,12,FALSE),0))</f>
        <v>3.0676363676126896E-2</v>
      </c>
      <c r="P45" s="362">
        <f t="shared" si="2"/>
        <v>469652.65916571324</v>
      </c>
      <c r="Q45" s="362">
        <f t="shared" si="3"/>
        <v>469652.65916571324</v>
      </c>
      <c r="R45" s="363">
        <f t="shared" si="4"/>
        <v>0</v>
      </c>
      <c r="Y45" s="365"/>
    </row>
    <row r="46" spans="1:25" ht="15" customHeight="1">
      <c r="A46" s="359" t="str">
        <f>'Func Future Lines 2015'!A46</f>
        <v>PPS</v>
      </c>
      <c r="B46" s="359" t="str">
        <f>'Func Future Lines 2015'!B46</f>
        <v>1043L</v>
      </c>
      <c r="C46" s="359">
        <f>'Func Future Lines 2015'!C46</f>
        <v>786</v>
      </c>
      <c r="D46" s="359">
        <f>'Func Future Lines 2015'!D46</f>
        <v>240</v>
      </c>
      <c r="E46" s="359">
        <f>'Func Future Lines 2015'!E46</f>
        <v>0</v>
      </c>
      <c r="F46" s="359" t="str">
        <f>'Func Future Lines 2015'!F46</f>
        <v>edmonton</v>
      </c>
      <c r="G46" s="359">
        <f>'Func Future Lines 2015'!G46</f>
        <v>33338680.294401988</v>
      </c>
      <c r="H46" s="359" t="str">
        <f>'Func Future Lines 2015'!H46</f>
        <v>AltaLink</v>
      </c>
      <c r="I46" s="359">
        <f>'Func Future Lines 2015'!I46</f>
        <v>2016</v>
      </c>
      <c r="J46" s="361">
        <f>+IF($I46=J$3,VLOOKUP($H46,Depreciation!$A$6:$L$10,7,FALSE)/2,IF($I46&lt;J$3,VLOOKUP($H46,Depreciation!$A$6:$L$10,7,FALSE),0))</f>
        <v>0</v>
      </c>
      <c r="K46" s="361">
        <f>+IF($I46=K$3,VLOOKUP($H46,Depreciation!$A$6:$L$10,8,FALSE)/2,IF($I46&lt;K$3,VLOOKUP($H46,Depreciation!$A$6:$L$10,8,FALSE),0))</f>
        <v>1.5338181838063448E-2</v>
      </c>
      <c r="L46" s="361">
        <f>+IF($I46=L$3,VLOOKUP($H46,Depreciation!$A$6:$L$10,9,FALSE)/2,IF($I46&lt;L$3,VLOOKUP($H46,Depreciation!$A$6:$L$10,9,FALSE),0))</f>
        <v>3.0676363676126896E-2</v>
      </c>
      <c r="M46" s="361">
        <f>+IF($I46=M$3,VLOOKUP($H46,Depreciation!$A$6:$L$10,10,FALSE)/2,IF($I46&lt;M$3,VLOOKUP($H46,Depreciation!$A$6:$L$10,10,FALSE),0))</f>
        <v>3.0676363676126896E-2</v>
      </c>
      <c r="N46" s="361">
        <f>+IF($I46=N$3,VLOOKUP($H46,Depreciation!$A$6:$L$10,11,FALSE)/2,IF($I46&lt;N$3,VLOOKUP($H46,Depreciation!$A$6:$L$10,11,FALSE),0))</f>
        <v>3.0676363676126896E-2</v>
      </c>
      <c r="O46" s="361">
        <f>+IF($I46=O$3,VLOOKUP($H46,Depreciation!$A$6:$L$10,12,FALSE)/2,IF($I46&lt;O$3,VLOOKUP($H46,Depreciation!$A$6:$L$10,12,FALSE),0))</f>
        <v>3.0676363676126896E-2</v>
      </c>
      <c r="P46" s="362">
        <f t="shared" si="2"/>
        <v>29897984.383246783</v>
      </c>
      <c r="Q46" s="362">
        <f t="shared" si="3"/>
        <v>29897984.383246783</v>
      </c>
      <c r="R46" s="363">
        <f t="shared" si="4"/>
        <v>0</v>
      </c>
      <c r="Y46" s="365"/>
    </row>
    <row r="47" spans="1:25" ht="15" customHeight="1">
      <c r="A47" s="359" t="str">
        <f>'Func Future Lines 2015'!A47</f>
        <v>PPS</v>
      </c>
      <c r="B47" s="359" t="str">
        <f>'Func Future Lines 2015'!B47</f>
        <v>1043LB</v>
      </c>
      <c r="C47" s="359">
        <f>'Func Future Lines 2015'!C47</f>
        <v>786</v>
      </c>
      <c r="D47" s="359">
        <f>'Func Future Lines 2015'!D47</f>
        <v>240</v>
      </c>
      <c r="E47" s="359">
        <f>'Func Future Lines 2015'!E47</f>
        <v>0</v>
      </c>
      <c r="F47" s="359" t="str">
        <f>'Func Future Lines 2015'!F47</f>
        <v>edmonton</v>
      </c>
      <c r="G47" s="359">
        <f>'Func Future Lines 2015'!G47</f>
        <v>8330617.7071102019</v>
      </c>
      <c r="H47" s="359" t="str">
        <f>'Func Future Lines 2015'!H47</f>
        <v>AltaLink</v>
      </c>
      <c r="I47" s="359">
        <f>'Func Future Lines 2015'!I47</f>
        <v>2016</v>
      </c>
      <c r="J47" s="361">
        <f>+IF($I47=J$3,VLOOKUP($H47,Depreciation!$A$6:$L$10,7,FALSE)/2,IF($I47&lt;J$3,VLOOKUP($H47,Depreciation!$A$6:$L$10,7,FALSE),0))</f>
        <v>0</v>
      </c>
      <c r="K47" s="361">
        <f>+IF($I47=K$3,VLOOKUP($H47,Depreciation!$A$6:$L$10,8,FALSE)/2,IF($I47&lt;K$3,VLOOKUP($H47,Depreciation!$A$6:$L$10,8,FALSE),0))</f>
        <v>1.5338181838063448E-2</v>
      </c>
      <c r="L47" s="361">
        <f>+IF($I47=L$3,VLOOKUP($H47,Depreciation!$A$6:$L$10,9,FALSE)/2,IF($I47&lt;L$3,VLOOKUP($H47,Depreciation!$A$6:$L$10,9,FALSE),0))</f>
        <v>3.0676363676126896E-2</v>
      </c>
      <c r="M47" s="361">
        <f>+IF($I47=M$3,VLOOKUP($H47,Depreciation!$A$6:$L$10,10,FALSE)/2,IF($I47&lt;M$3,VLOOKUP($H47,Depreciation!$A$6:$L$10,10,FALSE),0))</f>
        <v>3.0676363676126896E-2</v>
      </c>
      <c r="N47" s="361">
        <f>+IF($I47=N$3,VLOOKUP($H47,Depreciation!$A$6:$L$10,11,FALSE)/2,IF($I47&lt;N$3,VLOOKUP($H47,Depreciation!$A$6:$L$10,11,FALSE),0))</f>
        <v>3.0676363676126896E-2</v>
      </c>
      <c r="O47" s="361">
        <f>+IF($I47=O$3,VLOOKUP($H47,Depreciation!$A$6:$L$10,12,FALSE)/2,IF($I47&lt;O$3,VLOOKUP($H47,Depreciation!$A$6:$L$10,12,FALSE),0))</f>
        <v>3.0676363676126896E-2</v>
      </c>
      <c r="P47" s="362">
        <f t="shared" si="2"/>
        <v>7470861.9510593507</v>
      </c>
      <c r="Q47" s="362">
        <f t="shared" si="3"/>
        <v>7470861.9510593507</v>
      </c>
      <c r="R47" s="363">
        <f t="shared" si="4"/>
        <v>0</v>
      </c>
      <c r="Y47" s="365"/>
    </row>
    <row r="48" spans="1:25" ht="15" customHeight="1">
      <c r="A48" s="359" t="str">
        <f>'Func Future Lines 2015'!A48</f>
        <v>PPS</v>
      </c>
      <c r="B48" s="359" t="str">
        <f>'Func Future Lines 2015'!B48</f>
        <v>1045L/909L</v>
      </c>
      <c r="C48" s="359">
        <f>'Func Future Lines 2015'!C48</f>
        <v>786</v>
      </c>
      <c r="D48" s="359">
        <f>'Func Future Lines 2015'!D48</f>
        <v>240</v>
      </c>
      <c r="E48" s="359">
        <f>'Func Future Lines 2015'!E48</f>
        <v>0</v>
      </c>
      <c r="F48" s="359" t="str">
        <f>'Func Future Lines 2015'!F48</f>
        <v>edmonton</v>
      </c>
      <c r="G48" s="359">
        <f>'Func Future Lines 2015'!G48</f>
        <v>289844.87394607428</v>
      </c>
      <c r="H48" s="359" t="str">
        <f>'Func Future Lines 2015'!H48</f>
        <v>AltaLink</v>
      </c>
      <c r="I48" s="359">
        <f>'Func Future Lines 2015'!I48</f>
        <v>2016</v>
      </c>
      <c r="J48" s="361">
        <f>+IF($I48=J$3,VLOOKUP($H48,Depreciation!$A$6:$L$10,7,FALSE)/2,IF($I48&lt;J$3,VLOOKUP($H48,Depreciation!$A$6:$L$10,7,FALSE),0))</f>
        <v>0</v>
      </c>
      <c r="K48" s="361">
        <f>+IF($I48=K$3,VLOOKUP($H48,Depreciation!$A$6:$L$10,8,FALSE)/2,IF($I48&lt;K$3,VLOOKUP($H48,Depreciation!$A$6:$L$10,8,FALSE),0))</f>
        <v>1.5338181838063448E-2</v>
      </c>
      <c r="L48" s="361">
        <f>+IF($I48=L$3,VLOOKUP($H48,Depreciation!$A$6:$L$10,9,FALSE)/2,IF($I48&lt;L$3,VLOOKUP($H48,Depreciation!$A$6:$L$10,9,FALSE),0))</f>
        <v>3.0676363676126896E-2</v>
      </c>
      <c r="M48" s="361">
        <f>+IF($I48=M$3,VLOOKUP($H48,Depreciation!$A$6:$L$10,10,FALSE)/2,IF($I48&lt;M$3,VLOOKUP($H48,Depreciation!$A$6:$L$10,10,FALSE),0))</f>
        <v>3.0676363676126896E-2</v>
      </c>
      <c r="N48" s="361">
        <f>+IF($I48=N$3,VLOOKUP($H48,Depreciation!$A$6:$L$10,11,FALSE)/2,IF($I48&lt;N$3,VLOOKUP($H48,Depreciation!$A$6:$L$10,11,FALSE),0))</f>
        <v>3.0676363676126896E-2</v>
      </c>
      <c r="O48" s="361">
        <f>+IF($I48=O$3,VLOOKUP($H48,Depreciation!$A$6:$L$10,12,FALSE)/2,IF($I48&lt;O$3,VLOOKUP($H48,Depreciation!$A$6:$L$10,12,FALSE),0))</f>
        <v>3.0676363676126896E-2</v>
      </c>
      <c r="P48" s="362">
        <f t="shared" si="2"/>
        <v>259931.63011491377</v>
      </c>
      <c r="Q48" s="362">
        <f t="shared" si="3"/>
        <v>259931.63011491377</v>
      </c>
      <c r="R48" s="363">
        <f t="shared" si="4"/>
        <v>0</v>
      </c>
      <c r="Y48" s="365"/>
    </row>
    <row r="49" spans="1:25" ht="15" customHeight="1">
      <c r="A49" s="359" t="str">
        <f>'Func Future Lines 2015'!A49</f>
        <v>PPS</v>
      </c>
      <c r="B49" s="359" t="str">
        <f>'Func Future Lines 2015'!B49</f>
        <v>190L / 903L</v>
      </c>
      <c r="C49" s="359">
        <f>'Func Future Lines 2015'!C49</f>
        <v>786</v>
      </c>
      <c r="D49" s="359">
        <f>'Func Future Lines 2015'!D49</f>
        <v>240</v>
      </c>
      <c r="E49" s="359">
        <f>'Func Future Lines 2015'!E49</f>
        <v>0</v>
      </c>
      <c r="F49" s="359" t="str">
        <f>'Func Future Lines 2015'!F49</f>
        <v>edmonton</v>
      </c>
      <c r="G49" s="359">
        <f>'Func Future Lines 2015'!G49</f>
        <v>414192.41502029379</v>
      </c>
      <c r="H49" s="359" t="str">
        <f>'Func Future Lines 2015'!H49</f>
        <v>AltaLink</v>
      </c>
      <c r="I49" s="359">
        <f>'Func Future Lines 2015'!I49</f>
        <v>2016</v>
      </c>
      <c r="J49" s="361">
        <f>+IF($I49=J$3,VLOOKUP($H49,Depreciation!$A$6:$L$10,7,FALSE)/2,IF($I49&lt;J$3,VLOOKUP($H49,Depreciation!$A$6:$L$10,7,FALSE),0))</f>
        <v>0</v>
      </c>
      <c r="K49" s="361">
        <f>+IF($I49=K$3,VLOOKUP($H49,Depreciation!$A$6:$L$10,8,FALSE)/2,IF($I49&lt;K$3,VLOOKUP($H49,Depreciation!$A$6:$L$10,8,FALSE),0))</f>
        <v>1.5338181838063448E-2</v>
      </c>
      <c r="L49" s="361">
        <f>+IF($I49=L$3,VLOOKUP($H49,Depreciation!$A$6:$L$10,9,FALSE)/2,IF($I49&lt;L$3,VLOOKUP($H49,Depreciation!$A$6:$L$10,9,FALSE),0))</f>
        <v>3.0676363676126896E-2</v>
      </c>
      <c r="M49" s="361">
        <f>+IF($I49=M$3,VLOOKUP($H49,Depreciation!$A$6:$L$10,10,FALSE)/2,IF($I49&lt;M$3,VLOOKUP($H49,Depreciation!$A$6:$L$10,10,FALSE),0))</f>
        <v>3.0676363676126896E-2</v>
      </c>
      <c r="N49" s="361">
        <f>+IF($I49=N$3,VLOOKUP($H49,Depreciation!$A$6:$L$10,11,FALSE)/2,IF($I49&lt;N$3,VLOOKUP($H49,Depreciation!$A$6:$L$10,11,FALSE),0))</f>
        <v>3.0676363676126896E-2</v>
      </c>
      <c r="O49" s="361">
        <f>+IF($I49=O$3,VLOOKUP($H49,Depreciation!$A$6:$L$10,12,FALSE)/2,IF($I49&lt;O$3,VLOOKUP($H49,Depreciation!$A$6:$L$10,12,FALSE),0))</f>
        <v>3.0676363676126896E-2</v>
      </c>
      <c r="P49" s="362">
        <f t="shared" si="2"/>
        <v>371445.96746426617</v>
      </c>
      <c r="Q49" s="362">
        <f t="shared" si="3"/>
        <v>371445.96746426617</v>
      </c>
      <c r="R49" s="363">
        <f t="shared" si="4"/>
        <v>0</v>
      </c>
      <c r="Y49" s="365"/>
    </row>
    <row r="50" spans="1:25" ht="15" customHeight="1">
      <c r="A50" s="359" t="str">
        <f>'Func Future Lines 2015'!A50</f>
        <v>PPS</v>
      </c>
      <c r="B50" s="359" t="str">
        <f>'Func Future Lines 2015'!B50</f>
        <v>902L</v>
      </c>
      <c r="C50" s="359">
        <f>'Func Future Lines 2015'!C50</f>
        <v>786</v>
      </c>
      <c r="D50" s="359">
        <f>'Func Future Lines 2015'!D50</f>
        <v>240</v>
      </c>
      <c r="E50" s="359">
        <f>'Func Future Lines 2015'!E50</f>
        <v>0</v>
      </c>
      <c r="F50" s="359" t="str">
        <f>'Func Future Lines 2015'!F50</f>
        <v>edmonton</v>
      </c>
      <c r="G50" s="359">
        <f>'Func Future Lines 2015'!G50</f>
        <v>1003247.4189437164</v>
      </c>
      <c r="H50" s="359" t="str">
        <f>'Func Future Lines 2015'!H50</f>
        <v>AltaLink</v>
      </c>
      <c r="I50" s="359">
        <f>'Func Future Lines 2015'!I50</f>
        <v>2016</v>
      </c>
      <c r="J50" s="361">
        <f>+IF($I50=J$3,VLOOKUP($H50,Depreciation!$A$6:$L$10,7,FALSE)/2,IF($I50&lt;J$3,VLOOKUP($H50,Depreciation!$A$6:$L$10,7,FALSE),0))</f>
        <v>0</v>
      </c>
      <c r="K50" s="361">
        <f>+IF($I50=K$3,VLOOKUP($H50,Depreciation!$A$6:$L$10,8,FALSE)/2,IF($I50&lt;K$3,VLOOKUP($H50,Depreciation!$A$6:$L$10,8,FALSE),0))</f>
        <v>1.5338181838063448E-2</v>
      </c>
      <c r="L50" s="361">
        <f>+IF($I50=L$3,VLOOKUP($H50,Depreciation!$A$6:$L$10,9,FALSE)/2,IF($I50&lt;L$3,VLOOKUP($H50,Depreciation!$A$6:$L$10,9,FALSE),0))</f>
        <v>3.0676363676126896E-2</v>
      </c>
      <c r="M50" s="361">
        <f>+IF($I50=M$3,VLOOKUP($H50,Depreciation!$A$6:$L$10,10,FALSE)/2,IF($I50&lt;M$3,VLOOKUP($H50,Depreciation!$A$6:$L$10,10,FALSE),0))</f>
        <v>3.0676363676126896E-2</v>
      </c>
      <c r="N50" s="361">
        <f>+IF($I50=N$3,VLOOKUP($H50,Depreciation!$A$6:$L$10,11,FALSE)/2,IF($I50&lt;N$3,VLOOKUP($H50,Depreciation!$A$6:$L$10,11,FALSE),0))</f>
        <v>3.0676363676126896E-2</v>
      </c>
      <c r="O50" s="361">
        <f>+IF($I50=O$3,VLOOKUP($H50,Depreciation!$A$6:$L$10,12,FALSE)/2,IF($I50&lt;O$3,VLOOKUP($H50,Depreciation!$A$6:$L$10,12,FALSE),0))</f>
        <v>3.0676363676126896E-2</v>
      </c>
      <c r="P50" s="362">
        <f t="shared" si="2"/>
        <v>899707.94882209098</v>
      </c>
      <c r="Q50" s="362">
        <f t="shared" si="3"/>
        <v>899707.94882209098</v>
      </c>
      <c r="R50" s="363">
        <f t="shared" si="4"/>
        <v>0</v>
      </c>
      <c r="Y50" s="365"/>
    </row>
    <row r="51" spans="1:25" ht="15" customHeight="1">
      <c r="A51" s="359" t="str">
        <f>'Func Future Lines 2015'!A51</f>
        <v>PPS</v>
      </c>
      <c r="B51" s="359" t="str">
        <f>'Func Future Lines 2015'!B51</f>
        <v>902L / 913L</v>
      </c>
      <c r="C51" s="359">
        <f>'Func Future Lines 2015'!C51</f>
        <v>786</v>
      </c>
      <c r="D51" s="359">
        <f>'Func Future Lines 2015'!D51</f>
        <v>240</v>
      </c>
      <c r="E51" s="359">
        <f>'Func Future Lines 2015'!E51</f>
        <v>0</v>
      </c>
      <c r="F51" s="359" t="str">
        <f>'Func Future Lines 2015'!F51</f>
        <v>edmonton</v>
      </c>
      <c r="G51" s="359">
        <f>'Func Future Lines 2015'!G51</f>
        <v>5049558.4464780493</v>
      </c>
      <c r="H51" s="359" t="str">
        <f>'Func Future Lines 2015'!H51</f>
        <v>AltaLink</v>
      </c>
      <c r="I51" s="359">
        <f>'Func Future Lines 2015'!I51</f>
        <v>2016</v>
      </c>
      <c r="J51" s="361">
        <f>+IF($I51=J$3,VLOOKUP($H51,Depreciation!$A$6:$L$10,7,FALSE)/2,IF($I51&lt;J$3,VLOOKUP($H51,Depreciation!$A$6:$L$10,7,FALSE),0))</f>
        <v>0</v>
      </c>
      <c r="K51" s="361">
        <f>+IF($I51=K$3,VLOOKUP($H51,Depreciation!$A$6:$L$10,8,FALSE)/2,IF($I51&lt;K$3,VLOOKUP($H51,Depreciation!$A$6:$L$10,8,FALSE),0))</f>
        <v>1.5338181838063448E-2</v>
      </c>
      <c r="L51" s="361">
        <f>+IF($I51=L$3,VLOOKUP($H51,Depreciation!$A$6:$L$10,9,FALSE)/2,IF($I51&lt;L$3,VLOOKUP($H51,Depreciation!$A$6:$L$10,9,FALSE),0))</f>
        <v>3.0676363676126896E-2</v>
      </c>
      <c r="M51" s="361">
        <f>+IF($I51=M$3,VLOOKUP($H51,Depreciation!$A$6:$L$10,10,FALSE)/2,IF($I51&lt;M$3,VLOOKUP($H51,Depreciation!$A$6:$L$10,10,FALSE),0))</f>
        <v>3.0676363676126896E-2</v>
      </c>
      <c r="N51" s="361">
        <f>+IF($I51=N$3,VLOOKUP($H51,Depreciation!$A$6:$L$10,11,FALSE)/2,IF($I51&lt;N$3,VLOOKUP($H51,Depreciation!$A$6:$L$10,11,FALSE),0))</f>
        <v>3.0676363676126896E-2</v>
      </c>
      <c r="O51" s="361">
        <f>+IF($I51=O$3,VLOOKUP($H51,Depreciation!$A$6:$L$10,12,FALSE)/2,IF($I51&lt;O$3,VLOOKUP($H51,Depreciation!$A$6:$L$10,12,FALSE),0))</f>
        <v>3.0676363676126896E-2</v>
      </c>
      <c r="P51" s="362">
        <f t="shared" si="2"/>
        <v>4528422.1883384744</v>
      </c>
      <c r="Q51" s="362">
        <f t="shared" si="3"/>
        <v>4528422.1883384744</v>
      </c>
      <c r="R51" s="363">
        <f t="shared" si="4"/>
        <v>0</v>
      </c>
      <c r="Y51" s="365"/>
    </row>
    <row r="52" spans="1:25" ht="15" customHeight="1">
      <c r="A52" s="359" t="str">
        <f>'Func Future Lines 2015'!A52</f>
        <v>PPS</v>
      </c>
      <c r="B52" s="359" t="str">
        <f>'Func Future Lines 2015'!B52</f>
        <v>902L / 913L</v>
      </c>
      <c r="C52" s="359">
        <f>'Func Future Lines 2015'!C52</f>
        <v>786</v>
      </c>
      <c r="D52" s="359">
        <f>'Func Future Lines 2015'!D52</f>
        <v>240</v>
      </c>
      <c r="E52" s="359">
        <f>'Func Future Lines 2015'!E52</f>
        <v>0</v>
      </c>
      <c r="F52" s="359" t="str">
        <f>'Func Future Lines 2015'!F52</f>
        <v>edmonton</v>
      </c>
      <c r="G52" s="359">
        <f>'Func Future Lines 2015'!G52</f>
        <v>1156144.4203365908</v>
      </c>
      <c r="H52" s="359" t="str">
        <f>'Func Future Lines 2015'!H52</f>
        <v>AltaLink</v>
      </c>
      <c r="I52" s="359">
        <f>'Func Future Lines 2015'!I52</f>
        <v>2016</v>
      </c>
      <c r="J52" s="361">
        <f>+IF($I52=J$3,VLOOKUP($H52,Depreciation!$A$6:$L$10,7,FALSE)/2,IF($I52&lt;J$3,VLOOKUP($H52,Depreciation!$A$6:$L$10,7,FALSE),0))</f>
        <v>0</v>
      </c>
      <c r="K52" s="361">
        <f>+IF($I52=K$3,VLOOKUP($H52,Depreciation!$A$6:$L$10,8,FALSE)/2,IF($I52&lt;K$3,VLOOKUP($H52,Depreciation!$A$6:$L$10,8,FALSE),0))</f>
        <v>1.5338181838063448E-2</v>
      </c>
      <c r="L52" s="361">
        <f>+IF($I52=L$3,VLOOKUP($H52,Depreciation!$A$6:$L$10,9,FALSE)/2,IF($I52&lt;L$3,VLOOKUP($H52,Depreciation!$A$6:$L$10,9,FALSE),0))</f>
        <v>3.0676363676126896E-2</v>
      </c>
      <c r="M52" s="361">
        <f>+IF($I52=M$3,VLOOKUP($H52,Depreciation!$A$6:$L$10,10,FALSE)/2,IF($I52&lt;M$3,VLOOKUP($H52,Depreciation!$A$6:$L$10,10,FALSE),0))</f>
        <v>3.0676363676126896E-2</v>
      </c>
      <c r="N52" s="361">
        <f>+IF($I52=N$3,VLOOKUP($H52,Depreciation!$A$6:$L$10,11,FALSE)/2,IF($I52&lt;N$3,VLOOKUP($H52,Depreciation!$A$6:$L$10,11,FALSE),0))</f>
        <v>3.0676363676126896E-2</v>
      </c>
      <c r="O52" s="361">
        <f>+IF($I52=O$3,VLOOKUP($H52,Depreciation!$A$6:$L$10,12,FALSE)/2,IF($I52&lt;O$3,VLOOKUP($H52,Depreciation!$A$6:$L$10,12,FALSE),0))</f>
        <v>3.0676363676126896E-2</v>
      </c>
      <c r="P52" s="362">
        <f t="shared" si="2"/>
        <v>1036825.3187816031</v>
      </c>
      <c r="Q52" s="362">
        <f t="shared" si="3"/>
        <v>1036825.3187816031</v>
      </c>
      <c r="R52" s="363">
        <f t="shared" si="4"/>
        <v>0</v>
      </c>
      <c r="Y52" s="365"/>
    </row>
    <row r="53" spans="1:25" ht="15" customHeight="1">
      <c r="A53" s="359" t="str">
        <f>'Func Future Lines 2015'!A53</f>
        <v>PPS</v>
      </c>
      <c r="B53" s="359" t="str">
        <f>'Func Future Lines 2015'!B53</f>
        <v>902L T</v>
      </c>
      <c r="C53" s="359">
        <f>'Func Future Lines 2015'!C53</f>
        <v>786</v>
      </c>
      <c r="D53" s="359">
        <f>'Func Future Lines 2015'!D53</f>
        <v>240</v>
      </c>
      <c r="E53" s="359">
        <f>'Func Future Lines 2015'!E53</f>
        <v>0</v>
      </c>
      <c r="F53" s="359" t="str">
        <f>'Func Future Lines 2015'!F53</f>
        <v>edmonton</v>
      </c>
      <c r="G53" s="359">
        <f>'Func Future Lines 2015'!G53</f>
        <v>74703.733323158798</v>
      </c>
      <c r="H53" s="359" t="str">
        <f>'Func Future Lines 2015'!H53</f>
        <v>AltaLink</v>
      </c>
      <c r="I53" s="359">
        <f>'Func Future Lines 2015'!I53</f>
        <v>2016</v>
      </c>
      <c r="J53" s="361">
        <f>+IF($I53=J$3,VLOOKUP($H53,Depreciation!$A$6:$L$10,7,FALSE)/2,IF($I53&lt;J$3,VLOOKUP($H53,Depreciation!$A$6:$L$10,7,FALSE),0))</f>
        <v>0</v>
      </c>
      <c r="K53" s="361">
        <f>+IF($I53=K$3,VLOOKUP($H53,Depreciation!$A$6:$L$10,8,FALSE)/2,IF($I53&lt;K$3,VLOOKUP($H53,Depreciation!$A$6:$L$10,8,FALSE),0))</f>
        <v>1.5338181838063448E-2</v>
      </c>
      <c r="L53" s="361">
        <f>+IF($I53=L$3,VLOOKUP($H53,Depreciation!$A$6:$L$10,9,FALSE)/2,IF($I53&lt;L$3,VLOOKUP($H53,Depreciation!$A$6:$L$10,9,FALSE),0))</f>
        <v>3.0676363676126896E-2</v>
      </c>
      <c r="M53" s="361">
        <f>+IF($I53=M$3,VLOOKUP($H53,Depreciation!$A$6:$L$10,10,FALSE)/2,IF($I53&lt;M$3,VLOOKUP($H53,Depreciation!$A$6:$L$10,10,FALSE),0))</f>
        <v>3.0676363676126896E-2</v>
      </c>
      <c r="N53" s="361">
        <f>+IF($I53=N$3,VLOOKUP($H53,Depreciation!$A$6:$L$10,11,FALSE)/2,IF($I53&lt;N$3,VLOOKUP($H53,Depreciation!$A$6:$L$10,11,FALSE),0))</f>
        <v>3.0676363676126896E-2</v>
      </c>
      <c r="O53" s="361">
        <f>+IF($I53=O$3,VLOOKUP($H53,Depreciation!$A$6:$L$10,12,FALSE)/2,IF($I53&lt;O$3,VLOOKUP($H53,Depreciation!$A$6:$L$10,12,FALSE),0))</f>
        <v>3.0676363676126896E-2</v>
      </c>
      <c r="P53" s="362">
        <f t="shared" si="2"/>
        <v>66993.985141069526</v>
      </c>
      <c r="Q53" s="362">
        <f t="shared" si="3"/>
        <v>66993.985141069526</v>
      </c>
      <c r="R53" s="363">
        <f t="shared" si="4"/>
        <v>0</v>
      </c>
      <c r="Y53" s="365"/>
    </row>
    <row r="54" spans="1:25" ht="15" customHeight="1">
      <c r="A54" s="359" t="str">
        <f>'Func Future Lines 2015'!A54</f>
        <v>PPS</v>
      </c>
      <c r="B54" s="359" t="str">
        <f>'Func Future Lines 2015'!B54</f>
        <v>904L AML</v>
      </c>
      <c r="C54" s="359">
        <f>'Func Future Lines 2015'!C54</f>
        <v>786</v>
      </c>
      <c r="D54" s="359">
        <f>'Func Future Lines 2015'!D54</f>
        <v>240</v>
      </c>
      <c r="E54" s="359">
        <f>'Func Future Lines 2015'!E54</f>
        <v>0</v>
      </c>
      <c r="F54" s="359" t="str">
        <f>'Func Future Lines 2015'!F54</f>
        <v>edmonton</v>
      </c>
      <c r="G54" s="359">
        <f>'Func Future Lines 2015'!G54</f>
        <v>49162456.433123253</v>
      </c>
      <c r="H54" s="359" t="str">
        <f>'Func Future Lines 2015'!H54</f>
        <v>AltaLink</v>
      </c>
      <c r="I54" s="359">
        <f>'Func Future Lines 2015'!I54</f>
        <v>2016</v>
      </c>
      <c r="J54" s="361">
        <f>+IF($I54=J$3,VLOOKUP($H54,Depreciation!$A$6:$L$10,7,FALSE)/2,IF($I54&lt;J$3,VLOOKUP($H54,Depreciation!$A$6:$L$10,7,FALSE),0))</f>
        <v>0</v>
      </c>
      <c r="K54" s="361">
        <f>+IF($I54=K$3,VLOOKUP($H54,Depreciation!$A$6:$L$10,8,FALSE)/2,IF($I54&lt;K$3,VLOOKUP($H54,Depreciation!$A$6:$L$10,8,FALSE),0))</f>
        <v>1.5338181838063448E-2</v>
      </c>
      <c r="L54" s="361">
        <f>+IF($I54=L$3,VLOOKUP($H54,Depreciation!$A$6:$L$10,9,FALSE)/2,IF($I54&lt;L$3,VLOOKUP($H54,Depreciation!$A$6:$L$10,9,FALSE),0))</f>
        <v>3.0676363676126896E-2</v>
      </c>
      <c r="M54" s="361">
        <f>+IF($I54=M$3,VLOOKUP($H54,Depreciation!$A$6:$L$10,10,FALSE)/2,IF($I54&lt;M$3,VLOOKUP($H54,Depreciation!$A$6:$L$10,10,FALSE),0))</f>
        <v>3.0676363676126896E-2</v>
      </c>
      <c r="N54" s="361">
        <f>+IF($I54=N$3,VLOOKUP($H54,Depreciation!$A$6:$L$10,11,FALSE)/2,IF($I54&lt;N$3,VLOOKUP($H54,Depreciation!$A$6:$L$10,11,FALSE),0))</f>
        <v>3.0676363676126896E-2</v>
      </c>
      <c r="O54" s="361">
        <f>+IF($I54=O$3,VLOOKUP($H54,Depreciation!$A$6:$L$10,12,FALSE)/2,IF($I54&lt;O$3,VLOOKUP($H54,Depreciation!$A$6:$L$10,12,FALSE),0))</f>
        <v>3.0676363676126896E-2</v>
      </c>
      <c r="P54" s="362">
        <f t="shared" si="2"/>
        <v>44088678.426973559</v>
      </c>
      <c r="Q54" s="362">
        <f t="shared" si="3"/>
        <v>44088678.426973559</v>
      </c>
      <c r="R54" s="363">
        <f t="shared" si="4"/>
        <v>0</v>
      </c>
      <c r="Y54" s="365"/>
    </row>
    <row r="55" spans="1:25" ht="15" customHeight="1">
      <c r="A55" s="359" t="str">
        <f>'Func Future Lines 2015'!A55</f>
        <v>PPS</v>
      </c>
      <c r="B55" s="359" t="str">
        <f>'Func Future Lines 2015'!B55</f>
        <v>904L EDTI</v>
      </c>
      <c r="C55" s="359">
        <f>'Func Future Lines 2015'!C55</f>
        <v>786</v>
      </c>
      <c r="D55" s="359">
        <f>'Func Future Lines 2015'!D55</f>
        <v>240</v>
      </c>
      <c r="E55" s="359">
        <f>'Func Future Lines 2015'!E55</f>
        <v>0</v>
      </c>
      <c r="F55" s="359" t="str">
        <f>'Func Future Lines 2015'!F55</f>
        <v>edmonton</v>
      </c>
      <c r="G55" s="359">
        <f>'Func Future Lines 2015'!G55</f>
        <v>3984477.4999999995</v>
      </c>
      <c r="H55" s="359" t="str">
        <f>'Func Future Lines 2015'!H55</f>
        <v>EPCOR</v>
      </c>
      <c r="I55" s="359">
        <f>'Func Future Lines 2015'!I55</f>
        <v>2016</v>
      </c>
      <c r="J55" s="361">
        <f>+IF($I55=J$3,VLOOKUP($H55,Depreciation!$A$6:$L$10,7,FALSE)/2,IF($I55&lt;J$3,VLOOKUP($H55,Depreciation!$A$6:$L$10,7,FALSE),0))</f>
        <v>0</v>
      </c>
      <c r="K55" s="361">
        <f>+IF($I55=K$3,VLOOKUP($H55,Depreciation!$A$6:$L$10,8,FALSE)/2,IF($I55&lt;K$3,VLOOKUP($H55,Depreciation!$A$6:$L$10,8,FALSE),0))</f>
        <v>1.1531168605025642E-2</v>
      </c>
      <c r="L55" s="361">
        <f>+IF($I55=L$3,VLOOKUP($H55,Depreciation!$A$6:$L$10,9,FALSE)/2,IF($I55&lt;L$3,VLOOKUP($H55,Depreciation!$A$6:$L$10,9,FALSE),0))</f>
        <v>2.3063912319658014E-2</v>
      </c>
      <c r="M55" s="361">
        <f>+IF($I55=M$3,VLOOKUP($H55,Depreciation!$A$6:$L$10,10,FALSE)/2,IF($I55&lt;M$3,VLOOKUP($H55,Depreciation!$A$6:$L$10,10,FALSE),0))</f>
        <v>2.3063912319658014E-2</v>
      </c>
      <c r="N55" s="361">
        <f>+IF($I55=N$3,VLOOKUP($H55,Depreciation!$A$6:$L$10,11,FALSE)/2,IF($I55&lt;N$3,VLOOKUP($H55,Depreciation!$A$6:$L$10,11,FALSE),0))</f>
        <v>2.3063912319658014E-2</v>
      </c>
      <c r="O55" s="361">
        <f>+IF($I55=O$3,VLOOKUP($H55,Depreciation!$A$6:$L$10,12,FALSE)/2,IF($I55&lt;O$3,VLOOKUP($H55,Depreciation!$A$6:$L$10,12,FALSE),0))</f>
        <v>2.3063912319658014E-2</v>
      </c>
      <c r="P55" s="362">
        <f t="shared" si="2"/>
        <v>3672254.8755872515</v>
      </c>
      <c r="Q55" s="362">
        <f t="shared" si="3"/>
        <v>3672254.8755872515</v>
      </c>
      <c r="R55" s="363">
        <f t="shared" si="4"/>
        <v>0</v>
      </c>
      <c r="Y55" s="365"/>
    </row>
    <row r="56" spans="1:25" ht="15" customHeight="1">
      <c r="A56" s="359" t="str">
        <f>'Func Future Lines 2015'!A56</f>
        <v>PPS</v>
      </c>
      <c r="B56" s="359" t="str">
        <f>'Func Future Lines 2015'!B56</f>
        <v>904L EDTI</v>
      </c>
      <c r="C56" s="359">
        <f>'Func Future Lines 2015'!C56</f>
        <v>786</v>
      </c>
      <c r="D56" s="359">
        <f>'Func Future Lines 2015'!D56</f>
        <v>240</v>
      </c>
      <c r="E56" s="359">
        <f>'Func Future Lines 2015'!E56</f>
        <v>0</v>
      </c>
      <c r="F56" s="359" t="str">
        <f>'Func Future Lines 2015'!F56</f>
        <v>edmonton</v>
      </c>
      <c r="G56" s="359">
        <f>'Func Future Lines 2015'!G56</f>
        <v>3984477.4999999995</v>
      </c>
      <c r="H56" s="359" t="str">
        <f>'Func Future Lines 2015'!H56</f>
        <v>EPCOR</v>
      </c>
      <c r="I56" s="359">
        <f>'Func Future Lines 2015'!I56</f>
        <v>2016</v>
      </c>
      <c r="J56" s="361">
        <f>+IF($I56=J$3,VLOOKUP($H56,Depreciation!$A$6:$L$10,7,FALSE)/2,IF($I56&lt;J$3,VLOOKUP($H56,Depreciation!$A$6:$L$10,7,FALSE),0))</f>
        <v>0</v>
      </c>
      <c r="K56" s="361">
        <f>+IF($I56=K$3,VLOOKUP($H56,Depreciation!$A$6:$L$10,8,FALSE)/2,IF($I56&lt;K$3,VLOOKUP($H56,Depreciation!$A$6:$L$10,8,FALSE),0))</f>
        <v>1.1531168605025642E-2</v>
      </c>
      <c r="L56" s="361">
        <f>+IF($I56=L$3,VLOOKUP($H56,Depreciation!$A$6:$L$10,9,FALSE)/2,IF($I56&lt;L$3,VLOOKUP($H56,Depreciation!$A$6:$L$10,9,FALSE),0))</f>
        <v>2.3063912319658014E-2</v>
      </c>
      <c r="M56" s="361">
        <f>+IF($I56=M$3,VLOOKUP($H56,Depreciation!$A$6:$L$10,10,FALSE)/2,IF($I56&lt;M$3,VLOOKUP($H56,Depreciation!$A$6:$L$10,10,FALSE),0))</f>
        <v>2.3063912319658014E-2</v>
      </c>
      <c r="N56" s="361">
        <f>+IF($I56=N$3,VLOOKUP($H56,Depreciation!$A$6:$L$10,11,FALSE)/2,IF($I56&lt;N$3,VLOOKUP($H56,Depreciation!$A$6:$L$10,11,FALSE),0))</f>
        <v>2.3063912319658014E-2</v>
      </c>
      <c r="O56" s="361">
        <f>+IF($I56=O$3,VLOOKUP($H56,Depreciation!$A$6:$L$10,12,FALSE)/2,IF($I56&lt;O$3,VLOOKUP($H56,Depreciation!$A$6:$L$10,12,FALSE),0))</f>
        <v>2.3063912319658014E-2</v>
      </c>
      <c r="P56" s="362">
        <f t="shared" si="2"/>
        <v>3672254.8755872515</v>
      </c>
      <c r="Q56" s="362">
        <f t="shared" si="3"/>
        <v>3672254.8755872515</v>
      </c>
      <c r="R56" s="363">
        <f t="shared" si="4"/>
        <v>0</v>
      </c>
      <c r="Y56" s="365"/>
    </row>
    <row r="57" spans="1:25" ht="15" customHeight="1">
      <c r="A57" s="359" t="str">
        <f>'Func Future Lines 2015'!A57</f>
        <v>PPS</v>
      </c>
      <c r="B57" s="359" t="str">
        <f>'Func Future Lines 2015'!B57</f>
        <v>908L/909L</v>
      </c>
      <c r="C57" s="359">
        <f>'Func Future Lines 2015'!C57</f>
        <v>786</v>
      </c>
      <c r="D57" s="359">
        <f>'Func Future Lines 2015'!D57</f>
        <v>240</v>
      </c>
      <c r="E57" s="359">
        <f>'Func Future Lines 2015'!E57</f>
        <v>0</v>
      </c>
      <c r="F57" s="359" t="str">
        <f>'Func Future Lines 2015'!F57</f>
        <v>edmonton</v>
      </c>
      <c r="G57" s="359">
        <f>'Func Future Lines 2015'!G57</f>
        <v>3109824.4563445696</v>
      </c>
      <c r="H57" s="359" t="str">
        <f>'Func Future Lines 2015'!H57</f>
        <v>AltaLink</v>
      </c>
      <c r="I57" s="359">
        <f>'Func Future Lines 2015'!I57</f>
        <v>2016</v>
      </c>
      <c r="J57" s="361">
        <f>+IF($I57=J$3,VLOOKUP($H57,Depreciation!$A$6:$L$10,7,FALSE)/2,IF($I57&lt;J$3,VLOOKUP($H57,Depreciation!$A$6:$L$10,7,FALSE),0))</f>
        <v>0</v>
      </c>
      <c r="K57" s="361">
        <f>+IF($I57=K$3,VLOOKUP($H57,Depreciation!$A$6:$L$10,8,FALSE)/2,IF($I57&lt;K$3,VLOOKUP($H57,Depreciation!$A$6:$L$10,8,FALSE),0))</f>
        <v>1.5338181838063448E-2</v>
      </c>
      <c r="L57" s="361">
        <f>+IF($I57=L$3,VLOOKUP($H57,Depreciation!$A$6:$L$10,9,FALSE)/2,IF($I57&lt;L$3,VLOOKUP($H57,Depreciation!$A$6:$L$10,9,FALSE),0))</f>
        <v>3.0676363676126896E-2</v>
      </c>
      <c r="M57" s="361">
        <f>+IF($I57=M$3,VLOOKUP($H57,Depreciation!$A$6:$L$10,10,FALSE)/2,IF($I57&lt;M$3,VLOOKUP($H57,Depreciation!$A$6:$L$10,10,FALSE),0))</f>
        <v>3.0676363676126896E-2</v>
      </c>
      <c r="N57" s="361">
        <f>+IF($I57=N$3,VLOOKUP($H57,Depreciation!$A$6:$L$10,11,FALSE)/2,IF($I57&lt;N$3,VLOOKUP($H57,Depreciation!$A$6:$L$10,11,FALSE),0))</f>
        <v>3.0676363676126896E-2</v>
      </c>
      <c r="O57" s="361">
        <f>+IF($I57=O$3,VLOOKUP($H57,Depreciation!$A$6:$L$10,12,FALSE)/2,IF($I57&lt;O$3,VLOOKUP($H57,Depreciation!$A$6:$L$10,12,FALSE),0))</f>
        <v>3.0676363676126896E-2</v>
      </c>
      <c r="P57" s="362">
        <f t="shared" si="2"/>
        <v>2788877.1303896219</v>
      </c>
      <c r="Q57" s="362">
        <f t="shared" si="3"/>
        <v>2788877.1303896219</v>
      </c>
      <c r="R57" s="363">
        <f t="shared" si="4"/>
        <v>0</v>
      </c>
      <c r="Y57" s="365"/>
    </row>
    <row r="58" spans="1:25" ht="15" customHeight="1">
      <c r="A58" s="359" t="str">
        <f>'Func Future Lines 2015'!A58</f>
        <v>PPS</v>
      </c>
      <c r="B58" s="359" t="str">
        <f>'Func Future Lines 2015'!B58</f>
        <v>910L</v>
      </c>
      <c r="C58" s="359">
        <f>'Func Future Lines 2015'!C58</f>
        <v>786</v>
      </c>
      <c r="D58" s="359">
        <f>'Func Future Lines 2015'!D58</f>
        <v>240</v>
      </c>
      <c r="E58" s="359">
        <f>'Func Future Lines 2015'!E58</f>
        <v>0</v>
      </c>
      <c r="F58" s="359" t="str">
        <f>'Func Future Lines 2015'!F58</f>
        <v>northwest</v>
      </c>
      <c r="G58" s="359">
        <f>'Func Future Lines 2015'!G58</f>
        <v>346386.25820651586</v>
      </c>
      <c r="H58" s="359" t="str">
        <f>'Func Future Lines 2015'!H58</f>
        <v>ATCO</v>
      </c>
      <c r="I58" s="359">
        <f>'Func Future Lines 2015'!I58</f>
        <v>2016</v>
      </c>
      <c r="J58" s="361">
        <f>+IF($I58=J$3,VLOOKUP($H58,Depreciation!$A$6:$L$10,7,FALSE)/2,IF($I58&lt;J$3,VLOOKUP($H58,Depreciation!$A$6:$L$10,7,FALSE),0))</f>
        <v>0</v>
      </c>
      <c r="K58" s="361">
        <f>+IF($I58=K$3,VLOOKUP($H58,Depreciation!$A$6:$L$10,8,FALSE)/2,IF($I58&lt;K$3,VLOOKUP($H58,Depreciation!$A$6:$L$10,8,FALSE),0))</f>
        <v>1.1971929865503333E-2</v>
      </c>
      <c r="L58" s="361">
        <f>+IF($I58=L$3,VLOOKUP($H58,Depreciation!$A$6:$L$10,9,FALSE)/2,IF($I58&lt;L$3,VLOOKUP($H58,Depreciation!$A$6:$L$10,9,FALSE),0))</f>
        <v>2.4002037926855919E-2</v>
      </c>
      <c r="M58" s="361">
        <f>+IF($I58=M$3,VLOOKUP($H58,Depreciation!$A$6:$L$10,10,FALSE)/2,IF($I58&lt;M$3,VLOOKUP($H58,Depreciation!$A$6:$L$10,10,FALSE),0))</f>
        <v>2.4002037926855919E-2</v>
      </c>
      <c r="N58" s="361">
        <f>+IF($I58=N$3,VLOOKUP($H58,Depreciation!$A$6:$L$10,11,FALSE)/2,IF($I58&lt;N$3,VLOOKUP($H58,Depreciation!$A$6:$L$10,11,FALSE),0))</f>
        <v>2.4002037926855919E-2</v>
      </c>
      <c r="O58" s="361">
        <f>+IF($I58=O$3,VLOOKUP($H58,Depreciation!$A$6:$L$10,12,FALSE)/2,IF($I58&lt;O$3,VLOOKUP($H58,Depreciation!$A$6:$L$10,12,FALSE),0))</f>
        <v>2.4002037926855919E-2</v>
      </c>
      <c r="P58" s="362">
        <f t="shared" si="2"/>
        <v>318182.77861956693</v>
      </c>
      <c r="Q58" s="362">
        <f t="shared" si="3"/>
        <v>318182.77861956693</v>
      </c>
      <c r="R58" s="363">
        <f t="shared" si="4"/>
        <v>0</v>
      </c>
      <c r="Y58" s="365"/>
    </row>
    <row r="59" spans="1:25" ht="15" customHeight="1">
      <c r="A59" s="359" t="str">
        <f>'Func Future Lines 2015'!A59</f>
        <v>PPS</v>
      </c>
      <c r="B59" s="359" t="str">
        <f>'Func Future Lines 2015'!B59</f>
        <v>Jasper Tap</v>
      </c>
      <c r="C59" s="359">
        <f>'Func Future Lines 2015'!C59</f>
        <v>786</v>
      </c>
      <c r="D59" s="359">
        <f>'Func Future Lines 2015'!D59</f>
        <v>240</v>
      </c>
      <c r="E59" s="359">
        <f>'Func Future Lines 2015'!E59</f>
        <v>0</v>
      </c>
      <c r="F59" s="359" t="str">
        <f>'Func Future Lines 2015'!F59</f>
        <v>edmonton</v>
      </c>
      <c r="G59" s="359">
        <f>'Func Future Lines 2015'!G59</f>
        <v>1657515.1531787047</v>
      </c>
      <c r="H59" s="359" t="str">
        <f>'Func Future Lines 2015'!H59</f>
        <v>AltaLink</v>
      </c>
      <c r="I59" s="359">
        <f>'Func Future Lines 2015'!I59</f>
        <v>2016</v>
      </c>
      <c r="J59" s="361">
        <f>+IF($I59=J$3,VLOOKUP($H59,Depreciation!$A$6:$L$10,7,FALSE)/2,IF($I59&lt;J$3,VLOOKUP($H59,Depreciation!$A$6:$L$10,7,FALSE),0))</f>
        <v>0</v>
      </c>
      <c r="K59" s="361">
        <f>+IF($I59=K$3,VLOOKUP($H59,Depreciation!$A$6:$L$10,8,FALSE)/2,IF($I59&lt;K$3,VLOOKUP($H59,Depreciation!$A$6:$L$10,8,FALSE),0))</f>
        <v>1.5338181838063448E-2</v>
      </c>
      <c r="L59" s="361">
        <f>+IF($I59=L$3,VLOOKUP($H59,Depreciation!$A$6:$L$10,9,FALSE)/2,IF($I59&lt;L$3,VLOOKUP($H59,Depreciation!$A$6:$L$10,9,FALSE),0))</f>
        <v>3.0676363676126896E-2</v>
      </c>
      <c r="M59" s="361">
        <f>+IF($I59=M$3,VLOOKUP($H59,Depreciation!$A$6:$L$10,10,FALSE)/2,IF($I59&lt;M$3,VLOOKUP($H59,Depreciation!$A$6:$L$10,10,FALSE),0))</f>
        <v>3.0676363676126896E-2</v>
      </c>
      <c r="N59" s="361">
        <f>+IF($I59=N$3,VLOOKUP($H59,Depreciation!$A$6:$L$10,11,FALSE)/2,IF($I59&lt;N$3,VLOOKUP($H59,Depreciation!$A$6:$L$10,11,FALSE),0))</f>
        <v>3.0676363676126896E-2</v>
      </c>
      <c r="O59" s="361">
        <f>+IF($I59=O$3,VLOOKUP($H59,Depreciation!$A$6:$L$10,12,FALSE)/2,IF($I59&lt;O$3,VLOOKUP($H59,Depreciation!$A$6:$L$10,12,FALSE),0))</f>
        <v>3.0676363676126896E-2</v>
      </c>
      <c r="P59" s="362">
        <f t="shared" si="2"/>
        <v>1486452.4248445728</v>
      </c>
      <c r="Q59" s="362">
        <f t="shared" si="3"/>
        <v>1486452.4248445728</v>
      </c>
      <c r="R59" s="363">
        <f t="shared" si="4"/>
        <v>0</v>
      </c>
      <c r="Y59" s="365"/>
    </row>
    <row r="60" spans="1:25" ht="15" customHeight="1">
      <c r="A60" s="359" t="str">
        <f>'Func Future Lines 2015'!A60</f>
        <v>PPS</v>
      </c>
      <c r="B60" s="359" t="str">
        <f>'Func Future Lines 2015'!B60</f>
        <v>Jasper Tap</v>
      </c>
      <c r="C60" s="359">
        <f>'Func Future Lines 2015'!C60</f>
        <v>786</v>
      </c>
      <c r="D60" s="359">
        <f>'Func Future Lines 2015'!D60</f>
        <v>240</v>
      </c>
      <c r="E60" s="359">
        <f>'Func Future Lines 2015'!E60</f>
        <v>0</v>
      </c>
      <c r="F60" s="359" t="str">
        <f>'Func Future Lines 2015'!F60</f>
        <v>edmonton</v>
      </c>
      <c r="G60" s="359">
        <f>'Func Future Lines 2015'!G60</f>
        <v>1321477.0395329923</v>
      </c>
      <c r="H60" s="359" t="str">
        <f>'Func Future Lines 2015'!H60</f>
        <v>AltaLink</v>
      </c>
      <c r="I60" s="359">
        <f>'Func Future Lines 2015'!I60</f>
        <v>2016</v>
      </c>
      <c r="J60" s="361">
        <f>+IF($I60=J$3,VLOOKUP($H60,Depreciation!$A$6:$L$10,7,FALSE)/2,IF($I60&lt;J$3,VLOOKUP($H60,Depreciation!$A$6:$L$10,7,FALSE),0))</f>
        <v>0</v>
      </c>
      <c r="K60" s="361">
        <f>+IF($I60=K$3,VLOOKUP($H60,Depreciation!$A$6:$L$10,8,FALSE)/2,IF($I60&lt;K$3,VLOOKUP($H60,Depreciation!$A$6:$L$10,8,FALSE),0))</f>
        <v>1.5338181838063448E-2</v>
      </c>
      <c r="L60" s="361">
        <f>+IF($I60=L$3,VLOOKUP($H60,Depreciation!$A$6:$L$10,9,FALSE)/2,IF($I60&lt;L$3,VLOOKUP($H60,Depreciation!$A$6:$L$10,9,FALSE),0))</f>
        <v>3.0676363676126896E-2</v>
      </c>
      <c r="M60" s="361">
        <f>+IF($I60=M$3,VLOOKUP($H60,Depreciation!$A$6:$L$10,10,FALSE)/2,IF($I60&lt;M$3,VLOOKUP($H60,Depreciation!$A$6:$L$10,10,FALSE),0))</f>
        <v>3.0676363676126896E-2</v>
      </c>
      <c r="N60" s="361">
        <f>+IF($I60=N$3,VLOOKUP($H60,Depreciation!$A$6:$L$10,11,FALSE)/2,IF($I60&lt;N$3,VLOOKUP($H60,Depreciation!$A$6:$L$10,11,FALSE),0))</f>
        <v>3.0676363676126896E-2</v>
      </c>
      <c r="O60" s="361">
        <f>+IF($I60=O$3,VLOOKUP($H60,Depreciation!$A$6:$L$10,12,FALSE)/2,IF($I60&lt;O$3,VLOOKUP($H60,Depreciation!$A$6:$L$10,12,FALSE),0))</f>
        <v>3.0676363676126896E-2</v>
      </c>
      <c r="P60" s="362">
        <f t="shared" si="2"/>
        <v>1185094.8970349848</v>
      </c>
      <c r="Q60" s="362">
        <f t="shared" si="3"/>
        <v>1185094.8970349848</v>
      </c>
      <c r="R60" s="363">
        <f t="shared" si="4"/>
        <v>0</v>
      </c>
      <c r="Y60" s="365"/>
    </row>
    <row r="61" spans="1:25" ht="15" customHeight="1">
      <c r="A61" s="359" t="str">
        <f>'Func Future Lines 2015'!A61</f>
        <v>PPS</v>
      </c>
      <c r="B61" s="359" t="str">
        <f>'Func Future Lines 2015'!B61</f>
        <v>7L180</v>
      </c>
      <c r="C61" s="359">
        <f>'Func Future Lines 2015'!C61</f>
        <v>803</v>
      </c>
      <c r="D61" s="359">
        <f>'Func Future Lines 2015'!D61</f>
        <v>138</v>
      </c>
      <c r="E61" s="359">
        <f>'Func Future Lines 2015'!E61</f>
        <v>0</v>
      </c>
      <c r="F61" s="359" t="str">
        <f>'Func Future Lines 2015'!F61</f>
        <v>High_Level</v>
      </c>
      <c r="G61" s="359">
        <f>'Func Future Lines 2015'!G61</f>
        <v>12917630.079449499</v>
      </c>
      <c r="H61" s="359" t="str">
        <f>'Func Future Lines 2015'!H61</f>
        <v>ATCO</v>
      </c>
      <c r="I61" s="359">
        <f>'Func Future Lines 2015'!I61</f>
        <v>2017</v>
      </c>
      <c r="J61" s="361">
        <f>+IF($I61=J$3,VLOOKUP($H61,Depreciation!$A$6:$L$10,7,FALSE)/2,IF($I61&lt;J$3,VLOOKUP($H61,Depreciation!$A$6:$L$10,7,FALSE),0))</f>
        <v>0</v>
      </c>
      <c r="K61" s="361">
        <f>+IF($I61=K$3,VLOOKUP($H61,Depreciation!$A$6:$L$10,8,FALSE)/2,IF($I61&lt;K$3,VLOOKUP($H61,Depreciation!$A$6:$L$10,8,FALSE),0))</f>
        <v>0</v>
      </c>
      <c r="L61" s="361">
        <f>+IF($I61=L$3,VLOOKUP($H61,Depreciation!$A$6:$L$10,9,FALSE)/2,IF($I61&lt;L$3,VLOOKUP($H61,Depreciation!$A$6:$L$10,9,FALSE),0))</f>
        <v>1.2001018963427959E-2</v>
      </c>
      <c r="M61" s="361">
        <f>+IF($I61=M$3,VLOOKUP($H61,Depreciation!$A$6:$L$10,10,FALSE)/2,IF($I61&lt;M$3,VLOOKUP($H61,Depreciation!$A$6:$L$10,10,FALSE),0))</f>
        <v>2.4002037926855919E-2</v>
      </c>
      <c r="N61" s="361">
        <f>+IF($I61=N$3,VLOOKUP($H61,Depreciation!$A$6:$L$10,11,FALSE)/2,IF($I61&lt;N$3,VLOOKUP($H61,Depreciation!$A$6:$L$10,11,FALSE),0))</f>
        <v>2.4002037926855919E-2</v>
      </c>
      <c r="O61" s="361">
        <f>+IF($I61=O$3,VLOOKUP($H61,Depreciation!$A$6:$L$10,12,FALSE)/2,IF($I61&lt;O$3,VLOOKUP($H61,Depreciation!$A$6:$L$10,12,FALSE),0))</f>
        <v>2.4002037926855919E-2</v>
      </c>
      <c r="P61" s="362">
        <f t="shared" si="2"/>
        <v>12157300.789490001</v>
      </c>
      <c r="Q61" s="362">
        <f t="shared" si="3"/>
        <v>0</v>
      </c>
      <c r="R61" s="363">
        <f t="shared" si="4"/>
        <v>12157300.789490001</v>
      </c>
      <c r="Y61" s="365"/>
    </row>
    <row r="62" spans="1:25" ht="15" customHeight="1">
      <c r="A62" s="359" t="str">
        <f>'Func Future Lines 2015'!A62</f>
        <v>PPS</v>
      </c>
      <c r="B62" s="359" t="str">
        <f>'Func Future Lines 2015'!B62</f>
        <v>6L05 Dead End180</v>
      </c>
      <c r="C62" s="359">
        <f>'Func Future Lines 2015'!C62</f>
        <v>811</v>
      </c>
      <c r="D62" s="359">
        <f>'Func Future Lines 2015'!D62</f>
        <v>69</v>
      </c>
      <c r="E62" s="359">
        <f>'Func Future Lines 2015'!E62</f>
        <v>0</v>
      </c>
      <c r="F62" s="359" t="str">
        <f>'Func Future Lines 2015'!F62</f>
        <v>central</v>
      </c>
      <c r="G62" s="359">
        <f>'Func Future Lines 2015'!G62</f>
        <v>243484.314248574</v>
      </c>
      <c r="H62" s="359" t="str">
        <f>'Func Future Lines 2015'!H62</f>
        <v>ATCO</v>
      </c>
      <c r="I62" s="359">
        <f>'Func Future Lines 2015'!I62</f>
        <v>2017</v>
      </c>
      <c r="J62" s="361">
        <f>+IF($I62=J$3,VLOOKUP($H62,Depreciation!$A$6:$L$10,7,FALSE)/2,IF($I62&lt;J$3,VLOOKUP($H62,Depreciation!$A$6:$L$10,7,FALSE),0))</f>
        <v>0</v>
      </c>
      <c r="K62" s="361">
        <f>+IF($I62=K$3,VLOOKUP($H62,Depreciation!$A$6:$L$10,8,FALSE)/2,IF($I62&lt;K$3,VLOOKUP($H62,Depreciation!$A$6:$L$10,8,FALSE),0))</f>
        <v>0</v>
      </c>
      <c r="L62" s="361">
        <f>+IF($I62=L$3,VLOOKUP($H62,Depreciation!$A$6:$L$10,9,FALSE)/2,IF($I62&lt;L$3,VLOOKUP($H62,Depreciation!$A$6:$L$10,9,FALSE),0))</f>
        <v>1.2001018963427959E-2</v>
      </c>
      <c r="M62" s="361">
        <f>+IF($I62=M$3,VLOOKUP($H62,Depreciation!$A$6:$L$10,10,FALSE)/2,IF($I62&lt;M$3,VLOOKUP($H62,Depreciation!$A$6:$L$10,10,FALSE),0))</f>
        <v>2.4002037926855919E-2</v>
      </c>
      <c r="N62" s="361">
        <f>+IF($I62=N$3,VLOOKUP($H62,Depreciation!$A$6:$L$10,11,FALSE)/2,IF($I62&lt;N$3,VLOOKUP($H62,Depreciation!$A$6:$L$10,11,FALSE),0))</f>
        <v>2.4002037926855919E-2</v>
      </c>
      <c r="O62" s="361">
        <f>+IF($I62=O$3,VLOOKUP($H62,Depreciation!$A$6:$L$10,12,FALSE)/2,IF($I62&lt;O$3,VLOOKUP($H62,Depreciation!$A$6:$L$10,12,FALSE),0))</f>
        <v>2.4002037926855919E-2</v>
      </c>
      <c r="P62" s="362">
        <f t="shared" si="2"/>
        <v>229152.87306081218</v>
      </c>
      <c r="Q62" s="362">
        <f t="shared" si="3"/>
        <v>0</v>
      </c>
      <c r="R62" s="363">
        <f t="shared" si="4"/>
        <v>229152.87306081218</v>
      </c>
      <c r="Y62" s="365"/>
    </row>
    <row r="63" spans="1:25" ht="15" customHeight="1">
      <c r="A63" s="359" t="str">
        <f>'Func Future Lines 2015'!A63</f>
        <v>PPS</v>
      </c>
      <c r="B63" s="359" t="str">
        <f>'Func Future Lines 2015'!B63</f>
        <v>7L1170</v>
      </c>
      <c r="C63" s="359">
        <f>'Func Future Lines 2015'!C63</f>
        <v>811</v>
      </c>
      <c r="D63" s="359">
        <f>'Func Future Lines 2015'!D63</f>
        <v>144</v>
      </c>
      <c r="E63" s="359">
        <f>'Func Future Lines 2015'!E63</f>
        <v>0</v>
      </c>
      <c r="F63" s="359" t="str">
        <f>'Func Future Lines 2015'!F63</f>
        <v>central</v>
      </c>
      <c r="G63" s="359">
        <f>'Func Future Lines 2015'!G63</f>
        <v>2439411.4217569879</v>
      </c>
      <c r="H63" s="359" t="str">
        <f>'Func Future Lines 2015'!H63</f>
        <v>ATCO</v>
      </c>
      <c r="I63" s="359">
        <f>'Func Future Lines 2015'!I63</f>
        <v>2017</v>
      </c>
      <c r="J63" s="361">
        <f>+IF($I63=J$3,VLOOKUP($H63,Depreciation!$A$6:$L$10,7,FALSE)/2,IF($I63&lt;J$3,VLOOKUP($H63,Depreciation!$A$6:$L$10,7,FALSE),0))</f>
        <v>0</v>
      </c>
      <c r="K63" s="361">
        <f>+IF($I63=K$3,VLOOKUP($H63,Depreciation!$A$6:$L$10,8,FALSE)/2,IF($I63&lt;K$3,VLOOKUP($H63,Depreciation!$A$6:$L$10,8,FALSE),0))</f>
        <v>0</v>
      </c>
      <c r="L63" s="361">
        <f>+IF($I63=L$3,VLOOKUP($H63,Depreciation!$A$6:$L$10,9,FALSE)/2,IF($I63&lt;L$3,VLOOKUP($H63,Depreciation!$A$6:$L$10,9,FALSE),0))</f>
        <v>1.2001018963427959E-2</v>
      </c>
      <c r="M63" s="361">
        <f>+IF($I63=M$3,VLOOKUP($H63,Depreciation!$A$6:$L$10,10,FALSE)/2,IF($I63&lt;M$3,VLOOKUP($H63,Depreciation!$A$6:$L$10,10,FALSE),0))</f>
        <v>2.4002037926855919E-2</v>
      </c>
      <c r="N63" s="361">
        <f>+IF($I63=N$3,VLOOKUP($H63,Depreciation!$A$6:$L$10,11,FALSE)/2,IF($I63&lt;N$3,VLOOKUP($H63,Depreciation!$A$6:$L$10,11,FALSE),0))</f>
        <v>2.4002037926855919E-2</v>
      </c>
      <c r="O63" s="361">
        <f>+IF($I63=O$3,VLOOKUP($H63,Depreciation!$A$6:$L$10,12,FALSE)/2,IF($I63&lt;O$3,VLOOKUP($H63,Depreciation!$A$6:$L$10,12,FALSE),0))</f>
        <v>2.4002037926855919E-2</v>
      </c>
      <c r="P63" s="362">
        <f t="shared" si="2"/>
        <v>2295828.1218160582</v>
      </c>
      <c r="Q63" s="362">
        <f t="shared" si="3"/>
        <v>0</v>
      </c>
      <c r="R63" s="363">
        <f t="shared" si="4"/>
        <v>2295828.1218160582</v>
      </c>
      <c r="Y63" s="365"/>
    </row>
    <row r="64" spans="1:25" ht="15" customHeight="1">
      <c r="A64" s="359" t="str">
        <f>'Func Future Lines 2015'!A64</f>
        <v>PPS</v>
      </c>
      <c r="B64" s="359" t="str">
        <f>'Func Future Lines 2015'!B64</f>
        <v>7L14/7L130180</v>
      </c>
      <c r="C64" s="359">
        <f>'Func Future Lines 2015'!C64</f>
        <v>811</v>
      </c>
      <c r="D64" s="359">
        <f>'Func Future Lines 2015'!D64</f>
        <v>144</v>
      </c>
      <c r="E64" s="359">
        <f>'Func Future Lines 2015'!E64</f>
        <v>0</v>
      </c>
      <c r="F64" s="359" t="str">
        <f>'Func Future Lines 2015'!F64</f>
        <v>central</v>
      </c>
      <c r="G64" s="359">
        <f>'Func Future Lines 2015'!G64</f>
        <v>14367348.961213691</v>
      </c>
      <c r="H64" s="359" t="str">
        <f>'Func Future Lines 2015'!H64</f>
        <v>ATCO</v>
      </c>
      <c r="I64" s="359">
        <f>'Func Future Lines 2015'!I64</f>
        <v>2017</v>
      </c>
      <c r="J64" s="361">
        <f>+IF($I64=J$3,VLOOKUP($H64,Depreciation!$A$6:$L$10,7,FALSE)/2,IF($I64&lt;J$3,VLOOKUP($H64,Depreciation!$A$6:$L$10,7,FALSE),0))</f>
        <v>0</v>
      </c>
      <c r="K64" s="361">
        <f>+IF($I64=K$3,VLOOKUP($H64,Depreciation!$A$6:$L$10,8,FALSE)/2,IF($I64&lt;K$3,VLOOKUP($H64,Depreciation!$A$6:$L$10,8,FALSE),0))</f>
        <v>0</v>
      </c>
      <c r="L64" s="361">
        <f>+IF($I64=L$3,VLOOKUP($H64,Depreciation!$A$6:$L$10,9,FALSE)/2,IF($I64&lt;L$3,VLOOKUP($H64,Depreciation!$A$6:$L$10,9,FALSE),0))</f>
        <v>1.2001018963427959E-2</v>
      </c>
      <c r="M64" s="361">
        <f>+IF($I64=M$3,VLOOKUP($H64,Depreciation!$A$6:$L$10,10,FALSE)/2,IF($I64&lt;M$3,VLOOKUP($H64,Depreciation!$A$6:$L$10,10,FALSE),0))</f>
        <v>2.4002037926855919E-2</v>
      </c>
      <c r="N64" s="361">
        <f>+IF($I64=N$3,VLOOKUP($H64,Depreciation!$A$6:$L$10,11,FALSE)/2,IF($I64&lt;N$3,VLOOKUP($H64,Depreciation!$A$6:$L$10,11,FALSE),0))</f>
        <v>2.4002037926855919E-2</v>
      </c>
      <c r="O64" s="361">
        <f>+IF($I64=O$3,VLOOKUP($H64,Depreciation!$A$6:$L$10,12,FALSE)/2,IF($I64&lt;O$3,VLOOKUP($H64,Depreciation!$A$6:$L$10,12,FALSE),0))</f>
        <v>2.4002037926855919E-2</v>
      </c>
      <c r="P64" s="362">
        <f t="shared" si="2"/>
        <v>13521689.489074243</v>
      </c>
      <c r="Q64" s="362">
        <f t="shared" si="3"/>
        <v>0</v>
      </c>
      <c r="R64" s="363">
        <f t="shared" si="4"/>
        <v>13521689.489074243</v>
      </c>
      <c r="Y64" s="365"/>
    </row>
    <row r="65" spans="1:25" ht="15" customHeight="1">
      <c r="A65" s="359" t="str">
        <f>'Func Future Lines 2015'!A65</f>
        <v>PPS</v>
      </c>
      <c r="B65" s="359" t="str">
        <f>'Func Future Lines 2015'!B65</f>
        <v>7L140</v>
      </c>
      <c r="C65" s="359">
        <f>'Func Future Lines 2015'!C65</f>
        <v>811</v>
      </c>
      <c r="D65" s="359">
        <f>'Func Future Lines 2015'!D65</f>
        <v>144</v>
      </c>
      <c r="E65" s="359">
        <f>'Func Future Lines 2015'!E65</f>
        <v>0</v>
      </c>
      <c r="F65" s="359" t="str">
        <f>'Func Future Lines 2015'!F65</f>
        <v>central</v>
      </c>
      <c r="G65" s="359">
        <f>'Func Future Lines 2015'!G65</f>
        <v>6851824.4335497497</v>
      </c>
      <c r="H65" s="359" t="str">
        <f>'Func Future Lines 2015'!H65</f>
        <v>ATCO</v>
      </c>
      <c r="I65" s="359">
        <f>'Func Future Lines 2015'!I65</f>
        <v>2017</v>
      </c>
      <c r="J65" s="361">
        <f>+IF($I65=J$3,VLOOKUP($H65,Depreciation!$A$6:$L$10,7,FALSE)/2,IF($I65&lt;J$3,VLOOKUP($H65,Depreciation!$A$6:$L$10,7,FALSE),0))</f>
        <v>0</v>
      </c>
      <c r="K65" s="361">
        <f>+IF($I65=K$3,VLOOKUP($H65,Depreciation!$A$6:$L$10,8,FALSE)/2,IF($I65&lt;K$3,VLOOKUP($H65,Depreciation!$A$6:$L$10,8,FALSE),0))</f>
        <v>0</v>
      </c>
      <c r="L65" s="361">
        <f>+IF($I65=L$3,VLOOKUP($H65,Depreciation!$A$6:$L$10,9,FALSE)/2,IF($I65&lt;L$3,VLOOKUP($H65,Depreciation!$A$6:$L$10,9,FALSE),0))</f>
        <v>1.2001018963427959E-2</v>
      </c>
      <c r="M65" s="361">
        <f>+IF($I65=M$3,VLOOKUP($H65,Depreciation!$A$6:$L$10,10,FALSE)/2,IF($I65&lt;M$3,VLOOKUP($H65,Depreciation!$A$6:$L$10,10,FALSE),0))</f>
        <v>2.4002037926855919E-2</v>
      </c>
      <c r="N65" s="361">
        <f>+IF($I65=N$3,VLOOKUP($H65,Depreciation!$A$6:$L$10,11,FALSE)/2,IF($I65&lt;N$3,VLOOKUP($H65,Depreciation!$A$6:$L$10,11,FALSE),0))</f>
        <v>2.4002037926855919E-2</v>
      </c>
      <c r="O65" s="361">
        <f>+IF($I65=O$3,VLOOKUP($H65,Depreciation!$A$6:$L$10,12,FALSE)/2,IF($I65&lt;O$3,VLOOKUP($H65,Depreciation!$A$6:$L$10,12,FALSE),0))</f>
        <v>2.4002037926855919E-2</v>
      </c>
      <c r="P65" s="362">
        <f t="shared" si="2"/>
        <v>6448527.3291702103</v>
      </c>
      <c r="Q65" s="362">
        <f t="shared" si="3"/>
        <v>0</v>
      </c>
      <c r="R65" s="363">
        <f t="shared" si="4"/>
        <v>6448527.3291702103</v>
      </c>
      <c r="Y65" s="365"/>
    </row>
    <row r="66" spans="1:25" ht="15" customHeight="1">
      <c r="A66" s="359" t="str">
        <f>'Func Future Lines 2015'!A66</f>
        <v>PPS</v>
      </c>
      <c r="B66" s="359" t="str">
        <f>'Func Future Lines 2015'!B66</f>
        <v>7L157(180)</v>
      </c>
      <c r="C66" s="359">
        <f>'Func Future Lines 2015'!C66</f>
        <v>811</v>
      </c>
      <c r="D66" s="359">
        <f>'Func Future Lines 2015'!D66</f>
        <v>144</v>
      </c>
      <c r="E66" s="359">
        <f>'Func Future Lines 2015'!E66</f>
        <v>0</v>
      </c>
      <c r="F66" s="359" t="str">
        <f>'Func Future Lines 2015'!F66</f>
        <v>central</v>
      </c>
      <c r="G66" s="359">
        <f>'Func Future Lines 2015'!G66</f>
        <v>918753.56140999962</v>
      </c>
      <c r="H66" s="359" t="str">
        <f>'Func Future Lines 2015'!H66</f>
        <v>ATCO</v>
      </c>
      <c r="I66" s="359">
        <f>'Func Future Lines 2015'!I66</f>
        <v>2017</v>
      </c>
      <c r="J66" s="361">
        <f>+IF($I66=J$3,VLOOKUP($H66,Depreciation!$A$6:$L$10,7,FALSE)/2,IF($I66&lt;J$3,VLOOKUP($H66,Depreciation!$A$6:$L$10,7,FALSE),0))</f>
        <v>0</v>
      </c>
      <c r="K66" s="361">
        <f>+IF($I66=K$3,VLOOKUP($H66,Depreciation!$A$6:$L$10,8,FALSE)/2,IF($I66&lt;K$3,VLOOKUP($H66,Depreciation!$A$6:$L$10,8,FALSE),0))</f>
        <v>0</v>
      </c>
      <c r="L66" s="361">
        <f>+IF($I66=L$3,VLOOKUP($H66,Depreciation!$A$6:$L$10,9,FALSE)/2,IF($I66&lt;L$3,VLOOKUP($H66,Depreciation!$A$6:$L$10,9,FALSE),0))</f>
        <v>1.2001018963427959E-2</v>
      </c>
      <c r="M66" s="361">
        <f>+IF($I66=M$3,VLOOKUP($H66,Depreciation!$A$6:$L$10,10,FALSE)/2,IF($I66&lt;M$3,VLOOKUP($H66,Depreciation!$A$6:$L$10,10,FALSE),0))</f>
        <v>2.4002037926855919E-2</v>
      </c>
      <c r="N66" s="361">
        <f>+IF($I66=N$3,VLOOKUP($H66,Depreciation!$A$6:$L$10,11,FALSE)/2,IF($I66&lt;N$3,VLOOKUP($H66,Depreciation!$A$6:$L$10,11,FALSE),0))</f>
        <v>2.4002037926855919E-2</v>
      </c>
      <c r="O66" s="361">
        <f>+IF($I66=O$3,VLOOKUP($H66,Depreciation!$A$6:$L$10,12,FALSE)/2,IF($I66&lt;O$3,VLOOKUP($H66,Depreciation!$A$6:$L$10,12,FALSE),0))</f>
        <v>2.4002037926855919E-2</v>
      </c>
      <c r="P66" s="362">
        <f t="shared" si="2"/>
        <v>864675.89865776245</v>
      </c>
      <c r="Q66" s="362">
        <f t="shared" si="3"/>
        <v>0</v>
      </c>
      <c r="R66" s="363">
        <f t="shared" si="4"/>
        <v>864675.89865776245</v>
      </c>
      <c r="Y66" s="365"/>
    </row>
    <row r="67" spans="1:25" ht="15" customHeight="1">
      <c r="A67" s="359" t="str">
        <f>'Func Future Lines 2015'!A67</f>
        <v>PPS</v>
      </c>
      <c r="B67" s="359" t="str">
        <f>'Func Future Lines 2015'!B67</f>
        <v>7L160(180)</v>
      </c>
      <c r="C67" s="359">
        <f>'Func Future Lines 2015'!C67</f>
        <v>811</v>
      </c>
      <c r="D67" s="359">
        <f>'Func Future Lines 2015'!D67</f>
        <v>144</v>
      </c>
      <c r="E67" s="359">
        <f>'Func Future Lines 2015'!E67</f>
        <v>0</v>
      </c>
      <c r="F67" s="359" t="str">
        <f>'Func Future Lines 2015'!F67</f>
        <v>central</v>
      </c>
      <c r="G67" s="359">
        <f>'Func Future Lines 2015'!G67</f>
        <v>956623.00131934194</v>
      </c>
      <c r="H67" s="359" t="str">
        <f>'Func Future Lines 2015'!H67</f>
        <v>ATCO</v>
      </c>
      <c r="I67" s="359">
        <f>'Func Future Lines 2015'!I67</f>
        <v>2017</v>
      </c>
      <c r="J67" s="361">
        <f>+IF($I67=J$3,VLOOKUP($H67,Depreciation!$A$6:$L$10,7,FALSE)/2,IF($I67&lt;J$3,VLOOKUP($H67,Depreciation!$A$6:$L$10,7,FALSE),0))</f>
        <v>0</v>
      </c>
      <c r="K67" s="361">
        <f>+IF($I67=K$3,VLOOKUP($H67,Depreciation!$A$6:$L$10,8,FALSE)/2,IF($I67&lt;K$3,VLOOKUP($H67,Depreciation!$A$6:$L$10,8,FALSE),0))</f>
        <v>0</v>
      </c>
      <c r="L67" s="361">
        <f>+IF($I67=L$3,VLOOKUP($H67,Depreciation!$A$6:$L$10,9,FALSE)/2,IF($I67&lt;L$3,VLOOKUP($H67,Depreciation!$A$6:$L$10,9,FALSE),0))</f>
        <v>1.2001018963427959E-2</v>
      </c>
      <c r="M67" s="361">
        <f>+IF($I67=M$3,VLOOKUP($H67,Depreciation!$A$6:$L$10,10,FALSE)/2,IF($I67&lt;M$3,VLOOKUP($H67,Depreciation!$A$6:$L$10,10,FALSE),0))</f>
        <v>2.4002037926855919E-2</v>
      </c>
      <c r="N67" s="361">
        <f>+IF($I67=N$3,VLOOKUP($H67,Depreciation!$A$6:$L$10,11,FALSE)/2,IF($I67&lt;N$3,VLOOKUP($H67,Depreciation!$A$6:$L$10,11,FALSE),0))</f>
        <v>2.4002037926855919E-2</v>
      </c>
      <c r="O67" s="361">
        <f>+IF($I67=O$3,VLOOKUP($H67,Depreciation!$A$6:$L$10,12,FALSE)/2,IF($I67&lt;O$3,VLOOKUP($H67,Depreciation!$A$6:$L$10,12,FALSE),0))</f>
        <v>2.4002037926855919E-2</v>
      </c>
      <c r="P67" s="362">
        <f t="shared" si="2"/>
        <v>900316.35041832342</v>
      </c>
      <c r="Q67" s="362">
        <f t="shared" si="3"/>
        <v>0</v>
      </c>
      <c r="R67" s="363">
        <f t="shared" si="4"/>
        <v>900316.35041832342</v>
      </c>
      <c r="Y67" s="365"/>
    </row>
    <row r="68" spans="1:25" ht="15" customHeight="1">
      <c r="A68" s="359" t="str">
        <f>'Func Future Lines 2015'!A68</f>
        <v>PPS</v>
      </c>
      <c r="B68" s="359" t="str">
        <f>'Func Future Lines 2015'!B68</f>
        <v>7L530</v>
      </c>
      <c r="C68" s="359">
        <f>'Func Future Lines 2015'!C68</f>
        <v>811</v>
      </c>
      <c r="D68" s="359">
        <f>'Func Future Lines 2015'!D68</f>
        <v>144</v>
      </c>
      <c r="E68" s="359">
        <f>'Func Future Lines 2015'!E68</f>
        <v>0</v>
      </c>
      <c r="F68" s="359" t="str">
        <f>'Func Future Lines 2015'!F68</f>
        <v>central</v>
      </c>
      <c r="G68" s="359">
        <f>'Func Future Lines 2015'!G68</f>
        <v>2787898.7677222718</v>
      </c>
      <c r="H68" s="359" t="str">
        <f>'Func Future Lines 2015'!H68</f>
        <v>ATCO</v>
      </c>
      <c r="I68" s="359">
        <f>'Func Future Lines 2015'!I68</f>
        <v>2017</v>
      </c>
      <c r="J68" s="361">
        <f>+IF($I68=J$3,VLOOKUP($H68,Depreciation!$A$6:$L$10,7,FALSE)/2,IF($I68&lt;J$3,VLOOKUP($H68,Depreciation!$A$6:$L$10,7,FALSE),0))</f>
        <v>0</v>
      </c>
      <c r="K68" s="361">
        <f>+IF($I68=K$3,VLOOKUP($H68,Depreciation!$A$6:$L$10,8,FALSE)/2,IF($I68&lt;K$3,VLOOKUP($H68,Depreciation!$A$6:$L$10,8,FALSE),0))</f>
        <v>0</v>
      </c>
      <c r="L68" s="361">
        <f>+IF($I68=L$3,VLOOKUP($H68,Depreciation!$A$6:$L$10,9,FALSE)/2,IF($I68&lt;L$3,VLOOKUP($H68,Depreciation!$A$6:$L$10,9,FALSE),0))</f>
        <v>1.2001018963427959E-2</v>
      </c>
      <c r="M68" s="361">
        <f>+IF($I68=M$3,VLOOKUP($H68,Depreciation!$A$6:$L$10,10,FALSE)/2,IF($I68&lt;M$3,VLOOKUP($H68,Depreciation!$A$6:$L$10,10,FALSE),0))</f>
        <v>2.4002037926855919E-2</v>
      </c>
      <c r="N68" s="361">
        <f>+IF($I68=N$3,VLOOKUP($H68,Depreciation!$A$6:$L$10,11,FALSE)/2,IF($I68&lt;N$3,VLOOKUP($H68,Depreciation!$A$6:$L$10,11,FALSE),0))</f>
        <v>2.4002037926855919E-2</v>
      </c>
      <c r="O68" s="361">
        <f>+IF($I68=O$3,VLOOKUP($H68,Depreciation!$A$6:$L$10,12,FALSE)/2,IF($I68&lt;O$3,VLOOKUP($H68,Depreciation!$A$6:$L$10,12,FALSE),0))</f>
        <v>2.4002037926855919E-2</v>
      </c>
      <c r="P68" s="362">
        <f t="shared" si="2"/>
        <v>2623803.56778978</v>
      </c>
      <c r="Q68" s="362">
        <f t="shared" si="3"/>
        <v>0</v>
      </c>
      <c r="R68" s="363">
        <f t="shared" si="4"/>
        <v>2623803.56778978</v>
      </c>
      <c r="Y68" s="365"/>
    </row>
    <row r="69" spans="1:25" ht="15" customHeight="1">
      <c r="A69" s="359" t="str">
        <f>'Func Future Lines 2015'!A69</f>
        <v>PPS</v>
      </c>
      <c r="B69" s="359" t="str">
        <f>'Func Future Lines 2015'!B69</f>
        <v>7L7010</v>
      </c>
      <c r="C69" s="359">
        <f>'Func Future Lines 2015'!C69</f>
        <v>811</v>
      </c>
      <c r="D69" s="359">
        <f>'Func Future Lines 2015'!D69</f>
        <v>144</v>
      </c>
      <c r="E69" s="359">
        <f>'Func Future Lines 2015'!E69</f>
        <v>0</v>
      </c>
      <c r="F69" s="359" t="str">
        <f>'Func Future Lines 2015'!F69</f>
        <v>central</v>
      </c>
      <c r="G69" s="359">
        <f>'Func Future Lines 2015'!G69</f>
        <v>1203865.376970981</v>
      </c>
      <c r="H69" s="359" t="str">
        <f>'Func Future Lines 2015'!H69</f>
        <v>ATCO</v>
      </c>
      <c r="I69" s="359">
        <f>'Func Future Lines 2015'!I69</f>
        <v>2017</v>
      </c>
      <c r="J69" s="361">
        <f>+IF($I69=J$3,VLOOKUP($H69,Depreciation!$A$6:$L$10,7,FALSE)/2,IF($I69&lt;J$3,VLOOKUP($H69,Depreciation!$A$6:$L$10,7,FALSE),0))</f>
        <v>0</v>
      </c>
      <c r="K69" s="361">
        <f>+IF($I69=K$3,VLOOKUP($H69,Depreciation!$A$6:$L$10,8,FALSE)/2,IF($I69&lt;K$3,VLOOKUP($H69,Depreciation!$A$6:$L$10,8,FALSE),0))</f>
        <v>0</v>
      </c>
      <c r="L69" s="361">
        <f>+IF($I69=L$3,VLOOKUP($H69,Depreciation!$A$6:$L$10,9,FALSE)/2,IF($I69&lt;L$3,VLOOKUP($H69,Depreciation!$A$6:$L$10,9,FALSE),0))</f>
        <v>1.2001018963427959E-2</v>
      </c>
      <c r="M69" s="361">
        <f>+IF($I69=M$3,VLOOKUP($H69,Depreciation!$A$6:$L$10,10,FALSE)/2,IF($I69&lt;M$3,VLOOKUP($H69,Depreciation!$A$6:$L$10,10,FALSE),0))</f>
        <v>2.4002037926855919E-2</v>
      </c>
      <c r="N69" s="361">
        <f>+IF($I69=N$3,VLOOKUP($H69,Depreciation!$A$6:$L$10,11,FALSE)/2,IF($I69&lt;N$3,VLOOKUP($H69,Depreciation!$A$6:$L$10,11,FALSE),0))</f>
        <v>2.4002037926855919E-2</v>
      </c>
      <c r="O69" s="361">
        <f>+IF($I69=O$3,VLOOKUP($H69,Depreciation!$A$6:$L$10,12,FALSE)/2,IF($I69&lt;O$3,VLOOKUP($H69,Depreciation!$A$6:$L$10,12,FALSE),0))</f>
        <v>2.4002037926855919E-2</v>
      </c>
      <c r="P69" s="362">
        <f t="shared" ref="P69:P132" si="5">IF(I69&lt;=2019,G69*(1-J69)*(1-K69)*(1-L69)*(1-M69)*(1-N69),0)</f>
        <v>1133006.0860910413</v>
      </c>
      <c r="Q69" s="362">
        <f t="shared" ref="Q69:Q132" si="6">IF(D69&gt;=240,P69,0)</f>
        <v>0</v>
      </c>
      <c r="R69" s="363">
        <f t="shared" ref="R69:R132" si="7">IF(AND(D69&gt;25,D69&lt;240),P69,0)</f>
        <v>1133006.0860910413</v>
      </c>
      <c r="Y69" s="365"/>
    </row>
    <row r="70" spans="1:25" ht="15" customHeight="1">
      <c r="A70" s="359" t="str">
        <f>'Func Future Lines 2015'!A70</f>
        <v>PPS</v>
      </c>
      <c r="B70" s="359" t="str">
        <f>'Func Future Lines 2015'!B70</f>
        <v>7L74(180)</v>
      </c>
      <c r="C70" s="359">
        <f>'Func Future Lines 2015'!C70</f>
        <v>811</v>
      </c>
      <c r="D70" s="359">
        <f>'Func Future Lines 2015'!D70</f>
        <v>144</v>
      </c>
      <c r="E70" s="359">
        <f>'Func Future Lines 2015'!E70</f>
        <v>0</v>
      </c>
      <c r="F70" s="359" t="str">
        <f>'Func Future Lines 2015'!F70</f>
        <v>central</v>
      </c>
      <c r="G70" s="359">
        <f>'Func Future Lines 2015'!G70</f>
        <v>17920449.216898397</v>
      </c>
      <c r="H70" s="359" t="str">
        <f>'Func Future Lines 2015'!H70</f>
        <v>ATCO</v>
      </c>
      <c r="I70" s="359">
        <f>'Func Future Lines 2015'!I70</f>
        <v>2017</v>
      </c>
      <c r="J70" s="361">
        <f>+IF($I70=J$3,VLOOKUP($H70,Depreciation!$A$6:$L$10,7,FALSE)/2,IF($I70&lt;J$3,VLOOKUP($H70,Depreciation!$A$6:$L$10,7,FALSE),0))</f>
        <v>0</v>
      </c>
      <c r="K70" s="361">
        <f>+IF($I70=K$3,VLOOKUP($H70,Depreciation!$A$6:$L$10,8,FALSE)/2,IF($I70&lt;K$3,VLOOKUP($H70,Depreciation!$A$6:$L$10,8,FALSE),0))</f>
        <v>0</v>
      </c>
      <c r="L70" s="361">
        <f>+IF($I70=L$3,VLOOKUP($H70,Depreciation!$A$6:$L$10,9,FALSE)/2,IF($I70&lt;L$3,VLOOKUP($H70,Depreciation!$A$6:$L$10,9,FALSE),0))</f>
        <v>1.2001018963427959E-2</v>
      </c>
      <c r="M70" s="361">
        <f>+IF($I70=M$3,VLOOKUP($H70,Depreciation!$A$6:$L$10,10,FALSE)/2,IF($I70&lt;M$3,VLOOKUP($H70,Depreciation!$A$6:$L$10,10,FALSE),0))</f>
        <v>2.4002037926855919E-2</v>
      </c>
      <c r="N70" s="361">
        <f>+IF($I70=N$3,VLOOKUP($H70,Depreciation!$A$6:$L$10,11,FALSE)/2,IF($I70&lt;N$3,VLOOKUP($H70,Depreciation!$A$6:$L$10,11,FALSE),0))</f>
        <v>2.4002037926855919E-2</v>
      </c>
      <c r="O70" s="361">
        <f>+IF($I70=O$3,VLOOKUP($H70,Depreciation!$A$6:$L$10,12,FALSE)/2,IF($I70&lt;O$3,VLOOKUP($H70,Depreciation!$A$6:$L$10,12,FALSE),0))</f>
        <v>2.4002037926855919E-2</v>
      </c>
      <c r="P70" s="362">
        <f t="shared" si="5"/>
        <v>16865654.928392168</v>
      </c>
      <c r="Q70" s="362">
        <f t="shared" si="6"/>
        <v>0</v>
      </c>
      <c r="R70" s="363">
        <f t="shared" si="7"/>
        <v>16865654.928392168</v>
      </c>
      <c r="Y70" s="365"/>
    </row>
    <row r="71" spans="1:25" ht="15" customHeight="1">
      <c r="A71" s="359" t="str">
        <f>'Func Future Lines 2015'!A71</f>
        <v>PPS</v>
      </c>
      <c r="B71" s="359" t="str">
        <f>'Func Future Lines 2015'!B71</f>
        <v>7L7491</v>
      </c>
      <c r="C71" s="359">
        <f>'Func Future Lines 2015'!C71</f>
        <v>811</v>
      </c>
      <c r="D71" s="359">
        <f>'Func Future Lines 2015'!D71</f>
        <v>144</v>
      </c>
      <c r="E71" s="359">
        <f>'Func Future Lines 2015'!E71</f>
        <v>0</v>
      </c>
      <c r="F71" s="359" t="str">
        <f>'Func Future Lines 2015'!F71</f>
        <v>central</v>
      </c>
      <c r="G71" s="359">
        <f>'Func Future Lines 2015'!G71</f>
        <v>34200999.99999997</v>
      </c>
      <c r="H71" s="359" t="str">
        <f>'Func Future Lines 2015'!H71</f>
        <v>ATCO</v>
      </c>
      <c r="I71" s="359">
        <f>'Func Future Lines 2015'!I71</f>
        <v>2017</v>
      </c>
      <c r="J71" s="361">
        <f>+IF($I71=J$3,VLOOKUP($H71,Depreciation!$A$6:$L$10,7,FALSE)/2,IF($I71&lt;J$3,VLOOKUP($H71,Depreciation!$A$6:$L$10,7,FALSE),0))</f>
        <v>0</v>
      </c>
      <c r="K71" s="361">
        <f>+IF($I71=K$3,VLOOKUP($H71,Depreciation!$A$6:$L$10,8,FALSE)/2,IF($I71&lt;K$3,VLOOKUP($H71,Depreciation!$A$6:$L$10,8,FALSE),0))</f>
        <v>0</v>
      </c>
      <c r="L71" s="361">
        <f>+IF($I71=L$3,VLOOKUP($H71,Depreciation!$A$6:$L$10,9,FALSE)/2,IF($I71&lt;L$3,VLOOKUP($H71,Depreciation!$A$6:$L$10,9,FALSE),0))</f>
        <v>1.2001018963427959E-2</v>
      </c>
      <c r="M71" s="361">
        <f>+IF($I71=M$3,VLOOKUP($H71,Depreciation!$A$6:$L$10,10,FALSE)/2,IF($I71&lt;M$3,VLOOKUP($H71,Depreciation!$A$6:$L$10,10,FALSE),0))</f>
        <v>2.4002037926855919E-2</v>
      </c>
      <c r="N71" s="361">
        <f>+IF($I71=N$3,VLOOKUP($H71,Depreciation!$A$6:$L$10,11,FALSE)/2,IF($I71&lt;N$3,VLOOKUP($H71,Depreciation!$A$6:$L$10,11,FALSE),0))</f>
        <v>2.4002037926855919E-2</v>
      </c>
      <c r="O71" s="361">
        <f>+IF($I71=O$3,VLOOKUP($H71,Depreciation!$A$6:$L$10,12,FALSE)/2,IF($I71&lt;O$3,VLOOKUP($H71,Depreciation!$A$6:$L$10,12,FALSE),0))</f>
        <v>2.4002037926855919E-2</v>
      </c>
      <c r="P71" s="362">
        <f t="shared" si="5"/>
        <v>32187935.538022976</v>
      </c>
      <c r="Q71" s="362">
        <f t="shared" si="6"/>
        <v>0</v>
      </c>
      <c r="R71" s="363">
        <f t="shared" si="7"/>
        <v>32187935.538022976</v>
      </c>
      <c r="Y71" s="365"/>
    </row>
    <row r="72" spans="1:25" ht="15" customHeight="1">
      <c r="A72" s="359" t="str">
        <f>'Func Future Lines 2015'!A72</f>
        <v>PPS</v>
      </c>
      <c r="B72" s="359" t="str">
        <f>'Func Future Lines 2015'!B72</f>
        <v>7L83(180)</v>
      </c>
      <c r="C72" s="359">
        <f>'Func Future Lines 2015'!C72</f>
        <v>811</v>
      </c>
      <c r="D72" s="359">
        <f>'Func Future Lines 2015'!D72</f>
        <v>144</v>
      </c>
      <c r="E72" s="359">
        <f>'Func Future Lines 2015'!E72</f>
        <v>0</v>
      </c>
      <c r="F72" s="359" t="str">
        <f>'Func Future Lines 2015'!F72</f>
        <v>central</v>
      </c>
      <c r="G72" s="359">
        <f>'Func Future Lines 2015'!G72</f>
        <v>7546228.6782723581</v>
      </c>
      <c r="H72" s="359" t="str">
        <f>'Func Future Lines 2015'!H72</f>
        <v>ATCO</v>
      </c>
      <c r="I72" s="359">
        <f>'Func Future Lines 2015'!I72</f>
        <v>2017</v>
      </c>
      <c r="J72" s="361">
        <f>+IF($I72=J$3,VLOOKUP($H72,Depreciation!$A$6:$L$10,7,FALSE)/2,IF($I72&lt;J$3,VLOOKUP($H72,Depreciation!$A$6:$L$10,7,FALSE),0))</f>
        <v>0</v>
      </c>
      <c r="K72" s="361">
        <f>+IF($I72=K$3,VLOOKUP($H72,Depreciation!$A$6:$L$10,8,FALSE)/2,IF($I72&lt;K$3,VLOOKUP($H72,Depreciation!$A$6:$L$10,8,FALSE),0))</f>
        <v>0</v>
      </c>
      <c r="L72" s="361">
        <f>+IF($I72=L$3,VLOOKUP($H72,Depreciation!$A$6:$L$10,9,FALSE)/2,IF($I72&lt;L$3,VLOOKUP($H72,Depreciation!$A$6:$L$10,9,FALSE),0))</f>
        <v>1.2001018963427959E-2</v>
      </c>
      <c r="M72" s="361">
        <f>+IF($I72=M$3,VLOOKUP($H72,Depreciation!$A$6:$L$10,10,FALSE)/2,IF($I72&lt;M$3,VLOOKUP($H72,Depreciation!$A$6:$L$10,10,FALSE),0))</f>
        <v>2.4002037926855919E-2</v>
      </c>
      <c r="N72" s="361">
        <f>+IF($I72=N$3,VLOOKUP($H72,Depreciation!$A$6:$L$10,11,FALSE)/2,IF($I72&lt;N$3,VLOOKUP($H72,Depreciation!$A$6:$L$10,11,FALSE),0))</f>
        <v>2.4002037926855919E-2</v>
      </c>
      <c r="O72" s="361">
        <f>+IF($I72=O$3,VLOOKUP($H72,Depreciation!$A$6:$L$10,12,FALSE)/2,IF($I72&lt;O$3,VLOOKUP($H72,Depreciation!$A$6:$L$10,12,FALSE),0))</f>
        <v>2.4002037926855919E-2</v>
      </c>
      <c r="P72" s="362">
        <f t="shared" si="5"/>
        <v>7102059.0699514998</v>
      </c>
      <c r="Q72" s="362">
        <f t="shared" si="6"/>
        <v>0</v>
      </c>
      <c r="R72" s="363">
        <f t="shared" si="7"/>
        <v>7102059.0699514998</v>
      </c>
      <c r="Y72" s="365"/>
    </row>
    <row r="73" spans="1:25" ht="15" customHeight="1">
      <c r="A73" s="359" t="str">
        <f>'Func Future Lines 2015'!A73</f>
        <v>PPS</v>
      </c>
      <c r="B73" s="359" t="str">
        <f>'Func Future Lines 2015'!B73</f>
        <v>7L87(180)</v>
      </c>
      <c r="C73" s="359">
        <f>'Func Future Lines 2015'!C73</f>
        <v>811</v>
      </c>
      <c r="D73" s="359">
        <f>'Func Future Lines 2015'!D73</f>
        <v>144</v>
      </c>
      <c r="E73" s="359">
        <f>'Func Future Lines 2015'!E73</f>
        <v>0</v>
      </c>
      <c r="F73" s="359" t="str">
        <f>'Func Future Lines 2015'!F73</f>
        <v>central</v>
      </c>
      <c r="G73" s="359">
        <f>'Func Future Lines 2015'!G73</f>
        <v>12282104.825654209</v>
      </c>
      <c r="H73" s="359" t="str">
        <f>'Func Future Lines 2015'!H73</f>
        <v>ATCO</v>
      </c>
      <c r="I73" s="359">
        <f>'Func Future Lines 2015'!I73</f>
        <v>2017</v>
      </c>
      <c r="J73" s="361">
        <f>+IF($I73=J$3,VLOOKUP($H73,Depreciation!$A$6:$L$10,7,FALSE)/2,IF($I73&lt;J$3,VLOOKUP($H73,Depreciation!$A$6:$L$10,7,FALSE),0))</f>
        <v>0</v>
      </c>
      <c r="K73" s="361">
        <f>+IF($I73=K$3,VLOOKUP($H73,Depreciation!$A$6:$L$10,8,FALSE)/2,IF($I73&lt;K$3,VLOOKUP($H73,Depreciation!$A$6:$L$10,8,FALSE),0))</f>
        <v>0</v>
      </c>
      <c r="L73" s="361">
        <f>+IF($I73=L$3,VLOOKUP($H73,Depreciation!$A$6:$L$10,9,FALSE)/2,IF($I73&lt;L$3,VLOOKUP($H73,Depreciation!$A$6:$L$10,9,FALSE),0))</f>
        <v>1.2001018963427959E-2</v>
      </c>
      <c r="M73" s="361">
        <f>+IF($I73=M$3,VLOOKUP($H73,Depreciation!$A$6:$L$10,10,FALSE)/2,IF($I73&lt;M$3,VLOOKUP($H73,Depreciation!$A$6:$L$10,10,FALSE),0))</f>
        <v>2.4002037926855919E-2</v>
      </c>
      <c r="N73" s="361">
        <f>+IF($I73=N$3,VLOOKUP($H73,Depreciation!$A$6:$L$10,11,FALSE)/2,IF($I73&lt;N$3,VLOOKUP($H73,Depreciation!$A$6:$L$10,11,FALSE),0))</f>
        <v>2.4002037926855919E-2</v>
      </c>
      <c r="O73" s="361">
        <f>+IF($I73=O$3,VLOOKUP($H73,Depreciation!$A$6:$L$10,12,FALSE)/2,IF($I73&lt;O$3,VLOOKUP($H73,Depreciation!$A$6:$L$10,12,FALSE),0))</f>
        <v>2.4002037926855919E-2</v>
      </c>
      <c r="P73" s="362">
        <f t="shared" si="5"/>
        <v>11559182.433244612</v>
      </c>
      <c r="Q73" s="362">
        <f t="shared" si="6"/>
        <v>0</v>
      </c>
      <c r="R73" s="363">
        <f t="shared" si="7"/>
        <v>11559182.433244612</v>
      </c>
      <c r="Y73" s="365"/>
    </row>
    <row r="74" spans="1:25" ht="15" customHeight="1">
      <c r="A74" s="359" t="str">
        <f>'Func Future Lines 2015'!A74</f>
        <v>PPS</v>
      </c>
      <c r="B74" s="359" t="str">
        <f>'Func Future Lines 2015'!B74</f>
        <v>7LA701180</v>
      </c>
      <c r="C74" s="359">
        <f>'Func Future Lines 2015'!C74</f>
        <v>811</v>
      </c>
      <c r="D74" s="359">
        <f>'Func Future Lines 2015'!D74</f>
        <v>144</v>
      </c>
      <c r="E74" s="359">
        <f>'Func Future Lines 2015'!E74</f>
        <v>0</v>
      </c>
      <c r="F74" s="359" t="str">
        <f>'Func Future Lines 2015'!F74</f>
        <v>central</v>
      </c>
      <c r="G74" s="359">
        <f>'Func Future Lines 2015'!G74</f>
        <v>3334547.5681531723</v>
      </c>
      <c r="H74" s="359" t="str">
        <f>'Func Future Lines 2015'!H74</f>
        <v>ATCO</v>
      </c>
      <c r="I74" s="359">
        <f>'Func Future Lines 2015'!I74</f>
        <v>2017</v>
      </c>
      <c r="J74" s="361">
        <f>+IF($I74=J$3,VLOOKUP($H74,Depreciation!$A$6:$L$10,7,FALSE)/2,IF($I74&lt;J$3,VLOOKUP($H74,Depreciation!$A$6:$L$10,7,FALSE),0))</f>
        <v>0</v>
      </c>
      <c r="K74" s="361">
        <f>+IF($I74=K$3,VLOOKUP($H74,Depreciation!$A$6:$L$10,8,FALSE)/2,IF($I74&lt;K$3,VLOOKUP($H74,Depreciation!$A$6:$L$10,8,FALSE),0))</f>
        <v>0</v>
      </c>
      <c r="L74" s="361">
        <f>+IF($I74=L$3,VLOOKUP($H74,Depreciation!$A$6:$L$10,9,FALSE)/2,IF($I74&lt;L$3,VLOOKUP($H74,Depreciation!$A$6:$L$10,9,FALSE),0))</f>
        <v>1.2001018963427959E-2</v>
      </c>
      <c r="M74" s="361">
        <f>+IF($I74=M$3,VLOOKUP($H74,Depreciation!$A$6:$L$10,10,FALSE)/2,IF($I74&lt;M$3,VLOOKUP($H74,Depreciation!$A$6:$L$10,10,FALSE),0))</f>
        <v>2.4002037926855919E-2</v>
      </c>
      <c r="N74" s="361">
        <f>+IF($I74=N$3,VLOOKUP($H74,Depreciation!$A$6:$L$10,11,FALSE)/2,IF($I74&lt;N$3,VLOOKUP($H74,Depreciation!$A$6:$L$10,11,FALSE),0))</f>
        <v>2.4002037926855919E-2</v>
      </c>
      <c r="O74" s="361">
        <f>+IF($I74=O$3,VLOOKUP($H74,Depreciation!$A$6:$L$10,12,FALSE)/2,IF($I74&lt;O$3,VLOOKUP($H74,Depreciation!$A$6:$L$10,12,FALSE),0))</f>
        <v>2.4002037926855919E-2</v>
      </c>
      <c r="P74" s="362">
        <f t="shared" si="5"/>
        <v>3138276.7220895793</v>
      </c>
      <c r="Q74" s="362">
        <f t="shared" si="6"/>
        <v>0</v>
      </c>
      <c r="R74" s="363">
        <f t="shared" si="7"/>
        <v>3138276.7220895793</v>
      </c>
      <c r="Y74" s="365"/>
    </row>
    <row r="75" spans="1:25" ht="15" customHeight="1">
      <c r="A75" s="359" t="str">
        <f>'Func Future Lines 2015'!A75</f>
        <v>PPS</v>
      </c>
      <c r="B75" s="359" t="str">
        <f>'Func Future Lines 2015'!B75</f>
        <v>unknown line St.Paul</v>
      </c>
      <c r="C75" s="359">
        <f>'Func Future Lines 2015'!C75</f>
        <v>811</v>
      </c>
      <c r="D75" s="359">
        <f>'Func Future Lines 2015'!D75</f>
        <v>0</v>
      </c>
      <c r="E75" s="359">
        <f>'Func Future Lines 2015'!E75</f>
        <v>0</v>
      </c>
      <c r="F75" s="359" t="str">
        <f>'Func Future Lines 2015'!F75</f>
        <v>central</v>
      </c>
      <c r="G75" s="359">
        <f>'Func Future Lines 2015'!G75</f>
        <v>45416104.026721418</v>
      </c>
      <c r="H75" s="359" t="str">
        <f>'Func Future Lines 2015'!H75</f>
        <v>ATCO</v>
      </c>
      <c r="I75" s="359">
        <f>'Func Future Lines 2015'!I75</f>
        <v>2017</v>
      </c>
      <c r="J75" s="361">
        <f>+IF($I75=J$3,VLOOKUP($H75,Depreciation!$A$6:$L$10,7,FALSE)/2,IF($I75&lt;J$3,VLOOKUP($H75,Depreciation!$A$6:$L$10,7,FALSE),0))</f>
        <v>0</v>
      </c>
      <c r="K75" s="361">
        <f>+IF($I75=K$3,VLOOKUP($H75,Depreciation!$A$6:$L$10,8,FALSE)/2,IF($I75&lt;K$3,VLOOKUP($H75,Depreciation!$A$6:$L$10,8,FALSE),0))</f>
        <v>0</v>
      </c>
      <c r="L75" s="361">
        <f>+IF($I75=L$3,VLOOKUP($H75,Depreciation!$A$6:$L$10,9,FALSE)/2,IF($I75&lt;L$3,VLOOKUP($H75,Depreciation!$A$6:$L$10,9,FALSE),0))</f>
        <v>1.2001018963427959E-2</v>
      </c>
      <c r="M75" s="361">
        <f>+IF($I75=M$3,VLOOKUP($H75,Depreciation!$A$6:$L$10,10,FALSE)/2,IF($I75&lt;M$3,VLOOKUP($H75,Depreciation!$A$6:$L$10,10,FALSE),0))</f>
        <v>2.4002037926855919E-2</v>
      </c>
      <c r="N75" s="361">
        <f>+IF($I75=N$3,VLOOKUP($H75,Depreciation!$A$6:$L$10,11,FALSE)/2,IF($I75&lt;N$3,VLOOKUP($H75,Depreciation!$A$6:$L$10,11,FALSE),0))</f>
        <v>2.4002037926855919E-2</v>
      </c>
      <c r="O75" s="361">
        <f>+IF($I75=O$3,VLOOKUP($H75,Depreciation!$A$6:$L$10,12,FALSE)/2,IF($I75&lt;O$3,VLOOKUP($H75,Depreciation!$A$6:$L$10,12,FALSE),0))</f>
        <v>2.4002037926855919E-2</v>
      </c>
      <c r="P75" s="362">
        <f t="shared" si="5"/>
        <v>42742920.639754869</v>
      </c>
      <c r="Q75" s="362">
        <f t="shared" si="6"/>
        <v>0</v>
      </c>
      <c r="R75" s="363">
        <f t="shared" si="7"/>
        <v>0</v>
      </c>
      <c r="Y75" s="365"/>
    </row>
    <row r="76" spans="1:25" ht="15" customHeight="1">
      <c r="A76" s="359" t="str">
        <f>'Func Future Lines 2015'!A76</f>
        <v>PPS</v>
      </c>
      <c r="B76" s="359" t="str">
        <f>'Func Future Lines 2015'!B76</f>
        <v>166L</v>
      </c>
      <c r="C76" s="359">
        <f>'Func Future Lines 2015'!C76</f>
        <v>813</v>
      </c>
      <c r="D76" s="359">
        <f>'Func Future Lines 2015'!D76</f>
        <v>138</v>
      </c>
      <c r="E76" s="359">
        <f>'Func Future Lines 2015'!E76</f>
        <v>0</v>
      </c>
      <c r="F76" s="359" t="str">
        <f>'Func Future Lines 2015'!F76</f>
        <v>Red_Deer</v>
      </c>
      <c r="G76" s="359">
        <f>'Func Future Lines 2015'!G76</f>
        <v>583496.13042435877</v>
      </c>
      <c r="H76" s="359" t="str">
        <f>'Func Future Lines 2015'!H76</f>
        <v>AltaLink</v>
      </c>
      <c r="I76" s="359">
        <f>'Func Future Lines 2015'!I76</f>
        <v>2017</v>
      </c>
      <c r="J76" s="361">
        <f>+IF($I76=J$3,VLOOKUP($H76,Depreciation!$A$6:$L$10,7,FALSE)/2,IF($I76&lt;J$3,VLOOKUP($H76,Depreciation!$A$6:$L$10,7,FALSE),0))</f>
        <v>0</v>
      </c>
      <c r="K76" s="361">
        <f>+IF($I76=K$3,VLOOKUP($H76,Depreciation!$A$6:$L$10,8,FALSE)/2,IF($I76&lt;K$3,VLOOKUP($H76,Depreciation!$A$6:$L$10,8,FALSE),0))</f>
        <v>0</v>
      </c>
      <c r="L76" s="361">
        <f>+IF($I76=L$3,VLOOKUP($H76,Depreciation!$A$6:$L$10,9,FALSE)/2,IF($I76&lt;L$3,VLOOKUP($H76,Depreciation!$A$6:$L$10,9,FALSE),0))</f>
        <v>1.5338181838063448E-2</v>
      </c>
      <c r="M76" s="361">
        <f>+IF($I76=M$3,VLOOKUP($H76,Depreciation!$A$6:$L$10,10,FALSE)/2,IF($I76&lt;M$3,VLOOKUP($H76,Depreciation!$A$6:$L$10,10,FALSE),0))</f>
        <v>3.0676363676126896E-2</v>
      </c>
      <c r="N76" s="361">
        <f>+IF($I76=N$3,VLOOKUP($H76,Depreciation!$A$6:$L$10,11,FALSE)/2,IF($I76&lt;N$3,VLOOKUP($H76,Depreciation!$A$6:$L$10,11,FALSE),0))</f>
        <v>3.0676363676126896E-2</v>
      </c>
      <c r="O76" s="361">
        <f>+IF($I76=O$3,VLOOKUP($H76,Depreciation!$A$6:$L$10,12,FALSE)/2,IF($I76&lt;O$3,VLOOKUP($H76,Depreciation!$A$6:$L$10,12,FALSE),0))</f>
        <v>3.0676363676126896E-2</v>
      </c>
      <c r="P76" s="362">
        <f t="shared" si="5"/>
        <v>539837.04515483137</v>
      </c>
      <c r="Q76" s="362">
        <f t="shared" si="6"/>
        <v>0</v>
      </c>
      <c r="R76" s="363">
        <f t="shared" si="7"/>
        <v>539837.04515483137</v>
      </c>
      <c r="Y76" s="365"/>
    </row>
    <row r="77" spans="1:25" ht="15" customHeight="1">
      <c r="A77" s="359" t="str">
        <f>'Func Future Lines 2015'!A77</f>
        <v>PPS</v>
      </c>
      <c r="B77" s="359" t="str">
        <f>'Func Future Lines 2015'!B77</f>
        <v>417L/418L</v>
      </c>
      <c r="C77" s="359">
        <f>'Func Future Lines 2015'!C77</f>
        <v>813</v>
      </c>
      <c r="D77" s="359">
        <f>'Func Future Lines 2015'!D77</f>
        <v>138</v>
      </c>
      <c r="E77" s="359">
        <f>'Func Future Lines 2015'!E77</f>
        <v>0</v>
      </c>
      <c r="F77" s="359" t="str">
        <f>'Func Future Lines 2015'!F77</f>
        <v>Red_Deer</v>
      </c>
      <c r="G77" s="359">
        <f>'Func Future Lines 2015'!G77</f>
        <v>1650657.1949172863</v>
      </c>
      <c r="H77" s="359" t="str">
        <f>'Func Future Lines 2015'!H77</f>
        <v>AltaLink</v>
      </c>
      <c r="I77" s="359">
        <f>'Func Future Lines 2015'!I77</f>
        <v>2017</v>
      </c>
      <c r="J77" s="361">
        <f>+IF($I77=J$3,VLOOKUP($H77,Depreciation!$A$6:$L$10,7,FALSE)/2,IF($I77&lt;J$3,VLOOKUP($H77,Depreciation!$A$6:$L$10,7,FALSE),0))</f>
        <v>0</v>
      </c>
      <c r="K77" s="361">
        <f>+IF($I77=K$3,VLOOKUP($H77,Depreciation!$A$6:$L$10,8,FALSE)/2,IF($I77&lt;K$3,VLOOKUP($H77,Depreciation!$A$6:$L$10,8,FALSE),0))</f>
        <v>0</v>
      </c>
      <c r="L77" s="361">
        <f>+IF($I77=L$3,VLOOKUP($H77,Depreciation!$A$6:$L$10,9,FALSE)/2,IF($I77&lt;L$3,VLOOKUP($H77,Depreciation!$A$6:$L$10,9,FALSE),0))</f>
        <v>1.5338181838063448E-2</v>
      </c>
      <c r="M77" s="361">
        <f>+IF($I77=M$3,VLOOKUP($H77,Depreciation!$A$6:$L$10,10,FALSE)/2,IF($I77&lt;M$3,VLOOKUP($H77,Depreciation!$A$6:$L$10,10,FALSE),0))</f>
        <v>3.0676363676126896E-2</v>
      </c>
      <c r="N77" s="361">
        <f>+IF($I77=N$3,VLOOKUP($H77,Depreciation!$A$6:$L$10,11,FALSE)/2,IF($I77&lt;N$3,VLOOKUP($H77,Depreciation!$A$6:$L$10,11,FALSE),0))</f>
        <v>3.0676363676126896E-2</v>
      </c>
      <c r="O77" s="361">
        <f>+IF($I77=O$3,VLOOKUP($H77,Depreciation!$A$6:$L$10,12,FALSE)/2,IF($I77&lt;O$3,VLOOKUP($H77,Depreciation!$A$6:$L$10,12,FALSE),0))</f>
        <v>3.0676363676126896E-2</v>
      </c>
      <c r="P77" s="362">
        <f t="shared" si="5"/>
        <v>1527149.6351135201</v>
      </c>
      <c r="Q77" s="362">
        <f t="shared" si="6"/>
        <v>0</v>
      </c>
      <c r="R77" s="363">
        <f t="shared" si="7"/>
        <v>1527149.6351135201</v>
      </c>
      <c r="Y77" s="365"/>
    </row>
    <row r="78" spans="1:25" ht="15" customHeight="1">
      <c r="A78" s="359" t="str">
        <f>'Func Future Lines 2015'!A78</f>
        <v>PPS</v>
      </c>
      <c r="B78" s="359" t="str">
        <f>'Func Future Lines 2015'!B78</f>
        <v>417L/418L</v>
      </c>
      <c r="C78" s="359">
        <f>'Func Future Lines 2015'!C78</f>
        <v>813</v>
      </c>
      <c r="D78" s="359">
        <f>'Func Future Lines 2015'!D78</f>
        <v>138</v>
      </c>
      <c r="E78" s="359">
        <f>'Func Future Lines 2015'!E78</f>
        <v>0</v>
      </c>
      <c r="F78" s="359" t="str">
        <f>'Func Future Lines 2015'!F78</f>
        <v>Red_Deer</v>
      </c>
      <c r="G78" s="359">
        <f>'Func Future Lines 2015'!G78</f>
        <v>1827943.6298249823</v>
      </c>
      <c r="H78" s="359" t="str">
        <f>'Func Future Lines 2015'!H78</f>
        <v>AltaLink</v>
      </c>
      <c r="I78" s="359">
        <f>'Func Future Lines 2015'!I78</f>
        <v>2017</v>
      </c>
      <c r="J78" s="361">
        <f>+IF($I78=J$3,VLOOKUP($H78,Depreciation!$A$6:$L$10,7,FALSE)/2,IF($I78&lt;J$3,VLOOKUP($H78,Depreciation!$A$6:$L$10,7,FALSE),0))</f>
        <v>0</v>
      </c>
      <c r="K78" s="361">
        <f>+IF($I78=K$3,VLOOKUP($H78,Depreciation!$A$6:$L$10,8,FALSE)/2,IF($I78&lt;K$3,VLOOKUP($H78,Depreciation!$A$6:$L$10,8,FALSE),0))</f>
        <v>0</v>
      </c>
      <c r="L78" s="361">
        <f>+IF($I78=L$3,VLOOKUP($H78,Depreciation!$A$6:$L$10,9,FALSE)/2,IF($I78&lt;L$3,VLOOKUP($H78,Depreciation!$A$6:$L$10,9,FALSE),0))</f>
        <v>1.5338181838063448E-2</v>
      </c>
      <c r="M78" s="361">
        <f>+IF($I78=M$3,VLOOKUP($H78,Depreciation!$A$6:$L$10,10,FALSE)/2,IF($I78&lt;M$3,VLOOKUP($H78,Depreciation!$A$6:$L$10,10,FALSE),0))</f>
        <v>3.0676363676126896E-2</v>
      </c>
      <c r="N78" s="361">
        <f>+IF($I78=N$3,VLOOKUP($H78,Depreciation!$A$6:$L$10,11,FALSE)/2,IF($I78&lt;N$3,VLOOKUP($H78,Depreciation!$A$6:$L$10,11,FALSE),0))</f>
        <v>3.0676363676126896E-2</v>
      </c>
      <c r="O78" s="361">
        <f>+IF($I78=O$3,VLOOKUP($H78,Depreciation!$A$6:$L$10,12,FALSE)/2,IF($I78&lt;O$3,VLOOKUP($H78,Depreciation!$A$6:$L$10,12,FALSE),0))</f>
        <v>3.0676363676126896E-2</v>
      </c>
      <c r="P78" s="362">
        <f t="shared" si="5"/>
        <v>1691170.9202195604</v>
      </c>
      <c r="Q78" s="362">
        <f t="shared" si="6"/>
        <v>0</v>
      </c>
      <c r="R78" s="363">
        <f t="shared" si="7"/>
        <v>1691170.9202195604</v>
      </c>
      <c r="Y78" s="365"/>
    </row>
    <row r="79" spans="1:25" ht="15" customHeight="1">
      <c r="A79" s="359" t="str">
        <f>'Func Future Lines 2015'!A79</f>
        <v>PPS</v>
      </c>
      <c r="B79" s="359" t="str">
        <f>'Func Future Lines 2015'!B79</f>
        <v>419L/420L</v>
      </c>
      <c r="C79" s="359">
        <f>'Func Future Lines 2015'!C79</f>
        <v>813</v>
      </c>
      <c r="D79" s="359">
        <f>'Func Future Lines 2015'!D79</f>
        <v>138</v>
      </c>
      <c r="E79" s="359">
        <f>'Func Future Lines 2015'!E79</f>
        <v>0</v>
      </c>
      <c r="F79" s="359" t="str">
        <f>'Func Future Lines 2015'!F79</f>
        <v>Red_Deer</v>
      </c>
      <c r="G79" s="359">
        <f>'Func Future Lines 2015'!G79</f>
        <v>8144848.6406137627</v>
      </c>
      <c r="H79" s="359" t="str">
        <f>'Func Future Lines 2015'!H79</f>
        <v>AltaLink</v>
      </c>
      <c r="I79" s="359">
        <f>'Func Future Lines 2015'!I79</f>
        <v>2017</v>
      </c>
      <c r="J79" s="361">
        <f>+IF($I79=J$3,VLOOKUP($H79,Depreciation!$A$6:$L$10,7,FALSE)/2,IF($I79&lt;J$3,VLOOKUP($H79,Depreciation!$A$6:$L$10,7,FALSE),0))</f>
        <v>0</v>
      </c>
      <c r="K79" s="361">
        <f>+IF($I79=K$3,VLOOKUP($H79,Depreciation!$A$6:$L$10,8,FALSE)/2,IF($I79&lt;K$3,VLOOKUP($H79,Depreciation!$A$6:$L$10,8,FALSE),0))</f>
        <v>0</v>
      </c>
      <c r="L79" s="361">
        <f>+IF($I79=L$3,VLOOKUP($H79,Depreciation!$A$6:$L$10,9,FALSE)/2,IF($I79&lt;L$3,VLOOKUP($H79,Depreciation!$A$6:$L$10,9,FALSE),0))</f>
        <v>1.5338181838063448E-2</v>
      </c>
      <c r="M79" s="361">
        <f>+IF($I79=M$3,VLOOKUP($H79,Depreciation!$A$6:$L$10,10,FALSE)/2,IF($I79&lt;M$3,VLOOKUP($H79,Depreciation!$A$6:$L$10,10,FALSE),0))</f>
        <v>3.0676363676126896E-2</v>
      </c>
      <c r="N79" s="361">
        <f>+IF($I79=N$3,VLOOKUP($H79,Depreciation!$A$6:$L$10,11,FALSE)/2,IF($I79&lt;N$3,VLOOKUP($H79,Depreciation!$A$6:$L$10,11,FALSE),0))</f>
        <v>3.0676363676126896E-2</v>
      </c>
      <c r="O79" s="361">
        <f>+IF($I79=O$3,VLOOKUP($H79,Depreciation!$A$6:$L$10,12,FALSE)/2,IF($I79&lt;O$3,VLOOKUP($H79,Depreciation!$A$6:$L$10,12,FALSE),0))</f>
        <v>3.0676363676126896E-2</v>
      </c>
      <c r="P79" s="362">
        <f t="shared" si="5"/>
        <v>7535424.4769105082</v>
      </c>
      <c r="Q79" s="362">
        <f t="shared" si="6"/>
        <v>0</v>
      </c>
      <c r="R79" s="363">
        <f t="shared" si="7"/>
        <v>7535424.4769105082</v>
      </c>
      <c r="Y79" s="365"/>
    </row>
    <row r="80" spans="1:25" ht="15" customHeight="1">
      <c r="A80" s="359" t="str">
        <f>'Func Future Lines 2015'!A80</f>
        <v>PPS</v>
      </c>
      <c r="B80" s="359" t="str">
        <f>'Func Future Lines 2015'!B80</f>
        <v>419L/420L</v>
      </c>
      <c r="C80" s="359">
        <f>'Func Future Lines 2015'!C80</f>
        <v>813</v>
      </c>
      <c r="D80" s="359">
        <f>'Func Future Lines 2015'!D80</f>
        <v>138</v>
      </c>
      <c r="E80" s="359">
        <f>'Func Future Lines 2015'!E80</f>
        <v>0</v>
      </c>
      <c r="F80" s="359" t="str">
        <f>'Func Future Lines 2015'!F80</f>
        <v>Red_Deer</v>
      </c>
      <c r="G80" s="359">
        <f>'Func Future Lines 2015'!G80</f>
        <v>8079441.9947254863</v>
      </c>
      <c r="H80" s="359" t="str">
        <f>'Func Future Lines 2015'!H80</f>
        <v>AltaLink</v>
      </c>
      <c r="I80" s="359">
        <f>'Func Future Lines 2015'!I80</f>
        <v>2017</v>
      </c>
      <c r="J80" s="361">
        <f>+IF($I80=J$3,VLOOKUP($H80,Depreciation!$A$6:$L$10,7,FALSE)/2,IF($I80&lt;J$3,VLOOKUP($H80,Depreciation!$A$6:$L$10,7,FALSE),0))</f>
        <v>0</v>
      </c>
      <c r="K80" s="361">
        <f>+IF($I80=K$3,VLOOKUP($H80,Depreciation!$A$6:$L$10,8,FALSE)/2,IF($I80&lt;K$3,VLOOKUP($H80,Depreciation!$A$6:$L$10,8,FALSE),0))</f>
        <v>0</v>
      </c>
      <c r="L80" s="361">
        <f>+IF($I80=L$3,VLOOKUP($H80,Depreciation!$A$6:$L$10,9,FALSE)/2,IF($I80&lt;L$3,VLOOKUP($H80,Depreciation!$A$6:$L$10,9,FALSE),0))</f>
        <v>1.5338181838063448E-2</v>
      </c>
      <c r="M80" s="361">
        <f>+IF($I80=M$3,VLOOKUP($H80,Depreciation!$A$6:$L$10,10,FALSE)/2,IF($I80&lt;M$3,VLOOKUP($H80,Depreciation!$A$6:$L$10,10,FALSE),0))</f>
        <v>3.0676363676126896E-2</v>
      </c>
      <c r="N80" s="361">
        <f>+IF($I80=N$3,VLOOKUP($H80,Depreciation!$A$6:$L$10,11,FALSE)/2,IF($I80&lt;N$3,VLOOKUP($H80,Depreciation!$A$6:$L$10,11,FALSE),0))</f>
        <v>3.0676363676126896E-2</v>
      </c>
      <c r="O80" s="361">
        <f>+IF($I80=O$3,VLOOKUP($H80,Depreciation!$A$6:$L$10,12,FALSE)/2,IF($I80&lt;O$3,VLOOKUP($H80,Depreciation!$A$6:$L$10,12,FALSE),0))</f>
        <v>3.0676363676126896E-2</v>
      </c>
      <c r="P80" s="362">
        <f t="shared" si="5"/>
        <v>7474911.7697840082</v>
      </c>
      <c r="Q80" s="362">
        <f t="shared" si="6"/>
        <v>0</v>
      </c>
      <c r="R80" s="363">
        <f t="shared" si="7"/>
        <v>7474911.7697840082</v>
      </c>
      <c r="Y80" s="365"/>
    </row>
    <row r="81" spans="1:25" ht="15" customHeight="1">
      <c r="A81" s="359" t="str">
        <f>'Func Future Lines 2015'!A81</f>
        <v>PPS</v>
      </c>
      <c r="B81" s="359" t="str">
        <f>'Func Future Lines 2015'!B81</f>
        <v>421L/422L</v>
      </c>
      <c r="C81" s="359">
        <f>'Func Future Lines 2015'!C81</f>
        <v>813</v>
      </c>
      <c r="D81" s="359">
        <f>'Func Future Lines 2015'!D81</f>
        <v>138</v>
      </c>
      <c r="E81" s="359">
        <f>'Func Future Lines 2015'!E81</f>
        <v>0</v>
      </c>
      <c r="F81" s="359" t="str">
        <f>'Func Future Lines 2015'!F81</f>
        <v>Red_Deer</v>
      </c>
      <c r="G81" s="359">
        <f>'Func Future Lines 2015'!G81</f>
        <v>3903744.023016064</v>
      </c>
      <c r="H81" s="359" t="str">
        <f>'Func Future Lines 2015'!H81</f>
        <v>AltaLink</v>
      </c>
      <c r="I81" s="359">
        <f>'Func Future Lines 2015'!I81</f>
        <v>2017</v>
      </c>
      <c r="J81" s="361">
        <f>+IF($I81=J$3,VLOOKUP($H81,Depreciation!$A$6:$L$10,7,FALSE)/2,IF($I81&lt;J$3,VLOOKUP($H81,Depreciation!$A$6:$L$10,7,FALSE),0))</f>
        <v>0</v>
      </c>
      <c r="K81" s="361">
        <f>+IF($I81=K$3,VLOOKUP($H81,Depreciation!$A$6:$L$10,8,FALSE)/2,IF($I81&lt;K$3,VLOOKUP($H81,Depreciation!$A$6:$L$10,8,FALSE),0))</f>
        <v>0</v>
      </c>
      <c r="L81" s="361">
        <f>+IF($I81=L$3,VLOOKUP($H81,Depreciation!$A$6:$L$10,9,FALSE)/2,IF($I81&lt;L$3,VLOOKUP($H81,Depreciation!$A$6:$L$10,9,FALSE),0))</f>
        <v>1.5338181838063448E-2</v>
      </c>
      <c r="M81" s="361">
        <f>+IF($I81=M$3,VLOOKUP($H81,Depreciation!$A$6:$L$10,10,FALSE)/2,IF($I81&lt;M$3,VLOOKUP($H81,Depreciation!$A$6:$L$10,10,FALSE),0))</f>
        <v>3.0676363676126896E-2</v>
      </c>
      <c r="N81" s="361">
        <f>+IF($I81=N$3,VLOOKUP($H81,Depreciation!$A$6:$L$10,11,FALSE)/2,IF($I81&lt;N$3,VLOOKUP($H81,Depreciation!$A$6:$L$10,11,FALSE),0))</f>
        <v>3.0676363676126896E-2</v>
      </c>
      <c r="O81" s="361">
        <f>+IF($I81=O$3,VLOOKUP($H81,Depreciation!$A$6:$L$10,12,FALSE)/2,IF($I81&lt;O$3,VLOOKUP($H81,Depreciation!$A$6:$L$10,12,FALSE),0))</f>
        <v>3.0676363676126896E-2</v>
      </c>
      <c r="P81" s="362">
        <f t="shared" si="5"/>
        <v>3611653.1516553322</v>
      </c>
      <c r="Q81" s="362">
        <f t="shared" si="6"/>
        <v>0</v>
      </c>
      <c r="R81" s="363">
        <f t="shared" si="7"/>
        <v>3611653.1516553322</v>
      </c>
      <c r="Y81" s="365"/>
    </row>
    <row r="82" spans="1:25" ht="15" customHeight="1">
      <c r="A82" s="359" t="str">
        <f>'Func Future Lines 2015'!A82</f>
        <v>PPS</v>
      </c>
      <c r="B82" s="359" t="str">
        <f>'Func Future Lines 2015'!B82</f>
        <v>421L/422L</v>
      </c>
      <c r="C82" s="359">
        <f>'Func Future Lines 2015'!C82</f>
        <v>813</v>
      </c>
      <c r="D82" s="359">
        <f>'Func Future Lines 2015'!D82</f>
        <v>138</v>
      </c>
      <c r="E82" s="359">
        <f>'Func Future Lines 2015'!E82</f>
        <v>0</v>
      </c>
      <c r="F82" s="359" t="str">
        <f>'Func Future Lines 2015'!F82</f>
        <v>Red_Deer</v>
      </c>
      <c r="G82" s="359">
        <f>'Func Future Lines 2015'!G82</f>
        <v>3860713.3349316716</v>
      </c>
      <c r="H82" s="359" t="str">
        <f>'Func Future Lines 2015'!H82</f>
        <v>AltaLink</v>
      </c>
      <c r="I82" s="359">
        <f>'Func Future Lines 2015'!I82</f>
        <v>2017</v>
      </c>
      <c r="J82" s="361">
        <f>+IF($I82=J$3,VLOOKUP($H82,Depreciation!$A$6:$L$10,7,FALSE)/2,IF($I82&lt;J$3,VLOOKUP($H82,Depreciation!$A$6:$L$10,7,FALSE),0))</f>
        <v>0</v>
      </c>
      <c r="K82" s="361">
        <f>+IF($I82=K$3,VLOOKUP($H82,Depreciation!$A$6:$L$10,8,FALSE)/2,IF($I82&lt;K$3,VLOOKUP($H82,Depreciation!$A$6:$L$10,8,FALSE),0))</f>
        <v>0</v>
      </c>
      <c r="L82" s="361">
        <f>+IF($I82=L$3,VLOOKUP($H82,Depreciation!$A$6:$L$10,9,FALSE)/2,IF($I82&lt;L$3,VLOOKUP($H82,Depreciation!$A$6:$L$10,9,FALSE),0))</f>
        <v>1.5338181838063448E-2</v>
      </c>
      <c r="M82" s="361">
        <f>+IF($I82=M$3,VLOOKUP($H82,Depreciation!$A$6:$L$10,10,FALSE)/2,IF($I82&lt;M$3,VLOOKUP($H82,Depreciation!$A$6:$L$10,10,FALSE),0))</f>
        <v>3.0676363676126896E-2</v>
      </c>
      <c r="N82" s="361">
        <f>+IF($I82=N$3,VLOOKUP($H82,Depreciation!$A$6:$L$10,11,FALSE)/2,IF($I82&lt;N$3,VLOOKUP($H82,Depreciation!$A$6:$L$10,11,FALSE),0))</f>
        <v>3.0676363676126896E-2</v>
      </c>
      <c r="O82" s="361">
        <f>+IF($I82=O$3,VLOOKUP($H82,Depreciation!$A$6:$L$10,12,FALSE)/2,IF($I82&lt;O$3,VLOOKUP($H82,Depreciation!$A$6:$L$10,12,FALSE),0))</f>
        <v>3.0676363676126896E-2</v>
      </c>
      <c r="P82" s="362">
        <f t="shared" si="5"/>
        <v>3571842.1601247396</v>
      </c>
      <c r="Q82" s="362">
        <f t="shared" si="6"/>
        <v>0</v>
      </c>
      <c r="R82" s="363">
        <f t="shared" si="7"/>
        <v>3571842.1601247396</v>
      </c>
      <c r="Y82" s="365"/>
    </row>
    <row r="83" spans="1:25" ht="15" customHeight="1">
      <c r="A83" s="359" t="str">
        <f>'Func Future Lines 2015'!A83</f>
        <v>PPS</v>
      </c>
      <c r="B83" s="359" t="str">
        <f>'Func Future Lines 2015'!B83</f>
        <v>423L</v>
      </c>
      <c r="C83" s="359">
        <f>'Func Future Lines 2015'!C83</f>
        <v>813</v>
      </c>
      <c r="D83" s="359">
        <f>'Func Future Lines 2015'!D83</f>
        <v>138</v>
      </c>
      <c r="E83" s="359">
        <f>'Func Future Lines 2015'!E83</f>
        <v>0</v>
      </c>
      <c r="F83" s="359" t="str">
        <f>'Func Future Lines 2015'!F83</f>
        <v>Red_Deer</v>
      </c>
      <c r="G83" s="359">
        <f>'Func Future Lines 2015'!G83</f>
        <v>27816758.005274519</v>
      </c>
      <c r="H83" s="359" t="str">
        <f>'Func Future Lines 2015'!H83</f>
        <v>AltaLink</v>
      </c>
      <c r="I83" s="359">
        <f>'Func Future Lines 2015'!I83</f>
        <v>2017</v>
      </c>
      <c r="J83" s="361">
        <f>+IF($I83=J$3,VLOOKUP($H83,Depreciation!$A$6:$L$10,7,FALSE)/2,IF($I83&lt;J$3,VLOOKUP($H83,Depreciation!$A$6:$L$10,7,FALSE),0))</f>
        <v>0</v>
      </c>
      <c r="K83" s="361">
        <f>+IF($I83=K$3,VLOOKUP($H83,Depreciation!$A$6:$L$10,8,FALSE)/2,IF($I83&lt;K$3,VLOOKUP($H83,Depreciation!$A$6:$L$10,8,FALSE),0))</f>
        <v>0</v>
      </c>
      <c r="L83" s="361">
        <f>+IF($I83=L$3,VLOOKUP($H83,Depreciation!$A$6:$L$10,9,FALSE)/2,IF($I83&lt;L$3,VLOOKUP($H83,Depreciation!$A$6:$L$10,9,FALSE),0))</f>
        <v>1.5338181838063448E-2</v>
      </c>
      <c r="M83" s="361">
        <f>+IF($I83=M$3,VLOOKUP($H83,Depreciation!$A$6:$L$10,10,FALSE)/2,IF($I83&lt;M$3,VLOOKUP($H83,Depreciation!$A$6:$L$10,10,FALSE),0))</f>
        <v>3.0676363676126896E-2</v>
      </c>
      <c r="N83" s="361">
        <f>+IF($I83=N$3,VLOOKUP($H83,Depreciation!$A$6:$L$10,11,FALSE)/2,IF($I83&lt;N$3,VLOOKUP($H83,Depreciation!$A$6:$L$10,11,FALSE),0))</f>
        <v>3.0676363676126896E-2</v>
      </c>
      <c r="O83" s="361">
        <f>+IF($I83=O$3,VLOOKUP($H83,Depreciation!$A$6:$L$10,12,FALSE)/2,IF($I83&lt;O$3,VLOOKUP($H83,Depreciation!$A$6:$L$10,12,FALSE),0))</f>
        <v>3.0676363676126896E-2</v>
      </c>
      <c r="P83" s="362">
        <f t="shared" si="5"/>
        <v>25735417.365036078</v>
      </c>
      <c r="Q83" s="362">
        <f t="shared" si="6"/>
        <v>0</v>
      </c>
      <c r="R83" s="363">
        <f t="shared" si="7"/>
        <v>25735417.365036078</v>
      </c>
      <c r="Y83" s="365"/>
    </row>
    <row r="84" spans="1:25" ht="15" customHeight="1">
      <c r="A84" s="359" t="str">
        <f>'Func Future Lines 2015'!A84</f>
        <v>PPS</v>
      </c>
      <c r="B84" s="359" t="str">
        <f>'Func Future Lines 2015'!B84</f>
        <v>423L/784L shared route</v>
      </c>
      <c r="C84" s="359">
        <f>'Func Future Lines 2015'!C84</f>
        <v>813</v>
      </c>
      <c r="D84" s="359">
        <f>'Func Future Lines 2015'!D84</f>
        <v>138</v>
      </c>
      <c r="E84" s="359">
        <f>'Func Future Lines 2015'!E84</f>
        <v>0</v>
      </c>
      <c r="F84" s="359" t="str">
        <f>'Func Future Lines 2015'!F84</f>
        <v>Red_Deer</v>
      </c>
      <c r="G84" s="359">
        <f>'Func Future Lines 2015'!G84</f>
        <v>2516434.6391752581</v>
      </c>
      <c r="H84" s="359" t="str">
        <f>'Func Future Lines 2015'!H84</f>
        <v>AltaLink</v>
      </c>
      <c r="I84" s="359">
        <f>'Func Future Lines 2015'!I84</f>
        <v>2017</v>
      </c>
      <c r="J84" s="361">
        <f>+IF($I84=J$3,VLOOKUP($H84,Depreciation!$A$6:$L$10,7,FALSE)/2,IF($I84&lt;J$3,VLOOKUP($H84,Depreciation!$A$6:$L$10,7,FALSE),0))</f>
        <v>0</v>
      </c>
      <c r="K84" s="361">
        <f>+IF($I84=K$3,VLOOKUP($H84,Depreciation!$A$6:$L$10,8,FALSE)/2,IF($I84&lt;K$3,VLOOKUP($H84,Depreciation!$A$6:$L$10,8,FALSE),0))</f>
        <v>0</v>
      </c>
      <c r="L84" s="361">
        <f>+IF($I84=L$3,VLOOKUP($H84,Depreciation!$A$6:$L$10,9,FALSE)/2,IF($I84&lt;L$3,VLOOKUP($H84,Depreciation!$A$6:$L$10,9,FALSE),0))</f>
        <v>1.5338181838063448E-2</v>
      </c>
      <c r="M84" s="361">
        <f>+IF($I84=M$3,VLOOKUP($H84,Depreciation!$A$6:$L$10,10,FALSE)/2,IF($I84&lt;M$3,VLOOKUP($H84,Depreciation!$A$6:$L$10,10,FALSE),0))</f>
        <v>3.0676363676126896E-2</v>
      </c>
      <c r="N84" s="361">
        <f>+IF($I84=N$3,VLOOKUP($H84,Depreciation!$A$6:$L$10,11,FALSE)/2,IF($I84&lt;N$3,VLOOKUP($H84,Depreciation!$A$6:$L$10,11,FALSE),0))</f>
        <v>3.0676363676126896E-2</v>
      </c>
      <c r="O84" s="361">
        <f>+IF($I84=O$3,VLOOKUP($H84,Depreciation!$A$6:$L$10,12,FALSE)/2,IF($I84&lt;O$3,VLOOKUP($H84,Depreciation!$A$6:$L$10,12,FALSE),0))</f>
        <v>3.0676363676126896E-2</v>
      </c>
      <c r="P84" s="362">
        <f t="shared" si="5"/>
        <v>2328146.7847090368</v>
      </c>
      <c r="Q84" s="362">
        <f t="shared" si="6"/>
        <v>0</v>
      </c>
      <c r="R84" s="363">
        <f t="shared" si="7"/>
        <v>2328146.7847090368</v>
      </c>
      <c r="Y84" s="365"/>
    </row>
    <row r="85" spans="1:25" ht="15" customHeight="1">
      <c r="A85" s="359" t="str">
        <f>'Func Future Lines 2015'!A85</f>
        <v>PPS</v>
      </c>
      <c r="B85" s="359" t="str">
        <f>'Func Future Lines 2015'!B85</f>
        <v>423L/80AL shared route</v>
      </c>
      <c r="C85" s="359">
        <f>'Func Future Lines 2015'!C85</f>
        <v>813</v>
      </c>
      <c r="D85" s="359">
        <f>'Func Future Lines 2015'!D85</f>
        <v>138</v>
      </c>
      <c r="E85" s="359">
        <f>'Func Future Lines 2015'!E85</f>
        <v>0</v>
      </c>
      <c r="F85" s="359" t="str">
        <f>'Func Future Lines 2015'!F85</f>
        <v>Red_Deer</v>
      </c>
      <c r="G85" s="359">
        <f>'Func Future Lines 2015'!G85</f>
        <v>2922644.3346919208</v>
      </c>
      <c r="H85" s="359" t="str">
        <f>'Func Future Lines 2015'!H85</f>
        <v>AltaLink</v>
      </c>
      <c r="I85" s="359">
        <f>'Func Future Lines 2015'!I85</f>
        <v>2017</v>
      </c>
      <c r="J85" s="361">
        <f>+IF($I85=J$3,VLOOKUP($H85,Depreciation!$A$6:$L$10,7,FALSE)/2,IF($I85&lt;J$3,VLOOKUP($H85,Depreciation!$A$6:$L$10,7,FALSE),0))</f>
        <v>0</v>
      </c>
      <c r="K85" s="361">
        <f>+IF($I85=K$3,VLOOKUP($H85,Depreciation!$A$6:$L$10,8,FALSE)/2,IF($I85&lt;K$3,VLOOKUP($H85,Depreciation!$A$6:$L$10,8,FALSE),0))</f>
        <v>0</v>
      </c>
      <c r="L85" s="361">
        <f>+IF($I85=L$3,VLOOKUP($H85,Depreciation!$A$6:$L$10,9,FALSE)/2,IF($I85&lt;L$3,VLOOKUP($H85,Depreciation!$A$6:$L$10,9,FALSE),0))</f>
        <v>1.5338181838063448E-2</v>
      </c>
      <c r="M85" s="361">
        <f>+IF($I85=M$3,VLOOKUP($H85,Depreciation!$A$6:$L$10,10,FALSE)/2,IF($I85&lt;M$3,VLOOKUP($H85,Depreciation!$A$6:$L$10,10,FALSE),0))</f>
        <v>3.0676363676126896E-2</v>
      </c>
      <c r="N85" s="361">
        <f>+IF($I85=N$3,VLOOKUP($H85,Depreciation!$A$6:$L$10,11,FALSE)/2,IF($I85&lt;N$3,VLOOKUP($H85,Depreciation!$A$6:$L$10,11,FALSE),0))</f>
        <v>3.0676363676126896E-2</v>
      </c>
      <c r="O85" s="361">
        <f>+IF($I85=O$3,VLOOKUP($H85,Depreciation!$A$6:$L$10,12,FALSE)/2,IF($I85&lt;O$3,VLOOKUP($H85,Depreciation!$A$6:$L$10,12,FALSE),0))</f>
        <v>3.0676363676126896E-2</v>
      </c>
      <c r="P85" s="362">
        <f t="shared" si="5"/>
        <v>2703962.5447578286</v>
      </c>
      <c r="Q85" s="362">
        <f t="shared" si="6"/>
        <v>0</v>
      </c>
      <c r="R85" s="363">
        <f t="shared" si="7"/>
        <v>2703962.5447578286</v>
      </c>
      <c r="Y85" s="365"/>
    </row>
    <row r="86" spans="1:25" ht="15" customHeight="1">
      <c r="A86" s="359" t="str">
        <f>'Func Future Lines 2015'!A86</f>
        <v>PPS</v>
      </c>
      <c r="B86" s="359" t="str">
        <f>'Func Future Lines 2015'!B86</f>
        <v>444L</v>
      </c>
      <c r="C86" s="359">
        <f>'Func Future Lines 2015'!C86</f>
        <v>813</v>
      </c>
      <c r="D86" s="359">
        <f>'Func Future Lines 2015'!D86</f>
        <v>138</v>
      </c>
      <c r="E86" s="359">
        <f>'Func Future Lines 2015'!E86</f>
        <v>0</v>
      </c>
      <c r="F86" s="359" t="str">
        <f>'Func Future Lines 2015'!F86</f>
        <v>Red_Deer</v>
      </c>
      <c r="G86" s="359">
        <f>'Func Future Lines 2015'!G86</f>
        <v>246135.53584272359</v>
      </c>
      <c r="H86" s="359" t="str">
        <f>'Func Future Lines 2015'!H86</f>
        <v>AltaLink</v>
      </c>
      <c r="I86" s="359">
        <f>'Func Future Lines 2015'!I86</f>
        <v>2017</v>
      </c>
      <c r="J86" s="361">
        <f>+IF($I86=J$3,VLOOKUP($H86,Depreciation!$A$6:$L$10,7,FALSE)/2,IF($I86&lt;J$3,VLOOKUP($H86,Depreciation!$A$6:$L$10,7,FALSE),0))</f>
        <v>0</v>
      </c>
      <c r="K86" s="361">
        <f>+IF($I86=K$3,VLOOKUP($H86,Depreciation!$A$6:$L$10,8,FALSE)/2,IF($I86&lt;K$3,VLOOKUP($H86,Depreciation!$A$6:$L$10,8,FALSE),0))</f>
        <v>0</v>
      </c>
      <c r="L86" s="361">
        <f>+IF($I86=L$3,VLOOKUP($H86,Depreciation!$A$6:$L$10,9,FALSE)/2,IF($I86&lt;L$3,VLOOKUP($H86,Depreciation!$A$6:$L$10,9,FALSE),0))</f>
        <v>1.5338181838063448E-2</v>
      </c>
      <c r="M86" s="361">
        <f>+IF($I86=M$3,VLOOKUP($H86,Depreciation!$A$6:$L$10,10,FALSE)/2,IF($I86&lt;M$3,VLOOKUP($H86,Depreciation!$A$6:$L$10,10,FALSE),0))</f>
        <v>3.0676363676126896E-2</v>
      </c>
      <c r="N86" s="361">
        <f>+IF($I86=N$3,VLOOKUP($H86,Depreciation!$A$6:$L$10,11,FALSE)/2,IF($I86&lt;N$3,VLOOKUP($H86,Depreciation!$A$6:$L$10,11,FALSE),0))</f>
        <v>3.0676363676126896E-2</v>
      </c>
      <c r="O86" s="361">
        <f>+IF($I86=O$3,VLOOKUP($H86,Depreciation!$A$6:$L$10,12,FALSE)/2,IF($I86&lt;O$3,VLOOKUP($H86,Depreciation!$A$6:$L$10,12,FALSE),0))</f>
        <v>3.0676363676126896E-2</v>
      </c>
      <c r="P86" s="362">
        <f t="shared" si="5"/>
        <v>227718.87155498785</v>
      </c>
      <c r="Q86" s="362">
        <f t="shared" si="6"/>
        <v>0</v>
      </c>
      <c r="R86" s="363">
        <f t="shared" si="7"/>
        <v>227718.87155498785</v>
      </c>
      <c r="Y86" s="365"/>
    </row>
    <row r="87" spans="1:25" ht="15" customHeight="1">
      <c r="A87" s="359" t="str">
        <f>'Func Future Lines 2015'!A87</f>
        <v>PPS</v>
      </c>
      <c r="B87" s="359" t="str">
        <f>'Func Future Lines 2015'!B87</f>
        <v>637L</v>
      </c>
      <c r="C87" s="359">
        <f>'Func Future Lines 2015'!C87</f>
        <v>813</v>
      </c>
      <c r="D87" s="359">
        <f>'Func Future Lines 2015'!D87</f>
        <v>138</v>
      </c>
      <c r="E87" s="359">
        <f>'Func Future Lines 2015'!E87</f>
        <v>0</v>
      </c>
      <c r="F87" s="359" t="str">
        <f>'Func Future Lines 2015'!F87</f>
        <v>Red_Deer</v>
      </c>
      <c r="G87" s="359">
        <f>'Func Future Lines 2015'!G87</f>
        <v>17472564.238193929</v>
      </c>
      <c r="H87" s="359" t="str">
        <f>'Func Future Lines 2015'!H87</f>
        <v>AltaLink</v>
      </c>
      <c r="I87" s="359">
        <f>'Func Future Lines 2015'!I87</f>
        <v>2017</v>
      </c>
      <c r="J87" s="361">
        <f>+IF($I87=J$3,VLOOKUP($H87,Depreciation!$A$6:$L$10,7,FALSE)/2,IF($I87&lt;J$3,VLOOKUP($H87,Depreciation!$A$6:$L$10,7,FALSE),0))</f>
        <v>0</v>
      </c>
      <c r="K87" s="361">
        <f>+IF($I87=K$3,VLOOKUP($H87,Depreciation!$A$6:$L$10,8,FALSE)/2,IF($I87&lt;K$3,VLOOKUP($H87,Depreciation!$A$6:$L$10,8,FALSE),0))</f>
        <v>0</v>
      </c>
      <c r="L87" s="361">
        <f>+IF($I87=L$3,VLOOKUP($H87,Depreciation!$A$6:$L$10,9,FALSE)/2,IF($I87&lt;L$3,VLOOKUP($H87,Depreciation!$A$6:$L$10,9,FALSE),0))</f>
        <v>1.5338181838063448E-2</v>
      </c>
      <c r="M87" s="361">
        <f>+IF($I87=M$3,VLOOKUP($H87,Depreciation!$A$6:$L$10,10,FALSE)/2,IF($I87&lt;M$3,VLOOKUP($H87,Depreciation!$A$6:$L$10,10,FALSE),0))</f>
        <v>3.0676363676126896E-2</v>
      </c>
      <c r="N87" s="361">
        <f>+IF($I87=N$3,VLOOKUP($H87,Depreciation!$A$6:$L$10,11,FALSE)/2,IF($I87&lt;N$3,VLOOKUP($H87,Depreciation!$A$6:$L$10,11,FALSE),0))</f>
        <v>3.0676363676126896E-2</v>
      </c>
      <c r="O87" s="361">
        <f>+IF($I87=O$3,VLOOKUP($H87,Depreciation!$A$6:$L$10,12,FALSE)/2,IF($I87&lt;O$3,VLOOKUP($H87,Depreciation!$A$6:$L$10,12,FALSE),0))</f>
        <v>3.0676363676126896E-2</v>
      </c>
      <c r="P87" s="362">
        <f t="shared" si="5"/>
        <v>16165209.943662761</v>
      </c>
      <c r="Q87" s="362">
        <f t="shared" si="6"/>
        <v>0</v>
      </c>
      <c r="R87" s="363">
        <f t="shared" si="7"/>
        <v>16165209.943662761</v>
      </c>
      <c r="Y87" s="365"/>
    </row>
    <row r="88" spans="1:25" ht="15" customHeight="1">
      <c r="A88" s="359" t="str">
        <f>'Func Future Lines 2015'!A88</f>
        <v>PPS</v>
      </c>
      <c r="B88" s="359" t="str">
        <f>'Func Future Lines 2015'!B88</f>
        <v>648L</v>
      </c>
      <c r="C88" s="359">
        <f>'Func Future Lines 2015'!C88</f>
        <v>813</v>
      </c>
      <c r="D88" s="359">
        <f>'Func Future Lines 2015'!D88</f>
        <v>138</v>
      </c>
      <c r="E88" s="359">
        <f>'Func Future Lines 2015'!E88</f>
        <v>0</v>
      </c>
      <c r="F88" s="359" t="str">
        <f>'Func Future Lines 2015'!F88</f>
        <v>Red_Deer</v>
      </c>
      <c r="G88" s="359">
        <f>'Func Future Lines 2015'!G88</f>
        <v>16434659.559384897</v>
      </c>
      <c r="H88" s="359" t="str">
        <f>'Func Future Lines 2015'!H88</f>
        <v>AltaLink</v>
      </c>
      <c r="I88" s="359">
        <f>'Func Future Lines 2015'!I88</f>
        <v>2017</v>
      </c>
      <c r="J88" s="361">
        <f>+IF($I88=J$3,VLOOKUP($H88,Depreciation!$A$6:$L$10,7,FALSE)/2,IF($I88&lt;J$3,VLOOKUP($H88,Depreciation!$A$6:$L$10,7,FALSE),0))</f>
        <v>0</v>
      </c>
      <c r="K88" s="361">
        <f>+IF($I88=K$3,VLOOKUP($H88,Depreciation!$A$6:$L$10,8,FALSE)/2,IF($I88&lt;K$3,VLOOKUP($H88,Depreciation!$A$6:$L$10,8,FALSE),0))</f>
        <v>0</v>
      </c>
      <c r="L88" s="361">
        <f>+IF($I88=L$3,VLOOKUP($H88,Depreciation!$A$6:$L$10,9,FALSE)/2,IF($I88&lt;L$3,VLOOKUP($H88,Depreciation!$A$6:$L$10,9,FALSE),0))</f>
        <v>1.5338181838063448E-2</v>
      </c>
      <c r="M88" s="361">
        <f>+IF($I88=M$3,VLOOKUP($H88,Depreciation!$A$6:$L$10,10,FALSE)/2,IF($I88&lt;M$3,VLOOKUP($H88,Depreciation!$A$6:$L$10,10,FALSE),0))</f>
        <v>3.0676363676126896E-2</v>
      </c>
      <c r="N88" s="361">
        <f>+IF($I88=N$3,VLOOKUP($H88,Depreciation!$A$6:$L$10,11,FALSE)/2,IF($I88&lt;N$3,VLOOKUP($H88,Depreciation!$A$6:$L$10,11,FALSE),0))</f>
        <v>3.0676363676126896E-2</v>
      </c>
      <c r="O88" s="361">
        <f>+IF($I88=O$3,VLOOKUP($H88,Depreciation!$A$6:$L$10,12,FALSE)/2,IF($I88&lt;O$3,VLOOKUP($H88,Depreciation!$A$6:$L$10,12,FALSE),0))</f>
        <v>3.0676363676126896E-2</v>
      </c>
      <c r="P88" s="362">
        <f t="shared" si="5"/>
        <v>15204964.681105232</v>
      </c>
      <c r="Q88" s="362">
        <f t="shared" si="6"/>
        <v>0</v>
      </c>
      <c r="R88" s="363">
        <f t="shared" si="7"/>
        <v>15204964.681105232</v>
      </c>
      <c r="Y88" s="365"/>
    </row>
    <row r="89" spans="1:25" ht="15" customHeight="1">
      <c r="A89" s="359" t="str">
        <f>'Func Future Lines 2015'!A89</f>
        <v>PPS</v>
      </c>
      <c r="B89" s="359" t="str">
        <f>'Func Future Lines 2015'!B89</f>
        <v>755L (427L) d/c section</v>
      </c>
      <c r="C89" s="359">
        <f>'Func Future Lines 2015'!C89</f>
        <v>813</v>
      </c>
      <c r="D89" s="359">
        <f>'Func Future Lines 2015'!D89</f>
        <v>240</v>
      </c>
      <c r="E89" s="359">
        <f>'Func Future Lines 2015'!E89</f>
        <v>0</v>
      </c>
      <c r="F89" s="359" t="str">
        <f>'Func Future Lines 2015'!F89</f>
        <v>Red_Deer</v>
      </c>
      <c r="G89" s="359">
        <f>'Func Future Lines 2015'!G89</f>
        <v>22442935.461882446</v>
      </c>
      <c r="H89" s="359" t="str">
        <f>'Func Future Lines 2015'!H89</f>
        <v>AltaLink</v>
      </c>
      <c r="I89" s="359">
        <f>'Func Future Lines 2015'!I89</f>
        <v>2017</v>
      </c>
      <c r="J89" s="361">
        <f>+IF($I89=J$3,VLOOKUP($H89,Depreciation!$A$6:$L$10,7,FALSE)/2,IF($I89&lt;J$3,VLOOKUP($H89,Depreciation!$A$6:$L$10,7,FALSE),0))</f>
        <v>0</v>
      </c>
      <c r="K89" s="361">
        <f>+IF($I89=K$3,VLOOKUP($H89,Depreciation!$A$6:$L$10,8,FALSE)/2,IF($I89&lt;K$3,VLOOKUP($H89,Depreciation!$A$6:$L$10,8,FALSE),0))</f>
        <v>0</v>
      </c>
      <c r="L89" s="361">
        <f>+IF($I89=L$3,VLOOKUP($H89,Depreciation!$A$6:$L$10,9,FALSE)/2,IF($I89&lt;L$3,VLOOKUP($H89,Depreciation!$A$6:$L$10,9,FALSE),0))</f>
        <v>1.5338181838063448E-2</v>
      </c>
      <c r="M89" s="361">
        <f>+IF($I89=M$3,VLOOKUP($H89,Depreciation!$A$6:$L$10,10,FALSE)/2,IF($I89&lt;M$3,VLOOKUP($H89,Depreciation!$A$6:$L$10,10,FALSE),0))</f>
        <v>3.0676363676126896E-2</v>
      </c>
      <c r="N89" s="361">
        <f>+IF($I89=N$3,VLOOKUP($H89,Depreciation!$A$6:$L$10,11,FALSE)/2,IF($I89&lt;N$3,VLOOKUP($H89,Depreciation!$A$6:$L$10,11,FALSE),0))</f>
        <v>3.0676363676126896E-2</v>
      </c>
      <c r="O89" s="361">
        <f>+IF($I89=O$3,VLOOKUP($H89,Depreciation!$A$6:$L$10,12,FALSE)/2,IF($I89&lt;O$3,VLOOKUP($H89,Depreciation!$A$6:$L$10,12,FALSE),0))</f>
        <v>3.0676363676126896E-2</v>
      </c>
      <c r="P89" s="362">
        <f t="shared" si="5"/>
        <v>20763681.766890127</v>
      </c>
      <c r="Q89" s="362">
        <f t="shared" si="6"/>
        <v>20763681.766890127</v>
      </c>
      <c r="R89" s="363">
        <f t="shared" si="7"/>
        <v>0</v>
      </c>
      <c r="Y89" s="365"/>
    </row>
    <row r="90" spans="1:25" ht="15" customHeight="1">
      <c r="A90" s="359" t="str">
        <f>'Func Future Lines 2015'!A90</f>
        <v>PPS</v>
      </c>
      <c r="B90" s="359" t="str">
        <f>'Func Future Lines 2015'!B90</f>
        <v>755L d/c monopole section</v>
      </c>
      <c r="C90" s="359">
        <f>'Func Future Lines 2015'!C90</f>
        <v>813</v>
      </c>
      <c r="D90" s="359">
        <f>'Func Future Lines 2015'!D90</f>
        <v>240</v>
      </c>
      <c r="E90" s="359">
        <f>'Func Future Lines 2015'!E90</f>
        <v>0</v>
      </c>
      <c r="F90" s="359" t="str">
        <f>'Func Future Lines 2015'!F90</f>
        <v>Red_Deer</v>
      </c>
      <c r="G90" s="359">
        <f>'Func Future Lines 2015'!G90</f>
        <v>37092819.745882899</v>
      </c>
      <c r="H90" s="359" t="str">
        <f>'Func Future Lines 2015'!H90</f>
        <v>AltaLink</v>
      </c>
      <c r="I90" s="359">
        <f>'Func Future Lines 2015'!I90</f>
        <v>2017</v>
      </c>
      <c r="J90" s="361">
        <f>+IF($I90=J$3,VLOOKUP($H90,Depreciation!$A$6:$L$10,7,FALSE)/2,IF($I90&lt;J$3,VLOOKUP($H90,Depreciation!$A$6:$L$10,7,FALSE),0))</f>
        <v>0</v>
      </c>
      <c r="K90" s="361">
        <f>+IF($I90=K$3,VLOOKUP($H90,Depreciation!$A$6:$L$10,8,FALSE)/2,IF($I90&lt;K$3,VLOOKUP($H90,Depreciation!$A$6:$L$10,8,FALSE),0))</f>
        <v>0</v>
      </c>
      <c r="L90" s="361">
        <f>+IF($I90=L$3,VLOOKUP($H90,Depreciation!$A$6:$L$10,9,FALSE)/2,IF($I90&lt;L$3,VLOOKUP($H90,Depreciation!$A$6:$L$10,9,FALSE),0))</f>
        <v>1.5338181838063448E-2</v>
      </c>
      <c r="M90" s="361">
        <f>+IF($I90=M$3,VLOOKUP($H90,Depreciation!$A$6:$L$10,10,FALSE)/2,IF($I90&lt;M$3,VLOOKUP($H90,Depreciation!$A$6:$L$10,10,FALSE),0))</f>
        <v>3.0676363676126896E-2</v>
      </c>
      <c r="N90" s="361">
        <f>+IF($I90=N$3,VLOOKUP($H90,Depreciation!$A$6:$L$10,11,FALSE)/2,IF($I90&lt;N$3,VLOOKUP($H90,Depreciation!$A$6:$L$10,11,FALSE),0))</f>
        <v>3.0676363676126896E-2</v>
      </c>
      <c r="O90" s="361">
        <f>+IF($I90=O$3,VLOOKUP($H90,Depreciation!$A$6:$L$10,12,FALSE)/2,IF($I90&lt;O$3,VLOOKUP($H90,Depreciation!$A$6:$L$10,12,FALSE),0))</f>
        <v>3.0676363676126896E-2</v>
      </c>
      <c r="P90" s="362">
        <f t="shared" si="5"/>
        <v>34317413.885016367</v>
      </c>
      <c r="Q90" s="362">
        <f t="shared" si="6"/>
        <v>34317413.885016367</v>
      </c>
      <c r="R90" s="363">
        <f t="shared" si="7"/>
        <v>0</v>
      </c>
      <c r="Y90" s="365"/>
    </row>
    <row r="91" spans="1:25" ht="15" customHeight="1">
      <c r="A91" s="359" t="str">
        <f>'Func Future Lines 2015'!A91</f>
        <v>FINAL</v>
      </c>
      <c r="B91" s="359" t="str">
        <f>'Func Future Lines 2015'!B91</f>
        <v>768L/778L</v>
      </c>
      <c r="C91" s="359">
        <f>'Func Future Lines 2015'!C91</f>
        <v>813</v>
      </c>
      <c r="D91" s="359">
        <f>'Func Future Lines 2015'!D91</f>
        <v>138</v>
      </c>
      <c r="E91" s="359">
        <f>'Func Future Lines 2015'!E91</f>
        <v>0</v>
      </c>
      <c r="F91" s="359" t="str">
        <f>'Func Future Lines 2015'!F91</f>
        <v>Red_Deer</v>
      </c>
      <c r="G91" s="359">
        <f>'Func Future Lines 2015'!G91</f>
        <v>1301580.81090504</v>
      </c>
      <c r="H91" s="359" t="str">
        <f>'Func Future Lines 2015'!H91</f>
        <v>AltaLink</v>
      </c>
      <c r="I91" s="359">
        <f>'Func Future Lines 2015'!I91</f>
        <v>2017</v>
      </c>
      <c r="J91" s="361">
        <f>+IF($I91=J$3,VLOOKUP($H91,Depreciation!$A$6:$L$10,7,FALSE)/2,IF($I91&lt;J$3,VLOOKUP($H91,Depreciation!$A$6:$L$10,7,FALSE),0))</f>
        <v>0</v>
      </c>
      <c r="K91" s="361">
        <f>+IF($I91=K$3,VLOOKUP($H91,Depreciation!$A$6:$L$10,8,FALSE)/2,IF($I91&lt;K$3,VLOOKUP($H91,Depreciation!$A$6:$L$10,8,FALSE),0))</f>
        <v>0</v>
      </c>
      <c r="L91" s="361">
        <f>+IF($I91=L$3,VLOOKUP($H91,Depreciation!$A$6:$L$10,9,FALSE)/2,IF($I91&lt;L$3,VLOOKUP($H91,Depreciation!$A$6:$L$10,9,FALSE),0))</f>
        <v>1.5338181838063448E-2</v>
      </c>
      <c r="M91" s="361">
        <f>+IF($I91=M$3,VLOOKUP($H91,Depreciation!$A$6:$L$10,10,FALSE)/2,IF($I91&lt;M$3,VLOOKUP($H91,Depreciation!$A$6:$L$10,10,FALSE),0))</f>
        <v>3.0676363676126896E-2</v>
      </c>
      <c r="N91" s="361">
        <f>+IF($I91=N$3,VLOOKUP($H91,Depreciation!$A$6:$L$10,11,FALSE)/2,IF($I91&lt;N$3,VLOOKUP($H91,Depreciation!$A$6:$L$10,11,FALSE),0))</f>
        <v>3.0676363676126896E-2</v>
      </c>
      <c r="O91" s="361">
        <f>+IF($I91=O$3,VLOOKUP($H91,Depreciation!$A$6:$L$10,12,FALSE)/2,IF($I91&lt;O$3,VLOOKUP($H91,Depreciation!$A$6:$L$10,12,FALSE),0))</f>
        <v>3.0676363676126896E-2</v>
      </c>
      <c r="P91" s="362">
        <f t="shared" si="5"/>
        <v>1204192.2856938173</v>
      </c>
      <c r="Q91" s="362">
        <f t="shared" si="6"/>
        <v>0</v>
      </c>
      <c r="R91" s="363">
        <f t="shared" si="7"/>
        <v>1204192.2856938173</v>
      </c>
      <c r="Y91" s="365"/>
    </row>
    <row r="92" spans="1:25" ht="15" customHeight="1">
      <c r="A92" s="359" t="str">
        <f>'Func Future Lines 2015'!A92</f>
        <v>FINAL</v>
      </c>
      <c r="B92" s="359" t="str">
        <f>'Func Future Lines 2015'!B92</f>
        <v>80L</v>
      </c>
      <c r="C92" s="359">
        <f>'Func Future Lines 2015'!C92</f>
        <v>813</v>
      </c>
      <c r="D92" s="359">
        <f>'Func Future Lines 2015'!D92</f>
        <v>138</v>
      </c>
      <c r="E92" s="359">
        <f>'Func Future Lines 2015'!E92</f>
        <v>0</v>
      </c>
      <c r="F92" s="359" t="str">
        <f>'Func Future Lines 2015'!F92</f>
        <v>Red_Deer</v>
      </c>
      <c r="G92" s="359">
        <f>'Func Future Lines 2015'!G92</f>
        <v>629225.31498373614</v>
      </c>
      <c r="H92" s="359" t="str">
        <f>'Func Future Lines 2015'!H92</f>
        <v>AltaLink</v>
      </c>
      <c r="I92" s="359">
        <f>'Func Future Lines 2015'!I92</f>
        <v>2017</v>
      </c>
      <c r="J92" s="361">
        <f>+IF($I92=J$3,VLOOKUP($H92,Depreciation!$A$6:$L$10,7,FALSE)/2,IF($I92&lt;J$3,VLOOKUP($H92,Depreciation!$A$6:$L$10,7,FALSE),0))</f>
        <v>0</v>
      </c>
      <c r="K92" s="361">
        <f>+IF($I92=K$3,VLOOKUP($H92,Depreciation!$A$6:$L$10,8,FALSE)/2,IF($I92&lt;K$3,VLOOKUP($H92,Depreciation!$A$6:$L$10,8,FALSE),0))</f>
        <v>0</v>
      </c>
      <c r="L92" s="361">
        <f>+IF($I92=L$3,VLOOKUP($H92,Depreciation!$A$6:$L$10,9,FALSE)/2,IF($I92&lt;L$3,VLOOKUP($H92,Depreciation!$A$6:$L$10,9,FALSE),0))</f>
        <v>1.5338181838063448E-2</v>
      </c>
      <c r="M92" s="361">
        <f>+IF($I92=M$3,VLOOKUP($H92,Depreciation!$A$6:$L$10,10,FALSE)/2,IF($I92&lt;M$3,VLOOKUP($H92,Depreciation!$A$6:$L$10,10,FALSE),0))</f>
        <v>3.0676363676126896E-2</v>
      </c>
      <c r="N92" s="361">
        <f>+IF($I92=N$3,VLOOKUP($H92,Depreciation!$A$6:$L$10,11,FALSE)/2,IF($I92&lt;N$3,VLOOKUP($H92,Depreciation!$A$6:$L$10,11,FALSE),0))</f>
        <v>3.0676363676126896E-2</v>
      </c>
      <c r="O92" s="361">
        <f>+IF($I92=O$3,VLOOKUP($H92,Depreciation!$A$6:$L$10,12,FALSE)/2,IF($I92&lt;O$3,VLOOKUP($H92,Depreciation!$A$6:$L$10,12,FALSE),0))</f>
        <v>3.0676363676126896E-2</v>
      </c>
      <c r="P92" s="362">
        <f t="shared" si="5"/>
        <v>582144.62284505647</v>
      </c>
      <c r="Q92" s="362">
        <f t="shared" si="6"/>
        <v>0</v>
      </c>
      <c r="R92" s="363">
        <f t="shared" si="7"/>
        <v>582144.62284505647</v>
      </c>
      <c r="Y92" s="365"/>
    </row>
    <row r="93" spans="1:25" ht="15" customHeight="1">
      <c r="A93" s="359" t="str">
        <f>'Func Future Lines 2015'!A93</f>
        <v>PPS</v>
      </c>
      <c r="B93" s="359" t="str">
        <f>'Func Future Lines 2015'!B93</f>
        <v>80L (GD)</v>
      </c>
      <c r="C93" s="359">
        <f>'Func Future Lines 2015'!C93</f>
        <v>813</v>
      </c>
      <c r="D93" s="359">
        <f>'Func Future Lines 2015'!D93</f>
        <v>138</v>
      </c>
      <c r="E93" s="359">
        <f>'Func Future Lines 2015'!E93</f>
        <v>0</v>
      </c>
      <c r="F93" s="359" t="str">
        <f>'Func Future Lines 2015'!F93</f>
        <v>Red_Deer</v>
      </c>
      <c r="G93" s="359">
        <f>'Func Future Lines 2015'!G93</f>
        <v>442355.47350755217</v>
      </c>
      <c r="H93" s="359" t="str">
        <f>'Func Future Lines 2015'!H93</f>
        <v>AltaLink</v>
      </c>
      <c r="I93" s="359">
        <f>'Func Future Lines 2015'!I93</f>
        <v>2017</v>
      </c>
      <c r="J93" s="361">
        <f>+IF($I93=J$3,VLOOKUP($H93,Depreciation!$A$6:$L$10,7,FALSE)/2,IF($I93&lt;J$3,VLOOKUP($H93,Depreciation!$A$6:$L$10,7,FALSE),0))</f>
        <v>0</v>
      </c>
      <c r="K93" s="361">
        <f>+IF($I93=K$3,VLOOKUP($H93,Depreciation!$A$6:$L$10,8,FALSE)/2,IF($I93&lt;K$3,VLOOKUP($H93,Depreciation!$A$6:$L$10,8,FALSE),0))</f>
        <v>0</v>
      </c>
      <c r="L93" s="361">
        <f>+IF($I93=L$3,VLOOKUP($H93,Depreciation!$A$6:$L$10,9,FALSE)/2,IF($I93&lt;L$3,VLOOKUP($H93,Depreciation!$A$6:$L$10,9,FALSE),0))</f>
        <v>1.5338181838063448E-2</v>
      </c>
      <c r="M93" s="361">
        <f>+IF($I93=M$3,VLOOKUP($H93,Depreciation!$A$6:$L$10,10,FALSE)/2,IF($I93&lt;M$3,VLOOKUP($H93,Depreciation!$A$6:$L$10,10,FALSE),0))</f>
        <v>3.0676363676126896E-2</v>
      </c>
      <c r="N93" s="361">
        <f>+IF($I93=N$3,VLOOKUP($H93,Depreciation!$A$6:$L$10,11,FALSE)/2,IF($I93&lt;N$3,VLOOKUP($H93,Depreciation!$A$6:$L$10,11,FALSE),0))</f>
        <v>3.0676363676126896E-2</v>
      </c>
      <c r="O93" s="361">
        <f>+IF($I93=O$3,VLOOKUP($H93,Depreciation!$A$6:$L$10,12,FALSE)/2,IF($I93&lt;O$3,VLOOKUP($H93,Depreciation!$A$6:$L$10,12,FALSE),0))</f>
        <v>3.0676363676126896E-2</v>
      </c>
      <c r="P93" s="362">
        <f t="shared" si="5"/>
        <v>409256.99293448863</v>
      </c>
      <c r="Q93" s="362">
        <f t="shared" si="6"/>
        <v>0</v>
      </c>
      <c r="R93" s="363">
        <f t="shared" si="7"/>
        <v>409256.99293448863</v>
      </c>
      <c r="Y93" s="365"/>
    </row>
    <row r="94" spans="1:25" ht="15" customHeight="1">
      <c r="A94" s="359" t="str">
        <f>'Func Future Lines 2015'!A94</f>
        <v>PPS</v>
      </c>
      <c r="B94" s="359" t="str">
        <f>'Func Future Lines 2015'!B94</f>
        <v>80L North (425L)</v>
      </c>
      <c r="C94" s="359">
        <f>'Func Future Lines 2015'!C94</f>
        <v>813</v>
      </c>
      <c r="D94" s="359">
        <f>'Func Future Lines 2015'!D94</f>
        <v>138</v>
      </c>
      <c r="E94" s="359">
        <f>'Func Future Lines 2015'!E94</f>
        <v>0</v>
      </c>
      <c r="F94" s="359" t="str">
        <f>'Func Future Lines 2015'!F94</f>
        <v>Red_Deer</v>
      </c>
      <c r="G94" s="359">
        <f>'Func Future Lines 2015'!G94</f>
        <v>14334305.158686891</v>
      </c>
      <c r="H94" s="359" t="str">
        <f>'Func Future Lines 2015'!H94</f>
        <v>AltaLink</v>
      </c>
      <c r="I94" s="359">
        <f>'Func Future Lines 2015'!I94</f>
        <v>2017</v>
      </c>
      <c r="J94" s="361">
        <f>+IF($I94=J$3,VLOOKUP($H94,Depreciation!$A$6:$L$10,7,FALSE)/2,IF($I94&lt;J$3,VLOOKUP($H94,Depreciation!$A$6:$L$10,7,FALSE),0))</f>
        <v>0</v>
      </c>
      <c r="K94" s="361">
        <f>+IF($I94=K$3,VLOOKUP($H94,Depreciation!$A$6:$L$10,8,FALSE)/2,IF($I94&lt;K$3,VLOOKUP($H94,Depreciation!$A$6:$L$10,8,FALSE),0))</f>
        <v>0</v>
      </c>
      <c r="L94" s="361">
        <f>+IF($I94=L$3,VLOOKUP($H94,Depreciation!$A$6:$L$10,9,FALSE)/2,IF($I94&lt;L$3,VLOOKUP($H94,Depreciation!$A$6:$L$10,9,FALSE),0))</f>
        <v>1.5338181838063448E-2</v>
      </c>
      <c r="M94" s="361">
        <f>+IF($I94=M$3,VLOOKUP($H94,Depreciation!$A$6:$L$10,10,FALSE)/2,IF($I94&lt;M$3,VLOOKUP($H94,Depreciation!$A$6:$L$10,10,FALSE),0))</f>
        <v>3.0676363676126896E-2</v>
      </c>
      <c r="N94" s="361">
        <f>+IF($I94=N$3,VLOOKUP($H94,Depreciation!$A$6:$L$10,11,FALSE)/2,IF($I94&lt;N$3,VLOOKUP($H94,Depreciation!$A$6:$L$10,11,FALSE),0))</f>
        <v>3.0676363676126896E-2</v>
      </c>
      <c r="O94" s="361">
        <f>+IF($I94=O$3,VLOOKUP($H94,Depreciation!$A$6:$L$10,12,FALSE)/2,IF($I94&lt;O$3,VLOOKUP($H94,Depreciation!$A$6:$L$10,12,FALSE),0))</f>
        <v>3.0676363676126896E-2</v>
      </c>
      <c r="P94" s="362">
        <f t="shared" si="5"/>
        <v>13261765.653159415</v>
      </c>
      <c r="Q94" s="362">
        <f t="shared" si="6"/>
        <v>0</v>
      </c>
      <c r="R94" s="363">
        <f t="shared" si="7"/>
        <v>13261765.653159415</v>
      </c>
      <c r="Y94" s="365"/>
    </row>
    <row r="95" spans="1:25" ht="15" customHeight="1">
      <c r="A95" s="359" t="str">
        <f>'Func Future Lines 2015'!A95</f>
        <v>PPS</v>
      </c>
      <c r="B95" s="359" t="str">
        <f>'Func Future Lines 2015'!B95</f>
        <v>80L South (426L)</v>
      </c>
      <c r="C95" s="359">
        <f>'Func Future Lines 2015'!C95</f>
        <v>813</v>
      </c>
      <c r="D95" s="359">
        <f>'Func Future Lines 2015'!D95</f>
        <v>138</v>
      </c>
      <c r="E95" s="359">
        <f>'Func Future Lines 2015'!E95</f>
        <v>0</v>
      </c>
      <c r="F95" s="359" t="str">
        <f>'Func Future Lines 2015'!F95</f>
        <v>Red_Deer</v>
      </c>
      <c r="G95" s="359">
        <f>'Func Future Lines 2015'!G95</f>
        <v>10724430.608572371</v>
      </c>
      <c r="H95" s="359" t="str">
        <f>'Func Future Lines 2015'!H95</f>
        <v>AltaLink</v>
      </c>
      <c r="I95" s="359">
        <f>'Func Future Lines 2015'!I95</f>
        <v>2017</v>
      </c>
      <c r="J95" s="361">
        <f>+IF($I95=J$3,VLOOKUP($H95,Depreciation!$A$6:$L$10,7,FALSE)/2,IF($I95&lt;J$3,VLOOKUP($H95,Depreciation!$A$6:$L$10,7,FALSE),0))</f>
        <v>0</v>
      </c>
      <c r="K95" s="361">
        <f>+IF($I95=K$3,VLOOKUP($H95,Depreciation!$A$6:$L$10,8,FALSE)/2,IF($I95&lt;K$3,VLOOKUP($H95,Depreciation!$A$6:$L$10,8,FALSE),0))</f>
        <v>0</v>
      </c>
      <c r="L95" s="361">
        <f>+IF($I95=L$3,VLOOKUP($H95,Depreciation!$A$6:$L$10,9,FALSE)/2,IF($I95&lt;L$3,VLOOKUP($H95,Depreciation!$A$6:$L$10,9,FALSE),0))</f>
        <v>1.5338181838063448E-2</v>
      </c>
      <c r="M95" s="361">
        <f>+IF($I95=M$3,VLOOKUP($H95,Depreciation!$A$6:$L$10,10,FALSE)/2,IF($I95&lt;M$3,VLOOKUP($H95,Depreciation!$A$6:$L$10,10,FALSE),0))</f>
        <v>3.0676363676126896E-2</v>
      </c>
      <c r="N95" s="361">
        <f>+IF($I95=N$3,VLOOKUP($H95,Depreciation!$A$6:$L$10,11,FALSE)/2,IF($I95&lt;N$3,VLOOKUP($H95,Depreciation!$A$6:$L$10,11,FALSE),0))</f>
        <v>3.0676363676126896E-2</v>
      </c>
      <c r="O95" s="361">
        <f>+IF($I95=O$3,VLOOKUP($H95,Depreciation!$A$6:$L$10,12,FALSE)/2,IF($I95&lt;O$3,VLOOKUP($H95,Depreciation!$A$6:$L$10,12,FALSE),0))</f>
        <v>3.0676363676126896E-2</v>
      </c>
      <c r="P95" s="362">
        <f t="shared" si="5"/>
        <v>9921993.7011223268</v>
      </c>
      <c r="Q95" s="362">
        <f t="shared" si="6"/>
        <v>0</v>
      </c>
      <c r="R95" s="363">
        <f t="shared" si="7"/>
        <v>9921993.7011223268</v>
      </c>
      <c r="Y95" s="365"/>
    </row>
    <row r="96" spans="1:25" ht="15" customHeight="1">
      <c r="A96" s="359" t="str">
        <f>'Func Future Lines 2015'!A96</f>
        <v>PPS</v>
      </c>
      <c r="B96" s="359" t="str">
        <f>'Func Future Lines 2015'!B96</f>
        <v>80L underground</v>
      </c>
      <c r="C96" s="359">
        <f>'Func Future Lines 2015'!C96</f>
        <v>813</v>
      </c>
      <c r="D96" s="359">
        <f>'Func Future Lines 2015'!D96</f>
        <v>138</v>
      </c>
      <c r="E96" s="359">
        <f>'Func Future Lines 2015'!E96</f>
        <v>0</v>
      </c>
      <c r="F96" s="359" t="str">
        <f>'Func Future Lines 2015'!F96</f>
        <v>Red_Deer</v>
      </c>
      <c r="G96" s="359">
        <f>'Func Future Lines 2015'!G96</f>
        <v>8700999.9999999944</v>
      </c>
      <c r="H96" s="359" t="str">
        <f>'Func Future Lines 2015'!H96</f>
        <v>AltaLink</v>
      </c>
      <c r="I96" s="359">
        <f>'Func Future Lines 2015'!I96</f>
        <v>2017</v>
      </c>
      <c r="J96" s="361">
        <f>+IF($I96=J$3,VLOOKUP($H96,Depreciation!$A$6:$L$10,7,FALSE)/2,IF($I96&lt;J$3,VLOOKUP($H96,Depreciation!$A$6:$L$10,7,FALSE),0))</f>
        <v>0</v>
      </c>
      <c r="K96" s="361">
        <f>+IF($I96=K$3,VLOOKUP($H96,Depreciation!$A$6:$L$10,8,FALSE)/2,IF($I96&lt;K$3,VLOOKUP($H96,Depreciation!$A$6:$L$10,8,FALSE),0))</f>
        <v>0</v>
      </c>
      <c r="L96" s="361">
        <f>+IF($I96=L$3,VLOOKUP($H96,Depreciation!$A$6:$L$10,9,FALSE)/2,IF($I96&lt;L$3,VLOOKUP($H96,Depreciation!$A$6:$L$10,9,FALSE),0))</f>
        <v>1.5338181838063448E-2</v>
      </c>
      <c r="M96" s="361">
        <f>+IF($I96=M$3,VLOOKUP($H96,Depreciation!$A$6:$L$10,10,FALSE)/2,IF($I96&lt;M$3,VLOOKUP($H96,Depreciation!$A$6:$L$10,10,FALSE),0))</f>
        <v>3.0676363676126896E-2</v>
      </c>
      <c r="N96" s="361">
        <f>+IF($I96=N$3,VLOOKUP($H96,Depreciation!$A$6:$L$10,11,FALSE)/2,IF($I96&lt;N$3,VLOOKUP($H96,Depreciation!$A$6:$L$10,11,FALSE),0))</f>
        <v>3.0676363676126896E-2</v>
      </c>
      <c r="O96" s="361">
        <f>+IF($I96=O$3,VLOOKUP($H96,Depreciation!$A$6:$L$10,12,FALSE)/2,IF($I96&lt;O$3,VLOOKUP($H96,Depreciation!$A$6:$L$10,12,FALSE),0))</f>
        <v>3.0676363676126896E-2</v>
      </c>
      <c r="P96" s="362">
        <f t="shared" si="5"/>
        <v>8049962.7760617919</v>
      </c>
      <c r="Q96" s="362">
        <f t="shared" si="6"/>
        <v>0</v>
      </c>
      <c r="R96" s="363">
        <f t="shared" si="7"/>
        <v>8049962.7760617919</v>
      </c>
      <c r="Y96" s="365"/>
    </row>
    <row r="97" spans="1:25" ht="15" customHeight="1">
      <c r="A97" s="359" t="str">
        <f>'Func Future Lines 2015'!A97</f>
        <v>PPS</v>
      </c>
      <c r="B97" s="359" t="str">
        <f>'Func Future Lines 2015'!B97</f>
        <v>883L</v>
      </c>
      <c r="C97" s="359">
        <f>'Func Future Lines 2015'!C97</f>
        <v>813</v>
      </c>
      <c r="D97" s="359">
        <f>'Func Future Lines 2015'!D97</f>
        <v>138</v>
      </c>
      <c r="E97" s="359">
        <f>'Func Future Lines 2015'!E97</f>
        <v>0</v>
      </c>
      <c r="F97" s="359" t="str">
        <f>'Func Future Lines 2015'!F97</f>
        <v>Red_Deer</v>
      </c>
      <c r="G97" s="359">
        <f>'Func Future Lines 2015'!G97</f>
        <v>2041375.8427235677</v>
      </c>
      <c r="H97" s="359" t="str">
        <f>'Func Future Lines 2015'!H97</f>
        <v>AltaLink</v>
      </c>
      <c r="I97" s="359">
        <f>'Func Future Lines 2015'!I97</f>
        <v>2017</v>
      </c>
      <c r="J97" s="361">
        <f>+IF($I97=J$3,VLOOKUP($H97,Depreciation!$A$6:$L$10,7,FALSE)/2,IF($I97&lt;J$3,VLOOKUP($H97,Depreciation!$A$6:$L$10,7,FALSE),0))</f>
        <v>0</v>
      </c>
      <c r="K97" s="361">
        <f>+IF($I97=K$3,VLOOKUP($H97,Depreciation!$A$6:$L$10,8,FALSE)/2,IF($I97&lt;K$3,VLOOKUP($H97,Depreciation!$A$6:$L$10,8,FALSE),0))</f>
        <v>0</v>
      </c>
      <c r="L97" s="361">
        <f>+IF($I97=L$3,VLOOKUP($H97,Depreciation!$A$6:$L$10,9,FALSE)/2,IF($I97&lt;L$3,VLOOKUP($H97,Depreciation!$A$6:$L$10,9,FALSE),0))</f>
        <v>1.5338181838063448E-2</v>
      </c>
      <c r="M97" s="361">
        <f>+IF($I97=M$3,VLOOKUP($H97,Depreciation!$A$6:$L$10,10,FALSE)/2,IF($I97&lt;M$3,VLOOKUP($H97,Depreciation!$A$6:$L$10,10,FALSE),0))</f>
        <v>3.0676363676126896E-2</v>
      </c>
      <c r="N97" s="361">
        <f>+IF($I97=N$3,VLOOKUP($H97,Depreciation!$A$6:$L$10,11,FALSE)/2,IF($I97&lt;N$3,VLOOKUP($H97,Depreciation!$A$6:$L$10,11,FALSE),0))</f>
        <v>3.0676363676126896E-2</v>
      </c>
      <c r="O97" s="361">
        <f>+IF($I97=O$3,VLOOKUP($H97,Depreciation!$A$6:$L$10,12,FALSE)/2,IF($I97&lt;O$3,VLOOKUP($H97,Depreciation!$A$6:$L$10,12,FALSE),0))</f>
        <v>3.0676363676126896E-2</v>
      </c>
      <c r="P97" s="362">
        <f t="shared" si="5"/>
        <v>1888633.4382112981</v>
      </c>
      <c r="Q97" s="362">
        <f t="shared" si="6"/>
        <v>0</v>
      </c>
      <c r="R97" s="363">
        <f t="shared" si="7"/>
        <v>1888633.4382112981</v>
      </c>
      <c r="Y97" s="365"/>
    </row>
    <row r="98" spans="1:25" ht="15" customHeight="1">
      <c r="A98" s="359" t="str">
        <f>'Func Future Lines 2015'!A98</f>
        <v>PPS</v>
      </c>
      <c r="B98" s="359" t="str">
        <f>'Func Future Lines 2015'!B98</f>
        <v>910L/1083L</v>
      </c>
      <c r="C98" s="359">
        <f>'Func Future Lines 2015'!C98</f>
        <v>813</v>
      </c>
      <c r="D98" s="359">
        <f>'Func Future Lines 2015'!D98</f>
        <v>240</v>
      </c>
      <c r="E98" s="359">
        <f>'Func Future Lines 2015'!E98</f>
        <v>0</v>
      </c>
      <c r="F98" s="359" t="str">
        <f>'Func Future Lines 2015'!F98</f>
        <v>Red_Deer</v>
      </c>
      <c r="G98" s="359">
        <f>'Func Future Lines 2015'!G98</f>
        <v>1595577.9141692643</v>
      </c>
      <c r="H98" s="359" t="str">
        <f>'Func Future Lines 2015'!H98</f>
        <v>AltaLink</v>
      </c>
      <c r="I98" s="359">
        <f>'Func Future Lines 2015'!I98</f>
        <v>2017</v>
      </c>
      <c r="J98" s="361">
        <f>+IF($I98=J$3,VLOOKUP($H98,Depreciation!$A$6:$L$10,7,FALSE)/2,IF($I98&lt;J$3,VLOOKUP($H98,Depreciation!$A$6:$L$10,7,FALSE),0))</f>
        <v>0</v>
      </c>
      <c r="K98" s="361">
        <f>+IF($I98=K$3,VLOOKUP($H98,Depreciation!$A$6:$L$10,8,FALSE)/2,IF($I98&lt;K$3,VLOOKUP($H98,Depreciation!$A$6:$L$10,8,FALSE),0))</f>
        <v>0</v>
      </c>
      <c r="L98" s="361">
        <f>+IF($I98=L$3,VLOOKUP($H98,Depreciation!$A$6:$L$10,9,FALSE)/2,IF($I98&lt;L$3,VLOOKUP($H98,Depreciation!$A$6:$L$10,9,FALSE),0))</f>
        <v>1.5338181838063448E-2</v>
      </c>
      <c r="M98" s="361">
        <f>+IF($I98=M$3,VLOOKUP($H98,Depreciation!$A$6:$L$10,10,FALSE)/2,IF($I98&lt;M$3,VLOOKUP($H98,Depreciation!$A$6:$L$10,10,FALSE),0))</f>
        <v>3.0676363676126896E-2</v>
      </c>
      <c r="N98" s="361">
        <f>+IF($I98=N$3,VLOOKUP($H98,Depreciation!$A$6:$L$10,11,FALSE)/2,IF($I98&lt;N$3,VLOOKUP($H98,Depreciation!$A$6:$L$10,11,FALSE),0))</f>
        <v>3.0676363676126896E-2</v>
      </c>
      <c r="O98" s="361">
        <f>+IF($I98=O$3,VLOOKUP($H98,Depreciation!$A$6:$L$10,12,FALSE)/2,IF($I98&lt;O$3,VLOOKUP($H98,Depreciation!$A$6:$L$10,12,FALSE),0))</f>
        <v>3.0676363676126896E-2</v>
      </c>
      <c r="P98" s="362">
        <f t="shared" si="5"/>
        <v>1476191.565954362</v>
      </c>
      <c r="Q98" s="362">
        <f t="shared" si="6"/>
        <v>1476191.565954362</v>
      </c>
      <c r="R98" s="363">
        <f t="shared" si="7"/>
        <v>0</v>
      </c>
      <c r="Y98" s="365"/>
    </row>
    <row r="99" spans="1:25" ht="15" customHeight="1">
      <c r="A99" s="359" t="str">
        <f>'Func Future Lines 2015'!A99</f>
        <v>PPS</v>
      </c>
      <c r="B99" s="359" t="str">
        <f>'Func Future Lines 2015'!B99</f>
        <v>910L/1083L</v>
      </c>
      <c r="C99" s="359">
        <f>'Func Future Lines 2015'!C99</f>
        <v>813</v>
      </c>
      <c r="D99" s="359">
        <f>'Func Future Lines 2015'!D99</f>
        <v>240</v>
      </c>
      <c r="E99" s="359">
        <f>'Func Future Lines 2015'!E99</f>
        <v>0</v>
      </c>
      <c r="F99" s="359" t="str">
        <f>'Func Future Lines 2015'!F99</f>
        <v>Red_Deer</v>
      </c>
      <c r="G99" s="359">
        <f>'Func Future Lines 2015'!G99</f>
        <v>1626560.0095900265</v>
      </c>
      <c r="H99" s="359" t="str">
        <f>'Func Future Lines 2015'!H99</f>
        <v>AltaLink</v>
      </c>
      <c r="I99" s="359">
        <f>'Func Future Lines 2015'!I99</f>
        <v>2017</v>
      </c>
      <c r="J99" s="361">
        <f>+IF($I99=J$3,VLOOKUP($H99,Depreciation!$A$6:$L$10,7,FALSE)/2,IF($I99&lt;J$3,VLOOKUP($H99,Depreciation!$A$6:$L$10,7,FALSE),0))</f>
        <v>0</v>
      </c>
      <c r="K99" s="361">
        <f>+IF($I99=K$3,VLOOKUP($H99,Depreciation!$A$6:$L$10,8,FALSE)/2,IF($I99&lt;K$3,VLOOKUP($H99,Depreciation!$A$6:$L$10,8,FALSE),0))</f>
        <v>0</v>
      </c>
      <c r="L99" s="361">
        <f>+IF($I99=L$3,VLOOKUP($H99,Depreciation!$A$6:$L$10,9,FALSE)/2,IF($I99&lt;L$3,VLOOKUP($H99,Depreciation!$A$6:$L$10,9,FALSE),0))</f>
        <v>1.5338181838063448E-2</v>
      </c>
      <c r="M99" s="361">
        <f>+IF($I99=M$3,VLOOKUP($H99,Depreciation!$A$6:$L$10,10,FALSE)/2,IF($I99&lt;M$3,VLOOKUP($H99,Depreciation!$A$6:$L$10,10,FALSE),0))</f>
        <v>3.0676363676126896E-2</v>
      </c>
      <c r="N99" s="361">
        <f>+IF($I99=N$3,VLOOKUP($H99,Depreciation!$A$6:$L$10,11,FALSE)/2,IF($I99&lt;N$3,VLOOKUP($H99,Depreciation!$A$6:$L$10,11,FALSE),0))</f>
        <v>3.0676363676126896E-2</v>
      </c>
      <c r="O99" s="361">
        <f>+IF($I99=O$3,VLOOKUP($H99,Depreciation!$A$6:$L$10,12,FALSE)/2,IF($I99&lt;O$3,VLOOKUP($H99,Depreciation!$A$6:$L$10,12,FALSE),0))</f>
        <v>3.0676363676126896E-2</v>
      </c>
      <c r="P99" s="362">
        <f t="shared" si="5"/>
        <v>1504855.4798563884</v>
      </c>
      <c r="Q99" s="362">
        <f t="shared" si="6"/>
        <v>1504855.4798563884</v>
      </c>
      <c r="R99" s="363">
        <f t="shared" si="7"/>
        <v>0</v>
      </c>
      <c r="Y99" s="365"/>
    </row>
    <row r="100" spans="1:25" ht="15" customHeight="1">
      <c r="A100" s="359" t="str">
        <f>'Func Future Lines 2015'!A100</f>
        <v>PPS</v>
      </c>
      <c r="B100" s="359" t="str">
        <f>'Func Future Lines 2015'!B100</f>
        <v>918L/1081L</v>
      </c>
      <c r="C100" s="359">
        <f>'Func Future Lines 2015'!C100</f>
        <v>813</v>
      </c>
      <c r="D100" s="359">
        <f>'Func Future Lines 2015'!D100</f>
        <v>240</v>
      </c>
      <c r="E100" s="359">
        <f>'Func Future Lines 2015'!E100</f>
        <v>0</v>
      </c>
      <c r="F100" s="359" t="str">
        <f>'Func Future Lines 2015'!F100</f>
        <v>Red_Deer</v>
      </c>
      <c r="G100" s="359">
        <f>'Func Future Lines 2015'!G100</f>
        <v>1543941.0884679935</v>
      </c>
      <c r="H100" s="359" t="str">
        <f>'Func Future Lines 2015'!H100</f>
        <v>AltaLink</v>
      </c>
      <c r="I100" s="359">
        <f>'Func Future Lines 2015'!I100</f>
        <v>2017</v>
      </c>
      <c r="J100" s="361">
        <f>+IF($I100=J$3,VLOOKUP($H100,Depreciation!$A$6:$L$10,7,FALSE)/2,IF($I100&lt;J$3,VLOOKUP($H100,Depreciation!$A$6:$L$10,7,FALSE),0))</f>
        <v>0</v>
      </c>
      <c r="K100" s="361">
        <f>+IF($I100=K$3,VLOOKUP($H100,Depreciation!$A$6:$L$10,8,FALSE)/2,IF($I100&lt;K$3,VLOOKUP($H100,Depreciation!$A$6:$L$10,8,FALSE),0))</f>
        <v>0</v>
      </c>
      <c r="L100" s="361">
        <f>+IF($I100=L$3,VLOOKUP($H100,Depreciation!$A$6:$L$10,9,FALSE)/2,IF($I100&lt;L$3,VLOOKUP($H100,Depreciation!$A$6:$L$10,9,FALSE),0))</f>
        <v>1.5338181838063448E-2</v>
      </c>
      <c r="M100" s="361">
        <f>+IF($I100=M$3,VLOOKUP($H100,Depreciation!$A$6:$L$10,10,FALSE)/2,IF($I100&lt;M$3,VLOOKUP($H100,Depreciation!$A$6:$L$10,10,FALSE),0))</f>
        <v>3.0676363676126896E-2</v>
      </c>
      <c r="N100" s="361">
        <f>+IF($I100=N$3,VLOOKUP($H100,Depreciation!$A$6:$L$10,11,FALSE)/2,IF($I100&lt;N$3,VLOOKUP($H100,Depreciation!$A$6:$L$10,11,FALSE),0))</f>
        <v>3.0676363676126896E-2</v>
      </c>
      <c r="O100" s="361">
        <f>+IF($I100=O$3,VLOOKUP($H100,Depreciation!$A$6:$L$10,12,FALSE)/2,IF($I100&lt;O$3,VLOOKUP($H100,Depreciation!$A$6:$L$10,12,FALSE),0))</f>
        <v>3.0676363676126896E-2</v>
      </c>
      <c r="P100" s="362">
        <f t="shared" si="5"/>
        <v>1428418.3761176514</v>
      </c>
      <c r="Q100" s="362">
        <f t="shared" si="6"/>
        <v>1428418.3761176514</v>
      </c>
      <c r="R100" s="363">
        <f t="shared" si="7"/>
        <v>0</v>
      </c>
      <c r="Y100" s="365"/>
    </row>
    <row r="101" spans="1:25" ht="15" customHeight="1">
      <c r="A101" s="359" t="str">
        <f>'Func Future Lines 2015'!A101</f>
        <v>PPS</v>
      </c>
      <c r="B101" s="359" t="str">
        <f>'Func Future Lines 2015'!B101</f>
        <v>918L/1081L</v>
      </c>
      <c r="C101" s="359">
        <f>'Func Future Lines 2015'!C101</f>
        <v>813</v>
      </c>
      <c r="D101" s="359">
        <f>'Func Future Lines 2015'!D101</f>
        <v>240</v>
      </c>
      <c r="E101" s="359">
        <f>'Func Future Lines 2015'!E101</f>
        <v>0</v>
      </c>
      <c r="F101" s="359" t="str">
        <f>'Func Future Lines 2015'!F101</f>
        <v>Red_Deer</v>
      </c>
      <c r="G101" s="359">
        <f>'Func Future Lines 2015'!G101</f>
        <v>1657542.1050107889</v>
      </c>
      <c r="H101" s="359" t="str">
        <f>'Func Future Lines 2015'!H101</f>
        <v>AltaLink</v>
      </c>
      <c r="I101" s="359">
        <f>'Func Future Lines 2015'!I101</f>
        <v>2017</v>
      </c>
      <c r="J101" s="361">
        <f>+IF($I101=J$3,VLOOKUP($H101,Depreciation!$A$6:$L$10,7,FALSE)/2,IF($I101&lt;J$3,VLOOKUP($H101,Depreciation!$A$6:$L$10,7,FALSE),0))</f>
        <v>0</v>
      </c>
      <c r="K101" s="361">
        <f>+IF($I101=K$3,VLOOKUP($H101,Depreciation!$A$6:$L$10,8,FALSE)/2,IF($I101&lt;K$3,VLOOKUP($H101,Depreciation!$A$6:$L$10,8,FALSE),0))</f>
        <v>0</v>
      </c>
      <c r="L101" s="361">
        <f>+IF($I101=L$3,VLOOKUP($H101,Depreciation!$A$6:$L$10,9,FALSE)/2,IF($I101&lt;L$3,VLOOKUP($H101,Depreciation!$A$6:$L$10,9,FALSE),0))</f>
        <v>1.5338181838063448E-2</v>
      </c>
      <c r="M101" s="361">
        <f>+IF($I101=M$3,VLOOKUP($H101,Depreciation!$A$6:$L$10,10,FALSE)/2,IF($I101&lt;M$3,VLOOKUP($H101,Depreciation!$A$6:$L$10,10,FALSE),0))</f>
        <v>3.0676363676126896E-2</v>
      </c>
      <c r="N101" s="361">
        <f>+IF($I101=N$3,VLOOKUP($H101,Depreciation!$A$6:$L$10,11,FALSE)/2,IF($I101&lt;N$3,VLOOKUP($H101,Depreciation!$A$6:$L$10,11,FALSE),0))</f>
        <v>3.0676363676126896E-2</v>
      </c>
      <c r="O101" s="361">
        <f>+IF($I101=O$3,VLOOKUP($H101,Depreciation!$A$6:$L$10,12,FALSE)/2,IF($I101&lt;O$3,VLOOKUP($H101,Depreciation!$A$6:$L$10,12,FALSE),0))</f>
        <v>3.0676363676126896E-2</v>
      </c>
      <c r="P101" s="362">
        <f t="shared" si="5"/>
        <v>1533519.3937584148</v>
      </c>
      <c r="Q101" s="362">
        <f t="shared" si="6"/>
        <v>1533519.3937584148</v>
      </c>
      <c r="R101" s="363">
        <f t="shared" si="7"/>
        <v>0</v>
      </c>
      <c r="Y101" s="365"/>
    </row>
    <row r="102" spans="1:25" ht="15" customHeight="1">
      <c r="A102" s="359" t="str">
        <f>'Func Future Lines 2015'!A102</f>
        <v>PPS</v>
      </c>
      <c r="B102" s="359" t="str">
        <f>'Func Future Lines 2015'!B102</f>
        <v>929L/1082L</v>
      </c>
      <c r="C102" s="359">
        <f>'Func Future Lines 2015'!C102</f>
        <v>813</v>
      </c>
      <c r="D102" s="359">
        <f>'Func Future Lines 2015'!D102</f>
        <v>240</v>
      </c>
      <c r="E102" s="359">
        <f>'Func Future Lines 2015'!E102</f>
        <v>0</v>
      </c>
      <c r="F102" s="359" t="str">
        <f>'Func Future Lines 2015'!F102</f>
        <v>Red_Deer</v>
      </c>
      <c r="G102" s="359">
        <f>'Func Future Lines 2015'!G102</f>
        <v>1650657.1949172863</v>
      </c>
      <c r="H102" s="359" t="str">
        <f>'Func Future Lines 2015'!H102</f>
        <v>AltaLink</v>
      </c>
      <c r="I102" s="359">
        <f>'Func Future Lines 2015'!I102</f>
        <v>2017</v>
      </c>
      <c r="J102" s="361">
        <f>+IF($I102=J$3,VLOOKUP($H102,Depreciation!$A$6:$L$10,7,FALSE)/2,IF($I102&lt;J$3,VLOOKUP($H102,Depreciation!$A$6:$L$10,7,FALSE),0))</f>
        <v>0</v>
      </c>
      <c r="K102" s="361">
        <f>+IF($I102=K$3,VLOOKUP($H102,Depreciation!$A$6:$L$10,8,FALSE)/2,IF($I102&lt;K$3,VLOOKUP($H102,Depreciation!$A$6:$L$10,8,FALSE),0))</f>
        <v>0</v>
      </c>
      <c r="L102" s="361">
        <f>+IF($I102=L$3,VLOOKUP($H102,Depreciation!$A$6:$L$10,9,FALSE)/2,IF($I102&lt;L$3,VLOOKUP($H102,Depreciation!$A$6:$L$10,9,FALSE),0))</f>
        <v>1.5338181838063448E-2</v>
      </c>
      <c r="M102" s="361">
        <f>+IF($I102=M$3,VLOOKUP($H102,Depreciation!$A$6:$L$10,10,FALSE)/2,IF($I102&lt;M$3,VLOOKUP($H102,Depreciation!$A$6:$L$10,10,FALSE),0))</f>
        <v>3.0676363676126896E-2</v>
      </c>
      <c r="N102" s="361">
        <f>+IF($I102=N$3,VLOOKUP($H102,Depreciation!$A$6:$L$10,11,FALSE)/2,IF($I102&lt;N$3,VLOOKUP($H102,Depreciation!$A$6:$L$10,11,FALSE),0))</f>
        <v>3.0676363676126896E-2</v>
      </c>
      <c r="O102" s="361">
        <f>+IF($I102=O$3,VLOOKUP($H102,Depreciation!$A$6:$L$10,12,FALSE)/2,IF($I102&lt;O$3,VLOOKUP($H102,Depreciation!$A$6:$L$10,12,FALSE),0))</f>
        <v>3.0676363676126896E-2</v>
      </c>
      <c r="P102" s="362">
        <f t="shared" si="5"/>
        <v>1527149.6351135201</v>
      </c>
      <c r="Q102" s="362">
        <f t="shared" si="6"/>
        <v>1527149.6351135201</v>
      </c>
      <c r="R102" s="363">
        <f t="shared" si="7"/>
        <v>0</v>
      </c>
      <c r="Y102" s="365"/>
    </row>
    <row r="103" spans="1:25" ht="15" customHeight="1">
      <c r="A103" s="359" t="str">
        <f>'Func Future Lines 2015'!A103</f>
        <v>PPS</v>
      </c>
      <c r="B103" s="359" t="str">
        <f>'Func Future Lines 2015'!B103</f>
        <v>929L/1082L</v>
      </c>
      <c r="C103" s="359">
        <f>'Func Future Lines 2015'!C103</f>
        <v>813</v>
      </c>
      <c r="D103" s="359">
        <f>'Func Future Lines 2015'!D103</f>
        <v>240</v>
      </c>
      <c r="E103" s="359">
        <f>'Func Future Lines 2015'!E103</f>
        <v>0</v>
      </c>
      <c r="F103" s="359" t="str">
        <f>'Func Future Lines 2015'!F103</f>
        <v>Red_Deer</v>
      </c>
      <c r="G103" s="359">
        <f>'Func Future Lines 2015'!G103</f>
        <v>1645493.5123471592</v>
      </c>
      <c r="H103" s="359" t="str">
        <f>'Func Future Lines 2015'!H103</f>
        <v>AltaLink</v>
      </c>
      <c r="I103" s="359">
        <f>'Func Future Lines 2015'!I103</f>
        <v>2017</v>
      </c>
      <c r="J103" s="361">
        <f>+IF($I103=J$3,VLOOKUP($H103,Depreciation!$A$6:$L$10,7,FALSE)/2,IF($I103&lt;J$3,VLOOKUP($H103,Depreciation!$A$6:$L$10,7,FALSE),0))</f>
        <v>0</v>
      </c>
      <c r="K103" s="361">
        <f>+IF($I103=K$3,VLOOKUP($H103,Depreciation!$A$6:$L$10,8,FALSE)/2,IF($I103&lt;K$3,VLOOKUP($H103,Depreciation!$A$6:$L$10,8,FALSE),0))</f>
        <v>0</v>
      </c>
      <c r="L103" s="361">
        <f>+IF($I103=L$3,VLOOKUP($H103,Depreciation!$A$6:$L$10,9,FALSE)/2,IF($I103&lt;L$3,VLOOKUP($H103,Depreciation!$A$6:$L$10,9,FALSE),0))</f>
        <v>1.5338181838063448E-2</v>
      </c>
      <c r="M103" s="361">
        <f>+IF($I103=M$3,VLOOKUP($H103,Depreciation!$A$6:$L$10,10,FALSE)/2,IF($I103&lt;M$3,VLOOKUP($H103,Depreciation!$A$6:$L$10,10,FALSE),0))</f>
        <v>3.0676363676126896E-2</v>
      </c>
      <c r="N103" s="361">
        <f>+IF($I103=N$3,VLOOKUP($H103,Depreciation!$A$6:$L$10,11,FALSE)/2,IF($I103&lt;N$3,VLOOKUP($H103,Depreciation!$A$6:$L$10,11,FALSE),0))</f>
        <v>3.0676363676126896E-2</v>
      </c>
      <c r="O103" s="361">
        <f>+IF($I103=O$3,VLOOKUP($H103,Depreciation!$A$6:$L$10,12,FALSE)/2,IF($I103&lt;O$3,VLOOKUP($H103,Depreciation!$A$6:$L$10,12,FALSE),0))</f>
        <v>3.0676363676126896E-2</v>
      </c>
      <c r="P103" s="362">
        <f t="shared" si="5"/>
        <v>1522372.3161298491</v>
      </c>
      <c r="Q103" s="362">
        <f t="shared" si="6"/>
        <v>1522372.3161298491</v>
      </c>
      <c r="R103" s="363">
        <f t="shared" si="7"/>
        <v>0</v>
      </c>
      <c r="Y103" s="365"/>
    </row>
    <row r="104" spans="1:25" ht="15" customHeight="1">
      <c r="A104" s="359" t="str">
        <f>'Func Future Lines 2015'!A104</f>
        <v>PPS</v>
      </c>
      <c r="B104" s="359" t="str">
        <f>'Func Future Lines 2015'!B104</f>
        <v>transmission line 166AL_(v2)</v>
      </c>
      <c r="C104" s="359">
        <f>'Func Future Lines 2015'!C104</f>
        <v>813</v>
      </c>
      <c r="D104" s="359">
        <f>'Func Future Lines 2015'!D104</f>
        <v>138</v>
      </c>
      <c r="E104" s="359">
        <f>'Func Future Lines 2015'!E104</f>
        <v>0</v>
      </c>
      <c r="F104" s="359" t="str">
        <f>'Func Future Lines 2015'!F104</f>
        <v>Red_Deer</v>
      </c>
      <c r="G104" s="359">
        <f>'Func Future Lines 2015'!G104</f>
        <v>178318.62548469054</v>
      </c>
      <c r="H104" s="359" t="str">
        <f>'Func Future Lines 2015'!H104</f>
        <v>AltaLink</v>
      </c>
      <c r="I104" s="359">
        <f>'Func Future Lines 2015'!I104</f>
        <v>2017</v>
      </c>
      <c r="J104" s="361">
        <f>+IF($I104=J$3,VLOOKUP($H104,Depreciation!$A$6:$L$10,7,FALSE)/2,IF($I104&lt;J$3,VLOOKUP($H104,Depreciation!$A$6:$L$10,7,FALSE),0))</f>
        <v>0</v>
      </c>
      <c r="K104" s="361">
        <f>+IF($I104=K$3,VLOOKUP($H104,Depreciation!$A$6:$L$10,8,FALSE)/2,IF($I104&lt;K$3,VLOOKUP($H104,Depreciation!$A$6:$L$10,8,FALSE),0))</f>
        <v>0</v>
      </c>
      <c r="L104" s="361">
        <f>+IF($I104=L$3,VLOOKUP($H104,Depreciation!$A$6:$L$10,9,FALSE)/2,IF($I104&lt;L$3,VLOOKUP($H104,Depreciation!$A$6:$L$10,9,FALSE),0))</f>
        <v>1.5338181838063448E-2</v>
      </c>
      <c r="M104" s="361">
        <f>+IF($I104=M$3,VLOOKUP($H104,Depreciation!$A$6:$L$10,10,FALSE)/2,IF($I104&lt;M$3,VLOOKUP($H104,Depreciation!$A$6:$L$10,10,FALSE),0))</f>
        <v>3.0676363676126896E-2</v>
      </c>
      <c r="N104" s="361">
        <f>+IF($I104=N$3,VLOOKUP($H104,Depreciation!$A$6:$L$10,11,FALSE)/2,IF($I104&lt;N$3,VLOOKUP($H104,Depreciation!$A$6:$L$10,11,FALSE),0))</f>
        <v>3.0676363676126896E-2</v>
      </c>
      <c r="O104" s="361">
        <f>+IF($I104=O$3,VLOOKUP($H104,Depreciation!$A$6:$L$10,12,FALSE)/2,IF($I104&lt;O$3,VLOOKUP($H104,Depreciation!$A$6:$L$10,12,FALSE),0))</f>
        <v>3.0676363676126896E-2</v>
      </c>
      <c r="P104" s="362">
        <f t="shared" si="5"/>
        <v>164976.24381453436</v>
      </c>
      <c r="Q104" s="362">
        <f t="shared" si="6"/>
        <v>0</v>
      </c>
      <c r="R104" s="363">
        <f t="shared" si="7"/>
        <v>164976.24381453436</v>
      </c>
      <c r="Y104" s="365"/>
    </row>
    <row r="105" spans="1:25" ht="15" customHeight="1">
      <c r="A105" s="359" t="str">
        <f>'Func Future Lines 2015'!A105</f>
        <v>PPS</v>
      </c>
      <c r="B105" s="359" t="str">
        <f>'Func Future Lines 2015'!B105</f>
        <v>transmission line 166L_(v2)</v>
      </c>
      <c r="C105" s="359">
        <f>'Func Future Lines 2015'!C105</f>
        <v>813</v>
      </c>
      <c r="D105" s="359">
        <f>'Func Future Lines 2015'!D105</f>
        <v>138</v>
      </c>
      <c r="E105" s="359">
        <f>'Func Future Lines 2015'!E105</f>
        <v>0</v>
      </c>
      <c r="F105" s="359" t="str">
        <f>'Func Future Lines 2015'!F105</f>
        <v>Red_Deer</v>
      </c>
      <c r="G105" s="359">
        <f>'Func Future Lines 2015'!G105</f>
        <v>24543692.672817234</v>
      </c>
      <c r="H105" s="359" t="str">
        <f>'Func Future Lines 2015'!H105</f>
        <v>AltaLink</v>
      </c>
      <c r="I105" s="359">
        <f>'Func Future Lines 2015'!I105</f>
        <v>2017</v>
      </c>
      <c r="J105" s="361">
        <f>+IF($I105=J$3,VLOOKUP($H105,Depreciation!$A$6:$L$10,7,FALSE)/2,IF($I105&lt;J$3,VLOOKUP($H105,Depreciation!$A$6:$L$10,7,FALSE),0))</f>
        <v>0</v>
      </c>
      <c r="K105" s="361">
        <f>+IF($I105=K$3,VLOOKUP($H105,Depreciation!$A$6:$L$10,8,FALSE)/2,IF($I105&lt;K$3,VLOOKUP($H105,Depreciation!$A$6:$L$10,8,FALSE),0))</f>
        <v>0</v>
      </c>
      <c r="L105" s="361">
        <f>+IF($I105=L$3,VLOOKUP($H105,Depreciation!$A$6:$L$10,9,FALSE)/2,IF($I105&lt;L$3,VLOOKUP($H105,Depreciation!$A$6:$L$10,9,FALSE),0))</f>
        <v>1.5338181838063448E-2</v>
      </c>
      <c r="M105" s="361">
        <f>+IF($I105=M$3,VLOOKUP($H105,Depreciation!$A$6:$L$10,10,FALSE)/2,IF($I105&lt;M$3,VLOOKUP($H105,Depreciation!$A$6:$L$10,10,FALSE),0))</f>
        <v>3.0676363676126896E-2</v>
      </c>
      <c r="N105" s="361">
        <f>+IF($I105=N$3,VLOOKUP($H105,Depreciation!$A$6:$L$10,11,FALSE)/2,IF($I105&lt;N$3,VLOOKUP($H105,Depreciation!$A$6:$L$10,11,FALSE),0))</f>
        <v>3.0676363676126896E-2</v>
      </c>
      <c r="O105" s="361">
        <f>+IF($I105=O$3,VLOOKUP($H105,Depreciation!$A$6:$L$10,12,FALSE)/2,IF($I105&lt;O$3,VLOOKUP($H105,Depreciation!$A$6:$L$10,12,FALSE),0))</f>
        <v>3.0676363676126896E-2</v>
      </c>
      <c r="P105" s="362">
        <f t="shared" si="5"/>
        <v>22707253.465495858</v>
      </c>
      <c r="Q105" s="362">
        <f t="shared" si="6"/>
        <v>0</v>
      </c>
      <c r="R105" s="363">
        <f t="shared" si="7"/>
        <v>22707253.465495858</v>
      </c>
      <c r="Y105" s="365"/>
    </row>
    <row r="106" spans="1:25" ht="15" customHeight="1">
      <c r="A106" s="359" t="str">
        <f>'Func Future Lines 2015'!A106</f>
        <v>PPS</v>
      </c>
      <c r="B106" s="359" t="str">
        <f>'Func Future Lines 2015'!B106</f>
        <v>1043L/1139L</v>
      </c>
      <c r="C106" s="359">
        <f>'Func Future Lines 2015'!C106</f>
        <v>850</v>
      </c>
      <c r="D106" s="359">
        <f>'Func Future Lines 2015'!D106</f>
        <v>240</v>
      </c>
      <c r="E106" s="359">
        <f>'Func Future Lines 2015'!E106</f>
        <v>0</v>
      </c>
      <c r="F106" s="359" t="str">
        <f>'Func Future Lines 2015'!F106</f>
        <v>edmonton</v>
      </c>
      <c r="G106" s="359">
        <f>'Func Future Lines 2015'!G106</f>
        <v>15139710.076689346</v>
      </c>
      <c r="H106" s="359" t="str">
        <f>'Func Future Lines 2015'!H106</f>
        <v>AltaLink</v>
      </c>
      <c r="I106" s="359">
        <f>'Func Future Lines 2015'!I106</f>
        <v>2017</v>
      </c>
      <c r="J106" s="361">
        <f>+IF($I106=J$3,VLOOKUP($H106,Depreciation!$A$6:$L$10,7,FALSE)/2,IF($I106&lt;J$3,VLOOKUP($H106,Depreciation!$A$6:$L$10,7,FALSE),0))</f>
        <v>0</v>
      </c>
      <c r="K106" s="361">
        <f>+IF($I106=K$3,VLOOKUP($H106,Depreciation!$A$6:$L$10,8,FALSE)/2,IF($I106&lt;K$3,VLOOKUP($H106,Depreciation!$A$6:$L$10,8,FALSE),0))</f>
        <v>0</v>
      </c>
      <c r="L106" s="361">
        <f>+IF($I106=L$3,VLOOKUP($H106,Depreciation!$A$6:$L$10,9,FALSE)/2,IF($I106&lt;L$3,VLOOKUP($H106,Depreciation!$A$6:$L$10,9,FALSE),0))</f>
        <v>1.5338181838063448E-2</v>
      </c>
      <c r="M106" s="361">
        <f>+IF($I106=M$3,VLOOKUP($H106,Depreciation!$A$6:$L$10,10,FALSE)/2,IF($I106&lt;M$3,VLOOKUP($H106,Depreciation!$A$6:$L$10,10,FALSE),0))</f>
        <v>3.0676363676126896E-2</v>
      </c>
      <c r="N106" s="361">
        <f>+IF($I106=N$3,VLOOKUP($H106,Depreciation!$A$6:$L$10,11,FALSE)/2,IF($I106&lt;N$3,VLOOKUP($H106,Depreciation!$A$6:$L$10,11,FALSE),0))</f>
        <v>3.0676363676126896E-2</v>
      </c>
      <c r="O106" s="361">
        <f>+IF($I106=O$3,VLOOKUP($H106,Depreciation!$A$6:$L$10,12,FALSE)/2,IF($I106&lt;O$3,VLOOKUP($H106,Depreciation!$A$6:$L$10,12,FALSE),0))</f>
        <v>3.0676363676126896E-2</v>
      </c>
      <c r="P106" s="362">
        <f t="shared" si="5"/>
        <v>14006907.54599666</v>
      </c>
      <c r="Q106" s="362">
        <f t="shared" si="6"/>
        <v>14006907.54599666</v>
      </c>
      <c r="R106" s="363">
        <f t="shared" si="7"/>
        <v>0</v>
      </c>
      <c r="Y106" s="365"/>
    </row>
    <row r="107" spans="1:25" ht="15" customHeight="1">
      <c r="A107" s="359" t="str">
        <f>'Func Future Lines 2015'!A107</f>
        <v>PPS</v>
      </c>
      <c r="B107" s="359" t="str">
        <f>'Func Future Lines 2015'!B107</f>
        <v>1140L/1112L</v>
      </c>
      <c r="C107" s="359">
        <f>'Func Future Lines 2015'!C107</f>
        <v>850</v>
      </c>
      <c r="D107" s="359">
        <f>'Func Future Lines 2015'!D107</f>
        <v>240</v>
      </c>
      <c r="E107" s="359">
        <f>'Func Future Lines 2015'!E107</f>
        <v>0</v>
      </c>
      <c r="F107" s="359" t="str">
        <f>'Func Future Lines 2015'!F107</f>
        <v>edmonton</v>
      </c>
      <c r="G107" s="359">
        <f>'Func Future Lines 2015'!G107</f>
        <v>20197707.055992737</v>
      </c>
      <c r="H107" s="359" t="str">
        <f>'Func Future Lines 2015'!H107</f>
        <v>AltaLink</v>
      </c>
      <c r="I107" s="359">
        <f>'Func Future Lines 2015'!I107</f>
        <v>2017</v>
      </c>
      <c r="J107" s="361">
        <f>+IF($I107=J$3,VLOOKUP($H107,Depreciation!$A$6:$L$10,7,FALSE)/2,IF($I107&lt;J$3,VLOOKUP($H107,Depreciation!$A$6:$L$10,7,FALSE),0))</f>
        <v>0</v>
      </c>
      <c r="K107" s="361">
        <f>+IF($I107=K$3,VLOOKUP($H107,Depreciation!$A$6:$L$10,8,FALSE)/2,IF($I107&lt;K$3,VLOOKUP($H107,Depreciation!$A$6:$L$10,8,FALSE),0))</f>
        <v>0</v>
      </c>
      <c r="L107" s="361">
        <f>+IF($I107=L$3,VLOOKUP($H107,Depreciation!$A$6:$L$10,9,FALSE)/2,IF($I107&lt;L$3,VLOOKUP($H107,Depreciation!$A$6:$L$10,9,FALSE),0))</f>
        <v>1.5338181838063448E-2</v>
      </c>
      <c r="M107" s="361">
        <f>+IF($I107=M$3,VLOOKUP($H107,Depreciation!$A$6:$L$10,10,FALSE)/2,IF($I107&lt;M$3,VLOOKUP($H107,Depreciation!$A$6:$L$10,10,FALSE),0))</f>
        <v>3.0676363676126896E-2</v>
      </c>
      <c r="N107" s="361">
        <f>+IF($I107=N$3,VLOOKUP($H107,Depreciation!$A$6:$L$10,11,FALSE)/2,IF($I107&lt;N$3,VLOOKUP($H107,Depreciation!$A$6:$L$10,11,FALSE),0))</f>
        <v>3.0676363676126896E-2</v>
      </c>
      <c r="O107" s="361">
        <f>+IF($I107=O$3,VLOOKUP($H107,Depreciation!$A$6:$L$10,12,FALSE)/2,IF($I107&lt;O$3,VLOOKUP($H107,Depreciation!$A$6:$L$10,12,FALSE),0))</f>
        <v>3.0676363676126896E-2</v>
      </c>
      <c r="P107" s="362">
        <f t="shared" si="5"/>
        <v>18686448.679754313</v>
      </c>
      <c r="Q107" s="362">
        <f t="shared" si="6"/>
        <v>18686448.679754313</v>
      </c>
      <c r="R107" s="363">
        <f t="shared" si="7"/>
        <v>0</v>
      </c>
      <c r="Y107" s="365"/>
    </row>
    <row r="108" spans="1:25" ht="15" customHeight="1">
      <c r="A108" s="359" t="str">
        <f>'Func Future Lines 2015'!A108</f>
        <v>PPS</v>
      </c>
      <c r="B108" s="359" t="str">
        <f>'Func Future Lines 2015'!B108</f>
        <v>446L/452L/453L</v>
      </c>
      <c r="C108" s="359">
        <f>'Func Future Lines 2015'!C108</f>
        <v>850</v>
      </c>
      <c r="D108" s="359">
        <f>'Func Future Lines 2015'!D108</f>
        <v>138</v>
      </c>
      <c r="E108" s="359">
        <f>'Func Future Lines 2015'!E108</f>
        <v>0</v>
      </c>
      <c r="F108" s="359" t="str">
        <f>'Func Future Lines 2015'!F108</f>
        <v>edmonton</v>
      </c>
      <c r="G108" s="359">
        <f>'Func Future Lines 2015'!G108</f>
        <v>19650687.416100234</v>
      </c>
      <c r="H108" s="359" t="str">
        <f>'Func Future Lines 2015'!H108</f>
        <v>AltaLink</v>
      </c>
      <c r="I108" s="359">
        <f>'Func Future Lines 2015'!I108</f>
        <v>2017</v>
      </c>
      <c r="J108" s="361">
        <f>+IF($I108=J$3,VLOOKUP($H108,Depreciation!$A$6:$L$10,7,FALSE)/2,IF($I108&lt;J$3,VLOOKUP($H108,Depreciation!$A$6:$L$10,7,FALSE),0))</f>
        <v>0</v>
      </c>
      <c r="K108" s="361">
        <f>+IF($I108=K$3,VLOOKUP($H108,Depreciation!$A$6:$L$10,8,FALSE)/2,IF($I108&lt;K$3,VLOOKUP($H108,Depreciation!$A$6:$L$10,8,FALSE),0))</f>
        <v>0</v>
      </c>
      <c r="L108" s="361">
        <f>+IF($I108=L$3,VLOOKUP($H108,Depreciation!$A$6:$L$10,9,FALSE)/2,IF($I108&lt;L$3,VLOOKUP($H108,Depreciation!$A$6:$L$10,9,FALSE),0))</f>
        <v>1.5338181838063448E-2</v>
      </c>
      <c r="M108" s="361">
        <f>+IF($I108=M$3,VLOOKUP($H108,Depreciation!$A$6:$L$10,10,FALSE)/2,IF($I108&lt;M$3,VLOOKUP($H108,Depreciation!$A$6:$L$10,10,FALSE),0))</f>
        <v>3.0676363676126896E-2</v>
      </c>
      <c r="N108" s="361">
        <f>+IF($I108=N$3,VLOOKUP($H108,Depreciation!$A$6:$L$10,11,FALSE)/2,IF($I108&lt;N$3,VLOOKUP($H108,Depreciation!$A$6:$L$10,11,FALSE),0))</f>
        <v>3.0676363676126896E-2</v>
      </c>
      <c r="O108" s="361">
        <f>+IF($I108=O$3,VLOOKUP($H108,Depreciation!$A$6:$L$10,12,FALSE)/2,IF($I108&lt;O$3,VLOOKUP($H108,Depreciation!$A$6:$L$10,12,FALSE),0))</f>
        <v>3.0676363676126896E-2</v>
      </c>
      <c r="P108" s="362">
        <f t="shared" si="5"/>
        <v>18180358.835034236</v>
      </c>
      <c r="Q108" s="362">
        <f t="shared" si="6"/>
        <v>0</v>
      </c>
      <c r="R108" s="363">
        <f t="shared" si="7"/>
        <v>18180358.835034236</v>
      </c>
      <c r="Y108" s="365"/>
    </row>
    <row r="109" spans="1:25" ht="15" customHeight="1">
      <c r="A109" s="359" t="str">
        <f>'Func Future Lines 2015'!A109</f>
        <v>PPS</v>
      </c>
      <c r="B109" s="359" t="str">
        <f>'Func Future Lines 2015'!B109</f>
        <v>446L/453L</v>
      </c>
      <c r="C109" s="359">
        <f>'Func Future Lines 2015'!C109</f>
        <v>850</v>
      </c>
      <c r="D109" s="359">
        <f>'Func Future Lines 2015'!D109</f>
        <v>138</v>
      </c>
      <c r="E109" s="359">
        <f>'Func Future Lines 2015'!E109</f>
        <v>0</v>
      </c>
      <c r="F109" s="359" t="str">
        <f>'Func Future Lines 2015'!F109</f>
        <v>edmonton</v>
      </c>
      <c r="G109" s="359">
        <f>'Func Future Lines 2015'!G109</f>
        <v>11579761.499715252</v>
      </c>
      <c r="H109" s="359" t="str">
        <f>'Func Future Lines 2015'!H109</f>
        <v>AltaLink</v>
      </c>
      <c r="I109" s="359">
        <f>'Func Future Lines 2015'!I109</f>
        <v>2017</v>
      </c>
      <c r="J109" s="361">
        <f>+IF($I109=J$3,VLOOKUP($H109,Depreciation!$A$6:$L$10,7,FALSE)/2,IF($I109&lt;J$3,VLOOKUP($H109,Depreciation!$A$6:$L$10,7,FALSE),0))</f>
        <v>0</v>
      </c>
      <c r="K109" s="361">
        <f>+IF($I109=K$3,VLOOKUP($H109,Depreciation!$A$6:$L$10,8,FALSE)/2,IF($I109&lt;K$3,VLOOKUP($H109,Depreciation!$A$6:$L$10,8,FALSE),0))</f>
        <v>0</v>
      </c>
      <c r="L109" s="361">
        <f>+IF($I109=L$3,VLOOKUP($H109,Depreciation!$A$6:$L$10,9,FALSE)/2,IF($I109&lt;L$3,VLOOKUP($H109,Depreciation!$A$6:$L$10,9,FALSE),0))</f>
        <v>1.5338181838063448E-2</v>
      </c>
      <c r="M109" s="361">
        <f>+IF($I109=M$3,VLOOKUP($H109,Depreciation!$A$6:$L$10,10,FALSE)/2,IF($I109&lt;M$3,VLOOKUP($H109,Depreciation!$A$6:$L$10,10,FALSE),0))</f>
        <v>3.0676363676126896E-2</v>
      </c>
      <c r="N109" s="361">
        <f>+IF($I109=N$3,VLOOKUP($H109,Depreciation!$A$6:$L$10,11,FALSE)/2,IF($I109&lt;N$3,VLOOKUP($H109,Depreciation!$A$6:$L$10,11,FALSE),0))</f>
        <v>3.0676363676126896E-2</v>
      </c>
      <c r="O109" s="361">
        <f>+IF($I109=O$3,VLOOKUP($H109,Depreciation!$A$6:$L$10,12,FALSE)/2,IF($I109&lt;O$3,VLOOKUP($H109,Depreciation!$A$6:$L$10,12,FALSE),0))</f>
        <v>3.0676363676126896E-2</v>
      </c>
      <c r="P109" s="362">
        <f t="shared" si="5"/>
        <v>10713325.942809025</v>
      </c>
      <c r="Q109" s="362">
        <f t="shared" si="6"/>
        <v>0</v>
      </c>
      <c r="R109" s="363">
        <f t="shared" si="7"/>
        <v>10713325.942809025</v>
      </c>
      <c r="Y109" s="365"/>
    </row>
    <row r="110" spans="1:25" ht="15" customHeight="1">
      <c r="A110" s="359" t="str">
        <f>'Func Future Lines 2015'!A110</f>
        <v>PPS</v>
      </c>
      <c r="B110" s="359" t="str">
        <f>'Func Future Lines 2015'!B110</f>
        <v>452L 10km OPGW replacement</v>
      </c>
      <c r="C110" s="359">
        <f>'Func Future Lines 2015'!C110</f>
        <v>850</v>
      </c>
      <c r="D110" s="359">
        <f>'Func Future Lines 2015'!D110</f>
        <v>138</v>
      </c>
      <c r="E110" s="359">
        <f>'Func Future Lines 2015'!E110</f>
        <v>0</v>
      </c>
      <c r="F110" s="359" t="str">
        <f>'Func Future Lines 2015'!F110</f>
        <v>edmonton</v>
      </c>
      <c r="G110" s="359">
        <f>'Func Future Lines 2015'!G110</f>
        <v>4288035.0624691956</v>
      </c>
      <c r="H110" s="359" t="str">
        <f>'Func Future Lines 2015'!H110</f>
        <v>AltaLink</v>
      </c>
      <c r="I110" s="359">
        <f>'Func Future Lines 2015'!I110</f>
        <v>2017</v>
      </c>
      <c r="J110" s="361">
        <f>+IF($I110=J$3,VLOOKUP($H110,Depreciation!$A$6:$L$10,7,FALSE)/2,IF($I110&lt;J$3,VLOOKUP($H110,Depreciation!$A$6:$L$10,7,FALSE),0))</f>
        <v>0</v>
      </c>
      <c r="K110" s="361">
        <f>+IF($I110=K$3,VLOOKUP($H110,Depreciation!$A$6:$L$10,8,FALSE)/2,IF($I110&lt;K$3,VLOOKUP($H110,Depreciation!$A$6:$L$10,8,FALSE),0))</f>
        <v>0</v>
      </c>
      <c r="L110" s="361">
        <f>+IF($I110=L$3,VLOOKUP($H110,Depreciation!$A$6:$L$10,9,FALSE)/2,IF($I110&lt;L$3,VLOOKUP($H110,Depreciation!$A$6:$L$10,9,FALSE),0))</f>
        <v>1.5338181838063448E-2</v>
      </c>
      <c r="M110" s="361">
        <f>+IF($I110=M$3,VLOOKUP($H110,Depreciation!$A$6:$L$10,10,FALSE)/2,IF($I110&lt;M$3,VLOOKUP($H110,Depreciation!$A$6:$L$10,10,FALSE),0))</f>
        <v>3.0676363676126896E-2</v>
      </c>
      <c r="N110" s="361">
        <f>+IF($I110=N$3,VLOOKUP($H110,Depreciation!$A$6:$L$10,11,FALSE)/2,IF($I110&lt;N$3,VLOOKUP($H110,Depreciation!$A$6:$L$10,11,FALSE),0))</f>
        <v>3.0676363676126896E-2</v>
      </c>
      <c r="O110" s="361">
        <f>+IF($I110=O$3,VLOOKUP($H110,Depreciation!$A$6:$L$10,12,FALSE)/2,IF($I110&lt;O$3,VLOOKUP($H110,Depreciation!$A$6:$L$10,12,FALSE),0))</f>
        <v>3.0676363676126896E-2</v>
      </c>
      <c r="P110" s="362">
        <f t="shared" si="5"/>
        <v>3967190.2810395192</v>
      </c>
      <c r="Q110" s="362">
        <f t="shared" si="6"/>
        <v>0</v>
      </c>
      <c r="R110" s="363">
        <f t="shared" si="7"/>
        <v>3967190.2810395192</v>
      </c>
      <c r="Y110" s="365"/>
    </row>
    <row r="111" spans="1:25" ht="15" customHeight="1">
      <c r="A111" s="359" t="str">
        <f>'Func Future Lines 2015'!A111</f>
        <v>PPS</v>
      </c>
      <c r="B111" s="359" t="str">
        <f>'Func Future Lines 2015'!B111</f>
        <v>454L/455L</v>
      </c>
      <c r="C111" s="359">
        <f>'Func Future Lines 2015'!C111</f>
        <v>850</v>
      </c>
      <c r="D111" s="359">
        <f>'Func Future Lines 2015'!D111</f>
        <v>138</v>
      </c>
      <c r="E111" s="359">
        <f>'Func Future Lines 2015'!E111</f>
        <v>0</v>
      </c>
      <c r="F111" s="359" t="str">
        <f>'Func Future Lines 2015'!F111</f>
        <v>edmonton</v>
      </c>
      <c r="G111" s="359">
        <f>'Func Future Lines 2015'!G111</f>
        <v>7815341.9759696973</v>
      </c>
      <c r="H111" s="359" t="str">
        <f>'Func Future Lines 2015'!H111</f>
        <v>AltaLink</v>
      </c>
      <c r="I111" s="359">
        <f>'Func Future Lines 2015'!I111</f>
        <v>2017</v>
      </c>
      <c r="J111" s="361">
        <f>+IF($I111=J$3,VLOOKUP($H111,Depreciation!$A$6:$L$10,7,FALSE)/2,IF($I111&lt;J$3,VLOOKUP($H111,Depreciation!$A$6:$L$10,7,FALSE),0))</f>
        <v>0</v>
      </c>
      <c r="K111" s="361">
        <f>+IF($I111=K$3,VLOOKUP($H111,Depreciation!$A$6:$L$10,8,FALSE)/2,IF($I111&lt;K$3,VLOOKUP($H111,Depreciation!$A$6:$L$10,8,FALSE),0))</f>
        <v>0</v>
      </c>
      <c r="L111" s="361">
        <f>+IF($I111=L$3,VLOOKUP($H111,Depreciation!$A$6:$L$10,9,FALSE)/2,IF($I111&lt;L$3,VLOOKUP($H111,Depreciation!$A$6:$L$10,9,FALSE),0))</f>
        <v>1.5338181838063448E-2</v>
      </c>
      <c r="M111" s="361">
        <f>+IF($I111=M$3,VLOOKUP($H111,Depreciation!$A$6:$L$10,10,FALSE)/2,IF($I111&lt;M$3,VLOOKUP($H111,Depreciation!$A$6:$L$10,10,FALSE),0))</f>
        <v>3.0676363676126896E-2</v>
      </c>
      <c r="N111" s="361">
        <f>+IF($I111=N$3,VLOOKUP($H111,Depreciation!$A$6:$L$10,11,FALSE)/2,IF($I111&lt;N$3,VLOOKUP($H111,Depreciation!$A$6:$L$10,11,FALSE),0))</f>
        <v>3.0676363676126896E-2</v>
      </c>
      <c r="O111" s="361">
        <f>+IF($I111=O$3,VLOOKUP($H111,Depreciation!$A$6:$L$10,12,FALSE)/2,IF($I111&lt;O$3,VLOOKUP($H111,Depreciation!$A$6:$L$10,12,FALSE),0))</f>
        <v>3.0676363676126896E-2</v>
      </c>
      <c r="P111" s="362">
        <f t="shared" si="5"/>
        <v>7230572.576571581</v>
      </c>
      <c r="Q111" s="362">
        <f t="shared" si="6"/>
        <v>0</v>
      </c>
      <c r="R111" s="363">
        <f t="shared" si="7"/>
        <v>7230572.576571581</v>
      </c>
      <c r="Y111" s="365"/>
    </row>
    <row r="112" spans="1:25" ht="15" customHeight="1">
      <c r="A112" s="359" t="str">
        <f>'Func Future Lines 2015'!A112</f>
        <v>PPS</v>
      </c>
      <c r="B112" s="359" t="str">
        <f>'Func Future Lines 2015'!B112</f>
        <v>739L</v>
      </c>
      <c r="C112" s="359">
        <f>'Func Future Lines 2015'!C112</f>
        <v>850</v>
      </c>
      <c r="D112" s="359">
        <f>'Func Future Lines 2015'!D112</f>
        <v>138</v>
      </c>
      <c r="E112" s="359">
        <f>'Func Future Lines 2015'!E112</f>
        <v>0</v>
      </c>
      <c r="F112" s="359" t="str">
        <f>'Func Future Lines 2015'!F112</f>
        <v>edmonton</v>
      </c>
      <c r="G112" s="359">
        <f>'Func Future Lines 2015'!G112</f>
        <v>318689.25924461719</v>
      </c>
      <c r="H112" s="359" t="str">
        <f>'Func Future Lines 2015'!H112</f>
        <v>AltaLink</v>
      </c>
      <c r="I112" s="359">
        <f>'Func Future Lines 2015'!I112</f>
        <v>2017</v>
      </c>
      <c r="J112" s="361">
        <f>+IF($I112=J$3,VLOOKUP($H112,Depreciation!$A$6:$L$10,7,FALSE)/2,IF($I112&lt;J$3,VLOOKUP($H112,Depreciation!$A$6:$L$10,7,FALSE),0))</f>
        <v>0</v>
      </c>
      <c r="K112" s="361">
        <f>+IF($I112=K$3,VLOOKUP($H112,Depreciation!$A$6:$L$10,8,FALSE)/2,IF($I112&lt;K$3,VLOOKUP($H112,Depreciation!$A$6:$L$10,8,FALSE),0))</f>
        <v>0</v>
      </c>
      <c r="L112" s="361">
        <f>+IF($I112=L$3,VLOOKUP($H112,Depreciation!$A$6:$L$10,9,FALSE)/2,IF($I112&lt;L$3,VLOOKUP($H112,Depreciation!$A$6:$L$10,9,FALSE),0))</f>
        <v>1.5338181838063448E-2</v>
      </c>
      <c r="M112" s="361">
        <f>+IF($I112=M$3,VLOOKUP($H112,Depreciation!$A$6:$L$10,10,FALSE)/2,IF($I112&lt;M$3,VLOOKUP($H112,Depreciation!$A$6:$L$10,10,FALSE),0))</f>
        <v>3.0676363676126896E-2</v>
      </c>
      <c r="N112" s="361">
        <f>+IF($I112=N$3,VLOOKUP($H112,Depreciation!$A$6:$L$10,11,FALSE)/2,IF($I112&lt;N$3,VLOOKUP($H112,Depreciation!$A$6:$L$10,11,FALSE),0))</f>
        <v>3.0676363676126896E-2</v>
      </c>
      <c r="O112" s="361">
        <f>+IF($I112=O$3,VLOOKUP($H112,Depreciation!$A$6:$L$10,12,FALSE)/2,IF($I112&lt;O$3,VLOOKUP($H112,Depreciation!$A$6:$L$10,12,FALSE),0))</f>
        <v>3.0676363676126896E-2</v>
      </c>
      <c r="P112" s="362">
        <f t="shared" si="5"/>
        <v>294843.88852429343</v>
      </c>
      <c r="Q112" s="362">
        <f t="shared" si="6"/>
        <v>0</v>
      </c>
      <c r="R112" s="363">
        <f t="shared" si="7"/>
        <v>294843.88852429343</v>
      </c>
      <c r="Y112" s="365"/>
    </row>
    <row r="113" spans="1:25" ht="15" customHeight="1">
      <c r="A113" s="359" t="str">
        <f>'Func Future Lines 2015'!A113</f>
        <v>PPS</v>
      </c>
      <c r="B113" s="359" t="str">
        <f>'Func Future Lines 2015'!B113</f>
        <v>780L/174L</v>
      </c>
      <c r="C113" s="359">
        <f>'Func Future Lines 2015'!C113</f>
        <v>850</v>
      </c>
      <c r="D113" s="359">
        <f>'Func Future Lines 2015'!D113</f>
        <v>138</v>
      </c>
      <c r="E113" s="359">
        <f>'Func Future Lines 2015'!E113</f>
        <v>0</v>
      </c>
      <c r="F113" s="359" t="str">
        <f>'Func Future Lines 2015'!F113</f>
        <v>edmonton</v>
      </c>
      <c r="G113" s="359">
        <f>'Func Future Lines 2015'!G113</f>
        <v>61607075.013380922</v>
      </c>
      <c r="H113" s="359" t="str">
        <f>'Func Future Lines 2015'!H113</f>
        <v>AltaLink</v>
      </c>
      <c r="I113" s="359">
        <f>'Func Future Lines 2015'!I113</f>
        <v>2017</v>
      </c>
      <c r="J113" s="361">
        <f>+IF($I113=J$3,VLOOKUP($H113,Depreciation!$A$6:$L$10,7,FALSE)/2,IF($I113&lt;J$3,VLOOKUP($H113,Depreciation!$A$6:$L$10,7,FALSE),0))</f>
        <v>0</v>
      </c>
      <c r="K113" s="361">
        <f>+IF($I113=K$3,VLOOKUP($H113,Depreciation!$A$6:$L$10,8,FALSE)/2,IF($I113&lt;K$3,VLOOKUP($H113,Depreciation!$A$6:$L$10,8,FALSE),0))</f>
        <v>0</v>
      </c>
      <c r="L113" s="361">
        <f>+IF($I113=L$3,VLOOKUP($H113,Depreciation!$A$6:$L$10,9,FALSE)/2,IF($I113&lt;L$3,VLOOKUP($H113,Depreciation!$A$6:$L$10,9,FALSE),0))</f>
        <v>1.5338181838063448E-2</v>
      </c>
      <c r="M113" s="361">
        <f>+IF($I113=M$3,VLOOKUP($H113,Depreciation!$A$6:$L$10,10,FALSE)/2,IF($I113&lt;M$3,VLOOKUP($H113,Depreciation!$A$6:$L$10,10,FALSE),0))</f>
        <v>3.0676363676126896E-2</v>
      </c>
      <c r="N113" s="361">
        <f>+IF($I113=N$3,VLOOKUP($H113,Depreciation!$A$6:$L$10,11,FALSE)/2,IF($I113&lt;N$3,VLOOKUP($H113,Depreciation!$A$6:$L$10,11,FALSE),0))</f>
        <v>3.0676363676126896E-2</v>
      </c>
      <c r="O113" s="361">
        <f>+IF($I113=O$3,VLOOKUP($H113,Depreciation!$A$6:$L$10,12,FALSE)/2,IF($I113&lt;O$3,VLOOKUP($H113,Depreciation!$A$6:$L$10,12,FALSE),0))</f>
        <v>3.0676363676126896E-2</v>
      </c>
      <c r="P113" s="362">
        <f t="shared" si="5"/>
        <v>56997432.547955789</v>
      </c>
      <c r="Q113" s="362">
        <f t="shared" si="6"/>
        <v>0</v>
      </c>
      <c r="R113" s="363">
        <f t="shared" si="7"/>
        <v>56997432.547955789</v>
      </c>
      <c r="Y113" s="365"/>
    </row>
    <row r="114" spans="1:25" ht="15" customHeight="1">
      <c r="A114" s="359" t="str">
        <f>'Func Future Lines 2015'!A114</f>
        <v>PPS</v>
      </c>
      <c r="B114" s="359" t="str">
        <f>'Func Future Lines 2015'!B114</f>
        <v xml:space="preserve">780L/858L </v>
      </c>
      <c r="C114" s="359">
        <f>'Func Future Lines 2015'!C114</f>
        <v>850</v>
      </c>
      <c r="D114" s="359">
        <f>'Func Future Lines 2015'!D114</f>
        <v>138</v>
      </c>
      <c r="E114" s="359">
        <f>'Func Future Lines 2015'!E114</f>
        <v>0</v>
      </c>
      <c r="F114" s="359" t="str">
        <f>'Func Future Lines 2015'!F114</f>
        <v>edmonton</v>
      </c>
      <c r="G114" s="359">
        <f>'Func Future Lines 2015'!G114</f>
        <v>6668353.1939536864</v>
      </c>
      <c r="H114" s="359" t="str">
        <f>'Func Future Lines 2015'!H114</f>
        <v>AltaLink</v>
      </c>
      <c r="I114" s="359">
        <f>'Func Future Lines 2015'!I114</f>
        <v>2017</v>
      </c>
      <c r="J114" s="361">
        <f>+IF($I114=J$3,VLOOKUP($H114,Depreciation!$A$6:$L$10,7,FALSE)/2,IF($I114&lt;J$3,VLOOKUP($H114,Depreciation!$A$6:$L$10,7,FALSE),0))</f>
        <v>0</v>
      </c>
      <c r="K114" s="361">
        <f>+IF($I114=K$3,VLOOKUP($H114,Depreciation!$A$6:$L$10,8,FALSE)/2,IF($I114&lt;K$3,VLOOKUP($H114,Depreciation!$A$6:$L$10,8,FALSE),0))</f>
        <v>0</v>
      </c>
      <c r="L114" s="361">
        <f>+IF($I114=L$3,VLOOKUP($H114,Depreciation!$A$6:$L$10,9,FALSE)/2,IF($I114&lt;L$3,VLOOKUP($H114,Depreciation!$A$6:$L$10,9,FALSE),0))</f>
        <v>1.5338181838063448E-2</v>
      </c>
      <c r="M114" s="361">
        <f>+IF($I114=M$3,VLOOKUP($H114,Depreciation!$A$6:$L$10,10,FALSE)/2,IF($I114&lt;M$3,VLOOKUP($H114,Depreciation!$A$6:$L$10,10,FALSE),0))</f>
        <v>3.0676363676126896E-2</v>
      </c>
      <c r="N114" s="361">
        <f>+IF($I114=N$3,VLOOKUP($H114,Depreciation!$A$6:$L$10,11,FALSE)/2,IF($I114&lt;N$3,VLOOKUP($H114,Depreciation!$A$6:$L$10,11,FALSE),0))</f>
        <v>3.0676363676126896E-2</v>
      </c>
      <c r="O114" s="361">
        <f>+IF($I114=O$3,VLOOKUP($H114,Depreciation!$A$6:$L$10,12,FALSE)/2,IF($I114&lt;O$3,VLOOKUP($H114,Depreciation!$A$6:$L$10,12,FALSE),0))</f>
        <v>3.0676363676126896E-2</v>
      </c>
      <c r="P114" s="362">
        <f t="shared" si="5"/>
        <v>6169405.2395080999</v>
      </c>
      <c r="Q114" s="362">
        <f t="shared" si="6"/>
        <v>0</v>
      </c>
      <c r="R114" s="363">
        <f t="shared" si="7"/>
        <v>6169405.2395080999</v>
      </c>
      <c r="Y114" s="365"/>
    </row>
    <row r="115" spans="1:25" ht="15" customHeight="1">
      <c r="A115" s="359" t="str">
        <f>'Func Future Lines 2015'!A115</f>
        <v>PPS</v>
      </c>
      <c r="B115" s="359" t="str">
        <f>'Func Future Lines 2015'!B115</f>
        <v>790L/790AL</v>
      </c>
      <c r="C115" s="359">
        <f>'Func Future Lines 2015'!C115</f>
        <v>850</v>
      </c>
      <c r="D115" s="359">
        <f>'Func Future Lines 2015'!D115</f>
        <v>138</v>
      </c>
      <c r="E115" s="359">
        <f>'Func Future Lines 2015'!E115</f>
        <v>0</v>
      </c>
      <c r="F115" s="359" t="str">
        <f>'Func Future Lines 2015'!F115</f>
        <v>edmonton</v>
      </c>
      <c r="G115" s="359">
        <f>'Func Future Lines 2015'!G115</f>
        <v>139024.45893739656</v>
      </c>
      <c r="H115" s="359" t="str">
        <f>'Func Future Lines 2015'!H115</f>
        <v>AltaLink</v>
      </c>
      <c r="I115" s="359">
        <f>'Func Future Lines 2015'!I115</f>
        <v>2017</v>
      </c>
      <c r="J115" s="361">
        <f>+IF($I115=J$3,VLOOKUP($H115,Depreciation!$A$6:$L$10,7,FALSE)/2,IF($I115&lt;J$3,VLOOKUP($H115,Depreciation!$A$6:$L$10,7,FALSE),0))</f>
        <v>0</v>
      </c>
      <c r="K115" s="361">
        <f>+IF($I115=K$3,VLOOKUP($H115,Depreciation!$A$6:$L$10,8,FALSE)/2,IF($I115&lt;K$3,VLOOKUP($H115,Depreciation!$A$6:$L$10,8,FALSE),0))</f>
        <v>0</v>
      </c>
      <c r="L115" s="361">
        <f>+IF($I115=L$3,VLOOKUP($H115,Depreciation!$A$6:$L$10,9,FALSE)/2,IF($I115&lt;L$3,VLOOKUP($H115,Depreciation!$A$6:$L$10,9,FALSE),0))</f>
        <v>1.5338181838063448E-2</v>
      </c>
      <c r="M115" s="361">
        <f>+IF($I115=M$3,VLOOKUP($H115,Depreciation!$A$6:$L$10,10,FALSE)/2,IF($I115&lt;M$3,VLOOKUP($H115,Depreciation!$A$6:$L$10,10,FALSE),0))</f>
        <v>3.0676363676126896E-2</v>
      </c>
      <c r="N115" s="361">
        <f>+IF($I115=N$3,VLOOKUP($H115,Depreciation!$A$6:$L$10,11,FALSE)/2,IF($I115&lt;N$3,VLOOKUP($H115,Depreciation!$A$6:$L$10,11,FALSE),0))</f>
        <v>3.0676363676126896E-2</v>
      </c>
      <c r="O115" s="361">
        <f>+IF($I115=O$3,VLOOKUP($H115,Depreciation!$A$6:$L$10,12,FALSE)/2,IF($I115&lt;O$3,VLOOKUP($H115,Depreciation!$A$6:$L$10,12,FALSE),0))</f>
        <v>3.0676363676126896E-2</v>
      </c>
      <c r="P115" s="362">
        <f t="shared" si="5"/>
        <v>128622.19508196463</v>
      </c>
      <c r="Q115" s="362">
        <f t="shared" si="6"/>
        <v>0</v>
      </c>
      <c r="R115" s="363">
        <f t="shared" si="7"/>
        <v>128622.19508196463</v>
      </c>
      <c r="Y115" s="365"/>
    </row>
    <row r="116" spans="1:25" ht="15" customHeight="1">
      <c r="A116" s="359" t="str">
        <f>'Func Future Lines 2015'!A116</f>
        <v>PPS</v>
      </c>
      <c r="B116" s="359" t="str">
        <f>'Func Future Lines 2015'!B116</f>
        <v>874L</v>
      </c>
      <c r="C116" s="359">
        <f>'Func Future Lines 2015'!C116</f>
        <v>850</v>
      </c>
      <c r="D116" s="359">
        <f>'Func Future Lines 2015'!D116</f>
        <v>138</v>
      </c>
      <c r="E116" s="359">
        <f>'Func Future Lines 2015'!E116</f>
        <v>0</v>
      </c>
      <c r="F116" s="359" t="str">
        <f>'Func Future Lines 2015'!F116</f>
        <v>edmonton</v>
      </c>
      <c r="G116" s="359">
        <f>'Func Future Lines 2015'!G116</f>
        <v>187987.90275759264</v>
      </c>
      <c r="H116" s="359" t="str">
        <f>'Func Future Lines 2015'!H116</f>
        <v>AltaLink</v>
      </c>
      <c r="I116" s="359">
        <f>'Func Future Lines 2015'!I116</f>
        <v>2017</v>
      </c>
      <c r="J116" s="361">
        <f>+IF($I116=J$3,VLOOKUP($H116,Depreciation!$A$6:$L$10,7,FALSE)/2,IF($I116&lt;J$3,VLOOKUP($H116,Depreciation!$A$6:$L$10,7,FALSE),0))</f>
        <v>0</v>
      </c>
      <c r="K116" s="361">
        <f>+IF($I116=K$3,VLOOKUP($H116,Depreciation!$A$6:$L$10,8,FALSE)/2,IF($I116&lt;K$3,VLOOKUP($H116,Depreciation!$A$6:$L$10,8,FALSE),0))</f>
        <v>0</v>
      </c>
      <c r="L116" s="361">
        <f>+IF($I116=L$3,VLOOKUP($H116,Depreciation!$A$6:$L$10,9,FALSE)/2,IF($I116&lt;L$3,VLOOKUP($H116,Depreciation!$A$6:$L$10,9,FALSE),0))</f>
        <v>1.5338181838063448E-2</v>
      </c>
      <c r="M116" s="361">
        <f>+IF($I116=M$3,VLOOKUP($H116,Depreciation!$A$6:$L$10,10,FALSE)/2,IF($I116&lt;M$3,VLOOKUP($H116,Depreciation!$A$6:$L$10,10,FALSE),0))</f>
        <v>3.0676363676126896E-2</v>
      </c>
      <c r="N116" s="361">
        <f>+IF($I116=N$3,VLOOKUP($H116,Depreciation!$A$6:$L$10,11,FALSE)/2,IF($I116&lt;N$3,VLOOKUP($H116,Depreciation!$A$6:$L$10,11,FALSE),0))</f>
        <v>3.0676363676126896E-2</v>
      </c>
      <c r="O116" s="361">
        <f>+IF($I116=O$3,VLOOKUP($H116,Depreciation!$A$6:$L$10,12,FALSE)/2,IF($I116&lt;O$3,VLOOKUP($H116,Depreciation!$A$6:$L$10,12,FALSE),0))</f>
        <v>3.0676363676126896E-2</v>
      </c>
      <c r="P116" s="362">
        <f t="shared" si="5"/>
        <v>173922.03419705157</v>
      </c>
      <c r="Q116" s="362">
        <f t="shared" si="6"/>
        <v>0</v>
      </c>
      <c r="R116" s="363">
        <f t="shared" si="7"/>
        <v>173922.03419705157</v>
      </c>
      <c r="Y116" s="365"/>
    </row>
    <row r="117" spans="1:25" ht="15" customHeight="1">
      <c r="A117" s="359" t="str">
        <f>'Func Future Lines 2015'!A117</f>
        <v>PPS</v>
      </c>
      <c r="B117" s="359" t="str">
        <f>'Func Future Lines 2015'!B117</f>
        <v>910L/914L</v>
      </c>
      <c r="C117" s="359">
        <f>'Func Future Lines 2015'!C117</f>
        <v>850</v>
      </c>
      <c r="D117" s="359">
        <f>'Func Future Lines 2015'!D117</f>
        <v>240</v>
      </c>
      <c r="E117" s="359">
        <f>'Func Future Lines 2015'!E117</f>
        <v>0</v>
      </c>
      <c r="F117" s="359" t="str">
        <f>'Func Future Lines 2015'!F117</f>
        <v>edmonton</v>
      </c>
      <c r="G117" s="359">
        <f>'Func Future Lines 2015'!G117</f>
        <v>14418523.778933475</v>
      </c>
      <c r="H117" s="359" t="str">
        <f>'Func Future Lines 2015'!H117</f>
        <v>AltaLink</v>
      </c>
      <c r="I117" s="359">
        <f>'Func Future Lines 2015'!I117</f>
        <v>2017</v>
      </c>
      <c r="J117" s="361">
        <f>+IF($I117=J$3,VLOOKUP($H117,Depreciation!$A$6:$L$10,7,FALSE)/2,IF($I117&lt;J$3,VLOOKUP($H117,Depreciation!$A$6:$L$10,7,FALSE),0))</f>
        <v>0</v>
      </c>
      <c r="K117" s="361">
        <f>+IF($I117=K$3,VLOOKUP($H117,Depreciation!$A$6:$L$10,8,FALSE)/2,IF($I117&lt;K$3,VLOOKUP($H117,Depreciation!$A$6:$L$10,8,FALSE),0))</f>
        <v>0</v>
      </c>
      <c r="L117" s="361">
        <f>+IF($I117=L$3,VLOOKUP($H117,Depreciation!$A$6:$L$10,9,FALSE)/2,IF($I117&lt;L$3,VLOOKUP($H117,Depreciation!$A$6:$L$10,9,FALSE),0))</f>
        <v>1.5338181838063448E-2</v>
      </c>
      <c r="M117" s="361">
        <f>+IF($I117=M$3,VLOOKUP($H117,Depreciation!$A$6:$L$10,10,FALSE)/2,IF($I117&lt;M$3,VLOOKUP($H117,Depreciation!$A$6:$L$10,10,FALSE),0))</f>
        <v>3.0676363676126896E-2</v>
      </c>
      <c r="N117" s="361">
        <f>+IF($I117=N$3,VLOOKUP($H117,Depreciation!$A$6:$L$10,11,FALSE)/2,IF($I117&lt;N$3,VLOOKUP($H117,Depreciation!$A$6:$L$10,11,FALSE),0))</f>
        <v>3.0676363676126896E-2</v>
      </c>
      <c r="O117" s="361">
        <f>+IF($I117=O$3,VLOOKUP($H117,Depreciation!$A$6:$L$10,12,FALSE)/2,IF($I117&lt;O$3,VLOOKUP($H117,Depreciation!$A$6:$L$10,12,FALSE),0))</f>
        <v>3.0676363676126896E-2</v>
      </c>
      <c r="P117" s="362">
        <f t="shared" si="5"/>
        <v>13339682.761312075</v>
      </c>
      <c r="Q117" s="362">
        <f t="shared" si="6"/>
        <v>13339682.761312075</v>
      </c>
      <c r="R117" s="363">
        <f t="shared" si="7"/>
        <v>0</v>
      </c>
      <c r="Y117" s="365"/>
    </row>
    <row r="118" spans="1:25" ht="15" customHeight="1">
      <c r="A118" s="359" t="str">
        <f>'Func Future Lines 2015'!A118</f>
        <v>PPS</v>
      </c>
      <c r="B118" s="359" t="str">
        <f>'Func Future Lines 2015'!B118</f>
        <v>2.83L</v>
      </c>
      <c r="C118" s="359">
        <f>'Func Future Lines 2015'!C118</f>
        <v>859</v>
      </c>
      <c r="D118" s="359">
        <f>'Func Future Lines 2015'!D118</f>
        <v>144</v>
      </c>
      <c r="E118" s="359">
        <f>'Func Future Lines 2015'!E118</f>
        <v>0</v>
      </c>
      <c r="F118" s="359">
        <f>'Func Future Lines 2015'!F118</f>
        <v>0</v>
      </c>
      <c r="G118" s="359">
        <f>'Func Future Lines 2015'!G118</f>
        <v>277558.40845329966</v>
      </c>
      <c r="H118" s="359" t="str">
        <f>'Func Future Lines 2015'!H118</f>
        <v>ENMAX</v>
      </c>
      <c r="I118" s="359">
        <f>'Func Future Lines 2015'!I118</f>
        <v>2015</v>
      </c>
      <c r="J118" s="361">
        <f>+IF($I118=J$3,VLOOKUP($H118,Depreciation!$A$6:$L$10,7,FALSE)/2,IF($I118&lt;J$3,VLOOKUP($H118,Depreciation!$A$6:$L$10,7,FALSE),0))</f>
        <v>1.3475179084025525E-2</v>
      </c>
      <c r="K118" s="361">
        <f>+IF($I118=K$3,VLOOKUP($H118,Depreciation!$A$6:$L$10,8,FALSE)/2,IF($I118&lt;K$3,VLOOKUP($H118,Depreciation!$A$6:$L$10,8,FALSE),0))</f>
        <v>2.6950358168051049E-2</v>
      </c>
      <c r="L118" s="361">
        <f>+IF($I118=L$3,VLOOKUP($H118,Depreciation!$A$6:$L$10,9,FALSE)/2,IF($I118&lt;L$3,VLOOKUP($H118,Depreciation!$A$6:$L$10,9,FALSE),0))</f>
        <v>2.6950358168051049E-2</v>
      </c>
      <c r="M118" s="361">
        <f>+IF($I118=M$3,VLOOKUP($H118,Depreciation!$A$6:$L$10,10,FALSE)/2,IF($I118&lt;M$3,VLOOKUP($H118,Depreciation!$A$6:$L$10,10,FALSE),0))</f>
        <v>2.6950358168051049E-2</v>
      </c>
      <c r="N118" s="361">
        <f>+IF($I118=N$3,VLOOKUP($H118,Depreciation!$A$6:$L$10,11,FALSE)/2,IF($I118&lt;N$3,VLOOKUP($H118,Depreciation!$A$6:$L$10,11,FALSE),0))</f>
        <v>2.6950358168051049E-2</v>
      </c>
      <c r="O118" s="361">
        <f>+IF($I118=O$3,VLOOKUP($H118,Depreciation!$A$6:$L$10,12,FALSE)/2,IF($I118&lt;O$3,VLOOKUP($H118,Depreciation!$A$6:$L$10,12,FALSE),0))</f>
        <v>2.6950358168051049E-2</v>
      </c>
      <c r="P118" s="362">
        <f t="shared" si="5"/>
        <v>245472.24447797169</v>
      </c>
      <c r="Q118" s="362">
        <f t="shared" si="6"/>
        <v>0</v>
      </c>
      <c r="R118" s="363">
        <f t="shared" si="7"/>
        <v>245472.24447797169</v>
      </c>
      <c r="Y118" s="365"/>
    </row>
    <row r="119" spans="1:25" ht="15" customHeight="1">
      <c r="A119" s="359" t="str">
        <f>'Func Future Lines 2015'!A119</f>
        <v>PPS</v>
      </c>
      <c r="B119" s="359" t="str">
        <f>'Func Future Lines 2015'!B119</f>
        <v>1037L/1038L</v>
      </c>
      <c r="C119" s="359">
        <f>'Func Future Lines 2015'!C119</f>
        <v>882</v>
      </c>
      <c r="D119" s="359">
        <f>'Func Future Lines 2015'!D119</f>
        <v>240</v>
      </c>
      <c r="E119" s="359">
        <f>'Func Future Lines 2015'!E119</f>
        <v>0</v>
      </c>
      <c r="F119" s="359">
        <f>'Func Future Lines 2015'!F119</f>
        <v>0</v>
      </c>
      <c r="G119" s="359">
        <f>'Func Future Lines 2015'!G119</f>
        <v>175713694.57219195</v>
      </c>
      <c r="H119" s="359" t="str">
        <f>'Func Future Lines 2015'!H119</f>
        <v>AltaLink</v>
      </c>
      <c r="I119" s="359">
        <f>'Func Future Lines 2015'!I119</f>
        <v>2015</v>
      </c>
      <c r="J119" s="361">
        <f>+IF($I119=J$3,VLOOKUP($H119,Depreciation!$A$6:$L$10,7,FALSE)/2,IF($I119&lt;J$3,VLOOKUP($H119,Depreciation!$A$6:$L$10,7,FALSE),0))</f>
        <v>1.595020804044691E-2</v>
      </c>
      <c r="K119" s="361">
        <f>+IF($I119=K$3,VLOOKUP($H119,Depreciation!$A$6:$L$10,8,FALSE)/2,IF($I119&lt;K$3,VLOOKUP($H119,Depreciation!$A$6:$L$10,8,FALSE),0))</f>
        <v>3.0676363676126896E-2</v>
      </c>
      <c r="L119" s="361">
        <f>+IF($I119=L$3,VLOOKUP($H119,Depreciation!$A$6:$L$10,9,FALSE)/2,IF($I119&lt;L$3,VLOOKUP($H119,Depreciation!$A$6:$L$10,9,FALSE),0))</f>
        <v>3.0676363676126896E-2</v>
      </c>
      <c r="M119" s="361">
        <f>+IF($I119=M$3,VLOOKUP($H119,Depreciation!$A$6:$L$10,10,FALSE)/2,IF($I119&lt;M$3,VLOOKUP($H119,Depreciation!$A$6:$L$10,10,FALSE),0))</f>
        <v>3.0676363676126896E-2</v>
      </c>
      <c r="N119" s="361">
        <f>+IF($I119=N$3,VLOOKUP($H119,Depreciation!$A$6:$L$10,11,FALSE)/2,IF($I119&lt;N$3,VLOOKUP($H119,Depreciation!$A$6:$L$10,11,FALSE),0))</f>
        <v>3.0676363676126896E-2</v>
      </c>
      <c r="O119" s="361">
        <f>+IF($I119=O$3,VLOOKUP($H119,Depreciation!$A$6:$L$10,12,FALSE)/2,IF($I119&lt;O$3,VLOOKUP($H119,Depreciation!$A$6:$L$10,12,FALSE),0))</f>
        <v>3.0676363676126896E-2</v>
      </c>
      <c r="P119" s="362">
        <f t="shared" si="5"/>
        <v>152650382.07104897</v>
      </c>
      <c r="Q119" s="362">
        <f t="shared" si="6"/>
        <v>152650382.07104897</v>
      </c>
      <c r="R119" s="363">
        <f t="shared" si="7"/>
        <v>0</v>
      </c>
      <c r="Y119" s="365"/>
    </row>
    <row r="120" spans="1:25" ht="15" customHeight="1">
      <c r="A120" s="359" t="str">
        <f>'Func Future Lines 2015'!A120</f>
        <v>PPS</v>
      </c>
      <c r="B120" s="359" t="str">
        <f>'Func Future Lines 2015'!B120</f>
        <v>1037L/1038L</v>
      </c>
      <c r="C120" s="359">
        <f>'Func Future Lines 2015'!C120</f>
        <v>882</v>
      </c>
      <c r="D120" s="359">
        <f>'Func Future Lines 2015'!D120</f>
        <v>240</v>
      </c>
      <c r="E120" s="359">
        <f>'Func Future Lines 2015'!E120</f>
        <v>0</v>
      </c>
      <c r="F120" s="359">
        <f>'Func Future Lines 2015'!F120</f>
        <v>0</v>
      </c>
      <c r="G120" s="359">
        <f>'Func Future Lines 2015'!G120</f>
        <v>175713694.57219195</v>
      </c>
      <c r="H120" s="359" t="str">
        <f>'Func Future Lines 2015'!H120</f>
        <v>AltaLink</v>
      </c>
      <c r="I120" s="359">
        <f>'Func Future Lines 2015'!I120</f>
        <v>2015</v>
      </c>
      <c r="J120" s="361">
        <f>+IF($I120=J$3,VLOOKUP($H120,Depreciation!$A$6:$L$10,7,FALSE)/2,IF($I120&lt;J$3,VLOOKUP($H120,Depreciation!$A$6:$L$10,7,FALSE),0))</f>
        <v>1.595020804044691E-2</v>
      </c>
      <c r="K120" s="361">
        <f>+IF($I120=K$3,VLOOKUP($H120,Depreciation!$A$6:$L$10,8,FALSE)/2,IF($I120&lt;K$3,VLOOKUP($H120,Depreciation!$A$6:$L$10,8,FALSE),0))</f>
        <v>3.0676363676126896E-2</v>
      </c>
      <c r="L120" s="361">
        <f>+IF($I120=L$3,VLOOKUP($H120,Depreciation!$A$6:$L$10,9,FALSE)/2,IF($I120&lt;L$3,VLOOKUP($H120,Depreciation!$A$6:$L$10,9,FALSE),0))</f>
        <v>3.0676363676126896E-2</v>
      </c>
      <c r="M120" s="361">
        <f>+IF($I120=M$3,VLOOKUP($H120,Depreciation!$A$6:$L$10,10,FALSE)/2,IF($I120&lt;M$3,VLOOKUP($H120,Depreciation!$A$6:$L$10,10,FALSE),0))</f>
        <v>3.0676363676126896E-2</v>
      </c>
      <c r="N120" s="361">
        <f>+IF($I120=N$3,VLOOKUP($H120,Depreciation!$A$6:$L$10,11,FALSE)/2,IF($I120&lt;N$3,VLOOKUP($H120,Depreciation!$A$6:$L$10,11,FALSE),0))</f>
        <v>3.0676363676126896E-2</v>
      </c>
      <c r="O120" s="361">
        <f>+IF($I120=O$3,VLOOKUP($H120,Depreciation!$A$6:$L$10,12,FALSE)/2,IF($I120&lt;O$3,VLOOKUP($H120,Depreciation!$A$6:$L$10,12,FALSE),0))</f>
        <v>3.0676363676126896E-2</v>
      </c>
      <c r="P120" s="362">
        <f t="shared" si="5"/>
        <v>152650382.07104897</v>
      </c>
      <c r="Q120" s="362">
        <f t="shared" si="6"/>
        <v>152650382.07104897</v>
      </c>
      <c r="R120" s="363">
        <f t="shared" si="7"/>
        <v>0</v>
      </c>
      <c r="Y120" s="365"/>
    </row>
    <row r="121" spans="1:25" ht="15" customHeight="1">
      <c r="A121" s="359" t="str">
        <f>'Func Future Lines 2015'!A121</f>
        <v>PPS</v>
      </c>
      <c r="B121" s="359" t="str">
        <f>'Func Future Lines 2015'!B121</f>
        <v>1048L/1049L</v>
      </c>
      <c r="C121" s="359">
        <f>'Func Future Lines 2015'!C121</f>
        <v>882</v>
      </c>
      <c r="D121" s="359">
        <f>'Func Future Lines 2015'!D121</f>
        <v>240</v>
      </c>
      <c r="E121" s="359">
        <f>'Func Future Lines 2015'!E121</f>
        <v>0</v>
      </c>
      <c r="F121" s="359">
        <f>'Func Future Lines 2015'!F121</f>
        <v>0</v>
      </c>
      <c r="G121" s="359">
        <f>'Func Future Lines 2015'!G121</f>
        <v>1408640.4351352858</v>
      </c>
      <c r="H121" s="359" t="str">
        <f>'Func Future Lines 2015'!H121</f>
        <v>AltaLink</v>
      </c>
      <c r="I121" s="359">
        <f>'Func Future Lines 2015'!I121</f>
        <v>2015</v>
      </c>
      <c r="J121" s="361">
        <f>+IF($I121=J$3,VLOOKUP($H121,Depreciation!$A$6:$L$10,7,FALSE)/2,IF($I121&lt;J$3,VLOOKUP($H121,Depreciation!$A$6:$L$10,7,FALSE),0))</f>
        <v>1.595020804044691E-2</v>
      </c>
      <c r="K121" s="361">
        <f>+IF($I121=K$3,VLOOKUP($H121,Depreciation!$A$6:$L$10,8,FALSE)/2,IF($I121&lt;K$3,VLOOKUP($H121,Depreciation!$A$6:$L$10,8,FALSE),0))</f>
        <v>3.0676363676126896E-2</v>
      </c>
      <c r="L121" s="361">
        <f>+IF($I121=L$3,VLOOKUP($H121,Depreciation!$A$6:$L$10,9,FALSE)/2,IF($I121&lt;L$3,VLOOKUP($H121,Depreciation!$A$6:$L$10,9,FALSE),0))</f>
        <v>3.0676363676126896E-2</v>
      </c>
      <c r="M121" s="361">
        <f>+IF($I121=M$3,VLOOKUP($H121,Depreciation!$A$6:$L$10,10,FALSE)/2,IF($I121&lt;M$3,VLOOKUP($H121,Depreciation!$A$6:$L$10,10,FALSE),0))</f>
        <v>3.0676363676126896E-2</v>
      </c>
      <c r="N121" s="361">
        <f>+IF($I121=N$3,VLOOKUP($H121,Depreciation!$A$6:$L$10,11,FALSE)/2,IF($I121&lt;N$3,VLOOKUP($H121,Depreciation!$A$6:$L$10,11,FALSE),0))</f>
        <v>3.0676363676126896E-2</v>
      </c>
      <c r="O121" s="361">
        <f>+IF($I121=O$3,VLOOKUP($H121,Depreciation!$A$6:$L$10,12,FALSE)/2,IF($I121&lt;O$3,VLOOKUP($H121,Depreciation!$A$6:$L$10,12,FALSE),0))</f>
        <v>3.0676363676126896E-2</v>
      </c>
      <c r="P121" s="362">
        <f t="shared" si="5"/>
        <v>1223749.2424688914</v>
      </c>
      <c r="Q121" s="362">
        <f t="shared" si="6"/>
        <v>1223749.2424688914</v>
      </c>
      <c r="R121" s="363">
        <f t="shared" si="7"/>
        <v>0</v>
      </c>
      <c r="Y121" s="365"/>
    </row>
    <row r="122" spans="1:25" ht="15" customHeight="1">
      <c r="A122" s="359" t="str">
        <f>'Func Future Lines 2015'!A122</f>
        <v>PPS</v>
      </c>
      <c r="B122" s="359" t="str">
        <f>'Func Future Lines 2015'!B122</f>
        <v>1048L/1049L</v>
      </c>
      <c r="C122" s="359">
        <f>'Func Future Lines 2015'!C122</f>
        <v>882</v>
      </c>
      <c r="D122" s="359">
        <f>'Func Future Lines 2015'!D122</f>
        <v>240</v>
      </c>
      <c r="E122" s="359">
        <f>'Func Future Lines 2015'!E122</f>
        <v>0</v>
      </c>
      <c r="F122" s="359">
        <f>'Func Future Lines 2015'!F122</f>
        <v>0</v>
      </c>
      <c r="G122" s="359">
        <f>'Func Future Lines 2015'!G122</f>
        <v>1408640.4351352858</v>
      </c>
      <c r="H122" s="359" t="str">
        <f>'Func Future Lines 2015'!H122</f>
        <v>AltaLink</v>
      </c>
      <c r="I122" s="359">
        <f>'Func Future Lines 2015'!I122</f>
        <v>2015</v>
      </c>
      <c r="J122" s="361">
        <f>+IF($I122=J$3,VLOOKUP($H122,Depreciation!$A$6:$L$10,7,FALSE)/2,IF($I122&lt;J$3,VLOOKUP($H122,Depreciation!$A$6:$L$10,7,FALSE),0))</f>
        <v>1.595020804044691E-2</v>
      </c>
      <c r="K122" s="361">
        <f>+IF($I122=K$3,VLOOKUP($H122,Depreciation!$A$6:$L$10,8,FALSE)/2,IF($I122&lt;K$3,VLOOKUP($H122,Depreciation!$A$6:$L$10,8,FALSE),0))</f>
        <v>3.0676363676126896E-2</v>
      </c>
      <c r="L122" s="361">
        <f>+IF($I122=L$3,VLOOKUP($H122,Depreciation!$A$6:$L$10,9,FALSE)/2,IF($I122&lt;L$3,VLOOKUP($H122,Depreciation!$A$6:$L$10,9,FALSE),0))</f>
        <v>3.0676363676126896E-2</v>
      </c>
      <c r="M122" s="361">
        <f>+IF($I122=M$3,VLOOKUP($H122,Depreciation!$A$6:$L$10,10,FALSE)/2,IF($I122&lt;M$3,VLOOKUP($H122,Depreciation!$A$6:$L$10,10,FALSE),0))</f>
        <v>3.0676363676126896E-2</v>
      </c>
      <c r="N122" s="361">
        <f>+IF($I122=N$3,VLOOKUP($H122,Depreciation!$A$6:$L$10,11,FALSE)/2,IF($I122&lt;N$3,VLOOKUP($H122,Depreciation!$A$6:$L$10,11,FALSE),0))</f>
        <v>3.0676363676126896E-2</v>
      </c>
      <c r="O122" s="361">
        <f>+IF($I122=O$3,VLOOKUP($H122,Depreciation!$A$6:$L$10,12,FALSE)/2,IF($I122&lt;O$3,VLOOKUP($H122,Depreciation!$A$6:$L$10,12,FALSE),0))</f>
        <v>3.0676363676126896E-2</v>
      </c>
      <c r="P122" s="362">
        <f t="shared" si="5"/>
        <v>1223749.2424688914</v>
      </c>
      <c r="Q122" s="362">
        <f t="shared" si="6"/>
        <v>1223749.2424688914</v>
      </c>
      <c r="R122" s="363">
        <f t="shared" si="7"/>
        <v>0</v>
      </c>
      <c r="Y122" s="365"/>
    </row>
    <row r="123" spans="1:25" ht="15" customHeight="1">
      <c r="A123" s="359" t="str">
        <f>'Func Future Lines 2015'!A123</f>
        <v>PPS</v>
      </c>
      <c r="B123" s="359" t="str">
        <f>'Func Future Lines 2015'!B123</f>
        <v>603L to Windy Flats 138S</v>
      </c>
      <c r="C123" s="359">
        <f>'Func Future Lines 2015'!C123</f>
        <v>882</v>
      </c>
      <c r="D123" s="359">
        <f>'Func Future Lines 2015'!D123</f>
        <v>138</v>
      </c>
      <c r="E123" s="359">
        <f>'Func Future Lines 2015'!E123</f>
        <v>0</v>
      </c>
      <c r="F123" s="359">
        <f>'Func Future Lines 2015'!F123</f>
        <v>0</v>
      </c>
      <c r="G123" s="359">
        <f>'Func Future Lines 2015'!G123</f>
        <v>408645.45604728005</v>
      </c>
      <c r="H123" s="359" t="str">
        <f>'Func Future Lines 2015'!H123</f>
        <v>AltaLink</v>
      </c>
      <c r="I123" s="359">
        <f>'Func Future Lines 2015'!I123</f>
        <v>2015</v>
      </c>
      <c r="J123" s="361">
        <f>+IF($I123=J$3,VLOOKUP($H123,Depreciation!$A$6:$L$10,7,FALSE)/2,IF($I123&lt;J$3,VLOOKUP($H123,Depreciation!$A$6:$L$10,7,FALSE),0))</f>
        <v>1.595020804044691E-2</v>
      </c>
      <c r="K123" s="361">
        <f>+IF($I123=K$3,VLOOKUP($H123,Depreciation!$A$6:$L$10,8,FALSE)/2,IF($I123&lt;K$3,VLOOKUP($H123,Depreciation!$A$6:$L$10,8,FALSE),0))</f>
        <v>3.0676363676126896E-2</v>
      </c>
      <c r="L123" s="361">
        <f>+IF($I123=L$3,VLOOKUP($H123,Depreciation!$A$6:$L$10,9,FALSE)/2,IF($I123&lt;L$3,VLOOKUP($H123,Depreciation!$A$6:$L$10,9,FALSE),0))</f>
        <v>3.0676363676126896E-2</v>
      </c>
      <c r="M123" s="361">
        <f>+IF($I123=M$3,VLOOKUP($H123,Depreciation!$A$6:$L$10,10,FALSE)/2,IF($I123&lt;M$3,VLOOKUP($H123,Depreciation!$A$6:$L$10,10,FALSE),0))</f>
        <v>3.0676363676126896E-2</v>
      </c>
      <c r="N123" s="361">
        <f>+IF($I123=N$3,VLOOKUP($H123,Depreciation!$A$6:$L$10,11,FALSE)/2,IF($I123&lt;N$3,VLOOKUP($H123,Depreciation!$A$6:$L$10,11,FALSE),0))</f>
        <v>3.0676363676126896E-2</v>
      </c>
      <c r="O123" s="361">
        <f>+IF($I123=O$3,VLOOKUP($H123,Depreciation!$A$6:$L$10,12,FALSE)/2,IF($I123&lt;O$3,VLOOKUP($H123,Depreciation!$A$6:$L$10,12,FALSE),0))</f>
        <v>3.0676363676126896E-2</v>
      </c>
      <c r="P123" s="362">
        <f t="shared" si="5"/>
        <v>355008.66992234683</v>
      </c>
      <c r="Q123" s="362">
        <f t="shared" si="6"/>
        <v>0</v>
      </c>
      <c r="R123" s="363">
        <f t="shared" si="7"/>
        <v>355008.66992234683</v>
      </c>
      <c r="Y123" s="365"/>
    </row>
    <row r="124" spans="1:25" ht="15" customHeight="1">
      <c r="A124" s="359" t="str">
        <f>'Func Future Lines 2015'!A124</f>
        <v>PPS</v>
      </c>
      <c r="B124" s="359" t="str">
        <f>'Func Future Lines 2015'!B124</f>
        <v xml:space="preserve">608L - 138kV both s/c and d/c </v>
      </c>
      <c r="C124" s="359">
        <f>'Func Future Lines 2015'!C124</f>
        <v>882</v>
      </c>
      <c r="D124" s="359">
        <f>'Func Future Lines 2015'!D124</f>
        <v>138</v>
      </c>
      <c r="E124" s="359">
        <f>'Func Future Lines 2015'!E124</f>
        <v>0</v>
      </c>
      <c r="F124" s="359">
        <f>'Func Future Lines 2015'!F124</f>
        <v>0</v>
      </c>
      <c r="G124" s="359">
        <f>'Func Future Lines 2015'!G124</f>
        <v>6799479.65835247</v>
      </c>
      <c r="H124" s="359" t="str">
        <f>'Func Future Lines 2015'!H124</f>
        <v>AltaLink</v>
      </c>
      <c r="I124" s="359">
        <f>'Func Future Lines 2015'!I124</f>
        <v>2015</v>
      </c>
      <c r="J124" s="361">
        <f>+IF($I124=J$3,VLOOKUP($H124,Depreciation!$A$6:$L$10,7,FALSE)/2,IF($I124&lt;J$3,VLOOKUP($H124,Depreciation!$A$6:$L$10,7,FALSE),0))</f>
        <v>1.595020804044691E-2</v>
      </c>
      <c r="K124" s="361">
        <f>+IF($I124=K$3,VLOOKUP($H124,Depreciation!$A$6:$L$10,8,FALSE)/2,IF($I124&lt;K$3,VLOOKUP($H124,Depreciation!$A$6:$L$10,8,FALSE),0))</f>
        <v>3.0676363676126896E-2</v>
      </c>
      <c r="L124" s="361">
        <f>+IF($I124=L$3,VLOOKUP($H124,Depreciation!$A$6:$L$10,9,FALSE)/2,IF($I124&lt;L$3,VLOOKUP($H124,Depreciation!$A$6:$L$10,9,FALSE),0))</f>
        <v>3.0676363676126896E-2</v>
      </c>
      <c r="M124" s="361">
        <f>+IF($I124=M$3,VLOOKUP($H124,Depreciation!$A$6:$L$10,10,FALSE)/2,IF($I124&lt;M$3,VLOOKUP($H124,Depreciation!$A$6:$L$10,10,FALSE),0))</f>
        <v>3.0676363676126896E-2</v>
      </c>
      <c r="N124" s="361">
        <f>+IF($I124=N$3,VLOOKUP($H124,Depreciation!$A$6:$L$10,11,FALSE)/2,IF($I124&lt;N$3,VLOOKUP($H124,Depreciation!$A$6:$L$10,11,FALSE),0))</f>
        <v>3.0676363676126896E-2</v>
      </c>
      <c r="O124" s="361">
        <f>+IF($I124=O$3,VLOOKUP($H124,Depreciation!$A$6:$L$10,12,FALSE)/2,IF($I124&lt;O$3,VLOOKUP($H124,Depreciation!$A$6:$L$10,12,FALSE),0))</f>
        <v>3.0676363676126896E-2</v>
      </c>
      <c r="P124" s="362">
        <f t="shared" si="5"/>
        <v>5907013.5100106914</v>
      </c>
      <c r="Q124" s="362">
        <f t="shared" si="6"/>
        <v>0</v>
      </c>
      <c r="R124" s="363">
        <f t="shared" si="7"/>
        <v>5907013.5100106914</v>
      </c>
      <c r="Y124" s="365"/>
    </row>
    <row r="125" spans="1:25" ht="15" customHeight="1">
      <c r="A125" s="359" t="str">
        <f>'Func Future Lines 2015'!A125</f>
        <v>PPS</v>
      </c>
      <c r="B125" s="359" t="str">
        <f>'Func Future Lines 2015'!B125</f>
        <v>608L - d/c 725BL</v>
      </c>
      <c r="C125" s="359">
        <f>'Func Future Lines 2015'!C125</f>
        <v>882</v>
      </c>
      <c r="D125" s="359">
        <f>'Func Future Lines 2015'!D125</f>
        <v>138</v>
      </c>
      <c r="E125" s="359">
        <f>'Func Future Lines 2015'!E125</f>
        <v>0</v>
      </c>
      <c r="F125" s="359">
        <f>'Func Future Lines 2015'!F125</f>
        <v>0</v>
      </c>
      <c r="G125" s="359">
        <f>'Func Future Lines 2015'!G125</f>
        <v>2371991.3149319356</v>
      </c>
      <c r="H125" s="359" t="str">
        <f>'Func Future Lines 2015'!H125</f>
        <v>AltaLink</v>
      </c>
      <c r="I125" s="359">
        <f>'Func Future Lines 2015'!I125</f>
        <v>2015</v>
      </c>
      <c r="J125" s="361">
        <f>+IF($I125=J$3,VLOOKUP($H125,Depreciation!$A$6:$L$10,7,FALSE)/2,IF($I125&lt;J$3,VLOOKUP($H125,Depreciation!$A$6:$L$10,7,FALSE),0))</f>
        <v>1.595020804044691E-2</v>
      </c>
      <c r="K125" s="361">
        <f>+IF($I125=K$3,VLOOKUP($H125,Depreciation!$A$6:$L$10,8,FALSE)/2,IF($I125&lt;K$3,VLOOKUP($H125,Depreciation!$A$6:$L$10,8,FALSE),0))</f>
        <v>3.0676363676126896E-2</v>
      </c>
      <c r="L125" s="361">
        <f>+IF($I125=L$3,VLOOKUP($H125,Depreciation!$A$6:$L$10,9,FALSE)/2,IF($I125&lt;L$3,VLOOKUP($H125,Depreciation!$A$6:$L$10,9,FALSE),0))</f>
        <v>3.0676363676126896E-2</v>
      </c>
      <c r="M125" s="361">
        <f>+IF($I125=M$3,VLOOKUP($H125,Depreciation!$A$6:$L$10,10,FALSE)/2,IF($I125&lt;M$3,VLOOKUP($H125,Depreciation!$A$6:$L$10,10,FALSE),0))</f>
        <v>3.0676363676126896E-2</v>
      </c>
      <c r="N125" s="361">
        <f>+IF($I125=N$3,VLOOKUP($H125,Depreciation!$A$6:$L$10,11,FALSE)/2,IF($I125&lt;N$3,VLOOKUP($H125,Depreciation!$A$6:$L$10,11,FALSE),0))</f>
        <v>3.0676363676126896E-2</v>
      </c>
      <c r="O125" s="361">
        <f>+IF($I125=O$3,VLOOKUP($H125,Depreciation!$A$6:$L$10,12,FALSE)/2,IF($I125&lt;O$3,VLOOKUP($H125,Depreciation!$A$6:$L$10,12,FALSE),0))</f>
        <v>3.0676363676126896E-2</v>
      </c>
      <c r="P125" s="362">
        <f t="shared" si="5"/>
        <v>2060655.4393790124</v>
      </c>
      <c r="Q125" s="362">
        <f t="shared" si="6"/>
        <v>0</v>
      </c>
      <c r="R125" s="363">
        <f t="shared" si="7"/>
        <v>2060655.4393790124</v>
      </c>
      <c r="Y125" s="365"/>
    </row>
    <row r="126" spans="1:25" ht="15" customHeight="1">
      <c r="A126" s="359" t="str">
        <f>'Func Future Lines 2015'!A126</f>
        <v>PPS</v>
      </c>
      <c r="B126" s="359" t="str">
        <f>'Func Future Lines 2015'!B126</f>
        <v>911L By-Pass</v>
      </c>
      <c r="C126" s="359">
        <f>'Func Future Lines 2015'!C126</f>
        <v>882</v>
      </c>
      <c r="D126" s="359">
        <f>'Func Future Lines 2015'!D126</f>
        <v>240</v>
      </c>
      <c r="E126" s="359">
        <f>'Func Future Lines 2015'!E126</f>
        <v>0</v>
      </c>
      <c r="F126" s="359">
        <f>'Func Future Lines 2015'!F126</f>
        <v>0</v>
      </c>
      <c r="G126" s="359">
        <f>'Func Future Lines 2015'!G126</f>
        <v>11928878.215178415</v>
      </c>
      <c r="H126" s="359" t="str">
        <f>'Func Future Lines 2015'!H126</f>
        <v>AltaLink</v>
      </c>
      <c r="I126" s="359">
        <f>'Func Future Lines 2015'!I126</f>
        <v>2015</v>
      </c>
      <c r="J126" s="361">
        <f>+IF($I126=J$3,VLOOKUP($H126,Depreciation!$A$6:$L$10,7,FALSE)/2,IF($I126&lt;J$3,VLOOKUP($H126,Depreciation!$A$6:$L$10,7,FALSE),0))</f>
        <v>1.595020804044691E-2</v>
      </c>
      <c r="K126" s="361">
        <f>+IF($I126=K$3,VLOOKUP($H126,Depreciation!$A$6:$L$10,8,FALSE)/2,IF($I126&lt;K$3,VLOOKUP($H126,Depreciation!$A$6:$L$10,8,FALSE),0))</f>
        <v>3.0676363676126896E-2</v>
      </c>
      <c r="L126" s="361">
        <f>+IF($I126=L$3,VLOOKUP($H126,Depreciation!$A$6:$L$10,9,FALSE)/2,IF($I126&lt;L$3,VLOOKUP($H126,Depreciation!$A$6:$L$10,9,FALSE),0))</f>
        <v>3.0676363676126896E-2</v>
      </c>
      <c r="M126" s="361">
        <f>+IF($I126=M$3,VLOOKUP($H126,Depreciation!$A$6:$L$10,10,FALSE)/2,IF($I126&lt;M$3,VLOOKUP($H126,Depreciation!$A$6:$L$10,10,FALSE),0))</f>
        <v>3.0676363676126896E-2</v>
      </c>
      <c r="N126" s="361">
        <f>+IF($I126=N$3,VLOOKUP($H126,Depreciation!$A$6:$L$10,11,FALSE)/2,IF($I126&lt;N$3,VLOOKUP($H126,Depreciation!$A$6:$L$10,11,FALSE),0))</f>
        <v>3.0676363676126896E-2</v>
      </c>
      <c r="O126" s="361">
        <f>+IF($I126=O$3,VLOOKUP($H126,Depreciation!$A$6:$L$10,12,FALSE)/2,IF($I126&lt;O$3,VLOOKUP($H126,Depreciation!$A$6:$L$10,12,FALSE),0))</f>
        <v>3.0676363676126896E-2</v>
      </c>
      <c r="P126" s="362">
        <f t="shared" si="5"/>
        <v>10363152.522968901</v>
      </c>
      <c r="Q126" s="362">
        <f t="shared" si="6"/>
        <v>10363152.522968901</v>
      </c>
      <c r="R126" s="363">
        <f t="shared" si="7"/>
        <v>0</v>
      </c>
      <c r="Y126" s="365"/>
    </row>
    <row r="127" spans="1:25" ht="15" customHeight="1">
      <c r="A127" s="359" t="str">
        <f>'Func Future Lines 2015'!A127</f>
        <v>PPS</v>
      </c>
      <c r="B127" s="359" t="str">
        <f>'Func Future Lines 2015'!B127</f>
        <v>911L Crossing</v>
      </c>
      <c r="C127" s="359">
        <f>'Func Future Lines 2015'!C127</f>
        <v>882</v>
      </c>
      <c r="D127" s="359">
        <f>'Func Future Lines 2015'!D127</f>
        <v>240</v>
      </c>
      <c r="E127" s="359">
        <f>'Func Future Lines 2015'!E127</f>
        <v>0</v>
      </c>
      <c r="F127" s="359">
        <f>'Func Future Lines 2015'!F127</f>
        <v>0</v>
      </c>
      <c r="G127" s="359">
        <f>'Func Future Lines 2015'!G127</f>
        <v>4366097.6160243107</v>
      </c>
      <c r="H127" s="359" t="str">
        <f>'Func Future Lines 2015'!H127</f>
        <v>AltaLink</v>
      </c>
      <c r="I127" s="359">
        <f>'Func Future Lines 2015'!I127</f>
        <v>2015</v>
      </c>
      <c r="J127" s="361">
        <f>+IF($I127=J$3,VLOOKUP($H127,Depreciation!$A$6:$L$10,7,FALSE)/2,IF($I127&lt;J$3,VLOOKUP($H127,Depreciation!$A$6:$L$10,7,FALSE),0))</f>
        <v>1.595020804044691E-2</v>
      </c>
      <c r="K127" s="361">
        <f>+IF($I127=K$3,VLOOKUP($H127,Depreciation!$A$6:$L$10,8,FALSE)/2,IF($I127&lt;K$3,VLOOKUP($H127,Depreciation!$A$6:$L$10,8,FALSE),0))</f>
        <v>3.0676363676126896E-2</v>
      </c>
      <c r="L127" s="361">
        <f>+IF($I127=L$3,VLOOKUP($H127,Depreciation!$A$6:$L$10,9,FALSE)/2,IF($I127&lt;L$3,VLOOKUP($H127,Depreciation!$A$6:$L$10,9,FALSE),0))</f>
        <v>3.0676363676126896E-2</v>
      </c>
      <c r="M127" s="361">
        <f>+IF($I127=M$3,VLOOKUP($H127,Depreciation!$A$6:$L$10,10,FALSE)/2,IF($I127&lt;M$3,VLOOKUP($H127,Depreciation!$A$6:$L$10,10,FALSE),0))</f>
        <v>3.0676363676126896E-2</v>
      </c>
      <c r="N127" s="361">
        <f>+IF($I127=N$3,VLOOKUP($H127,Depreciation!$A$6:$L$10,11,FALSE)/2,IF($I127&lt;N$3,VLOOKUP($H127,Depreciation!$A$6:$L$10,11,FALSE),0))</f>
        <v>3.0676363676126896E-2</v>
      </c>
      <c r="O127" s="361">
        <f>+IF($I127=O$3,VLOOKUP($H127,Depreciation!$A$6:$L$10,12,FALSE)/2,IF($I127&lt;O$3,VLOOKUP($H127,Depreciation!$A$6:$L$10,12,FALSE),0))</f>
        <v>3.0676363676126896E-2</v>
      </c>
      <c r="P127" s="362">
        <f t="shared" si="5"/>
        <v>3793025.1871847212</v>
      </c>
      <c r="Q127" s="362">
        <f t="shared" si="6"/>
        <v>3793025.1871847212</v>
      </c>
      <c r="R127" s="363">
        <f t="shared" si="7"/>
        <v>0</v>
      </c>
      <c r="Y127" s="365"/>
    </row>
    <row r="128" spans="1:25" ht="15" customHeight="1">
      <c r="A128" s="359" t="str">
        <f>'Func Future Lines 2015'!A128</f>
        <v>PPS</v>
      </c>
      <c r="B128" s="359" t="str">
        <f>'Func Future Lines 2015'!B128</f>
        <v>967L/968L</v>
      </c>
      <c r="C128" s="359">
        <f>'Func Future Lines 2015'!C128</f>
        <v>882</v>
      </c>
      <c r="D128" s="359">
        <f>'Func Future Lines 2015'!D128</f>
        <v>240</v>
      </c>
      <c r="E128" s="359">
        <f>'Func Future Lines 2015'!E128</f>
        <v>0</v>
      </c>
      <c r="F128" s="359">
        <f>'Func Future Lines 2015'!F128</f>
        <v>0</v>
      </c>
      <c r="G128" s="359">
        <f>'Func Future Lines 2015'!G128</f>
        <v>1457386.3381379189</v>
      </c>
      <c r="H128" s="359" t="str">
        <f>'Func Future Lines 2015'!H128</f>
        <v>AltaLink</v>
      </c>
      <c r="I128" s="359">
        <f>'Func Future Lines 2015'!I128</f>
        <v>2015</v>
      </c>
      <c r="J128" s="361">
        <f>+IF($I128=J$3,VLOOKUP($H128,Depreciation!$A$6:$L$10,7,FALSE)/2,IF($I128&lt;J$3,VLOOKUP($H128,Depreciation!$A$6:$L$10,7,FALSE),0))</f>
        <v>1.595020804044691E-2</v>
      </c>
      <c r="K128" s="361">
        <f>+IF($I128=K$3,VLOOKUP($H128,Depreciation!$A$6:$L$10,8,FALSE)/2,IF($I128&lt;K$3,VLOOKUP($H128,Depreciation!$A$6:$L$10,8,FALSE),0))</f>
        <v>3.0676363676126896E-2</v>
      </c>
      <c r="L128" s="361">
        <f>+IF($I128=L$3,VLOOKUP($H128,Depreciation!$A$6:$L$10,9,FALSE)/2,IF($I128&lt;L$3,VLOOKUP($H128,Depreciation!$A$6:$L$10,9,FALSE),0))</f>
        <v>3.0676363676126896E-2</v>
      </c>
      <c r="M128" s="361">
        <f>+IF($I128=M$3,VLOOKUP($H128,Depreciation!$A$6:$L$10,10,FALSE)/2,IF($I128&lt;M$3,VLOOKUP($H128,Depreciation!$A$6:$L$10,10,FALSE),0))</f>
        <v>3.0676363676126896E-2</v>
      </c>
      <c r="N128" s="361">
        <f>+IF($I128=N$3,VLOOKUP($H128,Depreciation!$A$6:$L$10,11,FALSE)/2,IF($I128&lt;N$3,VLOOKUP($H128,Depreciation!$A$6:$L$10,11,FALSE),0))</f>
        <v>3.0676363676126896E-2</v>
      </c>
      <c r="O128" s="361">
        <f>+IF($I128=O$3,VLOOKUP($H128,Depreciation!$A$6:$L$10,12,FALSE)/2,IF($I128&lt;O$3,VLOOKUP($H128,Depreciation!$A$6:$L$10,12,FALSE),0))</f>
        <v>3.0676363676126896E-2</v>
      </c>
      <c r="P128" s="362">
        <f t="shared" si="5"/>
        <v>1266096.9987770547</v>
      </c>
      <c r="Q128" s="362">
        <f t="shared" si="6"/>
        <v>1266096.9987770547</v>
      </c>
      <c r="R128" s="363">
        <f t="shared" si="7"/>
        <v>0</v>
      </c>
      <c r="Y128" s="365"/>
    </row>
    <row r="129" spans="1:25" ht="15" customHeight="1">
      <c r="A129" s="359" t="str">
        <f>'Func Future Lines 2015'!A129</f>
        <v>PPS</v>
      </c>
      <c r="B129" s="359" t="str">
        <f>'Func Future Lines 2015'!B129</f>
        <v>967L/968L</v>
      </c>
      <c r="C129" s="359">
        <f>'Func Future Lines 2015'!C129</f>
        <v>882</v>
      </c>
      <c r="D129" s="359">
        <f>'Func Future Lines 2015'!D129</f>
        <v>240</v>
      </c>
      <c r="E129" s="359">
        <f>'Func Future Lines 2015'!E129</f>
        <v>0</v>
      </c>
      <c r="F129" s="359">
        <f>'Func Future Lines 2015'!F129</f>
        <v>0</v>
      </c>
      <c r="G129" s="359">
        <f>'Func Future Lines 2015'!G129</f>
        <v>1445486.0678757485</v>
      </c>
      <c r="H129" s="359" t="str">
        <f>'Func Future Lines 2015'!H129</f>
        <v>AltaLink</v>
      </c>
      <c r="I129" s="359">
        <f>'Func Future Lines 2015'!I129</f>
        <v>2015</v>
      </c>
      <c r="J129" s="361">
        <f>+IF($I129=J$3,VLOOKUP($H129,Depreciation!$A$6:$L$10,7,FALSE)/2,IF($I129&lt;J$3,VLOOKUP($H129,Depreciation!$A$6:$L$10,7,FALSE),0))</f>
        <v>1.595020804044691E-2</v>
      </c>
      <c r="K129" s="361">
        <f>+IF($I129=K$3,VLOOKUP($H129,Depreciation!$A$6:$L$10,8,FALSE)/2,IF($I129&lt;K$3,VLOOKUP($H129,Depreciation!$A$6:$L$10,8,FALSE),0))</f>
        <v>3.0676363676126896E-2</v>
      </c>
      <c r="L129" s="361">
        <f>+IF($I129=L$3,VLOOKUP($H129,Depreciation!$A$6:$L$10,9,FALSE)/2,IF($I129&lt;L$3,VLOOKUP($H129,Depreciation!$A$6:$L$10,9,FALSE),0))</f>
        <v>3.0676363676126896E-2</v>
      </c>
      <c r="M129" s="361">
        <f>+IF($I129=M$3,VLOOKUP($H129,Depreciation!$A$6:$L$10,10,FALSE)/2,IF($I129&lt;M$3,VLOOKUP($H129,Depreciation!$A$6:$L$10,10,FALSE),0))</f>
        <v>3.0676363676126896E-2</v>
      </c>
      <c r="N129" s="361">
        <f>+IF($I129=N$3,VLOOKUP($H129,Depreciation!$A$6:$L$10,11,FALSE)/2,IF($I129&lt;N$3,VLOOKUP($H129,Depreciation!$A$6:$L$10,11,FALSE),0))</f>
        <v>3.0676363676126896E-2</v>
      </c>
      <c r="O129" s="361">
        <f>+IF($I129=O$3,VLOOKUP($H129,Depreciation!$A$6:$L$10,12,FALSE)/2,IF($I129&lt;O$3,VLOOKUP($H129,Depreciation!$A$6:$L$10,12,FALSE),0))</f>
        <v>3.0676363676126896E-2</v>
      </c>
      <c r="P129" s="362">
        <f t="shared" si="5"/>
        <v>1255758.6992683464</v>
      </c>
      <c r="Q129" s="362">
        <f t="shared" si="6"/>
        <v>1255758.6992683464</v>
      </c>
      <c r="R129" s="363">
        <f t="shared" si="7"/>
        <v>0</v>
      </c>
      <c r="Y129" s="365"/>
    </row>
    <row r="130" spans="1:25" ht="15" customHeight="1">
      <c r="A130" s="359" t="str">
        <f>'Func Future Lines 2015'!A130</f>
        <v>PPS</v>
      </c>
      <c r="B130" s="359" t="str">
        <f>'Func Future Lines 2015'!B130</f>
        <v>Connection of 603L to 138S - 603L</v>
      </c>
      <c r="C130" s="359">
        <f>'Func Future Lines 2015'!C130</f>
        <v>882</v>
      </c>
      <c r="D130" s="359">
        <f>'Func Future Lines 2015'!D130</f>
        <v>138</v>
      </c>
      <c r="E130" s="359">
        <f>'Func Future Lines 2015'!E130</f>
        <v>0</v>
      </c>
      <c r="F130" s="359">
        <f>'Func Future Lines 2015'!F130</f>
        <v>0</v>
      </c>
      <c r="G130" s="359">
        <f>'Func Future Lines 2015'!G130</f>
        <v>19309.423592515817</v>
      </c>
      <c r="H130" s="359" t="str">
        <f>'Func Future Lines 2015'!H130</f>
        <v>AltaLink</v>
      </c>
      <c r="I130" s="359">
        <f>'Func Future Lines 2015'!I130</f>
        <v>2015</v>
      </c>
      <c r="J130" s="361">
        <f>+IF($I130=J$3,VLOOKUP($H130,Depreciation!$A$6:$L$10,7,FALSE)/2,IF($I130&lt;J$3,VLOOKUP($H130,Depreciation!$A$6:$L$10,7,FALSE),0))</f>
        <v>1.595020804044691E-2</v>
      </c>
      <c r="K130" s="361">
        <f>+IF($I130=K$3,VLOOKUP($H130,Depreciation!$A$6:$L$10,8,FALSE)/2,IF($I130&lt;K$3,VLOOKUP($H130,Depreciation!$A$6:$L$10,8,FALSE),0))</f>
        <v>3.0676363676126896E-2</v>
      </c>
      <c r="L130" s="361">
        <f>+IF($I130=L$3,VLOOKUP($H130,Depreciation!$A$6:$L$10,9,FALSE)/2,IF($I130&lt;L$3,VLOOKUP($H130,Depreciation!$A$6:$L$10,9,FALSE),0))</f>
        <v>3.0676363676126896E-2</v>
      </c>
      <c r="M130" s="361">
        <f>+IF($I130=M$3,VLOOKUP($H130,Depreciation!$A$6:$L$10,10,FALSE)/2,IF($I130&lt;M$3,VLOOKUP($H130,Depreciation!$A$6:$L$10,10,FALSE),0))</f>
        <v>3.0676363676126896E-2</v>
      </c>
      <c r="N130" s="361">
        <f>+IF($I130=N$3,VLOOKUP($H130,Depreciation!$A$6:$L$10,11,FALSE)/2,IF($I130&lt;N$3,VLOOKUP($H130,Depreciation!$A$6:$L$10,11,FALSE),0))</f>
        <v>3.0676363676126896E-2</v>
      </c>
      <c r="O130" s="361">
        <f>+IF($I130=O$3,VLOOKUP($H130,Depreciation!$A$6:$L$10,12,FALSE)/2,IF($I130&lt;O$3,VLOOKUP($H130,Depreciation!$A$6:$L$10,12,FALSE),0))</f>
        <v>3.0676363676126896E-2</v>
      </c>
      <c r="P130" s="362">
        <f t="shared" si="5"/>
        <v>16774.963932923569</v>
      </c>
      <c r="Q130" s="362">
        <f t="shared" si="6"/>
        <v>0</v>
      </c>
      <c r="R130" s="363">
        <f t="shared" si="7"/>
        <v>16774.963932923569</v>
      </c>
      <c r="Y130" s="365"/>
    </row>
    <row r="131" spans="1:25" ht="15" customHeight="1">
      <c r="A131" s="359" t="str">
        <f>'Func Future Lines 2015'!A131</f>
        <v>PPS</v>
      </c>
      <c r="B131" s="359" t="str">
        <f>'Func Future Lines 2015'!B131</f>
        <v>Connection of 608L to 138S - 608AL</v>
      </c>
      <c r="C131" s="359">
        <f>'Func Future Lines 2015'!C131</f>
        <v>882</v>
      </c>
      <c r="D131" s="359">
        <f>'Func Future Lines 2015'!D131</f>
        <v>138</v>
      </c>
      <c r="E131" s="359">
        <f>'Func Future Lines 2015'!E131</f>
        <v>0</v>
      </c>
      <c r="F131" s="359">
        <f>'Func Future Lines 2015'!F131</f>
        <v>0</v>
      </c>
      <c r="G131" s="359">
        <f>'Func Future Lines 2015'!G131</f>
        <v>34179.513153324726</v>
      </c>
      <c r="H131" s="359" t="str">
        <f>'Func Future Lines 2015'!H131</f>
        <v>AltaLink</v>
      </c>
      <c r="I131" s="359">
        <f>'Func Future Lines 2015'!I131</f>
        <v>2015</v>
      </c>
      <c r="J131" s="361">
        <f>+IF($I131=J$3,VLOOKUP($H131,Depreciation!$A$6:$L$10,7,FALSE)/2,IF($I131&lt;J$3,VLOOKUP($H131,Depreciation!$A$6:$L$10,7,FALSE),0))</f>
        <v>1.595020804044691E-2</v>
      </c>
      <c r="K131" s="361">
        <f>+IF($I131=K$3,VLOOKUP($H131,Depreciation!$A$6:$L$10,8,FALSE)/2,IF($I131&lt;K$3,VLOOKUP($H131,Depreciation!$A$6:$L$10,8,FALSE),0))</f>
        <v>3.0676363676126896E-2</v>
      </c>
      <c r="L131" s="361">
        <f>+IF($I131=L$3,VLOOKUP($H131,Depreciation!$A$6:$L$10,9,FALSE)/2,IF($I131&lt;L$3,VLOOKUP($H131,Depreciation!$A$6:$L$10,9,FALSE),0))</f>
        <v>3.0676363676126896E-2</v>
      </c>
      <c r="M131" s="361">
        <f>+IF($I131=M$3,VLOOKUP($H131,Depreciation!$A$6:$L$10,10,FALSE)/2,IF($I131&lt;M$3,VLOOKUP($H131,Depreciation!$A$6:$L$10,10,FALSE),0))</f>
        <v>3.0676363676126896E-2</v>
      </c>
      <c r="N131" s="361">
        <f>+IF($I131=N$3,VLOOKUP($H131,Depreciation!$A$6:$L$10,11,FALSE)/2,IF($I131&lt;N$3,VLOOKUP($H131,Depreciation!$A$6:$L$10,11,FALSE),0))</f>
        <v>3.0676363676126896E-2</v>
      </c>
      <c r="O131" s="361">
        <f>+IF($I131=O$3,VLOOKUP($H131,Depreciation!$A$6:$L$10,12,FALSE)/2,IF($I131&lt;O$3,VLOOKUP($H131,Depreciation!$A$6:$L$10,12,FALSE),0))</f>
        <v>3.0676363676126896E-2</v>
      </c>
      <c r="P131" s="362">
        <f t="shared" si="5"/>
        <v>29693.278913521721</v>
      </c>
      <c r="Q131" s="362">
        <f t="shared" si="6"/>
        <v>0</v>
      </c>
      <c r="R131" s="363">
        <f t="shared" si="7"/>
        <v>29693.278913521721</v>
      </c>
      <c r="Y131" s="365"/>
    </row>
    <row r="132" spans="1:25" ht="15" customHeight="1">
      <c r="A132" s="359" t="str">
        <f>'Func Future Lines 2015'!A132</f>
        <v>PPS</v>
      </c>
      <c r="B132" s="359" t="str">
        <f>'Func Future Lines 2015'!B132</f>
        <v>600L</v>
      </c>
      <c r="C132" s="359">
        <f>'Func Future Lines 2015'!C132</f>
        <v>888</v>
      </c>
      <c r="D132" s="359">
        <f>'Func Future Lines 2015'!D132</f>
        <v>138</v>
      </c>
      <c r="E132" s="359">
        <f>'Func Future Lines 2015'!E132</f>
        <v>0</v>
      </c>
      <c r="F132" s="359" t="str">
        <f>'Func Future Lines 2015'!F132</f>
        <v>Medicine Hat</v>
      </c>
      <c r="G132" s="359">
        <f>'Func Future Lines 2015'!G132</f>
        <v>428091.81000980013</v>
      </c>
      <c r="H132" s="359" t="str">
        <f>'Func Future Lines 2015'!H132</f>
        <v>AltaLink</v>
      </c>
      <c r="I132" s="359">
        <f>'Func Future Lines 2015'!I132</f>
        <v>2016</v>
      </c>
      <c r="J132" s="361">
        <f>+IF($I132=J$3,VLOOKUP($H132,Depreciation!$A$6:$L$10,7,FALSE)/2,IF($I132&lt;J$3,VLOOKUP($H132,Depreciation!$A$6:$L$10,7,FALSE),0))</f>
        <v>0</v>
      </c>
      <c r="K132" s="361">
        <f>+IF($I132=K$3,VLOOKUP($H132,Depreciation!$A$6:$L$10,8,FALSE)/2,IF($I132&lt;K$3,VLOOKUP($H132,Depreciation!$A$6:$L$10,8,FALSE),0))</f>
        <v>1.5338181838063448E-2</v>
      </c>
      <c r="L132" s="361">
        <f>+IF($I132=L$3,VLOOKUP($H132,Depreciation!$A$6:$L$10,9,FALSE)/2,IF($I132&lt;L$3,VLOOKUP($H132,Depreciation!$A$6:$L$10,9,FALSE),0))</f>
        <v>3.0676363676126896E-2</v>
      </c>
      <c r="M132" s="361">
        <f>+IF($I132=M$3,VLOOKUP($H132,Depreciation!$A$6:$L$10,10,FALSE)/2,IF($I132&lt;M$3,VLOOKUP($H132,Depreciation!$A$6:$L$10,10,FALSE),0))</f>
        <v>3.0676363676126896E-2</v>
      </c>
      <c r="N132" s="361">
        <f>+IF($I132=N$3,VLOOKUP($H132,Depreciation!$A$6:$L$10,11,FALSE)/2,IF($I132&lt;N$3,VLOOKUP($H132,Depreciation!$A$6:$L$10,11,FALSE),0))</f>
        <v>3.0676363676126896E-2</v>
      </c>
      <c r="O132" s="361">
        <f>+IF($I132=O$3,VLOOKUP($H132,Depreciation!$A$6:$L$10,12,FALSE)/2,IF($I132&lt;O$3,VLOOKUP($H132,Depreciation!$A$6:$L$10,12,FALSE),0))</f>
        <v>3.0676363676126896E-2</v>
      </c>
      <c r="P132" s="362">
        <f t="shared" si="5"/>
        <v>383910.88481141796</v>
      </c>
      <c r="Q132" s="362">
        <f t="shared" si="6"/>
        <v>0</v>
      </c>
      <c r="R132" s="363">
        <f t="shared" si="7"/>
        <v>383910.88481141796</v>
      </c>
      <c r="Y132" s="365"/>
    </row>
    <row r="133" spans="1:25" ht="15" customHeight="1">
      <c r="A133" s="359" t="str">
        <f>'Func Future Lines 2015'!A133</f>
        <v>PPS</v>
      </c>
      <c r="B133" s="359" t="str">
        <f>'Func Future Lines 2015'!B133</f>
        <v>674L</v>
      </c>
      <c r="C133" s="359">
        <f>'Func Future Lines 2015'!C133</f>
        <v>888</v>
      </c>
      <c r="D133" s="359">
        <f>'Func Future Lines 2015'!D133</f>
        <v>138</v>
      </c>
      <c r="E133" s="359">
        <f>'Func Future Lines 2015'!E133</f>
        <v>0</v>
      </c>
      <c r="F133" s="359" t="str">
        <f>'Func Future Lines 2015'!F133</f>
        <v>Medicine Hat</v>
      </c>
      <c r="G133" s="359">
        <f>'Func Future Lines 2015'!G133</f>
        <v>1327232.7396843631</v>
      </c>
      <c r="H133" s="359" t="str">
        <f>'Func Future Lines 2015'!H133</f>
        <v>AltaLink</v>
      </c>
      <c r="I133" s="359">
        <f>'Func Future Lines 2015'!I133</f>
        <v>2016</v>
      </c>
      <c r="J133" s="361">
        <f>+IF($I133=J$3,VLOOKUP($H133,Depreciation!$A$6:$L$10,7,FALSE)/2,IF($I133&lt;J$3,VLOOKUP($H133,Depreciation!$A$6:$L$10,7,FALSE),0))</f>
        <v>0</v>
      </c>
      <c r="K133" s="361">
        <f>+IF($I133=K$3,VLOOKUP($H133,Depreciation!$A$6:$L$10,8,FALSE)/2,IF($I133&lt;K$3,VLOOKUP($H133,Depreciation!$A$6:$L$10,8,FALSE),0))</f>
        <v>1.5338181838063448E-2</v>
      </c>
      <c r="L133" s="361">
        <f>+IF($I133=L$3,VLOOKUP($H133,Depreciation!$A$6:$L$10,9,FALSE)/2,IF($I133&lt;L$3,VLOOKUP($H133,Depreciation!$A$6:$L$10,9,FALSE),0))</f>
        <v>3.0676363676126896E-2</v>
      </c>
      <c r="M133" s="361">
        <f>+IF($I133=M$3,VLOOKUP($H133,Depreciation!$A$6:$L$10,10,FALSE)/2,IF($I133&lt;M$3,VLOOKUP($H133,Depreciation!$A$6:$L$10,10,FALSE),0))</f>
        <v>3.0676363676126896E-2</v>
      </c>
      <c r="N133" s="361">
        <f>+IF($I133=N$3,VLOOKUP($H133,Depreciation!$A$6:$L$10,11,FALSE)/2,IF($I133&lt;N$3,VLOOKUP($H133,Depreciation!$A$6:$L$10,11,FALSE),0))</f>
        <v>3.0676363676126896E-2</v>
      </c>
      <c r="O133" s="361">
        <f>+IF($I133=O$3,VLOOKUP($H133,Depreciation!$A$6:$L$10,12,FALSE)/2,IF($I133&lt;O$3,VLOOKUP($H133,Depreciation!$A$6:$L$10,12,FALSE),0))</f>
        <v>3.0676363676126896E-2</v>
      </c>
      <c r="P133" s="362">
        <f t="shared" ref="P133:P196" si="8">IF(I133&lt;=2019,G133*(1-J133)*(1-K133)*(1-L133)*(1-M133)*(1-N133),0)</f>
        <v>1190256.5840520088</v>
      </c>
      <c r="Q133" s="362">
        <f t="shared" ref="Q133:Q196" si="9">IF(D133&gt;=240,P133,0)</f>
        <v>0</v>
      </c>
      <c r="R133" s="363">
        <f t="shared" ref="R133:R196" si="10">IF(AND(D133&gt;25,D133&lt;240),P133,0)</f>
        <v>1190256.5840520088</v>
      </c>
      <c r="Y133" s="365"/>
    </row>
    <row r="134" spans="1:25" ht="15" customHeight="1">
      <c r="A134" s="359" t="str">
        <f>'Func Future Lines 2015'!A134</f>
        <v>PPS</v>
      </c>
      <c r="B134" s="359" t="str">
        <f>'Func Future Lines 2015'!B134</f>
        <v xml:space="preserve">675L/892L </v>
      </c>
      <c r="C134" s="359">
        <f>'Func Future Lines 2015'!C134</f>
        <v>888</v>
      </c>
      <c r="D134" s="359">
        <f>'Func Future Lines 2015'!D134</f>
        <v>138</v>
      </c>
      <c r="E134" s="359">
        <f>'Func Future Lines 2015'!E134</f>
        <v>0</v>
      </c>
      <c r="F134" s="359" t="str">
        <f>'Func Future Lines 2015'!F134</f>
        <v>Medicine Hat</v>
      </c>
      <c r="G134" s="359">
        <f>'Func Future Lines 2015'!G134</f>
        <v>32638667.61853265</v>
      </c>
      <c r="H134" s="359" t="str">
        <f>'Func Future Lines 2015'!H134</f>
        <v>AltaLink</v>
      </c>
      <c r="I134" s="359">
        <f>'Func Future Lines 2015'!I134</f>
        <v>2016</v>
      </c>
      <c r="J134" s="361">
        <f>+IF($I134=J$3,VLOOKUP($H134,Depreciation!$A$6:$L$10,7,FALSE)/2,IF($I134&lt;J$3,VLOOKUP($H134,Depreciation!$A$6:$L$10,7,FALSE),0))</f>
        <v>0</v>
      </c>
      <c r="K134" s="361">
        <f>+IF($I134=K$3,VLOOKUP($H134,Depreciation!$A$6:$L$10,8,FALSE)/2,IF($I134&lt;K$3,VLOOKUP($H134,Depreciation!$A$6:$L$10,8,FALSE),0))</f>
        <v>1.5338181838063448E-2</v>
      </c>
      <c r="L134" s="361">
        <f>+IF($I134=L$3,VLOOKUP($H134,Depreciation!$A$6:$L$10,9,FALSE)/2,IF($I134&lt;L$3,VLOOKUP($H134,Depreciation!$A$6:$L$10,9,FALSE),0))</f>
        <v>3.0676363676126896E-2</v>
      </c>
      <c r="M134" s="361">
        <f>+IF($I134=M$3,VLOOKUP($H134,Depreciation!$A$6:$L$10,10,FALSE)/2,IF($I134&lt;M$3,VLOOKUP($H134,Depreciation!$A$6:$L$10,10,FALSE),0))</f>
        <v>3.0676363676126896E-2</v>
      </c>
      <c r="N134" s="361">
        <f>+IF($I134=N$3,VLOOKUP($H134,Depreciation!$A$6:$L$10,11,FALSE)/2,IF($I134&lt;N$3,VLOOKUP($H134,Depreciation!$A$6:$L$10,11,FALSE),0))</f>
        <v>3.0676363676126896E-2</v>
      </c>
      <c r="O134" s="361">
        <f>+IF($I134=O$3,VLOOKUP($H134,Depreciation!$A$6:$L$10,12,FALSE)/2,IF($I134&lt;O$3,VLOOKUP($H134,Depreciation!$A$6:$L$10,12,FALSE),0))</f>
        <v>3.0676363676126896E-2</v>
      </c>
      <c r="P134" s="362">
        <f t="shared" si="8"/>
        <v>29270216.041296836</v>
      </c>
      <c r="Q134" s="362">
        <f t="shared" si="9"/>
        <v>0</v>
      </c>
      <c r="R134" s="363">
        <f t="shared" si="10"/>
        <v>29270216.041296836</v>
      </c>
      <c r="Y134" s="365"/>
    </row>
    <row r="135" spans="1:25" ht="15" customHeight="1">
      <c r="A135" s="359" t="str">
        <f>'Func Future Lines 2015'!A135</f>
        <v>PPS</v>
      </c>
      <c r="B135" s="359" t="str">
        <f>'Func Future Lines 2015'!B135</f>
        <v xml:space="preserve">675L/892L </v>
      </c>
      <c r="C135" s="359">
        <f>'Func Future Lines 2015'!C135</f>
        <v>888</v>
      </c>
      <c r="D135" s="359">
        <f>'Func Future Lines 2015'!D135</f>
        <v>138</v>
      </c>
      <c r="E135" s="359">
        <f>'Func Future Lines 2015'!E135</f>
        <v>0</v>
      </c>
      <c r="F135" s="359" t="str">
        <f>'Func Future Lines 2015'!F135</f>
        <v>Medicine Hat</v>
      </c>
      <c r="G135" s="359">
        <f>'Func Future Lines 2015'!G135</f>
        <v>26144707.427934162</v>
      </c>
      <c r="H135" s="359" t="str">
        <f>'Func Future Lines 2015'!H135</f>
        <v>AltaLink</v>
      </c>
      <c r="I135" s="359">
        <f>'Func Future Lines 2015'!I135</f>
        <v>2016</v>
      </c>
      <c r="J135" s="361">
        <f>+IF($I135=J$3,VLOOKUP($H135,Depreciation!$A$6:$L$10,7,FALSE)/2,IF($I135&lt;J$3,VLOOKUP($H135,Depreciation!$A$6:$L$10,7,FALSE),0))</f>
        <v>0</v>
      </c>
      <c r="K135" s="361">
        <f>+IF($I135=K$3,VLOOKUP($H135,Depreciation!$A$6:$L$10,8,FALSE)/2,IF($I135&lt;K$3,VLOOKUP($H135,Depreciation!$A$6:$L$10,8,FALSE),0))</f>
        <v>1.5338181838063448E-2</v>
      </c>
      <c r="L135" s="361">
        <f>+IF($I135=L$3,VLOOKUP($H135,Depreciation!$A$6:$L$10,9,FALSE)/2,IF($I135&lt;L$3,VLOOKUP($H135,Depreciation!$A$6:$L$10,9,FALSE),0))</f>
        <v>3.0676363676126896E-2</v>
      </c>
      <c r="M135" s="361">
        <f>+IF($I135=M$3,VLOOKUP($H135,Depreciation!$A$6:$L$10,10,FALSE)/2,IF($I135&lt;M$3,VLOOKUP($H135,Depreciation!$A$6:$L$10,10,FALSE),0))</f>
        <v>3.0676363676126896E-2</v>
      </c>
      <c r="N135" s="361">
        <f>+IF($I135=N$3,VLOOKUP($H135,Depreciation!$A$6:$L$10,11,FALSE)/2,IF($I135&lt;N$3,VLOOKUP($H135,Depreciation!$A$6:$L$10,11,FALSE),0))</f>
        <v>3.0676363676126896E-2</v>
      </c>
      <c r="O135" s="361">
        <f>+IF($I135=O$3,VLOOKUP($H135,Depreciation!$A$6:$L$10,12,FALSE)/2,IF($I135&lt;O$3,VLOOKUP($H135,Depreciation!$A$6:$L$10,12,FALSE),0))</f>
        <v>3.0676363676126896E-2</v>
      </c>
      <c r="P135" s="362">
        <f t="shared" si="8"/>
        <v>23446460.612185217</v>
      </c>
      <c r="Q135" s="362">
        <f t="shared" si="9"/>
        <v>0</v>
      </c>
      <c r="R135" s="363">
        <f t="shared" si="10"/>
        <v>23446460.612185217</v>
      </c>
      <c r="Y135" s="365"/>
    </row>
    <row r="136" spans="1:25" ht="15" customHeight="1">
      <c r="A136" s="359" t="str">
        <f>'Func Future Lines 2015'!A136</f>
        <v>PPS</v>
      </c>
      <c r="B136" s="359" t="str">
        <f>'Func Future Lines 2015'!B136</f>
        <v>676L/879L</v>
      </c>
      <c r="C136" s="359">
        <f>'Func Future Lines 2015'!C136</f>
        <v>888</v>
      </c>
      <c r="D136" s="359">
        <f>'Func Future Lines 2015'!D136</f>
        <v>138</v>
      </c>
      <c r="E136" s="359">
        <f>'Func Future Lines 2015'!E136</f>
        <v>0</v>
      </c>
      <c r="F136" s="359" t="str">
        <f>'Func Future Lines 2015'!F136</f>
        <v>Medicine Hat</v>
      </c>
      <c r="G136" s="359">
        <f>'Func Future Lines 2015'!G136</f>
        <v>38066101.500456207</v>
      </c>
      <c r="H136" s="359" t="str">
        <f>'Func Future Lines 2015'!H136</f>
        <v>AltaLink</v>
      </c>
      <c r="I136" s="359">
        <f>'Func Future Lines 2015'!I136</f>
        <v>2016</v>
      </c>
      <c r="J136" s="361">
        <f>+IF($I136=J$3,VLOOKUP($H136,Depreciation!$A$6:$L$10,7,FALSE)/2,IF($I136&lt;J$3,VLOOKUP($H136,Depreciation!$A$6:$L$10,7,FALSE),0))</f>
        <v>0</v>
      </c>
      <c r="K136" s="361">
        <f>+IF($I136=K$3,VLOOKUP($H136,Depreciation!$A$6:$L$10,8,FALSE)/2,IF($I136&lt;K$3,VLOOKUP($H136,Depreciation!$A$6:$L$10,8,FALSE),0))</f>
        <v>1.5338181838063448E-2</v>
      </c>
      <c r="L136" s="361">
        <f>+IF($I136=L$3,VLOOKUP($H136,Depreciation!$A$6:$L$10,9,FALSE)/2,IF($I136&lt;L$3,VLOOKUP($H136,Depreciation!$A$6:$L$10,9,FALSE),0))</f>
        <v>3.0676363676126896E-2</v>
      </c>
      <c r="M136" s="361">
        <f>+IF($I136=M$3,VLOOKUP($H136,Depreciation!$A$6:$L$10,10,FALSE)/2,IF($I136&lt;M$3,VLOOKUP($H136,Depreciation!$A$6:$L$10,10,FALSE),0))</f>
        <v>3.0676363676126896E-2</v>
      </c>
      <c r="N136" s="361">
        <f>+IF($I136=N$3,VLOOKUP($H136,Depreciation!$A$6:$L$10,11,FALSE)/2,IF($I136&lt;N$3,VLOOKUP($H136,Depreciation!$A$6:$L$10,11,FALSE),0))</f>
        <v>3.0676363676126896E-2</v>
      </c>
      <c r="O136" s="361">
        <f>+IF($I136=O$3,VLOOKUP($H136,Depreciation!$A$6:$L$10,12,FALSE)/2,IF($I136&lt;O$3,VLOOKUP($H136,Depreciation!$A$6:$L$10,12,FALSE),0))</f>
        <v>3.0676363676126896E-2</v>
      </c>
      <c r="P136" s="362">
        <f t="shared" si="8"/>
        <v>34137515.286795229</v>
      </c>
      <c r="Q136" s="362">
        <f t="shared" si="9"/>
        <v>0</v>
      </c>
      <c r="R136" s="363">
        <f t="shared" si="10"/>
        <v>34137515.286795229</v>
      </c>
      <c r="Y136" s="365"/>
    </row>
    <row r="137" spans="1:25" ht="15" customHeight="1">
      <c r="A137" s="359" t="str">
        <f>'Func Future Lines 2015'!A137</f>
        <v>PPS</v>
      </c>
      <c r="B137" s="359" t="str">
        <f>'Func Future Lines 2015'!B137</f>
        <v>676L/879L</v>
      </c>
      <c r="C137" s="359">
        <f>'Func Future Lines 2015'!C137</f>
        <v>888</v>
      </c>
      <c r="D137" s="359">
        <f>'Func Future Lines 2015'!D137</f>
        <v>138</v>
      </c>
      <c r="E137" s="359">
        <f>'Func Future Lines 2015'!E137</f>
        <v>0</v>
      </c>
      <c r="F137" s="359" t="str">
        <f>'Func Future Lines 2015'!F137</f>
        <v>Medicine Hat</v>
      </c>
      <c r="G137" s="359">
        <f>'Func Future Lines 2015'!G137</f>
        <v>42259623.694704458</v>
      </c>
      <c r="H137" s="359" t="str">
        <f>'Func Future Lines 2015'!H137</f>
        <v>AltaLink</v>
      </c>
      <c r="I137" s="359">
        <f>'Func Future Lines 2015'!I137</f>
        <v>2016</v>
      </c>
      <c r="J137" s="361">
        <f>+IF($I137=J$3,VLOOKUP($H137,Depreciation!$A$6:$L$10,7,FALSE)/2,IF($I137&lt;J$3,VLOOKUP($H137,Depreciation!$A$6:$L$10,7,FALSE),0))</f>
        <v>0</v>
      </c>
      <c r="K137" s="361">
        <f>+IF($I137=K$3,VLOOKUP($H137,Depreciation!$A$6:$L$10,8,FALSE)/2,IF($I137&lt;K$3,VLOOKUP($H137,Depreciation!$A$6:$L$10,8,FALSE),0))</f>
        <v>1.5338181838063448E-2</v>
      </c>
      <c r="L137" s="361">
        <f>+IF($I137=L$3,VLOOKUP($H137,Depreciation!$A$6:$L$10,9,FALSE)/2,IF($I137&lt;L$3,VLOOKUP($H137,Depreciation!$A$6:$L$10,9,FALSE),0))</f>
        <v>3.0676363676126896E-2</v>
      </c>
      <c r="M137" s="361">
        <f>+IF($I137=M$3,VLOOKUP($H137,Depreciation!$A$6:$L$10,10,FALSE)/2,IF($I137&lt;M$3,VLOOKUP($H137,Depreciation!$A$6:$L$10,10,FALSE),0))</f>
        <v>3.0676363676126896E-2</v>
      </c>
      <c r="N137" s="361">
        <f>+IF($I137=N$3,VLOOKUP($H137,Depreciation!$A$6:$L$10,11,FALSE)/2,IF($I137&lt;N$3,VLOOKUP($H137,Depreciation!$A$6:$L$10,11,FALSE),0))</f>
        <v>3.0676363676126896E-2</v>
      </c>
      <c r="O137" s="361">
        <f>+IF($I137=O$3,VLOOKUP($H137,Depreciation!$A$6:$L$10,12,FALSE)/2,IF($I137&lt;O$3,VLOOKUP($H137,Depreciation!$A$6:$L$10,12,FALSE),0))</f>
        <v>3.0676363676126896E-2</v>
      </c>
      <c r="P137" s="362">
        <f t="shared" si="8"/>
        <v>37898247.864307761</v>
      </c>
      <c r="Q137" s="362">
        <f t="shared" si="9"/>
        <v>0</v>
      </c>
      <c r="R137" s="363">
        <f t="shared" si="10"/>
        <v>37898247.864307761</v>
      </c>
      <c r="Y137" s="365"/>
    </row>
    <row r="138" spans="1:25" ht="15" customHeight="1">
      <c r="A138" s="359" t="str">
        <f>'Func Future Lines 2015'!A138</f>
        <v>PPS</v>
      </c>
      <c r="B138" s="359" t="str">
        <f>'Func Future Lines 2015'!B138</f>
        <v>9L19 and 9L28</v>
      </c>
      <c r="C138" s="359">
        <f>'Func Future Lines 2015'!C138</f>
        <v>948</v>
      </c>
      <c r="D138" s="359">
        <f>'Func Future Lines 2015'!D138</f>
        <v>240</v>
      </c>
      <c r="E138" s="359">
        <f>'Func Future Lines 2015'!E138</f>
        <v>0</v>
      </c>
      <c r="F138" s="359">
        <f>'Func Future Lines 2015'!F138</f>
        <v>0</v>
      </c>
      <c r="G138" s="359">
        <f>'Func Future Lines 2015'!G138</f>
        <v>9503247.7097484916</v>
      </c>
      <c r="H138" s="359" t="str">
        <f>'Func Future Lines 2015'!H138</f>
        <v>ATCO</v>
      </c>
      <c r="I138" s="359">
        <f>'Func Future Lines 2015'!I138</f>
        <v>2015</v>
      </c>
      <c r="J138" s="361">
        <f>+IF($I138=J$3,VLOOKUP($H138,Depreciation!$A$6:$L$10,7,FALSE)/2,IF($I138&lt;J$3,VLOOKUP($H138,Depreciation!$A$6:$L$10,7,FALSE),0))</f>
        <v>1.239102859091515E-2</v>
      </c>
      <c r="K138" s="361">
        <f>+IF($I138=K$3,VLOOKUP($H138,Depreciation!$A$6:$L$10,8,FALSE)/2,IF($I138&lt;K$3,VLOOKUP($H138,Depreciation!$A$6:$L$10,8,FALSE),0))</f>
        <v>2.3943859731006666E-2</v>
      </c>
      <c r="L138" s="361">
        <f>+IF($I138=L$3,VLOOKUP($H138,Depreciation!$A$6:$L$10,9,FALSE)/2,IF($I138&lt;L$3,VLOOKUP($H138,Depreciation!$A$6:$L$10,9,FALSE),0))</f>
        <v>2.4002037926855919E-2</v>
      </c>
      <c r="M138" s="361">
        <f>+IF($I138=M$3,VLOOKUP($H138,Depreciation!$A$6:$L$10,10,FALSE)/2,IF($I138&lt;M$3,VLOOKUP($H138,Depreciation!$A$6:$L$10,10,FALSE),0))</f>
        <v>2.4002037926855919E-2</v>
      </c>
      <c r="N138" s="361">
        <f>+IF($I138=N$3,VLOOKUP($H138,Depreciation!$A$6:$L$10,11,FALSE)/2,IF($I138&lt;N$3,VLOOKUP($H138,Depreciation!$A$6:$L$10,11,FALSE),0))</f>
        <v>2.4002037926855919E-2</v>
      </c>
      <c r="O138" s="361">
        <f>+IF($I138=O$3,VLOOKUP($H138,Depreciation!$A$6:$L$10,12,FALSE)/2,IF($I138&lt;O$3,VLOOKUP($H138,Depreciation!$A$6:$L$10,12,FALSE),0))</f>
        <v>2.4002037926855919E-2</v>
      </c>
      <c r="P138" s="362">
        <f t="shared" si="8"/>
        <v>8516842.3127760161</v>
      </c>
      <c r="Q138" s="362">
        <f t="shared" si="9"/>
        <v>8516842.3127760161</v>
      </c>
      <c r="R138" s="363">
        <f t="shared" si="10"/>
        <v>0</v>
      </c>
      <c r="Y138" s="365"/>
    </row>
    <row r="139" spans="1:25" ht="15" customHeight="1">
      <c r="A139" s="359" t="str">
        <f>'Func Future Lines 2015'!A139</f>
        <v>PPS</v>
      </c>
      <c r="B139" s="359" t="str">
        <f>'Func Future Lines 2015'!B139</f>
        <v>1035L/1034L Tie-in180</v>
      </c>
      <c r="C139" s="359">
        <f>'Func Future Lines 2015'!C139</f>
        <v>961</v>
      </c>
      <c r="D139" s="359">
        <f>'Func Future Lines 2015'!D139</f>
        <v>240</v>
      </c>
      <c r="E139" s="359">
        <f>'Func Future Lines 2015'!E139</f>
        <v>0</v>
      </c>
      <c r="F139" s="359">
        <f>'Func Future Lines 2015'!F139</f>
        <v>0</v>
      </c>
      <c r="G139" s="359">
        <f>'Func Future Lines 2015'!G139</f>
        <v>12067928.360521985</v>
      </c>
      <c r="H139" s="359" t="str">
        <f>'Func Future Lines 2015'!H139</f>
        <v>AltaLink</v>
      </c>
      <c r="I139" s="359">
        <f>'Func Future Lines 2015'!I139</f>
        <v>2015</v>
      </c>
      <c r="J139" s="361">
        <f>+IF($I139=J$3,VLOOKUP($H139,Depreciation!$A$6:$L$10,7,FALSE)/2,IF($I139&lt;J$3,VLOOKUP($H139,Depreciation!$A$6:$L$10,7,FALSE),0))</f>
        <v>1.595020804044691E-2</v>
      </c>
      <c r="K139" s="361">
        <f>+IF($I139=K$3,VLOOKUP($H139,Depreciation!$A$6:$L$10,8,FALSE)/2,IF($I139&lt;K$3,VLOOKUP($H139,Depreciation!$A$6:$L$10,8,FALSE),0))</f>
        <v>3.0676363676126896E-2</v>
      </c>
      <c r="L139" s="361">
        <f>+IF($I139=L$3,VLOOKUP($H139,Depreciation!$A$6:$L$10,9,FALSE)/2,IF($I139&lt;L$3,VLOOKUP($H139,Depreciation!$A$6:$L$10,9,FALSE),0))</f>
        <v>3.0676363676126896E-2</v>
      </c>
      <c r="M139" s="361">
        <f>+IF($I139=M$3,VLOOKUP($H139,Depreciation!$A$6:$L$10,10,FALSE)/2,IF($I139&lt;M$3,VLOOKUP($H139,Depreciation!$A$6:$L$10,10,FALSE),0))</f>
        <v>3.0676363676126896E-2</v>
      </c>
      <c r="N139" s="361">
        <f>+IF($I139=N$3,VLOOKUP($H139,Depreciation!$A$6:$L$10,11,FALSE)/2,IF($I139&lt;N$3,VLOOKUP($H139,Depreciation!$A$6:$L$10,11,FALSE),0))</f>
        <v>3.0676363676126896E-2</v>
      </c>
      <c r="O139" s="361">
        <f>+IF($I139=O$3,VLOOKUP($H139,Depreciation!$A$6:$L$10,12,FALSE)/2,IF($I139&lt;O$3,VLOOKUP($H139,Depreciation!$A$6:$L$10,12,FALSE),0))</f>
        <v>3.0676363676126896E-2</v>
      </c>
      <c r="P139" s="362">
        <f t="shared" si="8"/>
        <v>10483951.632369051</v>
      </c>
      <c r="Q139" s="362">
        <f t="shared" si="9"/>
        <v>10483951.632369051</v>
      </c>
      <c r="R139" s="363">
        <f t="shared" si="10"/>
        <v>0</v>
      </c>
      <c r="Y139" s="365"/>
    </row>
    <row r="140" spans="1:25" ht="15" customHeight="1">
      <c r="A140" s="359" t="str">
        <f>'Func Future Lines 2015'!A140</f>
        <v>PPS</v>
      </c>
      <c r="B140" s="359" t="str">
        <f>'Func Future Lines 2015'!B140</f>
        <v>1053L crossing180</v>
      </c>
      <c r="C140" s="359">
        <f>'Func Future Lines 2015'!C140</f>
        <v>961</v>
      </c>
      <c r="D140" s="359">
        <f>'Func Future Lines 2015'!D140</f>
        <v>240</v>
      </c>
      <c r="E140" s="359">
        <f>'Func Future Lines 2015'!E140</f>
        <v>0</v>
      </c>
      <c r="F140" s="359">
        <f>'Func Future Lines 2015'!F140</f>
        <v>0</v>
      </c>
      <c r="G140" s="359">
        <f>'Func Future Lines 2015'!G140</f>
        <v>2180206.2000116054</v>
      </c>
      <c r="H140" s="359" t="str">
        <f>'Func Future Lines 2015'!H140</f>
        <v>AltaLink</v>
      </c>
      <c r="I140" s="359">
        <f>'Func Future Lines 2015'!I140</f>
        <v>2015</v>
      </c>
      <c r="J140" s="361">
        <f>+IF($I140=J$3,VLOOKUP($H140,Depreciation!$A$6:$L$10,7,FALSE)/2,IF($I140&lt;J$3,VLOOKUP($H140,Depreciation!$A$6:$L$10,7,FALSE),0))</f>
        <v>1.595020804044691E-2</v>
      </c>
      <c r="K140" s="361">
        <f>+IF($I140=K$3,VLOOKUP($H140,Depreciation!$A$6:$L$10,8,FALSE)/2,IF($I140&lt;K$3,VLOOKUP($H140,Depreciation!$A$6:$L$10,8,FALSE),0))</f>
        <v>3.0676363676126896E-2</v>
      </c>
      <c r="L140" s="361">
        <f>+IF($I140=L$3,VLOOKUP($H140,Depreciation!$A$6:$L$10,9,FALSE)/2,IF($I140&lt;L$3,VLOOKUP($H140,Depreciation!$A$6:$L$10,9,FALSE),0))</f>
        <v>3.0676363676126896E-2</v>
      </c>
      <c r="M140" s="361">
        <f>+IF($I140=M$3,VLOOKUP($H140,Depreciation!$A$6:$L$10,10,FALSE)/2,IF($I140&lt;M$3,VLOOKUP($H140,Depreciation!$A$6:$L$10,10,FALSE),0))</f>
        <v>3.0676363676126896E-2</v>
      </c>
      <c r="N140" s="361">
        <f>+IF($I140=N$3,VLOOKUP($H140,Depreciation!$A$6:$L$10,11,FALSE)/2,IF($I140&lt;N$3,VLOOKUP($H140,Depreciation!$A$6:$L$10,11,FALSE),0))</f>
        <v>3.0676363676126896E-2</v>
      </c>
      <c r="O140" s="361">
        <f>+IF($I140=O$3,VLOOKUP($H140,Depreciation!$A$6:$L$10,12,FALSE)/2,IF($I140&lt;O$3,VLOOKUP($H140,Depreciation!$A$6:$L$10,12,FALSE),0))</f>
        <v>3.0676363676126896E-2</v>
      </c>
      <c r="P140" s="362">
        <f t="shared" si="8"/>
        <v>1894043.0922912883</v>
      </c>
      <c r="Q140" s="362">
        <f t="shared" si="9"/>
        <v>1894043.0922912883</v>
      </c>
      <c r="R140" s="363">
        <f t="shared" si="10"/>
        <v>0</v>
      </c>
      <c r="Y140" s="365"/>
    </row>
    <row r="141" spans="1:25" ht="15" customHeight="1">
      <c r="A141" s="359" t="str">
        <f>'Func Future Lines 2015'!A141</f>
        <v>PPS</v>
      </c>
      <c r="B141" s="359" t="str">
        <f>'Func Future Lines 2015'!B141</f>
        <v>1206_1212L180</v>
      </c>
      <c r="C141" s="359">
        <f>'Func Future Lines 2015'!C141</f>
        <v>961</v>
      </c>
      <c r="D141" s="359">
        <f>'Func Future Lines 2015'!D141</f>
        <v>240</v>
      </c>
      <c r="E141" s="359">
        <f>'Func Future Lines 2015'!E141</f>
        <v>0</v>
      </c>
      <c r="F141" s="359">
        <f>'Func Future Lines 2015'!F141</f>
        <v>0</v>
      </c>
      <c r="G141" s="359">
        <f>'Func Future Lines 2015'!G141</f>
        <v>12147807.385961929</v>
      </c>
      <c r="H141" s="359" t="str">
        <f>'Func Future Lines 2015'!H141</f>
        <v>AltaLink</v>
      </c>
      <c r="I141" s="359">
        <f>'Func Future Lines 2015'!I141</f>
        <v>2015</v>
      </c>
      <c r="J141" s="361">
        <f>+IF($I141=J$3,VLOOKUP($H141,Depreciation!$A$6:$L$10,7,FALSE)/2,IF($I141&lt;J$3,VLOOKUP($H141,Depreciation!$A$6:$L$10,7,FALSE),0))</f>
        <v>1.595020804044691E-2</v>
      </c>
      <c r="K141" s="361">
        <f>+IF($I141=K$3,VLOOKUP($H141,Depreciation!$A$6:$L$10,8,FALSE)/2,IF($I141&lt;K$3,VLOOKUP($H141,Depreciation!$A$6:$L$10,8,FALSE),0))</f>
        <v>3.0676363676126896E-2</v>
      </c>
      <c r="L141" s="361">
        <f>+IF($I141=L$3,VLOOKUP($H141,Depreciation!$A$6:$L$10,9,FALSE)/2,IF($I141&lt;L$3,VLOOKUP($H141,Depreciation!$A$6:$L$10,9,FALSE),0))</f>
        <v>3.0676363676126896E-2</v>
      </c>
      <c r="M141" s="361">
        <f>+IF($I141=M$3,VLOOKUP($H141,Depreciation!$A$6:$L$10,10,FALSE)/2,IF($I141&lt;M$3,VLOOKUP($H141,Depreciation!$A$6:$L$10,10,FALSE),0))</f>
        <v>3.0676363676126896E-2</v>
      </c>
      <c r="N141" s="361">
        <f>+IF($I141=N$3,VLOOKUP($H141,Depreciation!$A$6:$L$10,11,FALSE)/2,IF($I141&lt;N$3,VLOOKUP($H141,Depreciation!$A$6:$L$10,11,FALSE),0))</f>
        <v>3.0676363676126896E-2</v>
      </c>
      <c r="O141" s="361">
        <f>+IF($I141=O$3,VLOOKUP($H141,Depreciation!$A$6:$L$10,12,FALSE)/2,IF($I141&lt;O$3,VLOOKUP($H141,Depreciation!$A$6:$L$10,12,FALSE),0))</f>
        <v>3.0676363676126896E-2</v>
      </c>
      <c r="P141" s="362">
        <f t="shared" si="8"/>
        <v>10553346.131087881</v>
      </c>
      <c r="Q141" s="362">
        <f t="shared" si="9"/>
        <v>10553346.131087881</v>
      </c>
      <c r="R141" s="363">
        <f t="shared" si="10"/>
        <v>0</v>
      </c>
      <c r="Y141" s="365"/>
    </row>
    <row r="142" spans="1:25" ht="15" customHeight="1">
      <c r="A142" s="359" t="str">
        <f>'Func Future Lines 2015'!A142</f>
        <v>PPS</v>
      </c>
      <c r="B142" s="359" t="str">
        <f>'Func Future Lines 2015'!B142</f>
        <v>138 kV AC Lines180</v>
      </c>
      <c r="C142" s="359">
        <f>'Func Future Lines 2015'!C142</f>
        <v>961</v>
      </c>
      <c r="D142" s="359">
        <f>'Func Future Lines 2015'!D142</f>
        <v>138</v>
      </c>
      <c r="E142" s="359">
        <f>'Func Future Lines 2015'!E142</f>
        <v>0</v>
      </c>
      <c r="F142" s="359">
        <f>'Func Future Lines 2015'!F142</f>
        <v>0</v>
      </c>
      <c r="G142" s="359">
        <f>'Func Future Lines 2015'!G142</f>
        <v>386437.04663201742</v>
      </c>
      <c r="H142" s="359" t="str">
        <f>'Func Future Lines 2015'!H142</f>
        <v>ATCO</v>
      </c>
      <c r="I142" s="359">
        <f>'Func Future Lines 2015'!I142</f>
        <v>2015</v>
      </c>
      <c r="J142" s="361">
        <f>+IF($I142=J$3,VLOOKUP($H142,Depreciation!$A$6:$L$10,7,FALSE)/2,IF($I142&lt;J$3,VLOOKUP($H142,Depreciation!$A$6:$L$10,7,FALSE),0))</f>
        <v>1.239102859091515E-2</v>
      </c>
      <c r="K142" s="361">
        <f>+IF($I142=K$3,VLOOKUP($H142,Depreciation!$A$6:$L$10,8,FALSE)/2,IF($I142&lt;K$3,VLOOKUP($H142,Depreciation!$A$6:$L$10,8,FALSE),0))</f>
        <v>2.3943859731006666E-2</v>
      </c>
      <c r="L142" s="361">
        <f>+IF($I142=L$3,VLOOKUP($H142,Depreciation!$A$6:$L$10,9,FALSE)/2,IF($I142&lt;L$3,VLOOKUP($H142,Depreciation!$A$6:$L$10,9,FALSE),0))</f>
        <v>2.4002037926855919E-2</v>
      </c>
      <c r="M142" s="361">
        <f>+IF($I142=M$3,VLOOKUP($H142,Depreciation!$A$6:$L$10,10,FALSE)/2,IF($I142&lt;M$3,VLOOKUP($H142,Depreciation!$A$6:$L$10,10,FALSE),0))</f>
        <v>2.4002037926855919E-2</v>
      </c>
      <c r="N142" s="361">
        <f>+IF($I142=N$3,VLOOKUP($H142,Depreciation!$A$6:$L$10,11,FALSE)/2,IF($I142&lt;N$3,VLOOKUP($H142,Depreciation!$A$6:$L$10,11,FALSE),0))</f>
        <v>2.4002037926855919E-2</v>
      </c>
      <c r="O142" s="361">
        <f>+IF($I142=O$3,VLOOKUP($H142,Depreciation!$A$6:$L$10,12,FALSE)/2,IF($I142&lt;O$3,VLOOKUP($H142,Depreciation!$A$6:$L$10,12,FALSE),0))</f>
        <v>2.4002037926855919E-2</v>
      </c>
      <c r="P142" s="362">
        <f t="shared" si="8"/>
        <v>346326.17085247679</v>
      </c>
      <c r="Q142" s="362">
        <f t="shared" si="9"/>
        <v>0</v>
      </c>
      <c r="R142" s="363">
        <f t="shared" si="10"/>
        <v>346326.17085247679</v>
      </c>
      <c r="Y142" s="365"/>
    </row>
    <row r="143" spans="1:25" ht="15" customHeight="1">
      <c r="A143" s="359" t="str">
        <f>'Func Future Lines 2015'!A143</f>
        <v>PPS</v>
      </c>
      <c r="B143" s="359" t="str">
        <f>'Func Future Lines 2015'!B143</f>
        <v>240 kV AC Lines 923L and XXXL180</v>
      </c>
      <c r="C143" s="359">
        <f>'Func Future Lines 2015'!C143</f>
        <v>961</v>
      </c>
      <c r="D143" s="359">
        <f>'Func Future Lines 2015'!D143</f>
        <v>240</v>
      </c>
      <c r="E143" s="359">
        <f>'Func Future Lines 2015'!E143</f>
        <v>0</v>
      </c>
      <c r="F143" s="359">
        <f>'Func Future Lines 2015'!F143</f>
        <v>0</v>
      </c>
      <c r="G143" s="359">
        <f>'Func Future Lines 2015'!G143</f>
        <v>24745691.127936423</v>
      </c>
      <c r="H143" s="359" t="str">
        <f>'Func Future Lines 2015'!H143</f>
        <v>ATCO</v>
      </c>
      <c r="I143" s="359">
        <f>'Func Future Lines 2015'!I143</f>
        <v>2015</v>
      </c>
      <c r="J143" s="361">
        <f>+IF($I143=J$3,VLOOKUP($H143,Depreciation!$A$6:$L$10,7,FALSE)/2,IF($I143&lt;J$3,VLOOKUP($H143,Depreciation!$A$6:$L$10,7,FALSE),0))</f>
        <v>1.239102859091515E-2</v>
      </c>
      <c r="K143" s="361">
        <f>+IF($I143=K$3,VLOOKUP($H143,Depreciation!$A$6:$L$10,8,FALSE)/2,IF($I143&lt;K$3,VLOOKUP($H143,Depreciation!$A$6:$L$10,8,FALSE),0))</f>
        <v>2.3943859731006666E-2</v>
      </c>
      <c r="L143" s="361">
        <f>+IF($I143=L$3,VLOOKUP($H143,Depreciation!$A$6:$L$10,9,FALSE)/2,IF($I143&lt;L$3,VLOOKUP($H143,Depreciation!$A$6:$L$10,9,FALSE),0))</f>
        <v>2.4002037926855919E-2</v>
      </c>
      <c r="M143" s="361">
        <f>+IF($I143=M$3,VLOOKUP($H143,Depreciation!$A$6:$L$10,10,FALSE)/2,IF($I143&lt;M$3,VLOOKUP($H143,Depreciation!$A$6:$L$10,10,FALSE),0))</f>
        <v>2.4002037926855919E-2</v>
      </c>
      <c r="N143" s="361">
        <f>+IF($I143=N$3,VLOOKUP($H143,Depreciation!$A$6:$L$10,11,FALSE)/2,IF($I143&lt;N$3,VLOOKUP($H143,Depreciation!$A$6:$L$10,11,FALSE),0))</f>
        <v>2.4002037926855919E-2</v>
      </c>
      <c r="O143" s="361">
        <f>+IF($I143=O$3,VLOOKUP($H143,Depreciation!$A$6:$L$10,12,FALSE)/2,IF($I143&lt;O$3,VLOOKUP($H143,Depreciation!$A$6:$L$10,12,FALSE),0))</f>
        <v>2.4002037926855919E-2</v>
      </c>
      <c r="P143" s="362">
        <f t="shared" si="8"/>
        <v>22177170.97294024</v>
      </c>
      <c r="Q143" s="362">
        <f t="shared" si="9"/>
        <v>22177170.97294024</v>
      </c>
      <c r="R143" s="363">
        <f t="shared" si="10"/>
        <v>0</v>
      </c>
      <c r="Y143" s="365"/>
    </row>
    <row r="144" spans="1:25" ht="15" customHeight="1">
      <c r="A144" s="359" t="str">
        <f>'Func Future Lines 2015'!A144</f>
        <v>Final</v>
      </c>
      <c r="B144" s="359" t="str">
        <f>'Func Future Lines 2015'!B144</f>
        <v>500 kV DC Transmission Line 13L50180</v>
      </c>
      <c r="C144" s="359">
        <f>'Func Future Lines 2015'!C144</f>
        <v>961</v>
      </c>
      <c r="D144" s="359">
        <f>'Func Future Lines 2015'!D144</f>
        <v>500</v>
      </c>
      <c r="E144" s="359">
        <f>'Func Future Lines 2015'!E144</f>
        <v>0</v>
      </c>
      <c r="F144" s="359">
        <f>'Func Future Lines 2015'!F144</f>
        <v>0</v>
      </c>
      <c r="G144" s="359">
        <f>'Func Future Lines 2015'!G144</f>
        <v>1297658759.5</v>
      </c>
      <c r="H144" s="359" t="str">
        <f>'Func Future Lines 2015'!H144</f>
        <v>ATCO</v>
      </c>
      <c r="I144" s="359">
        <f>'Func Future Lines 2015'!I144</f>
        <v>2015</v>
      </c>
      <c r="J144" s="361">
        <f>+IF($I144=J$3,VLOOKUP($H144,Depreciation!$A$6:$L$10,7,FALSE)/2,IF($I144&lt;J$3,VLOOKUP($H144,Depreciation!$A$6:$L$10,7,FALSE),0))</f>
        <v>1.239102859091515E-2</v>
      </c>
      <c r="K144" s="361">
        <f>+IF($I144=K$3,VLOOKUP($H144,Depreciation!$A$6:$L$10,8,FALSE)/2,IF($I144&lt;K$3,VLOOKUP($H144,Depreciation!$A$6:$L$10,8,FALSE),0))</f>
        <v>2.3943859731006666E-2</v>
      </c>
      <c r="L144" s="361">
        <f>+IF($I144=L$3,VLOOKUP($H144,Depreciation!$A$6:$L$10,9,FALSE)/2,IF($I144&lt;L$3,VLOOKUP($H144,Depreciation!$A$6:$L$10,9,FALSE),0))</f>
        <v>2.4002037926855919E-2</v>
      </c>
      <c r="M144" s="361">
        <f>+IF($I144=M$3,VLOOKUP($H144,Depreciation!$A$6:$L$10,10,FALSE)/2,IF($I144&lt;M$3,VLOOKUP($H144,Depreciation!$A$6:$L$10,10,FALSE),0))</f>
        <v>2.4002037926855919E-2</v>
      </c>
      <c r="N144" s="361">
        <f>+IF($I144=N$3,VLOOKUP($H144,Depreciation!$A$6:$L$10,11,FALSE)/2,IF($I144&lt;N$3,VLOOKUP($H144,Depreciation!$A$6:$L$10,11,FALSE),0))</f>
        <v>2.4002037926855919E-2</v>
      </c>
      <c r="O144" s="361">
        <f>+IF($I144=O$3,VLOOKUP($H144,Depreciation!$A$6:$L$10,12,FALSE)/2,IF($I144&lt;O$3,VLOOKUP($H144,Depreciation!$A$6:$L$10,12,FALSE),0))</f>
        <v>2.4002037926855919E-2</v>
      </c>
      <c r="P144" s="362">
        <f t="shared" si="8"/>
        <v>1162966110.9556129</v>
      </c>
      <c r="Q144" s="362">
        <f t="shared" si="9"/>
        <v>1162966110.9556129</v>
      </c>
      <c r="R144" s="363">
        <f t="shared" si="10"/>
        <v>0</v>
      </c>
      <c r="Y144" s="365"/>
    </row>
    <row r="145" spans="1:25" ht="15" customHeight="1">
      <c r="A145" s="359" t="str">
        <f>'Func Future Lines 2015'!A145</f>
        <v>PPS</v>
      </c>
      <c r="B145" s="359" t="str">
        <f>'Func Future Lines 2015'!B145</f>
        <v>500kV AC 12L70 &amp; 12L85180</v>
      </c>
      <c r="C145" s="359">
        <f>'Func Future Lines 2015'!C145</f>
        <v>961</v>
      </c>
      <c r="D145" s="359">
        <f>'Func Future Lines 2015'!D145</f>
        <v>500</v>
      </c>
      <c r="E145" s="359">
        <f>'Func Future Lines 2015'!E145</f>
        <v>0</v>
      </c>
      <c r="F145" s="359">
        <f>'Func Future Lines 2015'!F145</f>
        <v>0</v>
      </c>
      <c r="G145" s="359">
        <f>'Func Future Lines 2015'!G145</f>
        <v>22941771.346200299</v>
      </c>
      <c r="H145" s="359" t="str">
        <f>'Func Future Lines 2015'!H145</f>
        <v>ATCO</v>
      </c>
      <c r="I145" s="359">
        <f>'Func Future Lines 2015'!I145</f>
        <v>2015</v>
      </c>
      <c r="J145" s="361">
        <f>+IF($I145=J$3,VLOOKUP($H145,Depreciation!$A$6:$L$10,7,FALSE)/2,IF($I145&lt;J$3,VLOOKUP($H145,Depreciation!$A$6:$L$10,7,FALSE),0))</f>
        <v>1.239102859091515E-2</v>
      </c>
      <c r="K145" s="361">
        <f>+IF($I145=K$3,VLOOKUP($H145,Depreciation!$A$6:$L$10,8,FALSE)/2,IF($I145&lt;K$3,VLOOKUP($H145,Depreciation!$A$6:$L$10,8,FALSE),0))</f>
        <v>2.3943859731006666E-2</v>
      </c>
      <c r="L145" s="361">
        <f>+IF($I145=L$3,VLOOKUP($H145,Depreciation!$A$6:$L$10,9,FALSE)/2,IF($I145&lt;L$3,VLOOKUP($H145,Depreciation!$A$6:$L$10,9,FALSE),0))</f>
        <v>2.4002037926855919E-2</v>
      </c>
      <c r="M145" s="361">
        <f>+IF($I145=M$3,VLOOKUP($H145,Depreciation!$A$6:$L$10,10,FALSE)/2,IF($I145&lt;M$3,VLOOKUP($H145,Depreciation!$A$6:$L$10,10,FALSE),0))</f>
        <v>2.4002037926855919E-2</v>
      </c>
      <c r="N145" s="361">
        <f>+IF($I145=N$3,VLOOKUP($H145,Depreciation!$A$6:$L$10,11,FALSE)/2,IF($I145&lt;N$3,VLOOKUP($H145,Depreciation!$A$6:$L$10,11,FALSE),0))</f>
        <v>2.4002037926855919E-2</v>
      </c>
      <c r="O145" s="361">
        <f>+IF($I145=O$3,VLOOKUP($H145,Depreciation!$A$6:$L$10,12,FALSE)/2,IF($I145&lt;O$3,VLOOKUP($H145,Depreciation!$A$6:$L$10,12,FALSE),0))</f>
        <v>2.4002037926855919E-2</v>
      </c>
      <c r="P145" s="362">
        <f t="shared" si="8"/>
        <v>20560492.044305794</v>
      </c>
      <c r="Q145" s="362">
        <f t="shared" si="9"/>
        <v>20560492.044305794</v>
      </c>
      <c r="R145" s="363">
        <f t="shared" si="10"/>
        <v>0</v>
      </c>
      <c r="Y145" s="365"/>
    </row>
    <row r="146" spans="1:25" ht="15" customHeight="1">
      <c r="A146" s="359" t="str">
        <f>'Func Future Lines 2015'!A146</f>
        <v>PPS</v>
      </c>
      <c r="B146" s="359" t="str">
        <f>'Func Future Lines 2015'!B146</f>
        <v>923L/935L Tie-in180</v>
      </c>
      <c r="C146" s="359">
        <f>'Func Future Lines 2015'!C146</f>
        <v>961</v>
      </c>
      <c r="D146" s="359">
        <f>'Func Future Lines 2015'!D146</f>
        <v>240</v>
      </c>
      <c r="E146" s="359">
        <f>'Func Future Lines 2015'!E146</f>
        <v>0</v>
      </c>
      <c r="F146" s="359">
        <f>'Func Future Lines 2015'!F146</f>
        <v>0</v>
      </c>
      <c r="G146" s="359">
        <f>'Func Future Lines 2015'!G146</f>
        <v>9328355.294053847</v>
      </c>
      <c r="H146" s="359" t="str">
        <f>'Func Future Lines 2015'!H146</f>
        <v>AltaLink</v>
      </c>
      <c r="I146" s="359">
        <f>'Func Future Lines 2015'!I146</f>
        <v>2015</v>
      </c>
      <c r="J146" s="361">
        <f>+IF($I146=J$3,VLOOKUP($H146,Depreciation!$A$6:$L$10,7,FALSE)/2,IF($I146&lt;J$3,VLOOKUP($H146,Depreciation!$A$6:$L$10,7,FALSE),0))</f>
        <v>1.595020804044691E-2</v>
      </c>
      <c r="K146" s="361">
        <f>+IF($I146=K$3,VLOOKUP($H146,Depreciation!$A$6:$L$10,8,FALSE)/2,IF($I146&lt;K$3,VLOOKUP($H146,Depreciation!$A$6:$L$10,8,FALSE),0))</f>
        <v>3.0676363676126896E-2</v>
      </c>
      <c r="L146" s="361">
        <f>+IF($I146=L$3,VLOOKUP($H146,Depreciation!$A$6:$L$10,9,FALSE)/2,IF($I146&lt;L$3,VLOOKUP($H146,Depreciation!$A$6:$L$10,9,FALSE),0))</f>
        <v>3.0676363676126896E-2</v>
      </c>
      <c r="M146" s="361">
        <f>+IF($I146=M$3,VLOOKUP($H146,Depreciation!$A$6:$L$10,10,FALSE)/2,IF($I146&lt;M$3,VLOOKUP($H146,Depreciation!$A$6:$L$10,10,FALSE),0))</f>
        <v>3.0676363676126896E-2</v>
      </c>
      <c r="N146" s="361">
        <f>+IF($I146=N$3,VLOOKUP($H146,Depreciation!$A$6:$L$10,11,FALSE)/2,IF($I146&lt;N$3,VLOOKUP($H146,Depreciation!$A$6:$L$10,11,FALSE),0))</f>
        <v>3.0676363676126896E-2</v>
      </c>
      <c r="O146" s="361">
        <f>+IF($I146=O$3,VLOOKUP($H146,Depreciation!$A$6:$L$10,12,FALSE)/2,IF($I146&lt;O$3,VLOOKUP($H146,Depreciation!$A$6:$L$10,12,FALSE),0))</f>
        <v>3.0676363676126896E-2</v>
      </c>
      <c r="P146" s="362">
        <f t="shared" si="8"/>
        <v>8103961.4083509678</v>
      </c>
      <c r="Q146" s="362">
        <f t="shared" si="9"/>
        <v>8103961.4083509678</v>
      </c>
      <c r="R146" s="363">
        <f t="shared" si="10"/>
        <v>0</v>
      </c>
      <c r="Y146" s="365"/>
    </row>
    <row r="147" spans="1:25" ht="15" customHeight="1">
      <c r="A147" s="359" t="str">
        <f>'Func Future Lines 2015'!A147</f>
        <v>PPS</v>
      </c>
      <c r="B147" s="359" t="str">
        <f>'Func Future Lines 2015'!B147</f>
        <v>931L/933L crossing180</v>
      </c>
      <c r="C147" s="359">
        <f>'Func Future Lines 2015'!C147</f>
        <v>961</v>
      </c>
      <c r="D147" s="359">
        <f>'Func Future Lines 2015'!D147</f>
        <v>240</v>
      </c>
      <c r="E147" s="359">
        <f>'Func Future Lines 2015'!E147</f>
        <v>0</v>
      </c>
      <c r="F147" s="359">
        <f>'Func Future Lines 2015'!F147</f>
        <v>0</v>
      </c>
      <c r="G147" s="359">
        <f>'Func Future Lines 2015'!G147</f>
        <v>15784803.775025563</v>
      </c>
      <c r="H147" s="359" t="str">
        <f>'Func Future Lines 2015'!H147</f>
        <v>AltaLink</v>
      </c>
      <c r="I147" s="359">
        <f>'Func Future Lines 2015'!I147</f>
        <v>2015</v>
      </c>
      <c r="J147" s="361">
        <f>+IF($I147=J$3,VLOOKUP($H147,Depreciation!$A$6:$L$10,7,FALSE)/2,IF($I147&lt;J$3,VLOOKUP($H147,Depreciation!$A$6:$L$10,7,FALSE),0))</f>
        <v>1.595020804044691E-2</v>
      </c>
      <c r="K147" s="361">
        <f>+IF($I147=K$3,VLOOKUP($H147,Depreciation!$A$6:$L$10,8,FALSE)/2,IF($I147&lt;K$3,VLOOKUP($H147,Depreciation!$A$6:$L$10,8,FALSE),0))</f>
        <v>3.0676363676126896E-2</v>
      </c>
      <c r="L147" s="361">
        <f>+IF($I147=L$3,VLOOKUP($H147,Depreciation!$A$6:$L$10,9,FALSE)/2,IF($I147&lt;L$3,VLOOKUP($H147,Depreciation!$A$6:$L$10,9,FALSE),0))</f>
        <v>3.0676363676126896E-2</v>
      </c>
      <c r="M147" s="361">
        <f>+IF($I147=M$3,VLOOKUP($H147,Depreciation!$A$6:$L$10,10,FALSE)/2,IF($I147&lt;M$3,VLOOKUP($H147,Depreciation!$A$6:$L$10,10,FALSE),0))</f>
        <v>3.0676363676126896E-2</v>
      </c>
      <c r="N147" s="361">
        <f>+IF($I147=N$3,VLOOKUP($H147,Depreciation!$A$6:$L$10,11,FALSE)/2,IF($I147&lt;N$3,VLOOKUP($H147,Depreciation!$A$6:$L$10,11,FALSE),0))</f>
        <v>3.0676363676126896E-2</v>
      </c>
      <c r="O147" s="361">
        <f>+IF($I147=O$3,VLOOKUP($H147,Depreciation!$A$6:$L$10,12,FALSE)/2,IF($I147&lt;O$3,VLOOKUP($H147,Depreciation!$A$6:$L$10,12,FALSE),0))</f>
        <v>3.0676363676126896E-2</v>
      </c>
      <c r="P147" s="362">
        <f t="shared" si="8"/>
        <v>13712968.320657685</v>
      </c>
      <c r="Q147" s="362">
        <f t="shared" si="9"/>
        <v>13712968.320657685</v>
      </c>
      <c r="R147" s="363">
        <f t="shared" si="10"/>
        <v>0</v>
      </c>
      <c r="Y147" s="365"/>
    </row>
    <row r="148" spans="1:25" ht="15" customHeight="1">
      <c r="A148" s="359" t="str">
        <f>'Func Future Lines 2015'!A148</f>
        <v>PPS</v>
      </c>
      <c r="B148" s="359" t="str">
        <f>'Func Future Lines 2015'!B148</f>
        <v>950L crossing180</v>
      </c>
      <c r="C148" s="359">
        <f>'Func Future Lines 2015'!C148</f>
        <v>961</v>
      </c>
      <c r="D148" s="359">
        <f>'Func Future Lines 2015'!D148</f>
        <v>240</v>
      </c>
      <c r="E148" s="359">
        <f>'Func Future Lines 2015'!E148</f>
        <v>0</v>
      </c>
      <c r="F148" s="359">
        <f>'Func Future Lines 2015'!F148</f>
        <v>0</v>
      </c>
      <c r="G148" s="359">
        <f>'Func Future Lines 2015'!G148</f>
        <v>4171061.3966196976</v>
      </c>
      <c r="H148" s="359" t="str">
        <f>'Func Future Lines 2015'!H148</f>
        <v>AltaLink</v>
      </c>
      <c r="I148" s="359">
        <f>'Func Future Lines 2015'!I148</f>
        <v>2015</v>
      </c>
      <c r="J148" s="361">
        <f>+IF($I148=J$3,VLOOKUP($H148,Depreciation!$A$6:$L$10,7,FALSE)/2,IF($I148&lt;J$3,VLOOKUP($H148,Depreciation!$A$6:$L$10,7,FALSE),0))</f>
        <v>1.595020804044691E-2</v>
      </c>
      <c r="K148" s="361">
        <f>+IF($I148=K$3,VLOOKUP($H148,Depreciation!$A$6:$L$10,8,FALSE)/2,IF($I148&lt;K$3,VLOOKUP($H148,Depreciation!$A$6:$L$10,8,FALSE),0))</f>
        <v>3.0676363676126896E-2</v>
      </c>
      <c r="L148" s="361">
        <f>+IF($I148=L$3,VLOOKUP($H148,Depreciation!$A$6:$L$10,9,FALSE)/2,IF($I148&lt;L$3,VLOOKUP($H148,Depreciation!$A$6:$L$10,9,FALSE),0))</f>
        <v>3.0676363676126896E-2</v>
      </c>
      <c r="M148" s="361">
        <f>+IF($I148=M$3,VLOOKUP($H148,Depreciation!$A$6:$L$10,10,FALSE)/2,IF($I148&lt;M$3,VLOOKUP($H148,Depreciation!$A$6:$L$10,10,FALSE),0))</f>
        <v>3.0676363676126896E-2</v>
      </c>
      <c r="N148" s="361">
        <f>+IF($I148=N$3,VLOOKUP($H148,Depreciation!$A$6:$L$10,11,FALSE)/2,IF($I148&lt;N$3,VLOOKUP($H148,Depreciation!$A$6:$L$10,11,FALSE),0))</f>
        <v>3.0676363676126896E-2</v>
      </c>
      <c r="O148" s="361">
        <f>+IF($I148=O$3,VLOOKUP($H148,Depreciation!$A$6:$L$10,12,FALSE)/2,IF($I148&lt;O$3,VLOOKUP($H148,Depreciation!$A$6:$L$10,12,FALSE),0))</f>
        <v>3.0676363676126896E-2</v>
      </c>
      <c r="P148" s="362">
        <f t="shared" si="8"/>
        <v>3623588.459544945</v>
      </c>
      <c r="Q148" s="362">
        <f t="shared" si="9"/>
        <v>3623588.459544945</v>
      </c>
      <c r="R148" s="363">
        <f t="shared" si="10"/>
        <v>0</v>
      </c>
      <c r="Y148" s="365"/>
    </row>
    <row r="149" spans="1:25" ht="15" customHeight="1">
      <c r="A149" s="359" t="str">
        <f>'Func Future Lines 2015'!A149</f>
        <v>PPS</v>
      </c>
      <c r="B149" s="359" t="str">
        <f>'Func Future Lines 2015'!B149</f>
        <v>1113L 180</v>
      </c>
      <c r="C149" s="359">
        <f>'Func Future Lines 2015'!C149</f>
        <v>962</v>
      </c>
      <c r="D149" s="359">
        <f>'Func Future Lines 2015'!D149</f>
        <v>240</v>
      </c>
      <c r="E149" s="359">
        <f>'Func Future Lines 2015'!E149</f>
        <v>0</v>
      </c>
      <c r="F149" s="359">
        <f>'Func Future Lines 2015'!F149</f>
        <v>0</v>
      </c>
      <c r="G149" s="359">
        <f>'Func Future Lines 2015'!G149</f>
        <v>5050035.9456107607</v>
      </c>
      <c r="H149" s="359" t="str">
        <f>'Func Future Lines 2015'!H149</f>
        <v>AltaLink</v>
      </c>
      <c r="I149" s="359">
        <f>'Func Future Lines 2015'!I149</f>
        <v>2015</v>
      </c>
      <c r="J149" s="361">
        <f>+IF($I149=J$3,VLOOKUP($H149,Depreciation!$A$6:$L$10,7,FALSE)/2,IF($I149&lt;J$3,VLOOKUP($H149,Depreciation!$A$6:$L$10,7,FALSE),0))</f>
        <v>1.595020804044691E-2</v>
      </c>
      <c r="K149" s="361">
        <f>+IF($I149=K$3,VLOOKUP($H149,Depreciation!$A$6:$L$10,8,FALSE)/2,IF($I149&lt;K$3,VLOOKUP($H149,Depreciation!$A$6:$L$10,8,FALSE),0))</f>
        <v>3.0676363676126896E-2</v>
      </c>
      <c r="L149" s="361">
        <f>+IF($I149=L$3,VLOOKUP($H149,Depreciation!$A$6:$L$10,9,FALSE)/2,IF($I149&lt;L$3,VLOOKUP($H149,Depreciation!$A$6:$L$10,9,FALSE),0))</f>
        <v>3.0676363676126896E-2</v>
      </c>
      <c r="M149" s="361">
        <f>+IF($I149=M$3,VLOOKUP($H149,Depreciation!$A$6:$L$10,10,FALSE)/2,IF($I149&lt;M$3,VLOOKUP($H149,Depreciation!$A$6:$L$10,10,FALSE),0))</f>
        <v>3.0676363676126896E-2</v>
      </c>
      <c r="N149" s="361">
        <f>+IF($I149=N$3,VLOOKUP($H149,Depreciation!$A$6:$L$10,11,FALSE)/2,IF($I149&lt;N$3,VLOOKUP($H149,Depreciation!$A$6:$L$10,11,FALSE),0))</f>
        <v>3.0676363676126896E-2</v>
      </c>
      <c r="O149" s="361">
        <f>+IF($I149=O$3,VLOOKUP($H149,Depreciation!$A$6:$L$10,12,FALSE)/2,IF($I149&lt;O$3,VLOOKUP($H149,Depreciation!$A$6:$L$10,12,FALSE),0))</f>
        <v>3.0676363676126896E-2</v>
      </c>
      <c r="P149" s="362">
        <f t="shared" si="8"/>
        <v>4387193.1464812141</v>
      </c>
      <c r="Q149" s="362">
        <f t="shared" si="9"/>
        <v>4387193.1464812141</v>
      </c>
      <c r="R149" s="363">
        <f t="shared" si="10"/>
        <v>0</v>
      </c>
      <c r="Y149" s="365"/>
    </row>
    <row r="150" spans="1:25" ht="15" customHeight="1">
      <c r="A150" s="359" t="str">
        <f>'Func Future Lines 2015'!A150</f>
        <v>PPS</v>
      </c>
      <c r="B150" s="359" t="str">
        <f>'Func Future Lines 2015'!B150</f>
        <v>1114L 180</v>
      </c>
      <c r="C150" s="359">
        <f>'Func Future Lines 2015'!C150</f>
        <v>962</v>
      </c>
      <c r="D150" s="359">
        <f>'Func Future Lines 2015'!D150</f>
        <v>240</v>
      </c>
      <c r="E150" s="359">
        <f>'Func Future Lines 2015'!E150</f>
        <v>0</v>
      </c>
      <c r="F150" s="359">
        <f>'Func Future Lines 2015'!F150</f>
        <v>0</v>
      </c>
      <c r="G150" s="359">
        <f>'Func Future Lines 2015'!G150</f>
        <v>508638.67860466533</v>
      </c>
      <c r="H150" s="359" t="str">
        <f>'Func Future Lines 2015'!H150</f>
        <v>AltaLink</v>
      </c>
      <c r="I150" s="359">
        <f>'Func Future Lines 2015'!I150</f>
        <v>2015</v>
      </c>
      <c r="J150" s="361">
        <f>+IF($I150=J$3,VLOOKUP($H150,Depreciation!$A$6:$L$10,7,FALSE)/2,IF($I150&lt;J$3,VLOOKUP($H150,Depreciation!$A$6:$L$10,7,FALSE),0))</f>
        <v>1.595020804044691E-2</v>
      </c>
      <c r="K150" s="361">
        <f>+IF($I150=K$3,VLOOKUP($H150,Depreciation!$A$6:$L$10,8,FALSE)/2,IF($I150&lt;K$3,VLOOKUP($H150,Depreciation!$A$6:$L$10,8,FALSE),0))</f>
        <v>3.0676363676126896E-2</v>
      </c>
      <c r="L150" s="361">
        <f>+IF($I150=L$3,VLOOKUP($H150,Depreciation!$A$6:$L$10,9,FALSE)/2,IF($I150&lt;L$3,VLOOKUP($H150,Depreciation!$A$6:$L$10,9,FALSE),0))</f>
        <v>3.0676363676126896E-2</v>
      </c>
      <c r="M150" s="361">
        <f>+IF($I150=M$3,VLOOKUP($H150,Depreciation!$A$6:$L$10,10,FALSE)/2,IF($I150&lt;M$3,VLOOKUP($H150,Depreciation!$A$6:$L$10,10,FALSE),0))</f>
        <v>3.0676363676126896E-2</v>
      </c>
      <c r="N150" s="361">
        <f>+IF($I150=N$3,VLOOKUP($H150,Depreciation!$A$6:$L$10,11,FALSE)/2,IF($I150&lt;N$3,VLOOKUP($H150,Depreciation!$A$6:$L$10,11,FALSE),0))</f>
        <v>3.0676363676126896E-2</v>
      </c>
      <c r="O150" s="361">
        <f>+IF($I150=O$3,VLOOKUP($H150,Depreciation!$A$6:$L$10,12,FALSE)/2,IF($I150&lt;O$3,VLOOKUP($H150,Depreciation!$A$6:$L$10,12,FALSE),0))</f>
        <v>3.0676363676126896E-2</v>
      </c>
      <c r="P150" s="362">
        <f t="shared" si="8"/>
        <v>441877.27549724746</v>
      </c>
      <c r="Q150" s="362">
        <f t="shared" si="9"/>
        <v>441877.27549724746</v>
      </c>
      <c r="R150" s="363">
        <f t="shared" si="10"/>
        <v>0</v>
      </c>
      <c r="Y150" s="365"/>
    </row>
    <row r="151" spans="1:25" ht="15" customHeight="1">
      <c r="A151" s="359" t="str">
        <f>'Func Future Lines 2015'!A151</f>
        <v>PPS</v>
      </c>
      <c r="B151" s="359" t="str">
        <f>'Func Future Lines 2015'!B151</f>
        <v>1201L</v>
      </c>
      <c r="C151" s="359">
        <f>'Func Future Lines 2015'!C151</f>
        <v>962</v>
      </c>
      <c r="D151" s="359">
        <f>'Func Future Lines 2015'!D151</f>
        <v>500</v>
      </c>
      <c r="E151" s="359">
        <f>'Func Future Lines 2015'!E151</f>
        <v>0</v>
      </c>
      <c r="F151" s="359">
        <f>'Func Future Lines 2015'!F151</f>
        <v>0</v>
      </c>
      <c r="G151" s="359">
        <f>'Func Future Lines 2015'!G151</f>
        <v>17806288.979760934</v>
      </c>
      <c r="H151" s="359" t="str">
        <f>'Func Future Lines 2015'!H151</f>
        <v>AltaLink</v>
      </c>
      <c r="I151" s="359">
        <f>'Func Future Lines 2015'!I151</f>
        <v>2015</v>
      </c>
      <c r="J151" s="361">
        <f>+IF($I151=J$3,VLOOKUP($H151,Depreciation!$A$6:$L$10,7,FALSE)/2,IF($I151&lt;J$3,VLOOKUP($H151,Depreciation!$A$6:$L$10,7,FALSE),0))</f>
        <v>1.595020804044691E-2</v>
      </c>
      <c r="K151" s="361">
        <f>+IF($I151=K$3,VLOOKUP($H151,Depreciation!$A$6:$L$10,8,FALSE)/2,IF($I151&lt;K$3,VLOOKUP($H151,Depreciation!$A$6:$L$10,8,FALSE),0))</f>
        <v>3.0676363676126896E-2</v>
      </c>
      <c r="L151" s="361">
        <f>+IF($I151=L$3,VLOOKUP($H151,Depreciation!$A$6:$L$10,9,FALSE)/2,IF($I151&lt;L$3,VLOOKUP($H151,Depreciation!$A$6:$L$10,9,FALSE),0))</f>
        <v>3.0676363676126896E-2</v>
      </c>
      <c r="M151" s="361">
        <f>+IF($I151=M$3,VLOOKUP($H151,Depreciation!$A$6:$L$10,10,FALSE)/2,IF($I151&lt;M$3,VLOOKUP($H151,Depreciation!$A$6:$L$10,10,FALSE),0))</f>
        <v>3.0676363676126896E-2</v>
      </c>
      <c r="N151" s="361">
        <f>+IF($I151=N$3,VLOOKUP($H151,Depreciation!$A$6:$L$10,11,FALSE)/2,IF($I151&lt;N$3,VLOOKUP($H151,Depreciation!$A$6:$L$10,11,FALSE),0))</f>
        <v>3.0676363676126896E-2</v>
      </c>
      <c r="O151" s="361">
        <f>+IF($I151=O$3,VLOOKUP($H151,Depreciation!$A$6:$L$10,12,FALSE)/2,IF($I151&lt;O$3,VLOOKUP($H151,Depreciation!$A$6:$L$10,12,FALSE),0))</f>
        <v>3.0676363676126896E-2</v>
      </c>
      <c r="P151" s="362">
        <f t="shared" si="8"/>
        <v>15469123.352313723</v>
      </c>
      <c r="Q151" s="362">
        <f t="shared" si="9"/>
        <v>15469123.352313723</v>
      </c>
      <c r="R151" s="363">
        <f t="shared" si="10"/>
        <v>0</v>
      </c>
      <c r="Y151" s="365"/>
    </row>
    <row r="152" spans="1:25" ht="15" customHeight="1">
      <c r="A152" s="359" t="str">
        <f>'Func Future Lines 2015'!A152</f>
        <v>PPS</v>
      </c>
      <c r="B152" s="359" t="str">
        <f>'Func Future Lines 2015'!B152</f>
        <v>1203L / 1238L / 1239L to 510S</v>
      </c>
      <c r="C152" s="359">
        <f>'Func Future Lines 2015'!C152</f>
        <v>962</v>
      </c>
      <c r="D152" s="359">
        <f>'Func Future Lines 2015'!D152</f>
        <v>500</v>
      </c>
      <c r="E152" s="359">
        <f>'Func Future Lines 2015'!E152</f>
        <v>0</v>
      </c>
      <c r="F152" s="359" t="str">
        <f>'Func Future Lines 2015'!F152</f>
        <v>northwest</v>
      </c>
      <c r="G152" s="359">
        <f>'Func Future Lines 2015'!G152</f>
        <v>4282968.0875220895</v>
      </c>
      <c r="H152" s="359" t="str">
        <f>'Func Future Lines 2015'!H152</f>
        <v>EPCOR</v>
      </c>
      <c r="I152" s="359">
        <f>'Func Future Lines 2015'!I152</f>
        <v>2015</v>
      </c>
      <c r="J152" s="361">
        <f>+IF($I152=J$3,VLOOKUP($H152,Depreciation!$A$6:$L$10,7,FALSE)/2,IF($I152&lt;J$3,VLOOKUP($H152,Depreciation!$A$6:$L$10,7,FALSE),0))</f>
        <v>1.1530980651952941E-2</v>
      </c>
      <c r="K152" s="361">
        <f>+IF($I152=K$3,VLOOKUP($H152,Depreciation!$A$6:$L$10,8,FALSE)/2,IF($I152&lt;K$3,VLOOKUP($H152,Depreciation!$A$6:$L$10,8,FALSE),0))</f>
        <v>2.3062337210051284E-2</v>
      </c>
      <c r="L152" s="361">
        <f>+IF($I152=L$3,VLOOKUP($H152,Depreciation!$A$6:$L$10,9,FALSE)/2,IF($I152&lt;L$3,VLOOKUP($H152,Depreciation!$A$6:$L$10,9,FALSE),0))</f>
        <v>2.3063912319658014E-2</v>
      </c>
      <c r="M152" s="361">
        <f>+IF($I152=M$3,VLOOKUP($H152,Depreciation!$A$6:$L$10,10,FALSE)/2,IF($I152&lt;M$3,VLOOKUP($H152,Depreciation!$A$6:$L$10,10,FALSE),0))</f>
        <v>2.3063912319658014E-2</v>
      </c>
      <c r="N152" s="361">
        <f>+IF($I152=N$3,VLOOKUP($H152,Depreciation!$A$6:$L$10,11,FALSE)/2,IF($I152&lt;N$3,VLOOKUP($H152,Depreciation!$A$6:$L$10,11,FALSE),0))</f>
        <v>2.3063912319658014E-2</v>
      </c>
      <c r="O152" s="361">
        <f>+IF($I152=O$3,VLOOKUP($H152,Depreciation!$A$6:$L$10,12,FALSE)/2,IF($I152&lt;O$3,VLOOKUP($H152,Depreciation!$A$6:$L$10,12,FALSE),0))</f>
        <v>2.3063912319658014E-2</v>
      </c>
      <c r="P152" s="362">
        <f t="shared" si="8"/>
        <v>3856321.3003176791</v>
      </c>
      <c r="Q152" s="362">
        <f t="shared" si="9"/>
        <v>3856321.3003176791</v>
      </c>
      <c r="R152" s="363">
        <f t="shared" si="10"/>
        <v>0</v>
      </c>
      <c r="Y152" s="365"/>
    </row>
    <row r="153" spans="1:25" ht="15" customHeight="1">
      <c r="A153" s="359" t="str">
        <f>'Func Future Lines 2015'!A153</f>
        <v>PPS</v>
      </c>
      <c r="B153" s="359" t="str">
        <f>'Func Future Lines 2015'!B153</f>
        <v>1209L 330P to 89S</v>
      </c>
      <c r="C153" s="359">
        <f>'Func Future Lines 2015'!C153</f>
        <v>962</v>
      </c>
      <c r="D153" s="359">
        <f>'Func Future Lines 2015'!D153</f>
        <v>500</v>
      </c>
      <c r="E153" s="359">
        <f>'Func Future Lines 2015'!E153</f>
        <v>0</v>
      </c>
      <c r="F153" s="359" t="str">
        <f>'Func Future Lines 2015'!F153</f>
        <v>northwest</v>
      </c>
      <c r="G153" s="359">
        <f>'Func Future Lines 2015'!G153</f>
        <v>7200931.5202669203</v>
      </c>
      <c r="H153" s="359" t="str">
        <f>'Func Future Lines 2015'!H153</f>
        <v>EPCOR</v>
      </c>
      <c r="I153" s="359">
        <f>'Func Future Lines 2015'!I153</f>
        <v>2015</v>
      </c>
      <c r="J153" s="361">
        <f>+IF($I153=J$3,VLOOKUP($H153,Depreciation!$A$6:$L$10,7,FALSE)/2,IF($I153&lt;J$3,VLOOKUP($H153,Depreciation!$A$6:$L$10,7,FALSE),0))</f>
        <v>1.1530980651952941E-2</v>
      </c>
      <c r="K153" s="361">
        <f>+IF($I153=K$3,VLOOKUP($H153,Depreciation!$A$6:$L$10,8,FALSE)/2,IF($I153&lt;K$3,VLOOKUP($H153,Depreciation!$A$6:$L$10,8,FALSE),0))</f>
        <v>2.3062337210051284E-2</v>
      </c>
      <c r="L153" s="361">
        <f>+IF($I153=L$3,VLOOKUP($H153,Depreciation!$A$6:$L$10,9,FALSE)/2,IF($I153&lt;L$3,VLOOKUP($H153,Depreciation!$A$6:$L$10,9,FALSE),0))</f>
        <v>2.3063912319658014E-2</v>
      </c>
      <c r="M153" s="361">
        <f>+IF($I153=M$3,VLOOKUP($H153,Depreciation!$A$6:$L$10,10,FALSE)/2,IF($I153&lt;M$3,VLOOKUP($H153,Depreciation!$A$6:$L$10,10,FALSE),0))</f>
        <v>2.3063912319658014E-2</v>
      </c>
      <c r="N153" s="361">
        <f>+IF($I153=N$3,VLOOKUP($H153,Depreciation!$A$6:$L$10,11,FALSE)/2,IF($I153&lt;N$3,VLOOKUP($H153,Depreciation!$A$6:$L$10,11,FALSE),0))</f>
        <v>2.3063912319658014E-2</v>
      </c>
      <c r="O153" s="361">
        <f>+IF($I153=O$3,VLOOKUP($H153,Depreciation!$A$6:$L$10,12,FALSE)/2,IF($I153&lt;O$3,VLOOKUP($H153,Depreciation!$A$6:$L$10,12,FALSE),0))</f>
        <v>2.3063912319658014E-2</v>
      </c>
      <c r="P153" s="362">
        <f t="shared" si="8"/>
        <v>6483612.5407135841</v>
      </c>
      <c r="Q153" s="362">
        <f t="shared" si="9"/>
        <v>6483612.5407135841</v>
      </c>
      <c r="R153" s="363">
        <f t="shared" si="10"/>
        <v>0</v>
      </c>
      <c r="Y153" s="365"/>
    </row>
    <row r="154" spans="1:25" ht="15" customHeight="1">
      <c r="A154" s="359" t="str">
        <f>'Func Future Lines 2015'!A154</f>
        <v>PPS</v>
      </c>
      <c r="B154" s="359" t="str">
        <f>'Func Future Lines 2015'!B154</f>
        <v>1323L / 1323AL</v>
      </c>
      <c r="C154" s="359">
        <f>'Func Future Lines 2015'!C154</f>
        <v>962</v>
      </c>
      <c r="D154" s="359">
        <f>'Func Future Lines 2015'!D154</f>
        <v>500</v>
      </c>
      <c r="E154" s="359">
        <f>'Func Future Lines 2015'!E154</f>
        <v>0</v>
      </c>
      <c r="F154" s="359">
        <f>'Func Future Lines 2015'!F154</f>
        <v>0</v>
      </c>
      <c r="G154" s="359">
        <f>'Func Future Lines 2015'!G154</f>
        <v>5797511.6642460758</v>
      </c>
      <c r="H154" s="359" t="str">
        <f>'Func Future Lines 2015'!H154</f>
        <v>AltaLink</v>
      </c>
      <c r="I154" s="359">
        <f>'Func Future Lines 2015'!I154</f>
        <v>2015</v>
      </c>
      <c r="J154" s="361">
        <f>+IF($I154=J$3,VLOOKUP($H154,Depreciation!$A$6:$L$10,7,FALSE)/2,IF($I154&lt;J$3,VLOOKUP($H154,Depreciation!$A$6:$L$10,7,FALSE),0))</f>
        <v>1.595020804044691E-2</v>
      </c>
      <c r="K154" s="361">
        <f>+IF($I154=K$3,VLOOKUP($H154,Depreciation!$A$6:$L$10,8,FALSE)/2,IF($I154&lt;K$3,VLOOKUP($H154,Depreciation!$A$6:$L$10,8,FALSE),0))</f>
        <v>3.0676363676126896E-2</v>
      </c>
      <c r="L154" s="361">
        <f>+IF($I154=L$3,VLOOKUP($H154,Depreciation!$A$6:$L$10,9,FALSE)/2,IF($I154&lt;L$3,VLOOKUP($H154,Depreciation!$A$6:$L$10,9,FALSE),0))</f>
        <v>3.0676363676126896E-2</v>
      </c>
      <c r="M154" s="361">
        <f>+IF($I154=M$3,VLOOKUP($H154,Depreciation!$A$6:$L$10,10,FALSE)/2,IF($I154&lt;M$3,VLOOKUP($H154,Depreciation!$A$6:$L$10,10,FALSE),0))</f>
        <v>3.0676363676126896E-2</v>
      </c>
      <c r="N154" s="361">
        <f>+IF($I154=N$3,VLOOKUP($H154,Depreciation!$A$6:$L$10,11,FALSE)/2,IF($I154&lt;N$3,VLOOKUP($H154,Depreciation!$A$6:$L$10,11,FALSE),0))</f>
        <v>3.0676363676126896E-2</v>
      </c>
      <c r="O154" s="361">
        <f>+IF($I154=O$3,VLOOKUP($H154,Depreciation!$A$6:$L$10,12,FALSE)/2,IF($I154&lt;O$3,VLOOKUP($H154,Depreciation!$A$6:$L$10,12,FALSE),0))</f>
        <v>3.0676363676126896E-2</v>
      </c>
      <c r="P154" s="362">
        <f t="shared" si="8"/>
        <v>5036558.8906613514</v>
      </c>
      <c r="Q154" s="362">
        <f t="shared" si="9"/>
        <v>5036558.8906613514</v>
      </c>
      <c r="R154" s="363">
        <f t="shared" si="10"/>
        <v>0</v>
      </c>
      <c r="Y154" s="365"/>
    </row>
    <row r="155" spans="1:25" ht="15" customHeight="1">
      <c r="A155" s="359" t="str">
        <f>'Func Future Lines 2015'!A155</f>
        <v>PPS</v>
      </c>
      <c r="B155" s="359" t="str">
        <f>'Func Future Lines 2015'!B155</f>
        <v>1323L / 1323AL</v>
      </c>
      <c r="C155" s="359">
        <f>'Func Future Lines 2015'!C155</f>
        <v>962</v>
      </c>
      <c r="D155" s="359">
        <f>'Func Future Lines 2015'!D155</f>
        <v>500</v>
      </c>
      <c r="E155" s="359">
        <f>'Func Future Lines 2015'!E155</f>
        <v>0</v>
      </c>
      <c r="F155" s="359">
        <f>'Func Future Lines 2015'!F155</f>
        <v>0</v>
      </c>
      <c r="G155" s="359">
        <f>'Func Future Lines 2015'!G155</f>
        <v>5797512.9227138078</v>
      </c>
      <c r="H155" s="359" t="str">
        <f>'Func Future Lines 2015'!H155</f>
        <v>AltaLink</v>
      </c>
      <c r="I155" s="359">
        <f>'Func Future Lines 2015'!I155</f>
        <v>2015</v>
      </c>
      <c r="J155" s="361">
        <f>+IF($I155=J$3,VLOOKUP($H155,Depreciation!$A$6:$L$10,7,FALSE)/2,IF($I155&lt;J$3,VLOOKUP($H155,Depreciation!$A$6:$L$10,7,FALSE),0))</f>
        <v>1.595020804044691E-2</v>
      </c>
      <c r="K155" s="361">
        <f>+IF($I155=K$3,VLOOKUP($H155,Depreciation!$A$6:$L$10,8,FALSE)/2,IF($I155&lt;K$3,VLOOKUP($H155,Depreciation!$A$6:$L$10,8,FALSE),0))</f>
        <v>3.0676363676126896E-2</v>
      </c>
      <c r="L155" s="361">
        <f>+IF($I155=L$3,VLOOKUP($H155,Depreciation!$A$6:$L$10,9,FALSE)/2,IF($I155&lt;L$3,VLOOKUP($H155,Depreciation!$A$6:$L$10,9,FALSE),0))</f>
        <v>3.0676363676126896E-2</v>
      </c>
      <c r="M155" s="361">
        <f>+IF($I155=M$3,VLOOKUP($H155,Depreciation!$A$6:$L$10,10,FALSE)/2,IF($I155&lt;M$3,VLOOKUP($H155,Depreciation!$A$6:$L$10,10,FALSE),0))</f>
        <v>3.0676363676126896E-2</v>
      </c>
      <c r="N155" s="361">
        <f>+IF($I155=N$3,VLOOKUP($H155,Depreciation!$A$6:$L$10,11,FALSE)/2,IF($I155&lt;N$3,VLOOKUP($H155,Depreciation!$A$6:$L$10,11,FALSE),0))</f>
        <v>3.0676363676126896E-2</v>
      </c>
      <c r="O155" s="361">
        <f>+IF($I155=O$3,VLOOKUP($H155,Depreciation!$A$6:$L$10,12,FALSE)/2,IF($I155&lt;O$3,VLOOKUP($H155,Depreciation!$A$6:$L$10,12,FALSE),0))</f>
        <v>3.0676363676126896E-2</v>
      </c>
      <c r="P155" s="362">
        <f t="shared" si="8"/>
        <v>5036559.9839488184</v>
      </c>
      <c r="Q155" s="362">
        <f t="shared" si="9"/>
        <v>5036559.9839488184</v>
      </c>
      <c r="R155" s="363">
        <f t="shared" si="10"/>
        <v>0</v>
      </c>
      <c r="Y155" s="365"/>
    </row>
    <row r="156" spans="1:25" ht="15" customHeight="1">
      <c r="A156" s="359" t="str">
        <f>'Func Future Lines 2015'!A156</f>
        <v>PPS</v>
      </c>
      <c r="B156" s="359" t="str">
        <f>'Func Future Lines 2015'!B156</f>
        <v>166L crossing180</v>
      </c>
      <c r="C156" s="359">
        <f>'Func Future Lines 2015'!C156</f>
        <v>962</v>
      </c>
      <c r="D156" s="359">
        <f>'Func Future Lines 2015'!D156</f>
        <v>138</v>
      </c>
      <c r="E156" s="359">
        <f>'Func Future Lines 2015'!E156</f>
        <v>0</v>
      </c>
      <c r="F156" s="359">
        <f>'Func Future Lines 2015'!F156</f>
        <v>0</v>
      </c>
      <c r="G156" s="359">
        <f>'Func Future Lines 2015'!G156</f>
        <v>1759.3378891942859</v>
      </c>
      <c r="H156" s="359" t="str">
        <f>'Func Future Lines 2015'!H156</f>
        <v>AltaLink</v>
      </c>
      <c r="I156" s="359">
        <f>'Func Future Lines 2015'!I156</f>
        <v>2015</v>
      </c>
      <c r="J156" s="361">
        <f>+IF($I156=J$3,VLOOKUP($H156,Depreciation!$A$6:$L$10,7,FALSE)/2,IF($I156&lt;J$3,VLOOKUP($H156,Depreciation!$A$6:$L$10,7,FALSE),0))</f>
        <v>1.595020804044691E-2</v>
      </c>
      <c r="K156" s="361">
        <f>+IF($I156=K$3,VLOOKUP($H156,Depreciation!$A$6:$L$10,8,FALSE)/2,IF($I156&lt;K$3,VLOOKUP($H156,Depreciation!$A$6:$L$10,8,FALSE),0))</f>
        <v>3.0676363676126896E-2</v>
      </c>
      <c r="L156" s="361">
        <f>+IF($I156=L$3,VLOOKUP($H156,Depreciation!$A$6:$L$10,9,FALSE)/2,IF($I156&lt;L$3,VLOOKUP($H156,Depreciation!$A$6:$L$10,9,FALSE),0))</f>
        <v>3.0676363676126896E-2</v>
      </c>
      <c r="M156" s="361">
        <f>+IF($I156=M$3,VLOOKUP($H156,Depreciation!$A$6:$L$10,10,FALSE)/2,IF($I156&lt;M$3,VLOOKUP($H156,Depreciation!$A$6:$L$10,10,FALSE),0))</f>
        <v>3.0676363676126896E-2</v>
      </c>
      <c r="N156" s="361">
        <f>+IF($I156=N$3,VLOOKUP($H156,Depreciation!$A$6:$L$10,11,FALSE)/2,IF($I156&lt;N$3,VLOOKUP($H156,Depreciation!$A$6:$L$10,11,FALSE),0))</f>
        <v>3.0676363676126896E-2</v>
      </c>
      <c r="O156" s="361">
        <f>+IF($I156=O$3,VLOOKUP($H156,Depreciation!$A$6:$L$10,12,FALSE)/2,IF($I156&lt;O$3,VLOOKUP($H156,Depreciation!$A$6:$L$10,12,FALSE),0))</f>
        <v>3.0676363676126896E-2</v>
      </c>
      <c r="P156" s="362">
        <f t="shared" si="8"/>
        <v>1528.4158792030935</v>
      </c>
      <c r="Q156" s="362">
        <f t="shared" si="9"/>
        <v>0</v>
      </c>
      <c r="R156" s="363">
        <f t="shared" si="10"/>
        <v>1528.4158792030935</v>
      </c>
      <c r="Y156" s="365"/>
    </row>
    <row r="157" spans="1:25" ht="15" customHeight="1">
      <c r="A157" s="359" t="str">
        <f>'Func Future Lines 2015'!A157</f>
        <v>PPS</v>
      </c>
      <c r="B157" s="359" t="str">
        <f>'Func Future Lines 2015'!B157</f>
        <v>189L crossing180</v>
      </c>
      <c r="C157" s="359">
        <f>'Func Future Lines 2015'!C157</f>
        <v>962</v>
      </c>
      <c r="D157" s="359">
        <f>'Func Future Lines 2015'!D157</f>
        <v>138</v>
      </c>
      <c r="E157" s="359">
        <f>'Func Future Lines 2015'!E157</f>
        <v>0</v>
      </c>
      <c r="F157" s="359">
        <f>'Func Future Lines 2015'!F157</f>
        <v>0</v>
      </c>
      <c r="G157" s="359">
        <f>'Func Future Lines 2015'!G157</f>
        <v>6009.1834198159622</v>
      </c>
      <c r="H157" s="359" t="str">
        <f>'Func Future Lines 2015'!H157</f>
        <v>AltaLink</v>
      </c>
      <c r="I157" s="359">
        <f>'Func Future Lines 2015'!I157</f>
        <v>2015</v>
      </c>
      <c r="J157" s="361">
        <f>+IF($I157=J$3,VLOOKUP($H157,Depreciation!$A$6:$L$10,7,FALSE)/2,IF($I157&lt;J$3,VLOOKUP($H157,Depreciation!$A$6:$L$10,7,FALSE),0))</f>
        <v>1.595020804044691E-2</v>
      </c>
      <c r="K157" s="361">
        <f>+IF($I157=K$3,VLOOKUP($H157,Depreciation!$A$6:$L$10,8,FALSE)/2,IF($I157&lt;K$3,VLOOKUP($H157,Depreciation!$A$6:$L$10,8,FALSE),0))</f>
        <v>3.0676363676126896E-2</v>
      </c>
      <c r="L157" s="361">
        <f>+IF($I157=L$3,VLOOKUP($H157,Depreciation!$A$6:$L$10,9,FALSE)/2,IF($I157&lt;L$3,VLOOKUP($H157,Depreciation!$A$6:$L$10,9,FALSE),0))</f>
        <v>3.0676363676126896E-2</v>
      </c>
      <c r="M157" s="361">
        <f>+IF($I157=M$3,VLOOKUP($H157,Depreciation!$A$6:$L$10,10,FALSE)/2,IF($I157&lt;M$3,VLOOKUP($H157,Depreciation!$A$6:$L$10,10,FALSE),0))</f>
        <v>3.0676363676126896E-2</v>
      </c>
      <c r="N157" s="361">
        <f>+IF($I157=N$3,VLOOKUP($H157,Depreciation!$A$6:$L$10,11,FALSE)/2,IF($I157&lt;N$3,VLOOKUP($H157,Depreciation!$A$6:$L$10,11,FALSE),0))</f>
        <v>3.0676363676126896E-2</v>
      </c>
      <c r="O157" s="361">
        <f>+IF($I157=O$3,VLOOKUP($H157,Depreciation!$A$6:$L$10,12,FALSE)/2,IF($I157&lt;O$3,VLOOKUP($H157,Depreciation!$A$6:$L$10,12,FALSE),0))</f>
        <v>3.0676363676126896E-2</v>
      </c>
      <c r="P157" s="362">
        <f t="shared" si="8"/>
        <v>5220.4476560763751</v>
      </c>
      <c r="Q157" s="362">
        <f t="shared" si="9"/>
        <v>0</v>
      </c>
      <c r="R157" s="363">
        <f t="shared" si="10"/>
        <v>5220.4476560763751</v>
      </c>
      <c r="Y157" s="365"/>
    </row>
    <row r="158" spans="1:25" ht="15" customHeight="1">
      <c r="A158" s="359" t="str">
        <f>'Func Future Lines 2015'!A158</f>
        <v>PPS</v>
      </c>
      <c r="B158" s="359" t="str">
        <f>'Func Future Lines 2015'!B158</f>
        <v>717L crossing180</v>
      </c>
      <c r="C158" s="359">
        <f>'Func Future Lines 2015'!C158</f>
        <v>962</v>
      </c>
      <c r="D158" s="359">
        <f>'Func Future Lines 2015'!D158</f>
        <v>138</v>
      </c>
      <c r="E158" s="359">
        <f>'Func Future Lines 2015'!E158</f>
        <v>0</v>
      </c>
      <c r="F158" s="359">
        <f>'Func Future Lines 2015'!F158</f>
        <v>0</v>
      </c>
      <c r="G158" s="359">
        <f>'Func Future Lines 2015'!G158</f>
        <v>649.36934965969351</v>
      </c>
      <c r="H158" s="359" t="str">
        <f>'Func Future Lines 2015'!H158</f>
        <v>AltaLink</v>
      </c>
      <c r="I158" s="359">
        <f>'Func Future Lines 2015'!I158</f>
        <v>2015</v>
      </c>
      <c r="J158" s="361">
        <f>+IF($I158=J$3,VLOOKUP($H158,Depreciation!$A$6:$L$10,7,FALSE)/2,IF($I158&lt;J$3,VLOOKUP($H158,Depreciation!$A$6:$L$10,7,FALSE),0))</f>
        <v>1.595020804044691E-2</v>
      </c>
      <c r="K158" s="361">
        <f>+IF($I158=K$3,VLOOKUP($H158,Depreciation!$A$6:$L$10,8,FALSE)/2,IF($I158&lt;K$3,VLOOKUP($H158,Depreciation!$A$6:$L$10,8,FALSE),0))</f>
        <v>3.0676363676126896E-2</v>
      </c>
      <c r="L158" s="361">
        <f>+IF($I158=L$3,VLOOKUP($H158,Depreciation!$A$6:$L$10,9,FALSE)/2,IF($I158&lt;L$3,VLOOKUP($H158,Depreciation!$A$6:$L$10,9,FALSE),0))</f>
        <v>3.0676363676126896E-2</v>
      </c>
      <c r="M158" s="361">
        <f>+IF($I158=M$3,VLOOKUP($H158,Depreciation!$A$6:$L$10,10,FALSE)/2,IF($I158&lt;M$3,VLOOKUP($H158,Depreciation!$A$6:$L$10,10,FALSE),0))</f>
        <v>3.0676363676126896E-2</v>
      </c>
      <c r="N158" s="361">
        <f>+IF($I158=N$3,VLOOKUP($H158,Depreciation!$A$6:$L$10,11,FALSE)/2,IF($I158&lt;N$3,VLOOKUP($H158,Depreciation!$A$6:$L$10,11,FALSE),0))</f>
        <v>3.0676363676126896E-2</v>
      </c>
      <c r="O158" s="361">
        <f>+IF($I158=O$3,VLOOKUP($H158,Depreciation!$A$6:$L$10,12,FALSE)/2,IF($I158&lt;O$3,VLOOKUP($H158,Depreciation!$A$6:$L$10,12,FALSE),0))</f>
        <v>3.0676363676126896E-2</v>
      </c>
      <c r="P158" s="362">
        <f t="shared" si="8"/>
        <v>564.1363330964208</v>
      </c>
      <c r="Q158" s="362">
        <f t="shared" si="9"/>
        <v>0</v>
      </c>
      <c r="R158" s="363">
        <f t="shared" si="10"/>
        <v>564.1363330964208</v>
      </c>
      <c r="Y158" s="365"/>
    </row>
    <row r="159" spans="1:25" ht="15" customHeight="1">
      <c r="A159" s="359" t="str">
        <f>'Func Future Lines 2015'!A159</f>
        <v>PPS</v>
      </c>
      <c r="B159" s="359" t="str">
        <f>'Func Future Lines 2015'!B159</f>
        <v>757L crossing180</v>
      </c>
      <c r="C159" s="359">
        <f>'Func Future Lines 2015'!C159</f>
        <v>962</v>
      </c>
      <c r="D159" s="359">
        <f>'Func Future Lines 2015'!D159</f>
        <v>138</v>
      </c>
      <c r="E159" s="359">
        <f>'Func Future Lines 2015'!E159</f>
        <v>0</v>
      </c>
      <c r="F159" s="359">
        <f>'Func Future Lines 2015'!F159</f>
        <v>0</v>
      </c>
      <c r="G159" s="359">
        <f>'Func Future Lines 2015'!G159</f>
        <v>36306.794065275499</v>
      </c>
      <c r="H159" s="359" t="str">
        <f>'Func Future Lines 2015'!H159</f>
        <v>AltaLink</v>
      </c>
      <c r="I159" s="359">
        <f>'Func Future Lines 2015'!I159</f>
        <v>2015</v>
      </c>
      <c r="J159" s="361">
        <f>+IF($I159=J$3,VLOOKUP($H159,Depreciation!$A$6:$L$10,7,FALSE)/2,IF($I159&lt;J$3,VLOOKUP($H159,Depreciation!$A$6:$L$10,7,FALSE),0))</f>
        <v>1.595020804044691E-2</v>
      </c>
      <c r="K159" s="361">
        <f>+IF($I159=K$3,VLOOKUP($H159,Depreciation!$A$6:$L$10,8,FALSE)/2,IF($I159&lt;K$3,VLOOKUP($H159,Depreciation!$A$6:$L$10,8,FALSE),0))</f>
        <v>3.0676363676126896E-2</v>
      </c>
      <c r="L159" s="361">
        <f>+IF($I159=L$3,VLOOKUP($H159,Depreciation!$A$6:$L$10,9,FALSE)/2,IF($I159&lt;L$3,VLOOKUP($H159,Depreciation!$A$6:$L$10,9,FALSE),0))</f>
        <v>3.0676363676126896E-2</v>
      </c>
      <c r="M159" s="361">
        <f>+IF($I159=M$3,VLOOKUP($H159,Depreciation!$A$6:$L$10,10,FALSE)/2,IF($I159&lt;M$3,VLOOKUP($H159,Depreciation!$A$6:$L$10,10,FALSE),0))</f>
        <v>3.0676363676126896E-2</v>
      </c>
      <c r="N159" s="361">
        <f>+IF($I159=N$3,VLOOKUP($H159,Depreciation!$A$6:$L$10,11,FALSE)/2,IF($I159&lt;N$3,VLOOKUP($H159,Depreciation!$A$6:$L$10,11,FALSE),0))</f>
        <v>3.0676363676126896E-2</v>
      </c>
      <c r="O159" s="361">
        <f>+IF($I159=O$3,VLOOKUP($H159,Depreciation!$A$6:$L$10,12,FALSE)/2,IF($I159&lt;O$3,VLOOKUP($H159,Depreciation!$A$6:$L$10,12,FALSE),0))</f>
        <v>3.0676363676126896E-2</v>
      </c>
      <c r="P159" s="362">
        <f t="shared" si="8"/>
        <v>31541.343429906476</v>
      </c>
      <c r="Q159" s="362">
        <f t="shared" si="9"/>
        <v>0</v>
      </c>
      <c r="R159" s="363">
        <f t="shared" si="10"/>
        <v>31541.343429906476</v>
      </c>
      <c r="Y159" s="365"/>
    </row>
    <row r="160" spans="1:25" ht="15" customHeight="1">
      <c r="A160" s="359" t="str">
        <f>'Func Future Lines 2015'!A160</f>
        <v>PPS</v>
      </c>
      <c r="B160" s="359" t="str">
        <f>'Func Future Lines 2015'!B160</f>
        <v>809L re-route &amp; in-out</v>
      </c>
      <c r="C160" s="359">
        <f>'Func Future Lines 2015'!C160</f>
        <v>962</v>
      </c>
      <c r="D160" s="359">
        <f>'Func Future Lines 2015'!D160</f>
        <v>138</v>
      </c>
      <c r="E160" s="359">
        <f>'Func Future Lines 2015'!E160</f>
        <v>0</v>
      </c>
      <c r="F160" s="359" t="str">
        <f>'Func Future Lines 2015'!F160</f>
        <v>northwest</v>
      </c>
      <c r="G160" s="359">
        <f>'Func Future Lines 2015'!G160</f>
        <v>1102453.8091297615</v>
      </c>
      <c r="H160" s="359" t="str">
        <f>'Func Future Lines 2015'!H160</f>
        <v>EPCOR</v>
      </c>
      <c r="I160" s="359">
        <f>'Func Future Lines 2015'!I160</f>
        <v>2015</v>
      </c>
      <c r="J160" s="361">
        <f>+IF($I160=J$3,VLOOKUP($H160,Depreciation!$A$6:$L$10,7,FALSE)/2,IF($I160&lt;J$3,VLOOKUP($H160,Depreciation!$A$6:$L$10,7,FALSE),0))</f>
        <v>1.1530980651952941E-2</v>
      </c>
      <c r="K160" s="361">
        <f>+IF($I160=K$3,VLOOKUP($H160,Depreciation!$A$6:$L$10,8,FALSE)/2,IF($I160&lt;K$3,VLOOKUP($H160,Depreciation!$A$6:$L$10,8,FALSE),0))</f>
        <v>2.3062337210051284E-2</v>
      </c>
      <c r="L160" s="361">
        <f>+IF($I160=L$3,VLOOKUP($H160,Depreciation!$A$6:$L$10,9,FALSE)/2,IF($I160&lt;L$3,VLOOKUP($H160,Depreciation!$A$6:$L$10,9,FALSE),0))</f>
        <v>2.3063912319658014E-2</v>
      </c>
      <c r="M160" s="361">
        <f>+IF($I160=M$3,VLOOKUP($H160,Depreciation!$A$6:$L$10,10,FALSE)/2,IF($I160&lt;M$3,VLOOKUP($H160,Depreciation!$A$6:$L$10,10,FALSE),0))</f>
        <v>2.3063912319658014E-2</v>
      </c>
      <c r="N160" s="361">
        <f>+IF($I160=N$3,VLOOKUP($H160,Depreciation!$A$6:$L$10,11,FALSE)/2,IF($I160&lt;N$3,VLOOKUP($H160,Depreciation!$A$6:$L$10,11,FALSE),0))</f>
        <v>2.3063912319658014E-2</v>
      </c>
      <c r="O160" s="361">
        <f>+IF($I160=O$3,VLOOKUP($H160,Depreciation!$A$6:$L$10,12,FALSE)/2,IF($I160&lt;O$3,VLOOKUP($H160,Depreciation!$A$6:$L$10,12,FALSE),0))</f>
        <v>2.3063912319658014E-2</v>
      </c>
      <c r="P160" s="362">
        <f t="shared" si="8"/>
        <v>992633.15062968805</v>
      </c>
      <c r="Q160" s="362">
        <f t="shared" si="9"/>
        <v>0</v>
      </c>
      <c r="R160" s="363">
        <f t="shared" si="10"/>
        <v>992633.15062968805</v>
      </c>
      <c r="Y160" s="365"/>
    </row>
    <row r="161" spans="1:25" ht="15" customHeight="1">
      <c r="A161" s="359" t="str">
        <f>'Func Future Lines 2015'!A161</f>
        <v>PPS</v>
      </c>
      <c r="B161" s="359" t="str">
        <f>'Func Future Lines 2015'!B161</f>
        <v>80L crossing180</v>
      </c>
      <c r="C161" s="359">
        <f>'Func Future Lines 2015'!C161</f>
        <v>962</v>
      </c>
      <c r="D161" s="359">
        <f>'Func Future Lines 2015'!D161</f>
        <v>138</v>
      </c>
      <c r="E161" s="359">
        <f>'Func Future Lines 2015'!E161</f>
        <v>0</v>
      </c>
      <c r="F161" s="359">
        <f>'Func Future Lines 2015'!F161</f>
        <v>0</v>
      </c>
      <c r="G161" s="359">
        <f>'Func Future Lines 2015'!G161</f>
        <v>357.40483585921118</v>
      </c>
      <c r="H161" s="359" t="str">
        <f>'Func Future Lines 2015'!H161</f>
        <v>AltaLink</v>
      </c>
      <c r="I161" s="359">
        <f>'Func Future Lines 2015'!I161</f>
        <v>2015</v>
      </c>
      <c r="J161" s="361">
        <f>+IF($I161=J$3,VLOOKUP($H161,Depreciation!$A$6:$L$10,7,FALSE)/2,IF($I161&lt;J$3,VLOOKUP($H161,Depreciation!$A$6:$L$10,7,FALSE),0))</f>
        <v>1.595020804044691E-2</v>
      </c>
      <c r="K161" s="361">
        <f>+IF($I161=K$3,VLOOKUP($H161,Depreciation!$A$6:$L$10,8,FALSE)/2,IF($I161&lt;K$3,VLOOKUP($H161,Depreciation!$A$6:$L$10,8,FALSE),0))</f>
        <v>3.0676363676126896E-2</v>
      </c>
      <c r="L161" s="361">
        <f>+IF($I161=L$3,VLOOKUP($H161,Depreciation!$A$6:$L$10,9,FALSE)/2,IF($I161&lt;L$3,VLOOKUP($H161,Depreciation!$A$6:$L$10,9,FALSE),0))</f>
        <v>3.0676363676126896E-2</v>
      </c>
      <c r="M161" s="361">
        <f>+IF($I161=M$3,VLOOKUP($H161,Depreciation!$A$6:$L$10,10,FALSE)/2,IF($I161&lt;M$3,VLOOKUP($H161,Depreciation!$A$6:$L$10,10,FALSE),0))</f>
        <v>3.0676363676126896E-2</v>
      </c>
      <c r="N161" s="361">
        <f>+IF($I161=N$3,VLOOKUP($H161,Depreciation!$A$6:$L$10,11,FALSE)/2,IF($I161&lt;N$3,VLOOKUP($H161,Depreciation!$A$6:$L$10,11,FALSE),0))</f>
        <v>3.0676363676126896E-2</v>
      </c>
      <c r="O161" s="361">
        <f>+IF($I161=O$3,VLOOKUP($H161,Depreciation!$A$6:$L$10,12,FALSE)/2,IF($I161&lt;O$3,VLOOKUP($H161,Depreciation!$A$6:$L$10,12,FALSE),0))</f>
        <v>3.0676363676126896E-2</v>
      </c>
      <c r="P161" s="362">
        <f t="shared" si="8"/>
        <v>310.4936406964797</v>
      </c>
      <c r="Q161" s="362">
        <f t="shared" si="9"/>
        <v>0</v>
      </c>
      <c r="R161" s="363">
        <f t="shared" si="10"/>
        <v>310.4936406964797</v>
      </c>
      <c r="Y161" s="365"/>
    </row>
    <row r="162" spans="1:25" ht="15" customHeight="1">
      <c r="A162" s="359" t="str">
        <f>'Func Future Lines 2015'!A162</f>
        <v>PPS</v>
      </c>
      <c r="B162" s="359" t="str">
        <f>'Func Future Lines 2015'!B162</f>
        <v>906L / 928L 180</v>
      </c>
      <c r="C162" s="359">
        <f>'Func Future Lines 2015'!C162</f>
        <v>962</v>
      </c>
      <c r="D162" s="359">
        <f>'Func Future Lines 2015'!D162</f>
        <v>240</v>
      </c>
      <c r="E162" s="359">
        <f>'Func Future Lines 2015'!E162</f>
        <v>0</v>
      </c>
      <c r="F162" s="359">
        <f>'Func Future Lines 2015'!F162</f>
        <v>0</v>
      </c>
      <c r="G162" s="359">
        <f>'Func Future Lines 2015'!G162</f>
        <v>3139139.5289961915</v>
      </c>
      <c r="H162" s="359" t="str">
        <f>'Func Future Lines 2015'!H162</f>
        <v>AltaLink</v>
      </c>
      <c r="I162" s="359">
        <f>'Func Future Lines 2015'!I162</f>
        <v>2015</v>
      </c>
      <c r="J162" s="361">
        <f>+IF($I162=J$3,VLOOKUP($H162,Depreciation!$A$6:$L$10,7,FALSE)/2,IF($I162&lt;J$3,VLOOKUP($H162,Depreciation!$A$6:$L$10,7,FALSE),0))</f>
        <v>1.595020804044691E-2</v>
      </c>
      <c r="K162" s="361">
        <f>+IF($I162=K$3,VLOOKUP($H162,Depreciation!$A$6:$L$10,8,FALSE)/2,IF($I162&lt;K$3,VLOOKUP($H162,Depreciation!$A$6:$L$10,8,FALSE),0))</f>
        <v>3.0676363676126896E-2</v>
      </c>
      <c r="L162" s="361">
        <f>+IF($I162=L$3,VLOOKUP($H162,Depreciation!$A$6:$L$10,9,FALSE)/2,IF($I162&lt;L$3,VLOOKUP($H162,Depreciation!$A$6:$L$10,9,FALSE),0))</f>
        <v>3.0676363676126896E-2</v>
      </c>
      <c r="M162" s="361">
        <f>+IF($I162=M$3,VLOOKUP($H162,Depreciation!$A$6:$L$10,10,FALSE)/2,IF($I162&lt;M$3,VLOOKUP($H162,Depreciation!$A$6:$L$10,10,FALSE),0))</f>
        <v>3.0676363676126896E-2</v>
      </c>
      <c r="N162" s="361">
        <f>+IF($I162=N$3,VLOOKUP($H162,Depreciation!$A$6:$L$10,11,FALSE)/2,IF($I162&lt;N$3,VLOOKUP($H162,Depreciation!$A$6:$L$10,11,FALSE),0))</f>
        <v>3.0676363676126896E-2</v>
      </c>
      <c r="O162" s="361">
        <f>+IF($I162=O$3,VLOOKUP($H162,Depreciation!$A$6:$L$10,12,FALSE)/2,IF($I162&lt;O$3,VLOOKUP($H162,Depreciation!$A$6:$L$10,12,FALSE),0))</f>
        <v>3.0676363676126896E-2</v>
      </c>
      <c r="P162" s="362">
        <f t="shared" si="8"/>
        <v>2727111.5643108049</v>
      </c>
      <c r="Q162" s="362">
        <f t="shared" si="9"/>
        <v>2727111.5643108049</v>
      </c>
      <c r="R162" s="363">
        <f t="shared" si="10"/>
        <v>0</v>
      </c>
      <c r="Y162" s="365"/>
    </row>
    <row r="163" spans="1:25" ht="15" customHeight="1">
      <c r="A163" s="359" t="str">
        <f>'Func Future Lines 2015'!A163</f>
        <v>PPS</v>
      </c>
      <c r="B163" s="359" t="str">
        <f>'Func Future Lines 2015'!B163</f>
        <v>918L 180</v>
      </c>
      <c r="C163" s="359">
        <f>'Func Future Lines 2015'!C163</f>
        <v>962</v>
      </c>
      <c r="D163" s="359">
        <f>'Func Future Lines 2015'!D163</f>
        <v>240</v>
      </c>
      <c r="E163" s="359">
        <f>'Func Future Lines 2015'!E163</f>
        <v>0</v>
      </c>
      <c r="F163" s="359">
        <f>'Func Future Lines 2015'!F163</f>
        <v>0</v>
      </c>
      <c r="G163" s="359">
        <f>'Func Future Lines 2015'!G163</f>
        <v>2722397.9395779595</v>
      </c>
      <c r="H163" s="359" t="str">
        <f>'Func Future Lines 2015'!H163</f>
        <v>AltaLink</v>
      </c>
      <c r="I163" s="359">
        <f>'Func Future Lines 2015'!I163</f>
        <v>2015</v>
      </c>
      <c r="J163" s="361">
        <f>+IF($I163=J$3,VLOOKUP($H163,Depreciation!$A$6:$L$10,7,FALSE)/2,IF($I163&lt;J$3,VLOOKUP($H163,Depreciation!$A$6:$L$10,7,FALSE),0))</f>
        <v>1.595020804044691E-2</v>
      </c>
      <c r="K163" s="361">
        <f>+IF($I163=K$3,VLOOKUP($H163,Depreciation!$A$6:$L$10,8,FALSE)/2,IF($I163&lt;K$3,VLOOKUP($H163,Depreciation!$A$6:$L$10,8,FALSE),0))</f>
        <v>3.0676363676126896E-2</v>
      </c>
      <c r="L163" s="361">
        <f>+IF($I163=L$3,VLOOKUP($H163,Depreciation!$A$6:$L$10,9,FALSE)/2,IF($I163&lt;L$3,VLOOKUP($H163,Depreciation!$A$6:$L$10,9,FALSE),0))</f>
        <v>3.0676363676126896E-2</v>
      </c>
      <c r="M163" s="361">
        <f>+IF($I163=M$3,VLOOKUP($H163,Depreciation!$A$6:$L$10,10,FALSE)/2,IF($I163&lt;M$3,VLOOKUP($H163,Depreciation!$A$6:$L$10,10,FALSE),0))</f>
        <v>3.0676363676126896E-2</v>
      </c>
      <c r="N163" s="361">
        <f>+IF($I163=N$3,VLOOKUP($H163,Depreciation!$A$6:$L$10,11,FALSE)/2,IF($I163&lt;N$3,VLOOKUP($H163,Depreciation!$A$6:$L$10,11,FALSE),0))</f>
        <v>3.0676363676126896E-2</v>
      </c>
      <c r="O163" s="361">
        <f>+IF($I163=O$3,VLOOKUP($H163,Depreciation!$A$6:$L$10,12,FALSE)/2,IF($I163&lt;O$3,VLOOKUP($H163,Depreciation!$A$6:$L$10,12,FALSE),0))</f>
        <v>3.0676363676126896E-2</v>
      </c>
      <c r="P163" s="362">
        <f t="shared" si="8"/>
        <v>2365069.419533906</v>
      </c>
      <c r="Q163" s="362">
        <f t="shared" si="9"/>
        <v>2365069.419533906</v>
      </c>
      <c r="R163" s="363">
        <f t="shared" si="10"/>
        <v>0</v>
      </c>
      <c r="Y163" s="365"/>
    </row>
    <row r="164" spans="1:25">
      <c r="A164" s="359" t="str">
        <f>'Func Future Lines 2015'!A164</f>
        <v>PPS</v>
      </c>
      <c r="B164" s="359" t="str">
        <f>'Func Future Lines 2015'!B164</f>
        <v>924L / 927L</v>
      </c>
      <c r="C164" s="359">
        <f>'Func Future Lines 2015'!C164</f>
        <v>962</v>
      </c>
      <c r="D164" s="359">
        <f>'Func Future Lines 2015'!D164</f>
        <v>240</v>
      </c>
      <c r="E164" s="359">
        <f>'Func Future Lines 2015'!E164</f>
        <v>0</v>
      </c>
      <c r="F164" s="359">
        <f>'Func Future Lines 2015'!F164</f>
        <v>0</v>
      </c>
      <c r="G164" s="359">
        <f>'Func Future Lines 2015'!G164</f>
        <v>1942419.7748308987</v>
      </c>
      <c r="H164" s="359" t="str">
        <f>'Func Future Lines 2015'!H164</f>
        <v>AltaLink</v>
      </c>
      <c r="I164" s="359">
        <f>'Func Future Lines 2015'!I164</f>
        <v>2015</v>
      </c>
      <c r="J164" s="361">
        <f>+IF($I164=J$3,VLOOKUP($H164,Depreciation!$A$6:$L$10,7,FALSE)/2,IF($I164&lt;J$3,VLOOKUP($H164,Depreciation!$A$6:$L$10,7,FALSE),0))</f>
        <v>1.595020804044691E-2</v>
      </c>
      <c r="K164" s="361">
        <f>+IF($I164=K$3,VLOOKUP($H164,Depreciation!$A$6:$L$10,8,FALSE)/2,IF($I164&lt;K$3,VLOOKUP($H164,Depreciation!$A$6:$L$10,8,FALSE),0))</f>
        <v>3.0676363676126896E-2</v>
      </c>
      <c r="L164" s="361">
        <f>+IF($I164=L$3,VLOOKUP($H164,Depreciation!$A$6:$L$10,9,FALSE)/2,IF($I164&lt;L$3,VLOOKUP($H164,Depreciation!$A$6:$L$10,9,FALSE),0))</f>
        <v>3.0676363676126896E-2</v>
      </c>
      <c r="M164" s="361">
        <f>+IF($I164=M$3,VLOOKUP($H164,Depreciation!$A$6:$L$10,10,FALSE)/2,IF($I164&lt;M$3,VLOOKUP($H164,Depreciation!$A$6:$L$10,10,FALSE),0))</f>
        <v>3.0676363676126896E-2</v>
      </c>
      <c r="N164" s="361">
        <f>+IF($I164=N$3,VLOOKUP($H164,Depreciation!$A$6:$L$10,11,FALSE)/2,IF($I164&lt;N$3,VLOOKUP($H164,Depreciation!$A$6:$L$10,11,FALSE),0))</f>
        <v>3.0676363676126896E-2</v>
      </c>
      <c r="O164" s="361">
        <f>+IF($I164=O$3,VLOOKUP($H164,Depreciation!$A$6:$L$10,12,FALSE)/2,IF($I164&lt;O$3,VLOOKUP($H164,Depreciation!$A$6:$L$10,12,FALSE),0))</f>
        <v>3.0676363676126896E-2</v>
      </c>
      <c r="P164" s="362">
        <f t="shared" si="8"/>
        <v>1687467.3399373326</v>
      </c>
      <c r="Q164" s="362">
        <f t="shared" si="9"/>
        <v>1687467.3399373326</v>
      </c>
      <c r="R164" s="363">
        <f t="shared" si="10"/>
        <v>0</v>
      </c>
    </row>
    <row r="165" spans="1:25">
      <c r="A165" s="359" t="str">
        <f>'Func Future Lines 2015'!A165</f>
        <v>PPS</v>
      </c>
      <c r="B165" s="359" t="str">
        <f>'Func Future Lines 2015'!B165</f>
        <v>925L / 929L 180</v>
      </c>
      <c r="C165" s="359">
        <f>'Func Future Lines 2015'!C165</f>
        <v>962</v>
      </c>
      <c r="D165" s="359">
        <f>'Func Future Lines 2015'!D165</f>
        <v>240</v>
      </c>
      <c r="E165" s="359">
        <f>'Func Future Lines 2015'!E165</f>
        <v>0</v>
      </c>
      <c r="F165" s="359">
        <f>'Func Future Lines 2015'!F165</f>
        <v>0</v>
      </c>
      <c r="G165" s="359">
        <f>'Func Future Lines 2015'!G165</f>
        <v>5765561.6854686337</v>
      </c>
      <c r="H165" s="359" t="str">
        <f>'Func Future Lines 2015'!H165</f>
        <v>AltaLink</v>
      </c>
      <c r="I165" s="359">
        <f>'Func Future Lines 2015'!I165</f>
        <v>2015</v>
      </c>
      <c r="J165" s="361">
        <f>+IF($I165=J$3,VLOOKUP($H165,Depreciation!$A$6:$L$10,7,FALSE)/2,IF($I165&lt;J$3,VLOOKUP($H165,Depreciation!$A$6:$L$10,7,FALSE),0))</f>
        <v>1.595020804044691E-2</v>
      </c>
      <c r="K165" s="361">
        <f>+IF($I165=K$3,VLOOKUP($H165,Depreciation!$A$6:$L$10,8,FALSE)/2,IF($I165&lt;K$3,VLOOKUP($H165,Depreciation!$A$6:$L$10,8,FALSE),0))</f>
        <v>3.0676363676126896E-2</v>
      </c>
      <c r="L165" s="361">
        <f>+IF($I165=L$3,VLOOKUP($H165,Depreciation!$A$6:$L$10,9,FALSE)/2,IF($I165&lt;L$3,VLOOKUP($H165,Depreciation!$A$6:$L$10,9,FALSE),0))</f>
        <v>3.0676363676126896E-2</v>
      </c>
      <c r="M165" s="361">
        <f>+IF($I165=M$3,VLOOKUP($H165,Depreciation!$A$6:$L$10,10,FALSE)/2,IF($I165&lt;M$3,VLOOKUP($H165,Depreciation!$A$6:$L$10,10,FALSE),0))</f>
        <v>3.0676363676126896E-2</v>
      </c>
      <c r="N165" s="361">
        <f>+IF($I165=N$3,VLOOKUP($H165,Depreciation!$A$6:$L$10,11,FALSE)/2,IF($I165&lt;N$3,VLOOKUP($H165,Depreciation!$A$6:$L$10,11,FALSE),0))</f>
        <v>3.0676363676126896E-2</v>
      </c>
      <c r="O165" s="361">
        <f>+IF($I165=O$3,VLOOKUP($H165,Depreciation!$A$6:$L$10,12,FALSE)/2,IF($I165&lt;O$3,VLOOKUP($H165,Depreciation!$A$6:$L$10,12,FALSE),0))</f>
        <v>3.0676363676126896E-2</v>
      </c>
      <c r="P165" s="362">
        <f t="shared" si="8"/>
        <v>5008802.5084430333</v>
      </c>
      <c r="Q165" s="362">
        <f t="shared" si="9"/>
        <v>5008802.5084430333</v>
      </c>
      <c r="R165" s="363">
        <f t="shared" si="10"/>
        <v>0</v>
      </c>
    </row>
    <row r="166" spans="1:25">
      <c r="A166" s="359" t="str">
        <f>'Func Future Lines 2015'!A166</f>
        <v>PPS</v>
      </c>
      <c r="B166" s="359" t="str">
        <f>'Func Future Lines 2015'!B166</f>
        <v>936L / 937L</v>
      </c>
      <c r="C166" s="359">
        <f>'Func Future Lines 2015'!C166</f>
        <v>962</v>
      </c>
      <c r="D166" s="359">
        <f>'Func Future Lines 2015'!D166</f>
        <v>240</v>
      </c>
      <c r="E166" s="359">
        <f>'Func Future Lines 2015'!E166</f>
        <v>0</v>
      </c>
      <c r="F166" s="359">
        <f>'Func Future Lines 2015'!F166</f>
        <v>0</v>
      </c>
      <c r="G166" s="359">
        <f>'Func Future Lines 2015'!G166</f>
        <v>2839515.9805793739</v>
      </c>
      <c r="H166" s="359" t="str">
        <f>'Func Future Lines 2015'!H166</f>
        <v>AltaLink</v>
      </c>
      <c r="I166" s="359">
        <f>'Func Future Lines 2015'!I166</f>
        <v>2015</v>
      </c>
      <c r="J166" s="361">
        <f>+IF($I166=J$3,VLOOKUP($H166,Depreciation!$A$6:$L$10,7,FALSE)/2,IF($I166&lt;J$3,VLOOKUP($H166,Depreciation!$A$6:$L$10,7,FALSE),0))</f>
        <v>1.595020804044691E-2</v>
      </c>
      <c r="K166" s="361">
        <f>+IF($I166=K$3,VLOOKUP($H166,Depreciation!$A$6:$L$10,8,FALSE)/2,IF($I166&lt;K$3,VLOOKUP($H166,Depreciation!$A$6:$L$10,8,FALSE),0))</f>
        <v>3.0676363676126896E-2</v>
      </c>
      <c r="L166" s="361">
        <f>+IF($I166=L$3,VLOOKUP($H166,Depreciation!$A$6:$L$10,9,FALSE)/2,IF($I166&lt;L$3,VLOOKUP($H166,Depreciation!$A$6:$L$10,9,FALSE),0))</f>
        <v>3.0676363676126896E-2</v>
      </c>
      <c r="M166" s="361">
        <f>+IF($I166=M$3,VLOOKUP($H166,Depreciation!$A$6:$L$10,10,FALSE)/2,IF($I166&lt;M$3,VLOOKUP($H166,Depreciation!$A$6:$L$10,10,FALSE),0))</f>
        <v>3.0676363676126896E-2</v>
      </c>
      <c r="N166" s="361">
        <f>+IF($I166=N$3,VLOOKUP($H166,Depreciation!$A$6:$L$10,11,FALSE)/2,IF($I166&lt;N$3,VLOOKUP($H166,Depreciation!$A$6:$L$10,11,FALSE),0))</f>
        <v>3.0676363676126896E-2</v>
      </c>
      <c r="O166" s="361">
        <f>+IF($I166=O$3,VLOOKUP($H166,Depreciation!$A$6:$L$10,12,FALSE)/2,IF($I166&lt;O$3,VLOOKUP($H166,Depreciation!$A$6:$L$10,12,FALSE),0))</f>
        <v>3.0676363676126896E-2</v>
      </c>
      <c r="P166" s="362">
        <f t="shared" si="8"/>
        <v>2466815.124385234</v>
      </c>
      <c r="Q166" s="362">
        <f t="shared" si="9"/>
        <v>2466815.124385234</v>
      </c>
      <c r="R166" s="363">
        <f t="shared" si="10"/>
        <v>0</v>
      </c>
    </row>
    <row r="167" spans="1:25">
      <c r="A167" s="359" t="str">
        <f>'Func Future Lines 2015'!A167</f>
        <v>`+/-5%</v>
      </c>
      <c r="B167" s="359" t="str">
        <f>'Func Future Lines 2015'!B167</f>
        <v>HVDC Line 1325L</v>
      </c>
      <c r="C167" s="359">
        <f>'Func Future Lines 2015'!C167</f>
        <v>962</v>
      </c>
      <c r="D167" s="359">
        <f>'Func Future Lines 2015'!D167</f>
        <v>500</v>
      </c>
      <c r="E167" s="359">
        <f>'Func Future Lines 2015'!E167</f>
        <v>0</v>
      </c>
      <c r="F167" s="359">
        <f>'Func Future Lines 2015'!F167</f>
        <v>0</v>
      </c>
      <c r="G167" s="359">
        <f>'Func Future Lines 2015'!G167</f>
        <v>968825472.25300002</v>
      </c>
      <c r="H167" s="359" t="str">
        <f>'Func Future Lines 2015'!H167</f>
        <v>AltaLink</v>
      </c>
      <c r="I167" s="359">
        <f>'Func Future Lines 2015'!I167</f>
        <v>2015</v>
      </c>
      <c r="J167" s="361">
        <f>+IF($I167=J$3,VLOOKUP($H167,Depreciation!$A$6:$L$10,7,FALSE)/2,IF($I167&lt;J$3,VLOOKUP($H167,Depreciation!$A$6:$L$10,7,FALSE),0))</f>
        <v>1.595020804044691E-2</v>
      </c>
      <c r="K167" s="361">
        <f>+IF($I167=K$3,VLOOKUP($H167,Depreciation!$A$6:$L$10,8,FALSE)/2,IF($I167&lt;K$3,VLOOKUP($H167,Depreciation!$A$6:$L$10,8,FALSE),0))</f>
        <v>3.0676363676126896E-2</v>
      </c>
      <c r="L167" s="361">
        <f>+IF($I167=L$3,VLOOKUP($H167,Depreciation!$A$6:$L$10,9,FALSE)/2,IF($I167&lt;L$3,VLOOKUP($H167,Depreciation!$A$6:$L$10,9,FALSE),0))</f>
        <v>3.0676363676126896E-2</v>
      </c>
      <c r="M167" s="361">
        <f>+IF($I167=M$3,VLOOKUP($H167,Depreciation!$A$6:$L$10,10,FALSE)/2,IF($I167&lt;M$3,VLOOKUP($H167,Depreciation!$A$6:$L$10,10,FALSE),0))</f>
        <v>3.0676363676126896E-2</v>
      </c>
      <c r="N167" s="361">
        <f>+IF($I167=N$3,VLOOKUP($H167,Depreciation!$A$6:$L$10,11,FALSE)/2,IF($I167&lt;N$3,VLOOKUP($H167,Depreciation!$A$6:$L$10,11,FALSE),0))</f>
        <v>3.0676363676126896E-2</v>
      </c>
      <c r="O167" s="361">
        <f>+IF($I167=O$3,VLOOKUP($H167,Depreciation!$A$6:$L$10,12,FALSE)/2,IF($I167&lt;O$3,VLOOKUP($H167,Depreciation!$A$6:$L$10,12,FALSE),0))</f>
        <v>3.0676363676126896E-2</v>
      </c>
      <c r="P167" s="362">
        <f t="shared" si="8"/>
        <v>841662221.37469029</v>
      </c>
      <c r="Q167" s="362">
        <f t="shared" si="9"/>
        <v>841662221.37469029</v>
      </c>
      <c r="R167" s="363">
        <f t="shared" si="10"/>
        <v>0</v>
      </c>
    </row>
    <row r="168" spans="1:25">
      <c r="A168" s="359" t="str">
        <f>'Func Future Lines 2015'!A168</f>
        <v>PPS</v>
      </c>
      <c r="B168" s="359" t="str">
        <f>'Func Future Lines 2015'!B168</f>
        <v>1099L180</v>
      </c>
      <c r="C168" s="359">
        <f>'Func Future Lines 2015'!C168</f>
        <v>1101</v>
      </c>
      <c r="D168" s="359">
        <f>'Func Future Lines 2015'!D168</f>
        <v>240</v>
      </c>
      <c r="E168" s="359">
        <f>'Func Future Lines 2015'!E168</f>
        <v>0</v>
      </c>
      <c r="F168" s="359" t="str">
        <f>'Func Future Lines 2015'!F168</f>
        <v>Fort McMurray</v>
      </c>
      <c r="G168" s="359">
        <f>'Func Future Lines 2015'!G168</f>
        <v>1698665.125113552</v>
      </c>
      <c r="H168" s="359" t="str">
        <f>'Func Future Lines 2015'!H168</f>
        <v>AltaLink</v>
      </c>
      <c r="I168" s="359">
        <f>'Func Future Lines 2015'!I168</f>
        <v>2016</v>
      </c>
      <c r="J168" s="361">
        <f>+IF($I168=J$3,VLOOKUP($H168,Depreciation!$A$6:$L$10,7,FALSE)/2,IF($I168&lt;J$3,VLOOKUP($H168,Depreciation!$A$6:$L$10,7,FALSE),0))</f>
        <v>0</v>
      </c>
      <c r="K168" s="361">
        <f>+IF($I168=K$3,VLOOKUP($H168,Depreciation!$A$6:$L$10,8,FALSE)/2,IF($I168&lt;K$3,VLOOKUP($H168,Depreciation!$A$6:$L$10,8,FALSE),0))</f>
        <v>1.5338181838063448E-2</v>
      </c>
      <c r="L168" s="361">
        <f>+IF($I168=L$3,VLOOKUP($H168,Depreciation!$A$6:$L$10,9,FALSE)/2,IF($I168&lt;L$3,VLOOKUP($H168,Depreciation!$A$6:$L$10,9,FALSE),0))</f>
        <v>3.0676363676126896E-2</v>
      </c>
      <c r="M168" s="361">
        <f>+IF($I168=M$3,VLOOKUP($H168,Depreciation!$A$6:$L$10,10,FALSE)/2,IF($I168&lt;M$3,VLOOKUP($H168,Depreciation!$A$6:$L$10,10,FALSE),0))</f>
        <v>3.0676363676126896E-2</v>
      </c>
      <c r="N168" s="361">
        <f>+IF($I168=N$3,VLOOKUP($H168,Depreciation!$A$6:$L$10,11,FALSE)/2,IF($I168&lt;N$3,VLOOKUP($H168,Depreciation!$A$6:$L$10,11,FALSE),0))</f>
        <v>3.0676363676126896E-2</v>
      </c>
      <c r="O168" s="361">
        <f>+IF($I168=O$3,VLOOKUP($H168,Depreciation!$A$6:$L$10,12,FALSE)/2,IF($I168&lt;O$3,VLOOKUP($H168,Depreciation!$A$6:$L$10,12,FALSE),0))</f>
        <v>3.0676363676126896E-2</v>
      </c>
      <c r="P168" s="362">
        <f t="shared" si="8"/>
        <v>1523355.5418070548</v>
      </c>
      <c r="Q168" s="362">
        <f t="shared" si="9"/>
        <v>1523355.5418070548</v>
      </c>
      <c r="R168" s="363">
        <f t="shared" si="10"/>
        <v>0</v>
      </c>
    </row>
    <row r="169" spans="1:25">
      <c r="A169" s="359" t="str">
        <f>'Func Future Lines 2015'!A169</f>
        <v>PPS</v>
      </c>
      <c r="B169" s="359" t="str">
        <f>'Func Future Lines 2015'!B169</f>
        <v>1115L180</v>
      </c>
      <c r="C169" s="359">
        <f>'Func Future Lines 2015'!C169</f>
        <v>1101</v>
      </c>
      <c r="D169" s="359">
        <f>'Func Future Lines 2015'!D169</f>
        <v>240</v>
      </c>
      <c r="E169" s="359">
        <f>'Func Future Lines 2015'!E169</f>
        <v>0</v>
      </c>
      <c r="F169" s="359" t="str">
        <f>'Func Future Lines 2015'!F169</f>
        <v>Fort McMurray</v>
      </c>
      <c r="G169" s="359">
        <f>'Func Future Lines 2015'!G169</f>
        <v>84737752.660274148</v>
      </c>
      <c r="H169" s="359" t="str">
        <f>'Func Future Lines 2015'!H169</f>
        <v>AltaLink</v>
      </c>
      <c r="I169" s="359">
        <f>'Func Future Lines 2015'!I169</f>
        <v>2016</v>
      </c>
      <c r="J169" s="361">
        <f>+IF($I169=J$3,VLOOKUP($H169,Depreciation!$A$6:$L$10,7,FALSE)/2,IF($I169&lt;J$3,VLOOKUP($H169,Depreciation!$A$6:$L$10,7,FALSE),0))</f>
        <v>0</v>
      </c>
      <c r="K169" s="361">
        <f>+IF($I169=K$3,VLOOKUP($H169,Depreciation!$A$6:$L$10,8,FALSE)/2,IF($I169&lt;K$3,VLOOKUP($H169,Depreciation!$A$6:$L$10,8,FALSE),0))</f>
        <v>1.5338181838063448E-2</v>
      </c>
      <c r="L169" s="361">
        <f>+IF($I169=L$3,VLOOKUP($H169,Depreciation!$A$6:$L$10,9,FALSE)/2,IF($I169&lt;L$3,VLOOKUP($H169,Depreciation!$A$6:$L$10,9,FALSE),0))</f>
        <v>3.0676363676126896E-2</v>
      </c>
      <c r="M169" s="361">
        <f>+IF($I169=M$3,VLOOKUP($H169,Depreciation!$A$6:$L$10,10,FALSE)/2,IF($I169&lt;M$3,VLOOKUP($H169,Depreciation!$A$6:$L$10,10,FALSE),0))</f>
        <v>3.0676363676126896E-2</v>
      </c>
      <c r="N169" s="361">
        <f>+IF($I169=N$3,VLOOKUP($H169,Depreciation!$A$6:$L$10,11,FALSE)/2,IF($I169&lt;N$3,VLOOKUP($H169,Depreciation!$A$6:$L$10,11,FALSE),0))</f>
        <v>3.0676363676126896E-2</v>
      </c>
      <c r="O169" s="361">
        <f>+IF($I169=O$3,VLOOKUP($H169,Depreciation!$A$6:$L$10,12,FALSE)/2,IF($I169&lt;O$3,VLOOKUP($H169,Depreciation!$A$6:$L$10,12,FALSE),0))</f>
        <v>3.0676363676126896E-2</v>
      </c>
      <c r="P169" s="362">
        <f t="shared" si="8"/>
        <v>75992450.311049402</v>
      </c>
      <c r="Q169" s="362">
        <f t="shared" si="9"/>
        <v>75992450.311049402</v>
      </c>
      <c r="R169" s="363">
        <f t="shared" si="10"/>
        <v>0</v>
      </c>
    </row>
    <row r="170" spans="1:25">
      <c r="A170" s="359" t="str">
        <f>'Func Future Lines 2015'!A170</f>
        <v>PPS</v>
      </c>
      <c r="B170" s="359" t="str">
        <f>'Func Future Lines 2015'!B170</f>
        <v>1116L 180</v>
      </c>
      <c r="C170" s="359">
        <f>'Func Future Lines 2015'!C170</f>
        <v>1101</v>
      </c>
      <c r="D170" s="359">
        <f>'Func Future Lines 2015'!D170</f>
        <v>240</v>
      </c>
      <c r="E170" s="359">
        <f>'Func Future Lines 2015'!E170</f>
        <v>0</v>
      </c>
      <c r="F170" s="359" t="str">
        <f>'Func Future Lines 2015'!F170</f>
        <v>Fort McMurray</v>
      </c>
      <c r="G170" s="359">
        <f>'Func Future Lines 2015'!G170</f>
        <v>87576930.822218701</v>
      </c>
      <c r="H170" s="359" t="str">
        <f>'Func Future Lines 2015'!H170</f>
        <v>AltaLink</v>
      </c>
      <c r="I170" s="359">
        <f>'Func Future Lines 2015'!I170</f>
        <v>2016</v>
      </c>
      <c r="J170" s="361">
        <f>+IF($I170=J$3,VLOOKUP($H170,Depreciation!$A$6:$L$10,7,FALSE)/2,IF($I170&lt;J$3,VLOOKUP($H170,Depreciation!$A$6:$L$10,7,FALSE),0))</f>
        <v>0</v>
      </c>
      <c r="K170" s="361">
        <f>+IF($I170=K$3,VLOOKUP($H170,Depreciation!$A$6:$L$10,8,FALSE)/2,IF($I170&lt;K$3,VLOOKUP($H170,Depreciation!$A$6:$L$10,8,FALSE),0))</f>
        <v>1.5338181838063448E-2</v>
      </c>
      <c r="L170" s="361">
        <f>+IF($I170=L$3,VLOOKUP($H170,Depreciation!$A$6:$L$10,9,FALSE)/2,IF($I170&lt;L$3,VLOOKUP($H170,Depreciation!$A$6:$L$10,9,FALSE),0))</f>
        <v>3.0676363676126896E-2</v>
      </c>
      <c r="M170" s="361">
        <f>+IF($I170=M$3,VLOOKUP($H170,Depreciation!$A$6:$L$10,10,FALSE)/2,IF($I170&lt;M$3,VLOOKUP($H170,Depreciation!$A$6:$L$10,10,FALSE),0))</f>
        <v>3.0676363676126896E-2</v>
      </c>
      <c r="N170" s="361">
        <f>+IF($I170=N$3,VLOOKUP($H170,Depreciation!$A$6:$L$10,11,FALSE)/2,IF($I170&lt;N$3,VLOOKUP($H170,Depreciation!$A$6:$L$10,11,FALSE),0))</f>
        <v>3.0676363676126896E-2</v>
      </c>
      <c r="O170" s="361">
        <f>+IF($I170=O$3,VLOOKUP($H170,Depreciation!$A$6:$L$10,12,FALSE)/2,IF($I170&lt;O$3,VLOOKUP($H170,Depreciation!$A$6:$L$10,12,FALSE),0))</f>
        <v>3.0676363676126896E-2</v>
      </c>
      <c r="P170" s="362">
        <f t="shared" si="8"/>
        <v>78538613.014476106</v>
      </c>
      <c r="Q170" s="362">
        <f t="shared" si="9"/>
        <v>78538613.014476106</v>
      </c>
      <c r="R170" s="363">
        <f t="shared" si="10"/>
        <v>0</v>
      </c>
    </row>
    <row r="171" spans="1:25">
      <c r="A171" s="359" t="str">
        <f>'Func Future Lines 2015'!A171</f>
        <v>PPS</v>
      </c>
      <c r="B171" s="359" t="str">
        <f>'Func Future Lines 2015'!B171</f>
        <v>1117L 180</v>
      </c>
      <c r="C171" s="359">
        <f>'Func Future Lines 2015'!C171</f>
        <v>1101</v>
      </c>
      <c r="D171" s="359">
        <f>'Func Future Lines 2015'!D171</f>
        <v>240</v>
      </c>
      <c r="E171" s="359">
        <f>'Func Future Lines 2015'!E171</f>
        <v>0</v>
      </c>
      <c r="F171" s="359" t="str">
        <f>'Func Future Lines 2015'!F171</f>
        <v>Fort McMurray</v>
      </c>
      <c r="G171" s="359">
        <f>'Func Future Lines 2015'!G171</f>
        <v>191472515.65566897</v>
      </c>
      <c r="H171" s="359" t="str">
        <f>'Func Future Lines 2015'!H171</f>
        <v>AltaLink</v>
      </c>
      <c r="I171" s="359">
        <f>'Func Future Lines 2015'!I171</f>
        <v>2016</v>
      </c>
      <c r="J171" s="361">
        <f>+IF($I171=J$3,VLOOKUP($H171,Depreciation!$A$6:$L$10,7,FALSE)/2,IF($I171&lt;J$3,VLOOKUP($H171,Depreciation!$A$6:$L$10,7,FALSE),0))</f>
        <v>0</v>
      </c>
      <c r="K171" s="361">
        <f>+IF($I171=K$3,VLOOKUP($H171,Depreciation!$A$6:$L$10,8,FALSE)/2,IF($I171&lt;K$3,VLOOKUP($H171,Depreciation!$A$6:$L$10,8,FALSE),0))</f>
        <v>1.5338181838063448E-2</v>
      </c>
      <c r="L171" s="361">
        <f>+IF($I171=L$3,VLOOKUP($H171,Depreciation!$A$6:$L$10,9,FALSE)/2,IF($I171&lt;L$3,VLOOKUP($H171,Depreciation!$A$6:$L$10,9,FALSE),0))</f>
        <v>3.0676363676126896E-2</v>
      </c>
      <c r="M171" s="361">
        <f>+IF($I171=M$3,VLOOKUP($H171,Depreciation!$A$6:$L$10,10,FALSE)/2,IF($I171&lt;M$3,VLOOKUP($H171,Depreciation!$A$6:$L$10,10,FALSE),0))</f>
        <v>3.0676363676126896E-2</v>
      </c>
      <c r="N171" s="361">
        <f>+IF($I171=N$3,VLOOKUP($H171,Depreciation!$A$6:$L$10,11,FALSE)/2,IF($I171&lt;N$3,VLOOKUP($H171,Depreciation!$A$6:$L$10,11,FALSE),0))</f>
        <v>3.0676363676126896E-2</v>
      </c>
      <c r="O171" s="361">
        <f>+IF($I171=O$3,VLOOKUP($H171,Depreciation!$A$6:$L$10,12,FALSE)/2,IF($I171&lt;O$3,VLOOKUP($H171,Depreciation!$A$6:$L$10,12,FALSE),0))</f>
        <v>3.0676363676126896E-2</v>
      </c>
      <c r="P171" s="362">
        <f t="shared" si="8"/>
        <v>171711724.40966147</v>
      </c>
      <c r="Q171" s="362">
        <f t="shared" si="9"/>
        <v>171711724.40966147</v>
      </c>
      <c r="R171" s="363">
        <f t="shared" si="10"/>
        <v>0</v>
      </c>
    </row>
    <row r="172" spans="1:25">
      <c r="A172" s="359" t="str">
        <f>'Func Future Lines 2015'!A172</f>
        <v>PPS</v>
      </c>
      <c r="B172" s="359" t="str">
        <f>'Func Future Lines 2015'!B172</f>
        <v>428L/457L 180</v>
      </c>
      <c r="C172" s="359">
        <f>'Func Future Lines 2015'!C172</f>
        <v>1101</v>
      </c>
      <c r="D172" s="359">
        <f>'Func Future Lines 2015'!D172</f>
        <v>138</v>
      </c>
      <c r="E172" s="359">
        <f>'Func Future Lines 2015'!E172</f>
        <v>0</v>
      </c>
      <c r="F172" s="359" t="str">
        <f>'Func Future Lines 2015'!F172</f>
        <v>Fort McMurray</v>
      </c>
      <c r="G172" s="359">
        <f>'Func Future Lines 2015'!G172</f>
        <v>2172995.8566099619</v>
      </c>
      <c r="H172" s="359" t="str">
        <f>'Func Future Lines 2015'!H172</f>
        <v>AltaLink</v>
      </c>
      <c r="I172" s="359">
        <f>'Func Future Lines 2015'!I172</f>
        <v>2016</v>
      </c>
      <c r="J172" s="361">
        <f>+IF($I172=J$3,VLOOKUP($H172,Depreciation!$A$6:$L$10,7,FALSE)/2,IF($I172&lt;J$3,VLOOKUP($H172,Depreciation!$A$6:$L$10,7,FALSE),0))</f>
        <v>0</v>
      </c>
      <c r="K172" s="361">
        <f>+IF($I172=K$3,VLOOKUP($H172,Depreciation!$A$6:$L$10,8,FALSE)/2,IF($I172&lt;K$3,VLOOKUP($H172,Depreciation!$A$6:$L$10,8,FALSE),0))</f>
        <v>1.5338181838063448E-2</v>
      </c>
      <c r="L172" s="361">
        <f>+IF($I172=L$3,VLOOKUP($H172,Depreciation!$A$6:$L$10,9,FALSE)/2,IF($I172&lt;L$3,VLOOKUP($H172,Depreciation!$A$6:$L$10,9,FALSE),0))</f>
        <v>3.0676363676126896E-2</v>
      </c>
      <c r="M172" s="361">
        <f>+IF($I172=M$3,VLOOKUP($H172,Depreciation!$A$6:$L$10,10,FALSE)/2,IF($I172&lt;M$3,VLOOKUP($H172,Depreciation!$A$6:$L$10,10,FALSE),0))</f>
        <v>3.0676363676126896E-2</v>
      </c>
      <c r="N172" s="361">
        <f>+IF($I172=N$3,VLOOKUP($H172,Depreciation!$A$6:$L$10,11,FALSE)/2,IF($I172&lt;N$3,VLOOKUP($H172,Depreciation!$A$6:$L$10,11,FALSE),0))</f>
        <v>3.0676363676126896E-2</v>
      </c>
      <c r="O172" s="361">
        <f>+IF($I172=O$3,VLOOKUP($H172,Depreciation!$A$6:$L$10,12,FALSE)/2,IF($I172&lt;O$3,VLOOKUP($H172,Depreciation!$A$6:$L$10,12,FALSE),0))</f>
        <v>3.0676363676126896E-2</v>
      </c>
      <c r="P172" s="362">
        <f t="shared" si="8"/>
        <v>1948733.2915422462</v>
      </c>
      <c r="Q172" s="362">
        <f t="shared" si="9"/>
        <v>0</v>
      </c>
      <c r="R172" s="363">
        <f t="shared" si="10"/>
        <v>1948733.2915422462</v>
      </c>
    </row>
    <row r="173" spans="1:25">
      <c r="A173" s="359" t="str">
        <f>'Func Future Lines 2015'!A173</f>
        <v>PPS</v>
      </c>
      <c r="B173" s="359" t="str">
        <f>'Func Future Lines 2015'!B173</f>
        <v>428L/457L 180</v>
      </c>
      <c r="C173" s="359">
        <f>'Func Future Lines 2015'!C173</f>
        <v>1101</v>
      </c>
      <c r="D173" s="359">
        <f>'Func Future Lines 2015'!D173</f>
        <v>138</v>
      </c>
      <c r="E173" s="359">
        <f>'Func Future Lines 2015'!E173</f>
        <v>0</v>
      </c>
      <c r="F173" s="359" t="str">
        <f>'Func Future Lines 2015'!F173</f>
        <v>Fort McMurray</v>
      </c>
      <c r="G173" s="359">
        <f>'Func Future Lines 2015'!G173</f>
        <v>2175159.297149288</v>
      </c>
      <c r="H173" s="359" t="str">
        <f>'Func Future Lines 2015'!H173</f>
        <v>AltaLink</v>
      </c>
      <c r="I173" s="359">
        <f>'Func Future Lines 2015'!I173</f>
        <v>2016</v>
      </c>
      <c r="J173" s="361">
        <f>+IF($I173=J$3,VLOOKUP($H173,Depreciation!$A$6:$L$10,7,FALSE)/2,IF($I173&lt;J$3,VLOOKUP($H173,Depreciation!$A$6:$L$10,7,FALSE),0))</f>
        <v>0</v>
      </c>
      <c r="K173" s="361">
        <f>+IF($I173=K$3,VLOOKUP($H173,Depreciation!$A$6:$L$10,8,FALSE)/2,IF($I173&lt;K$3,VLOOKUP($H173,Depreciation!$A$6:$L$10,8,FALSE),0))</f>
        <v>1.5338181838063448E-2</v>
      </c>
      <c r="L173" s="361">
        <f>+IF($I173=L$3,VLOOKUP($H173,Depreciation!$A$6:$L$10,9,FALSE)/2,IF($I173&lt;L$3,VLOOKUP($H173,Depreciation!$A$6:$L$10,9,FALSE),0))</f>
        <v>3.0676363676126896E-2</v>
      </c>
      <c r="M173" s="361">
        <f>+IF($I173=M$3,VLOOKUP($H173,Depreciation!$A$6:$L$10,10,FALSE)/2,IF($I173&lt;M$3,VLOOKUP($H173,Depreciation!$A$6:$L$10,10,FALSE),0))</f>
        <v>3.0676363676126896E-2</v>
      </c>
      <c r="N173" s="361">
        <f>+IF($I173=N$3,VLOOKUP($H173,Depreciation!$A$6:$L$10,11,FALSE)/2,IF($I173&lt;N$3,VLOOKUP($H173,Depreciation!$A$6:$L$10,11,FALSE),0))</f>
        <v>3.0676363676126896E-2</v>
      </c>
      <c r="O173" s="361">
        <f>+IF($I173=O$3,VLOOKUP($H173,Depreciation!$A$6:$L$10,12,FALSE)/2,IF($I173&lt;O$3,VLOOKUP($H173,Depreciation!$A$6:$L$10,12,FALSE),0))</f>
        <v>3.0676363676126896E-2</v>
      </c>
      <c r="P173" s="362">
        <f t="shared" si="8"/>
        <v>1950673.4556665507</v>
      </c>
      <c r="Q173" s="362">
        <f t="shared" si="9"/>
        <v>0</v>
      </c>
      <c r="R173" s="363">
        <f t="shared" si="10"/>
        <v>1950673.4556665507</v>
      </c>
    </row>
    <row r="174" spans="1:25">
      <c r="A174" s="359" t="str">
        <f>'Func Future Lines 2015'!A174</f>
        <v>PPS</v>
      </c>
      <c r="B174" s="359" t="str">
        <f>'Func Future Lines 2015'!B174</f>
        <v>971L180</v>
      </c>
      <c r="C174" s="359">
        <f>'Func Future Lines 2015'!C174</f>
        <v>1101</v>
      </c>
      <c r="D174" s="359">
        <f>'Func Future Lines 2015'!D174</f>
        <v>240</v>
      </c>
      <c r="E174" s="359">
        <f>'Func Future Lines 2015'!E174</f>
        <v>0</v>
      </c>
      <c r="F174" s="359" t="str">
        <f>'Func Future Lines 2015'!F174</f>
        <v>Fort McMurray</v>
      </c>
      <c r="G174" s="359">
        <f>'Func Future Lines 2015'!G174</f>
        <v>1786314.2703774052</v>
      </c>
      <c r="H174" s="359" t="str">
        <f>'Func Future Lines 2015'!H174</f>
        <v>AltaLink</v>
      </c>
      <c r="I174" s="359">
        <f>'Func Future Lines 2015'!I174</f>
        <v>2016</v>
      </c>
      <c r="J174" s="361">
        <f>+IF($I174=J$3,VLOOKUP($H174,Depreciation!$A$6:$L$10,7,FALSE)/2,IF($I174&lt;J$3,VLOOKUP($H174,Depreciation!$A$6:$L$10,7,FALSE),0))</f>
        <v>0</v>
      </c>
      <c r="K174" s="361">
        <f>+IF($I174=K$3,VLOOKUP($H174,Depreciation!$A$6:$L$10,8,FALSE)/2,IF($I174&lt;K$3,VLOOKUP($H174,Depreciation!$A$6:$L$10,8,FALSE),0))</f>
        <v>1.5338181838063448E-2</v>
      </c>
      <c r="L174" s="361">
        <f>+IF($I174=L$3,VLOOKUP($H174,Depreciation!$A$6:$L$10,9,FALSE)/2,IF($I174&lt;L$3,VLOOKUP($H174,Depreciation!$A$6:$L$10,9,FALSE),0))</f>
        <v>3.0676363676126896E-2</v>
      </c>
      <c r="M174" s="361">
        <f>+IF($I174=M$3,VLOOKUP($H174,Depreciation!$A$6:$L$10,10,FALSE)/2,IF($I174&lt;M$3,VLOOKUP($H174,Depreciation!$A$6:$L$10,10,FALSE),0))</f>
        <v>3.0676363676126896E-2</v>
      </c>
      <c r="N174" s="361">
        <f>+IF($I174=N$3,VLOOKUP($H174,Depreciation!$A$6:$L$10,11,FALSE)/2,IF($I174&lt;N$3,VLOOKUP($H174,Depreciation!$A$6:$L$10,11,FALSE),0))</f>
        <v>3.0676363676126896E-2</v>
      </c>
      <c r="O174" s="361">
        <f>+IF($I174=O$3,VLOOKUP($H174,Depreciation!$A$6:$L$10,12,FALSE)/2,IF($I174&lt;O$3,VLOOKUP($H174,Depreciation!$A$6:$L$10,12,FALSE),0))</f>
        <v>3.0676363676126896E-2</v>
      </c>
      <c r="P174" s="362">
        <f t="shared" si="8"/>
        <v>1601958.9164206453</v>
      </c>
      <c r="Q174" s="362">
        <f t="shared" si="9"/>
        <v>1601958.9164206453</v>
      </c>
      <c r="R174" s="363">
        <f t="shared" si="10"/>
        <v>0</v>
      </c>
    </row>
    <row r="175" spans="1:25">
      <c r="A175" s="359" t="str">
        <f>'Func Future Lines 2015'!A175</f>
        <v>PPS</v>
      </c>
      <c r="B175" s="359" t="str">
        <f>'Func Future Lines 2015'!B175</f>
        <v>line 9L930_v181</v>
      </c>
      <c r="C175" s="359">
        <f>'Func Future Lines 2015'!C175</f>
        <v>1101</v>
      </c>
      <c r="D175" s="359">
        <f>'Func Future Lines 2015'!D175</f>
        <v>240</v>
      </c>
      <c r="E175" s="359">
        <f>'Func Future Lines 2015'!E175</f>
        <v>0</v>
      </c>
      <c r="F175" s="359" t="str">
        <f>'Func Future Lines 2015'!F175</f>
        <v>Fort McMurray</v>
      </c>
      <c r="G175" s="359">
        <f>'Func Future Lines 2015'!G175</f>
        <v>4698744.242259468</v>
      </c>
      <c r="H175" s="359" t="str">
        <f>'Func Future Lines 2015'!H175</f>
        <v>ATCO</v>
      </c>
      <c r="I175" s="359">
        <f>'Func Future Lines 2015'!I175</f>
        <v>2016</v>
      </c>
      <c r="J175" s="361">
        <f>+IF($I175=J$3,VLOOKUP($H175,Depreciation!$A$6:$L$10,7,FALSE)/2,IF($I175&lt;J$3,VLOOKUP($H175,Depreciation!$A$6:$L$10,7,FALSE),0))</f>
        <v>0</v>
      </c>
      <c r="K175" s="361">
        <f>+IF($I175=K$3,VLOOKUP($H175,Depreciation!$A$6:$L$10,8,FALSE)/2,IF($I175&lt;K$3,VLOOKUP($H175,Depreciation!$A$6:$L$10,8,FALSE),0))</f>
        <v>1.1971929865503333E-2</v>
      </c>
      <c r="L175" s="361">
        <f>+IF($I175=L$3,VLOOKUP($H175,Depreciation!$A$6:$L$10,9,FALSE)/2,IF($I175&lt;L$3,VLOOKUP($H175,Depreciation!$A$6:$L$10,9,FALSE),0))</f>
        <v>2.4002037926855919E-2</v>
      </c>
      <c r="M175" s="361">
        <f>+IF($I175=M$3,VLOOKUP($H175,Depreciation!$A$6:$L$10,10,FALSE)/2,IF($I175&lt;M$3,VLOOKUP($H175,Depreciation!$A$6:$L$10,10,FALSE),0))</f>
        <v>2.4002037926855919E-2</v>
      </c>
      <c r="N175" s="361">
        <f>+IF($I175=N$3,VLOOKUP($H175,Depreciation!$A$6:$L$10,11,FALSE)/2,IF($I175&lt;N$3,VLOOKUP($H175,Depreciation!$A$6:$L$10,11,FALSE),0))</f>
        <v>2.4002037926855919E-2</v>
      </c>
      <c r="O175" s="361">
        <f>+IF($I175=O$3,VLOOKUP($H175,Depreciation!$A$6:$L$10,12,FALSE)/2,IF($I175&lt;O$3,VLOOKUP($H175,Depreciation!$A$6:$L$10,12,FALSE),0))</f>
        <v>2.4002037926855919E-2</v>
      </c>
      <c r="P175" s="362">
        <f t="shared" si="8"/>
        <v>4316162.8488548556</v>
      </c>
      <c r="Q175" s="362">
        <f t="shared" si="9"/>
        <v>4316162.8488548556</v>
      </c>
      <c r="R175" s="363">
        <f t="shared" si="10"/>
        <v>0</v>
      </c>
    </row>
    <row r="176" spans="1:25">
      <c r="A176" s="359" t="str">
        <f>'Func Future Lines 2015'!A176</f>
        <v>PPS</v>
      </c>
      <c r="B176" s="359" t="str">
        <f>'Func Future Lines 2015'!B176</f>
        <v>1064L/1065L_(v180)</v>
      </c>
      <c r="C176" s="359">
        <f>'Func Future Lines 2015'!C176</f>
        <v>1117</v>
      </c>
      <c r="D176" s="359">
        <f>'Func Future Lines 2015'!D176</f>
        <v>240</v>
      </c>
      <c r="E176" s="359">
        <f>'Func Future Lines 2015'!E176</f>
        <v>0</v>
      </c>
      <c r="F176" s="359" t="str">
        <f>'Func Future Lines 2015'!F176</f>
        <v>Calgary</v>
      </c>
      <c r="G176" s="359">
        <f>'Func Future Lines 2015'!G176</f>
        <v>22476180.185840409</v>
      </c>
      <c r="H176" s="359" t="str">
        <f>'Func Future Lines 2015'!H176</f>
        <v>AltaLink</v>
      </c>
      <c r="I176" s="359">
        <f>'Func Future Lines 2015'!I176</f>
        <v>2015</v>
      </c>
      <c r="J176" s="361">
        <f>+IF($I176=J$3,VLOOKUP($H176,Depreciation!$A$6:$L$10,7,FALSE)/2,IF($I176&lt;J$3,VLOOKUP($H176,Depreciation!$A$6:$L$10,7,FALSE),0))</f>
        <v>1.595020804044691E-2</v>
      </c>
      <c r="K176" s="361">
        <f>+IF($I176=K$3,VLOOKUP($H176,Depreciation!$A$6:$L$10,8,FALSE)/2,IF($I176&lt;K$3,VLOOKUP($H176,Depreciation!$A$6:$L$10,8,FALSE),0))</f>
        <v>3.0676363676126896E-2</v>
      </c>
      <c r="L176" s="361">
        <f>+IF($I176=L$3,VLOOKUP($H176,Depreciation!$A$6:$L$10,9,FALSE)/2,IF($I176&lt;L$3,VLOOKUP($H176,Depreciation!$A$6:$L$10,9,FALSE),0))</f>
        <v>3.0676363676126896E-2</v>
      </c>
      <c r="M176" s="361">
        <f>+IF($I176=M$3,VLOOKUP($H176,Depreciation!$A$6:$L$10,10,FALSE)/2,IF($I176&lt;M$3,VLOOKUP($H176,Depreciation!$A$6:$L$10,10,FALSE),0))</f>
        <v>3.0676363676126896E-2</v>
      </c>
      <c r="N176" s="361">
        <f>+IF($I176=N$3,VLOOKUP($H176,Depreciation!$A$6:$L$10,11,FALSE)/2,IF($I176&lt;N$3,VLOOKUP($H176,Depreciation!$A$6:$L$10,11,FALSE),0))</f>
        <v>3.0676363676126896E-2</v>
      </c>
      <c r="O176" s="361">
        <f>+IF($I176=O$3,VLOOKUP($H176,Depreciation!$A$6:$L$10,12,FALSE)/2,IF($I176&lt;O$3,VLOOKUP($H176,Depreciation!$A$6:$L$10,12,FALSE),0))</f>
        <v>3.0676363676126896E-2</v>
      </c>
      <c r="P176" s="362">
        <f t="shared" si="8"/>
        <v>19526067.681973726</v>
      </c>
      <c r="Q176" s="362">
        <f t="shared" si="9"/>
        <v>19526067.681973726</v>
      </c>
      <c r="R176" s="363">
        <f t="shared" si="10"/>
        <v>0</v>
      </c>
    </row>
    <row r="177" spans="1:18">
      <c r="A177" s="359" t="str">
        <f>'Func Future Lines 2015'!A177</f>
        <v>PPS</v>
      </c>
      <c r="B177" s="359" t="str">
        <f>'Func Future Lines 2015'!B177</f>
        <v>1064L/1065L_(v180)</v>
      </c>
      <c r="C177" s="359">
        <f>'Func Future Lines 2015'!C177</f>
        <v>1117</v>
      </c>
      <c r="D177" s="359">
        <f>'Func Future Lines 2015'!D177</f>
        <v>240</v>
      </c>
      <c r="E177" s="359">
        <f>'Func Future Lines 2015'!E177</f>
        <v>0</v>
      </c>
      <c r="F177" s="359" t="str">
        <f>'Func Future Lines 2015'!F177</f>
        <v>Calgary</v>
      </c>
      <c r="G177" s="359">
        <f>'Func Future Lines 2015'!G177</f>
        <v>22476180.185840409</v>
      </c>
      <c r="H177" s="359" t="str">
        <f>'Func Future Lines 2015'!H177</f>
        <v>AltaLink</v>
      </c>
      <c r="I177" s="359">
        <f>'Func Future Lines 2015'!I177</f>
        <v>2015</v>
      </c>
      <c r="J177" s="361">
        <f>+IF($I177=J$3,VLOOKUP($H177,Depreciation!$A$6:$L$10,7,FALSE)/2,IF($I177&lt;J$3,VLOOKUP($H177,Depreciation!$A$6:$L$10,7,FALSE),0))</f>
        <v>1.595020804044691E-2</v>
      </c>
      <c r="K177" s="361">
        <f>+IF($I177=K$3,VLOOKUP($H177,Depreciation!$A$6:$L$10,8,FALSE)/2,IF($I177&lt;K$3,VLOOKUP($H177,Depreciation!$A$6:$L$10,8,FALSE),0))</f>
        <v>3.0676363676126896E-2</v>
      </c>
      <c r="L177" s="361">
        <f>+IF($I177=L$3,VLOOKUP($H177,Depreciation!$A$6:$L$10,9,FALSE)/2,IF($I177&lt;L$3,VLOOKUP($H177,Depreciation!$A$6:$L$10,9,FALSE),0))</f>
        <v>3.0676363676126896E-2</v>
      </c>
      <c r="M177" s="361">
        <f>+IF($I177=M$3,VLOOKUP($H177,Depreciation!$A$6:$L$10,10,FALSE)/2,IF($I177&lt;M$3,VLOOKUP($H177,Depreciation!$A$6:$L$10,10,FALSE),0))</f>
        <v>3.0676363676126896E-2</v>
      </c>
      <c r="N177" s="361">
        <f>+IF($I177=N$3,VLOOKUP($H177,Depreciation!$A$6:$L$10,11,FALSE)/2,IF($I177&lt;N$3,VLOOKUP($H177,Depreciation!$A$6:$L$10,11,FALSE),0))</f>
        <v>3.0676363676126896E-2</v>
      </c>
      <c r="O177" s="361">
        <f>+IF($I177=O$3,VLOOKUP($H177,Depreciation!$A$6:$L$10,12,FALSE)/2,IF($I177&lt;O$3,VLOOKUP($H177,Depreciation!$A$6:$L$10,12,FALSE),0))</f>
        <v>3.0676363676126896E-2</v>
      </c>
      <c r="P177" s="362">
        <f t="shared" si="8"/>
        <v>19526067.681973726</v>
      </c>
      <c r="Q177" s="362">
        <f t="shared" si="9"/>
        <v>19526067.681973726</v>
      </c>
      <c r="R177" s="363">
        <f t="shared" si="10"/>
        <v>0</v>
      </c>
    </row>
    <row r="178" spans="1:18">
      <c r="A178" s="359" t="str">
        <f>'Func Future Lines 2015'!A178</f>
        <v>PPS</v>
      </c>
      <c r="B178" s="359" t="str">
        <f>'Func Future Lines 2015'!B178</f>
        <v>1064L/1065L_(v180)</v>
      </c>
      <c r="C178" s="359">
        <f>'Func Future Lines 2015'!C178</f>
        <v>1117</v>
      </c>
      <c r="D178" s="359">
        <f>'Func Future Lines 2015'!D178</f>
        <v>240</v>
      </c>
      <c r="E178" s="359">
        <f>'Func Future Lines 2015'!E178</f>
        <v>0</v>
      </c>
      <c r="F178" s="359" t="str">
        <f>'Func Future Lines 2015'!F178</f>
        <v>Calgary</v>
      </c>
      <c r="G178" s="359">
        <f>'Func Future Lines 2015'!G178</f>
        <v>17889351.244998507</v>
      </c>
      <c r="H178" s="359" t="str">
        <f>'Func Future Lines 2015'!H178</f>
        <v>AltaLink</v>
      </c>
      <c r="I178" s="359">
        <f>'Func Future Lines 2015'!I178</f>
        <v>2015</v>
      </c>
      <c r="J178" s="361">
        <f>+IF($I178=J$3,VLOOKUP($H178,Depreciation!$A$6:$L$10,7,FALSE)/2,IF($I178&lt;J$3,VLOOKUP($H178,Depreciation!$A$6:$L$10,7,FALSE),0))</f>
        <v>1.595020804044691E-2</v>
      </c>
      <c r="K178" s="361">
        <f>+IF($I178=K$3,VLOOKUP($H178,Depreciation!$A$6:$L$10,8,FALSE)/2,IF($I178&lt;K$3,VLOOKUP($H178,Depreciation!$A$6:$L$10,8,FALSE),0))</f>
        <v>3.0676363676126896E-2</v>
      </c>
      <c r="L178" s="361">
        <f>+IF($I178=L$3,VLOOKUP($H178,Depreciation!$A$6:$L$10,9,FALSE)/2,IF($I178&lt;L$3,VLOOKUP($H178,Depreciation!$A$6:$L$10,9,FALSE),0))</f>
        <v>3.0676363676126896E-2</v>
      </c>
      <c r="M178" s="361">
        <f>+IF($I178=M$3,VLOOKUP($H178,Depreciation!$A$6:$L$10,10,FALSE)/2,IF($I178&lt;M$3,VLOOKUP($H178,Depreciation!$A$6:$L$10,10,FALSE),0))</f>
        <v>3.0676363676126896E-2</v>
      </c>
      <c r="N178" s="361">
        <f>+IF($I178=N$3,VLOOKUP($H178,Depreciation!$A$6:$L$10,11,FALSE)/2,IF($I178&lt;N$3,VLOOKUP($H178,Depreciation!$A$6:$L$10,11,FALSE),0))</f>
        <v>3.0676363676126896E-2</v>
      </c>
      <c r="O178" s="361">
        <f>+IF($I178=O$3,VLOOKUP($H178,Depreciation!$A$6:$L$10,12,FALSE)/2,IF($I178&lt;O$3,VLOOKUP($H178,Depreciation!$A$6:$L$10,12,FALSE),0))</f>
        <v>3.0676363676126896E-2</v>
      </c>
      <c r="P178" s="362">
        <f t="shared" si="8"/>
        <v>15541283.274481848</v>
      </c>
      <c r="Q178" s="362">
        <f t="shared" si="9"/>
        <v>15541283.274481848</v>
      </c>
      <c r="R178" s="363">
        <f t="shared" si="10"/>
        <v>0</v>
      </c>
    </row>
    <row r="179" spans="1:18">
      <c r="A179" s="359" t="str">
        <f>'Func Future Lines 2015'!A179</f>
        <v>PPS</v>
      </c>
      <c r="B179" s="359" t="str">
        <f>'Func Future Lines 2015'!B179</f>
        <v>1064L/1065L_(v180)</v>
      </c>
      <c r="C179" s="359">
        <f>'Func Future Lines 2015'!C179</f>
        <v>1117</v>
      </c>
      <c r="D179" s="359">
        <f>'Func Future Lines 2015'!D179</f>
        <v>240</v>
      </c>
      <c r="E179" s="359">
        <f>'Func Future Lines 2015'!E179</f>
        <v>0</v>
      </c>
      <c r="F179" s="359" t="str">
        <f>'Func Future Lines 2015'!F179</f>
        <v>Calgary</v>
      </c>
      <c r="G179" s="359">
        <f>'Func Future Lines 2015'!G179</f>
        <v>17889351.244998507</v>
      </c>
      <c r="H179" s="359" t="str">
        <f>'Func Future Lines 2015'!H179</f>
        <v>AltaLink</v>
      </c>
      <c r="I179" s="359">
        <f>'Func Future Lines 2015'!I179</f>
        <v>2015</v>
      </c>
      <c r="J179" s="361">
        <f>+IF($I179=J$3,VLOOKUP($H179,Depreciation!$A$6:$L$10,7,FALSE)/2,IF($I179&lt;J$3,VLOOKUP($H179,Depreciation!$A$6:$L$10,7,FALSE),0))</f>
        <v>1.595020804044691E-2</v>
      </c>
      <c r="K179" s="361">
        <f>+IF($I179=K$3,VLOOKUP($H179,Depreciation!$A$6:$L$10,8,FALSE)/2,IF($I179&lt;K$3,VLOOKUP($H179,Depreciation!$A$6:$L$10,8,FALSE),0))</f>
        <v>3.0676363676126896E-2</v>
      </c>
      <c r="L179" s="361">
        <f>+IF($I179=L$3,VLOOKUP($H179,Depreciation!$A$6:$L$10,9,FALSE)/2,IF($I179&lt;L$3,VLOOKUP($H179,Depreciation!$A$6:$L$10,9,FALSE),0))</f>
        <v>3.0676363676126896E-2</v>
      </c>
      <c r="M179" s="361">
        <f>+IF($I179=M$3,VLOOKUP($H179,Depreciation!$A$6:$L$10,10,FALSE)/2,IF($I179&lt;M$3,VLOOKUP($H179,Depreciation!$A$6:$L$10,10,FALSE),0))</f>
        <v>3.0676363676126896E-2</v>
      </c>
      <c r="N179" s="361">
        <f>+IF($I179=N$3,VLOOKUP($H179,Depreciation!$A$6:$L$10,11,FALSE)/2,IF($I179&lt;N$3,VLOOKUP($H179,Depreciation!$A$6:$L$10,11,FALSE),0))</f>
        <v>3.0676363676126896E-2</v>
      </c>
      <c r="O179" s="361">
        <f>+IF($I179=O$3,VLOOKUP($H179,Depreciation!$A$6:$L$10,12,FALSE)/2,IF($I179&lt;O$3,VLOOKUP($H179,Depreciation!$A$6:$L$10,12,FALSE),0))</f>
        <v>3.0676363676126896E-2</v>
      </c>
      <c r="P179" s="362">
        <f t="shared" si="8"/>
        <v>15541283.274481848</v>
      </c>
      <c r="Q179" s="362">
        <f t="shared" si="9"/>
        <v>15541283.274481848</v>
      </c>
      <c r="R179" s="363">
        <f t="shared" si="10"/>
        <v>0</v>
      </c>
    </row>
    <row r="180" spans="1:18">
      <c r="A180" s="359" t="str">
        <f>'Func Future Lines 2015'!A180</f>
        <v>PPS</v>
      </c>
      <c r="B180" s="359" t="str">
        <f>'Func Future Lines 2015'!B180</f>
        <v>1080L/1109L_180</v>
      </c>
      <c r="C180" s="359">
        <f>'Func Future Lines 2015'!C180</f>
        <v>1117</v>
      </c>
      <c r="D180" s="359">
        <f>'Func Future Lines 2015'!D180</f>
        <v>240</v>
      </c>
      <c r="E180" s="359">
        <f>'Func Future Lines 2015'!E180</f>
        <v>0</v>
      </c>
      <c r="F180" s="359" t="str">
        <f>'Func Future Lines 2015'!F180</f>
        <v>Calgary</v>
      </c>
      <c r="G180" s="359">
        <f>'Func Future Lines 2015'!G180</f>
        <v>2104869.8933907058</v>
      </c>
      <c r="H180" s="359" t="str">
        <f>'Func Future Lines 2015'!H180</f>
        <v>AltaLink</v>
      </c>
      <c r="I180" s="359">
        <f>'Func Future Lines 2015'!I180</f>
        <v>2015</v>
      </c>
      <c r="J180" s="361">
        <f>+IF($I180=J$3,VLOOKUP($H180,Depreciation!$A$6:$L$10,7,FALSE)/2,IF($I180&lt;J$3,VLOOKUP($H180,Depreciation!$A$6:$L$10,7,FALSE),0))</f>
        <v>1.595020804044691E-2</v>
      </c>
      <c r="K180" s="361">
        <f>+IF($I180=K$3,VLOOKUP($H180,Depreciation!$A$6:$L$10,8,FALSE)/2,IF($I180&lt;K$3,VLOOKUP($H180,Depreciation!$A$6:$L$10,8,FALSE),0))</f>
        <v>3.0676363676126896E-2</v>
      </c>
      <c r="L180" s="361">
        <f>+IF($I180=L$3,VLOOKUP($H180,Depreciation!$A$6:$L$10,9,FALSE)/2,IF($I180&lt;L$3,VLOOKUP($H180,Depreciation!$A$6:$L$10,9,FALSE),0))</f>
        <v>3.0676363676126896E-2</v>
      </c>
      <c r="M180" s="361">
        <f>+IF($I180=M$3,VLOOKUP($H180,Depreciation!$A$6:$L$10,10,FALSE)/2,IF($I180&lt;M$3,VLOOKUP($H180,Depreciation!$A$6:$L$10,10,FALSE),0))</f>
        <v>3.0676363676126896E-2</v>
      </c>
      <c r="N180" s="361">
        <f>+IF($I180=N$3,VLOOKUP($H180,Depreciation!$A$6:$L$10,11,FALSE)/2,IF($I180&lt;N$3,VLOOKUP($H180,Depreciation!$A$6:$L$10,11,FALSE),0))</f>
        <v>3.0676363676126896E-2</v>
      </c>
      <c r="O180" s="361">
        <f>+IF($I180=O$3,VLOOKUP($H180,Depreciation!$A$6:$L$10,12,FALSE)/2,IF($I180&lt;O$3,VLOOKUP($H180,Depreciation!$A$6:$L$10,12,FALSE),0))</f>
        <v>3.0676363676126896E-2</v>
      </c>
      <c r="P180" s="362">
        <f t="shared" si="8"/>
        <v>1828595.0575350833</v>
      </c>
      <c r="Q180" s="362">
        <f t="shared" si="9"/>
        <v>1828595.0575350833</v>
      </c>
      <c r="R180" s="363">
        <f t="shared" si="10"/>
        <v>0</v>
      </c>
    </row>
    <row r="181" spans="1:18">
      <c r="A181" s="359" t="str">
        <f>'Func Future Lines 2015'!A181</f>
        <v>Final</v>
      </c>
      <c r="B181" s="359" t="str">
        <f>'Func Future Lines 2015'!B181</f>
        <v>1106L_180</v>
      </c>
      <c r="C181" s="359">
        <f>'Func Future Lines 2015'!C181</f>
        <v>1117</v>
      </c>
      <c r="D181" s="359">
        <f>'Func Future Lines 2015'!D181</f>
        <v>240</v>
      </c>
      <c r="E181" s="359">
        <f>'Func Future Lines 2015'!E181</f>
        <v>0</v>
      </c>
      <c r="F181" s="359">
        <f>'Func Future Lines 2015'!F181</f>
        <v>0</v>
      </c>
      <c r="G181" s="359">
        <f>'Func Future Lines 2015'!G181</f>
        <v>83540470.165999994</v>
      </c>
      <c r="H181" s="359" t="str">
        <f>'Func Future Lines 2015'!H181</f>
        <v>AltaLink</v>
      </c>
      <c r="I181" s="359">
        <f>'Func Future Lines 2015'!I181</f>
        <v>2015</v>
      </c>
      <c r="J181" s="361">
        <f>+IF($I181=J$3,VLOOKUP($H181,Depreciation!$A$6:$L$10,7,FALSE)/2,IF($I181&lt;J$3,VLOOKUP($H181,Depreciation!$A$6:$L$10,7,FALSE),0))</f>
        <v>1.595020804044691E-2</v>
      </c>
      <c r="K181" s="361">
        <f>+IF($I181=K$3,VLOOKUP($H181,Depreciation!$A$6:$L$10,8,FALSE)/2,IF($I181&lt;K$3,VLOOKUP($H181,Depreciation!$A$6:$L$10,8,FALSE),0))</f>
        <v>3.0676363676126896E-2</v>
      </c>
      <c r="L181" s="361">
        <f>+IF($I181=L$3,VLOOKUP($H181,Depreciation!$A$6:$L$10,9,FALSE)/2,IF($I181&lt;L$3,VLOOKUP($H181,Depreciation!$A$6:$L$10,9,FALSE),0))</f>
        <v>3.0676363676126896E-2</v>
      </c>
      <c r="M181" s="361">
        <f>+IF($I181=M$3,VLOOKUP($H181,Depreciation!$A$6:$L$10,10,FALSE)/2,IF($I181&lt;M$3,VLOOKUP($H181,Depreciation!$A$6:$L$10,10,FALSE),0))</f>
        <v>3.0676363676126896E-2</v>
      </c>
      <c r="N181" s="361">
        <f>+IF($I181=N$3,VLOOKUP($H181,Depreciation!$A$6:$L$10,11,FALSE)/2,IF($I181&lt;N$3,VLOOKUP($H181,Depreciation!$A$6:$L$10,11,FALSE),0))</f>
        <v>3.0676363676126896E-2</v>
      </c>
      <c r="O181" s="361">
        <f>+IF($I181=O$3,VLOOKUP($H181,Depreciation!$A$6:$L$10,12,FALSE)/2,IF($I181&lt;O$3,VLOOKUP($H181,Depreciation!$A$6:$L$10,12,FALSE),0))</f>
        <v>3.0676363676126896E-2</v>
      </c>
      <c r="P181" s="362">
        <f t="shared" si="8"/>
        <v>72575360.277315274</v>
      </c>
      <c r="Q181" s="362">
        <f t="shared" si="9"/>
        <v>72575360.277315274</v>
      </c>
      <c r="R181" s="363">
        <f t="shared" si="10"/>
        <v>0</v>
      </c>
    </row>
    <row r="182" spans="1:18">
      <c r="A182" s="359" t="str">
        <f>'Func Future Lines 2015'!A182</f>
        <v>Final</v>
      </c>
      <c r="B182" s="359" t="str">
        <f>'Func Future Lines 2015'!B182</f>
        <v>1107L_180</v>
      </c>
      <c r="C182" s="359">
        <f>'Func Future Lines 2015'!C182</f>
        <v>1117</v>
      </c>
      <c r="D182" s="359">
        <f>'Func Future Lines 2015'!D182</f>
        <v>240</v>
      </c>
      <c r="E182" s="359">
        <f>'Func Future Lines 2015'!E182</f>
        <v>0</v>
      </c>
      <c r="F182" s="359">
        <f>'Func Future Lines 2015'!F182</f>
        <v>0</v>
      </c>
      <c r="G182" s="359">
        <f>'Func Future Lines 2015'!G182</f>
        <v>81881919.074000001</v>
      </c>
      <c r="H182" s="359" t="str">
        <f>'Func Future Lines 2015'!H182</f>
        <v>AltaLink</v>
      </c>
      <c r="I182" s="359">
        <f>'Func Future Lines 2015'!I182</f>
        <v>2015</v>
      </c>
      <c r="J182" s="361">
        <f>+IF($I182=J$3,VLOOKUP($H182,Depreciation!$A$6:$L$10,7,FALSE)/2,IF($I182&lt;J$3,VLOOKUP($H182,Depreciation!$A$6:$L$10,7,FALSE),0))</f>
        <v>1.595020804044691E-2</v>
      </c>
      <c r="K182" s="361">
        <f>+IF($I182=K$3,VLOOKUP($H182,Depreciation!$A$6:$L$10,8,FALSE)/2,IF($I182&lt;K$3,VLOOKUP($H182,Depreciation!$A$6:$L$10,8,FALSE),0))</f>
        <v>3.0676363676126896E-2</v>
      </c>
      <c r="L182" s="361">
        <f>+IF($I182=L$3,VLOOKUP($H182,Depreciation!$A$6:$L$10,9,FALSE)/2,IF($I182&lt;L$3,VLOOKUP($H182,Depreciation!$A$6:$L$10,9,FALSE),0))</f>
        <v>3.0676363676126896E-2</v>
      </c>
      <c r="M182" s="361">
        <f>+IF($I182=M$3,VLOOKUP($H182,Depreciation!$A$6:$L$10,10,FALSE)/2,IF($I182&lt;M$3,VLOOKUP($H182,Depreciation!$A$6:$L$10,10,FALSE),0))</f>
        <v>3.0676363676126896E-2</v>
      </c>
      <c r="N182" s="361">
        <f>+IF($I182=N$3,VLOOKUP($H182,Depreciation!$A$6:$L$10,11,FALSE)/2,IF($I182&lt;N$3,VLOOKUP($H182,Depreciation!$A$6:$L$10,11,FALSE),0))</f>
        <v>3.0676363676126896E-2</v>
      </c>
      <c r="O182" s="361">
        <f>+IF($I182=O$3,VLOOKUP($H182,Depreciation!$A$6:$L$10,12,FALSE)/2,IF($I182&lt;O$3,VLOOKUP($H182,Depreciation!$A$6:$L$10,12,FALSE),0))</f>
        <v>3.0676363676126896E-2</v>
      </c>
      <c r="P182" s="362">
        <f t="shared" si="8"/>
        <v>71134502.417632997</v>
      </c>
      <c r="Q182" s="362">
        <f t="shared" si="9"/>
        <v>71134502.417632997</v>
      </c>
      <c r="R182" s="363">
        <f t="shared" si="10"/>
        <v>0</v>
      </c>
    </row>
    <row r="183" spans="1:18">
      <c r="A183" s="359" t="str">
        <f>'Func Future Lines 2015'!A183</f>
        <v>PPS</v>
      </c>
      <c r="B183" s="359" t="str">
        <f>'Func Future Lines 2015'!B183</f>
        <v>434L/646L_180</v>
      </c>
      <c r="C183" s="359">
        <f>'Func Future Lines 2015'!C183</f>
        <v>1117</v>
      </c>
      <c r="D183" s="359">
        <f>'Func Future Lines 2015'!D183</f>
        <v>138</v>
      </c>
      <c r="E183" s="359">
        <f>'Func Future Lines 2015'!E183</f>
        <v>0</v>
      </c>
      <c r="F183" s="359" t="str">
        <f>'Func Future Lines 2015'!F183</f>
        <v>Calgary</v>
      </c>
      <c r="G183" s="359">
        <f>'Func Future Lines 2015'!G183</f>
        <v>23035758.945204999</v>
      </c>
      <c r="H183" s="359" t="str">
        <f>'Func Future Lines 2015'!H183</f>
        <v>AltaLink</v>
      </c>
      <c r="I183" s="359">
        <f>'Func Future Lines 2015'!I183</f>
        <v>2015</v>
      </c>
      <c r="J183" s="361">
        <f>+IF($I183=J$3,VLOOKUP($H183,Depreciation!$A$6:$L$10,7,FALSE)/2,IF($I183&lt;J$3,VLOOKUP($H183,Depreciation!$A$6:$L$10,7,FALSE),0))</f>
        <v>1.595020804044691E-2</v>
      </c>
      <c r="K183" s="361">
        <f>+IF($I183=K$3,VLOOKUP($H183,Depreciation!$A$6:$L$10,8,FALSE)/2,IF($I183&lt;K$3,VLOOKUP($H183,Depreciation!$A$6:$L$10,8,FALSE),0))</f>
        <v>3.0676363676126896E-2</v>
      </c>
      <c r="L183" s="361">
        <f>+IF($I183=L$3,VLOOKUP($H183,Depreciation!$A$6:$L$10,9,FALSE)/2,IF($I183&lt;L$3,VLOOKUP($H183,Depreciation!$A$6:$L$10,9,FALSE),0))</f>
        <v>3.0676363676126896E-2</v>
      </c>
      <c r="M183" s="361">
        <f>+IF($I183=M$3,VLOOKUP($H183,Depreciation!$A$6:$L$10,10,FALSE)/2,IF($I183&lt;M$3,VLOOKUP($H183,Depreciation!$A$6:$L$10,10,FALSE),0))</f>
        <v>3.0676363676126896E-2</v>
      </c>
      <c r="N183" s="361">
        <f>+IF($I183=N$3,VLOOKUP($H183,Depreciation!$A$6:$L$10,11,FALSE)/2,IF($I183&lt;N$3,VLOOKUP($H183,Depreciation!$A$6:$L$10,11,FALSE),0))</f>
        <v>3.0676363676126896E-2</v>
      </c>
      <c r="O183" s="361">
        <f>+IF($I183=O$3,VLOOKUP($H183,Depreciation!$A$6:$L$10,12,FALSE)/2,IF($I183&lt;O$3,VLOOKUP($H183,Depreciation!$A$6:$L$10,12,FALSE),0))</f>
        <v>3.0676363676126896E-2</v>
      </c>
      <c r="P183" s="362">
        <f t="shared" si="8"/>
        <v>20012198.894591041</v>
      </c>
      <c r="Q183" s="362">
        <f t="shared" si="9"/>
        <v>0</v>
      </c>
      <c r="R183" s="363">
        <f t="shared" si="10"/>
        <v>20012198.894591041</v>
      </c>
    </row>
    <row r="184" spans="1:18">
      <c r="A184" s="359" t="str">
        <f>'Func Future Lines 2015'!A184</f>
        <v>PPS</v>
      </c>
      <c r="B184" s="359" t="str">
        <f>'Func Future Lines 2015'!B184</f>
        <v>434L/646L_180</v>
      </c>
      <c r="C184" s="359">
        <f>'Func Future Lines 2015'!C184</f>
        <v>1117</v>
      </c>
      <c r="D184" s="359">
        <f>'Func Future Lines 2015'!D184</f>
        <v>138</v>
      </c>
      <c r="E184" s="359">
        <f>'Func Future Lines 2015'!E184</f>
        <v>0</v>
      </c>
      <c r="F184" s="359" t="str">
        <f>'Func Future Lines 2015'!F184</f>
        <v>Calgary</v>
      </c>
      <c r="G184" s="359">
        <f>'Func Future Lines 2015'!G184</f>
        <v>23035758.945204999</v>
      </c>
      <c r="H184" s="359" t="str">
        <f>'Func Future Lines 2015'!H184</f>
        <v>AltaLink</v>
      </c>
      <c r="I184" s="359">
        <f>'Func Future Lines 2015'!I184</f>
        <v>2015</v>
      </c>
      <c r="J184" s="361">
        <f>+IF($I184=J$3,VLOOKUP($H184,Depreciation!$A$6:$L$10,7,FALSE)/2,IF($I184&lt;J$3,VLOOKUP($H184,Depreciation!$A$6:$L$10,7,FALSE),0))</f>
        <v>1.595020804044691E-2</v>
      </c>
      <c r="K184" s="361">
        <f>+IF($I184=K$3,VLOOKUP($H184,Depreciation!$A$6:$L$10,8,FALSE)/2,IF($I184&lt;K$3,VLOOKUP($H184,Depreciation!$A$6:$L$10,8,FALSE),0))</f>
        <v>3.0676363676126896E-2</v>
      </c>
      <c r="L184" s="361">
        <f>+IF($I184=L$3,VLOOKUP($H184,Depreciation!$A$6:$L$10,9,FALSE)/2,IF($I184&lt;L$3,VLOOKUP($H184,Depreciation!$A$6:$L$10,9,FALSE),0))</f>
        <v>3.0676363676126896E-2</v>
      </c>
      <c r="M184" s="361">
        <f>+IF($I184=M$3,VLOOKUP($H184,Depreciation!$A$6:$L$10,10,FALSE)/2,IF($I184&lt;M$3,VLOOKUP($H184,Depreciation!$A$6:$L$10,10,FALSE),0))</f>
        <v>3.0676363676126896E-2</v>
      </c>
      <c r="N184" s="361">
        <f>+IF($I184=N$3,VLOOKUP($H184,Depreciation!$A$6:$L$10,11,FALSE)/2,IF($I184&lt;N$3,VLOOKUP($H184,Depreciation!$A$6:$L$10,11,FALSE),0))</f>
        <v>3.0676363676126896E-2</v>
      </c>
      <c r="O184" s="361">
        <f>+IF($I184=O$3,VLOOKUP($H184,Depreciation!$A$6:$L$10,12,FALSE)/2,IF($I184&lt;O$3,VLOOKUP($H184,Depreciation!$A$6:$L$10,12,FALSE),0))</f>
        <v>3.0676363676126896E-2</v>
      </c>
      <c r="P184" s="362">
        <f t="shared" si="8"/>
        <v>20012198.894591041</v>
      </c>
      <c r="Q184" s="362">
        <f t="shared" si="9"/>
        <v>0</v>
      </c>
      <c r="R184" s="363">
        <f t="shared" si="10"/>
        <v>20012198.894591041</v>
      </c>
    </row>
    <row r="185" spans="1:18">
      <c r="A185" s="359" t="str">
        <f>'Func Future Lines 2015'!A185</f>
        <v>PPS</v>
      </c>
      <c r="B185" s="359" t="str">
        <f>'Func Future Lines 2015'!B185</f>
        <v>646L/850L_180</v>
      </c>
      <c r="C185" s="359">
        <f>'Func Future Lines 2015'!C185</f>
        <v>1117</v>
      </c>
      <c r="D185" s="359">
        <f>'Func Future Lines 2015'!D185</f>
        <v>138</v>
      </c>
      <c r="E185" s="359">
        <f>'Func Future Lines 2015'!E185</f>
        <v>0</v>
      </c>
      <c r="F185" s="359" t="str">
        <f>'Func Future Lines 2015'!F185</f>
        <v>Calgary</v>
      </c>
      <c r="G185" s="359">
        <f>'Func Future Lines 2015'!G185</f>
        <v>1379161.0196992834</v>
      </c>
      <c r="H185" s="359" t="str">
        <f>'Func Future Lines 2015'!H185</f>
        <v>AltaLink</v>
      </c>
      <c r="I185" s="359">
        <f>'Func Future Lines 2015'!I185</f>
        <v>2015</v>
      </c>
      <c r="J185" s="361">
        <f>+IF($I185=J$3,VLOOKUP($H185,Depreciation!$A$6:$L$10,7,FALSE)/2,IF($I185&lt;J$3,VLOOKUP($H185,Depreciation!$A$6:$L$10,7,FALSE),0))</f>
        <v>1.595020804044691E-2</v>
      </c>
      <c r="K185" s="361">
        <f>+IF($I185=K$3,VLOOKUP($H185,Depreciation!$A$6:$L$10,8,FALSE)/2,IF($I185&lt;K$3,VLOOKUP($H185,Depreciation!$A$6:$L$10,8,FALSE),0))</f>
        <v>3.0676363676126896E-2</v>
      </c>
      <c r="L185" s="361">
        <f>+IF($I185=L$3,VLOOKUP($H185,Depreciation!$A$6:$L$10,9,FALSE)/2,IF($I185&lt;L$3,VLOOKUP($H185,Depreciation!$A$6:$L$10,9,FALSE),0))</f>
        <v>3.0676363676126896E-2</v>
      </c>
      <c r="M185" s="361">
        <f>+IF($I185=M$3,VLOOKUP($H185,Depreciation!$A$6:$L$10,10,FALSE)/2,IF($I185&lt;M$3,VLOOKUP($H185,Depreciation!$A$6:$L$10,10,FALSE),0))</f>
        <v>3.0676363676126896E-2</v>
      </c>
      <c r="N185" s="361">
        <f>+IF($I185=N$3,VLOOKUP($H185,Depreciation!$A$6:$L$10,11,FALSE)/2,IF($I185&lt;N$3,VLOOKUP($H185,Depreciation!$A$6:$L$10,11,FALSE),0))</f>
        <v>3.0676363676126896E-2</v>
      </c>
      <c r="O185" s="361">
        <f>+IF($I185=O$3,VLOOKUP($H185,Depreciation!$A$6:$L$10,12,FALSE)/2,IF($I185&lt;O$3,VLOOKUP($H185,Depreciation!$A$6:$L$10,12,FALSE),0))</f>
        <v>3.0676363676126896E-2</v>
      </c>
      <c r="P185" s="362">
        <f t="shared" si="8"/>
        <v>1198139.1496386591</v>
      </c>
      <c r="Q185" s="362">
        <f t="shared" si="9"/>
        <v>0</v>
      </c>
      <c r="R185" s="363">
        <f t="shared" si="10"/>
        <v>1198139.1496386591</v>
      </c>
    </row>
    <row r="186" spans="1:18">
      <c r="A186" s="359" t="str">
        <f>'Func Future Lines 2015'!A186</f>
        <v>PPS</v>
      </c>
      <c r="B186" s="359" t="str">
        <f>'Func Future Lines 2015'!B186</f>
        <v>727L salvage_180</v>
      </c>
      <c r="C186" s="359">
        <f>'Func Future Lines 2015'!C186</f>
        <v>1117</v>
      </c>
      <c r="D186" s="359">
        <f>'Func Future Lines 2015'!D186</f>
        <v>138</v>
      </c>
      <c r="E186" s="359">
        <f>'Func Future Lines 2015'!E186</f>
        <v>0</v>
      </c>
      <c r="F186" s="359" t="str">
        <f>'Func Future Lines 2015'!F186</f>
        <v>Calgary</v>
      </c>
      <c r="G186" s="359">
        <f>'Func Future Lines 2015'!G186</f>
        <v>58119.541832429939</v>
      </c>
      <c r="H186" s="359" t="str">
        <f>'Func Future Lines 2015'!H186</f>
        <v>AltaLink</v>
      </c>
      <c r="I186" s="359">
        <f>'Func Future Lines 2015'!I186</f>
        <v>2015</v>
      </c>
      <c r="J186" s="361">
        <f>+IF($I186=J$3,VLOOKUP($H186,Depreciation!$A$6:$L$10,7,FALSE)/2,IF($I186&lt;J$3,VLOOKUP($H186,Depreciation!$A$6:$L$10,7,FALSE),0))</f>
        <v>1.595020804044691E-2</v>
      </c>
      <c r="K186" s="361">
        <f>+IF($I186=K$3,VLOOKUP($H186,Depreciation!$A$6:$L$10,8,FALSE)/2,IF($I186&lt;K$3,VLOOKUP($H186,Depreciation!$A$6:$L$10,8,FALSE),0))</f>
        <v>3.0676363676126896E-2</v>
      </c>
      <c r="L186" s="361">
        <f>+IF($I186=L$3,VLOOKUP($H186,Depreciation!$A$6:$L$10,9,FALSE)/2,IF($I186&lt;L$3,VLOOKUP($H186,Depreciation!$A$6:$L$10,9,FALSE),0))</f>
        <v>3.0676363676126896E-2</v>
      </c>
      <c r="M186" s="361">
        <f>+IF($I186=M$3,VLOOKUP($H186,Depreciation!$A$6:$L$10,10,FALSE)/2,IF($I186&lt;M$3,VLOOKUP($H186,Depreciation!$A$6:$L$10,10,FALSE),0))</f>
        <v>3.0676363676126896E-2</v>
      </c>
      <c r="N186" s="361">
        <f>+IF($I186=N$3,VLOOKUP($H186,Depreciation!$A$6:$L$10,11,FALSE)/2,IF($I186&lt;N$3,VLOOKUP($H186,Depreciation!$A$6:$L$10,11,FALSE),0))</f>
        <v>3.0676363676126896E-2</v>
      </c>
      <c r="O186" s="361">
        <f>+IF($I186=O$3,VLOOKUP($H186,Depreciation!$A$6:$L$10,12,FALSE)/2,IF($I186&lt;O$3,VLOOKUP($H186,Depreciation!$A$6:$L$10,12,FALSE),0))</f>
        <v>3.0676363676126896E-2</v>
      </c>
      <c r="P186" s="362">
        <f t="shared" si="8"/>
        <v>50491.057558804547</v>
      </c>
      <c r="Q186" s="362">
        <f t="shared" si="9"/>
        <v>0</v>
      </c>
      <c r="R186" s="363">
        <f t="shared" si="10"/>
        <v>50491.057558804547</v>
      </c>
    </row>
    <row r="187" spans="1:18">
      <c r="A187" s="359" t="str">
        <f>'Func Future Lines 2015'!A187</f>
        <v>PPS</v>
      </c>
      <c r="B187" s="359" t="str">
        <f>'Func Future Lines 2015'!B187</f>
        <v>727L temporary_180</v>
      </c>
      <c r="C187" s="359">
        <f>'Func Future Lines 2015'!C187</f>
        <v>1117</v>
      </c>
      <c r="D187" s="359">
        <f>'Func Future Lines 2015'!D187</f>
        <v>138</v>
      </c>
      <c r="E187" s="359">
        <f>'Func Future Lines 2015'!E187</f>
        <v>0</v>
      </c>
      <c r="F187" s="359" t="str">
        <f>'Func Future Lines 2015'!F187</f>
        <v>Calgary</v>
      </c>
      <c r="G187" s="359">
        <f>'Func Future Lines 2015'!G187</f>
        <v>113097.48680905285</v>
      </c>
      <c r="H187" s="359" t="str">
        <f>'Func Future Lines 2015'!H187</f>
        <v>AltaLink</v>
      </c>
      <c r="I187" s="359">
        <f>'Func Future Lines 2015'!I187</f>
        <v>2015</v>
      </c>
      <c r="J187" s="361">
        <f>+IF($I187=J$3,VLOOKUP($H187,Depreciation!$A$6:$L$10,7,FALSE)/2,IF($I187&lt;J$3,VLOOKUP($H187,Depreciation!$A$6:$L$10,7,FALSE),0))</f>
        <v>1.595020804044691E-2</v>
      </c>
      <c r="K187" s="361">
        <f>+IF($I187=K$3,VLOOKUP($H187,Depreciation!$A$6:$L$10,8,FALSE)/2,IF($I187&lt;K$3,VLOOKUP($H187,Depreciation!$A$6:$L$10,8,FALSE),0))</f>
        <v>3.0676363676126896E-2</v>
      </c>
      <c r="L187" s="361">
        <f>+IF($I187=L$3,VLOOKUP($H187,Depreciation!$A$6:$L$10,9,FALSE)/2,IF($I187&lt;L$3,VLOOKUP($H187,Depreciation!$A$6:$L$10,9,FALSE),0))</f>
        <v>3.0676363676126896E-2</v>
      </c>
      <c r="M187" s="361">
        <f>+IF($I187=M$3,VLOOKUP($H187,Depreciation!$A$6:$L$10,10,FALSE)/2,IF($I187&lt;M$3,VLOOKUP($H187,Depreciation!$A$6:$L$10,10,FALSE),0))</f>
        <v>3.0676363676126896E-2</v>
      </c>
      <c r="N187" s="361">
        <f>+IF($I187=N$3,VLOOKUP($H187,Depreciation!$A$6:$L$10,11,FALSE)/2,IF($I187&lt;N$3,VLOOKUP($H187,Depreciation!$A$6:$L$10,11,FALSE),0))</f>
        <v>3.0676363676126896E-2</v>
      </c>
      <c r="O187" s="361">
        <f>+IF($I187=O$3,VLOOKUP($H187,Depreciation!$A$6:$L$10,12,FALSE)/2,IF($I187&lt;O$3,VLOOKUP($H187,Depreciation!$A$6:$L$10,12,FALSE),0))</f>
        <v>3.0676363676126896E-2</v>
      </c>
      <c r="P187" s="362">
        <f t="shared" si="8"/>
        <v>98252.868763079096</v>
      </c>
      <c r="Q187" s="362">
        <f t="shared" si="9"/>
        <v>0</v>
      </c>
      <c r="R187" s="363">
        <f t="shared" si="10"/>
        <v>98252.868763079096</v>
      </c>
    </row>
    <row r="188" spans="1:18">
      <c r="A188" s="359" t="str">
        <f>'Func Future Lines 2015'!A188</f>
        <v>PPS</v>
      </c>
      <c r="B188" s="359" t="str">
        <f>'Func Future Lines 2015'!B188</f>
        <v>727L/646L rebuild to d/c_180</v>
      </c>
      <c r="C188" s="359">
        <f>'Func Future Lines 2015'!C188</f>
        <v>1117</v>
      </c>
      <c r="D188" s="359">
        <f>'Func Future Lines 2015'!D188</f>
        <v>138</v>
      </c>
      <c r="E188" s="359">
        <f>'Func Future Lines 2015'!E188</f>
        <v>0</v>
      </c>
      <c r="F188" s="359" t="str">
        <f>'Func Future Lines 2015'!F188</f>
        <v>Calgary</v>
      </c>
      <c r="G188" s="359">
        <f>'Func Future Lines 2015'!G188</f>
        <v>10552623.838655792</v>
      </c>
      <c r="H188" s="359" t="str">
        <f>'Func Future Lines 2015'!H188</f>
        <v>AltaLink</v>
      </c>
      <c r="I188" s="359">
        <f>'Func Future Lines 2015'!I188</f>
        <v>2015</v>
      </c>
      <c r="J188" s="361">
        <f>+IF($I188=J$3,VLOOKUP($H188,Depreciation!$A$6:$L$10,7,FALSE)/2,IF($I188&lt;J$3,VLOOKUP($H188,Depreciation!$A$6:$L$10,7,FALSE),0))</f>
        <v>1.595020804044691E-2</v>
      </c>
      <c r="K188" s="361">
        <f>+IF($I188=K$3,VLOOKUP($H188,Depreciation!$A$6:$L$10,8,FALSE)/2,IF($I188&lt;K$3,VLOOKUP($H188,Depreciation!$A$6:$L$10,8,FALSE),0))</f>
        <v>3.0676363676126896E-2</v>
      </c>
      <c r="L188" s="361">
        <f>+IF($I188=L$3,VLOOKUP($H188,Depreciation!$A$6:$L$10,9,FALSE)/2,IF($I188&lt;L$3,VLOOKUP($H188,Depreciation!$A$6:$L$10,9,FALSE),0))</f>
        <v>3.0676363676126896E-2</v>
      </c>
      <c r="M188" s="361">
        <f>+IF($I188=M$3,VLOOKUP($H188,Depreciation!$A$6:$L$10,10,FALSE)/2,IF($I188&lt;M$3,VLOOKUP($H188,Depreciation!$A$6:$L$10,10,FALSE),0))</f>
        <v>3.0676363676126896E-2</v>
      </c>
      <c r="N188" s="361">
        <f>+IF($I188=N$3,VLOOKUP($H188,Depreciation!$A$6:$L$10,11,FALSE)/2,IF($I188&lt;N$3,VLOOKUP($H188,Depreciation!$A$6:$L$10,11,FALSE),0))</f>
        <v>3.0676363676126896E-2</v>
      </c>
      <c r="O188" s="361">
        <f>+IF($I188=O$3,VLOOKUP($H188,Depreciation!$A$6:$L$10,12,FALSE)/2,IF($I188&lt;O$3,VLOOKUP($H188,Depreciation!$A$6:$L$10,12,FALSE),0))</f>
        <v>3.0676363676126896E-2</v>
      </c>
      <c r="P188" s="362">
        <f t="shared" si="8"/>
        <v>9167538.5048661884</v>
      </c>
      <c r="Q188" s="362">
        <f t="shared" si="9"/>
        <v>0</v>
      </c>
      <c r="R188" s="363">
        <f t="shared" si="10"/>
        <v>9167538.5048661884</v>
      </c>
    </row>
    <row r="189" spans="1:18">
      <c r="A189" s="359" t="str">
        <f>'Func Future Lines 2015'!A189</f>
        <v>PPS</v>
      </c>
      <c r="B189" s="359" t="str">
        <f>'Func Future Lines 2015'!B189</f>
        <v>727L/646L rebuild to d/c_180</v>
      </c>
      <c r="C189" s="359">
        <f>'Func Future Lines 2015'!C189</f>
        <v>1117</v>
      </c>
      <c r="D189" s="359">
        <f>'Func Future Lines 2015'!D189</f>
        <v>138</v>
      </c>
      <c r="E189" s="359">
        <f>'Func Future Lines 2015'!E189</f>
        <v>0</v>
      </c>
      <c r="F189" s="359" t="str">
        <f>'Func Future Lines 2015'!F189</f>
        <v>Calgary</v>
      </c>
      <c r="G189" s="359">
        <f>'Func Future Lines 2015'!G189</f>
        <v>6925650.2686265837</v>
      </c>
      <c r="H189" s="359" t="str">
        <f>'Func Future Lines 2015'!H189</f>
        <v>AltaLink</v>
      </c>
      <c r="I189" s="359">
        <f>'Func Future Lines 2015'!I189</f>
        <v>2015</v>
      </c>
      <c r="J189" s="361">
        <f>+IF($I189=J$3,VLOOKUP($H189,Depreciation!$A$6:$L$10,7,FALSE)/2,IF($I189&lt;J$3,VLOOKUP($H189,Depreciation!$A$6:$L$10,7,FALSE),0))</f>
        <v>1.595020804044691E-2</v>
      </c>
      <c r="K189" s="361">
        <f>+IF($I189=K$3,VLOOKUP($H189,Depreciation!$A$6:$L$10,8,FALSE)/2,IF($I189&lt;K$3,VLOOKUP($H189,Depreciation!$A$6:$L$10,8,FALSE),0))</f>
        <v>3.0676363676126896E-2</v>
      </c>
      <c r="L189" s="361">
        <f>+IF($I189=L$3,VLOOKUP($H189,Depreciation!$A$6:$L$10,9,FALSE)/2,IF($I189&lt;L$3,VLOOKUP($H189,Depreciation!$A$6:$L$10,9,FALSE),0))</f>
        <v>3.0676363676126896E-2</v>
      </c>
      <c r="M189" s="361">
        <f>+IF($I189=M$3,VLOOKUP($H189,Depreciation!$A$6:$L$10,10,FALSE)/2,IF($I189&lt;M$3,VLOOKUP($H189,Depreciation!$A$6:$L$10,10,FALSE),0))</f>
        <v>3.0676363676126896E-2</v>
      </c>
      <c r="N189" s="361">
        <f>+IF($I189=N$3,VLOOKUP($H189,Depreciation!$A$6:$L$10,11,FALSE)/2,IF($I189&lt;N$3,VLOOKUP($H189,Depreciation!$A$6:$L$10,11,FALSE),0))</f>
        <v>3.0676363676126896E-2</v>
      </c>
      <c r="O189" s="361">
        <f>+IF($I189=O$3,VLOOKUP($H189,Depreciation!$A$6:$L$10,12,FALSE)/2,IF($I189&lt;O$3,VLOOKUP($H189,Depreciation!$A$6:$L$10,12,FALSE),0))</f>
        <v>3.0676363676126896E-2</v>
      </c>
      <c r="P189" s="362">
        <f t="shared" si="8"/>
        <v>6016623.58856133</v>
      </c>
      <c r="Q189" s="362">
        <f t="shared" si="9"/>
        <v>0</v>
      </c>
      <c r="R189" s="363">
        <f t="shared" si="10"/>
        <v>6016623.58856133</v>
      </c>
    </row>
    <row r="190" spans="1:18">
      <c r="A190" s="359" t="str">
        <f>'Func Future Lines 2015'!A190</f>
        <v>PPS</v>
      </c>
      <c r="B190" s="359" t="str">
        <f>'Func Future Lines 2015'!B190</f>
        <v>850L temporary line_180</v>
      </c>
      <c r="C190" s="359">
        <f>'Func Future Lines 2015'!C190</f>
        <v>1117</v>
      </c>
      <c r="D190" s="359">
        <f>'Func Future Lines 2015'!D190</f>
        <v>240</v>
      </c>
      <c r="E190" s="359">
        <f>'Func Future Lines 2015'!E190</f>
        <v>0</v>
      </c>
      <c r="F190" s="359">
        <f>'Func Future Lines 2015'!F190</f>
        <v>0</v>
      </c>
      <c r="G190" s="359">
        <f>'Func Future Lines 2015'!G190</f>
        <v>6383232.2672256418</v>
      </c>
      <c r="H190" s="359" t="str">
        <f>'Func Future Lines 2015'!H190</f>
        <v>AltaLink</v>
      </c>
      <c r="I190" s="359">
        <f>'Func Future Lines 2015'!I190</f>
        <v>2015</v>
      </c>
      <c r="J190" s="361">
        <f>+IF($I190=J$3,VLOOKUP($H190,Depreciation!$A$6:$L$10,7,FALSE)/2,IF($I190&lt;J$3,VLOOKUP($H190,Depreciation!$A$6:$L$10,7,FALSE),0))</f>
        <v>1.595020804044691E-2</v>
      </c>
      <c r="K190" s="361">
        <f>+IF($I190=K$3,VLOOKUP($H190,Depreciation!$A$6:$L$10,8,FALSE)/2,IF($I190&lt;K$3,VLOOKUP($H190,Depreciation!$A$6:$L$10,8,FALSE),0))</f>
        <v>3.0676363676126896E-2</v>
      </c>
      <c r="L190" s="361">
        <f>+IF($I190=L$3,VLOOKUP($H190,Depreciation!$A$6:$L$10,9,FALSE)/2,IF($I190&lt;L$3,VLOOKUP($H190,Depreciation!$A$6:$L$10,9,FALSE),0))</f>
        <v>3.0676363676126896E-2</v>
      </c>
      <c r="M190" s="361">
        <f>+IF($I190=M$3,VLOOKUP($H190,Depreciation!$A$6:$L$10,10,FALSE)/2,IF($I190&lt;M$3,VLOOKUP($H190,Depreciation!$A$6:$L$10,10,FALSE),0))</f>
        <v>3.0676363676126896E-2</v>
      </c>
      <c r="N190" s="361">
        <f>+IF($I190=N$3,VLOOKUP($H190,Depreciation!$A$6:$L$10,11,FALSE)/2,IF($I190&lt;N$3,VLOOKUP($H190,Depreciation!$A$6:$L$10,11,FALSE),0))</f>
        <v>3.0676363676126896E-2</v>
      </c>
      <c r="O190" s="361">
        <f>+IF($I190=O$3,VLOOKUP($H190,Depreciation!$A$6:$L$10,12,FALSE)/2,IF($I190&lt;O$3,VLOOKUP($H190,Depreciation!$A$6:$L$10,12,FALSE),0))</f>
        <v>3.0676363676126896E-2</v>
      </c>
      <c r="P190" s="362">
        <f t="shared" si="8"/>
        <v>5545400.6974960575</v>
      </c>
      <c r="Q190" s="362">
        <f t="shared" si="9"/>
        <v>5545400.6974960575</v>
      </c>
      <c r="R190" s="363">
        <f t="shared" si="10"/>
        <v>0</v>
      </c>
    </row>
    <row r="191" spans="1:18">
      <c r="A191" s="359" t="str">
        <f>'Func Future Lines 2015'!A191</f>
        <v>PPS</v>
      </c>
      <c r="B191" s="359" t="str">
        <f>'Func Future Lines 2015'!B191</f>
        <v>850L/911L salvage_180</v>
      </c>
      <c r="C191" s="359">
        <f>'Func Future Lines 2015'!C191</f>
        <v>1117</v>
      </c>
      <c r="D191" s="359">
        <f>'Func Future Lines 2015'!D191</f>
        <v>240</v>
      </c>
      <c r="E191" s="359">
        <f>'Func Future Lines 2015'!E191</f>
        <v>0</v>
      </c>
      <c r="F191" s="359">
        <f>'Func Future Lines 2015'!F191</f>
        <v>0</v>
      </c>
      <c r="G191" s="359">
        <f>'Func Future Lines 2015'!G191</f>
        <v>40534.58651700589</v>
      </c>
      <c r="H191" s="359" t="str">
        <f>'Func Future Lines 2015'!H191</f>
        <v>AltaLink</v>
      </c>
      <c r="I191" s="359">
        <f>'Func Future Lines 2015'!I191</f>
        <v>2015</v>
      </c>
      <c r="J191" s="361">
        <f>+IF($I191=J$3,VLOOKUP($H191,Depreciation!$A$6:$L$10,7,FALSE)/2,IF($I191&lt;J$3,VLOOKUP($H191,Depreciation!$A$6:$L$10,7,FALSE),0))</f>
        <v>1.595020804044691E-2</v>
      </c>
      <c r="K191" s="361">
        <f>+IF($I191=K$3,VLOOKUP($H191,Depreciation!$A$6:$L$10,8,FALSE)/2,IF($I191&lt;K$3,VLOOKUP($H191,Depreciation!$A$6:$L$10,8,FALSE),0))</f>
        <v>3.0676363676126896E-2</v>
      </c>
      <c r="L191" s="361">
        <f>+IF($I191=L$3,VLOOKUP($H191,Depreciation!$A$6:$L$10,9,FALSE)/2,IF($I191&lt;L$3,VLOOKUP($H191,Depreciation!$A$6:$L$10,9,FALSE),0))</f>
        <v>3.0676363676126896E-2</v>
      </c>
      <c r="M191" s="361">
        <f>+IF($I191=M$3,VLOOKUP($H191,Depreciation!$A$6:$L$10,10,FALSE)/2,IF($I191&lt;M$3,VLOOKUP($H191,Depreciation!$A$6:$L$10,10,FALSE),0))</f>
        <v>3.0676363676126896E-2</v>
      </c>
      <c r="N191" s="361">
        <f>+IF($I191=N$3,VLOOKUP($H191,Depreciation!$A$6:$L$10,11,FALSE)/2,IF($I191&lt;N$3,VLOOKUP($H191,Depreciation!$A$6:$L$10,11,FALSE),0))</f>
        <v>3.0676363676126896E-2</v>
      </c>
      <c r="O191" s="361">
        <f>+IF($I191=O$3,VLOOKUP($H191,Depreciation!$A$6:$L$10,12,FALSE)/2,IF($I191&lt;O$3,VLOOKUP($H191,Depreciation!$A$6:$L$10,12,FALSE),0))</f>
        <v>3.0676363676126896E-2</v>
      </c>
      <c r="P191" s="362">
        <f t="shared" si="8"/>
        <v>35214.21670620417</v>
      </c>
      <c r="Q191" s="362">
        <f t="shared" si="9"/>
        <v>35214.21670620417</v>
      </c>
      <c r="R191" s="363">
        <f t="shared" si="10"/>
        <v>0</v>
      </c>
    </row>
    <row r="192" spans="1:18">
      <c r="A192" s="359" t="str">
        <f>'Func Future Lines 2015'!A192</f>
        <v>PPS</v>
      </c>
      <c r="B192" s="359" t="str">
        <f>'Func Future Lines 2015'!B192</f>
        <v>850L/911L_(v180)</v>
      </c>
      <c r="C192" s="359">
        <f>'Func Future Lines 2015'!C192</f>
        <v>1117</v>
      </c>
      <c r="D192" s="359">
        <f>'Func Future Lines 2015'!D192</f>
        <v>240</v>
      </c>
      <c r="E192" s="359">
        <f>'Func Future Lines 2015'!E192</f>
        <v>0</v>
      </c>
      <c r="F192" s="359" t="str">
        <f>'Func Future Lines 2015'!F192</f>
        <v>Calgary</v>
      </c>
      <c r="G192" s="359">
        <f>'Func Future Lines 2015'!G192</f>
        <v>4954996.4948249059</v>
      </c>
      <c r="H192" s="359" t="str">
        <f>'Func Future Lines 2015'!H192</f>
        <v>AltaLink</v>
      </c>
      <c r="I192" s="359">
        <f>'Func Future Lines 2015'!I192</f>
        <v>2015</v>
      </c>
      <c r="J192" s="361">
        <f>+IF($I192=J$3,VLOOKUP($H192,Depreciation!$A$6:$L$10,7,FALSE)/2,IF($I192&lt;J$3,VLOOKUP($H192,Depreciation!$A$6:$L$10,7,FALSE),0))</f>
        <v>1.595020804044691E-2</v>
      </c>
      <c r="K192" s="361">
        <f>+IF($I192=K$3,VLOOKUP($H192,Depreciation!$A$6:$L$10,8,FALSE)/2,IF($I192&lt;K$3,VLOOKUP($H192,Depreciation!$A$6:$L$10,8,FALSE),0))</f>
        <v>3.0676363676126896E-2</v>
      </c>
      <c r="L192" s="361">
        <f>+IF($I192=L$3,VLOOKUP($H192,Depreciation!$A$6:$L$10,9,FALSE)/2,IF($I192&lt;L$3,VLOOKUP($H192,Depreciation!$A$6:$L$10,9,FALSE),0))</f>
        <v>3.0676363676126896E-2</v>
      </c>
      <c r="M192" s="361">
        <f>+IF($I192=M$3,VLOOKUP($H192,Depreciation!$A$6:$L$10,10,FALSE)/2,IF($I192&lt;M$3,VLOOKUP($H192,Depreciation!$A$6:$L$10,10,FALSE),0))</f>
        <v>3.0676363676126896E-2</v>
      </c>
      <c r="N192" s="361">
        <f>+IF($I192=N$3,VLOOKUP($H192,Depreciation!$A$6:$L$10,11,FALSE)/2,IF($I192&lt;N$3,VLOOKUP($H192,Depreciation!$A$6:$L$10,11,FALSE),0))</f>
        <v>3.0676363676126896E-2</v>
      </c>
      <c r="O192" s="361">
        <f>+IF($I192=O$3,VLOOKUP($H192,Depreciation!$A$6:$L$10,12,FALSE)/2,IF($I192&lt;O$3,VLOOKUP($H192,Depreciation!$A$6:$L$10,12,FALSE),0))</f>
        <v>3.0676363676126896E-2</v>
      </c>
      <c r="P192" s="362">
        <f t="shared" si="8"/>
        <v>4304628.1050391942</v>
      </c>
      <c r="Q192" s="362">
        <f t="shared" si="9"/>
        <v>4304628.1050391942</v>
      </c>
      <c r="R192" s="363">
        <f t="shared" si="10"/>
        <v>0</v>
      </c>
    </row>
    <row r="193" spans="1:18">
      <c r="A193" s="359" t="str">
        <f>'Func Future Lines 2015'!A193</f>
        <v>PPS</v>
      </c>
      <c r="B193" s="359" t="str">
        <f>'Func Future Lines 2015'!B193</f>
        <v>850L/911L_(v180)</v>
      </c>
      <c r="C193" s="359">
        <f>'Func Future Lines 2015'!C193</f>
        <v>1117</v>
      </c>
      <c r="D193" s="359">
        <f>'Func Future Lines 2015'!D193</f>
        <v>240</v>
      </c>
      <c r="E193" s="359">
        <f>'Func Future Lines 2015'!E193</f>
        <v>0</v>
      </c>
      <c r="F193" s="359" t="str">
        <f>'Func Future Lines 2015'!F193</f>
        <v>Calgary</v>
      </c>
      <c r="G193" s="359">
        <f>'Func Future Lines 2015'!G193</f>
        <v>6050519.460335305</v>
      </c>
      <c r="H193" s="359" t="str">
        <f>'Func Future Lines 2015'!H193</f>
        <v>AltaLink</v>
      </c>
      <c r="I193" s="359">
        <f>'Func Future Lines 2015'!I193</f>
        <v>2015</v>
      </c>
      <c r="J193" s="361">
        <f>+IF($I193=J$3,VLOOKUP($H193,Depreciation!$A$6:$L$10,7,FALSE)/2,IF($I193&lt;J$3,VLOOKUP($H193,Depreciation!$A$6:$L$10,7,FALSE),0))</f>
        <v>1.595020804044691E-2</v>
      </c>
      <c r="K193" s="361">
        <f>+IF($I193=K$3,VLOOKUP($H193,Depreciation!$A$6:$L$10,8,FALSE)/2,IF($I193&lt;K$3,VLOOKUP($H193,Depreciation!$A$6:$L$10,8,FALSE),0))</f>
        <v>3.0676363676126896E-2</v>
      </c>
      <c r="L193" s="361">
        <f>+IF($I193=L$3,VLOOKUP($H193,Depreciation!$A$6:$L$10,9,FALSE)/2,IF($I193&lt;L$3,VLOOKUP($H193,Depreciation!$A$6:$L$10,9,FALSE),0))</f>
        <v>3.0676363676126896E-2</v>
      </c>
      <c r="M193" s="361">
        <f>+IF($I193=M$3,VLOOKUP($H193,Depreciation!$A$6:$L$10,10,FALSE)/2,IF($I193&lt;M$3,VLOOKUP($H193,Depreciation!$A$6:$L$10,10,FALSE),0))</f>
        <v>3.0676363676126896E-2</v>
      </c>
      <c r="N193" s="361">
        <f>+IF($I193=N$3,VLOOKUP($H193,Depreciation!$A$6:$L$10,11,FALSE)/2,IF($I193&lt;N$3,VLOOKUP($H193,Depreciation!$A$6:$L$10,11,FALSE),0))</f>
        <v>3.0676363676126896E-2</v>
      </c>
      <c r="O193" s="361">
        <f>+IF($I193=O$3,VLOOKUP($H193,Depreciation!$A$6:$L$10,12,FALSE)/2,IF($I193&lt;O$3,VLOOKUP($H193,Depreciation!$A$6:$L$10,12,FALSE),0))</f>
        <v>3.0676363676126896E-2</v>
      </c>
      <c r="P193" s="362">
        <f t="shared" si="8"/>
        <v>5256358.1318872953</v>
      </c>
      <c r="Q193" s="362">
        <f t="shared" si="9"/>
        <v>5256358.1318872953</v>
      </c>
      <c r="R193" s="363">
        <f t="shared" si="10"/>
        <v>0</v>
      </c>
    </row>
    <row r="194" spans="1:18">
      <c r="A194" s="359" t="str">
        <f>'Func Future Lines 2015'!A194</f>
        <v>PPS</v>
      </c>
      <c r="B194" s="359" t="str">
        <f>'Func Future Lines 2015'!B194</f>
        <v>911L temporary line_180</v>
      </c>
      <c r="C194" s="359">
        <f>'Func Future Lines 2015'!C194</f>
        <v>1117</v>
      </c>
      <c r="D194" s="359">
        <f>'Func Future Lines 2015'!D194</f>
        <v>240</v>
      </c>
      <c r="E194" s="359">
        <f>'Func Future Lines 2015'!E194</f>
        <v>0</v>
      </c>
      <c r="F194" s="359">
        <f>'Func Future Lines 2015'!F194</f>
        <v>0</v>
      </c>
      <c r="G194" s="359">
        <f>'Func Future Lines 2015'!G194</f>
        <v>5690283.8596253982</v>
      </c>
      <c r="H194" s="359" t="str">
        <f>'Func Future Lines 2015'!H194</f>
        <v>AltaLink</v>
      </c>
      <c r="I194" s="359">
        <f>'Func Future Lines 2015'!I194</f>
        <v>2015</v>
      </c>
      <c r="J194" s="361">
        <f>+IF($I194=J$3,VLOOKUP($H194,Depreciation!$A$6:$L$10,7,FALSE)/2,IF($I194&lt;J$3,VLOOKUP($H194,Depreciation!$A$6:$L$10,7,FALSE),0))</f>
        <v>1.595020804044691E-2</v>
      </c>
      <c r="K194" s="361">
        <f>+IF($I194=K$3,VLOOKUP($H194,Depreciation!$A$6:$L$10,8,FALSE)/2,IF($I194&lt;K$3,VLOOKUP($H194,Depreciation!$A$6:$L$10,8,FALSE),0))</f>
        <v>3.0676363676126896E-2</v>
      </c>
      <c r="L194" s="361">
        <f>+IF($I194=L$3,VLOOKUP($H194,Depreciation!$A$6:$L$10,9,FALSE)/2,IF($I194&lt;L$3,VLOOKUP($H194,Depreciation!$A$6:$L$10,9,FALSE),0))</f>
        <v>3.0676363676126896E-2</v>
      </c>
      <c r="M194" s="361">
        <f>+IF($I194=M$3,VLOOKUP($H194,Depreciation!$A$6:$L$10,10,FALSE)/2,IF($I194&lt;M$3,VLOOKUP($H194,Depreciation!$A$6:$L$10,10,FALSE),0))</f>
        <v>3.0676363676126896E-2</v>
      </c>
      <c r="N194" s="361">
        <f>+IF($I194=N$3,VLOOKUP($H194,Depreciation!$A$6:$L$10,11,FALSE)/2,IF($I194&lt;N$3,VLOOKUP($H194,Depreciation!$A$6:$L$10,11,FALSE),0))</f>
        <v>3.0676363676126896E-2</v>
      </c>
      <c r="O194" s="361">
        <f>+IF($I194=O$3,VLOOKUP($H194,Depreciation!$A$6:$L$10,12,FALSE)/2,IF($I194&lt;O$3,VLOOKUP($H194,Depreciation!$A$6:$L$10,12,FALSE),0))</f>
        <v>3.0676363676126896E-2</v>
      </c>
      <c r="P194" s="362">
        <f t="shared" si="8"/>
        <v>4943405.2785661854</v>
      </c>
      <c r="Q194" s="362">
        <f t="shared" si="9"/>
        <v>4943405.2785661854</v>
      </c>
      <c r="R194" s="363">
        <f t="shared" si="10"/>
        <v>0</v>
      </c>
    </row>
    <row r="195" spans="1:18">
      <c r="A195" s="359" t="str">
        <f>'Func Future Lines 2015'!A195</f>
        <v>PPS</v>
      </c>
      <c r="B195" s="359" t="str">
        <f>'Func Future Lines 2015'!B195</f>
        <v>936L/937L_(v180)</v>
      </c>
      <c r="C195" s="359">
        <f>'Func Future Lines 2015'!C195</f>
        <v>1117</v>
      </c>
      <c r="D195" s="359">
        <f>'Func Future Lines 2015'!D195</f>
        <v>240</v>
      </c>
      <c r="E195" s="359">
        <f>'Func Future Lines 2015'!E195</f>
        <v>0</v>
      </c>
      <c r="F195" s="359" t="str">
        <f>'Func Future Lines 2015'!F195</f>
        <v>Calgary</v>
      </c>
      <c r="G195" s="359">
        <f>'Func Future Lines 2015'!G195</f>
        <v>5966110.3138123723</v>
      </c>
      <c r="H195" s="359" t="str">
        <f>'Func Future Lines 2015'!H195</f>
        <v>AltaLink</v>
      </c>
      <c r="I195" s="359">
        <f>'Func Future Lines 2015'!I195</f>
        <v>2015</v>
      </c>
      <c r="J195" s="361">
        <f>+IF($I195=J$3,VLOOKUP($H195,Depreciation!$A$6:$L$10,7,FALSE)/2,IF($I195&lt;J$3,VLOOKUP($H195,Depreciation!$A$6:$L$10,7,FALSE),0))</f>
        <v>1.595020804044691E-2</v>
      </c>
      <c r="K195" s="361">
        <f>+IF($I195=K$3,VLOOKUP($H195,Depreciation!$A$6:$L$10,8,FALSE)/2,IF($I195&lt;K$3,VLOOKUP($H195,Depreciation!$A$6:$L$10,8,FALSE),0))</f>
        <v>3.0676363676126896E-2</v>
      </c>
      <c r="L195" s="361">
        <f>+IF($I195=L$3,VLOOKUP($H195,Depreciation!$A$6:$L$10,9,FALSE)/2,IF($I195&lt;L$3,VLOOKUP($H195,Depreciation!$A$6:$L$10,9,FALSE),0))</f>
        <v>3.0676363676126896E-2</v>
      </c>
      <c r="M195" s="361">
        <f>+IF($I195=M$3,VLOOKUP($H195,Depreciation!$A$6:$L$10,10,FALSE)/2,IF($I195&lt;M$3,VLOOKUP($H195,Depreciation!$A$6:$L$10,10,FALSE),0))</f>
        <v>3.0676363676126896E-2</v>
      </c>
      <c r="N195" s="361">
        <f>+IF($I195=N$3,VLOOKUP($H195,Depreciation!$A$6:$L$10,11,FALSE)/2,IF($I195&lt;N$3,VLOOKUP($H195,Depreciation!$A$6:$L$10,11,FALSE),0))</f>
        <v>3.0676363676126896E-2</v>
      </c>
      <c r="O195" s="361">
        <f>+IF($I195=O$3,VLOOKUP($H195,Depreciation!$A$6:$L$10,12,FALSE)/2,IF($I195&lt;O$3,VLOOKUP($H195,Depreciation!$A$6:$L$10,12,FALSE),0))</f>
        <v>3.0676363676126896E-2</v>
      </c>
      <c r="P195" s="362">
        <f t="shared" si="8"/>
        <v>5183028.1134252269</v>
      </c>
      <c r="Q195" s="362">
        <f t="shared" si="9"/>
        <v>5183028.1134252269</v>
      </c>
      <c r="R195" s="363">
        <f t="shared" si="10"/>
        <v>0</v>
      </c>
    </row>
    <row r="196" spans="1:18">
      <c r="A196" s="359" t="str">
        <f>'Func Future Lines 2015'!A196</f>
        <v>PPS</v>
      </c>
      <c r="B196" s="359" t="str">
        <f>'Func Future Lines 2015'!B196</f>
        <v>936L/937L_(v180)</v>
      </c>
      <c r="C196" s="359">
        <f>'Func Future Lines 2015'!C196</f>
        <v>1117</v>
      </c>
      <c r="D196" s="359">
        <f>'Func Future Lines 2015'!D196</f>
        <v>240</v>
      </c>
      <c r="E196" s="359">
        <f>'Func Future Lines 2015'!E196</f>
        <v>0</v>
      </c>
      <c r="F196" s="359" t="str">
        <f>'Func Future Lines 2015'!F196</f>
        <v>Calgary</v>
      </c>
      <c r="G196" s="359">
        <f>'Func Future Lines 2015'!G196</f>
        <v>5966110.3138123723</v>
      </c>
      <c r="H196" s="359" t="str">
        <f>'Func Future Lines 2015'!H196</f>
        <v>AltaLink</v>
      </c>
      <c r="I196" s="359">
        <f>'Func Future Lines 2015'!I196</f>
        <v>2015</v>
      </c>
      <c r="J196" s="361">
        <f>+IF($I196=J$3,VLOOKUP($H196,Depreciation!$A$6:$L$10,7,FALSE)/2,IF($I196&lt;J$3,VLOOKUP($H196,Depreciation!$A$6:$L$10,7,FALSE),0))</f>
        <v>1.595020804044691E-2</v>
      </c>
      <c r="K196" s="361">
        <f>+IF($I196=K$3,VLOOKUP($H196,Depreciation!$A$6:$L$10,8,FALSE)/2,IF($I196&lt;K$3,VLOOKUP($H196,Depreciation!$A$6:$L$10,8,FALSE),0))</f>
        <v>3.0676363676126896E-2</v>
      </c>
      <c r="L196" s="361">
        <f>+IF($I196=L$3,VLOOKUP($H196,Depreciation!$A$6:$L$10,9,FALSE)/2,IF($I196&lt;L$3,VLOOKUP($H196,Depreciation!$A$6:$L$10,9,FALSE),0))</f>
        <v>3.0676363676126896E-2</v>
      </c>
      <c r="M196" s="361">
        <f>+IF($I196=M$3,VLOOKUP($H196,Depreciation!$A$6:$L$10,10,FALSE)/2,IF($I196&lt;M$3,VLOOKUP($H196,Depreciation!$A$6:$L$10,10,FALSE),0))</f>
        <v>3.0676363676126896E-2</v>
      </c>
      <c r="N196" s="361">
        <f>+IF($I196=N$3,VLOOKUP($H196,Depreciation!$A$6:$L$10,11,FALSE)/2,IF($I196&lt;N$3,VLOOKUP($H196,Depreciation!$A$6:$L$10,11,FALSE),0))</f>
        <v>3.0676363676126896E-2</v>
      </c>
      <c r="O196" s="361">
        <f>+IF($I196=O$3,VLOOKUP($H196,Depreciation!$A$6:$L$10,12,FALSE)/2,IF($I196&lt;O$3,VLOOKUP($H196,Depreciation!$A$6:$L$10,12,FALSE),0))</f>
        <v>3.0676363676126896E-2</v>
      </c>
      <c r="P196" s="362">
        <f t="shared" si="8"/>
        <v>5183028.1134252269</v>
      </c>
      <c r="Q196" s="362">
        <f t="shared" si="9"/>
        <v>5183028.1134252269</v>
      </c>
      <c r="R196" s="363">
        <f t="shared" si="10"/>
        <v>0</v>
      </c>
    </row>
    <row r="197" spans="1:18">
      <c r="A197" s="359" t="str">
        <f>'Func Future Lines 2015'!A197</f>
        <v>PPS</v>
      </c>
      <c r="B197" s="359" t="str">
        <f>'Func Future Lines 2015'!B197</f>
        <v>937L UG_(v180)</v>
      </c>
      <c r="C197" s="359">
        <f>'Func Future Lines 2015'!C197</f>
        <v>1117</v>
      </c>
      <c r="D197" s="359">
        <f>'Func Future Lines 2015'!D197</f>
        <v>240</v>
      </c>
      <c r="E197" s="359">
        <f>'Func Future Lines 2015'!E197</f>
        <v>0</v>
      </c>
      <c r="F197" s="359" t="str">
        <f>'Func Future Lines 2015'!F197</f>
        <v>Calgary</v>
      </c>
      <c r="G197" s="359">
        <f>'Func Future Lines 2015'!G197</f>
        <v>6197786.4819285059</v>
      </c>
      <c r="H197" s="359" t="str">
        <f>'Func Future Lines 2015'!H197</f>
        <v>AltaLink</v>
      </c>
      <c r="I197" s="359">
        <f>'Func Future Lines 2015'!I197</f>
        <v>2015</v>
      </c>
      <c r="J197" s="361">
        <f>+IF($I197=J$3,VLOOKUP($H197,Depreciation!$A$6:$L$10,7,FALSE)/2,IF($I197&lt;J$3,VLOOKUP($H197,Depreciation!$A$6:$L$10,7,FALSE),0))</f>
        <v>1.595020804044691E-2</v>
      </c>
      <c r="K197" s="361">
        <f>+IF($I197=K$3,VLOOKUP($H197,Depreciation!$A$6:$L$10,8,FALSE)/2,IF($I197&lt;K$3,VLOOKUP($H197,Depreciation!$A$6:$L$10,8,FALSE),0))</f>
        <v>3.0676363676126896E-2</v>
      </c>
      <c r="L197" s="361">
        <f>+IF($I197=L$3,VLOOKUP($H197,Depreciation!$A$6:$L$10,9,FALSE)/2,IF($I197&lt;L$3,VLOOKUP($H197,Depreciation!$A$6:$L$10,9,FALSE),0))</f>
        <v>3.0676363676126896E-2</v>
      </c>
      <c r="M197" s="361">
        <f>+IF($I197=M$3,VLOOKUP($H197,Depreciation!$A$6:$L$10,10,FALSE)/2,IF($I197&lt;M$3,VLOOKUP($H197,Depreciation!$A$6:$L$10,10,FALSE),0))</f>
        <v>3.0676363676126896E-2</v>
      </c>
      <c r="N197" s="361">
        <f>+IF($I197=N$3,VLOOKUP($H197,Depreciation!$A$6:$L$10,11,FALSE)/2,IF($I197&lt;N$3,VLOOKUP($H197,Depreciation!$A$6:$L$10,11,FALSE),0))</f>
        <v>3.0676363676126896E-2</v>
      </c>
      <c r="O197" s="361">
        <f>+IF($I197=O$3,VLOOKUP($H197,Depreciation!$A$6:$L$10,12,FALSE)/2,IF($I197&lt;O$3,VLOOKUP($H197,Depreciation!$A$6:$L$10,12,FALSE),0))</f>
        <v>3.0676363676126896E-2</v>
      </c>
      <c r="P197" s="362">
        <f t="shared" ref="P197:P260" si="11">IF(I197&lt;=2019,G197*(1-J197)*(1-K197)*(1-L197)*(1-M197)*(1-N197),0)</f>
        <v>5384295.6109062191</v>
      </c>
      <c r="Q197" s="362">
        <f t="shared" ref="Q197:Q260" si="12">IF(D197&gt;=240,P197,0)</f>
        <v>5384295.6109062191</v>
      </c>
      <c r="R197" s="363">
        <f t="shared" ref="R197:R260" si="13">IF(AND(D197&gt;25,D197&lt;240),P197,0)</f>
        <v>0</v>
      </c>
    </row>
    <row r="198" spans="1:18">
      <c r="A198" s="359" t="str">
        <f>'Func Future Lines 2015'!A198</f>
        <v>PPS</v>
      </c>
      <c r="B198" s="359" t="str">
        <f>'Func Future Lines 2015'!B198</f>
        <v>7L167 Transmission Line</v>
      </c>
      <c r="C198" s="359">
        <f>'Func Future Lines 2015'!C198</f>
        <v>1128</v>
      </c>
      <c r="D198" s="359">
        <f>'Func Future Lines 2015'!D198</f>
        <v>144</v>
      </c>
      <c r="E198" s="359">
        <f>'Func Future Lines 2015'!E198</f>
        <v>0</v>
      </c>
      <c r="F198" s="359" t="str">
        <f>'Func Future Lines 2015'!F198</f>
        <v>Fort McMurray</v>
      </c>
      <c r="G198" s="359">
        <f>'Func Future Lines 2015'!G198</f>
        <v>5836667.1107417718</v>
      </c>
      <c r="H198" s="359" t="str">
        <f>'Func Future Lines 2015'!H198</f>
        <v>ATCO</v>
      </c>
      <c r="I198" s="359">
        <f>'Func Future Lines 2015'!I198</f>
        <v>2015</v>
      </c>
      <c r="J198" s="361">
        <f>+IF($I198=J$3,VLOOKUP($H198,Depreciation!$A$6:$L$10,7,FALSE)/2,IF($I198&lt;J$3,VLOOKUP($H198,Depreciation!$A$6:$L$10,7,FALSE),0))</f>
        <v>1.239102859091515E-2</v>
      </c>
      <c r="K198" s="361">
        <f>+IF($I198=K$3,VLOOKUP($H198,Depreciation!$A$6:$L$10,8,FALSE)/2,IF($I198&lt;K$3,VLOOKUP($H198,Depreciation!$A$6:$L$10,8,FALSE),0))</f>
        <v>2.3943859731006666E-2</v>
      </c>
      <c r="L198" s="361">
        <f>+IF($I198=L$3,VLOOKUP($H198,Depreciation!$A$6:$L$10,9,FALSE)/2,IF($I198&lt;L$3,VLOOKUP($H198,Depreciation!$A$6:$L$10,9,FALSE),0))</f>
        <v>2.4002037926855919E-2</v>
      </c>
      <c r="M198" s="361">
        <f>+IF($I198=M$3,VLOOKUP($H198,Depreciation!$A$6:$L$10,10,FALSE)/2,IF($I198&lt;M$3,VLOOKUP($H198,Depreciation!$A$6:$L$10,10,FALSE),0))</f>
        <v>2.4002037926855919E-2</v>
      </c>
      <c r="N198" s="361">
        <f>+IF($I198=N$3,VLOOKUP($H198,Depreciation!$A$6:$L$10,11,FALSE)/2,IF($I198&lt;N$3,VLOOKUP($H198,Depreciation!$A$6:$L$10,11,FALSE),0))</f>
        <v>2.4002037926855919E-2</v>
      </c>
      <c r="O198" s="361">
        <f>+IF($I198=O$3,VLOOKUP($H198,Depreciation!$A$6:$L$10,12,FALSE)/2,IF($I198&lt;O$3,VLOOKUP($H198,Depreciation!$A$6:$L$10,12,FALSE),0))</f>
        <v>2.4002037926855919E-2</v>
      </c>
      <c r="P198" s="362">
        <f t="shared" si="11"/>
        <v>5230840.5434239982</v>
      </c>
      <c r="Q198" s="362">
        <f t="shared" si="12"/>
        <v>0</v>
      </c>
      <c r="R198" s="363">
        <f t="shared" si="13"/>
        <v>5230840.5434239982</v>
      </c>
    </row>
    <row r="199" spans="1:18">
      <c r="A199" s="359" t="str">
        <f>'Func Future Lines 2015'!A199</f>
        <v>PPS</v>
      </c>
      <c r="B199" s="359" t="str">
        <f>'Func Future Lines 2015'!B199</f>
        <v>7L183 transmission line</v>
      </c>
      <c r="C199" s="359">
        <f>'Func Future Lines 2015'!C199</f>
        <v>1128</v>
      </c>
      <c r="D199" s="359">
        <f>'Func Future Lines 2015'!D199</f>
        <v>144</v>
      </c>
      <c r="E199" s="359">
        <f>'Func Future Lines 2015'!E199</f>
        <v>0</v>
      </c>
      <c r="F199" s="359">
        <f>'Func Future Lines 2015'!F199</f>
        <v>0</v>
      </c>
      <c r="G199" s="359">
        <f>'Func Future Lines 2015'!G199</f>
        <v>9964313.8981428742</v>
      </c>
      <c r="H199" s="359" t="str">
        <f>'Func Future Lines 2015'!H199</f>
        <v>ATCO</v>
      </c>
      <c r="I199" s="359">
        <f>'Func Future Lines 2015'!I199</f>
        <v>2015</v>
      </c>
      <c r="J199" s="361">
        <f>+IF($I199=J$3,VLOOKUP($H199,Depreciation!$A$6:$L$10,7,FALSE)/2,IF($I199&lt;J$3,VLOOKUP($H199,Depreciation!$A$6:$L$10,7,FALSE),0))</f>
        <v>1.239102859091515E-2</v>
      </c>
      <c r="K199" s="361">
        <f>+IF($I199=K$3,VLOOKUP($H199,Depreciation!$A$6:$L$10,8,FALSE)/2,IF($I199&lt;K$3,VLOOKUP($H199,Depreciation!$A$6:$L$10,8,FALSE),0))</f>
        <v>2.3943859731006666E-2</v>
      </c>
      <c r="L199" s="361">
        <f>+IF($I199=L$3,VLOOKUP($H199,Depreciation!$A$6:$L$10,9,FALSE)/2,IF($I199&lt;L$3,VLOOKUP($H199,Depreciation!$A$6:$L$10,9,FALSE),0))</f>
        <v>2.4002037926855919E-2</v>
      </c>
      <c r="M199" s="361">
        <f>+IF($I199=M$3,VLOOKUP($H199,Depreciation!$A$6:$L$10,10,FALSE)/2,IF($I199&lt;M$3,VLOOKUP($H199,Depreciation!$A$6:$L$10,10,FALSE),0))</f>
        <v>2.4002037926855919E-2</v>
      </c>
      <c r="N199" s="361">
        <f>+IF($I199=N$3,VLOOKUP($H199,Depreciation!$A$6:$L$10,11,FALSE)/2,IF($I199&lt;N$3,VLOOKUP($H199,Depreciation!$A$6:$L$10,11,FALSE),0))</f>
        <v>2.4002037926855919E-2</v>
      </c>
      <c r="O199" s="361">
        <f>+IF($I199=O$3,VLOOKUP($H199,Depreciation!$A$6:$L$10,12,FALSE)/2,IF($I199&lt;O$3,VLOOKUP($H199,Depreciation!$A$6:$L$10,12,FALSE),0))</f>
        <v>2.4002037926855919E-2</v>
      </c>
      <c r="P199" s="362">
        <f t="shared" si="11"/>
        <v>8930051.3695366308</v>
      </c>
      <c r="Q199" s="362">
        <f t="shared" si="12"/>
        <v>0</v>
      </c>
      <c r="R199" s="363">
        <f t="shared" si="13"/>
        <v>8930051.3695366308</v>
      </c>
    </row>
    <row r="200" spans="1:18">
      <c r="A200" s="359" t="str">
        <f>'Func Future Lines 2015'!A200</f>
        <v>PPS</v>
      </c>
      <c r="B200" s="359" t="str">
        <f>'Func Future Lines 2015'!B200</f>
        <v>9L08 and 9L76 240kV s/c line</v>
      </c>
      <c r="C200" s="359">
        <f>'Func Future Lines 2015'!C200</f>
        <v>1180</v>
      </c>
      <c r="D200" s="359">
        <f>'Func Future Lines 2015'!D200</f>
        <v>240</v>
      </c>
      <c r="E200" s="359">
        <f>'Func Future Lines 2015'!E200</f>
        <v>0</v>
      </c>
      <c r="F200" s="359" t="str">
        <f>'Func Future Lines 2015'!F200</f>
        <v>Fort McMurray</v>
      </c>
      <c r="G200" s="359">
        <f>'Func Future Lines 2015'!G200</f>
        <v>0</v>
      </c>
      <c r="H200" s="359" t="str">
        <f>'Func Future Lines 2015'!H200</f>
        <v>ATCO</v>
      </c>
      <c r="I200" s="359">
        <f>'Func Future Lines 2015'!I200</f>
        <v>2100</v>
      </c>
      <c r="J200" s="361">
        <f>+IF($I200=J$3,VLOOKUP($H200,Depreciation!$A$6:$L$10,7,FALSE)/2,IF($I200&lt;J$3,VLOOKUP($H200,Depreciation!$A$6:$L$10,7,FALSE),0))</f>
        <v>0</v>
      </c>
      <c r="K200" s="361">
        <f>+IF($I200=K$3,VLOOKUP($H200,Depreciation!$A$6:$L$10,8,FALSE)/2,IF($I200&lt;K$3,VLOOKUP($H200,Depreciation!$A$6:$L$10,8,FALSE),0))</f>
        <v>0</v>
      </c>
      <c r="L200" s="361">
        <f>+IF($I200=L$3,VLOOKUP($H200,Depreciation!$A$6:$L$10,9,FALSE)/2,IF($I200&lt;L$3,VLOOKUP($H200,Depreciation!$A$6:$L$10,9,FALSE),0))</f>
        <v>0</v>
      </c>
      <c r="M200" s="361">
        <f>+IF($I200=M$3,VLOOKUP($H200,Depreciation!$A$6:$L$10,10,FALSE)/2,IF($I200&lt;M$3,VLOOKUP($H200,Depreciation!$A$6:$L$10,10,FALSE),0))</f>
        <v>0</v>
      </c>
      <c r="N200" s="361">
        <f>+IF($I200=N$3,VLOOKUP($H200,Depreciation!$A$6:$L$10,11,FALSE)/2,IF($I200&lt;N$3,VLOOKUP($H200,Depreciation!$A$6:$L$10,11,FALSE),0))</f>
        <v>0</v>
      </c>
      <c r="O200" s="361">
        <f>+IF($I200=O$3,VLOOKUP($H200,Depreciation!$A$6:$L$10,12,FALSE)/2,IF($I200&lt;O$3,VLOOKUP($H200,Depreciation!$A$6:$L$10,12,FALSE),0))</f>
        <v>0</v>
      </c>
      <c r="P200" s="362">
        <f t="shared" si="11"/>
        <v>0</v>
      </c>
      <c r="Q200" s="362">
        <f t="shared" si="12"/>
        <v>0</v>
      </c>
      <c r="R200" s="363">
        <f t="shared" si="13"/>
        <v>0</v>
      </c>
    </row>
    <row r="201" spans="1:18">
      <c r="A201" s="359" t="str">
        <f>'Func Future Lines 2015'!A201</f>
        <v>PPS</v>
      </c>
      <c r="B201" s="359" t="str">
        <f>'Func Future Lines 2015'!B201</f>
        <v>9L95</v>
      </c>
      <c r="C201" s="359">
        <f>'Func Future Lines 2015'!C201</f>
        <v>1180</v>
      </c>
      <c r="D201" s="359">
        <f>'Func Future Lines 2015'!D201</f>
        <v>240</v>
      </c>
      <c r="E201" s="359">
        <f>'Func Future Lines 2015'!E201</f>
        <v>0</v>
      </c>
      <c r="F201" s="359" t="str">
        <f>'Func Future Lines 2015'!F201</f>
        <v>Fort McMurray</v>
      </c>
      <c r="G201" s="359">
        <f>'Func Future Lines 2015'!G201</f>
        <v>0</v>
      </c>
      <c r="H201" s="359" t="str">
        <f>'Func Future Lines 2015'!H201</f>
        <v>ATCO</v>
      </c>
      <c r="I201" s="359">
        <f>'Func Future Lines 2015'!I201</f>
        <v>2100</v>
      </c>
      <c r="J201" s="361">
        <f>+IF($I201=J$3,VLOOKUP($H201,Depreciation!$A$6:$L$10,7,FALSE)/2,IF($I201&lt;J$3,VLOOKUP($H201,Depreciation!$A$6:$L$10,7,FALSE),0))</f>
        <v>0</v>
      </c>
      <c r="K201" s="361">
        <f>+IF($I201=K$3,VLOOKUP($H201,Depreciation!$A$6:$L$10,8,FALSE)/2,IF($I201&lt;K$3,VLOOKUP($H201,Depreciation!$A$6:$L$10,8,FALSE),0))</f>
        <v>0</v>
      </c>
      <c r="L201" s="361">
        <f>+IF($I201=L$3,VLOOKUP($H201,Depreciation!$A$6:$L$10,9,FALSE)/2,IF($I201&lt;L$3,VLOOKUP($H201,Depreciation!$A$6:$L$10,9,FALSE),0))</f>
        <v>0</v>
      </c>
      <c r="M201" s="361">
        <f>+IF($I201=M$3,VLOOKUP($H201,Depreciation!$A$6:$L$10,10,FALSE)/2,IF($I201&lt;M$3,VLOOKUP($H201,Depreciation!$A$6:$L$10,10,FALSE),0))</f>
        <v>0</v>
      </c>
      <c r="N201" s="361">
        <f>+IF($I201=N$3,VLOOKUP($H201,Depreciation!$A$6:$L$10,11,FALSE)/2,IF($I201&lt;N$3,VLOOKUP($H201,Depreciation!$A$6:$L$10,11,FALSE),0))</f>
        <v>0</v>
      </c>
      <c r="O201" s="361">
        <f>+IF($I201=O$3,VLOOKUP($H201,Depreciation!$A$6:$L$10,12,FALSE)/2,IF($I201&lt;O$3,VLOOKUP($H201,Depreciation!$A$6:$L$10,12,FALSE),0))</f>
        <v>0</v>
      </c>
      <c r="P201" s="362">
        <f t="shared" si="11"/>
        <v>0</v>
      </c>
      <c r="Q201" s="362">
        <f t="shared" si="12"/>
        <v>0</v>
      </c>
      <c r="R201" s="363">
        <f t="shared" si="13"/>
        <v>0</v>
      </c>
    </row>
    <row r="202" spans="1:18">
      <c r="A202" s="359" t="str">
        <f>'Func Future Lines 2015'!A202</f>
        <v>PPS</v>
      </c>
      <c r="B202" s="359" t="str">
        <f>'Func Future Lines 2015'!B202</f>
        <v>Construction of 1.3km of 240kV in/out on H-frame, 9L57 &amp; 9L74 180day</v>
      </c>
      <c r="C202" s="359">
        <f>'Func Future Lines 2015'!C202</f>
        <v>1180</v>
      </c>
      <c r="D202" s="359">
        <f>'Func Future Lines 2015'!D202</f>
        <v>240</v>
      </c>
      <c r="E202" s="359">
        <f>'Func Future Lines 2015'!E202</f>
        <v>0</v>
      </c>
      <c r="F202" s="359" t="str">
        <f>'Func Future Lines 2015'!F202</f>
        <v>Fort McMurray</v>
      </c>
      <c r="G202" s="359">
        <f>'Func Future Lines 2015'!G202</f>
        <v>0</v>
      </c>
      <c r="H202" s="359" t="str">
        <f>'Func Future Lines 2015'!H202</f>
        <v>ATCO</v>
      </c>
      <c r="I202" s="359">
        <f>'Func Future Lines 2015'!I202</f>
        <v>2100</v>
      </c>
      <c r="J202" s="361">
        <f>+IF($I202=J$3,VLOOKUP($H202,Depreciation!$A$6:$L$10,7,FALSE)/2,IF($I202&lt;J$3,VLOOKUP($H202,Depreciation!$A$6:$L$10,7,FALSE),0))</f>
        <v>0</v>
      </c>
      <c r="K202" s="361">
        <f>+IF($I202=K$3,VLOOKUP($H202,Depreciation!$A$6:$L$10,8,FALSE)/2,IF($I202&lt;K$3,VLOOKUP($H202,Depreciation!$A$6:$L$10,8,FALSE),0))</f>
        <v>0</v>
      </c>
      <c r="L202" s="361">
        <f>+IF($I202=L$3,VLOOKUP($H202,Depreciation!$A$6:$L$10,9,FALSE)/2,IF($I202&lt;L$3,VLOOKUP($H202,Depreciation!$A$6:$L$10,9,FALSE),0))</f>
        <v>0</v>
      </c>
      <c r="M202" s="361">
        <f>+IF($I202=M$3,VLOOKUP($H202,Depreciation!$A$6:$L$10,10,FALSE)/2,IF($I202&lt;M$3,VLOOKUP($H202,Depreciation!$A$6:$L$10,10,FALSE),0))</f>
        <v>0</v>
      </c>
      <c r="N202" s="361">
        <f>+IF($I202=N$3,VLOOKUP($H202,Depreciation!$A$6:$L$10,11,FALSE)/2,IF($I202&lt;N$3,VLOOKUP($H202,Depreciation!$A$6:$L$10,11,FALSE),0))</f>
        <v>0</v>
      </c>
      <c r="O202" s="361">
        <f>+IF($I202=O$3,VLOOKUP($H202,Depreciation!$A$6:$L$10,12,FALSE)/2,IF($I202&lt;O$3,VLOOKUP($H202,Depreciation!$A$6:$L$10,12,FALSE),0))</f>
        <v>0</v>
      </c>
      <c r="P202" s="362">
        <f t="shared" si="11"/>
        <v>0</v>
      </c>
      <c r="Q202" s="362">
        <f t="shared" si="12"/>
        <v>0</v>
      </c>
      <c r="R202" s="363">
        <f t="shared" si="13"/>
        <v>0</v>
      </c>
    </row>
    <row r="203" spans="1:18">
      <c r="A203" s="359" t="str">
        <f>'Func Future Lines 2015'!A203</f>
        <v>PPS</v>
      </c>
      <c r="B203" s="359" t="str">
        <f>'Func Future Lines 2015'!B203</f>
        <v xml:space="preserve"> 9L01</v>
      </c>
      <c r="C203" s="359">
        <f>'Func Future Lines 2015'!C203</f>
        <v>1186</v>
      </c>
      <c r="D203" s="359">
        <f>'Func Future Lines 2015'!D203</f>
        <v>240</v>
      </c>
      <c r="E203" s="359">
        <f>'Func Future Lines 2015'!E203</f>
        <v>0</v>
      </c>
      <c r="F203" s="359" t="str">
        <f>'Func Future Lines 2015'!F203</f>
        <v>Fort McMurray</v>
      </c>
      <c r="G203" s="359">
        <f>'Func Future Lines 2015'!G203</f>
        <v>24561972.623612437</v>
      </c>
      <c r="H203" s="359" t="str">
        <f>'Func Future Lines 2015'!H203</f>
        <v>ATCO</v>
      </c>
      <c r="I203" s="359">
        <f>'Func Future Lines 2015'!I203</f>
        <v>2018</v>
      </c>
      <c r="J203" s="361">
        <f>+IF($I203=J$3,VLOOKUP($H203,Depreciation!$A$6:$L$10,7,FALSE)/2,IF($I203&lt;J$3,VLOOKUP($H203,Depreciation!$A$6:$L$10,7,FALSE),0))</f>
        <v>0</v>
      </c>
      <c r="K203" s="361">
        <f>+IF($I203=K$3,VLOOKUP($H203,Depreciation!$A$6:$L$10,8,FALSE)/2,IF($I203&lt;K$3,VLOOKUP($H203,Depreciation!$A$6:$L$10,8,FALSE),0))</f>
        <v>0</v>
      </c>
      <c r="L203" s="361">
        <f>+IF($I203=L$3,VLOOKUP($H203,Depreciation!$A$6:$L$10,9,FALSE)/2,IF($I203&lt;L$3,VLOOKUP($H203,Depreciation!$A$6:$L$10,9,FALSE),0))</f>
        <v>0</v>
      </c>
      <c r="M203" s="361">
        <f>+IF($I203=M$3,VLOOKUP($H203,Depreciation!$A$6:$L$10,10,FALSE)/2,IF($I203&lt;M$3,VLOOKUP($H203,Depreciation!$A$6:$L$10,10,FALSE),0))</f>
        <v>1.2001018963427959E-2</v>
      </c>
      <c r="N203" s="361">
        <f>+IF($I203=N$3,VLOOKUP($H203,Depreciation!$A$6:$L$10,11,FALSE)/2,IF($I203&lt;N$3,VLOOKUP($H203,Depreciation!$A$6:$L$10,11,FALSE),0))</f>
        <v>2.4002037926855919E-2</v>
      </c>
      <c r="O203" s="361">
        <f>+IF($I203=O$3,VLOOKUP($H203,Depreciation!$A$6:$L$10,12,FALSE)/2,IF($I203&lt;O$3,VLOOKUP($H203,Depreciation!$A$6:$L$10,12,FALSE),0))</f>
        <v>2.4002037926855919E-2</v>
      </c>
      <c r="P203" s="362">
        <f t="shared" si="11"/>
        <v>23684741.575405616</v>
      </c>
      <c r="Q203" s="362">
        <f t="shared" si="12"/>
        <v>23684741.575405616</v>
      </c>
      <c r="R203" s="363">
        <f t="shared" si="13"/>
        <v>0</v>
      </c>
    </row>
    <row r="204" spans="1:18">
      <c r="A204" s="359" t="str">
        <f>'Func Future Lines 2015'!A204</f>
        <v>PPS</v>
      </c>
      <c r="B204" s="359" t="str">
        <f>'Func Future Lines 2015'!B204</f>
        <v>9L07</v>
      </c>
      <c r="C204" s="359">
        <f>'Func Future Lines 2015'!C204</f>
        <v>1186</v>
      </c>
      <c r="D204" s="359">
        <f>'Func Future Lines 2015'!D204</f>
        <v>240</v>
      </c>
      <c r="E204" s="359">
        <f>'Func Future Lines 2015'!E204</f>
        <v>0</v>
      </c>
      <c r="F204" s="359" t="str">
        <f>'Func Future Lines 2015'!F204</f>
        <v>Fort McMurray</v>
      </c>
      <c r="G204" s="359">
        <f>'Func Future Lines 2015'!G204</f>
        <v>5710678.2441424122</v>
      </c>
      <c r="H204" s="359" t="str">
        <f>'Func Future Lines 2015'!H204</f>
        <v>ATCO</v>
      </c>
      <c r="I204" s="359">
        <f>'Func Future Lines 2015'!I204</f>
        <v>2018</v>
      </c>
      <c r="J204" s="361">
        <f>+IF($I204=J$3,VLOOKUP($H204,Depreciation!$A$6:$L$10,7,FALSE)/2,IF($I204&lt;J$3,VLOOKUP($H204,Depreciation!$A$6:$L$10,7,FALSE),0))</f>
        <v>0</v>
      </c>
      <c r="K204" s="361">
        <f>+IF($I204=K$3,VLOOKUP($H204,Depreciation!$A$6:$L$10,8,FALSE)/2,IF($I204&lt;K$3,VLOOKUP($H204,Depreciation!$A$6:$L$10,8,FALSE),0))</f>
        <v>0</v>
      </c>
      <c r="L204" s="361">
        <f>+IF($I204=L$3,VLOOKUP($H204,Depreciation!$A$6:$L$10,9,FALSE)/2,IF($I204&lt;L$3,VLOOKUP($H204,Depreciation!$A$6:$L$10,9,FALSE),0))</f>
        <v>0</v>
      </c>
      <c r="M204" s="361">
        <f>+IF($I204=M$3,VLOOKUP($H204,Depreciation!$A$6:$L$10,10,FALSE)/2,IF($I204&lt;M$3,VLOOKUP($H204,Depreciation!$A$6:$L$10,10,FALSE),0))</f>
        <v>1.2001018963427959E-2</v>
      </c>
      <c r="N204" s="361">
        <f>+IF($I204=N$3,VLOOKUP($H204,Depreciation!$A$6:$L$10,11,FALSE)/2,IF($I204&lt;N$3,VLOOKUP($H204,Depreciation!$A$6:$L$10,11,FALSE),0))</f>
        <v>2.4002037926855919E-2</v>
      </c>
      <c r="O204" s="361">
        <f>+IF($I204=O$3,VLOOKUP($H204,Depreciation!$A$6:$L$10,12,FALSE)/2,IF($I204&lt;O$3,VLOOKUP($H204,Depreciation!$A$6:$L$10,12,FALSE),0))</f>
        <v>2.4002037926855919E-2</v>
      </c>
      <c r="P204" s="362">
        <f t="shared" si="11"/>
        <v>5506721.325093287</v>
      </c>
      <c r="Q204" s="362">
        <f t="shared" si="12"/>
        <v>5506721.325093287</v>
      </c>
      <c r="R204" s="363">
        <f t="shared" si="13"/>
        <v>0</v>
      </c>
    </row>
    <row r="205" spans="1:18">
      <c r="A205" s="359" t="str">
        <f>'Func Future Lines 2015'!A205</f>
        <v>PPS</v>
      </c>
      <c r="B205" s="359" t="str">
        <f>'Func Future Lines 2015'!B205</f>
        <v>9L112</v>
      </c>
      <c r="C205" s="359">
        <f>'Func Future Lines 2015'!C205</f>
        <v>1186</v>
      </c>
      <c r="D205" s="359">
        <f>'Func Future Lines 2015'!D205</f>
        <v>240</v>
      </c>
      <c r="E205" s="359">
        <f>'Func Future Lines 2015'!E205</f>
        <v>0</v>
      </c>
      <c r="F205" s="359" t="str">
        <f>'Func Future Lines 2015'!F205</f>
        <v>Fort McMurray</v>
      </c>
      <c r="G205" s="359">
        <f>'Func Future Lines 2015'!G205</f>
        <v>4958275.2426534528</v>
      </c>
      <c r="H205" s="359" t="str">
        <f>'Func Future Lines 2015'!H205</f>
        <v>ATCO</v>
      </c>
      <c r="I205" s="359">
        <f>'Func Future Lines 2015'!I205</f>
        <v>2018</v>
      </c>
      <c r="J205" s="361">
        <f>+IF($I205=J$3,VLOOKUP($H205,Depreciation!$A$6:$L$10,7,FALSE)/2,IF($I205&lt;J$3,VLOOKUP($H205,Depreciation!$A$6:$L$10,7,FALSE),0))</f>
        <v>0</v>
      </c>
      <c r="K205" s="361">
        <f>+IF($I205=K$3,VLOOKUP($H205,Depreciation!$A$6:$L$10,8,FALSE)/2,IF($I205&lt;K$3,VLOOKUP($H205,Depreciation!$A$6:$L$10,8,FALSE),0))</f>
        <v>0</v>
      </c>
      <c r="L205" s="361">
        <f>+IF($I205=L$3,VLOOKUP($H205,Depreciation!$A$6:$L$10,9,FALSE)/2,IF($I205&lt;L$3,VLOOKUP($H205,Depreciation!$A$6:$L$10,9,FALSE),0))</f>
        <v>0</v>
      </c>
      <c r="M205" s="361">
        <f>+IF($I205=M$3,VLOOKUP($H205,Depreciation!$A$6:$L$10,10,FALSE)/2,IF($I205&lt;M$3,VLOOKUP($H205,Depreciation!$A$6:$L$10,10,FALSE),0))</f>
        <v>1.2001018963427959E-2</v>
      </c>
      <c r="N205" s="361">
        <f>+IF($I205=N$3,VLOOKUP($H205,Depreciation!$A$6:$L$10,11,FALSE)/2,IF($I205&lt;N$3,VLOOKUP($H205,Depreciation!$A$6:$L$10,11,FALSE),0))</f>
        <v>2.4002037926855919E-2</v>
      </c>
      <c r="O205" s="361">
        <f>+IF($I205=O$3,VLOOKUP($H205,Depreciation!$A$6:$L$10,12,FALSE)/2,IF($I205&lt;O$3,VLOOKUP($H205,Depreciation!$A$6:$L$10,12,FALSE),0))</f>
        <v>2.4002037926855919E-2</v>
      </c>
      <c r="P205" s="362">
        <f t="shared" si="11"/>
        <v>4781190.4028051486</v>
      </c>
      <c r="Q205" s="362">
        <f t="shared" si="12"/>
        <v>4781190.4028051486</v>
      </c>
      <c r="R205" s="363">
        <f t="shared" si="13"/>
        <v>0</v>
      </c>
    </row>
    <row r="206" spans="1:18">
      <c r="A206" s="359" t="str">
        <f>'Func Future Lines 2015'!A206</f>
        <v>PPS</v>
      </c>
      <c r="B206" s="359" t="str">
        <f>'Func Future Lines 2015'!B206</f>
        <v>9L30</v>
      </c>
      <c r="C206" s="359">
        <f>'Func Future Lines 2015'!C206</f>
        <v>1186</v>
      </c>
      <c r="D206" s="359">
        <f>'Func Future Lines 2015'!D206</f>
        <v>240</v>
      </c>
      <c r="E206" s="359">
        <f>'Func Future Lines 2015'!E206</f>
        <v>0</v>
      </c>
      <c r="F206" s="359" t="str">
        <f>'Func Future Lines 2015'!F206</f>
        <v>Fort McMurray</v>
      </c>
      <c r="G206" s="359">
        <f>'Func Future Lines 2015'!G206</f>
        <v>24561820.810818728</v>
      </c>
      <c r="H206" s="359" t="str">
        <f>'Func Future Lines 2015'!H206</f>
        <v>ATCO</v>
      </c>
      <c r="I206" s="359">
        <f>'Func Future Lines 2015'!I206</f>
        <v>2018</v>
      </c>
      <c r="J206" s="361">
        <f>+IF($I206=J$3,VLOOKUP($H206,Depreciation!$A$6:$L$10,7,FALSE)/2,IF($I206&lt;J$3,VLOOKUP($H206,Depreciation!$A$6:$L$10,7,FALSE),0))</f>
        <v>0</v>
      </c>
      <c r="K206" s="361">
        <f>+IF($I206=K$3,VLOOKUP($H206,Depreciation!$A$6:$L$10,8,FALSE)/2,IF($I206&lt;K$3,VLOOKUP($H206,Depreciation!$A$6:$L$10,8,FALSE),0))</f>
        <v>0</v>
      </c>
      <c r="L206" s="361">
        <f>+IF($I206=L$3,VLOOKUP($H206,Depreciation!$A$6:$L$10,9,FALSE)/2,IF($I206&lt;L$3,VLOOKUP($H206,Depreciation!$A$6:$L$10,9,FALSE),0))</f>
        <v>0</v>
      </c>
      <c r="M206" s="361">
        <f>+IF($I206=M$3,VLOOKUP($H206,Depreciation!$A$6:$L$10,10,FALSE)/2,IF($I206&lt;M$3,VLOOKUP($H206,Depreciation!$A$6:$L$10,10,FALSE),0))</f>
        <v>1.2001018963427959E-2</v>
      </c>
      <c r="N206" s="361">
        <f>+IF($I206=N$3,VLOOKUP($H206,Depreciation!$A$6:$L$10,11,FALSE)/2,IF($I206&lt;N$3,VLOOKUP($H206,Depreciation!$A$6:$L$10,11,FALSE),0))</f>
        <v>2.4002037926855919E-2</v>
      </c>
      <c r="O206" s="361">
        <f>+IF($I206=O$3,VLOOKUP($H206,Depreciation!$A$6:$L$10,12,FALSE)/2,IF($I206&lt;O$3,VLOOKUP($H206,Depreciation!$A$6:$L$10,12,FALSE),0))</f>
        <v>2.4002037926855919E-2</v>
      </c>
      <c r="P206" s="362">
        <f t="shared" si="11"/>
        <v>23684595.184607044</v>
      </c>
      <c r="Q206" s="362">
        <f t="shared" si="12"/>
        <v>23684595.184607044</v>
      </c>
      <c r="R206" s="363">
        <f t="shared" si="13"/>
        <v>0</v>
      </c>
    </row>
    <row r="207" spans="1:18">
      <c r="A207" s="359" t="str">
        <f>'Func Future Lines 2015'!A207</f>
        <v>PPS</v>
      </c>
      <c r="B207" s="359" t="str">
        <f>'Func Future Lines 2015'!B207</f>
        <v>bypass 9L07/9L112</v>
      </c>
      <c r="C207" s="359">
        <f>'Func Future Lines 2015'!C207</f>
        <v>1186</v>
      </c>
      <c r="D207" s="359">
        <f>'Func Future Lines 2015'!D207</f>
        <v>240</v>
      </c>
      <c r="E207" s="359">
        <f>'Func Future Lines 2015'!E207</f>
        <v>0</v>
      </c>
      <c r="F207" s="359" t="str">
        <f>'Func Future Lines 2015'!F207</f>
        <v>Fort McMurray</v>
      </c>
      <c r="G207" s="359">
        <f>'Func Future Lines 2015'!G207</f>
        <v>424792.43850217451</v>
      </c>
      <c r="H207" s="359" t="str">
        <f>'Func Future Lines 2015'!H207</f>
        <v>ATCO</v>
      </c>
      <c r="I207" s="359">
        <f>'Func Future Lines 2015'!I207</f>
        <v>2018</v>
      </c>
      <c r="J207" s="361">
        <f>+IF($I207=J$3,VLOOKUP($H207,Depreciation!$A$6:$L$10,7,FALSE)/2,IF($I207&lt;J$3,VLOOKUP($H207,Depreciation!$A$6:$L$10,7,FALSE),0))</f>
        <v>0</v>
      </c>
      <c r="K207" s="361">
        <f>+IF($I207=K$3,VLOOKUP($H207,Depreciation!$A$6:$L$10,8,FALSE)/2,IF($I207&lt;K$3,VLOOKUP($H207,Depreciation!$A$6:$L$10,8,FALSE),0))</f>
        <v>0</v>
      </c>
      <c r="L207" s="361">
        <f>+IF($I207=L$3,VLOOKUP($H207,Depreciation!$A$6:$L$10,9,FALSE)/2,IF($I207&lt;L$3,VLOOKUP($H207,Depreciation!$A$6:$L$10,9,FALSE),0))</f>
        <v>0</v>
      </c>
      <c r="M207" s="361">
        <f>+IF($I207=M$3,VLOOKUP($H207,Depreciation!$A$6:$L$10,10,FALSE)/2,IF($I207&lt;M$3,VLOOKUP($H207,Depreciation!$A$6:$L$10,10,FALSE),0))</f>
        <v>1.2001018963427959E-2</v>
      </c>
      <c r="N207" s="361">
        <f>+IF($I207=N$3,VLOOKUP($H207,Depreciation!$A$6:$L$10,11,FALSE)/2,IF($I207&lt;N$3,VLOOKUP($H207,Depreciation!$A$6:$L$10,11,FALSE),0))</f>
        <v>2.4002037926855919E-2</v>
      </c>
      <c r="O207" s="361">
        <f>+IF($I207=O$3,VLOOKUP($H207,Depreciation!$A$6:$L$10,12,FALSE)/2,IF($I207&lt;O$3,VLOOKUP($H207,Depreciation!$A$6:$L$10,12,FALSE),0))</f>
        <v>2.4002037926855919E-2</v>
      </c>
      <c r="P207" s="362">
        <f t="shared" si="11"/>
        <v>409620.97317209106</v>
      </c>
      <c r="Q207" s="362">
        <f t="shared" si="12"/>
        <v>409620.97317209106</v>
      </c>
      <c r="R207" s="363">
        <f t="shared" si="13"/>
        <v>0</v>
      </c>
    </row>
    <row r="208" spans="1:18">
      <c r="A208" s="359" t="str">
        <f>'Func Future Lines 2015'!A208</f>
        <v>PPS</v>
      </c>
      <c r="B208" s="359" t="str">
        <f>'Func Future Lines 2015'!B208</f>
        <v>7L134</v>
      </c>
      <c r="C208" s="359">
        <f>'Func Future Lines 2015'!C208</f>
        <v>1250</v>
      </c>
      <c r="D208" s="359">
        <f>'Func Future Lines 2015'!D208</f>
        <v>138</v>
      </c>
      <c r="E208" s="359">
        <f>'Func Future Lines 2015'!E208</f>
        <v>0</v>
      </c>
      <c r="F208" s="359" t="str">
        <f>'Func Future Lines 2015'!F208</f>
        <v>Lloydminster</v>
      </c>
      <c r="G208" s="359">
        <f>'Func Future Lines 2015'!G208</f>
        <v>257636.33243920893</v>
      </c>
      <c r="H208" s="359" t="str">
        <f>'Func Future Lines 2015'!H208</f>
        <v>ATCO</v>
      </c>
      <c r="I208" s="359">
        <f>'Func Future Lines 2015'!I208</f>
        <v>2017</v>
      </c>
      <c r="J208" s="361">
        <f>+IF($I208=J$3,VLOOKUP($H208,Depreciation!$A$6:$L$10,7,FALSE)/2,IF($I208&lt;J$3,VLOOKUP($H208,Depreciation!$A$6:$L$10,7,FALSE),0))</f>
        <v>0</v>
      </c>
      <c r="K208" s="361">
        <f>+IF($I208=K$3,VLOOKUP($H208,Depreciation!$A$6:$L$10,8,FALSE)/2,IF($I208&lt;K$3,VLOOKUP($H208,Depreciation!$A$6:$L$10,8,FALSE),0))</f>
        <v>0</v>
      </c>
      <c r="L208" s="361">
        <f>+IF($I208=L$3,VLOOKUP($H208,Depreciation!$A$6:$L$10,9,FALSE)/2,IF($I208&lt;L$3,VLOOKUP($H208,Depreciation!$A$6:$L$10,9,FALSE),0))</f>
        <v>1.2001018963427959E-2</v>
      </c>
      <c r="M208" s="361">
        <f>+IF($I208=M$3,VLOOKUP($H208,Depreciation!$A$6:$L$10,10,FALSE)/2,IF($I208&lt;M$3,VLOOKUP($H208,Depreciation!$A$6:$L$10,10,FALSE),0))</f>
        <v>2.4002037926855919E-2</v>
      </c>
      <c r="N208" s="361">
        <f>+IF($I208=N$3,VLOOKUP($H208,Depreciation!$A$6:$L$10,11,FALSE)/2,IF($I208&lt;N$3,VLOOKUP($H208,Depreciation!$A$6:$L$10,11,FALSE),0))</f>
        <v>2.4002037926855919E-2</v>
      </c>
      <c r="O208" s="361">
        <f>+IF($I208=O$3,VLOOKUP($H208,Depreciation!$A$6:$L$10,12,FALSE)/2,IF($I208&lt;O$3,VLOOKUP($H208,Depreciation!$A$6:$L$10,12,FALSE),0))</f>
        <v>2.4002037926855919E-2</v>
      </c>
      <c r="P208" s="362">
        <f t="shared" si="11"/>
        <v>242471.90610818172</v>
      </c>
      <c r="Q208" s="362">
        <f t="shared" si="12"/>
        <v>0</v>
      </c>
      <c r="R208" s="363">
        <f t="shared" si="13"/>
        <v>242471.90610818172</v>
      </c>
    </row>
    <row r="209" spans="1:18">
      <c r="A209" s="359" t="str">
        <f>'Func Future Lines 2015'!A209</f>
        <v>PPS</v>
      </c>
      <c r="B209" s="359" t="str">
        <f>'Func Future Lines 2015'!B209</f>
        <v>7LA65</v>
      </c>
      <c r="C209" s="359">
        <f>'Func Future Lines 2015'!C209</f>
        <v>1250</v>
      </c>
      <c r="D209" s="359">
        <f>'Func Future Lines 2015'!D209</f>
        <v>138</v>
      </c>
      <c r="E209" s="359">
        <f>'Func Future Lines 2015'!E209</f>
        <v>0</v>
      </c>
      <c r="F209" s="359" t="str">
        <f>'Func Future Lines 2015'!F209</f>
        <v>Lloydminster</v>
      </c>
      <c r="G209" s="359">
        <f>'Func Future Lines 2015'!G209</f>
        <v>15341741.522818552</v>
      </c>
      <c r="H209" s="359" t="str">
        <f>'Func Future Lines 2015'!H209</f>
        <v>ATCO</v>
      </c>
      <c r="I209" s="359">
        <f>'Func Future Lines 2015'!I209</f>
        <v>2017</v>
      </c>
      <c r="J209" s="361">
        <f>+IF($I209=J$3,VLOOKUP($H209,Depreciation!$A$6:$L$10,7,FALSE)/2,IF($I209&lt;J$3,VLOOKUP($H209,Depreciation!$A$6:$L$10,7,FALSE),0))</f>
        <v>0</v>
      </c>
      <c r="K209" s="361">
        <f>+IF($I209=K$3,VLOOKUP($H209,Depreciation!$A$6:$L$10,8,FALSE)/2,IF($I209&lt;K$3,VLOOKUP($H209,Depreciation!$A$6:$L$10,8,FALSE),0))</f>
        <v>0</v>
      </c>
      <c r="L209" s="361">
        <f>+IF($I209=L$3,VLOOKUP($H209,Depreciation!$A$6:$L$10,9,FALSE)/2,IF($I209&lt;L$3,VLOOKUP($H209,Depreciation!$A$6:$L$10,9,FALSE),0))</f>
        <v>1.2001018963427959E-2</v>
      </c>
      <c r="M209" s="361">
        <f>+IF($I209=M$3,VLOOKUP($H209,Depreciation!$A$6:$L$10,10,FALSE)/2,IF($I209&lt;M$3,VLOOKUP($H209,Depreciation!$A$6:$L$10,10,FALSE),0))</f>
        <v>2.4002037926855919E-2</v>
      </c>
      <c r="N209" s="361">
        <f>+IF($I209=N$3,VLOOKUP($H209,Depreciation!$A$6:$L$10,11,FALSE)/2,IF($I209&lt;N$3,VLOOKUP($H209,Depreciation!$A$6:$L$10,11,FALSE),0))</f>
        <v>2.4002037926855919E-2</v>
      </c>
      <c r="O209" s="361">
        <f>+IF($I209=O$3,VLOOKUP($H209,Depreciation!$A$6:$L$10,12,FALSE)/2,IF($I209&lt;O$3,VLOOKUP($H209,Depreciation!$A$6:$L$10,12,FALSE),0))</f>
        <v>2.4002037926855919E-2</v>
      </c>
      <c r="P209" s="362">
        <f t="shared" si="11"/>
        <v>14438729.486783853</v>
      </c>
      <c r="Q209" s="362">
        <f t="shared" si="12"/>
        <v>0</v>
      </c>
      <c r="R209" s="363">
        <f t="shared" si="13"/>
        <v>14438729.486783853</v>
      </c>
    </row>
    <row r="210" spans="1:18">
      <c r="A210" s="359" t="str">
        <f>'Func Future Lines 2015'!A210</f>
        <v>PPS</v>
      </c>
      <c r="B210" s="359" t="str">
        <f>'Func Future Lines 2015'!B210</f>
        <v>476L &amp; 477L A</v>
      </c>
      <c r="C210" s="359">
        <f>'Func Future Lines 2015'!C210</f>
        <v>1258</v>
      </c>
      <c r="D210" s="359">
        <f>'Func Future Lines 2015'!D210</f>
        <v>138</v>
      </c>
      <c r="E210" s="359">
        <f>'Func Future Lines 2015'!E210</f>
        <v>0</v>
      </c>
      <c r="F210" s="359" t="str">
        <f>'Func Future Lines 2015'!F210</f>
        <v>Fort McMurray</v>
      </c>
      <c r="G210" s="359">
        <f>'Func Future Lines 2015'!G210</f>
        <v>11720551.545892363</v>
      </c>
      <c r="H210" s="359" t="str">
        <f>'Func Future Lines 2015'!H210</f>
        <v>AltaLink</v>
      </c>
      <c r="I210" s="359">
        <f>'Func Future Lines 2015'!I210</f>
        <v>2019</v>
      </c>
      <c r="J210" s="361">
        <f>+IF($I210=J$3,VLOOKUP($H210,Depreciation!$A$6:$L$10,7,FALSE)/2,IF($I210&lt;J$3,VLOOKUP($H210,Depreciation!$A$6:$L$10,7,FALSE),0))</f>
        <v>0</v>
      </c>
      <c r="K210" s="361">
        <f>+IF($I210=K$3,VLOOKUP($H210,Depreciation!$A$6:$L$10,8,FALSE)/2,IF($I210&lt;K$3,VLOOKUP($H210,Depreciation!$A$6:$L$10,8,FALSE),0))</f>
        <v>0</v>
      </c>
      <c r="L210" s="361">
        <f>+IF($I210=L$3,VLOOKUP($H210,Depreciation!$A$6:$L$10,9,FALSE)/2,IF($I210&lt;L$3,VLOOKUP($H210,Depreciation!$A$6:$L$10,9,FALSE),0))</f>
        <v>0</v>
      </c>
      <c r="M210" s="361">
        <f>+IF($I210=M$3,VLOOKUP($H210,Depreciation!$A$6:$L$10,10,FALSE)/2,IF($I210&lt;M$3,VLOOKUP($H210,Depreciation!$A$6:$L$10,10,FALSE),0))</f>
        <v>0</v>
      </c>
      <c r="N210" s="361">
        <f>+IF($I210=N$3,VLOOKUP($H210,Depreciation!$A$6:$L$10,11,FALSE)/2,IF($I210&lt;N$3,VLOOKUP($H210,Depreciation!$A$6:$L$10,11,FALSE),0))</f>
        <v>1.5338181838063448E-2</v>
      </c>
      <c r="O210" s="361">
        <f>+IF($I210=O$3,VLOOKUP($H210,Depreciation!$A$6:$L$10,12,FALSE)/2,IF($I210&lt;O$3,VLOOKUP($H210,Depreciation!$A$6:$L$10,12,FALSE),0))</f>
        <v>3.0676363676126896E-2</v>
      </c>
      <c r="P210" s="362">
        <f t="shared" si="11"/>
        <v>11540779.59503907</v>
      </c>
      <c r="Q210" s="362">
        <f t="shared" si="12"/>
        <v>0</v>
      </c>
      <c r="R210" s="363">
        <f t="shared" si="13"/>
        <v>11540779.59503907</v>
      </c>
    </row>
    <row r="211" spans="1:18">
      <c r="A211" s="359" t="str">
        <f>'Func Future Lines 2015'!A211</f>
        <v>PPS</v>
      </c>
      <c r="B211" s="359" t="str">
        <f>'Func Future Lines 2015'!B211</f>
        <v>476L &amp; 477L B</v>
      </c>
      <c r="C211" s="359">
        <f>'Func Future Lines 2015'!C211</f>
        <v>1258</v>
      </c>
      <c r="D211" s="359">
        <f>'Func Future Lines 2015'!D211</f>
        <v>138</v>
      </c>
      <c r="E211" s="359">
        <f>'Func Future Lines 2015'!E211</f>
        <v>0</v>
      </c>
      <c r="F211" s="359" t="str">
        <f>'Func Future Lines 2015'!F211</f>
        <v>Fort McMurray</v>
      </c>
      <c r="G211" s="359">
        <f>'Func Future Lines 2015'!G211</f>
        <v>11959135.439218925</v>
      </c>
      <c r="H211" s="359" t="str">
        <f>'Func Future Lines 2015'!H211</f>
        <v>AltaLink</v>
      </c>
      <c r="I211" s="359">
        <f>'Func Future Lines 2015'!I211</f>
        <v>2019</v>
      </c>
      <c r="J211" s="361">
        <f>+IF($I211=J$3,VLOOKUP($H211,Depreciation!$A$6:$L$10,7,FALSE)/2,IF($I211&lt;J$3,VLOOKUP($H211,Depreciation!$A$6:$L$10,7,FALSE),0))</f>
        <v>0</v>
      </c>
      <c r="K211" s="361">
        <f>+IF($I211=K$3,VLOOKUP($H211,Depreciation!$A$6:$L$10,8,FALSE)/2,IF($I211&lt;K$3,VLOOKUP($H211,Depreciation!$A$6:$L$10,8,FALSE),0))</f>
        <v>0</v>
      </c>
      <c r="L211" s="361">
        <f>+IF($I211=L$3,VLOOKUP($H211,Depreciation!$A$6:$L$10,9,FALSE)/2,IF($I211&lt;L$3,VLOOKUP($H211,Depreciation!$A$6:$L$10,9,FALSE),0))</f>
        <v>0</v>
      </c>
      <c r="M211" s="361">
        <f>+IF($I211=M$3,VLOOKUP($H211,Depreciation!$A$6:$L$10,10,FALSE)/2,IF($I211&lt;M$3,VLOOKUP($H211,Depreciation!$A$6:$L$10,10,FALSE),0))</f>
        <v>0</v>
      </c>
      <c r="N211" s="361">
        <f>+IF($I211=N$3,VLOOKUP($H211,Depreciation!$A$6:$L$10,11,FALSE)/2,IF($I211&lt;N$3,VLOOKUP($H211,Depreciation!$A$6:$L$10,11,FALSE),0))</f>
        <v>1.5338181838063448E-2</v>
      </c>
      <c r="O211" s="361">
        <f>+IF($I211=O$3,VLOOKUP($H211,Depreciation!$A$6:$L$10,12,FALSE)/2,IF($I211&lt;O$3,VLOOKUP($H211,Depreciation!$A$6:$L$10,12,FALSE),0))</f>
        <v>3.0676363676126896E-2</v>
      </c>
      <c r="P211" s="362">
        <f t="shared" si="11"/>
        <v>11775704.045226157</v>
      </c>
      <c r="Q211" s="362">
        <f t="shared" si="12"/>
        <v>0</v>
      </c>
      <c r="R211" s="363">
        <f t="shared" si="13"/>
        <v>11775704.045226157</v>
      </c>
    </row>
    <row r="212" spans="1:18">
      <c r="A212" s="359" t="str">
        <f>'Func Future Lines 2015'!A212</f>
        <v>PPS</v>
      </c>
      <c r="B212" s="359" t="str">
        <f>'Func Future Lines 2015'!B212</f>
        <v>172L/463L[v180]</v>
      </c>
      <c r="C212" s="359">
        <f>'Func Future Lines 2015'!C212</f>
        <v>1260</v>
      </c>
      <c r="D212" s="359">
        <f>'Func Future Lines 2015'!D212</f>
        <v>138</v>
      </c>
      <c r="E212" s="359">
        <f>'Func Future Lines 2015'!E212</f>
        <v>0</v>
      </c>
      <c r="F212" s="359" t="str">
        <f>'Func Future Lines 2015'!F212</f>
        <v>Lethbridge</v>
      </c>
      <c r="G212" s="359">
        <f>'Func Future Lines 2015'!G212</f>
        <v>2113680.3025660682</v>
      </c>
      <c r="H212" s="359" t="str">
        <f>'Func Future Lines 2015'!H212</f>
        <v>ENMAX</v>
      </c>
      <c r="I212" s="359">
        <f>'Func Future Lines 2015'!I212</f>
        <v>2016</v>
      </c>
      <c r="J212" s="361">
        <f>+IF($I212=J$3,VLOOKUP($H212,Depreciation!$A$6:$L$10,7,FALSE)/2,IF($I212&lt;J$3,VLOOKUP($H212,Depreciation!$A$6:$L$10,7,FALSE),0))</f>
        <v>0</v>
      </c>
      <c r="K212" s="361">
        <f>+IF($I212=K$3,VLOOKUP($H212,Depreciation!$A$6:$L$10,8,FALSE)/2,IF($I212&lt;K$3,VLOOKUP($H212,Depreciation!$A$6:$L$10,8,FALSE),0))</f>
        <v>1.3475179084025525E-2</v>
      </c>
      <c r="L212" s="361">
        <f>+IF($I212=L$3,VLOOKUP($H212,Depreciation!$A$6:$L$10,9,FALSE)/2,IF($I212&lt;L$3,VLOOKUP($H212,Depreciation!$A$6:$L$10,9,FALSE),0))</f>
        <v>2.6950358168051049E-2</v>
      </c>
      <c r="M212" s="361">
        <f>+IF($I212=M$3,VLOOKUP($H212,Depreciation!$A$6:$L$10,10,FALSE)/2,IF($I212&lt;M$3,VLOOKUP($H212,Depreciation!$A$6:$L$10,10,FALSE),0))</f>
        <v>2.6950358168051049E-2</v>
      </c>
      <c r="N212" s="361">
        <f>+IF($I212=N$3,VLOOKUP($H212,Depreciation!$A$6:$L$10,11,FALSE)/2,IF($I212&lt;N$3,VLOOKUP($H212,Depreciation!$A$6:$L$10,11,FALSE),0))</f>
        <v>2.6950358168051049E-2</v>
      </c>
      <c r="O212" s="361">
        <f>+IF($I212=O$3,VLOOKUP($H212,Depreciation!$A$6:$L$10,12,FALSE)/2,IF($I212&lt;O$3,VLOOKUP($H212,Depreciation!$A$6:$L$10,12,FALSE),0))</f>
        <v>2.6950358168051049E-2</v>
      </c>
      <c r="P212" s="362">
        <f t="shared" si="11"/>
        <v>1921110.3340016033</v>
      </c>
      <c r="Q212" s="362">
        <f t="shared" si="12"/>
        <v>0</v>
      </c>
      <c r="R212" s="363">
        <f t="shared" si="13"/>
        <v>1921110.3340016033</v>
      </c>
    </row>
    <row r="213" spans="1:18">
      <c r="A213" s="359" t="str">
        <f>'Func Future Lines 2015'!A213</f>
        <v>PPS</v>
      </c>
      <c r="B213" s="359" t="str">
        <f>'Func Future Lines 2015'!B213</f>
        <v>line 172L</v>
      </c>
      <c r="C213" s="359">
        <f>'Func Future Lines 2015'!C213</f>
        <v>1260</v>
      </c>
      <c r="D213" s="359">
        <f>'Func Future Lines 2015'!D213</f>
        <v>138</v>
      </c>
      <c r="E213" s="359">
        <f>'Func Future Lines 2015'!E213</f>
        <v>0</v>
      </c>
      <c r="F213" s="359" t="str">
        <f>'Func Future Lines 2015'!F213</f>
        <v>Lethbridge</v>
      </c>
      <c r="G213" s="359">
        <f>'Func Future Lines 2015'!G213</f>
        <v>605625.19167995139</v>
      </c>
      <c r="H213" s="359" t="str">
        <f>'Func Future Lines 2015'!H213</f>
        <v>AltaLink</v>
      </c>
      <c r="I213" s="359">
        <f>'Func Future Lines 2015'!I213</f>
        <v>2016</v>
      </c>
      <c r="J213" s="361">
        <f>+IF($I213=J$3,VLOOKUP($H213,Depreciation!$A$6:$L$10,7,FALSE)/2,IF($I213&lt;J$3,VLOOKUP($H213,Depreciation!$A$6:$L$10,7,FALSE),0))</f>
        <v>0</v>
      </c>
      <c r="K213" s="361">
        <f>+IF($I213=K$3,VLOOKUP($H213,Depreciation!$A$6:$L$10,8,FALSE)/2,IF($I213&lt;K$3,VLOOKUP($H213,Depreciation!$A$6:$L$10,8,FALSE),0))</f>
        <v>1.5338181838063448E-2</v>
      </c>
      <c r="L213" s="361">
        <f>+IF($I213=L$3,VLOOKUP($H213,Depreciation!$A$6:$L$10,9,FALSE)/2,IF($I213&lt;L$3,VLOOKUP($H213,Depreciation!$A$6:$L$10,9,FALSE),0))</f>
        <v>3.0676363676126896E-2</v>
      </c>
      <c r="M213" s="361">
        <f>+IF($I213=M$3,VLOOKUP($H213,Depreciation!$A$6:$L$10,10,FALSE)/2,IF($I213&lt;M$3,VLOOKUP($H213,Depreciation!$A$6:$L$10,10,FALSE),0))</f>
        <v>3.0676363676126896E-2</v>
      </c>
      <c r="N213" s="361">
        <f>+IF($I213=N$3,VLOOKUP($H213,Depreciation!$A$6:$L$10,11,FALSE)/2,IF($I213&lt;N$3,VLOOKUP($H213,Depreciation!$A$6:$L$10,11,FALSE),0))</f>
        <v>3.0676363676126896E-2</v>
      </c>
      <c r="O213" s="361">
        <f>+IF($I213=O$3,VLOOKUP($H213,Depreciation!$A$6:$L$10,12,FALSE)/2,IF($I213&lt;O$3,VLOOKUP($H213,Depreciation!$A$6:$L$10,12,FALSE),0))</f>
        <v>3.0676363676126896E-2</v>
      </c>
      <c r="P213" s="362">
        <f t="shared" si="11"/>
        <v>543122.05411407456</v>
      </c>
      <c r="Q213" s="362">
        <f t="shared" si="12"/>
        <v>0</v>
      </c>
      <c r="R213" s="363">
        <f t="shared" si="13"/>
        <v>543122.05411407456</v>
      </c>
    </row>
    <row r="214" spans="1:18">
      <c r="A214" s="359" t="str">
        <f>'Func Future Lines 2015'!A214</f>
        <v>PPS</v>
      </c>
      <c r="B214" s="359" t="str">
        <f>'Func Future Lines 2015'!B214</f>
        <v>line 464L</v>
      </c>
      <c r="C214" s="359">
        <f>'Func Future Lines 2015'!C214</f>
        <v>1263</v>
      </c>
      <c r="D214" s="359">
        <f>'Func Future Lines 2015'!D214</f>
        <v>138</v>
      </c>
      <c r="E214" s="359">
        <f>'Func Future Lines 2015'!E214</f>
        <v>0</v>
      </c>
      <c r="F214" s="359" t="str">
        <f>'Func Future Lines 2015'!F214</f>
        <v>Red_Deer</v>
      </c>
      <c r="G214" s="359">
        <f>'Func Future Lines 2015'!G214</f>
        <v>763058.82352941227</v>
      </c>
      <c r="H214" s="359" t="str">
        <f>'Func Future Lines 2015'!H214</f>
        <v>AltaLink</v>
      </c>
      <c r="I214" s="359">
        <f>'Func Future Lines 2015'!I214</f>
        <v>2016</v>
      </c>
      <c r="J214" s="361">
        <f>+IF($I214=J$3,VLOOKUP($H214,Depreciation!$A$6:$L$10,7,FALSE)/2,IF($I214&lt;J$3,VLOOKUP($H214,Depreciation!$A$6:$L$10,7,FALSE),0))</f>
        <v>0</v>
      </c>
      <c r="K214" s="361">
        <f>+IF($I214=K$3,VLOOKUP($H214,Depreciation!$A$6:$L$10,8,FALSE)/2,IF($I214&lt;K$3,VLOOKUP($H214,Depreciation!$A$6:$L$10,8,FALSE),0))</f>
        <v>1.5338181838063448E-2</v>
      </c>
      <c r="L214" s="361">
        <f>+IF($I214=L$3,VLOOKUP($H214,Depreciation!$A$6:$L$10,9,FALSE)/2,IF($I214&lt;L$3,VLOOKUP($H214,Depreciation!$A$6:$L$10,9,FALSE),0))</f>
        <v>3.0676363676126896E-2</v>
      </c>
      <c r="M214" s="361">
        <f>+IF($I214=M$3,VLOOKUP($H214,Depreciation!$A$6:$L$10,10,FALSE)/2,IF($I214&lt;M$3,VLOOKUP($H214,Depreciation!$A$6:$L$10,10,FALSE),0))</f>
        <v>3.0676363676126896E-2</v>
      </c>
      <c r="N214" s="361">
        <f>+IF($I214=N$3,VLOOKUP($H214,Depreciation!$A$6:$L$10,11,FALSE)/2,IF($I214&lt;N$3,VLOOKUP($H214,Depreciation!$A$6:$L$10,11,FALSE),0))</f>
        <v>3.0676363676126896E-2</v>
      </c>
      <c r="O214" s="361">
        <f>+IF($I214=O$3,VLOOKUP($H214,Depreciation!$A$6:$L$10,12,FALSE)/2,IF($I214&lt;O$3,VLOOKUP($H214,Depreciation!$A$6:$L$10,12,FALSE),0))</f>
        <v>3.0676363676126896E-2</v>
      </c>
      <c r="P214" s="362">
        <f t="shared" si="11"/>
        <v>684307.85465769586</v>
      </c>
      <c r="Q214" s="362">
        <f t="shared" si="12"/>
        <v>0</v>
      </c>
      <c r="R214" s="363">
        <f t="shared" si="13"/>
        <v>684307.85465769586</v>
      </c>
    </row>
    <row r="215" spans="1:18">
      <c r="A215" s="359" t="str">
        <f>'Func Future Lines 2015'!A215</f>
        <v>PPS</v>
      </c>
      <c r="B215" s="359" t="str">
        <f>'Func Future Lines 2015'!B215</f>
        <v>line 768L</v>
      </c>
      <c r="C215" s="359">
        <f>'Func Future Lines 2015'!C215</f>
        <v>1263</v>
      </c>
      <c r="D215" s="359">
        <f>'Func Future Lines 2015'!D215</f>
        <v>138</v>
      </c>
      <c r="E215" s="359">
        <f>'Func Future Lines 2015'!E215</f>
        <v>0</v>
      </c>
      <c r="F215" s="359" t="str">
        <f>'Func Future Lines 2015'!F215</f>
        <v>Red_Deer</v>
      </c>
      <c r="G215" s="359">
        <f>'Func Future Lines 2015'!G215</f>
        <v>763058.82352941227</v>
      </c>
      <c r="H215" s="359" t="str">
        <f>'Func Future Lines 2015'!H215</f>
        <v>AltaLink</v>
      </c>
      <c r="I215" s="359">
        <f>'Func Future Lines 2015'!I215</f>
        <v>2016</v>
      </c>
      <c r="J215" s="361">
        <f>+IF($I215=J$3,VLOOKUP($H215,Depreciation!$A$6:$L$10,7,FALSE)/2,IF($I215&lt;J$3,VLOOKUP($H215,Depreciation!$A$6:$L$10,7,FALSE),0))</f>
        <v>0</v>
      </c>
      <c r="K215" s="361">
        <f>+IF($I215=K$3,VLOOKUP($H215,Depreciation!$A$6:$L$10,8,FALSE)/2,IF($I215&lt;K$3,VLOOKUP($H215,Depreciation!$A$6:$L$10,8,FALSE),0))</f>
        <v>1.5338181838063448E-2</v>
      </c>
      <c r="L215" s="361">
        <f>+IF($I215=L$3,VLOOKUP($H215,Depreciation!$A$6:$L$10,9,FALSE)/2,IF($I215&lt;L$3,VLOOKUP($H215,Depreciation!$A$6:$L$10,9,FALSE),0))</f>
        <v>3.0676363676126896E-2</v>
      </c>
      <c r="M215" s="361">
        <f>+IF($I215=M$3,VLOOKUP($H215,Depreciation!$A$6:$L$10,10,FALSE)/2,IF($I215&lt;M$3,VLOOKUP($H215,Depreciation!$A$6:$L$10,10,FALSE),0))</f>
        <v>3.0676363676126896E-2</v>
      </c>
      <c r="N215" s="361">
        <f>+IF($I215=N$3,VLOOKUP($H215,Depreciation!$A$6:$L$10,11,FALSE)/2,IF($I215&lt;N$3,VLOOKUP($H215,Depreciation!$A$6:$L$10,11,FALSE),0))</f>
        <v>3.0676363676126896E-2</v>
      </c>
      <c r="O215" s="361">
        <f>+IF($I215=O$3,VLOOKUP($H215,Depreciation!$A$6:$L$10,12,FALSE)/2,IF($I215&lt;O$3,VLOOKUP($H215,Depreciation!$A$6:$L$10,12,FALSE),0))</f>
        <v>3.0676363676126896E-2</v>
      </c>
      <c r="P215" s="362">
        <f t="shared" si="11"/>
        <v>684307.85465769586</v>
      </c>
      <c r="Q215" s="362">
        <f t="shared" si="12"/>
        <v>0</v>
      </c>
      <c r="R215" s="363">
        <f t="shared" si="13"/>
        <v>684307.85465769586</v>
      </c>
    </row>
    <row r="216" spans="1:18">
      <c r="A216" s="359" t="str">
        <f>'Func Future Lines 2015'!A216</f>
        <v>PPS</v>
      </c>
      <c r="B216" s="359" t="str">
        <f>'Func Future Lines 2015'!B216</f>
        <v>line 778L</v>
      </c>
      <c r="C216" s="359">
        <f>'Func Future Lines 2015'!C216</f>
        <v>1263</v>
      </c>
      <c r="D216" s="359">
        <f>'Func Future Lines 2015'!D216</f>
        <v>138</v>
      </c>
      <c r="E216" s="359">
        <f>'Func Future Lines 2015'!E216</f>
        <v>0</v>
      </c>
      <c r="F216" s="359" t="str">
        <f>'Func Future Lines 2015'!F216</f>
        <v>Red_Deer</v>
      </c>
      <c r="G216" s="359">
        <f>'Func Future Lines 2015'!G216</f>
        <v>331764.70588235313</v>
      </c>
      <c r="H216" s="359" t="str">
        <f>'Func Future Lines 2015'!H216</f>
        <v>AltaLink</v>
      </c>
      <c r="I216" s="359">
        <f>'Func Future Lines 2015'!I216</f>
        <v>2016</v>
      </c>
      <c r="J216" s="361">
        <f>+IF($I216=J$3,VLOOKUP($H216,Depreciation!$A$6:$L$10,7,FALSE)/2,IF($I216&lt;J$3,VLOOKUP($H216,Depreciation!$A$6:$L$10,7,FALSE),0))</f>
        <v>0</v>
      </c>
      <c r="K216" s="361">
        <f>+IF($I216=K$3,VLOOKUP($H216,Depreciation!$A$6:$L$10,8,FALSE)/2,IF($I216&lt;K$3,VLOOKUP($H216,Depreciation!$A$6:$L$10,8,FALSE),0))</f>
        <v>1.5338181838063448E-2</v>
      </c>
      <c r="L216" s="361">
        <f>+IF($I216=L$3,VLOOKUP($H216,Depreciation!$A$6:$L$10,9,FALSE)/2,IF($I216&lt;L$3,VLOOKUP($H216,Depreciation!$A$6:$L$10,9,FALSE),0))</f>
        <v>3.0676363676126896E-2</v>
      </c>
      <c r="M216" s="361">
        <f>+IF($I216=M$3,VLOOKUP($H216,Depreciation!$A$6:$L$10,10,FALSE)/2,IF($I216&lt;M$3,VLOOKUP($H216,Depreciation!$A$6:$L$10,10,FALSE),0))</f>
        <v>3.0676363676126896E-2</v>
      </c>
      <c r="N216" s="361">
        <f>+IF($I216=N$3,VLOOKUP($H216,Depreciation!$A$6:$L$10,11,FALSE)/2,IF($I216&lt;N$3,VLOOKUP($H216,Depreciation!$A$6:$L$10,11,FALSE),0))</f>
        <v>3.0676363676126896E-2</v>
      </c>
      <c r="O216" s="361">
        <f>+IF($I216=O$3,VLOOKUP($H216,Depreciation!$A$6:$L$10,12,FALSE)/2,IF($I216&lt;O$3,VLOOKUP($H216,Depreciation!$A$6:$L$10,12,FALSE),0))</f>
        <v>3.0676363676126896E-2</v>
      </c>
      <c r="P216" s="362">
        <f t="shared" si="11"/>
        <v>297525.15419899818</v>
      </c>
      <c r="Q216" s="362">
        <f t="shared" si="12"/>
        <v>0</v>
      </c>
      <c r="R216" s="363">
        <f t="shared" si="13"/>
        <v>297525.15419899818</v>
      </c>
    </row>
    <row r="217" spans="1:18">
      <c r="A217" s="359" t="str">
        <f>'Func Future Lines 2015'!A217</f>
        <v>PPS</v>
      </c>
      <c r="B217" s="359" t="str">
        <f>'Func Future Lines 2015'!B217</f>
        <v>in and out of line 9L07 and 9L89 from lune 9L07 at Dawes Sub_180</v>
      </c>
      <c r="C217" s="359">
        <f>'Func Future Lines 2015'!C217</f>
        <v>1267</v>
      </c>
      <c r="D217" s="359">
        <f>'Func Future Lines 2015'!D217</f>
        <v>240</v>
      </c>
      <c r="E217" s="359">
        <f>'Func Future Lines 2015'!E217</f>
        <v>0</v>
      </c>
      <c r="F217" s="359">
        <f>'Func Future Lines 2015'!F217</f>
        <v>0</v>
      </c>
      <c r="G217" s="359">
        <f>'Func Future Lines 2015'!G217</f>
        <v>6518260.7904942483</v>
      </c>
      <c r="H217" s="359" t="str">
        <f>'Func Future Lines 2015'!H217</f>
        <v>ATCO</v>
      </c>
      <c r="I217" s="359">
        <f>'Func Future Lines 2015'!I217</f>
        <v>2015</v>
      </c>
      <c r="J217" s="361">
        <f>+IF($I217=J$3,VLOOKUP($H217,Depreciation!$A$6:$L$10,7,FALSE)/2,IF($I217&lt;J$3,VLOOKUP($H217,Depreciation!$A$6:$L$10,7,FALSE),0))</f>
        <v>1.239102859091515E-2</v>
      </c>
      <c r="K217" s="361">
        <f>+IF($I217=K$3,VLOOKUP($H217,Depreciation!$A$6:$L$10,8,FALSE)/2,IF($I217&lt;K$3,VLOOKUP($H217,Depreciation!$A$6:$L$10,8,FALSE),0))</f>
        <v>2.3943859731006666E-2</v>
      </c>
      <c r="L217" s="361">
        <f>+IF($I217=L$3,VLOOKUP($H217,Depreciation!$A$6:$L$10,9,FALSE)/2,IF($I217&lt;L$3,VLOOKUP($H217,Depreciation!$A$6:$L$10,9,FALSE),0))</f>
        <v>2.4002037926855919E-2</v>
      </c>
      <c r="M217" s="361">
        <f>+IF($I217=M$3,VLOOKUP($H217,Depreciation!$A$6:$L$10,10,FALSE)/2,IF($I217&lt;M$3,VLOOKUP($H217,Depreciation!$A$6:$L$10,10,FALSE),0))</f>
        <v>2.4002037926855919E-2</v>
      </c>
      <c r="N217" s="361">
        <f>+IF($I217=N$3,VLOOKUP($H217,Depreciation!$A$6:$L$10,11,FALSE)/2,IF($I217&lt;N$3,VLOOKUP($H217,Depreciation!$A$6:$L$10,11,FALSE),0))</f>
        <v>2.4002037926855919E-2</v>
      </c>
      <c r="O217" s="361">
        <f>+IF($I217=O$3,VLOOKUP($H217,Depreciation!$A$6:$L$10,12,FALSE)/2,IF($I217&lt;O$3,VLOOKUP($H217,Depreciation!$A$6:$L$10,12,FALSE),0))</f>
        <v>2.4002037926855919E-2</v>
      </c>
      <c r="P217" s="362">
        <f t="shared" si="11"/>
        <v>5841687.0739087053</v>
      </c>
      <c r="Q217" s="362">
        <f t="shared" si="12"/>
        <v>5841687.0739087053</v>
      </c>
      <c r="R217" s="363">
        <f t="shared" si="13"/>
        <v>0</v>
      </c>
    </row>
    <row r="218" spans="1:18">
      <c r="A218" s="359" t="str">
        <f>'Func Future Lines 2015'!A218</f>
        <v>PPS</v>
      </c>
      <c r="B218" s="359" t="str">
        <f>'Func Future Lines 2015'!B218</f>
        <v>new line 7L170_180</v>
      </c>
      <c r="C218" s="359">
        <f>'Func Future Lines 2015'!C218</f>
        <v>1267</v>
      </c>
      <c r="D218" s="359">
        <f>'Func Future Lines 2015'!D218</f>
        <v>144</v>
      </c>
      <c r="E218" s="359">
        <f>'Func Future Lines 2015'!E218</f>
        <v>0</v>
      </c>
      <c r="F218" s="359">
        <f>'Func Future Lines 2015'!F218</f>
        <v>0</v>
      </c>
      <c r="G218" s="359">
        <f>'Func Future Lines 2015'!G218</f>
        <v>3456133.2958460073</v>
      </c>
      <c r="H218" s="359" t="str">
        <f>'Func Future Lines 2015'!H218</f>
        <v>ATCO</v>
      </c>
      <c r="I218" s="359">
        <f>'Func Future Lines 2015'!I218</f>
        <v>2015</v>
      </c>
      <c r="J218" s="361">
        <f>+IF($I218=J$3,VLOOKUP($H218,Depreciation!$A$6:$L$10,7,FALSE)/2,IF($I218&lt;J$3,VLOOKUP($H218,Depreciation!$A$6:$L$10,7,FALSE),0))</f>
        <v>1.239102859091515E-2</v>
      </c>
      <c r="K218" s="361">
        <f>+IF($I218=K$3,VLOOKUP($H218,Depreciation!$A$6:$L$10,8,FALSE)/2,IF($I218&lt;K$3,VLOOKUP($H218,Depreciation!$A$6:$L$10,8,FALSE),0))</f>
        <v>2.3943859731006666E-2</v>
      </c>
      <c r="L218" s="361">
        <f>+IF($I218=L$3,VLOOKUP($H218,Depreciation!$A$6:$L$10,9,FALSE)/2,IF($I218&lt;L$3,VLOOKUP($H218,Depreciation!$A$6:$L$10,9,FALSE),0))</f>
        <v>2.4002037926855919E-2</v>
      </c>
      <c r="M218" s="361">
        <f>+IF($I218=M$3,VLOOKUP($H218,Depreciation!$A$6:$L$10,10,FALSE)/2,IF($I218&lt;M$3,VLOOKUP($H218,Depreciation!$A$6:$L$10,10,FALSE),0))</f>
        <v>2.4002037926855919E-2</v>
      </c>
      <c r="N218" s="361">
        <f>+IF($I218=N$3,VLOOKUP($H218,Depreciation!$A$6:$L$10,11,FALSE)/2,IF($I218&lt;N$3,VLOOKUP($H218,Depreciation!$A$6:$L$10,11,FALSE),0))</f>
        <v>2.4002037926855919E-2</v>
      </c>
      <c r="O218" s="361">
        <f>+IF($I218=O$3,VLOOKUP($H218,Depreciation!$A$6:$L$10,12,FALSE)/2,IF($I218&lt;O$3,VLOOKUP($H218,Depreciation!$A$6:$L$10,12,FALSE),0))</f>
        <v>2.4002037926855919E-2</v>
      </c>
      <c r="P218" s="362">
        <f t="shared" si="11"/>
        <v>3097398.1939311493</v>
      </c>
      <c r="Q218" s="362">
        <f t="shared" si="12"/>
        <v>0</v>
      </c>
      <c r="R218" s="363">
        <f t="shared" si="13"/>
        <v>3097398.1939311493</v>
      </c>
    </row>
    <row r="219" spans="1:18">
      <c r="A219" s="359" t="str">
        <f>'Func Future Lines 2015'!A219</f>
        <v>PPS</v>
      </c>
      <c r="B219" s="359" t="str">
        <f>'Func Future Lines 2015'!B219</f>
        <v>1135L/1136L preferred</v>
      </c>
      <c r="C219" s="359">
        <f>'Func Future Lines 2015'!C219</f>
        <v>1287</v>
      </c>
      <c r="D219" s="359">
        <f>'Func Future Lines 2015'!D219</f>
        <v>240</v>
      </c>
      <c r="E219" s="359">
        <f>'Func Future Lines 2015'!E219</f>
        <v>0</v>
      </c>
      <c r="F219" s="359">
        <f>'Func Future Lines 2015'!F219</f>
        <v>0</v>
      </c>
      <c r="G219" s="359">
        <f>'Func Future Lines 2015'!G219</f>
        <v>28342949.806082249</v>
      </c>
      <c r="H219" s="359" t="str">
        <f>'Func Future Lines 2015'!H219</f>
        <v>AltaLink</v>
      </c>
      <c r="I219" s="359">
        <f>'Func Future Lines 2015'!I219</f>
        <v>2019</v>
      </c>
      <c r="J219" s="361">
        <f>+IF($I219=J$3,VLOOKUP($H219,Depreciation!$A$6:$L$10,7,FALSE)/2,IF($I219&lt;J$3,VLOOKUP($H219,Depreciation!$A$6:$L$10,7,FALSE),0))</f>
        <v>0</v>
      </c>
      <c r="K219" s="361">
        <f>+IF($I219=K$3,VLOOKUP($H219,Depreciation!$A$6:$L$10,8,FALSE)/2,IF($I219&lt;K$3,VLOOKUP($H219,Depreciation!$A$6:$L$10,8,FALSE),0))</f>
        <v>0</v>
      </c>
      <c r="L219" s="361">
        <f>+IF($I219=L$3,VLOOKUP($H219,Depreciation!$A$6:$L$10,9,FALSE)/2,IF($I219&lt;L$3,VLOOKUP($H219,Depreciation!$A$6:$L$10,9,FALSE),0))</f>
        <v>0</v>
      </c>
      <c r="M219" s="361">
        <f>+IF($I219=M$3,VLOOKUP($H219,Depreciation!$A$6:$L$10,10,FALSE)/2,IF($I219&lt;M$3,VLOOKUP($H219,Depreciation!$A$6:$L$10,10,FALSE),0))</f>
        <v>0</v>
      </c>
      <c r="N219" s="361">
        <f>+IF($I219=N$3,VLOOKUP($H219,Depreciation!$A$6:$L$10,11,FALSE)/2,IF($I219&lt;N$3,VLOOKUP($H219,Depreciation!$A$6:$L$10,11,FALSE),0))</f>
        <v>1.5338181838063448E-2</v>
      </c>
      <c r="O219" s="361">
        <f>+IF($I219=O$3,VLOOKUP($H219,Depreciation!$A$6:$L$10,12,FALSE)/2,IF($I219&lt;O$3,VLOOKUP($H219,Depreciation!$A$6:$L$10,12,FALSE),0))</f>
        <v>3.0676363676126896E-2</v>
      </c>
      <c r="P219" s="362">
        <f t="shared" si="11"/>
        <v>27908220.488129452</v>
      </c>
      <c r="Q219" s="362">
        <f t="shared" si="12"/>
        <v>27908220.488129452</v>
      </c>
      <c r="R219" s="363">
        <f t="shared" si="13"/>
        <v>0</v>
      </c>
    </row>
    <row r="220" spans="1:18">
      <c r="A220" s="359" t="str">
        <f>'Func Future Lines 2015'!A220</f>
        <v>PPS</v>
      </c>
      <c r="B220" s="359" t="str">
        <f>'Func Future Lines 2015'!B220</f>
        <v>Line 9L930</v>
      </c>
      <c r="C220" s="359">
        <f>'Func Future Lines 2015'!C220</f>
        <v>1287</v>
      </c>
      <c r="D220" s="359">
        <f>'Func Future Lines 2015'!D220</f>
        <v>240</v>
      </c>
      <c r="E220" s="359">
        <f>'Func Future Lines 2015'!E220</f>
        <v>0</v>
      </c>
      <c r="F220" s="359">
        <f>'Func Future Lines 2015'!F220</f>
        <v>0</v>
      </c>
      <c r="G220" s="359">
        <f>'Func Future Lines 2015'!G220</f>
        <v>1903119.3553939713</v>
      </c>
      <c r="H220" s="359" t="str">
        <f>'Func Future Lines 2015'!H220</f>
        <v>ATCO</v>
      </c>
      <c r="I220" s="359">
        <f>'Func Future Lines 2015'!I220</f>
        <v>2019</v>
      </c>
      <c r="J220" s="361">
        <f>+IF($I220=J$3,VLOOKUP($H220,Depreciation!$A$6:$L$10,7,FALSE)/2,IF($I220&lt;J$3,VLOOKUP($H220,Depreciation!$A$6:$L$10,7,FALSE),0))</f>
        <v>0</v>
      </c>
      <c r="K220" s="361">
        <f>+IF($I220=K$3,VLOOKUP($H220,Depreciation!$A$6:$L$10,8,FALSE)/2,IF($I220&lt;K$3,VLOOKUP($H220,Depreciation!$A$6:$L$10,8,FALSE),0))</f>
        <v>0</v>
      </c>
      <c r="L220" s="361">
        <f>+IF($I220=L$3,VLOOKUP($H220,Depreciation!$A$6:$L$10,9,FALSE)/2,IF($I220&lt;L$3,VLOOKUP($H220,Depreciation!$A$6:$L$10,9,FALSE),0))</f>
        <v>0</v>
      </c>
      <c r="M220" s="361">
        <f>+IF($I220=M$3,VLOOKUP($H220,Depreciation!$A$6:$L$10,10,FALSE)/2,IF($I220&lt;M$3,VLOOKUP($H220,Depreciation!$A$6:$L$10,10,FALSE),0))</f>
        <v>0</v>
      </c>
      <c r="N220" s="361">
        <f>+IF($I220=N$3,VLOOKUP($H220,Depreciation!$A$6:$L$10,11,FALSE)/2,IF($I220&lt;N$3,VLOOKUP($H220,Depreciation!$A$6:$L$10,11,FALSE),0))</f>
        <v>1.2001018963427959E-2</v>
      </c>
      <c r="O220" s="361">
        <f>+IF($I220=O$3,VLOOKUP($H220,Depreciation!$A$6:$L$10,12,FALSE)/2,IF($I220&lt;O$3,VLOOKUP($H220,Depreciation!$A$6:$L$10,12,FALSE),0))</f>
        <v>2.4002037926855919E-2</v>
      </c>
      <c r="P220" s="362">
        <f t="shared" si="11"/>
        <v>1880279.9839202214</v>
      </c>
      <c r="Q220" s="362">
        <f t="shared" si="12"/>
        <v>1880279.9839202214</v>
      </c>
      <c r="R220" s="363">
        <f t="shared" si="13"/>
        <v>0</v>
      </c>
    </row>
    <row r="221" spans="1:18">
      <c r="A221" s="359" t="str">
        <f>'Func Future Lines 2015'!A221</f>
        <v>PPS</v>
      </c>
      <c r="B221" s="359" t="str">
        <f>'Func Future Lines 2015'!B221</f>
        <v>138kv s/c line 621L</v>
      </c>
      <c r="C221" s="359">
        <f>'Func Future Lines 2015'!C221</f>
        <v>1289</v>
      </c>
      <c r="D221" s="359">
        <f>'Func Future Lines 2015'!D221</f>
        <v>138</v>
      </c>
      <c r="E221" s="359">
        <f>'Func Future Lines 2015'!E221</f>
        <v>0</v>
      </c>
      <c r="F221" s="359" t="str">
        <f>'Func Future Lines 2015'!F221</f>
        <v>edmonton</v>
      </c>
      <c r="G221" s="359">
        <f>'Func Future Lines 2015'!G221</f>
        <v>1490787.1125611733</v>
      </c>
      <c r="H221" s="359" t="str">
        <f>'Func Future Lines 2015'!H221</f>
        <v>AltaLink</v>
      </c>
      <c r="I221" s="359">
        <f>'Func Future Lines 2015'!I221</f>
        <v>2017</v>
      </c>
      <c r="J221" s="361">
        <f>+IF($I221=J$3,VLOOKUP($H221,Depreciation!$A$6:$L$10,7,FALSE)/2,IF($I221&lt;J$3,VLOOKUP($H221,Depreciation!$A$6:$L$10,7,FALSE),0))</f>
        <v>0</v>
      </c>
      <c r="K221" s="361">
        <f>+IF($I221=K$3,VLOOKUP($H221,Depreciation!$A$6:$L$10,8,FALSE)/2,IF($I221&lt;K$3,VLOOKUP($H221,Depreciation!$A$6:$L$10,8,FALSE),0))</f>
        <v>0</v>
      </c>
      <c r="L221" s="361">
        <f>+IF($I221=L$3,VLOOKUP($H221,Depreciation!$A$6:$L$10,9,FALSE)/2,IF($I221&lt;L$3,VLOOKUP($H221,Depreciation!$A$6:$L$10,9,FALSE),0))</f>
        <v>1.5338181838063448E-2</v>
      </c>
      <c r="M221" s="361">
        <f>+IF($I221=M$3,VLOOKUP($H221,Depreciation!$A$6:$L$10,10,FALSE)/2,IF($I221&lt;M$3,VLOOKUP($H221,Depreciation!$A$6:$L$10,10,FALSE),0))</f>
        <v>3.0676363676126896E-2</v>
      </c>
      <c r="N221" s="361">
        <f>+IF($I221=N$3,VLOOKUP($H221,Depreciation!$A$6:$L$10,11,FALSE)/2,IF($I221&lt;N$3,VLOOKUP($H221,Depreciation!$A$6:$L$10,11,FALSE),0))</f>
        <v>3.0676363676126896E-2</v>
      </c>
      <c r="O221" s="361">
        <f>+IF($I221=O$3,VLOOKUP($H221,Depreciation!$A$6:$L$10,12,FALSE)/2,IF($I221&lt;O$3,VLOOKUP($H221,Depreciation!$A$6:$L$10,12,FALSE),0))</f>
        <v>3.0676363676126896E-2</v>
      </c>
      <c r="P221" s="362">
        <f t="shared" si="11"/>
        <v>1379241.5542064239</v>
      </c>
      <c r="Q221" s="362">
        <f t="shared" si="12"/>
        <v>0</v>
      </c>
      <c r="R221" s="363">
        <f t="shared" si="13"/>
        <v>1379241.5542064239</v>
      </c>
    </row>
    <row r="222" spans="1:18">
      <c r="A222" s="359" t="str">
        <f>'Func Future Lines 2015'!A222</f>
        <v>PPS</v>
      </c>
      <c r="B222" s="359" t="str">
        <f>'Func Future Lines 2015'!B222</f>
        <v xml:space="preserve">Rerouting 815L </v>
      </c>
      <c r="C222" s="359">
        <f>'Func Future Lines 2015'!C222</f>
        <v>1289</v>
      </c>
      <c r="D222" s="359">
        <f>'Func Future Lines 2015'!D222</f>
        <v>138</v>
      </c>
      <c r="E222" s="359">
        <f>'Func Future Lines 2015'!E222</f>
        <v>0</v>
      </c>
      <c r="F222" s="359" t="str">
        <f>'Func Future Lines 2015'!F222</f>
        <v>edmonton</v>
      </c>
      <c r="G222" s="359">
        <f>'Func Future Lines 2015'!G222</f>
        <v>437379.69004893926</v>
      </c>
      <c r="H222" s="359" t="str">
        <f>'Func Future Lines 2015'!H222</f>
        <v>AltaLink</v>
      </c>
      <c r="I222" s="359">
        <f>'Func Future Lines 2015'!I222</f>
        <v>2017</v>
      </c>
      <c r="J222" s="361">
        <f>+IF($I222=J$3,VLOOKUP($H222,Depreciation!$A$6:$L$10,7,FALSE)/2,IF($I222&lt;J$3,VLOOKUP($H222,Depreciation!$A$6:$L$10,7,FALSE),0))</f>
        <v>0</v>
      </c>
      <c r="K222" s="361">
        <f>+IF($I222=K$3,VLOOKUP($H222,Depreciation!$A$6:$L$10,8,FALSE)/2,IF($I222&lt;K$3,VLOOKUP($H222,Depreciation!$A$6:$L$10,8,FALSE),0))</f>
        <v>0</v>
      </c>
      <c r="L222" s="361">
        <f>+IF($I222=L$3,VLOOKUP($H222,Depreciation!$A$6:$L$10,9,FALSE)/2,IF($I222&lt;L$3,VLOOKUP($H222,Depreciation!$A$6:$L$10,9,FALSE),0))</f>
        <v>1.5338181838063448E-2</v>
      </c>
      <c r="M222" s="361">
        <f>+IF($I222=M$3,VLOOKUP($H222,Depreciation!$A$6:$L$10,10,FALSE)/2,IF($I222&lt;M$3,VLOOKUP($H222,Depreciation!$A$6:$L$10,10,FALSE),0))</f>
        <v>3.0676363676126896E-2</v>
      </c>
      <c r="N222" s="361">
        <f>+IF($I222=N$3,VLOOKUP($H222,Depreciation!$A$6:$L$10,11,FALSE)/2,IF($I222&lt;N$3,VLOOKUP($H222,Depreciation!$A$6:$L$10,11,FALSE),0))</f>
        <v>3.0676363676126896E-2</v>
      </c>
      <c r="O222" s="361">
        <f>+IF($I222=O$3,VLOOKUP($H222,Depreciation!$A$6:$L$10,12,FALSE)/2,IF($I222&lt;O$3,VLOOKUP($H222,Depreciation!$A$6:$L$10,12,FALSE),0))</f>
        <v>3.0676363676126896E-2</v>
      </c>
      <c r="P222" s="362">
        <f t="shared" si="11"/>
        <v>404653.5138374219</v>
      </c>
      <c r="Q222" s="362">
        <f t="shared" si="12"/>
        <v>0</v>
      </c>
      <c r="R222" s="363">
        <f t="shared" si="13"/>
        <v>404653.5138374219</v>
      </c>
    </row>
    <row r="223" spans="1:18">
      <c r="A223" s="359" t="str">
        <f>'Func Future Lines 2015'!A223</f>
        <v>PPS</v>
      </c>
      <c r="B223" s="359" t="str">
        <f>'Func Future Lines 2015'!B223</f>
        <v>7LA106 new line</v>
      </c>
      <c r="C223" s="359">
        <f>'Func Future Lines 2015'!C223</f>
        <v>1290</v>
      </c>
      <c r="D223" s="359">
        <f>'Func Future Lines 2015'!D223</f>
        <v>144</v>
      </c>
      <c r="E223" s="359">
        <f>'Func Future Lines 2015'!E223</f>
        <v>0</v>
      </c>
      <c r="F223" s="359" t="str">
        <f>'Func Future Lines 2015'!F223</f>
        <v>Peace_River</v>
      </c>
      <c r="G223" s="359">
        <f>'Func Future Lines 2015'!G223</f>
        <v>5368376.5324647576</v>
      </c>
      <c r="H223" s="359" t="str">
        <f>'Func Future Lines 2015'!H223</f>
        <v>ATCO</v>
      </c>
      <c r="I223" s="359">
        <f>'Func Future Lines 2015'!I223</f>
        <v>2018</v>
      </c>
      <c r="J223" s="361">
        <f>+IF($I223=J$3,VLOOKUP($H223,Depreciation!$A$6:$L$10,7,FALSE)/2,IF($I223&lt;J$3,VLOOKUP($H223,Depreciation!$A$6:$L$10,7,FALSE),0))</f>
        <v>0</v>
      </c>
      <c r="K223" s="361">
        <f>+IF($I223=K$3,VLOOKUP($H223,Depreciation!$A$6:$L$10,8,FALSE)/2,IF($I223&lt;K$3,VLOOKUP($H223,Depreciation!$A$6:$L$10,8,FALSE),0))</f>
        <v>0</v>
      </c>
      <c r="L223" s="361">
        <f>+IF($I223=L$3,VLOOKUP($H223,Depreciation!$A$6:$L$10,9,FALSE)/2,IF($I223&lt;L$3,VLOOKUP($H223,Depreciation!$A$6:$L$10,9,FALSE),0))</f>
        <v>0</v>
      </c>
      <c r="M223" s="361">
        <f>+IF($I223=M$3,VLOOKUP($H223,Depreciation!$A$6:$L$10,10,FALSE)/2,IF($I223&lt;M$3,VLOOKUP($H223,Depreciation!$A$6:$L$10,10,FALSE),0))</f>
        <v>1.2001018963427959E-2</v>
      </c>
      <c r="N223" s="361">
        <f>+IF($I223=N$3,VLOOKUP($H223,Depreciation!$A$6:$L$10,11,FALSE)/2,IF($I223&lt;N$3,VLOOKUP($H223,Depreciation!$A$6:$L$10,11,FALSE),0))</f>
        <v>2.4002037926855919E-2</v>
      </c>
      <c r="O223" s="361">
        <f>+IF($I223=O$3,VLOOKUP($H223,Depreciation!$A$6:$L$10,12,FALSE)/2,IF($I223&lt;O$3,VLOOKUP($H223,Depreciation!$A$6:$L$10,12,FALSE),0))</f>
        <v>2.4002037926855919E-2</v>
      </c>
      <c r="P223" s="362">
        <f t="shared" si="11"/>
        <v>5176644.921779071</v>
      </c>
      <c r="Q223" s="362">
        <f t="shared" si="12"/>
        <v>0</v>
      </c>
      <c r="R223" s="363">
        <f t="shared" si="13"/>
        <v>5176644.921779071</v>
      </c>
    </row>
    <row r="224" spans="1:18">
      <c r="A224" s="359" t="str">
        <f>'Func Future Lines 2015'!A224</f>
        <v>PPS</v>
      </c>
      <c r="B224" s="359" t="str">
        <f>'Func Future Lines 2015'!B224</f>
        <v>138-162.81L</v>
      </c>
      <c r="C224" s="359">
        <f>'Func Future Lines 2015'!C224</f>
        <v>1314</v>
      </c>
      <c r="D224" s="359">
        <f>'Func Future Lines 2015'!D224</f>
        <v>138</v>
      </c>
      <c r="E224" s="359">
        <f>'Func Future Lines 2015'!E224</f>
        <v>0</v>
      </c>
      <c r="F224" s="359" t="str">
        <f>'Func Future Lines 2015'!F224</f>
        <v>Fort McMurray</v>
      </c>
      <c r="G224" s="359">
        <f>'Func Future Lines 2015'!G224</f>
        <v>334297.27388090419</v>
      </c>
      <c r="H224" s="359" t="str">
        <f>'Func Future Lines 2015'!H224</f>
        <v>ENMAX</v>
      </c>
      <c r="I224" s="359">
        <f>'Func Future Lines 2015'!I224</f>
        <v>2015</v>
      </c>
      <c r="J224" s="361">
        <f>+IF($I224=J$3,VLOOKUP($H224,Depreciation!$A$6:$L$10,7,FALSE)/2,IF($I224&lt;J$3,VLOOKUP($H224,Depreciation!$A$6:$L$10,7,FALSE),0))</f>
        <v>1.3475179084025525E-2</v>
      </c>
      <c r="K224" s="361">
        <f>+IF($I224=K$3,VLOOKUP($H224,Depreciation!$A$6:$L$10,8,FALSE)/2,IF($I224&lt;K$3,VLOOKUP($H224,Depreciation!$A$6:$L$10,8,FALSE),0))</f>
        <v>2.6950358168051049E-2</v>
      </c>
      <c r="L224" s="361">
        <f>+IF($I224=L$3,VLOOKUP($H224,Depreciation!$A$6:$L$10,9,FALSE)/2,IF($I224&lt;L$3,VLOOKUP($H224,Depreciation!$A$6:$L$10,9,FALSE),0))</f>
        <v>2.6950358168051049E-2</v>
      </c>
      <c r="M224" s="361">
        <f>+IF($I224=M$3,VLOOKUP($H224,Depreciation!$A$6:$L$10,10,FALSE)/2,IF($I224&lt;M$3,VLOOKUP($H224,Depreciation!$A$6:$L$10,10,FALSE),0))</f>
        <v>2.6950358168051049E-2</v>
      </c>
      <c r="N224" s="361">
        <f>+IF($I224=N$3,VLOOKUP($H224,Depreciation!$A$6:$L$10,11,FALSE)/2,IF($I224&lt;N$3,VLOOKUP($H224,Depreciation!$A$6:$L$10,11,FALSE),0))</f>
        <v>2.6950358168051049E-2</v>
      </c>
      <c r="O224" s="361">
        <f>+IF($I224=O$3,VLOOKUP($H224,Depreciation!$A$6:$L$10,12,FALSE)/2,IF($I224&lt;O$3,VLOOKUP($H224,Depreciation!$A$6:$L$10,12,FALSE),0))</f>
        <v>2.6950358168051049E-2</v>
      </c>
      <c r="P224" s="362">
        <f t="shared" si="11"/>
        <v>295652.0128491075</v>
      </c>
      <c r="Q224" s="362">
        <f t="shared" si="12"/>
        <v>0</v>
      </c>
      <c r="R224" s="363">
        <f t="shared" si="13"/>
        <v>295652.0128491075</v>
      </c>
    </row>
    <row r="225" spans="1:18">
      <c r="A225" s="359" t="str">
        <f>'Func Future Lines 2015'!A225</f>
        <v>PPS</v>
      </c>
      <c r="B225" s="359" t="str">
        <f>'Func Future Lines 2015'!B225</f>
        <v>Two 240kV lines 9L124 | 9L139</v>
      </c>
      <c r="C225" s="359">
        <f>'Func Future Lines 2015'!C225</f>
        <v>1321</v>
      </c>
      <c r="D225" s="359">
        <f>'Func Future Lines 2015'!D225</f>
        <v>240</v>
      </c>
      <c r="E225" s="359">
        <f>'Func Future Lines 2015'!E225</f>
        <v>0</v>
      </c>
      <c r="F225" s="359" t="str">
        <f>'Func Future Lines 2015'!F225</f>
        <v>Peace_River</v>
      </c>
      <c r="G225" s="359">
        <f>'Func Future Lines 2015'!G225</f>
        <v>39192318.192983381</v>
      </c>
      <c r="H225" s="359" t="str">
        <f>'Func Future Lines 2015'!H225</f>
        <v>ATCO</v>
      </c>
      <c r="I225" s="359">
        <f>'Func Future Lines 2015'!I225</f>
        <v>2017</v>
      </c>
      <c r="J225" s="361">
        <f>+IF($I225=J$3,VLOOKUP($H225,Depreciation!$A$6:$L$10,7,FALSE)/2,IF($I225&lt;J$3,VLOOKUP($H225,Depreciation!$A$6:$L$10,7,FALSE),0))</f>
        <v>0</v>
      </c>
      <c r="K225" s="361">
        <f>+IF($I225=K$3,VLOOKUP($H225,Depreciation!$A$6:$L$10,8,FALSE)/2,IF($I225&lt;K$3,VLOOKUP($H225,Depreciation!$A$6:$L$10,8,FALSE),0))</f>
        <v>0</v>
      </c>
      <c r="L225" s="361">
        <f>+IF($I225=L$3,VLOOKUP($H225,Depreciation!$A$6:$L$10,9,FALSE)/2,IF($I225&lt;L$3,VLOOKUP($H225,Depreciation!$A$6:$L$10,9,FALSE),0))</f>
        <v>1.2001018963427959E-2</v>
      </c>
      <c r="M225" s="361">
        <f>+IF($I225=M$3,VLOOKUP($H225,Depreciation!$A$6:$L$10,10,FALSE)/2,IF($I225&lt;M$3,VLOOKUP($H225,Depreciation!$A$6:$L$10,10,FALSE),0))</f>
        <v>2.4002037926855919E-2</v>
      </c>
      <c r="N225" s="361">
        <f>+IF($I225=N$3,VLOOKUP($H225,Depreciation!$A$6:$L$10,11,FALSE)/2,IF($I225&lt;N$3,VLOOKUP($H225,Depreciation!$A$6:$L$10,11,FALSE),0))</f>
        <v>2.4002037926855919E-2</v>
      </c>
      <c r="O225" s="361">
        <f>+IF($I225=O$3,VLOOKUP($H225,Depreciation!$A$6:$L$10,12,FALSE)/2,IF($I225&lt;O$3,VLOOKUP($H225,Depreciation!$A$6:$L$10,12,FALSE),0))</f>
        <v>2.4002037926855919E-2</v>
      </c>
      <c r="P225" s="362">
        <f t="shared" si="11"/>
        <v>36885465.675899401</v>
      </c>
      <c r="Q225" s="362">
        <f t="shared" si="12"/>
        <v>36885465.675899401</v>
      </c>
      <c r="R225" s="363">
        <f t="shared" si="13"/>
        <v>0</v>
      </c>
    </row>
    <row r="226" spans="1:18">
      <c r="A226" s="359" t="str">
        <f>'Func Future Lines 2015'!A226</f>
        <v>PPS</v>
      </c>
      <c r="B226" s="359" t="str">
        <f>'Func Future Lines 2015'!B226</f>
        <v>675L</v>
      </c>
      <c r="C226" s="359">
        <f>'Func Future Lines 2015'!C226</f>
        <v>1326</v>
      </c>
      <c r="D226" s="359">
        <f>'Func Future Lines 2015'!D226</f>
        <v>138</v>
      </c>
      <c r="E226" s="359">
        <f>'Func Future Lines 2015'!E226</f>
        <v>0</v>
      </c>
      <c r="F226" s="359">
        <f>'Func Future Lines 2015'!F226</f>
        <v>0</v>
      </c>
      <c r="G226" s="359">
        <f>'Func Future Lines 2015'!G226</f>
        <v>174412.28457799382</v>
      </c>
      <c r="H226" s="359" t="str">
        <f>'Func Future Lines 2015'!H226</f>
        <v>AltaLink</v>
      </c>
      <c r="I226" s="359">
        <f>'Func Future Lines 2015'!I226</f>
        <v>2017</v>
      </c>
      <c r="J226" s="361">
        <f>+IF($I226=J$3,VLOOKUP($H226,Depreciation!$A$6:$L$10,7,FALSE)/2,IF($I226&lt;J$3,VLOOKUP($H226,Depreciation!$A$6:$L$10,7,FALSE),0))</f>
        <v>0</v>
      </c>
      <c r="K226" s="361">
        <f>+IF($I226=K$3,VLOOKUP($H226,Depreciation!$A$6:$L$10,8,FALSE)/2,IF($I226&lt;K$3,VLOOKUP($H226,Depreciation!$A$6:$L$10,8,FALSE),0))</f>
        <v>0</v>
      </c>
      <c r="L226" s="361">
        <f>+IF($I226=L$3,VLOOKUP($H226,Depreciation!$A$6:$L$10,9,FALSE)/2,IF($I226&lt;L$3,VLOOKUP($H226,Depreciation!$A$6:$L$10,9,FALSE),0))</f>
        <v>1.5338181838063448E-2</v>
      </c>
      <c r="M226" s="361">
        <f>+IF($I226=M$3,VLOOKUP($H226,Depreciation!$A$6:$L$10,10,FALSE)/2,IF($I226&lt;M$3,VLOOKUP($H226,Depreciation!$A$6:$L$10,10,FALSE),0))</f>
        <v>3.0676363676126896E-2</v>
      </c>
      <c r="N226" s="361">
        <f>+IF($I226=N$3,VLOOKUP($H226,Depreciation!$A$6:$L$10,11,FALSE)/2,IF($I226&lt;N$3,VLOOKUP($H226,Depreciation!$A$6:$L$10,11,FALSE),0))</f>
        <v>3.0676363676126896E-2</v>
      </c>
      <c r="O226" s="361">
        <f>+IF($I226=O$3,VLOOKUP($H226,Depreciation!$A$6:$L$10,12,FALSE)/2,IF($I226&lt;O$3,VLOOKUP($H226,Depreciation!$A$6:$L$10,12,FALSE),0))</f>
        <v>3.0676363676126896E-2</v>
      </c>
      <c r="P226" s="362">
        <f t="shared" si="11"/>
        <v>161362.18808651276</v>
      </c>
      <c r="Q226" s="362">
        <f t="shared" si="12"/>
        <v>0</v>
      </c>
      <c r="R226" s="363">
        <f t="shared" si="13"/>
        <v>161362.18808651276</v>
      </c>
    </row>
    <row r="227" spans="1:18">
      <c r="A227" s="359" t="str">
        <f>'Func Future Lines 2015'!A227</f>
        <v>PPS</v>
      </c>
      <c r="B227" s="359" t="str">
        <f>'Func Future Lines 2015'!B227</f>
        <v>880L</v>
      </c>
      <c r="C227" s="359">
        <f>'Func Future Lines 2015'!C227</f>
        <v>1326</v>
      </c>
      <c r="D227" s="359">
        <f>'Func Future Lines 2015'!D227</f>
        <v>138</v>
      </c>
      <c r="E227" s="359">
        <f>'Func Future Lines 2015'!E227</f>
        <v>0</v>
      </c>
      <c r="F227" s="359">
        <f>'Func Future Lines 2015'!F227</f>
        <v>0</v>
      </c>
      <c r="G227" s="359">
        <f>'Func Future Lines 2015'!G227</f>
        <v>450149.80114891741</v>
      </c>
      <c r="H227" s="359" t="str">
        <f>'Func Future Lines 2015'!H227</f>
        <v>AltaLink</v>
      </c>
      <c r="I227" s="359">
        <f>'Func Future Lines 2015'!I227</f>
        <v>2017</v>
      </c>
      <c r="J227" s="361">
        <f>+IF($I227=J$3,VLOOKUP($H227,Depreciation!$A$6:$L$10,7,FALSE)/2,IF($I227&lt;J$3,VLOOKUP($H227,Depreciation!$A$6:$L$10,7,FALSE),0))</f>
        <v>0</v>
      </c>
      <c r="K227" s="361">
        <f>+IF($I227=K$3,VLOOKUP($H227,Depreciation!$A$6:$L$10,8,FALSE)/2,IF($I227&lt;K$3,VLOOKUP($H227,Depreciation!$A$6:$L$10,8,FALSE),0))</f>
        <v>0</v>
      </c>
      <c r="L227" s="361">
        <f>+IF($I227=L$3,VLOOKUP($H227,Depreciation!$A$6:$L$10,9,FALSE)/2,IF($I227&lt;L$3,VLOOKUP($H227,Depreciation!$A$6:$L$10,9,FALSE),0))</f>
        <v>1.5338181838063448E-2</v>
      </c>
      <c r="M227" s="361">
        <f>+IF($I227=M$3,VLOOKUP($H227,Depreciation!$A$6:$L$10,10,FALSE)/2,IF($I227&lt;M$3,VLOOKUP($H227,Depreciation!$A$6:$L$10,10,FALSE),0))</f>
        <v>3.0676363676126896E-2</v>
      </c>
      <c r="N227" s="361">
        <f>+IF($I227=N$3,VLOOKUP($H227,Depreciation!$A$6:$L$10,11,FALSE)/2,IF($I227&lt;N$3,VLOOKUP($H227,Depreciation!$A$6:$L$10,11,FALSE),0))</f>
        <v>3.0676363676126896E-2</v>
      </c>
      <c r="O227" s="361">
        <f>+IF($I227=O$3,VLOOKUP($H227,Depreciation!$A$6:$L$10,12,FALSE)/2,IF($I227&lt;O$3,VLOOKUP($H227,Depreciation!$A$6:$L$10,12,FALSE),0))</f>
        <v>3.0676363676126896E-2</v>
      </c>
      <c r="P227" s="362">
        <f t="shared" si="11"/>
        <v>416468.12353757099</v>
      </c>
      <c r="Q227" s="362">
        <f t="shared" si="12"/>
        <v>0</v>
      </c>
      <c r="R227" s="363">
        <f t="shared" si="13"/>
        <v>416468.12353757099</v>
      </c>
    </row>
    <row r="228" spans="1:18">
      <c r="A228" s="359" t="str">
        <f>'Func Future Lines 2015'!A228</f>
        <v>PPS</v>
      </c>
      <c r="B228" s="359" t="str">
        <f>'Func Future Lines 2015'!B228</f>
        <v>882L</v>
      </c>
      <c r="C228" s="359">
        <f>'Func Future Lines 2015'!C228</f>
        <v>1326</v>
      </c>
      <c r="D228" s="359">
        <f>'Func Future Lines 2015'!D228</f>
        <v>138</v>
      </c>
      <c r="E228" s="359">
        <f>'Func Future Lines 2015'!E228</f>
        <v>0</v>
      </c>
      <c r="F228" s="359">
        <f>'Func Future Lines 2015'!F228</f>
        <v>0</v>
      </c>
      <c r="G228" s="359">
        <f>'Func Future Lines 2015'!G228</f>
        <v>292348.21034025634</v>
      </c>
      <c r="H228" s="359" t="str">
        <f>'Func Future Lines 2015'!H228</f>
        <v>AltaLink</v>
      </c>
      <c r="I228" s="359">
        <f>'Func Future Lines 2015'!I228</f>
        <v>2017</v>
      </c>
      <c r="J228" s="361">
        <f>+IF($I228=J$3,VLOOKUP($H228,Depreciation!$A$6:$L$10,7,FALSE)/2,IF($I228&lt;J$3,VLOOKUP($H228,Depreciation!$A$6:$L$10,7,FALSE),0))</f>
        <v>0</v>
      </c>
      <c r="K228" s="361">
        <f>+IF($I228=K$3,VLOOKUP($H228,Depreciation!$A$6:$L$10,8,FALSE)/2,IF($I228&lt;K$3,VLOOKUP($H228,Depreciation!$A$6:$L$10,8,FALSE),0))</f>
        <v>0</v>
      </c>
      <c r="L228" s="361">
        <f>+IF($I228=L$3,VLOOKUP($H228,Depreciation!$A$6:$L$10,9,FALSE)/2,IF($I228&lt;L$3,VLOOKUP($H228,Depreciation!$A$6:$L$10,9,FALSE),0))</f>
        <v>1.5338181838063448E-2</v>
      </c>
      <c r="M228" s="361">
        <f>+IF($I228=M$3,VLOOKUP($H228,Depreciation!$A$6:$L$10,10,FALSE)/2,IF($I228&lt;M$3,VLOOKUP($H228,Depreciation!$A$6:$L$10,10,FALSE),0))</f>
        <v>3.0676363676126896E-2</v>
      </c>
      <c r="N228" s="361">
        <f>+IF($I228=N$3,VLOOKUP($H228,Depreciation!$A$6:$L$10,11,FALSE)/2,IF($I228&lt;N$3,VLOOKUP($H228,Depreciation!$A$6:$L$10,11,FALSE),0))</f>
        <v>3.0676363676126896E-2</v>
      </c>
      <c r="O228" s="361">
        <f>+IF($I228=O$3,VLOOKUP($H228,Depreciation!$A$6:$L$10,12,FALSE)/2,IF($I228&lt;O$3,VLOOKUP($H228,Depreciation!$A$6:$L$10,12,FALSE),0))</f>
        <v>3.0676363676126896E-2</v>
      </c>
      <c r="P228" s="362">
        <f t="shared" si="11"/>
        <v>270473.76288786897</v>
      </c>
      <c r="Q228" s="362">
        <f t="shared" si="12"/>
        <v>0</v>
      </c>
      <c r="R228" s="363">
        <f t="shared" si="13"/>
        <v>270473.76288786897</v>
      </c>
    </row>
    <row r="229" spans="1:18">
      <c r="A229" s="359" t="str">
        <f>'Func Future Lines 2015'!A229</f>
        <v>PPS</v>
      </c>
      <c r="B229" s="359" t="str">
        <f>'Func Future Lines 2015'!B229</f>
        <v>New 100m 475L_(v1)</v>
      </c>
      <c r="C229" s="359">
        <f>'Func Future Lines 2015'!C229</f>
        <v>1336</v>
      </c>
      <c r="D229" s="359">
        <f>'Func Future Lines 2015'!D229</f>
        <v>138</v>
      </c>
      <c r="E229" s="359">
        <f>'Func Future Lines 2015'!E229</f>
        <v>0</v>
      </c>
      <c r="F229" s="359" t="str">
        <f>'Func Future Lines 2015'!F229</f>
        <v>Strathmore_Blackie</v>
      </c>
      <c r="G229" s="359">
        <f>'Func Future Lines 2015'!G229</f>
        <v>623924.51330949506</v>
      </c>
      <c r="H229" s="359" t="str">
        <f>'Func Future Lines 2015'!H229</f>
        <v>AltaLink</v>
      </c>
      <c r="I229" s="359">
        <f>'Func Future Lines 2015'!I229</f>
        <v>2018</v>
      </c>
      <c r="J229" s="361">
        <f>+IF($I229=J$3,VLOOKUP($H229,Depreciation!$A$6:$L$10,7,FALSE)/2,IF($I229&lt;J$3,VLOOKUP($H229,Depreciation!$A$6:$L$10,7,FALSE),0))</f>
        <v>0</v>
      </c>
      <c r="K229" s="361">
        <f>+IF($I229=K$3,VLOOKUP($H229,Depreciation!$A$6:$L$10,8,FALSE)/2,IF($I229&lt;K$3,VLOOKUP($H229,Depreciation!$A$6:$L$10,8,FALSE),0))</f>
        <v>0</v>
      </c>
      <c r="L229" s="361">
        <f>+IF($I229=L$3,VLOOKUP($H229,Depreciation!$A$6:$L$10,9,FALSE)/2,IF($I229&lt;L$3,VLOOKUP($H229,Depreciation!$A$6:$L$10,9,FALSE),0))</f>
        <v>0</v>
      </c>
      <c r="M229" s="361">
        <f>+IF($I229=M$3,VLOOKUP($H229,Depreciation!$A$6:$L$10,10,FALSE)/2,IF($I229&lt;M$3,VLOOKUP($H229,Depreciation!$A$6:$L$10,10,FALSE),0))</f>
        <v>1.5338181838063448E-2</v>
      </c>
      <c r="N229" s="361">
        <f>+IF($I229=N$3,VLOOKUP($H229,Depreciation!$A$6:$L$10,11,FALSE)/2,IF($I229&lt;N$3,VLOOKUP($H229,Depreciation!$A$6:$L$10,11,FALSE),0))</f>
        <v>3.0676363676126896E-2</v>
      </c>
      <c r="O229" s="361">
        <f>+IF($I229=O$3,VLOOKUP($H229,Depreciation!$A$6:$L$10,12,FALSE)/2,IF($I229&lt;O$3,VLOOKUP($H229,Depreciation!$A$6:$L$10,12,FALSE),0))</f>
        <v>3.0676363676126896E-2</v>
      </c>
      <c r="P229" s="362">
        <f t="shared" si="11"/>
        <v>595508.47913440317</v>
      </c>
      <c r="Q229" s="362">
        <f t="shared" si="12"/>
        <v>0</v>
      </c>
      <c r="R229" s="363">
        <f t="shared" si="13"/>
        <v>595508.47913440317</v>
      </c>
    </row>
    <row r="230" spans="1:18">
      <c r="A230" s="359" t="str">
        <f>'Func Future Lines 2015'!A230</f>
        <v>PPS</v>
      </c>
      <c r="B230" s="359" t="str">
        <f>'Func Future Lines 2015'!B230</f>
        <v>line 1071L</v>
      </c>
      <c r="C230" s="359">
        <f>'Func Future Lines 2015'!C230</f>
        <v>1343</v>
      </c>
      <c r="D230" s="359">
        <f>'Func Future Lines 2015'!D230</f>
        <v>240</v>
      </c>
      <c r="E230" s="359">
        <f>'Func Future Lines 2015'!E230</f>
        <v>0</v>
      </c>
      <c r="F230" s="359">
        <f>'Func Future Lines 2015'!F230</f>
        <v>0</v>
      </c>
      <c r="G230" s="359">
        <f>'Func Future Lines 2015'!G230</f>
        <v>19796706.182093833</v>
      </c>
      <c r="H230" s="359" t="str">
        <f>'Func Future Lines 2015'!H230</f>
        <v>AltaLink</v>
      </c>
      <c r="I230" s="359">
        <f>'Func Future Lines 2015'!I230</f>
        <v>2015</v>
      </c>
      <c r="J230" s="361">
        <f>+IF($I230=J$3,VLOOKUP($H230,Depreciation!$A$6:$L$10,7,FALSE)/2,IF($I230&lt;J$3,VLOOKUP($H230,Depreciation!$A$6:$L$10,7,FALSE),0))</f>
        <v>1.595020804044691E-2</v>
      </c>
      <c r="K230" s="361">
        <f>+IF($I230=K$3,VLOOKUP($H230,Depreciation!$A$6:$L$10,8,FALSE)/2,IF($I230&lt;K$3,VLOOKUP($H230,Depreciation!$A$6:$L$10,8,FALSE),0))</f>
        <v>3.0676363676126896E-2</v>
      </c>
      <c r="L230" s="361">
        <f>+IF($I230=L$3,VLOOKUP($H230,Depreciation!$A$6:$L$10,9,FALSE)/2,IF($I230&lt;L$3,VLOOKUP($H230,Depreciation!$A$6:$L$10,9,FALSE),0))</f>
        <v>3.0676363676126896E-2</v>
      </c>
      <c r="M230" s="361">
        <f>+IF($I230=M$3,VLOOKUP($H230,Depreciation!$A$6:$L$10,10,FALSE)/2,IF($I230&lt;M$3,VLOOKUP($H230,Depreciation!$A$6:$L$10,10,FALSE),0))</f>
        <v>3.0676363676126896E-2</v>
      </c>
      <c r="N230" s="361">
        <f>+IF($I230=N$3,VLOOKUP($H230,Depreciation!$A$6:$L$10,11,FALSE)/2,IF($I230&lt;N$3,VLOOKUP($H230,Depreciation!$A$6:$L$10,11,FALSE),0))</f>
        <v>3.0676363676126896E-2</v>
      </c>
      <c r="O230" s="361">
        <f>+IF($I230=O$3,VLOOKUP($H230,Depreciation!$A$6:$L$10,12,FALSE)/2,IF($I230&lt;O$3,VLOOKUP($H230,Depreciation!$A$6:$L$10,12,FALSE),0))</f>
        <v>3.0676363676126896E-2</v>
      </c>
      <c r="P230" s="362">
        <f t="shared" si="11"/>
        <v>17198288.214259494</v>
      </c>
      <c r="Q230" s="362">
        <f t="shared" si="12"/>
        <v>17198288.214259494</v>
      </c>
      <c r="R230" s="363">
        <f t="shared" si="13"/>
        <v>0</v>
      </c>
    </row>
    <row r="231" spans="1:18">
      <c r="A231" s="359" t="str">
        <f>'Func Future Lines 2015'!A231</f>
        <v>PPS</v>
      </c>
      <c r="B231" s="359" t="str">
        <f>'Func Future Lines 2015'!B231</f>
        <v>line 624L</v>
      </c>
      <c r="C231" s="359">
        <f>'Func Future Lines 2015'!C231</f>
        <v>1343</v>
      </c>
      <c r="D231" s="359">
        <f>'Func Future Lines 2015'!D231</f>
        <v>138</v>
      </c>
      <c r="E231" s="359">
        <f>'Func Future Lines 2015'!E231</f>
        <v>0</v>
      </c>
      <c r="F231" s="359">
        <f>'Func Future Lines 2015'!F231</f>
        <v>0</v>
      </c>
      <c r="G231" s="359">
        <f>'Func Future Lines 2015'!G231</f>
        <v>3112543.7968499968</v>
      </c>
      <c r="H231" s="359" t="str">
        <f>'Func Future Lines 2015'!H231</f>
        <v>AltaLink</v>
      </c>
      <c r="I231" s="359">
        <f>'Func Future Lines 2015'!I231</f>
        <v>2015</v>
      </c>
      <c r="J231" s="361">
        <f>+IF($I231=J$3,VLOOKUP($H231,Depreciation!$A$6:$L$10,7,FALSE)/2,IF($I231&lt;J$3,VLOOKUP($H231,Depreciation!$A$6:$L$10,7,FALSE),0))</f>
        <v>1.595020804044691E-2</v>
      </c>
      <c r="K231" s="361">
        <f>+IF($I231=K$3,VLOOKUP($H231,Depreciation!$A$6:$L$10,8,FALSE)/2,IF($I231&lt;K$3,VLOOKUP($H231,Depreciation!$A$6:$L$10,8,FALSE),0))</f>
        <v>3.0676363676126896E-2</v>
      </c>
      <c r="L231" s="361">
        <f>+IF($I231=L$3,VLOOKUP($H231,Depreciation!$A$6:$L$10,9,FALSE)/2,IF($I231&lt;L$3,VLOOKUP($H231,Depreciation!$A$6:$L$10,9,FALSE),0))</f>
        <v>3.0676363676126896E-2</v>
      </c>
      <c r="M231" s="361">
        <f>+IF($I231=M$3,VLOOKUP($H231,Depreciation!$A$6:$L$10,10,FALSE)/2,IF($I231&lt;M$3,VLOOKUP($H231,Depreciation!$A$6:$L$10,10,FALSE),0))</f>
        <v>3.0676363676126896E-2</v>
      </c>
      <c r="N231" s="361">
        <f>+IF($I231=N$3,VLOOKUP($H231,Depreciation!$A$6:$L$10,11,FALSE)/2,IF($I231&lt;N$3,VLOOKUP($H231,Depreciation!$A$6:$L$10,11,FALSE),0))</f>
        <v>3.0676363676126896E-2</v>
      </c>
      <c r="O231" s="361">
        <f>+IF($I231=O$3,VLOOKUP($H231,Depreciation!$A$6:$L$10,12,FALSE)/2,IF($I231&lt;O$3,VLOOKUP($H231,Depreciation!$A$6:$L$10,12,FALSE),0))</f>
        <v>3.0676363676126896E-2</v>
      </c>
      <c r="P231" s="362">
        <f t="shared" si="11"/>
        <v>2704006.6567311175</v>
      </c>
      <c r="Q231" s="362">
        <f t="shared" si="12"/>
        <v>0</v>
      </c>
      <c r="R231" s="363">
        <f t="shared" si="13"/>
        <v>2704006.6567311175</v>
      </c>
    </row>
    <row r="232" spans="1:18">
      <c r="A232" s="359" t="str">
        <f>'Func Future Lines 2015'!A232</f>
        <v>PPS</v>
      </c>
      <c r="B232" s="359" t="str">
        <f>'Func Future Lines 2015'!B232</f>
        <v>line 893AL</v>
      </c>
      <c r="C232" s="359">
        <f>'Func Future Lines 2015'!C232</f>
        <v>1343</v>
      </c>
      <c r="D232" s="359">
        <f>'Func Future Lines 2015'!D232</f>
        <v>138</v>
      </c>
      <c r="E232" s="359">
        <f>'Func Future Lines 2015'!E232</f>
        <v>0</v>
      </c>
      <c r="F232" s="359">
        <f>'Func Future Lines 2015'!F232</f>
        <v>0</v>
      </c>
      <c r="G232" s="359">
        <f>'Func Future Lines 2015'!G232</f>
        <v>39755.748336561956</v>
      </c>
      <c r="H232" s="359" t="str">
        <f>'Func Future Lines 2015'!H232</f>
        <v>AltaLink</v>
      </c>
      <c r="I232" s="359">
        <f>'Func Future Lines 2015'!I232</f>
        <v>2015</v>
      </c>
      <c r="J232" s="361">
        <f>+IF($I232=J$3,VLOOKUP($H232,Depreciation!$A$6:$L$10,7,FALSE)/2,IF($I232&lt;J$3,VLOOKUP($H232,Depreciation!$A$6:$L$10,7,FALSE),0))</f>
        <v>1.595020804044691E-2</v>
      </c>
      <c r="K232" s="361">
        <f>+IF($I232=K$3,VLOOKUP($H232,Depreciation!$A$6:$L$10,8,FALSE)/2,IF($I232&lt;K$3,VLOOKUP($H232,Depreciation!$A$6:$L$10,8,FALSE),0))</f>
        <v>3.0676363676126896E-2</v>
      </c>
      <c r="L232" s="361">
        <f>+IF($I232=L$3,VLOOKUP($H232,Depreciation!$A$6:$L$10,9,FALSE)/2,IF($I232&lt;L$3,VLOOKUP($H232,Depreciation!$A$6:$L$10,9,FALSE),0))</f>
        <v>3.0676363676126896E-2</v>
      </c>
      <c r="M232" s="361">
        <f>+IF($I232=M$3,VLOOKUP($H232,Depreciation!$A$6:$L$10,10,FALSE)/2,IF($I232&lt;M$3,VLOOKUP($H232,Depreciation!$A$6:$L$10,10,FALSE),0))</f>
        <v>3.0676363676126896E-2</v>
      </c>
      <c r="N232" s="361">
        <f>+IF($I232=N$3,VLOOKUP($H232,Depreciation!$A$6:$L$10,11,FALSE)/2,IF($I232&lt;N$3,VLOOKUP($H232,Depreciation!$A$6:$L$10,11,FALSE),0))</f>
        <v>3.0676363676126896E-2</v>
      </c>
      <c r="O232" s="361">
        <f>+IF($I232=O$3,VLOOKUP($H232,Depreciation!$A$6:$L$10,12,FALSE)/2,IF($I232&lt;O$3,VLOOKUP($H232,Depreciation!$A$6:$L$10,12,FALSE),0))</f>
        <v>3.0676363676126896E-2</v>
      </c>
      <c r="P232" s="362">
        <f t="shared" si="11"/>
        <v>34537.604982196281</v>
      </c>
      <c r="Q232" s="362">
        <f t="shared" si="12"/>
        <v>0</v>
      </c>
      <c r="R232" s="363">
        <f t="shared" si="13"/>
        <v>34537.604982196281</v>
      </c>
    </row>
    <row r="233" spans="1:18">
      <c r="A233" s="359" t="str">
        <f>'Func Future Lines 2015'!A233</f>
        <v>PPS</v>
      </c>
      <c r="B233" s="359" t="str">
        <f>'Func Future Lines 2015'!B233</f>
        <v>line 893L stage 1</v>
      </c>
      <c r="C233" s="359">
        <f>'Func Future Lines 2015'!C233</f>
        <v>1343</v>
      </c>
      <c r="D233" s="359">
        <f>'Func Future Lines 2015'!D233</f>
        <v>138</v>
      </c>
      <c r="E233" s="359">
        <f>'Func Future Lines 2015'!E233</f>
        <v>0</v>
      </c>
      <c r="F233" s="359">
        <f>'Func Future Lines 2015'!F233</f>
        <v>0</v>
      </c>
      <c r="G233" s="359">
        <f>'Func Future Lines 2015'!G233</f>
        <v>4325094.121115136</v>
      </c>
      <c r="H233" s="359" t="str">
        <f>'Func Future Lines 2015'!H233</f>
        <v>AltaLink</v>
      </c>
      <c r="I233" s="359">
        <f>'Func Future Lines 2015'!I233</f>
        <v>2015</v>
      </c>
      <c r="J233" s="361">
        <f>+IF($I233=J$3,VLOOKUP($H233,Depreciation!$A$6:$L$10,7,FALSE)/2,IF($I233&lt;J$3,VLOOKUP($H233,Depreciation!$A$6:$L$10,7,FALSE),0))</f>
        <v>1.595020804044691E-2</v>
      </c>
      <c r="K233" s="361">
        <f>+IF($I233=K$3,VLOOKUP($H233,Depreciation!$A$6:$L$10,8,FALSE)/2,IF($I233&lt;K$3,VLOOKUP($H233,Depreciation!$A$6:$L$10,8,FALSE),0))</f>
        <v>3.0676363676126896E-2</v>
      </c>
      <c r="L233" s="361">
        <f>+IF($I233=L$3,VLOOKUP($H233,Depreciation!$A$6:$L$10,9,FALSE)/2,IF($I233&lt;L$3,VLOOKUP($H233,Depreciation!$A$6:$L$10,9,FALSE),0))</f>
        <v>3.0676363676126896E-2</v>
      </c>
      <c r="M233" s="361">
        <f>+IF($I233=M$3,VLOOKUP($H233,Depreciation!$A$6:$L$10,10,FALSE)/2,IF($I233&lt;M$3,VLOOKUP($H233,Depreciation!$A$6:$L$10,10,FALSE),0))</f>
        <v>3.0676363676126896E-2</v>
      </c>
      <c r="N233" s="361">
        <f>+IF($I233=N$3,VLOOKUP($H233,Depreciation!$A$6:$L$10,11,FALSE)/2,IF($I233&lt;N$3,VLOOKUP($H233,Depreciation!$A$6:$L$10,11,FALSE),0))</f>
        <v>3.0676363676126896E-2</v>
      </c>
      <c r="O233" s="361">
        <f>+IF($I233=O$3,VLOOKUP($H233,Depreciation!$A$6:$L$10,12,FALSE)/2,IF($I233&lt;O$3,VLOOKUP($H233,Depreciation!$A$6:$L$10,12,FALSE),0))</f>
        <v>3.0676363676126896E-2</v>
      </c>
      <c r="P233" s="362">
        <f t="shared" si="11"/>
        <v>3757403.608688104</v>
      </c>
      <c r="Q233" s="362">
        <f t="shared" si="12"/>
        <v>0</v>
      </c>
      <c r="R233" s="363">
        <f t="shared" si="13"/>
        <v>3757403.608688104</v>
      </c>
    </row>
    <row r="234" spans="1:18">
      <c r="A234" s="359" t="str">
        <f>'Func Future Lines 2015'!A234</f>
        <v>PPS</v>
      </c>
      <c r="B234" s="359" t="str">
        <f>'Func Future Lines 2015'!B234</f>
        <v>line 893L stage 2</v>
      </c>
      <c r="C234" s="359">
        <f>'Func Future Lines 2015'!C234</f>
        <v>1343</v>
      </c>
      <c r="D234" s="359">
        <f>'Func Future Lines 2015'!D234</f>
        <v>138</v>
      </c>
      <c r="E234" s="359">
        <f>'Func Future Lines 2015'!E234</f>
        <v>0</v>
      </c>
      <c r="F234" s="359">
        <f>'Func Future Lines 2015'!F234</f>
        <v>0</v>
      </c>
      <c r="G234" s="359">
        <f>'Func Future Lines 2015'!G234</f>
        <v>57171.622130222037</v>
      </c>
      <c r="H234" s="359" t="str">
        <f>'Func Future Lines 2015'!H234</f>
        <v>AltaLink</v>
      </c>
      <c r="I234" s="359">
        <f>'Func Future Lines 2015'!I234</f>
        <v>2015</v>
      </c>
      <c r="J234" s="361">
        <f>+IF($I234=J$3,VLOOKUP($H234,Depreciation!$A$6:$L$10,7,FALSE)/2,IF($I234&lt;J$3,VLOOKUP($H234,Depreciation!$A$6:$L$10,7,FALSE),0))</f>
        <v>1.595020804044691E-2</v>
      </c>
      <c r="K234" s="361">
        <f>+IF($I234=K$3,VLOOKUP($H234,Depreciation!$A$6:$L$10,8,FALSE)/2,IF($I234&lt;K$3,VLOOKUP($H234,Depreciation!$A$6:$L$10,8,FALSE),0))</f>
        <v>3.0676363676126896E-2</v>
      </c>
      <c r="L234" s="361">
        <f>+IF($I234=L$3,VLOOKUP($H234,Depreciation!$A$6:$L$10,9,FALSE)/2,IF($I234&lt;L$3,VLOOKUP($H234,Depreciation!$A$6:$L$10,9,FALSE),0))</f>
        <v>3.0676363676126896E-2</v>
      </c>
      <c r="M234" s="361">
        <f>+IF($I234=M$3,VLOOKUP($H234,Depreciation!$A$6:$L$10,10,FALSE)/2,IF($I234&lt;M$3,VLOOKUP($H234,Depreciation!$A$6:$L$10,10,FALSE),0))</f>
        <v>3.0676363676126896E-2</v>
      </c>
      <c r="N234" s="361">
        <f>+IF($I234=N$3,VLOOKUP($H234,Depreciation!$A$6:$L$10,11,FALSE)/2,IF($I234&lt;N$3,VLOOKUP($H234,Depreciation!$A$6:$L$10,11,FALSE),0))</f>
        <v>3.0676363676126896E-2</v>
      </c>
      <c r="O234" s="361">
        <f>+IF($I234=O$3,VLOOKUP($H234,Depreciation!$A$6:$L$10,12,FALSE)/2,IF($I234&lt;O$3,VLOOKUP($H234,Depreciation!$A$6:$L$10,12,FALSE),0))</f>
        <v>3.0676363676126896E-2</v>
      </c>
      <c r="P234" s="362">
        <f t="shared" si="11"/>
        <v>49667.557119257064</v>
      </c>
      <c r="Q234" s="362">
        <f t="shared" si="12"/>
        <v>0</v>
      </c>
      <c r="R234" s="363">
        <f t="shared" si="13"/>
        <v>49667.557119257064</v>
      </c>
    </row>
    <row r="235" spans="1:18">
      <c r="A235" s="359" t="str">
        <f>'Func Future Lines 2015'!A235</f>
        <v>PPS</v>
      </c>
      <c r="B235" s="359" t="str">
        <f>'Func Future Lines 2015'!B235</f>
        <v>line 994L</v>
      </c>
      <c r="C235" s="359">
        <f>'Func Future Lines 2015'!C235</f>
        <v>1343</v>
      </c>
      <c r="D235" s="359">
        <f>'Func Future Lines 2015'!D235</f>
        <v>240</v>
      </c>
      <c r="E235" s="359">
        <f>'Func Future Lines 2015'!E235</f>
        <v>0</v>
      </c>
      <c r="F235" s="359">
        <f>'Func Future Lines 2015'!F235</f>
        <v>0</v>
      </c>
      <c r="G235" s="359">
        <f>'Func Future Lines 2015'!G235</f>
        <v>18544400.109492131</v>
      </c>
      <c r="H235" s="359" t="str">
        <f>'Func Future Lines 2015'!H235</f>
        <v>AltaLink</v>
      </c>
      <c r="I235" s="359">
        <f>'Func Future Lines 2015'!I235</f>
        <v>2015</v>
      </c>
      <c r="J235" s="361">
        <f>+IF($I235=J$3,VLOOKUP($H235,Depreciation!$A$6:$L$10,7,FALSE)/2,IF($I235&lt;J$3,VLOOKUP($H235,Depreciation!$A$6:$L$10,7,FALSE),0))</f>
        <v>1.595020804044691E-2</v>
      </c>
      <c r="K235" s="361">
        <f>+IF($I235=K$3,VLOOKUP($H235,Depreciation!$A$6:$L$10,8,FALSE)/2,IF($I235&lt;K$3,VLOOKUP($H235,Depreciation!$A$6:$L$10,8,FALSE),0))</f>
        <v>3.0676363676126896E-2</v>
      </c>
      <c r="L235" s="361">
        <f>+IF($I235=L$3,VLOOKUP($H235,Depreciation!$A$6:$L$10,9,FALSE)/2,IF($I235&lt;L$3,VLOOKUP($H235,Depreciation!$A$6:$L$10,9,FALSE),0))</f>
        <v>3.0676363676126896E-2</v>
      </c>
      <c r="M235" s="361">
        <f>+IF($I235=M$3,VLOOKUP($H235,Depreciation!$A$6:$L$10,10,FALSE)/2,IF($I235&lt;M$3,VLOOKUP($H235,Depreciation!$A$6:$L$10,10,FALSE),0))</f>
        <v>3.0676363676126896E-2</v>
      </c>
      <c r="N235" s="361">
        <f>+IF($I235=N$3,VLOOKUP($H235,Depreciation!$A$6:$L$10,11,FALSE)/2,IF($I235&lt;N$3,VLOOKUP($H235,Depreciation!$A$6:$L$10,11,FALSE),0))</f>
        <v>3.0676363676126896E-2</v>
      </c>
      <c r="O235" s="361">
        <f>+IF($I235=O$3,VLOOKUP($H235,Depreciation!$A$6:$L$10,12,FALSE)/2,IF($I235&lt;O$3,VLOOKUP($H235,Depreciation!$A$6:$L$10,12,FALSE),0))</f>
        <v>3.0676363676126896E-2</v>
      </c>
      <c r="P235" s="362">
        <f t="shared" si="11"/>
        <v>16110353.657320309</v>
      </c>
      <c r="Q235" s="362">
        <f t="shared" si="12"/>
        <v>16110353.657320309</v>
      </c>
      <c r="R235" s="363">
        <f t="shared" si="13"/>
        <v>0</v>
      </c>
    </row>
    <row r="236" spans="1:18">
      <c r="A236" s="359" t="str">
        <f>'Func Future Lines 2015'!A236</f>
        <v>PPS</v>
      </c>
      <c r="B236" s="359" t="str">
        <f>'Func Future Lines 2015'!B236</f>
        <v>Line 9L32</v>
      </c>
      <c r="C236" s="359">
        <f>'Func Future Lines 2015'!C236</f>
        <v>1348</v>
      </c>
      <c r="D236" s="359">
        <f>'Func Future Lines 2015'!D236</f>
        <v>240</v>
      </c>
      <c r="E236" s="359">
        <f>'Func Future Lines 2015'!E236</f>
        <v>0</v>
      </c>
      <c r="F236" s="359">
        <f>'Func Future Lines 2015'!F236</f>
        <v>0</v>
      </c>
      <c r="G236" s="359">
        <f>'Func Future Lines 2015'!G236</f>
        <v>1573745.900388991</v>
      </c>
      <c r="H236" s="359" t="str">
        <f>'Func Future Lines 2015'!H236</f>
        <v>ATCO</v>
      </c>
      <c r="I236" s="359">
        <f>'Func Future Lines 2015'!I236</f>
        <v>2016</v>
      </c>
      <c r="J236" s="361">
        <f>+IF($I236=J$3,VLOOKUP($H236,Depreciation!$A$6:$L$10,7,FALSE)/2,IF($I236&lt;J$3,VLOOKUP($H236,Depreciation!$A$6:$L$10,7,FALSE),0))</f>
        <v>0</v>
      </c>
      <c r="K236" s="361">
        <f>+IF($I236=K$3,VLOOKUP($H236,Depreciation!$A$6:$L$10,8,FALSE)/2,IF($I236&lt;K$3,VLOOKUP($H236,Depreciation!$A$6:$L$10,8,FALSE),0))</f>
        <v>1.1971929865503333E-2</v>
      </c>
      <c r="L236" s="361">
        <f>+IF($I236=L$3,VLOOKUP($H236,Depreciation!$A$6:$L$10,9,FALSE)/2,IF($I236&lt;L$3,VLOOKUP($H236,Depreciation!$A$6:$L$10,9,FALSE),0))</f>
        <v>2.4002037926855919E-2</v>
      </c>
      <c r="M236" s="361">
        <f>+IF($I236=M$3,VLOOKUP($H236,Depreciation!$A$6:$L$10,10,FALSE)/2,IF($I236&lt;M$3,VLOOKUP($H236,Depreciation!$A$6:$L$10,10,FALSE),0))</f>
        <v>2.4002037926855919E-2</v>
      </c>
      <c r="N236" s="361">
        <f>+IF($I236=N$3,VLOOKUP($H236,Depreciation!$A$6:$L$10,11,FALSE)/2,IF($I236&lt;N$3,VLOOKUP($H236,Depreciation!$A$6:$L$10,11,FALSE),0))</f>
        <v>2.4002037926855919E-2</v>
      </c>
      <c r="O236" s="361">
        <f>+IF($I236=O$3,VLOOKUP($H236,Depreciation!$A$6:$L$10,12,FALSE)/2,IF($I236&lt;O$3,VLOOKUP($H236,Depreciation!$A$6:$L$10,12,FALSE),0))</f>
        <v>2.4002037926855919E-2</v>
      </c>
      <c r="P236" s="362">
        <f t="shared" si="11"/>
        <v>1445608.2814012223</v>
      </c>
      <c r="Q236" s="362">
        <f t="shared" si="12"/>
        <v>1445608.2814012223</v>
      </c>
      <c r="R236" s="363">
        <f t="shared" si="13"/>
        <v>0</v>
      </c>
    </row>
    <row r="237" spans="1:18">
      <c r="A237" s="359" t="str">
        <f>'Func Future Lines 2015'!A237</f>
        <v>FINAL</v>
      </c>
      <c r="B237" s="359" t="str">
        <f>'Func Future Lines 2015'!B237</f>
        <v>732AL</v>
      </c>
      <c r="C237" s="359">
        <f>'Func Future Lines 2015'!C237</f>
        <v>1349</v>
      </c>
      <c r="D237" s="359">
        <f>'Func Future Lines 2015'!D237</f>
        <v>138</v>
      </c>
      <c r="E237" s="359">
        <f>'Func Future Lines 2015'!E237</f>
        <v>0</v>
      </c>
      <c r="F237" s="359" t="str">
        <f>'Func Future Lines 2015'!F237</f>
        <v>Wetaskiwin</v>
      </c>
      <c r="G237" s="359">
        <f>'Func Future Lines 2015'!G237</f>
        <v>696425.98546757339</v>
      </c>
      <c r="H237" s="359" t="str">
        <f>'Func Future Lines 2015'!H237</f>
        <v>AltaLink</v>
      </c>
      <c r="I237" s="359">
        <f>'Func Future Lines 2015'!I237</f>
        <v>2015</v>
      </c>
      <c r="J237" s="361">
        <f>+IF($I237=J$3,VLOOKUP($H237,Depreciation!$A$6:$L$10,7,FALSE)/2,IF($I237&lt;J$3,VLOOKUP($H237,Depreciation!$A$6:$L$10,7,FALSE),0))</f>
        <v>1.595020804044691E-2</v>
      </c>
      <c r="K237" s="361">
        <f>+IF($I237=K$3,VLOOKUP($H237,Depreciation!$A$6:$L$10,8,FALSE)/2,IF($I237&lt;K$3,VLOOKUP($H237,Depreciation!$A$6:$L$10,8,FALSE),0))</f>
        <v>3.0676363676126896E-2</v>
      </c>
      <c r="L237" s="361">
        <f>+IF($I237=L$3,VLOOKUP($H237,Depreciation!$A$6:$L$10,9,FALSE)/2,IF($I237&lt;L$3,VLOOKUP($H237,Depreciation!$A$6:$L$10,9,FALSE),0))</f>
        <v>3.0676363676126896E-2</v>
      </c>
      <c r="M237" s="361">
        <f>+IF($I237=M$3,VLOOKUP($H237,Depreciation!$A$6:$L$10,10,FALSE)/2,IF($I237&lt;M$3,VLOOKUP($H237,Depreciation!$A$6:$L$10,10,FALSE),0))</f>
        <v>3.0676363676126896E-2</v>
      </c>
      <c r="N237" s="361">
        <f>+IF($I237=N$3,VLOOKUP($H237,Depreciation!$A$6:$L$10,11,FALSE)/2,IF($I237&lt;N$3,VLOOKUP($H237,Depreciation!$A$6:$L$10,11,FALSE),0))</f>
        <v>3.0676363676126896E-2</v>
      </c>
      <c r="O237" s="361">
        <f>+IF($I237=O$3,VLOOKUP($H237,Depreciation!$A$6:$L$10,12,FALSE)/2,IF($I237&lt;O$3,VLOOKUP($H237,Depreciation!$A$6:$L$10,12,FALSE),0))</f>
        <v>3.0676363676126896E-2</v>
      </c>
      <c r="P237" s="362">
        <f t="shared" si="11"/>
        <v>605016.54708622943</v>
      </c>
      <c r="Q237" s="362">
        <f t="shared" si="12"/>
        <v>0</v>
      </c>
      <c r="R237" s="363">
        <f t="shared" si="13"/>
        <v>605016.54708622943</v>
      </c>
    </row>
    <row r="238" spans="1:18">
      <c r="A238" s="359" t="str">
        <f>'Func Future Lines 2015'!A238</f>
        <v>PPS</v>
      </c>
      <c r="B238" s="359" t="str">
        <f>'Func Future Lines 2015'!B238</f>
        <v>26.81L</v>
      </c>
      <c r="C238" s="359">
        <f>'Func Future Lines 2015'!C238</f>
        <v>1354</v>
      </c>
      <c r="D238" s="359">
        <f>'Func Future Lines 2015'!D238</f>
        <v>138</v>
      </c>
      <c r="E238" s="359">
        <f>'Func Future Lines 2015'!E238</f>
        <v>0</v>
      </c>
      <c r="F238" s="359" t="str">
        <f>'Func Future Lines 2015'!F238</f>
        <v>Calgary</v>
      </c>
      <c r="G238" s="359">
        <f>'Func Future Lines 2015'!G238</f>
        <v>5392.2554130521503</v>
      </c>
      <c r="H238" s="359" t="str">
        <f>'Func Future Lines 2015'!H238</f>
        <v>ENMAX</v>
      </c>
      <c r="I238" s="359">
        <f>'Func Future Lines 2015'!I238</f>
        <v>2017</v>
      </c>
      <c r="J238" s="361">
        <f>+IF($I238=J$3,VLOOKUP($H238,Depreciation!$A$6:$L$10,7,FALSE)/2,IF($I238&lt;J$3,VLOOKUP($H238,Depreciation!$A$6:$L$10,7,FALSE),0))</f>
        <v>0</v>
      </c>
      <c r="K238" s="361">
        <f>+IF($I238=K$3,VLOOKUP($H238,Depreciation!$A$6:$L$10,8,FALSE)/2,IF($I238&lt;K$3,VLOOKUP($H238,Depreciation!$A$6:$L$10,8,FALSE),0))</f>
        <v>0</v>
      </c>
      <c r="L238" s="361">
        <f>+IF($I238=L$3,VLOOKUP($H238,Depreciation!$A$6:$L$10,9,FALSE)/2,IF($I238&lt;L$3,VLOOKUP($H238,Depreciation!$A$6:$L$10,9,FALSE),0))</f>
        <v>1.3475179084025525E-2</v>
      </c>
      <c r="M238" s="361">
        <f>+IF($I238=M$3,VLOOKUP($H238,Depreciation!$A$6:$L$10,10,FALSE)/2,IF($I238&lt;M$3,VLOOKUP($H238,Depreciation!$A$6:$L$10,10,FALSE),0))</f>
        <v>2.6950358168051049E-2</v>
      </c>
      <c r="N238" s="361">
        <f>+IF($I238=N$3,VLOOKUP($H238,Depreciation!$A$6:$L$10,11,FALSE)/2,IF($I238&lt;N$3,VLOOKUP($H238,Depreciation!$A$6:$L$10,11,FALSE),0))</f>
        <v>2.6950358168051049E-2</v>
      </c>
      <c r="O238" s="361">
        <f>+IF($I238=O$3,VLOOKUP($H238,Depreciation!$A$6:$L$10,12,FALSE)/2,IF($I238&lt;O$3,VLOOKUP($H238,Depreciation!$A$6:$L$10,12,FALSE),0))</f>
        <v>2.6950358168051049E-2</v>
      </c>
      <c r="P238" s="362">
        <f t="shared" si="11"/>
        <v>5036.7276259273176</v>
      </c>
      <c r="Q238" s="362">
        <f t="shared" si="12"/>
        <v>0</v>
      </c>
      <c r="R238" s="363">
        <f t="shared" si="13"/>
        <v>5036.7276259273176</v>
      </c>
    </row>
    <row r="239" spans="1:18">
      <c r="A239" s="359" t="str">
        <f>'Func Future Lines 2015'!A239</f>
        <v>PPS</v>
      </c>
      <c r="B239" s="359" t="str">
        <f>'Func Future Lines 2015'!B239</f>
        <v>41.84L</v>
      </c>
      <c r="C239" s="359">
        <f>'Func Future Lines 2015'!C239</f>
        <v>1354</v>
      </c>
      <c r="D239" s="359">
        <f>'Func Future Lines 2015'!D239</f>
        <v>138</v>
      </c>
      <c r="E239" s="359">
        <f>'Func Future Lines 2015'!E239</f>
        <v>0</v>
      </c>
      <c r="F239" s="359" t="str">
        <f>'Func Future Lines 2015'!F239</f>
        <v>Calgary</v>
      </c>
      <c r="G239" s="359">
        <f>'Func Future Lines 2015'!G239</f>
        <v>10940358.319965452</v>
      </c>
      <c r="H239" s="359" t="str">
        <f>'Func Future Lines 2015'!H239</f>
        <v>ENMAX</v>
      </c>
      <c r="I239" s="359">
        <f>'Func Future Lines 2015'!I239</f>
        <v>2017</v>
      </c>
      <c r="J239" s="361">
        <f>+IF($I239=J$3,VLOOKUP($H239,Depreciation!$A$6:$L$10,7,FALSE)/2,IF($I239&lt;J$3,VLOOKUP($H239,Depreciation!$A$6:$L$10,7,FALSE),0))</f>
        <v>0</v>
      </c>
      <c r="K239" s="361">
        <f>+IF($I239=K$3,VLOOKUP($H239,Depreciation!$A$6:$L$10,8,FALSE)/2,IF($I239&lt;K$3,VLOOKUP($H239,Depreciation!$A$6:$L$10,8,FALSE),0))</f>
        <v>0</v>
      </c>
      <c r="L239" s="361">
        <f>+IF($I239=L$3,VLOOKUP($H239,Depreciation!$A$6:$L$10,9,FALSE)/2,IF($I239&lt;L$3,VLOOKUP($H239,Depreciation!$A$6:$L$10,9,FALSE),0))</f>
        <v>1.3475179084025525E-2</v>
      </c>
      <c r="M239" s="361">
        <f>+IF($I239=M$3,VLOOKUP($H239,Depreciation!$A$6:$L$10,10,FALSE)/2,IF($I239&lt;M$3,VLOOKUP($H239,Depreciation!$A$6:$L$10,10,FALSE),0))</f>
        <v>2.6950358168051049E-2</v>
      </c>
      <c r="N239" s="361">
        <f>+IF($I239=N$3,VLOOKUP($H239,Depreciation!$A$6:$L$10,11,FALSE)/2,IF($I239&lt;N$3,VLOOKUP($H239,Depreciation!$A$6:$L$10,11,FALSE),0))</f>
        <v>2.6950358168051049E-2</v>
      </c>
      <c r="O239" s="361">
        <f>+IF($I239=O$3,VLOOKUP($H239,Depreciation!$A$6:$L$10,12,FALSE)/2,IF($I239&lt;O$3,VLOOKUP($H239,Depreciation!$A$6:$L$10,12,FALSE),0))</f>
        <v>2.6950358168051049E-2</v>
      </c>
      <c r="P239" s="362">
        <f t="shared" si="11"/>
        <v>10219027.246805387</v>
      </c>
      <c r="Q239" s="362">
        <f t="shared" si="12"/>
        <v>0</v>
      </c>
      <c r="R239" s="363">
        <f t="shared" si="13"/>
        <v>10219027.246805387</v>
      </c>
    </row>
    <row r="240" spans="1:18">
      <c r="A240" s="359" t="str">
        <f>'Func Future Lines 2015'!A240</f>
        <v>PPS</v>
      </c>
      <c r="B240" s="359" t="str">
        <f>'Func Future Lines 2015'!B240</f>
        <v>54.81L</v>
      </c>
      <c r="C240" s="359">
        <f>'Func Future Lines 2015'!C240</f>
        <v>1354</v>
      </c>
      <c r="D240" s="359">
        <f>'Func Future Lines 2015'!D240</f>
        <v>138</v>
      </c>
      <c r="E240" s="359">
        <f>'Func Future Lines 2015'!E240</f>
        <v>0</v>
      </c>
      <c r="F240" s="359" t="str">
        <f>'Func Future Lines 2015'!F240</f>
        <v>Calgary</v>
      </c>
      <c r="G240" s="359">
        <f>'Func Future Lines 2015'!G240</f>
        <v>9176948.6694427244</v>
      </c>
      <c r="H240" s="359" t="str">
        <f>'Func Future Lines 2015'!H240</f>
        <v>ENMAX</v>
      </c>
      <c r="I240" s="359">
        <f>'Func Future Lines 2015'!I240</f>
        <v>2017</v>
      </c>
      <c r="J240" s="361">
        <f>+IF($I240=J$3,VLOOKUP($H240,Depreciation!$A$6:$L$10,7,FALSE)/2,IF($I240&lt;J$3,VLOOKUP($H240,Depreciation!$A$6:$L$10,7,FALSE),0))</f>
        <v>0</v>
      </c>
      <c r="K240" s="361">
        <f>+IF($I240=K$3,VLOOKUP($H240,Depreciation!$A$6:$L$10,8,FALSE)/2,IF($I240&lt;K$3,VLOOKUP($H240,Depreciation!$A$6:$L$10,8,FALSE),0))</f>
        <v>0</v>
      </c>
      <c r="L240" s="361">
        <f>+IF($I240=L$3,VLOOKUP($H240,Depreciation!$A$6:$L$10,9,FALSE)/2,IF($I240&lt;L$3,VLOOKUP($H240,Depreciation!$A$6:$L$10,9,FALSE),0))</f>
        <v>1.3475179084025525E-2</v>
      </c>
      <c r="M240" s="361">
        <f>+IF($I240=M$3,VLOOKUP($H240,Depreciation!$A$6:$L$10,10,FALSE)/2,IF($I240&lt;M$3,VLOOKUP($H240,Depreciation!$A$6:$L$10,10,FALSE),0))</f>
        <v>2.6950358168051049E-2</v>
      </c>
      <c r="N240" s="361">
        <f>+IF($I240=N$3,VLOOKUP($H240,Depreciation!$A$6:$L$10,11,FALSE)/2,IF($I240&lt;N$3,VLOOKUP($H240,Depreciation!$A$6:$L$10,11,FALSE),0))</f>
        <v>2.6950358168051049E-2</v>
      </c>
      <c r="O240" s="361">
        <f>+IF($I240=O$3,VLOOKUP($H240,Depreciation!$A$6:$L$10,12,FALSE)/2,IF($I240&lt;O$3,VLOOKUP($H240,Depreciation!$A$6:$L$10,12,FALSE),0))</f>
        <v>2.6950358168051049E-2</v>
      </c>
      <c r="P240" s="362">
        <f t="shared" si="11"/>
        <v>8571884.55376531</v>
      </c>
      <c r="Q240" s="362">
        <f t="shared" si="12"/>
        <v>0</v>
      </c>
      <c r="R240" s="363">
        <f t="shared" si="13"/>
        <v>8571884.55376531</v>
      </c>
    </row>
    <row r="241" spans="1:18">
      <c r="A241" s="359" t="str">
        <f>'Func Future Lines 2015'!A241</f>
        <v>NID</v>
      </c>
      <c r="B241" s="359" t="str">
        <f>'Func Future Lines 2015'!B241</f>
        <v>807L 138kV 1km_(Alt3)</v>
      </c>
      <c r="C241" s="359">
        <f>'Func Future Lines 2015'!C241</f>
        <v>1381</v>
      </c>
      <c r="D241" s="359">
        <f>'Func Future Lines 2015'!D241</f>
        <v>138</v>
      </c>
      <c r="E241" s="359">
        <f>'Func Future Lines 2015'!E241</f>
        <v>0</v>
      </c>
      <c r="F241" s="359" t="str">
        <f>'Func Future Lines 2015'!F241</f>
        <v>Fort_Saskatchewan</v>
      </c>
      <c r="G241" s="359">
        <f>'Func Future Lines 2015'!G241</f>
        <v>2854379.6561085959</v>
      </c>
      <c r="H241" s="359" t="str">
        <f>'Func Future Lines 2015'!H241</f>
        <v>AltaLink</v>
      </c>
      <c r="I241" s="359">
        <f>'Func Future Lines 2015'!I241</f>
        <v>2019</v>
      </c>
      <c r="J241" s="361">
        <f>+IF($I241=J$3,VLOOKUP($H241,Depreciation!$A$6:$L$10,7,FALSE)/2,IF($I241&lt;J$3,VLOOKUP($H241,Depreciation!$A$6:$L$10,7,FALSE),0))</f>
        <v>0</v>
      </c>
      <c r="K241" s="361">
        <f>+IF($I241=K$3,VLOOKUP($H241,Depreciation!$A$6:$L$10,8,FALSE)/2,IF($I241&lt;K$3,VLOOKUP($H241,Depreciation!$A$6:$L$10,8,FALSE),0))</f>
        <v>0</v>
      </c>
      <c r="L241" s="361">
        <f>+IF($I241=L$3,VLOOKUP($H241,Depreciation!$A$6:$L$10,9,FALSE)/2,IF($I241&lt;L$3,VLOOKUP($H241,Depreciation!$A$6:$L$10,9,FALSE),0))</f>
        <v>0</v>
      </c>
      <c r="M241" s="361">
        <f>+IF($I241=M$3,VLOOKUP($H241,Depreciation!$A$6:$L$10,10,FALSE)/2,IF($I241&lt;M$3,VLOOKUP($H241,Depreciation!$A$6:$L$10,10,FALSE),0))</f>
        <v>0</v>
      </c>
      <c r="N241" s="361">
        <f>+IF($I241=N$3,VLOOKUP($H241,Depreciation!$A$6:$L$10,11,FALSE)/2,IF($I241&lt;N$3,VLOOKUP($H241,Depreciation!$A$6:$L$10,11,FALSE),0))</f>
        <v>1.5338181838063448E-2</v>
      </c>
      <c r="O241" s="361">
        <f>+IF($I241=O$3,VLOOKUP($H241,Depreciation!$A$6:$L$10,12,FALSE)/2,IF($I241&lt;O$3,VLOOKUP($H241,Depreciation!$A$6:$L$10,12,FALSE),0))</f>
        <v>3.0676363676126896E-2</v>
      </c>
      <c r="P241" s="362">
        <f t="shared" si="11"/>
        <v>2810598.6619083332</v>
      </c>
      <c r="Q241" s="362">
        <f t="shared" si="12"/>
        <v>0</v>
      </c>
      <c r="R241" s="363">
        <f t="shared" si="13"/>
        <v>2810598.6619083332</v>
      </c>
    </row>
    <row r="242" spans="1:18">
      <c r="A242" s="359" t="str">
        <f>'Func Future Lines 2015'!A242</f>
        <v>NID</v>
      </c>
      <c r="B242" s="359" t="str">
        <f>'Func Future Lines 2015'!B242</f>
        <v>942L 240kV in/out 0.5km_(Alt3)</v>
      </c>
      <c r="C242" s="359">
        <f>'Func Future Lines 2015'!C242</f>
        <v>1381</v>
      </c>
      <c r="D242" s="359">
        <f>'Func Future Lines 2015'!D242</f>
        <v>240</v>
      </c>
      <c r="E242" s="359">
        <f>'Func Future Lines 2015'!E242</f>
        <v>0</v>
      </c>
      <c r="F242" s="359" t="str">
        <f>'Func Future Lines 2015'!F242</f>
        <v>Fort_Saskatchewan</v>
      </c>
      <c r="G242" s="359">
        <f>'Func Future Lines 2015'!G242</f>
        <v>534701.55370326247</v>
      </c>
      <c r="H242" s="359" t="str">
        <f>'Func Future Lines 2015'!H242</f>
        <v>AltaLink</v>
      </c>
      <c r="I242" s="359">
        <f>'Func Future Lines 2015'!I242</f>
        <v>2019</v>
      </c>
      <c r="J242" s="361">
        <f>+IF($I242=J$3,VLOOKUP($H242,Depreciation!$A$6:$L$10,7,FALSE)/2,IF($I242&lt;J$3,VLOOKUP($H242,Depreciation!$A$6:$L$10,7,FALSE),0))</f>
        <v>0</v>
      </c>
      <c r="K242" s="361">
        <f>+IF($I242=K$3,VLOOKUP($H242,Depreciation!$A$6:$L$10,8,FALSE)/2,IF($I242&lt;K$3,VLOOKUP($H242,Depreciation!$A$6:$L$10,8,FALSE),0))</f>
        <v>0</v>
      </c>
      <c r="L242" s="361">
        <f>+IF($I242=L$3,VLOOKUP($H242,Depreciation!$A$6:$L$10,9,FALSE)/2,IF($I242&lt;L$3,VLOOKUP($H242,Depreciation!$A$6:$L$10,9,FALSE),0))</f>
        <v>0</v>
      </c>
      <c r="M242" s="361">
        <f>+IF($I242=M$3,VLOOKUP($H242,Depreciation!$A$6:$L$10,10,FALSE)/2,IF($I242&lt;M$3,VLOOKUP($H242,Depreciation!$A$6:$L$10,10,FALSE),0))</f>
        <v>0</v>
      </c>
      <c r="N242" s="361">
        <f>+IF($I242=N$3,VLOOKUP($H242,Depreciation!$A$6:$L$10,11,FALSE)/2,IF($I242&lt;N$3,VLOOKUP($H242,Depreciation!$A$6:$L$10,11,FALSE),0))</f>
        <v>1.5338181838063448E-2</v>
      </c>
      <c r="O242" s="361">
        <f>+IF($I242=O$3,VLOOKUP($H242,Depreciation!$A$6:$L$10,12,FALSE)/2,IF($I242&lt;O$3,VLOOKUP($H242,Depreciation!$A$6:$L$10,12,FALSE),0))</f>
        <v>3.0676363676126896E-2</v>
      </c>
      <c r="P242" s="362">
        <f t="shared" si="11"/>
        <v>526500.20404346683</v>
      </c>
      <c r="Q242" s="362">
        <f t="shared" si="12"/>
        <v>526500.20404346683</v>
      </c>
      <c r="R242" s="363">
        <f t="shared" si="13"/>
        <v>0</v>
      </c>
    </row>
    <row r="243" spans="1:18">
      <c r="A243" s="359" t="str">
        <f>'Func Future Lines 2015'!A243</f>
        <v>PPS</v>
      </c>
      <c r="B243" s="359" t="str">
        <f>'Func Future Lines 2015'!B243</f>
        <v>971AL</v>
      </c>
      <c r="C243" s="359">
        <f>'Func Future Lines 2015'!C243</f>
        <v>1404</v>
      </c>
      <c r="D243" s="359">
        <f>'Func Future Lines 2015'!D243</f>
        <v>240</v>
      </c>
      <c r="E243" s="359">
        <f>'Func Future Lines 2015'!E243</f>
        <v>0</v>
      </c>
      <c r="F243" s="359" t="str">
        <f>'Func Future Lines 2015'!F243</f>
        <v>Fort McMurray</v>
      </c>
      <c r="G243" s="359">
        <f>'Func Future Lines 2015'!G243</f>
        <v>33123608.699931756</v>
      </c>
      <c r="H243" s="359" t="str">
        <f>'Func Future Lines 2015'!H243</f>
        <v>AltaLink</v>
      </c>
      <c r="I243" s="359">
        <f>'Func Future Lines 2015'!I243</f>
        <v>2017</v>
      </c>
      <c r="J243" s="361">
        <f>+IF($I243=J$3,VLOOKUP($H243,Depreciation!$A$6:$L$10,7,FALSE)/2,IF($I243&lt;J$3,VLOOKUP($H243,Depreciation!$A$6:$L$10,7,FALSE),0))</f>
        <v>0</v>
      </c>
      <c r="K243" s="361">
        <f>+IF($I243=K$3,VLOOKUP($H243,Depreciation!$A$6:$L$10,8,FALSE)/2,IF($I243&lt;K$3,VLOOKUP($H243,Depreciation!$A$6:$L$10,8,FALSE),0))</f>
        <v>0</v>
      </c>
      <c r="L243" s="361">
        <f>+IF($I243=L$3,VLOOKUP($H243,Depreciation!$A$6:$L$10,9,FALSE)/2,IF($I243&lt;L$3,VLOOKUP($H243,Depreciation!$A$6:$L$10,9,FALSE),0))</f>
        <v>1.5338181838063448E-2</v>
      </c>
      <c r="M243" s="361">
        <f>+IF($I243=M$3,VLOOKUP($H243,Depreciation!$A$6:$L$10,10,FALSE)/2,IF($I243&lt;M$3,VLOOKUP($H243,Depreciation!$A$6:$L$10,10,FALSE),0))</f>
        <v>3.0676363676126896E-2</v>
      </c>
      <c r="N243" s="361">
        <f>+IF($I243=N$3,VLOOKUP($H243,Depreciation!$A$6:$L$10,11,FALSE)/2,IF($I243&lt;N$3,VLOOKUP($H243,Depreciation!$A$6:$L$10,11,FALSE),0))</f>
        <v>3.0676363676126896E-2</v>
      </c>
      <c r="O243" s="361">
        <f>+IF($I243=O$3,VLOOKUP($H243,Depreciation!$A$6:$L$10,12,FALSE)/2,IF($I243&lt;O$3,VLOOKUP($H243,Depreciation!$A$6:$L$10,12,FALSE),0))</f>
        <v>3.0676363676126896E-2</v>
      </c>
      <c r="P243" s="362">
        <f t="shared" si="11"/>
        <v>30645192.166795466</v>
      </c>
      <c r="Q243" s="362">
        <f t="shared" si="12"/>
        <v>30645192.166795466</v>
      </c>
      <c r="R243" s="363">
        <f t="shared" si="13"/>
        <v>0</v>
      </c>
    </row>
    <row r="244" spans="1:18">
      <c r="A244" s="359" t="str">
        <f>'Func Future Lines 2015'!A244</f>
        <v>PPS</v>
      </c>
      <c r="B244" s="359" t="str">
        <f>'Func Future Lines 2015'!B244</f>
        <v>New 50m 144kV s/c  line 7LB65</v>
      </c>
      <c r="C244" s="359">
        <f>'Func Future Lines 2015'!C244</f>
        <v>1410</v>
      </c>
      <c r="D244" s="359">
        <f>'Func Future Lines 2015'!D244</f>
        <v>144</v>
      </c>
      <c r="E244" s="359">
        <f>'Func Future Lines 2015'!E244</f>
        <v>0</v>
      </c>
      <c r="F244" s="359" t="str">
        <f>'Func Future Lines 2015'!F244</f>
        <v>central</v>
      </c>
      <c r="G244" s="359">
        <f>'Func Future Lines 2015'!G244</f>
        <v>1252661.4598423878</v>
      </c>
      <c r="H244" s="359" t="str">
        <f>'Func Future Lines 2015'!H244</f>
        <v>ATCO</v>
      </c>
      <c r="I244" s="359">
        <f>'Func Future Lines 2015'!I244</f>
        <v>2017</v>
      </c>
      <c r="J244" s="361">
        <f>+IF($I244=J$3,VLOOKUP($H244,Depreciation!$A$6:$L$10,7,FALSE)/2,IF($I244&lt;J$3,VLOOKUP($H244,Depreciation!$A$6:$L$10,7,FALSE),0))</f>
        <v>0</v>
      </c>
      <c r="K244" s="361">
        <f>+IF($I244=K$3,VLOOKUP($H244,Depreciation!$A$6:$L$10,8,FALSE)/2,IF($I244&lt;K$3,VLOOKUP($H244,Depreciation!$A$6:$L$10,8,FALSE),0))</f>
        <v>0</v>
      </c>
      <c r="L244" s="361">
        <f>+IF($I244=L$3,VLOOKUP($H244,Depreciation!$A$6:$L$10,9,FALSE)/2,IF($I244&lt;L$3,VLOOKUP($H244,Depreciation!$A$6:$L$10,9,FALSE),0))</f>
        <v>1.2001018963427959E-2</v>
      </c>
      <c r="M244" s="361">
        <f>+IF($I244=M$3,VLOOKUP($H244,Depreciation!$A$6:$L$10,10,FALSE)/2,IF($I244&lt;M$3,VLOOKUP($H244,Depreciation!$A$6:$L$10,10,FALSE),0))</f>
        <v>2.4002037926855919E-2</v>
      </c>
      <c r="N244" s="361">
        <f>+IF($I244=N$3,VLOOKUP($H244,Depreciation!$A$6:$L$10,11,FALSE)/2,IF($I244&lt;N$3,VLOOKUP($H244,Depreciation!$A$6:$L$10,11,FALSE),0))</f>
        <v>2.4002037926855919E-2</v>
      </c>
      <c r="O244" s="361">
        <f>+IF($I244=O$3,VLOOKUP($H244,Depreciation!$A$6:$L$10,12,FALSE)/2,IF($I244&lt;O$3,VLOOKUP($H244,Depreciation!$A$6:$L$10,12,FALSE),0))</f>
        <v>2.4002037926855919E-2</v>
      </c>
      <c r="P244" s="362">
        <f t="shared" si="11"/>
        <v>1178930.0406529801</v>
      </c>
      <c r="Q244" s="362">
        <f t="shared" si="12"/>
        <v>0</v>
      </c>
      <c r="R244" s="363">
        <f t="shared" si="13"/>
        <v>1178930.0406529801</v>
      </c>
    </row>
    <row r="245" spans="1:18">
      <c r="A245" s="359" t="str">
        <f>'Func Future Lines 2015'!A245</f>
        <v>PPS</v>
      </c>
      <c r="B245" s="359" t="str">
        <f>'Func Future Lines 2015'!B245</f>
        <v>Phase1 1120L</v>
      </c>
      <c r="C245" s="359">
        <f>'Func Future Lines 2015'!C245</f>
        <v>1421</v>
      </c>
      <c r="D245" s="359">
        <f>'Func Future Lines 2015'!D245</f>
        <v>240</v>
      </c>
      <c r="E245" s="359">
        <f>'Func Future Lines 2015'!E245</f>
        <v>0</v>
      </c>
      <c r="F245" s="359" t="str">
        <f>'Func Future Lines 2015'!F245</f>
        <v>Fort_Saskatchewan</v>
      </c>
      <c r="G245" s="359">
        <f>'Func Future Lines 2015'!G245</f>
        <v>539203.14735113864</v>
      </c>
      <c r="H245" s="359" t="str">
        <f>'Func Future Lines 2015'!H245</f>
        <v>AltaLink</v>
      </c>
      <c r="I245" s="359">
        <f>'Func Future Lines 2015'!I245</f>
        <v>2019</v>
      </c>
      <c r="J245" s="361">
        <f>+IF($I245=J$3,VLOOKUP($H245,Depreciation!$A$6:$L$10,7,FALSE)/2,IF($I245&lt;J$3,VLOOKUP($H245,Depreciation!$A$6:$L$10,7,FALSE),0))</f>
        <v>0</v>
      </c>
      <c r="K245" s="361">
        <f>+IF($I245=K$3,VLOOKUP($H245,Depreciation!$A$6:$L$10,8,FALSE)/2,IF($I245&lt;K$3,VLOOKUP($H245,Depreciation!$A$6:$L$10,8,FALSE),0))</f>
        <v>0</v>
      </c>
      <c r="L245" s="361">
        <f>+IF($I245=L$3,VLOOKUP($H245,Depreciation!$A$6:$L$10,9,FALSE)/2,IF($I245&lt;L$3,VLOOKUP($H245,Depreciation!$A$6:$L$10,9,FALSE),0))</f>
        <v>0</v>
      </c>
      <c r="M245" s="361">
        <f>+IF($I245=M$3,VLOOKUP($H245,Depreciation!$A$6:$L$10,10,FALSE)/2,IF($I245&lt;M$3,VLOOKUP($H245,Depreciation!$A$6:$L$10,10,FALSE),0))</f>
        <v>0</v>
      </c>
      <c r="N245" s="361">
        <f>+IF($I245=N$3,VLOOKUP($H245,Depreciation!$A$6:$L$10,11,FALSE)/2,IF($I245&lt;N$3,VLOOKUP($H245,Depreciation!$A$6:$L$10,11,FALSE),0))</f>
        <v>1.5338181838063448E-2</v>
      </c>
      <c r="O245" s="361">
        <f>+IF($I245=O$3,VLOOKUP($H245,Depreciation!$A$6:$L$10,12,FALSE)/2,IF($I245&lt;O$3,VLOOKUP($H245,Depreciation!$A$6:$L$10,12,FALSE),0))</f>
        <v>3.0676363676126896E-2</v>
      </c>
      <c r="P245" s="362">
        <f t="shared" si="11"/>
        <v>530932.75142941077</v>
      </c>
      <c r="Q245" s="362">
        <f t="shared" si="12"/>
        <v>530932.75142941077</v>
      </c>
      <c r="R245" s="363">
        <f t="shared" si="13"/>
        <v>0</v>
      </c>
    </row>
    <row r="246" spans="1:18">
      <c r="A246" s="359" t="str">
        <f>'Func Future Lines 2015'!A246</f>
        <v>PPS</v>
      </c>
      <c r="B246" s="359" t="str">
        <f>'Func Future Lines 2015'!B246</f>
        <v>Phase1 1181L</v>
      </c>
      <c r="C246" s="359">
        <f>'Func Future Lines 2015'!C246</f>
        <v>1421</v>
      </c>
      <c r="D246" s="359">
        <f>'Func Future Lines 2015'!D246</f>
        <v>240</v>
      </c>
      <c r="E246" s="359">
        <f>'Func Future Lines 2015'!E246</f>
        <v>0</v>
      </c>
      <c r="F246" s="359" t="str">
        <f>'Func Future Lines 2015'!F246</f>
        <v>Fort_Saskatchewan</v>
      </c>
      <c r="G246" s="359">
        <f>'Func Future Lines 2015'!G246</f>
        <v>19967023.256146636</v>
      </c>
      <c r="H246" s="359" t="str">
        <f>'Func Future Lines 2015'!H246</f>
        <v>AltaLink</v>
      </c>
      <c r="I246" s="359">
        <f>'Func Future Lines 2015'!I246</f>
        <v>2019</v>
      </c>
      <c r="J246" s="361">
        <f>+IF($I246=J$3,VLOOKUP($H246,Depreciation!$A$6:$L$10,7,FALSE)/2,IF($I246&lt;J$3,VLOOKUP($H246,Depreciation!$A$6:$L$10,7,FALSE),0))</f>
        <v>0</v>
      </c>
      <c r="K246" s="361">
        <f>+IF($I246=K$3,VLOOKUP($H246,Depreciation!$A$6:$L$10,8,FALSE)/2,IF($I246&lt;K$3,VLOOKUP($H246,Depreciation!$A$6:$L$10,8,FALSE),0))</f>
        <v>0</v>
      </c>
      <c r="L246" s="361">
        <f>+IF($I246=L$3,VLOOKUP($H246,Depreciation!$A$6:$L$10,9,FALSE)/2,IF($I246&lt;L$3,VLOOKUP($H246,Depreciation!$A$6:$L$10,9,FALSE),0))</f>
        <v>0</v>
      </c>
      <c r="M246" s="361">
        <f>+IF($I246=M$3,VLOOKUP($H246,Depreciation!$A$6:$L$10,10,FALSE)/2,IF($I246&lt;M$3,VLOOKUP($H246,Depreciation!$A$6:$L$10,10,FALSE),0))</f>
        <v>0</v>
      </c>
      <c r="N246" s="361">
        <f>+IF($I246=N$3,VLOOKUP($H246,Depreciation!$A$6:$L$10,11,FALSE)/2,IF($I246&lt;N$3,VLOOKUP($H246,Depreciation!$A$6:$L$10,11,FALSE),0))</f>
        <v>1.5338181838063448E-2</v>
      </c>
      <c r="O246" s="361">
        <f>+IF($I246=O$3,VLOOKUP($H246,Depreciation!$A$6:$L$10,12,FALSE)/2,IF($I246&lt;O$3,VLOOKUP($H246,Depreciation!$A$6:$L$10,12,FALSE),0))</f>
        <v>3.0676363676126896E-2</v>
      </c>
      <c r="P246" s="362">
        <f t="shared" si="11"/>
        <v>19660765.422679018</v>
      </c>
      <c r="Q246" s="362">
        <f t="shared" si="12"/>
        <v>19660765.422679018</v>
      </c>
      <c r="R246" s="363">
        <f t="shared" si="13"/>
        <v>0</v>
      </c>
    </row>
    <row r="247" spans="1:18">
      <c r="A247" s="359" t="str">
        <f>'Func Future Lines 2015'!A247</f>
        <v>PPS</v>
      </c>
      <c r="B247" s="359" t="str">
        <f>'Func Future Lines 2015'!B247</f>
        <v>Phase1 807L</v>
      </c>
      <c r="C247" s="359">
        <f>'Func Future Lines 2015'!C247</f>
        <v>1421</v>
      </c>
      <c r="D247" s="359">
        <f>'Func Future Lines 2015'!D247</f>
        <v>240</v>
      </c>
      <c r="E247" s="359">
        <f>'Func Future Lines 2015'!E247</f>
        <v>0</v>
      </c>
      <c r="F247" s="359" t="str">
        <f>'Func Future Lines 2015'!F247</f>
        <v>Fort_Saskatchewan</v>
      </c>
      <c r="G247" s="359">
        <f>'Func Future Lines 2015'!G247</f>
        <v>499439.58032038546</v>
      </c>
      <c r="H247" s="359" t="str">
        <f>'Func Future Lines 2015'!H247</f>
        <v>AltaLink</v>
      </c>
      <c r="I247" s="359">
        <f>'Func Future Lines 2015'!I247</f>
        <v>2019</v>
      </c>
      <c r="J247" s="361">
        <f>+IF($I247=J$3,VLOOKUP($H247,Depreciation!$A$6:$L$10,7,FALSE)/2,IF($I247&lt;J$3,VLOOKUP($H247,Depreciation!$A$6:$L$10,7,FALSE),0))</f>
        <v>0</v>
      </c>
      <c r="K247" s="361">
        <f>+IF($I247=K$3,VLOOKUP($H247,Depreciation!$A$6:$L$10,8,FALSE)/2,IF($I247&lt;K$3,VLOOKUP($H247,Depreciation!$A$6:$L$10,8,FALSE),0))</f>
        <v>0</v>
      </c>
      <c r="L247" s="361">
        <f>+IF($I247=L$3,VLOOKUP($H247,Depreciation!$A$6:$L$10,9,FALSE)/2,IF($I247&lt;L$3,VLOOKUP($H247,Depreciation!$A$6:$L$10,9,FALSE),0))</f>
        <v>0</v>
      </c>
      <c r="M247" s="361">
        <f>+IF($I247=M$3,VLOOKUP($H247,Depreciation!$A$6:$L$10,10,FALSE)/2,IF($I247&lt;M$3,VLOOKUP($H247,Depreciation!$A$6:$L$10,10,FALSE),0))</f>
        <v>0</v>
      </c>
      <c r="N247" s="361">
        <f>+IF($I247=N$3,VLOOKUP($H247,Depreciation!$A$6:$L$10,11,FALSE)/2,IF($I247&lt;N$3,VLOOKUP($H247,Depreciation!$A$6:$L$10,11,FALSE),0))</f>
        <v>1.5338181838063448E-2</v>
      </c>
      <c r="O247" s="361">
        <f>+IF($I247=O$3,VLOOKUP($H247,Depreciation!$A$6:$L$10,12,FALSE)/2,IF($I247&lt;O$3,VLOOKUP($H247,Depreciation!$A$6:$L$10,12,FALSE),0))</f>
        <v>3.0676363676126896E-2</v>
      </c>
      <c r="P247" s="362">
        <f t="shared" si="11"/>
        <v>491779.08522030531</v>
      </c>
      <c r="Q247" s="362">
        <f t="shared" si="12"/>
        <v>491779.08522030531</v>
      </c>
      <c r="R247" s="363">
        <f t="shared" si="13"/>
        <v>0</v>
      </c>
    </row>
    <row r="248" spans="1:18">
      <c r="A248" s="359" t="str">
        <f>'Func Future Lines 2015'!A248</f>
        <v>PPS</v>
      </c>
      <c r="B248" s="359" t="str">
        <f>'Func Future Lines 2015'!B248</f>
        <v>Phase1 856L/776L/857L</v>
      </c>
      <c r="C248" s="359">
        <f>'Func Future Lines 2015'!C248</f>
        <v>1421</v>
      </c>
      <c r="D248" s="359">
        <f>'Func Future Lines 2015'!D248</f>
        <v>240</v>
      </c>
      <c r="E248" s="359">
        <f>'Func Future Lines 2015'!E248</f>
        <v>0</v>
      </c>
      <c r="F248" s="359" t="str">
        <f>'Func Future Lines 2015'!F248</f>
        <v>Fort_Saskatchewan</v>
      </c>
      <c r="G248" s="359">
        <f>'Func Future Lines 2015'!G248</f>
        <v>152011.1100611416</v>
      </c>
      <c r="H248" s="359" t="str">
        <f>'Func Future Lines 2015'!H248</f>
        <v>AltaLink</v>
      </c>
      <c r="I248" s="359">
        <f>'Func Future Lines 2015'!I248</f>
        <v>2019</v>
      </c>
      <c r="J248" s="361">
        <f>+IF($I248=J$3,VLOOKUP($H248,Depreciation!$A$6:$L$10,7,FALSE)/2,IF($I248&lt;J$3,VLOOKUP($H248,Depreciation!$A$6:$L$10,7,FALSE),0))</f>
        <v>0</v>
      </c>
      <c r="K248" s="361">
        <f>+IF($I248=K$3,VLOOKUP($H248,Depreciation!$A$6:$L$10,8,FALSE)/2,IF($I248&lt;K$3,VLOOKUP($H248,Depreciation!$A$6:$L$10,8,FALSE),0))</f>
        <v>0</v>
      </c>
      <c r="L248" s="361">
        <f>+IF($I248=L$3,VLOOKUP($H248,Depreciation!$A$6:$L$10,9,FALSE)/2,IF($I248&lt;L$3,VLOOKUP($H248,Depreciation!$A$6:$L$10,9,FALSE),0))</f>
        <v>0</v>
      </c>
      <c r="M248" s="361">
        <f>+IF($I248=M$3,VLOOKUP($H248,Depreciation!$A$6:$L$10,10,FALSE)/2,IF($I248&lt;M$3,VLOOKUP($H248,Depreciation!$A$6:$L$10,10,FALSE),0))</f>
        <v>0</v>
      </c>
      <c r="N248" s="361">
        <f>+IF($I248=N$3,VLOOKUP($H248,Depreciation!$A$6:$L$10,11,FALSE)/2,IF($I248&lt;N$3,VLOOKUP($H248,Depreciation!$A$6:$L$10,11,FALSE),0))</f>
        <v>1.5338181838063448E-2</v>
      </c>
      <c r="O248" s="361">
        <f>+IF($I248=O$3,VLOOKUP($H248,Depreciation!$A$6:$L$10,12,FALSE)/2,IF($I248&lt;O$3,VLOOKUP($H248,Depreciation!$A$6:$L$10,12,FALSE),0))</f>
        <v>3.0676363676126896E-2</v>
      </c>
      <c r="P248" s="362">
        <f t="shared" si="11"/>
        <v>149679.53601361794</v>
      </c>
      <c r="Q248" s="362">
        <f t="shared" si="12"/>
        <v>149679.53601361794</v>
      </c>
      <c r="R248" s="363">
        <f t="shared" si="13"/>
        <v>0</v>
      </c>
    </row>
    <row r="249" spans="1:18">
      <c r="A249" s="359" t="str">
        <f>'Func Future Lines 2015'!A249</f>
        <v>PPS</v>
      </c>
      <c r="B249" s="359" t="str">
        <f>'Func Future Lines 2015'!B249</f>
        <v>Phase2 1120L</v>
      </c>
      <c r="C249" s="359">
        <f>'Func Future Lines 2015'!C249</f>
        <v>1421</v>
      </c>
      <c r="D249" s="359">
        <f>'Func Future Lines 2015'!D249</f>
        <v>240</v>
      </c>
      <c r="E249" s="359">
        <f>'Func Future Lines 2015'!E249</f>
        <v>0</v>
      </c>
      <c r="F249" s="359" t="str">
        <f>'Func Future Lines 2015'!F249</f>
        <v>Fort_Saskatchewan</v>
      </c>
      <c r="G249" s="359">
        <f>'Func Future Lines 2015'!G249</f>
        <v>552930.93167308858</v>
      </c>
      <c r="H249" s="359" t="str">
        <f>'Func Future Lines 2015'!H249</f>
        <v>AltaLink</v>
      </c>
      <c r="I249" s="359">
        <f>'Func Future Lines 2015'!I249</f>
        <v>2019</v>
      </c>
      <c r="J249" s="361">
        <f>+IF($I249=J$3,VLOOKUP($H249,Depreciation!$A$6:$L$10,7,FALSE)/2,IF($I249&lt;J$3,VLOOKUP($H249,Depreciation!$A$6:$L$10,7,FALSE),0))</f>
        <v>0</v>
      </c>
      <c r="K249" s="361">
        <f>+IF($I249=K$3,VLOOKUP($H249,Depreciation!$A$6:$L$10,8,FALSE)/2,IF($I249&lt;K$3,VLOOKUP($H249,Depreciation!$A$6:$L$10,8,FALSE),0))</f>
        <v>0</v>
      </c>
      <c r="L249" s="361">
        <f>+IF($I249=L$3,VLOOKUP($H249,Depreciation!$A$6:$L$10,9,FALSE)/2,IF($I249&lt;L$3,VLOOKUP($H249,Depreciation!$A$6:$L$10,9,FALSE),0))</f>
        <v>0</v>
      </c>
      <c r="M249" s="361">
        <f>+IF($I249=M$3,VLOOKUP($H249,Depreciation!$A$6:$L$10,10,FALSE)/2,IF($I249&lt;M$3,VLOOKUP($H249,Depreciation!$A$6:$L$10,10,FALSE),0))</f>
        <v>0</v>
      </c>
      <c r="N249" s="361">
        <f>+IF($I249=N$3,VLOOKUP($H249,Depreciation!$A$6:$L$10,11,FALSE)/2,IF($I249&lt;N$3,VLOOKUP($H249,Depreciation!$A$6:$L$10,11,FALSE),0))</f>
        <v>1.5338181838063448E-2</v>
      </c>
      <c r="O249" s="361">
        <f>+IF($I249=O$3,VLOOKUP($H249,Depreciation!$A$6:$L$10,12,FALSE)/2,IF($I249&lt;O$3,VLOOKUP($H249,Depreciation!$A$6:$L$10,12,FALSE),0))</f>
        <v>3.0676363676126896E-2</v>
      </c>
      <c r="P249" s="362">
        <f t="shared" si="11"/>
        <v>544449.97649919696</v>
      </c>
      <c r="Q249" s="362">
        <f t="shared" si="12"/>
        <v>544449.97649919696</v>
      </c>
      <c r="R249" s="363">
        <f t="shared" si="13"/>
        <v>0</v>
      </c>
    </row>
    <row r="250" spans="1:18">
      <c r="A250" s="359" t="str">
        <f>'Func Future Lines 2015'!A250</f>
        <v>PPS</v>
      </c>
      <c r="B250" s="359" t="str">
        <f>'Func Future Lines 2015'!B250</f>
        <v>Phase2 1182L</v>
      </c>
      <c r="C250" s="359">
        <f>'Func Future Lines 2015'!C250</f>
        <v>1421</v>
      </c>
      <c r="D250" s="359">
        <f>'Func Future Lines 2015'!D250</f>
        <v>240</v>
      </c>
      <c r="E250" s="359">
        <f>'Func Future Lines 2015'!E250</f>
        <v>0</v>
      </c>
      <c r="F250" s="359" t="str">
        <f>'Func Future Lines 2015'!F250</f>
        <v>Fort_Saskatchewan</v>
      </c>
      <c r="G250" s="359">
        <f>'Func Future Lines 2015'!G250</f>
        <v>19778650.647485077</v>
      </c>
      <c r="H250" s="359" t="str">
        <f>'Func Future Lines 2015'!H250</f>
        <v>AltaLink</v>
      </c>
      <c r="I250" s="359">
        <f>'Func Future Lines 2015'!I250</f>
        <v>2019</v>
      </c>
      <c r="J250" s="361">
        <f>+IF($I250=J$3,VLOOKUP($H250,Depreciation!$A$6:$L$10,7,FALSE)/2,IF($I250&lt;J$3,VLOOKUP($H250,Depreciation!$A$6:$L$10,7,FALSE),0))</f>
        <v>0</v>
      </c>
      <c r="K250" s="361">
        <f>+IF($I250=K$3,VLOOKUP($H250,Depreciation!$A$6:$L$10,8,FALSE)/2,IF($I250&lt;K$3,VLOOKUP($H250,Depreciation!$A$6:$L$10,8,FALSE),0))</f>
        <v>0</v>
      </c>
      <c r="L250" s="361">
        <f>+IF($I250=L$3,VLOOKUP($H250,Depreciation!$A$6:$L$10,9,FALSE)/2,IF($I250&lt;L$3,VLOOKUP($H250,Depreciation!$A$6:$L$10,9,FALSE),0))</f>
        <v>0</v>
      </c>
      <c r="M250" s="361">
        <f>+IF($I250=M$3,VLOOKUP($H250,Depreciation!$A$6:$L$10,10,FALSE)/2,IF($I250&lt;M$3,VLOOKUP($H250,Depreciation!$A$6:$L$10,10,FALSE),0))</f>
        <v>0</v>
      </c>
      <c r="N250" s="361">
        <f>+IF($I250=N$3,VLOOKUP($H250,Depreciation!$A$6:$L$10,11,FALSE)/2,IF($I250&lt;N$3,VLOOKUP($H250,Depreciation!$A$6:$L$10,11,FALSE),0))</f>
        <v>1.5338181838063448E-2</v>
      </c>
      <c r="O250" s="361">
        <f>+IF($I250=O$3,VLOOKUP($H250,Depreciation!$A$6:$L$10,12,FALSE)/2,IF($I250&lt;O$3,VLOOKUP($H250,Depreciation!$A$6:$L$10,12,FALSE),0))</f>
        <v>3.0676363676126896E-2</v>
      </c>
      <c r="P250" s="362">
        <f t="shared" si="11"/>
        <v>19475282.107342418</v>
      </c>
      <c r="Q250" s="362">
        <f t="shared" si="12"/>
        <v>19475282.107342418</v>
      </c>
      <c r="R250" s="363">
        <f t="shared" si="13"/>
        <v>0</v>
      </c>
    </row>
    <row r="251" spans="1:18">
      <c r="A251" s="359" t="str">
        <f>'Func Future Lines 2015'!A251</f>
        <v>PPS</v>
      </c>
      <c r="B251" s="359" t="str">
        <f>'Func Future Lines 2015'!B251</f>
        <v>Phase2 942L/1131L</v>
      </c>
      <c r="C251" s="359">
        <f>'Func Future Lines 2015'!C251</f>
        <v>1421</v>
      </c>
      <c r="D251" s="359">
        <f>'Func Future Lines 2015'!D251</f>
        <v>240</v>
      </c>
      <c r="E251" s="359">
        <f>'Func Future Lines 2015'!E251</f>
        <v>0</v>
      </c>
      <c r="F251" s="359" t="str">
        <f>'Func Future Lines 2015'!F251</f>
        <v>Fort_Saskatchewan</v>
      </c>
      <c r="G251" s="359">
        <f>'Func Future Lines 2015'!G251</f>
        <v>987104.97626991919</v>
      </c>
      <c r="H251" s="359" t="str">
        <f>'Func Future Lines 2015'!H251</f>
        <v>AltaLink</v>
      </c>
      <c r="I251" s="359">
        <f>'Func Future Lines 2015'!I251</f>
        <v>2019</v>
      </c>
      <c r="J251" s="361">
        <f>+IF($I251=J$3,VLOOKUP($H251,Depreciation!$A$6:$L$10,7,FALSE)/2,IF($I251&lt;J$3,VLOOKUP($H251,Depreciation!$A$6:$L$10,7,FALSE),0))</f>
        <v>0</v>
      </c>
      <c r="K251" s="361">
        <f>+IF($I251=K$3,VLOOKUP($H251,Depreciation!$A$6:$L$10,8,FALSE)/2,IF($I251&lt;K$3,VLOOKUP($H251,Depreciation!$A$6:$L$10,8,FALSE),0))</f>
        <v>0</v>
      </c>
      <c r="L251" s="361">
        <f>+IF($I251=L$3,VLOOKUP($H251,Depreciation!$A$6:$L$10,9,FALSE)/2,IF($I251&lt;L$3,VLOOKUP($H251,Depreciation!$A$6:$L$10,9,FALSE),0))</f>
        <v>0</v>
      </c>
      <c r="M251" s="361">
        <f>+IF($I251=M$3,VLOOKUP($H251,Depreciation!$A$6:$L$10,10,FALSE)/2,IF($I251&lt;M$3,VLOOKUP($H251,Depreciation!$A$6:$L$10,10,FALSE),0))</f>
        <v>0</v>
      </c>
      <c r="N251" s="361">
        <f>+IF($I251=N$3,VLOOKUP($H251,Depreciation!$A$6:$L$10,11,FALSE)/2,IF($I251&lt;N$3,VLOOKUP($H251,Depreciation!$A$6:$L$10,11,FALSE),0))</f>
        <v>1.5338181838063448E-2</v>
      </c>
      <c r="O251" s="361">
        <f>+IF($I251=O$3,VLOOKUP($H251,Depreciation!$A$6:$L$10,12,FALSE)/2,IF($I251&lt;O$3,VLOOKUP($H251,Depreciation!$A$6:$L$10,12,FALSE),0))</f>
        <v>3.0676363676126896E-2</v>
      </c>
      <c r="P251" s="362">
        <f t="shared" si="11"/>
        <v>971964.5806506339</v>
      </c>
      <c r="Q251" s="362">
        <f t="shared" si="12"/>
        <v>971964.5806506339</v>
      </c>
      <c r="R251" s="363">
        <f t="shared" si="13"/>
        <v>0</v>
      </c>
    </row>
    <row r="252" spans="1:18">
      <c r="A252" s="359" t="str">
        <f>'Func Future Lines 2015'!A252</f>
        <v>PPS</v>
      </c>
      <c r="B252" s="359" t="str">
        <f>'Func Future Lines 2015'!B252</f>
        <v>Phase2 997L</v>
      </c>
      <c r="C252" s="359">
        <f>'Func Future Lines 2015'!C252</f>
        <v>1421</v>
      </c>
      <c r="D252" s="359">
        <f>'Func Future Lines 2015'!D252</f>
        <v>240</v>
      </c>
      <c r="E252" s="359">
        <f>'Func Future Lines 2015'!E252</f>
        <v>0</v>
      </c>
      <c r="F252" s="359" t="str">
        <f>'Func Future Lines 2015'!F252</f>
        <v>Fort_Saskatchewan</v>
      </c>
      <c r="G252" s="359">
        <f>'Func Future Lines 2015'!G252</f>
        <v>339650.72037236777</v>
      </c>
      <c r="H252" s="359" t="str">
        <f>'Func Future Lines 2015'!H252</f>
        <v>AltaLink</v>
      </c>
      <c r="I252" s="359">
        <f>'Func Future Lines 2015'!I252</f>
        <v>2019</v>
      </c>
      <c r="J252" s="361">
        <f>+IF($I252=J$3,VLOOKUP($H252,Depreciation!$A$6:$L$10,7,FALSE)/2,IF($I252&lt;J$3,VLOOKUP($H252,Depreciation!$A$6:$L$10,7,FALSE),0))</f>
        <v>0</v>
      </c>
      <c r="K252" s="361">
        <f>+IF($I252=K$3,VLOOKUP($H252,Depreciation!$A$6:$L$10,8,FALSE)/2,IF($I252&lt;K$3,VLOOKUP($H252,Depreciation!$A$6:$L$10,8,FALSE),0))</f>
        <v>0</v>
      </c>
      <c r="L252" s="361">
        <f>+IF($I252=L$3,VLOOKUP($H252,Depreciation!$A$6:$L$10,9,FALSE)/2,IF($I252&lt;L$3,VLOOKUP($H252,Depreciation!$A$6:$L$10,9,FALSE),0))</f>
        <v>0</v>
      </c>
      <c r="M252" s="361">
        <f>+IF($I252=M$3,VLOOKUP($H252,Depreciation!$A$6:$L$10,10,FALSE)/2,IF($I252&lt;M$3,VLOOKUP($H252,Depreciation!$A$6:$L$10,10,FALSE),0))</f>
        <v>0</v>
      </c>
      <c r="N252" s="361">
        <f>+IF($I252=N$3,VLOOKUP($H252,Depreciation!$A$6:$L$10,11,FALSE)/2,IF($I252&lt;N$3,VLOOKUP($H252,Depreciation!$A$6:$L$10,11,FALSE),0))</f>
        <v>1.5338181838063448E-2</v>
      </c>
      <c r="O252" s="361">
        <f>+IF($I252=O$3,VLOOKUP($H252,Depreciation!$A$6:$L$10,12,FALSE)/2,IF($I252&lt;O$3,VLOOKUP($H252,Depreciation!$A$6:$L$10,12,FALSE),0))</f>
        <v>3.0676363676126896E-2</v>
      </c>
      <c r="P252" s="362">
        <f t="shared" si="11"/>
        <v>334441.09586186713</v>
      </c>
      <c r="Q252" s="362">
        <f t="shared" si="12"/>
        <v>334441.09586186713</v>
      </c>
      <c r="R252" s="363">
        <f t="shared" si="13"/>
        <v>0</v>
      </c>
    </row>
    <row r="253" spans="1:18">
      <c r="A253" s="359" t="str">
        <f>'Func Future Lines 2015'!A253</f>
        <v>PPS</v>
      </c>
      <c r="B253" s="359" t="str">
        <f>'Func Future Lines 2015'!B253</f>
        <v>215AL</v>
      </c>
      <c r="C253" s="359">
        <f>'Func Future Lines 2015'!C253</f>
        <v>1442</v>
      </c>
      <c r="D253" s="359">
        <f>'Func Future Lines 2015'!D253</f>
        <v>138</v>
      </c>
      <c r="E253" s="359">
        <f>'Func Future Lines 2015'!E253</f>
        <v>0</v>
      </c>
      <c r="F253" s="359" t="str">
        <f>'Func Future Lines 2015'!F253</f>
        <v>Edmonton</v>
      </c>
      <c r="G253" s="359">
        <f>'Func Future Lines 2015'!G253</f>
        <v>1662085.6643356658</v>
      </c>
      <c r="H253" s="359" t="str">
        <f>'Func Future Lines 2015'!H253</f>
        <v>AltaLink</v>
      </c>
      <c r="I253" s="359">
        <f>'Func Future Lines 2015'!I253</f>
        <v>2019</v>
      </c>
      <c r="J253" s="361">
        <f>+IF($I253=J$3,VLOOKUP($H253,Depreciation!$A$6:$L$10,7,FALSE)/2,IF($I253&lt;J$3,VLOOKUP($H253,Depreciation!$A$6:$L$10,7,FALSE),0))</f>
        <v>0</v>
      </c>
      <c r="K253" s="361">
        <f>+IF($I253=K$3,VLOOKUP($H253,Depreciation!$A$6:$L$10,8,FALSE)/2,IF($I253&lt;K$3,VLOOKUP($H253,Depreciation!$A$6:$L$10,8,FALSE),0))</f>
        <v>0</v>
      </c>
      <c r="L253" s="361">
        <f>+IF($I253=L$3,VLOOKUP($H253,Depreciation!$A$6:$L$10,9,FALSE)/2,IF($I253&lt;L$3,VLOOKUP($H253,Depreciation!$A$6:$L$10,9,FALSE),0))</f>
        <v>0</v>
      </c>
      <c r="M253" s="361">
        <f>+IF($I253=M$3,VLOOKUP($H253,Depreciation!$A$6:$L$10,10,FALSE)/2,IF($I253&lt;M$3,VLOOKUP($H253,Depreciation!$A$6:$L$10,10,FALSE),0))</f>
        <v>0</v>
      </c>
      <c r="N253" s="361">
        <f>+IF($I253=N$3,VLOOKUP($H253,Depreciation!$A$6:$L$10,11,FALSE)/2,IF($I253&lt;N$3,VLOOKUP($H253,Depreciation!$A$6:$L$10,11,FALSE),0))</f>
        <v>1.5338181838063448E-2</v>
      </c>
      <c r="O253" s="361">
        <f>+IF($I253=O$3,VLOOKUP($H253,Depreciation!$A$6:$L$10,12,FALSE)/2,IF($I253&lt;O$3,VLOOKUP($H253,Depreciation!$A$6:$L$10,12,FALSE),0))</f>
        <v>3.0676363676126896E-2</v>
      </c>
      <c r="P253" s="362">
        <f t="shared" si="11"/>
        <v>1636592.2921856467</v>
      </c>
      <c r="Q253" s="362">
        <f t="shared" si="12"/>
        <v>0</v>
      </c>
      <c r="R253" s="363">
        <f t="shared" si="13"/>
        <v>1636592.2921856467</v>
      </c>
    </row>
    <row r="254" spans="1:18">
      <c r="A254" s="359" t="str">
        <f>'Func Future Lines 2015'!A254</f>
        <v>PPS</v>
      </c>
      <c r="B254" s="359" t="str">
        <f>'Func Future Lines 2015'!B254</f>
        <v>745L</v>
      </c>
      <c r="C254" s="359">
        <f>'Func Future Lines 2015'!C254</f>
        <v>1460</v>
      </c>
      <c r="D254" s="359">
        <f>'Func Future Lines 2015'!D254</f>
        <v>138</v>
      </c>
      <c r="E254" s="359">
        <f>'Func Future Lines 2015'!E254</f>
        <v>0</v>
      </c>
      <c r="F254" s="359" t="str">
        <f>'Func Future Lines 2015'!F254</f>
        <v>Hinton_Edson</v>
      </c>
      <c r="G254" s="359">
        <f>'Func Future Lines 2015'!G254</f>
        <v>1744293.0518617025</v>
      </c>
      <c r="H254" s="359" t="str">
        <f>'Func Future Lines 2015'!H254</f>
        <v>AltaLink</v>
      </c>
      <c r="I254" s="359">
        <f>'Func Future Lines 2015'!I254</f>
        <v>2019</v>
      </c>
      <c r="J254" s="361">
        <f>+IF($I254=J$3,VLOOKUP($H254,Depreciation!$A$6:$L$10,7,FALSE)/2,IF($I254&lt;J$3,VLOOKUP($H254,Depreciation!$A$6:$L$10,7,FALSE),0))</f>
        <v>0</v>
      </c>
      <c r="K254" s="361">
        <f>+IF($I254=K$3,VLOOKUP($H254,Depreciation!$A$6:$L$10,8,FALSE)/2,IF($I254&lt;K$3,VLOOKUP($H254,Depreciation!$A$6:$L$10,8,FALSE),0))</f>
        <v>0</v>
      </c>
      <c r="L254" s="361">
        <f>+IF($I254=L$3,VLOOKUP($H254,Depreciation!$A$6:$L$10,9,FALSE)/2,IF($I254&lt;L$3,VLOOKUP($H254,Depreciation!$A$6:$L$10,9,FALSE),0))</f>
        <v>0</v>
      </c>
      <c r="M254" s="361">
        <f>+IF($I254=M$3,VLOOKUP($H254,Depreciation!$A$6:$L$10,10,FALSE)/2,IF($I254&lt;M$3,VLOOKUP($H254,Depreciation!$A$6:$L$10,10,FALSE),0))</f>
        <v>0</v>
      </c>
      <c r="N254" s="361">
        <f>+IF($I254=N$3,VLOOKUP($H254,Depreciation!$A$6:$L$10,11,FALSE)/2,IF($I254&lt;N$3,VLOOKUP($H254,Depreciation!$A$6:$L$10,11,FALSE),0))</f>
        <v>1.5338181838063448E-2</v>
      </c>
      <c r="O254" s="361">
        <f>+IF($I254=O$3,VLOOKUP($H254,Depreciation!$A$6:$L$10,12,FALSE)/2,IF($I254&lt;O$3,VLOOKUP($H254,Depreciation!$A$6:$L$10,12,FALSE),0))</f>
        <v>3.0676363676126896E-2</v>
      </c>
      <c r="P254" s="362">
        <f t="shared" si="11"/>
        <v>1717538.7678533769</v>
      </c>
      <c r="Q254" s="362">
        <f t="shared" si="12"/>
        <v>0</v>
      </c>
      <c r="R254" s="363">
        <f t="shared" si="13"/>
        <v>1717538.7678533769</v>
      </c>
    </row>
    <row r="255" spans="1:18">
      <c r="A255" s="359" t="str">
        <f>'Func Future Lines 2015'!A255</f>
        <v>PPS</v>
      </c>
      <c r="B255" s="359" t="str">
        <f>'Func Future Lines 2015'!B255</f>
        <v>Line 9L144</v>
      </c>
      <c r="C255" s="359">
        <f>'Func Future Lines 2015'!C255</f>
        <v>1482</v>
      </c>
      <c r="D255" s="359">
        <f>'Func Future Lines 2015'!D255</f>
        <v>240</v>
      </c>
      <c r="E255" s="359">
        <f>'Func Future Lines 2015'!E255</f>
        <v>0</v>
      </c>
      <c r="F255" s="359">
        <f>'Func Future Lines 2015'!F255</f>
        <v>0</v>
      </c>
      <c r="G255" s="359">
        <f>'Func Future Lines 2015'!G255</f>
        <v>2696306.3908610074</v>
      </c>
      <c r="H255" s="359" t="str">
        <f>'Func Future Lines 2015'!H255</f>
        <v>ATCO</v>
      </c>
      <c r="I255" s="359">
        <f>'Func Future Lines 2015'!I255</f>
        <v>2016</v>
      </c>
      <c r="J255" s="361">
        <f>+IF($I255=J$3,VLOOKUP($H255,Depreciation!$A$6:$L$10,7,FALSE)/2,IF($I255&lt;J$3,VLOOKUP($H255,Depreciation!$A$6:$L$10,7,FALSE),0))</f>
        <v>0</v>
      </c>
      <c r="K255" s="361">
        <f>+IF($I255=K$3,VLOOKUP($H255,Depreciation!$A$6:$L$10,8,FALSE)/2,IF($I255&lt;K$3,VLOOKUP($H255,Depreciation!$A$6:$L$10,8,FALSE),0))</f>
        <v>1.1971929865503333E-2</v>
      </c>
      <c r="L255" s="361">
        <f>+IF($I255=L$3,VLOOKUP($H255,Depreciation!$A$6:$L$10,9,FALSE)/2,IF($I255&lt;L$3,VLOOKUP($H255,Depreciation!$A$6:$L$10,9,FALSE),0))</f>
        <v>2.4002037926855919E-2</v>
      </c>
      <c r="M255" s="361">
        <f>+IF($I255=M$3,VLOOKUP($H255,Depreciation!$A$6:$L$10,10,FALSE)/2,IF($I255&lt;M$3,VLOOKUP($H255,Depreciation!$A$6:$L$10,10,FALSE),0))</f>
        <v>2.4002037926855919E-2</v>
      </c>
      <c r="N255" s="361">
        <f>+IF($I255=N$3,VLOOKUP($H255,Depreciation!$A$6:$L$10,11,FALSE)/2,IF($I255&lt;N$3,VLOOKUP($H255,Depreciation!$A$6:$L$10,11,FALSE),0))</f>
        <v>2.4002037926855919E-2</v>
      </c>
      <c r="O255" s="361">
        <f>+IF($I255=O$3,VLOOKUP($H255,Depreciation!$A$6:$L$10,12,FALSE)/2,IF($I255&lt;O$3,VLOOKUP($H255,Depreciation!$A$6:$L$10,12,FALSE),0))</f>
        <v>2.4002037926855919E-2</v>
      </c>
      <c r="P255" s="362">
        <f t="shared" si="11"/>
        <v>2476767.5943494262</v>
      </c>
      <c r="Q255" s="362">
        <f t="shared" si="12"/>
        <v>2476767.5943494262</v>
      </c>
      <c r="R255" s="363">
        <f t="shared" si="13"/>
        <v>0</v>
      </c>
    </row>
    <row r="256" spans="1:18">
      <c r="A256" s="359" t="str">
        <f>'Func Future Lines 2015'!A256</f>
        <v>PPS</v>
      </c>
      <c r="B256" s="359" t="str">
        <f>'Func Future Lines 2015'!B256</f>
        <v>Line 9L57</v>
      </c>
      <c r="C256" s="359">
        <f>'Func Future Lines 2015'!C256</f>
        <v>1482</v>
      </c>
      <c r="D256" s="359">
        <f>'Func Future Lines 2015'!D256</f>
        <v>240</v>
      </c>
      <c r="E256" s="359">
        <f>'Func Future Lines 2015'!E256</f>
        <v>0</v>
      </c>
      <c r="F256" s="359">
        <f>'Func Future Lines 2015'!F256</f>
        <v>0</v>
      </c>
      <c r="G256" s="359">
        <f>'Func Future Lines 2015'!G256</f>
        <v>1212513.1677151551</v>
      </c>
      <c r="H256" s="359" t="str">
        <f>'Func Future Lines 2015'!H256</f>
        <v>ATCO</v>
      </c>
      <c r="I256" s="359">
        <f>'Func Future Lines 2015'!I256</f>
        <v>2016</v>
      </c>
      <c r="J256" s="361">
        <f>+IF($I256=J$3,VLOOKUP($H256,Depreciation!$A$6:$L$10,7,FALSE)/2,IF($I256&lt;J$3,VLOOKUP($H256,Depreciation!$A$6:$L$10,7,FALSE),0))</f>
        <v>0</v>
      </c>
      <c r="K256" s="361">
        <f>+IF($I256=K$3,VLOOKUP($H256,Depreciation!$A$6:$L$10,8,FALSE)/2,IF($I256&lt;K$3,VLOOKUP($H256,Depreciation!$A$6:$L$10,8,FALSE),0))</f>
        <v>1.1971929865503333E-2</v>
      </c>
      <c r="L256" s="361">
        <f>+IF($I256=L$3,VLOOKUP($H256,Depreciation!$A$6:$L$10,9,FALSE)/2,IF($I256&lt;L$3,VLOOKUP($H256,Depreciation!$A$6:$L$10,9,FALSE),0))</f>
        <v>2.4002037926855919E-2</v>
      </c>
      <c r="M256" s="361">
        <f>+IF($I256=M$3,VLOOKUP($H256,Depreciation!$A$6:$L$10,10,FALSE)/2,IF($I256&lt;M$3,VLOOKUP($H256,Depreciation!$A$6:$L$10,10,FALSE),0))</f>
        <v>2.4002037926855919E-2</v>
      </c>
      <c r="N256" s="361">
        <f>+IF($I256=N$3,VLOOKUP($H256,Depreciation!$A$6:$L$10,11,FALSE)/2,IF($I256&lt;N$3,VLOOKUP($H256,Depreciation!$A$6:$L$10,11,FALSE),0))</f>
        <v>2.4002037926855919E-2</v>
      </c>
      <c r="O256" s="361">
        <f>+IF($I256=O$3,VLOOKUP($H256,Depreciation!$A$6:$L$10,12,FALSE)/2,IF($I256&lt;O$3,VLOOKUP($H256,Depreciation!$A$6:$L$10,12,FALSE),0))</f>
        <v>2.4002037926855919E-2</v>
      </c>
      <c r="P256" s="362">
        <f t="shared" si="11"/>
        <v>1113787.858715822</v>
      </c>
      <c r="Q256" s="362">
        <f t="shared" si="12"/>
        <v>1113787.858715822</v>
      </c>
      <c r="R256" s="363">
        <f t="shared" si="13"/>
        <v>0</v>
      </c>
    </row>
    <row r="257" spans="1:18">
      <c r="A257" s="359" t="str">
        <f>'Func Future Lines 2015'!A257</f>
        <v>PPS</v>
      </c>
      <c r="B257" s="359" t="str">
        <f>'Func Future Lines 2015'!B257</f>
        <v xml:space="preserve">v180 - Retermination of 0.025km138kV 719L </v>
      </c>
      <c r="C257" s="359">
        <f>'Func Future Lines 2015'!C257</f>
        <v>1494</v>
      </c>
      <c r="D257" s="359">
        <f>'Func Future Lines 2015'!D257</f>
        <v>138</v>
      </c>
      <c r="E257" s="359">
        <f>'Func Future Lines 2015'!E257</f>
        <v>0</v>
      </c>
      <c r="F257" s="359" t="str">
        <f>'Func Future Lines 2015'!F257</f>
        <v>Caroline</v>
      </c>
      <c r="G257" s="359">
        <f>'Func Future Lines 2015'!G257</f>
        <v>51687.593104915919</v>
      </c>
      <c r="H257" s="359" t="str">
        <f>'Func Future Lines 2015'!H257</f>
        <v>AltaLink</v>
      </c>
      <c r="I257" s="359">
        <f>'Func Future Lines 2015'!I257</f>
        <v>2015</v>
      </c>
      <c r="J257" s="361">
        <f>+IF($I257=J$3,VLOOKUP($H257,Depreciation!$A$6:$L$10,7,FALSE)/2,IF($I257&lt;J$3,VLOOKUP($H257,Depreciation!$A$6:$L$10,7,FALSE),0))</f>
        <v>1.595020804044691E-2</v>
      </c>
      <c r="K257" s="361">
        <f>+IF($I257=K$3,VLOOKUP($H257,Depreciation!$A$6:$L$10,8,FALSE)/2,IF($I257&lt;K$3,VLOOKUP($H257,Depreciation!$A$6:$L$10,8,FALSE),0))</f>
        <v>3.0676363676126896E-2</v>
      </c>
      <c r="L257" s="361">
        <f>+IF($I257=L$3,VLOOKUP($H257,Depreciation!$A$6:$L$10,9,FALSE)/2,IF($I257&lt;L$3,VLOOKUP($H257,Depreciation!$A$6:$L$10,9,FALSE),0))</f>
        <v>3.0676363676126896E-2</v>
      </c>
      <c r="M257" s="361">
        <f>+IF($I257=M$3,VLOOKUP($H257,Depreciation!$A$6:$L$10,10,FALSE)/2,IF($I257&lt;M$3,VLOOKUP($H257,Depreciation!$A$6:$L$10,10,FALSE),0))</f>
        <v>3.0676363676126896E-2</v>
      </c>
      <c r="N257" s="361">
        <f>+IF($I257=N$3,VLOOKUP($H257,Depreciation!$A$6:$L$10,11,FALSE)/2,IF($I257&lt;N$3,VLOOKUP($H257,Depreciation!$A$6:$L$10,11,FALSE),0))</f>
        <v>3.0676363676126896E-2</v>
      </c>
      <c r="O257" s="361">
        <f>+IF($I257=O$3,VLOOKUP($H257,Depreciation!$A$6:$L$10,12,FALSE)/2,IF($I257&lt;O$3,VLOOKUP($H257,Depreciation!$A$6:$L$10,12,FALSE),0))</f>
        <v>3.0676363676126896E-2</v>
      </c>
      <c r="P257" s="362">
        <f t="shared" si="11"/>
        <v>44903.334683209177</v>
      </c>
      <c r="Q257" s="362">
        <f t="shared" si="12"/>
        <v>0</v>
      </c>
      <c r="R257" s="363">
        <f t="shared" si="13"/>
        <v>44903.334683209177</v>
      </c>
    </row>
    <row r="258" spans="1:18">
      <c r="A258" s="359" t="str">
        <f>'Func Future Lines 2015'!A258</f>
        <v>PPS</v>
      </c>
      <c r="B258" s="359" t="str">
        <f>'Func Future Lines 2015'!B258</f>
        <v>line upgrade</v>
      </c>
      <c r="C258" s="359">
        <f>'Func Future Lines 2015'!C258</f>
        <v>1503</v>
      </c>
      <c r="D258" s="359">
        <f>'Func Future Lines 2015'!D258</f>
        <v>25</v>
      </c>
      <c r="E258" s="359">
        <f>'Func Future Lines 2015'!E258</f>
        <v>0</v>
      </c>
      <c r="F258" s="359" t="str">
        <f>'Func Future Lines 2015'!F258</f>
        <v>Fort_Saskatchewan</v>
      </c>
      <c r="G258" s="359">
        <f>'Func Future Lines 2015'!G258</f>
        <v>391589.7435897438</v>
      </c>
      <c r="H258" s="359" t="str">
        <f>'Func Future Lines 2015'!H258</f>
        <v>AltaLink</v>
      </c>
      <c r="I258" s="359">
        <f>'Func Future Lines 2015'!I258</f>
        <v>2016</v>
      </c>
      <c r="J258" s="361">
        <f>+IF($I258=J$3,VLOOKUP($H258,Depreciation!$A$6:$L$10,7,FALSE)/2,IF($I258&lt;J$3,VLOOKUP($H258,Depreciation!$A$6:$L$10,7,FALSE),0))</f>
        <v>0</v>
      </c>
      <c r="K258" s="361">
        <f>+IF($I258=K$3,VLOOKUP($H258,Depreciation!$A$6:$L$10,8,FALSE)/2,IF($I258&lt;K$3,VLOOKUP($H258,Depreciation!$A$6:$L$10,8,FALSE),0))</f>
        <v>1.5338181838063448E-2</v>
      </c>
      <c r="L258" s="361">
        <f>+IF($I258=L$3,VLOOKUP($H258,Depreciation!$A$6:$L$10,9,FALSE)/2,IF($I258&lt;L$3,VLOOKUP($H258,Depreciation!$A$6:$L$10,9,FALSE),0))</f>
        <v>3.0676363676126896E-2</v>
      </c>
      <c r="M258" s="361">
        <f>+IF($I258=M$3,VLOOKUP($H258,Depreciation!$A$6:$L$10,10,FALSE)/2,IF($I258&lt;M$3,VLOOKUP($H258,Depreciation!$A$6:$L$10,10,FALSE),0))</f>
        <v>3.0676363676126896E-2</v>
      </c>
      <c r="N258" s="361">
        <f>+IF($I258=N$3,VLOOKUP($H258,Depreciation!$A$6:$L$10,11,FALSE)/2,IF($I258&lt;N$3,VLOOKUP($H258,Depreciation!$A$6:$L$10,11,FALSE),0))</f>
        <v>3.0676363676126896E-2</v>
      </c>
      <c r="O258" s="361">
        <f>+IF($I258=O$3,VLOOKUP($H258,Depreciation!$A$6:$L$10,12,FALSE)/2,IF($I258&lt;O$3,VLOOKUP($H258,Depreciation!$A$6:$L$10,12,FALSE),0))</f>
        <v>3.0676363676126896E-2</v>
      </c>
      <c r="P258" s="362">
        <f t="shared" si="11"/>
        <v>351175.9894242622</v>
      </c>
      <c r="Q258" s="362">
        <f t="shared" si="12"/>
        <v>0</v>
      </c>
      <c r="R258" s="363">
        <f t="shared" si="13"/>
        <v>0</v>
      </c>
    </row>
    <row r="259" spans="1:18">
      <c r="A259" s="359" t="str">
        <f>'Func Future Lines 2015'!A259</f>
        <v>PPS</v>
      </c>
      <c r="B259" s="359" t="str">
        <f>'Func Future Lines 2015'!B259</f>
        <v>685L/854L 60m in/out line</v>
      </c>
      <c r="C259" s="359">
        <f>'Func Future Lines 2015'!C259</f>
        <v>1515</v>
      </c>
      <c r="D259" s="359">
        <f>'Func Future Lines 2015'!D259</f>
        <v>138</v>
      </c>
      <c r="E259" s="359">
        <f>'Func Future Lines 2015'!E259</f>
        <v>0</v>
      </c>
      <c r="F259" s="359" t="str">
        <f>'Func Future Lines 2015'!F259</f>
        <v>Fox_Creek</v>
      </c>
      <c r="G259" s="359">
        <f>'Func Future Lines 2015'!G259</f>
        <v>1401330.1096067054</v>
      </c>
      <c r="H259" s="359" t="str">
        <f>'Func Future Lines 2015'!H259</f>
        <v>AltaLink</v>
      </c>
      <c r="I259" s="359">
        <f>'Func Future Lines 2015'!I259</f>
        <v>2016</v>
      </c>
      <c r="J259" s="361">
        <f>+IF($I259=J$3,VLOOKUP($H259,Depreciation!$A$6:$L$10,7,FALSE)/2,IF($I259&lt;J$3,VLOOKUP($H259,Depreciation!$A$6:$L$10,7,FALSE),0))</f>
        <v>0</v>
      </c>
      <c r="K259" s="361">
        <f>+IF($I259=K$3,VLOOKUP($H259,Depreciation!$A$6:$L$10,8,FALSE)/2,IF($I259&lt;K$3,VLOOKUP($H259,Depreciation!$A$6:$L$10,8,FALSE),0))</f>
        <v>1.5338181838063448E-2</v>
      </c>
      <c r="L259" s="361">
        <f>+IF($I259=L$3,VLOOKUP($H259,Depreciation!$A$6:$L$10,9,FALSE)/2,IF($I259&lt;L$3,VLOOKUP($H259,Depreciation!$A$6:$L$10,9,FALSE),0))</f>
        <v>3.0676363676126896E-2</v>
      </c>
      <c r="M259" s="361">
        <f>+IF($I259=M$3,VLOOKUP($H259,Depreciation!$A$6:$L$10,10,FALSE)/2,IF($I259&lt;M$3,VLOOKUP($H259,Depreciation!$A$6:$L$10,10,FALSE),0))</f>
        <v>3.0676363676126896E-2</v>
      </c>
      <c r="N259" s="361">
        <f>+IF($I259=N$3,VLOOKUP($H259,Depreciation!$A$6:$L$10,11,FALSE)/2,IF($I259&lt;N$3,VLOOKUP($H259,Depreciation!$A$6:$L$10,11,FALSE),0))</f>
        <v>3.0676363676126896E-2</v>
      </c>
      <c r="O259" s="361">
        <f>+IF($I259=O$3,VLOOKUP($H259,Depreciation!$A$6:$L$10,12,FALSE)/2,IF($I259&lt;O$3,VLOOKUP($H259,Depreciation!$A$6:$L$10,12,FALSE),0))</f>
        <v>3.0676363676126896E-2</v>
      </c>
      <c r="P259" s="362">
        <f t="shared" si="11"/>
        <v>1256706.7851162015</v>
      </c>
      <c r="Q259" s="362">
        <f t="shared" si="12"/>
        <v>0</v>
      </c>
      <c r="R259" s="363">
        <f t="shared" si="13"/>
        <v>1256706.7851162015</v>
      </c>
    </row>
    <row r="260" spans="1:18">
      <c r="A260" s="359" t="str">
        <f>'Func Future Lines 2015'!A260</f>
        <v>PPS</v>
      </c>
      <c r="B260" s="359" t="str">
        <f>'Func Future Lines 2015'!B260</f>
        <v>949L</v>
      </c>
      <c r="C260" s="359">
        <f>'Func Future Lines 2015'!C260</f>
        <v>1533</v>
      </c>
      <c r="D260" s="359">
        <f>'Func Future Lines 2015'!D260</f>
        <v>240</v>
      </c>
      <c r="E260" s="359">
        <f>'Func Future Lines 2015'!E260</f>
        <v>0</v>
      </c>
      <c r="F260" s="359">
        <f>'Func Future Lines 2015'!F260</f>
        <v>0</v>
      </c>
      <c r="G260" s="359">
        <f>'Func Future Lines 2015'!G260</f>
        <v>9435770.9999999963</v>
      </c>
      <c r="H260" s="359" t="str">
        <f>'Func Future Lines 2015'!H260</f>
        <v>AltaLink</v>
      </c>
      <c r="I260" s="359">
        <f>'Func Future Lines 2015'!I260</f>
        <v>2017</v>
      </c>
      <c r="J260" s="361">
        <f>+IF($I260=J$3,VLOOKUP($H260,Depreciation!$A$6:$L$10,7,FALSE)/2,IF($I260&lt;J$3,VLOOKUP($H260,Depreciation!$A$6:$L$10,7,FALSE),0))</f>
        <v>0</v>
      </c>
      <c r="K260" s="361">
        <f>+IF($I260=K$3,VLOOKUP($H260,Depreciation!$A$6:$L$10,8,FALSE)/2,IF($I260&lt;K$3,VLOOKUP($H260,Depreciation!$A$6:$L$10,8,FALSE),0))</f>
        <v>0</v>
      </c>
      <c r="L260" s="361">
        <f>+IF($I260=L$3,VLOOKUP($H260,Depreciation!$A$6:$L$10,9,FALSE)/2,IF($I260&lt;L$3,VLOOKUP($H260,Depreciation!$A$6:$L$10,9,FALSE),0))</f>
        <v>1.5338181838063448E-2</v>
      </c>
      <c r="M260" s="361">
        <f>+IF($I260=M$3,VLOOKUP($H260,Depreciation!$A$6:$L$10,10,FALSE)/2,IF($I260&lt;M$3,VLOOKUP($H260,Depreciation!$A$6:$L$10,10,FALSE),0))</f>
        <v>3.0676363676126896E-2</v>
      </c>
      <c r="N260" s="361">
        <f>+IF($I260=N$3,VLOOKUP($H260,Depreciation!$A$6:$L$10,11,FALSE)/2,IF($I260&lt;N$3,VLOOKUP($H260,Depreciation!$A$6:$L$10,11,FALSE),0))</f>
        <v>3.0676363676126896E-2</v>
      </c>
      <c r="O260" s="361">
        <f>+IF($I260=O$3,VLOOKUP($H260,Depreciation!$A$6:$L$10,12,FALSE)/2,IF($I260&lt;O$3,VLOOKUP($H260,Depreciation!$A$6:$L$10,12,FALSE),0))</f>
        <v>3.0676363676126896E-2</v>
      </c>
      <c r="P260" s="362">
        <f t="shared" si="11"/>
        <v>8729755.8112220876</v>
      </c>
      <c r="Q260" s="362">
        <f t="shared" si="12"/>
        <v>8729755.8112220876</v>
      </c>
      <c r="R260" s="363">
        <f t="shared" si="13"/>
        <v>0</v>
      </c>
    </row>
    <row r="261" spans="1:18">
      <c r="A261" s="359" t="str">
        <f>'Func Future Lines 2015'!A261</f>
        <v>PPS</v>
      </c>
      <c r="B261" s="359" t="str">
        <f>'Func Future Lines 2015'!B261</f>
        <v>949L</v>
      </c>
      <c r="C261" s="359">
        <f>'Func Future Lines 2015'!C261</f>
        <v>1533</v>
      </c>
      <c r="D261" s="359">
        <f>'Func Future Lines 2015'!D261</f>
        <v>240</v>
      </c>
      <c r="E261" s="359">
        <f>'Func Future Lines 2015'!E261</f>
        <v>0</v>
      </c>
      <c r="F261" s="359">
        <f>'Func Future Lines 2015'!F261</f>
        <v>0</v>
      </c>
      <c r="G261" s="359">
        <f>'Func Future Lines 2015'!G261</f>
        <v>130006.54878847413</v>
      </c>
      <c r="H261" s="359" t="str">
        <f>'Func Future Lines 2015'!H261</f>
        <v>AltaLink</v>
      </c>
      <c r="I261" s="359">
        <f>'Func Future Lines 2015'!I261</f>
        <v>2017</v>
      </c>
      <c r="J261" s="361">
        <f>+IF($I261=J$3,VLOOKUP($H261,Depreciation!$A$6:$L$10,7,FALSE)/2,IF($I261&lt;J$3,VLOOKUP($H261,Depreciation!$A$6:$L$10,7,FALSE),0))</f>
        <v>0</v>
      </c>
      <c r="K261" s="361">
        <f>+IF($I261=K$3,VLOOKUP($H261,Depreciation!$A$6:$L$10,8,FALSE)/2,IF($I261&lt;K$3,VLOOKUP($H261,Depreciation!$A$6:$L$10,8,FALSE),0))</f>
        <v>0</v>
      </c>
      <c r="L261" s="361">
        <f>+IF($I261=L$3,VLOOKUP($H261,Depreciation!$A$6:$L$10,9,FALSE)/2,IF($I261&lt;L$3,VLOOKUP($H261,Depreciation!$A$6:$L$10,9,FALSE),0))</f>
        <v>1.5338181838063448E-2</v>
      </c>
      <c r="M261" s="361">
        <f>+IF($I261=M$3,VLOOKUP($H261,Depreciation!$A$6:$L$10,10,FALSE)/2,IF($I261&lt;M$3,VLOOKUP($H261,Depreciation!$A$6:$L$10,10,FALSE),0))</f>
        <v>3.0676363676126896E-2</v>
      </c>
      <c r="N261" s="361">
        <f>+IF($I261=N$3,VLOOKUP($H261,Depreciation!$A$6:$L$10,11,FALSE)/2,IF($I261&lt;N$3,VLOOKUP($H261,Depreciation!$A$6:$L$10,11,FALSE),0))</f>
        <v>3.0676363676126896E-2</v>
      </c>
      <c r="O261" s="361">
        <f>+IF($I261=O$3,VLOOKUP($H261,Depreciation!$A$6:$L$10,12,FALSE)/2,IF($I261&lt;O$3,VLOOKUP($H261,Depreciation!$A$6:$L$10,12,FALSE),0))</f>
        <v>3.0676363676126896E-2</v>
      </c>
      <c r="P261" s="362">
        <f t="shared" ref="P261:P277" si="14">IF(I261&lt;=2019,G261*(1-J261)*(1-K261)*(1-L261)*(1-M261)*(1-N261),0)</f>
        <v>120279.03440885861</v>
      </c>
      <c r="Q261" s="362">
        <f t="shared" ref="Q261:Q277" si="15">IF(D261&gt;=240,P261,0)</f>
        <v>120279.03440885861</v>
      </c>
      <c r="R261" s="363">
        <f t="shared" ref="R261:R277" si="16">IF(AND(D261&gt;25,D261&lt;240),P261,0)</f>
        <v>0</v>
      </c>
    </row>
    <row r="262" spans="1:18">
      <c r="A262" s="359" t="str">
        <f>'Func Future Lines 2015'!A262</f>
        <v>PPS</v>
      </c>
      <c r="B262" s="359" t="str">
        <f>'Func Future Lines 2015'!B262</f>
        <v>769BL</v>
      </c>
      <c r="C262" s="359">
        <f>'Func Future Lines 2015'!C262</f>
        <v>1558</v>
      </c>
      <c r="D262" s="359">
        <f>'Func Future Lines 2015'!D262</f>
        <v>138</v>
      </c>
      <c r="E262" s="359">
        <f>'Func Future Lines 2015'!E262</f>
        <v>0</v>
      </c>
      <c r="F262" s="359" t="str">
        <f>'Func Future Lines 2015'!F262</f>
        <v>Wainwright</v>
      </c>
      <c r="G262" s="359">
        <f>'Func Future Lines 2015'!G262</f>
        <v>3292161.5302869286</v>
      </c>
      <c r="H262" s="359" t="str">
        <f>'Func Future Lines 2015'!H262</f>
        <v>AltaLink</v>
      </c>
      <c r="I262" s="359">
        <f>'Func Future Lines 2015'!I262</f>
        <v>2018</v>
      </c>
      <c r="J262" s="361">
        <f>+IF($I262=J$3,VLOOKUP($H262,Depreciation!$A$6:$L$10,7,FALSE)/2,IF($I262&lt;J$3,VLOOKUP($H262,Depreciation!$A$6:$L$10,7,FALSE),0))</f>
        <v>0</v>
      </c>
      <c r="K262" s="361">
        <f>+IF($I262=K$3,VLOOKUP($H262,Depreciation!$A$6:$L$10,8,FALSE)/2,IF($I262&lt;K$3,VLOOKUP($H262,Depreciation!$A$6:$L$10,8,FALSE),0))</f>
        <v>0</v>
      </c>
      <c r="L262" s="361">
        <f>+IF($I262=L$3,VLOOKUP($H262,Depreciation!$A$6:$L$10,9,FALSE)/2,IF($I262&lt;L$3,VLOOKUP($H262,Depreciation!$A$6:$L$10,9,FALSE),0))</f>
        <v>0</v>
      </c>
      <c r="M262" s="361">
        <f>+IF($I262=M$3,VLOOKUP($H262,Depreciation!$A$6:$L$10,10,FALSE)/2,IF($I262&lt;M$3,VLOOKUP($H262,Depreciation!$A$6:$L$10,10,FALSE),0))</f>
        <v>1.5338181838063448E-2</v>
      </c>
      <c r="N262" s="361">
        <f>+IF($I262=N$3,VLOOKUP($H262,Depreciation!$A$6:$L$10,11,FALSE)/2,IF($I262&lt;N$3,VLOOKUP($H262,Depreciation!$A$6:$L$10,11,FALSE),0))</f>
        <v>3.0676363676126896E-2</v>
      </c>
      <c r="O262" s="361">
        <f>+IF($I262=O$3,VLOOKUP($H262,Depreciation!$A$6:$L$10,12,FALSE)/2,IF($I262&lt;O$3,VLOOKUP($H262,Depreciation!$A$6:$L$10,12,FALSE),0))</f>
        <v>3.0676363676126896E-2</v>
      </c>
      <c r="P262" s="362">
        <f t="shared" si="14"/>
        <v>3142223.2403833373</v>
      </c>
      <c r="Q262" s="362">
        <f t="shared" si="15"/>
        <v>0</v>
      </c>
      <c r="R262" s="363">
        <f t="shared" si="16"/>
        <v>3142223.2403833373</v>
      </c>
    </row>
    <row r="263" spans="1:18">
      <c r="A263" s="359" t="str">
        <f>'Func Future Lines 2015'!A263</f>
        <v>PPS</v>
      </c>
      <c r="B263" s="359" t="str">
        <f>'Func Future Lines 2015'!B263</f>
        <v>769L</v>
      </c>
      <c r="C263" s="359">
        <f>'Func Future Lines 2015'!C263</f>
        <v>1558</v>
      </c>
      <c r="D263" s="359">
        <f>'Func Future Lines 2015'!D263</f>
        <v>138</v>
      </c>
      <c r="E263" s="359">
        <f>'Func Future Lines 2015'!E263</f>
        <v>0</v>
      </c>
      <c r="F263" s="359" t="str">
        <f>'Func Future Lines 2015'!F263</f>
        <v>Wainwright</v>
      </c>
      <c r="G263" s="359">
        <f>'Func Future Lines 2015'!G263</f>
        <v>96108.749557208634</v>
      </c>
      <c r="H263" s="359" t="str">
        <f>'Func Future Lines 2015'!H263</f>
        <v>AltaLink</v>
      </c>
      <c r="I263" s="359">
        <f>'Func Future Lines 2015'!I263</f>
        <v>2018</v>
      </c>
      <c r="J263" s="361">
        <f>+IF($I263=J$3,VLOOKUP($H263,Depreciation!$A$6:$L$10,7,FALSE)/2,IF($I263&lt;J$3,VLOOKUP($H263,Depreciation!$A$6:$L$10,7,FALSE),0))</f>
        <v>0</v>
      </c>
      <c r="K263" s="361">
        <f>+IF($I263=K$3,VLOOKUP($H263,Depreciation!$A$6:$L$10,8,FALSE)/2,IF($I263&lt;K$3,VLOOKUP($H263,Depreciation!$A$6:$L$10,8,FALSE),0))</f>
        <v>0</v>
      </c>
      <c r="L263" s="361">
        <f>+IF($I263=L$3,VLOOKUP($H263,Depreciation!$A$6:$L$10,9,FALSE)/2,IF($I263&lt;L$3,VLOOKUP($H263,Depreciation!$A$6:$L$10,9,FALSE),0))</f>
        <v>0</v>
      </c>
      <c r="M263" s="361">
        <f>+IF($I263=M$3,VLOOKUP($H263,Depreciation!$A$6:$L$10,10,FALSE)/2,IF($I263&lt;M$3,VLOOKUP($H263,Depreciation!$A$6:$L$10,10,FALSE),0))</f>
        <v>1.5338181838063448E-2</v>
      </c>
      <c r="N263" s="361">
        <f>+IF($I263=N$3,VLOOKUP($H263,Depreciation!$A$6:$L$10,11,FALSE)/2,IF($I263&lt;N$3,VLOOKUP($H263,Depreciation!$A$6:$L$10,11,FALSE),0))</f>
        <v>3.0676363676126896E-2</v>
      </c>
      <c r="O263" s="361">
        <f>+IF($I263=O$3,VLOOKUP($H263,Depreciation!$A$6:$L$10,12,FALSE)/2,IF($I263&lt;O$3,VLOOKUP($H263,Depreciation!$A$6:$L$10,12,FALSE),0))</f>
        <v>3.0676363676126896E-2</v>
      </c>
      <c r="P263" s="362">
        <f t="shared" si="14"/>
        <v>91731.570181042218</v>
      </c>
      <c r="Q263" s="362">
        <f t="shared" si="15"/>
        <v>0</v>
      </c>
      <c r="R263" s="363">
        <f t="shared" si="16"/>
        <v>91731.570181042218</v>
      </c>
    </row>
    <row r="264" spans="1:18">
      <c r="A264" s="359" t="str">
        <f>'Func Future Lines 2015'!A264</f>
        <v>PPS</v>
      </c>
      <c r="B264" s="359" t="str">
        <f>'Func Future Lines 2015'!B264</f>
        <v>7L05</v>
      </c>
      <c r="C264" s="359">
        <f>'Func Future Lines 2015'!C264</f>
        <v>1570</v>
      </c>
      <c r="D264" s="359">
        <f>'Func Future Lines 2015'!D264</f>
        <v>138</v>
      </c>
      <c r="E264" s="359">
        <f>'Func Future Lines 2015'!E264</f>
        <v>0</v>
      </c>
      <c r="F264" s="359" t="str">
        <f>'Func Future Lines 2015'!F264</f>
        <v>Fort McMurray</v>
      </c>
      <c r="G264" s="359">
        <f>'Func Future Lines 2015'!G264</f>
        <v>304434.26965509646</v>
      </c>
      <c r="H264" s="359" t="str">
        <f>'Func Future Lines 2015'!H264</f>
        <v>ATCO</v>
      </c>
      <c r="I264" s="359">
        <f>'Func Future Lines 2015'!I264</f>
        <v>2017</v>
      </c>
      <c r="J264" s="361">
        <f>+IF($I264=J$3,VLOOKUP($H264,Depreciation!$A$6:$L$10,7,FALSE)/2,IF($I264&lt;J$3,VLOOKUP($H264,Depreciation!$A$6:$L$10,7,FALSE),0))</f>
        <v>0</v>
      </c>
      <c r="K264" s="361">
        <f>+IF($I264=K$3,VLOOKUP($H264,Depreciation!$A$6:$L$10,8,FALSE)/2,IF($I264&lt;K$3,VLOOKUP($H264,Depreciation!$A$6:$L$10,8,FALSE),0))</f>
        <v>0</v>
      </c>
      <c r="L264" s="361">
        <f>+IF($I264=L$3,VLOOKUP($H264,Depreciation!$A$6:$L$10,9,FALSE)/2,IF($I264&lt;L$3,VLOOKUP($H264,Depreciation!$A$6:$L$10,9,FALSE),0))</f>
        <v>1.2001018963427959E-2</v>
      </c>
      <c r="M264" s="361">
        <f>+IF($I264=M$3,VLOOKUP($H264,Depreciation!$A$6:$L$10,10,FALSE)/2,IF($I264&lt;M$3,VLOOKUP($H264,Depreciation!$A$6:$L$10,10,FALSE),0))</f>
        <v>2.4002037926855919E-2</v>
      </c>
      <c r="N264" s="361">
        <f>+IF($I264=N$3,VLOOKUP($H264,Depreciation!$A$6:$L$10,11,FALSE)/2,IF($I264&lt;N$3,VLOOKUP($H264,Depreciation!$A$6:$L$10,11,FALSE),0))</f>
        <v>2.4002037926855919E-2</v>
      </c>
      <c r="O264" s="361">
        <f>+IF($I264=O$3,VLOOKUP($H264,Depreciation!$A$6:$L$10,12,FALSE)/2,IF($I264&lt;O$3,VLOOKUP($H264,Depreciation!$A$6:$L$10,12,FALSE),0))</f>
        <v>2.4002037926855919E-2</v>
      </c>
      <c r="P264" s="362">
        <f t="shared" si="14"/>
        <v>286515.32549408963</v>
      </c>
      <c r="Q264" s="362">
        <f t="shared" si="15"/>
        <v>0</v>
      </c>
      <c r="R264" s="363">
        <f t="shared" si="16"/>
        <v>286515.32549408963</v>
      </c>
    </row>
    <row r="265" spans="1:18">
      <c r="A265" s="359" t="str">
        <f>'Func Future Lines 2015'!A265</f>
        <v>PPS</v>
      </c>
      <c r="B265" s="359" t="str">
        <f>'Func Future Lines 2015'!B265</f>
        <v>704L</v>
      </c>
      <c r="C265" s="359">
        <f>'Func Future Lines 2015'!C265</f>
        <v>1594</v>
      </c>
      <c r="D265" s="359">
        <f>'Func Future Lines 2015'!D265</f>
        <v>138</v>
      </c>
      <c r="E265" s="359">
        <f>'Func Future Lines 2015'!E265</f>
        <v>0</v>
      </c>
      <c r="F265" s="359">
        <f>'Func Future Lines 2015'!F265</f>
        <v>0</v>
      </c>
      <c r="G265" s="359">
        <f>'Func Future Lines 2015'!G265</f>
        <v>14086571.090359084</v>
      </c>
      <c r="H265" s="359" t="str">
        <f>'Func Future Lines 2015'!H265</f>
        <v>AltaLink</v>
      </c>
      <c r="I265" s="359">
        <f>'Func Future Lines 2015'!I265</f>
        <v>2018</v>
      </c>
      <c r="J265" s="361">
        <f>+IF($I265=J$3,VLOOKUP($H265,Depreciation!$A$6:$L$10,7,FALSE)/2,IF($I265&lt;J$3,VLOOKUP($H265,Depreciation!$A$6:$L$10,7,FALSE),0))</f>
        <v>0</v>
      </c>
      <c r="K265" s="361">
        <f>+IF($I265=K$3,VLOOKUP($H265,Depreciation!$A$6:$L$10,8,FALSE)/2,IF($I265&lt;K$3,VLOOKUP($H265,Depreciation!$A$6:$L$10,8,FALSE),0))</f>
        <v>0</v>
      </c>
      <c r="L265" s="361">
        <f>+IF($I265=L$3,VLOOKUP($H265,Depreciation!$A$6:$L$10,9,FALSE)/2,IF($I265&lt;L$3,VLOOKUP($H265,Depreciation!$A$6:$L$10,9,FALSE),0))</f>
        <v>0</v>
      </c>
      <c r="M265" s="361">
        <f>+IF($I265=M$3,VLOOKUP($H265,Depreciation!$A$6:$L$10,10,FALSE)/2,IF($I265&lt;M$3,VLOOKUP($H265,Depreciation!$A$6:$L$10,10,FALSE),0))</f>
        <v>1.5338181838063448E-2</v>
      </c>
      <c r="N265" s="361">
        <f>+IF($I265=N$3,VLOOKUP($H265,Depreciation!$A$6:$L$10,11,FALSE)/2,IF($I265&lt;N$3,VLOOKUP($H265,Depreciation!$A$6:$L$10,11,FALSE),0))</f>
        <v>3.0676363676126896E-2</v>
      </c>
      <c r="O265" s="361">
        <f>+IF($I265=O$3,VLOOKUP($H265,Depreciation!$A$6:$L$10,12,FALSE)/2,IF($I265&lt;O$3,VLOOKUP($H265,Depreciation!$A$6:$L$10,12,FALSE),0))</f>
        <v>3.0676363676126896E-2</v>
      </c>
      <c r="P265" s="362">
        <f t="shared" si="14"/>
        <v>13445011.932200242</v>
      </c>
      <c r="Q265" s="362">
        <f t="shared" si="15"/>
        <v>0</v>
      </c>
      <c r="R265" s="363">
        <f t="shared" si="16"/>
        <v>13445011.932200242</v>
      </c>
    </row>
    <row r="266" spans="1:18">
      <c r="A266" s="359" t="str">
        <f>'Func Future Lines 2015'!A266</f>
        <v>PPS</v>
      </c>
      <c r="B266" s="359" t="str">
        <f>'Func Future Lines 2015'!B266</f>
        <v>7LA10</v>
      </c>
      <c r="C266" s="359">
        <f>'Func Future Lines 2015'!C266</f>
        <v>1618</v>
      </c>
      <c r="D266" s="359">
        <f>'Func Future Lines 2015'!D266</f>
        <v>144</v>
      </c>
      <c r="E266" s="359">
        <f>'Func Future Lines 2015'!E266</f>
        <v>0</v>
      </c>
      <c r="F266" s="359">
        <f>'Func Future Lines 2015'!F266</f>
        <v>0</v>
      </c>
      <c r="G266" s="359">
        <f>'Func Future Lines 2015'!G266</f>
        <v>994089.50036748685</v>
      </c>
      <c r="H266" s="359" t="str">
        <f>'Func Future Lines 2015'!H266</f>
        <v>ATCO</v>
      </c>
      <c r="I266" s="359">
        <f>'Func Future Lines 2015'!I266</f>
        <v>2017</v>
      </c>
      <c r="J266" s="361">
        <f>+IF($I266=J$3,VLOOKUP($H266,Depreciation!$A$6:$L$10,7,FALSE)/2,IF($I266&lt;J$3,VLOOKUP($H266,Depreciation!$A$6:$L$10,7,FALSE),0))</f>
        <v>0</v>
      </c>
      <c r="K266" s="361">
        <f>+IF($I266=K$3,VLOOKUP($H266,Depreciation!$A$6:$L$10,8,FALSE)/2,IF($I266&lt;K$3,VLOOKUP($H266,Depreciation!$A$6:$L$10,8,FALSE),0))</f>
        <v>0</v>
      </c>
      <c r="L266" s="361">
        <f>+IF($I266=L$3,VLOOKUP($H266,Depreciation!$A$6:$L$10,9,FALSE)/2,IF($I266&lt;L$3,VLOOKUP($H266,Depreciation!$A$6:$L$10,9,FALSE),0))</f>
        <v>1.2001018963427959E-2</v>
      </c>
      <c r="M266" s="361">
        <f>+IF($I266=M$3,VLOOKUP($H266,Depreciation!$A$6:$L$10,10,FALSE)/2,IF($I266&lt;M$3,VLOOKUP($H266,Depreciation!$A$6:$L$10,10,FALSE),0))</f>
        <v>2.4002037926855919E-2</v>
      </c>
      <c r="N266" s="361">
        <f>+IF($I266=N$3,VLOOKUP($H266,Depreciation!$A$6:$L$10,11,FALSE)/2,IF($I266&lt;N$3,VLOOKUP($H266,Depreciation!$A$6:$L$10,11,FALSE),0))</f>
        <v>2.4002037926855919E-2</v>
      </c>
      <c r="O266" s="361">
        <f>+IF($I266=O$3,VLOOKUP($H266,Depreciation!$A$6:$L$10,12,FALSE)/2,IF($I266&lt;O$3,VLOOKUP($H266,Depreciation!$A$6:$L$10,12,FALSE),0))</f>
        <v>2.4002037926855919E-2</v>
      </c>
      <c r="P266" s="362">
        <f t="shared" si="14"/>
        <v>935577.5783413985</v>
      </c>
      <c r="Q266" s="362">
        <f t="shared" si="15"/>
        <v>0</v>
      </c>
      <c r="R266" s="363">
        <f t="shared" si="16"/>
        <v>935577.5783413985</v>
      </c>
    </row>
    <row r="267" spans="1:18">
      <c r="A267" s="359" t="str">
        <f>'Func Future Lines 2015'!A267</f>
        <v>PPS</v>
      </c>
      <c r="B267" s="359" t="str">
        <f>'Func Future Lines 2015'!B267</f>
        <v>7L20/7L228_(v1)</v>
      </c>
      <c r="C267" s="359">
        <f>'Func Future Lines 2015'!C267</f>
        <v>1634</v>
      </c>
      <c r="D267" s="359">
        <f>'Func Future Lines 2015'!D267</f>
        <v>144</v>
      </c>
      <c r="E267" s="359">
        <f>'Func Future Lines 2015'!E267</f>
        <v>0</v>
      </c>
      <c r="F267" s="359" t="str">
        <f>'Func Future Lines 2015'!F267</f>
        <v>Grande Prairie</v>
      </c>
      <c r="G267" s="359">
        <f>'Func Future Lines 2015'!G267</f>
        <v>2547123.3415767057</v>
      </c>
      <c r="H267" s="359" t="str">
        <f>'Func Future Lines 2015'!H267</f>
        <v>ATCO</v>
      </c>
      <c r="I267" s="359">
        <f>'Func Future Lines 2015'!I267</f>
        <v>2016</v>
      </c>
      <c r="J267" s="361">
        <f>+IF($I267=J$3,VLOOKUP($H267,Depreciation!$A$6:$L$10,7,FALSE)/2,IF($I267&lt;J$3,VLOOKUP($H267,Depreciation!$A$6:$L$10,7,FALSE),0))</f>
        <v>0</v>
      </c>
      <c r="K267" s="361">
        <f>+IF($I267=K$3,VLOOKUP($H267,Depreciation!$A$6:$L$10,8,FALSE)/2,IF($I267&lt;K$3,VLOOKUP($H267,Depreciation!$A$6:$L$10,8,FALSE),0))</f>
        <v>1.1971929865503333E-2</v>
      </c>
      <c r="L267" s="361">
        <f>+IF($I267=L$3,VLOOKUP($H267,Depreciation!$A$6:$L$10,9,FALSE)/2,IF($I267&lt;L$3,VLOOKUP($H267,Depreciation!$A$6:$L$10,9,FALSE),0))</f>
        <v>2.4002037926855919E-2</v>
      </c>
      <c r="M267" s="361">
        <f>+IF($I267=M$3,VLOOKUP($H267,Depreciation!$A$6:$L$10,10,FALSE)/2,IF($I267&lt;M$3,VLOOKUP($H267,Depreciation!$A$6:$L$10,10,FALSE),0))</f>
        <v>2.4002037926855919E-2</v>
      </c>
      <c r="N267" s="361">
        <f>+IF($I267=N$3,VLOOKUP($H267,Depreciation!$A$6:$L$10,11,FALSE)/2,IF($I267&lt;N$3,VLOOKUP($H267,Depreciation!$A$6:$L$10,11,FALSE),0))</f>
        <v>2.4002037926855919E-2</v>
      </c>
      <c r="O267" s="361">
        <f>+IF($I267=O$3,VLOOKUP($H267,Depreciation!$A$6:$L$10,12,FALSE)/2,IF($I267&lt;O$3,VLOOKUP($H267,Depreciation!$A$6:$L$10,12,FALSE),0))</f>
        <v>2.4002037926855919E-2</v>
      </c>
      <c r="P267" s="362">
        <f t="shared" si="14"/>
        <v>2339731.3349146806</v>
      </c>
      <c r="Q267" s="362">
        <f t="shared" si="15"/>
        <v>0</v>
      </c>
      <c r="R267" s="363">
        <f t="shared" si="16"/>
        <v>2339731.3349146806</v>
      </c>
    </row>
    <row r="268" spans="1:18">
      <c r="A268" s="359" t="str">
        <f>'Func Future Lines 2015'!A268</f>
        <v>PPS</v>
      </c>
      <c r="B268" s="359" t="str">
        <f>'Func Future Lines 2015'!B268</f>
        <v>7L20/7L228_(v1)</v>
      </c>
      <c r="C268" s="359">
        <f>'Func Future Lines 2015'!C268</f>
        <v>1634</v>
      </c>
      <c r="D268" s="359">
        <f>'Func Future Lines 2015'!D268</f>
        <v>144</v>
      </c>
      <c r="E268" s="359">
        <f>'Func Future Lines 2015'!E268</f>
        <v>0</v>
      </c>
      <c r="F268" s="359" t="str">
        <f>'Func Future Lines 2015'!F268</f>
        <v>Grande Prairie</v>
      </c>
      <c r="G268" s="359">
        <f>'Func Future Lines 2015'!G268</f>
        <v>2545264.0744639053</v>
      </c>
      <c r="H268" s="359" t="str">
        <f>'Func Future Lines 2015'!H268</f>
        <v>ATCO</v>
      </c>
      <c r="I268" s="359">
        <f>'Func Future Lines 2015'!I268</f>
        <v>2016</v>
      </c>
      <c r="J268" s="361">
        <f>+IF($I268=J$3,VLOOKUP($H268,Depreciation!$A$6:$L$10,7,FALSE)/2,IF($I268&lt;J$3,VLOOKUP($H268,Depreciation!$A$6:$L$10,7,FALSE),0))</f>
        <v>0</v>
      </c>
      <c r="K268" s="361">
        <f>+IF($I268=K$3,VLOOKUP($H268,Depreciation!$A$6:$L$10,8,FALSE)/2,IF($I268&lt;K$3,VLOOKUP($H268,Depreciation!$A$6:$L$10,8,FALSE),0))</f>
        <v>1.1971929865503333E-2</v>
      </c>
      <c r="L268" s="361">
        <f>+IF($I268=L$3,VLOOKUP($H268,Depreciation!$A$6:$L$10,9,FALSE)/2,IF($I268&lt;L$3,VLOOKUP($H268,Depreciation!$A$6:$L$10,9,FALSE),0))</f>
        <v>2.4002037926855919E-2</v>
      </c>
      <c r="M268" s="361">
        <f>+IF($I268=M$3,VLOOKUP($H268,Depreciation!$A$6:$L$10,10,FALSE)/2,IF($I268&lt;M$3,VLOOKUP($H268,Depreciation!$A$6:$L$10,10,FALSE),0))</f>
        <v>2.4002037926855919E-2</v>
      </c>
      <c r="N268" s="361">
        <f>+IF($I268=N$3,VLOOKUP($H268,Depreciation!$A$6:$L$10,11,FALSE)/2,IF($I268&lt;N$3,VLOOKUP($H268,Depreciation!$A$6:$L$10,11,FALSE),0))</f>
        <v>2.4002037926855919E-2</v>
      </c>
      <c r="O268" s="361">
        <f>+IF($I268=O$3,VLOOKUP($H268,Depreciation!$A$6:$L$10,12,FALSE)/2,IF($I268&lt;O$3,VLOOKUP($H268,Depreciation!$A$6:$L$10,12,FALSE),0))</f>
        <v>2.4002037926855919E-2</v>
      </c>
      <c r="P268" s="362">
        <f t="shared" si="14"/>
        <v>2338023.4531435915</v>
      </c>
      <c r="Q268" s="362">
        <f t="shared" si="15"/>
        <v>0</v>
      </c>
      <c r="R268" s="363">
        <f t="shared" si="16"/>
        <v>2338023.4531435915</v>
      </c>
    </row>
    <row r="269" spans="1:18">
      <c r="A269" s="359" t="str">
        <f>'Func Future Lines 2015'!A269</f>
        <v>PPS</v>
      </c>
      <c r="B269" s="359" t="str">
        <f>'Func Future Lines 2015'!B269</f>
        <v>633L</v>
      </c>
      <c r="C269" s="359">
        <f>'Func Future Lines 2015'!C269</f>
        <v>1636</v>
      </c>
      <c r="D269" s="359">
        <f>'Func Future Lines 2015'!D269</f>
        <v>138</v>
      </c>
      <c r="E269" s="359">
        <f>'Func Future Lines 2015'!E269</f>
        <v>0</v>
      </c>
      <c r="F269" s="359" t="str">
        <f>'Func Future Lines 2015'!F269</f>
        <v>Athabasca/Lac</v>
      </c>
      <c r="G269" s="359">
        <f>'Func Future Lines 2015'!G269</f>
        <v>357000.61337149848</v>
      </c>
      <c r="H269" s="359" t="str">
        <f>'Func Future Lines 2015'!H269</f>
        <v>AltaLink</v>
      </c>
      <c r="I269" s="359">
        <f>'Func Future Lines 2015'!I269</f>
        <v>2016</v>
      </c>
      <c r="J269" s="361">
        <f>+IF($I269=J$3,VLOOKUP($H269,Depreciation!$A$6:$L$10,7,FALSE)/2,IF($I269&lt;J$3,VLOOKUP($H269,Depreciation!$A$6:$L$10,7,FALSE),0))</f>
        <v>0</v>
      </c>
      <c r="K269" s="361">
        <f>+IF($I269=K$3,VLOOKUP($H269,Depreciation!$A$6:$L$10,8,FALSE)/2,IF($I269&lt;K$3,VLOOKUP($H269,Depreciation!$A$6:$L$10,8,FALSE),0))</f>
        <v>1.5338181838063448E-2</v>
      </c>
      <c r="L269" s="361">
        <f>+IF($I269=L$3,VLOOKUP($H269,Depreciation!$A$6:$L$10,9,FALSE)/2,IF($I269&lt;L$3,VLOOKUP($H269,Depreciation!$A$6:$L$10,9,FALSE),0))</f>
        <v>3.0676363676126896E-2</v>
      </c>
      <c r="M269" s="361">
        <f>+IF($I269=M$3,VLOOKUP($H269,Depreciation!$A$6:$L$10,10,FALSE)/2,IF($I269&lt;M$3,VLOOKUP($H269,Depreciation!$A$6:$L$10,10,FALSE),0))</f>
        <v>3.0676363676126896E-2</v>
      </c>
      <c r="N269" s="361">
        <f>+IF($I269=N$3,VLOOKUP($H269,Depreciation!$A$6:$L$10,11,FALSE)/2,IF($I269&lt;N$3,VLOOKUP($H269,Depreciation!$A$6:$L$10,11,FALSE),0))</f>
        <v>3.0676363676126896E-2</v>
      </c>
      <c r="O269" s="361">
        <f>+IF($I269=O$3,VLOOKUP($H269,Depreciation!$A$6:$L$10,12,FALSE)/2,IF($I269&lt;O$3,VLOOKUP($H269,Depreciation!$A$6:$L$10,12,FALSE),0))</f>
        <v>3.0676363676126896E-2</v>
      </c>
      <c r="P269" s="362">
        <f t="shared" si="14"/>
        <v>320156.60695431981</v>
      </c>
      <c r="Q269" s="362">
        <f t="shared" si="15"/>
        <v>0</v>
      </c>
      <c r="R269" s="363">
        <f t="shared" si="16"/>
        <v>320156.60695431981</v>
      </c>
    </row>
    <row r="270" spans="1:18">
      <c r="A270" s="359" t="str">
        <f>'Func Future Lines 2015'!A270</f>
        <v>PPS</v>
      </c>
      <c r="B270" s="359" t="str">
        <f>'Func Future Lines 2015'!B270</f>
        <v>1214L</v>
      </c>
      <c r="C270" s="359">
        <f>'Func Future Lines 2015'!C270</f>
        <v>1655</v>
      </c>
      <c r="D270" s="359">
        <f>'Func Future Lines 2015'!D270</f>
        <v>500</v>
      </c>
      <c r="E270" s="359">
        <f>'Func Future Lines 2015'!E270</f>
        <v>0</v>
      </c>
      <c r="F270" s="359" t="str">
        <f>'Func Future Lines 2015'!F270</f>
        <v>Fort McMurray</v>
      </c>
      <c r="G270" s="359">
        <f>'Func Future Lines 2015'!G270</f>
        <v>816333.28402366897</v>
      </c>
      <c r="H270" s="359" t="str">
        <f>'Func Future Lines 2015'!H270</f>
        <v>AltaLink</v>
      </c>
      <c r="I270" s="359">
        <f>'Func Future Lines 2015'!I270</f>
        <v>2018</v>
      </c>
      <c r="J270" s="361">
        <f>+IF($I270=J$3,VLOOKUP($H270,Depreciation!$A$6:$L$10,7,FALSE)/2,IF($I270&lt;J$3,VLOOKUP($H270,Depreciation!$A$6:$L$10,7,FALSE),0))</f>
        <v>0</v>
      </c>
      <c r="K270" s="361">
        <f>+IF($I270=K$3,VLOOKUP($H270,Depreciation!$A$6:$L$10,8,FALSE)/2,IF($I270&lt;K$3,VLOOKUP($H270,Depreciation!$A$6:$L$10,8,FALSE),0))</f>
        <v>0</v>
      </c>
      <c r="L270" s="361">
        <f>+IF($I270=L$3,VLOOKUP($H270,Depreciation!$A$6:$L$10,9,FALSE)/2,IF($I270&lt;L$3,VLOOKUP($H270,Depreciation!$A$6:$L$10,9,FALSE),0))</f>
        <v>0</v>
      </c>
      <c r="M270" s="361">
        <f>+IF($I270=M$3,VLOOKUP($H270,Depreciation!$A$6:$L$10,10,FALSE)/2,IF($I270&lt;M$3,VLOOKUP($H270,Depreciation!$A$6:$L$10,10,FALSE),0))</f>
        <v>1.5338181838063448E-2</v>
      </c>
      <c r="N270" s="361">
        <f>+IF($I270=N$3,VLOOKUP($H270,Depreciation!$A$6:$L$10,11,FALSE)/2,IF($I270&lt;N$3,VLOOKUP($H270,Depreciation!$A$6:$L$10,11,FALSE),0))</f>
        <v>3.0676363676126896E-2</v>
      </c>
      <c r="O270" s="361">
        <f>+IF($I270=O$3,VLOOKUP($H270,Depreciation!$A$6:$L$10,12,FALSE)/2,IF($I270&lt;O$3,VLOOKUP($H270,Depreciation!$A$6:$L$10,12,FALSE),0))</f>
        <v>3.0676363676126896E-2</v>
      </c>
      <c r="P270" s="362">
        <f t="shared" si="14"/>
        <v>779154.17981755664</v>
      </c>
      <c r="Q270" s="362">
        <f t="shared" si="15"/>
        <v>779154.17981755664</v>
      </c>
      <c r="R270" s="363">
        <f t="shared" si="16"/>
        <v>0</v>
      </c>
    </row>
    <row r="271" spans="1:18">
      <c r="A271" s="359" t="str">
        <f>'Func Future Lines 2015'!A271</f>
        <v>OOM</v>
      </c>
      <c r="B271" s="359" t="str">
        <f>'Func Future Lines 2015'!B271</f>
        <v>New 7km s/c tap to 7L90</v>
      </c>
      <c r="C271" s="359">
        <f>'Func Future Lines 2015'!C271</f>
        <v>1722</v>
      </c>
      <c r="D271" s="359">
        <f>'Func Future Lines 2015'!D271</f>
        <v>144</v>
      </c>
      <c r="E271" s="359">
        <f>'Func Future Lines 2015'!E271</f>
        <v>0</v>
      </c>
      <c r="F271" s="359">
        <f>'Func Future Lines 2015'!F271</f>
        <v>0</v>
      </c>
      <c r="G271" s="359">
        <f>'Func Future Lines 2015'!G271</f>
        <v>5595520.8321615737</v>
      </c>
      <c r="H271" s="359" t="str">
        <f>'Func Future Lines 2015'!H271</f>
        <v>ATCO</v>
      </c>
      <c r="I271" s="359">
        <f>'Func Future Lines 2015'!I271</f>
        <v>2017</v>
      </c>
      <c r="J271" s="361">
        <f>+IF($I271=J$3,VLOOKUP($H271,Depreciation!$A$6:$L$10,7,FALSE)/2,IF($I271&lt;J$3,VLOOKUP($H271,Depreciation!$A$6:$L$10,7,FALSE),0))</f>
        <v>0</v>
      </c>
      <c r="K271" s="361">
        <f>+IF($I271=K$3,VLOOKUP($H271,Depreciation!$A$6:$L$10,8,FALSE)/2,IF($I271&lt;K$3,VLOOKUP($H271,Depreciation!$A$6:$L$10,8,FALSE),0))</f>
        <v>0</v>
      </c>
      <c r="L271" s="361">
        <f>+IF($I271=L$3,VLOOKUP($H271,Depreciation!$A$6:$L$10,9,FALSE)/2,IF($I271&lt;L$3,VLOOKUP($H271,Depreciation!$A$6:$L$10,9,FALSE),0))</f>
        <v>1.2001018963427959E-2</v>
      </c>
      <c r="M271" s="361">
        <f>+IF($I271=M$3,VLOOKUP($H271,Depreciation!$A$6:$L$10,10,FALSE)/2,IF($I271&lt;M$3,VLOOKUP($H271,Depreciation!$A$6:$L$10,10,FALSE),0))</f>
        <v>2.4002037926855919E-2</v>
      </c>
      <c r="N271" s="361">
        <f>+IF($I271=N$3,VLOOKUP($H271,Depreciation!$A$6:$L$10,11,FALSE)/2,IF($I271&lt;N$3,VLOOKUP($H271,Depreciation!$A$6:$L$10,11,FALSE),0))</f>
        <v>2.4002037926855919E-2</v>
      </c>
      <c r="O271" s="361">
        <f>+IF($I271=O$3,VLOOKUP($H271,Depreciation!$A$6:$L$10,12,FALSE)/2,IF($I271&lt;O$3,VLOOKUP($H271,Depreciation!$A$6:$L$10,12,FALSE),0))</f>
        <v>2.4002037926855919E-2</v>
      </c>
      <c r="P271" s="362">
        <f t="shared" si="14"/>
        <v>5266169.5227414872</v>
      </c>
      <c r="Q271" s="362">
        <f t="shared" si="15"/>
        <v>0</v>
      </c>
      <c r="R271" s="363">
        <f t="shared" si="16"/>
        <v>5266169.5227414872</v>
      </c>
    </row>
    <row r="272" spans="1:18">
      <c r="A272" s="359" t="str">
        <f>'Func Future Lines 2015'!A272</f>
        <v>NID</v>
      </c>
      <c r="B272" s="359" t="str">
        <f>'Func Future Lines 2015'!B272</f>
        <v>138kV line</v>
      </c>
      <c r="C272" s="359">
        <f>'Func Future Lines 2015'!C272</f>
        <v>1456</v>
      </c>
      <c r="D272" s="359">
        <f>'Func Future Lines 2015'!D272</f>
        <v>138</v>
      </c>
      <c r="E272" s="359">
        <f>'Func Future Lines 2015'!E272</f>
        <v>0</v>
      </c>
      <c r="F272" s="359" t="str">
        <f>'Func Future Lines 2015'!F272</f>
        <v>Calgary</v>
      </c>
      <c r="G272" s="359">
        <f>'Func Future Lines 2015'!G272</f>
        <v>74119816.894765332</v>
      </c>
      <c r="H272" s="359" t="str">
        <f>'Func Future Lines 2015'!H272</f>
        <v>ENMAX</v>
      </c>
      <c r="I272" s="359">
        <f>'Func Future Lines 2015'!I272</f>
        <v>2021</v>
      </c>
      <c r="J272" s="361">
        <f>+IF($I272=J$3,VLOOKUP($H272,Depreciation!$A$6:$L$10,7,FALSE)/2,IF($I272&lt;J$3,VLOOKUP($H272,Depreciation!$A$6:$L$10,7,FALSE),0))</f>
        <v>0</v>
      </c>
      <c r="K272" s="361">
        <f>+IF($I272=K$3,VLOOKUP($H272,Depreciation!$A$6:$L$10,8,FALSE)/2,IF($I272&lt;K$3,VLOOKUP($H272,Depreciation!$A$6:$L$10,8,FALSE),0))</f>
        <v>0</v>
      </c>
      <c r="L272" s="361">
        <f>+IF($I272=L$3,VLOOKUP($H272,Depreciation!$A$6:$L$10,9,FALSE)/2,IF($I272&lt;L$3,VLOOKUP($H272,Depreciation!$A$6:$L$10,9,FALSE),0))</f>
        <v>0</v>
      </c>
      <c r="M272" s="361">
        <f>+IF($I272=M$3,VLOOKUP($H272,Depreciation!$A$6:$L$10,10,FALSE)/2,IF($I272&lt;M$3,VLOOKUP($H272,Depreciation!$A$6:$L$10,10,FALSE),0))</f>
        <v>0</v>
      </c>
      <c r="N272" s="361">
        <f>+IF($I272=N$3,VLOOKUP($H272,Depreciation!$A$6:$L$10,11,FALSE)/2,IF($I272&lt;N$3,VLOOKUP($H272,Depreciation!$A$6:$L$10,11,FALSE),0))</f>
        <v>0</v>
      </c>
      <c r="O272" s="361">
        <f>+IF($I272=O$3,VLOOKUP($H272,Depreciation!$A$6:$L$10,12,FALSE)/2,IF($I272&lt;O$3,VLOOKUP($H272,Depreciation!$A$6:$L$10,12,FALSE),0))</f>
        <v>0</v>
      </c>
      <c r="P272" s="362">
        <f t="shared" si="14"/>
        <v>0</v>
      </c>
      <c r="Q272" s="362">
        <f t="shared" si="15"/>
        <v>0</v>
      </c>
      <c r="R272" s="363">
        <f t="shared" si="16"/>
        <v>0</v>
      </c>
    </row>
    <row r="273" spans="1:18">
      <c r="A273" s="359" t="str">
        <f>'Func Future Lines 2015'!A273</f>
        <v>Planning</v>
      </c>
      <c r="B273" s="359" t="str">
        <f>'Func Future Lines 2015'!B273</f>
        <v>144KV line</v>
      </c>
      <c r="C273" s="359">
        <f>'Func Future Lines 2015'!C273</f>
        <v>1784</v>
      </c>
      <c r="D273" s="359">
        <f>'Func Future Lines 2015'!D273</f>
        <v>144</v>
      </c>
      <c r="E273" s="359">
        <f>'Func Future Lines 2015'!E273</f>
        <v>0</v>
      </c>
      <c r="F273" s="359" t="str">
        <f>'Func Future Lines 2015'!F273</f>
        <v>Grande Prairie</v>
      </c>
      <c r="G273" s="359">
        <f>'Func Future Lines 2015'!G273</f>
        <v>35000000</v>
      </c>
      <c r="H273" s="359" t="str">
        <f>'Func Future Lines 2015'!H273</f>
        <v>ATCO</v>
      </c>
      <c r="I273" s="359">
        <f>'Func Future Lines 2015'!I273</f>
        <v>2020</v>
      </c>
      <c r="J273" s="361">
        <f>+IF($I273=J$3,VLOOKUP($H273,Depreciation!$A$6:$L$10,7,FALSE)/2,IF($I273&lt;J$3,VLOOKUP($H273,Depreciation!$A$6:$L$10,7,FALSE),0))</f>
        <v>0</v>
      </c>
      <c r="K273" s="361">
        <f>+IF($I273=K$3,VLOOKUP($H273,Depreciation!$A$6:$L$10,8,FALSE)/2,IF($I273&lt;K$3,VLOOKUP($H273,Depreciation!$A$6:$L$10,8,FALSE),0))</f>
        <v>0</v>
      </c>
      <c r="L273" s="361">
        <f>+IF($I273=L$3,VLOOKUP($H273,Depreciation!$A$6:$L$10,9,FALSE)/2,IF($I273&lt;L$3,VLOOKUP($H273,Depreciation!$A$6:$L$10,9,FALSE),0))</f>
        <v>0</v>
      </c>
      <c r="M273" s="361">
        <f>+IF($I273=M$3,VLOOKUP($H273,Depreciation!$A$6:$L$10,10,FALSE)/2,IF($I273&lt;M$3,VLOOKUP($H273,Depreciation!$A$6:$L$10,10,FALSE),0))</f>
        <v>0</v>
      </c>
      <c r="N273" s="361">
        <f>+IF($I273=N$3,VLOOKUP($H273,Depreciation!$A$6:$L$10,11,FALSE)/2,IF($I273&lt;N$3,VLOOKUP($H273,Depreciation!$A$6:$L$10,11,FALSE),0))</f>
        <v>0</v>
      </c>
      <c r="O273" s="361">
        <f>+IF($I273=O$3,VLOOKUP($H273,Depreciation!$A$6:$L$10,12,FALSE)/2,IF($I273&lt;O$3,VLOOKUP($H273,Depreciation!$A$6:$L$10,12,FALSE),0))</f>
        <v>1.2001018963427959E-2</v>
      </c>
      <c r="P273" s="362">
        <f t="shared" si="14"/>
        <v>0</v>
      </c>
      <c r="Q273" s="362">
        <f t="shared" si="15"/>
        <v>0</v>
      </c>
      <c r="R273" s="363">
        <f t="shared" si="16"/>
        <v>0</v>
      </c>
    </row>
    <row r="274" spans="1:18">
      <c r="A274" s="359" t="str">
        <f>'Func Future Lines 2015'!A274</f>
        <v>Planning</v>
      </c>
      <c r="B274" s="359" t="str">
        <f>'Func Future Lines 2015'!B274</f>
        <v>144 kV line</v>
      </c>
      <c r="C274" s="359">
        <f>'Func Future Lines 2015'!C274</f>
        <v>1785</v>
      </c>
      <c r="D274" s="359">
        <f>'Func Future Lines 2015'!D274</f>
        <v>144</v>
      </c>
      <c r="E274" s="359">
        <f>'Func Future Lines 2015'!E274</f>
        <v>0</v>
      </c>
      <c r="F274" s="359" t="str">
        <f>'Func Future Lines 2015'!F274</f>
        <v>Grande Prairie</v>
      </c>
      <c r="G274" s="359">
        <f>'Func Future Lines 2015'!G274</f>
        <v>40000000</v>
      </c>
      <c r="H274" s="359" t="str">
        <f>'Func Future Lines 2015'!H274</f>
        <v>ATCO</v>
      </c>
      <c r="I274" s="359">
        <f>'Func Future Lines 2015'!I274</f>
        <v>2020</v>
      </c>
      <c r="J274" s="361">
        <f>+IF($I274=J$3,VLOOKUP($H274,Depreciation!$A$6:$L$10,7,FALSE)/2,IF($I274&lt;J$3,VLOOKUP($H274,Depreciation!$A$6:$L$10,7,FALSE),0))</f>
        <v>0</v>
      </c>
      <c r="K274" s="361">
        <f>+IF($I274=K$3,VLOOKUP($H274,Depreciation!$A$6:$L$10,8,FALSE)/2,IF($I274&lt;K$3,VLOOKUP($H274,Depreciation!$A$6:$L$10,8,FALSE),0))</f>
        <v>0</v>
      </c>
      <c r="L274" s="361">
        <f>+IF($I274=L$3,VLOOKUP($H274,Depreciation!$A$6:$L$10,9,FALSE)/2,IF($I274&lt;L$3,VLOOKUP($H274,Depreciation!$A$6:$L$10,9,FALSE),0))</f>
        <v>0</v>
      </c>
      <c r="M274" s="361">
        <f>+IF($I274=M$3,VLOOKUP($H274,Depreciation!$A$6:$L$10,10,FALSE)/2,IF($I274&lt;M$3,VLOOKUP($H274,Depreciation!$A$6:$L$10,10,FALSE),0))</f>
        <v>0</v>
      </c>
      <c r="N274" s="361">
        <f>+IF($I274=N$3,VLOOKUP($H274,Depreciation!$A$6:$L$10,11,FALSE)/2,IF($I274&lt;N$3,VLOOKUP($H274,Depreciation!$A$6:$L$10,11,FALSE),0))</f>
        <v>0</v>
      </c>
      <c r="O274" s="361">
        <f>+IF($I274=O$3,VLOOKUP($H274,Depreciation!$A$6:$L$10,12,FALSE)/2,IF($I274&lt;O$3,VLOOKUP($H274,Depreciation!$A$6:$L$10,12,FALSE),0))</f>
        <v>1.2001018963427959E-2</v>
      </c>
      <c r="P274" s="362">
        <f t="shared" si="14"/>
        <v>0</v>
      </c>
      <c r="Q274" s="362">
        <f t="shared" si="15"/>
        <v>0</v>
      </c>
      <c r="R274" s="363">
        <f t="shared" si="16"/>
        <v>0</v>
      </c>
    </row>
    <row r="275" spans="1:18">
      <c r="A275" s="359" t="str">
        <f>'Func Future Lines 2015'!A275</f>
        <v>Planning</v>
      </c>
      <c r="B275" s="359" t="str">
        <f>'Func Future Lines 2015'!B275</f>
        <v>144kV line</v>
      </c>
      <c r="C275" s="359">
        <f>'Func Future Lines 2015'!C275</f>
        <v>1781</v>
      </c>
      <c r="D275" s="359">
        <f>'Func Future Lines 2015'!D275</f>
        <v>144</v>
      </c>
      <c r="E275" s="359">
        <f>'Func Future Lines 2015'!E275</f>
        <v>0</v>
      </c>
      <c r="F275" s="359" t="str">
        <f>'Func Future Lines 2015'!F275</f>
        <v>Central East</v>
      </c>
      <c r="G275" s="359">
        <f>'Func Future Lines 2015'!G275</f>
        <v>150186554.50853476</v>
      </c>
      <c r="H275" s="359" t="str">
        <f>'Func Future Lines 2015'!H275</f>
        <v>AltaLink</v>
      </c>
      <c r="I275" s="359">
        <f>'Func Future Lines 2015'!I275</f>
        <v>2021</v>
      </c>
      <c r="J275" s="361">
        <f>+IF($I275=J$3,VLOOKUP($H275,Depreciation!$A$6:$L$10,7,FALSE)/2,IF($I275&lt;J$3,VLOOKUP($H275,Depreciation!$A$6:$L$10,7,FALSE),0))</f>
        <v>0</v>
      </c>
      <c r="K275" s="361">
        <f>+IF($I275=K$3,VLOOKUP($H275,Depreciation!$A$6:$L$10,8,FALSE)/2,IF($I275&lt;K$3,VLOOKUP($H275,Depreciation!$A$6:$L$10,8,FALSE),0))</f>
        <v>0</v>
      </c>
      <c r="L275" s="361">
        <f>+IF($I275=L$3,VLOOKUP($H275,Depreciation!$A$6:$L$10,9,FALSE)/2,IF($I275&lt;L$3,VLOOKUP($H275,Depreciation!$A$6:$L$10,9,FALSE),0))</f>
        <v>0</v>
      </c>
      <c r="M275" s="361">
        <f>+IF($I275=M$3,VLOOKUP($H275,Depreciation!$A$6:$L$10,10,FALSE)/2,IF($I275&lt;M$3,VLOOKUP($H275,Depreciation!$A$6:$L$10,10,FALSE),0))</f>
        <v>0</v>
      </c>
      <c r="N275" s="361">
        <f>+IF($I275=N$3,VLOOKUP($H275,Depreciation!$A$6:$L$10,11,FALSE)/2,IF($I275&lt;N$3,VLOOKUP($H275,Depreciation!$A$6:$L$10,11,FALSE),0))</f>
        <v>0</v>
      </c>
      <c r="O275" s="361">
        <f>+IF($I275=O$3,VLOOKUP($H275,Depreciation!$A$6:$L$10,12,FALSE)/2,IF($I275&lt;O$3,VLOOKUP($H275,Depreciation!$A$6:$L$10,12,FALSE),0))</f>
        <v>0</v>
      </c>
      <c r="P275" s="362">
        <f t="shared" si="14"/>
        <v>0</v>
      </c>
      <c r="Q275" s="362">
        <f t="shared" si="15"/>
        <v>0</v>
      </c>
      <c r="R275" s="363">
        <f t="shared" si="16"/>
        <v>0</v>
      </c>
    </row>
    <row r="276" spans="1:18">
      <c r="A276" s="359" t="str">
        <f>'Func Future Lines 2015'!A276</f>
        <v>Planning</v>
      </c>
      <c r="B276" s="359" t="str">
        <f>'Func Future Lines 2015'!B276</f>
        <v>144KV line</v>
      </c>
      <c r="C276" s="359">
        <f>'Func Future Lines 2015'!C276</f>
        <v>1781</v>
      </c>
      <c r="D276" s="359">
        <f>'Func Future Lines 2015'!D276</f>
        <v>144</v>
      </c>
      <c r="E276" s="359">
        <f>'Func Future Lines 2015'!E276</f>
        <v>0</v>
      </c>
      <c r="F276" s="359" t="str">
        <f>'Func Future Lines 2015'!F276</f>
        <v>Central East</v>
      </c>
      <c r="G276" s="359">
        <f>'Func Future Lines 2015'!G276</f>
        <v>43590130.403618827</v>
      </c>
      <c r="H276" s="359" t="str">
        <f>'Func Future Lines 2015'!H276</f>
        <v>ATCO</v>
      </c>
      <c r="I276" s="359">
        <f>'Func Future Lines 2015'!I276</f>
        <v>2021</v>
      </c>
      <c r="J276" s="361">
        <f>+IF($I276=J$3,VLOOKUP($H276,Depreciation!$A$6:$L$10,7,FALSE)/2,IF($I276&lt;J$3,VLOOKUP($H276,Depreciation!$A$6:$L$10,7,FALSE),0))</f>
        <v>0</v>
      </c>
      <c r="K276" s="361">
        <f>+IF($I276=K$3,VLOOKUP($H276,Depreciation!$A$6:$L$10,8,FALSE)/2,IF($I276&lt;K$3,VLOOKUP($H276,Depreciation!$A$6:$L$10,8,FALSE),0))</f>
        <v>0</v>
      </c>
      <c r="L276" s="361">
        <f>+IF($I276=L$3,VLOOKUP($H276,Depreciation!$A$6:$L$10,9,FALSE)/2,IF($I276&lt;L$3,VLOOKUP($H276,Depreciation!$A$6:$L$10,9,FALSE),0))</f>
        <v>0</v>
      </c>
      <c r="M276" s="361">
        <f>+IF($I276=M$3,VLOOKUP($H276,Depreciation!$A$6:$L$10,10,FALSE)/2,IF($I276&lt;M$3,VLOOKUP($H276,Depreciation!$A$6:$L$10,10,FALSE),0))</f>
        <v>0</v>
      </c>
      <c r="N276" s="361">
        <f>+IF($I276=N$3,VLOOKUP($H276,Depreciation!$A$6:$L$10,11,FALSE)/2,IF($I276&lt;N$3,VLOOKUP($H276,Depreciation!$A$6:$L$10,11,FALSE),0))</f>
        <v>0</v>
      </c>
      <c r="O276" s="361">
        <f>+IF($I276=O$3,VLOOKUP($H276,Depreciation!$A$6:$L$10,12,FALSE)/2,IF($I276&lt;O$3,VLOOKUP($H276,Depreciation!$A$6:$L$10,12,FALSE),0))</f>
        <v>0</v>
      </c>
      <c r="P276" s="362">
        <f t="shared" si="14"/>
        <v>0</v>
      </c>
      <c r="Q276" s="362">
        <f t="shared" si="15"/>
        <v>0</v>
      </c>
      <c r="R276" s="363">
        <f t="shared" si="16"/>
        <v>0</v>
      </c>
    </row>
    <row r="277" spans="1:18">
      <c r="A277" s="359" t="str">
        <f>'Func Future Lines 2015'!A277</f>
        <v>Planning</v>
      </c>
      <c r="B277" s="359" t="str">
        <f>'Func Future Lines 2015'!B277</f>
        <v>Competitive Process</v>
      </c>
      <c r="C277" s="359">
        <f>'Func Future Lines 2015'!C277</f>
        <v>1590</v>
      </c>
      <c r="D277" s="359">
        <f>'Func Future Lines 2015'!D277</f>
        <v>500</v>
      </c>
      <c r="E277" s="359">
        <f>'Func Future Lines 2015'!E277</f>
        <v>0</v>
      </c>
      <c r="F277" s="359" t="str">
        <f>'Func Future Lines 2015'!F277</f>
        <v>Ft McMurray</v>
      </c>
      <c r="G277" s="359">
        <f>'Func Future Lines 2015'!G277</f>
        <v>0</v>
      </c>
      <c r="H277" s="359" t="str">
        <f>'Func Future Lines 2015'!H277</f>
        <v>Average</v>
      </c>
      <c r="I277" s="359">
        <f>'Func Future Lines 2015'!I277</f>
        <v>2019</v>
      </c>
      <c r="J277" s="361">
        <f>+IF($I277=J$3,VLOOKUP($H277,Depreciation!$A$6:$L$10,7,FALSE)/2,IF($I277&lt;J$3,VLOOKUP($H277,Depreciation!$A$6:$L$10,7,FALSE),0))</f>
        <v>0</v>
      </c>
      <c r="K277" s="361">
        <f>+IF($I277=K$3,VLOOKUP($H277,Depreciation!$A$6:$L$10,8,FALSE)/2,IF($I277&lt;K$3,VLOOKUP($H277,Depreciation!$A$6:$L$10,8,FALSE),0))</f>
        <v>0</v>
      </c>
      <c r="L277" s="361">
        <f>+IF($I277=L$3,VLOOKUP($H277,Depreciation!$A$6:$L$10,9,FALSE)/2,IF($I277&lt;L$3,VLOOKUP($H277,Depreciation!$A$6:$L$10,9,FALSE),0))</f>
        <v>0</v>
      </c>
      <c r="M277" s="361">
        <f>+IF($I277=M$3,VLOOKUP($H277,Depreciation!$A$6:$L$10,10,FALSE)/2,IF($I277&lt;M$3,VLOOKUP($H277,Depreciation!$A$6:$L$10,10,FALSE),0))</f>
        <v>0</v>
      </c>
      <c r="N277" s="361">
        <f>+IF($I277=N$3,VLOOKUP($H277,Depreciation!$A$6:$L$10,11,FALSE)/2,IF($I277&lt;N$3,VLOOKUP($H277,Depreciation!$A$6:$L$10,11,FALSE),0))</f>
        <v>1.3732050514778531E-2</v>
      </c>
      <c r="O277" s="361">
        <f>+IF($I277=O$3,VLOOKUP($H277,Depreciation!$A$6:$L$10,12,FALSE)/2,IF($I277&lt;O$3,VLOOKUP($H277,Depreciation!$A$6:$L$10,12,FALSE),0))</f>
        <v>2.7464101029557063E-2</v>
      </c>
      <c r="P277" s="362">
        <f t="shared" si="14"/>
        <v>0</v>
      </c>
      <c r="Q277" s="362">
        <f t="shared" si="15"/>
        <v>0</v>
      </c>
      <c r="R277" s="363">
        <f t="shared" si="16"/>
        <v>0</v>
      </c>
    </row>
    <row r="278" spans="1:18">
      <c r="F278" s="4"/>
      <c r="G278" s="4"/>
      <c r="H278" s="4"/>
      <c r="I278" s="4"/>
    </row>
    <row r="279" spans="1:18">
      <c r="F279" s="4"/>
      <c r="G279" s="101">
        <f>SUM(G4:G277)</f>
        <v>5884356833.6935625</v>
      </c>
      <c r="H279" s="4"/>
      <c r="I279" s="4"/>
      <c r="P279" s="367">
        <f>SUM(P4:P277)</f>
        <v>4941683351.1501684</v>
      </c>
      <c r="Q279" s="367">
        <f t="shared" ref="Q279:R279" si="17">SUM(Q4:Q277)</f>
        <v>4190249490.1499691</v>
      </c>
      <c r="R279" s="367">
        <f t="shared" si="17"/>
        <v>708339764.37101686</v>
      </c>
    </row>
    <row r="280" spans="1:18">
      <c r="F280" s="4"/>
      <c r="G280" s="101">
        <f>SUMIF(I4:I277,"&lt;=2019",G4:G277)</f>
        <v>5541460331.8866444</v>
      </c>
      <c r="H280" s="4"/>
      <c r="I280" s="4"/>
      <c r="N280" s="594"/>
      <c r="O280" s="594"/>
      <c r="P280" s="596"/>
      <c r="Q280" s="596"/>
      <c r="R280" s="596"/>
    </row>
    <row r="281" spans="1:18">
      <c r="F281" s="4"/>
      <c r="G281" s="4"/>
      <c r="H281" s="4"/>
      <c r="I281" s="4"/>
      <c r="J281" s="4"/>
      <c r="N281" s="594"/>
      <c r="O281" s="594"/>
      <c r="P281" s="594"/>
      <c r="Q281" s="1006"/>
      <c r="R281" s="1006"/>
    </row>
    <row r="282" spans="1:18">
      <c r="F282" s="4"/>
      <c r="G282" s="4"/>
      <c r="H282" s="4"/>
      <c r="I282" s="4"/>
      <c r="J282" s="4"/>
      <c r="N282" s="594"/>
      <c r="O282" s="594"/>
      <c r="P282" s="594"/>
      <c r="Q282" s="594"/>
      <c r="R282" s="594"/>
    </row>
    <row r="283" spans="1:18">
      <c r="F283" s="4"/>
      <c r="G283" s="4"/>
      <c r="H283" s="4"/>
      <c r="I283" s="4"/>
      <c r="J283" s="4"/>
      <c r="N283" s="594"/>
      <c r="O283" s="594"/>
      <c r="P283" s="597"/>
      <c r="Q283" s="594"/>
      <c r="R283" s="594"/>
    </row>
    <row r="284" spans="1:18">
      <c r="F284" s="4"/>
      <c r="G284" s="4"/>
      <c r="H284" s="4"/>
      <c r="I284" s="4"/>
      <c r="J284" s="4"/>
      <c r="N284" s="594"/>
      <c r="O284" s="594"/>
      <c r="P284" s="594"/>
      <c r="Q284" s="594"/>
      <c r="R284" s="594"/>
    </row>
    <row r="285" spans="1:18">
      <c r="F285" s="4"/>
      <c r="G285" s="4"/>
      <c r="H285" s="4"/>
      <c r="I285" s="4"/>
      <c r="J285" s="4"/>
      <c r="N285" s="594"/>
      <c r="O285" s="594"/>
      <c r="P285" s="594"/>
      <c r="Q285" s="594"/>
      <c r="R285" s="594"/>
    </row>
    <row r="286" spans="1:18">
      <c r="F286" s="4"/>
      <c r="G286" s="4"/>
      <c r="H286" s="4"/>
      <c r="I286" s="4"/>
      <c r="J286" s="4"/>
      <c r="N286" s="594"/>
      <c r="O286" s="594"/>
      <c r="P286" s="594"/>
      <c r="Q286" s="594"/>
      <c r="R286" s="594"/>
    </row>
    <row r="287" spans="1:18">
      <c r="F287" s="4"/>
      <c r="G287" s="4"/>
      <c r="H287" s="4"/>
      <c r="I287" s="4"/>
      <c r="J287" s="4"/>
      <c r="N287" s="594"/>
      <c r="O287" s="594"/>
      <c r="P287" s="594"/>
      <c r="Q287" s="597"/>
      <c r="R287" s="597"/>
    </row>
    <row r="288" spans="1:18">
      <c r="F288" s="4"/>
      <c r="G288" s="4"/>
      <c r="H288" s="4"/>
      <c r="I288" s="4"/>
      <c r="J288" s="4"/>
      <c r="N288" s="594"/>
      <c r="O288" s="594"/>
      <c r="P288" s="594"/>
      <c r="Q288" s="594"/>
      <c r="R288" s="594"/>
    </row>
    <row r="289" spans="6:18">
      <c r="F289" s="4"/>
      <c r="G289" s="4"/>
      <c r="H289" s="4"/>
      <c r="I289" s="4"/>
      <c r="J289" s="4"/>
      <c r="N289" s="594"/>
      <c r="O289" s="594"/>
      <c r="P289" s="594"/>
      <c r="Q289" s="594"/>
      <c r="R289" s="594"/>
    </row>
    <row r="290" spans="6:18">
      <c r="F290" s="4"/>
      <c r="G290" s="4"/>
      <c r="H290" s="4"/>
      <c r="I290" s="4"/>
      <c r="J290" s="4"/>
      <c r="N290" s="594"/>
      <c r="O290" s="594"/>
      <c r="P290" s="594"/>
      <c r="Q290" s="594"/>
      <c r="R290" s="594"/>
    </row>
    <row r="291" spans="6:18">
      <c r="F291" s="4"/>
      <c r="G291" s="4"/>
      <c r="H291" s="4"/>
      <c r="I291" s="4"/>
      <c r="J291" s="4"/>
      <c r="N291" s="594"/>
      <c r="O291" s="594"/>
      <c r="P291" s="594"/>
      <c r="Q291" s="594"/>
      <c r="R291" s="594"/>
    </row>
    <row r="292" spans="6:18">
      <c r="F292" s="4"/>
      <c r="G292" s="4"/>
      <c r="H292" s="4"/>
      <c r="I292" s="4"/>
      <c r="J292" s="4"/>
      <c r="N292" s="594"/>
      <c r="O292" s="594"/>
      <c r="P292" s="594"/>
      <c r="Q292" s="594"/>
      <c r="R292" s="594"/>
    </row>
    <row r="293" spans="6:18">
      <c r="F293" s="4"/>
      <c r="G293" s="4"/>
      <c r="H293" s="4"/>
      <c r="I293" s="4"/>
      <c r="J293" s="4"/>
    </row>
    <row r="294" spans="6:18">
      <c r="F294" s="4"/>
      <c r="G294" s="4"/>
      <c r="H294" s="4"/>
      <c r="I294" s="4"/>
      <c r="J294" s="4"/>
    </row>
    <row r="295" spans="6:18">
      <c r="F295" s="4"/>
      <c r="G295" s="4"/>
      <c r="H295" s="4"/>
      <c r="I295" s="4"/>
      <c r="J295" s="4"/>
    </row>
    <row r="296" spans="6:18">
      <c r="F296" s="4"/>
      <c r="G296" s="4"/>
      <c r="H296" s="4"/>
      <c r="I296" s="4"/>
      <c r="J296" s="4"/>
    </row>
    <row r="297" spans="6:18">
      <c r="F297" s="4"/>
      <c r="G297" s="4"/>
      <c r="H297" s="4"/>
      <c r="I297" s="4"/>
      <c r="J297" s="4"/>
    </row>
    <row r="298" spans="6:18">
      <c r="F298" s="4"/>
      <c r="G298" s="4"/>
      <c r="H298" s="4"/>
      <c r="I298" s="4"/>
      <c r="J298" s="4"/>
    </row>
    <row r="299" spans="6:18">
      <c r="F299" s="4"/>
      <c r="G299" s="4"/>
      <c r="H299" s="4"/>
      <c r="I299" s="4"/>
      <c r="J299" s="4"/>
    </row>
    <row r="300" spans="6:18">
      <c r="F300" s="4"/>
      <c r="G300" s="4"/>
      <c r="H300" s="4"/>
      <c r="I300" s="4"/>
      <c r="J300" s="4"/>
    </row>
    <row r="301" spans="6:18">
      <c r="F301" s="4"/>
      <c r="G301" s="4"/>
      <c r="H301" s="4"/>
      <c r="I301" s="4"/>
      <c r="J301" s="4"/>
    </row>
    <row r="302" spans="6:18">
      <c r="F302" s="4"/>
      <c r="G302" s="4"/>
      <c r="H302" s="4"/>
      <c r="I302" s="4"/>
      <c r="J302" s="4"/>
    </row>
    <row r="303" spans="6:18">
      <c r="F303" s="4"/>
      <c r="G303" s="4"/>
      <c r="H303" s="4"/>
      <c r="I303" s="4"/>
      <c r="J303" s="4"/>
    </row>
    <row r="304" spans="6:18">
      <c r="F304" s="4"/>
      <c r="G304" s="4"/>
      <c r="H304" s="4"/>
      <c r="I304" s="4"/>
      <c r="J304" s="4"/>
    </row>
    <row r="305" spans="6:10">
      <c r="F305" s="4"/>
      <c r="G305" s="4"/>
      <c r="H305" s="4"/>
      <c r="I305" s="4"/>
      <c r="J305" s="4"/>
    </row>
    <row r="306" spans="6:10">
      <c r="F306" s="4"/>
      <c r="G306" s="4"/>
      <c r="H306" s="4"/>
      <c r="I306" s="4"/>
      <c r="J306" s="4"/>
    </row>
    <row r="307" spans="6:10">
      <c r="F307" s="4"/>
      <c r="G307" s="4"/>
      <c r="H307" s="4"/>
      <c r="I307" s="4"/>
      <c r="J307" s="4"/>
    </row>
    <row r="308" spans="6:10">
      <c r="F308" s="4"/>
      <c r="G308" s="4"/>
      <c r="H308" s="4"/>
      <c r="I308" s="4"/>
      <c r="J308" s="4"/>
    </row>
    <row r="309" spans="6:10">
      <c r="F309" s="4"/>
      <c r="G309" s="4"/>
      <c r="H309" s="4"/>
      <c r="I309" s="4"/>
      <c r="J309" s="4"/>
    </row>
    <row r="310" spans="6:10">
      <c r="F310" s="4"/>
      <c r="G310" s="4"/>
      <c r="H310" s="4"/>
      <c r="I310" s="4"/>
      <c r="J310" s="4"/>
    </row>
    <row r="311" spans="6:10">
      <c r="F311" s="4"/>
      <c r="G311" s="4"/>
      <c r="H311" s="4"/>
      <c r="I311" s="4"/>
      <c r="J311" s="4"/>
    </row>
    <row r="312" spans="6:10">
      <c r="F312" s="4"/>
      <c r="G312" s="4"/>
      <c r="H312" s="4"/>
      <c r="I312" s="4"/>
      <c r="J312" s="4"/>
    </row>
    <row r="313" spans="6:10">
      <c r="F313" s="4"/>
      <c r="G313" s="4"/>
      <c r="H313" s="4"/>
      <c r="I313" s="4"/>
      <c r="J313" s="4"/>
    </row>
    <row r="314" spans="6:10">
      <c r="F314" s="4"/>
      <c r="G314" s="4"/>
      <c r="H314" s="4"/>
      <c r="I314" s="4"/>
      <c r="J314" s="4"/>
    </row>
    <row r="315" spans="6:10">
      <c r="F315" s="4"/>
      <c r="G315" s="4"/>
      <c r="H315" s="4"/>
      <c r="I315" s="4"/>
      <c r="J315" s="4"/>
    </row>
    <row r="316" spans="6:10">
      <c r="F316" s="4"/>
      <c r="G316" s="4"/>
      <c r="H316" s="4"/>
      <c r="I316" s="4"/>
      <c r="J316" s="4"/>
    </row>
    <row r="317" spans="6:10">
      <c r="F317" s="4"/>
      <c r="G317" s="4"/>
      <c r="H317" s="4"/>
      <c r="I317" s="4"/>
      <c r="J317" s="4"/>
    </row>
    <row r="318" spans="6:10">
      <c r="F318" s="4"/>
      <c r="G318" s="4"/>
      <c r="H318" s="4"/>
      <c r="I318" s="4"/>
      <c r="J318" s="4"/>
    </row>
    <row r="319" spans="6:10">
      <c r="F319" s="4"/>
      <c r="G319" s="4"/>
      <c r="H319" s="4"/>
      <c r="I319" s="4"/>
      <c r="J319" s="4"/>
    </row>
    <row r="320" spans="6:10">
      <c r="F320" s="4"/>
      <c r="G320" s="4"/>
      <c r="H320" s="4"/>
      <c r="I320" s="4"/>
      <c r="J320" s="4"/>
    </row>
    <row r="321" spans="6:10">
      <c r="F321" s="4"/>
      <c r="G321" s="4"/>
      <c r="H321" s="4"/>
      <c r="I321" s="4"/>
      <c r="J321" s="4"/>
    </row>
    <row r="322" spans="6:10">
      <c r="F322" s="4"/>
      <c r="G322" s="4"/>
      <c r="H322" s="4"/>
      <c r="I322" s="4"/>
      <c r="J322" s="4"/>
    </row>
    <row r="323" spans="6:10">
      <c r="F323" s="4"/>
      <c r="G323" s="4"/>
      <c r="H323" s="4"/>
      <c r="I323" s="4"/>
      <c r="J323" s="4"/>
    </row>
    <row r="324" spans="6:10">
      <c r="F324" s="4"/>
      <c r="G324" s="4"/>
      <c r="H324" s="4"/>
      <c r="I324" s="4"/>
      <c r="J324" s="4"/>
    </row>
    <row r="325" spans="6:10">
      <c r="F325" s="4"/>
      <c r="G325" s="4"/>
      <c r="H325" s="4"/>
      <c r="I325" s="4"/>
      <c r="J325" s="4"/>
    </row>
    <row r="326" spans="6:10">
      <c r="F326" s="4"/>
      <c r="G326" s="4"/>
      <c r="H326" s="4"/>
      <c r="I326" s="4"/>
      <c r="J326" s="4"/>
    </row>
    <row r="327" spans="6:10">
      <c r="F327" s="4"/>
      <c r="G327" s="4"/>
      <c r="H327" s="4"/>
      <c r="I327" s="4"/>
      <c r="J327" s="4"/>
    </row>
    <row r="328" spans="6:10">
      <c r="F328" s="4"/>
      <c r="G328" s="4"/>
      <c r="H328" s="4"/>
      <c r="I328" s="4"/>
      <c r="J328" s="4"/>
    </row>
    <row r="329" spans="6:10">
      <c r="F329" s="4"/>
      <c r="G329" s="4"/>
      <c r="H329" s="4"/>
      <c r="I329" s="4"/>
      <c r="J329" s="4"/>
    </row>
    <row r="330" spans="6:10">
      <c r="F330" s="4"/>
      <c r="G330" s="4"/>
      <c r="H330" s="4"/>
      <c r="I330" s="4"/>
      <c r="J330" s="4"/>
    </row>
    <row r="331" spans="6:10">
      <c r="F331" s="4"/>
      <c r="G331" s="4"/>
      <c r="H331" s="4"/>
      <c r="I331" s="4"/>
      <c r="J331" s="4"/>
    </row>
    <row r="332" spans="6:10">
      <c r="F332" s="4"/>
      <c r="G332" s="4"/>
      <c r="H332" s="4"/>
      <c r="I332" s="4"/>
      <c r="J332" s="4"/>
    </row>
    <row r="333" spans="6:10">
      <c r="F333" s="4"/>
      <c r="G333" s="4"/>
      <c r="H333" s="4"/>
      <c r="I333" s="4"/>
      <c r="J333" s="4"/>
    </row>
    <row r="334" spans="6:10">
      <c r="F334" s="4"/>
      <c r="G334" s="4"/>
      <c r="H334" s="4"/>
      <c r="I334" s="4"/>
      <c r="J334" s="4"/>
    </row>
    <row r="335" spans="6:10">
      <c r="F335" s="4"/>
      <c r="G335" s="4"/>
      <c r="H335" s="4"/>
      <c r="I335" s="4"/>
      <c r="J335" s="4"/>
    </row>
    <row r="336" spans="6:10">
      <c r="F336" s="4"/>
      <c r="G336" s="4"/>
      <c r="H336" s="4"/>
      <c r="I336" s="4"/>
      <c r="J336" s="4"/>
    </row>
    <row r="337" spans="6:10">
      <c r="F337" s="4"/>
      <c r="G337" s="4"/>
      <c r="H337" s="4"/>
      <c r="I337" s="4"/>
      <c r="J337" s="4"/>
    </row>
    <row r="338" spans="6:10">
      <c r="F338" s="4"/>
      <c r="G338" s="4"/>
      <c r="H338" s="4"/>
      <c r="I338" s="4"/>
      <c r="J338" s="4"/>
    </row>
    <row r="339" spans="6:10">
      <c r="F339" s="4"/>
      <c r="G339" s="4"/>
      <c r="H339" s="4"/>
      <c r="I339" s="4"/>
      <c r="J339" s="4"/>
    </row>
    <row r="340" spans="6:10">
      <c r="F340" s="4"/>
      <c r="G340" s="4"/>
      <c r="H340" s="4"/>
      <c r="I340" s="4"/>
      <c r="J340" s="4"/>
    </row>
    <row r="341" spans="6:10">
      <c r="F341" s="4"/>
      <c r="G341" s="4"/>
      <c r="H341" s="4"/>
      <c r="I341" s="4"/>
      <c r="J341" s="4"/>
    </row>
    <row r="342" spans="6:10">
      <c r="J342" s="4"/>
    </row>
    <row r="343" spans="6:10">
      <c r="J343" s="4"/>
    </row>
    <row r="344" spans="6:10">
      <c r="J344" s="4"/>
    </row>
    <row r="345" spans="6:10">
      <c r="J345" s="4"/>
    </row>
    <row r="346" spans="6:10">
      <c r="J346" s="4"/>
    </row>
    <row r="347" spans="6:10">
      <c r="J347" s="4"/>
    </row>
    <row r="348" spans="6:10">
      <c r="J348" s="4"/>
    </row>
    <row r="349" spans="6:10">
      <c r="J349" s="4"/>
    </row>
    <row r="350" spans="6:10">
      <c r="J350" s="4"/>
    </row>
    <row r="351" spans="6:10">
      <c r="J351" s="4"/>
    </row>
    <row r="352" spans="6:10">
      <c r="J352" s="4"/>
    </row>
    <row r="353" spans="10:10">
      <c r="J353" s="4"/>
    </row>
    <row r="354" spans="10:10">
      <c r="J354" s="4"/>
    </row>
    <row r="355" spans="10:10">
      <c r="J355" s="4"/>
    </row>
    <row r="356" spans="10:10">
      <c r="J356" s="4"/>
    </row>
    <row r="357" spans="10:10">
      <c r="J357" s="4"/>
    </row>
    <row r="358" spans="10:10">
      <c r="J358" s="4"/>
    </row>
    <row r="359" spans="10:10">
      <c r="J359" s="4"/>
    </row>
    <row r="360" spans="10:10">
      <c r="J360" s="4"/>
    </row>
    <row r="361" spans="10:10">
      <c r="J361" s="4"/>
    </row>
    <row r="362" spans="10:10">
      <c r="J362" s="4"/>
    </row>
    <row r="363" spans="10:10">
      <c r="J363" s="4"/>
    </row>
    <row r="364" spans="10:10">
      <c r="J364" s="4"/>
    </row>
    <row r="365" spans="10:10">
      <c r="J365" s="4"/>
    </row>
    <row r="366" spans="10:10">
      <c r="J366" s="4"/>
    </row>
    <row r="367" spans="10:10">
      <c r="J367" s="4"/>
    </row>
    <row r="368" spans="10:10">
      <c r="J368" s="4"/>
    </row>
    <row r="369" spans="10:10">
      <c r="J369" s="4"/>
    </row>
    <row r="370" spans="10:10">
      <c r="J370" s="4"/>
    </row>
    <row r="371" spans="10:10">
      <c r="J371" s="4"/>
    </row>
    <row r="372" spans="10:10">
      <c r="J372" s="4"/>
    </row>
    <row r="373" spans="10:10">
      <c r="J373" s="4"/>
    </row>
    <row r="374" spans="10:10">
      <c r="J374" s="4"/>
    </row>
    <row r="375" spans="10:10">
      <c r="J375" s="4"/>
    </row>
    <row r="376" spans="10:10">
      <c r="J376" s="4"/>
    </row>
    <row r="377" spans="10:10">
      <c r="J377" s="4"/>
    </row>
    <row r="378" spans="10:10">
      <c r="J378" s="4"/>
    </row>
    <row r="379" spans="10:10">
      <c r="J379" s="4"/>
    </row>
    <row r="380" spans="10:10">
      <c r="J380" s="4"/>
    </row>
    <row r="381" spans="10:10">
      <c r="J381" s="4"/>
    </row>
    <row r="382" spans="10:10">
      <c r="J382" s="4"/>
    </row>
    <row r="383" spans="10:10">
      <c r="J383" s="4"/>
    </row>
    <row r="384" spans="10:10">
      <c r="J384" s="4"/>
    </row>
    <row r="385" spans="10:10">
      <c r="J385" s="4"/>
    </row>
    <row r="386" spans="10:10">
      <c r="J386" s="4"/>
    </row>
    <row r="387" spans="10:10">
      <c r="J387" s="4"/>
    </row>
  </sheetData>
  <mergeCells count="5">
    <mergeCell ref="Q281:R281"/>
    <mergeCell ref="A1:I1"/>
    <mergeCell ref="K1:O1"/>
    <mergeCell ref="Q1:R1"/>
    <mergeCell ref="U1:W1"/>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Y386"/>
  <sheetViews>
    <sheetView showGridLines="0" zoomScale="60" zoomScaleNormal="60" workbookViewId="0">
      <pane ySplit="3" topLeftCell="A4" activePane="bottomLeft" state="frozen"/>
      <selection activeCell="F18" sqref="F18"/>
      <selection pane="bottomLeft" activeCell="R279" sqref="A1:R279"/>
    </sheetView>
  </sheetViews>
  <sheetFormatPr defaultColWidth="9.109375" defaultRowHeight="13.8"/>
  <cols>
    <col min="1" max="1" width="12.109375" style="366" customWidth="1"/>
    <col min="2" max="2" width="101.6640625" style="366" customWidth="1"/>
    <col min="3" max="3" width="62.109375" style="366" bestFit="1" customWidth="1"/>
    <col min="4" max="4" width="7.44140625" style="366" bestFit="1" customWidth="1"/>
    <col min="5" max="5" width="9.44140625" style="366" bestFit="1" customWidth="1"/>
    <col min="6" max="6" width="43.88671875" style="366" bestFit="1" customWidth="1"/>
    <col min="7" max="7" width="32.6640625" style="366" customWidth="1"/>
    <col min="8" max="14" width="23.33203125" style="366" customWidth="1"/>
    <col min="15" max="15" width="23.44140625" style="366" bestFit="1" customWidth="1"/>
    <col min="16" max="16" width="23.44140625" style="366" customWidth="1"/>
    <col min="17" max="17" width="19.88671875" style="286" bestFit="1" customWidth="1"/>
    <col min="18" max="18" width="30" style="368" bestFit="1" customWidth="1"/>
    <col min="19" max="19" width="9.109375" style="286"/>
    <col min="20" max="20" width="0" style="286" hidden="1" customWidth="1"/>
    <col min="21" max="21" width="27.44140625" style="286" bestFit="1" customWidth="1"/>
    <col min="22" max="22" width="33.44140625" style="286" bestFit="1" customWidth="1"/>
    <col min="23" max="23" width="31.33203125" style="286" bestFit="1" customWidth="1"/>
    <col min="24" max="24" width="9.109375" style="286"/>
    <col min="25" max="25" width="10" style="286" bestFit="1" customWidth="1"/>
    <col min="26" max="16384" width="9.109375" style="286"/>
  </cols>
  <sheetData>
    <row r="1" spans="1:25" ht="14.4" thickBot="1">
      <c r="A1" s="1007" t="s">
        <v>2066</v>
      </c>
      <c r="B1" s="1008"/>
      <c r="C1" s="1008"/>
      <c r="D1" s="1008"/>
      <c r="E1" s="1008"/>
      <c r="F1" s="1008"/>
      <c r="G1" s="1008"/>
      <c r="H1" s="1008"/>
      <c r="I1" s="1008"/>
      <c r="J1" s="340"/>
      <c r="K1" s="1009" t="s">
        <v>51</v>
      </c>
      <c r="L1" s="1010"/>
      <c r="M1" s="1010"/>
      <c r="N1" s="1010"/>
      <c r="O1" s="1011"/>
      <c r="P1" s="783"/>
      <c r="Q1" s="1012" t="s">
        <v>119</v>
      </c>
      <c r="R1" s="1013"/>
      <c r="U1" s="986" t="s">
        <v>1686</v>
      </c>
      <c r="V1" s="986"/>
      <c r="W1" s="986"/>
    </row>
    <row r="2" spans="1:25">
      <c r="A2" s="341" t="s">
        <v>3801</v>
      </c>
      <c r="B2" s="342"/>
      <c r="C2" s="342"/>
      <c r="D2" s="342"/>
      <c r="E2" s="342"/>
      <c r="F2" s="342"/>
      <c r="G2" s="342"/>
      <c r="H2" s="343"/>
      <c r="I2" s="343"/>
      <c r="J2" s="344"/>
      <c r="K2" s="345"/>
      <c r="L2" s="344"/>
      <c r="M2" s="344"/>
      <c r="N2" s="344"/>
      <c r="O2" s="346"/>
      <c r="P2" s="344"/>
      <c r="Q2" s="347"/>
      <c r="R2" s="348"/>
      <c r="U2" s="349"/>
      <c r="V2" s="349"/>
      <c r="W2" s="349"/>
    </row>
    <row r="3" spans="1:25" ht="27.6">
      <c r="A3" s="350" t="s">
        <v>120</v>
      </c>
      <c r="B3" s="351" t="s">
        <v>121</v>
      </c>
      <c r="C3" s="351" t="s">
        <v>1205</v>
      </c>
      <c r="D3" s="351" t="s">
        <v>122</v>
      </c>
      <c r="E3" s="351" t="s">
        <v>123</v>
      </c>
      <c r="F3" s="351" t="s">
        <v>1216</v>
      </c>
      <c r="G3" s="352" t="s">
        <v>149</v>
      </c>
      <c r="H3" s="352" t="s">
        <v>148</v>
      </c>
      <c r="I3" s="353" t="s">
        <v>150</v>
      </c>
      <c r="J3" s="354">
        <v>2015</v>
      </c>
      <c r="K3" s="355">
        <v>2016</v>
      </c>
      <c r="L3" s="355">
        <v>2017</v>
      </c>
      <c r="M3" s="355">
        <v>2018</v>
      </c>
      <c r="N3" s="355">
        <v>2019</v>
      </c>
      <c r="O3" s="355">
        <v>2020</v>
      </c>
      <c r="P3" s="355" t="s">
        <v>1501</v>
      </c>
      <c r="Q3" s="356" t="s">
        <v>124</v>
      </c>
      <c r="R3" s="357" t="s">
        <v>125</v>
      </c>
      <c r="U3" s="358" t="s">
        <v>2093</v>
      </c>
      <c r="V3" s="358" t="s">
        <v>49</v>
      </c>
      <c r="W3" s="358" t="s">
        <v>74</v>
      </c>
    </row>
    <row r="4" spans="1:25" ht="15" customHeight="1">
      <c r="A4" s="359" t="str">
        <f>'Func Future Lines 2015'!A4</f>
        <v>PPS</v>
      </c>
      <c r="B4" s="359" t="str">
        <f>'Func Future Lines 2015'!B4</f>
        <v>978L_(v1)</v>
      </c>
      <c r="C4" s="359">
        <f>'Func Future Lines 2015'!C4</f>
        <v>479</v>
      </c>
      <c r="D4" s="359">
        <f>'Func Future Lines 2015'!D4</f>
        <v>240</v>
      </c>
      <c r="E4" s="359">
        <f>'Func Future Lines 2015'!E4</f>
        <v>0</v>
      </c>
      <c r="F4" s="359">
        <f>'Func Future Lines 2015'!F4</f>
        <v>0</v>
      </c>
      <c r="G4" s="360">
        <f>'Func Future Lines 2015'!G4</f>
        <v>43593801.111914299</v>
      </c>
      <c r="H4" s="359" t="str">
        <f>'Func Future Lines 2015'!H4</f>
        <v>AltaLink</v>
      </c>
      <c r="I4" s="359">
        <f>'Func Future Lines 2015'!I4</f>
        <v>2019</v>
      </c>
      <c r="J4" s="361">
        <f>+IF($I4=J$3,VLOOKUP($H4,Depreciation!$A$6:$L$10,7,FALSE)/2,IF($I4&lt;J$3,VLOOKUP($H4,Depreciation!$A$6:$L$10,7,FALSE),0))</f>
        <v>0</v>
      </c>
      <c r="K4" s="361">
        <f>+IF($I4=K$3,VLOOKUP($H4,Depreciation!$A$6:$L$10,8,FALSE)/2,IF($I4&lt;K$3,VLOOKUP($H4,Depreciation!$A$6:$L$10,8,FALSE),0))</f>
        <v>0</v>
      </c>
      <c r="L4" s="361">
        <f>+IF($I4=L$3,VLOOKUP($H4,Depreciation!$A$6:$L$10,9,FALSE)/2,IF($I4&lt;L$3,VLOOKUP($H4,Depreciation!$A$6:$L$10,9,FALSE),0))</f>
        <v>0</v>
      </c>
      <c r="M4" s="361">
        <f>+IF($I4=M$3,VLOOKUP($H4,Depreciation!$A$6:$L$10,10,FALSE)/2,IF($I4&lt;M$3,VLOOKUP($H4,Depreciation!$A$6:$L$10,10,FALSE),0))</f>
        <v>0</v>
      </c>
      <c r="N4" s="361">
        <f>+IF($I4=N$3,VLOOKUP($H4,Depreciation!$A$6:$L$10,11,FALSE)/2,IF($I4&lt;N$3,VLOOKUP($H4,Depreciation!$A$6:$L$10,11,FALSE),0))</f>
        <v>1.5338181838063448E-2</v>
      </c>
      <c r="O4" s="361">
        <f>+IF($I4=O$3,VLOOKUP($H4,Depreciation!$A$6:$L$10,12,FALSE)/2,IF($I4&lt;O$3,VLOOKUP($H4,Depreciation!$A$6:$L$10,12,FALSE),0))</f>
        <v>3.0676363676126896E-2</v>
      </c>
      <c r="P4" s="362">
        <f>IF(I4&lt;=2020,G4*(1-J4)*(1-K4)*(1-L4)*(1-M4)*(1-N4)*(1-O4),0)</f>
        <v>41608363.906301841</v>
      </c>
      <c r="Q4" s="362">
        <f t="shared" ref="Q4" si="0">IF(D4&gt;=240,P4,0)</f>
        <v>41608363.906301841</v>
      </c>
      <c r="R4" s="363">
        <f>IF(AND(D4&gt;25,D4&lt;240),P4,0)</f>
        <v>0</v>
      </c>
      <c r="U4" s="369" t="s">
        <v>108</v>
      </c>
      <c r="V4" s="370">
        <f>SUM(Q4:Q277)</f>
        <v>4070854597.8236027</v>
      </c>
      <c r="W4" s="370">
        <f>SUM(R4:R277)</f>
        <v>761919711.1861254</v>
      </c>
      <c r="Y4" s="365"/>
    </row>
    <row r="5" spans="1:25" ht="15" customHeight="1">
      <c r="A5" s="359" t="str">
        <f>'Func Future Lines 2015'!A5</f>
        <v>PPS</v>
      </c>
      <c r="B5" s="359" t="str">
        <f>'Func Future Lines 2015'!B5</f>
        <v>600AL</v>
      </c>
      <c r="C5" s="359">
        <f>'Func Future Lines 2015'!C5</f>
        <v>513</v>
      </c>
      <c r="D5" s="359">
        <f>'Func Future Lines 2015'!D5</f>
        <v>138</v>
      </c>
      <c r="E5" s="359">
        <f>'Func Future Lines 2015'!E5</f>
        <v>0</v>
      </c>
      <c r="F5" s="359">
        <f>'Func Future Lines 2015'!F5</f>
        <v>0</v>
      </c>
      <c r="G5" s="360">
        <f>'Func Future Lines 2015'!G5</f>
        <v>690724.36500470294</v>
      </c>
      <c r="H5" s="359" t="str">
        <f>'Func Future Lines 2015'!H5</f>
        <v>AltaLink</v>
      </c>
      <c r="I5" s="359">
        <f>'Func Future Lines 2015'!I5</f>
        <v>2017</v>
      </c>
      <c r="J5" s="361">
        <f>+IF($I5=J$3,VLOOKUP($H5,Depreciation!$A$6:$L$10,7,FALSE)/2,IF($I5&lt;J$3,VLOOKUP($H5,Depreciation!$A$6:$L$10,7,FALSE),0))</f>
        <v>0</v>
      </c>
      <c r="K5" s="361">
        <f>+IF($I5=K$3,VLOOKUP($H5,Depreciation!$A$6:$L$10,8,FALSE)/2,IF($I5&lt;K$3,VLOOKUP($H5,Depreciation!$A$6:$L$10,8,FALSE),0))</f>
        <v>0</v>
      </c>
      <c r="L5" s="361">
        <f>+IF($I5=L$3,VLOOKUP($H5,Depreciation!$A$6:$L$10,9,FALSE)/2,IF($I5&lt;L$3,VLOOKUP($H5,Depreciation!$A$6:$L$10,9,FALSE),0))</f>
        <v>1.5338181838063448E-2</v>
      </c>
      <c r="M5" s="361">
        <f>+IF($I5=M$3,VLOOKUP($H5,Depreciation!$A$6:$L$10,10,FALSE)/2,IF($I5&lt;M$3,VLOOKUP($H5,Depreciation!$A$6:$L$10,10,FALSE),0))</f>
        <v>3.0676363676126896E-2</v>
      </c>
      <c r="N5" s="361">
        <f>+IF($I5=N$3,VLOOKUP($H5,Depreciation!$A$6:$L$10,11,FALSE)/2,IF($I5&lt;N$3,VLOOKUP($H5,Depreciation!$A$6:$L$10,11,FALSE),0))</f>
        <v>3.0676363676126896E-2</v>
      </c>
      <c r="O5" s="361">
        <f>+IF($I5=O$3,VLOOKUP($H5,Depreciation!$A$6:$L$10,12,FALSE)/2,IF($I5&lt;O$3,VLOOKUP($H5,Depreciation!$A$6:$L$10,12,FALSE),0))</f>
        <v>3.0676363676126896E-2</v>
      </c>
      <c r="P5" s="362">
        <f t="shared" ref="P5:P68" si="1">IF(I5&lt;=2020,G5*(1-J5)*(1-K5)*(1-L5)*(1-M5)*(1-N5)*(1-O5),0)</f>
        <v>619438.62491480459</v>
      </c>
      <c r="Q5" s="362">
        <f t="shared" ref="Q5:Q68" si="2">IF(D5&gt;=240,P5,0)</f>
        <v>0</v>
      </c>
      <c r="R5" s="363">
        <f t="shared" ref="R5:R68" si="3">IF(AND(D5&gt;25,D5&lt;240),P5,0)</f>
        <v>619438.62491480459</v>
      </c>
      <c r="U5" s="369" t="s">
        <v>109</v>
      </c>
      <c r="V5" s="371">
        <f>+V4/SUM($V$4:$W$4)</f>
        <v>0.84234320444766464</v>
      </c>
      <c r="W5" s="371">
        <f>+W4/SUM($V$4:$W$4)</f>
        <v>0.15765679555233533</v>
      </c>
      <c r="Y5" s="365"/>
    </row>
    <row r="6" spans="1:25" ht="15" customHeight="1">
      <c r="A6" s="359" t="str">
        <f>'Func Future Lines 2015'!A6</f>
        <v>PPS</v>
      </c>
      <c r="B6" s="359" t="str">
        <f>'Func Future Lines 2015'!B6</f>
        <v>600L</v>
      </c>
      <c r="C6" s="359">
        <f>'Func Future Lines 2015'!C6</f>
        <v>513</v>
      </c>
      <c r="D6" s="359">
        <f>'Func Future Lines 2015'!D6</f>
        <v>138</v>
      </c>
      <c r="E6" s="359">
        <f>'Func Future Lines 2015'!E6</f>
        <v>0</v>
      </c>
      <c r="F6" s="359">
        <f>'Func Future Lines 2015'!F6</f>
        <v>0</v>
      </c>
      <c r="G6" s="360">
        <f>'Func Future Lines 2015'!G6</f>
        <v>982953.90404515422</v>
      </c>
      <c r="H6" s="359" t="str">
        <f>'Func Future Lines 2015'!H6</f>
        <v>AltaLink</v>
      </c>
      <c r="I6" s="359">
        <f>'Func Future Lines 2015'!I6</f>
        <v>2017</v>
      </c>
      <c r="J6" s="361">
        <f>+IF($I6=J$3,VLOOKUP($H6,Depreciation!$A$6:$L$10,7,FALSE)/2,IF($I6&lt;J$3,VLOOKUP($H6,Depreciation!$A$6:$L$10,7,FALSE),0))</f>
        <v>0</v>
      </c>
      <c r="K6" s="361">
        <f>+IF($I6=K$3,VLOOKUP($H6,Depreciation!$A$6:$L$10,8,FALSE)/2,IF($I6&lt;K$3,VLOOKUP($H6,Depreciation!$A$6:$L$10,8,FALSE),0))</f>
        <v>0</v>
      </c>
      <c r="L6" s="361">
        <f>+IF($I6=L$3,VLOOKUP($H6,Depreciation!$A$6:$L$10,9,FALSE)/2,IF($I6&lt;L$3,VLOOKUP($H6,Depreciation!$A$6:$L$10,9,FALSE),0))</f>
        <v>1.5338181838063448E-2</v>
      </c>
      <c r="M6" s="361">
        <f>+IF($I6=M$3,VLOOKUP($H6,Depreciation!$A$6:$L$10,10,FALSE)/2,IF($I6&lt;M$3,VLOOKUP($H6,Depreciation!$A$6:$L$10,10,FALSE),0))</f>
        <v>3.0676363676126896E-2</v>
      </c>
      <c r="N6" s="361">
        <f>+IF($I6=N$3,VLOOKUP($H6,Depreciation!$A$6:$L$10,11,FALSE)/2,IF($I6&lt;N$3,VLOOKUP($H6,Depreciation!$A$6:$L$10,11,FALSE),0))</f>
        <v>3.0676363676126896E-2</v>
      </c>
      <c r="O6" s="361">
        <f>+IF($I6=O$3,VLOOKUP($H6,Depreciation!$A$6:$L$10,12,FALSE)/2,IF($I6&lt;O$3,VLOOKUP($H6,Depreciation!$A$6:$L$10,12,FALSE),0))</f>
        <v>3.0676363676126896E-2</v>
      </c>
      <c r="P6" s="362">
        <f t="shared" si="1"/>
        <v>881508.81237876031</v>
      </c>
      <c r="Q6" s="362">
        <f t="shared" si="2"/>
        <v>0</v>
      </c>
      <c r="R6" s="363">
        <f t="shared" si="3"/>
        <v>881508.81237876031</v>
      </c>
      <c r="W6" s="4"/>
      <c r="Y6" s="365"/>
    </row>
    <row r="7" spans="1:25" ht="15" customHeight="1">
      <c r="A7" s="359" t="str">
        <f>'Func Future Lines 2015'!A7</f>
        <v>FINAL</v>
      </c>
      <c r="B7" s="359" t="str">
        <f>'Func Future Lines 2015'!B7</f>
        <v>807L_942L_1061L (942L/1001L )</v>
      </c>
      <c r="C7" s="359">
        <f>'Func Future Lines 2015'!C7</f>
        <v>559</v>
      </c>
      <c r="D7" s="359">
        <f>'Func Future Lines 2015'!D7</f>
        <v>240</v>
      </c>
      <c r="E7" s="359">
        <f>'Func Future Lines 2015'!E7</f>
        <v>0</v>
      </c>
      <c r="F7" s="359" t="str">
        <f>'Func Future Lines 2015'!F7</f>
        <v>Fort_Saskatchewan</v>
      </c>
      <c r="G7" s="359">
        <f>'Func Future Lines 2015'!G7</f>
        <v>23861790.750385337</v>
      </c>
      <c r="H7" s="359" t="str">
        <f>'Func Future Lines 2015'!H7</f>
        <v>AltaLink</v>
      </c>
      <c r="I7" s="359">
        <f>'Func Future Lines 2015'!I7</f>
        <v>2015</v>
      </c>
      <c r="J7" s="361">
        <f>+IF($I7=J$3,VLOOKUP($H7,Depreciation!$A$6:$L$10,7,FALSE)/2,IF($I7&lt;J$3,VLOOKUP($H7,Depreciation!$A$6:$L$10,7,FALSE),0))</f>
        <v>1.595020804044691E-2</v>
      </c>
      <c r="K7" s="361">
        <f>+IF($I7=K$3,VLOOKUP($H7,Depreciation!$A$6:$L$10,8,FALSE)/2,IF($I7&lt;K$3,VLOOKUP($H7,Depreciation!$A$6:$L$10,8,FALSE),0))</f>
        <v>3.0676363676126896E-2</v>
      </c>
      <c r="L7" s="361">
        <f>+IF($I7=L$3,VLOOKUP($H7,Depreciation!$A$6:$L$10,9,FALSE)/2,IF($I7&lt;L$3,VLOOKUP($H7,Depreciation!$A$6:$L$10,9,FALSE),0))</f>
        <v>3.0676363676126896E-2</v>
      </c>
      <c r="M7" s="361">
        <f>+IF($I7=M$3,VLOOKUP($H7,Depreciation!$A$6:$L$10,10,FALSE)/2,IF($I7&lt;M$3,VLOOKUP($H7,Depreciation!$A$6:$L$10,10,FALSE),0))</f>
        <v>3.0676363676126896E-2</v>
      </c>
      <c r="N7" s="361">
        <f>+IF($I7=N$3,VLOOKUP($H7,Depreciation!$A$6:$L$10,11,FALSE)/2,IF($I7&lt;N$3,VLOOKUP($H7,Depreciation!$A$6:$L$10,11,FALSE),0))</f>
        <v>3.0676363676126896E-2</v>
      </c>
      <c r="O7" s="361">
        <f>+IF($I7=O$3,VLOOKUP($H7,Depreciation!$A$6:$L$10,12,FALSE)/2,IF($I7&lt;O$3,VLOOKUP($H7,Depreciation!$A$6:$L$10,12,FALSE),0))</f>
        <v>3.0676363676126896E-2</v>
      </c>
      <c r="P7" s="362">
        <f t="shared" si="1"/>
        <v>20093894.655406188</v>
      </c>
      <c r="Q7" s="362">
        <f t="shared" si="2"/>
        <v>20093894.655406188</v>
      </c>
      <c r="R7" s="363">
        <f t="shared" si="3"/>
        <v>0</v>
      </c>
      <c r="U7" s="286" t="s">
        <v>179</v>
      </c>
      <c r="V7" s="316">
        <f>+SUM(P4:P277)</f>
        <v>4874831715.6342421</v>
      </c>
      <c r="W7" s="4"/>
      <c r="Y7" s="365"/>
    </row>
    <row r="8" spans="1:25" ht="15" customHeight="1">
      <c r="A8" s="359" t="str">
        <f>'Func Future Lines 2015'!A8</f>
        <v>FINAL</v>
      </c>
      <c r="B8" s="359" t="str">
        <f>'Func Future Lines 2015'!B8</f>
        <v>942L temp</v>
      </c>
      <c r="C8" s="359">
        <f>'Func Future Lines 2015'!C8</f>
        <v>559</v>
      </c>
      <c r="D8" s="359">
        <f>'Func Future Lines 2015'!D8</f>
        <v>240</v>
      </c>
      <c r="E8" s="359">
        <f>'Func Future Lines 2015'!E8</f>
        <v>0</v>
      </c>
      <c r="F8" s="359" t="str">
        <f>'Func Future Lines 2015'!F8</f>
        <v>Fort_Saskatchewan</v>
      </c>
      <c r="G8" s="359">
        <f>'Func Future Lines 2015'!G8</f>
        <v>121591.45834265216</v>
      </c>
      <c r="H8" s="359" t="str">
        <f>'Func Future Lines 2015'!H8</f>
        <v>AltaLink</v>
      </c>
      <c r="I8" s="359">
        <f>'Func Future Lines 2015'!I8</f>
        <v>2015</v>
      </c>
      <c r="J8" s="361">
        <f>+IF($I8=J$3,VLOOKUP($H8,Depreciation!$A$6:$L$10,7,FALSE)/2,IF($I8&lt;J$3,VLOOKUP($H8,Depreciation!$A$6:$L$10,7,FALSE),0))</f>
        <v>1.595020804044691E-2</v>
      </c>
      <c r="K8" s="361">
        <f>+IF($I8=K$3,VLOOKUP($H8,Depreciation!$A$6:$L$10,8,FALSE)/2,IF($I8&lt;K$3,VLOOKUP($H8,Depreciation!$A$6:$L$10,8,FALSE),0))</f>
        <v>3.0676363676126896E-2</v>
      </c>
      <c r="L8" s="361">
        <f>+IF($I8=L$3,VLOOKUP($H8,Depreciation!$A$6:$L$10,9,FALSE)/2,IF($I8&lt;L$3,VLOOKUP($H8,Depreciation!$A$6:$L$10,9,FALSE),0))</f>
        <v>3.0676363676126896E-2</v>
      </c>
      <c r="M8" s="361">
        <f>+IF($I8=M$3,VLOOKUP($H8,Depreciation!$A$6:$L$10,10,FALSE)/2,IF($I8&lt;M$3,VLOOKUP($H8,Depreciation!$A$6:$L$10,10,FALSE),0))</f>
        <v>3.0676363676126896E-2</v>
      </c>
      <c r="N8" s="361">
        <f>+IF($I8=N$3,VLOOKUP($H8,Depreciation!$A$6:$L$10,11,FALSE)/2,IF($I8&lt;N$3,VLOOKUP($H8,Depreciation!$A$6:$L$10,11,FALSE),0))</f>
        <v>3.0676363676126896E-2</v>
      </c>
      <c r="O8" s="361">
        <f>+IF($I8=O$3,VLOOKUP($H8,Depreciation!$A$6:$L$10,12,FALSE)/2,IF($I8&lt;O$3,VLOOKUP($H8,Depreciation!$A$6:$L$10,12,FALSE),0))</f>
        <v>3.0676363676126896E-2</v>
      </c>
      <c r="P8" s="362">
        <f t="shared" si="1"/>
        <v>102391.55897781927</v>
      </c>
      <c r="Q8" s="362">
        <f t="shared" si="2"/>
        <v>102391.55897781927</v>
      </c>
      <c r="R8" s="363">
        <f t="shared" si="3"/>
        <v>0</v>
      </c>
      <c r="V8" s="365"/>
    </row>
    <row r="9" spans="1:25" ht="15" customHeight="1">
      <c r="A9" s="359" t="str">
        <f>'Func Future Lines 2015'!A9</f>
        <v>FINAL</v>
      </c>
      <c r="B9" s="359" t="str">
        <f>'Func Future Lines 2015'!B9</f>
        <v>942L_943L mod</v>
      </c>
      <c r="C9" s="359">
        <f>'Func Future Lines 2015'!C9</f>
        <v>559</v>
      </c>
      <c r="D9" s="359">
        <f>'Func Future Lines 2015'!D9</f>
        <v>138</v>
      </c>
      <c r="E9" s="359">
        <f>'Func Future Lines 2015'!E9</f>
        <v>0</v>
      </c>
      <c r="F9" s="359" t="str">
        <f>'Func Future Lines 2015'!F9</f>
        <v>Fort_Saskatchewan</v>
      </c>
      <c r="G9" s="359">
        <f>'Func Future Lines 2015'!G9</f>
        <v>1655001.6528058015</v>
      </c>
      <c r="H9" s="359" t="str">
        <f>'Func Future Lines 2015'!H9</f>
        <v>AltaLink</v>
      </c>
      <c r="I9" s="359">
        <f>'Func Future Lines 2015'!I9</f>
        <v>2015</v>
      </c>
      <c r="J9" s="361">
        <f>+IF($I9=J$3,VLOOKUP($H9,Depreciation!$A$6:$L$10,7,FALSE)/2,IF($I9&lt;J$3,VLOOKUP($H9,Depreciation!$A$6:$L$10,7,FALSE),0))</f>
        <v>1.595020804044691E-2</v>
      </c>
      <c r="K9" s="361">
        <f>+IF($I9=K$3,VLOOKUP($H9,Depreciation!$A$6:$L$10,8,FALSE)/2,IF($I9&lt;K$3,VLOOKUP($H9,Depreciation!$A$6:$L$10,8,FALSE),0))</f>
        <v>3.0676363676126896E-2</v>
      </c>
      <c r="L9" s="361">
        <f>+IF($I9=L$3,VLOOKUP($H9,Depreciation!$A$6:$L$10,9,FALSE)/2,IF($I9&lt;L$3,VLOOKUP($H9,Depreciation!$A$6:$L$10,9,FALSE),0))</f>
        <v>3.0676363676126896E-2</v>
      </c>
      <c r="M9" s="361">
        <f>+IF($I9=M$3,VLOOKUP($H9,Depreciation!$A$6:$L$10,10,FALSE)/2,IF($I9&lt;M$3,VLOOKUP($H9,Depreciation!$A$6:$L$10,10,FALSE),0))</f>
        <v>3.0676363676126896E-2</v>
      </c>
      <c r="N9" s="361">
        <f>+IF($I9=N$3,VLOOKUP($H9,Depreciation!$A$6:$L$10,11,FALSE)/2,IF($I9&lt;N$3,VLOOKUP($H9,Depreciation!$A$6:$L$10,11,FALSE),0))</f>
        <v>3.0676363676126896E-2</v>
      </c>
      <c r="O9" s="361">
        <f>+IF($I9=O$3,VLOOKUP($H9,Depreciation!$A$6:$L$10,12,FALSE)/2,IF($I9&lt;O$3,VLOOKUP($H9,Depreciation!$A$6:$L$10,12,FALSE),0))</f>
        <v>3.0676363676126896E-2</v>
      </c>
      <c r="P9" s="362">
        <f t="shared" si="1"/>
        <v>1393668.6149787763</v>
      </c>
      <c r="Q9" s="362">
        <f t="shared" si="2"/>
        <v>0</v>
      </c>
      <c r="R9" s="363">
        <f t="shared" si="3"/>
        <v>1393668.6149787763</v>
      </c>
      <c r="V9" s="365"/>
    </row>
    <row r="10" spans="1:25" ht="15" customHeight="1">
      <c r="A10" s="359" t="str">
        <f>'Func Future Lines 2015'!A10</f>
        <v>PPS</v>
      </c>
      <c r="B10" s="359" t="str">
        <f>'Func Future Lines 2015'!B10</f>
        <v>New 100m 138kV line 130L</v>
      </c>
      <c r="C10" s="359">
        <f>'Func Future Lines 2015'!C10</f>
        <v>580</v>
      </c>
      <c r="D10" s="359">
        <f>'Func Future Lines 2015'!D10</f>
        <v>138</v>
      </c>
      <c r="E10" s="359">
        <f>'Func Future Lines 2015'!E10</f>
        <v>0</v>
      </c>
      <c r="F10" s="359" t="str">
        <f>'Func Future Lines 2015'!F10</f>
        <v>Fort_MacLeod</v>
      </c>
      <c r="G10" s="360">
        <f>'Func Future Lines 2015'!G10</f>
        <v>1145283.5820895538</v>
      </c>
      <c r="H10" s="359" t="str">
        <f>'Func Future Lines 2015'!H10</f>
        <v>AltaLink</v>
      </c>
      <c r="I10" s="359">
        <f>'Func Future Lines 2015'!I10</f>
        <v>2019</v>
      </c>
      <c r="J10" s="361">
        <f>+IF($I10=J$3,VLOOKUP($H10,Depreciation!$A$6:$L$10,7,FALSE)/2,IF($I10&lt;J$3,VLOOKUP($H10,Depreciation!$A$6:$L$10,7,FALSE),0))</f>
        <v>0</v>
      </c>
      <c r="K10" s="361">
        <f>+IF($I10=K$3,VLOOKUP($H10,Depreciation!$A$6:$L$10,8,FALSE)/2,IF($I10&lt;K$3,VLOOKUP($H10,Depreciation!$A$6:$L$10,8,FALSE),0))</f>
        <v>0</v>
      </c>
      <c r="L10" s="361">
        <f>+IF($I10=L$3,VLOOKUP($H10,Depreciation!$A$6:$L$10,9,FALSE)/2,IF($I10&lt;L$3,VLOOKUP($H10,Depreciation!$A$6:$L$10,9,FALSE),0))</f>
        <v>0</v>
      </c>
      <c r="M10" s="361">
        <f>+IF($I10=M$3,VLOOKUP($H10,Depreciation!$A$6:$L$10,10,FALSE)/2,IF($I10&lt;M$3,VLOOKUP($H10,Depreciation!$A$6:$L$10,10,FALSE),0))</f>
        <v>0</v>
      </c>
      <c r="N10" s="361">
        <f>+IF($I10=N$3,VLOOKUP($H10,Depreciation!$A$6:$L$10,11,FALSE)/2,IF($I10&lt;N$3,VLOOKUP($H10,Depreciation!$A$6:$L$10,11,FALSE),0))</f>
        <v>1.5338181838063448E-2</v>
      </c>
      <c r="O10" s="361">
        <f>+IF($I10=O$3,VLOOKUP($H10,Depreciation!$A$6:$L$10,12,FALSE)/2,IF($I10&lt;O$3,VLOOKUP($H10,Depreciation!$A$6:$L$10,12,FALSE),0))</f>
        <v>3.0676363676126896E-2</v>
      </c>
      <c r="P10" s="362">
        <f t="shared" si="1"/>
        <v>1093122.7569983862</v>
      </c>
      <c r="Q10" s="362">
        <f t="shared" si="2"/>
        <v>0</v>
      </c>
      <c r="R10" s="363">
        <f t="shared" si="3"/>
        <v>1093122.7569983862</v>
      </c>
      <c r="V10" s="365"/>
    </row>
    <row r="11" spans="1:25" ht="15" customHeight="1">
      <c r="A11" s="359" t="str">
        <f>'Func Future Lines 2015'!A11</f>
        <v>FINAL</v>
      </c>
      <c r="B11" s="359" t="str">
        <f>'Func Future Lines 2015'!B11</f>
        <v>1054L/1061L</v>
      </c>
      <c r="C11" s="359">
        <f>'Func Future Lines 2015'!C11</f>
        <v>629</v>
      </c>
      <c r="D11" s="359">
        <f>'Func Future Lines 2015'!D11</f>
        <v>240</v>
      </c>
      <c r="E11" s="359">
        <f>'Func Future Lines 2015'!E11</f>
        <v>0</v>
      </c>
      <c r="F11" s="359">
        <f>'Func Future Lines 2015'!F11</f>
        <v>0</v>
      </c>
      <c r="G11" s="359">
        <f>'Func Future Lines 2015'!G11</f>
        <v>61619635.006528027</v>
      </c>
      <c r="H11" s="359" t="str">
        <f>'Func Future Lines 2015'!H11</f>
        <v>AltaLink</v>
      </c>
      <c r="I11" s="359">
        <f>'Func Future Lines 2015'!I11</f>
        <v>2015</v>
      </c>
      <c r="J11" s="361">
        <f>+IF($I11=J$3,VLOOKUP($H11,Depreciation!$A$6:$L$10,7,FALSE)/2,IF($I11&lt;J$3,VLOOKUP($H11,Depreciation!$A$6:$L$10,7,FALSE),0))</f>
        <v>1.595020804044691E-2</v>
      </c>
      <c r="K11" s="361">
        <f>+IF($I11=K$3,VLOOKUP($H11,Depreciation!$A$6:$L$10,8,FALSE)/2,IF($I11&lt;K$3,VLOOKUP($H11,Depreciation!$A$6:$L$10,8,FALSE),0))</f>
        <v>3.0676363676126896E-2</v>
      </c>
      <c r="L11" s="361">
        <f>+IF($I11=L$3,VLOOKUP($H11,Depreciation!$A$6:$L$10,9,FALSE)/2,IF($I11&lt;L$3,VLOOKUP($H11,Depreciation!$A$6:$L$10,9,FALSE),0))</f>
        <v>3.0676363676126896E-2</v>
      </c>
      <c r="M11" s="361">
        <f>+IF($I11=M$3,VLOOKUP($H11,Depreciation!$A$6:$L$10,10,FALSE)/2,IF($I11&lt;M$3,VLOOKUP($H11,Depreciation!$A$6:$L$10,10,FALSE),0))</f>
        <v>3.0676363676126896E-2</v>
      </c>
      <c r="N11" s="361">
        <f>+IF($I11=N$3,VLOOKUP($H11,Depreciation!$A$6:$L$10,11,FALSE)/2,IF($I11&lt;N$3,VLOOKUP($H11,Depreciation!$A$6:$L$10,11,FALSE),0))</f>
        <v>3.0676363676126896E-2</v>
      </c>
      <c r="O11" s="361">
        <f>+IF($I11=O$3,VLOOKUP($H11,Depreciation!$A$6:$L$10,12,FALSE)/2,IF($I11&lt;O$3,VLOOKUP($H11,Depreciation!$A$6:$L$10,12,FALSE),0))</f>
        <v>3.0676363676126896E-2</v>
      </c>
      <c r="P11" s="362">
        <f t="shared" si="1"/>
        <v>51889586.472287655</v>
      </c>
      <c r="Q11" s="362">
        <f t="shared" si="2"/>
        <v>51889586.472287655</v>
      </c>
      <c r="R11" s="363">
        <f t="shared" si="3"/>
        <v>0</v>
      </c>
      <c r="V11" s="365"/>
    </row>
    <row r="12" spans="1:25" ht="15" customHeight="1">
      <c r="A12" s="359" t="str">
        <f>'Func Future Lines 2015'!A12</f>
        <v>FINAL</v>
      </c>
      <c r="B12" s="359" t="str">
        <f>'Func Future Lines 2015'!B12</f>
        <v>1058L</v>
      </c>
      <c r="C12" s="359">
        <f>'Func Future Lines 2015'!C12</f>
        <v>629</v>
      </c>
      <c r="D12" s="359">
        <f>'Func Future Lines 2015'!D12</f>
        <v>240</v>
      </c>
      <c r="E12" s="359">
        <f>'Func Future Lines 2015'!E12</f>
        <v>0</v>
      </c>
      <c r="F12" s="359">
        <f>'Func Future Lines 2015'!F12</f>
        <v>0</v>
      </c>
      <c r="G12" s="359">
        <f>'Func Future Lines 2015'!G12</f>
        <v>2898036.7235482754</v>
      </c>
      <c r="H12" s="359" t="str">
        <f>'Func Future Lines 2015'!H12</f>
        <v>AltaLink</v>
      </c>
      <c r="I12" s="359">
        <f>'Func Future Lines 2015'!I12</f>
        <v>2015</v>
      </c>
      <c r="J12" s="361">
        <f>+IF($I12=J$3,VLOOKUP($H12,Depreciation!$A$6:$L$10,7,FALSE)/2,IF($I12&lt;J$3,VLOOKUP($H12,Depreciation!$A$6:$L$10,7,FALSE),0))</f>
        <v>1.595020804044691E-2</v>
      </c>
      <c r="K12" s="361">
        <f>+IF($I12=K$3,VLOOKUP($H12,Depreciation!$A$6:$L$10,8,FALSE)/2,IF($I12&lt;K$3,VLOOKUP($H12,Depreciation!$A$6:$L$10,8,FALSE),0))</f>
        <v>3.0676363676126896E-2</v>
      </c>
      <c r="L12" s="361">
        <f>+IF($I12=L$3,VLOOKUP($H12,Depreciation!$A$6:$L$10,9,FALSE)/2,IF($I12&lt;L$3,VLOOKUP($H12,Depreciation!$A$6:$L$10,9,FALSE),0))</f>
        <v>3.0676363676126896E-2</v>
      </c>
      <c r="M12" s="361">
        <f>+IF($I12=M$3,VLOOKUP($H12,Depreciation!$A$6:$L$10,10,FALSE)/2,IF($I12&lt;M$3,VLOOKUP($H12,Depreciation!$A$6:$L$10,10,FALSE),0))</f>
        <v>3.0676363676126896E-2</v>
      </c>
      <c r="N12" s="361">
        <f>+IF($I12=N$3,VLOOKUP($H12,Depreciation!$A$6:$L$10,11,FALSE)/2,IF($I12&lt;N$3,VLOOKUP($H12,Depreciation!$A$6:$L$10,11,FALSE),0))</f>
        <v>3.0676363676126896E-2</v>
      </c>
      <c r="O12" s="361">
        <f>+IF($I12=O$3,VLOOKUP($H12,Depreciation!$A$6:$L$10,12,FALSE)/2,IF($I12&lt;O$3,VLOOKUP($H12,Depreciation!$A$6:$L$10,12,FALSE),0))</f>
        <v>3.0676363676126896E-2</v>
      </c>
      <c r="P12" s="362">
        <f t="shared" si="1"/>
        <v>2440422.2314931317</v>
      </c>
      <c r="Q12" s="362">
        <f t="shared" si="2"/>
        <v>2440422.2314931317</v>
      </c>
      <c r="R12" s="363">
        <f t="shared" si="3"/>
        <v>0</v>
      </c>
      <c r="V12" s="365"/>
    </row>
    <row r="13" spans="1:25" ht="15" customHeight="1">
      <c r="A13" s="359" t="str">
        <f>'Func Future Lines 2015'!A13</f>
        <v>FINAL</v>
      </c>
      <c r="B13" s="359" t="str">
        <f>'Func Future Lines 2015'!B13</f>
        <v>1206L/1212L</v>
      </c>
      <c r="C13" s="359">
        <f>'Func Future Lines 2015'!C13</f>
        <v>629</v>
      </c>
      <c r="D13" s="359">
        <f>'Func Future Lines 2015'!D13</f>
        <v>500</v>
      </c>
      <c r="E13" s="359">
        <f>'Func Future Lines 2015'!E13</f>
        <v>0</v>
      </c>
      <c r="F13" s="359">
        <f>'Func Future Lines 2015'!F13</f>
        <v>0</v>
      </c>
      <c r="G13" s="359">
        <f>'Func Future Lines 2015'!G13</f>
        <v>530866409.86294144</v>
      </c>
      <c r="H13" s="359" t="str">
        <f>'Func Future Lines 2015'!H13</f>
        <v>AltaLink</v>
      </c>
      <c r="I13" s="359">
        <f>'Func Future Lines 2015'!I13</f>
        <v>2015</v>
      </c>
      <c r="J13" s="361">
        <f>+IF($I13=J$3,VLOOKUP($H13,Depreciation!$A$6:$L$10,7,FALSE)/2,IF($I13&lt;J$3,VLOOKUP($H13,Depreciation!$A$6:$L$10,7,FALSE),0))</f>
        <v>1.595020804044691E-2</v>
      </c>
      <c r="K13" s="361">
        <f>+IF($I13=K$3,VLOOKUP($H13,Depreciation!$A$6:$L$10,8,FALSE)/2,IF($I13&lt;K$3,VLOOKUP($H13,Depreciation!$A$6:$L$10,8,FALSE),0))</f>
        <v>3.0676363676126896E-2</v>
      </c>
      <c r="L13" s="361">
        <f>+IF($I13=L$3,VLOOKUP($H13,Depreciation!$A$6:$L$10,9,FALSE)/2,IF($I13&lt;L$3,VLOOKUP($H13,Depreciation!$A$6:$L$10,9,FALSE),0))</f>
        <v>3.0676363676126896E-2</v>
      </c>
      <c r="M13" s="361">
        <f>+IF($I13=M$3,VLOOKUP($H13,Depreciation!$A$6:$L$10,10,FALSE)/2,IF($I13&lt;M$3,VLOOKUP($H13,Depreciation!$A$6:$L$10,10,FALSE),0))</f>
        <v>3.0676363676126896E-2</v>
      </c>
      <c r="N13" s="361">
        <f>+IF($I13=N$3,VLOOKUP($H13,Depreciation!$A$6:$L$10,11,FALSE)/2,IF($I13&lt;N$3,VLOOKUP($H13,Depreciation!$A$6:$L$10,11,FALSE),0))</f>
        <v>3.0676363676126896E-2</v>
      </c>
      <c r="O13" s="361">
        <f>+IF($I13=O$3,VLOOKUP($H13,Depreciation!$A$6:$L$10,12,FALSE)/2,IF($I13&lt;O$3,VLOOKUP($H13,Depreciation!$A$6:$L$10,12,FALSE),0))</f>
        <v>3.0676363676126896E-2</v>
      </c>
      <c r="P13" s="362">
        <f t="shared" si="1"/>
        <v>447039948.82309365</v>
      </c>
      <c r="Q13" s="362">
        <f t="shared" si="2"/>
        <v>447039948.82309365</v>
      </c>
      <c r="R13" s="363">
        <f t="shared" si="3"/>
        <v>0</v>
      </c>
      <c r="V13" s="365"/>
    </row>
    <row r="14" spans="1:25" ht="15" customHeight="1">
      <c r="A14" s="359" t="str">
        <f>'Func Future Lines 2015'!A14</f>
        <v>FINAL</v>
      </c>
      <c r="B14" s="359" t="str">
        <f>'Func Future Lines 2015'!B14</f>
        <v>726L</v>
      </c>
      <c r="C14" s="359">
        <f>'Func Future Lines 2015'!C14</f>
        <v>629</v>
      </c>
      <c r="D14" s="359">
        <f>'Func Future Lines 2015'!D14</f>
        <v>138</v>
      </c>
      <c r="E14" s="359">
        <f>'Func Future Lines 2015'!E14</f>
        <v>0</v>
      </c>
      <c r="F14" s="359">
        <f>'Func Future Lines 2015'!F14</f>
        <v>0</v>
      </c>
      <c r="G14" s="359">
        <f>'Func Future Lines 2015'!G14</f>
        <v>702156.82391399238</v>
      </c>
      <c r="H14" s="359" t="str">
        <f>'Func Future Lines 2015'!H14</f>
        <v>AltaLink</v>
      </c>
      <c r="I14" s="359">
        <f>'Func Future Lines 2015'!I14</f>
        <v>2015</v>
      </c>
      <c r="J14" s="361">
        <f>+IF($I14=J$3,VLOOKUP($H14,Depreciation!$A$6:$L$10,7,FALSE)/2,IF($I14&lt;J$3,VLOOKUP($H14,Depreciation!$A$6:$L$10,7,FALSE),0))</f>
        <v>1.595020804044691E-2</v>
      </c>
      <c r="K14" s="361">
        <f>+IF($I14=K$3,VLOOKUP($H14,Depreciation!$A$6:$L$10,8,FALSE)/2,IF($I14&lt;K$3,VLOOKUP($H14,Depreciation!$A$6:$L$10,8,FALSE),0))</f>
        <v>3.0676363676126896E-2</v>
      </c>
      <c r="L14" s="361">
        <f>+IF($I14=L$3,VLOOKUP($H14,Depreciation!$A$6:$L$10,9,FALSE)/2,IF($I14&lt;L$3,VLOOKUP($H14,Depreciation!$A$6:$L$10,9,FALSE),0))</f>
        <v>3.0676363676126896E-2</v>
      </c>
      <c r="M14" s="361">
        <f>+IF($I14=M$3,VLOOKUP($H14,Depreciation!$A$6:$L$10,10,FALSE)/2,IF($I14&lt;M$3,VLOOKUP($H14,Depreciation!$A$6:$L$10,10,FALSE),0))</f>
        <v>3.0676363676126896E-2</v>
      </c>
      <c r="N14" s="361">
        <f>+IF($I14=N$3,VLOOKUP($H14,Depreciation!$A$6:$L$10,11,FALSE)/2,IF($I14&lt;N$3,VLOOKUP($H14,Depreciation!$A$6:$L$10,11,FALSE),0))</f>
        <v>3.0676363676126896E-2</v>
      </c>
      <c r="O14" s="361">
        <f>+IF($I14=O$3,VLOOKUP($H14,Depreciation!$A$6:$L$10,12,FALSE)/2,IF($I14&lt;O$3,VLOOKUP($H14,Depreciation!$A$6:$L$10,12,FALSE),0))</f>
        <v>3.0676363676126896E-2</v>
      </c>
      <c r="P14" s="362">
        <f t="shared" si="1"/>
        <v>591282.74985290098</v>
      </c>
      <c r="Q14" s="362">
        <f t="shared" si="2"/>
        <v>0</v>
      </c>
      <c r="R14" s="363">
        <f t="shared" si="3"/>
        <v>591282.74985290098</v>
      </c>
      <c r="V14" s="365"/>
    </row>
    <row r="15" spans="1:25" ht="15" customHeight="1">
      <c r="A15" s="359" t="str">
        <f>'Func Future Lines 2015'!A15</f>
        <v>FINAL</v>
      </c>
      <c r="B15" s="359" t="str">
        <f>'Func Future Lines 2015'!B15</f>
        <v>731L</v>
      </c>
      <c r="C15" s="359">
        <f>'Func Future Lines 2015'!C15</f>
        <v>629</v>
      </c>
      <c r="D15" s="359">
        <f>'Func Future Lines 2015'!D15</f>
        <v>138</v>
      </c>
      <c r="E15" s="359">
        <f>'Func Future Lines 2015'!E15</f>
        <v>0</v>
      </c>
      <c r="F15" s="359">
        <f>'Func Future Lines 2015'!F15</f>
        <v>0</v>
      </c>
      <c r="G15" s="359">
        <f>'Func Future Lines 2015'!G15</f>
        <v>504109.03864587925</v>
      </c>
      <c r="H15" s="359" t="str">
        <f>'Func Future Lines 2015'!H15</f>
        <v>AltaLink</v>
      </c>
      <c r="I15" s="359">
        <f>'Func Future Lines 2015'!I15</f>
        <v>2015</v>
      </c>
      <c r="J15" s="361">
        <f>+IF($I15=J$3,VLOOKUP($H15,Depreciation!$A$6:$L$10,7,FALSE)/2,IF($I15&lt;J$3,VLOOKUP($H15,Depreciation!$A$6:$L$10,7,FALSE),0))</f>
        <v>1.595020804044691E-2</v>
      </c>
      <c r="K15" s="361">
        <f>+IF($I15=K$3,VLOOKUP($H15,Depreciation!$A$6:$L$10,8,FALSE)/2,IF($I15&lt;K$3,VLOOKUP($H15,Depreciation!$A$6:$L$10,8,FALSE),0))</f>
        <v>3.0676363676126896E-2</v>
      </c>
      <c r="L15" s="361">
        <f>+IF($I15=L$3,VLOOKUP($H15,Depreciation!$A$6:$L$10,9,FALSE)/2,IF($I15&lt;L$3,VLOOKUP($H15,Depreciation!$A$6:$L$10,9,FALSE),0))</f>
        <v>3.0676363676126896E-2</v>
      </c>
      <c r="M15" s="361">
        <f>+IF($I15=M$3,VLOOKUP($H15,Depreciation!$A$6:$L$10,10,FALSE)/2,IF($I15&lt;M$3,VLOOKUP($H15,Depreciation!$A$6:$L$10,10,FALSE),0))</f>
        <v>3.0676363676126896E-2</v>
      </c>
      <c r="N15" s="361">
        <f>+IF($I15=N$3,VLOOKUP($H15,Depreciation!$A$6:$L$10,11,FALSE)/2,IF($I15&lt;N$3,VLOOKUP($H15,Depreciation!$A$6:$L$10,11,FALSE),0))</f>
        <v>3.0676363676126896E-2</v>
      </c>
      <c r="O15" s="361">
        <f>+IF($I15=O$3,VLOOKUP($H15,Depreciation!$A$6:$L$10,12,FALSE)/2,IF($I15&lt;O$3,VLOOKUP($H15,Depreciation!$A$6:$L$10,12,FALSE),0))</f>
        <v>3.0676363676126896E-2</v>
      </c>
      <c r="P15" s="362">
        <f t="shared" si="1"/>
        <v>424507.70033782173</v>
      </c>
      <c r="Q15" s="362">
        <f t="shared" si="2"/>
        <v>0</v>
      </c>
      <c r="R15" s="363">
        <f t="shared" si="3"/>
        <v>424507.70033782173</v>
      </c>
      <c r="Y15" s="365"/>
    </row>
    <row r="16" spans="1:25" ht="15" customHeight="1">
      <c r="A16" s="359" t="str">
        <f>'Func Future Lines 2015'!A16</f>
        <v>FINAL</v>
      </c>
      <c r="B16" s="359" t="str">
        <f>'Func Future Lines 2015'!B16</f>
        <v>735L</v>
      </c>
      <c r="C16" s="359">
        <f>'Func Future Lines 2015'!C16</f>
        <v>629</v>
      </c>
      <c r="D16" s="359">
        <f>'Func Future Lines 2015'!D16</f>
        <v>138</v>
      </c>
      <c r="E16" s="359">
        <f>'Func Future Lines 2015'!E16</f>
        <v>0</v>
      </c>
      <c r="F16" s="359">
        <f>'Func Future Lines 2015'!F16</f>
        <v>0</v>
      </c>
      <c r="G16" s="359">
        <f>'Func Future Lines 2015'!G16</f>
        <v>2727.7774922550475</v>
      </c>
      <c r="H16" s="359" t="str">
        <f>'Func Future Lines 2015'!H16</f>
        <v>AltaLink</v>
      </c>
      <c r="I16" s="359">
        <f>'Func Future Lines 2015'!I16</f>
        <v>2015</v>
      </c>
      <c r="J16" s="361">
        <f>+IF($I16=J$3,VLOOKUP($H16,Depreciation!$A$6:$L$10,7,FALSE)/2,IF($I16&lt;J$3,VLOOKUP($H16,Depreciation!$A$6:$L$10,7,FALSE),0))</f>
        <v>1.595020804044691E-2</v>
      </c>
      <c r="K16" s="361">
        <f>+IF($I16=K$3,VLOOKUP($H16,Depreciation!$A$6:$L$10,8,FALSE)/2,IF($I16&lt;K$3,VLOOKUP($H16,Depreciation!$A$6:$L$10,8,FALSE),0))</f>
        <v>3.0676363676126896E-2</v>
      </c>
      <c r="L16" s="361">
        <f>+IF($I16=L$3,VLOOKUP($H16,Depreciation!$A$6:$L$10,9,FALSE)/2,IF($I16&lt;L$3,VLOOKUP($H16,Depreciation!$A$6:$L$10,9,FALSE),0))</f>
        <v>3.0676363676126896E-2</v>
      </c>
      <c r="M16" s="361">
        <f>+IF($I16=M$3,VLOOKUP($H16,Depreciation!$A$6:$L$10,10,FALSE)/2,IF($I16&lt;M$3,VLOOKUP($H16,Depreciation!$A$6:$L$10,10,FALSE),0))</f>
        <v>3.0676363676126896E-2</v>
      </c>
      <c r="N16" s="361">
        <f>+IF($I16=N$3,VLOOKUP($H16,Depreciation!$A$6:$L$10,11,FALSE)/2,IF($I16&lt;N$3,VLOOKUP($H16,Depreciation!$A$6:$L$10,11,FALSE),0))</f>
        <v>3.0676363676126896E-2</v>
      </c>
      <c r="O16" s="361">
        <f>+IF($I16=O$3,VLOOKUP($H16,Depreciation!$A$6:$L$10,12,FALSE)/2,IF($I16&lt;O$3,VLOOKUP($H16,Depreciation!$A$6:$L$10,12,FALSE),0))</f>
        <v>3.0676363676126896E-2</v>
      </c>
      <c r="P16" s="362">
        <f t="shared" si="1"/>
        <v>2297.047784306626</v>
      </c>
      <c r="Q16" s="362">
        <f t="shared" si="2"/>
        <v>0</v>
      </c>
      <c r="R16" s="363">
        <f t="shared" si="3"/>
        <v>2297.047784306626</v>
      </c>
      <c r="Y16" s="365"/>
    </row>
    <row r="17" spans="1:25" ht="15" customHeight="1">
      <c r="A17" s="359" t="str">
        <f>'Func Future Lines 2015'!A17</f>
        <v>FINAL</v>
      </c>
      <c r="B17" s="359" t="str">
        <f>'Func Future Lines 2015'!B17</f>
        <v>746L</v>
      </c>
      <c r="C17" s="359">
        <f>'Func Future Lines 2015'!C17</f>
        <v>629</v>
      </c>
      <c r="D17" s="359">
        <f>'Func Future Lines 2015'!D17</f>
        <v>138</v>
      </c>
      <c r="E17" s="359">
        <f>'Func Future Lines 2015'!E17</f>
        <v>0</v>
      </c>
      <c r="F17" s="359">
        <f>'Func Future Lines 2015'!F17</f>
        <v>0</v>
      </c>
      <c r="G17" s="359">
        <f>'Func Future Lines 2015'!G17</f>
        <v>227994.9241210825</v>
      </c>
      <c r="H17" s="359" t="str">
        <f>'Func Future Lines 2015'!H17</f>
        <v>AltaLink</v>
      </c>
      <c r="I17" s="359">
        <f>'Func Future Lines 2015'!I17</f>
        <v>2015</v>
      </c>
      <c r="J17" s="361">
        <f>+IF($I17=J$3,VLOOKUP($H17,Depreciation!$A$6:$L$10,7,FALSE)/2,IF($I17&lt;J$3,VLOOKUP($H17,Depreciation!$A$6:$L$10,7,FALSE),0))</f>
        <v>1.595020804044691E-2</v>
      </c>
      <c r="K17" s="361">
        <f>+IF($I17=K$3,VLOOKUP($H17,Depreciation!$A$6:$L$10,8,FALSE)/2,IF($I17&lt;K$3,VLOOKUP($H17,Depreciation!$A$6:$L$10,8,FALSE),0))</f>
        <v>3.0676363676126896E-2</v>
      </c>
      <c r="L17" s="361">
        <f>+IF($I17=L$3,VLOOKUP($H17,Depreciation!$A$6:$L$10,9,FALSE)/2,IF($I17&lt;L$3,VLOOKUP($H17,Depreciation!$A$6:$L$10,9,FALSE),0))</f>
        <v>3.0676363676126896E-2</v>
      </c>
      <c r="M17" s="361">
        <f>+IF($I17=M$3,VLOOKUP($H17,Depreciation!$A$6:$L$10,10,FALSE)/2,IF($I17&lt;M$3,VLOOKUP($H17,Depreciation!$A$6:$L$10,10,FALSE),0))</f>
        <v>3.0676363676126896E-2</v>
      </c>
      <c r="N17" s="361">
        <f>+IF($I17=N$3,VLOOKUP($H17,Depreciation!$A$6:$L$10,11,FALSE)/2,IF($I17&lt;N$3,VLOOKUP($H17,Depreciation!$A$6:$L$10,11,FALSE),0))</f>
        <v>3.0676363676126896E-2</v>
      </c>
      <c r="O17" s="361">
        <f>+IF($I17=O$3,VLOOKUP($H17,Depreciation!$A$6:$L$10,12,FALSE)/2,IF($I17&lt;O$3,VLOOKUP($H17,Depreciation!$A$6:$L$10,12,FALSE),0))</f>
        <v>3.0676363676126896E-2</v>
      </c>
      <c r="P17" s="362">
        <f t="shared" si="1"/>
        <v>191993.38537416255</v>
      </c>
      <c r="Q17" s="362">
        <f t="shared" si="2"/>
        <v>0</v>
      </c>
      <c r="R17" s="363">
        <f t="shared" si="3"/>
        <v>191993.38537416255</v>
      </c>
      <c r="Y17" s="365"/>
    </row>
    <row r="18" spans="1:25" ht="15" customHeight="1">
      <c r="A18" s="359" t="str">
        <f>'Func Future Lines 2015'!A18</f>
        <v>FINAL</v>
      </c>
      <c r="B18" s="359" t="str">
        <f>'Func Future Lines 2015'!B18</f>
        <v>780L</v>
      </c>
      <c r="C18" s="359">
        <f>'Func Future Lines 2015'!C18</f>
        <v>629</v>
      </c>
      <c r="D18" s="359">
        <f>'Func Future Lines 2015'!D18</f>
        <v>138</v>
      </c>
      <c r="E18" s="359">
        <f>'Func Future Lines 2015'!E18</f>
        <v>0</v>
      </c>
      <c r="F18" s="359">
        <f>'Func Future Lines 2015'!F18</f>
        <v>0</v>
      </c>
      <c r="G18" s="359">
        <f>'Func Future Lines 2015'!G18</f>
        <v>383859.96701394476</v>
      </c>
      <c r="H18" s="359" t="str">
        <f>'Func Future Lines 2015'!H18</f>
        <v>AltaLink</v>
      </c>
      <c r="I18" s="359">
        <f>'Func Future Lines 2015'!I18</f>
        <v>2015</v>
      </c>
      <c r="J18" s="361">
        <f>+IF($I18=J$3,VLOOKUP($H18,Depreciation!$A$6:$L$10,7,FALSE)/2,IF($I18&lt;J$3,VLOOKUP($H18,Depreciation!$A$6:$L$10,7,FALSE),0))</f>
        <v>1.595020804044691E-2</v>
      </c>
      <c r="K18" s="361">
        <f>+IF($I18=K$3,VLOOKUP($H18,Depreciation!$A$6:$L$10,8,FALSE)/2,IF($I18&lt;K$3,VLOOKUP($H18,Depreciation!$A$6:$L$10,8,FALSE),0))</f>
        <v>3.0676363676126896E-2</v>
      </c>
      <c r="L18" s="361">
        <f>+IF($I18=L$3,VLOOKUP($H18,Depreciation!$A$6:$L$10,9,FALSE)/2,IF($I18&lt;L$3,VLOOKUP($H18,Depreciation!$A$6:$L$10,9,FALSE),0))</f>
        <v>3.0676363676126896E-2</v>
      </c>
      <c r="M18" s="361">
        <f>+IF($I18=M$3,VLOOKUP($H18,Depreciation!$A$6:$L$10,10,FALSE)/2,IF($I18&lt;M$3,VLOOKUP($H18,Depreciation!$A$6:$L$10,10,FALSE),0))</f>
        <v>3.0676363676126896E-2</v>
      </c>
      <c r="N18" s="361">
        <f>+IF($I18=N$3,VLOOKUP($H18,Depreciation!$A$6:$L$10,11,FALSE)/2,IF($I18&lt;N$3,VLOOKUP($H18,Depreciation!$A$6:$L$10,11,FALSE),0))</f>
        <v>3.0676363676126896E-2</v>
      </c>
      <c r="O18" s="361">
        <f>+IF($I18=O$3,VLOOKUP($H18,Depreciation!$A$6:$L$10,12,FALSE)/2,IF($I18&lt;O$3,VLOOKUP($H18,Depreciation!$A$6:$L$10,12,FALSE),0))</f>
        <v>3.0676363676126896E-2</v>
      </c>
      <c r="P18" s="362">
        <f t="shared" si="1"/>
        <v>323246.55849567126</v>
      </c>
      <c r="Q18" s="362">
        <f t="shared" si="2"/>
        <v>0</v>
      </c>
      <c r="R18" s="363">
        <f t="shared" si="3"/>
        <v>323246.55849567126</v>
      </c>
      <c r="Y18" s="365"/>
    </row>
    <row r="19" spans="1:25" ht="15" customHeight="1">
      <c r="A19" s="359" t="str">
        <f>'Func Future Lines 2015'!A19</f>
        <v>FINAL</v>
      </c>
      <c r="B19" s="359" t="str">
        <f>'Func Future Lines 2015'!B19</f>
        <v>783L</v>
      </c>
      <c r="C19" s="359">
        <f>'Func Future Lines 2015'!C19</f>
        <v>629</v>
      </c>
      <c r="D19" s="359">
        <f>'Func Future Lines 2015'!D19</f>
        <v>138</v>
      </c>
      <c r="E19" s="359">
        <f>'Func Future Lines 2015'!E19</f>
        <v>0</v>
      </c>
      <c r="F19" s="359">
        <f>'Func Future Lines 2015'!F19</f>
        <v>0</v>
      </c>
      <c r="G19" s="359">
        <f>'Func Future Lines 2015'!G19</f>
        <v>455201.94438484032</v>
      </c>
      <c r="H19" s="359" t="str">
        <f>'Func Future Lines 2015'!H19</f>
        <v>AltaLink</v>
      </c>
      <c r="I19" s="359">
        <f>'Func Future Lines 2015'!I19</f>
        <v>2015</v>
      </c>
      <c r="J19" s="361">
        <f>+IF($I19=J$3,VLOOKUP($H19,Depreciation!$A$6:$L$10,7,FALSE)/2,IF($I19&lt;J$3,VLOOKUP($H19,Depreciation!$A$6:$L$10,7,FALSE),0))</f>
        <v>1.595020804044691E-2</v>
      </c>
      <c r="K19" s="361">
        <f>+IF($I19=K$3,VLOOKUP($H19,Depreciation!$A$6:$L$10,8,FALSE)/2,IF($I19&lt;K$3,VLOOKUP($H19,Depreciation!$A$6:$L$10,8,FALSE),0))</f>
        <v>3.0676363676126896E-2</v>
      </c>
      <c r="L19" s="361">
        <f>+IF($I19=L$3,VLOOKUP($H19,Depreciation!$A$6:$L$10,9,FALSE)/2,IF($I19&lt;L$3,VLOOKUP($H19,Depreciation!$A$6:$L$10,9,FALSE),0))</f>
        <v>3.0676363676126896E-2</v>
      </c>
      <c r="M19" s="361">
        <f>+IF($I19=M$3,VLOOKUP($H19,Depreciation!$A$6:$L$10,10,FALSE)/2,IF($I19&lt;M$3,VLOOKUP($H19,Depreciation!$A$6:$L$10,10,FALSE),0))</f>
        <v>3.0676363676126896E-2</v>
      </c>
      <c r="N19" s="361">
        <f>+IF($I19=N$3,VLOOKUP($H19,Depreciation!$A$6:$L$10,11,FALSE)/2,IF($I19&lt;N$3,VLOOKUP($H19,Depreciation!$A$6:$L$10,11,FALSE),0))</f>
        <v>3.0676363676126896E-2</v>
      </c>
      <c r="O19" s="361">
        <f>+IF($I19=O$3,VLOOKUP($H19,Depreciation!$A$6:$L$10,12,FALSE)/2,IF($I19&lt;O$3,VLOOKUP($H19,Depreciation!$A$6:$L$10,12,FALSE),0))</f>
        <v>3.0676363676126896E-2</v>
      </c>
      <c r="P19" s="362">
        <f t="shared" si="1"/>
        <v>383323.28085046756</v>
      </c>
      <c r="Q19" s="362">
        <f t="shared" si="2"/>
        <v>0</v>
      </c>
      <c r="R19" s="363">
        <f t="shared" si="3"/>
        <v>383323.28085046756</v>
      </c>
      <c r="Y19" s="365"/>
    </row>
    <row r="20" spans="1:25" ht="15" customHeight="1">
      <c r="A20" s="359" t="str">
        <f>'Func Future Lines 2015'!A20</f>
        <v>FINAL</v>
      </c>
      <c r="B20" s="359" t="str">
        <f>'Func Future Lines 2015'!B20</f>
        <v>874L</v>
      </c>
      <c r="C20" s="359">
        <f>'Func Future Lines 2015'!C20</f>
        <v>629</v>
      </c>
      <c r="D20" s="359">
        <f>'Func Future Lines 2015'!D20</f>
        <v>138</v>
      </c>
      <c r="E20" s="359">
        <f>'Func Future Lines 2015'!E20</f>
        <v>0</v>
      </c>
      <c r="F20" s="359">
        <f>'Func Future Lines 2015'!F20</f>
        <v>0</v>
      </c>
      <c r="G20" s="359">
        <f>'Func Future Lines 2015'!G20</f>
        <v>17456.145804520598</v>
      </c>
      <c r="H20" s="359" t="str">
        <f>'Func Future Lines 2015'!H20</f>
        <v>AltaLink</v>
      </c>
      <c r="I20" s="359">
        <f>'Func Future Lines 2015'!I20</f>
        <v>2015</v>
      </c>
      <c r="J20" s="361">
        <f>+IF($I20=J$3,VLOOKUP($H20,Depreciation!$A$6:$L$10,7,FALSE)/2,IF($I20&lt;J$3,VLOOKUP($H20,Depreciation!$A$6:$L$10,7,FALSE),0))</f>
        <v>1.595020804044691E-2</v>
      </c>
      <c r="K20" s="361">
        <f>+IF($I20=K$3,VLOOKUP($H20,Depreciation!$A$6:$L$10,8,FALSE)/2,IF($I20&lt;K$3,VLOOKUP($H20,Depreciation!$A$6:$L$10,8,FALSE),0))</f>
        <v>3.0676363676126896E-2</v>
      </c>
      <c r="L20" s="361">
        <f>+IF($I20=L$3,VLOOKUP($H20,Depreciation!$A$6:$L$10,9,FALSE)/2,IF($I20&lt;L$3,VLOOKUP($H20,Depreciation!$A$6:$L$10,9,FALSE),0))</f>
        <v>3.0676363676126896E-2</v>
      </c>
      <c r="M20" s="361">
        <f>+IF($I20=M$3,VLOOKUP($H20,Depreciation!$A$6:$L$10,10,FALSE)/2,IF($I20&lt;M$3,VLOOKUP($H20,Depreciation!$A$6:$L$10,10,FALSE),0))</f>
        <v>3.0676363676126896E-2</v>
      </c>
      <c r="N20" s="361">
        <f>+IF($I20=N$3,VLOOKUP($H20,Depreciation!$A$6:$L$10,11,FALSE)/2,IF($I20&lt;N$3,VLOOKUP($H20,Depreciation!$A$6:$L$10,11,FALSE),0))</f>
        <v>3.0676363676126896E-2</v>
      </c>
      <c r="O20" s="361">
        <f>+IF($I20=O$3,VLOOKUP($H20,Depreciation!$A$6:$L$10,12,FALSE)/2,IF($I20&lt;O$3,VLOOKUP($H20,Depreciation!$A$6:$L$10,12,FALSE),0))</f>
        <v>3.0676363676126896E-2</v>
      </c>
      <c r="P20" s="362">
        <f t="shared" si="1"/>
        <v>14699.733081842707</v>
      </c>
      <c r="Q20" s="362">
        <f t="shared" si="2"/>
        <v>0</v>
      </c>
      <c r="R20" s="363">
        <f t="shared" si="3"/>
        <v>14699.733081842707</v>
      </c>
      <c r="Y20" s="365"/>
    </row>
    <row r="21" spans="1:25" ht="15" customHeight="1">
      <c r="A21" s="359" t="str">
        <f>'Func Future Lines 2015'!A21</f>
        <v>FINAL</v>
      </c>
      <c r="B21" s="359" t="str">
        <f>'Func Future Lines 2015'!B21</f>
        <v>908L</v>
      </c>
      <c r="C21" s="359">
        <f>'Func Future Lines 2015'!C21</f>
        <v>629</v>
      </c>
      <c r="D21" s="359">
        <f>'Func Future Lines 2015'!D21</f>
        <v>240</v>
      </c>
      <c r="E21" s="359">
        <f>'Func Future Lines 2015'!E21</f>
        <v>0</v>
      </c>
      <c r="F21" s="359">
        <f>'Func Future Lines 2015'!F21</f>
        <v>0</v>
      </c>
      <c r="G21" s="359">
        <f>'Func Future Lines 2015'!G21</f>
        <v>2529823.4403768573</v>
      </c>
      <c r="H21" s="359" t="str">
        <f>'Func Future Lines 2015'!H21</f>
        <v>AltaLink</v>
      </c>
      <c r="I21" s="359">
        <f>'Func Future Lines 2015'!I21</f>
        <v>2015</v>
      </c>
      <c r="J21" s="361">
        <f>+IF($I21=J$3,VLOOKUP($H21,Depreciation!$A$6:$L$10,7,FALSE)/2,IF($I21&lt;J$3,VLOOKUP($H21,Depreciation!$A$6:$L$10,7,FALSE),0))</f>
        <v>1.595020804044691E-2</v>
      </c>
      <c r="K21" s="361">
        <f>+IF($I21=K$3,VLOOKUP($H21,Depreciation!$A$6:$L$10,8,FALSE)/2,IF($I21&lt;K$3,VLOOKUP($H21,Depreciation!$A$6:$L$10,8,FALSE),0))</f>
        <v>3.0676363676126896E-2</v>
      </c>
      <c r="L21" s="361">
        <f>+IF($I21=L$3,VLOOKUP($H21,Depreciation!$A$6:$L$10,9,FALSE)/2,IF($I21&lt;L$3,VLOOKUP($H21,Depreciation!$A$6:$L$10,9,FALSE),0))</f>
        <v>3.0676363676126896E-2</v>
      </c>
      <c r="M21" s="361">
        <f>+IF($I21=M$3,VLOOKUP($H21,Depreciation!$A$6:$L$10,10,FALSE)/2,IF($I21&lt;M$3,VLOOKUP($H21,Depreciation!$A$6:$L$10,10,FALSE),0))</f>
        <v>3.0676363676126896E-2</v>
      </c>
      <c r="N21" s="361">
        <f>+IF($I21=N$3,VLOOKUP($H21,Depreciation!$A$6:$L$10,11,FALSE)/2,IF($I21&lt;N$3,VLOOKUP($H21,Depreciation!$A$6:$L$10,11,FALSE),0))</f>
        <v>3.0676363676126896E-2</v>
      </c>
      <c r="O21" s="361">
        <f>+IF($I21=O$3,VLOOKUP($H21,Depreciation!$A$6:$L$10,12,FALSE)/2,IF($I21&lt;O$3,VLOOKUP($H21,Depreciation!$A$6:$L$10,12,FALSE),0))</f>
        <v>3.0676363676126896E-2</v>
      </c>
      <c r="P21" s="362">
        <f t="shared" si="1"/>
        <v>2130351.6672104304</v>
      </c>
      <c r="Q21" s="362">
        <f t="shared" si="2"/>
        <v>2130351.6672104304</v>
      </c>
      <c r="R21" s="363">
        <f t="shared" si="3"/>
        <v>0</v>
      </c>
      <c r="Y21" s="365"/>
    </row>
    <row r="22" spans="1:25" ht="15" customHeight="1">
      <c r="A22" s="359" t="str">
        <f>'Func Future Lines 2015'!A22</f>
        <v>FINAL</v>
      </c>
      <c r="B22" s="359" t="str">
        <f>'Func Future Lines 2015'!B22</f>
        <v>920/921L</v>
      </c>
      <c r="C22" s="359">
        <f>'Func Future Lines 2015'!C22</f>
        <v>629</v>
      </c>
      <c r="D22" s="359">
        <f>'Func Future Lines 2015'!D22</f>
        <v>240</v>
      </c>
      <c r="E22" s="359">
        <f>'Func Future Lines 2015'!E22</f>
        <v>0</v>
      </c>
      <c r="F22" s="359">
        <f>'Func Future Lines 2015'!F22</f>
        <v>0</v>
      </c>
      <c r="G22" s="359">
        <f>'Func Future Lines 2015'!G22</f>
        <v>6789772.358134713</v>
      </c>
      <c r="H22" s="359" t="str">
        <f>'Func Future Lines 2015'!H22</f>
        <v>AltaLink</v>
      </c>
      <c r="I22" s="359">
        <f>'Func Future Lines 2015'!I22</f>
        <v>2015</v>
      </c>
      <c r="J22" s="361">
        <f>+IF($I22=J$3,VLOOKUP($H22,Depreciation!$A$6:$L$10,7,FALSE)/2,IF($I22&lt;J$3,VLOOKUP($H22,Depreciation!$A$6:$L$10,7,FALSE),0))</f>
        <v>1.595020804044691E-2</v>
      </c>
      <c r="K22" s="361">
        <f>+IF($I22=K$3,VLOOKUP($H22,Depreciation!$A$6:$L$10,8,FALSE)/2,IF($I22&lt;K$3,VLOOKUP($H22,Depreciation!$A$6:$L$10,8,FALSE),0))</f>
        <v>3.0676363676126896E-2</v>
      </c>
      <c r="L22" s="361">
        <f>+IF($I22=L$3,VLOOKUP($H22,Depreciation!$A$6:$L$10,9,FALSE)/2,IF($I22&lt;L$3,VLOOKUP($H22,Depreciation!$A$6:$L$10,9,FALSE),0))</f>
        <v>3.0676363676126896E-2</v>
      </c>
      <c r="M22" s="361">
        <f>+IF($I22=M$3,VLOOKUP($H22,Depreciation!$A$6:$L$10,10,FALSE)/2,IF($I22&lt;M$3,VLOOKUP($H22,Depreciation!$A$6:$L$10,10,FALSE),0))</f>
        <v>3.0676363676126896E-2</v>
      </c>
      <c r="N22" s="361">
        <f>+IF($I22=N$3,VLOOKUP($H22,Depreciation!$A$6:$L$10,11,FALSE)/2,IF($I22&lt;N$3,VLOOKUP($H22,Depreciation!$A$6:$L$10,11,FALSE),0))</f>
        <v>3.0676363676126896E-2</v>
      </c>
      <c r="O22" s="361">
        <f>+IF($I22=O$3,VLOOKUP($H22,Depreciation!$A$6:$L$10,12,FALSE)/2,IF($I22&lt;O$3,VLOOKUP($H22,Depreciation!$A$6:$L$10,12,FALSE),0))</f>
        <v>3.0676363676126896E-2</v>
      </c>
      <c r="P22" s="362">
        <f t="shared" si="1"/>
        <v>5717633.3463717336</v>
      </c>
      <c r="Q22" s="362">
        <f t="shared" si="2"/>
        <v>5717633.3463717336</v>
      </c>
      <c r="R22" s="363">
        <f t="shared" si="3"/>
        <v>0</v>
      </c>
      <c r="Y22" s="365"/>
    </row>
    <row r="23" spans="1:25" ht="15" customHeight="1">
      <c r="A23" s="359" t="str">
        <f>'Func Future Lines 2015'!A23</f>
        <v>FINAL</v>
      </c>
      <c r="B23" s="359" t="str">
        <f>'Func Future Lines 2015'!B23</f>
        <v>946L</v>
      </c>
      <c r="C23" s="359">
        <f>'Func Future Lines 2015'!C23</f>
        <v>629</v>
      </c>
      <c r="D23" s="359">
        <f>'Func Future Lines 2015'!D23</f>
        <v>240</v>
      </c>
      <c r="E23" s="359">
        <f>'Func Future Lines 2015'!E23</f>
        <v>0</v>
      </c>
      <c r="F23" s="359">
        <f>'Func Future Lines 2015'!F23</f>
        <v>0</v>
      </c>
      <c r="G23" s="359">
        <f>'Func Future Lines 2015'!G23</f>
        <v>2351204.2774664294</v>
      </c>
      <c r="H23" s="359" t="str">
        <f>'Func Future Lines 2015'!H23</f>
        <v>AltaLink</v>
      </c>
      <c r="I23" s="359">
        <f>'Func Future Lines 2015'!I23</f>
        <v>2015</v>
      </c>
      <c r="J23" s="361">
        <f>+IF($I23=J$3,VLOOKUP($H23,Depreciation!$A$6:$L$10,7,FALSE)/2,IF($I23&lt;J$3,VLOOKUP($H23,Depreciation!$A$6:$L$10,7,FALSE),0))</f>
        <v>1.595020804044691E-2</v>
      </c>
      <c r="K23" s="361">
        <f>+IF($I23=K$3,VLOOKUP($H23,Depreciation!$A$6:$L$10,8,FALSE)/2,IF($I23&lt;K$3,VLOOKUP($H23,Depreciation!$A$6:$L$10,8,FALSE),0))</f>
        <v>3.0676363676126896E-2</v>
      </c>
      <c r="L23" s="361">
        <f>+IF($I23=L$3,VLOOKUP($H23,Depreciation!$A$6:$L$10,9,FALSE)/2,IF($I23&lt;L$3,VLOOKUP($H23,Depreciation!$A$6:$L$10,9,FALSE),0))</f>
        <v>3.0676363676126896E-2</v>
      </c>
      <c r="M23" s="361">
        <f>+IF($I23=M$3,VLOOKUP($H23,Depreciation!$A$6:$L$10,10,FALSE)/2,IF($I23&lt;M$3,VLOOKUP($H23,Depreciation!$A$6:$L$10,10,FALSE),0))</f>
        <v>3.0676363676126896E-2</v>
      </c>
      <c r="N23" s="361">
        <f>+IF($I23=N$3,VLOOKUP($H23,Depreciation!$A$6:$L$10,11,FALSE)/2,IF($I23&lt;N$3,VLOOKUP($H23,Depreciation!$A$6:$L$10,11,FALSE),0))</f>
        <v>3.0676363676126896E-2</v>
      </c>
      <c r="O23" s="361">
        <f>+IF($I23=O$3,VLOOKUP($H23,Depreciation!$A$6:$L$10,12,FALSE)/2,IF($I23&lt;O$3,VLOOKUP($H23,Depreciation!$A$6:$L$10,12,FALSE),0))</f>
        <v>3.0676363676126896E-2</v>
      </c>
      <c r="P23" s="362">
        <f t="shared" si="1"/>
        <v>1979937.3634180375</v>
      </c>
      <c r="Q23" s="362">
        <f t="shared" si="2"/>
        <v>1979937.3634180375</v>
      </c>
      <c r="R23" s="363">
        <f t="shared" si="3"/>
        <v>0</v>
      </c>
      <c r="Y23" s="365"/>
    </row>
    <row r="24" spans="1:25" ht="15" customHeight="1">
      <c r="A24" s="359" t="str">
        <f>'Func Future Lines 2015'!A24</f>
        <v>FINAL</v>
      </c>
      <c r="B24" s="359" t="str">
        <f>'Func Future Lines 2015'!B24</f>
        <v>947L</v>
      </c>
      <c r="C24" s="359">
        <f>'Func Future Lines 2015'!C24</f>
        <v>629</v>
      </c>
      <c r="D24" s="359">
        <f>'Func Future Lines 2015'!D24</f>
        <v>240</v>
      </c>
      <c r="E24" s="359">
        <f>'Func Future Lines 2015'!E24</f>
        <v>0</v>
      </c>
      <c r="F24" s="359">
        <f>'Func Future Lines 2015'!F24</f>
        <v>0</v>
      </c>
      <c r="G24" s="359">
        <f>'Func Future Lines 2015'!G24</f>
        <v>1685761.0563939137</v>
      </c>
      <c r="H24" s="359" t="str">
        <f>'Func Future Lines 2015'!H24</f>
        <v>AltaLink</v>
      </c>
      <c r="I24" s="359">
        <f>'Func Future Lines 2015'!I24</f>
        <v>2015</v>
      </c>
      <c r="J24" s="361">
        <f>+IF($I24=J$3,VLOOKUP($H24,Depreciation!$A$6:$L$10,7,FALSE)/2,IF($I24&lt;J$3,VLOOKUP($H24,Depreciation!$A$6:$L$10,7,FALSE),0))</f>
        <v>1.595020804044691E-2</v>
      </c>
      <c r="K24" s="361">
        <f>+IF($I24=K$3,VLOOKUP($H24,Depreciation!$A$6:$L$10,8,FALSE)/2,IF($I24&lt;K$3,VLOOKUP($H24,Depreciation!$A$6:$L$10,8,FALSE),0))</f>
        <v>3.0676363676126896E-2</v>
      </c>
      <c r="L24" s="361">
        <f>+IF($I24=L$3,VLOOKUP($H24,Depreciation!$A$6:$L$10,9,FALSE)/2,IF($I24&lt;L$3,VLOOKUP($H24,Depreciation!$A$6:$L$10,9,FALSE),0))</f>
        <v>3.0676363676126896E-2</v>
      </c>
      <c r="M24" s="361">
        <f>+IF($I24=M$3,VLOOKUP($H24,Depreciation!$A$6:$L$10,10,FALSE)/2,IF($I24&lt;M$3,VLOOKUP($H24,Depreciation!$A$6:$L$10,10,FALSE),0))</f>
        <v>3.0676363676126896E-2</v>
      </c>
      <c r="N24" s="361">
        <f>+IF($I24=N$3,VLOOKUP($H24,Depreciation!$A$6:$L$10,11,FALSE)/2,IF($I24&lt;N$3,VLOOKUP($H24,Depreciation!$A$6:$L$10,11,FALSE),0))</f>
        <v>3.0676363676126896E-2</v>
      </c>
      <c r="O24" s="361">
        <f>+IF($I24=O$3,VLOOKUP($H24,Depreciation!$A$6:$L$10,12,FALSE)/2,IF($I24&lt;O$3,VLOOKUP($H24,Depreciation!$A$6:$L$10,12,FALSE),0))</f>
        <v>3.0676363676126896E-2</v>
      </c>
      <c r="P24" s="362">
        <f t="shared" si="1"/>
        <v>1419570.9549090965</v>
      </c>
      <c r="Q24" s="362">
        <f t="shared" si="2"/>
        <v>1419570.9549090965</v>
      </c>
      <c r="R24" s="363">
        <f t="shared" si="3"/>
        <v>0</v>
      </c>
      <c r="Y24" s="365"/>
    </row>
    <row r="25" spans="1:25" ht="15" customHeight="1">
      <c r="A25" s="359" t="str">
        <f>'Func Future Lines 2015'!A25</f>
        <v>PPS</v>
      </c>
      <c r="B25" s="359" t="str">
        <f>'Func Future Lines 2015'!B25</f>
        <v>9L12</v>
      </c>
      <c r="C25" s="359">
        <f>'Func Future Lines 2015'!C25</f>
        <v>635</v>
      </c>
      <c r="D25" s="359">
        <f>'Func Future Lines 2015'!D25</f>
        <v>240</v>
      </c>
      <c r="E25" s="359">
        <f>'Func Future Lines 2015'!E25</f>
        <v>0</v>
      </c>
      <c r="F25" s="359" t="str">
        <f>'Func Future Lines 2015'!F25</f>
        <v>Hanna</v>
      </c>
      <c r="G25" s="360">
        <f>'Func Future Lines 2015'!G25</f>
        <v>427021.60758395493</v>
      </c>
      <c r="H25" s="359" t="str">
        <f>'Func Future Lines 2015'!H25</f>
        <v>ATCO</v>
      </c>
      <c r="I25" s="359">
        <f>'Func Future Lines 2015'!I25</f>
        <v>2019</v>
      </c>
      <c r="J25" s="361">
        <f>+IF($I25=J$3,VLOOKUP($H25,Depreciation!$A$6:$L$10,7,FALSE)/2,IF($I25&lt;J$3,VLOOKUP($H25,Depreciation!$A$6:$L$10,7,FALSE),0))</f>
        <v>0</v>
      </c>
      <c r="K25" s="361">
        <f>+IF($I25=K$3,VLOOKUP($H25,Depreciation!$A$6:$L$10,8,FALSE)/2,IF($I25&lt;K$3,VLOOKUP($H25,Depreciation!$A$6:$L$10,8,FALSE),0))</f>
        <v>0</v>
      </c>
      <c r="L25" s="361">
        <f>+IF($I25=L$3,VLOOKUP($H25,Depreciation!$A$6:$L$10,9,FALSE)/2,IF($I25&lt;L$3,VLOOKUP($H25,Depreciation!$A$6:$L$10,9,FALSE),0))</f>
        <v>0</v>
      </c>
      <c r="M25" s="361">
        <f>+IF($I25=M$3,VLOOKUP($H25,Depreciation!$A$6:$L$10,10,FALSE)/2,IF($I25&lt;M$3,VLOOKUP($H25,Depreciation!$A$6:$L$10,10,FALSE),0))</f>
        <v>0</v>
      </c>
      <c r="N25" s="361">
        <f>+IF($I25=N$3,VLOOKUP($H25,Depreciation!$A$6:$L$10,11,FALSE)/2,IF($I25&lt;N$3,VLOOKUP($H25,Depreciation!$A$6:$L$10,11,FALSE),0))</f>
        <v>1.2001018963427959E-2</v>
      </c>
      <c r="O25" s="361">
        <f>+IF($I25=O$3,VLOOKUP($H25,Depreciation!$A$6:$L$10,12,FALSE)/2,IF($I25&lt;O$3,VLOOKUP($H25,Depreciation!$A$6:$L$10,12,FALSE),0))</f>
        <v>2.4002037926855919E-2</v>
      </c>
      <c r="P25" s="362">
        <f t="shared" si="1"/>
        <v>411770.52746233146</v>
      </c>
      <c r="Q25" s="362">
        <f t="shared" si="2"/>
        <v>411770.52746233146</v>
      </c>
      <c r="R25" s="363">
        <f t="shared" si="3"/>
        <v>0</v>
      </c>
      <c r="Y25" s="365"/>
    </row>
    <row r="26" spans="1:25" ht="15" customHeight="1">
      <c r="A26" s="359" t="str">
        <f>'Func Future Lines 2015'!A26</f>
        <v>PPS</v>
      </c>
      <c r="B26" s="359" t="str">
        <f>'Func Future Lines 2015'!B26</f>
        <v>9L38 &amp; 9L94</v>
      </c>
      <c r="C26" s="359">
        <f>'Func Future Lines 2015'!C26</f>
        <v>635</v>
      </c>
      <c r="D26" s="359">
        <f>'Func Future Lines 2015'!D26</f>
        <v>240</v>
      </c>
      <c r="E26" s="359">
        <f>'Func Future Lines 2015'!E26</f>
        <v>0</v>
      </c>
      <c r="F26" s="359" t="str">
        <f>'Func Future Lines 2015'!F26</f>
        <v>Hanna</v>
      </c>
      <c r="G26" s="360">
        <f>'Func Future Lines 2015'!G26</f>
        <v>3545608.0808741758</v>
      </c>
      <c r="H26" s="359" t="str">
        <f>'Func Future Lines 2015'!H26</f>
        <v>ATCO</v>
      </c>
      <c r="I26" s="359">
        <f>'Func Future Lines 2015'!I26</f>
        <v>2019</v>
      </c>
      <c r="J26" s="361">
        <f>+IF($I26=J$3,VLOOKUP($H26,Depreciation!$A$6:$L$10,7,FALSE)/2,IF($I26&lt;J$3,VLOOKUP($H26,Depreciation!$A$6:$L$10,7,FALSE),0))</f>
        <v>0</v>
      </c>
      <c r="K26" s="361">
        <f>+IF($I26=K$3,VLOOKUP($H26,Depreciation!$A$6:$L$10,8,FALSE)/2,IF($I26&lt;K$3,VLOOKUP($H26,Depreciation!$A$6:$L$10,8,FALSE),0))</f>
        <v>0</v>
      </c>
      <c r="L26" s="361">
        <f>+IF($I26=L$3,VLOOKUP($H26,Depreciation!$A$6:$L$10,9,FALSE)/2,IF($I26&lt;L$3,VLOOKUP($H26,Depreciation!$A$6:$L$10,9,FALSE),0))</f>
        <v>0</v>
      </c>
      <c r="M26" s="361">
        <f>+IF($I26=M$3,VLOOKUP($H26,Depreciation!$A$6:$L$10,10,FALSE)/2,IF($I26&lt;M$3,VLOOKUP($H26,Depreciation!$A$6:$L$10,10,FALSE),0))</f>
        <v>0</v>
      </c>
      <c r="N26" s="361">
        <f>+IF($I26=N$3,VLOOKUP($H26,Depreciation!$A$6:$L$10,11,FALSE)/2,IF($I26&lt;N$3,VLOOKUP($H26,Depreciation!$A$6:$L$10,11,FALSE),0))</f>
        <v>1.2001018963427959E-2</v>
      </c>
      <c r="O26" s="361">
        <f>+IF($I26=O$3,VLOOKUP($H26,Depreciation!$A$6:$L$10,12,FALSE)/2,IF($I26&lt;O$3,VLOOKUP($H26,Depreciation!$A$6:$L$10,12,FALSE),0))</f>
        <v>2.4002037926855919E-2</v>
      </c>
      <c r="P26" s="362">
        <f t="shared" si="1"/>
        <v>3418976.6599790254</v>
      </c>
      <c r="Q26" s="362">
        <f t="shared" si="2"/>
        <v>3418976.6599790254</v>
      </c>
      <c r="R26" s="363">
        <f t="shared" si="3"/>
        <v>0</v>
      </c>
      <c r="U26" s="366"/>
      <c r="Y26" s="365"/>
    </row>
    <row r="27" spans="1:25" ht="15" customHeight="1">
      <c r="A27" s="359" t="str">
        <f>'Func Future Lines 2015'!A27</f>
        <v>PPS</v>
      </c>
      <c r="B27" s="359" t="str">
        <f>'Func Future Lines 2015'!B27</f>
        <v>9L94 line version 2</v>
      </c>
      <c r="C27" s="359">
        <f>'Func Future Lines 2015'!C27</f>
        <v>678</v>
      </c>
      <c r="D27" s="359">
        <f>'Func Future Lines 2015'!D27</f>
        <v>240</v>
      </c>
      <c r="E27" s="359">
        <f>'Func Future Lines 2015'!E27</f>
        <v>0</v>
      </c>
      <c r="F27" s="359">
        <f>'Func Future Lines 2015'!F27</f>
        <v>0</v>
      </c>
      <c r="G27" s="360">
        <f>'Func Future Lines 2015'!G27</f>
        <v>17467872.448014654</v>
      </c>
      <c r="H27" s="359" t="str">
        <f>'Func Future Lines 2015'!H27</f>
        <v>ATCO</v>
      </c>
      <c r="I27" s="359">
        <f>'Func Future Lines 2015'!I27</f>
        <v>2019</v>
      </c>
      <c r="J27" s="361">
        <f>+IF($I27=J$3,VLOOKUP($H27,Depreciation!$A$6:$L$10,7,FALSE)/2,IF($I27&lt;J$3,VLOOKUP($H27,Depreciation!$A$6:$L$10,7,FALSE),0))</f>
        <v>0</v>
      </c>
      <c r="K27" s="361">
        <f>+IF($I27=K$3,VLOOKUP($H27,Depreciation!$A$6:$L$10,8,FALSE)/2,IF($I27&lt;K$3,VLOOKUP($H27,Depreciation!$A$6:$L$10,8,FALSE),0))</f>
        <v>0</v>
      </c>
      <c r="L27" s="361">
        <f>+IF($I27=L$3,VLOOKUP($H27,Depreciation!$A$6:$L$10,9,FALSE)/2,IF($I27&lt;L$3,VLOOKUP($H27,Depreciation!$A$6:$L$10,9,FALSE),0))</f>
        <v>0</v>
      </c>
      <c r="M27" s="361">
        <f>+IF($I27=M$3,VLOOKUP($H27,Depreciation!$A$6:$L$10,10,FALSE)/2,IF($I27&lt;M$3,VLOOKUP($H27,Depreciation!$A$6:$L$10,10,FALSE),0))</f>
        <v>0</v>
      </c>
      <c r="N27" s="361">
        <f>+IF($I27=N$3,VLOOKUP($H27,Depreciation!$A$6:$L$10,11,FALSE)/2,IF($I27&lt;N$3,VLOOKUP($H27,Depreciation!$A$6:$L$10,11,FALSE),0))</f>
        <v>1.2001018963427959E-2</v>
      </c>
      <c r="O27" s="361">
        <f>+IF($I27=O$3,VLOOKUP($H27,Depreciation!$A$6:$L$10,12,FALSE)/2,IF($I27&lt;O$3,VLOOKUP($H27,Depreciation!$A$6:$L$10,12,FALSE),0))</f>
        <v>2.4002037926855919E-2</v>
      </c>
      <c r="P27" s="362">
        <f t="shared" si="1"/>
        <v>16844007.244175777</v>
      </c>
      <c r="Q27" s="362">
        <f t="shared" si="2"/>
        <v>16844007.244175777</v>
      </c>
      <c r="R27" s="363">
        <f t="shared" si="3"/>
        <v>0</v>
      </c>
      <c r="Y27" s="365"/>
    </row>
    <row r="28" spans="1:25" ht="15" customHeight="1">
      <c r="A28" s="359" t="str">
        <f>'Func Future Lines 2015'!A28</f>
        <v>PPS</v>
      </c>
      <c r="B28" s="359" t="str">
        <f>'Func Future Lines 2015'!B28</f>
        <v>983L/1074L_(v1)</v>
      </c>
      <c r="C28" s="359">
        <f>'Func Future Lines 2015'!C28</f>
        <v>693</v>
      </c>
      <c r="D28" s="359">
        <f>'Func Future Lines 2015'!D28</f>
        <v>240</v>
      </c>
      <c r="E28" s="359">
        <f>'Func Future Lines 2015'!E28</f>
        <v>0</v>
      </c>
      <c r="F28" s="359">
        <f>'Func Future Lines 2015'!F28</f>
        <v>0</v>
      </c>
      <c r="G28" s="360">
        <f>'Func Future Lines 2015'!G28</f>
        <v>1771692.0151243901</v>
      </c>
      <c r="H28" s="359" t="str">
        <f>'Func Future Lines 2015'!H28</f>
        <v>AltaLink</v>
      </c>
      <c r="I28" s="359">
        <f>'Func Future Lines 2015'!I28</f>
        <v>2019</v>
      </c>
      <c r="J28" s="361">
        <f>+IF($I28=J$3,VLOOKUP($H28,Depreciation!$A$6:$L$10,7,FALSE)/2,IF($I28&lt;J$3,VLOOKUP($H28,Depreciation!$A$6:$L$10,7,FALSE),0))</f>
        <v>0</v>
      </c>
      <c r="K28" s="361">
        <f>+IF($I28=K$3,VLOOKUP($H28,Depreciation!$A$6:$L$10,8,FALSE)/2,IF($I28&lt;K$3,VLOOKUP($H28,Depreciation!$A$6:$L$10,8,FALSE),0))</f>
        <v>0</v>
      </c>
      <c r="L28" s="361">
        <f>+IF($I28=L$3,VLOOKUP($H28,Depreciation!$A$6:$L$10,9,FALSE)/2,IF($I28&lt;L$3,VLOOKUP($H28,Depreciation!$A$6:$L$10,9,FALSE),0))</f>
        <v>0</v>
      </c>
      <c r="M28" s="361">
        <f>+IF($I28=M$3,VLOOKUP($H28,Depreciation!$A$6:$L$10,10,FALSE)/2,IF($I28&lt;M$3,VLOOKUP($H28,Depreciation!$A$6:$L$10,10,FALSE),0))</f>
        <v>0</v>
      </c>
      <c r="N28" s="361">
        <f>+IF($I28=N$3,VLOOKUP($H28,Depreciation!$A$6:$L$10,11,FALSE)/2,IF($I28&lt;N$3,VLOOKUP($H28,Depreciation!$A$6:$L$10,11,FALSE),0))</f>
        <v>1.5338181838063448E-2</v>
      </c>
      <c r="O28" s="361">
        <f>+IF($I28=O$3,VLOOKUP($H28,Depreciation!$A$6:$L$10,12,FALSE)/2,IF($I28&lt;O$3,VLOOKUP($H28,Depreciation!$A$6:$L$10,12,FALSE),0))</f>
        <v>3.0676363676126896E-2</v>
      </c>
      <c r="P28" s="362">
        <f t="shared" si="1"/>
        <v>1691002.0281539008</v>
      </c>
      <c r="Q28" s="362">
        <f t="shared" si="2"/>
        <v>1691002.0281539008</v>
      </c>
      <c r="R28" s="363">
        <f t="shared" si="3"/>
        <v>0</v>
      </c>
      <c r="Y28" s="365"/>
    </row>
    <row r="29" spans="1:25" ht="15" customHeight="1">
      <c r="A29" s="359" t="str">
        <f>'Func Future Lines 2015'!A29</f>
        <v>PPS</v>
      </c>
      <c r="B29" s="359" t="str">
        <f>'Func Future Lines 2015'!B29</f>
        <v>1003 UG</v>
      </c>
      <c r="C29" s="359">
        <f>'Func Future Lines 2015'!C29</f>
        <v>719</v>
      </c>
      <c r="D29" s="359">
        <f>'Func Future Lines 2015'!D29</f>
        <v>240</v>
      </c>
      <c r="E29" s="359">
        <f>'Func Future Lines 2015'!E29</f>
        <v>0</v>
      </c>
      <c r="F29" s="359" t="str">
        <f>'Func Future Lines 2015'!F29</f>
        <v>Calgary</v>
      </c>
      <c r="G29" s="359">
        <f>'Func Future Lines 2015'!G29</f>
        <v>4216204.8010803293</v>
      </c>
      <c r="H29" s="359" t="str">
        <f>'Func Future Lines 2015'!H29</f>
        <v>AltaLink</v>
      </c>
      <c r="I29" s="359">
        <f>'Func Future Lines 2015'!I29</f>
        <v>2015</v>
      </c>
      <c r="J29" s="361">
        <f>+IF($I29=J$3,VLOOKUP($H29,Depreciation!$A$6:$L$10,7,FALSE)/2,IF($I29&lt;J$3,VLOOKUP($H29,Depreciation!$A$6:$L$10,7,FALSE),0))</f>
        <v>1.595020804044691E-2</v>
      </c>
      <c r="K29" s="361">
        <f>+IF($I29=K$3,VLOOKUP($H29,Depreciation!$A$6:$L$10,8,FALSE)/2,IF($I29&lt;K$3,VLOOKUP($H29,Depreciation!$A$6:$L$10,8,FALSE),0))</f>
        <v>3.0676363676126896E-2</v>
      </c>
      <c r="L29" s="361">
        <f>+IF($I29=L$3,VLOOKUP($H29,Depreciation!$A$6:$L$10,9,FALSE)/2,IF($I29&lt;L$3,VLOOKUP($H29,Depreciation!$A$6:$L$10,9,FALSE),0))</f>
        <v>3.0676363676126896E-2</v>
      </c>
      <c r="M29" s="361">
        <f>+IF($I29=M$3,VLOOKUP($H29,Depreciation!$A$6:$L$10,10,FALSE)/2,IF($I29&lt;M$3,VLOOKUP($H29,Depreciation!$A$6:$L$10,10,FALSE),0))</f>
        <v>3.0676363676126896E-2</v>
      </c>
      <c r="N29" s="361">
        <f>+IF($I29=N$3,VLOOKUP($H29,Depreciation!$A$6:$L$10,11,FALSE)/2,IF($I29&lt;N$3,VLOOKUP($H29,Depreciation!$A$6:$L$10,11,FALSE),0))</f>
        <v>3.0676363676126896E-2</v>
      </c>
      <c r="O29" s="361">
        <f>+IF($I29=O$3,VLOOKUP($H29,Depreciation!$A$6:$L$10,12,FALSE)/2,IF($I29&lt;O$3,VLOOKUP($H29,Depreciation!$A$6:$L$10,12,FALSE),0))</f>
        <v>3.0676363676126896E-2</v>
      </c>
      <c r="P29" s="362">
        <f t="shared" si="1"/>
        <v>3550444.9772763946</v>
      </c>
      <c r="Q29" s="362">
        <f t="shared" si="2"/>
        <v>3550444.9772763946</v>
      </c>
      <c r="R29" s="363">
        <f t="shared" si="3"/>
        <v>0</v>
      </c>
      <c r="Y29" s="365"/>
    </row>
    <row r="30" spans="1:25" ht="15" customHeight="1">
      <c r="A30" s="359" t="str">
        <f>'Func Future Lines 2015'!A30</f>
        <v>PPS</v>
      </c>
      <c r="B30" s="359" t="str">
        <f>'Func Future Lines 2015'!B30</f>
        <v>1077L</v>
      </c>
      <c r="C30" s="359">
        <f>'Func Future Lines 2015'!C30</f>
        <v>719</v>
      </c>
      <c r="D30" s="359">
        <f>'Func Future Lines 2015'!D30</f>
        <v>240</v>
      </c>
      <c r="E30" s="359">
        <f>'Func Future Lines 2015'!E30</f>
        <v>0</v>
      </c>
      <c r="F30" s="359" t="str">
        <f>'Func Future Lines 2015'!F30</f>
        <v>Calgary</v>
      </c>
      <c r="G30" s="359">
        <f>'Func Future Lines 2015'!G30</f>
        <v>5877049.5211357661</v>
      </c>
      <c r="H30" s="359" t="str">
        <f>'Func Future Lines 2015'!H30</f>
        <v>AltaLink</v>
      </c>
      <c r="I30" s="359">
        <f>'Func Future Lines 2015'!I30</f>
        <v>2015</v>
      </c>
      <c r="J30" s="361">
        <f>+IF($I30=J$3,VLOOKUP($H30,Depreciation!$A$6:$L$10,7,FALSE)/2,IF($I30&lt;J$3,VLOOKUP($H30,Depreciation!$A$6:$L$10,7,FALSE),0))</f>
        <v>1.595020804044691E-2</v>
      </c>
      <c r="K30" s="361">
        <f>+IF($I30=K$3,VLOOKUP($H30,Depreciation!$A$6:$L$10,8,FALSE)/2,IF($I30&lt;K$3,VLOOKUP($H30,Depreciation!$A$6:$L$10,8,FALSE),0))</f>
        <v>3.0676363676126896E-2</v>
      </c>
      <c r="L30" s="361">
        <f>+IF($I30=L$3,VLOOKUP($H30,Depreciation!$A$6:$L$10,9,FALSE)/2,IF($I30&lt;L$3,VLOOKUP($H30,Depreciation!$A$6:$L$10,9,FALSE),0))</f>
        <v>3.0676363676126896E-2</v>
      </c>
      <c r="M30" s="361">
        <f>+IF($I30=M$3,VLOOKUP($H30,Depreciation!$A$6:$L$10,10,FALSE)/2,IF($I30&lt;M$3,VLOOKUP($H30,Depreciation!$A$6:$L$10,10,FALSE),0))</f>
        <v>3.0676363676126896E-2</v>
      </c>
      <c r="N30" s="361">
        <f>+IF($I30=N$3,VLOOKUP($H30,Depreciation!$A$6:$L$10,11,FALSE)/2,IF($I30&lt;N$3,VLOOKUP($H30,Depreciation!$A$6:$L$10,11,FALSE),0))</f>
        <v>3.0676363676126896E-2</v>
      </c>
      <c r="O30" s="361">
        <f>+IF($I30=O$3,VLOOKUP($H30,Depreciation!$A$6:$L$10,12,FALSE)/2,IF($I30&lt;O$3,VLOOKUP($H30,Depreciation!$A$6:$L$10,12,FALSE),0))</f>
        <v>3.0676363676126896E-2</v>
      </c>
      <c r="P30" s="362">
        <f t="shared" si="1"/>
        <v>4949034.0099642528</v>
      </c>
      <c r="Q30" s="362">
        <f t="shared" si="2"/>
        <v>4949034.0099642528</v>
      </c>
      <c r="R30" s="363">
        <f t="shared" si="3"/>
        <v>0</v>
      </c>
      <c r="Y30" s="365"/>
    </row>
    <row r="31" spans="1:25" ht="15" customHeight="1">
      <c r="A31" s="359" t="str">
        <f>'Func Future Lines 2015'!A31</f>
        <v>PPS</v>
      </c>
      <c r="B31" s="359" t="str">
        <f>'Func Future Lines 2015'!B31</f>
        <v>1077L UG</v>
      </c>
      <c r="C31" s="359">
        <f>'Func Future Lines 2015'!C31</f>
        <v>719</v>
      </c>
      <c r="D31" s="359">
        <f>'Func Future Lines 2015'!D31</f>
        <v>240</v>
      </c>
      <c r="E31" s="359">
        <f>'Func Future Lines 2015'!E31</f>
        <v>0</v>
      </c>
      <c r="F31" s="359" t="str">
        <f>'Func Future Lines 2015'!F31</f>
        <v>Calgary</v>
      </c>
      <c r="G31" s="359">
        <f>'Func Future Lines 2015'!G31</f>
        <v>2258581.6201425032</v>
      </c>
      <c r="H31" s="359" t="str">
        <f>'Func Future Lines 2015'!H31</f>
        <v>AltaLink</v>
      </c>
      <c r="I31" s="359">
        <f>'Func Future Lines 2015'!I31</f>
        <v>2015</v>
      </c>
      <c r="J31" s="361">
        <f>+IF($I31=J$3,VLOOKUP($H31,Depreciation!$A$6:$L$10,7,FALSE)/2,IF($I31&lt;J$3,VLOOKUP($H31,Depreciation!$A$6:$L$10,7,FALSE),0))</f>
        <v>1.595020804044691E-2</v>
      </c>
      <c r="K31" s="361">
        <f>+IF($I31=K$3,VLOOKUP($H31,Depreciation!$A$6:$L$10,8,FALSE)/2,IF($I31&lt;K$3,VLOOKUP($H31,Depreciation!$A$6:$L$10,8,FALSE),0))</f>
        <v>3.0676363676126896E-2</v>
      </c>
      <c r="L31" s="361">
        <f>+IF($I31=L$3,VLOOKUP($H31,Depreciation!$A$6:$L$10,9,FALSE)/2,IF($I31&lt;L$3,VLOOKUP($H31,Depreciation!$A$6:$L$10,9,FALSE),0))</f>
        <v>3.0676363676126896E-2</v>
      </c>
      <c r="M31" s="361">
        <f>+IF($I31=M$3,VLOOKUP($H31,Depreciation!$A$6:$L$10,10,FALSE)/2,IF($I31&lt;M$3,VLOOKUP($H31,Depreciation!$A$6:$L$10,10,FALSE),0))</f>
        <v>3.0676363676126896E-2</v>
      </c>
      <c r="N31" s="361">
        <f>+IF($I31=N$3,VLOOKUP($H31,Depreciation!$A$6:$L$10,11,FALSE)/2,IF($I31&lt;N$3,VLOOKUP($H31,Depreciation!$A$6:$L$10,11,FALSE),0))</f>
        <v>3.0676363676126896E-2</v>
      </c>
      <c r="O31" s="361">
        <f>+IF($I31=O$3,VLOOKUP($H31,Depreciation!$A$6:$L$10,12,FALSE)/2,IF($I31&lt;O$3,VLOOKUP($H31,Depreciation!$A$6:$L$10,12,FALSE),0))</f>
        <v>3.0676363676126896E-2</v>
      </c>
      <c r="P31" s="362">
        <f t="shared" si="1"/>
        <v>1901940.2869018626</v>
      </c>
      <c r="Q31" s="362">
        <f t="shared" si="2"/>
        <v>1901940.2869018626</v>
      </c>
      <c r="R31" s="363">
        <f t="shared" si="3"/>
        <v>0</v>
      </c>
      <c r="Y31" s="365"/>
    </row>
    <row r="32" spans="1:25" ht="15" customHeight="1">
      <c r="A32" s="359" t="str">
        <f>'Func Future Lines 2015'!A32</f>
        <v>PPS</v>
      </c>
      <c r="B32" s="359" t="str">
        <f>'Func Future Lines 2015'!B32</f>
        <v>138-2.80</v>
      </c>
      <c r="C32" s="359">
        <f>'Func Future Lines 2015'!C32</f>
        <v>719</v>
      </c>
      <c r="D32" s="359">
        <f>'Func Future Lines 2015'!D32</f>
        <v>138</v>
      </c>
      <c r="E32" s="359">
        <f>'Func Future Lines 2015'!E32</f>
        <v>0</v>
      </c>
      <c r="F32" s="359" t="str">
        <f>'Func Future Lines 2015'!F32</f>
        <v>Calgary</v>
      </c>
      <c r="G32" s="359">
        <f>'Func Future Lines 2015'!G32</f>
        <v>7170911.0867936574</v>
      </c>
      <c r="H32" s="359" t="str">
        <f>'Func Future Lines 2015'!H32</f>
        <v>ENMAX</v>
      </c>
      <c r="I32" s="359">
        <f>'Func Future Lines 2015'!I32</f>
        <v>2015</v>
      </c>
      <c r="J32" s="361">
        <f>+IF($I32=J$3,VLOOKUP($H32,Depreciation!$A$6:$L$10,7,FALSE)/2,IF($I32&lt;J$3,VLOOKUP($H32,Depreciation!$A$6:$L$10,7,FALSE),0))</f>
        <v>1.3475179084025525E-2</v>
      </c>
      <c r="K32" s="361">
        <f>+IF($I32=K$3,VLOOKUP($H32,Depreciation!$A$6:$L$10,8,FALSE)/2,IF($I32&lt;K$3,VLOOKUP($H32,Depreciation!$A$6:$L$10,8,FALSE),0))</f>
        <v>2.6950358168051049E-2</v>
      </c>
      <c r="L32" s="361">
        <f>+IF($I32=L$3,VLOOKUP($H32,Depreciation!$A$6:$L$10,9,FALSE)/2,IF($I32&lt;L$3,VLOOKUP($H32,Depreciation!$A$6:$L$10,9,FALSE),0))</f>
        <v>2.6950358168051049E-2</v>
      </c>
      <c r="M32" s="361">
        <f>+IF($I32=M$3,VLOOKUP($H32,Depreciation!$A$6:$L$10,10,FALSE)/2,IF($I32&lt;M$3,VLOOKUP($H32,Depreciation!$A$6:$L$10,10,FALSE),0))</f>
        <v>2.6950358168051049E-2</v>
      </c>
      <c r="N32" s="361">
        <f>+IF($I32=N$3,VLOOKUP($H32,Depreciation!$A$6:$L$10,11,FALSE)/2,IF($I32&lt;N$3,VLOOKUP($H32,Depreciation!$A$6:$L$10,11,FALSE),0))</f>
        <v>2.6950358168051049E-2</v>
      </c>
      <c r="O32" s="361">
        <f>+IF($I32=O$3,VLOOKUP($H32,Depreciation!$A$6:$L$10,12,FALSE)/2,IF($I32&lt;O$3,VLOOKUP($H32,Depreciation!$A$6:$L$10,12,FALSE),0))</f>
        <v>2.6950358168051049E-2</v>
      </c>
      <c r="P32" s="362">
        <f t="shared" si="1"/>
        <v>6171025.4833229873</v>
      </c>
      <c r="Q32" s="362">
        <f t="shared" si="2"/>
        <v>0</v>
      </c>
      <c r="R32" s="363">
        <f t="shared" si="3"/>
        <v>6171025.4833229873</v>
      </c>
      <c r="Y32" s="365"/>
    </row>
    <row r="33" spans="1:25" ht="15" customHeight="1">
      <c r="A33" s="359" t="str">
        <f>'Func Future Lines 2015'!A33</f>
        <v>PPS</v>
      </c>
      <c r="B33" s="359" t="str">
        <f>'Func Future Lines 2015'!B33</f>
        <v>138-23.80</v>
      </c>
      <c r="C33" s="359">
        <f>'Func Future Lines 2015'!C33</f>
        <v>719</v>
      </c>
      <c r="D33" s="359">
        <f>'Func Future Lines 2015'!D33</f>
        <v>138</v>
      </c>
      <c r="E33" s="359">
        <f>'Func Future Lines 2015'!E33</f>
        <v>0</v>
      </c>
      <c r="F33" s="359" t="str">
        <f>'Func Future Lines 2015'!F33</f>
        <v>Calgary</v>
      </c>
      <c r="G33" s="359">
        <f>'Func Future Lines 2015'!G33</f>
        <v>7724058.5663275765</v>
      </c>
      <c r="H33" s="359" t="str">
        <f>'Func Future Lines 2015'!H33</f>
        <v>ENMAX</v>
      </c>
      <c r="I33" s="359">
        <f>'Func Future Lines 2015'!I33</f>
        <v>2015</v>
      </c>
      <c r="J33" s="361">
        <f>+IF($I33=J$3,VLOOKUP($H33,Depreciation!$A$6:$L$10,7,FALSE)/2,IF($I33&lt;J$3,VLOOKUP($H33,Depreciation!$A$6:$L$10,7,FALSE),0))</f>
        <v>1.3475179084025525E-2</v>
      </c>
      <c r="K33" s="361">
        <f>+IF($I33=K$3,VLOOKUP($H33,Depreciation!$A$6:$L$10,8,FALSE)/2,IF($I33&lt;K$3,VLOOKUP($H33,Depreciation!$A$6:$L$10,8,FALSE),0))</f>
        <v>2.6950358168051049E-2</v>
      </c>
      <c r="L33" s="361">
        <f>+IF($I33=L$3,VLOOKUP($H33,Depreciation!$A$6:$L$10,9,FALSE)/2,IF($I33&lt;L$3,VLOOKUP($H33,Depreciation!$A$6:$L$10,9,FALSE),0))</f>
        <v>2.6950358168051049E-2</v>
      </c>
      <c r="M33" s="361">
        <f>+IF($I33=M$3,VLOOKUP($H33,Depreciation!$A$6:$L$10,10,FALSE)/2,IF($I33&lt;M$3,VLOOKUP($H33,Depreciation!$A$6:$L$10,10,FALSE),0))</f>
        <v>2.6950358168051049E-2</v>
      </c>
      <c r="N33" s="361">
        <f>+IF($I33=N$3,VLOOKUP($H33,Depreciation!$A$6:$L$10,11,FALSE)/2,IF($I33&lt;N$3,VLOOKUP($H33,Depreciation!$A$6:$L$10,11,FALSE),0))</f>
        <v>2.6950358168051049E-2</v>
      </c>
      <c r="O33" s="361">
        <f>+IF($I33=O$3,VLOOKUP($H33,Depreciation!$A$6:$L$10,12,FALSE)/2,IF($I33&lt;O$3,VLOOKUP($H33,Depreciation!$A$6:$L$10,12,FALSE),0))</f>
        <v>2.6950358168051049E-2</v>
      </c>
      <c r="P33" s="362">
        <f t="shared" si="1"/>
        <v>6647044.1022856673</v>
      </c>
      <c r="Q33" s="362">
        <f t="shared" si="2"/>
        <v>0</v>
      </c>
      <c r="R33" s="363">
        <f t="shared" si="3"/>
        <v>6647044.1022856673</v>
      </c>
      <c r="Y33" s="365"/>
    </row>
    <row r="34" spans="1:25" ht="15" customHeight="1">
      <c r="A34" s="359" t="str">
        <f>'Func Future Lines 2015'!A34</f>
        <v>PPS</v>
      </c>
      <c r="B34" s="359" t="str">
        <f>'Func Future Lines 2015'!B34</f>
        <v>2.80/2.81/2.82/2.83/833L U/G</v>
      </c>
      <c r="C34" s="359">
        <f>'Func Future Lines 2015'!C34</f>
        <v>719</v>
      </c>
      <c r="D34" s="359">
        <f>'Func Future Lines 2015'!D34</f>
        <v>240</v>
      </c>
      <c r="E34" s="359">
        <f>'Func Future Lines 2015'!E34</f>
        <v>0</v>
      </c>
      <c r="F34" s="359" t="str">
        <f>'Func Future Lines 2015'!F34</f>
        <v>Calgary</v>
      </c>
      <c r="G34" s="359">
        <f>'Func Future Lines 2015'!G34</f>
        <v>5095063.3611532655</v>
      </c>
      <c r="H34" s="359" t="str">
        <f>'Func Future Lines 2015'!H34</f>
        <v>ENMAX</v>
      </c>
      <c r="I34" s="359">
        <f>'Func Future Lines 2015'!I34</f>
        <v>2015</v>
      </c>
      <c r="J34" s="361">
        <f>+IF($I34=J$3,VLOOKUP($H34,Depreciation!$A$6:$L$10,7,FALSE)/2,IF($I34&lt;J$3,VLOOKUP($H34,Depreciation!$A$6:$L$10,7,FALSE),0))</f>
        <v>1.3475179084025525E-2</v>
      </c>
      <c r="K34" s="361">
        <f>+IF($I34=K$3,VLOOKUP($H34,Depreciation!$A$6:$L$10,8,FALSE)/2,IF($I34&lt;K$3,VLOOKUP($H34,Depreciation!$A$6:$L$10,8,FALSE),0))</f>
        <v>2.6950358168051049E-2</v>
      </c>
      <c r="L34" s="361">
        <f>+IF($I34=L$3,VLOOKUP($H34,Depreciation!$A$6:$L$10,9,FALSE)/2,IF($I34&lt;L$3,VLOOKUP($H34,Depreciation!$A$6:$L$10,9,FALSE),0))</f>
        <v>2.6950358168051049E-2</v>
      </c>
      <c r="M34" s="361">
        <f>+IF($I34=M$3,VLOOKUP($H34,Depreciation!$A$6:$L$10,10,FALSE)/2,IF($I34&lt;M$3,VLOOKUP($H34,Depreciation!$A$6:$L$10,10,FALSE),0))</f>
        <v>2.6950358168051049E-2</v>
      </c>
      <c r="N34" s="361">
        <f>+IF($I34=N$3,VLOOKUP($H34,Depreciation!$A$6:$L$10,11,FALSE)/2,IF($I34&lt;N$3,VLOOKUP($H34,Depreciation!$A$6:$L$10,11,FALSE),0))</f>
        <v>2.6950358168051049E-2</v>
      </c>
      <c r="O34" s="361">
        <f>+IF($I34=O$3,VLOOKUP($H34,Depreciation!$A$6:$L$10,12,FALSE)/2,IF($I34&lt;O$3,VLOOKUP($H34,Depreciation!$A$6:$L$10,12,FALSE),0))</f>
        <v>2.6950358168051049E-2</v>
      </c>
      <c r="P34" s="362">
        <f t="shared" si="1"/>
        <v>4384626.3689877493</v>
      </c>
      <c r="Q34" s="362">
        <f t="shared" si="2"/>
        <v>4384626.3689877493</v>
      </c>
      <c r="R34" s="363">
        <f t="shared" si="3"/>
        <v>0</v>
      </c>
      <c r="Y34" s="365"/>
    </row>
    <row r="35" spans="1:25" ht="15" customHeight="1">
      <c r="A35" s="359" t="str">
        <f>'Func Future Lines 2015'!A35</f>
        <v>PPS</v>
      </c>
      <c r="B35" s="359" t="str">
        <f>'Func Future Lines 2015'!B35</f>
        <v>23.80L</v>
      </c>
      <c r="C35" s="359">
        <f>'Func Future Lines 2015'!C35</f>
        <v>719</v>
      </c>
      <c r="D35" s="359">
        <f>'Func Future Lines 2015'!D35</f>
        <v>138</v>
      </c>
      <c r="E35" s="359">
        <f>'Func Future Lines 2015'!E35</f>
        <v>0</v>
      </c>
      <c r="F35" s="359" t="str">
        <f>'Func Future Lines 2015'!F35</f>
        <v>Calgary</v>
      </c>
      <c r="G35" s="359">
        <f>'Func Future Lines 2015'!G35</f>
        <v>18113.239396577752</v>
      </c>
      <c r="H35" s="359" t="str">
        <f>'Func Future Lines 2015'!H35</f>
        <v>AltaLink</v>
      </c>
      <c r="I35" s="359">
        <f>'Func Future Lines 2015'!I35</f>
        <v>2015</v>
      </c>
      <c r="J35" s="361">
        <f>+IF($I35=J$3,VLOOKUP($H35,Depreciation!$A$6:$L$10,7,FALSE)/2,IF($I35&lt;J$3,VLOOKUP($H35,Depreciation!$A$6:$L$10,7,FALSE),0))</f>
        <v>1.595020804044691E-2</v>
      </c>
      <c r="K35" s="361">
        <f>+IF($I35=K$3,VLOOKUP($H35,Depreciation!$A$6:$L$10,8,FALSE)/2,IF($I35&lt;K$3,VLOOKUP($H35,Depreciation!$A$6:$L$10,8,FALSE),0))</f>
        <v>3.0676363676126896E-2</v>
      </c>
      <c r="L35" s="361">
        <f>+IF($I35=L$3,VLOOKUP($H35,Depreciation!$A$6:$L$10,9,FALSE)/2,IF($I35&lt;L$3,VLOOKUP($H35,Depreciation!$A$6:$L$10,9,FALSE),0))</f>
        <v>3.0676363676126896E-2</v>
      </c>
      <c r="M35" s="361">
        <f>+IF($I35=M$3,VLOOKUP($H35,Depreciation!$A$6:$L$10,10,FALSE)/2,IF($I35&lt;M$3,VLOOKUP($H35,Depreciation!$A$6:$L$10,10,FALSE),0))</f>
        <v>3.0676363676126896E-2</v>
      </c>
      <c r="N35" s="361">
        <f>+IF($I35=N$3,VLOOKUP($H35,Depreciation!$A$6:$L$10,11,FALSE)/2,IF($I35&lt;N$3,VLOOKUP($H35,Depreciation!$A$6:$L$10,11,FALSE),0))</f>
        <v>3.0676363676126896E-2</v>
      </c>
      <c r="O35" s="361">
        <f>+IF($I35=O$3,VLOOKUP($H35,Depreciation!$A$6:$L$10,12,FALSE)/2,IF($I35&lt;O$3,VLOOKUP($H35,Depreciation!$A$6:$L$10,12,FALSE),0))</f>
        <v>3.0676363676126896E-2</v>
      </c>
      <c r="P35" s="362">
        <f t="shared" si="1"/>
        <v>15253.068309515244</v>
      </c>
      <c r="Q35" s="362">
        <f t="shared" si="2"/>
        <v>0</v>
      </c>
      <c r="R35" s="363">
        <f t="shared" si="3"/>
        <v>15253.068309515244</v>
      </c>
      <c r="Y35" s="365"/>
    </row>
    <row r="36" spans="1:25" ht="15" customHeight="1">
      <c r="A36" s="359" t="str">
        <f>'Func Future Lines 2015'!A36</f>
        <v>PPS</v>
      </c>
      <c r="B36" s="359" t="str">
        <f>'Func Future Lines 2015'!B36</f>
        <v>850L</v>
      </c>
      <c r="C36" s="359">
        <f>'Func Future Lines 2015'!C36</f>
        <v>719</v>
      </c>
      <c r="D36" s="359">
        <f>'Func Future Lines 2015'!D36</f>
        <v>138</v>
      </c>
      <c r="E36" s="359">
        <f>'Func Future Lines 2015'!E36</f>
        <v>0</v>
      </c>
      <c r="F36" s="359" t="str">
        <f>'Func Future Lines 2015'!F36</f>
        <v>Calgary</v>
      </c>
      <c r="G36" s="359">
        <f>'Func Future Lines 2015'!G36</f>
        <v>41799.783222871738</v>
      </c>
      <c r="H36" s="359" t="str">
        <f>'Func Future Lines 2015'!H36</f>
        <v>AltaLink</v>
      </c>
      <c r="I36" s="359">
        <f>'Func Future Lines 2015'!I36</f>
        <v>2015</v>
      </c>
      <c r="J36" s="361">
        <f>+IF($I36=J$3,VLOOKUP($H36,Depreciation!$A$6:$L$10,7,FALSE)/2,IF($I36&lt;J$3,VLOOKUP($H36,Depreciation!$A$6:$L$10,7,FALSE),0))</f>
        <v>1.595020804044691E-2</v>
      </c>
      <c r="K36" s="361">
        <f>+IF($I36=K$3,VLOOKUP($H36,Depreciation!$A$6:$L$10,8,FALSE)/2,IF($I36&lt;K$3,VLOOKUP($H36,Depreciation!$A$6:$L$10,8,FALSE),0))</f>
        <v>3.0676363676126896E-2</v>
      </c>
      <c r="L36" s="361">
        <f>+IF($I36=L$3,VLOOKUP($H36,Depreciation!$A$6:$L$10,9,FALSE)/2,IF($I36&lt;L$3,VLOOKUP($H36,Depreciation!$A$6:$L$10,9,FALSE),0))</f>
        <v>3.0676363676126896E-2</v>
      </c>
      <c r="M36" s="361">
        <f>+IF($I36=M$3,VLOOKUP($H36,Depreciation!$A$6:$L$10,10,FALSE)/2,IF($I36&lt;M$3,VLOOKUP($H36,Depreciation!$A$6:$L$10,10,FALSE),0))</f>
        <v>3.0676363676126896E-2</v>
      </c>
      <c r="N36" s="361">
        <f>+IF($I36=N$3,VLOOKUP($H36,Depreciation!$A$6:$L$10,11,FALSE)/2,IF($I36&lt;N$3,VLOOKUP($H36,Depreciation!$A$6:$L$10,11,FALSE),0))</f>
        <v>3.0676363676126896E-2</v>
      </c>
      <c r="O36" s="361">
        <f>+IF($I36=O$3,VLOOKUP($H36,Depreciation!$A$6:$L$10,12,FALSE)/2,IF($I36&lt;O$3,VLOOKUP($H36,Depreciation!$A$6:$L$10,12,FALSE),0))</f>
        <v>3.0676363676126896E-2</v>
      </c>
      <c r="P36" s="362">
        <f t="shared" si="1"/>
        <v>35199.388406573649</v>
      </c>
      <c r="Q36" s="362">
        <f t="shared" si="2"/>
        <v>0</v>
      </c>
      <c r="R36" s="363">
        <f t="shared" si="3"/>
        <v>35199.388406573649</v>
      </c>
      <c r="Y36" s="365"/>
    </row>
    <row r="37" spans="1:25" ht="15" customHeight="1">
      <c r="A37" s="359" t="str">
        <f>'Func Future Lines 2015'!A37</f>
        <v>PPS</v>
      </c>
      <c r="B37" s="359" t="str">
        <f>'Func Future Lines 2015'!B37</f>
        <v>911L</v>
      </c>
      <c r="C37" s="359">
        <f>'Func Future Lines 2015'!C37</f>
        <v>719</v>
      </c>
      <c r="D37" s="359">
        <f>'Func Future Lines 2015'!D37</f>
        <v>240</v>
      </c>
      <c r="E37" s="359">
        <f>'Func Future Lines 2015'!E37</f>
        <v>0</v>
      </c>
      <c r="F37" s="359" t="str">
        <f>'Func Future Lines 2015'!F37</f>
        <v>Calgary</v>
      </c>
      <c r="G37" s="359">
        <f>'Func Future Lines 2015'!G37</f>
        <v>613063.48726878548</v>
      </c>
      <c r="H37" s="359" t="str">
        <f>'Func Future Lines 2015'!H37</f>
        <v>AltaLink</v>
      </c>
      <c r="I37" s="359">
        <f>'Func Future Lines 2015'!I37</f>
        <v>2015</v>
      </c>
      <c r="J37" s="361">
        <f>+IF($I37=J$3,VLOOKUP($H37,Depreciation!$A$6:$L$10,7,FALSE)/2,IF($I37&lt;J$3,VLOOKUP($H37,Depreciation!$A$6:$L$10,7,FALSE),0))</f>
        <v>1.595020804044691E-2</v>
      </c>
      <c r="K37" s="361">
        <f>+IF($I37=K$3,VLOOKUP($H37,Depreciation!$A$6:$L$10,8,FALSE)/2,IF($I37&lt;K$3,VLOOKUP($H37,Depreciation!$A$6:$L$10,8,FALSE),0))</f>
        <v>3.0676363676126896E-2</v>
      </c>
      <c r="L37" s="361">
        <f>+IF($I37=L$3,VLOOKUP($H37,Depreciation!$A$6:$L$10,9,FALSE)/2,IF($I37&lt;L$3,VLOOKUP($H37,Depreciation!$A$6:$L$10,9,FALSE),0))</f>
        <v>3.0676363676126896E-2</v>
      </c>
      <c r="M37" s="361">
        <f>+IF($I37=M$3,VLOOKUP($H37,Depreciation!$A$6:$L$10,10,FALSE)/2,IF($I37&lt;M$3,VLOOKUP($H37,Depreciation!$A$6:$L$10,10,FALSE),0))</f>
        <v>3.0676363676126896E-2</v>
      </c>
      <c r="N37" s="361">
        <f>+IF($I37=N$3,VLOOKUP($H37,Depreciation!$A$6:$L$10,11,FALSE)/2,IF($I37&lt;N$3,VLOOKUP($H37,Depreciation!$A$6:$L$10,11,FALSE),0))</f>
        <v>3.0676363676126896E-2</v>
      </c>
      <c r="O37" s="361">
        <f>+IF($I37=O$3,VLOOKUP($H37,Depreciation!$A$6:$L$10,12,FALSE)/2,IF($I37&lt;O$3,VLOOKUP($H37,Depreciation!$A$6:$L$10,12,FALSE),0))</f>
        <v>3.0676363676126896E-2</v>
      </c>
      <c r="P37" s="362">
        <f t="shared" si="1"/>
        <v>516257.69662974682</v>
      </c>
      <c r="Q37" s="362">
        <f t="shared" si="2"/>
        <v>516257.69662974682</v>
      </c>
      <c r="R37" s="363">
        <f t="shared" si="3"/>
        <v>0</v>
      </c>
      <c r="Y37" s="365"/>
    </row>
    <row r="38" spans="1:25" ht="15" customHeight="1">
      <c r="A38" s="359" t="str">
        <f>'Func Future Lines 2015'!A38</f>
        <v>PPS</v>
      </c>
      <c r="B38" s="359" t="str">
        <f>'Func Future Lines 2015'!B38</f>
        <v>911L UG</v>
      </c>
      <c r="C38" s="359">
        <f>'Func Future Lines 2015'!C38</f>
        <v>719</v>
      </c>
      <c r="D38" s="359">
        <f>'Func Future Lines 2015'!D38</f>
        <v>240</v>
      </c>
      <c r="E38" s="359">
        <f>'Func Future Lines 2015'!E38</f>
        <v>0</v>
      </c>
      <c r="F38" s="359" t="str">
        <f>'Func Future Lines 2015'!F38</f>
        <v>Calgary</v>
      </c>
      <c r="G38" s="359">
        <f>'Func Future Lines 2015'!G38</f>
        <v>5403318.6446098872</v>
      </c>
      <c r="H38" s="359" t="str">
        <f>'Func Future Lines 2015'!H38</f>
        <v>AltaLink</v>
      </c>
      <c r="I38" s="359">
        <f>'Func Future Lines 2015'!I38</f>
        <v>2015</v>
      </c>
      <c r="J38" s="361">
        <f>+IF($I38=J$3,VLOOKUP($H38,Depreciation!$A$6:$L$10,7,FALSE)/2,IF($I38&lt;J$3,VLOOKUP($H38,Depreciation!$A$6:$L$10,7,FALSE),0))</f>
        <v>1.595020804044691E-2</v>
      </c>
      <c r="K38" s="361">
        <f>+IF($I38=K$3,VLOOKUP($H38,Depreciation!$A$6:$L$10,8,FALSE)/2,IF($I38&lt;K$3,VLOOKUP($H38,Depreciation!$A$6:$L$10,8,FALSE),0))</f>
        <v>3.0676363676126896E-2</v>
      </c>
      <c r="L38" s="361">
        <f>+IF($I38=L$3,VLOOKUP($H38,Depreciation!$A$6:$L$10,9,FALSE)/2,IF($I38&lt;L$3,VLOOKUP($H38,Depreciation!$A$6:$L$10,9,FALSE),0))</f>
        <v>3.0676363676126896E-2</v>
      </c>
      <c r="M38" s="361">
        <f>+IF($I38=M$3,VLOOKUP($H38,Depreciation!$A$6:$L$10,10,FALSE)/2,IF($I38&lt;M$3,VLOOKUP($H38,Depreciation!$A$6:$L$10,10,FALSE),0))</f>
        <v>3.0676363676126896E-2</v>
      </c>
      <c r="N38" s="361">
        <f>+IF($I38=N$3,VLOOKUP($H38,Depreciation!$A$6:$L$10,11,FALSE)/2,IF($I38&lt;N$3,VLOOKUP($H38,Depreciation!$A$6:$L$10,11,FALSE),0))</f>
        <v>3.0676363676126896E-2</v>
      </c>
      <c r="O38" s="361">
        <f>+IF($I38=O$3,VLOOKUP($H38,Depreciation!$A$6:$L$10,12,FALSE)/2,IF($I38&lt;O$3,VLOOKUP($H38,Depreciation!$A$6:$L$10,12,FALSE),0))</f>
        <v>3.0676363676126896E-2</v>
      </c>
      <c r="P38" s="362">
        <f t="shared" si="1"/>
        <v>4550107.6080230856</v>
      </c>
      <c r="Q38" s="362">
        <f t="shared" si="2"/>
        <v>4550107.6080230856</v>
      </c>
      <c r="R38" s="363">
        <f t="shared" si="3"/>
        <v>0</v>
      </c>
      <c r="Y38" s="365"/>
    </row>
    <row r="39" spans="1:25" ht="15" customHeight="1">
      <c r="A39" s="359" t="str">
        <f>'Func Future Lines 2015'!A39</f>
        <v>PPS</v>
      </c>
      <c r="B39" s="359" t="str">
        <f>'Func Future Lines 2015'!B39</f>
        <v>916L</v>
      </c>
      <c r="C39" s="359">
        <f>'Func Future Lines 2015'!C39</f>
        <v>719</v>
      </c>
      <c r="D39" s="359">
        <f>'Func Future Lines 2015'!D39</f>
        <v>240</v>
      </c>
      <c r="E39" s="359">
        <f>'Func Future Lines 2015'!E39</f>
        <v>0</v>
      </c>
      <c r="F39" s="359" t="str">
        <f>'Func Future Lines 2015'!F39</f>
        <v>Calgary</v>
      </c>
      <c r="G39" s="359">
        <f>'Func Future Lines 2015'!G39</f>
        <v>411031.20169157209</v>
      </c>
      <c r="H39" s="359" t="str">
        <f>'Func Future Lines 2015'!H39</f>
        <v>AltaLink</v>
      </c>
      <c r="I39" s="359">
        <f>'Func Future Lines 2015'!I39</f>
        <v>2015</v>
      </c>
      <c r="J39" s="361">
        <f>+IF($I39=J$3,VLOOKUP($H39,Depreciation!$A$6:$L$10,7,FALSE)/2,IF($I39&lt;J$3,VLOOKUP($H39,Depreciation!$A$6:$L$10,7,FALSE),0))</f>
        <v>1.595020804044691E-2</v>
      </c>
      <c r="K39" s="361">
        <f>+IF($I39=K$3,VLOOKUP($H39,Depreciation!$A$6:$L$10,8,FALSE)/2,IF($I39&lt;K$3,VLOOKUP($H39,Depreciation!$A$6:$L$10,8,FALSE),0))</f>
        <v>3.0676363676126896E-2</v>
      </c>
      <c r="L39" s="361">
        <f>+IF($I39=L$3,VLOOKUP($H39,Depreciation!$A$6:$L$10,9,FALSE)/2,IF($I39&lt;L$3,VLOOKUP($H39,Depreciation!$A$6:$L$10,9,FALSE),0))</f>
        <v>3.0676363676126896E-2</v>
      </c>
      <c r="M39" s="361">
        <f>+IF($I39=M$3,VLOOKUP($H39,Depreciation!$A$6:$L$10,10,FALSE)/2,IF($I39&lt;M$3,VLOOKUP($H39,Depreciation!$A$6:$L$10,10,FALSE),0))</f>
        <v>3.0676363676126896E-2</v>
      </c>
      <c r="N39" s="361">
        <f>+IF($I39=N$3,VLOOKUP($H39,Depreciation!$A$6:$L$10,11,FALSE)/2,IF($I39&lt;N$3,VLOOKUP($H39,Depreciation!$A$6:$L$10,11,FALSE),0))</f>
        <v>3.0676363676126896E-2</v>
      </c>
      <c r="O39" s="361">
        <f>+IF($I39=O$3,VLOOKUP($H39,Depreciation!$A$6:$L$10,12,FALSE)/2,IF($I39&lt;O$3,VLOOKUP($H39,Depreciation!$A$6:$L$10,12,FALSE),0))</f>
        <v>3.0676363676126896E-2</v>
      </c>
      <c r="P39" s="362">
        <f t="shared" si="1"/>
        <v>346127.31933130743</v>
      </c>
      <c r="Q39" s="362">
        <f t="shared" si="2"/>
        <v>346127.31933130743</v>
      </c>
      <c r="R39" s="363">
        <f t="shared" si="3"/>
        <v>0</v>
      </c>
      <c r="Y39" s="365"/>
    </row>
    <row r="40" spans="1:25" ht="15" customHeight="1">
      <c r="A40" s="359" t="str">
        <f>'Func Future Lines 2015'!A40</f>
        <v>PPS</v>
      </c>
      <c r="B40" s="359" t="str">
        <f>'Func Future Lines 2015'!B40</f>
        <v>936L</v>
      </c>
      <c r="C40" s="359">
        <f>'Func Future Lines 2015'!C40</f>
        <v>719</v>
      </c>
      <c r="D40" s="359">
        <f>'Func Future Lines 2015'!D40</f>
        <v>240</v>
      </c>
      <c r="E40" s="359">
        <f>'Func Future Lines 2015'!E40</f>
        <v>0</v>
      </c>
      <c r="F40" s="359" t="str">
        <f>'Func Future Lines 2015'!F40</f>
        <v>Calgary</v>
      </c>
      <c r="G40" s="359">
        <f>'Func Future Lines 2015'!G40</f>
        <v>73846.283693740072</v>
      </c>
      <c r="H40" s="359" t="str">
        <f>'Func Future Lines 2015'!H40</f>
        <v>AltaLink</v>
      </c>
      <c r="I40" s="359">
        <f>'Func Future Lines 2015'!I40</f>
        <v>2015</v>
      </c>
      <c r="J40" s="361">
        <f>+IF($I40=J$3,VLOOKUP($H40,Depreciation!$A$6:$L$10,7,FALSE)/2,IF($I40&lt;J$3,VLOOKUP($H40,Depreciation!$A$6:$L$10,7,FALSE),0))</f>
        <v>1.595020804044691E-2</v>
      </c>
      <c r="K40" s="361">
        <f>+IF($I40=K$3,VLOOKUP($H40,Depreciation!$A$6:$L$10,8,FALSE)/2,IF($I40&lt;K$3,VLOOKUP($H40,Depreciation!$A$6:$L$10,8,FALSE),0))</f>
        <v>3.0676363676126896E-2</v>
      </c>
      <c r="L40" s="361">
        <f>+IF($I40=L$3,VLOOKUP($H40,Depreciation!$A$6:$L$10,9,FALSE)/2,IF($I40&lt;L$3,VLOOKUP($H40,Depreciation!$A$6:$L$10,9,FALSE),0))</f>
        <v>3.0676363676126896E-2</v>
      </c>
      <c r="M40" s="361">
        <f>+IF($I40=M$3,VLOOKUP($H40,Depreciation!$A$6:$L$10,10,FALSE)/2,IF($I40&lt;M$3,VLOOKUP($H40,Depreciation!$A$6:$L$10,10,FALSE),0))</f>
        <v>3.0676363676126896E-2</v>
      </c>
      <c r="N40" s="361">
        <f>+IF($I40=N$3,VLOOKUP($H40,Depreciation!$A$6:$L$10,11,FALSE)/2,IF($I40&lt;N$3,VLOOKUP($H40,Depreciation!$A$6:$L$10,11,FALSE),0))</f>
        <v>3.0676363676126896E-2</v>
      </c>
      <c r="O40" s="361">
        <f>+IF($I40=O$3,VLOOKUP($H40,Depreciation!$A$6:$L$10,12,FALSE)/2,IF($I40&lt;O$3,VLOOKUP($H40,Depreciation!$A$6:$L$10,12,FALSE),0))</f>
        <v>3.0676363676126896E-2</v>
      </c>
      <c r="P40" s="362">
        <f t="shared" si="1"/>
        <v>62185.586184946769</v>
      </c>
      <c r="Q40" s="362">
        <f t="shared" si="2"/>
        <v>62185.586184946769</v>
      </c>
      <c r="R40" s="363">
        <f t="shared" si="3"/>
        <v>0</v>
      </c>
      <c r="Y40" s="365"/>
    </row>
    <row r="41" spans="1:25" ht="15" customHeight="1">
      <c r="A41" s="359" t="str">
        <f>'Func Future Lines 2015'!A41</f>
        <v>PPS</v>
      </c>
      <c r="B41" s="359" t="str">
        <f>'Func Future Lines 2015'!B41</f>
        <v>937L</v>
      </c>
      <c r="C41" s="359">
        <f>'Func Future Lines 2015'!C41</f>
        <v>719</v>
      </c>
      <c r="D41" s="359">
        <f>'Func Future Lines 2015'!D41</f>
        <v>240</v>
      </c>
      <c r="E41" s="359">
        <f>'Func Future Lines 2015'!E41</f>
        <v>0</v>
      </c>
      <c r="F41" s="359" t="str">
        <f>'Func Future Lines 2015'!F41</f>
        <v>Calgary</v>
      </c>
      <c r="G41" s="359">
        <f>'Func Future Lines 2015'!G41</f>
        <v>69666.305371452894</v>
      </c>
      <c r="H41" s="359" t="str">
        <f>'Func Future Lines 2015'!H41</f>
        <v>AltaLink</v>
      </c>
      <c r="I41" s="359">
        <f>'Func Future Lines 2015'!I41</f>
        <v>2015</v>
      </c>
      <c r="J41" s="361">
        <f>+IF($I41=J$3,VLOOKUP($H41,Depreciation!$A$6:$L$10,7,FALSE)/2,IF($I41&lt;J$3,VLOOKUP($H41,Depreciation!$A$6:$L$10,7,FALSE),0))</f>
        <v>1.595020804044691E-2</v>
      </c>
      <c r="K41" s="361">
        <f>+IF($I41=K$3,VLOOKUP($H41,Depreciation!$A$6:$L$10,8,FALSE)/2,IF($I41&lt;K$3,VLOOKUP($H41,Depreciation!$A$6:$L$10,8,FALSE),0))</f>
        <v>3.0676363676126896E-2</v>
      </c>
      <c r="L41" s="361">
        <f>+IF($I41=L$3,VLOOKUP($H41,Depreciation!$A$6:$L$10,9,FALSE)/2,IF($I41&lt;L$3,VLOOKUP($H41,Depreciation!$A$6:$L$10,9,FALSE),0))</f>
        <v>3.0676363676126896E-2</v>
      </c>
      <c r="M41" s="361">
        <f>+IF($I41=M$3,VLOOKUP($H41,Depreciation!$A$6:$L$10,10,FALSE)/2,IF($I41&lt;M$3,VLOOKUP($H41,Depreciation!$A$6:$L$10,10,FALSE),0))</f>
        <v>3.0676363676126896E-2</v>
      </c>
      <c r="N41" s="361">
        <f>+IF($I41=N$3,VLOOKUP($H41,Depreciation!$A$6:$L$10,11,FALSE)/2,IF($I41&lt;N$3,VLOOKUP($H41,Depreciation!$A$6:$L$10,11,FALSE),0))</f>
        <v>3.0676363676126896E-2</v>
      </c>
      <c r="O41" s="361">
        <f>+IF($I41=O$3,VLOOKUP($H41,Depreciation!$A$6:$L$10,12,FALSE)/2,IF($I41&lt;O$3,VLOOKUP($H41,Depreciation!$A$6:$L$10,12,FALSE),0))</f>
        <v>3.0676363676126896E-2</v>
      </c>
      <c r="P41" s="362">
        <f t="shared" si="1"/>
        <v>58665.647344289384</v>
      </c>
      <c r="Q41" s="362">
        <f t="shared" si="2"/>
        <v>58665.647344289384</v>
      </c>
      <c r="R41" s="363">
        <f t="shared" si="3"/>
        <v>0</v>
      </c>
      <c r="Y41" s="365"/>
    </row>
    <row r="42" spans="1:25" ht="15" customHeight="1">
      <c r="A42" s="359" t="str">
        <f>'Func Future Lines 2015'!A42</f>
        <v>PPS</v>
      </c>
      <c r="B42" s="359" t="str">
        <f>'Func Future Lines 2015'!B42</f>
        <v>985 UG</v>
      </c>
      <c r="C42" s="359">
        <f>'Func Future Lines 2015'!C42</f>
        <v>719</v>
      </c>
      <c r="D42" s="359">
        <f>'Func Future Lines 2015'!D42</f>
        <v>240</v>
      </c>
      <c r="E42" s="359">
        <f>'Func Future Lines 2015'!E42</f>
        <v>0</v>
      </c>
      <c r="F42" s="359" t="str">
        <f>'Func Future Lines 2015'!F42</f>
        <v>Calgary</v>
      </c>
      <c r="G42" s="359">
        <f>'Func Future Lines 2015'!G42</f>
        <v>4393157.2167238202</v>
      </c>
      <c r="H42" s="359" t="str">
        <f>'Func Future Lines 2015'!H42</f>
        <v>AltaLink</v>
      </c>
      <c r="I42" s="359">
        <f>'Func Future Lines 2015'!I42</f>
        <v>2015</v>
      </c>
      <c r="J42" s="361">
        <f>+IF($I42=J$3,VLOOKUP($H42,Depreciation!$A$6:$L$10,7,FALSE)/2,IF($I42&lt;J$3,VLOOKUP($H42,Depreciation!$A$6:$L$10,7,FALSE),0))</f>
        <v>1.595020804044691E-2</v>
      </c>
      <c r="K42" s="361">
        <f>+IF($I42=K$3,VLOOKUP($H42,Depreciation!$A$6:$L$10,8,FALSE)/2,IF($I42&lt;K$3,VLOOKUP($H42,Depreciation!$A$6:$L$10,8,FALSE),0))</f>
        <v>3.0676363676126896E-2</v>
      </c>
      <c r="L42" s="361">
        <f>+IF($I42=L$3,VLOOKUP($H42,Depreciation!$A$6:$L$10,9,FALSE)/2,IF($I42&lt;L$3,VLOOKUP($H42,Depreciation!$A$6:$L$10,9,FALSE),0))</f>
        <v>3.0676363676126896E-2</v>
      </c>
      <c r="M42" s="361">
        <f>+IF($I42=M$3,VLOOKUP($H42,Depreciation!$A$6:$L$10,10,FALSE)/2,IF($I42&lt;M$3,VLOOKUP($H42,Depreciation!$A$6:$L$10,10,FALSE),0))</f>
        <v>3.0676363676126896E-2</v>
      </c>
      <c r="N42" s="361">
        <f>+IF($I42=N$3,VLOOKUP($H42,Depreciation!$A$6:$L$10,11,FALSE)/2,IF($I42&lt;N$3,VLOOKUP($H42,Depreciation!$A$6:$L$10,11,FALSE),0))</f>
        <v>3.0676363676126896E-2</v>
      </c>
      <c r="O42" s="361">
        <f>+IF($I42=O$3,VLOOKUP($H42,Depreciation!$A$6:$L$10,12,FALSE)/2,IF($I42&lt;O$3,VLOOKUP($H42,Depreciation!$A$6:$L$10,12,FALSE),0))</f>
        <v>3.0676363676126896E-2</v>
      </c>
      <c r="P42" s="362">
        <f t="shared" si="1"/>
        <v>3699455.7215308901</v>
      </c>
      <c r="Q42" s="362">
        <f t="shared" si="2"/>
        <v>3699455.7215308901</v>
      </c>
      <c r="R42" s="363">
        <f t="shared" si="3"/>
        <v>0</v>
      </c>
      <c r="Y42" s="365"/>
    </row>
    <row r="43" spans="1:25" ht="15" customHeight="1">
      <c r="A43" s="359" t="str">
        <f>'Func Future Lines 2015'!A43</f>
        <v>PPS</v>
      </c>
      <c r="B43" s="359" t="str">
        <f>'Func Future Lines 2015'!B43</f>
        <v>985/1003L</v>
      </c>
      <c r="C43" s="359">
        <f>'Func Future Lines 2015'!C43</f>
        <v>719</v>
      </c>
      <c r="D43" s="359">
        <f>'Func Future Lines 2015'!D43</f>
        <v>240</v>
      </c>
      <c r="E43" s="359">
        <f>'Func Future Lines 2015'!E43</f>
        <v>0</v>
      </c>
      <c r="F43" s="359" t="str">
        <f>'Func Future Lines 2015'!F43</f>
        <v>Calgary</v>
      </c>
      <c r="G43" s="359">
        <f>'Func Future Lines 2015'!G43</f>
        <v>9552643.7925336212</v>
      </c>
      <c r="H43" s="359" t="str">
        <f>'Func Future Lines 2015'!H43</f>
        <v>AltaLink</v>
      </c>
      <c r="I43" s="359">
        <f>'Func Future Lines 2015'!I43</f>
        <v>2015</v>
      </c>
      <c r="J43" s="361">
        <f>+IF($I43=J$3,VLOOKUP($H43,Depreciation!$A$6:$L$10,7,FALSE)/2,IF($I43&lt;J$3,VLOOKUP($H43,Depreciation!$A$6:$L$10,7,FALSE),0))</f>
        <v>1.595020804044691E-2</v>
      </c>
      <c r="K43" s="361">
        <f>+IF($I43=K$3,VLOOKUP($H43,Depreciation!$A$6:$L$10,8,FALSE)/2,IF($I43&lt;K$3,VLOOKUP($H43,Depreciation!$A$6:$L$10,8,FALSE),0))</f>
        <v>3.0676363676126896E-2</v>
      </c>
      <c r="L43" s="361">
        <f>+IF($I43=L$3,VLOOKUP($H43,Depreciation!$A$6:$L$10,9,FALSE)/2,IF($I43&lt;L$3,VLOOKUP($H43,Depreciation!$A$6:$L$10,9,FALSE),0))</f>
        <v>3.0676363676126896E-2</v>
      </c>
      <c r="M43" s="361">
        <f>+IF($I43=M$3,VLOOKUP($H43,Depreciation!$A$6:$L$10,10,FALSE)/2,IF($I43&lt;M$3,VLOOKUP($H43,Depreciation!$A$6:$L$10,10,FALSE),0))</f>
        <v>3.0676363676126896E-2</v>
      </c>
      <c r="N43" s="361">
        <f>+IF($I43=N$3,VLOOKUP($H43,Depreciation!$A$6:$L$10,11,FALSE)/2,IF($I43&lt;N$3,VLOOKUP($H43,Depreciation!$A$6:$L$10,11,FALSE),0))</f>
        <v>3.0676363676126896E-2</v>
      </c>
      <c r="O43" s="361">
        <f>+IF($I43=O$3,VLOOKUP($H43,Depreciation!$A$6:$L$10,12,FALSE)/2,IF($I43&lt;O$3,VLOOKUP($H43,Depreciation!$A$6:$L$10,12,FALSE),0))</f>
        <v>3.0676363676126896E-2</v>
      </c>
      <c r="P43" s="362">
        <f t="shared" si="1"/>
        <v>8044233.5638489621</v>
      </c>
      <c r="Q43" s="362">
        <f t="shared" si="2"/>
        <v>8044233.5638489621</v>
      </c>
      <c r="R43" s="363">
        <f t="shared" si="3"/>
        <v>0</v>
      </c>
      <c r="Y43" s="365"/>
    </row>
    <row r="44" spans="1:25" ht="15" customHeight="1">
      <c r="A44" s="359" t="str">
        <f>'Func Future Lines 2015'!A44</f>
        <v>PPS</v>
      </c>
      <c r="B44" s="359" t="str">
        <f>'Func Future Lines 2015'!B44</f>
        <v>985/1003L</v>
      </c>
      <c r="C44" s="359">
        <f>'Func Future Lines 2015'!C44</f>
        <v>719</v>
      </c>
      <c r="D44" s="359">
        <f>'Func Future Lines 2015'!D44</f>
        <v>240</v>
      </c>
      <c r="E44" s="359">
        <f>'Func Future Lines 2015'!E44</f>
        <v>0</v>
      </c>
      <c r="F44" s="359" t="str">
        <f>'Func Future Lines 2015'!F44</f>
        <v>Calgary</v>
      </c>
      <c r="G44" s="359">
        <f>'Func Future Lines 2015'!G44</f>
        <v>9913515.2543577477</v>
      </c>
      <c r="H44" s="359" t="str">
        <f>'Func Future Lines 2015'!H44</f>
        <v>AltaLink</v>
      </c>
      <c r="I44" s="359">
        <f>'Func Future Lines 2015'!I44</f>
        <v>2015</v>
      </c>
      <c r="J44" s="361">
        <f>+IF($I44=J$3,VLOOKUP($H44,Depreciation!$A$6:$L$10,7,FALSE)/2,IF($I44&lt;J$3,VLOOKUP($H44,Depreciation!$A$6:$L$10,7,FALSE),0))</f>
        <v>1.595020804044691E-2</v>
      </c>
      <c r="K44" s="361">
        <f>+IF($I44=K$3,VLOOKUP($H44,Depreciation!$A$6:$L$10,8,FALSE)/2,IF($I44&lt;K$3,VLOOKUP($H44,Depreciation!$A$6:$L$10,8,FALSE),0))</f>
        <v>3.0676363676126896E-2</v>
      </c>
      <c r="L44" s="361">
        <f>+IF($I44=L$3,VLOOKUP($H44,Depreciation!$A$6:$L$10,9,FALSE)/2,IF($I44&lt;L$3,VLOOKUP($H44,Depreciation!$A$6:$L$10,9,FALSE),0))</f>
        <v>3.0676363676126896E-2</v>
      </c>
      <c r="M44" s="361">
        <f>+IF($I44=M$3,VLOOKUP($H44,Depreciation!$A$6:$L$10,10,FALSE)/2,IF($I44&lt;M$3,VLOOKUP($H44,Depreciation!$A$6:$L$10,10,FALSE),0))</f>
        <v>3.0676363676126896E-2</v>
      </c>
      <c r="N44" s="361">
        <f>+IF($I44=N$3,VLOOKUP($H44,Depreciation!$A$6:$L$10,11,FALSE)/2,IF($I44&lt;N$3,VLOOKUP($H44,Depreciation!$A$6:$L$10,11,FALSE),0))</f>
        <v>3.0676363676126896E-2</v>
      </c>
      <c r="O44" s="361">
        <f>+IF($I44=O$3,VLOOKUP($H44,Depreciation!$A$6:$L$10,12,FALSE)/2,IF($I44&lt;O$3,VLOOKUP($H44,Depreciation!$A$6:$L$10,12,FALSE),0))</f>
        <v>3.0676363676126896E-2</v>
      </c>
      <c r="P44" s="362">
        <f t="shared" si="1"/>
        <v>8348121.6170923822</v>
      </c>
      <c r="Q44" s="362">
        <f t="shared" si="2"/>
        <v>8348121.6170923822</v>
      </c>
      <c r="R44" s="363">
        <f t="shared" si="3"/>
        <v>0</v>
      </c>
      <c r="Y44" s="365"/>
    </row>
    <row r="45" spans="1:25" ht="15" customHeight="1">
      <c r="A45" s="359" t="str">
        <f>'Func Future Lines 2015'!A45</f>
        <v>PPS</v>
      </c>
      <c r="B45" s="359" t="str">
        <f>'Func Future Lines 2015'!B45</f>
        <v>Reconfigure 917L</v>
      </c>
      <c r="C45" s="359">
        <f>'Func Future Lines 2015'!C45</f>
        <v>719</v>
      </c>
      <c r="D45" s="359">
        <f>'Func Future Lines 2015'!D45</f>
        <v>240</v>
      </c>
      <c r="E45" s="359">
        <f>'Func Future Lines 2015'!E45</f>
        <v>0</v>
      </c>
      <c r="F45" s="359" t="str">
        <f>'Func Future Lines 2015'!F45</f>
        <v>Calgary</v>
      </c>
      <c r="G45" s="359">
        <f>'Func Future Lines 2015'!G45</f>
        <v>540610.52968247444</v>
      </c>
      <c r="H45" s="359" t="str">
        <f>'Func Future Lines 2015'!H45</f>
        <v>AltaLink</v>
      </c>
      <c r="I45" s="359">
        <f>'Func Future Lines 2015'!I45</f>
        <v>2015</v>
      </c>
      <c r="J45" s="361">
        <f>+IF($I45=J$3,VLOOKUP($H45,Depreciation!$A$6:$L$10,7,FALSE)/2,IF($I45&lt;J$3,VLOOKUP($H45,Depreciation!$A$6:$L$10,7,FALSE),0))</f>
        <v>1.595020804044691E-2</v>
      </c>
      <c r="K45" s="361">
        <f>+IF($I45=K$3,VLOOKUP($H45,Depreciation!$A$6:$L$10,8,FALSE)/2,IF($I45&lt;K$3,VLOOKUP($H45,Depreciation!$A$6:$L$10,8,FALSE),0))</f>
        <v>3.0676363676126896E-2</v>
      </c>
      <c r="L45" s="361">
        <f>+IF($I45=L$3,VLOOKUP($H45,Depreciation!$A$6:$L$10,9,FALSE)/2,IF($I45&lt;L$3,VLOOKUP($H45,Depreciation!$A$6:$L$10,9,FALSE),0))</f>
        <v>3.0676363676126896E-2</v>
      </c>
      <c r="M45" s="361">
        <f>+IF($I45=M$3,VLOOKUP($H45,Depreciation!$A$6:$L$10,10,FALSE)/2,IF($I45&lt;M$3,VLOOKUP($H45,Depreciation!$A$6:$L$10,10,FALSE),0))</f>
        <v>3.0676363676126896E-2</v>
      </c>
      <c r="N45" s="361">
        <f>+IF($I45=N$3,VLOOKUP($H45,Depreciation!$A$6:$L$10,11,FALSE)/2,IF($I45&lt;N$3,VLOOKUP($H45,Depreciation!$A$6:$L$10,11,FALSE),0))</f>
        <v>3.0676363676126896E-2</v>
      </c>
      <c r="O45" s="361">
        <f>+IF($I45=O$3,VLOOKUP($H45,Depreciation!$A$6:$L$10,12,FALSE)/2,IF($I45&lt;O$3,VLOOKUP($H45,Depreciation!$A$6:$L$10,12,FALSE),0))</f>
        <v>3.0676363676126896E-2</v>
      </c>
      <c r="P45" s="362">
        <f t="shared" si="1"/>
        <v>455245.42339168576</v>
      </c>
      <c r="Q45" s="362">
        <f t="shared" si="2"/>
        <v>455245.42339168576</v>
      </c>
      <c r="R45" s="363">
        <f t="shared" si="3"/>
        <v>0</v>
      </c>
      <c r="Y45" s="365"/>
    </row>
    <row r="46" spans="1:25" ht="15" customHeight="1">
      <c r="A46" s="359" t="str">
        <f>'Func Future Lines 2015'!A46</f>
        <v>PPS</v>
      </c>
      <c r="B46" s="359" t="str">
        <f>'Func Future Lines 2015'!B46</f>
        <v>1043L</v>
      </c>
      <c r="C46" s="359">
        <f>'Func Future Lines 2015'!C46</f>
        <v>786</v>
      </c>
      <c r="D46" s="359">
        <f>'Func Future Lines 2015'!D46</f>
        <v>240</v>
      </c>
      <c r="E46" s="359">
        <f>'Func Future Lines 2015'!E46</f>
        <v>0</v>
      </c>
      <c r="F46" s="359" t="str">
        <f>'Func Future Lines 2015'!F46</f>
        <v>edmonton</v>
      </c>
      <c r="G46" s="359">
        <f>'Func Future Lines 2015'!G46</f>
        <v>33338680.294401988</v>
      </c>
      <c r="H46" s="359" t="str">
        <f>'Func Future Lines 2015'!H46</f>
        <v>AltaLink</v>
      </c>
      <c r="I46" s="359">
        <f>'Func Future Lines 2015'!I46</f>
        <v>2016</v>
      </c>
      <c r="J46" s="361">
        <f>+IF($I46=J$3,VLOOKUP($H46,Depreciation!$A$6:$L$10,7,FALSE)/2,IF($I46&lt;J$3,VLOOKUP($H46,Depreciation!$A$6:$L$10,7,FALSE),0))</f>
        <v>0</v>
      </c>
      <c r="K46" s="361">
        <f>+IF($I46=K$3,VLOOKUP($H46,Depreciation!$A$6:$L$10,8,FALSE)/2,IF($I46&lt;K$3,VLOOKUP($H46,Depreciation!$A$6:$L$10,8,FALSE),0))</f>
        <v>1.5338181838063448E-2</v>
      </c>
      <c r="L46" s="361">
        <f>+IF($I46=L$3,VLOOKUP($H46,Depreciation!$A$6:$L$10,9,FALSE)/2,IF($I46&lt;L$3,VLOOKUP($H46,Depreciation!$A$6:$L$10,9,FALSE),0))</f>
        <v>3.0676363676126896E-2</v>
      </c>
      <c r="M46" s="361">
        <f>+IF($I46=M$3,VLOOKUP($H46,Depreciation!$A$6:$L$10,10,FALSE)/2,IF($I46&lt;M$3,VLOOKUP($H46,Depreciation!$A$6:$L$10,10,FALSE),0))</f>
        <v>3.0676363676126896E-2</v>
      </c>
      <c r="N46" s="361">
        <f>+IF($I46=N$3,VLOOKUP($H46,Depreciation!$A$6:$L$10,11,FALSE)/2,IF($I46&lt;N$3,VLOOKUP($H46,Depreciation!$A$6:$L$10,11,FALSE),0))</f>
        <v>3.0676363676126896E-2</v>
      </c>
      <c r="O46" s="361">
        <f>+IF($I46=O$3,VLOOKUP($H46,Depreciation!$A$6:$L$10,12,FALSE)/2,IF($I46&lt;O$3,VLOOKUP($H46,Depreciation!$A$6:$L$10,12,FALSE),0))</f>
        <v>3.0676363676126896E-2</v>
      </c>
      <c r="P46" s="362">
        <f t="shared" si="1"/>
        <v>28980822.941123143</v>
      </c>
      <c r="Q46" s="362">
        <f t="shared" si="2"/>
        <v>28980822.941123143</v>
      </c>
      <c r="R46" s="363">
        <f t="shared" si="3"/>
        <v>0</v>
      </c>
      <c r="Y46" s="365"/>
    </row>
    <row r="47" spans="1:25" ht="15" customHeight="1">
      <c r="A47" s="359" t="str">
        <f>'Func Future Lines 2015'!A47</f>
        <v>PPS</v>
      </c>
      <c r="B47" s="359" t="str">
        <f>'Func Future Lines 2015'!B47</f>
        <v>1043LB</v>
      </c>
      <c r="C47" s="359">
        <f>'Func Future Lines 2015'!C47</f>
        <v>786</v>
      </c>
      <c r="D47" s="359">
        <f>'Func Future Lines 2015'!D47</f>
        <v>240</v>
      </c>
      <c r="E47" s="359">
        <f>'Func Future Lines 2015'!E47</f>
        <v>0</v>
      </c>
      <c r="F47" s="359" t="str">
        <f>'Func Future Lines 2015'!F47</f>
        <v>edmonton</v>
      </c>
      <c r="G47" s="359">
        <f>'Func Future Lines 2015'!G47</f>
        <v>8330617.7071102019</v>
      </c>
      <c r="H47" s="359" t="str">
        <f>'Func Future Lines 2015'!H47</f>
        <v>AltaLink</v>
      </c>
      <c r="I47" s="359">
        <f>'Func Future Lines 2015'!I47</f>
        <v>2016</v>
      </c>
      <c r="J47" s="361">
        <f>+IF($I47=J$3,VLOOKUP($H47,Depreciation!$A$6:$L$10,7,FALSE)/2,IF($I47&lt;J$3,VLOOKUP($H47,Depreciation!$A$6:$L$10,7,FALSE),0))</f>
        <v>0</v>
      </c>
      <c r="K47" s="361">
        <f>+IF($I47=K$3,VLOOKUP($H47,Depreciation!$A$6:$L$10,8,FALSE)/2,IF($I47&lt;K$3,VLOOKUP($H47,Depreciation!$A$6:$L$10,8,FALSE),0))</f>
        <v>1.5338181838063448E-2</v>
      </c>
      <c r="L47" s="361">
        <f>+IF($I47=L$3,VLOOKUP($H47,Depreciation!$A$6:$L$10,9,FALSE)/2,IF($I47&lt;L$3,VLOOKUP($H47,Depreciation!$A$6:$L$10,9,FALSE),0))</f>
        <v>3.0676363676126896E-2</v>
      </c>
      <c r="M47" s="361">
        <f>+IF($I47=M$3,VLOOKUP($H47,Depreciation!$A$6:$L$10,10,FALSE)/2,IF($I47&lt;M$3,VLOOKUP($H47,Depreciation!$A$6:$L$10,10,FALSE),0))</f>
        <v>3.0676363676126896E-2</v>
      </c>
      <c r="N47" s="361">
        <f>+IF($I47=N$3,VLOOKUP($H47,Depreciation!$A$6:$L$10,11,FALSE)/2,IF($I47&lt;N$3,VLOOKUP($H47,Depreciation!$A$6:$L$10,11,FALSE),0))</f>
        <v>3.0676363676126896E-2</v>
      </c>
      <c r="O47" s="361">
        <f>+IF($I47=O$3,VLOOKUP($H47,Depreciation!$A$6:$L$10,12,FALSE)/2,IF($I47&lt;O$3,VLOOKUP($H47,Depreciation!$A$6:$L$10,12,FALSE),0))</f>
        <v>3.0676363676126896E-2</v>
      </c>
      <c r="P47" s="362">
        <f t="shared" si="1"/>
        <v>7241683.0728745153</v>
      </c>
      <c r="Q47" s="362">
        <f t="shared" si="2"/>
        <v>7241683.0728745153</v>
      </c>
      <c r="R47" s="363">
        <f t="shared" si="3"/>
        <v>0</v>
      </c>
      <c r="Y47" s="365"/>
    </row>
    <row r="48" spans="1:25" ht="15" customHeight="1">
      <c r="A48" s="359" t="str">
        <f>'Func Future Lines 2015'!A48</f>
        <v>PPS</v>
      </c>
      <c r="B48" s="359" t="str">
        <f>'Func Future Lines 2015'!B48</f>
        <v>1045L/909L</v>
      </c>
      <c r="C48" s="359">
        <f>'Func Future Lines 2015'!C48</f>
        <v>786</v>
      </c>
      <c r="D48" s="359">
        <f>'Func Future Lines 2015'!D48</f>
        <v>240</v>
      </c>
      <c r="E48" s="359">
        <f>'Func Future Lines 2015'!E48</f>
        <v>0</v>
      </c>
      <c r="F48" s="359" t="str">
        <f>'Func Future Lines 2015'!F48</f>
        <v>edmonton</v>
      </c>
      <c r="G48" s="359">
        <f>'Func Future Lines 2015'!G48</f>
        <v>289844.87394607428</v>
      </c>
      <c r="H48" s="359" t="str">
        <f>'Func Future Lines 2015'!H48</f>
        <v>AltaLink</v>
      </c>
      <c r="I48" s="359">
        <f>'Func Future Lines 2015'!I48</f>
        <v>2016</v>
      </c>
      <c r="J48" s="361">
        <f>+IF($I48=J$3,VLOOKUP($H48,Depreciation!$A$6:$L$10,7,FALSE)/2,IF($I48&lt;J$3,VLOOKUP($H48,Depreciation!$A$6:$L$10,7,FALSE),0))</f>
        <v>0</v>
      </c>
      <c r="K48" s="361">
        <f>+IF($I48=K$3,VLOOKUP($H48,Depreciation!$A$6:$L$10,8,FALSE)/2,IF($I48&lt;K$3,VLOOKUP($H48,Depreciation!$A$6:$L$10,8,FALSE),0))</f>
        <v>1.5338181838063448E-2</v>
      </c>
      <c r="L48" s="361">
        <f>+IF($I48=L$3,VLOOKUP($H48,Depreciation!$A$6:$L$10,9,FALSE)/2,IF($I48&lt;L$3,VLOOKUP($H48,Depreciation!$A$6:$L$10,9,FALSE),0))</f>
        <v>3.0676363676126896E-2</v>
      </c>
      <c r="M48" s="361">
        <f>+IF($I48=M$3,VLOOKUP($H48,Depreciation!$A$6:$L$10,10,FALSE)/2,IF($I48&lt;M$3,VLOOKUP($H48,Depreciation!$A$6:$L$10,10,FALSE),0))</f>
        <v>3.0676363676126896E-2</v>
      </c>
      <c r="N48" s="361">
        <f>+IF($I48=N$3,VLOOKUP($H48,Depreciation!$A$6:$L$10,11,FALSE)/2,IF($I48&lt;N$3,VLOOKUP($H48,Depreciation!$A$6:$L$10,11,FALSE),0))</f>
        <v>3.0676363676126896E-2</v>
      </c>
      <c r="O48" s="361">
        <f>+IF($I48=O$3,VLOOKUP($H48,Depreciation!$A$6:$L$10,12,FALSE)/2,IF($I48&lt;O$3,VLOOKUP($H48,Depreciation!$A$6:$L$10,12,FALSE),0))</f>
        <v>3.0676363676126896E-2</v>
      </c>
      <c r="P48" s="362">
        <f t="shared" si="1"/>
        <v>251957.87289858019</v>
      </c>
      <c r="Q48" s="362">
        <f t="shared" si="2"/>
        <v>251957.87289858019</v>
      </c>
      <c r="R48" s="363">
        <f t="shared" si="3"/>
        <v>0</v>
      </c>
      <c r="Y48" s="365"/>
    </row>
    <row r="49" spans="1:25" ht="15" customHeight="1">
      <c r="A49" s="359" t="str">
        <f>'Func Future Lines 2015'!A49</f>
        <v>PPS</v>
      </c>
      <c r="B49" s="359" t="str">
        <f>'Func Future Lines 2015'!B49</f>
        <v>190L / 903L</v>
      </c>
      <c r="C49" s="359">
        <f>'Func Future Lines 2015'!C49</f>
        <v>786</v>
      </c>
      <c r="D49" s="359">
        <f>'Func Future Lines 2015'!D49</f>
        <v>240</v>
      </c>
      <c r="E49" s="359">
        <f>'Func Future Lines 2015'!E49</f>
        <v>0</v>
      </c>
      <c r="F49" s="359" t="str">
        <f>'Func Future Lines 2015'!F49</f>
        <v>edmonton</v>
      </c>
      <c r="G49" s="359">
        <f>'Func Future Lines 2015'!G49</f>
        <v>414192.41502029379</v>
      </c>
      <c r="H49" s="359" t="str">
        <f>'Func Future Lines 2015'!H49</f>
        <v>AltaLink</v>
      </c>
      <c r="I49" s="359">
        <f>'Func Future Lines 2015'!I49</f>
        <v>2016</v>
      </c>
      <c r="J49" s="361">
        <f>+IF($I49=J$3,VLOOKUP($H49,Depreciation!$A$6:$L$10,7,FALSE)/2,IF($I49&lt;J$3,VLOOKUP($H49,Depreciation!$A$6:$L$10,7,FALSE),0))</f>
        <v>0</v>
      </c>
      <c r="K49" s="361">
        <f>+IF($I49=K$3,VLOOKUP($H49,Depreciation!$A$6:$L$10,8,FALSE)/2,IF($I49&lt;K$3,VLOOKUP($H49,Depreciation!$A$6:$L$10,8,FALSE),0))</f>
        <v>1.5338181838063448E-2</v>
      </c>
      <c r="L49" s="361">
        <f>+IF($I49=L$3,VLOOKUP($H49,Depreciation!$A$6:$L$10,9,FALSE)/2,IF($I49&lt;L$3,VLOOKUP($H49,Depreciation!$A$6:$L$10,9,FALSE),0))</f>
        <v>3.0676363676126896E-2</v>
      </c>
      <c r="M49" s="361">
        <f>+IF($I49=M$3,VLOOKUP($H49,Depreciation!$A$6:$L$10,10,FALSE)/2,IF($I49&lt;M$3,VLOOKUP($H49,Depreciation!$A$6:$L$10,10,FALSE),0))</f>
        <v>3.0676363676126896E-2</v>
      </c>
      <c r="N49" s="361">
        <f>+IF($I49=N$3,VLOOKUP($H49,Depreciation!$A$6:$L$10,11,FALSE)/2,IF($I49&lt;N$3,VLOOKUP($H49,Depreciation!$A$6:$L$10,11,FALSE),0))</f>
        <v>3.0676363676126896E-2</v>
      </c>
      <c r="O49" s="361">
        <f>+IF($I49=O$3,VLOOKUP($H49,Depreciation!$A$6:$L$10,12,FALSE)/2,IF($I49&lt;O$3,VLOOKUP($H49,Depreciation!$A$6:$L$10,12,FALSE),0))</f>
        <v>3.0676363676126896E-2</v>
      </c>
      <c r="P49" s="362">
        <f t="shared" si="1"/>
        <v>360051.35588030156</v>
      </c>
      <c r="Q49" s="362">
        <f t="shared" si="2"/>
        <v>360051.35588030156</v>
      </c>
      <c r="R49" s="363">
        <f t="shared" si="3"/>
        <v>0</v>
      </c>
      <c r="Y49" s="365"/>
    </row>
    <row r="50" spans="1:25" ht="15" customHeight="1">
      <c r="A50" s="359" t="str">
        <f>'Func Future Lines 2015'!A50</f>
        <v>PPS</v>
      </c>
      <c r="B50" s="359" t="str">
        <f>'Func Future Lines 2015'!B50</f>
        <v>902L</v>
      </c>
      <c r="C50" s="359">
        <f>'Func Future Lines 2015'!C50</f>
        <v>786</v>
      </c>
      <c r="D50" s="359">
        <f>'Func Future Lines 2015'!D50</f>
        <v>240</v>
      </c>
      <c r="E50" s="359">
        <f>'Func Future Lines 2015'!E50</f>
        <v>0</v>
      </c>
      <c r="F50" s="359" t="str">
        <f>'Func Future Lines 2015'!F50</f>
        <v>edmonton</v>
      </c>
      <c r="G50" s="359">
        <f>'Func Future Lines 2015'!G50</f>
        <v>1003247.4189437164</v>
      </c>
      <c r="H50" s="359" t="str">
        <f>'Func Future Lines 2015'!H50</f>
        <v>AltaLink</v>
      </c>
      <c r="I50" s="359">
        <f>'Func Future Lines 2015'!I50</f>
        <v>2016</v>
      </c>
      <c r="J50" s="361">
        <f>+IF($I50=J$3,VLOOKUP($H50,Depreciation!$A$6:$L$10,7,FALSE)/2,IF($I50&lt;J$3,VLOOKUP($H50,Depreciation!$A$6:$L$10,7,FALSE),0))</f>
        <v>0</v>
      </c>
      <c r="K50" s="361">
        <f>+IF($I50=K$3,VLOOKUP($H50,Depreciation!$A$6:$L$10,8,FALSE)/2,IF($I50&lt;K$3,VLOOKUP($H50,Depreciation!$A$6:$L$10,8,FALSE),0))</f>
        <v>1.5338181838063448E-2</v>
      </c>
      <c r="L50" s="361">
        <f>+IF($I50=L$3,VLOOKUP($H50,Depreciation!$A$6:$L$10,9,FALSE)/2,IF($I50&lt;L$3,VLOOKUP($H50,Depreciation!$A$6:$L$10,9,FALSE),0))</f>
        <v>3.0676363676126896E-2</v>
      </c>
      <c r="M50" s="361">
        <f>+IF($I50=M$3,VLOOKUP($H50,Depreciation!$A$6:$L$10,10,FALSE)/2,IF($I50&lt;M$3,VLOOKUP($H50,Depreciation!$A$6:$L$10,10,FALSE),0))</f>
        <v>3.0676363676126896E-2</v>
      </c>
      <c r="N50" s="361">
        <f>+IF($I50=N$3,VLOOKUP($H50,Depreciation!$A$6:$L$10,11,FALSE)/2,IF($I50&lt;N$3,VLOOKUP($H50,Depreciation!$A$6:$L$10,11,FALSE),0))</f>
        <v>3.0676363676126896E-2</v>
      </c>
      <c r="O50" s="361">
        <f>+IF($I50=O$3,VLOOKUP($H50,Depreciation!$A$6:$L$10,12,FALSE)/2,IF($I50&lt;O$3,VLOOKUP($H50,Depreciation!$A$6:$L$10,12,FALSE),0))</f>
        <v>3.0676363676126896E-2</v>
      </c>
      <c r="P50" s="362">
        <f t="shared" si="1"/>
        <v>872108.18058172229</v>
      </c>
      <c r="Q50" s="362">
        <f t="shared" si="2"/>
        <v>872108.18058172229</v>
      </c>
      <c r="R50" s="363">
        <f t="shared" si="3"/>
        <v>0</v>
      </c>
      <c r="Y50" s="365"/>
    </row>
    <row r="51" spans="1:25" ht="15" customHeight="1">
      <c r="A51" s="359" t="str">
        <f>'Func Future Lines 2015'!A51</f>
        <v>PPS</v>
      </c>
      <c r="B51" s="359" t="str">
        <f>'Func Future Lines 2015'!B51</f>
        <v>902L / 913L</v>
      </c>
      <c r="C51" s="359">
        <f>'Func Future Lines 2015'!C51</f>
        <v>786</v>
      </c>
      <c r="D51" s="359">
        <f>'Func Future Lines 2015'!D51</f>
        <v>240</v>
      </c>
      <c r="E51" s="359">
        <f>'Func Future Lines 2015'!E51</f>
        <v>0</v>
      </c>
      <c r="F51" s="359" t="str">
        <f>'Func Future Lines 2015'!F51</f>
        <v>edmonton</v>
      </c>
      <c r="G51" s="359">
        <f>'Func Future Lines 2015'!G51</f>
        <v>5049558.4464780493</v>
      </c>
      <c r="H51" s="359" t="str">
        <f>'Func Future Lines 2015'!H51</f>
        <v>AltaLink</v>
      </c>
      <c r="I51" s="359">
        <f>'Func Future Lines 2015'!I51</f>
        <v>2016</v>
      </c>
      <c r="J51" s="361">
        <f>+IF($I51=J$3,VLOOKUP($H51,Depreciation!$A$6:$L$10,7,FALSE)/2,IF($I51&lt;J$3,VLOOKUP($H51,Depreciation!$A$6:$L$10,7,FALSE),0))</f>
        <v>0</v>
      </c>
      <c r="K51" s="361">
        <f>+IF($I51=K$3,VLOOKUP($H51,Depreciation!$A$6:$L$10,8,FALSE)/2,IF($I51&lt;K$3,VLOOKUP($H51,Depreciation!$A$6:$L$10,8,FALSE),0))</f>
        <v>1.5338181838063448E-2</v>
      </c>
      <c r="L51" s="361">
        <f>+IF($I51=L$3,VLOOKUP($H51,Depreciation!$A$6:$L$10,9,FALSE)/2,IF($I51&lt;L$3,VLOOKUP($H51,Depreciation!$A$6:$L$10,9,FALSE),0))</f>
        <v>3.0676363676126896E-2</v>
      </c>
      <c r="M51" s="361">
        <f>+IF($I51=M$3,VLOOKUP($H51,Depreciation!$A$6:$L$10,10,FALSE)/2,IF($I51&lt;M$3,VLOOKUP($H51,Depreciation!$A$6:$L$10,10,FALSE),0))</f>
        <v>3.0676363676126896E-2</v>
      </c>
      <c r="N51" s="361">
        <f>+IF($I51=N$3,VLOOKUP($H51,Depreciation!$A$6:$L$10,11,FALSE)/2,IF($I51&lt;N$3,VLOOKUP($H51,Depreciation!$A$6:$L$10,11,FALSE),0))</f>
        <v>3.0676363676126896E-2</v>
      </c>
      <c r="O51" s="361">
        <f>+IF($I51=O$3,VLOOKUP($H51,Depreciation!$A$6:$L$10,12,FALSE)/2,IF($I51&lt;O$3,VLOOKUP($H51,Depreciation!$A$6:$L$10,12,FALSE),0))</f>
        <v>3.0676363676126896E-2</v>
      </c>
      <c r="P51" s="362">
        <f t="shared" si="1"/>
        <v>4389506.6624099612</v>
      </c>
      <c r="Q51" s="362">
        <f t="shared" si="2"/>
        <v>4389506.6624099612</v>
      </c>
      <c r="R51" s="363">
        <f t="shared" si="3"/>
        <v>0</v>
      </c>
      <c r="Y51" s="365"/>
    </row>
    <row r="52" spans="1:25" ht="15" customHeight="1">
      <c r="A52" s="359" t="str">
        <f>'Func Future Lines 2015'!A52</f>
        <v>PPS</v>
      </c>
      <c r="B52" s="359" t="str">
        <f>'Func Future Lines 2015'!B52</f>
        <v>902L / 913L</v>
      </c>
      <c r="C52" s="359">
        <f>'Func Future Lines 2015'!C52</f>
        <v>786</v>
      </c>
      <c r="D52" s="359">
        <f>'Func Future Lines 2015'!D52</f>
        <v>240</v>
      </c>
      <c r="E52" s="359">
        <f>'Func Future Lines 2015'!E52</f>
        <v>0</v>
      </c>
      <c r="F52" s="359" t="str">
        <f>'Func Future Lines 2015'!F52</f>
        <v>edmonton</v>
      </c>
      <c r="G52" s="359">
        <f>'Func Future Lines 2015'!G52</f>
        <v>1156144.4203365908</v>
      </c>
      <c r="H52" s="359" t="str">
        <f>'Func Future Lines 2015'!H52</f>
        <v>AltaLink</v>
      </c>
      <c r="I52" s="359">
        <f>'Func Future Lines 2015'!I52</f>
        <v>2016</v>
      </c>
      <c r="J52" s="361">
        <f>+IF($I52=J$3,VLOOKUP($H52,Depreciation!$A$6:$L$10,7,FALSE)/2,IF($I52&lt;J$3,VLOOKUP($H52,Depreciation!$A$6:$L$10,7,FALSE),0))</f>
        <v>0</v>
      </c>
      <c r="K52" s="361">
        <f>+IF($I52=K$3,VLOOKUP($H52,Depreciation!$A$6:$L$10,8,FALSE)/2,IF($I52&lt;K$3,VLOOKUP($H52,Depreciation!$A$6:$L$10,8,FALSE),0))</f>
        <v>1.5338181838063448E-2</v>
      </c>
      <c r="L52" s="361">
        <f>+IF($I52=L$3,VLOOKUP($H52,Depreciation!$A$6:$L$10,9,FALSE)/2,IF($I52&lt;L$3,VLOOKUP($H52,Depreciation!$A$6:$L$10,9,FALSE),0))</f>
        <v>3.0676363676126896E-2</v>
      </c>
      <c r="M52" s="361">
        <f>+IF($I52=M$3,VLOOKUP($H52,Depreciation!$A$6:$L$10,10,FALSE)/2,IF($I52&lt;M$3,VLOOKUP($H52,Depreciation!$A$6:$L$10,10,FALSE),0))</f>
        <v>3.0676363676126896E-2</v>
      </c>
      <c r="N52" s="361">
        <f>+IF($I52=N$3,VLOOKUP($H52,Depreciation!$A$6:$L$10,11,FALSE)/2,IF($I52&lt;N$3,VLOOKUP($H52,Depreciation!$A$6:$L$10,11,FALSE),0))</f>
        <v>3.0676363676126896E-2</v>
      </c>
      <c r="O52" s="361">
        <f>+IF($I52=O$3,VLOOKUP($H52,Depreciation!$A$6:$L$10,12,FALSE)/2,IF($I52&lt;O$3,VLOOKUP($H52,Depreciation!$A$6:$L$10,12,FALSE),0))</f>
        <v>3.0676363676126896E-2</v>
      </c>
      <c r="P52" s="362">
        <f t="shared" si="1"/>
        <v>1005019.2882340425</v>
      </c>
      <c r="Q52" s="362">
        <f t="shared" si="2"/>
        <v>1005019.2882340425</v>
      </c>
      <c r="R52" s="363">
        <f t="shared" si="3"/>
        <v>0</v>
      </c>
      <c r="Y52" s="365"/>
    </row>
    <row r="53" spans="1:25" ht="15" customHeight="1">
      <c r="A53" s="359" t="str">
        <f>'Func Future Lines 2015'!A53</f>
        <v>PPS</v>
      </c>
      <c r="B53" s="359" t="str">
        <f>'Func Future Lines 2015'!B53</f>
        <v>902L T</v>
      </c>
      <c r="C53" s="359">
        <f>'Func Future Lines 2015'!C53</f>
        <v>786</v>
      </c>
      <c r="D53" s="359">
        <f>'Func Future Lines 2015'!D53</f>
        <v>240</v>
      </c>
      <c r="E53" s="359">
        <f>'Func Future Lines 2015'!E53</f>
        <v>0</v>
      </c>
      <c r="F53" s="359" t="str">
        <f>'Func Future Lines 2015'!F53</f>
        <v>edmonton</v>
      </c>
      <c r="G53" s="359">
        <f>'Func Future Lines 2015'!G53</f>
        <v>74703.733323158798</v>
      </c>
      <c r="H53" s="359" t="str">
        <f>'Func Future Lines 2015'!H53</f>
        <v>AltaLink</v>
      </c>
      <c r="I53" s="359">
        <f>'Func Future Lines 2015'!I53</f>
        <v>2016</v>
      </c>
      <c r="J53" s="361">
        <f>+IF($I53=J$3,VLOOKUP($H53,Depreciation!$A$6:$L$10,7,FALSE)/2,IF($I53&lt;J$3,VLOOKUP($H53,Depreciation!$A$6:$L$10,7,FALSE),0))</f>
        <v>0</v>
      </c>
      <c r="K53" s="361">
        <f>+IF($I53=K$3,VLOOKUP($H53,Depreciation!$A$6:$L$10,8,FALSE)/2,IF($I53&lt;K$3,VLOOKUP($H53,Depreciation!$A$6:$L$10,8,FALSE),0))</f>
        <v>1.5338181838063448E-2</v>
      </c>
      <c r="L53" s="361">
        <f>+IF($I53=L$3,VLOOKUP($H53,Depreciation!$A$6:$L$10,9,FALSE)/2,IF($I53&lt;L$3,VLOOKUP($H53,Depreciation!$A$6:$L$10,9,FALSE),0))</f>
        <v>3.0676363676126896E-2</v>
      </c>
      <c r="M53" s="361">
        <f>+IF($I53=M$3,VLOOKUP($H53,Depreciation!$A$6:$L$10,10,FALSE)/2,IF($I53&lt;M$3,VLOOKUP($H53,Depreciation!$A$6:$L$10,10,FALSE),0))</f>
        <v>3.0676363676126896E-2</v>
      </c>
      <c r="N53" s="361">
        <f>+IF($I53=N$3,VLOOKUP($H53,Depreciation!$A$6:$L$10,11,FALSE)/2,IF($I53&lt;N$3,VLOOKUP($H53,Depreciation!$A$6:$L$10,11,FALSE),0))</f>
        <v>3.0676363676126896E-2</v>
      </c>
      <c r="O53" s="361">
        <f>+IF($I53=O$3,VLOOKUP($H53,Depreciation!$A$6:$L$10,12,FALSE)/2,IF($I53&lt;O$3,VLOOKUP($H53,Depreciation!$A$6:$L$10,12,FALSE),0))</f>
        <v>3.0676363676126896E-2</v>
      </c>
      <c r="P53" s="362">
        <f t="shared" si="1"/>
        <v>64938.853288769038</v>
      </c>
      <c r="Q53" s="362">
        <f t="shared" si="2"/>
        <v>64938.853288769038</v>
      </c>
      <c r="R53" s="363">
        <f t="shared" si="3"/>
        <v>0</v>
      </c>
      <c r="Y53" s="365"/>
    </row>
    <row r="54" spans="1:25" ht="15" customHeight="1">
      <c r="A54" s="359" t="str">
        <f>'Func Future Lines 2015'!A54</f>
        <v>PPS</v>
      </c>
      <c r="B54" s="359" t="str">
        <f>'Func Future Lines 2015'!B54</f>
        <v>904L AML</v>
      </c>
      <c r="C54" s="359">
        <f>'Func Future Lines 2015'!C54</f>
        <v>786</v>
      </c>
      <c r="D54" s="359">
        <f>'Func Future Lines 2015'!D54</f>
        <v>240</v>
      </c>
      <c r="E54" s="359">
        <f>'Func Future Lines 2015'!E54</f>
        <v>0</v>
      </c>
      <c r="F54" s="359" t="str">
        <f>'Func Future Lines 2015'!F54</f>
        <v>edmonton</v>
      </c>
      <c r="G54" s="359">
        <f>'Func Future Lines 2015'!G54</f>
        <v>49162456.433123253</v>
      </c>
      <c r="H54" s="359" t="str">
        <f>'Func Future Lines 2015'!H54</f>
        <v>AltaLink</v>
      </c>
      <c r="I54" s="359">
        <f>'Func Future Lines 2015'!I54</f>
        <v>2016</v>
      </c>
      <c r="J54" s="361">
        <f>+IF($I54=J$3,VLOOKUP($H54,Depreciation!$A$6:$L$10,7,FALSE)/2,IF($I54&lt;J$3,VLOOKUP($H54,Depreciation!$A$6:$L$10,7,FALSE),0))</f>
        <v>0</v>
      </c>
      <c r="K54" s="361">
        <f>+IF($I54=K$3,VLOOKUP($H54,Depreciation!$A$6:$L$10,8,FALSE)/2,IF($I54&lt;K$3,VLOOKUP($H54,Depreciation!$A$6:$L$10,8,FALSE),0))</f>
        <v>1.5338181838063448E-2</v>
      </c>
      <c r="L54" s="361">
        <f>+IF($I54=L$3,VLOOKUP($H54,Depreciation!$A$6:$L$10,9,FALSE)/2,IF($I54&lt;L$3,VLOOKUP($H54,Depreciation!$A$6:$L$10,9,FALSE),0))</f>
        <v>3.0676363676126896E-2</v>
      </c>
      <c r="M54" s="361">
        <f>+IF($I54=M$3,VLOOKUP($H54,Depreciation!$A$6:$L$10,10,FALSE)/2,IF($I54&lt;M$3,VLOOKUP($H54,Depreciation!$A$6:$L$10,10,FALSE),0))</f>
        <v>3.0676363676126896E-2</v>
      </c>
      <c r="N54" s="361">
        <f>+IF($I54=N$3,VLOOKUP($H54,Depreciation!$A$6:$L$10,11,FALSE)/2,IF($I54&lt;N$3,VLOOKUP($H54,Depreciation!$A$6:$L$10,11,FALSE),0))</f>
        <v>3.0676363676126896E-2</v>
      </c>
      <c r="O54" s="361">
        <f>+IF($I54=O$3,VLOOKUP($H54,Depreciation!$A$6:$L$10,12,FALSE)/2,IF($I54&lt;O$3,VLOOKUP($H54,Depreciation!$A$6:$L$10,12,FALSE),0))</f>
        <v>3.0676363676126896E-2</v>
      </c>
      <c r="P54" s="362">
        <f t="shared" si="1"/>
        <v>42736198.09354791</v>
      </c>
      <c r="Q54" s="362">
        <f t="shared" si="2"/>
        <v>42736198.09354791</v>
      </c>
      <c r="R54" s="363">
        <f t="shared" si="3"/>
        <v>0</v>
      </c>
      <c r="Y54" s="365"/>
    </row>
    <row r="55" spans="1:25" ht="15" customHeight="1">
      <c r="A55" s="359" t="str">
        <f>'Func Future Lines 2015'!A55</f>
        <v>PPS</v>
      </c>
      <c r="B55" s="359" t="str">
        <f>'Func Future Lines 2015'!B55</f>
        <v>904L EDTI</v>
      </c>
      <c r="C55" s="359">
        <f>'Func Future Lines 2015'!C55</f>
        <v>786</v>
      </c>
      <c r="D55" s="359">
        <f>'Func Future Lines 2015'!D55</f>
        <v>240</v>
      </c>
      <c r="E55" s="359">
        <f>'Func Future Lines 2015'!E55</f>
        <v>0</v>
      </c>
      <c r="F55" s="359" t="str">
        <f>'Func Future Lines 2015'!F55</f>
        <v>edmonton</v>
      </c>
      <c r="G55" s="359">
        <f>'Func Future Lines 2015'!G55</f>
        <v>3984477.4999999995</v>
      </c>
      <c r="H55" s="359" t="str">
        <f>'Func Future Lines 2015'!H55</f>
        <v>EPCOR</v>
      </c>
      <c r="I55" s="359">
        <f>'Func Future Lines 2015'!I55</f>
        <v>2016</v>
      </c>
      <c r="J55" s="361">
        <f>+IF($I55=J$3,VLOOKUP($H55,Depreciation!$A$6:$L$10,7,FALSE)/2,IF($I55&lt;J$3,VLOOKUP($H55,Depreciation!$A$6:$L$10,7,FALSE),0))</f>
        <v>0</v>
      </c>
      <c r="K55" s="361">
        <f>+IF($I55=K$3,VLOOKUP($H55,Depreciation!$A$6:$L$10,8,FALSE)/2,IF($I55&lt;K$3,VLOOKUP($H55,Depreciation!$A$6:$L$10,8,FALSE),0))</f>
        <v>1.1531168605025642E-2</v>
      </c>
      <c r="L55" s="361">
        <f>+IF($I55=L$3,VLOOKUP($H55,Depreciation!$A$6:$L$10,9,FALSE)/2,IF($I55&lt;L$3,VLOOKUP($H55,Depreciation!$A$6:$L$10,9,FALSE),0))</f>
        <v>2.3063912319658014E-2</v>
      </c>
      <c r="M55" s="361">
        <f>+IF($I55=M$3,VLOOKUP($H55,Depreciation!$A$6:$L$10,10,FALSE)/2,IF($I55&lt;M$3,VLOOKUP($H55,Depreciation!$A$6:$L$10,10,FALSE),0))</f>
        <v>2.3063912319658014E-2</v>
      </c>
      <c r="N55" s="361">
        <f>+IF($I55=N$3,VLOOKUP($H55,Depreciation!$A$6:$L$10,11,FALSE)/2,IF($I55&lt;N$3,VLOOKUP($H55,Depreciation!$A$6:$L$10,11,FALSE),0))</f>
        <v>2.3063912319658014E-2</v>
      </c>
      <c r="O55" s="361">
        <f>+IF($I55=O$3,VLOOKUP($H55,Depreciation!$A$6:$L$10,12,FALSE)/2,IF($I55&lt;O$3,VLOOKUP($H55,Depreciation!$A$6:$L$10,12,FALSE),0))</f>
        <v>2.3063912319658014E-2</v>
      </c>
      <c r="P55" s="362">
        <f t="shared" si="1"/>
        <v>3587558.3111212705</v>
      </c>
      <c r="Q55" s="362">
        <f t="shared" si="2"/>
        <v>3587558.3111212705</v>
      </c>
      <c r="R55" s="363">
        <f t="shared" si="3"/>
        <v>0</v>
      </c>
      <c r="Y55" s="365"/>
    </row>
    <row r="56" spans="1:25" ht="15" customHeight="1">
      <c r="A56" s="359" t="str">
        <f>'Func Future Lines 2015'!A56</f>
        <v>PPS</v>
      </c>
      <c r="B56" s="359" t="str">
        <f>'Func Future Lines 2015'!B56</f>
        <v>904L EDTI</v>
      </c>
      <c r="C56" s="359">
        <f>'Func Future Lines 2015'!C56</f>
        <v>786</v>
      </c>
      <c r="D56" s="359">
        <f>'Func Future Lines 2015'!D56</f>
        <v>240</v>
      </c>
      <c r="E56" s="359">
        <f>'Func Future Lines 2015'!E56</f>
        <v>0</v>
      </c>
      <c r="F56" s="359" t="str">
        <f>'Func Future Lines 2015'!F56</f>
        <v>edmonton</v>
      </c>
      <c r="G56" s="359">
        <f>'Func Future Lines 2015'!G56</f>
        <v>3984477.4999999995</v>
      </c>
      <c r="H56" s="359" t="str">
        <f>'Func Future Lines 2015'!H56</f>
        <v>EPCOR</v>
      </c>
      <c r="I56" s="359">
        <f>'Func Future Lines 2015'!I56</f>
        <v>2016</v>
      </c>
      <c r="J56" s="361">
        <f>+IF($I56=J$3,VLOOKUP($H56,Depreciation!$A$6:$L$10,7,FALSE)/2,IF($I56&lt;J$3,VLOOKUP($H56,Depreciation!$A$6:$L$10,7,FALSE),0))</f>
        <v>0</v>
      </c>
      <c r="K56" s="361">
        <f>+IF($I56=K$3,VLOOKUP($H56,Depreciation!$A$6:$L$10,8,FALSE)/2,IF($I56&lt;K$3,VLOOKUP($H56,Depreciation!$A$6:$L$10,8,FALSE),0))</f>
        <v>1.1531168605025642E-2</v>
      </c>
      <c r="L56" s="361">
        <f>+IF($I56=L$3,VLOOKUP($H56,Depreciation!$A$6:$L$10,9,FALSE)/2,IF($I56&lt;L$3,VLOOKUP($H56,Depreciation!$A$6:$L$10,9,FALSE),0))</f>
        <v>2.3063912319658014E-2</v>
      </c>
      <c r="M56" s="361">
        <f>+IF($I56=M$3,VLOOKUP($H56,Depreciation!$A$6:$L$10,10,FALSE)/2,IF($I56&lt;M$3,VLOOKUP($H56,Depreciation!$A$6:$L$10,10,FALSE),0))</f>
        <v>2.3063912319658014E-2</v>
      </c>
      <c r="N56" s="361">
        <f>+IF($I56=N$3,VLOOKUP($H56,Depreciation!$A$6:$L$10,11,FALSE)/2,IF($I56&lt;N$3,VLOOKUP($H56,Depreciation!$A$6:$L$10,11,FALSE),0))</f>
        <v>2.3063912319658014E-2</v>
      </c>
      <c r="O56" s="361">
        <f>+IF($I56=O$3,VLOOKUP($H56,Depreciation!$A$6:$L$10,12,FALSE)/2,IF($I56&lt;O$3,VLOOKUP($H56,Depreciation!$A$6:$L$10,12,FALSE),0))</f>
        <v>2.3063912319658014E-2</v>
      </c>
      <c r="P56" s="362">
        <f t="shared" si="1"/>
        <v>3587558.3111212705</v>
      </c>
      <c r="Q56" s="362">
        <f t="shared" si="2"/>
        <v>3587558.3111212705</v>
      </c>
      <c r="R56" s="363">
        <f t="shared" si="3"/>
        <v>0</v>
      </c>
      <c r="Y56" s="365"/>
    </row>
    <row r="57" spans="1:25" ht="15" customHeight="1">
      <c r="A57" s="359" t="str">
        <f>'Func Future Lines 2015'!A57</f>
        <v>PPS</v>
      </c>
      <c r="B57" s="359" t="str">
        <f>'Func Future Lines 2015'!B57</f>
        <v>908L/909L</v>
      </c>
      <c r="C57" s="359">
        <f>'Func Future Lines 2015'!C57</f>
        <v>786</v>
      </c>
      <c r="D57" s="359">
        <f>'Func Future Lines 2015'!D57</f>
        <v>240</v>
      </c>
      <c r="E57" s="359">
        <f>'Func Future Lines 2015'!E57</f>
        <v>0</v>
      </c>
      <c r="F57" s="359" t="str">
        <f>'Func Future Lines 2015'!F57</f>
        <v>edmonton</v>
      </c>
      <c r="G57" s="359">
        <f>'Func Future Lines 2015'!G57</f>
        <v>3109824.4563445696</v>
      </c>
      <c r="H57" s="359" t="str">
        <f>'Func Future Lines 2015'!H57</f>
        <v>AltaLink</v>
      </c>
      <c r="I57" s="359">
        <f>'Func Future Lines 2015'!I57</f>
        <v>2016</v>
      </c>
      <c r="J57" s="361">
        <f>+IF($I57=J$3,VLOOKUP($H57,Depreciation!$A$6:$L$10,7,FALSE)/2,IF($I57&lt;J$3,VLOOKUP($H57,Depreciation!$A$6:$L$10,7,FALSE),0))</f>
        <v>0</v>
      </c>
      <c r="K57" s="361">
        <f>+IF($I57=K$3,VLOOKUP($H57,Depreciation!$A$6:$L$10,8,FALSE)/2,IF($I57&lt;K$3,VLOOKUP($H57,Depreciation!$A$6:$L$10,8,FALSE),0))</f>
        <v>1.5338181838063448E-2</v>
      </c>
      <c r="L57" s="361">
        <f>+IF($I57=L$3,VLOOKUP($H57,Depreciation!$A$6:$L$10,9,FALSE)/2,IF($I57&lt;L$3,VLOOKUP($H57,Depreciation!$A$6:$L$10,9,FALSE),0))</f>
        <v>3.0676363676126896E-2</v>
      </c>
      <c r="M57" s="361">
        <f>+IF($I57=M$3,VLOOKUP($H57,Depreciation!$A$6:$L$10,10,FALSE)/2,IF($I57&lt;M$3,VLOOKUP($H57,Depreciation!$A$6:$L$10,10,FALSE),0))</f>
        <v>3.0676363676126896E-2</v>
      </c>
      <c r="N57" s="361">
        <f>+IF($I57=N$3,VLOOKUP($H57,Depreciation!$A$6:$L$10,11,FALSE)/2,IF($I57&lt;N$3,VLOOKUP($H57,Depreciation!$A$6:$L$10,11,FALSE),0))</f>
        <v>3.0676363676126896E-2</v>
      </c>
      <c r="O57" s="361">
        <f>+IF($I57=O$3,VLOOKUP($H57,Depreciation!$A$6:$L$10,12,FALSE)/2,IF($I57&lt;O$3,VLOOKUP($H57,Depreciation!$A$6:$L$10,12,FALSE),0))</f>
        <v>3.0676363676126896E-2</v>
      </c>
      <c r="P57" s="362">
        <f t="shared" si="1"/>
        <v>2703324.5212897565</v>
      </c>
      <c r="Q57" s="362">
        <f t="shared" si="2"/>
        <v>2703324.5212897565</v>
      </c>
      <c r="R57" s="363">
        <f t="shared" si="3"/>
        <v>0</v>
      </c>
      <c r="Y57" s="365"/>
    </row>
    <row r="58" spans="1:25" ht="15" customHeight="1">
      <c r="A58" s="359" t="str">
        <f>'Func Future Lines 2015'!A58</f>
        <v>PPS</v>
      </c>
      <c r="B58" s="359" t="str">
        <f>'Func Future Lines 2015'!B58</f>
        <v>910L</v>
      </c>
      <c r="C58" s="359">
        <f>'Func Future Lines 2015'!C58</f>
        <v>786</v>
      </c>
      <c r="D58" s="359">
        <f>'Func Future Lines 2015'!D58</f>
        <v>240</v>
      </c>
      <c r="E58" s="359">
        <f>'Func Future Lines 2015'!E58</f>
        <v>0</v>
      </c>
      <c r="F58" s="359" t="str">
        <f>'Func Future Lines 2015'!F58</f>
        <v>northwest</v>
      </c>
      <c r="G58" s="359">
        <f>'Func Future Lines 2015'!G58</f>
        <v>346386.25820651586</v>
      </c>
      <c r="H58" s="359" t="str">
        <f>'Func Future Lines 2015'!H58</f>
        <v>ATCO</v>
      </c>
      <c r="I58" s="359">
        <f>'Func Future Lines 2015'!I58</f>
        <v>2016</v>
      </c>
      <c r="J58" s="361">
        <f>+IF($I58=J$3,VLOOKUP($H58,Depreciation!$A$6:$L$10,7,FALSE)/2,IF($I58&lt;J$3,VLOOKUP($H58,Depreciation!$A$6:$L$10,7,FALSE),0))</f>
        <v>0</v>
      </c>
      <c r="K58" s="361">
        <f>+IF($I58=K$3,VLOOKUP($H58,Depreciation!$A$6:$L$10,8,FALSE)/2,IF($I58&lt;K$3,VLOOKUP($H58,Depreciation!$A$6:$L$10,8,FALSE),0))</f>
        <v>1.1971929865503333E-2</v>
      </c>
      <c r="L58" s="361">
        <f>+IF($I58=L$3,VLOOKUP($H58,Depreciation!$A$6:$L$10,9,FALSE)/2,IF($I58&lt;L$3,VLOOKUP($H58,Depreciation!$A$6:$L$10,9,FALSE),0))</f>
        <v>2.4002037926855919E-2</v>
      </c>
      <c r="M58" s="361">
        <f>+IF($I58=M$3,VLOOKUP($H58,Depreciation!$A$6:$L$10,10,FALSE)/2,IF($I58&lt;M$3,VLOOKUP($H58,Depreciation!$A$6:$L$10,10,FALSE),0))</f>
        <v>2.4002037926855919E-2</v>
      </c>
      <c r="N58" s="361">
        <f>+IF($I58=N$3,VLOOKUP($H58,Depreciation!$A$6:$L$10,11,FALSE)/2,IF($I58&lt;N$3,VLOOKUP($H58,Depreciation!$A$6:$L$10,11,FALSE),0))</f>
        <v>2.4002037926855919E-2</v>
      </c>
      <c r="O58" s="361">
        <f>+IF($I58=O$3,VLOOKUP($H58,Depreciation!$A$6:$L$10,12,FALSE)/2,IF($I58&lt;O$3,VLOOKUP($H58,Depreciation!$A$6:$L$10,12,FALSE),0))</f>
        <v>2.4002037926855919E-2</v>
      </c>
      <c r="P58" s="362">
        <f t="shared" si="1"/>
        <v>310545.74349946767</v>
      </c>
      <c r="Q58" s="362">
        <f t="shared" si="2"/>
        <v>310545.74349946767</v>
      </c>
      <c r="R58" s="363">
        <f t="shared" si="3"/>
        <v>0</v>
      </c>
      <c r="Y58" s="365"/>
    </row>
    <row r="59" spans="1:25" ht="15" customHeight="1">
      <c r="A59" s="359" t="str">
        <f>'Func Future Lines 2015'!A59</f>
        <v>PPS</v>
      </c>
      <c r="B59" s="359" t="str">
        <f>'Func Future Lines 2015'!B59</f>
        <v>Jasper Tap</v>
      </c>
      <c r="C59" s="359">
        <f>'Func Future Lines 2015'!C59</f>
        <v>786</v>
      </c>
      <c r="D59" s="359">
        <f>'Func Future Lines 2015'!D59</f>
        <v>240</v>
      </c>
      <c r="E59" s="359">
        <f>'Func Future Lines 2015'!E59</f>
        <v>0</v>
      </c>
      <c r="F59" s="359" t="str">
        <f>'Func Future Lines 2015'!F59</f>
        <v>edmonton</v>
      </c>
      <c r="G59" s="359">
        <f>'Func Future Lines 2015'!G59</f>
        <v>1657515.1531787047</v>
      </c>
      <c r="H59" s="359" t="str">
        <f>'Func Future Lines 2015'!H59</f>
        <v>AltaLink</v>
      </c>
      <c r="I59" s="359">
        <f>'Func Future Lines 2015'!I59</f>
        <v>2016</v>
      </c>
      <c r="J59" s="361">
        <f>+IF($I59=J$3,VLOOKUP($H59,Depreciation!$A$6:$L$10,7,FALSE)/2,IF($I59&lt;J$3,VLOOKUP($H59,Depreciation!$A$6:$L$10,7,FALSE),0))</f>
        <v>0</v>
      </c>
      <c r="K59" s="361">
        <f>+IF($I59=K$3,VLOOKUP($H59,Depreciation!$A$6:$L$10,8,FALSE)/2,IF($I59&lt;K$3,VLOOKUP($H59,Depreciation!$A$6:$L$10,8,FALSE),0))</f>
        <v>1.5338181838063448E-2</v>
      </c>
      <c r="L59" s="361">
        <f>+IF($I59=L$3,VLOOKUP($H59,Depreciation!$A$6:$L$10,9,FALSE)/2,IF($I59&lt;L$3,VLOOKUP($H59,Depreciation!$A$6:$L$10,9,FALSE),0))</f>
        <v>3.0676363676126896E-2</v>
      </c>
      <c r="M59" s="361">
        <f>+IF($I59=M$3,VLOOKUP($H59,Depreciation!$A$6:$L$10,10,FALSE)/2,IF($I59&lt;M$3,VLOOKUP($H59,Depreciation!$A$6:$L$10,10,FALSE),0))</f>
        <v>3.0676363676126896E-2</v>
      </c>
      <c r="N59" s="361">
        <f>+IF($I59=N$3,VLOOKUP($H59,Depreciation!$A$6:$L$10,11,FALSE)/2,IF($I59&lt;N$3,VLOOKUP($H59,Depreciation!$A$6:$L$10,11,FALSE),0))</f>
        <v>3.0676363676126896E-2</v>
      </c>
      <c r="O59" s="361">
        <f>+IF($I59=O$3,VLOOKUP($H59,Depreciation!$A$6:$L$10,12,FALSE)/2,IF($I59&lt;O$3,VLOOKUP($H59,Depreciation!$A$6:$L$10,12,FALSE),0))</f>
        <v>3.0676363676126896E-2</v>
      </c>
      <c r="P59" s="362">
        <f t="shared" si="1"/>
        <v>1440853.46967278</v>
      </c>
      <c r="Q59" s="362">
        <f t="shared" si="2"/>
        <v>1440853.46967278</v>
      </c>
      <c r="R59" s="363">
        <f t="shared" si="3"/>
        <v>0</v>
      </c>
      <c r="Y59" s="365"/>
    </row>
    <row r="60" spans="1:25" ht="15" customHeight="1">
      <c r="A60" s="359" t="str">
        <f>'Func Future Lines 2015'!A60</f>
        <v>PPS</v>
      </c>
      <c r="B60" s="359" t="str">
        <f>'Func Future Lines 2015'!B60</f>
        <v>Jasper Tap</v>
      </c>
      <c r="C60" s="359">
        <f>'Func Future Lines 2015'!C60</f>
        <v>786</v>
      </c>
      <c r="D60" s="359">
        <f>'Func Future Lines 2015'!D60</f>
        <v>240</v>
      </c>
      <c r="E60" s="359">
        <f>'Func Future Lines 2015'!E60</f>
        <v>0</v>
      </c>
      <c r="F60" s="359" t="str">
        <f>'Func Future Lines 2015'!F60</f>
        <v>edmonton</v>
      </c>
      <c r="G60" s="359">
        <f>'Func Future Lines 2015'!G60</f>
        <v>1321477.0395329923</v>
      </c>
      <c r="H60" s="359" t="str">
        <f>'Func Future Lines 2015'!H60</f>
        <v>AltaLink</v>
      </c>
      <c r="I60" s="359">
        <f>'Func Future Lines 2015'!I60</f>
        <v>2016</v>
      </c>
      <c r="J60" s="361">
        <f>+IF($I60=J$3,VLOOKUP($H60,Depreciation!$A$6:$L$10,7,FALSE)/2,IF($I60&lt;J$3,VLOOKUP($H60,Depreciation!$A$6:$L$10,7,FALSE),0))</f>
        <v>0</v>
      </c>
      <c r="K60" s="361">
        <f>+IF($I60=K$3,VLOOKUP($H60,Depreciation!$A$6:$L$10,8,FALSE)/2,IF($I60&lt;K$3,VLOOKUP($H60,Depreciation!$A$6:$L$10,8,FALSE),0))</f>
        <v>1.5338181838063448E-2</v>
      </c>
      <c r="L60" s="361">
        <f>+IF($I60=L$3,VLOOKUP($H60,Depreciation!$A$6:$L$10,9,FALSE)/2,IF($I60&lt;L$3,VLOOKUP($H60,Depreciation!$A$6:$L$10,9,FALSE),0))</f>
        <v>3.0676363676126896E-2</v>
      </c>
      <c r="M60" s="361">
        <f>+IF($I60=M$3,VLOOKUP($H60,Depreciation!$A$6:$L$10,10,FALSE)/2,IF($I60&lt;M$3,VLOOKUP($H60,Depreciation!$A$6:$L$10,10,FALSE),0))</f>
        <v>3.0676363676126896E-2</v>
      </c>
      <c r="N60" s="361">
        <f>+IF($I60=N$3,VLOOKUP($H60,Depreciation!$A$6:$L$10,11,FALSE)/2,IF($I60&lt;N$3,VLOOKUP($H60,Depreciation!$A$6:$L$10,11,FALSE),0))</f>
        <v>3.0676363676126896E-2</v>
      </c>
      <c r="O60" s="361">
        <f>+IF($I60=O$3,VLOOKUP($H60,Depreciation!$A$6:$L$10,12,FALSE)/2,IF($I60&lt;O$3,VLOOKUP($H60,Depreciation!$A$6:$L$10,12,FALSE),0))</f>
        <v>3.0676363676126896E-2</v>
      </c>
      <c r="P60" s="362">
        <f t="shared" si="1"/>
        <v>1148740.4949828174</v>
      </c>
      <c r="Q60" s="362">
        <f t="shared" si="2"/>
        <v>1148740.4949828174</v>
      </c>
      <c r="R60" s="363">
        <f t="shared" si="3"/>
        <v>0</v>
      </c>
      <c r="Y60" s="365"/>
    </row>
    <row r="61" spans="1:25" ht="15" customHeight="1">
      <c r="A61" s="359" t="str">
        <f>'Func Future Lines 2015'!A61</f>
        <v>PPS</v>
      </c>
      <c r="B61" s="359" t="str">
        <f>'Func Future Lines 2015'!B61</f>
        <v>7L180</v>
      </c>
      <c r="C61" s="359">
        <f>'Func Future Lines 2015'!C61</f>
        <v>803</v>
      </c>
      <c r="D61" s="359">
        <f>'Func Future Lines 2015'!D61</f>
        <v>138</v>
      </c>
      <c r="E61" s="359">
        <f>'Func Future Lines 2015'!E61</f>
        <v>0</v>
      </c>
      <c r="F61" s="359" t="str">
        <f>'Func Future Lines 2015'!F61</f>
        <v>High_Level</v>
      </c>
      <c r="G61" s="360">
        <f>'Func Future Lines 2015'!G61</f>
        <v>12917630.079449499</v>
      </c>
      <c r="H61" s="359" t="str">
        <f>'Func Future Lines 2015'!H61</f>
        <v>ATCO</v>
      </c>
      <c r="I61" s="359">
        <f>'Func Future Lines 2015'!I61</f>
        <v>2017</v>
      </c>
      <c r="J61" s="361">
        <f>+IF($I61=J$3,VLOOKUP($H61,Depreciation!$A$6:$L$10,7,FALSE)/2,IF($I61&lt;J$3,VLOOKUP($H61,Depreciation!$A$6:$L$10,7,FALSE),0))</f>
        <v>0</v>
      </c>
      <c r="K61" s="361">
        <f>+IF($I61=K$3,VLOOKUP($H61,Depreciation!$A$6:$L$10,8,FALSE)/2,IF($I61&lt;K$3,VLOOKUP($H61,Depreciation!$A$6:$L$10,8,FALSE),0))</f>
        <v>0</v>
      </c>
      <c r="L61" s="361">
        <f>+IF($I61=L$3,VLOOKUP($H61,Depreciation!$A$6:$L$10,9,FALSE)/2,IF($I61&lt;L$3,VLOOKUP($H61,Depreciation!$A$6:$L$10,9,FALSE),0))</f>
        <v>1.2001018963427959E-2</v>
      </c>
      <c r="M61" s="361">
        <f>+IF($I61=M$3,VLOOKUP($H61,Depreciation!$A$6:$L$10,10,FALSE)/2,IF($I61&lt;M$3,VLOOKUP($H61,Depreciation!$A$6:$L$10,10,FALSE),0))</f>
        <v>2.4002037926855919E-2</v>
      </c>
      <c r="N61" s="361">
        <f>+IF($I61=N$3,VLOOKUP($H61,Depreciation!$A$6:$L$10,11,FALSE)/2,IF($I61&lt;N$3,VLOOKUP($H61,Depreciation!$A$6:$L$10,11,FALSE),0))</f>
        <v>2.4002037926855919E-2</v>
      </c>
      <c r="O61" s="361">
        <f>+IF($I61=O$3,VLOOKUP($H61,Depreciation!$A$6:$L$10,12,FALSE)/2,IF($I61&lt;O$3,VLOOKUP($H61,Depreciation!$A$6:$L$10,12,FALSE),0))</f>
        <v>2.4002037926855919E-2</v>
      </c>
      <c r="P61" s="362">
        <f t="shared" si="1"/>
        <v>11865500.794852467</v>
      </c>
      <c r="Q61" s="362">
        <f t="shared" si="2"/>
        <v>0</v>
      </c>
      <c r="R61" s="363">
        <f t="shared" si="3"/>
        <v>11865500.794852467</v>
      </c>
      <c r="Y61" s="365"/>
    </row>
    <row r="62" spans="1:25" ht="15" customHeight="1">
      <c r="A62" s="359" t="str">
        <f>'Func Future Lines 2015'!A62</f>
        <v>PPS</v>
      </c>
      <c r="B62" s="359" t="str">
        <f>'Func Future Lines 2015'!B62</f>
        <v>6L05 Dead End180</v>
      </c>
      <c r="C62" s="359">
        <f>'Func Future Lines 2015'!C62</f>
        <v>811</v>
      </c>
      <c r="D62" s="359">
        <f>'Func Future Lines 2015'!D62</f>
        <v>69</v>
      </c>
      <c r="E62" s="359">
        <f>'Func Future Lines 2015'!E62</f>
        <v>0</v>
      </c>
      <c r="F62" s="359" t="str">
        <f>'Func Future Lines 2015'!F62</f>
        <v>central</v>
      </c>
      <c r="G62" s="360">
        <f>'Func Future Lines 2015'!G62</f>
        <v>243484.314248574</v>
      </c>
      <c r="H62" s="359" t="str">
        <f>'Func Future Lines 2015'!H62</f>
        <v>ATCO</v>
      </c>
      <c r="I62" s="359">
        <f>'Func Future Lines 2015'!I62</f>
        <v>2017</v>
      </c>
      <c r="J62" s="361">
        <f>+IF($I62=J$3,VLOOKUP($H62,Depreciation!$A$6:$L$10,7,FALSE)/2,IF($I62&lt;J$3,VLOOKUP($H62,Depreciation!$A$6:$L$10,7,FALSE),0))</f>
        <v>0</v>
      </c>
      <c r="K62" s="361">
        <f>+IF($I62=K$3,VLOOKUP($H62,Depreciation!$A$6:$L$10,8,FALSE)/2,IF($I62&lt;K$3,VLOOKUP($H62,Depreciation!$A$6:$L$10,8,FALSE),0))</f>
        <v>0</v>
      </c>
      <c r="L62" s="361">
        <f>+IF($I62=L$3,VLOOKUP($H62,Depreciation!$A$6:$L$10,9,FALSE)/2,IF($I62&lt;L$3,VLOOKUP($H62,Depreciation!$A$6:$L$10,9,FALSE),0))</f>
        <v>1.2001018963427959E-2</v>
      </c>
      <c r="M62" s="361">
        <f>+IF($I62=M$3,VLOOKUP($H62,Depreciation!$A$6:$L$10,10,FALSE)/2,IF($I62&lt;M$3,VLOOKUP($H62,Depreciation!$A$6:$L$10,10,FALSE),0))</f>
        <v>2.4002037926855919E-2</v>
      </c>
      <c r="N62" s="361">
        <f>+IF($I62=N$3,VLOOKUP($H62,Depreciation!$A$6:$L$10,11,FALSE)/2,IF($I62&lt;N$3,VLOOKUP($H62,Depreciation!$A$6:$L$10,11,FALSE),0))</f>
        <v>2.4002037926855919E-2</v>
      </c>
      <c r="O62" s="361">
        <f>+IF($I62=O$3,VLOOKUP($H62,Depreciation!$A$6:$L$10,12,FALSE)/2,IF($I62&lt;O$3,VLOOKUP($H62,Depreciation!$A$6:$L$10,12,FALSE),0))</f>
        <v>2.4002037926855919E-2</v>
      </c>
      <c r="P62" s="362">
        <f t="shared" si="1"/>
        <v>223652.73711055855</v>
      </c>
      <c r="Q62" s="362">
        <f t="shared" si="2"/>
        <v>0</v>
      </c>
      <c r="R62" s="363">
        <f t="shared" si="3"/>
        <v>223652.73711055855</v>
      </c>
      <c r="Y62" s="365"/>
    </row>
    <row r="63" spans="1:25" ht="15" customHeight="1">
      <c r="A63" s="359" t="str">
        <f>'Func Future Lines 2015'!A63</f>
        <v>PPS</v>
      </c>
      <c r="B63" s="359" t="str">
        <f>'Func Future Lines 2015'!B63</f>
        <v>7L1170</v>
      </c>
      <c r="C63" s="359">
        <f>'Func Future Lines 2015'!C63</f>
        <v>811</v>
      </c>
      <c r="D63" s="359">
        <f>'Func Future Lines 2015'!D63</f>
        <v>144</v>
      </c>
      <c r="E63" s="359">
        <f>'Func Future Lines 2015'!E63</f>
        <v>0</v>
      </c>
      <c r="F63" s="359" t="str">
        <f>'Func Future Lines 2015'!F63</f>
        <v>central</v>
      </c>
      <c r="G63" s="360">
        <f>'Func Future Lines 2015'!G63</f>
        <v>2439411.4217569879</v>
      </c>
      <c r="H63" s="359" t="str">
        <f>'Func Future Lines 2015'!H63</f>
        <v>ATCO</v>
      </c>
      <c r="I63" s="359">
        <f>'Func Future Lines 2015'!I63</f>
        <v>2017</v>
      </c>
      <c r="J63" s="361">
        <f>+IF($I63=J$3,VLOOKUP($H63,Depreciation!$A$6:$L$10,7,FALSE)/2,IF($I63&lt;J$3,VLOOKUP($H63,Depreciation!$A$6:$L$10,7,FALSE),0))</f>
        <v>0</v>
      </c>
      <c r="K63" s="361">
        <f>+IF($I63=K$3,VLOOKUP($H63,Depreciation!$A$6:$L$10,8,FALSE)/2,IF($I63&lt;K$3,VLOOKUP($H63,Depreciation!$A$6:$L$10,8,FALSE),0))</f>
        <v>0</v>
      </c>
      <c r="L63" s="361">
        <f>+IF($I63=L$3,VLOOKUP($H63,Depreciation!$A$6:$L$10,9,FALSE)/2,IF($I63&lt;L$3,VLOOKUP($H63,Depreciation!$A$6:$L$10,9,FALSE),0))</f>
        <v>1.2001018963427959E-2</v>
      </c>
      <c r="M63" s="361">
        <f>+IF($I63=M$3,VLOOKUP($H63,Depreciation!$A$6:$L$10,10,FALSE)/2,IF($I63&lt;M$3,VLOOKUP($H63,Depreciation!$A$6:$L$10,10,FALSE),0))</f>
        <v>2.4002037926855919E-2</v>
      </c>
      <c r="N63" s="361">
        <f>+IF($I63=N$3,VLOOKUP($H63,Depreciation!$A$6:$L$10,11,FALSE)/2,IF($I63&lt;N$3,VLOOKUP($H63,Depreciation!$A$6:$L$10,11,FALSE),0))</f>
        <v>2.4002037926855919E-2</v>
      </c>
      <c r="O63" s="361">
        <f>+IF($I63=O$3,VLOOKUP($H63,Depreciation!$A$6:$L$10,12,FALSE)/2,IF($I63&lt;O$3,VLOOKUP($H63,Depreciation!$A$6:$L$10,12,FALSE),0))</f>
        <v>2.4002037926855919E-2</v>
      </c>
      <c r="P63" s="362">
        <f t="shared" si="1"/>
        <v>2240723.5681626867</v>
      </c>
      <c r="Q63" s="362">
        <f t="shared" si="2"/>
        <v>0</v>
      </c>
      <c r="R63" s="363">
        <f t="shared" si="3"/>
        <v>2240723.5681626867</v>
      </c>
      <c r="Y63" s="365"/>
    </row>
    <row r="64" spans="1:25" ht="15" customHeight="1">
      <c r="A64" s="359" t="str">
        <f>'Func Future Lines 2015'!A64</f>
        <v>PPS</v>
      </c>
      <c r="B64" s="359" t="str">
        <f>'Func Future Lines 2015'!B64</f>
        <v>7L14/7L130180</v>
      </c>
      <c r="C64" s="359">
        <f>'Func Future Lines 2015'!C64</f>
        <v>811</v>
      </c>
      <c r="D64" s="359">
        <f>'Func Future Lines 2015'!D64</f>
        <v>144</v>
      </c>
      <c r="E64" s="359">
        <f>'Func Future Lines 2015'!E64</f>
        <v>0</v>
      </c>
      <c r="F64" s="359" t="str">
        <f>'Func Future Lines 2015'!F64</f>
        <v>central</v>
      </c>
      <c r="G64" s="360">
        <f>'Func Future Lines 2015'!G64</f>
        <v>14367348.961213691</v>
      </c>
      <c r="H64" s="359" t="str">
        <f>'Func Future Lines 2015'!H64</f>
        <v>ATCO</v>
      </c>
      <c r="I64" s="359">
        <f>'Func Future Lines 2015'!I64</f>
        <v>2017</v>
      </c>
      <c r="J64" s="361">
        <f>+IF($I64=J$3,VLOOKUP($H64,Depreciation!$A$6:$L$10,7,FALSE)/2,IF($I64&lt;J$3,VLOOKUP($H64,Depreciation!$A$6:$L$10,7,FALSE),0))</f>
        <v>0</v>
      </c>
      <c r="K64" s="361">
        <f>+IF($I64=K$3,VLOOKUP($H64,Depreciation!$A$6:$L$10,8,FALSE)/2,IF($I64&lt;K$3,VLOOKUP($H64,Depreciation!$A$6:$L$10,8,FALSE),0))</f>
        <v>0</v>
      </c>
      <c r="L64" s="361">
        <f>+IF($I64=L$3,VLOOKUP($H64,Depreciation!$A$6:$L$10,9,FALSE)/2,IF($I64&lt;L$3,VLOOKUP($H64,Depreciation!$A$6:$L$10,9,FALSE),0))</f>
        <v>1.2001018963427959E-2</v>
      </c>
      <c r="M64" s="361">
        <f>+IF($I64=M$3,VLOOKUP($H64,Depreciation!$A$6:$L$10,10,FALSE)/2,IF($I64&lt;M$3,VLOOKUP($H64,Depreciation!$A$6:$L$10,10,FALSE),0))</f>
        <v>2.4002037926855919E-2</v>
      </c>
      <c r="N64" s="361">
        <f>+IF($I64=N$3,VLOOKUP($H64,Depreciation!$A$6:$L$10,11,FALSE)/2,IF($I64&lt;N$3,VLOOKUP($H64,Depreciation!$A$6:$L$10,11,FALSE),0))</f>
        <v>2.4002037926855919E-2</v>
      </c>
      <c r="O64" s="361">
        <f>+IF($I64=O$3,VLOOKUP($H64,Depreciation!$A$6:$L$10,12,FALSE)/2,IF($I64&lt;O$3,VLOOKUP($H64,Depreciation!$A$6:$L$10,12,FALSE),0))</f>
        <v>2.4002037926855919E-2</v>
      </c>
      <c r="P64" s="362">
        <f t="shared" si="1"/>
        <v>13197141.385122314</v>
      </c>
      <c r="Q64" s="362">
        <f t="shared" si="2"/>
        <v>0</v>
      </c>
      <c r="R64" s="363">
        <f t="shared" si="3"/>
        <v>13197141.385122314</v>
      </c>
      <c r="Y64" s="365"/>
    </row>
    <row r="65" spans="1:25" ht="15" customHeight="1">
      <c r="A65" s="359" t="str">
        <f>'Func Future Lines 2015'!A65</f>
        <v>PPS</v>
      </c>
      <c r="B65" s="359" t="str">
        <f>'Func Future Lines 2015'!B65</f>
        <v>7L140</v>
      </c>
      <c r="C65" s="359">
        <f>'Func Future Lines 2015'!C65</f>
        <v>811</v>
      </c>
      <c r="D65" s="359">
        <f>'Func Future Lines 2015'!D65</f>
        <v>144</v>
      </c>
      <c r="E65" s="359">
        <f>'Func Future Lines 2015'!E65</f>
        <v>0</v>
      </c>
      <c r="F65" s="359" t="str">
        <f>'Func Future Lines 2015'!F65</f>
        <v>central</v>
      </c>
      <c r="G65" s="360">
        <f>'Func Future Lines 2015'!G65</f>
        <v>6851824.4335497497</v>
      </c>
      <c r="H65" s="359" t="str">
        <f>'Func Future Lines 2015'!H65</f>
        <v>ATCO</v>
      </c>
      <c r="I65" s="359">
        <f>'Func Future Lines 2015'!I65</f>
        <v>2017</v>
      </c>
      <c r="J65" s="361">
        <f>+IF($I65=J$3,VLOOKUP($H65,Depreciation!$A$6:$L$10,7,FALSE)/2,IF($I65&lt;J$3,VLOOKUP($H65,Depreciation!$A$6:$L$10,7,FALSE),0))</f>
        <v>0</v>
      </c>
      <c r="K65" s="361">
        <f>+IF($I65=K$3,VLOOKUP($H65,Depreciation!$A$6:$L$10,8,FALSE)/2,IF($I65&lt;K$3,VLOOKUP($H65,Depreciation!$A$6:$L$10,8,FALSE),0))</f>
        <v>0</v>
      </c>
      <c r="L65" s="361">
        <f>+IF($I65=L$3,VLOOKUP($H65,Depreciation!$A$6:$L$10,9,FALSE)/2,IF($I65&lt;L$3,VLOOKUP($H65,Depreciation!$A$6:$L$10,9,FALSE),0))</f>
        <v>1.2001018963427959E-2</v>
      </c>
      <c r="M65" s="361">
        <f>+IF($I65=M$3,VLOOKUP($H65,Depreciation!$A$6:$L$10,10,FALSE)/2,IF($I65&lt;M$3,VLOOKUP($H65,Depreciation!$A$6:$L$10,10,FALSE),0))</f>
        <v>2.4002037926855919E-2</v>
      </c>
      <c r="N65" s="361">
        <f>+IF($I65=N$3,VLOOKUP($H65,Depreciation!$A$6:$L$10,11,FALSE)/2,IF($I65&lt;N$3,VLOOKUP($H65,Depreciation!$A$6:$L$10,11,FALSE),0))</f>
        <v>2.4002037926855919E-2</v>
      </c>
      <c r="O65" s="361">
        <f>+IF($I65=O$3,VLOOKUP($H65,Depreciation!$A$6:$L$10,12,FALSE)/2,IF($I65&lt;O$3,VLOOKUP($H65,Depreciation!$A$6:$L$10,12,FALSE),0))</f>
        <v>2.4002037926855919E-2</v>
      </c>
      <c r="P65" s="362">
        <f t="shared" si="1"/>
        <v>6293749.5316431001</v>
      </c>
      <c r="Q65" s="362">
        <f t="shared" si="2"/>
        <v>0</v>
      </c>
      <c r="R65" s="363">
        <f t="shared" si="3"/>
        <v>6293749.5316431001</v>
      </c>
      <c r="Y65" s="365"/>
    </row>
    <row r="66" spans="1:25" ht="15" customHeight="1">
      <c r="A66" s="359" t="str">
        <f>'Func Future Lines 2015'!A66</f>
        <v>PPS</v>
      </c>
      <c r="B66" s="359" t="str">
        <f>'Func Future Lines 2015'!B66</f>
        <v>7L157(180)</v>
      </c>
      <c r="C66" s="359">
        <f>'Func Future Lines 2015'!C66</f>
        <v>811</v>
      </c>
      <c r="D66" s="359">
        <f>'Func Future Lines 2015'!D66</f>
        <v>144</v>
      </c>
      <c r="E66" s="359">
        <f>'Func Future Lines 2015'!E66</f>
        <v>0</v>
      </c>
      <c r="F66" s="359" t="str">
        <f>'Func Future Lines 2015'!F66</f>
        <v>central</v>
      </c>
      <c r="G66" s="360">
        <f>'Func Future Lines 2015'!G66</f>
        <v>918753.56140999962</v>
      </c>
      <c r="H66" s="359" t="str">
        <f>'Func Future Lines 2015'!H66</f>
        <v>ATCO</v>
      </c>
      <c r="I66" s="359">
        <f>'Func Future Lines 2015'!I66</f>
        <v>2017</v>
      </c>
      <c r="J66" s="361">
        <f>+IF($I66=J$3,VLOOKUP($H66,Depreciation!$A$6:$L$10,7,FALSE)/2,IF($I66&lt;J$3,VLOOKUP($H66,Depreciation!$A$6:$L$10,7,FALSE),0))</f>
        <v>0</v>
      </c>
      <c r="K66" s="361">
        <f>+IF($I66=K$3,VLOOKUP($H66,Depreciation!$A$6:$L$10,8,FALSE)/2,IF($I66&lt;K$3,VLOOKUP($H66,Depreciation!$A$6:$L$10,8,FALSE),0))</f>
        <v>0</v>
      </c>
      <c r="L66" s="361">
        <f>+IF($I66=L$3,VLOOKUP($H66,Depreciation!$A$6:$L$10,9,FALSE)/2,IF($I66&lt;L$3,VLOOKUP($H66,Depreciation!$A$6:$L$10,9,FALSE),0))</f>
        <v>1.2001018963427959E-2</v>
      </c>
      <c r="M66" s="361">
        <f>+IF($I66=M$3,VLOOKUP($H66,Depreciation!$A$6:$L$10,10,FALSE)/2,IF($I66&lt;M$3,VLOOKUP($H66,Depreciation!$A$6:$L$10,10,FALSE),0))</f>
        <v>2.4002037926855919E-2</v>
      </c>
      <c r="N66" s="361">
        <f>+IF($I66=N$3,VLOOKUP($H66,Depreciation!$A$6:$L$10,11,FALSE)/2,IF($I66&lt;N$3,VLOOKUP($H66,Depreciation!$A$6:$L$10,11,FALSE),0))</f>
        <v>2.4002037926855919E-2</v>
      </c>
      <c r="O66" s="361">
        <f>+IF($I66=O$3,VLOOKUP($H66,Depreciation!$A$6:$L$10,12,FALSE)/2,IF($I66&lt;O$3,VLOOKUP($H66,Depreciation!$A$6:$L$10,12,FALSE),0))</f>
        <v>2.4002037926855919E-2</v>
      </c>
      <c r="P66" s="362">
        <f t="shared" si="1"/>
        <v>843921.91494374059</v>
      </c>
      <c r="Q66" s="362">
        <f t="shared" si="2"/>
        <v>0</v>
      </c>
      <c r="R66" s="363">
        <f t="shared" si="3"/>
        <v>843921.91494374059</v>
      </c>
      <c r="Y66" s="365"/>
    </row>
    <row r="67" spans="1:25" ht="15" customHeight="1">
      <c r="A67" s="359" t="str">
        <f>'Func Future Lines 2015'!A67</f>
        <v>PPS</v>
      </c>
      <c r="B67" s="359" t="str">
        <f>'Func Future Lines 2015'!B67</f>
        <v>7L160(180)</v>
      </c>
      <c r="C67" s="359">
        <f>'Func Future Lines 2015'!C67</f>
        <v>811</v>
      </c>
      <c r="D67" s="359">
        <f>'Func Future Lines 2015'!D67</f>
        <v>144</v>
      </c>
      <c r="E67" s="359">
        <f>'Func Future Lines 2015'!E67</f>
        <v>0</v>
      </c>
      <c r="F67" s="359" t="str">
        <f>'Func Future Lines 2015'!F67</f>
        <v>central</v>
      </c>
      <c r="G67" s="360">
        <f>'Func Future Lines 2015'!G67</f>
        <v>956623.00131934194</v>
      </c>
      <c r="H67" s="359" t="str">
        <f>'Func Future Lines 2015'!H67</f>
        <v>ATCO</v>
      </c>
      <c r="I67" s="359">
        <f>'Func Future Lines 2015'!I67</f>
        <v>2017</v>
      </c>
      <c r="J67" s="361">
        <f>+IF($I67=J$3,VLOOKUP($H67,Depreciation!$A$6:$L$10,7,FALSE)/2,IF($I67&lt;J$3,VLOOKUP($H67,Depreciation!$A$6:$L$10,7,FALSE),0))</f>
        <v>0</v>
      </c>
      <c r="K67" s="361">
        <f>+IF($I67=K$3,VLOOKUP($H67,Depreciation!$A$6:$L$10,8,FALSE)/2,IF($I67&lt;K$3,VLOOKUP($H67,Depreciation!$A$6:$L$10,8,FALSE),0))</f>
        <v>0</v>
      </c>
      <c r="L67" s="361">
        <f>+IF($I67=L$3,VLOOKUP($H67,Depreciation!$A$6:$L$10,9,FALSE)/2,IF($I67&lt;L$3,VLOOKUP($H67,Depreciation!$A$6:$L$10,9,FALSE),0))</f>
        <v>1.2001018963427959E-2</v>
      </c>
      <c r="M67" s="361">
        <f>+IF($I67=M$3,VLOOKUP($H67,Depreciation!$A$6:$L$10,10,FALSE)/2,IF($I67&lt;M$3,VLOOKUP($H67,Depreciation!$A$6:$L$10,10,FALSE),0))</f>
        <v>2.4002037926855919E-2</v>
      </c>
      <c r="N67" s="361">
        <f>+IF($I67=N$3,VLOOKUP($H67,Depreciation!$A$6:$L$10,11,FALSE)/2,IF($I67&lt;N$3,VLOOKUP($H67,Depreciation!$A$6:$L$10,11,FALSE),0))</f>
        <v>2.4002037926855919E-2</v>
      </c>
      <c r="O67" s="361">
        <f>+IF($I67=O$3,VLOOKUP($H67,Depreciation!$A$6:$L$10,12,FALSE)/2,IF($I67&lt;O$3,VLOOKUP($H67,Depreciation!$A$6:$L$10,12,FALSE),0))</f>
        <v>2.4002037926855919E-2</v>
      </c>
      <c r="P67" s="362">
        <f t="shared" si="1"/>
        <v>878706.92322941427</v>
      </c>
      <c r="Q67" s="362">
        <f t="shared" si="2"/>
        <v>0</v>
      </c>
      <c r="R67" s="363">
        <f t="shared" si="3"/>
        <v>878706.92322941427</v>
      </c>
      <c r="Y67" s="365"/>
    </row>
    <row r="68" spans="1:25" ht="15" customHeight="1">
      <c r="A68" s="359" t="str">
        <f>'Func Future Lines 2015'!A68</f>
        <v>PPS</v>
      </c>
      <c r="B68" s="359" t="str">
        <f>'Func Future Lines 2015'!B68</f>
        <v>7L530</v>
      </c>
      <c r="C68" s="359">
        <f>'Func Future Lines 2015'!C68</f>
        <v>811</v>
      </c>
      <c r="D68" s="359">
        <f>'Func Future Lines 2015'!D68</f>
        <v>144</v>
      </c>
      <c r="E68" s="359">
        <f>'Func Future Lines 2015'!E68</f>
        <v>0</v>
      </c>
      <c r="F68" s="359" t="str">
        <f>'Func Future Lines 2015'!F68</f>
        <v>central</v>
      </c>
      <c r="G68" s="360">
        <f>'Func Future Lines 2015'!G68</f>
        <v>2787898.7677222718</v>
      </c>
      <c r="H68" s="359" t="str">
        <f>'Func Future Lines 2015'!H68</f>
        <v>ATCO</v>
      </c>
      <c r="I68" s="359">
        <f>'Func Future Lines 2015'!I68</f>
        <v>2017</v>
      </c>
      <c r="J68" s="361">
        <f>+IF($I68=J$3,VLOOKUP($H68,Depreciation!$A$6:$L$10,7,FALSE)/2,IF($I68&lt;J$3,VLOOKUP($H68,Depreciation!$A$6:$L$10,7,FALSE),0))</f>
        <v>0</v>
      </c>
      <c r="K68" s="361">
        <f>+IF($I68=K$3,VLOOKUP($H68,Depreciation!$A$6:$L$10,8,FALSE)/2,IF($I68&lt;K$3,VLOOKUP($H68,Depreciation!$A$6:$L$10,8,FALSE),0))</f>
        <v>0</v>
      </c>
      <c r="L68" s="361">
        <f>+IF($I68=L$3,VLOOKUP($H68,Depreciation!$A$6:$L$10,9,FALSE)/2,IF($I68&lt;L$3,VLOOKUP($H68,Depreciation!$A$6:$L$10,9,FALSE),0))</f>
        <v>1.2001018963427959E-2</v>
      </c>
      <c r="M68" s="361">
        <f>+IF($I68=M$3,VLOOKUP($H68,Depreciation!$A$6:$L$10,10,FALSE)/2,IF($I68&lt;M$3,VLOOKUP($H68,Depreciation!$A$6:$L$10,10,FALSE),0))</f>
        <v>2.4002037926855919E-2</v>
      </c>
      <c r="N68" s="361">
        <f>+IF($I68=N$3,VLOOKUP($H68,Depreciation!$A$6:$L$10,11,FALSE)/2,IF($I68&lt;N$3,VLOOKUP($H68,Depreciation!$A$6:$L$10,11,FALSE),0))</f>
        <v>2.4002037926855919E-2</v>
      </c>
      <c r="O68" s="361">
        <f>+IF($I68=O$3,VLOOKUP($H68,Depreciation!$A$6:$L$10,12,FALSE)/2,IF($I68&lt;O$3,VLOOKUP($H68,Depreciation!$A$6:$L$10,12,FALSE),0))</f>
        <v>2.4002037926855919E-2</v>
      </c>
      <c r="P68" s="362">
        <f t="shared" si="1"/>
        <v>2560826.9350430695</v>
      </c>
      <c r="Q68" s="362">
        <f t="shared" si="2"/>
        <v>0</v>
      </c>
      <c r="R68" s="363">
        <f t="shared" si="3"/>
        <v>2560826.9350430695</v>
      </c>
      <c r="Y68" s="365"/>
    </row>
    <row r="69" spans="1:25" ht="15" customHeight="1">
      <c r="A69" s="359" t="str">
        <f>'Func Future Lines 2015'!A69</f>
        <v>PPS</v>
      </c>
      <c r="B69" s="359" t="str">
        <f>'Func Future Lines 2015'!B69</f>
        <v>7L7010</v>
      </c>
      <c r="C69" s="359">
        <f>'Func Future Lines 2015'!C69</f>
        <v>811</v>
      </c>
      <c r="D69" s="359">
        <f>'Func Future Lines 2015'!D69</f>
        <v>144</v>
      </c>
      <c r="E69" s="359">
        <f>'Func Future Lines 2015'!E69</f>
        <v>0</v>
      </c>
      <c r="F69" s="359" t="str">
        <f>'Func Future Lines 2015'!F69</f>
        <v>central</v>
      </c>
      <c r="G69" s="360">
        <f>'Func Future Lines 2015'!G69</f>
        <v>1203865.376970981</v>
      </c>
      <c r="H69" s="359" t="str">
        <f>'Func Future Lines 2015'!H69</f>
        <v>ATCO</v>
      </c>
      <c r="I69" s="359">
        <f>'Func Future Lines 2015'!I69</f>
        <v>2017</v>
      </c>
      <c r="J69" s="361">
        <f>+IF($I69=J$3,VLOOKUP($H69,Depreciation!$A$6:$L$10,7,FALSE)/2,IF($I69&lt;J$3,VLOOKUP($H69,Depreciation!$A$6:$L$10,7,FALSE),0))</f>
        <v>0</v>
      </c>
      <c r="K69" s="361">
        <f>+IF($I69=K$3,VLOOKUP($H69,Depreciation!$A$6:$L$10,8,FALSE)/2,IF($I69&lt;K$3,VLOOKUP($H69,Depreciation!$A$6:$L$10,8,FALSE),0))</f>
        <v>0</v>
      </c>
      <c r="L69" s="361">
        <f>+IF($I69=L$3,VLOOKUP($H69,Depreciation!$A$6:$L$10,9,FALSE)/2,IF($I69&lt;L$3,VLOOKUP($H69,Depreciation!$A$6:$L$10,9,FALSE),0))</f>
        <v>1.2001018963427959E-2</v>
      </c>
      <c r="M69" s="361">
        <f>+IF($I69=M$3,VLOOKUP($H69,Depreciation!$A$6:$L$10,10,FALSE)/2,IF($I69&lt;M$3,VLOOKUP($H69,Depreciation!$A$6:$L$10,10,FALSE),0))</f>
        <v>2.4002037926855919E-2</v>
      </c>
      <c r="N69" s="361">
        <f>+IF($I69=N$3,VLOOKUP($H69,Depreciation!$A$6:$L$10,11,FALSE)/2,IF($I69&lt;N$3,VLOOKUP($H69,Depreciation!$A$6:$L$10,11,FALSE),0))</f>
        <v>2.4002037926855919E-2</v>
      </c>
      <c r="O69" s="361">
        <f>+IF($I69=O$3,VLOOKUP($H69,Depreciation!$A$6:$L$10,12,FALSE)/2,IF($I69&lt;O$3,VLOOKUP($H69,Depreciation!$A$6:$L$10,12,FALSE),0))</f>
        <v>2.4002037926855919E-2</v>
      </c>
      <c r="P69" s="362">
        <f t="shared" ref="P69:P132" si="4">IF(I69&lt;=2020,G69*(1-J69)*(1-K69)*(1-L69)*(1-M69)*(1-N69)*(1-O69),0)</f>
        <v>1105811.6310413256</v>
      </c>
      <c r="Q69" s="362">
        <f t="shared" ref="Q69:Q132" si="5">IF(D69&gt;=240,P69,0)</f>
        <v>0</v>
      </c>
      <c r="R69" s="363">
        <f t="shared" ref="R69:R132" si="6">IF(AND(D69&gt;25,D69&lt;240),P69,0)</f>
        <v>1105811.6310413256</v>
      </c>
      <c r="Y69" s="365"/>
    </row>
    <row r="70" spans="1:25" ht="15" customHeight="1">
      <c r="A70" s="359" t="str">
        <f>'Func Future Lines 2015'!A70</f>
        <v>PPS</v>
      </c>
      <c r="B70" s="359" t="str">
        <f>'Func Future Lines 2015'!B70</f>
        <v>7L74(180)</v>
      </c>
      <c r="C70" s="359">
        <f>'Func Future Lines 2015'!C70</f>
        <v>811</v>
      </c>
      <c r="D70" s="359">
        <f>'Func Future Lines 2015'!D70</f>
        <v>144</v>
      </c>
      <c r="E70" s="359">
        <f>'Func Future Lines 2015'!E70</f>
        <v>0</v>
      </c>
      <c r="F70" s="359" t="str">
        <f>'Func Future Lines 2015'!F70</f>
        <v>central</v>
      </c>
      <c r="G70" s="360">
        <f>'Func Future Lines 2015'!G70</f>
        <v>17920449.216898397</v>
      </c>
      <c r="H70" s="359" t="str">
        <f>'Func Future Lines 2015'!H70</f>
        <v>ATCO</v>
      </c>
      <c r="I70" s="359">
        <f>'Func Future Lines 2015'!I70</f>
        <v>2017</v>
      </c>
      <c r="J70" s="361">
        <f>+IF($I70=J$3,VLOOKUP($H70,Depreciation!$A$6:$L$10,7,FALSE)/2,IF($I70&lt;J$3,VLOOKUP($H70,Depreciation!$A$6:$L$10,7,FALSE),0))</f>
        <v>0</v>
      </c>
      <c r="K70" s="361">
        <f>+IF($I70=K$3,VLOOKUP($H70,Depreciation!$A$6:$L$10,8,FALSE)/2,IF($I70&lt;K$3,VLOOKUP($H70,Depreciation!$A$6:$L$10,8,FALSE),0))</f>
        <v>0</v>
      </c>
      <c r="L70" s="361">
        <f>+IF($I70=L$3,VLOOKUP($H70,Depreciation!$A$6:$L$10,9,FALSE)/2,IF($I70&lt;L$3,VLOOKUP($H70,Depreciation!$A$6:$L$10,9,FALSE),0))</f>
        <v>1.2001018963427959E-2</v>
      </c>
      <c r="M70" s="361">
        <f>+IF($I70=M$3,VLOOKUP($H70,Depreciation!$A$6:$L$10,10,FALSE)/2,IF($I70&lt;M$3,VLOOKUP($H70,Depreciation!$A$6:$L$10,10,FALSE),0))</f>
        <v>2.4002037926855919E-2</v>
      </c>
      <c r="N70" s="361">
        <f>+IF($I70=N$3,VLOOKUP($H70,Depreciation!$A$6:$L$10,11,FALSE)/2,IF($I70&lt;N$3,VLOOKUP($H70,Depreciation!$A$6:$L$10,11,FALSE),0))</f>
        <v>2.4002037926855919E-2</v>
      </c>
      <c r="O70" s="361">
        <f>+IF($I70=O$3,VLOOKUP($H70,Depreciation!$A$6:$L$10,12,FALSE)/2,IF($I70&lt;O$3,VLOOKUP($H70,Depreciation!$A$6:$L$10,12,FALSE),0))</f>
        <v>2.4002037926855919E-2</v>
      </c>
      <c r="P70" s="362">
        <f t="shared" si="4"/>
        <v>16460844.839139635</v>
      </c>
      <c r="Q70" s="362">
        <f t="shared" si="5"/>
        <v>0</v>
      </c>
      <c r="R70" s="363">
        <f t="shared" si="6"/>
        <v>16460844.839139635</v>
      </c>
      <c r="Y70" s="365"/>
    </row>
    <row r="71" spans="1:25" ht="15" customHeight="1">
      <c r="A71" s="359" t="str">
        <f>'Func Future Lines 2015'!A71</f>
        <v>PPS</v>
      </c>
      <c r="B71" s="359" t="str">
        <f>'Func Future Lines 2015'!B71</f>
        <v>7L7491</v>
      </c>
      <c r="C71" s="359">
        <f>'Func Future Lines 2015'!C71</f>
        <v>811</v>
      </c>
      <c r="D71" s="359">
        <f>'Func Future Lines 2015'!D71</f>
        <v>144</v>
      </c>
      <c r="E71" s="359">
        <f>'Func Future Lines 2015'!E71</f>
        <v>0</v>
      </c>
      <c r="F71" s="359" t="str">
        <f>'Func Future Lines 2015'!F71</f>
        <v>central</v>
      </c>
      <c r="G71" s="360">
        <f>'Func Future Lines 2015'!G71</f>
        <v>34200999.99999997</v>
      </c>
      <c r="H71" s="359" t="str">
        <f>'Func Future Lines 2015'!H71</f>
        <v>ATCO</v>
      </c>
      <c r="I71" s="359">
        <f>'Func Future Lines 2015'!I71</f>
        <v>2017</v>
      </c>
      <c r="J71" s="361">
        <f>+IF($I71=J$3,VLOOKUP($H71,Depreciation!$A$6:$L$10,7,FALSE)/2,IF($I71&lt;J$3,VLOOKUP($H71,Depreciation!$A$6:$L$10,7,FALSE),0))</f>
        <v>0</v>
      </c>
      <c r="K71" s="361">
        <f>+IF($I71=K$3,VLOOKUP($H71,Depreciation!$A$6:$L$10,8,FALSE)/2,IF($I71&lt;K$3,VLOOKUP($H71,Depreciation!$A$6:$L$10,8,FALSE),0))</f>
        <v>0</v>
      </c>
      <c r="L71" s="361">
        <f>+IF($I71=L$3,VLOOKUP($H71,Depreciation!$A$6:$L$10,9,FALSE)/2,IF($I71&lt;L$3,VLOOKUP($H71,Depreciation!$A$6:$L$10,9,FALSE),0))</f>
        <v>1.2001018963427959E-2</v>
      </c>
      <c r="M71" s="361">
        <f>+IF($I71=M$3,VLOOKUP($H71,Depreciation!$A$6:$L$10,10,FALSE)/2,IF($I71&lt;M$3,VLOOKUP($H71,Depreciation!$A$6:$L$10,10,FALSE),0))</f>
        <v>2.4002037926855919E-2</v>
      </c>
      <c r="N71" s="361">
        <f>+IF($I71=N$3,VLOOKUP($H71,Depreciation!$A$6:$L$10,11,FALSE)/2,IF($I71&lt;N$3,VLOOKUP($H71,Depreciation!$A$6:$L$10,11,FALSE),0))</f>
        <v>2.4002037926855919E-2</v>
      </c>
      <c r="O71" s="361">
        <f>+IF($I71=O$3,VLOOKUP($H71,Depreciation!$A$6:$L$10,12,FALSE)/2,IF($I71&lt;O$3,VLOOKUP($H71,Depreciation!$A$6:$L$10,12,FALSE),0))</f>
        <v>2.4002037926855919E-2</v>
      </c>
      <c r="P71" s="362">
        <f t="shared" si="4"/>
        <v>31415359.488452155</v>
      </c>
      <c r="Q71" s="362">
        <f t="shared" si="5"/>
        <v>0</v>
      </c>
      <c r="R71" s="363">
        <f t="shared" si="6"/>
        <v>31415359.488452155</v>
      </c>
      <c r="Y71" s="365"/>
    </row>
    <row r="72" spans="1:25" ht="15" customHeight="1">
      <c r="A72" s="359" t="str">
        <f>'Func Future Lines 2015'!A72</f>
        <v>PPS</v>
      </c>
      <c r="B72" s="359" t="str">
        <f>'Func Future Lines 2015'!B72</f>
        <v>7L83(180)</v>
      </c>
      <c r="C72" s="359">
        <f>'Func Future Lines 2015'!C72</f>
        <v>811</v>
      </c>
      <c r="D72" s="359">
        <f>'Func Future Lines 2015'!D72</f>
        <v>144</v>
      </c>
      <c r="E72" s="359">
        <f>'Func Future Lines 2015'!E72</f>
        <v>0</v>
      </c>
      <c r="F72" s="359" t="str">
        <f>'Func Future Lines 2015'!F72</f>
        <v>central</v>
      </c>
      <c r="G72" s="360">
        <f>'Func Future Lines 2015'!G72</f>
        <v>7546228.6782723581</v>
      </c>
      <c r="H72" s="359" t="str">
        <f>'Func Future Lines 2015'!H72</f>
        <v>ATCO</v>
      </c>
      <c r="I72" s="359">
        <f>'Func Future Lines 2015'!I72</f>
        <v>2017</v>
      </c>
      <c r="J72" s="361">
        <f>+IF($I72=J$3,VLOOKUP($H72,Depreciation!$A$6:$L$10,7,FALSE)/2,IF($I72&lt;J$3,VLOOKUP($H72,Depreciation!$A$6:$L$10,7,FALSE),0))</f>
        <v>0</v>
      </c>
      <c r="K72" s="361">
        <f>+IF($I72=K$3,VLOOKUP($H72,Depreciation!$A$6:$L$10,8,FALSE)/2,IF($I72&lt;K$3,VLOOKUP($H72,Depreciation!$A$6:$L$10,8,FALSE),0))</f>
        <v>0</v>
      </c>
      <c r="L72" s="361">
        <f>+IF($I72=L$3,VLOOKUP($H72,Depreciation!$A$6:$L$10,9,FALSE)/2,IF($I72&lt;L$3,VLOOKUP($H72,Depreciation!$A$6:$L$10,9,FALSE),0))</f>
        <v>1.2001018963427959E-2</v>
      </c>
      <c r="M72" s="361">
        <f>+IF($I72=M$3,VLOOKUP($H72,Depreciation!$A$6:$L$10,10,FALSE)/2,IF($I72&lt;M$3,VLOOKUP($H72,Depreciation!$A$6:$L$10,10,FALSE),0))</f>
        <v>2.4002037926855919E-2</v>
      </c>
      <c r="N72" s="361">
        <f>+IF($I72=N$3,VLOOKUP($H72,Depreciation!$A$6:$L$10,11,FALSE)/2,IF($I72&lt;N$3,VLOOKUP($H72,Depreciation!$A$6:$L$10,11,FALSE),0))</f>
        <v>2.4002037926855919E-2</v>
      </c>
      <c r="O72" s="361">
        <f>+IF($I72=O$3,VLOOKUP($H72,Depreciation!$A$6:$L$10,12,FALSE)/2,IF($I72&lt;O$3,VLOOKUP($H72,Depreciation!$A$6:$L$10,12,FALSE),0))</f>
        <v>2.4002037926855919E-2</v>
      </c>
      <c r="P72" s="362">
        <f t="shared" si="4"/>
        <v>6931595.1787957521</v>
      </c>
      <c r="Q72" s="362">
        <f t="shared" si="5"/>
        <v>0</v>
      </c>
      <c r="R72" s="363">
        <f t="shared" si="6"/>
        <v>6931595.1787957521</v>
      </c>
      <c r="Y72" s="365"/>
    </row>
    <row r="73" spans="1:25" ht="15" customHeight="1">
      <c r="A73" s="359" t="str">
        <f>'Func Future Lines 2015'!A73</f>
        <v>PPS</v>
      </c>
      <c r="B73" s="359" t="str">
        <f>'Func Future Lines 2015'!B73</f>
        <v>7L87(180)</v>
      </c>
      <c r="C73" s="359">
        <f>'Func Future Lines 2015'!C73</f>
        <v>811</v>
      </c>
      <c r="D73" s="359">
        <f>'Func Future Lines 2015'!D73</f>
        <v>144</v>
      </c>
      <c r="E73" s="359">
        <f>'Func Future Lines 2015'!E73</f>
        <v>0</v>
      </c>
      <c r="F73" s="359" t="str">
        <f>'Func Future Lines 2015'!F73</f>
        <v>central</v>
      </c>
      <c r="G73" s="360">
        <f>'Func Future Lines 2015'!G73</f>
        <v>12282104.825654209</v>
      </c>
      <c r="H73" s="359" t="str">
        <f>'Func Future Lines 2015'!H73</f>
        <v>ATCO</v>
      </c>
      <c r="I73" s="359">
        <f>'Func Future Lines 2015'!I73</f>
        <v>2017</v>
      </c>
      <c r="J73" s="361">
        <f>+IF($I73=J$3,VLOOKUP($H73,Depreciation!$A$6:$L$10,7,FALSE)/2,IF($I73&lt;J$3,VLOOKUP($H73,Depreciation!$A$6:$L$10,7,FALSE),0))</f>
        <v>0</v>
      </c>
      <c r="K73" s="361">
        <f>+IF($I73=K$3,VLOOKUP($H73,Depreciation!$A$6:$L$10,8,FALSE)/2,IF($I73&lt;K$3,VLOOKUP($H73,Depreciation!$A$6:$L$10,8,FALSE),0))</f>
        <v>0</v>
      </c>
      <c r="L73" s="361">
        <f>+IF($I73=L$3,VLOOKUP($H73,Depreciation!$A$6:$L$10,9,FALSE)/2,IF($I73&lt;L$3,VLOOKUP($H73,Depreciation!$A$6:$L$10,9,FALSE),0))</f>
        <v>1.2001018963427959E-2</v>
      </c>
      <c r="M73" s="361">
        <f>+IF($I73=M$3,VLOOKUP($H73,Depreciation!$A$6:$L$10,10,FALSE)/2,IF($I73&lt;M$3,VLOOKUP($H73,Depreciation!$A$6:$L$10,10,FALSE),0))</f>
        <v>2.4002037926855919E-2</v>
      </c>
      <c r="N73" s="361">
        <f>+IF($I73=N$3,VLOOKUP($H73,Depreciation!$A$6:$L$10,11,FALSE)/2,IF($I73&lt;N$3,VLOOKUP($H73,Depreciation!$A$6:$L$10,11,FALSE),0))</f>
        <v>2.4002037926855919E-2</v>
      </c>
      <c r="O73" s="361">
        <f>+IF($I73=O$3,VLOOKUP($H73,Depreciation!$A$6:$L$10,12,FALSE)/2,IF($I73&lt;O$3,VLOOKUP($H73,Depreciation!$A$6:$L$10,12,FALSE),0))</f>
        <v>2.4002037926855919E-2</v>
      </c>
      <c r="P73" s="362">
        <f t="shared" si="4"/>
        <v>11281738.498078428</v>
      </c>
      <c r="Q73" s="362">
        <f t="shared" si="5"/>
        <v>0</v>
      </c>
      <c r="R73" s="363">
        <f t="shared" si="6"/>
        <v>11281738.498078428</v>
      </c>
      <c r="Y73" s="365"/>
    </row>
    <row r="74" spans="1:25" ht="15" customHeight="1">
      <c r="A74" s="359" t="str">
        <f>'Func Future Lines 2015'!A74</f>
        <v>PPS</v>
      </c>
      <c r="B74" s="359" t="str">
        <f>'Func Future Lines 2015'!B74</f>
        <v>7LA701180</v>
      </c>
      <c r="C74" s="359">
        <f>'Func Future Lines 2015'!C74</f>
        <v>811</v>
      </c>
      <c r="D74" s="359">
        <f>'Func Future Lines 2015'!D74</f>
        <v>144</v>
      </c>
      <c r="E74" s="359">
        <f>'Func Future Lines 2015'!E74</f>
        <v>0</v>
      </c>
      <c r="F74" s="359" t="str">
        <f>'Func Future Lines 2015'!F74</f>
        <v>central</v>
      </c>
      <c r="G74" s="360">
        <f>'Func Future Lines 2015'!G74</f>
        <v>3334547.5681531723</v>
      </c>
      <c r="H74" s="359" t="str">
        <f>'Func Future Lines 2015'!H74</f>
        <v>ATCO</v>
      </c>
      <c r="I74" s="359">
        <f>'Func Future Lines 2015'!I74</f>
        <v>2017</v>
      </c>
      <c r="J74" s="361">
        <f>+IF($I74=J$3,VLOOKUP($H74,Depreciation!$A$6:$L$10,7,FALSE)/2,IF($I74&lt;J$3,VLOOKUP($H74,Depreciation!$A$6:$L$10,7,FALSE),0))</f>
        <v>0</v>
      </c>
      <c r="K74" s="361">
        <f>+IF($I74=K$3,VLOOKUP($H74,Depreciation!$A$6:$L$10,8,FALSE)/2,IF($I74&lt;K$3,VLOOKUP($H74,Depreciation!$A$6:$L$10,8,FALSE),0))</f>
        <v>0</v>
      </c>
      <c r="L74" s="361">
        <f>+IF($I74=L$3,VLOOKUP($H74,Depreciation!$A$6:$L$10,9,FALSE)/2,IF($I74&lt;L$3,VLOOKUP($H74,Depreciation!$A$6:$L$10,9,FALSE),0))</f>
        <v>1.2001018963427959E-2</v>
      </c>
      <c r="M74" s="361">
        <f>+IF($I74=M$3,VLOOKUP($H74,Depreciation!$A$6:$L$10,10,FALSE)/2,IF($I74&lt;M$3,VLOOKUP($H74,Depreciation!$A$6:$L$10,10,FALSE),0))</f>
        <v>2.4002037926855919E-2</v>
      </c>
      <c r="N74" s="361">
        <f>+IF($I74=N$3,VLOOKUP($H74,Depreciation!$A$6:$L$10,11,FALSE)/2,IF($I74&lt;N$3,VLOOKUP($H74,Depreciation!$A$6:$L$10,11,FALSE),0))</f>
        <v>2.4002037926855919E-2</v>
      </c>
      <c r="O74" s="361">
        <f>+IF($I74=O$3,VLOOKUP($H74,Depreciation!$A$6:$L$10,12,FALSE)/2,IF($I74&lt;O$3,VLOOKUP($H74,Depreciation!$A$6:$L$10,12,FALSE),0))</f>
        <v>2.4002037926855919E-2</v>
      </c>
      <c r="P74" s="362">
        <f t="shared" si="4"/>
        <v>3062951.6851810161</v>
      </c>
      <c r="Q74" s="362">
        <f t="shared" si="5"/>
        <v>0</v>
      </c>
      <c r="R74" s="363">
        <f t="shared" si="6"/>
        <v>3062951.6851810161</v>
      </c>
      <c r="Y74" s="365"/>
    </row>
    <row r="75" spans="1:25" ht="15" customHeight="1">
      <c r="A75" s="359" t="str">
        <f>'Func Future Lines 2015'!A75</f>
        <v>PPS</v>
      </c>
      <c r="B75" s="359" t="str">
        <f>'Func Future Lines 2015'!B75</f>
        <v>unknown line St.Paul</v>
      </c>
      <c r="C75" s="359">
        <f>'Func Future Lines 2015'!C75</f>
        <v>811</v>
      </c>
      <c r="D75" s="359">
        <f>'Func Future Lines 2015'!D75</f>
        <v>0</v>
      </c>
      <c r="E75" s="359">
        <f>'Func Future Lines 2015'!E75</f>
        <v>0</v>
      </c>
      <c r="F75" s="359" t="str">
        <f>'Func Future Lines 2015'!F75</f>
        <v>central</v>
      </c>
      <c r="G75" s="360">
        <f>'Func Future Lines 2015'!G75</f>
        <v>45416104.026721418</v>
      </c>
      <c r="H75" s="359" t="str">
        <f>'Func Future Lines 2015'!H75</f>
        <v>ATCO</v>
      </c>
      <c r="I75" s="359">
        <f>'Func Future Lines 2015'!I75</f>
        <v>2017</v>
      </c>
      <c r="J75" s="361">
        <f>+IF($I75=J$3,VLOOKUP($H75,Depreciation!$A$6:$L$10,7,FALSE)/2,IF($I75&lt;J$3,VLOOKUP($H75,Depreciation!$A$6:$L$10,7,FALSE),0))</f>
        <v>0</v>
      </c>
      <c r="K75" s="361">
        <f>+IF($I75=K$3,VLOOKUP($H75,Depreciation!$A$6:$L$10,8,FALSE)/2,IF($I75&lt;K$3,VLOOKUP($H75,Depreciation!$A$6:$L$10,8,FALSE),0))</f>
        <v>0</v>
      </c>
      <c r="L75" s="361">
        <f>+IF($I75=L$3,VLOOKUP($H75,Depreciation!$A$6:$L$10,9,FALSE)/2,IF($I75&lt;L$3,VLOOKUP($H75,Depreciation!$A$6:$L$10,9,FALSE),0))</f>
        <v>1.2001018963427959E-2</v>
      </c>
      <c r="M75" s="361">
        <f>+IF($I75=M$3,VLOOKUP($H75,Depreciation!$A$6:$L$10,10,FALSE)/2,IF($I75&lt;M$3,VLOOKUP($H75,Depreciation!$A$6:$L$10,10,FALSE),0))</f>
        <v>2.4002037926855919E-2</v>
      </c>
      <c r="N75" s="361">
        <f>+IF($I75=N$3,VLOOKUP($H75,Depreciation!$A$6:$L$10,11,FALSE)/2,IF($I75&lt;N$3,VLOOKUP($H75,Depreciation!$A$6:$L$10,11,FALSE),0))</f>
        <v>2.4002037926855919E-2</v>
      </c>
      <c r="O75" s="361">
        <f>+IF($I75=O$3,VLOOKUP($H75,Depreciation!$A$6:$L$10,12,FALSE)/2,IF($I75&lt;O$3,VLOOKUP($H75,Depreciation!$A$6:$L$10,12,FALSE),0))</f>
        <v>2.4002037926855919E-2</v>
      </c>
      <c r="P75" s="362">
        <f t="shared" si="4"/>
        <v>41717003.437454879</v>
      </c>
      <c r="Q75" s="362">
        <f t="shared" si="5"/>
        <v>0</v>
      </c>
      <c r="R75" s="363">
        <f t="shared" si="6"/>
        <v>0</v>
      </c>
      <c r="Y75" s="365"/>
    </row>
    <row r="76" spans="1:25" ht="15" customHeight="1">
      <c r="A76" s="359" t="str">
        <f>'Func Future Lines 2015'!A76</f>
        <v>PPS</v>
      </c>
      <c r="B76" s="359" t="str">
        <f>'Func Future Lines 2015'!B76</f>
        <v>166L</v>
      </c>
      <c r="C76" s="359">
        <f>'Func Future Lines 2015'!C76</f>
        <v>813</v>
      </c>
      <c r="D76" s="359">
        <f>'Func Future Lines 2015'!D76</f>
        <v>138</v>
      </c>
      <c r="E76" s="359">
        <f>'Func Future Lines 2015'!E76</f>
        <v>0</v>
      </c>
      <c r="F76" s="359" t="str">
        <f>'Func Future Lines 2015'!F76</f>
        <v>Red_Deer</v>
      </c>
      <c r="G76" s="360">
        <f>'Func Future Lines 2015'!G76</f>
        <v>583496.13042435877</v>
      </c>
      <c r="H76" s="359" t="str">
        <f>'Func Future Lines 2015'!H76</f>
        <v>AltaLink</v>
      </c>
      <c r="I76" s="359">
        <f>'Func Future Lines 2015'!I76</f>
        <v>2017</v>
      </c>
      <c r="J76" s="361">
        <f>+IF($I76=J$3,VLOOKUP($H76,Depreciation!$A$6:$L$10,7,FALSE)/2,IF($I76&lt;J$3,VLOOKUP($H76,Depreciation!$A$6:$L$10,7,FALSE),0))</f>
        <v>0</v>
      </c>
      <c r="K76" s="361">
        <f>+IF($I76=K$3,VLOOKUP($H76,Depreciation!$A$6:$L$10,8,FALSE)/2,IF($I76&lt;K$3,VLOOKUP($H76,Depreciation!$A$6:$L$10,8,FALSE),0))</f>
        <v>0</v>
      </c>
      <c r="L76" s="361">
        <f>+IF($I76=L$3,VLOOKUP($H76,Depreciation!$A$6:$L$10,9,FALSE)/2,IF($I76&lt;L$3,VLOOKUP($H76,Depreciation!$A$6:$L$10,9,FALSE),0))</f>
        <v>1.5338181838063448E-2</v>
      </c>
      <c r="M76" s="361">
        <f>+IF($I76=M$3,VLOOKUP($H76,Depreciation!$A$6:$L$10,10,FALSE)/2,IF($I76&lt;M$3,VLOOKUP($H76,Depreciation!$A$6:$L$10,10,FALSE),0))</f>
        <v>3.0676363676126896E-2</v>
      </c>
      <c r="N76" s="361">
        <f>+IF($I76=N$3,VLOOKUP($H76,Depreciation!$A$6:$L$10,11,FALSE)/2,IF($I76&lt;N$3,VLOOKUP($H76,Depreciation!$A$6:$L$10,11,FALSE),0))</f>
        <v>3.0676363676126896E-2</v>
      </c>
      <c r="O76" s="361">
        <f>+IF($I76=O$3,VLOOKUP($H76,Depreciation!$A$6:$L$10,12,FALSE)/2,IF($I76&lt;O$3,VLOOKUP($H76,Depreciation!$A$6:$L$10,12,FALSE),0))</f>
        <v>3.0676363676126896E-2</v>
      </c>
      <c r="P76" s="362">
        <f t="shared" si="4"/>
        <v>523276.80763181602</v>
      </c>
      <c r="Q76" s="362">
        <f t="shared" si="5"/>
        <v>0</v>
      </c>
      <c r="R76" s="363">
        <f t="shared" si="6"/>
        <v>523276.80763181602</v>
      </c>
      <c r="Y76" s="365"/>
    </row>
    <row r="77" spans="1:25" ht="15" customHeight="1">
      <c r="A77" s="359" t="str">
        <f>'Func Future Lines 2015'!A77</f>
        <v>PPS</v>
      </c>
      <c r="B77" s="359" t="str">
        <f>'Func Future Lines 2015'!B77</f>
        <v>417L/418L</v>
      </c>
      <c r="C77" s="359">
        <f>'Func Future Lines 2015'!C77</f>
        <v>813</v>
      </c>
      <c r="D77" s="359">
        <f>'Func Future Lines 2015'!D77</f>
        <v>138</v>
      </c>
      <c r="E77" s="359">
        <f>'Func Future Lines 2015'!E77</f>
        <v>0</v>
      </c>
      <c r="F77" s="359" t="str">
        <f>'Func Future Lines 2015'!F77</f>
        <v>Red_Deer</v>
      </c>
      <c r="G77" s="360">
        <f>'Func Future Lines 2015'!G77</f>
        <v>1650657.1949172863</v>
      </c>
      <c r="H77" s="359" t="str">
        <f>'Func Future Lines 2015'!H77</f>
        <v>AltaLink</v>
      </c>
      <c r="I77" s="359">
        <f>'Func Future Lines 2015'!I77</f>
        <v>2017</v>
      </c>
      <c r="J77" s="361">
        <f>+IF($I77=J$3,VLOOKUP($H77,Depreciation!$A$6:$L$10,7,FALSE)/2,IF($I77&lt;J$3,VLOOKUP($H77,Depreciation!$A$6:$L$10,7,FALSE),0))</f>
        <v>0</v>
      </c>
      <c r="K77" s="361">
        <f>+IF($I77=K$3,VLOOKUP($H77,Depreciation!$A$6:$L$10,8,FALSE)/2,IF($I77&lt;K$3,VLOOKUP($H77,Depreciation!$A$6:$L$10,8,FALSE),0))</f>
        <v>0</v>
      </c>
      <c r="L77" s="361">
        <f>+IF($I77=L$3,VLOOKUP($H77,Depreciation!$A$6:$L$10,9,FALSE)/2,IF($I77&lt;L$3,VLOOKUP($H77,Depreciation!$A$6:$L$10,9,FALSE),0))</f>
        <v>1.5338181838063448E-2</v>
      </c>
      <c r="M77" s="361">
        <f>+IF($I77=M$3,VLOOKUP($H77,Depreciation!$A$6:$L$10,10,FALSE)/2,IF($I77&lt;M$3,VLOOKUP($H77,Depreciation!$A$6:$L$10,10,FALSE),0))</f>
        <v>3.0676363676126896E-2</v>
      </c>
      <c r="N77" s="361">
        <f>+IF($I77=N$3,VLOOKUP($H77,Depreciation!$A$6:$L$10,11,FALSE)/2,IF($I77&lt;N$3,VLOOKUP($H77,Depreciation!$A$6:$L$10,11,FALSE),0))</f>
        <v>3.0676363676126896E-2</v>
      </c>
      <c r="O77" s="361">
        <f>+IF($I77=O$3,VLOOKUP($H77,Depreciation!$A$6:$L$10,12,FALSE)/2,IF($I77&lt;O$3,VLOOKUP($H77,Depreciation!$A$6:$L$10,12,FALSE),0))</f>
        <v>3.0676363676126896E-2</v>
      </c>
      <c r="P77" s="362">
        <f t="shared" si="4"/>
        <v>1480302.2375189131</v>
      </c>
      <c r="Q77" s="362">
        <f t="shared" si="5"/>
        <v>0</v>
      </c>
      <c r="R77" s="363">
        <f t="shared" si="6"/>
        <v>1480302.2375189131</v>
      </c>
      <c r="Y77" s="365"/>
    </row>
    <row r="78" spans="1:25" ht="15" customHeight="1">
      <c r="A78" s="359" t="str">
        <f>'Func Future Lines 2015'!A78</f>
        <v>PPS</v>
      </c>
      <c r="B78" s="359" t="str">
        <f>'Func Future Lines 2015'!B78</f>
        <v>417L/418L</v>
      </c>
      <c r="C78" s="359">
        <f>'Func Future Lines 2015'!C78</f>
        <v>813</v>
      </c>
      <c r="D78" s="359">
        <f>'Func Future Lines 2015'!D78</f>
        <v>138</v>
      </c>
      <c r="E78" s="359">
        <f>'Func Future Lines 2015'!E78</f>
        <v>0</v>
      </c>
      <c r="F78" s="359" t="str">
        <f>'Func Future Lines 2015'!F78</f>
        <v>Red_Deer</v>
      </c>
      <c r="G78" s="360">
        <f>'Func Future Lines 2015'!G78</f>
        <v>1827943.6298249823</v>
      </c>
      <c r="H78" s="359" t="str">
        <f>'Func Future Lines 2015'!H78</f>
        <v>AltaLink</v>
      </c>
      <c r="I78" s="359">
        <f>'Func Future Lines 2015'!I78</f>
        <v>2017</v>
      </c>
      <c r="J78" s="361">
        <f>+IF($I78=J$3,VLOOKUP($H78,Depreciation!$A$6:$L$10,7,FALSE)/2,IF($I78&lt;J$3,VLOOKUP($H78,Depreciation!$A$6:$L$10,7,FALSE),0))</f>
        <v>0</v>
      </c>
      <c r="K78" s="361">
        <f>+IF($I78=K$3,VLOOKUP($H78,Depreciation!$A$6:$L$10,8,FALSE)/2,IF($I78&lt;K$3,VLOOKUP($H78,Depreciation!$A$6:$L$10,8,FALSE),0))</f>
        <v>0</v>
      </c>
      <c r="L78" s="361">
        <f>+IF($I78=L$3,VLOOKUP($H78,Depreciation!$A$6:$L$10,9,FALSE)/2,IF($I78&lt;L$3,VLOOKUP($H78,Depreciation!$A$6:$L$10,9,FALSE),0))</f>
        <v>1.5338181838063448E-2</v>
      </c>
      <c r="M78" s="361">
        <f>+IF($I78=M$3,VLOOKUP($H78,Depreciation!$A$6:$L$10,10,FALSE)/2,IF($I78&lt;M$3,VLOOKUP($H78,Depreciation!$A$6:$L$10,10,FALSE),0))</f>
        <v>3.0676363676126896E-2</v>
      </c>
      <c r="N78" s="361">
        <f>+IF($I78=N$3,VLOOKUP($H78,Depreciation!$A$6:$L$10,11,FALSE)/2,IF($I78&lt;N$3,VLOOKUP($H78,Depreciation!$A$6:$L$10,11,FALSE),0))</f>
        <v>3.0676363676126896E-2</v>
      </c>
      <c r="O78" s="361">
        <f>+IF($I78=O$3,VLOOKUP($H78,Depreciation!$A$6:$L$10,12,FALSE)/2,IF($I78&lt;O$3,VLOOKUP($H78,Depreciation!$A$6:$L$10,12,FALSE),0))</f>
        <v>3.0676363676126896E-2</v>
      </c>
      <c r="P78" s="362">
        <f t="shared" si="4"/>
        <v>1639291.9460324149</v>
      </c>
      <c r="Q78" s="362">
        <f t="shared" si="5"/>
        <v>0</v>
      </c>
      <c r="R78" s="363">
        <f t="shared" si="6"/>
        <v>1639291.9460324149</v>
      </c>
      <c r="Y78" s="365"/>
    </row>
    <row r="79" spans="1:25" ht="15" customHeight="1">
      <c r="A79" s="359" t="str">
        <f>'Func Future Lines 2015'!A79</f>
        <v>PPS</v>
      </c>
      <c r="B79" s="359" t="str">
        <f>'Func Future Lines 2015'!B79</f>
        <v>419L/420L</v>
      </c>
      <c r="C79" s="359">
        <f>'Func Future Lines 2015'!C79</f>
        <v>813</v>
      </c>
      <c r="D79" s="359">
        <f>'Func Future Lines 2015'!D79</f>
        <v>138</v>
      </c>
      <c r="E79" s="359">
        <f>'Func Future Lines 2015'!E79</f>
        <v>0</v>
      </c>
      <c r="F79" s="359" t="str">
        <f>'Func Future Lines 2015'!F79</f>
        <v>Red_Deer</v>
      </c>
      <c r="G79" s="360">
        <f>'Func Future Lines 2015'!G79</f>
        <v>8144848.6406137627</v>
      </c>
      <c r="H79" s="359" t="str">
        <f>'Func Future Lines 2015'!H79</f>
        <v>AltaLink</v>
      </c>
      <c r="I79" s="359">
        <f>'Func Future Lines 2015'!I79</f>
        <v>2017</v>
      </c>
      <c r="J79" s="361">
        <f>+IF($I79=J$3,VLOOKUP($H79,Depreciation!$A$6:$L$10,7,FALSE)/2,IF($I79&lt;J$3,VLOOKUP($H79,Depreciation!$A$6:$L$10,7,FALSE),0))</f>
        <v>0</v>
      </c>
      <c r="K79" s="361">
        <f>+IF($I79=K$3,VLOOKUP($H79,Depreciation!$A$6:$L$10,8,FALSE)/2,IF($I79&lt;K$3,VLOOKUP($H79,Depreciation!$A$6:$L$10,8,FALSE),0))</f>
        <v>0</v>
      </c>
      <c r="L79" s="361">
        <f>+IF($I79=L$3,VLOOKUP($H79,Depreciation!$A$6:$L$10,9,FALSE)/2,IF($I79&lt;L$3,VLOOKUP($H79,Depreciation!$A$6:$L$10,9,FALSE),0))</f>
        <v>1.5338181838063448E-2</v>
      </c>
      <c r="M79" s="361">
        <f>+IF($I79=M$3,VLOOKUP($H79,Depreciation!$A$6:$L$10,10,FALSE)/2,IF($I79&lt;M$3,VLOOKUP($H79,Depreciation!$A$6:$L$10,10,FALSE),0))</f>
        <v>3.0676363676126896E-2</v>
      </c>
      <c r="N79" s="361">
        <f>+IF($I79=N$3,VLOOKUP($H79,Depreciation!$A$6:$L$10,11,FALSE)/2,IF($I79&lt;N$3,VLOOKUP($H79,Depreciation!$A$6:$L$10,11,FALSE),0))</f>
        <v>3.0676363676126896E-2</v>
      </c>
      <c r="O79" s="361">
        <f>+IF($I79=O$3,VLOOKUP($H79,Depreciation!$A$6:$L$10,12,FALSE)/2,IF($I79&lt;O$3,VLOOKUP($H79,Depreciation!$A$6:$L$10,12,FALSE),0))</f>
        <v>3.0676363676126896E-2</v>
      </c>
      <c r="P79" s="362">
        <f t="shared" si="4"/>
        <v>7304265.0552028129</v>
      </c>
      <c r="Q79" s="362">
        <f t="shared" si="5"/>
        <v>0</v>
      </c>
      <c r="R79" s="363">
        <f t="shared" si="6"/>
        <v>7304265.0552028129</v>
      </c>
      <c r="Y79" s="365"/>
    </row>
    <row r="80" spans="1:25" ht="15" customHeight="1">
      <c r="A80" s="359" t="str">
        <f>'Func Future Lines 2015'!A80</f>
        <v>PPS</v>
      </c>
      <c r="B80" s="359" t="str">
        <f>'Func Future Lines 2015'!B80</f>
        <v>419L/420L</v>
      </c>
      <c r="C80" s="359">
        <f>'Func Future Lines 2015'!C80</f>
        <v>813</v>
      </c>
      <c r="D80" s="359">
        <f>'Func Future Lines 2015'!D80</f>
        <v>138</v>
      </c>
      <c r="E80" s="359">
        <f>'Func Future Lines 2015'!E80</f>
        <v>0</v>
      </c>
      <c r="F80" s="359" t="str">
        <f>'Func Future Lines 2015'!F80</f>
        <v>Red_Deer</v>
      </c>
      <c r="G80" s="360">
        <f>'Func Future Lines 2015'!G80</f>
        <v>8079441.9947254863</v>
      </c>
      <c r="H80" s="359" t="str">
        <f>'Func Future Lines 2015'!H80</f>
        <v>AltaLink</v>
      </c>
      <c r="I80" s="359">
        <f>'Func Future Lines 2015'!I80</f>
        <v>2017</v>
      </c>
      <c r="J80" s="361">
        <f>+IF($I80=J$3,VLOOKUP($H80,Depreciation!$A$6:$L$10,7,FALSE)/2,IF($I80&lt;J$3,VLOOKUP($H80,Depreciation!$A$6:$L$10,7,FALSE),0))</f>
        <v>0</v>
      </c>
      <c r="K80" s="361">
        <f>+IF($I80=K$3,VLOOKUP($H80,Depreciation!$A$6:$L$10,8,FALSE)/2,IF($I80&lt;K$3,VLOOKUP($H80,Depreciation!$A$6:$L$10,8,FALSE),0))</f>
        <v>0</v>
      </c>
      <c r="L80" s="361">
        <f>+IF($I80=L$3,VLOOKUP($H80,Depreciation!$A$6:$L$10,9,FALSE)/2,IF($I80&lt;L$3,VLOOKUP($H80,Depreciation!$A$6:$L$10,9,FALSE),0))</f>
        <v>1.5338181838063448E-2</v>
      </c>
      <c r="M80" s="361">
        <f>+IF($I80=M$3,VLOOKUP($H80,Depreciation!$A$6:$L$10,10,FALSE)/2,IF($I80&lt;M$3,VLOOKUP($H80,Depreciation!$A$6:$L$10,10,FALSE),0))</f>
        <v>3.0676363676126896E-2</v>
      </c>
      <c r="N80" s="361">
        <f>+IF($I80=N$3,VLOOKUP($H80,Depreciation!$A$6:$L$10,11,FALSE)/2,IF($I80&lt;N$3,VLOOKUP($H80,Depreciation!$A$6:$L$10,11,FALSE),0))</f>
        <v>3.0676363676126896E-2</v>
      </c>
      <c r="O80" s="361">
        <f>+IF($I80=O$3,VLOOKUP($H80,Depreciation!$A$6:$L$10,12,FALSE)/2,IF($I80&lt;O$3,VLOOKUP($H80,Depreciation!$A$6:$L$10,12,FALSE),0))</f>
        <v>3.0676363676126896E-2</v>
      </c>
      <c r="P80" s="362">
        <f t="shared" si="4"/>
        <v>7245608.6578871524</v>
      </c>
      <c r="Q80" s="362">
        <f t="shared" si="5"/>
        <v>0</v>
      </c>
      <c r="R80" s="363">
        <f t="shared" si="6"/>
        <v>7245608.6578871524</v>
      </c>
      <c r="Y80" s="365"/>
    </row>
    <row r="81" spans="1:25" ht="15" customHeight="1">
      <c r="A81" s="359" t="str">
        <f>'Func Future Lines 2015'!A81</f>
        <v>PPS</v>
      </c>
      <c r="B81" s="359" t="str">
        <f>'Func Future Lines 2015'!B81</f>
        <v>421L/422L</v>
      </c>
      <c r="C81" s="359">
        <f>'Func Future Lines 2015'!C81</f>
        <v>813</v>
      </c>
      <c r="D81" s="359">
        <f>'Func Future Lines 2015'!D81</f>
        <v>138</v>
      </c>
      <c r="E81" s="359">
        <f>'Func Future Lines 2015'!E81</f>
        <v>0</v>
      </c>
      <c r="F81" s="359" t="str">
        <f>'Func Future Lines 2015'!F81</f>
        <v>Red_Deer</v>
      </c>
      <c r="G81" s="360">
        <f>'Func Future Lines 2015'!G81</f>
        <v>3903744.023016064</v>
      </c>
      <c r="H81" s="359" t="str">
        <f>'Func Future Lines 2015'!H81</f>
        <v>AltaLink</v>
      </c>
      <c r="I81" s="359">
        <f>'Func Future Lines 2015'!I81</f>
        <v>2017</v>
      </c>
      <c r="J81" s="361">
        <f>+IF($I81=J$3,VLOOKUP($H81,Depreciation!$A$6:$L$10,7,FALSE)/2,IF($I81&lt;J$3,VLOOKUP($H81,Depreciation!$A$6:$L$10,7,FALSE),0))</f>
        <v>0</v>
      </c>
      <c r="K81" s="361">
        <f>+IF($I81=K$3,VLOOKUP($H81,Depreciation!$A$6:$L$10,8,FALSE)/2,IF($I81&lt;K$3,VLOOKUP($H81,Depreciation!$A$6:$L$10,8,FALSE),0))</f>
        <v>0</v>
      </c>
      <c r="L81" s="361">
        <f>+IF($I81=L$3,VLOOKUP($H81,Depreciation!$A$6:$L$10,9,FALSE)/2,IF($I81&lt;L$3,VLOOKUP($H81,Depreciation!$A$6:$L$10,9,FALSE),0))</f>
        <v>1.5338181838063448E-2</v>
      </c>
      <c r="M81" s="361">
        <f>+IF($I81=M$3,VLOOKUP($H81,Depreciation!$A$6:$L$10,10,FALSE)/2,IF($I81&lt;M$3,VLOOKUP($H81,Depreciation!$A$6:$L$10,10,FALSE),0))</f>
        <v>3.0676363676126896E-2</v>
      </c>
      <c r="N81" s="361">
        <f>+IF($I81=N$3,VLOOKUP($H81,Depreciation!$A$6:$L$10,11,FALSE)/2,IF($I81&lt;N$3,VLOOKUP($H81,Depreciation!$A$6:$L$10,11,FALSE),0))</f>
        <v>3.0676363676126896E-2</v>
      </c>
      <c r="O81" s="361">
        <f>+IF($I81=O$3,VLOOKUP($H81,Depreciation!$A$6:$L$10,12,FALSE)/2,IF($I81&lt;O$3,VLOOKUP($H81,Depreciation!$A$6:$L$10,12,FALSE),0))</f>
        <v>3.0676363676126896E-2</v>
      </c>
      <c r="P81" s="362">
        <f t="shared" si="4"/>
        <v>3500860.7661031233</v>
      </c>
      <c r="Q81" s="362">
        <f t="shared" si="5"/>
        <v>0</v>
      </c>
      <c r="R81" s="363">
        <f t="shared" si="6"/>
        <v>3500860.7661031233</v>
      </c>
      <c r="Y81" s="365"/>
    </row>
    <row r="82" spans="1:25" ht="15" customHeight="1">
      <c r="A82" s="359" t="str">
        <f>'Func Future Lines 2015'!A82</f>
        <v>PPS</v>
      </c>
      <c r="B82" s="359" t="str">
        <f>'Func Future Lines 2015'!B82</f>
        <v>421L/422L</v>
      </c>
      <c r="C82" s="359">
        <f>'Func Future Lines 2015'!C82</f>
        <v>813</v>
      </c>
      <c r="D82" s="359">
        <f>'Func Future Lines 2015'!D82</f>
        <v>138</v>
      </c>
      <c r="E82" s="359">
        <f>'Func Future Lines 2015'!E82</f>
        <v>0</v>
      </c>
      <c r="F82" s="359" t="str">
        <f>'Func Future Lines 2015'!F82</f>
        <v>Red_Deer</v>
      </c>
      <c r="G82" s="360">
        <f>'Func Future Lines 2015'!G82</f>
        <v>3860713.3349316716</v>
      </c>
      <c r="H82" s="359" t="str">
        <f>'Func Future Lines 2015'!H82</f>
        <v>AltaLink</v>
      </c>
      <c r="I82" s="359">
        <f>'Func Future Lines 2015'!I82</f>
        <v>2017</v>
      </c>
      <c r="J82" s="361">
        <f>+IF($I82=J$3,VLOOKUP($H82,Depreciation!$A$6:$L$10,7,FALSE)/2,IF($I82&lt;J$3,VLOOKUP($H82,Depreciation!$A$6:$L$10,7,FALSE),0))</f>
        <v>0</v>
      </c>
      <c r="K82" s="361">
        <f>+IF($I82=K$3,VLOOKUP($H82,Depreciation!$A$6:$L$10,8,FALSE)/2,IF($I82&lt;K$3,VLOOKUP($H82,Depreciation!$A$6:$L$10,8,FALSE),0))</f>
        <v>0</v>
      </c>
      <c r="L82" s="361">
        <f>+IF($I82=L$3,VLOOKUP($H82,Depreciation!$A$6:$L$10,9,FALSE)/2,IF($I82&lt;L$3,VLOOKUP($H82,Depreciation!$A$6:$L$10,9,FALSE),0))</f>
        <v>1.5338181838063448E-2</v>
      </c>
      <c r="M82" s="361">
        <f>+IF($I82=M$3,VLOOKUP($H82,Depreciation!$A$6:$L$10,10,FALSE)/2,IF($I82&lt;M$3,VLOOKUP($H82,Depreciation!$A$6:$L$10,10,FALSE),0))</f>
        <v>3.0676363676126896E-2</v>
      </c>
      <c r="N82" s="361">
        <f>+IF($I82=N$3,VLOOKUP($H82,Depreciation!$A$6:$L$10,11,FALSE)/2,IF($I82&lt;N$3,VLOOKUP($H82,Depreciation!$A$6:$L$10,11,FALSE),0))</f>
        <v>3.0676363676126896E-2</v>
      </c>
      <c r="O82" s="361">
        <f>+IF($I82=O$3,VLOOKUP($H82,Depreciation!$A$6:$L$10,12,FALSE)/2,IF($I82&lt;O$3,VLOOKUP($H82,Depreciation!$A$6:$L$10,12,FALSE),0))</f>
        <v>3.0676363676126896E-2</v>
      </c>
      <c r="P82" s="362">
        <f t="shared" si="4"/>
        <v>3462271.0310270302</v>
      </c>
      <c r="Q82" s="362">
        <f t="shared" si="5"/>
        <v>0</v>
      </c>
      <c r="R82" s="363">
        <f t="shared" si="6"/>
        <v>3462271.0310270302</v>
      </c>
      <c r="Y82" s="365"/>
    </row>
    <row r="83" spans="1:25" ht="15" customHeight="1">
      <c r="A83" s="359" t="str">
        <f>'Func Future Lines 2015'!A83</f>
        <v>PPS</v>
      </c>
      <c r="B83" s="359" t="str">
        <f>'Func Future Lines 2015'!B83</f>
        <v>423L</v>
      </c>
      <c r="C83" s="359">
        <f>'Func Future Lines 2015'!C83</f>
        <v>813</v>
      </c>
      <c r="D83" s="359">
        <f>'Func Future Lines 2015'!D83</f>
        <v>138</v>
      </c>
      <c r="E83" s="359">
        <f>'Func Future Lines 2015'!E83</f>
        <v>0</v>
      </c>
      <c r="F83" s="359" t="str">
        <f>'Func Future Lines 2015'!F83</f>
        <v>Red_Deer</v>
      </c>
      <c r="G83" s="360">
        <f>'Func Future Lines 2015'!G83</f>
        <v>27816758.005274519</v>
      </c>
      <c r="H83" s="359" t="str">
        <f>'Func Future Lines 2015'!H83</f>
        <v>AltaLink</v>
      </c>
      <c r="I83" s="359">
        <f>'Func Future Lines 2015'!I83</f>
        <v>2017</v>
      </c>
      <c r="J83" s="361">
        <f>+IF($I83=J$3,VLOOKUP($H83,Depreciation!$A$6:$L$10,7,FALSE)/2,IF($I83&lt;J$3,VLOOKUP($H83,Depreciation!$A$6:$L$10,7,FALSE),0))</f>
        <v>0</v>
      </c>
      <c r="K83" s="361">
        <f>+IF($I83=K$3,VLOOKUP($H83,Depreciation!$A$6:$L$10,8,FALSE)/2,IF($I83&lt;K$3,VLOOKUP($H83,Depreciation!$A$6:$L$10,8,FALSE),0))</f>
        <v>0</v>
      </c>
      <c r="L83" s="361">
        <f>+IF($I83=L$3,VLOOKUP($H83,Depreciation!$A$6:$L$10,9,FALSE)/2,IF($I83&lt;L$3,VLOOKUP($H83,Depreciation!$A$6:$L$10,9,FALSE),0))</f>
        <v>1.5338181838063448E-2</v>
      </c>
      <c r="M83" s="361">
        <f>+IF($I83=M$3,VLOOKUP($H83,Depreciation!$A$6:$L$10,10,FALSE)/2,IF($I83&lt;M$3,VLOOKUP($H83,Depreciation!$A$6:$L$10,10,FALSE),0))</f>
        <v>3.0676363676126896E-2</v>
      </c>
      <c r="N83" s="361">
        <f>+IF($I83=N$3,VLOOKUP($H83,Depreciation!$A$6:$L$10,11,FALSE)/2,IF($I83&lt;N$3,VLOOKUP($H83,Depreciation!$A$6:$L$10,11,FALSE),0))</f>
        <v>3.0676363676126896E-2</v>
      </c>
      <c r="O83" s="361">
        <f>+IF($I83=O$3,VLOOKUP($H83,Depreciation!$A$6:$L$10,12,FALSE)/2,IF($I83&lt;O$3,VLOOKUP($H83,Depreciation!$A$6:$L$10,12,FALSE),0))</f>
        <v>3.0676363676126896E-2</v>
      </c>
      <c r="P83" s="362">
        <f t="shared" si="4"/>
        <v>24945948.342589319</v>
      </c>
      <c r="Q83" s="362">
        <f t="shared" si="5"/>
        <v>0</v>
      </c>
      <c r="R83" s="363">
        <f t="shared" si="6"/>
        <v>24945948.342589319</v>
      </c>
      <c r="Y83" s="365"/>
    </row>
    <row r="84" spans="1:25" ht="15" customHeight="1">
      <c r="A84" s="359" t="str">
        <f>'Func Future Lines 2015'!A84</f>
        <v>PPS</v>
      </c>
      <c r="B84" s="359" t="str">
        <f>'Func Future Lines 2015'!B84</f>
        <v>423L/784L shared route</v>
      </c>
      <c r="C84" s="359">
        <f>'Func Future Lines 2015'!C84</f>
        <v>813</v>
      </c>
      <c r="D84" s="359">
        <f>'Func Future Lines 2015'!D84</f>
        <v>138</v>
      </c>
      <c r="E84" s="359">
        <f>'Func Future Lines 2015'!E84</f>
        <v>0</v>
      </c>
      <c r="F84" s="359" t="str">
        <f>'Func Future Lines 2015'!F84</f>
        <v>Red_Deer</v>
      </c>
      <c r="G84" s="360">
        <f>'Func Future Lines 2015'!G84</f>
        <v>2516434.6391752581</v>
      </c>
      <c r="H84" s="359" t="str">
        <f>'Func Future Lines 2015'!H84</f>
        <v>AltaLink</v>
      </c>
      <c r="I84" s="359">
        <f>'Func Future Lines 2015'!I84</f>
        <v>2017</v>
      </c>
      <c r="J84" s="361">
        <f>+IF($I84=J$3,VLOOKUP($H84,Depreciation!$A$6:$L$10,7,FALSE)/2,IF($I84&lt;J$3,VLOOKUP($H84,Depreciation!$A$6:$L$10,7,FALSE),0))</f>
        <v>0</v>
      </c>
      <c r="K84" s="361">
        <f>+IF($I84=K$3,VLOOKUP($H84,Depreciation!$A$6:$L$10,8,FALSE)/2,IF($I84&lt;K$3,VLOOKUP($H84,Depreciation!$A$6:$L$10,8,FALSE),0))</f>
        <v>0</v>
      </c>
      <c r="L84" s="361">
        <f>+IF($I84=L$3,VLOOKUP($H84,Depreciation!$A$6:$L$10,9,FALSE)/2,IF($I84&lt;L$3,VLOOKUP($H84,Depreciation!$A$6:$L$10,9,FALSE),0))</f>
        <v>1.5338181838063448E-2</v>
      </c>
      <c r="M84" s="361">
        <f>+IF($I84=M$3,VLOOKUP($H84,Depreciation!$A$6:$L$10,10,FALSE)/2,IF($I84&lt;M$3,VLOOKUP($H84,Depreciation!$A$6:$L$10,10,FALSE),0))</f>
        <v>3.0676363676126896E-2</v>
      </c>
      <c r="N84" s="361">
        <f>+IF($I84=N$3,VLOOKUP($H84,Depreciation!$A$6:$L$10,11,FALSE)/2,IF($I84&lt;N$3,VLOOKUP($H84,Depreciation!$A$6:$L$10,11,FALSE),0))</f>
        <v>3.0676363676126896E-2</v>
      </c>
      <c r="O84" s="361">
        <f>+IF($I84=O$3,VLOOKUP($H84,Depreciation!$A$6:$L$10,12,FALSE)/2,IF($I84&lt;O$3,VLOOKUP($H84,Depreciation!$A$6:$L$10,12,FALSE),0))</f>
        <v>3.0676363676126896E-2</v>
      </c>
      <c r="P84" s="362">
        <f t="shared" si="4"/>
        <v>2256727.7072498971</v>
      </c>
      <c r="Q84" s="362">
        <f t="shared" si="5"/>
        <v>0</v>
      </c>
      <c r="R84" s="363">
        <f t="shared" si="6"/>
        <v>2256727.7072498971</v>
      </c>
      <c r="Y84" s="365"/>
    </row>
    <row r="85" spans="1:25" ht="15" customHeight="1">
      <c r="A85" s="359" t="str">
        <f>'Func Future Lines 2015'!A85</f>
        <v>PPS</v>
      </c>
      <c r="B85" s="359" t="str">
        <f>'Func Future Lines 2015'!B85</f>
        <v>423L/80AL shared route</v>
      </c>
      <c r="C85" s="359">
        <f>'Func Future Lines 2015'!C85</f>
        <v>813</v>
      </c>
      <c r="D85" s="359">
        <f>'Func Future Lines 2015'!D85</f>
        <v>138</v>
      </c>
      <c r="E85" s="359">
        <f>'Func Future Lines 2015'!E85</f>
        <v>0</v>
      </c>
      <c r="F85" s="359" t="str">
        <f>'Func Future Lines 2015'!F85</f>
        <v>Red_Deer</v>
      </c>
      <c r="G85" s="360">
        <f>'Func Future Lines 2015'!G85</f>
        <v>2922644.3346919208</v>
      </c>
      <c r="H85" s="359" t="str">
        <f>'Func Future Lines 2015'!H85</f>
        <v>AltaLink</v>
      </c>
      <c r="I85" s="359">
        <f>'Func Future Lines 2015'!I85</f>
        <v>2017</v>
      </c>
      <c r="J85" s="361">
        <f>+IF($I85=J$3,VLOOKUP($H85,Depreciation!$A$6:$L$10,7,FALSE)/2,IF($I85&lt;J$3,VLOOKUP($H85,Depreciation!$A$6:$L$10,7,FALSE),0))</f>
        <v>0</v>
      </c>
      <c r="K85" s="361">
        <f>+IF($I85=K$3,VLOOKUP($H85,Depreciation!$A$6:$L$10,8,FALSE)/2,IF($I85&lt;K$3,VLOOKUP($H85,Depreciation!$A$6:$L$10,8,FALSE),0))</f>
        <v>0</v>
      </c>
      <c r="L85" s="361">
        <f>+IF($I85=L$3,VLOOKUP($H85,Depreciation!$A$6:$L$10,9,FALSE)/2,IF($I85&lt;L$3,VLOOKUP($H85,Depreciation!$A$6:$L$10,9,FALSE),0))</f>
        <v>1.5338181838063448E-2</v>
      </c>
      <c r="M85" s="361">
        <f>+IF($I85=M$3,VLOOKUP($H85,Depreciation!$A$6:$L$10,10,FALSE)/2,IF($I85&lt;M$3,VLOOKUP($H85,Depreciation!$A$6:$L$10,10,FALSE),0))</f>
        <v>3.0676363676126896E-2</v>
      </c>
      <c r="N85" s="361">
        <f>+IF($I85=N$3,VLOOKUP($H85,Depreciation!$A$6:$L$10,11,FALSE)/2,IF($I85&lt;N$3,VLOOKUP($H85,Depreciation!$A$6:$L$10,11,FALSE),0))</f>
        <v>3.0676363676126896E-2</v>
      </c>
      <c r="O85" s="361">
        <f>+IF($I85=O$3,VLOOKUP($H85,Depreciation!$A$6:$L$10,12,FALSE)/2,IF($I85&lt;O$3,VLOOKUP($H85,Depreciation!$A$6:$L$10,12,FALSE),0))</f>
        <v>3.0676363676126896E-2</v>
      </c>
      <c r="P85" s="362">
        <f t="shared" si="4"/>
        <v>2621014.8063682117</v>
      </c>
      <c r="Q85" s="362">
        <f t="shared" si="5"/>
        <v>0</v>
      </c>
      <c r="R85" s="363">
        <f t="shared" si="6"/>
        <v>2621014.8063682117</v>
      </c>
      <c r="Y85" s="365"/>
    </row>
    <row r="86" spans="1:25" ht="15" customHeight="1">
      <c r="A86" s="359" t="str">
        <f>'Func Future Lines 2015'!A86</f>
        <v>PPS</v>
      </c>
      <c r="B86" s="359" t="str">
        <f>'Func Future Lines 2015'!B86</f>
        <v>444L</v>
      </c>
      <c r="C86" s="359">
        <f>'Func Future Lines 2015'!C86</f>
        <v>813</v>
      </c>
      <c r="D86" s="359">
        <f>'Func Future Lines 2015'!D86</f>
        <v>138</v>
      </c>
      <c r="E86" s="359">
        <f>'Func Future Lines 2015'!E86</f>
        <v>0</v>
      </c>
      <c r="F86" s="359" t="str">
        <f>'Func Future Lines 2015'!F86</f>
        <v>Red_Deer</v>
      </c>
      <c r="G86" s="360">
        <f>'Func Future Lines 2015'!G86</f>
        <v>246135.53584272359</v>
      </c>
      <c r="H86" s="359" t="str">
        <f>'Func Future Lines 2015'!H86</f>
        <v>AltaLink</v>
      </c>
      <c r="I86" s="359">
        <f>'Func Future Lines 2015'!I86</f>
        <v>2017</v>
      </c>
      <c r="J86" s="361">
        <f>+IF($I86=J$3,VLOOKUP($H86,Depreciation!$A$6:$L$10,7,FALSE)/2,IF($I86&lt;J$3,VLOOKUP($H86,Depreciation!$A$6:$L$10,7,FALSE),0))</f>
        <v>0</v>
      </c>
      <c r="K86" s="361">
        <f>+IF($I86=K$3,VLOOKUP($H86,Depreciation!$A$6:$L$10,8,FALSE)/2,IF($I86&lt;K$3,VLOOKUP($H86,Depreciation!$A$6:$L$10,8,FALSE),0))</f>
        <v>0</v>
      </c>
      <c r="L86" s="361">
        <f>+IF($I86=L$3,VLOOKUP($H86,Depreciation!$A$6:$L$10,9,FALSE)/2,IF($I86&lt;L$3,VLOOKUP($H86,Depreciation!$A$6:$L$10,9,FALSE),0))</f>
        <v>1.5338181838063448E-2</v>
      </c>
      <c r="M86" s="361">
        <f>+IF($I86=M$3,VLOOKUP($H86,Depreciation!$A$6:$L$10,10,FALSE)/2,IF($I86&lt;M$3,VLOOKUP($H86,Depreciation!$A$6:$L$10,10,FALSE),0))</f>
        <v>3.0676363676126896E-2</v>
      </c>
      <c r="N86" s="361">
        <f>+IF($I86=N$3,VLOOKUP($H86,Depreciation!$A$6:$L$10,11,FALSE)/2,IF($I86&lt;N$3,VLOOKUP($H86,Depreciation!$A$6:$L$10,11,FALSE),0))</f>
        <v>3.0676363676126896E-2</v>
      </c>
      <c r="O86" s="361">
        <f>+IF($I86=O$3,VLOOKUP($H86,Depreciation!$A$6:$L$10,12,FALSE)/2,IF($I86&lt;O$3,VLOOKUP($H86,Depreciation!$A$6:$L$10,12,FALSE),0))</f>
        <v>3.0676363676126896E-2</v>
      </c>
      <c r="P86" s="362">
        <f t="shared" si="4"/>
        <v>220733.28463524982</v>
      </c>
      <c r="Q86" s="362">
        <f t="shared" si="5"/>
        <v>0</v>
      </c>
      <c r="R86" s="363">
        <f t="shared" si="6"/>
        <v>220733.28463524982</v>
      </c>
      <c r="Y86" s="365"/>
    </row>
    <row r="87" spans="1:25" ht="15" customHeight="1">
      <c r="A87" s="359" t="str">
        <f>'Func Future Lines 2015'!A87</f>
        <v>PPS</v>
      </c>
      <c r="B87" s="359" t="str">
        <f>'Func Future Lines 2015'!B87</f>
        <v>637L</v>
      </c>
      <c r="C87" s="359">
        <f>'Func Future Lines 2015'!C87</f>
        <v>813</v>
      </c>
      <c r="D87" s="359">
        <f>'Func Future Lines 2015'!D87</f>
        <v>138</v>
      </c>
      <c r="E87" s="359">
        <f>'Func Future Lines 2015'!E87</f>
        <v>0</v>
      </c>
      <c r="F87" s="359" t="str">
        <f>'Func Future Lines 2015'!F87</f>
        <v>Red_Deer</v>
      </c>
      <c r="G87" s="360">
        <f>'Func Future Lines 2015'!G87</f>
        <v>17472564.238193929</v>
      </c>
      <c r="H87" s="359" t="str">
        <f>'Func Future Lines 2015'!H87</f>
        <v>AltaLink</v>
      </c>
      <c r="I87" s="359">
        <f>'Func Future Lines 2015'!I87</f>
        <v>2017</v>
      </c>
      <c r="J87" s="361">
        <f>+IF($I87=J$3,VLOOKUP($H87,Depreciation!$A$6:$L$10,7,FALSE)/2,IF($I87&lt;J$3,VLOOKUP($H87,Depreciation!$A$6:$L$10,7,FALSE),0))</f>
        <v>0</v>
      </c>
      <c r="K87" s="361">
        <f>+IF($I87=K$3,VLOOKUP($H87,Depreciation!$A$6:$L$10,8,FALSE)/2,IF($I87&lt;K$3,VLOOKUP($H87,Depreciation!$A$6:$L$10,8,FALSE),0))</f>
        <v>0</v>
      </c>
      <c r="L87" s="361">
        <f>+IF($I87=L$3,VLOOKUP($H87,Depreciation!$A$6:$L$10,9,FALSE)/2,IF($I87&lt;L$3,VLOOKUP($H87,Depreciation!$A$6:$L$10,9,FALSE),0))</f>
        <v>1.5338181838063448E-2</v>
      </c>
      <c r="M87" s="361">
        <f>+IF($I87=M$3,VLOOKUP($H87,Depreciation!$A$6:$L$10,10,FALSE)/2,IF($I87&lt;M$3,VLOOKUP($H87,Depreciation!$A$6:$L$10,10,FALSE),0))</f>
        <v>3.0676363676126896E-2</v>
      </c>
      <c r="N87" s="361">
        <f>+IF($I87=N$3,VLOOKUP($H87,Depreciation!$A$6:$L$10,11,FALSE)/2,IF($I87&lt;N$3,VLOOKUP($H87,Depreciation!$A$6:$L$10,11,FALSE),0))</f>
        <v>3.0676363676126896E-2</v>
      </c>
      <c r="O87" s="361">
        <f>+IF($I87=O$3,VLOOKUP($H87,Depreciation!$A$6:$L$10,12,FALSE)/2,IF($I87&lt;O$3,VLOOKUP($H87,Depreciation!$A$6:$L$10,12,FALSE),0))</f>
        <v>3.0676363676126896E-2</v>
      </c>
      <c r="P87" s="362">
        <f t="shared" si="4"/>
        <v>15669320.084530018</v>
      </c>
      <c r="Q87" s="362">
        <f t="shared" si="5"/>
        <v>0</v>
      </c>
      <c r="R87" s="363">
        <f t="shared" si="6"/>
        <v>15669320.084530018</v>
      </c>
      <c r="Y87" s="365"/>
    </row>
    <row r="88" spans="1:25" ht="15" customHeight="1">
      <c r="A88" s="359" t="str">
        <f>'Func Future Lines 2015'!A88</f>
        <v>PPS</v>
      </c>
      <c r="B88" s="359" t="str">
        <f>'Func Future Lines 2015'!B88</f>
        <v>648L</v>
      </c>
      <c r="C88" s="359">
        <f>'Func Future Lines 2015'!C88</f>
        <v>813</v>
      </c>
      <c r="D88" s="359">
        <f>'Func Future Lines 2015'!D88</f>
        <v>138</v>
      </c>
      <c r="E88" s="359">
        <f>'Func Future Lines 2015'!E88</f>
        <v>0</v>
      </c>
      <c r="F88" s="359" t="str">
        <f>'Func Future Lines 2015'!F88</f>
        <v>Red_Deer</v>
      </c>
      <c r="G88" s="360">
        <f>'Func Future Lines 2015'!G88</f>
        <v>16434659.559384897</v>
      </c>
      <c r="H88" s="359" t="str">
        <f>'Func Future Lines 2015'!H88</f>
        <v>AltaLink</v>
      </c>
      <c r="I88" s="359">
        <f>'Func Future Lines 2015'!I88</f>
        <v>2017</v>
      </c>
      <c r="J88" s="361">
        <f>+IF($I88=J$3,VLOOKUP($H88,Depreciation!$A$6:$L$10,7,FALSE)/2,IF($I88&lt;J$3,VLOOKUP($H88,Depreciation!$A$6:$L$10,7,FALSE),0))</f>
        <v>0</v>
      </c>
      <c r="K88" s="361">
        <f>+IF($I88=K$3,VLOOKUP($H88,Depreciation!$A$6:$L$10,8,FALSE)/2,IF($I88&lt;K$3,VLOOKUP($H88,Depreciation!$A$6:$L$10,8,FALSE),0))</f>
        <v>0</v>
      </c>
      <c r="L88" s="361">
        <f>+IF($I88=L$3,VLOOKUP($H88,Depreciation!$A$6:$L$10,9,FALSE)/2,IF($I88&lt;L$3,VLOOKUP($H88,Depreciation!$A$6:$L$10,9,FALSE),0))</f>
        <v>1.5338181838063448E-2</v>
      </c>
      <c r="M88" s="361">
        <f>+IF($I88=M$3,VLOOKUP($H88,Depreciation!$A$6:$L$10,10,FALSE)/2,IF($I88&lt;M$3,VLOOKUP($H88,Depreciation!$A$6:$L$10,10,FALSE),0))</f>
        <v>3.0676363676126896E-2</v>
      </c>
      <c r="N88" s="361">
        <f>+IF($I88=N$3,VLOOKUP($H88,Depreciation!$A$6:$L$10,11,FALSE)/2,IF($I88&lt;N$3,VLOOKUP($H88,Depreciation!$A$6:$L$10,11,FALSE),0))</f>
        <v>3.0676363676126896E-2</v>
      </c>
      <c r="O88" s="361">
        <f>+IF($I88=O$3,VLOOKUP($H88,Depreciation!$A$6:$L$10,12,FALSE)/2,IF($I88&lt;O$3,VLOOKUP($H88,Depreciation!$A$6:$L$10,12,FALSE),0))</f>
        <v>3.0676363676126896E-2</v>
      </c>
      <c r="P88" s="362">
        <f t="shared" si="4"/>
        <v>14738531.654864982</v>
      </c>
      <c r="Q88" s="362">
        <f t="shared" si="5"/>
        <v>0</v>
      </c>
      <c r="R88" s="363">
        <f t="shared" si="6"/>
        <v>14738531.654864982</v>
      </c>
      <c r="Y88" s="365"/>
    </row>
    <row r="89" spans="1:25" ht="15" customHeight="1">
      <c r="A89" s="359" t="str">
        <f>'Func Future Lines 2015'!A89</f>
        <v>PPS</v>
      </c>
      <c r="B89" s="359" t="str">
        <f>'Func Future Lines 2015'!B89</f>
        <v>755L (427L) d/c section</v>
      </c>
      <c r="C89" s="359">
        <f>'Func Future Lines 2015'!C89</f>
        <v>813</v>
      </c>
      <c r="D89" s="359">
        <f>'Func Future Lines 2015'!D89</f>
        <v>240</v>
      </c>
      <c r="E89" s="359">
        <f>'Func Future Lines 2015'!E89</f>
        <v>0</v>
      </c>
      <c r="F89" s="359" t="str">
        <f>'Func Future Lines 2015'!F89</f>
        <v>Red_Deer</v>
      </c>
      <c r="G89" s="360">
        <f>'Func Future Lines 2015'!G89</f>
        <v>22442935.461882446</v>
      </c>
      <c r="H89" s="359" t="str">
        <f>'Func Future Lines 2015'!H89</f>
        <v>AltaLink</v>
      </c>
      <c r="I89" s="359">
        <f>'Func Future Lines 2015'!I89</f>
        <v>2017</v>
      </c>
      <c r="J89" s="361">
        <f>+IF($I89=J$3,VLOOKUP($H89,Depreciation!$A$6:$L$10,7,FALSE)/2,IF($I89&lt;J$3,VLOOKUP($H89,Depreciation!$A$6:$L$10,7,FALSE),0))</f>
        <v>0</v>
      </c>
      <c r="K89" s="361">
        <f>+IF($I89=K$3,VLOOKUP($H89,Depreciation!$A$6:$L$10,8,FALSE)/2,IF($I89&lt;K$3,VLOOKUP($H89,Depreciation!$A$6:$L$10,8,FALSE),0))</f>
        <v>0</v>
      </c>
      <c r="L89" s="361">
        <f>+IF($I89=L$3,VLOOKUP($H89,Depreciation!$A$6:$L$10,9,FALSE)/2,IF($I89&lt;L$3,VLOOKUP($H89,Depreciation!$A$6:$L$10,9,FALSE),0))</f>
        <v>1.5338181838063448E-2</v>
      </c>
      <c r="M89" s="361">
        <f>+IF($I89=M$3,VLOOKUP($H89,Depreciation!$A$6:$L$10,10,FALSE)/2,IF($I89&lt;M$3,VLOOKUP($H89,Depreciation!$A$6:$L$10,10,FALSE),0))</f>
        <v>3.0676363676126896E-2</v>
      </c>
      <c r="N89" s="361">
        <f>+IF($I89=N$3,VLOOKUP($H89,Depreciation!$A$6:$L$10,11,FALSE)/2,IF($I89&lt;N$3,VLOOKUP($H89,Depreciation!$A$6:$L$10,11,FALSE),0))</f>
        <v>3.0676363676126896E-2</v>
      </c>
      <c r="O89" s="361">
        <f>+IF($I89=O$3,VLOOKUP($H89,Depreciation!$A$6:$L$10,12,FALSE)/2,IF($I89&lt;O$3,VLOOKUP($H89,Depreciation!$A$6:$L$10,12,FALSE),0))</f>
        <v>3.0676363676126896E-2</v>
      </c>
      <c r="P89" s="362">
        <f t="shared" si="4"/>
        <v>20126727.513753641</v>
      </c>
      <c r="Q89" s="362">
        <f t="shared" si="5"/>
        <v>20126727.513753641</v>
      </c>
      <c r="R89" s="363">
        <f t="shared" si="6"/>
        <v>0</v>
      </c>
      <c r="Y89" s="365"/>
    </row>
    <row r="90" spans="1:25" ht="15" customHeight="1">
      <c r="A90" s="359" t="str">
        <f>'Func Future Lines 2015'!A90</f>
        <v>PPS</v>
      </c>
      <c r="B90" s="359" t="str">
        <f>'Func Future Lines 2015'!B90</f>
        <v>755L d/c monopole section</v>
      </c>
      <c r="C90" s="359">
        <f>'Func Future Lines 2015'!C90</f>
        <v>813</v>
      </c>
      <c r="D90" s="359">
        <f>'Func Future Lines 2015'!D90</f>
        <v>240</v>
      </c>
      <c r="E90" s="359">
        <f>'Func Future Lines 2015'!E90</f>
        <v>0</v>
      </c>
      <c r="F90" s="359" t="str">
        <f>'Func Future Lines 2015'!F90</f>
        <v>Red_Deer</v>
      </c>
      <c r="G90" s="360">
        <f>'Func Future Lines 2015'!G90</f>
        <v>37092819.745882899</v>
      </c>
      <c r="H90" s="359" t="str">
        <f>'Func Future Lines 2015'!H90</f>
        <v>AltaLink</v>
      </c>
      <c r="I90" s="359">
        <f>'Func Future Lines 2015'!I90</f>
        <v>2017</v>
      </c>
      <c r="J90" s="361">
        <f>+IF($I90=J$3,VLOOKUP($H90,Depreciation!$A$6:$L$10,7,FALSE)/2,IF($I90&lt;J$3,VLOOKUP($H90,Depreciation!$A$6:$L$10,7,FALSE),0))</f>
        <v>0</v>
      </c>
      <c r="K90" s="361">
        <f>+IF($I90=K$3,VLOOKUP($H90,Depreciation!$A$6:$L$10,8,FALSE)/2,IF($I90&lt;K$3,VLOOKUP($H90,Depreciation!$A$6:$L$10,8,FALSE),0))</f>
        <v>0</v>
      </c>
      <c r="L90" s="361">
        <f>+IF($I90=L$3,VLOOKUP($H90,Depreciation!$A$6:$L$10,9,FALSE)/2,IF($I90&lt;L$3,VLOOKUP($H90,Depreciation!$A$6:$L$10,9,FALSE),0))</f>
        <v>1.5338181838063448E-2</v>
      </c>
      <c r="M90" s="361">
        <f>+IF($I90=M$3,VLOOKUP($H90,Depreciation!$A$6:$L$10,10,FALSE)/2,IF($I90&lt;M$3,VLOOKUP($H90,Depreciation!$A$6:$L$10,10,FALSE),0))</f>
        <v>3.0676363676126896E-2</v>
      </c>
      <c r="N90" s="361">
        <f>+IF($I90=N$3,VLOOKUP($H90,Depreciation!$A$6:$L$10,11,FALSE)/2,IF($I90&lt;N$3,VLOOKUP($H90,Depreciation!$A$6:$L$10,11,FALSE),0))</f>
        <v>3.0676363676126896E-2</v>
      </c>
      <c r="O90" s="361">
        <f>+IF($I90=O$3,VLOOKUP($H90,Depreciation!$A$6:$L$10,12,FALSE)/2,IF($I90&lt;O$3,VLOOKUP($H90,Depreciation!$A$6:$L$10,12,FALSE),0))</f>
        <v>3.0676363676126896E-2</v>
      </c>
      <c r="P90" s="362">
        <f t="shared" si="4"/>
        <v>33264680.416255437</v>
      </c>
      <c r="Q90" s="362">
        <f t="shared" si="5"/>
        <v>33264680.416255437</v>
      </c>
      <c r="R90" s="363">
        <f t="shared" si="6"/>
        <v>0</v>
      </c>
      <c r="Y90" s="365"/>
    </row>
    <row r="91" spans="1:25" ht="15" customHeight="1">
      <c r="A91" s="359" t="str">
        <f>'Func Future Lines 2015'!A91</f>
        <v>FINAL</v>
      </c>
      <c r="B91" s="359" t="str">
        <f>'Func Future Lines 2015'!B91</f>
        <v>768L/778L</v>
      </c>
      <c r="C91" s="359">
        <f>'Func Future Lines 2015'!C91</f>
        <v>813</v>
      </c>
      <c r="D91" s="359">
        <f>'Func Future Lines 2015'!D91</f>
        <v>138</v>
      </c>
      <c r="E91" s="359">
        <f>'Func Future Lines 2015'!E91</f>
        <v>0</v>
      </c>
      <c r="F91" s="359" t="str">
        <f>'Func Future Lines 2015'!F91</f>
        <v>Red_Deer</v>
      </c>
      <c r="G91" s="360">
        <f>'Func Future Lines 2015'!G91</f>
        <v>1301580.81090504</v>
      </c>
      <c r="H91" s="359" t="str">
        <f>'Func Future Lines 2015'!H91</f>
        <v>AltaLink</v>
      </c>
      <c r="I91" s="359">
        <f>'Func Future Lines 2015'!I91</f>
        <v>2017</v>
      </c>
      <c r="J91" s="361">
        <f>+IF($I91=J$3,VLOOKUP($H91,Depreciation!$A$6:$L$10,7,FALSE)/2,IF($I91&lt;J$3,VLOOKUP($H91,Depreciation!$A$6:$L$10,7,FALSE),0))</f>
        <v>0</v>
      </c>
      <c r="K91" s="361">
        <f>+IF($I91=K$3,VLOOKUP($H91,Depreciation!$A$6:$L$10,8,FALSE)/2,IF($I91&lt;K$3,VLOOKUP($H91,Depreciation!$A$6:$L$10,8,FALSE),0))</f>
        <v>0</v>
      </c>
      <c r="L91" s="361">
        <f>+IF($I91=L$3,VLOOKUP($H91,Depreciation!$A$6:$L$10,9,FALSE)/2,IF($I91&lt;L$3,VLOOKUP($H91,Depreciation!$A$6:$L$10,9,FALSE),0))</f>
        <v>1.5338181838063448E-2</v>
      </c>
      <c r="M91" s="361">
        <f>+IF($I91=M$3,VLOOKUP($H91,Depreciation!$A$6:$L$10,10,FALSE)/2,IF($I91&lt;M$3,VLOOKUP($H91,Depreciation!$A$6:$L$10,10,FALSE),0))</f>
        <v>3.0676363676126896E-2</v>
      </c>
      <c r="N91" s="361">
        <f>+IF($I91=N$3,VLOOKUP($H91,Depreciation!$A$6:$L$10,11,FALSE)/2,IF($I91&lt;N$3,VLOOKUP($H91,Depreciation!$A$6:$L$10,11,FALSE),0))</f>
        <v>3.0676363676126896E-2</v>
      </c>
      <c r="O91" s="361">
        <f>+IF($I91=O$3,VLOOKUP($H91,Depreciation!$A$6:$L$10,12,FALSE)/2,IF($I91&lt;O$3,VLOOKUP($H91,Depreciation!$A$6:$L$10,12,FALSE),0))</f>
        <v>3.0676363676126896E-2</v>
      </c>
      <c r="P91" s="362">
        <f t="shared" si="4"/>
        <v>1167252.0452018871</v>
      </c>
      <c r="Q91" s="362">
        <f t="shared" si="5"/>
        <v>0</v>
      </c>
      <c r="R91" s="363">
        <f t="shared" si="6"/>
        <v>1167252.0452018871</v>
      </c>
      <c r="Y91" s="365"/>
    </row>
    <row r="92" spans="1:25" ht="15" customHeight="1">
      <c r="A92" s="359" t="str">
        <f>'Func Future Lines 2015'!A92</f>
        <v>FINAL</v>
      </c>
      <c r="B92" s="359" t="str">
        <f>'Func Future Lines 2015'!B92</f>
        <v>80L</v>
      </c>
      <c r="C92" s="359">
        <f>'Func Future Lines 2015'!C92</f>
        <v>813</v>
      </c>
      <c r="D92" s="359">
        <f>'Func Future Lines 2015'!D92</f>
        <v>138</v>
      </c>
      <c r="E92" s="359">
        <f>'Func Future Lines 2015'!E92</f>
        <v>0</v>
      </c>
      <c r="F92" s="359" t="str">
        <f>'Func Future Lines 2015'!F92</f>
        <v>Red_Deer</v>
      </c>
      <c r="G92" s="360">
        <f>'Func Future Lines 2015'!G92</f>
        <v>629225.31498373614</v>
      </c>
      <c r="H92" s="359" t="str">
        <f>'Func Future Lines 2015'!H92</f>
        <v>AltaLink</v>
      </c>
      <c r="I92" s="359">
        <f>'Func Future Lines 2015'!I92</f>
        <v>2017</v>
      </c>
      <c r="J92" s="361">
        <f>+IF($I92=J$3,VLOOKUP($H92,Depreciation!$A$6:$L$10,7,FALSE)/2,IF($I92&lt;J$3,VLOOKUP($H92,Depreciation!$A$6:$L$10,7,FALSE),0))</f>
        <v>0</v>
      </c>
      <c r="K92" s="361">
        <f>+IF($I92=K$3,VLOOKUP($H92,Depreciation!$A$6:$L$10,8,FALSE)/2,IF($I92&lt;K$3,VLOOKUP($H92,Depreciation!$A$6:$L$10,8,FALSE),0))</f>
        <v>0</v>
      </c>
      <c r="L92" s="361">
        <f>+IF($I92=L$3,VLOOKUP($H92,Depreciation!$A$6:$L$10,9,FALSE)/2,IF($I92&lt;L$3,VLOOKUP($H92,Depreciation!$A$6:$L$10,9,FALSE),0))</f>
        <v>1.5338181838063448E-2</v>
      </c>
      <c r="M92" s="361">
        <f>+IF($I92=M$3,VLOOKUP($H92,Depreciation!$A$6:$L$10,10,FALSE)/2,IF($I92&lt;M$3,VLOOKUP($H92,Depreciation!$A$6:$L$10,10,FALSE),0))</f>
        <v>3.0676363676126896E-2</v>
      </c>
      <c r="N92" s="361">
        <f>+IF($I92=N$3,VLOOKUP($H92,Depreciation!$A$6:$L$10,11,FALSE)/2,IF($I92&lt;N$3,VLOOKUP($H92,Depreciation!$A$6:$L$10,11,FALSE),0))</f>
        <v>3.0676363676126896E-2</v>
      </c>
      <c r="O92" s="361">
        <f>+IF($I92=O$3,VLOOKUP($H92,Depreciation!$A$6:$L$10,12,FALSE)/2,IF($I92&lt;O$3,VLOOKUP($H92,Depreciation!$A$6:$L$10,12,FALSE),0))</f>
        <v>3.0676363676126896E-2</v>
      </c>
      <c r="P92" s="362">
        <f t="shared" si="4"/>
        <v>564286.54268255981</v>
      </c>
      <c r="Q92" s="362">
        <f t="shared" si="5"/>
        <v>0</v>
      </c>
      <c r="R92" s="363">
        <f t="shared" si="6"/>
        <v>564286.54268255981</v>
      </c>
      <c r="Y92" s="365"/>
    </row>
    <row r="93" spans="1:25" ht="15" customHeight="1">
      <c r="A93" s="359" t="str">
        <f>'Func Future Lines 2015'!A93</f>
        <v>PPS</v>
      </c>
      <c r="B93" s="359" t="str">
        <f>'Func Future Lines 2015'!B93</f>
        <v>80L (GD)</v>
      </c>
      <c r="C93" s="359">
        <f>'Func Future Lines 2015'!C93</f>
        <v>813</v>
      </c>
      <c r="D93" s="359">
        <f>'Func Future Lines 2015'!D93</f>
        <v>138</v>
      </c>
      <c r="E93" s="359">
        <f>'Func Future Lines 2015'!E93</f>
        <v>0</v>
      </c>
      <c r="F93" s="359" t="str">
        <f>'Func Future Lines 2015'!F93</f>
        <v>Red_Deer</v>
      </c>
      <c r="G93" s="360">
        <f>'Func Future Lines 2015'!G93</f>
        <v>442355.47350755217</v>
      </c>
      <c r="H93" s="359" t="str">
        <f>'Func Future Lines 2015'!H93</f>
        <v>AltaLink</v>
      </c>
      <c r="I93" s="359">
        <f>'Func Future Lines 2015'!I93</f>
        <v>2017</v>
      </c>
      <c r="J93" s="361">
        <f>+IF($I93=J$3,VLOOKUP($H93,Depreciation!$A$6:$L$10,7,FALSE)/2,IF($I93&lt;J$3,VLOOKUP($H93,Depreciation!$A$6:$L$10,7,FALSE),0))</f>
        <v>0</v>
      </c>
      <c r="K93" s="361">
        <f>+IF($I93=K$3,VLOOKUP($H93,Depreciation!$A$6:$L$10,8,FALSE)/2,IF($I93&lt;K$3,VLOOKUP($H93,Depreciation!$A$6:$L$10,8,FALSE),0))</f>
        <v>0</v>
      </c>
      <c r="L93" s="361">
        <f>+IF($I93=L$3,VLOOKUP($H93,Depreciation!$A$6:$L$10,9,FALSE)/2,IF($I93&lt;L$3,VLOOKUP($H93,Depreciation!$A$6:$L$10,9,FALSE),0))</f>
        <v>1.5338181838063448E-2</v>
      </c>
      <c r="M93" s="361">
        <f>+IF($I93=M$3,VLOOKUP($H93,Depreciation!$A$6:$L$10,10,FALSE)/2,IF($I93&lt;M$3,VLOOKUP($H93,Depreciation!$A$6:$L$10,10,FALSE),0))</f>
        <v>3.0676363676126896E-2</v>
      </c>
      <c r="N93" s="361">
        <f>+IF($I93=N$3,VLOOKUP($H93,Depreciation!$A$6:$L$10,11,FALSE)/2,IF($I93&lt;N$3,VLOOKUP($H93,Depreciation!$A$6:$L$10,11,FALSE),0))</f>
        <v>3.0676363676126896E-2</v>
      </c>
      <c r="O93" s="361">
        <f>+IF($I93=O$3,VLOOKUP($H93,Depreciation!$A$6:$L$10,12,FALSE)/2,IF($I93&lt;O$3,VLOOKUP($H93,Depreciation!$A$6:$L$10,12,FALSE),0))</f>
        <v>3.0676363676126896E-2</v>
      </c>
      <c r="P93" s="362">
        <f t="shared" si="4"/>
        <v>396702.47658223216</v>
      </c>
      <c r="Q93" s="362">
        <f t="shared" si="5"/>
        <v>0</v>
      </c>
      <c r="R93" s="363">
        <f t="shared" si="6"/>
        <v>396702.47658223216</v>
      </c>
      <c r="Y93" s="365"/>
    </row>
    <row r="94" spans="1:25" ht="15" customHeight="1">
      <c r="A94" s="359" t="str">
        <f>'Func Future Lines 2015'!A94</f>
        <v>PPS</v>
      </c>
      <c r="B94" s="359" t="str">
        <f>'Func Future Lines 2015'!B94</f>
        <v>80L North (425L)</v>
      </c>
      <c r="C94" s="359">
        <f>'Func Future Lines 2015'!C94</f>
        <v>813</v>
      </c>
      <c r="D94" s="359">
        <f>'Func Future Lines 2015'!D94</f>
        <v>138</v>
      </c>
      <c r="E94" s="359">
        <f>'Func Future Lines 2015'!E94</f>
        <v>0</v>
      </c>
      <c r="F94" s="359" t="str">
        <f>'Func Future Lines 2015'!F94</f>
        <v>Red_Deer</v>
      </c>
      <c r="G94" s="360">
        <f>'Func Future Lines 2015'!G94</f>
        <v>14334305.158686891</v>
      </c>
      <c r="H94" s="359" t="str">
        <f>'Func Future Lines 2015'!H94</f>
        <v>AltaLink</v>
      </c>
      <c r="I94" s="359">
        <f>'Func Future Lines 2015'!I94</f>
        <v>2017</v>
      </c>
      <c r="J94" s="361">
        <f>+IF($I94=J$3,VLOOKUP($H94,Depreciation!$A$6:$L$10,7,FALSE)/2,IF($I94&lt;J$3,VLOOKUP($H94,Depreciation!$A$6:$L$10,7,FALSE),0))</f>
        <v>0</v>
      </c>
      <c r="K94" s="361">
        <f>+IF($I94=K$3,VLOOKUP($H94,Depreciation!$A$6:$L$10,8,FALSE)/2,IF($I94&lt;K$3,VLOOKUP($H94,Depreciation!$A$6:$L$10,8,FALSE),0))</f>
        <v>0</v>
      </c>
      <c r="L94" s="361">
        <f>+IF($I94=L$3,VLOOKUP($H94,Depreciation!$A$6:$L$10,9,FALSE)/2,IF($I94&lt;L$3,VLOOKUP($H94,Depreciation!$A$6:$L$10,9,FALSE),0))</f>
        <v>1.5338181838063448E-2</v>
      </c>
      <c r="M94" s="361">
        <f>+IF($I94=M$3,VLOOKUP($H94,Depreciation!$A$6:$L$10,10,FALSE)/2,IF($I94&lt;M$3,VLOOKUP($H94,Depreciation!$A$6:$L$10,10,FALSE),0))</f>
        <v>3.0676363676126896E-2</v>
      </c>
      <c r="N94" s="361">
        <f>+IF($I94=N$3,VLOOKUP($H94,Depreciation!$A$6:$L$10,11,FALSE)/2,IF($I94&lt;N$3,VLOOKUP($H94,Depreciation!$A$6:$L$10,11,FALSE),0))</f>
        <v>3.0676363676126896E-2</v>
      </c>
      <c r="O94" s="361">
        <f>+IF($I94=O$3,VLOOKUP($H94,Depreciation!$A$6:$L$10,12,FALSE)/2,IF($I94&lt;O$3,VLOOKUP($H94,Depreciation!$A$6:$L$10,12,FALSE),0))</f>
        <v>3.0676363676126896E-2</v>
      </c>
      <c r="P94" s="362">
        <f t="shared" si="4"/>
        <v>12854942.906995527</v>
      </c>
      <c r="Q94" s="362">
        <f t="shared" si="5"/>
        <v>0</v>
      </c>
      <c r="R94" s="363">
        <f t="shared" si="6"/>
        <v>12854942.906995527</v>
      </c>
      <c r="Y94" s="365"/>
    </row>
    <row r="95" spans="1:25" ht="15" customHeight="1">
      <c r="A95" s="359" t="str">
        <f>'Func Future Lines 2015'!A95</f>
        <v>PPS</v>
      </c>
      <c r="B95" s="359" t="str">
        <f>'Func Future Lines 2015'!B95</f>
        <v>80L South (426L)</v>
      </c>
      <c r="C95" s="359">
        <f>'Func Future Lines 2015'!C95</f>
        <v>813</v>
      </c>
      <c r="D95" s="359">
        <f>'Func Future Lines 2015'!D95</f>
        <v>138</v>
      </c>
      <c r="E95" s="359">
        <f>'Func Future Lines 2015'!E95</f>
        <v>0</v>
      </c>
      <c r="F95" s="359" t="str">
        <f>'Func Future Lines 2015'!F95</f>
        <v>Red_Deer</v>
      </c>
      <c r="G95" s="360">
        <f>'Func Future Lines 2015'!G95</f>
        <v>10724430.608572371</v>
      </c>
      <c r="H95" s="359" t="str">
        <f>'Func Future Lines 2015'!H95</f>
        <v>AltaLink</v>
      </c>
      <c r="I95" s="359">
        <f>'Func Future Lines 2015'!I95</f>
        <v>2017</v>
      </c>
      <c r="J95" s="361">
        <f>+IF($I95=J$3,VLOOKUP($H95,Depreciation!$A$6:$L$10,7,FALSE)/2,IF($I95&lt;J$3,VLOOKUP($H95,Depreciation!$A$6:$L$10,7,FALSE),0))</f>
        <v>0</v>
      </c>
      <c r="K95" s="361">
        <f>+IF($I95=K$3,VLOOKUP($H95,Depreciation!$A$6:$L$10,8,FALSE)/2,IF($I95&lt;K$3,VLOOKUP($H95,Depreciation!$A$6:$L$10,8,FALSE),0))</f>
        <v>0</v>
      </c>
      <c r="L95" s="361">
        <f>+IF($I95=L$3,VLOOKUP($H95,Depreciation!$A$6:$L$10,9,FALSE)/2,IF($I95&lt;L$3,VLOOKUP($H95,Depreciation!$A$6:$L$10,9,FALSE),0))</f>
        <v>1.5338181838063448E-2</v>
      </c>
      <c r="M95" s="361">
        <f>+IF($I95=M$3,VLOOKUP($H95,Depreciation!$A$6:$L$10,10,FALSE)/2,IF($I95&lt;M$3,VLOOKUP($H95,Depreciation!$A$6:$L$10,10,FALSE),0))</f>
        <v>3.0676363676126896E-2</v>
      </c>
      <c r="N95" s="361">
        <f>+IF($I95=N$3,VLOOKUP($H95,Depreciation!$A$6:$L$10,11,FALSE)/2,IF($I95&lt;N$3,VLOOKUP($H95,Depreciation!$A$6:$L$10,11,FALSE),0))</f>
        <v>3.0676363676126896E-2</v>
      </c>
      <c r="O95" s="361">
        <f>+IF($I95=O$3,VLOOKUP($H95,Depreciation!$A$6:$L$10,12,FALSE)/2,IF($I95&lt;O$3,VLOOKUP($H95,Depreciation!$A$6:$L$10,12,FALSE),0))</f>
        <v>3.0676363676126896E-2</v>
      </c>
      <c r="P95" s="362">
        <f t="shared" si="4"/>
        <v>9617623.0139544569</v>
      </c>
      <c r="Q95" s="362">
        <f t="shared" si="5"/>
        <v>0</v>
      </c>
      <c r="R95" s="363">
        <f t="shared" si="6"/>
        <v>9617623.0139544569</v>
      </c>
      <c r="Y95" s="365"/>
    </row>
    <row r="96" spans="1:25" ht="15" customHeight="1">
      <c r="A96" s="359" t="str">
        <f>'Func Future Lines 2015'!A96</f>
        <v>PPS</v>
      </c>
      <c r="B96" s="359" t="str">
        <f>'Func Future Lines 2015'!B96</f>
        <v>80L underground</v>
      </c>
      <c r="C96" s="359">
        <f>'Func Future Lines 2015'!C96</f>
        <v>813</v>
      </c>
      <c r="D96" s="359">
        <f>'Func Future Lines 2015'!D96</f>
        <v>138</v>
      </c>
      <c r="E96" s="359">
        <f>'Func Future Lines 2015'!E96</f>
        <v>0</v>
      </c>
      <c r="F96" s="359" t="str">
        <f>'Func Future Lines 2015'!F96</f>
        <v>Red_Deer</v>
      </c>
      <c r="G96" s="360">
        <f>'Func Future Lines 2015'!G96</f>
        <v>8700999.9999999944</v>
      </c>
      <c r="H96" s="359" t="str">
        <f>'Func Future Lines 2015'!H96</f>
        <v>AltaLink</v>
      </c>
      <c r="I96" s="359">
        <f>'Func Future Lines 2015'!I96</f>
        <v>2017</v>
      </c>
      <c r="J96" s="361">
        <f>+IF($I96=J$3,VLOOKUP($H96,Depreciation!$A$6:$L$10,7,FALSE)/2,IF($I96&lt;J$3,VLOOKUP($H96,Depreciation!$A$6:$L$10,7,FALSE),0))</f>
        <v>0</v>
      </c>
      <c r="K96" s="361">
        <f>+IF($I96=K$3,VLOOKUP($H96,Depreciation!$A$6:$L$10,8,FALSE)/2,IF($I96&lt;K$3,VLOOKUP($H96,Depreciation!$A$6:$L$10,8,FALSE),0))</f>
        <v>0</v>
      </c>
      <c r="L96" s="361">
        <f>+IF($I96=L$3,VLOOKUP($H96,Depreciation!$A$6:$L$10,9,FALSE)/2,IF($I96&lt;L$3,VLOOKUP($H96,Depreciation!$A$6:$L$10,9,FALSE),0))</f>
        <v>1.5338181838063448E-2</v>
      </c>
      <c r="M96" s="361">
        <f>+IF($I96=M$3,VLOOKUP($H96,Depreciation!$A$6:$L$10,10,FALSE)/2,IF($I96&lt;M$3,VLOOKUP($H96,Depreciation!$A$6:$L$10,10,FALSE),0))</f>
        <v>3.0676363676126896E-2</v>
      </c>
      <c r="N96" s="361">
        <f>+IF($I96=N$3,VLOOKUP($H96,Depreciation!$A$6:$L$10,11,FALSE)/2,IF($I96&lt;N$3,VLOOKUP($H96,Depreciation!$A$6:$L$10,11,FALSE),0))</f>
        <v>3.0676363676126896E-2</v>
      </c>
      <c r="O96" s="361">
        <f>+IF($I96=O$3,VLOOKUP($H96,Depreciation!$A$6:$L$10,12,FALSE)/2,IF($I96&lt;O$3,VLOOKUP($H96,Depreciation!$A$6:$L$10,12,FALSE),0))</f>
        <v>3.0676363676126896E-2</v>
      </c>
      <c r="P96" s="362">
        <f t="shared" si="4"/>
        <v>7803019.1903640358</v>
      </c>
      <c r="Q96" s="362">
        <f t="shared" si="5"/>
        <v>0</v>
      </c>
      <c r="R96" s="363">
        <f t="shared" si="6"/>
        <v>7803019.1903640358</v>
      </c>
      <c r="Y96" s="365"/>
    </row>
    <row r="97" spans="1:25" ht="15" customHeight="1">
      <c r="A97" s="359" t="str">
        <f>'Func Future Lines 2015'!A97</f>
        <v>PPS</v>
      </c>
      <c r="B97" s="359" t="str">
        <f>'Func Future Lines 2015'!B97</f>
        <v>883L</v>
      </c>
      <c r="C97" s="359">
        <f>'Func Future Lines 2015'!C97</f>
        <v>813</v>
      </c>
      <c r="D97" s="359">
        <f>'Func Future Lines 2015'!D97</f>
        <v>138</v>
      </c>
      <c r="E97" s="359">
        <f>'Func Future Lines 2015'!E97</f>
        <v>0</v>
      </c>
      <c r="F97" s="359" t="str">
        <f>'Func Future Lines 2015'!F97</f>
        <v>Red_Deer</v>
      </c>
      <c r="G97" s="360">
        <f>'Func Future Lines 2015'!G97</f>
        <v>2041375.8427235677</v>
      </c>
      <c r="H97" s="359" t="str">
        <f>'Func Future Lines 2015'!H97</f>
        <v>AltaLink</v>
      </c>
      <c r="I97" s="359">
        <f>'Func Future Lines 2015'!I97</f>
        <v>2017</v>
      </c>
      <c r="J97" s="361">
        <f>+IF($I97=J$3,VLOOKUP($H97,Depreciation!$A$6:$L$10,7,FALSE)/2,IF($I97&lt;J$3,VLOOKUP($H97,Depreciation!$A$6:$L$10,7,FALSE),0))</f>
        <v>0</v>
      </c>
      <c r="K97" s="361">
        <f>+IF($I97=K$3,VLOOKUP($H97,Depreciation!$A$6:$L$10,8,FALSE)/2,IF($I97&lt;K$3,VLOOKUP($H97,Depreciation!$A$6:$L$10,8,FALSE),0))</f>
        <v>0</v>
      </c>
      <c r="L97" s="361">
        <f>+IF($I97=L$3,VLOOKUP($H97,Depreciation!$A$6:$L$10,9,FALSE)/2,IF($I97&lt;L$3,VLOOKUP($H97,Depreciation!$A$6:$L$10,9,FALSE),0))</f>
        <v>1.5338181838063448E-2</v>
      </c>
      <c r="M97" s="361">
        <f>+IF($I97=M$3,VLOOKUP($H97,Depreciation!$A$6:$L$10,10,FALSE)/2,IF($I97&lt;M$3,VLOOKUP($H97,Depreciation!$A$6:$L$10,10,FALSE),0))</f>
        <v>3.0676363676126896E-2</v>
      </c>
      <c r="N97" s="361">
        <f>+IF($I97=N$3,VLOOKUP($H97,Depreciation!$A$6:$L$10,11,FALSE)/2,IF($I97&lt;N$3,VLOOKUP($H97,Depreciation!$A$6:$L$10,11,FALSE),0))</f>
        <v>3.0676363676126896E-2</v>
      </c>
      <c r="O97" s="361">
        <f>+IF($I97=O$3,VLOOKUP($H97,Depreciation!$A$6:$L$10,12,FALSE)/2,IF($I97&lt;O$3,VLOOKUP($H97,Depreciation!$A$6:$L$10,12,FALSE),0))</f>
        <v>3.0676363676126896E-2</v>
      </c>
      <c r="P97" s="362">
        <f t="shared" si="4"/>
        <v>1830697.0320098344</v>
      </c>
      <c r="Q97" s="362">
        <f t="shared" si="5"/>
        <v>0</v>
      </c>
      <c r="R97" s="363">
        <f t="shared" si="6"/>
        <v>1830697.0320098344</v>
      </c>
      <c r="Y97" s="365"/>
    </row>
    <row r="98" spans="1:25" ht="15" customHeight="1">
      <c r="A98" s="359" t="str">
        <f>'Func Future Lines 2015'!A98</f>
        <v>PPS</v>
      </c>
      <c r="B98" s="359" t="str">
        <f>'Func Future Lines 2015'!B98</f>
        <v>910L/1083L</v>
      </c>
      <c r="C98" s="359">
        <f>'Func Future Lines 2015'!C98</f>
        <v>813</v>
      </c>
      <c r="D98" s="359">
        <f>'Func Future Lines 2015'!D98</f>
        <v>240</v>
      </c>
      <c r="E98" s="359">
        <f>'Func Future Lines 2015'!E98</f>
        <v>0</v>
      </c>
      <c r="F98" s="359" t="str">
        <f>'Func Future Lines 2015'!F98</f>
        <v>Red_Deer</v>
      </c>
      <c r="G98" s="360">
        <f>'Func Future Lines 2015'!G98</f>
        <v>1595577.9141692643</v>
      </c>
      <c r="H98" s="359" t="str">
        <f>'Func Future Lines 2015'!H98</f>
        <v>AltaLink</v>
      </c>
      <c r="I98" s="359">
        <f>'Func Future Lines 2015'!I98</f>
        <v>2017</v>
      </c>
      <c r="J98" s="361">
        <f>+IF($I98=J$3,VLOOKUP($H98,Depreciation!$A$6:$L$10,7,FALSE)/2,IF($I98&lt;J$3,VLOOKUP($H98,Depreciation!$A$6:$L$10,7,FALSE),0))</f>
        <v>0</v>
      </c>
      <c r="K98" s="361">
        <f>+IF($I98=K$3,VLOOKUP($H98,Depreciation!$A$6:$L$10,8,FALSE)/2,IF($I98&lt;K$3,VLOOKUP($H98,Depreciation!$A$6:$L$10,8,FALSE),0))</f>
        <v>0</v>
      </c>
      <c r="L98" s="361">
        <f>+IF($I98=L$3,VLOOKUP($H98,Depreciation!$A$6:$L$10,9,FALSE)/2,IF($I98&lt;L$3,VLOOKUP($H98,Depreciation!$A$6:$L$10,9,FALSE),0))</f>
        <v>1.5338181838063448E-2</v>
      </c>
      <c r="M98" s="361">
        <f>+IF($I98=M$3,VLOOKUP($H98,Depreciation!$A$6:$L$10,10,FALSE)/2,IF($I98&lt;M$3,VLOOKUP($H98,Depreciation!$A$6:$L$10,10,FALSE),0))</f>
        <v>3.0676363676126896E-2</v>
      </c>
      <c r="N98" s="361">
        <f>+IF($I98=N$3,VLOOKUP($H98,Depreciation!$A$6:$L$10,11,FALSE)/2,IF($I98&lt;N$3,VLOOKUP($H98,Depreciation!$A$6:$L$10,11,FALSE),0))</f>
        <v>3.0676363676126896E-2</v>
      </c>
      <c r="O98" s="361">
        <f>+IF($I98=O$3,VLOOKUP($H98,Depreciation!$A$6:$L$10,12,FALSE)/2,IF($I98&lt;O$3,VLOOKUP($H98,Depreciation!$A$6:$L$10,12,FALSE),0))</f>
        <v>3.0676363676126896E-2</v>
      </c>
      <c r="P98" s="362">
        <f t="shared" si="4"/>
        <v>1430907.3766215148</v>
      </c>
      <c r="Q98" s="362">
        <f t="shared" si="5"/>
        <v>1430907.3766215148</v>
      </c>
      <c r="R98" s="363">
        <f t="shared" si="6"/>
        <v>0</v>
      </c>
      <c r="Y98" s="365"/>
    </row>
    <row r="99" spans="1:25" ht="15" customHeight="1">
      <c r="A99" s="359" t="str">
        <f>'Func Future Lines 2015'!A99</f>
        <v>PPS</v>
      </c>
      <c r="B99" s="359" t="str">
        <f>'Func Future Lines 2015'!B99</f>
        <v>910L/1083L</v>
      </c>
      <c r="C99" s="359">
        <f>'Func Future Lines 2015'!C99</f>
        <v>813</v>
      </c>
      <c r="D99" s="359">
        <f>'Func Future Lines 2015'!D99</f>
        <v>240</v>
      </c>
      <c r="E99" s="359">
        <f>'Func Future Lines 2015'!E99</f>
        <v>0</v>
      </c>
      <c r="F99" s="359" t="str">
        <f>'Func Future Lines 2015'!F99</f>
        <v>Red_Deer</v>
      </c>
      <c r="G99" s="360">
        <f>'Func Future Lines 2015'!G99</f>
        <v>1626560.0095900265</v>
      </c>
      <c r="H99" s="359" t="str">
        <f>'Func Future Lines 2015'!H99</f>
        <v>AltaLink</v>
      </c>
      <c r="I99" s="359">
        <f>'Func Future Lines 2015'!I99</f>
        <v>2017</v>
      </c>
      <c r="J99" s="361">
        <f>+IF($I99=J$3,VLOOKUP($H99,Depreciation!$A$6:$L$10,7,FALSE)/2,IF($I99&lt;J$3,VLOOKUP($H99,Depreciation!$A$6:$L$10,7,FALSE),0))</f>
        <v>0</v>
      </c>
      <c r="K99" s="361">
        <f>+IF($I99=K$3,VLOOKUP($H99,Depreciation!$A$6:$L$10,8,FALSE)/2,IF($I99&lt;K$3,VLOOKUP($H99,Depreciation!$A$6:$L$10,8,FALSE),0))</f>
        <v>0</v>
      </c>
      <c r="L99" s="361">
        <f>+IF($I99=L$3,VLOOKUP($H99,Depreciation!$A$6:$L$10,9,FALSE)/2,IF($I99&lt;L$3,VLOOKUP($H99,Depreciation!$A$6:$L$10,9,FALSE),0))</f>
        <v>1.5338181838063448E-2</v>
      </c>
      <c r="M99" s="361">
        <f>+IF($I99=M$3,VLOOKUP($H99,Depreciation!$A$6:$L$10,10,FALSE)/2,IF($I99&lt;M$3,VLOOKUP($H99,Depreciation!$A$6:$L$10,10,FALSE),0))</f>
        <v>3.0676363676126896E-2</v>
      </c>
      <c r="N99" s="361">
        <f>+IF($I99=N$3,VLOOKUP($H99,Depreciation!$A$6:$L$10,11,FALSE)/2,IF($I99&lt;N$3,VLOOKUP($H99,Depreciation!$A$6:$L$10,11,FALSE),0))</f>
        <v>3.0676363676126896E-2</v>
      </c>
      <c r="O99" s="361">
        <f>+IF($I99=O$3,VLOOKUP($H99,Depreciation!$A$6:$L$10,12,FALSE)/2,IF($I99&lt;O$3,VLOOKUP($H99,Depreciation!$A$6:$L$10,12,FALSE),0))</f>
        <v>3.0676363676126896E-2</v>
      </c>
      <c r="P99" s="362">
        <f t="shared" si="4"/>
        <v>1458691.9858763013</v>
      </c>
      <c r="Q99" s="362">
        <f t="shared" si="5"/>
        <v>1458691.9858763013</v>
      </c>
      <c r="R99" s="363">
        <f t="shared" si="6"/>
        <v>0</v>
      </c>
      <c r="Y99" s="365"/>
    </row>
    <row r="100" spans="1:25" ht="15" customHeight="1">
      <c r="A100" s="359" t="str">
        <f>'Func Future Lines 2015'!A100</f>
        <v>PPS</v>
      </c>
      <c r="B100" s="359" t="str">
        <f>'Func Future Lines 2015'!B100</f>
        <v>918L/1081L</v>
      </c>
      <c r="C100" s="359">
        <f>'Func Future Lines 2015'!C100</f>
        <v>813</v>
      </c>
      <c r="D100" s="359">
        <f>'Func Future Lines 2015'!D100</f>
        <v>240</v>
      </c>
      <c r="E100" s="359">
        <f>'Func Future Lines 2015'!E100</f>
        <v>0</v>
      </c>
      <c r="F100" s="359" t="str">
        <f>'Func Future Lines 2015'!F100</f>
        <v>Red_Deer</v>
      </c>
      <c r="G100" s="360">
        <f>'Func Future Lines 2015'!G100</f>
        <v>1543941.0884679935</v>
      </c>
      <c r="H100" s="359" t="str">
        <f>'Func Future Lines 2015'!H100</f>
        <v>AltaLink</v>
      </c>
      <c r="I100" s="359">
        <f>'Func Future Lines 2015'!I100</f>
        <v>2017</v>
      </c>
      <c r="J100" s="361">
        <f>+IF($I100=J$3,VLOOKUP($H100,Depreciation!$A$6:$L$10,7,FALSE)/2,IF($I100&lt;J$3,VLOOKUP($H100,Depreciation!$A$6:$L$10,7,FALSE),0))</f>
        <v>0</v>
      </c>
      <c r="K100" s="361">
        <f>+IF($I100=K$3,VLOOKUP($H100,Depreciation!$A$6:$L$10,8,FALSE)/2,IF($I100&lt;K$3,VLOOKUP($H100,Depreciation!$A$6:$L$10,8,FALSE),0))</f>
        <v>0</v>
      </c>
      <c r="L100" s="361">
        <f>+IF($I100=L$3,VLOOKUP($H100,Depreciation!$A$6:$L$10,9,FALSE)/2,IF($I100&lt;L$3,VLOOKUP($H100,Depreciation!$A$6:$L$10,9,FALSE),0))</f>
        <v>1.5338181838063448E-2</v>
      </c>
      <c r="M100" s="361">
        <f>+IF($I100=M$3,VLOOKUP($H100,Depreciation!$A$6:$L$10,10,FALSE)/2,IF($I100&lt;M$3,VLOOKUP($H100,Depreciation!$A$6:$L$10,10,FALSE),0))</f>
        <v>3.0676363676126896E-2</v>
      </c>
      <c r="N100" s="361">
        <f>+IF($I100=N$3,VLOOKUP($H100,Depreciation!$A$6:$L$10,11,FALSE)/2,IF($I100&lt;N$3,VLOOKUP($H100,Depreciation!$A$6:$L$10,11,FALSE),0))</f>
        <v>3.0676363676126896E-2</v>
      </c>
      <c r="O100" s="361">
        <f>+IF($I100=O$3,VLOOKUP($H100,Depreciation!$A$6:$L$10,12,FALSE)/2,IF($I100&lt;O$3,VLOOKUP($H100,Depreciation!$A$6:$L$10,12,FALSE),0))</f>
        <v>3.0676363676126896E-2</v>
      </c>
      <c r="P100" s="362">
        <f t="shared" si="4"/>
        <v>1384599.6945302037</v>
      </c>
      <c r="Q100" s="362">
        <f t="shared" si="5"/>
        <v>1384599.6945302037</v>
      </c>
      <c r="R100" s="363">
        <f t="shared" si="6"/>
        <v>0</v>
      </c>
      <c r="Y100" s="365"/>
    </row>
    <row r="101" spans="1:25" ht="15" customHeight="1">
      <c r="A101" s="359" t="str">
        <f>'Func Future Lines 2015'!A101</f>
        <v>PPS</v>
      </c>
      <c r="B101" s="359" t="str">
        <f>'Func Future Lines 2015'!B101</f>
        <v>918L/1081L</v>
      </c>
      <c r="C101" s="359">
        <f>'Func Future Lines 2015'!C101</f>
        <v>813</v>
      </c>
      <c r="D101" s="359">
        <f>'Func Future Lines 2015'!D101</f>
        <v>240</v>
      </c>
      <c r="E101" s="359">
        <f>'Func Future Lines 2015'!E101</f>
        <v>0</v>
      </c>
      <c r="F101" s="359" t="str">
        <f>'Func Future Lines 2015'!F101</f>
        <v>Red_Deer</v>
      </c>
      <c r="G101" s="360">
        <f>'Func Future Lines 2015'!G101</f>
        <v>1657542.1050107889</v>
      </c>
      <c r="H101" s="359" t="str">
        <f>'Func Future Lines 2015'!H101</f>
        <v>AltaLink</v>
      </c>
      <c r="I101" s="359">
        <f>'Func Future Lines 2015'!I101</f>
        <v>2017</v>
      </c>
      <c r="J101" s="361">
        <f>+IF($I101=J$3,VLOOKUP($H101,Depreciation!$A$6:$L$10,7,FALSE)/2,IF($I101&lt;J$3,VLOOKUP($H101,Depreciation!$A$6:$L$10,7,FALSE),0))</f>
        <v>0</v>
      </c>
      <c r="K101" s="361">
        <f>+IF($I101=K$3,VLOOKUP($H101,Depreciation!$A$6:$L$10,8,FALSE)/2,IF($I101&lt;K$3,VLOOKUP($H101,Depreciation!$A$6:$L$10,8,FALSE),0))</f>
        <v>0</v>
      </c>
      <c r="L101" s="361">
        <f>+IF($I101=L$3,VLOOKUP($H101,Depreciation!$A$6:$L$10,9,FALSE)/2,IF($I101&lt;L$3,VLOOKUP($H101,Depreciation!$A$6:$L$10,9,FALSE),0))</f>
        <v>1.5338181838063448E-2</v>
      </c>
      <c r="M101" s="361">
        <f>+IF($I101=M$3,VLOOKUP($H101,Depreciation!$A$6:$L$10,10,FALSE)/2,IF($I101&lt;M$3,VLOOKUP($H101,Depreciation!$A$6:$L$10,10,FALSE),0))</f>
        <v>3.0676363676126896E-2</v>
      </c>
      <c r="N101" s="361">
        <f>+IF($I101=N$3,VLOOKUP($H101,Depreciation!$A$6:$L$10,11,FALSE)/2,IF($I101&lt;N$3,VLOOKUP($H101,Depreciation!$A$6:$L$10,11,FALSE),0))</f>
        <v>3.0676363676126896E-2</v>
      </c>
      <c r="O101" s="361">
        <f>+IF($I101=O$3,VLOOKUP($H101,Depreciation!$A$6:$L$10,12,FALSE)/2,IF($I101&lt;O$3,VLOOKUP($H101,Depreciation!$A$6:$L$10,12,FALSE),0))</f>
        <v>3.0676363676126896E-2</v>
      </c>
      <c r="P101" s="362">
        <f t="shared" si="4"/>
        <v>1486476.595131088</v>
      </c>
      <c r="Q101" s="362">
        <f t="shared" si="5"/>
        <v>1486476.595131088</v>
      </c>
      <c r="R101" s="363">
        <f t="shared" si="6"/>
        <v>0</v>
      </c>
      <c r="Y101" s="365"/>
    </row>
    <row r="102" spans="1:25" ht="15" customHeight="1">
      <c r="A102" s="359" t="str">
        <f>'Func Future Lines 2015'!A102</f>
        <v>PPS</v>
      </c>
      <c r="B102" s="359" t="str">
        <f>'Func Future Lines 2015'!B102</f>
        <v>929L/1082L</v>
      </c>
      <c r="C102" s="359">
        <f>'Func Future Lines 2015'!C102</f>
        <v>813</v>
      </c>
      <c r="D102" s="359">
        <f>'Func Future Lines 2015'!D102</f>
        <v>240</v>
      </c>
      <c r="E102" s="359">
        <f>'Func Future Lines 2015'!E102</f>
        <v>0</v>
      </c>
      <c r="F102" s="359" t="str">
        <f>'Func Future Lines 2015'!F102</f>
        <v>Red_Deer</v>
      </c>
      <c r="G102" s="360">
        <f>'Func Future Lines 2015'!G102</f>
        <v>1650657.1949172863</v>
      </c>
      <c r="H102" s="359" t="str">
        <f>'Func Future Lines 2015'!H102</f>
        <v>AltaLink</v>
      </c>
      <c r="I102" s="359">
        <f>'Func Future Lines 2015'!I102</f>
        <v>2017</v>
      </c>
      <c r="J102" s="361">
        <f>+IF($I102=J$3,VLOOKUP($H102,Depreciation!$A$6:$L$10,7,FALSE)/2,IF($I102&lt;J$3,VLOOKUP($H102,Depreciation!$A$6:$L$10,7,FALSE),0))</f>
        <v>0</v>
      </c>
      <c r="K102" s="361">
        <f>+IF($I102=K$3,VLOOKUP($H102,Depreciation!$A$6:$L$10,8,FALSE)/2,IF($I102&lt;K$3,VLOOKUP($H102,Depreciation!$A$6:$L$10,8,FALSE),0))</f>
        <v>0</v>
      </c>
      <c r="L102" s="361">
        <f>+IF($I102=L$3,VLOOKUP($H102,Depreciation!$A$6:$L$10,9,FALSE)/2,IF($I102&lt;L$3,VLOOKUP($H102,Depreciation!$A$6:$L$10,9,FALSE),0))</f>
        <v>1.5338181838063448E-2</v>
      </c>
      <c r="M102" s="361">
        <f>+IF($I102=M$3,VLOOKUP($H102,Depreciation!$A$6:$L$10,10,FALSE)/2,IF($I102&lt;M$3,VLOOKUP($H102,Depreciation!$A$6:$L$10,10,FALSE),0))</f>
        <v>3.0676363676126896E-2</v>
      </c>
      <c r="N102" s="361">
        <f>+IF($I102=N$3,VLOOKUP($H102,Depreciation!$A$6:$L$10,11,FALSE)/2,IF($I102&lt;N$3,VLOOKUP($H102,Depreciation!$A$6:$L$10,11,FALSE),0))</f>
        <v>3.0676363676126896E-2</v>
      </c>
      <c r="O102" s="361">
        <f>+IF($I102=O$3,VLOOKUP($H102,Depreciation!$A$6:$L$10,12,FALSE)/2,IF($I102&lt;O$3,VLOOKUP($H102,Depreciation!$A$6:$L$10,12,FALSE),0))</f>
        <v>3.0676363676126896E-2</v>
      </c>
      <c r="P102" s="362">
        <f t="shared" si="4"/>
        <v>1480302.2375189131</v>
      </c>
      <c r="Q102" s="362">
        <f t="shared" si="5"/>
        <v>1480302.2375189131</v>
      </c>
      <c r="R102" s="363">
        <f t="shared" si="6"/>
        <v>0</v>
      </c>
      <c r="Y102" s="365"/>
    </row>
    <row r="103" spans="1:25" ht="15" customHeight="1">
      <c r="A103" s="359" t="str">
        <f>'Func Future Lines 2015'!A103</f>
        <v>PPS</v>
      </c>
      <c r="B103" s="359" t="str">
        <f>'Func Future Lines 2015'!B103</f>
        <v>929L/1082L</v>
      </c>
      <c r="C103" s="359">
        <f>'Func Future Lines 2015'!C103</f>
        <v>813</v>
      </c>
      <c r="D103" s="359">
        <f>'Func Future Lines 2015'!D103</f>
        <v>240</v>
      </c>
      <c r="E103" s="359">
        <f>'Func Future Lines 2015'!E103</f>
        <v>0</v>
      </c>
      <c r="F103" s="359" t="str">
        <f>'Func Future Lines 2015'!F103</f>
        <v>Red_Deer</v>
      </c>
      <c r="G103" s="360">
        <f>'Func Future Lines 2015'!G103</f>
        <v>1645493.5123471592</v>
      </c>
      <c r="H103" s="359" t="str">
        <f>'Func Future Lines 2015'!H103</f>
        <v>AltaLink</v>
      </c>
      <c r="I103" s="359">
        <f>'Func Future Lines 2015'!I103</f>
        <v>2017</v>
      </c>
      <c r="J103" s="361">
        <f>+IF($I103=J$3,VLOOKUP($H103,Depreciation!$A$6:$L$10,7,FALSE)/2,IF($I103&lt;J$3,VLOOKUP($H103,Depreciation!$A$6:$L$10,7,FALSE),0))</f>
        <v>0</v>
      </c>
      <c r="K103" s="361">
        <f>+IF($I103=K$3,VLOOKUP($H103,Depreciation!$A$6:$L$10,8,FALSE)/2,IF($I103&lt;K$3,VLOOKUP($H103,Depreciation!$A$6:$L$10,8,FALSE),0))</f>
        <v>0</v>
      </c>
      <c r="L103" s="361">
        <f>+IF($I103=L$3,VLOOKUP($H103,Depreciation!$A$6:$L$10,9,FALSE)/2,IF($I103&lt;L$3,VLOOKUP($H103,Depreciation!$A$6:$L$10,9,FALSE),0))</f>
        <v>1.5338181838063448E-2</v>
      </c>
      <c r="M103" s="361">
        <f>+IF($I103=M$3,VLOOKUP($H103,Depreciation!$A$6:$L$10,10,FALSE)/2,IF($I103&lt;M$3,VLOOKUP($H103,Depreciation!$A$6:$L$10,10,FALSE),0))</f>
        <v>3.0676363676126896E-2</v>
      </c>
      <c r="N103" s="361">
        <f>+IF($I103=N$3,VLOOKUP($H103,Depreciation!$A$6:$L$10,11,FALSE)/2,IF($I103&lt;N$3,VLOOKUP($H103,Depreciation!$A$6:$L$10,11,FALSE),0))</f>
        <v>3.0676363676126896E-2</v>
      </c>
      <c r="O103" s="361">
        <f>+IF($I103=O$3,VLOOKUP($H103,Depreciation!$A$6:$L$10,12,FALSE)/2,IF($I103&lt;O$3,VLOOKUP($H103,Depreciation!$A$6:$L$10,12,FALSE),0))</f>
        <v>3.0676363676126896E-2</v>
      </c>
      <c r="P103" s="362">
        <f t="shared" si="4"/>
        <v>1475671.4693097821</v>
      </c>
      <c r="Q103" s="362">
        <f t="shared" si="5"/>
        <v>1475671.4693097821</v>
      </c>
      <c r="R103" s="363">
        <f t="shared" si="6"/>
        <v>0</v>
      </c>
      <c r="Y103" s="365"/>
    </row>
    <row r="104" spans="1:25" ht="15" customHeight="1">
      <c r="A104" s="359" t="str">
        <f>'Func Future Lines 2015'!A104</f>
        <v>PPS</v>
      </c>
      <c r="B104" s="359" t="str">
        <f>'Func Future Lines 2015'!B104</f>
        <v>transmission line 166AL_(v2)</v>
      </c>
      <c r="C104" s="359">
        <f>'Func Future Lines 2015'!C104</f>
        <v>813</v>
      </c>
      <c r="D104" s="359">
        <f>'Func Future Lines 2015'!D104</f>
        <v>138</v>
      </c>
      <c r="E104" s="359">
        <f>'Func Future Lines 2015'!E104</f>
        <v>0</v>
      </c>
      <c r="F104" s="359" t="str">
        <f>'Func Future Lines 2015'!F104</f>
        <v>Red_Deer</v>
      </c>
      <c r="G104" s="360">
        <f>'Func Future Lines 2015'!G104</f>
        <v>178318.62548469054</v>
      </c>
      <c r="H104" s="359" t="str">
        <f>'Func Future Lines 2015'!H104</f>
        <v>AltaLink</v>
      </c>
      <c r="I104" s="359">
        <f>'Func Future Lines 2015'!I104</f>
        <v>2017</v>
      </c>
      <c r="J104" s="361">
        <f>+IF($I104=J$3,VLOOKUP($H104,Depreciation!$A$6:$L$10,7,FALSE)/2,IF($I104&lt;J$3,VLOOKUP($H104,Depreciation!$A$6:$L$10,7,FALSE),0))</f>
        <v>0</v>
      </c>
      <c r="K104" s="361">
        <f>+IF($I104=K$3,VLOOKUP($H104,Depreciation!$A$6:$L$10,8,FALSE)/2,IF($I104&lt;K$3,VLOOKUP($H104,Depreciation!$A$6:$L$10,8,FALSE),0))</f>
        <v>0</v>
      </c>
      <c r="L104" s="361">
        <f>+IF($I104=L$3,VLOOKUP($H104,Depreciation!$A$6:$L$10,9,FALSE)/2,IF($I104&lt;L$3,VLOOKUP($H104,Depreciation!$A$6:$L$10,9,FALSE),0))</f>
        <v>1.5338181838063448E-2</v>
      </c>
      <c r="M104" s="361">
        <f>+IF($I104=M$3,VLOOKUP($H104,Depreciation!$A$6:$L$10,10,FALSE)/2,IF($I104&lt;M$3,VLOOKUP($H104,Depreciation!$A$6:$L$10,10,FALSE),0))</f>
        <v>3.0676363676126896E-2</v>
      </c>
      <c r="N104" s="361">
        <f>+IF($I104=N$3,VLOOKUP($H104,Depreciation!$A$6:$L$10,11,FALSE)/2,IF($I104&lt;N$3,VLOOKUP($H104,Depreciation!$A$6:$L$10,11,FALSE),0))</f>
        <v>3.0676363676126896E-2</v>
      </c>
      <c r="O104" s="361">
        <f>+IF($I104=O$3,VLOOKUP($H104,Depreciation!$A$6:$L$10,12,FALSE)/2,IF($I104&lt;O$3,VLOOKUP($H104,Depreciation!$A$6:$L$10,12,FALSE),0))</f>
        <v>3.0676363676126896E-2</v>
      </c>
      <c r="P104" s="362">
        <f t="shared" si="4"/>
        <v>159915.37256135832</v>
      </c>
      <c r="Q104" s="362">
        <f t="shared" si="5"/>
        <v>0</v>
      </c>
      <c r="R104" s="363">
        <f t="shared" si="6"/>
        <v>159915.37256135832</v>
      </c>
      <c r="Y104" s="365"/>
    </row>
    <row r="105" spans="1:25" ht="15" customHeight="1">
      <c r="A105" s="359" t="str">
        <f>'Func Future Lines 2015'!A105</f>
        <v>PPS</v>
      </c>
      <c r="B105" s="359" t="str">
        <f>'Func Future Lines 2015'!B105</f>
        <v>transmission line 166L_(v2)</v>
      </c>
      <c r="C105" s="359">
        <f>'Func Future Lines 2015'!C105</f>
        <v>813</v>
      </c>
      <c r="D105" s="359">
        <f>'Func Future Lines 2015'!D105</f>
        <v>138</v>
      </c>
      <c r="E105" s="359">
        <f>'Func Future Lines 2015'!E105</f>
        <v>0</v>
      </c>
      <c r="F105" s="359" t="str">
        <f>'Func Future Lines 2015'!F105</f>
        <v>Red_Deer</v>
      </c>
      <c r="G105" s="360">
        <f>'Func Future Lines 2015'!G105</f>
        <v>24543692.672817234</v>
      </c>
      <c r="H105" s="359" t="str">
        <f>'Func Future Lines 2015'!H105</f>
        <v>AltaLink</v>
      </c>
      <c r="I105" s="359">
        <f>'Func Future Lines 2015'!I105</f>
        <v>2017</v>
      </c>
      <c r="J105" s="361">
        <f>+IF($I105=J$3,VLOOKUP($H105,Depreciation!$A$6:$L$10,7,FALSE)/2,IF($I105&lt;J$3,VLOOKUP($H105,Depreciation!$A$6:$L$10,7,FALSE),0))</f>
        <v>0</v>
      </c>
      <c r="K105" s="361">
        <f>+IF($I105=K$3,VLOOKUP($H105,Depreciation!$A$6:$L$10,8,FALSE)/2,IF($I105&lt;K$3,VLOOKUP($H105,Depreciation!$A$6:$L$10,8,FALSE),0))</f>
        <v>0</v>
      </c>
      <c r="L105" s="361">
        <f>+IF($I105=L$3,VLOOKUP($H105,Depreciation!$A$6:$L$10,9,FALSE)/2,IF($I105&lt;L$3,VLOOKUP($H105,Depreciation!$A$6:$L$10,9,FALSE),0))</f>
        <v>1.5338181838063448E-2</v>
      </c>
      <c r="M105" s="361">
        <f>+IF($I105=M$3,VLOOKUP($H105,Depreciation!$A$6:$L$10,10,FALSE)/2,IF($I105&lt;M$3,VLOOKUP($H105,Depreciation!$A$6:$L$10,10,FALSE),0))</f>
        <v>3.0676363676126896E-2</v>
      </c>
      <c r="N105" s="361">
        <f>+IF($I105=N$3,VLOOKUP($H105,Depreciation!$A$6:$L$10,11,FALSE)/2,IF($I105&lt;N$3,VLOOKUP($H105,Depreciation!$A$6:$L$10,11,FALSE),0))</f>
        <v>3.0676363676126896E-2</v>
      </c>
      <c r="O105" s="361">
        <f>+IF($I105=O$3,VLOOKUP($H105,Depreciation!$A$6:$L$10,12,FALSE)/2,IF($I105&lt;O$3,VLOOKUP($H105,Depreciation!$A$6:$L$10,12,FALSE),0))</f>
        <v>3.0676363676126896E-2</v>
      </c>
      <c r="P105" s="362">
        <f t="shared" si="4"/>
        <v>22010677.500102315</v>
      </c>
      <c r="Q105" s="362">
        <f t="shared" si="5"/>
        <v>0</v>
      </c>
      <c r="R105" s="363">
        <f t="shared" si="6"/>
        <v>22010677.500102315</v>
      </c>
      <c r="Y105" s="365"/>
    </row>
    <row r="106" spans="1:25" ht="15" customHeight="1">
      <c r="A106" s="359" t="str">
        <f>'Func Future Lines 2015'!A106</f>
        <v>PPS</v>
      </c>
      <c r="B106" s="359" t="str">
        <f>'Func Future Lines 2015'!B106</f>
        <v>1043L/1139L</v>
      </c>
      <c r="C106" s="359">
        <f>'Func Future Lines 2015'!C106</f>
        <v>850</v>
      </c>
      <c r="D106" s="359">
        <f>'Func Future Lines 2015'!D106</f>
        <v>240</v>
      </c>
      <c r="E106" s="359">
        <f>'Func Future Lines 2015'!E106</f>
        <v>0</v>
      </c>
      <c r="F106" s="359" t="str">
        <f>'Func Future Lines 2015'!F106</f>
        <v>edmonton</v>
      </c>
      <c r="G106" s="360">
        <f>'Func Future Lines 2015'!G106</f>
        <v>15139710.076689346</v>
      </c>
      <c r="H106" s="359" t="str">
        <f>'Func Future Lines 2015'!H106</f>
        <v>AltaLink</v>
      </c>
      <c r="I106" s="359">
        <f>'Func Future Lines 2015'!I106</f>
        <v>2017</v>
      </c>
      <c r="J106" s="361">
        <f>+IF($I106=J$3,VLOOKUP($H106,Depreciation!$A$6:$L$10,7,FALSE)/2,IF($I106&lt;J$3,VLOOKUP($H106,Depreciation!$A$6:$L$10,7,FALSE),0))</f>
        <v>0</v>
      </c>
      <c r="K106" s="361">
        <f>+IF($I106=K$3,VLOOKUP($H106,Depreciation!$A$6:$L$10,8,FALSE)/2,IF($I106&lt;K$3,VLOOKUP($H106,Depreciation!$A$6:$L$10,8,FALSE),0))</f>
        <v>0</v>
      </c>
      <c r="L106" s="361">
        <f>+IF($I106=L$3,VLOOKUP($H106,Depreciation!$A$6:$L$10,9,FALSE)/2,IF($I106&lt;L$3,VLOOKUP($H106,Depreciation!$A$6:$L$10,9,FALSE),0))</f>
        <v>1.5338181838063448E-2</v>
      </c>
      <c r="M106" s="361">
        <f>+IF($I106=M$3,VLOOKUP($H106,Depreciation!$A$6:$L$10,10,FALSE)/2,IF($I106&lt;M$3,VLOOKUP($H106,Depreciation!$A$6:$L$10,10,FALSE),0))</f>
        <v>3.0676363676126896E-2</v>
      </c>
      <c r="N106" s="361">
        <f>+IF($I106=N$3,VLOOKUP($H106,Depreciation!$A$6:$L$10,11,FALSE)/2,IF($I106&lt;N$3,VLOOKUP($H106,Depreciation!$A$6:$L$10,11,FALSE),0))</f>
        <v>3.0676363676126896E-2</v>
      </c>
      <c r="O106" s="361">
        <f>+IF($I106=O$3,VLOOKUP($H106,Depreciation!$A$6:$L$10,12,FALSE)/2,IF($I106&lt;O$3,VLOOKUP($H106,Depreciation!$A$6:$L$10,12,FALSE),0))</f>
        <v>3.0676363676126896E-2</v>
      </c>
      <c r="P106" s="362">
        <f t="shared" si="4"/>
        <v>13577226.55613778</v>
      </c>
      <c r="Q106" s="362">
        <f t="shared" si="5"/>
        <v>13577226.55613778</v>
      </c>
      <c r="R106" s="363">
        <f t="shared" si="6"/>
        <v>0</v>
      </c>
      <c r="Y106" s="365"/>
    </row>
    <row r="107" spans="1:25" ht="15" customHeight="1">
      <c r="A107" s="359" t="str">
        <f>'Func Future Lines 2015'!A107</f>
        <v>PPS</v>
      </c>
      <c r="B107" s="359" t="str">
        <f>'Func Future Lines 2015'!B107</f>
        <v>1140L/1112L</v>
      </c>
      <c r="C107" s="359">
        <f>'Func Future Lines 2015'!C107</f>
        <v>850</v>
      </c>
      <c r="D107" s="359">
        <f>'Func Future Lines 2015'!D107</f>
        <v>240</v>
      </c>
      <c r="E107" s="359">
        <f>'Func Future Lines 2015'!E107</f>
        <v>0</v>
      </c>
      <c r="F107" s="359" t="str">
        <f>'Func Future Lines 2015'!F107</f>
        <v>edmonton</v>
      </c>
      <c r="G107" s="360">
        <f>'Func Future Lines 2015'!G107</f>
        <v>20197707.055992737</v>
      </c>
      <c r="H107" s="359" t="str">
        <f>'Func Future Lines 2015'!H107</f>
        <v>AltaLink</v>
      </c>
      <c r="I107" s="359">
        <f>'Func Future Lines 2015'!I107</f>
        <v>2017</v>
      </c>
      <c r="J107" s="361">
        <f>+IF($I107=J$3,VLOOKUP($H107,Depreciation!$A$6:$L$10,7,FALSE)/2,IF($I107&lt;J$3,VLOOKUP($H107,Depreciation!$A$6:$L$10,7,FALSE),0))</f>
        <v>0</v>
      </c>
      <c r="K107" s="361">
        <f>+IF($I107=K$3,VLOOKUP($H107,Depreciation!$A$6:$L$10,8,FALSE)/2,IF($I107&lt;K$3,VLOOKUP($H107,Depreciation!$A$6:$L$10,8,FALSE),0))</f>
        <v>0</v>
      </c>
      <c r="L107" s="361">
        <f>+IF($I107=L$3,VLOOKUP($H107,Depreciation!$A$6:$L$10,9,FALSE)/2,IF($I107&lt;L$3,VLOOKUP($H107,Depreciation!$A$6:$L$10,9,FALSE),0))</f>
        <v>1.5338181838063448E-2</v>
      </c>
      <c r="M107" s="361">
        <f>+IF($I107=M$3,VLOOKUP($H107,Depreciation!$A$6:$L$10,10,FALSE)/2,IF($I107&lt;M$3,VLOOKUP($H107,Depreciation!$A$6:$L$10,10,FALSE),0))</f>
        <v>3.0676363676126896E-2</v>
      </c>
      <c r="N107" s="361">
        <f>+IF($I107=N$3,VLOOKUP($H107,Depreciation!$A$6:$L$10,11,FALSE)/2,IF($I107&lt;N$3,VLOOKUP($H107,Depreciation!$A$6:$L$10,11,FALSE),0))</f>
        <v>3.0676363676126896E-2</v>
      </c>
      <c r="O107" s="361">
        <f>+IF($I107=O$3,VLOOKUP($H107,Depreciation!$A$6:$L$10,12,FALSE)/2,IF($I107&lt;O$3,VLOOKUP($H107,Depreciation!$A$6:$L$10,12,FALSE),0))</f>
        <v>3.0676363676126896E-2</v>
      </c>
      <c r="P107" s="362">
        <f t="shared" si="4"/>
        <v>18113216.384238888</v>
      </c>
      <c r="Q107" s="362">
        <f t="shared" si="5"/>
        <v>18113216.384238888</v>
      </c>
      <c r="R107" s="363">
        <f t="shared" si="6"/>
        <v>0</v>
      </c>
      <c r="Y107" s="365"/>
    </row>
    <row r="108" spans="1:25" ht="15" customHeight="1">
      <c r="A108" s="359" t="str">
        <f>'Func Future Lines 2015'!A108</f>
        <v>PPS</v>
      </c>
      <c r="B108" s="359" t="str">
        <f>'Func Future Lines 2015'!B108</f>
        <v>446L/452L/453L</v>
      </c>
      <c r="C108" s="359">
        <f>'Func Future Lines 2015'!C108</f>
        <v>850</v>
      </c>
      <c r="D108" s="359">
        <f>'Func Future Lines 2015'!D108</f>
        <v>138</v>
      </c>
      <c r="E108" s="359">
        <f>'Func Future Lines 2015'!E108</f>
        <v>0</v>
      </c>
      <c r="F108" s="359" t="str">
        <f>'Func Future Lines 2015'!F108</f>
        <v>edmonton</v>
      </c>
      <c r="G108" s="360">
        <f>'Func Future Lines 2015'!G108</f>
        <v>19650687.416100234</v>
      </c>
      <c r="H108" s="359" t="str">
        <f>'Func Future Lines 2015'!H108</f>
        <v>AltaLink</v>
      </c>
      <c r="I108" s="359">
        <f>'Func Future Lines 2015'!I108</f>
        <v>2017</v>
      </c>
      <c r="J108" s="361">
        <f>+IF($I108=J$3,VLOOKUP($H108,Depreciation!$A$6:$L$10,7,FALSE)/2,IF($I108&lt;J$3,VLOOKUP($H108,Depreciation!$A$6:$L$10,7,FALSE),0))</f>
        <v>0</v>
      </c>
      <c r="K108" s="361">
        <f>+IF($I108=K$3,VLOOKUP($H108,Depreciation!$A$6:$L$10,8,FALSE)/2,IF($I108&lt;K$3,VLOOKUP($H108,Depreciation!$A$6:$L$10,8,FALSE),0))</f>
        <v>0</v>
      </c>
      <c r="L108" s="361">
        <f>+IF($I108=L$3,VLOOKUP($H108,Depreciation!$A$6:$L$10,9,FALSE)/2,IF($I108&lt;L$3,VLOOKUP($H108,Depreciation!$A$6:$L$10,9,FALSE),0))</f>
        <v>1.5338181838063448E-2</v>
      </c>
      <c r="M108" s="361">
        <f>+IF($I108=M$3,VLOOKUP($H108,Depreciation!$A$6:$L$10,10,FALSE)/2,IF($I108&lt;M$3,VLOOKUP($H108,Depreciation!$A$6:$L$10,10,FALSE),0))</f>
        <v>3.0676363676126896E-2</v>
      </c>
      <c r="N108" s="361">
        <f>+IF($I108=N$3,VLOOKUP($H108,Depreciation!$A$6:$L$10,11,FALSE)/2,IF($I108&lt;N$3,VLOOKUP($H108,Depreciation!$A$6:$L$10,11,FALSE),0))</f>
        <v>3.0676363676126896E-2</v>
      </c>
      <c r="O108" s="361">
        <f>+IF($I108=O$3,VLOOKUP($H108,Depreciation!$A$6:$L$10,12,FALSE)/2,IF($I108&lt;O$3,VLOOKUP($H108,Depreciation!$A$6:$L$10,12,FALSE),0))</f>
        <v>3.0676363676126896E-2</v>
      </c>
      <c r="P108" s="362">
        <f t="shared" si="4"/>
        <v>17622651.535648238</v>
      </c>
      <c r="Q108" s="362">
        <f t="shared" si="5"/>
        <v>0</v>
      </c>
      <c r="R108" s="363">
        <f t="shared" si="6"/>
        <v>17622651.535648238</v>
      </c>
      <c r="Y108" s="365"/>
    </row>
    <row r="109" spans="1:25" ht="15" customHeight="1">
      <c r="A109" s="359" t="str">
        <f>'Func Future Lines 2015'!A109</f>
        <v>PPS</v>
      </c>
      <c r="B109" s="359" t="str">
        <f>'Func Future Lines 2015'!B109</f>
        <v>446L/453L</v>
      </c>
      <c r="C109" s="359">
        <f>'Func Future Lines 2015'!C109</f>
        <v>850</v>
      </c>
      <c r="D109" s="359">
        <f>'Func Future Lines 2015'!D109</f>
        <v>138</v>
      </c>
      <c r="E109" s="359">
        <f>'Func Future Lines 2015'!E109</f>
        <v>0</v>
      </c>
      <c r="F109" s="359" t="str">
        <f>'Func Future Lines 2015'!F109</f>
        <v>edmonton</v>
      </c>
      <c r="G109" s="360">
        <f>'Func Future Lines 2015'!G109</f>
        <v>11579761.499715252</v>
      </c>
      <c r="H109" s="359" t="str">
        <f>'Func Future Lines 2015'!H109</f>
        <v>AltaLink</v>
      </c>
      <c r="I109" s="359">
        <f>'Func Future Lines 2015'!I109</f>
        <v>2017</v>
      </c>
      <c r="J109" s="361">
        <f>+IF($I109=J$3,VLOOKUP($H109,Depreciation!$A$6:$L$10,7,FALSE)/2,IF($I109&lt;J$3,VLOOKUP($H109,Depreciation!$A$6:$L$10,7,FALSE),0))</f>
        <v>0</v>
      </c>
      <c r="K109" s="361">
        <f>+IF($I109=K$3,VLOOKUP($H109,Depreciation!$A$6:$L$10,8,FALSE)/2,IF($I109&lt;K$3,VLOOKUP($H109,Depreciation!$A$6:$L$10,8,FALSE),0))</f>
        <v>0</v>
      </c>
      <c r="L109" s="361">
        <f>+IF($I109=L$3,VLOOKUP($H109,Depreciation!$A$6:$L$10,9,FALSE)/2,IF($I109&lt;L$3,VLOOKUP($H109,Depreciation!$A$6:$L$10,9,FALSE),0))</f>
        <v>1.5338181838063448E-2</v>
      </c>
      <c r="M109" s="361">
        <f>+IF($I109=M$3,VLOOKUP($H109,Depreciation!$A$6:$L$10,10,FALSE)/2,IF($I109&lt;M$3,VLOOKUP($H109,Depreciation!$A$6:$L$10,10,FALSE),0))</f>
        <v>3.0676363676126896E-2</v>
      </c>
      <c r="N109" s="361">
        <f>+IF($I109=N$3,VLOOKUP($H109,Depreciation!$A$6:$L$10,11,FALSE)/2,IF($I109&lt;N$3,VLOOKUP($H109,Depreciation!$A$6:$L$10,11,FALSE),0))</f>
        <v>3.0676363676126896E-2</v>
      </c>
      <c r="O109" s="361">
        <f>+IF($I109=O$3,VLOOKUP($H109,Depreciation!$A$6:$L$10,12,FALSE)/2,IF($I109&lt;O$3,VLOOKUP($H109,Depreciation!$A$6:$L$10,12,FALSE),0))</f>
        <v>3.0676363676126896E-2</v>
      </c>
      <c r="P109" s="362">
        <f t="shared" si="4"/>
        <v>10384680.060006529</v>
      </c>
      <c r="Q109" s="362">
        <f t="shared" si="5"/>
        <v>0</v>
      </c>
      <c r="R109" s="363">
        <f t="shared" si="6"/>
        <v>10384680.060006529</v>
      </c>
      <c r="Y109" s="365"/>
    </row>
    <row r="110" spans="1:25" ht="15" customHeight="1">
      <c r="A110" s="359" t="str">
        <f>'Func Future Lines 2015'!A110</f>
        <v>PPS</v>
      </c>
      <c r="B110" s="359" t="str">
        <f>'Func Future Lines 2015'!B110</f>
        <v>452L 10km OPGW replacement</v>
      </c>
      <c r="C110" s="359">
        <f>'Func Future Lines 2015'!C110</f>
        <v>850</v>
      </c>
      <c r="D110" s="359">
        <f>'Func Future Lines 2015'!D110</f>
        <v>138</v>
      </c>
      <c r="E110" s="359">
        <f>'Func Future Lines 2015'!E110</f>
        <v>0</v>
      </c>
      <c r="F110" s="359" t="str">
        <f>'Func Future Lines 2015'!F110</f>
        <v>edmonton</v>
      </c>
      <c r="G110" s="360">
        <f>'Func Future Lines 2015'!G110</f>
        <v>4288035.0624691956</v>
      </c>
      <c r="H110" s="359" t="str">
        <f>'Func Future Lines 2015'!H110</f>
        <v>AltaLink</v>
      </c>
      <c r="I110" s="359">
        <f>'Func Future Lines 2015'!I110</f>
        <v>2017</v>
      </c>
      <c r="J110" s="361">
        <f>+IF($I110=J$3,VLOOKUP($H110,Depreciation!$A$6:$L$10,7,FALSE)/2,IF($I110&lt;J$3,VLOOKUP($H110,Depreciation!$A$6:$L$10,7,FALSE),0))</f>
        <v>0</v>
      </c>
      <c r="K110" s="361">
        <f>+IF($I110=K$3,VLOOKUP($H110,Depreciation!$A$6:$L$10,8,FALSE)/2,IF($I110&lt;K$3,VLOOKUP($H110,Depreciation!$A$6:$L$10,8,FALSE),0))</f>
        <v>0</v>
      </c>
      <c r="L110" s="361">
        <f>+IF($I110=L$3,VLOOKUP($H110,Depreciation!$A$6:$L$10,9,FALSE)/2,IF($I110&lt;L$3,VLOOKUP($H110,Depreciation!$A$6:$L$10,9,FALSE),0))</f>
        <v>1.5338181838063448E-2</v>
      </c>
      <c r="M110" s="361">
        <f>+IF($I110=M$3,VLOOKUP($H110,Depreciation!$A$6:$L$10,10,FALSE)/2,IF($I110&lt;M$3,VLOOKUP($H110,Depreciation!$A$6:$L$10,10,FALSE),0))</f>
        <v>3.0676363676126896E-2</v>
      </c>
      <c r="N110" s="361">
        <f>+IF($I110=N$3,VLOOKUP($H110,Depreciation!$A$6:$L$10,11,FALSE)/2,IF($I110&lt;N$3,VLOOKUP($H110,Depreciation!$A$6:$L$10,11,FALSE),0))</f>
        <v>3.0676363676126896E-2</v>
      </c>
      <c r="O110" s="361">
        <f>+IF($I110=O$3,VLOOKUP($H110,Depreciation!$A$6:$L$10,12,FALSE)/2,IF($I110&lt;O$3,VLOOKUP($H110,Depreciation!$A$6:$L$10,12,FALSE),0))</f>
        <v>3.0676363676126896E-2</v>
      </c>
      <c r="P110" s="362">
        <f t="shared" si="4"/>
        <v>3845491.3092059549</v>
      </c>
      <c r="Q110" s="362">
        <f t="shared" si="5"/>
        <v>0</v>
      </c>
      <c r="R110" s="363">
        <f t="shared" si="6"/>
        <v>3845491.3092059549</v>
      </c>
      <c r="Y110" s="365"/>
    </row>
    <row r="111" spans="1:25" ht="15" customHeight="1">
      <c r="A111" s="359" t="str">
        <f>'Func Future Lines 2015'!A111</f>
        <v>PPS</v>
      </c>
      <c r="B111" s="359" t="str">
        <f>'Func Future Lines 2015'!B111</f>
        <v>454L/455L</v>
      </c>
      <c r="C111" s="359">
        <f>'Func Future Lines 2015'!C111</f>
        <v>850</v>
      </c>
      <c r="D111" s="359">
        <f>'Func Future Lines 2015'!D111</f>
        <v>138</v>
      </c>
      <c r="E111" s="359">
        <f>'Func Future Lines 2015'!E111</f>
        <v>0</v>
      </c>
      <c r="F111" s="359" t="str">
        <f>'Func Future Lines 2015'!F111</f>
        <v>edmonton</v>
      </c>
      <c r="G111" s="360">
        <f>'Func Future Lines 2015'!G111</f>
        <v>7815341.9759696973</v>
      </c>
      <c r="H111" s="359" t="str">
        <f>'Func Future Lines 2015'!H111</f>
        <v>AltaLink</v>
      </c>
      <c r="I111" s="359">
        <f>'Func Future Lines 2015'!I111</f>
        <v>2017</v>
      </c>
      <c r="J111" s="361">
        <f>+IF($I111=J$3,VLOOKUP($H111,Depreciation!$A$6:$L$10,7,FALSE)/2,IF($I111&lt;J$3,VLOOKUP($H111,Depreciation!$A$6:$L$10,7,FALSE),0))</f>
        <v>0</v>
      </c>
      <c r="K111" s="361">
        <f>+IF($I111=K$3,VLOOKUP($H111,Depreciation!$A$6:$L$10,8,FALSE)/2,IF($I111&lt;K$3,VLOOKUP($H111,Depreciation!$A$6:$L$10,8,FALSE),0))</f>
        <v>0</v>
      </c>
      <c r="L111" s="361">
        <f>+IF($I111=L$3,VLOOKUP($H111,Depreciation!$A$6:$L$10,9,FALSE)/2,IF($I111&lt;L$3,VLOOKUP($H111,Depreciation!$A$6:$L$10,9,FALSE),0))</f>
        <v>1.5338181838063448E-2</v>
      </c>
      <c r="M111" s="361">
        <f>+IF($I111=M$3,VLOOKUP($H111,Depreciation!$A$6:$L$10,10,FALSE)/2,IF($I111&lt;M$3,VLOOKUP($H111,Depreciation!$A$6:$L$10,10,FALSE),0))</f>
        <v>3.0676363676126896E-2</v>
      </c>
      <c r="N111" s="361">
        <f>+IF($I111=N$3,VLOOKUP($H111,Depreciation!$A$6:$L$10,11,FALSE)/2,IF($I111&lt;N$3,VLOOKUP($H111,Depreciation!$A$6:$L$10,11,FALSE),0))</f>
        <v>3.0676363676126896E-2</v>
      </c>
      <c r="O111" s="361">
        <f>+IF($I111=O$3,VLOOKUP($H111,Depreciation!$A$6:$L$10,12,FALSE)/2,IF($I111&lt;O$3,VLOOKUP($H111,Depreciation!$A$6:$L$10,12,FALSE),0))</f>
        <v>3.0676363676126896E-2</v>
      </c>
      <c r="P111" s="362">
        <f t="shared" si="4"/>
        <v>7008764.9026260413</v>
      </c>
      <c r="Q111" s="362">
        <f t="shared" si="5"/>
        <v>0</v>
      </c>
      <c r="R111" s="363">
        <f t="shared" si="6"/>
        <v>7008764.9026260413</v>
      </c>
      <c r="Y111" s="365"/>
    </row>
    <row r="112" spans="1:25" ht="15" customHeight="1">
      <c r="A112" s="359" t="str">
        <f>'Func Future Lines 2015'!A112</f>
        <v>PPS</v>
      </c>
      <c r="B112" s="359" t="str">
        <f>'Func Future Lines 2015'!B112</f>
        <v>739L</v>
      </c>
      <c r="C112" s="359">
        <f>'Func Future Lines 2015'!C112</f>
        <v>850</v>
      </c>
      <c r="D112" s="359">
        <f>'Func Future Lines 2015'!D112</f>
        <v>138</v>
      </c>
      <c r="E112" s="359">
        <f>'Func Future Lines 2015'!E112</f>
        <v>0</v>
      </c>
      <c r="F112" s="359" t="str">
        <f>'Func Future Lines 2015'!F112</f>
        <v>edmonton</v>
      </c>
      <c r="G112" s="360">
        <f>'Func Future Lines 2015'!G112</f>
        <v>318689.25924461719</v>
      </c>
      <c r="H112" s="359" t="str">
        <f>'Func Future Lines 2015'!H112</f>
        <v>AltaLink</v>
      </c>
      <c r="I112" s="359">
        <f>'Func Future Lines 2015'!I112</f>
        <v>2017</v>
      </c>
      <c r="J112" s="361">
        <f>+IF($I112=J$3,VLOOKUP($H112,Depreciation!$A$6:$L$10,7,FALSE)/2,IF($I112&lt;J$3,VLOOKUP($H112,Depreciation!$A$6:$L$10,7,FALSE),0))</f>
        <v>0</v>
      </c>
      <c r="K112" s="361">
        <f>+IF($I112=K$3,VLOOKUP($H112,Depreciation!$A$6:$L$10,8,FALSE)/2,IF($I112&lt;K$3,VLOOKUP($H112,Depreciation!$A$6:$L$10,8,FALSE),0))</f>
        <v>0</v>
      </c>
      <c r="L112" s="361">
        <f>+IF($I112=L$3,VLOOKUP($H112,Depreciation!$A$6:$L$10,9,FALSE)/2,IF($I112&lt;L$3,VLOOKUP($H112,Depreciation!$A$6:$L$10,9,FALSE),0))</f>
        <v>1.5338181838063448E-2</v>
      </c>
      <c r="M112" s="361">
        <f>+IF($I112=M$3,VLOOKUP($H112,Depreciation!$A$6:$L$10,10,FALSE)/2,IF($I112&lt;M$3,VLOOKUP($H112,Depreciation!$A$6:$L$10,10,FALSE),0))</f>
        <v>3.0676363676126896E-2</v>
      </c>
      <c r="N112" s="361">
        <f>+IF($I112=N$3,VLOOKUP($H112,Depreciation!$A$6:$L$10,11,FALSE)/2,IF($I112&lt;N$3,VLOOKUP($H112,Depreciation!$A$6:$L$10,11,FALSE),0))</f>
        <v>3.0676363676126896E-2</v>
      </c>
      <c r="O112" s="361">
        <f>+IF($I112=O$3,VLOOKUP($H112,Depreciation!$A$6:$L$10,12,FALSE)/2,IF($I112&lt;O$3,VLOOKUP($H112,Depreciation!$A$6:$L$10,12,FALSE),0))</f>
        <v>3.0676363676126896E-2</v>
      </c>
      <c r="P112" s="362">
        <f t="shared" si="4"/>
        <v>285799.15017223876</v>
      </c>
      <c r="Q112" s="362">
        <f t="shared" si="5"/>
        <v>0</v>
      </c>
      <c r="R112" s="363">
        <f t="shared" si="6"/>
        <v>285799.15017223876</v>
      </c>
      <c r="Y112" s="365"/>
    </row>
    <row r="113" spans="1:25" ht="15" customHeight="1">
      <c r="A113" s="359" t="str">
        <f>'Func Future Lines 2015'!A113</f>
        <v>PPS</v>
      </c>
      <c r="B113" s="359" t="str">
        <f>'Func Future Lines 2015'!B113</f>
        <v>780L/174L</v>
      </c>
      <c r="C113" s="359">
        <f>'Func Future Lines 2015'!C113</f>
        <v>850</v>
      </c>
      <c r="D113" s="359">
        <f>'Func Future Lines 2015'!D113</f>
        <v>138</v>
      </c>
      <c r="E113" s="359">
        <f>'Func Future Lines 2015'!E113</f>
        <v>0</v>
      </c>
      <c r="F113" s="359" t="str">
        <f>'Func Future Lines 2015'!F113</f>
        <v>edmonton</v>
      </c>
      <c r="G113" s="360">
        <f>'Func Future Lines 2015'!G113</f>
        <v>61607075.013380922</v>
      </c>
      <c r="H113" s="359" t="str">
        <f>'Func Future Lines 2015'!H113</f>
        <v>AltaLink</v>
      </c>
      <c r="I113" s="359">
        <f>'Func Future Lines 2015'!I113</f>
        <v>2017</v>
      </c>
      <c r="J113" s="361">
        <f>+IF($I113=J$3,VLOOKUP($H113,Depreciation!$A$6:$L$10,7,FALSE)/2,IF($I113&lt;J$3,VLOOKUP($H113,Depreciation!$A$6:$L$10,7,FALSE),0))</f>
        <v>0</v>
      </c>
      <c r="K113" s="361">
        <f>+IF($I113=K$3,VLOOKUP($H113,Depreciation!$A$6:$L$10,8,FALSE)/2,IF($I113&lt;K$3,VLOOKUP($H113,Depreciation!$A$6:$L$10,8,FALSE),0))</f>
        <v>0</v>
      </c>
      <c r="L113" s="361">
        <f>+IF($I113=L$3,VLOOKUP($H113,Depreciation!$A$6:$L$10,9,FALSE)/2,IF($I113&lt;L$3,VLOOKUP($H113,Depreciation!$A$6:$L$10,9,FALSE),0))</f>
        <v>1.5338181838063448E-2</v>
      </c>
      <c r="M113" s="361">
        <f>+IF($I113=M$3,VLOOKUP($H113,Depreciation!$A$6:$L$10,10,FALSE)/2,IF($I113&lt;M$3,VLOOKUP($H113,Depreciation!$A$6:$L$10,10,FALSE),0))</f>
        <v>3.0676363676126896E-2</v>
      </c>
      <c r="N113" s="361">
        <f>+IF($I113=N$3,VLOOKUP($H113,Depreciation!$A$6:$L$10,11,FALSE)/2,IF($I113&lt;N$3,VLOOKUP($H113,Depreciation!$A$6:$L$10,11,FALSE),0))</f>
        <v>3.0676363676126896E-2</v>
      </c>
      <c r="O113" s="361">
        <f>+IF($I113=O$3,VLOOKUP($H113,Depreciation!$A$6:$L$10,12,FALSE)/2,IF($I113&lt;O$3,VLOOKUP($H113,Depreciation!$A$6:$L$10,12,FALSE),0))</f>
        <v>3.0676363676126896E-2</v>
      </c>
      <c r="P113" s="362">
        <f t="shared" si="4"/>
        <v>55248958.578509182</v>
      </c>
      <c r="Q113" s="362">
        <f t="shared" si="5"/>
        <v>0</v>
      </c>
      <c r="R113" s="363">
        <f t="shared" si="6"/>
        <v>55248958.578509182</v>
      </c>
      <c r="Y113" s="365"/>
    </row>
    <row r="114" spans="1:25" ht="15" customHeight="1">
      <c r="A114" s="359" t="str">
        <f>'Func Future Lines 2015'!A114</f>
        <v>PPS</v>
      </c>
      <c r="B114" s="359" t="str">
        <f>'Func Future Lines 2015'!B114</f>
        <v xml:space="preserve">780L/858L </v>
      </c>
      <c r="C114" s="359">
        <f>'Func Future Lines 2015'!C114</f>
        <v>850</v>
      </c>
      <c r="D114" s="359">
        <f>'Func Future Lines 2015'!D114</f>
        <v>138</v>
      </c>
      <c r="E114" s="359">
        <f>'Func Future Lines 2015'!E114</f>
        <v>0</v>
      </c>
      <c r="F114" s="359" t="str">
        <f>'Func Future Lines 2015'!F114</f>
        <v>edmonton</v>
      </c>
      <c r="G114" s="360">
        <f>'Func Future Lines 2015'!G114</f>
        <v>6668353.1939536864</v>
      </c>
      <c r="H114" s="359" t="str">
        <f>'Func Future Lines 2015'!H114</f>
        <v>AltaLink</v>
      </c>
      <c r="I114" s="359">
        <f>'Func Future Lines 2015'!I114</f>
        <v>2017</v>
      </c>
      <c r="J114" s="361">
        <f>+IF($I114=J$3,VLOOKUP($H114,Depreciation!$A$6:$L$10,7,FALSE)/2,IF($I114&lt;J$3,VLOOKUP($H114,Depreciation!$A$6:$L$10,7,FALSE),0))</f>
        <v>0</v>
      </c>
      <c r="K114" s="361">
        <f>+IF($I114=K$3,VLOOKUP($H114,Depreciation!$A$6:$L$10,8,FALSE)/2,IF($I114&lt;K$3,VLOOKUP($H114,Depreciation!$A$6:$L$10,8,FALSE),0))</f>
        <v>0</v>
      </c>
      <c r="L114" s="361">
        <f>+IF($I114=L$3,VLOOKUP($H114,Depreciation!$A$6:$L$10,9,FALSE)/2,IF($I114&lt;L$3,VLOOKUP($H114,Depreciation!$A$6:$L$10,9,FALSE),0))</f>
        <v>1.5338181838063448E-2</v>
      </c>
      <c r="M114" s="361">
        <f>+IF($I114=M$3,VLOOKUP($H114,Depreciation!$A$6:$L$10,10,FALSE)/2,IF($I114&lt;M$3,VLOOKUP($H114,Depreciation!$A$6:$L$10,10,FALSE),0))</f>
        <v>3.0676363676126896E-2</v>
      </c>
      <c r="N114" s="361">
        <f>+IF($I114=N$3,VLOOKUP($H114,Depreciation!$A$6:$L$10,11,FALSE)/2,IF($I114&lt;N$3,VLOOKUP($H114,Depreciation!$A$6:$L$10,11,FALSE),0))</f>
        <v>3.0676363676126896E-2</v>
      </c>
      <c r="O114" s="361">
        <f>+IF($I114=O$3,VLOOKUP($H114,Depreciation!$A$6:$L$10,12,FALSE)/2,IF($I114&lt;O$3,VLOOKUP($H114,Depreciation!$A$6:$L$10,12,FALSE),0))</f>
        <v>3.0676363676126896E-2</v>
      </c>
      <c r="P114" s="362">
        <f t="shared" si="4"/>
        <v>5980150.3207155466</v>
      </c>
      <c r="Q114" s="362">
        <f t="shared" si="5"/>
        <v>0</v>
      </c>
      <c r="R114" s="363">
        <f t="shared" si="6"/>
        <v>5980150.3207155466</v>
      </c>
      <c r="Y114" s="365"/>
    </row>
    <row r="115" spans="1:25" ht="15" customHeight="1">
      <c r="A115" s="359" t="str">
        <f>'Func Future Lines 2015'!A115</f>
        <v>PPS</v>
      </c>
      <c r="B115" s="359" t="str">
        <f>'Func Future Lines 2015'!B115</f>
        <v>790L/790AL</v>
      </c>
      <c r="C115" s="359">
        <f>'Func Future Lines 2015'!C115</f>
        <v>850</v>
      </c>
      <c r="D115" s="359">
        <f>'Func Future Lines 2015'!D115</f>
        <v>138</v>
      </c>
      <c r="E115" s="359">
        <f>'Func Future Lines 2015'!E115</f>
        <v>0</v>
      </c>
      <c r="F115" s="359" t="str">
        <f>'Func Future Lines 2015'!F115</f>
        <v>edmonton</v>
      </c>
      <c r="G115" s="360">
        <f>'Func Future Lines 2015'!G115</f>
        <v>139024.45893739656</v>
      </c>
      <c r="H115" s="359" t="str">
        <f>'Func Future Lines 2015'!H115</f>
        <v>AltaLink</v>
      </c>
      <c r="I115" s="359">
        <f>'Func Future Lines 2015'!I115</f>
        <v>2017</v>
      </c>
      <c r="J115" s="361">
        <f>+IF($I115=J$3,VLOOKUP($H115,Depreciation!$A$6:$L$10,7,FALSE)/2,IF($I115&lt;J$3,VLOOKUP($H115,Depreciation!$A$6:$L$10,7,FALSE),0))</f>
        <v>0</v>
      </c>
      <c r="K115" s="361">
        <f>+IF($I115=K$3,VLOOKUP($H115,Depreciation!$A$6:$L$10,8,FALSE)/2,IF($I115&lt;K$3,VLOOKUP($H115,Depreciation!$A$6:$L$10,8,FALSE),0))</f>
        <v>0</v>
      </c>
      <c r="L115" s="361">
        <f>+IF($I115=L$3,VLOOKUP($H115,Depreciation!$A$6:$L$10,9,FALSE)/2,IF($I115&lt;L$3,VLOOKUP($H115,Depreciation!$A$6:$L$10,9,FALSE),0))</f>
        <v>1.5338181838063448E-2</v>
      </c>
      <c r="M115" s="361">
        <f>+IF($I115=M$3,VLOOKUP($H115,Depreciation!$A$6:$L$10,10,FALSE)/2,IF($I115&lt;M$3,VLOOKUP($H115,Depreciation!$A$6:$L$10,10,FALSE),0))</f>
        <v>3.0676363676126896E-2</v>
      </c>
      <c r="N115" s="361">
        <f>+IF($I115=N$3,VLOOKUP($H115,Depreciation!$A$6:$L$10,11,FALSE)/2,IF($I115&lt;N$3,VLOOKUP($H115,Depreciation!$A$6:$L$10,11,FALSE),0))</f>
        <v>3.0676363676126896E-2</v>
      </c>
      <c r="O115" s="361">
        <f>+IF($I115=O$3,VLOOKUP($H115,Depreciation!$A$6:$L$10,12,FALSE)/2,IF($I115&lt;O$3,VLOOKUP($H115,Depreciation!$A$6:$L$10,12,FALSE),0))</f>
        <v>3.0676363676126896E-2</v>
      </c>
      <c r="P115" s="362">
        <f t="shared" si="4"/>
        <v>124676.53384880854</v>
      </c>
      <c r="Q115" s="362">
        <f t="shared" si="5"/>
        <v>0</v>
      </c>
      <c r="R115" s="363">
        <f t="shared" si="6"/>
        <v>124676.53384880854</v>
      </c>
      <c r="Y115" s="365"/>
    </row>
    <row r="116" spans="1:25" ht="15" customHeight="1">
      <c r="A116" s="359" t="str">
        <f>'Func Future Lines 2015'!A116</f>
        <v>PPS</v>
      </c>
      <c r="B116" s="359" t="str">
        <f>'Func Future Lines 2015'!B116</f>
        <v>874L</v>
      </c>
      <c r="C116" s="359">
        <f>'Func Future Lines 2015'!C116</f>
        <v>850</v>
      </c>
      <c r="D116" s="359">
        <f>'Func Future Lines 2015'!D116</f>
        <v>138</v>
      </c>
      <c r="E116" s="359">
        <f>'Func Future Lines 2015'!E116</f>
        <v>0</v>
      </c>
      <c r="F116" s="359" t="str">
        <f>'Func Future Lines 2015'!F116</f>
        <v>edmonton</v>
      </c>
      <c r="G116" s="360">
        <f>'Func Future Lines 2015'!G116</f>
        <v>187987.90275759264</v>
      </c>
      <c r="H116" s="359" t="str">
        <f>'Func Future Lines 2015'!H116</f>
        <v>AltaLink</v>
      </c>
      <c r="I116" s="359">
        <f>'Func Future Lines 2015'!I116</f>
        <v>2017</v>
      </c>
      <c r="J116" s="361">
        <f>+IF($I116=J$3,VLOOKUP($H116,Depreciation!$A$6:$L$10,7,FALSE)/2,IF($I116&lt;J$3,VLOOKUP($H116,Depreciation!$A$6:$L$10,7,FALSE),0))</f>
        <v>0</v>
      </c>
      <c r="K116" s="361">
        <f>+IF($I116=K$3,VLOOKUP($H116,Depreciation!$A$6:$L$10,8,FALSE)/2,IF($I116&lt;K$3,VLOOKUP($H116,Depreciation!$A$6:$L$10,8,FALSE),0))</f>
        <v>0</v>
      </c>
      <c r="L116" s="361">
        <f>+IF($I116=L$3,VLOOKUP($H116,Depreciation!$A$6:$L$10,9,FALSE)/2,IF($I116&lt;L$3,VLOOKUP($H116,Depreciation!$A$6:$L$10,9,FALSE),0))</f>
        <v>1.5338181838063448E-2</v>
      </c>
      <c r="M116" s="361">
        <f>+IF($I116=M$3,VLOOKUP($H116,Depreciation!$A$6:$L$10,10,FALSE)/2,IF($I116&lt;M$3,VLOOKUP($H116,Depreciation!$A$6:$L$10,10,FALSE),0))</f>
        <v>3.0676363676126896E-2</v>
      </c>
      <c r="N116" s="361">
        <f>+IF($I116=N$3,VLOOKUP($H116,Depreciation!$A$6:$L$10,11,FALSE)/2,IF($I116&lt;N$3,VLOOKUP($H116,Depreciation!$A$6:$L$10,11,FALSE),0))</f>
        <v>3.0676363676126896E-2</v>
      </c>
      <c r="O116" s="361">
        <f>+IF($I116=O$3,VLOOKUP($H116,Depreciation!$A$6:$L$10,12,FALSE)/2,IF($I116&lt;O$3,VLOOKUP($H116,Depreciation!$A$6:$L$10,12,FALSE),0))</f>
        <v>3.0676363676126896E-2</v>
      </c>
      <c r="P116" s="362">
        <f t="shared" si="4"/>
        <v>168586.73862473105</v>
      </c>
      <c r="Q116" s="362">
        <f t="shared" si="5"/>
        <v>0</v>
      </c>
      <c r="R116" s="363">
        <f t="shared" si="6"/>
        <v>168586.73862473105</v>
      </c>
      <c r="Y116" s="365"/>
    </row>
    <row r="117" spans="1:25" ht="15" customHeight="1">
      <c r="A117" s="359" t="str">
        <f>'Func Future Lines 2015'!A117</f>
        <v>PPS</v>
      </c>
      <c r="B117" s="359" t="str">
        <f>'Func Future Lines 2015'!B117</f>
        <v>910L/914L</v>
      </c>
      <c r="C117" s="359">
        <f>'Func Future Lines 2015'!C117</f>
        <v>850</v>
      </c>
      <c r="D117" s="359">
        <f>'Func Future Lines 2015'!D117</f>
        <v>240</v>
      </c>
      <c r="E117" s="359">
        <f>'Func Future Lines 2015'!E117</f>
        <v>0</v>
      </c>
      <c r="F117" s="359" t="str">
        <f>'Func Future Lines 2015'!F117</f>
        <v>edmonton</v>
      </c>
      <c r="G117" s="360">
        <f>'Func Future Lines 2015'!G117</f>
        <v>14418523.778933475</v>
      </c>
      <c r="H117" s="359" t="str">
        <f>'Func Future Lines 2015'!H117</f>
        <v>AltaLink</v>
      </c>
      <c r="I117" s="359">
        <f>'Func Future Lines 2015'!I117</f>
        <v>2017</v>
      </c>
      <c r="J117" s="361">
        <f>+IF($I117=J$3,VLOOKUP($H117,Depreciation!$A$6:$L$10,7,FALSE)/2,IF($I117&lt;J$3,VLOOKUP($H117,Depreciation!$A$6:$L$10,7,FALSE),0))</f>
        <v>0</v>
      </c>
      <c r="K117" s="361">
        <f>+IF($I117=K$3,VLOOKUP($H117,Depreciation!$A$6:$L$10,8,FALSE)/2,IF($I117&lt;K$3,VLOOKUP($H117,Depreciation!$A$6:$L$10,8,FALSE),0))</f>
        <v>0</v>
      </c>
      <c r="L117" s="361">
        <f>+IF($I117=L$3,VLOOKUP($H117,Depreciation!$A$6:$L$10,9,FALSE)/2,IF($I117&lt;L$3,VLOOKUP($H117,Depreciation!$A$6:$L$10,9,FALSE),0))</f>
        <v>1.5338181838063448E-2</v>
      </c>
      <c r="M117" s="361">
        <f>+IF($I117=M$3,VLOOKUP($H117,Depreciation!$A$6:$L$10,10,FALSE)/2,IF($I117&lt;M$3,VLOOKUP($H117,Depreciation!$A$6:$L$10,10,FALSE),0))</f>
        <v>3.0676363676126896E-2</v>
      </c>
      <c r="N117" s="361">
        <f>+IF($I117=N$3,VLOOKUP($H117,Depreciation!$A$6:$L$10,11,FALSE)/2,IF($I117&lt;N$3,VLOOKUP($H117,Depreciation!$A$6:$L$10,11,FALSE),0))</f>
        <v>3.0676363676126896E-2</v>
      </c>
      <c r="O117" s="361">
        <f>+IF($I117=O$3,VLOOKUP($H117,Depreciation!$A$6:$L$10,12,FALSE)/2,IF($I117&lt;O$3,VLOOKUP($H117,Depreciation!$A$6:$L$10,12,FALSE),0))</f>
        <v>3.0676363676126896E-2</v>
      </c>
      <c r="P117" s="362">
        <f t="shared" si="4"/>
        <v>12930469.801601905</v>
      </c>
      <c r="Q117" s="362">
        <f t="shared" si="5"/>
        <v>12930469.801601905</v>
      </c>
      <c r="R117" s="363">
        <f t="shared" si="6"/>
        <v>0</v>
      </c>
      <c r="Y117" s="365"/>
    </row>
    <row r="118" spans="1:25" ht="15" customHeight="1">
      <c r="A118" s="359" t="str">
        <f>'Func Future Lines 2015'!A118</f>
        <v>PPS</v>
      </c>
      <c r="B118" s="359" t="str">
        <f>'Func Future Lines 2015'!B118</f>
        <v>2.83L</v>
      </c>
      <c r="C118" s="359">
        <f>'Func Future Lines 2015'!C118</f>
        <v>859</v>
      </c>
      <c r="D118" s="359">
        <f>'Func Future Lines 2015'!D118</f>
        <v>144</v>
      </c>
      <c r="E118" s="359">
        <f>'Func Future Lines 2015'!E118</f>
        <v>0</v>
      </c>
      <c r="F118" s="359">
        <f>'Func Future Lines 2015'!F118</f>
        <v>0</v>
      </c>
      <c r="G118" s="359">
        <f>'Func Future Lines 2015'!G118</f>
        <v>277558.40845329966</v>
      </c>
      <c r="H118" s="359" t="str">
        <f>'Func Future Lines 2015'!H118</f>
        <v>ENMAX</v>
      </c>
      <c r="I118" s="359">
        <f>'Func Future Lines 2015'!I118</f>
        <v>2015</v>
      </c>
      <c r="J118" s="361">
        <f>+IF($I118=J$3,VLOOKUP($H118,Depreciation!$A$6:$L$10,7,FALSE)/2,IF($I118&lt;J$3,VLOOKUP($H118,Depreciation!$A$6:$L$10,7,FALSE),0))</f>
        <v>1.3475179084025525E-2</v>
      </c>
      <c r="K118" s="361">
        <f>+IF($I118=K$3,VLOOKUP($H118,Depreciation!$A$6:$L$10,8,FALSE)/2,IF($I118&lt;K$3,VLOOKUP($H118,Depreciation!$A$6:$L$10,8,FALSE),0))</f>
        <v>2.6950358168051049E-2</v>
      </c>
      <c r="L118" s="361">
        <f>+IF($I118=L$3,VLOOKUP($H118,Depreciation!$A$6:$L$10,9,FALSE)/2,IF($I118&lt;L$3,VLOOKUP($H118,Depreciation!$A$6:$L$10,9,FALSE),0))</f>
        <v>2.6950358168051049E-2</v>
      </c>
      <c r="M118" s="361">
        <f>+IF($I118=M$3,VLOOKUP($H118,Depreciation!$A$6:$L$10,10,FALSE)/2,IF($I118&lt;M$3,VLOOKUP($H118,Depreciation!$A$6:$L$10,10,FALSE),0))</f>
        <v>2.6950358168051049E-2</v>
      </c>
      <c r="N118" s="361">
        <f>+IF($I118=N$3,VLOOKUP($H118,Depreciation!$A$6:$L$10,11,FALSE)/2,IF($I118&lt;N$3,VLOOKUP($H118,Depreciation!$A$6:$L$10,11,FALSE),0))</f>
        <v>2.6950358168051049E-2</v>
      </c>
      <c r="O118" s="361">
        <f>+IF($I118=O$3,VLOOKUP($H118,Depreciation!$A$6:$L$10,12,FALSE)/2,IF($I118&lt;O$3,VLOOKUP($H118,Depreciation!$A$6:$L$10,12,FALSE),0))</f>
        <v>2.6950358168051049E-2</v>
      </c>
      <c r="P118" s="362">
        <f t="shared" si="4"/>
        <v>238856.67956897497</v>
      </c>
      <c r="Q118" s="362">
        <f t="shared" si="5"/>
        <v>0</v>
      </c>
      <c r="R118" s="363">
        <f t="shared" si="6"/>
        <v>238856.67956897497</v>
      </c>
      <c r="Y118" s="365"/>
    </row>
    <row r="119" spans="1:25" ht="15" customHeight="1">
      <c r="A119" s="359" t="str">
        <f>'Func Future Lines 2015'!A119</f>
        <v>PPS</v>
      </c>
      <c r="B119" s="359" t="str">
        <f>'Func Future Lines 2015'!B119</f>
        <v>1037L/1038L</v>
      </c>
      <c r="C119" s="359">
        <f>'Func Future Lines 2015'!C119</f>
        <v>882</v>
      </c>
      <c r="D119" s="359">
        <f>'Func Future Lines 2015'!D119</f>
        <v>240</v>
      </c>
      <c r="E119" s="359">
        <f>'Func Future Lines 2015'!E119</f>
        <v>0</v>
      </c>
      <c r="F119" s="359">
        <f>'Func Future Lines 2015'!F119</f>
        <v>0</v>
      </c>
      <c r="G119" s="359">
        <f>'Func Future Lines 2015'!G119</f>
        <v>175713694.57219195</v>
      </c>
      <c r="H119" s="359" t="str">
        <f>'Func Future Lines 2015'!H119</f>
        <v>AltaLink</v>
      </c>
      <c r="I119" s="359">
        <f>'Func Future Lines 2015'!I119</f>
        <v>2015</v>
      </c>
      <c r="J119" s="361">
        <f>+IF($I119=J$3,VLOOKUP($H119,Depreciation!$A$6:$L$10,7,FALSE)/2,IF($I119&lt;J$3,VLOOKUP($H119,Depreciation!$A$6:$L$10,7,FALSE),0))</f>
        <v>1.595020804044691E-2</v>
      </c>
      <c r="K119" s="361">
        <f>+IF($I119=K$3,VLOOKUP($H119,Depreciation!$A$6:$L$10,8,FALSE)/2,IF($I119&lt;K$3,VLOOKUP($H119,Depreciation!$A$6:$L$10,8,FALSE),0))</f>
        <v>3.0676363676126896E-2</v>
      </c>
      <c r="L119" s="361">
        <f>+IF($I119=L$3,VLOOKUP($H119,Depreciation!$A$6:$L$10,9,FALSE)/2,IF($I119&lt;L$3,VLOOKUP($H119,Depreciation!$A$6:$L$10,9,FALSE),0))</f>
        <v>3.0676363676126896E-2</v>
      </c>
      <c r="M119" s="361">
        <f>+IF($I119=M$3,VLOOKUP($H119,Depreciation!$A$6:$L$10,10,FALSE)/2,IF($I119&lt;M$3,VLOOKUP($H119,Depreciation!$A$6:$L$10,10,FALSE),0))</f>
        <v>3.0676363676126896E-2</v>
      </c>
      <c r="N119" s="361">
        <f>+IF($I119=N$3,VLOOKUP($H119,Depreciation!$A$6:$L$10,11,FALSE)/2,IF($I119&lt;N$3,VLOOKUP($H119,Depreciation!$A$6:$L$10,11,FALSE),0))</f>
        <v>3.0676363676126896E-2</v>
      </c>
      <c r="O119" s="361">
        <f>+IF($I119=O$3,VLOOKUP($H119,Depreciation!$A$6:$L$10,12,FALSE)/2,IF($I119&lt;O$3,VLOOKUP($H119,Depreciation!$A$6:$L$10,12,FALSE),0))</f>
        <v>3.0676363676126896E-2</v>
      </c>
      <c r="P119" s="362">
        <f t="shared" si="4"/>
        <v>147967623.43533775</v>
      </c>
      <c r="Q119" s="362">
        <f t="shared" si="5"/>
        <v>147967623.43533775</v>
      </c>
      <c r="R119" s="363">
        <f t="shared" si="6"/>
        <v>0</v>
      </c>
      <c r="Y119" s="365"/>
    </row>
    <row r="120" spans="1:25" ht="15" customHeight="1">
      <c r="A120" s="359" t="str">
        <f>'Func Future Lines 2015'!A120</f>
        <v>PPS</v>
      </c>
      <c r="B120" s="359" t="str">
        <f>'Func Future Lines 2015'!B120</f>
        <v>1037L/1038L</v>
      </c>
      <c r="C120" s="359">
        <f>'Func Future Lines 2015'!C120</f>
        <v>882</v>
      </c>
      <c r="D120" s="359">
        <f>'Func Future Lines 2015'!D120</f>
        <v>240</v>
      </c>
      <c r="E120" s="359">
        <f>'Func Future Lines 2015'!E120</f>
        <v>0</v>
      </c>
      <c r="F120" s="359">
        <f>'Func Future Lines 2015'!F120</f>
        <v>0</v>
      </c>
      <c r="G120" s="359">
        <f>'Func Future Lines 2015'!G120</f>
        <v>175713694.57219195</v>
      </c>
      <c r="H120" s="359" t="str">
        <f>'Func Future Lines 2015'!H120</f>
        <v>AltaLink</v>
      </c>
      <c r="I120" s="359">
        <f>'Func Future Lines 2015'!I120</f>
        <v>2015</v>
      </c>
      <c r="J120" s="361">
        <f>+IF($I120=J$3,VLOOKUP($H120,Depreciation!$A$6:$L$10,7,FALSE)/2,IF($I120&lt;J$3,VLOOKUP($H120,Depreciation!$A$6:$L$10,7,FALSE),0))</f>
        <v>1.595020804044691E-2</v>
      </c>
      <c r="K120" s="361">
        <f>+IF($I120=K$3,VLOOKUP($H120,Depreciation!$A$6:$L$10,8,FALSE)/2,IF($I120&lt;K$3,VLOOKUP($H120,Depreciation!$A$6:$L$10,8,FALSE),0))</f>
        <v>3.0676363676126896E-2</v>
      </c>
      <c r="L120" s="361">
        <f>+IF($I120=L$3,VLOOKUP($H120,Depreciation!$A$6:$L$10,9,FALSE)/2,IF($I120&lt;L$3,VLOOKUP($H120,Depreciation!$A$6:$L$10,9,FALSE),0))</f>
        <v>3.0676363676126896E-2</v>
      </c>
      <c r="M120" s="361">
        <f>+IF($I120=M$3,VLOOKUP($H120,Depreciation!$A$6:$L$10,10,FALSE)/2,IF($I120&lt;M$3,VLOOKUP($H120,Depreciation!$A$6:$L$10,10,FALSE),0))</f>
        <v>3.0676363676126896E-2</v>
      </c>
      <c r="N120" s="361">
        <f>+IF($I120=N$3,VLOOKUP($H120,Depreciation!$A$6:$L$10,11,FALSE)/2,IF($I120&lt;N$3,VLOOKUP($H120,Depreciation!$A$6:$L$10,11,FALSE),0))</f>
        <v>3.0676363676126896E-2</v>
      </c>
      <c r="O120" s="361">
        <f>+IF($I120=O$3,VLOOKUP($H120,Depreciation!$A$6:$L$10,12,FALSE)/2,IF($I120&lt;O$3,VLOOKUP($H120,Depreciation!$A$6:$L$10,12,FALSE),0))</f>
        <v>3.0676363676126896E-2</v>
      </c>
      <c r="P120" s="362">
        <f t="shared" si="4"/>
        <v>147967623.43533775</v>
      </c>
      <c r="Q120" s="362">
        <f t="shared" si="5"/>
        <v>147967623.43533775</v>
      </c>
      <c r="R120" s="363">
        <f t="shared" si="6"/>
        <v>0</v>
      </c>
      <c r="Y120" s="365"/>
    </row>
    <row r="121" spans="1:25" ht="15" customHeight="1">
      <c r="A121" s="359" t="str">
        <f>'Func Future Lines 2015'!A121</f>
        <v>PPS</v>
      </c>
      <c r="B121" s="359" t="str">
        <f>'Func Future Lines 2015'!B121</f>
        <v>1048L/1049L</v>
      </c>
      <c r="C121" s="359">
        <f>'Func Future Lines 2015'!C121</f>
        <v>882</v>
      </c>
      <c r="D121" s="359">
        <f>'Func Future Lines 2015'!D121</f>
        <v>240</v>
      </c>
      <c r="E121" s="359">
        <f>'Func Future Lines 2015'!E121</f>
        <v>0</v>
      </c>
      <c r="F121" s="359">
        <f>'Func Future Lines 2015'!F121</f>
        <v>0</v>
      </c>
      <c r="G121" s="359">
        <f>'Func Future Lines 2015'!G121</f>
        <v>1408640.4351352858</v>
      </c>
      <c r="H121" s="359" t="str">
        <f>'Func Future Lines 2015'!H121</f>
        <v>AltaLink</v>
      </c>
      <c r="I121" s="359">
        <f>'Func Future Lines 2015'!I121</f>
        <v>2015</v>
      </c>
      <c r="J121" s="361">
        <f>+IF($I121=J$3,VLOOKUP($H121,Depreciation!$A$6:$L$10,7,FALSE)/2,IF($I121&lt;J$3,VLOOKUP($H121,Depreciation!$A$6:$L$10,7,FALSE),0))</f>
        <v>1.595020804044691E-2</v>
      </c>
      <c r="K121" s="361">
        <f>+IF($I121=K$3,VLOOKUP($H121,Depreciation!$A$6:$L$10,8,FALSE)/2,IF($I121&lt;K$3,VLOOKUP($H121,Depreciation!$A$6:$L$10,8,FALSE),0))</f>
        <v>3.0676363676126896E-2</v>
      </c>
      <c r="L121" s="361">
        <f>+IF($I121=L$3,VLOOKUP($H121,Depreciation!$A$6:$L$10,9,FALSE)/2,IF($I121&lt;L$3,VLOOKUP($H121,Depreciation!$A$6:$L$10,9,FALSE),0))</f>
        <v>3.0676363676126896E-2</v>
      </c>
      <c r="M121" s="361">
        <f>+IF($I121=M$3,VLOOKUP($H121,Depreciation!$A$6:$L$10,10,FALSE)/2,IF($I121&lt;M$3,VLOOKUP($H121,Depreciation!$A$6:$L$10,10,FALSE),0))</f>
        <v>3.0676363676126896E-2</v>
      </c>
      <c r="N121" s="361">
        <f>+IF($I121=N$3,VLOOKUP($H121,Depreciation!$A$6:$L$10,11,FALSE)/2,IF($I121&lt;N$3,VLOOKUP($H121,Depreciation!$A$6:$L$10,11,FALSE),0))</f>
        <v>3.0676363676126896E-2</v>
      </c>
      <c r="O121" s="361">
        <f>+IF($I121=O$3,VLOOKUP($H121,Depreciation!$A$6:$L$10,12,FALSE)/2,IF($I121&lt;O$3,VLOOKUP($H121,Depreciation!$A$6:$L$10,12,FALSE),0))</f>
        <v>3.0676363676126896E-2</v>
      </c>
      <c r="P121" s="362">
        <f t="shared" si="4"/>
        <v>1186209.0656585309</v>
      </c>
      <c r="Q121" s="362">
        <f t="shared" si="5"/>
        <v>1186209.0656585309</v>
      </c>
      <c r="R121" s="363">
        <f t="shared" si="6"/>
        <v>0</v>
      </c>
      <c r="Y121" s="365"/>
    </row>
    <row r="122" spans="1:25" ht="15" customHeight="1">
      <c r="A122" s="359" t="str">
        <f>'Func Future Lines 2015'!A122</f>
        <v>PPS</v>
      </c>
      <c r="B122" s="359" t="str">
        <f>'Func Future Lines 2015'!B122</f>
        <v>1048L/1049L</v>
      </c>
      <c r="C122" s="359">
        <f>'Func Future Lines 2015'!C122</f>
        <v>882</v>
      </c>
      <c r="D122" s="359">
        <f>'Func Future Lines 2015'!D122</f>
        <v>240</v>
      </c>
      <c r="E122" s="359">
        <f>'Func Future Lines 2015'!E122</f>
        <v>0</v>
      </c>
      <c r="F122" s="359">
        <f>'Func Future Lines 2015'!F122</f>
        <v>0</v>
      </c>
      <c r="G122" s="359">
        <f>'Func Future Lines 2015'!G122</f>
        <v>1408640.4351352858</v>
      </c>
      <c r="H122" s="359" t="str">
        <f>'Func Future Lines 2015'!H122</f>
        <v>AltaLink</v>
      </c>
      <c r="I122" s="359">
        <f>'Func Future Lines 2015'!I122</f>
        <v>2015</v>
      </c>
      <c r="J122" s="361">
        <f>+IF($I122=J$3,VLOOKUP($H122,Depreciation!$A$6:$L$10,7,FALSE)/2,IF($I122&lt;J$3,VLOOKUP($H122,Depreciation!$A$6:$L$10,7,FALSE),0))</f>
        <v>1.595020804044691E-2</v>
      </c>
      <c r="K122" s="361">
        <f>+IF($I122=K$3,VLOOKUP($H122,Depreciation!$A$6:$L$10,8,FALSE)/2,IF($I122&lt;K$3,VLOOKUP($H122,Depreciation!$A$6:$L$10,8,FALSE),0))</f>
        <v>3.0676363676126896E-2</v>
      </c>
      <c r="L122" s="361">
        <f>+IF($I122=L$3,VLOOKUP($H122,Depreciation!$A$6:$L$10,9,FALSE)/2,IF($I122&lt;L$3,VLOOKUP($H122,Depreciation!$A$6:$L$10,9,FALSE),0))</f>
        <v>3.0676363676126896E-2</v>
      </c>
      <c r="M122" s="361">
        <f>+IF($I122=M$3,VLOOKUP($H122,Depreciation!$A$6:$L$10,10,FALSE)/2,IF($I122&lt;M$3,VLOOKUP($H122,Depreciation!$A$6:$L$10,10,FALSE),0))</f>
        <v>3.0676363676126896E-2</v>
      </c>
      <c r="N122" s="361">
        <f>+IF($I122=N$3,VLOOKUP($H122,Depreciation!$A$6:$L$10,11,FALSE)/2,IF($I122&lt;N$3,VLOOKUP($H122,Depreciation!$A$6:$L$10,11,FALSE),0))</f>
        <v>3.0676363676126896E-2</v>
      </c>
      <c r="O122" s="361">
        <f>+IF($I122=O$3,VLOOKUP($H122,Depreciation!$A$6:$L$10,12,FALSE)/2,IF($I122&lt;O$3,VLOOKUP($H122,Depreciation!$A$6:$L$10,12,FALSE),0))</f>
        <v>3.0676363676126896E-2</v>
      </c>
      <c r="P122" s="362">
        <f t="shared" si="4"/>
        <v>1186209.0656585309</v>
      </c>
      <c r="Q122" s="362">
        <f t="shared" si="5"/>
        <v>1186209.0656585309</v>
      </c>
      <c r="R122" s="363">
        <f t="shared" si="6"/>
        <v>0</v>
      </c>
      <c r="Y122" s="365"/>
    </row>
    <row r="123" spans="1:25" ht="15" customHeight="1">
      <c r="A123" s="359" t="str">
        <f>'Func Future Lines 2015'!A123</f>
        <v>PPS</v>
      </c>
      <c r="B123" s="359" t="str">
        <f>'Func Future Lines 2015'!B123</f>
        <v>603L to Windy Flats 138S</v>
      </c>
      <c r="C123" s="359">
        <f>'Func Future Lines 2015'!C123</f>
        <v>882</v>
      </c>
      <c r="D123" s="359">
        <f>'Func Future Lines 2015'!D123</f>
        <v>138</v>
      </c>
      <c r="E123" s="359">
        <f>'Func Future Lines 2015'!E123</f>
        <v>0</v>
      </c>
      <c r="F123" s="359">
        <f>'Func Future Lines 2015'!F123</f>
        <v>0</v>
      </c>
      <c r="G123" s="359">
        <f>'Func Future Lines 2015'!G123</f>
        <v>408645.45604728005</v>
      </c>
      <c r="H123" s="359" t="str">
        <f>'Func Future Lines 2015'!H123</f>
        <v>AltaLink</v>
      </c>
      <c r="I123" s="359">
        <f>'Func Future Lines 2015'!I123</f>
        <v>2015</v>
      </c>
      <c r="J123" s="361">
        <f>+IF($I123=J$3,VLOOKUP($H123,Depreciation!$A$6:$L$10,7,FALSE)/2,IF($I123&lt;J$3,VLOOKUP($H123,Depreciation!$A$6:$L$10,7,FALSE),0))</f>
        <v>1.595020804044691E-2</v>
      </c>
      <c r="K123" s="361">
        <f>+IF($I123=K$3,VLOOKUP($H123,Depreciation!$A$6:$L$10,8,FALSE)/2,IF($I123&lt;K$3,VLOOKUP($H123,Depreciation!$A$6:$L$10,8,FALSE),0))</f>
        <v>3.0676363676126896E-2</v>
      </c>
      <c r="L123" s="361">
        <f>+IF($I123=L$3,VLOOKUP($H123,Depreciation!$A$6:$L$10,9,FALSE)/2,IF($I123&lt;L$3,VLOOKUP($H123,Depreciation!$A$6:$L$10,9,FALSE),0))</f>
        <v>3.0676363676126896E-2</v>
      </c>
      <c r="M123" s="361">
        <f>+IF($I123=M$3,VLOOKUP($H123,Depreciation!$A$6:$L$10,10,FALSE)/2,IF($I123&lt;M$3,VLOOKUP($H123,Depreciation!$A$6:$L$10,10,FALSE),0))</f>
        <v>3.0676363676126896E-2</v>
      </c>
      <c r="N123" s="361">
        <f>+IF($I123=N$3,VLOOKUP($H123,Depreciation!$A$6:$L$10,11,FALSE)/2,IF($I123&lt;N$3,VLOOKUP($H123,Depreciation!$A$6:$L$10,11,FALSE),0))</f>
        <v>3.0676363676126896E-2</v>
      </c>
      <c r="O123" s="361">
        <f>+IF($I123=O$3,VLOOKUP($H123,Depreciation!$A$6:$L$10,12,FALSE)/2,IF($I123&lt;O$3,VLOOKUP($H123,Depreciation!$A$6:$L$10,12,FALSE),0))</f>
        <v>3.0676363676126896E-2</v>
      </c>
      <c r="P123" s="362">
        <f t="shared" si="4"/>
        <v>344118.29485563084</v>
      </c>
      <c r="Q123" s="362">
        <f t="shared" si="5"/>
        <v>0</v>
      </c>
      <c r="R123" s="363">
        <f t="shared" si="6"/>
        <v>344118.29485563084</v>
      </c>
      <c r="Y123" s="365"/>
    </row>
    <row r="124" spans="1:25" ht="15" customHeight="1">
      <c r="A124" s="359" t="str">
        <f>'Func Future Lines 2015'!A124</f>
        <v>PPS</v>
      </c>
      <c r="B124" s="359" t="str">
        <f>'Func Future Lines 2015'!B124</f>
        <v xml:space="preserve">608L - 138kV both s/c and d/c </v>
      </c>
      <c r="C124" s="359">
        <f>'Func Future Lines 2015'!C124</f>
        <v>882</v>
      </c>
      <c r="D124" s="359">
        <f>'Func Future Lines 2015'!D124</f>
        <v>138</v>
      </c>
      <c r="E124" s="359">
        <f>'Func Future Lines 2015'!E124</f>
        <v>0</v>
      </c>
      <c r="F124" s="359">
        <f>'Func Future Lines 2015'!F124</f>
        <v>0</v>
      </c>
      <c r="G124" s="359">
        <f>'Func Future Lines 2015'!G124</f>
        <v>6799479.65835247</v>
      </c>
      <c r="H124" s="359" t="str">
        <f>'Func Future Lines 2015'!H124</f>
        <v>AltaLink</v>
      </c>
      <c r="I124" s="359">
        <f>'Func Future Lines 2015'!I124</f>
        <v>2015</v>
      </c>
      <c r="J124" s="361">
        <f>+IF($I124=J$3,VLOOKUP($H124,Depreciation!$A$6:$L$10,7,FALSE)/2,IF($I124&lt;J$3,VLOOKUP($H124,Depreciation!$A$6:$L$10,7,FALSE),0))</f>
        <v>1.595020804044691E-2</v>
      </c>
      <c r="K124" s="361">
        <f>+IF($I124=K$3,VLOOKUP($H124,Depreciation!$A$6:$L$10,8,FALSE)/2,IF($I124&lt;K$3,VLOOKUP($H124,Depreciation!$A$6:$L$10,8,FALSE),0))</f>
        <v>3.0676363676126896E-2</v>
      </c>
      <c r="L124" s="361">
        <f>+IF($I124=L$3,VLOOKUP($H124,Depreciation!$A$6:$L$10,9,FALSE)/2,IF($I124&lt;L$3,VLOOKUP($H124,Depreciation!$A$6:$L$10,9,FALSE),0))</f>
        <v>3.0676363676126896E-2</v>
      </c>
      <c r="M124" s="361">
        <f>+IF($I124=M$3,VLOOKUP($H124,Depreciation!$A$6:$L$10,10,FALSE)/2,IF($I124&lt;M$3,VLOOKUP($H124,Depreciation!$A$6:$L$10,10,FALSE),0))</f>
        <v>3.0676363676126896E-2</v>
      </c>
      <c r="N124" s="361">
        <f>+IF($I124=N$3,VLOOKUP($H124,Depreciation!$A$6:$L$10,11,FALSE)/2,IF($I124&lt;N$3,VLOOKUP($H124,Depreciation!$A$6:$L$10,11,FALSE),0))</f>
        <v>3.0676363676126896E-2</v>
      </c>
      <c r="O124" s="361">
        <f>+IF($I124=O$3,VLOOKUP($H124,Depreciation!$A$6:$L$10,12,FALSE)/2,IF($I124&lt;O$3,VLOOKUP($H124,Depreciation!$A$6:$L$10,12,FALSE),0))</f>
        <v>3.0676363676126896E-2</v>
      </c>
      <c r="P124" s="362">
        <f t="shared" si="4"/>
        <v>5725807.8153378088</v>
      </c>
      <c r="Q124" s="362">
        <f t="shared" si="5"/>
        <v>0</v>
      </c>
      <c r="R124" s="363">
        <f t="shared" si="6"/>
        <v>5725807.8153378088</v>
      </c>
      <c r="Y124" s="365"/>
    </row>
    <row r="125" spans="1:25" ht="15" customHeight="1">
      <c r="A125" s="359" t="str">
        <f>'Func Future Lines 2015'!A125</f>
        <v>PPS</v>
      </c>
      <c r="B125" s="359" t="str">
        <f>'Func Future Lines 2015'!B125</f>
        <v>608L - d/c 725BL</v>
      </c>
      <c r="C125" s="359">
        <f>'Func Future Lines 2015'!C125</f>
        <v>882</v>
      </c>
      <c r="D125" s="359">
        <f>'Func Future Lines 2015'!D125</f>
        <v>138</v>
      </c>
      <c r="E125" s="359">
        <f>'Func Future Lines 2015'!E125</f>
        <v>0</v>
      </c>
      <c r="F125" s="359">
        <f>'Func Future Lines 2015'!F125</f>
        <v>0</v>
      </c>
      <c r="G125" s="359">
        <f>'Func Future Lines 2015'!G125</f>
        <v>2371991.3149319356</v>
      </c>
      <c r="H125" s="359" t="str">
        <f>'Func Future Lines 2015'!H125</f>
        <v>AltaLink</v>
      </c>
      <c r="I125" s="359">
        <f>'Func Future Lines 2015'!I125</f>
        <v>2015</v>
      </c>
      <c r="J125" s="361">
        <f>+IF($I125=J$3,VLOOKUP($H125,Depreciation!$A$6:$L$10,7,FALSE)/2,IF($I125&lt;J$3,VLOOKUP($H125,Depreciation!$A$6:$L$10,7,FALSE),0))</f>
        <v>1.595020804044691E-2</v>
      </c>
      <c r="K125" s="361">
        <f>+IF($I125=K$3,VLOOKUP($H125,Depreciation!$A$6:$L$10,8,FALSE)/2,IF($I125&lt;K$3,VLOOKUP($H125,Depreciation!$A$6:$L$10,8,FALSE),0))</f>
        <v>3.0676363676126896E-2</v>
      </c>
      <c r="L125" s="361">
        <f>+IF($I125=L$3,VLOOKUP($H125,Depreciation!$A$6:$L$10,9,FALSE)/2,IF($I125&lt;L$3,VLOOKUP($H125,Depreciation!$A$6:$L$10,9,FALSE),0))</f>
        <v>3.0676363676126896E-2</v>
      </c>
      <c r="M125" s="361">
        <f>+IF($I125=M$3,VLOOKUP($H125,Depreciation!$A$6:$L$10,10,FALSE)/2,IF($I125&lt;M$3,VLOOKUP($H125,Depreciation!$A$6:$L$10,10,FALSE),0))</f>
        <v>3.0676363676126896E-2</v>
      </c>
      <c r="N125" s="361">
        <f>+IF($I125=N$3,VLOOKUP($H125,Depreciation!$A$6:$L$10,11,FALSE)/2,IF($I125&lt;N$3,VLOOKUP($H125,Depreciation!$A$6:$L$10,11,FALSE),0))</f>
        <v>3.0676363676126896E-2</v>
      </c>
      <c r="O125" s="361">
        <f>+IF($I125=O$3,VLOOKUP($H125,Depreciation!$A$6:$L$10,12,FALSE)/2,IF($I125&lt;O$3,VLOOKUP($H125,Depreciation!$A$6:$L$10,12,FALSE),0))</f>
        <v>3.0676363676126896E-2</v>
      </c>
      <c r="P125" s="362">
        <f t="shared" si="4"/>
        <v>1997442.0237094327</v>
      </c>
      <c r="Q125" s="362">
        <f t="shared" si="5"/>
        <v>0</v>
      </c>
      <c r="R125" s="363">
        <f t="shared" si="6"/>
        <v>1997442.0237094327</v>
      </c>
      <c r="Y125" s="365"/>
    </row>
    <row r="126" spans="1:25" ht="15" customHeight="1">
      <c r="A126" s="359" t="str">
        <f>'Func Future Lines 2015'!A126</f>
        <v>PPS</v>
      </c>
      <c r="B126" s="359" t="str">
        <f>'Func Future Lines 2015'!B126</f>
        <v>911L By-Pass</v>
      </c>
      <c r="C126" s="359">
        <f>'Func Future Lines 2015'!C126</f>
        <v>882</v>
      </c>
      <c r="D126" s="359">
        <f>'Func Future Lines 2015'!D126</f>
        <v>240</v>
      </c>
      <c r="E126" s="359">
        <f>'Func Future Lines 2015'!E126</f>
        <v>0</v>
      </c>
      <c r="F126" s="359">
        <f>'Func Future Lines 2015'!F126</f>
        <v>0</v>
      </c>
      <c r="G126" s="359">
        <f>'Func Future Lines 2015'!G126</f>
        <v>11928878.215178415</v>
      </c>
      <c r="H126" s="359" t="str">
        <f>'Func Future Lines 2015'!H126</f>
        <v>AltaLink</v>
      </c>
      <c r="I126" s="359">
        <f>'Func Future Lines 2015'!I126</f>
        <v>2015</v>
      </c>
      <c r="J126" s="361">
        <f>+IF($I126=J$3,VLOOKUP($H126,Depreciation!$A$6:$L$10,7,FALSE)/2,IF($I126&lt;J$3,VLOOKUP($H126,Depreciation!$A$6:$L$10,7,FALSE),0))</f>
        <v>1.595020804044691E-2</v>
      </c>
      <c r="K126" s="361">
        <f>+IF($I126=K$3,VLOOKUP($H126,Depreciation!$A$6:$L$10,8,FALSE)/2,IF($I126&lt;K$3,VLOOKUP($H126,Depreciation!$A$6:$L$10,8,FALSE),0))</f>
        <v>3.0676363676126896E-2</v>
      </c>
      <c r="L126" s="361">
        <f>+IF($I126=L$3,VLOOKUP($H126,Depreciation!$A$6:$L$10,9,FALSE)/2,IF($I126&lt;L$3,VLOOKUP($H126,Depreciation!$A$6:$L$10,9,FALSE),0))</f>
        <v>3.0676363676126896E-2</v>
      </c>
      <c r="M126" s="361">
        <f>+IF($I126=M$3,VLOOKUP($H126,Depreciation!$A$6:$L$10,10,FALSE)/2,IF($I126&lt;M$3,VLOOKUP($H126,Depreciation!$A$6:$L$10,10,FALSE),0))</f>
        <v>3.0676363676126896E-2</v>
      </c>
      <c r="N126" s="361">
        <f>+IF($I126=N$3,VLOOKUP($H126,Depreciation!$A$6:$L$10,11,FALSE)/2,IF($I126&lt;N$3,VLOOKUP($H126,Depreciation!$A$6:$L$10,11,FALSE),0))</f>
        <v>3.0676363676126896E-2</v>
      </c>
      <c r="O126" s="361">
        <f>+IF($I126=O$3,VLOOKUP($H126,Depreciation!$A$6:$L$10,12,FALSE)/2,IF($I126&lt;O$3,VLOOKUP($H126,Depreciation!$A$6:$L$10,12,FALSE),0))</f>
        <v>3.0676363676126896E-2</v>
      </c>
      <c r="P126" s="362">
        <f t="shared" si="4"/>
        <v>10045248.687343135</v>
      </c>
      <c r="Q126" s="362">
        <f t="shared" si="5"/>
        <v>10045248.687343135</v>
      </c>
      <c r="R126" s="363">
        <f t="shared" si="6"/>
        <v>0</v>
      </c>
      <c r="Y126" s="365"/>
    </row>
    <row r="127" spans="1:25" ht="15" customHeight="1">
      <c r="A127" s="359" t="str">
        <f>'Func Future Lines 2015'!A127</f>
        <v>PPS</v>
      </c>
      <c r="B127" s="359" t="str">
        <f>'Func Future Lines 2015'!B127</f>
        <v>911L Crossing</v>
      </c>
      <c r="C127" s="359">
        <f>'Func Future Lines 2015'!C127</f>
        <v>882</v>
      </c>
      <c r="D127" s="359">
        <f>'Func Future Lines 2015'!D127</f>
        <v>240</v>
      </c>
      <c r="E127" s="359">
        <f>'Func Future Lines 2015'!E127</f>
        <v>0</v>
      </c>
      <c r="F127" s="359">
        <f>'Func Future Lines 2015'!F127</f>
        <v>0</v>
      </c>
      <c r="G127" s="359">
        <f>'Func Future Lines 2015'!G127</f>
        <v>4366097.6160243107</v>
      </c>
      <c r="H127" s="359" t="str">
        <f>'Func Future Lines 2015'!H127</f>
        <v>AltaLink</v>
      </c>
      <c r="I127" s="359">
        <f>'Func Future Lines 2015'!I127</f>
        <v>2015</v>
      </c>
      <c r="J127" s="361">
        <f>+IF($I127=J$3,VLOOKUP($H127,Depreciation!$A$6:$L$10,7,FALSE)/2,IF($I127&lt;J$3,VLOOKUP($H127,Depreciation!$A$6:$L$10,7,FALSE),0))</f>
        <v>1.595020804044691E-2</v>
      </c>
      <c r="K127" s="361">
        <f>+IF($I127=K$3,VLOOKUP($H127,Depreciation!$A$6:$L$10,8,FALSE)/2,IF($I127&lt;K$3,VLOOKUP($H127,Depreciation!$A$6:$L$10,8,FALSE),0))</f>
        <v>3.0676363676126896E-2</v>
      </c>
      <c r="L127" s="361">
        <f>+IF($I127=L$3,VLOOKUP($H127,Depreciation!$A$6:$L$10,9,FALSE)/2,IF($I127&lt;L$3,VLOOKUP($H127,Depreciation!$A$6:$L$10,9,FALSE),0))</f>
        <v>3.0676363676126896E-2</v>
      </c>
      <c r="M127" s="361">
        <f>+IF($I127=M$3,VLOOKUP($H127,Depreciation!$A$6:$L$10,10,FALSE)/2,IF($I127&lt;M$3,VLOOKUP($H127,Depreciation!$A$6:$L$10,10,FALSE),0))</f>
        <v>3.0676363676126896E-2</v>
      </c>
      <c r="N127" s="361">
        <f>+IF($I127=N$3,VLOOKUP($H127,Depreciation!$A$6:$L$10,11,FALSE)/2,IF($I127&lt;N$3,VLOOKUP($H127,Depreciation!$A$6:$L$10,11,FALSE),0))</f>
        <v>3.0676363676126896E-2</v>
      </c>
      <c r="O127" s="361">
        <f>+IF($I127=O$3,VLOOKUP($H127,Depreciation!$A$6:$L$10,12,FALSE)/2,IF($I127&lt;O$3,VLOOKUP($H127,Depreciation!$A$6:$L$10,12,FALSE),0))</f>
        <v>3.0676363676126896E-2</v>
      </c>
      <c r="P127" s="362">
        <f t="shared" si="4"/>
        <v>3676668.9671099335</v>
      </c>
      <c r="Q127" s="362">
        <f t="shared" si="5"/>
        <v>3676668.9671099335</v>
      </c>
      <c r="R127" s="363">
        <f t="shared" si="6"/>
        <v>0</v>
      </c>
      <c r="Y127" s="365"/>
    </row>
    <row r="128" spans="1:25" ht="15" customHeight="1">
      <c r="A128" s="359" t="str">
        <f>'Func Future Lines 2015'!A128</f>
        <v>PPS</v>
      </c>
      <c r="B128" s="359" t="str">
        <f>'Func Future Lines 2015'!B128</f>
        <v>967L/968L</v>
      </c>
      <c r="C128" s="359">
        <f>'Func Future Lines 2015'!C128</f>
        <v>882</v>
      </c>
      <c r="D128" s="359">
        <f>'Func Future Lines 2015'!D128</f>
        <v>240</v>
      </c>
      <c r="E128" s="359">
        <f>'Func Future Lines 2015'!E128</f>
        <v>0</v>
      </c>
      <c r="F128" s="359">
        <f>'Func Future Lines 2015'!F128</f>
        <v>0</v>
      </c>
      <c r="G128" s="359">
        <f>'Func Future Lines 2015'!G128</f>
        <v>1457386.3381379189</v>
      </c>
      <c r="H128" s="359" t="str">
        <f>'Func Future Lines 2015'!H128</f>
        <v>AltaLink</v>
      </c>
      <c r="I128" s="359">
        <f>'Func Future Lines 2015'!I128</f>
        <v>2015</v>
      </c>
      <c r="J128" s="361">
        <f>+IF($I128=J$3,VLOOKUP($H128,Depreciation!$A$6:$L$10,7,FALSE)/2,IF($I128&lt;J$3,VLOOKUP($H128,Depreciation!$A$6:$L$10,7,FALSE),0))</f>
        <v>1.595020804044691E-2</v>
      </c>
      <c r="K128" s="361">
        <f>+IF($I128=K$3,VLOOKUP($H128,Depreciation!$A$6:$L$10,8,FALSE)/2,IF($I128&lt;K$3,VLOOKUP($H128,Depreciation!$A$6:$L$10,8,FALSE),0))</f>
        <v>3.0676363676126896E-2</v>
      </c>
      <c r="L128" s="361">
        <f>+IF($I128=L$3,VLOOKUP($H128,Depreciation!$A$6:$L$10,9,FALSE)/2,IF($I128&lt;L$3,VLOOKUP($H128,Depreciation!$A$6:$L$10,9,FALSE),0))</f>
        <v>3.0676363676126896E-2</v>
      </c>
      <c r="M128" s="361">
        <f>+IF($I128=M$3,VLOOKUP($H128,Depreciation!$A$6:$L$10,10,FALSE)/2,IF($I128&lt;M$3,VLOOKUP($H128,Depreciation!$A$6:$L$10,10,FALSE),0))</f>
        <v>3.0676363676126896E-2</v>
      </c>
      <c r="N128" s="361">
        <f>+IF($I128=N$3,VLOOKUP($H128,Depreciation!$A$6:$L$10,11,FALSE)/2,IF($I128&lt;N$3,VLOOKUP($H128,Depreciation!$A$6:$L$10,11,FALSE),0))</f>
        <v>3.0676363676126896E-2</v>
      </c>
      <c r="O128" s="361">
        <f>+IF($I128=O$3,VLOOKUP($H128,Depreciation!$A$6:$L$10,12,FALSE)/2,IF($I128&lt;O$3,VLOOKUP($H128,Depreciation!$A$6:$L$10,12,FALSE),0))</f>
        <v>3.0676363676126896E-2</v>
      </c>
      <c r="P128" s="362">
        <f t="shared" si="4"/>
        <v>1227257.7467933169</v>
      </c>
      <c r="Q128" s="362">
        <f t="shared" si="5"/>
        <v>1227257.7467933169</v>
      </c>
      <c r="R128" s="363">
        <f t="shared" si="6"/>
        <v>0</v>
      </c>
      <c r="Y128" s="365"/>
    </row>
    <row r="129" spans="1:25" ht="15" customHeight="1">
      <c r="A129" s="359" t="str">
        <f>'Func Future Lines 2015'!A129</f>
        <v>PPS</v>
      </c>
      <c r="B129" s="359" t="str">
        <f>'Func Future Lines 2015'!B129</f>
        <v>967L/968L</v>
      </c>
      <c r="C129" s="359">
        <f>'Func Future Lines 2015'!C129</f>
        <v>882</v>
      </c>
      <c r="D129" s="359">
        <f>'Func Future Lines 2015'!D129</f>
        <v>240</v>
      </c>
      <c r="E129" s="359">
        <f>'Func Future Lines 2015'!E129</f>
        <v>0</v>
      </c>
      <c r="F129" s="359">
        <f>'Func Future Lines 2015'!F129</f>
        <v>0</v>
      </c>
      <c r="G129" s="359">
        <f>'Func Future Lines 2015'!G129</f>
        <v>1445486.0678757485</v>
      </c>
      <c r="H129" s="359" t="str">
        <f>'Func Future Lines 2015'!H129</f>
        <v>AltaLink</v>
      </c>
      <c r="I129" s="359">
        <f>'Func Future Lines 2015'!I129</f>
        <v>2015</v>
      </c>
      <c r="J129" s="361">
        <f>+IF($I129=J$3,VLOOKUP($H129,Depreciation!$A$6:$L$10,7,FALSE)/2,IF($I129&lt;J$3,VLOOKUP($H129,Depreciation!$A$6:$L$10,7,FALSE),0))</f>
        <v>1.595020804044691E-2</v>
      </c>
      <c r="K129" s="361">
        <f>+IF($I129=K$3,VLOOKUP($H129,Depreciation!$A$6:$L$10,8,FALSE)/2,IF($I129&lt;K$3,VLOOKUP($H129,Depreciation!$A$6:$L$10,8,FALSE),0))</f>
        <v>3.0676363676126896E-2</v>
      </c>
      <c r="L129" s="361">
        <f>+IF($I129=L$3,VLOOKUP($H129,Depreciation!$A$6:$L$10,9,FALSE)/2,IF($I129&lt;L$3,VLOOKUP($H129,Depreciation!$A$6:$L$10,9,FALSE),0))</f>
        <v>3.0676363676126896E-2</v>
      </c>
      <c r="M129" s="361">
        <f>+IF($I129=M$3,VLOOKUP($H129,Depreciation!$A$6:$L$10,10,FALSE)/2,IF($I129&lt;M$3,VLOOKUP($H129,Depreciation!$A$6:$L$10,10,FALSE),0))</f>
        <v>3.0676363676126896E-2</v>
      </c>
      <c r="N129" s="361">
        <f>+IF($I129=N$3,VLOOKUP($H129,Depreciation!$A$6:$L$10,11,FALSE)/2,IF($I129&lt;N$3,VLOOKUP($H129,Depreciation!$A$6:$L$10,11,FALSE),0))</f>
        <v>3.0676363676126896E-2</v>
      </c>
      <c r="O129" s="361">
        <f>+IF($I129=O$3,VLOOKUP($H129,Depreciation!$A$6:$L$10,12,FALSE)/2,IF($I129&lt;O$3,VLOOKUP($H129,Depreciation!$A$6:$L$10,12,FALSE),0))</f>
        <v>3.0676363676126896E-2</v>
      </c>
      <c r="P129" s="362">
        <f t="shared" si="4"/>
        <v>1217236.5887201305</v>
      </c>
      <c r="Q129" s="362">
        <f t="shared" si="5"/>
        <v>1217236.5887201305</v>
      </c>
      <c r="R129" s="363">
        <f t="shared" si="6"/>
        <v>0</v>
      </c>
      <c r="Y129" s="365"/>
    </row>
    <row r="130" spans="1:25" ht="15" customHeight="1">
      <c r="A130" s="359" t="str">
        <f>'Func Future Lines 2015'!A130</f>
        <v>PPS</v>
      </c>
      <c r="B130" s="359" t="str">
        <f>'Func Future Lines 2015'!B130</f>
        <v>Connection of 603L to 138S - 603L</v>
      </c>
      <c r="C130" s="359">
        <f>'Func Future Lines 2015'!C130</f>
        <v>882</v>
      </c>
      <c r="D130" s="359">
        <f>'Func Future Lines 2015'!D130</f>
        <v>138</v>
      </c>
      <c r="E130" s="359">
        <f>'Func Future Lines 2015'!E130</f>
        <v>0</v>
      </c>
      <c r="F130" s="359">
        <f>'Func Future Lines 2015'!F130</f>
        <v>0</v>
      </c>
      <c r="G130" s="359">
        <f>'Func Future Lines 2015'!G130</f>
        <v>19309.423592515817</v>
      </c>
      <c r="H130" s="359" t="str">
        <f>'Func Future Lines 2015'!H130</f>
        <v>AltaLink</v>
      </c>
      <c r="I130" s="359">
        <f>'Func Future Lines 2015'!I130</f>
        <v>2015</v>
      </c>
      <c r="J130" s="361">
        <f>+IF($I130=J$3,VLOOKUP($H130,Depreciation!$A$6:$L$10,7,FALSE)/2,IF($I130&lt;J$3,VLOOKUP($H130,Depreciation!$A$6:$L$10,7,FALSE),0))</f>
        <v>1.595020804044691E-2</v>
      </c>
      <c r="K130" s="361">
        <f>+IF($I130=K$3,VLOOKUP($H130,Depreciation!$A$6:$L$10,8,FALSE)/2,IF($I130&lt;K$3,VLOOKUP($H130,Depreciation!$A$6:$L$10,8,FALSE),0))</f>
        <v>3.0676363676126896E-2</v>
      </c>
      <c r="L130" s="361">
        <f>+IF($I130=L$3,VLOOKUP($H130,Depreciation!$A$6:$L$10,9,FALSE)/2,IF($I130&lt;L$3,VLOOKUP($H130,Depreciation!$A$6:$L$10,9,FALSE),0))</f>
        <v>3.0676363676126896E-2</v>
      </c>
      <c r="M130" s="361">
        <f>+IF($I130=M$3,VLOOKUP($H130,Depreciation!$A$6:$L$10,10,FALSE)/2,IF($I130&lt;M$3,VLOOKUP($H130,Depreciation!$A$6:$L$10,10,FALSE),0))</f>
        <v>3.0676363676126896E-2</v>
      </c>
      <c r="N130" s="361">
        <f>+IF($I130=N$3,VLOOKUP($H130,Depreciation!$A$6:$L$10,11,FALSE)/2,IF($I130&lt;N$3,VLOOKUP($H130,Depreciation!$A$6:$L$10,11,FALSE),0))</f>
        <v>3.0676363676126896E-2</v>
      </c>
      <c r="O130" s="361">
        <f>+IF($I130=O$3,VLOOKUP($H130,Depreciation!$A$6:$L$10,12,FALSE)/2,IF($I130&lt;O$3,VLOOKUP($H130,Depreciation!$A$6:$L$10,12,FALSE),0))</f>
        <v>3.0676363676126896E-2</v>
      </c>
      <c r="P130" s="362">
        <f t="shared" si="4"/>
        <v>16260.369038663293</v>
      </c>
      <c r="Q130" s="362">
        <f t="shared" si="5"/>
        <v>0</v>
      </c>
      <c r="R130" s="363">
        <f t="shared" si="6"/>
        <v>16260.369038663293</v>
      </c>
      <c r="Y130" s="365"/>
    </row>
    <row r="131" spans="1:25" ht="15" customHeight="1">
      <c r="A131" s="359" t="str">
        <f>'Func Future Lines 2015'!A131</f>
        <v>PPS</v>
      </c>
      <c r="B131" s="359" t="str">
        <f>'Func Future Lines 2015'!B131</f>
        <v>Connection of 608L to 138S - 608AL</v>
      </c>
      <c r="C131" s="359">
        <f>'Func Future Lines 2015'!C131</f>
        <v>882</v>
      </c>
      <c r="D131" s="359">
        <f>'Func Future Lines 2015'!D131</f>
        <v>138</v>
      </c>
      <c r="E131" s="359">
        <f>'Func Future Lines 2015'!E131</f>
        <v>0</v>
      </c>
      <c r="F131" s="359">
        <f>'Func Future Lines 2015'!F131</f>
        <v>0</v>
      </c>
      <c r="G131" s="359">
        <f>'Func Future Lines 2015'!G131</f>
        <v>34179.513153324726</v>
      </c>
      <c r="H131" s="359" t="str">
        <f>'Func Future Lines 2015'!H131</f>
        <v>AltaLink</v>
      </c>
      <c r="I131" s="359">
        <f>'Func Future Lines 2015'!I131</f>
        <v>2015</v>
      </c>
      <c r="J131" s="361">
        <f>+IF($I131=J$3,VLOOKUP($H131,Depreciation!$A$6:$L$10,7,FALSE)/2,IF($I131&lt;J$3,VLOOKUP($H131,Depreciation!$A$6:$L$10,7,FALSE),0))</f>
        <v>1.595020804044691E-2</v>
      </c>
      <c r="K131" s="361">
        <f>+IF($I131=K$3,VLOOKUP($H131,Depreciation!$A$6:$L$10,8,FALSE)/2,IF($I131&lt;K$3,VLOOKUP($H131,Depreciation!$A$6:$L$10,8,FALSE),0))</f>
        <v>3.0676363676126896E-2</v>
      </c>
      <c r="L131" s="361">
        <f>+IF($I131=L$3,VLOOKUP($H131,Depreciation!$A$6:$L$10,9,FALSE)/2,IF($I131&lt;L$3,VLOOKUP($H131,Depreciation!$A$6:$L$10,9,FALSE),0))</f>
        <v>3.0676363676126896E-2</v>
      </c>
      <c r="M131" s="361">
        <f>+IF($I131=M$3,VLOOKUP($H131,Depreciation!$A$6:$L$10,10,FALSE)/2,IF($I131&lt;M$3,VLOOKUP($H131,Depreciation!$A$6:$L$10,10,FALSE),0))</f>
        <v>3.0676363676126896E-2</v>
      </c>
      <c r="N131" s="361">
        <f>+IF($I131=N$3,VLOOKUP($H131,Depreciation!$A$6:$L$10,11,FALSE)/2,IF($I131&lt;N$3,VLOOKUP($H131,Depreciation!$A$6:$L$10,11,FALSE),0))</f>
        <v>3.0676363676126896E-2</v>
      </c>
      <c r="O131" s="361">
        <f>+IF($I131=O$3,VLOOKUP($H131,Depreciation!$A$6:$L$10,12,FALSE)/2,IF($I131&lt;O$3,VLOOKUP($H131,Depreciation!$A$6:$L$10,12,FALSE),0))</f>
        <v>3.0676363676126896E-2</v>
      </c>
      <c r="P131" s="362">
        <f t="shared" si="4"/>
        <v>28782.397090833856</v>
      </c>
      <c r="Q131" s="362">
        <f t="shared" si="5"/>
        <v>0</v>
      </c>
      <c r="R131" s="363">
        <f t="shared" si="6"/>
        <v>28782.397090833856</v>
      </c>
      <c r="Y131" s="365"/>
    </row>
    <row r="132" spans="1:25" ht="15" customHeight="1">
      <c r="A132" s="359" t="str">
        <f>'Func Future Lines 2015'!A132</f>
        <v>PPS</v>
      </c>
      <c r="B132" s="359" t="str">
        <f>'Func Future Lines 2015'!B132</f>
        <v>600L</v>
      </c>
      <c r="C132" s="359">
        <f>'Func Future Lines 2015'!C132</f>
        <v>888</v>
      </c>
      <c r="D132" s="359">
        <f>'Func Future Lines 2015'!D132</f>
        <v>138</v>
      </c>
      <c r="E132" s="359">
        <f>'Func Future Lines 2015'!E132</f>
        <v>0</v>
      </c>
      <c r="F132" s="359" t="str">
        <f>'Func Future Lines 2015'!F132</f>
        <v>Medicine Hat</v>
      </c>
      <c r="G132" s="359">
        <f>'Func Future Lines 2015'!G132</f>
        <v>428091.81000980013</v>
      </c>
      <c r="H132" s="359" t="str">
        <f>'Func Future Lines 2015'!H132</f>
        <v>AltaLink</v>
      </c>
      <c r="I132" s="359">
        <f>'Func Future Lines 2015'!I132</f>
        <v>2016</v>
      </c>
      <c r="J132" s="361">
        <f>+IF($I132=J$3,VLOOKUP($H132,Depreciation!$A$6:$L$10,7,FALSE)/2,IF($I132&lt;J$3,VLOOKUP($H132,Depreciation!$A$6:$L$10,7,FALSE),0))</f>
        <v>0</v>
      </c>
      <c r="K132" s="361">
        <f>+IF($I132=K$3,VLOOKUP($H132,Depreciation!$A$6:$L$10,8,FALSE)/2,IF($I132&lt;K$3,VLOOKUP($H132,Depreciation!$A$6:$L$10,8,FALSE),0))</f>
        <v>1.5338181838063448E-2</v>
      </c>
      <c r="L132" s="361">
        <f>+IF($I132=L$3,VLOOKUP($H132,Depreciation!$A$6:$L$10,9,FALSE)/2,IF($I132&lt;L$3,VLOOKUP($H132,Depreciation!$A$6:$L$10,9,FALSE),0))</f>
        <v>3.0676363676126896E-2</v>
      </c>
      <c r="M132" s="361">
        <f>+IF($I132=M$3,VLOOKUP($H132,Depreciation!$A$6:$L$10,10,FALSE)/2,IF($I132&lt;M$3,VLOOKUP($H132,Depreciation!$A$6:$L$10,10,FALSE),0))</f>
        <v>3.0676363676126896E-2</v>
      </c>
      <c r="N132" s="361">
        <f>+IF($I132=N$3,VLOOKUP($H132,Depreciation!$A$6:$L$10,11,FALSE)/2,IF($I132&lt;N$3,VLOOKUP($H132,Depreciation!$A$6:$L$10,11,FALSE),0))</f>
        <v>3.0676363676126896E-2</v>
      </c>
      <c r="O132" s="361">
        <f>+IF($I132=O$3,VLOOKUP($H132,Depreciation!$A$6:$L$10,12,FALSE)/2,IF($I132&lt;O$3,VLOOKUP($H132,Depreciation!$A$6:$L$10,12,FALSE),0))</f>
        <v>3.0676363676126896E-2</v>
      </c>
      <c r="P132" s="362">
        <f t="shared" si="4"/>
        <v>372133.8948897192</v>
      </c>
      <c r="Q132" s="362">
        <f t="shared" si="5"/>
        <v>0</v>
      </c>
      <c r="R132" s="363">
        <f t="shared" si="6"/>
        <v>372133.8948897192</v>
      </c>
      <c r="Y132" s="365"/>
    </row>
    <row r="133" spans="1:25" ht="15" customHeight="1">
      <c r="A133" s="359" t="str">
        <f>'Func Future Lines 2015'!A133</f>
        <v>PPS</v>
      </c>
      <c r="B133" s="359" t="str">
        <f>'Func Future Lines 2015'!B133</f>
        <v>674L</v>
      </c>
      <c r="C133" s="359">
        <f>'Func Future Lines 2015'!C133</f>
        <v>888</v>
      </c>
      <c r="D133" s="359">
        <f>'Func Future Lines 2015'!D133</f>
        <v>138</v>
      </c>
      <c r="E133" s="359">
        <f>'Func Future Lines 2015'!E133</f>
        <v>0</v>
      </c>
      <c r="F133" s="359" t="str">
        <f>'Func Future Lines 2015'!F133</f>
        <v>Medicine Hat</v>
      </c>
      <c r="G133" s="359">
        <f>'Func Future Lines 2015'!G133</f>
        <v>1327232.7396843631</v>
      </c>
      <c r="H133" s="359" t="str">
        <f>'Func Future Lines 2015'!H133</f>
        <v>AltaLink</v>
      </c>
      <c r="I133" s="359">
        <f>'Func Future Lines 2015'!I133</f>
        <v>2016</v>
      </c>
      <c r="J133" s="361">
        <f>+IF($I133=J$3,VLOOKUP($H133,Depreciation!$A$6:$L$10,7,FALSE)/2,IF($I133&lt;J$3,VLOOKUP($H133,Depreciation!$A$6:$L$10,7,FALSE),0))</f>
        <v>0</v>
      </c>
      <c r="K133" s="361">
        <f>+IF($I133=K$3,VLOOKUP($H133,Depreciation!$A$6:$L$10,8,FALSE)/2,IF($I133&lt;K$3,VLOOKUP($H133,Depreciation!$A$6:$L$10,8,FALSE),0))</f>
        <v>1.5338181838063448E-2</v>
      </c>
      <c r="L133" s="361">
        <f>+IF($I133=L$3,VLOOKUP($H133,Depreciation!$A$6:$L$10,9,FALSE)/2,IF($I133&lt;L$3,VLOOKUP($H133,Depreciation!$A$6:$L$10,9,FALSE),0))</f>
        <v>3.0676363676126896E-2</v>
      </c>
      <c r="M133" s="361">
        <f>+IF($I133=M$3,VLOOKUP($H133,Depreciation!$A$6:$L$10,10,FALSE)/2,IF($I133&lt;M$3,VLOOKUP($H133,Depreciation!$A$6:$L$10,10,FALSE),0))</f>
        <v>3.0676363676126896E-2</v>
      </c>
      <c r="N133" s="361">
        <f>+IF($I133=N$3,VLOOKUP($H133,Depreciation!$A$6:$L$10,11,FALSE)/2,IF($I133&lt;N$3,VLOOKUP($H133,Depreciation!$A$6:$L$10,11,FALSE),0))</f>
        <v>3.0676363676126896E-2</v>
      </c>
      <c r="O133" s="361">
        <f>+IF($I133=O$3,VLOOKUP($H133,Depreciation!$A$6:$L$10,12,FALSE)/2,IF($I133&lt;O$3,VLOOKUP($H133,Depreciation!$A$6:$L$10,12,FALSE),0))</f>
        <v>3.0676363676126896E-2</v>
      </c>
      <c r="P133" s="362">
        <f t="shared" ref="P133:P196" si="7">IF(I133&lt;=2020,G133*(1-J133)*(1-K133)*(1-L133)*(1-M133)*(1-N133)*(1-O133),0)</f>
        <v>1153743.8402117249</v>
      </c>
      <c r="Q133" s="362">
        <f t="shared" ref="Q133:Q196" si="8">IF(D133&gt;=240,P133,0)</f>
        <v>0</v>
      </c>
      <c r="R133" s="363">
        <f t="shared" ref="R133:R196" si="9">IF(AND(D133&gt;25,D133&lt;240),P133,0)</f>
        <v>1153743.8402117249</v>
      </c>
      <c r="Y133" s="365"/>
    </row>
    <row r="134" spans="1:25" ht="15" customHeight="1">
      <c r="A134" s="359" t="str">
        <f>'Func Future Lines 2015'!A134</f>
        <v>PPS</v>
      </c>
      <c r="B134" s="359" t="str">
        <f>'Func Future Lines 2015'!B134</f>
        <v xml:space="preserve">675L/892L </v>
      </c>
      <c r="C134" s="359">
        <f>'Func Future Lines 2015'!C134</f>
        <v>888</v>
      </c>
      <c r="D134" s="359">
        <f>'Func Future Lines 2015'!D134</f>
        <v>138</v>
      </c>
      <c r="E134" s="359">
        <f>'Func Future Lines 2015'!E134</f>
        <v>0</v>
      </c>
      <c r="F134" s="359" t="str">
        <f>'Func Future Lines 2015'!F134</f>
        <v>Medicine Hat</v>
      </c>
      <c r="G134" s="359">
        <f>'Func Future Lines 2015'!G134</f>
        <v>32638667.61853265</v>
      </c>
      <c r="H134" s="359" t="str">
        <f>'Func Future Lines 2015'!H134</f>
        <v>AltaLink</v>
      </c>
      <c r="I134" s="359">
        <f>'Func Future Lines 2015'!I134</f>
        <v>2016</v>
      </c>
      <c r="J134" s="361">
        <f>+IF($I134=J$3,VLOOKUP($H134,Depreciation!$A$6:$L$10,7,FALSE)/2,IF($I134&lt;J$3,VLOOKUP($H134,Depreciation!$A$6:$L$10,7,FALSE),0))</f>
        <v>0</v>
      </c>
      <c r="K134" s="361">
        <f>+IF($I134=K$3,VLOOKUP($H134,Depreciation!$A$6:$L$10,8,FALSE)/2,IF($I134&lt;K$3,VLOOKUP($H134,Depreciation!$A$6:$L$10,8,FALSE),0))</f>
        <v>1.5338181838063448E-2</v>
      </c>
      <c r="L134" s="361">
        <f>+IF($I134=L$3,VLOOKUP($H134,Depreciation!$A$6:$L$10,9,FALSE)/2,IF($I134&lt;L$3,VLOOKUP($H134,Depreciation!$A$6:$L$10,9,FALSE),0))</f>
        <v>3.0676363676126896E-2</v>
      </c>
      <c r="M134" s="361">
        <f>+IF($I134=M$3,VLOOKUP($H134,Depreciation!$A$6:$L$10,10,FALSE)/2,IF($I134&lt;M$3,VLOOKUP($H134,Depreciation!$A$6:$L$10,10,FALSE),0))</f>
        <v>3.0676363676126896E-2</v>
      </c>
      <c r="N134" s="361">
        <f>+IF($I134=N$3,VLOOKUP($H134,Depreciation!$A$6:$L$10,11,FALSE)/2,IF($I134&lt;N$3,VLOOKUP($H134,Depreciation!$A$6:$L$10,11,FALSE),0))</f>
        <v>3.0676363676126896E-2</v>
      </c>
      <c r="O134" s="361">
        <f>+IF($I134=O$3,VLOOKUP($H134,Depreciation!$A$6:$L$10,12,FALSE)/2,IF($I134&lt;O$3,VLOOKUP($H134,Depreciation!$A$6:$L$10,12,FALSE),0))</f>
        <v>3.0676363676126896E-2</v>
      </c>
      <c r="P134" s="362">
        <f t="shared" si="7"/>
        <v>28372312.249135211</v>
      </c>
      <c r="Q134" s="362">
        <f t="shared" si="8"/>
        <v>0</v>
      </c>
      <c r="R134" s="363">
        <f t="shared" si="9"/>
        <v>28372312.249135211</v>
      </c>
      <c r="Y134" s="365"/>
    </row>
    <row r="135" spans="1:25" ht="15" customHeight="1">
      <c r="A135" s="359" t="str">
        <f>'Func Future Lines 2015'!A135</f>
        <v>PPS</v>
      </c>
      <c r="B135" s="359" t="str">
        <f>'Func Future Lines 2015'!B135</f>
        <v xml:space="preserve">675L/892L </v>
      </c>
      <c r="C135" s="359">
        <f>'Func Future Lines 2015'!C135</f>
        <v>888</v>
      </c>
      <c r="D135" s="359">
        <f>'Func Future Lines 2015'!D135</f>
        <v>138</v>
      </c>
      <c r="E135" s="359">
        <f>'Func Future Lines 2015'!E135</f>
        <v>0</v>
      </c>
      <c r="F135" s="359" t="str">
        <f>'Func Future Lines 2015'!F135</f>
        <v>Medicine Hat</v>
      </c>
      <c r="G135" s="359">
        <f>'Func Future Lines 2015'!G135</f>
        <v>26144707.427934162</v>
      </c>
      <c r="H135" s="359" t="str">
        <f>'Func Future Lines 2015'!H135</f>
        <v>AltaLink</v>
      </c>
      <c r="I135" s="359">
        <f>'Func Future Lines 2015'!I135</f>
        <v>2016</v>
      </c>
      <c r="J135" s="361">
        <f>+IF($I135=J$3,VLOOKUP($H135,Depreciation!$A$6:$L$10,7,FALSE)/2,IF($I135&lt;J$3,VLOOKUP($H135,Depreciation!$A$6:$L$10,7,FALSE),0))</f>
        <v>0</v>
      </c>
      <c r="K135" s="361">
        <f>+IF($I135=K$3,VLOOKUP($H135,Depreciation!$A$6:$L$10,8,FALSE)/2,IF($I135&lt;K$3,VLOOKUP($H135,Depreciation!$A$6:$L$10,8,FALSE),0))</f>
        <v>1.5338181838063448E-2</v>
      </c>
      <c r="L135" s="361">
        <f>+IF($I135=L$3,VLOOKUP($H135,Depreciation!$A$6:$L$10,9,FALSE)/2,IF($I135&lt;L$3,VLOOKUP($H135,Depreciation!$A$6:$L$10,9,FALSE),0))</f>
        <v>3.0676363676126896E-2</v>
      </c>
      <c r="M135" s="361">
        <f>+IF($I135=M$3,VLOOKUP($H135,Depreciation!$A$6:$L$10,10,FALSE)/2,IF($I135&lt;M$3,VLOOKUP($H135,Depreciation!$A$6:$L$10,10,FALSE),0))</f>
        <v>3.0676363676126896E-2</v>
      </c>
      <c r="N135" s="361">
        <f>+IF($I135=N$3,VLOOKUP($H135,Depreciation!$A$6:$L$10,11,FALSE)/2,IF($I135&lt;N$3,VLOOKUP($H135,Depreciation!$A$6:$L$10,11,FALSE),0))</f>
        <v>3.0676363676126896E-2</v>
      </c>
      <c r="O135" s="361">
        <f>+IF($I135=O$3,VLOOKUP($H135,Depreciation!$A$6:$L$10,12,FALSE)/2,IF($I135&lt;O$3,VLOOKUP($H135,Depreciation!$A$6:$L$10,12,FALSE),0))</f>
        <v>3.0676363676126896E-2</v>
      </c>
      <c r="P135" s="362">
        <f t="shared" si="7"/>
        <v>22727208.459527839</v>
      </c>
      <c r="Q135" s="362">
        <f t="shared" si="8"/>
        <v>0</v>
      </c>
      <c r="R135" s="363">
        <f t="shared" si="9"/>
        <v>22727208.459527839</v>
      </c>
      <c r="Y135" s="365"/>
    </row>
    <row r="136" spans="1:25" ht="15" customHeight="1">
      <c r="A136" s="359" t="str">
        <f>'Func Future Lines 2015'!A136</f>
        <v>PPS</v>
      </c>
      <c r="B136" s="359" t="str">
        <f>'Func Future Lines 2015'!B136</f>
        <v>676L/879L</v>
      </c>
      <c r="C136" s="359">
        <f>'Func Future Lines 2015'!C136</f>
        <v>888</v>
      </c>
      <c r="D136" s="359">
        <f>'Func Future Lines 2015'!D136</f>
        <v>138</v>
      </c>
      <c r="E136" s="359">
        <f>'Func Future Lines 2015'!E136</f>
        <v>0</v>
      </c>
      <c r="F136" s="359" t="str">
        <f>'Func Future Lines 2015'!F136</f>
        <v>Medicine Hat</v>
      </c>
      <c r="G136" s="359">
        <f>'Func Future Lines 2015'!G136</f>
        <v>38066101.500456207</v>
      </c>
      <c r="H136" s="359" t="str">
        <f>'Func Future Lines 2015'!H136</f>
        <v>AltaLink</v>
      </c>
      <c r="I136" s="359">
        <f>'Func Future Lines 2015'!I136</f>
        <v>2016</v>
      </c>
      <c r="J136" s="361">
        <f>+IF($I136=J$3,VLOOKUP($H136,Depreciation!$A$6:$L$10,7,FALSE)/2,IF($I136&lt;J$3,VLOOKUP($H136,Depreciation!$A$6:$L$10,7,FALSE),0))</f>
        <v>0</v>
      </c>
      <c r="K136" s="361">
        <f>+IF($I136=K$3,VLOOKUP($H136,Depreciation!$A$6:$L$10,8,FALSE)/2,IF($I136&lt;K$3,VLOOKUP($H136,Depreciation!$A$6:$L$10,8,FALSE),0))</f>
        <v>1.5338181838063448E-2</v>
      </c>
      <c r="L136" s="361">
        <f>+IF($I136=L$3,VLOOKUP($H136,Depreciation!$A$6:$L$10,9,FALSE)/2,IF($I136&lt;L$3,VLOOKUP($H136,Depreciation!$A$6:$L$10,9,FALSE),0))</f>
        <v>3.0676363676126896E-2</v>
      </c>
      <c r="M136" s="361">
        <f>+IF($I136=M$3,VLOOKUP($H136,Depreciation!$A$6:$L$10,10,FALSE)/2,IF($I136&lt;M$3,VLOOKUP($H136,Depreciation!$A$6:$L$10,10,FALSE),0))</f>
        <v>3.0676363676126896E-2</v>
      </c>
      <c r="N136" s="361">
        <f>+IF($I136=N$3,VLOOKUP($H136,Depreciation!$A$6:$L$10,11,FALSE)/2,IF($I136&lt;N$3,VLOOKUP($H136,Depreciation!$A$6:$L$10,11,FALSE),0))</f>
        <v>3.0676363676126896E-2</v>
      </c>
      <c r="O136" s="361">
        <f>+IF($I136=O$3,VLOOKUP($H136,Depreciation!$A$6:$L$10,12,FALSE)/2,IF($I136&lt;O$3,VLOOKUP($H136,Depreciation!$A$6:$L$10,12,FALSE),0))</f>
        <v>3.0676363676126896E-2</v>
      </c>
      <c r="P136" s="362">
        <f t="shared" si="7"/>
        <v>33090300.452858157</v>
      </c>
      <c r="Q136" s="362">
        <f t="shared" si="8"/>
        <v>0</v>
      </c>
      <c r="R136" s="363">
        <f t="shared" si="9"/>
        <v>33090300.452858157</v>
      </c>
      <c r="Y136" s="365"/>
    </row>
    <row r="137" spans="1:25" ht="15" customHeight="1">
      <c r="A137" s="359" t="str">
        <f>'Func Future Lines 2015'!A137</f>
        <v>PPS</v>
      </c>
      <c r="B137" s="359" t="str">
        <f>'Func Future Lines 2015'!B137</f>
        <v>676L/879L</v>
      </c>
      <c r="C137" s="359">
        <f>'Func Future Lines 2015'!C137</f>
        <v>888</v>
      </c>
      <c r="D137" s="359">
        <f>'Func Future Lines 2015'!D137</f>
        <v>138</v>
      </c>
      <c r="E137" s="359">
        <f>'Func Future Lines 2015'!E137</f>
        <v>0</v>
      </c>
      <c r="F137" s="359" t="str">
        <f>'Func Future Lines 2015'!F137</f>
        <v>Medicine Hat</v>
      </c>
      <c r="G137" s="359">
        <f>'Func Future Lines 2015'!G137</f>
        <v>42259623.694704458</v>
      </c>
      <c r="H137" s="359" t="str">
        <f>'Func Future Lines 2015'!H137</f>
        <v>AltaLink</v>
      </c>
      <c r="I137" s="359">
        <f>'Func Future Lines 2015'!I137</f>
        <v>2016</v>
      </c>
      <c r="J137" s="361">
        <f>+IF($I137=J$3,VLOOKUP($H137,Depreciation!$A$6:$L$10,7,FALSE)/2,IF($I137&lt;J$3,VLOOKUP($H137,Depreciation!$A$6:$L$10,7,FALSE),0))</f>
        <v>0</v>
      </c>
      <c r="K137" s="361">
        <f>+IF($I137=K$3,VLOOKUP($H137,Depreciation!$A$6:$L$10,8,FALSE)/2,IF($I137&lt;K$3,VLOOKUP($H137,Depreciation!$A$6:$L$10,8,FALSE),0))</f>
        <v>1.5338181838063448E-2</v>
      </c>
      <c r="L137" s="361">
        <f>+IF($I137=L$3,VLOOKUP($H137,Depreciation!$A$6:$L$10,9,FALSE)/2,IF($I137&lt;L$3,VLOOKUP($H137,Depreciation!$A$6:$L$10,9,FALSE),0))</f>
        <v>3.0676363676126896E-2</v>
      </c>
      <c r="M137" s="361">
        <f>+IF($I137=M$3,VLOOKUP($H137,Depreciation!$A$6:$L$10,10,FALSE)/2,IF($I137&lt;M$3,VLOOKUP($H137,Depreciation!$A$6:$L$10,10,FALSE),0))</f>
        <v>3.0676363676126896E-2</v>
      </c>
      <c r="N137" s="361">
        <f>+IF($I137=N$3,VLOOKUP($H137,Depreciation!$A$6:$L$10,11,FALSE)/2,IF($I137&lt;N$3,VLOOKUP($H137,Depreciation!$A$6:$L$10,11,FALSE),0))</f>
        <v>3.0676363676126896E-2</v>
      </c>
      <c r="O137" s="361">
        <f>+IF($I137=O$3,VLOOKUP($H137,Depreciation!$A$6:$L$10,12,FALSE)/2,IF($I137&lt;O$3,VLOOKUP($H137,Depreciation!$A$6:$L$10,12,FALSE),0))</f>
        <v>3.0676363676126896E-2</v>
      </c>
      <c r="P137" s="362">
        <f t="shared" si="7"/>
        <v>36735667.430134259</v>
      </c>
      <c r="Q137" s="362">
        <f t="shared" si="8"/>
        <v>0</v>
      </c>
      <c r="R137" s="363">
        <f t="shared" si="9"/>
        <v>36735667.430134259</v>
      </c>
      <c r="Y137" s="365"/>
    </row>
    <row r="138" spans="1:25" ht="15" customHeight="1">
      <c r="A138" s="359" t="str">
        <f>'Func Future Lines 2015'!A138</f>
        <v>PPS</v>
      </c>
      <c r="B138" s="359" t="str">
        <f>'Func Future Lines 2015'!B138</f>
        <v>9L19 and 9L28</v>
      </c>
      <c r="C138" s="359">
        <f>'Func Future Lines 2015'!C138</f>
        <v>948</v>
      </c>
      <c r="D138" s="359">
        <f>'Func Future Lines 2015'!D138</f>
        <v>240</v>
      </c>
      <c r="E138" s="359">
        <f>'Func Future Lines 2015'!E138</f>
        <v>0</v>
      </c>
      <c r="F138" s="359">
        <f>'Func Future Lines 2015'!F138</f>
        <v>0</v>
      </c>
      <c r="G138" s="359">
        <f>'Func Future Lines 2015'!G138</f>
        <v>9503247.7097484916</v>
      </c>
      <c r="H138" s="359" t="str">
        <f>'Func Future Lines 2015'!H138</f>
        <v>ATCO</v>
      </c>
      <c r="I138" s="359">
        <f>'Func Future Lines 2015'!I138</f>
        <v>2015</v>
      </c>
      <c r="J138" s="361">
        <f>+IF($I138=J$3,VLOOKUP($H138,Depreciation!$A$6:$L$10,7,FALSE)/2,IF($I138&lt;J$3,VLOOKUP($H138,Depreciation!$A$6:$L$10,7,FALSE),0))</f>
        <v>1.239102859091515E-2</v>
      </c>
      <c r="K138" s="361">
        <f>+IF($I138=K$3,VLOOKUP($H138,Depreciation!$A$6:$L$10,8,FALSE)/2,IF($I138&lt;K$3,VLOOKUP($H138,Depreciation!$A$6:$L$10,8,FALSE),0))</f>
        <v>2.3943859731006666E-2</v>
      </c>
      <c r="L138" s="361">
        <f>+IF($I138=L$3,VLOOKUP($H138,Depreciation!$A$6:$L$10,9,FALSE)/2,IF($I138&lt;L$3,VLOOKUP($H138,Depreciation!$A$6:$L$10,9,FALSE),0))</f>
        <v>2.4002037926855919E-2</v>
      </c>
      <c r="M138" s="361">
        <f>+IF($I138=M$3,VLOOKUP($H138,Depreciation!$A$6:$L$10,10,FALSE)/2,IF($I138&lt;M$3,VLOOKUP($H138,Depreciation!$A$6:$L$10,10,FALSE),0))</f>
        <v>2.4002037926855919E-2</v>
      </c>
      <c r="N138" s="361">
        <f>+IF($I138=N$3,VLOOKUP($H138,Depreciation!$A$6:$L$10,11,FALSE)/2,IF($I138&lt;N$3,VLOOKUP($H138,Depreciation!$A$6:$L$10,11,FALSE),0))</f>
        <v>2.4002037926855919E-2</v>
      </c>
      <c r="O138" s="361">
        <f>+IF($I138=O$3,VLOOKUP($H138,Depreciation!$A$6:$L$10,12,FALSE)/2,IF($I138&lt;O$3,VLOOKUP($H138,Depreciation!$A$6:$L$10,12,FALSE),0))</f>
        <v>2.4002037926855919E-2</v>
      </c>
      <c r="P138" s="362">
        <f t="shared" si="7"/>
        <v>8312420.7405677149</v>
      </c>
      <c r="Q138" s="362">
        <f t="shared" si="8"/>
        <v>8312420.7405677149</v>
      </c>
      <c r="R138" s="363">
        <f t="shared" si="9"/>
        <v>0</v>
      </c>
      <c r="Y138" s="365"/>
    </row>
    <row r="139" spans="1:25" ht="15" customHeight="1">
      <c r="A139" s="359" t="str">
        <f>'Func Future Lines 2015'!A139</f>
        <v>PPS</v>
      </c>
      <c r="B139" s="359" t="str">
        <f>'Func Future Lines 2015'!B139</f>
        <v>1035L/1034L Tie-in180</v>
      </c>
      <c r="C139" s="359">
        <f>'Func Future Lines 2015'!C139</f>
        <v>961</v>
      </c>
      <c r="D139" s="359">
        <f>'Func Future Lines 2015'!D139</f>
        <v>240</v>
      </c>
      <c r="E139" s="359">
        <f>'Func Future Lines 2015'!E139</f>
        <v>0</v>
      </c>
      <c r="F139" s="359">
        <f>'Func Future Lines 2015'!F139</f>
        <v>0</v>
      </c>
      <c r="G139" s="359">
        <f>'Func Future Lines 2015'!G139</f>
        <v>12067928.360521985</v>
      </c>
      <c r="H139" s="359" t="str">
        <f>'Func Future Lines 2015'!H139</f>
        <v>AltaLink</v>
      </c>
      <c r="I139" s="359">
        <f>'Func Future Lines 2015'!I139</f>
        <v>2015</v>
      </c>
      <c r="J139" s="361">
        <f>+IF($I139=J$3,VLOOKUP($H139,Depreciation!$A$6:$L$10,7,FALSE)/2,IF($I139&lt;J$3,VLOOKUP($H139,Depreciation!$A$6:$L$10,7,FALSE),0))</f>
        <v>1.595020804044691E-2</v>
      </c>
      <c r="K139" s="361">
        <f>+IF($I139=K$3,VLOOKUP($H139,Depreciation!$A$6:$L$10,8,FALSE)/2,IF($I139&lt;K$3,VLOOKUP($H139,Depreciation!$A$6:$L$10,8,FALSE),0))</f>
        <v>3.0676363676126896E-2</v>
      </c>
      <c r="L139" s="361">
        <f>+IF($I139=L$3,VLOOKUP($H139,Depreciation!$A$6:$L$10,9,FALSE)/2,IF($I139&lt;L$3,VLOOKUP($H139,Depreciation!$A$6:$L$10,9,FALSE),0))</f>
        <v>3.0676363676126896E-2</v>
      </c>
      <c r="M139" s="361">
        <f>+IF($I139=M$3,VLOOKUP($H139,Depreciation!$A$6:$L$10,10,FALSE)/2,IF($I139&lt;M$3,VLOOKUP($H139,Depreciation!$A$6:$L$10,10,FALSE),0))</f>
        <v>3.0676363676126896E-2</v>
      </c>
      <c r="N139" s="361">
        <f>+IF($I139=N$3,VLOOKUP($H139,Depreciation!$A$6:$L$10,11,FALSE)/2,IF($I139&lt;N$3,VLOOKUP($H139,Depreciation!$A$6:$L$10,11,FALSE),0))</f>
        <v>3.0676363676126896E-2</v>
      </c>
      <c r="O139" s="361">
        <f>+IF($I139=O$3,VLOOKUP($H139,Depreciation!$A$6:$L$10,12,FALSE)/2,IF($I139&lt;O$3,VLOOKUP($H139,Depreciation!$A$6:$L$10,12,FALSE),0))</f>
        <v>3.0676363676126896E-2</v>
      </c>
      <c r="P139" s="362">
        <f t="shared" si="7"/>
        <v>10162342.119331574</v>
      </c>
      <c r="Q139" s="362">
        <f t="shared" si="8"/>
        <v>10162342.119331574</v>
      </c>
      <c r="R139" s="363">
        <f t="shared" si="9"/>
        <v>0</v>
      </c>
      <c r="Y139" s="365"/>
    </row>
    <row r="140" spans="1:25" ht="15" customHeight="1">
      <c r="A140" s="359" t="str">
        <f>'Func Future Lines 2015'!A140</f>
        <v>PPS</v>
      </c>
      <c r="B140" s="359" t="str">
        <f>'Func Future Lines 2015'!B140</f>
        <v>1053L crossing180</v>
      </c>
      <c r="C140" s="359">
        <f>'Func Future Lines 2015'!C140</f>
        <v>961</v>
      </c>
      <c r="D140" s="359">
        <f>'Func Future Lines 2015'!D140</f>
        <v>240</v>
      </c>
      <c r="E140" s="359">
        <f>'Func Future Lines 2015'!E140</f>
        <v>0</v>
      </c>
      <c r="F140" s="359">
        <f>'Func Future Lines 2015'!F140</f>
        <v>0</v>
      </c>
      <c r="G140" s="359">
        <f>'Func Future Lines 2015'!G140</f>
        <v>2180206.2000116054</v>
      </c>
      <c r="H140" s="359" t="str">
        <f>'Func Future Lines 2015'!H140</f>
        <v>AltaLink</v>
      </c>
      <c r="I140" s="359">
        <f>'Func Future Lines 2015'!I140</f>
        <v>2015</v>
      </c>
      <c r="J140" s="361">
        <f>+IF($I140=J$3,VLOOKUP($H140,Depreciation!$A$6:$L$10,7,FALSE)/2,IF($I140&lt;J$3,VLOOKUP($H140,Depreciation!$A$6:$L$10,7,FALSE),0))</f>
        <v>1.595020804044691E-2</v>
      </c>
      <c r="K140" s="361">
        <f>+IF($I140=K$3,VLOOKUP($H140,Depreciation!$A$6:$L$10,8,FALSE)/2,IF($I140&lt;K$3,VLOOKUP($H140,Depreciation!$A$6:$L$10,8,FALSE),0))</f>
        <v>3.0676363676126896E-2</v>
      </c>
      <c r="L140" s="361">
        <f>+IF($I140=L$3,VLOOKUP($H140,Depreciation!$A$6:$L$10,9,FALSE)/2,IF($I140&lt;L$3,VLOOKUP($H140,Depreciation!$A$6:$L$10,9,FALSE),0))</f>
        <v>3.0676363676126896E-2</v>
      </c>
      <c r="M140" s="361">
        <f>+IF($I140=M$3,VLOOKUP($H140,Depreciation!$A$6:$L$10,10,FALSE)/2,IF($I140&lt;M$3,VLOOKUP($H140,Depreciation!$A$6:$L$10,10,FALSE),0))</f>
        <v>3.0676363676126896E-2</v>
      </c>
      <c r="N140" s="361">
        <f>+IF($I140=N$3,VLOOKUP($H140,Depreciation!$A$6:$L$10,11,FALSE)/2,IF($I140&lt;N$3,VLOOKUP($H140,Depreciation!$A$6:$L$10,11,FALSE),0))</f>
        <v>3.0676363676126896E-2</v>
      </c>
      <c r="O140" s="361">
        <f>+IF($I140=O$3,VLOOKUP($H140,Depreciation!$A$6:$L$10,12,FALSE)/2,IF($I140&lt;O$3,VLOOKUP($H140,Depreciation!$A$6:$L$10,12,FALSE),0))</f>
        <v>3.0676363676126896E-2</v>
      </c>
      <c r="P140" s="362">
        <f t="shared" si="7"/>
        <v>1835940.7375739047</v>
      </c>
      <c r="Q140" s="362">
        <f t="shared" si="8"/>
        <v>1835940.7375739047</v>
      </c>
      <c r="R140" s="363">
        <f t="shared" si="9"/>
        <v>0</v>
      </c>
      <c r="Y140" s="365"/>
    </row>
    <row r="141" spans="1:25" ht="15" customHeight="1">
      <c r="A141" s="359" t="str">
        <f>'Func Future Lines 2015'!A141</f>
        <v>PPS</v>
      </c>
      <c r="B141" s="359" t="str">
        <f>'Func Future Lines 2015'!B141</f>
        <v>1206_1212L180</v>
      </c>
      <c r="C141" s="359">
        <f>'Func Future Lines 2015'!C141</f>
        <v>961</v>
      </c>
      <c r="D141" s="359">
        <f>'Func Future Lines 2015'!D141</f>
        <v>240</v>
      </c>
      <c r="E141" s="359">
        <f>'Func Future Lines 2015'!E141</f>
        <v>0</v>
      </c>
      <c r="F141" s="359">
        <f>'Func Future Lines 2015'!F141</f>
        <v>0</v>
      </c>
      <c r="G141" s="359">
        <f>'Func Future Lines 2015'!G141</f>
        <v>12147807.385961929</v>
      </c>
      <c r="H141" s="359" t="str">
        <f>'Func Future Lines 2015'!H141</f>
        <v>AltaLink</v>
      </c>
      <c r="I141" s="359">
        <f>'Func Future Lines 2015'!I141</f>
        <v>2015</v>
      </c>
      <c r="J141" s="361">
        <f>+IF($I141=J$3,VLOOKUP($H141,Depreciation!$A$6:$L$10,7,FALSE)/2,IF($I141&lt;J$3,VLOOKUP($H141,Depreciation!$A$6:$L$10,7,FALSE),0))</f>
        <v>1.595020804044691E-2</v>
      </c>
      <c r="K141" s="361">
        <f>+IF($I141=K$3,VLOOKUP($H141,Depreciation!$A$6:$L$10,8,FALSE)/2,IF($I141&lt;K$3,VLOOKUP($H141,Depreciation!$A$6:$L$10,8,FALSE),0))</f>
        <v>3.0676363676126896E-2</v>
      </c>
      <c r="L141" s="361">
        <f>+IF($I141=L$3,VLOOKUP($H141,Depreciation!$A$6:$L$10,9,FALSE)/2,IF($I141&lt;L$3,VLOOKUP($H141,Depreciation!$A$6:$L$10,9,FALSE),0))</f>
        <v>3.0676363676126896E-2</v>
      </c>
      <c r="M141" s="361">
        <f>+IF($I141=M$3,VLOOKUP($H141,Depreciation!$A$6:$L$10,10,FALSE)/2,IF($I141&lt;M$3,VLOOKUP($H141,Depreciation!$A$6:$L$10,10,FALSE),0))</f>
        <v>3.0676363676126896E-2</v>
      </c>
      <c r="N141" s="361">
        <f>+IF($I141=N$3,VLOOKUP($H141,Depreciation!$A$6:$L$10,11,FALSE)/2,IF($I141&lt;N$3,VLOOKUP($H141,Depreciation!$A$6:$L$10,11,FALSE),0))</f>
        <v>3.0676363676126896E-2</v>
      </c>
      <c r="O141" s="361">
        <f>+IF($I141=O$3,VLOOKUP($H141,Depreciation!$A$6:$L$10,12,FALSE)/2,IF($I141&lt;O$3,VLOOKUP($H141,Depreciation!$A$6:$L$10,12,FALSE),0))</f>
        <v>3.0676363676126896E-2</v>
      </c>
      <c r="P141" s="362">
        <f t="shared" si="7"/>
        <v>10229607.847170582</v>
      </c>
      <c r="Q141" s="362">
        <f t="shared" si="8"/>
        <v>10229607.847170582</v>
      </c>
      <c r="R141" s="363">
        <f t="shared" si="9"/>
        <v>0</v>
      </c>
      <c r="Y141" s="365"/>
    </row>
    <row r="142" spans="1:25" ht="15" customHeight="1">
      <c r="A142" s="359" t="str">
        <f>'Func Future Lines 2015'!A142</f>
        <v>PPS</v>
      </c>
      <c r="B142" s="359" t="str">
        <f>'Func Future Lines 2015'!B142</f>
        <v>138 kV AC Lines180</v>
      </c>
      <c r="C142" s="359">
        <f>'Func Future Lines 2015'!C142</f>
        <v>961</v>
      </c>
      <c r="D142" s="359">
        <f>'Func Future Lines 2015'!D142</f>
        <v>138</v>
      </c>
      <c r="E142" s="359">
        <f>'Func Future Lines 2015'!E142</f>
        <v>0</v>
      </c>
      <c r="F142" s="359">
        <f>'Func Future Lines 2015'!F142</f>
        <v>0</v>
      </c>
      <c r="G142" s="359">
        <f>'Func Future Lines 2015'!G142</f>
        <v>386437.04663201742</v>
      </c>
      <c r="H142" s="359" t="str">
        <f>'Func Future Lines 2015'!H142</f>
        <v>ATCO</v>
      </c>
      <c r="I142" s="359">
        <f>'Func Future Lines 2015'!I142</f>
        <v>2015</v>
      </c>
      <c r="J142" s="361">
        <f>+IF($I142=J$3,VLOOKUP($H142,Depreciation!$A$6:$L$10,7,FALSE)/2,IF($I142&lt;J$3,VLOOKUP($H142,Depreciation!$A$6:$L$10,7,FALSE),0))</f>
        <v>1.239102859091515E-2</v>
      </c>
      <c r="K142" s="361">
        <f>+IF($I142=K$3,VLOOKUP($H142,Depreciation!$A$6:$L$10,8,FALSE)/2,IF($I142&lt;K$3,VLOOKUP($H142,Depreciation!$A$6:$L$10,8,FALSE),0))</f>
        <v>2.3943859731006666E-2</v>
      </c>
      <c r="L142" s="361">
        <f>+IF($I142=L$3,VLOOKUP($H142,Depreciation!$A$6:$L$10,9,FALSE)/2,IF($I142&lt;L$3,VLOOKUP($H142,Depreciation!$A$6:$L$10,9,FALSE),0))</f>
        <v>2.4002037926855919E-2</v>
      </c>
      <c r="M142" s="361">
        <f>+IF($I142=M$3,VLOOKUP($H142,Depreciation!$A$6:$L$10,10,FALSE)/2,IF($I142&lt;M$3,VLOOKUP($H142,Depreciation!$A$6:$L$10,10,FALSE),0))</f>
        <v>2.4002037926855919E-2</v>
      </c>
      <c r="N142" s="361">
        <f>+IF($I142=N$3,VLOOKUP($H142,Depreciation!$A$6:$L$10,11,FALSE)/2,IF($I142&lt;N$3,VLOOKUP($H142,Depreciation!$A$6:$L$10,11,FALSE),0))</f>
        <v>2.4002037926855919E-2</v>
      </c>
      <c r="O142" s="361">
        <f>+IF($I142=O$3,VLOOKUP($H142,Depreciation!$A$6:$L$10,12,FALSE)/2,IF($I142&lt;O$3,VLOOKUP($H142,Depreciation!$A$6:$L$10,12,FALSE),0))</f>
        <v>2.4002037926855919E-2</v>
      </c>
      <c r="P142" s="362">
        <f t="shared" si="7"/>
        <v>338013.63696461287</v>
      </c>
      <c r="Q142" s="362">
        <f t="shared" si="8"/>
        <v>0</v>
      </c>
      <c r="R142" s="363">
        <f t="shared" si="9"/>
        <v>338013.63696461287</v>
      </c>
      <c r="Y142" s="365"/>
    </row>
    <row r="143" spans="1:25" ht="15" customHeight="1">
      <c r="A143" s="359" t="str">
        <f>'Func Future Lines 2015'!A143</f>
        <v>PPS</v>
      </c>
      <c r="B143" s="359" t="str">
        <f>'Func Future Lines 2015'!B143</f>
        <v>240 kV AC Lines 923L and XXXL180</v>
      </c>
      <c r="C143" s="359">
        <f>'Func Future Lines 2015'!C143</f>
        <v>961</v>
      </c>
      <c r="D143" s="359">
        <f>'Func Future Lines 2015'!D143</f>
        <v>240</v>
      </c>
      <c r="E143" s="359">
        <f>'Func Future Lines 2015'!E143</f>
        <v>0</v>
      </c>
      <c r="F143" s="359">
        <f>'Func Future Lines 2015'!F143</f>
        <v>0</v>
      </c>
      <c r="G143" s="359">
        <f>'Func Future Lines 2015'!G143</f>
        <v>24745691.127936423</v>
      </c>
      <c r="H143" s="359" t="str">
        <f>'Func Future Lines 2015'!H143</f>
        <v>ATCO</v>
      </c>
      <c r="I143" s="359">
        <f>'Func Future Lines 2015'!I143</f>
        <v>2015</v>
      </c>
      <c r="J143" s="361">
        <f>+IF($I143=J$3,VLOOKUP($H143,Depreciation!$A$6:$L$10,7,FALSE)/2,IF($I143&lt;J$3,VLOOKUP($H143,Depreciation!$A$6:$L$10,7,FALSE),0))</f>
        <v>1.239102859091515E-2</v>
      </c>
      <c r="K143" s="361">
        <f>+IF($I143=K$3,VLOOKUP($H143,Depreciation!$A$6:$L$10,8,FALSE)/2,IF($I143&lt;K$3,VLOOKUP($H143,Depreciation!$A$6:$L$10,8,FALSE),0))</f>
        <v>2.3943859731006666E-2</v>
      </c>
      <c r="L143" s="361">
        <f>+IF($I143=L$3,VLOOKUP($H143,Depreciation!$A$6:$L$10,9,FALSE)/2,IF($I143&lt;L$3,VLOOKUP($H143,Depreciation!$A$6:$L$10,9,FALSE),0))</f>
        <v>2.4002037926855919E-2</v>
      </c>
      <c r="M143" s="361">
        <f>+IF($I143=M$3,VLOOKUP($H143,Depreciation!$A$6:$L$10,10,FALSE)/2,IF($I143&lt;M$3,VLOOKUP($H143,Depreciation!$A$6:$L$10,10,FALSE),0))</f>
        <v>2.4002037926855919E-2</v>
      </c>
      <c r="N143" s="361">
        <f>+IF($I143=N$3,VLOOKUP($H143,Depreciation!$A$6:$L$10,11,FALSE)/2,IF($I143&lt;N$3,VLOOKUP($H143,Depreciation!$A$6:$L$10,11,FALSE),0))</f>
        <v>2.4002037926855919E-2</v>
      </c>
      <c r="O143" s="361">
        <f>+IF($I143=O$3,VLOOKUP($H143,Depreciation!$A$6:$L$10,12,FALSE)/2,IF($I143&lt;O$3,VLOOKUP($H143,Depreciation!$A$6:$L$10,12,FALSE),0))</f>
        <v>2.4002037926855919E-2</v>
      </c>
      <c r="P143" s="362">
        <f t="shared" si="7"/>
        <v>21644873.674137358</v>
      </c>
      <c r="Q143" s="362">
        <f t="shared" si="8"/>
        <v>21644873.674137358</v>
      </c>
      <c r="R143" s="363">
        <f t="shared" si="9"/>
        <v>0</v>
      </c>
      <c r="Y143" s="365"/>
    </row>
    <row r="144" spans="1:25" ht="15" customHeight="1">
      <c r="A144" s="359" t="str">
        <f>'Func Future Lines 2015'!A144</f>
        <v>Final</v>
      </c>
      <c r="B144" s="359" t="str">
        <f>'Func Future Lines 2015'!B144</f>
        <v>500 kV DC Transmission Line 13L50180</v>
      </c>
      <c r="C144" s="359">
        <f>'Func Future Lines 2015'!C144</f>
        <v>961</v>
      </c>
      <c r="D144" s="359">
        <f>'Func Future Lines 2015'!D144</f>
        <v>500</v>
      </c>
      <c r="E144" s="359">
        <f>'Func Future Lines 2015'!E144</f>
        <v>0</v>
      </c>
      <c r="F144" s="359">
        <f>'Func Future Lines 2015'!F144</f>
        <v>0</v>
      </c>
      <c r="G144" s="359">
        <f>'Func Future Lines 2015'!G144</f>
        <v>1297658759.5</v>
      </c>
      <c r="H144" s="359" t="str">
        <f>'Func Future Lines 2015'!H144</f>
        <v>ATCO</v>
      </c>
      <c r="I144" s="359">
        <f>'Func Future Lines 2015'!I144</f>
        <v>2015</v>
      </c>
      <c r="J144" s="361">
        <f>+IF($I144=J$3,VLOOKUP($H144,Depreciation!$A$6:$L$10,7,FALSE)/2,IF($I144&lt;J$3,VLOOKUP($H144,Depreciation!$A$6:$L$10,7,FALSE),0))</f>
        <v>1.239102859091515E-2</v>
      </c>
      <c r="K144" s="361">
        <f>+IF($I144=K$3,VLOOKUP($H144,Depreciation!$A$6:$L$10,8,FALSE)/2,IF($I144&lt;K$3,VLOOKUP($H144,Depreciation!$A$6:$L$10,8,FALSE),0))</f>
        <v>2.3943859731006666E-2</v>
      </c>
      <c r="L144" s="361">
        <f>+IF($I144=L$3,VLOOKUP($H144,Depreciation!$A$6:$L$10,9,FALSE)/2,IF($I144&lt;L$3,VLOOKUP($H144,Depreciation!$A$6:$L$10,9,FALSE),0))</f>
        <v>2.4002037926855919E-2</v>
      </c>
      <c r="M144" s="361">
        <f>+IF($I144=M$3,VLOOKUP($H144,Depreciation!$A$6:$L$10,10,FALSE)/2,IF($I144&lt;M$3,VLOOKUP($H144,Depreciation!$A$6:$L$10,10,FALSE),0))</f>
        <v>2.4002037926855919E-2</v>
      </c>
      <c r="N144" s="361">
        <f>+IF($I144=N$3,VLOOKUP($H144,Depreciation!$A$6:$L$10,11,FALSE)/2,IF($I144&lt;N$3,VLOOKUP($H144,Depreciation!$A$6:$L$10,11,FALSE),0))</f>
        <v>2.4002037926855919E-2</v>
      </c>
      <c r="O144" s="361">
        <f>+IF($I144=O$3,VLOOKUP($H144,Depreciation!$A$6:$L$10,12,FALSE)/2,IF($I144&lt;O$3,VLOOKUP($H144,Depreciation!$A$6:$L$10,12,FALSE),0))</f>
        <v>2.4002037926855919E-2</v>
      </c>
      <c r="P144" s="362">
        <f t="shared" si="7"/>
        <v>1135052554.2528081</v>
      </c>
      <c r="Q144" s="362">
        <f t="shared" si="8"/>
        <v>1135052554.2528081</v>
      </c>
      <c r="R144" s="363">
        <f t="shared" si="9"/>
        <v>0</v>
      </c>
      <c r="Y144" s="365"/>
    </row>
    <row r="145" spans="1:25" ht="15" customHeight="1">
      <c r="A145" s="359" t="str">
        <f>'Func Future Lines 2015'!A145</f>
        <v>PPS</v>
      </c>
      <c r="B145" s="359" t="str">
        <f>'Func Future Lines 2015'!B145</f>
        <v>500kV AC 12L70 &amp; 12L85180</v>
      </c>
      <c r="C145" s="359">
        <f>'Func Future Lines 2015'!C145</f>
        <v>961</v>
      </c>
      <c r="D145" s="359">
        <f>'Func Future Lines 2015'!D145</f>
        <v>500</v>
      </c>
      <c r="E145" s="359">
        <f>'Func Future Lines 2015'!E145</f>
        <v>0</v>
      </c>
      <c r="F145" s="359">
        <f>'Func Future Lines 2015'!F145</f>
        <v>0</v>
      </c>
      <c r="G145" s="359">
        <f>'Func Future Lines 2015'!G145</f>
        <v>22941771.346200299</v>
      </c>
      <c r="H145" s="359" t="str">
        <f>'Func Future Lines 2015'!H145</f>
        <v>ATCO</v>
      </c>
      <c r="I145" s="359">
        <f>'Func Future Lines 2015'!I145</f>
        <v>2015</v>
      </c>
      <c r="J145" s="361">
        <f>+IF($I145=J$3,VLOOKUP($H145,Depreciation!$A$6:$L$10,7,FALSE)/2,IF($I145&lt;J$3,VLOOKUP($H145,Depreciation!$A$6:$L$10,7,FALSE),0))</f>
        <v>1.239102859091515E-2</v>
      </c>
      <c r="K145" s="361">
        <f>+IF($I145=K$3,VLOOKUP($H145,Depreciation!$A$6:$L$10,8,FALSE)/2,IF($I145&lt;K$3,VLOOKUP($H145,Depreciation!$A$6:$L$10,8,FALSE),0))</f>
        <v>2.3943859731006666E-2</v>
      </c>
      <c r="L145" s="361">
        <f>+IF($I145=L$3,VLOOKUP($H145,Depreciation!$A$6:$L$10,9,FALSE)/2,IF($I145&lt;L$3,VLOOKUP($H145,Depreciation!$A$6:$L$10,9,FALSE),0))</f>
        <v>2.4002037926855919E-2</v>
      </c>
      <c r="M145" s="361">
        <f>+IF($I145=M$3,VLOOKUP($H145,Depreciation!$A$6:$L$10,10,FALSE)/2,IF($I145&lt;M$3,VLOOKUP($H145,Depreciation!$A$6:$L$10,10,FALSE),0))</f>
        <v>2.4002037926855919E-2</v>
      </c>
      <c r="N145" s="361">
        <f>+IF($I145=N$3,VLOOKUP($H145,Depreciation!$A$6:$L$10,11,FALSE)/2,IF($I145&lt;N$3,VLOOKUP($H145,Depreciation!$A$6:$L$10,11,FALSE),0))</f>
        <v>2.4002037926855919E-2</v>
      </c>
      <c r="O145" s="361">
        <f>+IF($I145=O$3,VLOOKUP($H145,Depreciation!$A$6:$L$10,12,FALSE)/2,IF($I145&lt;O$3,VLOOKUP($H145,Depreciation!$A$6:$L$10,12,FALSE),0))</f>
        <v>2.4002037926855919E-2</v>
      </c>
      <c r="P145" s="362">
        <f t="shared" si="7"/>
        <v>20066998.334463548</v>
      </c>
      <c r="Q145" s="362">
        <f t="shared" si="8"/>
        <v>20066998.334463548</v>
      </c>
      <c r="R145" s="363">
        <f t="shared" si="9"/>
        <v>0</v>
      </c>
      <c r="Y145" s="365"/>
    </row>
    <row r="146" spans="1:25" ht="15" customHeight="1">
      <c r="A146" s="359" t="str">
        <f>'Func Future Lines 2015'!A146</f>
        <v>PPS</v>
      </c>
      <c r="B146" s="359" t="str">
        <f>'Func Future Lines 2015'!B146</f>
        <v>923L/935L Tie-in180</v>
      </c>
      <c r="C146" s="359">
        <f>'Func Future Lines 2015'!C146</f>
        <v>961</v>
      </c>
      <c r="D146" s="359">
        <f>'Func Future Lines 2015'!D146</f>
        <v>240</v>
      </c>
      <c r="E146" s="359">
        <f>'Func Future Lines 2015'!E146</f>
        <v>0</v>
      </c>
      <c r="F146" s="359">
        <f>'Func Future Lines 2015'!F146</f>
        <v>0</v>
      </c>
      <c r="G146" s="359">
        <f>'Func Future Lines 2015'!G146</f>
        <v>9328355.294053847</v>
      </c>
      <c r="H146" s="359" t="str">
        <f>'Func Future Lines 2015'!H146</f>
        <v>AltaLink</v>
      </c>
      <c r="I146" s="359">
        <f>'Func Future Lines 2015'!I146</f>
        <v>2015</v>
      </c>
      <c r="J146" s="361">
        <f>+IF($I146=J$3,VLOOKUP($H146,Depreciation!$A$6:$L$10,7,FALSE)/2,IF($I146&lt;J$3,VLOOKUP($H146,Depreciation!$A$6:$L$10,7,FALSE),0))</f>
        <v>1.595020804044691E-2</v>
      </c>
      <c r="K146" s="361">
        <f>+IF($I146=K$3,VLOOKUP($H146,Depreciation!$A$6:$L$10,8,FALSE)/2,IF($I146&lt;K$3,VLOOKUP($H146,Depreciation!$A$6:$L$10,8,FALSE),0))</f>
        <v>3.0676363676126896E-2</v>
      </c>
      <c r="L146" s="361">
        <f>+IF($I146=L$3,VLOOKUP($H146,Depreciation!$A$6:$L$10,9,FALSE)/2,IF($I146&lt;L$3,VLOOKUP($H146,Depreciation!$A$6:$L$10,9,FALSE),0))</f>
        <v>3.0676363676126896E-2</v>
      </c>
      <c r="M146" s="361">
        <f>+IF($I146=M$3,VLOOKUP($H146,Depreciation!$A$6:$L$10,10,FALSE)/2,IF($I146&lt;M$3,VLOOKUP($H146,Depreciation!$A$6:$L$10,10,FALSE),0))</f>
        <v>3.0676363676126896E-2</v>
      </c>
      <c r="N146" s="361">
        <f>+IF($I146=N$3,VLOOKUP($H146,Depreciation!$A$6:$L$10,11,FALSE)/2,IF($I146&lt;N$3,VLOOKUP($H146,Depreciation!$A$6:$L$10,11,FALSE),0))</f>
        <v>3.0676363676126896E-2</v>
      </c>
      <c r="O146" s="361">
        <f>+IF($I146=O$3,VLOOKUP($H146,Depreciation!$A$6:$L$10,12,FALSE)/2,IF($I146&lt;O$3,VLOOKUP($H146,Depreciation!$A$6:$L$10,12,FALSE),0))</f>
        <v>3.0676363676126896E-2</v>
      </c>
      <c r="P146" s="362">
        <f t="shared" si="7"/>
        <v>7855361.3409710955</v>
      </c>
      <c r="Q146" s="362">
        <f t="shared" si="8"/>
        <v>7855361.3409710955</v>
      </c>
      <c r="R146" s="363">
        <f t="shared" si="9"/>
        <v>0</v>
      </c>
      <c r="Y146" s="365"/>
    </row>
    <row r="147" spans="1:25" ht="15" customHeight="1">
      <c r="A147" s="359" t="str">
        <f>'Func Future Lines 2015'!A147</f>
        <v>PPS</v>
      </c>
      <c r="B147" s="359" t="str">
        <f>'Func Future Lines 2015'!B147</f>
        <v>931L/933L crossing180</v>
      </c>
      <c r="C147" s="359">
        <f>'Func Future Lines 2015'!C147</f>
        <v>961</v>
      </c>
      <c r="D147" s="359">
        <f>'Func Future Lines 2015'!D147</f>
        <v>240</v>
      </c>
      <c r="E147" s="359">
        <f>'Func Future Lines 2015'!E147</f>
        <v>0</v>
      </c>
      <c r="F147" s="359">
        <f>'Func Future Lines 2015'!F147</f>
        <v>0</v>
      </c>
      <c r="G147" s="359">
        <f>'Func Future Lines 2015'!G147</f>
        <v>15784803.775025563</v>
      </c>
      <c r="H147" s="359" t="str">
        <f>'Func Future Lines 2015'!H147</f>
        <v>AltaLink</v>
      </c>
      <c r="I147" s="359">
        <f>'Func Future Lines 2015'!I147</f>
        <v>2015</v>
      </c>
      <c r="J147" s="361">
        <f>+IF($I147=J$3,VLOOKUP($H147,Depreciation!$A$6:$L$10,7,FALSE)/2,IF($I147&lt;J$3,VLOOKUP($H147,Depreciation!$A$6:$L$10,7,FALSE),0))</f>
        <v>1.595020804044691E-2</v>
      </c>
      <c r="K147" s="361">
        <f>+IF($I147=K$3,VLOOKUP($H147,Depreciation!$A$6:$L$10,8,FALSE)/2,IF($I147&lt;K$3,VLOOKUP($H147,Depreciation!$A$6:$L$10,8,FALSE),0))</f>
        <v>3.0676363676126896E-2</v>
      </c>
      <c r="L147" s="361">
        <f>+IF($I147=L$3,VLOOKUP($H147,Depreciation!$A$6:$L$10,9,FALSE)/2,IF($I147&lt;L$3,VLOOKUP($H147,Depreciation!$A$6:$L$10,9,FALSE),0))</f>
        <v>3.0676363676126896E-2</v>
      </c>
      <c r="M147" s="361">
        <f>+IF($I147=M$3,VLOOKUP($H147,Depreciation!$A$6:$L$10,10,FALSE)/2,IF($I147&lt;M$3,VLOOKUP($H147,Depreciation!$A$6:$L$10,10,FALSE),0))</f>
        <v>3.0676363676126896E-2</v>
      </c>
      <c r="N147" s="361">
        <f>+IF($I147=N$3,VLOOKUP($H147,Depreciation!$A$6:$L$10,11,FALSE)/2,IF($I147&lt;N$3,VLOOKUP($H147,Depreciation!$A$6:$L$10,11,FALSE),0))</f>
        <v>3.0676363676126896E-2</v>
      </c>
      <c r="O147" s="361">
        <f>+IF($I147=O$3,VLOOKUP($H147,Depreciation!$A$6:$L$10,12,FALSE)/2,IF($I147&lt;O$3,VLOOKUP($H147,Depreciation!$A$6:$L$10,12,FALSE),0))</f>
        <v>3.0676363676126896E-2</v>
      </c>
      <c r="P147" s="362">
        <f t="shared" si="7"/>
        <v>13292304.317373984</v>
      </c>
      <c r="Q147" s="362">
        <f t="shared" si="8"/>
        <v>13292304.317373984</v>
      </c>
      <c r="R147" s="363">
        <f t="shared" si="9"/>
        <v>0</v>
      </c>
      <c r="Y147" s="365"/>
    </row>
    <row r="148" spans="1:25" ht="15" customHeight="1">
      <c r="A148" s="359" t="str">
        <f>'Func Future Lines 2015'!A148</f>
        <v>PPS</v>
      </c>
      <c r="B148" s="359" t="str">
        <f>'Func Future Lines 2015'!B148</f>
        <v>950L crossing180</v>
      </c>
      <c r="C148" s="359">
        <f>'Func Future Lines 2015'!C148</f>
        <v>961</v>
      </c>
      <c r="D148" s="359">
        <f>'Func Future Lines 2015'!D148</f>
        <v>240</v>
      </c>
      <c r="E148" s="359">
        <f>'Func Future Lines 2015'!E148</f>
        <v>0</v>
      </c>
      <c r="F148" s="359">
        <f>'Func Future Lines 2015'!F148</f>
        <v>0</v>
      </c>
      <c r="G148" s="359">
        <f>'Func Future Lines 2015'!G148</f>
        <v>4171061.3966196976</v>
      </c>
      <c r="H148" s="359" t="str">
        <f>'Func Future Lines 2015'!H148</f>
        <v>AltaLink</v>
      </c>
      <c r="I148" s="359">
        <f>'Func Future Lines 2015'!I148</f>
        <v>2015</v>
      </c>
      <c r="J148" s="361">
        <f>+IF($I148=J$3,VLOOKUP($H148,Depreciation!$A$6:$L$10,7,FALSE)/2,IF($I148&lt;J$3,VLOOKUP($H148,Depreciation!$A$6:$L$10,7,FALSE),0))</f>
        <v>1.595020804044691E-2</v>
      </c>
      <c r="K148" s="361">
        <f>+IF($I148=K$3,VLOOKUP($H148,Depreciation!$A$6:$L$10,8,FALSE)/2,IF($I148&lt;K$3,VLOOKUP($H148,Depreciation!$A$6:$L$10,8,FALSE),0))</f>
        <v>3.0676363676126896E-2</v>
      </c>
      <c r="L148" s="361">
        <f>+IF($I148=L$3,VLOOKUP($H148,Depreciation!$A$6:$L$10,9,FALSE)/2,IF($I148&lt;L$3,VLOOKUP($H148,Depreciation!$A$6:$L$10,9,FALSE),0))</f>
        <v>3.0676363676126896E-2</v>
      </c>
      <c r="M148" s="361">
        <f>+IF($I148=M$3,VLOOKUP($H148,Depreciation!$A$6:$L$10,10,FALSE)/2,IF($I148&lt;M$3,VLOOKUP($H148,Depreciation!$A$6:$L$10,10,FALSE),0))</f>
        <v>3.0676363676126896E-2</v>
      </c>
      <c r="N148" s="361">
        <f>+IF($I148=N$3,VLOOKUP($H148,Depreciation!$A$6:$L$10,11,FALSE)/2,IF($I148&lt;N$3,VLOOKUP($H148,Depreciation!$A$6:$L$10,11,FALSE),0))</f>
        <v>3.0676363676126896E-2</v>
      </c>
      <c r="O148" s="361">
        <f>+IF($I148=O$3,VLOOKUP($H148,Depreciation!$A$6:$L$10,12,FALSE)/2,IF($I148&lt;O$3,VLOOKUP($H148,Depreciation!$A$6:$L$10,12,FALSE),0))</f>
        <v>3.0676363676126896E-2</v>
      </c>
      <c r="P148" s="362">
        <f t="shared" si="7"/>
        <v>3512429.9421473276</v>
      </c>
      <c r="Q148" s="362">
        <f t="shared" si="8"/>
        <v>3512429.9421473276</v>
      </c>
      <c r="R148" s="363">
        <f t="shared" si="9"/>
        <v>0</v>
      </c>
      <c r="Y148" s="365"/>
    </row>
    <row r="149" spans="1:25" ht="15" customHeight="1">
      <c r="A149" s="359" t="str">
        <f>'Func Future Lines 2015'!A149</f>
        <v>PPS</v>
      </c>
      <c r="B149" s="359" t="str">
        <f>'Func Future Lines 2015'!B149</f>
        <v>1113L 180</v>
      </c>
      <c r="C149" s="359">
        <f>'Func Future Lines 2015'!C149</f>
        <v>962</v>
      </c>
      <c r="D149" s="359">
        <f>'Func Future Lines 2015'!D149</f>
        <v>240</v>
      </c>
      <c r="E149" s="359">
        <f>'Func Future Lines 2015'!E149</f>
        <v>0</v>
      </c>
      <c r="F149" s="359">
        <f>'Func Future Lines 2015'!F149</f>
        <v>0</v>
      </c>
      <c r="G149" s="359">
        <f>'Func Future Lines 2015'!G149</f>
        <v>5050035.9456107607</v>
      </c>
      <c r="H149" s="359" t="str">
        <f>'Func Future Lines 2015'!H149</f>
        <v>AltaLink</v>
      </c>
      <c r="I149" s="359">
        <f>'Func Future Lines 2015'!I149</f>
        <v>2015</v>
      </c>
      <c r="J149" s="361">
        <f>+IF($I149=J$3,VLOOKUP($H149,Depreciation!$A$6:$L$10,7,FALSE)/2,IF($I149&lt;J$3,VLOOKUP($H149,Depreciation!$A$6:$L$10,7,FALSE),0))</f>
        <v>1.595020804044691E-2</v>
      </c>
      <c r="K149" s="361">
        <f>+IF($I149=K$3,VLOOKUP($H149,Depreciation!$A$6:$L$10,8,FALSE)/2,IF($I149&lt;K$3,VLOOKUP($H149,Depreciation!$A$6:$L$10,8,FALSE),0))</f>
        <v>3.0676363676126896E-2</v>
      </c>
      <c r="L149" s="361">
        <f>+IF($I149=L$3,VLOOKUP($H149,Depreciation!$A$6:$L$10,9,FALSE)/2,IF($I149&lt;L$3,VLOOKUP($H149,Depreciation!$A$6:$L$10,9,FALSE),0))</f>
        <v>3.0676363676126896E-2</v>
      </c>
      <c r="M149" s="361">
        <f>+IF($I149=M$3,VLOOKUP($H149,Depreciation!$A$6:$L$10,10,FALSE)/2,IF($I149&lt;M$3,VLOOKUP($H149,Depreciation!$A$6:$L$10,10,FALSE),0))</f>
        <v>3.0676363676126896E-2</v>
      </c>
      <c r="N149" s="361">
        <f>+IF($I149=N$3,VLOOKUP($H149,Depreciation!$A$6:$L$10,11,FALSE)/2,IF($I149&lt;N$3,VLOOKUP($H149,Depreciation!$A$6:$L$10,11,FALSE),0))</f>
        <v>3.0676363676126896E-2</v>
      </c>
      <c r="O149" s="361">
        <f>+IF($I149=O$3,VLOOKUP($H149,Depreciation!$A$6:$L$10,12,FALSE)/2,IF($I149&lt;O$3,VLOOKUP($H149,Depreciation!$A$6:$L$10,12,FALSE),0))</f>
        <v>3.0676363676126896E-2</v>
      </c>
      <c r="P149" s="362">
        <f t="shared" si="7"/>
        <v>4252610.0140023446</v>
      </c>
      <c r="Q149" s="362">
        <f t="shared" si="8"/>
        <v>4252610.0140023446</v>
      </c>
      <c r="R149" s="363">
        <f t="shared" si="9"/>
        <v>0</v>
      </c>
      <c r="Y149" s="365"/>
    </row>
    <row r="150" spans="1:25" ht="15" customHeight="1">
      <c r="A150" s="359" t="str">
        <f>'Func Future Lines 2015'!A150</f>
        <v>PPS</v>
      </c>
      <c r="B150" s="359" t="str">
        <f>'Func Future Lines 2015'!B150</f>
        <v>1114L 180</v>
      </c>
      <c r="C150" s="359">
        <f>'Func Future Lines 2015'!C150</f>
        <v>962</v>
      </c>
      <c r="D150" s="359">
        <f>'Func Future Lines 2015'!D150</f>
        <v>240</v>
      </c>
      <c r="E150" s="359">
        <f>'Func Future Lines 2015'!E150</f>
        <v>0</v>
      </c>
      <c r="F150" s="359">
        <f>'Func Future Lines 2015'!F150</f>
        <v>0</v>
      </c>
      <c r="G150" s="359">
        <f>'Func Future Lines 2015'!G150</f>
        <v>508638.67860466533</v>
      </c>
      <c r="H150" s="359" t="str">
        <f>'Func Future Lines 2015'!H150</f>
        <v>AltaLink</v>
      </c>
      <c r="I150" s="359">
        <f>'Func Future Lines 2015'!I150</f>
        <v>2015</v>
      </c>
      <c r="J150" s="361">
        <f>+IF($I150=J$3,VLOOKUP($H150,Depreciation!$A$6:$L$10,7,FALSE)/2,IF($I150&lt;J$3,VLOOKUP($H150,Depreciation!$A$6:$L$10,7,FALSE),0))</f>
        <v>1.595020804044691E-2</v>
      </c>
      <c r="K150" s="361">
        <f>+IF($I150=K$3,VLOOKUP($H150,Depreciation!$A$6:$L$10,8,FALSE)/2,IF($I150&lt;K$3,VLOOKUP($H150,Depreciation!$A$6:$L$10,8,FALSE),0))</f>
        <v>3.0676363676126896E-2</v>
      </c>
      <c r="L150" s="361">
        <f>+IF($I150=L$3,VLOOKUP($H150,Depreciation!$A$6:$L$10,9,FALSE)/2,IF($I150&lt;L$3,VLOOKUP($H150,Depreciation!$A$6:$L$10,9,FALSE),0))</f>
        <v>3.0676363676126896E-2</v>
      </c>
      <c r="M150" s="361">
        <f>+IF($I150=M$3,VLOOKUP($H150,Depreciation!$A$6:$L$10,10,FALSE)/2,IF($I150&lt;M$3,VLOOKUP($H150,Depreciation!$A$6:$L$10,10,FALSE),0))</f>
        <v>3.0676363676126896E-2</v>
      </c>
      <c r="N150" s="361">
        <f>+IF($I150=N$3,VLOOKUP($H150,Depreciation!$A$6:$L$10,11,FALSE)/2,IF($I150&lt;N$3,VLOOKUP($H150,Depreciation!$A$6:$L$10,11,FALSE),0))</f>
        <v>3.0676363676126896E-2</v>
      </c>
      <c r="O150" s="361">
        <f>+IF($I150=O$3,VLOOKUP($H150,Depreciation!$A$6:$L$10,12,FALSE)/2,IF($I150&lt;O$3,VLOOKUP($H150,Depreciation!$A$6:$L$10,12,FALSE),0))</f>
        <v>3.0676363676126896E-2</v>
      </c>
      <c r="P150" s="362">
        <f t="shared" si="7"/>
        <v>428322.0874938778</v>
      </c>
      <c r="Q150" s="362">
        <f t="shared" si="8"/>
        <v>428322.0874938778</v>
      </c>
      <c r="R150" s="363">
        <f t="shared" si="9"/>
        <v>0</v>
      </c>
      <c r="Y150" s="365"/>
    </row>
    <row r="151" spans="1:25" ht="15" customHeight="1">
      <c r="A151" s="359" t="str">
        <f>'Func Future Lines 2015'!A151</f>
        <v>PPS</v>
      </c>
      <c r="B151" s="359" t="str">
        <f>'Func Future Lines 2015'!B151</f>
        <v>1201L</v>
      </c>
      <c r="C151" s="359">
        <f>'Func Future Lines 2015'!C151</f>
        <v>962</v>
      </c>
      <c r="D151" s="359">
        <f>'Func Future Lines 2015'!D151</f>
        <v>500</v>
      </c>
      <c r="E151" s="359">
        <f>'Func Future Lines 2015'!E151</f>
        <v>0</v>
      </c>
      <c r="F151" s="359">
        <f>'Func Future Lines 2015'!F151</f>
        <v>0</v>
      </c>
      <c r="G151" s="359">
        <f>'Func Future Lines 2015'!G151</f>
        <v>17806288.979760934</v>
      </c>
      <c r="H151" s="359" t="str">
        <f>'Func Future Lines 2015'!H151</f>
        <v>AltaLink</v>
      </c>
      <c r="I151" s="359">
        <f>'Func Future Lines 2015'!I151</f>
        <v>2015</v>
      </c>
      <c r="J151" s="361">
        <f>+IF($I151=J$3,VLOOKUP($H151,Depreciation!$A$6:$L$10,7,FALSE)/2,IF($I151&lt;J$3,VLOOKUP($H151,Depreciation!$A$6:$L$10,7,FALSE),0))</f>
        <v>1.595020804044691E-2</v>
      </c>
      <c r="K151" s="361">
        <f>+IF($I151=K$3,VLOOKUP($H151,Depreciation!$A$6:$L$10,8,FALSE)/2,IF($I151&lt;K$3,VLOOKUP($H151,Depreciation!$A$6:$L$10,8,FALSE),0))</f>
        <v>3.0676363676126896E-2</v>
      </c>
      <c r="L151" s="361">
        <f>+IF($I151=L$3,VLOOKUP($H151,Depreciation!$A$6:$L$10,9,FALSE)/2,IF($I151&lt;L$3,VLOOKUP($H151,Depreciation!$A$6:$L$10,9,FALSE),0))</f>
        <v>3.0676363676126896E-2</v>
      </c>
      <c r="M151" s="361">
        <f>+IF($I151=M$3,VLOOKUP($H151,Depreciation!$A$6:$L$10,10,FALSE)/2,IF($I151&lt;M$3,VLOOKUP($H151,Depreciation!$A$6:$L$10,10,FALSE),0))</f>
        <v>3.0676363676126896E-2</v>
      </c>
      <c r="N151" s="361">
        <f>+IF($I151=N$3,VLOOKUP($H151,Depreciation!$A$6:$L$10,11,FALSE)/2,IF($I151&lt;N$3,VLOOKUP($H151,Depreciation!$A$6:$L$10,11,FALSE),0))</f>
        <v>3.0676363676126896E-2</v>
      </c>
      <c r="O151" s="361">
        <f>+IF($I151=O$3,VLOOKUP($H151,Depreciation!$A$6:$L$10,12,FALSE)/2,IF($I151&lt;O$3,VLOOKUP($H151,Depreciation!$A$6:$L$10,12,FALSE),0))</f>
        <v>3.0676363676126896E-2</v>
      </c>
      <c r="P151" s="362">
        <f t="shared" si="7"/>
        <v>14994586.89860728</v>
      </c>
      <c r="Q151" s="362">
        <f t="shared" si="8"/>
        <v>14994586.89860728</v>
      </c>
      <c r="R151" s="363">
        <f t="shared" si="9"/>
        <v>0</v>
      </c>
      <c r="Y151" s="365"/>
    </row>
    <row r="152" spans="1:25" ht="15" customHeight="1">
      <c r="A152" s="359" t="str">
        <f>'Func Future Lines 2015'!A152</f>
        <v>PPS</v>
      </c>
      <c r="B152" s="359" t="str">
        <f>'Func Future Lines 2015'!B152</f>
        <v>1203L / 1238L / 1239L to 510S</v>
      </c>
      <c r="C152" s="359">
        <f>'Func Future Lines 2015'!C152</f>
        <v>962</v>
      </c>
      <c r="D152" s="359">
        <f>'Func Future Lines 2015'!D152</f>
        <v>500</v>
      </c>
      <c r="E152" s="359">
        <f>'Func Future Lines 2015'!E152</f>
        <v>0</v>
      </c>
      <c r="F152" s="359" t="str">
        <f>'Func Future Lines 2015'!F152</f>
        <v>northwest</v>
      </c>
      <c r="G152" s="359">
        <f>'Func Future Lines 2015'!G152</f>
        <v>4282968.0875220895</v>
      </c>
      <c r="H152" s="359" t="str">
        <f>'Func Future Lines 2015'!H152</f>
        <v>EPCOR</v>
      </c>
      <c r="I152" s="359">
        <f>'Func Future Lines 2015'!I152</f>
        <v>2015</v>
      </c>
      <c r="J152" s="361">
        <f>+IF($I152=J$3,VLOOKUP($H152,Depreciation!$A$6:$L$10,7,FALSE)/2,IF($I152&lt;J$3,VLOOKUP($H152,Depreciation!$A$6:$L$10,7,FALSE),0))</f>
        <v>1.1530980651952941E-2</v>
      </c>
      <c r="K152" s="361">
        <f>+IF($I152=K$3,VLOOKUP($H152,Depreciation!$A$6:$L$10,8,FALSE)/2,IF($I152&lt;K$3,VLOOKUP($H152,Depreciation!$A$6:$L$10,8,FALSE),0))</f>
        <v>2.3062337210051284E-2</v>
      </c>
      <c r="L152" s="361">
        <f>+IF($I152=L$3,VLOOKUP($H152,Depreciation!$A$6:$L$10,9,FALSE)/2,IF($I152&lt;L$3,VLOOKUP($H152,Depreciation!$A$6:$L$10,9,FALSE),0))</f>
        <v>2.3063912319658014E-2</v>
      </c>
      <c r="M152" s="361">
        <f>+IF($I152=M$3,VLOOKUP($H152,Depreciation!$A$6:$L$10,10,FALSE)/2,IF($I152&lt;M$3,VLOOKUP($H152,Depreciation!$A$6:$L$10,10,FALSE),0))</f>
        <v>2.3063912319658014E-2</v>
      </c>
      <c r="N152" s="361">
        <f>+IF($I152=N$3,VLOOKUP($H152,Depreciation!$A$6:$L$10,11,FALSE)/2,IF($I152&lt;N$3,VLOOKUP($H152,Depreciation!$A$6:$L$10,11,FALSE),0))</f>
        <v>2.3063912319658014E-2</v>
      </c>
      <c r="O152" s="361">
        <f>+IF($I152=O$3,VLOOKUP($H152,Depreciation!$A$6:$L$10,12,FALSE)/2,IF($I152&lt;O$3,VLOOKUP($H152,Depreciation!$A$6:$L$10,12,FALSE),0))</f>
        <v>2.3063912319658014E-2</v>
      </c>
      <c r="P152" s="362">
        <f t="shared" si="7"/>
        <v>3767379.4439707226</v>
      </c>
      <c r="Q152" s="362">
        <f t="shared" si="8"/>
        <v>3767379.4439707226</v>
      </c>
      <c r="R152" s="363">
        <f t="shared" si="9"/>
        <v>0</v>
      </c>
      <c r="Y152" s="365"/>
    </row>
    <row r="153" spans="1:25" ht="15" customHeight="1">
      <c r="A153" s="359" t="str">
        <f>'Func Future Lines 2015'!A153</f>
        <v>PPS</v>
      </c>
      <c r="B153" s="359" t="str">
        <f>'Func Future Lines 2015'!B153</f>
        <v>1209L 330P to 89S</v>
      </c>
      <c r="C153" s="359">
        <f>'Func Future Lines 2015'!C153</f>
        <v>962</v>
      </c>
      <c r="D153" s="359">
        <f>'Func Future Lines 2015'!D153</f>
        <v>500</v>
      </c>
      <c r="E153" s="359">
        <f>'Func Future Lines 2015'!E153</f>
        <v>0</v>
      </c>
      <c r="F153" s="359" t="str">
        <f>'Func Future Lines 2015'!F153</f>
        <v>northwest</v>
      </c>
      <c r="G153" s="359">
        <f>'Func Future Lines 2015'!G153</f>
        <v>7200931.5202669203</v>
      </c>
      <c r="H153" s="359" t="str">
        <f>'Func Future Lines 2015'!H153</f>
        <v>EPCOR</v>
      </c>
      <c r="I153" s="359">
        <f>'Func Future Lines 2015'!I153</f>
        <v>2015</v>
      </c>
      <c r="J153" s="361">
        <f>+IF($I153=J$3,VLOOKUP($H153,Depreciation!$A$6:$L$10,7,FALSE)/2,IF($I153&lt;J$3,VLOOKUP($H153,Depreciation!$A$6:$L$10,7,FALSE),0))</f>
        <v>1.1530980651952941E-2</v>
      </c>
      <c r="K153" s="361">
        <f>+IF($I153=K$3,VLOOKUP($H153,Depreciation!$A$6:$L$10,8,FALSE)/2,IF($I153&lt;K$3,VLOOKUP($H153,Depreciation!$A$6:$L$10,8,FALSE),0))</f>
        <v>2.3062337210051284E-2</v>
      </c>
      <c r="L153" s="361">
        <f>+IF($I153=L$3,VLOOKUP($H153,Depreciation!$A$6:$L$10,9,FALSE)/2,IF($I153&lt;L$3,VLOOKUP($H153,Depreciation!$A$6:$L$10,9,FALSE),0))</f>
        <v>2.3063912319658014E-2</v>
      </c>
      <c r="M153" s="361">
        <f>+IF($I153=M$3,VLOOKUP($H153,Depreciation!$A$6:$L$10,10,FALSE)/2,IF($I153&lt;M$3,VLOOKUP($H153,Depreciation!$A$6:$L$10,10,FALSE),0))</f>
        <v>2.3063912319658014E-2</v>
      </c>
      <c r="N153" s="361">
        <f>+IF($I153=N$3,VLOOKUP($H153,Depreciation!$A$6:$L$10,11,FALSE)/2,IF($I153&lt;N$3,VLOOKUP($H153,Depreciation!$A$6:$L$10,11,FALSE),0))</f>
        <v>2.3063912319658014E-2</v>
      </c>
      <c r="O153" s="361">
        <f>+IF($I153=O$3,VLOOKUP($H153,Depreciation!$A$6:$L$10,12,FALSE)/2,IF($I153&lt;O$3,VLOOKUP($H153,Depreciation!$A$6:$L$10,12,FALSE),0))</f>
        <v>2.3063912319658014E-2</v>
      </c>
      <c r="P153" s="362">
        <f t="shared" si="7"/>
        <v>6334075.0695599308</v>
      </c>
      <c r="Q153" s="362">
        <f t="shared" si="8"/>
        <v>6334075.0695599308</v>
      </c>
      <c r="R153" s="363">
        <f t="shared" si="9"/>
        <v>0</v>
      </c>
      <c r="Y153" s="365"/>
    </row>
    <row r="154" spans="1:25" ht="15" customHeight="1">
      <c r="A154" s="359" t="str">
        <f>'Func Future Lines 2015'!A154</f>
        <v>PPS</v>
      </c>
      <c r="B154" s="359" t="str">
        <f>'Func Future Lines 2015'!B154</f>
        <v>1323L / 1323AL</v>
      </c>
      <c r="C154" s="359">
        <f>'Func Future Lines 2015'!C154</f>
        <v>962</v>
      </c>
      <c r="D154" s="359">
        <f>'Func Future Lines 2015'!D154</f>
        <v>500</v>
      </c>
      <c r="E154" s="359">
        <f>'Func Future Lines 2015'!E154</f>
        <v>0</v>
      </c>
      <c r="F154" s="359">
        <f>'Func Future Lines 2015'!F154</f>
        <v>0</v>
      </c>
      <c r="G154" s="359">
        <f>'Func Future Lines 2015'!G154</f>
        <v>5797511.6642460758</v>
      </c>
      <c r="H154" s="359" t="str">
        <f>'Func Future Lines 2015'!H154</f>
        <v>AltaLink</v>
      </c>
      <c r="I154" s="359">
        <f>'Func Future Lines 2015'!I154</f>
        <v>2015</v>
      </c>
      <c r="J154" s="361">
        <f>+IF($I154=J$3,VLOOKUP($H154,Depreciation!$A$6:$L$10,7,FALSE)/2,IF($I154&lt;J$3,VLOOKUP($H154,Depreciation!$A$6:$L$10,7,FALSE),0))</f>
        <v>1.595020804044691E-2</v>
      </c>
      <c r="K154" s="361">
        <f>+IF($I154=K$3,VLOOKUP($H154,Depreciation!$A$6:$L$10,8,FALSE)/2,IF($I154&lt;K$3,VLOOKUP($H154,Depreciation!$A$6:$L$10,8,FALSE),0))</f>
        <v>3.0676363676126896E-2</v>
      </c>
      <c r="L154" s="361">
        <f>+IF($I154=L$3,VLOOKUP($H154,Depreciation!$A$6:$L$10,9,FALSE)/2,IF($I154&lt;L$3,VLOOKUP($H154,Depreciation!$A$6:$L$10,9,FALSE),0))</f>
        <v>3.0676363676126896E-2</v>
      </c>
      <c r="M154" s="361">
        <f>+IF($I154=M$3,VLOOKUP($H154,Depreciation!$A$6:$L$10,10,FALSE)/2,IF($I154&lt;M$3,VLOOKUP($H154,Depreciation!$A$6:$L$10,10,FALSE),0))</f>
        <v>3.0676363676126896E-2</v>
      </c>
      <c r="N154" s="361">
        <f>+IF($I154=N$3,VLOOKUP($H154,Depreciation!$A$6:$L$10,11,FALSE)/2,IF($I154&lt;N$3,VLOOKUP($H154,Depreciation!$A$6:$L$10,11,FALSE),0))</f>
        <v>3.0676363676126896E-2</v>
      </c>
      <c r="O154" s="361">
        <f>+IF($I154=O$3,VLOOKUP($H154,Depreciation!$A$6:$L$10,12,FALSE)/2,IF($I154&lt;O$3,VLOOKUP($H154,Depreciation!$A$6:$L$10,12,FALSE),0))</f>
        <v>3.0676363676126896E-2</v>
      </c>
      <c r="P154" s="362">
        <f t="shared" si="7"/>
        <v>4882055.578455193</v>
      </c>
      <c r="Q154" s="362">
        <f t="shared" si="8"/>
        <v>4882055.578455193</v>
      </c>
      <c r="R154" s="363">
        <f t="shared" si="9"/>
        <v>0</v>
      </c>
      <c r="Y154" s="365"/>
    </row>
    <row r="155" spans="1:25" ht="15" customHeight="1">
      <c r="A155" s="359" t="str">
        <f>'Func Future Lines 2015'!A155</f>
        <v>PPS</v>
      </c>
      <c r="B155" s="359" t="str">
        <f>'Func Future Lines 2015'!B155</f>
        <v>1323L / 1323AL</v>
      </c>
      <c r="C155" s="359">
        <f>'Func Future Lines 2015'!C155</f>
        <v>962</v>
      </c>
      <c r="D155" s="359">
        <f>'Func Future Lines 2015'!D155</f>
        <v>500</v>
      </c>
      <c r="E155" s="359">
        <f>'Func Future Lines 2015'!E155</f>
        <v>0</v>
      </c>
      <c r="F155" s="359">
        <f>'Func Future Lines 2015'!F155</f>
        <v>0</v>
      </c>
      <c r="G155" s="359">
        <f>'Func Future Lines 2015'!G155</f>
        <v>5797512.9227138078</v>
      </c>
      <c r="H155" s="359" t="str">
        <f>'Func Future Lines 2015'!H155</f>
        <v>AltaLink</v>
      </c>
      <c r="I155" s="359">
        <f>'Func Future Lines 2015'!I155</f>
        <v>2015</v>
      </c>
      <c r="J155" s="361">
        <f>+IF($I155=J$3,VLOOKUP($H155,Depreciation!$A$6:$L$10,7,FALSE)/2,IF($I155&lt;J$3,VLOOKUP($H155,Depreciation!$A$6:$L$10,7,FALSE),0))</f>
        <v>1.595020804044691E-2</v>
      </c>
      <c r="K155" s="361">
        <f>+IF($I155=K$3,VLOOKUP($H155,Depreciation!$A$6:$L$10,8,FALSE)/2,IF($I155&lt;K$3,VLOOKUP($H155,Depreciation!$A$6:$L$10,8,FALSE),0))</f>
        <v>3.0676363676126896E-2</v>
      </c>
      <c r="L155" s="361">
        <f>+IF($I155=L$3,VLOOKUP($H155,Depreciation!$A$6:$L$10,9,FALSE)/2,IF($I155&lt;L$3,VLOOKUP($H155,Depreciation!$A$6:$L$10,9,FALSE),0))</f>
        <v>3.0676363676126896E-2</v>
      </c>
      <c r="M155" s="361">
        <f>+IF($I155=M$3,VLOOKUP($H155,Depreciation!$A$6:$L$10,10,FALSE)/2,IF($I155&lt;M$3,VLOOKUP($H155,Depreciation!$A$6:$L$10,10,FALSE),0))</f>
        <v>3.0676363676126896E-2</v>
      </c>
      <c r="N155" s="361">
        <f>+IF($I155=N$3,VLOOKUP($H155,Depreciation!$A$6:$L$10,11,FALSE)/2,IF($I155&lt;N$3,VLOOKUP($H155,Depreciation!$A$6:$L$10,11,FALSE),0))</f>
        <v>3.0676363676126896E-2</v>
      </c>
      <c r="O155" s="361">
        <f>+IF($I155=O$3,VLOOKUP($H155,Depreciation!$A$6:$L$10,12,FALSE)/2,IF($I155&lt;O$3,VLOOKUP($H155,Depreciation!$A$6:$L$10,12,FALSE),0))</f>
        <v>3.0676363676126896E-2</v>
      </c>
      <c r="P155" s="362">
        <f t="shared" si="7"/>
        <v>4882056.6382045764</v>
      </c>
      <c r="Q155" s="362">
        <f t="shared" si="8"/>
        <v>4882056.6382045764</v>
      </c>
      <c r="R155" s="363">
        <f t="shared" si="9"/>
        <v>0</v>
      </c>
      <c r="Y155" s="365"/>
    </row>
    <row r="156" spans="1:25" ht="15" customHeight="1">
      <c r="A156" s="359" t="str">
        <f>'Func Future Lines 2015'!A156</f>
        <v>PPS</v>
      </c>
      <c r="B156" s="359" t="str">
        <f>'Func Future Lines 2015'!B156</f>
        <v>166L crossing180</v>
      </c>
      <c r="C156" s="359">
        <f>'Func Future Lines 2015'!C156</f>
        <v>962</v>
      </c>
      <c r="D156" s="359">
        <f>'Func Future Lines 2015'!D156</f>
        <v>138</v>
      </c>
      <c r="E156" s="359">
        <f>'Func Future Lines 2015'!E156</f>
        <v>0</v>
      </c>
      <c r="F156" s="359">
        <f>'Func Future Lines 2015'!F156</f>
        <v>0</v>
      </c>
      <c r="G156" s="359">
        <f>'Func Future Lines 2015'!G156</f>
        <v>1759.3378891942859</v>
      </c>
      <c r="H156" s="359" t="str">
        <f>'Func Future Lines 2015'!H156</f>
        <v>AltaLink</v>
      </c>
      <c r="I156" s="359">
        <f>'Func Future Lines 2015'!I156</f>
        <v>2015</v>
      </c>
      <c r="J156" s="361">
        <f>+IF($I156=J$3,VLOOKUP($H156,Depreciation!$A$6:$L$10,7,FALSE)/2,IF($I156&lt;J$3,VLOOKUP($H156,Depreciation!$A$6:$L$10,7,FALSE),0))</f>
        <v>1.595020804044691E-2</v>
      </c>
      <c r="K156" s="361">
        <f>+IF($I156=K$3,VLOOKUP($H156,Depreciation!$A$6:$L$10,8,FALSE)/2,IF($I156&lt;K$3,VLOOKUP($H156,Depreciation!$A$6:$L$10,8,FALSE),0))</f>
        <v>3.0676363676126896E-2</v>
      </c>
      <c r="L156" s="361">
        <f>+IF($I156=L$3,VLOOKUP($H156,Depreciation!$A$6:$L$10,9,FALSE)/2,IF($I156&lt;L$3,VLOOKUP($H156,Depreciation!$A$6:$L$10,9,FALSE),0))</f>
        <v>3.0676363676126896E-2</v>
      </c>
      <c r="M156" s="361">
        <f>+IF($I156=M$3,VLOOKUP($H156,Depreciation!$A$6:$L$10,10,FALSE)/2,IF($I156&lt;M$3,VLOOKUP($H156,Depreciation!$A$6:$L$10,10,FALSE),0))</f>
        <v>3.0676363676126896E-2</v>
      </c>
      <c r="N156" s="361">
        <f>+IF($I156=N$3,VLOOKUP($H156,Depreciation!$A$6:$L$10,11,FALSE)/2,IF($I156&lt;N$3,VLOOKUP($H156,Depreciation!$A$6:$L$10,11,FALSE),0))</f>
        <v>3.0676363676126896E-2</v>
      </c>
      <c r="O156" s="361">
        <f>+IF($I156=O$3,VLOOKUP($H156,Depreciation!$A$6:$L$10,12,FALSE)/2,IF($I156&lt;O$3,VLOOKUP($H156,Depreciation!$A$6:$L$10,12,FALSE),0))</f>
        <v>3.0676363676126896E-2</v>
      </c>
      <c r="P156" s="362">
        <f t="shared" si="7"/>
        <v>1481.5296378442922</v>
      </c>
      <c r="Q156" s="362">
        <f t="shared" si="8"/>
        <v>0</v>
      </c>
      <c r="R156" s="363">
        <f t="shared" si="9"/>
        <v>1481.5296378442922</v>
      </c>
      <c r="Y156" s="365"/>
    </row>
    <row r="157" spans="1:25" ht="15" customHeight="1">
      <c r="A157" s="359" t="str">
        <f>'Func Future Lines 2015'!A157</f>
        <v>PPS</v>
      </c>
      <c r="B157" s="359" t="str">
        <f>'Func Future Lines 2015'!B157</f>
        <v>189L crossing180</v>
      </c>
      <c r="C157" s="359">
        <f>'Func Future Lines 2015'!C157</f>
        <v>962</v>
      </c>
      <c r="D157" s="359">
        <f>'Func Future Lines 2015'!D157</f>
        <v>138</v>
      </c>
      <c r="E157" s="359">
        <f>'Func Future Lines 2015'!E157</f>
        <v>0</v>
      </c>
      <c r="F157" s="359">
        <f>'Func Future Lines 2015'!F157</f>
        <v>0</v>
      </c>
      <c r="G157" s="359">
        <f>'Func Future Lines 2015'!G157</f>
        <v>6009.1834198159622</v>
      </c>
      <c r="H157" s="359" t="str">
        <f>'Func Future Lines 2015'!H157</f>
        <v>AltaLink</v>
      </c>
      <c r="I157" s="359">
        <f>'Func Future Lines 2015'!I157</f>
        <v>2015</v>
      </c>
      <c r="J157" s="361">
        <f>+IF($I157=J$3,VLOOKUP($H157,Depreciation!$A$6:$L$10,7,FALSE)/2,IF($I157&lt;J$3,VLOOKUP($H157,Depreciation!$A$6:$L$10,7,FALSE),0))</f>
        <v>1.595020804044691E-2</v>
      </c>
      <c r="K157" s="361">
        <f>+IF($I157=K$3,VLOOKUP($H157,Depreciation!$A$6:$L$10,8,FALSE)/2,IF($I157&lt;K$3,VLOOKUP($H157,Depreciation!$A$6:$L$10,8,FALSE),0))</f>
        <v>3.0676363676126896E-2</v>
      </c>
      <c r="L157" s="361">
        <f>+IF($I157=L$3,VLOOKUP($H157,Depreciation!$A$6:$L$10,9,FALSE)/2,IF($I157&lt;L$3,VLOOKUP($H157,Depreciation!$A$6:$L$10,9,FALSE),0))</f>
        <v>3.0676363676126896E-2</v>
      </c>
      <c r="M157" s="361">
        <f>+IF($I157=M$3,VLOOKUP($H157,Depreciation!$A$6:$L$10,10,FALSE)/2,IF($I157&lt;M$3,VLOOKUP($H157,Depreciation!$A$6:$L$10,10,FALSE),0))</f>
        <v>3.0676363676126896E-2</v>
      </c>
      <c r="N157" s="361">
        <f>+IF($I157=N$3,VLOOKUP($H157,Depreciation!$A$6:$L$10,11,FALSE)/2,IF($I157&lt;N$3,VLOOKUP($H157,Depreciation!$A$6:$L$10,11,FALSE),0))</f>
        <v>3.0676363676126896E-2</v>
      </c>
      <c r="O157" s="361">
        <f>+IF($I157=O$3,VLOOKUP($H157,Depreciation!$A$6:$L$10,12,FALSE)/2,IF($I157&lt;O$3,VLOOKUP($H157,Depreciation!$A$6:$L$10,12,FALSE),0))</f>
        <v>3.0676363676126896E-2</v>
      </c>
      <c r="P157" s="362">
        <f t="shared" si="7"/>
        <v>5060.3033052263918</v>
      </c>
      <c r="Q157" s="362">
        <f t="shared" si="8"/>
        <v>0</v>
      </c>
      <c r="R157" s="363">
        <f t="shared" si="9"/>
        <v>5060.3033052263918</v>
      </c>
      <c r="Y157" s="365"/>
    </row>
    <row r="158" spans="1:25" ht="15" customHeight="1">
      <c r="A158" s="359" t="str">
        <f>'Func Future Lines 2015'!A158</f>
        <v>PPS</v>
      </c>
      <c r="B158" s="359" t="str">
        <f>'Func Future Lines 2015'!B158</f>
        <v>717L crossing180</v>
      </c>
      <c r="C158" s="359">
        <f>'Func Future Lines 2015'!C158</f>
        <v>962</v>
      </c>
      <c r="D158" s="359">
        <f>'Func Future Lines 2015'!D158</f>
        <v>138</v>
      </c>
      <c r="E158" s="359">
        <f>'Func Future Lines 2015'!E158</f>
        <v>0</v>
      </c>
      <c r="F158" s="359">
        <f>'Func Future Lines 2015'!F158</f>
        <v>0</v>
      </c>
      <c r="G158" s="359">
        <f>'Func Future Lines 2015'!G158</f>
        <v>649.36934965969351</v>
      </c>
      <c r="H158" s="359" t="str">
        <f>'Func Future Lines 2015'!H158</f>
        <v>AltaLink</v>
      </c>
      <c r="I158" s="359">
        <f>'Func Future Lines 2015'!I158</f>
        <v>2015</v>
      </c>
      <c r="J158" s="361">
        <f>+IF($I158=J$3,VLOOKUP($H158,Depreciation!$A$6:$L$10,7,FALSE)/2,IF($I158&lt;J$3,VLOOKUP($H158,Depreciation!$A$6:$L$10,7,FALSE),0))</f>
        <v>1.595020804044691E-2</v>
      </c>
      <c r="K158" s="361">
        <f>+IF($I158=K$3,VLOOKUP($H158,Depreciation!$A$6:$L$10,8,FALSE)/2,IF($I158&lt;K$3,VLOOKUP($H158,Depreciation!$A$6:$L$10,8,FALSE),0))</f>
        <v>3.0676363676126896E-2</v>
      </c>
      <c r="L158" s="361">
        <f>+IF($I158=L$3,VLOOKUP($H158,Depreciation!$A$6:$L$10,9,FALSE)/2,IF($I158&lt;L$3,VLOOKUP($H158,Depreciation!$A$6:$L$10,9,FALSE),0))</f>
        <v>3.0676363676126896E-2</v>
      </c>
      <c r="M158" s="361">
        <f>+IF($I158=M$3,VLOOKUP($H158,Depreciation!$A$6:$L$10,10,FALSE)/2,IF($I158&lt;M$3,VLOOKUP($H158,Depreciation!$A$6:$L$10,10,FALSE),0))</f>
        <v>3.0676363676126896E-2</v>
      </c>
      <c r="N158" s="361">
        <f>+IF($I158=N$3,VLOOKUP($H158,Depreciation!$A$6:$L$10,11,FALSE)/2,IF($I158&lt;N$3,VLOOKUP($H158,Depreciation!$A$6:$L$10,11,FALSE),0))</f>
        <v>3.0676363676126896E-2</v>
      </c>
      <c r="O158" s="361">
        <f>+IF($I158=O$3,VLOOKUP($H158,Depreciation!$A$6:$L$10,12,FALSE)/2,IF($I158&lt;O$3,VLOOKUP($H158,Depreciation!$A$6:$L$10,12,FALSE),0))</f>
        <v>3.0676363676126896E-2</v>
      </c>
      <c r="P158" s="362">
        <f t="shared" si="7"/>
        <v>546.83068177943835</v>
      </c>
      <c r="Q158" s="362">
        <f t="shared" si="8"/>
        <v>0</v>
      </c>
      <c r="R158" s="363">
        <f t="shared" si="9"/>
        <v>546.83068177943835</v>
      </c>
      <c r="Y158" s="365"/>
    </row>
    <row r="159" spans="1:25" ht="15" customHeight="1">
      <c r="A159" s="359" t="str">
        <f>'Func Future Lines 2015'!A159</f>
        <v>PPS</v>
      </c>
      <c r="B159" s="359" t="str">
        <f>'Func Future Lines 2015'!B159</f>
        <v>757L crossing180</v>
      </c>
      <c r="C159" s="359">
        <f>'Func Future Lines 2015'!C159</f>
        <v>962</v>
      </c>
      <c r="D159" s="359">
        <f>'Func Future Lines 2015'!D159</f>
        <v>138</v>
      </c>
      <c r="E159" s="359">
        <f>'Func Future Lines 2015'!E159</f>
        <v>0</v>
      </c>
      <c r="F159" s="359">
        <f>'Func Future Lines 2015'!F159</f>
        <v>0</v>
      </c>
      <c r="G159" s="359">
        <f>'Func Future Lines 2015'!G159</f>
        <v>36306.794065275499</v>
      </c>
      <c r="H159" s="359" t="str">
        <f>'Func Future Lines 2015'!H159</f>
        <v>AltaLink</v>
      </c>
      <c r="I159" s="359">
        <f>'Func Future Lines 2015'!I159</f>
        <v>2015</v>
      </c>
      <c r="J159" s="361">
        <f>+IF($I159=J$3,VLOOKUP($H159,Depreciation!$A$6:$L$10,7,FALSE)/2,IF($I159&lt;J$3,VLOOKUP($H159,Depreciation!$A$6:$L$10,7,FALSE),0))</f>
        <v>1.595020804044691E-2</v>
      </c>
      <c r="K159" s="361">
        <f>+IF($I159=K$3,VLOOKUP($H159,Depreciation!$A$6:$L$10,8,FALSE)/2,IF($I159&lt;K$3,VLOOKUP($H159,Depreciation!$A$6:$L$10,8,FALSE),0))</f>
        <v>3.0676363676126896E-2</v>
      </c>
      <c r="L159" s="361">
        <f>+IF($I159=L$3,VLOOKUP($H159,Depreciation!$A$6:$L$10,9,FALSE)/2,IF($I159&lt;L$3,VLOOKUP($H159,Depreciation!$A$6:$L$10,9,FALSE),0))</f>
        <v>3.0676363676126896E-2</v>
      </c>
      <c r="M159" s="361">
        <f>+IF($I159=M$3,VLOOKUP($H159,Depreciation!$A$6:$L$10,10,FALSE)/2,IF($I159&lt;M$3,VLOOKUP($H159,Depreciation!$A$6:$L$10,10,FALSE),0))</f>
        <v>3.0676363676126896E-2</v>
      </c>
      <c r="N159" s="361">
        <f>+IF($I159=N$3,VLOOKUP($H159,Depreciation!$A$6:$L$10,11,FALSE)/2,IF($I159&lt;N$3,VLOOKUP($H159,Depreciation!$A$6:$L$10,11,FALSE),0))</f>
        <v>3.0676363676126896E-2</v>
      </c>
      <c r="O159" s="361">
        <f>+IF($I159=O$3,VLOOKUP($H159,Depreciation!$A$6:$L$10,12,FALSE)/2,IF($I159&lt;O$3,VLOOKUP($H159,Depreciation!$A$6:$L$10,12,FALSE),0))</f>
        <v>3.0676363676126896E-2</v>
      </c>
      <c r="P159" s="362">
        <f t="shared" si="7"/>
        <v>30573.769708017047</v>
      </c>
      <c r="Q159" s="362">
        <f t="shared" si="8"/>
        <v>0</v>
      </c>
      <c r="R159" s="363">
        <f t="shared" si="9"/>
        <v>30573.769708017047</v>
      </c>
      <c r="Y159" s="365"/>
    </row>
    <row r="160" spans="1:25" ht="15" customHeight="1">
      <c r="A160" s="359" t="str">
        <f>'Func Future Lines 2015'!A160</f>
        <v>PPS</v>
      </c>
      <c r="B160" s="359" t="str">
        <f>'Func Future Lines 2015'!B160</f>
        <v>809L re-route &amp; in-out</v>
      </c>
      <c r="C160" s="359">
        <f>'Func Future Lines 2015'!C160</f>
        <v>962</v>
      </c>
      <c r="D160" s="359">
        <f>'Func Future Lines 2015'!D160</f>
        <v>138</v>
      </c>
      <c r="E160" s="359">
        <f>'Func Future Lines 2015'!E160</f>
        <v>0</v>
      </c>
      <c r="F160" s="359" t="str">
        <f>'Func Future Lines 2015'!F160</f>
        <v>northwest</v>
      </c>
      <c r="G160" s="359">
        <f>'Func Future Lines 2015'!G160</f>
        <v>1102453.8091297615</v>
      </c>
      <c r="H160" s="359" t="str">
        <f>'Func Future Lines 2015'!H160</f>
        <v>EPCOR</v>
      </c>
      <c r="I160" s="359">
        <f>'Func Future Lines 2015'!I160</f>
        <v>2015</v>
      </c>
      <c r="J160" s="361">
        <f>+IF($I160=J$3,VLOOKUP($H160,Depreciation!$A$6:$L$10,7,FALSE)/2,IF($I160&lt;J$3,VLOOKUP($H160,Depreciation!$A$6:$L$10,7,FALSE),0))</f>
        <v>1.1530980651952941E-2</v>
      </c>
      <c r="K160" s="361">
        <f>+IF($I160=K$3,VLOOKUP($H160,Depreciation!$A$6:$L$10,8,FALSE)/2,IF($I160&lt;K$3,VLOOKUP($H160,Depreciation!$A$6:$L$10,8,FALSE),0))</f>
        <v>2.3062337210051284E-2</v>
      </c>
      <c r="L160" s="361">
        <f>+IF($I160=L$3,VLOOKUP($H160,Depreciation!$A$6:$L$10,9,FALSE)/2,IF($I160&lt;L$3,VLOOKUP($H160,Depreciation!$A$6:$L$10,9,FALSE),0))</f>
        <v>2.3063912319658014E-2</v>
      </c>
      <c r="M160" s="361">
        <f>+IF($I160=M$3,VLOOKUP($H160,Depreciation!$A$6:$L$10,10,FALSE)/2,IF($I160&lt;M$3,VLOOKUP($H160,Depreciation!$A$6:$L$10,10,FALSE),0))</f>
        <v>2.3063912319658014E-2</v>
      </c>
      <c r="N160" s="361">
        <f>+IF($I160=N$3,VLOOKUP($H160,Depreciation!$A$6:$L$10,11,FALSE)/2,IF($I160&lt;N$3,VLOOKUP($H160,Depreciation!$A$6:$L$10,11,FALSE),0))</f>
        <v>2.3063912319658014E-2</v>
      </c>
      <c r="O160" s="361">
        <f>+IF($I160=O$3,VLOOKUP($H160,Depreciation!$A$6:$L$10,12,FALSE)/2,IF($I160&lt;O$3,VLOOKUP($H160,Depreciation!$A$6:$L$10,12,FALSE),0))</f>
        <v>2.3063912319658014E-2</v>
      </c>
      <c r="P160" s="362">
        <f t="shared" si="7"/>
        <v>969739.14667797904</v>
      </c>
      <c r="Q160" s="362">
        <f t="shared" si="8"/>
        <v>0</v>
      </c>
      <c r="R160" s="363">
        <f t="shared" si="9"/>
        <v>969739.14667797904</v>
      </c>
      <c r="Y160" s="365"/>
    </row>
    <row r="161" spans="1:25" ht="15" customHeight="1">
      <c r="A161" s="359" t="str">
        <f>'Func Future Lines 2015'!A161</f>
        <v>PPS</v>
      </c>
      <c r="B161" s="359" t="str">
        <f>'Func Future Lines 2015'!B161</f>
        <v>80L crossing180</v>
      </c>
      <c r="C161" s="359">
        <f>'Func Future Lines 2015'!C161</f>
        <v>962</v>
      </c>
      <c r="D161" s="359">
        <f>'Func Future Lines 2015'!D161</f>
        <v>138</v>
      </c>
      <c r="E161" s="359">
        <f>'Func Future Lines 2015'!E161</f>
        <v>0</v>
      </c>
      <c r="F161" s="359">
        <f>'Func Future Lines 2015'!F161</f>
        <v>0</v>
      </c>
      <c r="G161" s="359">
        <f>'Func Future Lines 2015'!G161</f>
        <v>357.40483585921118</v>
      </c>
      <c r="H161" s="359" t="str">
        <f>'Func Future Lines 2015'!H161</f>
        <v>AltaLink</v>
      </c>
      <c r="I161" s="359">
        <f>'Func Future Lines 2015'!I161</f>
        <v>2015</v>
      </c>
      <c r="J161" s="361">
        <f>+IF($I161=J$3,VLOOKUP($H161,Depreciation!$A$6:$L$10,7,FALSE)/2,IF($I161&lt;J$3,VLOOKUP($H161,Depreciation!$A$6:$L$10,7,FALSE),0))</f>
        <v>1.595020804044691E-2</v>
      </c>
      <c r="K161" s="361">
        <f>+IF($I161=K$3,VLOOKUP($H161,Depreciation!$A$6:$L$10,8,FALSE)/2,IF($I161&lt;K$3,VLOOKUP($H161,Depreciation!$A$6:$L$10,8,FALSE),0))</f>
        <v>3.0676363676126896E-2</v>
      </c>
      <c r="L161" s="361">
        <f>+IF($I161=L$3,VLOOKUP($H161,Depreciation!$A$6:$L$10,9,FALSE)/2,IF($I161&lt;L$3,VLOOKUP($H161,Depreciation!$A$6:$L$10,9,FALSE),0))</f>
        <v>3.0676363676126896E-2</v>
      </c>
      <c r="M161" s="361">
        <f>+IF($I161=M$3,VLOOKUP($H161,Depreciation!$A$6:$L$10,10,FALSE)/2,IF($I161&lt;M$3,VLOOKUP($H161,Depreciation!$A$6:$L$10,10,FALSE),0))</f>
        <v>3.0676363676126896E-2</v>
      </c>
      <c r="N161" s="361">
        <f>+IF($I161=N$3,VLOOKUP($H161,Depreciation!$A$6:$L$10,11,FALSE)/2,IF($I161&lt;N$3,VLOOKUP($H161,Depreciation!$A$6:$L$10,11,FALSE),0))</f>
        <v>3.0676363676126896E-2</v>
      </c>
      <c r="O161" s="361">
        <f>+IF($I161=O$3,VLOOKUP($H161,Depreciation!$A$6:$L$10,12,FALSE)/2,IF($I161&lt;O$3,VLOOKUP($H161,Depreciation!$A$6:$L$10,12,FALSE),0))</f>
        <v>3.0676363676126896E-2</v>
      </c>
      <c r="P161" s="362">
        <f t="shared" si="7"/>
        <v>300.96882485534979</v>
      </c>
      <c r="Q161" s="362">
        <f t="shared" si="8"/>
        <v>0</v>
      </c>
      <c r="R161" s="363">
        <f t="shared" si="9"/>
        <v>300.96882485534979</v>
      </c>
      <c r="Y161" s="365"/>
    </row>
    <row r="162" spans="1:25" ht="15" customHeight="1">
      <c r="A162" s="359" t="str">
        <f>'Func Future Lines 2015'!A162</f>
        <v>PPS</v>
      </c>
      <c r="B162" s="359" t="str">
        <f>'Func Future Lines 2015'!B162</f>
        <v>906L / 928L 180</v>
      </c>
      <c r="C162" s="359">
        <f>'Func Future Lines 2015'!C162</f>
        <v>962</v>
      </c>
      <c r="D162" s="359">
        <f>'Func Future Lines 2015'!D162</f>
        <v>240</v>
      </c>
      <c r="E162" s="359">
        <f>'Func Future Lines 2015'!E162</f>
        <v>0</v>
      </c>
      <c r="F162" s="359">
        <f>'Func Future Lines 2015'!F162</f>
        <v>0</v>
      </c>
      <c r="G162" s="359">
        <f>'Func Future Lines 2015'!G162</f>
        <v>3139139.5289961915</v>
      </c>
      <c r="H162" s="359" t="str">
        <f>'Func Future Lines 2015'!H162</f>
        <v>AltaLink</v>
      </c>
      <c r="I162" s="359">
        <f>'Func Future Lines 2015'!I162</f>
        <v>2015</v>
      </c>
      <c r="J162" s="361">
        <f>+IF($I162=J$3,VLOOKUP($H162,Depreciation!$A$6:$L$10,7,FALSE)/2,IF($I162&lt;J$3,VLOOKUP($H162,Depreciation!$A$6:$L$10,7,FALSE),0))</f>
        <v>1.595020804044691E-2</v>
      </c>
      <c r="K162" s="361">
        <f>+IF($I162=K$3,VLOOKUP($H162,Depreciation!$A$6:$L$10,8,FALSE)/2,IF($I162&lt;K$3,VLOOKUP($H162,Depreciation!$A$6:$L$10,8,FALSE),0))</f>
        <v>3.0676363676126896E-2</v>
      </c>
      <c r="L162" s="361">
        <f>+IF($I162=L$3,VLOOKUP($H162,Depreciation!$A$6:$L$10,9,FALSE)/2,IF($I162&lt;L$3,VLOOKUP($H162,Depreciation!$A$6:$L$10,9,FALSE),0))</f>
        <v>3.0676363676126896E-2</v>
      </c>
      <c r="M162" s="361">
        <f>+IF($I162=M$3,VLOOKUP($H162,Depreciation!$A$6:$L$10,10,FALSE)/2,IF($I162&lt;M$3,VLOOKUP($H162,Depreciation!$A$6:$L$10,10,FALSE),0))</f>
        <v>3.0676363676126896E-2</v>
      </c>
      <c r="N162" s="361">
        <f>+IF($I162=N$3,VLOOKUP($H162,Depreciation!$A$6:$L$10,11,FALSE)/2,IF($I162&lt;N$3,VLOOKUP($H162,Depreciation!$A$6:$L$10,11,FALSE),0))</f>
        <v>3.0676363676126896E-2</v>
      </c>
      <c r="O162" s="361">
        <f>+IF($I162=O$3,VLOOKUP($H162,Depreciation!$A$6:$L$10,12,FALSE)/2,IF($I162&lt;O$3,VLOOKUP($H162,Depreciation!$A$6:$L$10,12,FALSE),0))</f>
        <v>3.0676363676126896E-2</v>
      </c>
      <c r="P162" s="362">
        <f t="shared" si="7"/>
        <v>2643453.6981786354</v>
      </c>
      <c r="Q162" s="362">
        <f t="shared" si="8"/>
        <v>2643453.6981786354</v>
      </c>
      <c r="R162" s="363">
        <f t="shared" si="9"/>
        <v>0</v>
      </c>
      <c r="Y162" s="365"/>
    </row>
    <row r="163" spans="1:25" ht="15" customHeight="1">
      <c r="A163" s="359" t="str">
        <f>'Func Future Lines 2015'!A163</f>
        <v>PPS</v>
      </c>
      <c r="B163" s="359" t="str">
        <f>'Func Future Lines 2015'!B163</f>
        <v>918L 180</v>
      </c>
      <c r="C163" s="359">
        <f>'Func Future Lines 2015'!C163</f>
        <v>962</v>
      </c>
      <c r="D163" s="359">
        <f>'Func Future Lines 2015'!D163</f>
        <v>240</v>
      </c>
      <c r="E163" s="359">
        <f>'Func Future Lines 2015'!E163</f>
        <v>0</v>
      </c>
      <c r="F163" s="359">
        <f>'Func Future Lines 2015'!F163</f>
        <v>0</v>
      </c>
      <c r="G163" s="359">
        <f>'Func Future Lines 2015'!G163</f>
        <v>2722397.9395779595</v>
      </c>
      <c r="H163" s="359" t="str">
        <f>'Func Future Lines 2015'!H163</f>
        <v>AltaLink</v>
      </c>
      <c r="I163" s="359">
        <f>'Func Future Lines 2015'!I163</f>
        <v>2015</v>
      </c>
      <c r="J163" s="361">
        <f>+IF($I163=J$3,VLOOKUP($H163,Depreciation!$A$6:$L$10,7,FALSE)/2,IF($I163&lt;J$3,VLOOKUP($H163,Depreciation!$A$6:$L$10,7,FALSE),0))</f>
        <v>1.595020804044691E-2</v>
      </c>
      <c r="K163" s="361">
        <f>+IF($I163=K$3,VLOOKUP($H163,Depreciation!$A$6:$L$10,8,FALSE)/2,IF($I163&lt;K$3,VLOOKUP($H163,Depreciation!$A$6:$L$10,8,FALSE),0))</f>
        <v>3.0676363676126896E-2</v>
      </c>
      <c r="L163" s="361">
        <f>+IF($I163=L$3,VLOOKUP($H163,Depreciation!$A$6:$L$10,9,FALSE)/2,IF($I163&lt;L$3,VLOOKUP($H163,Depreciation!$A$6:$L$10,9,FALSE),0))</f>
        <v>3.0676363676126896E-2</v>
      </c>
      <c r="M163" s="361">
        <f>+IF($I163=M$3,VLOOKUP($H163,Depreciation!$A$6:$L$10,10,FALSE)/2,IF($I163&lt;M$3,VLOOKUP($H163,Depreciation!$A$6:$L$10,10,FALSE),0))</f>
        <v>3.0676363676126896E-2</v>
      </c>
      <c r="N163" s="361">
        <f>+IF($I163=N$3,VLOOKUP($H163,Depreciation!$A$6:$L$10,11,FALSE)/2,IF($I163&lt;N$3,VLOOKUP($H163,Depreciation!$A$6:$L$10,11,FALSE),0))</f>
        <v>3.0676363676126896E-2</v>
      </c>
      <c r="O163" s="361">
        <f>+IF($I163=O$3,VLOOKUP($H163,Depreciation!$A$6:$L$10,12,FALSE)/2,IF($I163&lt;O$3,VLOOKUP($H163,Depreciation!$A$6:$L$10,12,FALSE),0))</f>
        <v>3.0676363676126896E-2</v>
      </c>
      <c r="P163" s="362">
        <f t="shared" si="7"/>
        <v>2292517.6899009976</v>
      </c>
      <c r="Q163" s="362">
        <f t="shared" si="8"/>
        <v>2292517.6899009976</v>
      </c>
      <c r="R163" s="363">
        <f t="shared" si="9"/>
        <v>0</v>
      </c>
      <c r="Y163" s="365"/>
    </row>
    <row r="164" spans="1:25">
      <c r="A164" s="359" t="str">
        <f>'Func Future Lines 2015'!A164</f>
        <v>PPS</v>
      </c>
      <c r="B164" s="359" t="str">
        <f>'Func Future Lines 2015'!B164</f>
        <v>924L / 927L</v>
      </c>
      <c r="C164" s="359">
        <f>'Func Future Lines 2015'!C164</f>
        <v>962</v>
      </c>
      <c r="D164" s="359">
        <f>'Func Future Lines 2015'!D164</f>
        <v>240</v>
      </c>
      <c r="E164" s="359">
        <f>'Func Future Lines 2015'!E164</f>
        <v>0</v>
      </c>
      <c r="F164" s="359">
        <f>'Func Future Lines 2015'!F164</f>
        <v>0</v>
      </c>
      <c r="G164" s="359">
        <f>'Func Future Lines 2015'!G164</f>
        <v>1942419.7748308987</v>
      </c>
      <c r="H164" s="359" t="str">
        <f>'Func Future Lines 2015'!H164</f>
        <v>AltaLink</v>
      </c>
      <c r="I164" s="359">
        <f>'Func Future Lines 2015'!I164</f>
        <v>2015</v>
      </c>
      <c r="J164" s="361">
        <f>+IF($I164=J$3,VLOOKUP($H164,Depreciation!$A$6:$L$10,7,FALSE)/2,IF($I164&lt;J$3,VLOOKUP($H164,Depreciation!$A$6:$L$10,7,FALSE),0))</f>
        <v>1.595020804044691E-2</v>
      </c>
      <c r="K164" s="361">
        <f>+IF($I164=K$3,VLOOKUP($H164,Depreciation!$A$6:$L$10,8,FALSE)/2,IF($I164&lt;K$3,VLOOKUP($H164,Depreciation!$A$6:$L$10,8,FALSE),0))</f>
        <v>3.0676363676126896E-2</v>
      </c>
      <c r="L164" s="361">
        <f>+IF($I164=L$3,VLOOKUP($H164,Depreciation!$A$6:$L$10,9,FALSE)/2,IF($I164&lt;L$3,VLOOKUP($H164,Depreciation!$A$6:$L$10,9,FALSE),0))</f>
        <v>3.0676363676126896E-2</v>
      </c>
      <c r="M164" s="361">
        <f>+IF($I164=M$3,VLOOKUP($H164,Depreciation!$A$6:$L$10,10,FALSE)/2,IF($I164&lt;M$3,VLOOKUP($H164,Depreciation!$A$6:$L$10,10,FALSE),0))</f>
        <v>3.0676363676126896E-2</v>
      </c>
      <c r="N164" s="361">
        <f>+IF($I164=N$3,VLOOKUP($H164,Depreciation!$A$6:$L$10,11,FALSE)/2,IF($I164&lt;N$3,VLOOKUP($H164,Depreciation!$A$6:$L$10,11,FALSE),0))</f>
        <v>3.0676363676126896E-2</v>
      </c>
      <c r="O164" s="361">
        <f>+IF($I164=O$3,VLOOKUP($H164,Depreciation!$A$6:$L$10,12,FALSE)/2,IF($I164&lt;O$3,VLOOKUP($H164,Depreciation!$A$6:$L$10,12,FALSE),0))</f>
        <v>3.0676363676126896E-2</v>
      </c>
      <c r="P164" s="362">
        <f t="shared" si="7"/>
        <v>1635701.9781258286</v>
      </c>
      <c r="Q164" s="362">
        <f t="shared" si="8"/>
        <v>1635701.9781258286</v>
      </c>
      <c r="R164" s="363">
        <f t="shared" si="9"/>
        <v>0</v>
      </c>
    </row>
    <row r="165" spans="1:25">
      <c r="A165" s="359" t="str">
        <f>'Func Future Lines 2015'!A165</f>
        <v>PPS</v>
      </c>
      <c r="B165" s="359" t="str">
        <f>'Func Future Lines 2015'!B165</f>
        <v>925L / 929L 180</v>
      </c>
      <c r="C165" s="359">
        <f>'Func Future Lines 2015'!C165</f>
        <v>962</v>
      </c>
      <c r="D165" s="359">
        <f>'Func Future Lines 2015'!D165</f>
        <v>240</v>
      </c>
      <c r="E165" s="359">
        <f>'Func Future Lines 2015'!E165</f>
        <v>0</v>
      </c>
      <c r="F165" s="359">
        <f>'Func Future Lines 2015'!F165</f>
        <v>0</v>
      </c>
      <c r="G165" s="359">
        <f>'Func Future Lines 2015'!G165</f>
        <v>5765561.6854686337</v>
      </c>
      <c r="H165" s="359" t="str">
        <f>'Func Future Lines 2015'!H165</f>
        <v>AltaLink</v>
      </c>
      <c r="I165" s="359">
        <f>'Func Future Lines 2015'!I165</f>
        <v>2015</v>
      </c>
      <c r="J165" s="361">
        <f>+IF($I165=J$3,VLOOKUP($H165,Depreciation!$A$6:$L$10,7,FALSE)/2,IF($I165&lt;J$3,VLOOKUP($H165,Depreciation!$A$6:$L$10,7,FALSE),0))</f>
        <v>1.595020804044691E-2</v>
      </c>
      <c r="K165" s="361">
        <f>+IF($I165=K$3,VLOOKUP($H165,Depreciation!$A$6:$L$10,8,FALSE)/2,IF($I165&lt;K$3,VLOOKUP($H165,Depreciation!$A$6:$L$10,8,FALSE),0))</f>
        <v>3.0676363676126896E-2</v>
      </c>
      <c r="L165" s="361">
        <f>+IF($I165=L$3,VLOOKUP($H165,Depreciation!$A$6:$L$10,9,FALSE)/2,IF($I165&lt;L$3,VLOOKUP($H165,Depreciation!$A$6:$L$10,9,FALSE),0))</f>
        <v>3.0676363676126896E-2</v>
      </c>
      <c r="M165" s="361">
        <f>+IF($I165=M$3,VLOOKUP($H165,Depreciation!$A$6:$L$10,10,FALSE)/2,IF($I165&lt;M$3,VLOOKUP($H165,Depreciation!$A$6:$L$10,10,FALSE),0))</f>
        <v>3.0676363676126896E-2</v>
      </c>
      <c r="N165" s="361">
        <f>+IF($I165=N$3,VLOOKUP($H165,Depreciation!$A$6:$L$10,11,FALSE)/2,IF($I165&lt;N$3,VLOOKUP($H165,Depreciation!$A$6:$L$10,11,FALSE),0))</f>
        <v>3.0676363676126896E-2</v>
      </c>
      <c r="O165" s="361">
        <f>+IF($I165=O$3,VLOOKUP($H165,Depreciation!$A$6:$L$10,12,FALSE)/2,IF($I165&lt;O$3,VLOOKUP($H165,Depreciation!$A$6:$L$10,12,FALSE),0))</f>
        <v>3.0676363676126896E-2</v>
      </c>
      <c r="P165" s="362">
        <f t="shared" si="7"/>
        <v>4855150.6611121381</v>
      </c>
      <c r="Q165" s="362">
        <f t="shared" si="8"/>
        <v>4855150.6611121381</v>
      </c>
      <c r="R165" s="363">
        <f t="shared" si="9"/>
        <v>0</v>
      </c>
    </row>
    <row r="166" spans="1:25">
      <c r="A166" s="359" t="str">
        <f>'Func Future Lines 2015'!A166</f>
        <v>PPS</v>
      </c>
      <c r="B166" s="359" t="str">
        <f>'Func Future Lines 2015'!B166</f>
        <v>936L / 937L</v>
      </c>
      <c r="C166" s="359">
        <f>'Func Future Lines 2015'!C166</f>
        <v>962</v>
      </c>
      <c r="D166" s="359">
        <f>'Func Future Lines 2015'!D166</f>
        <v>240</v>
      </c>
      <c r="E166" s="359">
        <f>'Func Future Lines 2015'!E166</f>
        <v>0</v>
      </c>
      <c r="F166" s="359">
        <f>'Func Future Lines 2015'!F166</f>
        <v>0</v>
      </c>
      <c r="G166" s="359">
        <f>'Func Future Lines 2015'!G166</f>
        <v>2839515.9805793739</v>
      </c>
      <c r="H166" s="359" t="str">
        <f>'Func Future Lines 2015'!H166</f>
        <v>AltaLink</v>
      </c>
      <c r="I166" s="359">
        <f>'Func Future Lines 2015'!I166</f>
        <v>2015</v>
      </c>
      <c r="J166" s="361">
        <f>+IF($I166=J$3,VLOOKUP($H166,Depreciation!$A$6:$L$10,7,FALSE)/2,IF($I166&lt;J$3,VLOOKUP($H166,Depreciation!$A$6:$L$10,7,FALSE),0))</f>
        <v>1.595020804044691E-2</v>
      </c>
      <c r="K166" s="361">
        <f>+IF($I166=K$3,VLOOKUP($H166,Depreciation!$A$6:$L$10,8,FALSE)/2,IF($I166&lt;K$3,VLOOKUP($H166,Depreciation!$A$6:$L$10,8,FALSE),0))</f>
        <v>3.0676363676126896E-2</v>
      </c>
      <c r="L166" s="361">
        <f>+IF($I166=L$3,VLOOKUP($H166,Depreciation!$A$6:$L$10,9,FALSE)/2,IF($I166&lt;L$3,VLOOKUP($H166,Depreciation!$A$6:$L$10,9,FALSE),0))</f>
        <v>3.0676363676126896E-2</v>
      </c>
      <c r="M166" s="361">
        <f>+IF($I166=M$3,VLOOKUP($H166,Depreciation!$A$6:$L$10,10,FALSE)/2,IF($I166&lt;M$3,VLOOKUP($H166,Depreciation!$A$6:$L$10,10,FALSE),0))</f>
        <v>3.0676363676126896E-2</v>
      </c>
      <c r="N166" s="361">
        <f>+IF($I166=N$3,VLOOKUP($H166,Depreciation!$A$6:$L$10,11,FALSE)/2,IF($I166&lt;N$3,VLOOKUP($H166,Depreciation!$A$6:$L$10,11,FALSE),0))</f>
        <v>3.0676363676126896E-2</v>
      </c>
      <c r="O166" s="361">
        <f>+IF($I166=O$3,VLOOKUP($H166,Depreciation!$A$6:$L$10,12,FALSE)/2,IF($I166&lt;O$3,VLOOKUP($H166,Depreciation!$A$6:$L$10,12,FALSE),0))</f>
        <v>3.0676363676126896E-2</v>
      </c>
      <c r="P166" s="362">
        <f t="shared" si="7"/>
        <v>2391142.2065078225</v>
      </c>
      <c r="Q166" s="362">
        <f t="shared" si="8"/>
        <v>2391142.2065078225</v>
      </c>
      <c r="R166" s="363">
        <f t="shared" si="9"/>
        <v>0</v>
      </c>
    </row>
    <row r="167" spans="1:25">
      <c r="A167" s="359" t="str">
        <f>'Func Future Lines 2015'!A167</f>
        <v>`+/-5%</v>
      </c>
      <c r="B167" s="359" t="str">
        <f>'Func Future Lines 2015'!B167</f>
        <v>HVDC Line 1325L</v>
      </c>
      <c r="C167" s="359">
        <f>'Func Future Lines 2015'!C167</f>
        <v>962</v>
      </c>
      <c r="D167" s="359">
        <f>'Func Future Lines 2015'!D167</f>
        <v>500</v>
      </c>
      <c r="E167" s="359">
        <f>'Func Future Lines 2015'!E167</f>
        <v>0</v>
      </c>
      <c r="F167" s="359">
        <f>'Func Future Lines 2015'!F167</f>
        <v>0</v>
      </c>
      <c r="G167" s="359">
        <f>'Func Future Lines 2015'!G167</f>
        <v>968825472.25300002</v>
      </c>
      <c r="H167" s="359" t="str">
        <f>'Func Future Lines 2015'!H167</f>
        <v>AltaLink</v>
      </c>
      <c r="I167" s="359">
        <f>'Func Future Lines 2015'!I167</f>
        <v>2015</v>
      </c>
      <c r="J167" s="361">
        <f>+IF($I167=J$3,VLOOKUP($H167,Depreciation!$A$6:$L$10,7,FALSE)/2,IF($I167&lt;J$3,VLOOKUP($H167,Depreciation!$A$6:$L$10,7,FALSE),0))</f>
        <v>1.595020804044691E-2</v>
      </c>
      <c r="K167" s="361">
        <f>+IF($I167=K$3,VLOOKUP($H167,Depreciation!$A$6:$L$10,8,FALSE)/2,IF($I167&lt;K$3,VLOOKUP($H167,Depreciation!$A$6:$L$10,8,FALSE),0))</f>
        <v>3.0676363676126896E-2</v>
      </c>
      <c r="L167" s="361">
        <f>+IF($I167=L$3,VLOOKUP($H167,Depreciation!$A$6:$L$10,9,FALSE)/2,IF($I167&lt;L$3,VLOOKUP($H167,Depreciation!$A$6:$L$10,9,FALSE),0))</f>
        <v>3.0676363676126896E-2</v>
      </c>
      <c r="M167" s="361">
        <f>+IF($I167=M$3,VLOOKUP($H167,Depreciation!$A$6:$L$10,10,FALSE)/2,IF($I167&lt;M$3,VLOOKUP($H167,Depreciation!$A$6:$L$10,10,FALSE),0))</f>
        <v>3.0676363676126896E-2</v>
      </c>
      <c r="N167" s="361">
        <f>+IF($I167=N$3,VLOOKUP($H167,Depreciation!$A$6:$L$10,11,FALSE)/2,IF($I167&lt;N$3,VLOOKUP($H167,Depreciation!$A$6:$L$10,11,FALSE),0))</f>
        <v>3.0676363676126896E-2</v>
      </c>
      <c r="O167" s="361">
        <f>+IF($I167=O$3,VLOOKUP($H167,Depreciation!$A$6:$L$10,12,FALSE)/2,IF($I167&lt;O$3,VLOOKUP($H167,Depreciation!$A$6:$L$10,12,FALSE),0))</f>
        <v>3.0676363676126896E-2</v>
      </c>
      <c r="P167" s="362">
        <f t="shared" si="7"/>
        <v>815843084.97934341</v>
      </c>
      <c r="Q167" s="362">
        <f t="shared" si="8"/>
        <v>815843084.97934341</v>
      </c>
      <c r="R167" s="363">
        <f t="shared" si="9"/>
        <v>0</v>
      </c>
    </row>
    <row r="168" spans="1:25">
      <c r="A168" s="359" t="str">
        <f>'Func Future Lines 2015'!A168</f>
        <v>PPS</v>
      </c>
      <c r="B168" s="359" t="str">
        <f>'Func Future Lines 2015'!B168</f>
        <v>1099L180</v>
      </c>
      <c r="C168" s="359">
        <f>'Func Future Lines 2015'!C168</f>
        <v>1101</v>
      </c>
      <c r="D168" s="359">
        <f>'Func Future Lines 2015'!D168</f>
        <v>240</v>
      </c>
      <c r="E168" s="359">
        <f>'Func Future Lines 2015'!E168</f>
        <v>0</v>
      </c>
      <c r="F168" s="359" t="str">
        <f>'Func Future Lines 2015'!F168</f>
        <v>Fort McMurray</v>
      </c>
      <c r="G168" s="359">
        <f>'Func Future Lines 2015'!G168</f>
        <v>1698665.125113552</v>
      </c>
      <c r="H168" s="359" t="str">
        <f>'Func Future Lines 2015'!H168</f>
        <v>AltaLink</v>
      </c>
      <c r="I168" s="359">
        <f>'Func Future Lines 2015'!I168</f>
        <v>2016</v>
      </c>
      <c r="J168" s="361">
        <f>+IF($I168=J$3,VLOOKUP($H168,Depreciation!$A$6:$L$10,7,FALSE)/2,IF($I168&lt;J$3,VLOOKUP($H168,Depreciation!$A$6:$L$10,7,FALSE),0))</f>
        <v>0</v>
      </c>
      <c r="K168" s="361">
        <f>+IF($I168=K$3,VLOOKUP($H168,Depreciation!$A$6:$L$10,8,FALSE)/2,IF($I168&lt;K$3,VLOOKUP($H168,Depreciation!$A$6:$L$10,8,FALSE),0))</f>
        <v>1.5338181838063448E-2</v>
      </c>
      <c r="L168" s="361">
        <f>+IF($I168=L$3,VLOOKUP($H168,Depreciation!$A$6:$L$10,9,FALSE)/2,IF($I168&lt;L$3,VLOOKUP($H168,Depreciation!$A$6:$L$10,9,FALSE),0))</f>
        <v>3.0676363676126896E-2</v>
      </c>
      <c r="M168" s="361">
        <f>+IF($I168=M$3,VLOOKUP($H168,Depreciation!$A$6:$L$10,10,FALSE)/2,IF($I168&lt;M$3,VLOOKUP($H168,Depreciation!$A$6:$L$10,10,FALSE),0))</f>
        <v>3.0676363676126896E-2</v>
      </c>
      <c r="N168" s="361">
        <f>+IF($I168=N$3,VLOOKUP($H168,Depreciation!$A$6:$L$10,11,FALSE)/2,IF($I168&lt;N$3,VLOOKUP($H168,Depreciation!$A$6:$L$10,11,FALSE),0))</f>
        <v>3.0676363676126896E-2</v>
      </c>
      <c r="O168" s="361">
        <f>+IF($I168=O$3,VLOOKUP($H168,Depreciation!$A$6:$L$10,12,FALSE)/2,IF($I168&lt;O$3,VLOOKUP($H168,Depreciation!$A$6:$L$10,12,FALSE),0))</f>
        <v>3.0676363676126896E-2</v>
      </c>
      <c r="P168" s="362">
        <f t="shared" si="7"/>
        <v>1476624.5331985382</v>
      </c>
      <c r="Q168" s="362">
        <f t="shared" si="8"/>
        <v>1476624.5331985382</v>
      </c>
      <c r="R168" s="363">
        <f t="shared" si="9"/>
        <v>0</v>
      </c>
    </row>
    <row r="169" spans="1:25">
      <c r="A169" s="359" t="str">
        <f>'Func Future Lines 2015'!A169</f>
        <v>PPS</v>
      </c>
      <c r="B169" s="359" t="str">
        <f>'Func Future Lines 2015'!B169</f>
        <v>1115L180</v>
      </c>
      <c r="C169" s="359">
        <f>'Func Future Lines 2015'!C169</f>
        <v>1101</v>
      </c>
      <c r="D169" s="359">
        <f>'Func Future Lines 2015'!D169</f>
        <v>240</v>
      </c>
      <c r="E169" s="359">
        <f>'Func Future Lines 2015'!E169</f>
        <v>0</v>
      </c>
      <c r="F169" s="359" t="str">
        <f>'Func Future Lines 2015'!F169</f>
        <v>Fort McMurray</v>
      </c>
      <c r="G169" s="359">
        <f>'Func Future Lines 2015'!G169</f>
        <v>84737752.660274148</v>
      </c>
      <c r="H169" s="359" t="str">
        <f>'Func Future Lines 2015'!H169</f>
        <v>AltaLink</v>
      </c>
      <c r="I169" s="359">
        <f>'Func Future Lines 2015'!I169</f>
        <v>2016</v>
      </c>
      <c r="J169" s="361">
        <f>+IF($I169=J$3,VLOOKUP($H169,Depreciation!$A$6:$L$10,7,FALSE)/2,IF($I169&lt;J$3,VLOOKUP($H169,Depreciation!$A$6:$L$10,7,FALSE),0))</f>
        <v>0</v>
      </c>
      <c r="K169" s="361">
        <f>+IF($I169=K$3,VLOOKUP($H169,Depreciation!$A$6:$L$10,8,FALSE)/2,IF($I169&lt;K$3,VLOOKUP($H169,Depreciation!$A$6:$L$10,8,FALSE),0))</f>
        <v>1.5338181838063448E-2</v>
      </c>
      <c r="L169" s="361">
        <f>+IF($I169=L$3,VLOOKUP($H169,Depreciation!$A$6:$L$10,9,FALSE)/2,IF($I169&lt;L$3,VLOOKUP($H169,Depreciation!$A$6:$L$10,9,FALSE),0))</f>
        <v>3.0676363676126896E-2</v>
      </c>
      <c r="M169" s="361">
        <f>+IF($I169=M$3,VLOOKUP($H169,Depreciation!$A$6:$L$10,10,FALSE)/2,IF($I169&lt;M$3,VLOOKUP($H169,Depreciation!$A$6:$L$10,10,FALSE),0))</f>
        <v>3.0676363676126896E-2</v>
      </c>
      <c r="N169" s="361">
        <f>+IF($I169=N$3,VLOOKUP($H169,Depreciation!$A$6:$L$10,11,FALSE)/2,IF($I169&lt;N$3,VLOOKUP($H169,Depreciation!$A$6:$L$10,11,FALSE),0))</f>
        <v>3.0676363676126896E-2</v>
      </c>
      <c r="O169" s="361">
        <f>+IF($I169=O$3,VLOOKUP($H169,Depreciation!$A$6:$L$10,12,FALSE)/2,IF($I169&lt;O$3,VLOOKUP($H169,Depreciation!$A$6:$L$10,12,FALSE),0))</f>
        <v>3.0676363676126896E-2</v>
      </c>
      <c r="P169" s="362">
        <f t="shared" si="7"/>
        <v>73661278.268667653</v>
      </c>
      <c r="Q169" s="362">
        <f t="shared" si="8"/>
        <v>73661278.268667653</v>
      </c>
      <c r="R169" s="363">
        <f t="shared" si="9"/>
        <v>0</v>
      </c>
    </row>
    <row r="170" spans="1:25">
      <c r="A170" s="359" t="str">
        <f>'Func Future Lines 2015'!A170</f>
        <v>PPS</v>
      </c>
      <c r="B170" s="359" t="str">
        <f>'Func Future Lines 2015'!B170</f>
        <v>1116L 180</v>
      </c>
      <c r="C170" s="359">
        <f>'Func Future Lines 2015'!C170</f>
        <v>1101</v>
      </c>
      <c r="D170" s="359">
        <f>'Func Future Lines 2015'!D170</f>
        <v>240</v>
      </c>
      <c r="E170" s="359">
        <f>'Func Future Lines 2015'!E170</f>
        <v>0</v>
      </c>
      <c r="F170" s="359" t="str">
        <f>'Func Future Lines 2015'!F170</f>
        <v>Fort McMurray</v>
      </c>
      <c r="G170" s="359">
        <f>'Func Future Lines 2015'!G170</f>
        <v>87576930.822218701</v>
      </c>
      <c r="H170" s="359" t="str">
        <f>'Func Future Lines 2015'!H170</f>
        <v>AltaLink</v>
      </c>
      <c r="I170" s="359">
        <f>'Func Future Lines 2015'!I170</f>
        <v>2016</v>
      </c>
      <c r="J170" s="361">
        <f>+IF($I170=J$3,VLOOKUP($H170,Depreciation!$A$6:$L$10,7,FALSE)/2,IF($I170&lt;J$3,VLOOKUP($H170,Depreciation!$A$6:$L$10,7,FALSE),0))</f>
        <v>0</v>
      </c>
      <c r="K170" s="361">
        <f>+IF($I170=K$3,VLOOKUP($H170,Depreciation!$A$6:$L$10,8,FALSE)/2,IF($I170&lt;K$3,VLOOKUP($H170,Depreciation!$A$6:$L$10,8,FALSE),0))</f>
        <v>1.5338181838063448E-2</v>
      </c>
      <c r="L170" s="361">
        <f>+IF($I170=L$3,VLOOKUP($H170,Depreciation!$A$6:$L$10,9,FALSE)/2,IF($I170&lt;L$3,VLOOKUP($H170,Depreciation!$A$6:$L$10,9,FALSE),0))</f>
        <v>3.0676363676126896E-2</v>
      </c>
      <c r="M170" s="361">
        <f>+IF($I170=M$3,VLOOKUP($H170,Depreciation!$A$6:$L$10,10,FALSE)/2,IF($I170&lt;M$3,VLOOKUP($H170,Depreciation!$A$6:$L$10,10,FALSE),0))</f>
        <v>3.0676363676126896E-2</v>
      </c>
      <c r="N170" s="361">
        <f>+IF($I170=N$3,VLOOKUP($H170,Depreciation!$A$6:$L$10,11,FALSE)/2,IF($I170&lt;N$3,VLOOKUP($H170,Depreciation!$A$6:$L$10,11,FALSE),0))</f>
        <v>3.0676363676126896E-2</v>
      </c>
      <c r="O170" s="361">
        <f>+IF($I170=O$3,VLOOKUP($H170,Depreciation!$A$6:$L$10,12,FALSE)/2,IF($I170&lt;O$3,VLOOKUP($H170,Depreciation!$A$6:$L$10,12,FALSE),0))</f>
        <v>3.0676363676126896E-2</v>
      </c>
      <c r="P170" s="362">
        <f t="shared" si="7"/>
        <v>76129333.959025443</v>
      </c>
      <c r="Q170" s="362">
        <f t="shared" si="8"/>
        <v>76129333.959025443</v>
      </c>
      <c r="R170" s="363">
        <f t="shared" si="9"/>
        <v>0</v>
      </c>
    </row>
    <row r="171" spans="1:25">
      <c r="A171" s="359" t="str">
        <f>'Func Future Lines 2015'!A171</f>
        <v>PPS</v>
      </c>
      <c r="B171" s="359" t="str">
        <f>'Func Future Lines 2015'!B171</f>
        <v>1117L 180</v>
      </c>
      <c r="C171" s="359">
        <f>'Func Future Lines 2015'!C171</f>
        <v>1101</v>
      </c>
      <c r="D171" s="359">
        <f>'Func Future Lines 2015'!D171</f>
        <v>240</v>
      </c>
      <c r="E171" s="359">
        <f>'Func Future Lines 2015'!E171</f>
        <v>0</v>
      </c>
      <c r="F171" s="359" t="str">
        <f>'Func Future Lines 2015'!F171</f>
        <v>Fort McMurray</v>
      </c>
      <c r="G171" s="359">
        <f>'Func Future Lines 2015'!G171</f>
        <v>191472515.65566897</v>
      </c>
      <c r="H171" s="359" t="str">
        <f>'Func Future Lines 2015'!H171</f>
        <v>AltaLink</v>
      </c>
      <c r="I171" s="359">
        <f>'Func Future Lines 2015'!I171</f>
        <v>2016</v>
      </c>
      <c r="J171" s="361">
        <f>+IF($I171=J$3,VLOOKUP($H171,Depreciation!$A$6:$L$10,7,FALSE)/2,IF($I171&lt;J$3,VLOOKUP($H171,Depreciation!$A$6:$L$10,7,FALSE),0))</f>
        <v>0</v>
      </c>
      <c r="K171" s="361">
        <f>+IF($I171=K$3,VLOOKUP($H171,Depreciation!$A$6:$L$10,8,FALSE)/2,IF($I171&lt;K$3,VLOOKUP($H171,Depreciation!$A$6:$L$10,8,FALSE),0))</f>
        <v>1.5338181838063448E-2</v>
      </c>
      <c r="L171" s="361">
        <f>+IF($I171=L$3,VLOOKUP($H171,Depreciation!$A$6:$L$10,9,FALSE)/2,IF($I171&lt;L$3,VLOOKUP($H171,Depreciation!$A$6:$L$10,9,FALSE),0))</f>
        <v>3.0676363676126896E-2</v>
      </c>
      <c r="M171" s="361">
        <f>+IF($I171=M$3,VLOOKUP($H171,Depreciation!$A$6:$L$10,10,FALSE)/2,IF($I171&lt;M$3,VLOOKUP($H171,Depreciation!$A$6:$L$10,10,FALSE),0))</f>
        <v>3.0676363676126896E-2</v>
      </c>
      <c r="N171" s="361">
        <f>+IF($I171=N$3,VLOOKUP($H171,Depreciation!$A$6:$L$10,11,FALSE)/2,IF($I171&lt;N$3,VLOOKUP($H171,Depreciation!$A$6:$L$10,11,FALSE),0))</f>
        <v>3.0676363676126896E-2</v>
      </c>
      <c r="O171" s="361">
        <f>+IF($I171=O$3,VLOOKUP($H171,Depreciation!$A$6:$L$10,12,FALSE)/2,IF($I171&lt;O$3,VLOOKUP($H171,Depreciation!$A$6:$L$10,12,FALSE),0))</f>
        <v>3.0676363676126896E-2</v>
      </c>
      <c r="P171" s="362">
        <f t="shared" si="7"/>
        <v>166444233.10421583</v>
      </c>
      <c r="Q171" s="362">
        <f t="shared" si="8"/>
        <v>166444233.10421583</v>
      </c>
      <c r="R171" s="363">
        <f t="shared" si="9"/>
        <v>0</v>
      </c>
    </row>
    <row r="172" spans="1:25">
      <c r="A172" s="359" t="str">
        <f>'Func Future Lines 2015'!A172</f>
        <v>PPS</v>
      </c>
      <c r="B172" s="359" t="str">
        <f>'Func Future Lines 2015'!B172</f>
        <v>428L/457L 180</v>
      </c>
      <c r="C172" s="359">
        <f>'Func Future Lines 2015'!C172</f>
        <v>1101</v>
      </c>
      <c r="D172" s="359">
        <f>'Func Future Lines 2015'!D172</f>
        <v>138</v>
      </c>
      <c r="E172" s="359">
        <f>'Func Future Lines 2015'!E172</f>
        <v>0</v>
      </c>
      <c r="F172" s="359" t="str">
        <f>'Func Future Lines 2015'!F172</f>
        <v>Fort McMurray</v>
      </c>
      <c r="G172" s="359">
        <f>'Func Future Lines 2015'!G172</f>
        <v>2172995.8566099619</v>
      </c>
      <c r="H172" s="359" t="str">
        <f>'Func Future Lines 2015'!H172</f>
        <v>AltaLink</v>
      </c>
      <c r="I172" s="359">
        <f>'Func Future Lines 2015'!I172</f>
        <v>2016</v>
      </c>
      <c r="J172" s="361">
        <f>+IF($I172=J$3,VLOOKUP($H172,Depreciation!$A$6:$L$10,7,FALSE)/2,IF($I172&lt;J$3,VLOOKUP($H172,Depreciation!$A$6:$L$10,7,FALSE),0))</f>
        <v>0</v>
      </c>
      <c r="K172" s="361">
        <f>+IF($I172=K$3,VLOOKUP($H172,Depreciation!$A$6:$L$10,8,FALSE)/2,IF($I172&lt;K$3,VLOOKUP($H172,Depreciation!$A$6:$L$10,8,FALSE),0))</f>
        <v>1.5338181838063448E-2</v>
      </c>
      <c r="L172" s="361">
        <f>+IF($I172=L$3,VLOOKUP($H172,Depreciation!$A$6:$L$10,9,FALSE)/2,IF($I172&lt;L$3,VLOOKUP($H172,Depreciation!$A$6:$L$10,9,FALSE),0))</f>
        <v>3.0676363676126896E-2</v>
      </c>
      <c r="M172" s="361">
        <f>+IF($I172=M$3,VLOOKUP($H172,Depreciation!$A$6:$L$10,10,FALSE)/2,IF($I172&lt;M$3,VLOOKUP($H172,Depreciation!$A$6:$L$10,10,FALSE),0))</f>
        <v>3.0676363676126896E-2</v>
      </c>
      <c r="N172" s="361">
        <f>+IF($I172=N$3,VLOOKUP($H172,Depreciation!$A$6:$L$10,11,FALSE)/2,IF($I172&lt;N$3,VLOOKUP($H172,Depreciation!$A$6:$L$10,11,FALSE),0))</f>
        <v>3.0676363676126896E-2</v>
      </c>
      <c r="O172" s="361">
        <f>+IF($I172=O$3,VLOOKUP($H172,Depreciation!$A$6:$L$10,12,FALSE)/2,IF($I172&lt;O$3,VLOOKUP($H172,Depreciation!$A$6:$L$10,12,FALSE),0))</f>
        <v>3.0676363676126896E-2</v>
      </c>
      <c r="P172" s="362">
        <f t="shared" si="7"/>
        <v>1888953.2403831205</v>
      </c>
      <c r="Q172" s="362">
        <f t="shared" si="8"/>
        <v>0</v>
      </c>
      <c r="R172" s="363">
        <f t="shared" si="9"/>
        <v>1888953.2403831205</v>
      </c>
    </row>
    <row r="173" spans="1:25">
      <c r="A173" s="359" t="str">
        <f>'Func Future Lines 2015'!A173</f>
        <v>PPS</v>
      </c>
      <c r="B173" s="359" t="str">
        <f>'Func Future Lines 2015'!B173</f>
        <v>428L/457L 180</v>
      </c>
      <c r="C173" s="359">
        <f>'Func Future Lines 2015'!C173</f>
        <v>1101</v>
      </c>
      <c r="D173" s="359">
        <f>'Func Future Lines 2015'!D173</f>
        <v>138</v>
      </c>
      <c r="E173" s="359">
        <f>'Func Future Lines 2015'!E173</f>
        <v>0</v>
      </c>
      <c r="F173" s="359" t="str">
        <f>'Func Future Lines 2015'!F173</f>
        <v>Fort McMurray</v>
      </c>
      <c r="G173" s="359">
        <f>'Func Future Lines 2015'!G173</f>
        <v>2175159.297149288</v>
      </c>
      <c r="H173" s="359" t="str">
        <f>'Func Future Lines 2015'!H173</f>
        <v>AltaLink</v>
      </c>
      <c r="I173" s="359">
        <f>'Func Future Lines 2015'!I173</f>
        <v>2016</v>
      </c>
      <c r="J173" s="361">
        <f>+IF($I173=J$3,VLOOKUP($H173,Depreciation!$A$6:$L$10,7,FALSE)/2,IF($I173&lt;J$3,VLOOKUP($H173,Depreciation!$A$6:$L$10,7,FALSE),0))</f>
        <v>0</v>
      </c>
      <c r="K173" s="361">
        <f>+IF($I173=K$3,VLOOKUP($H173,Depreciation!$A$6:$L$10,8,FALSE)/2,IF($I173&lt;K$3,VLOOKUP($H173,Depreciation!$A$6:$L$10,8,FALSE),0))</f>
        <v>1.5338181838063448E-2</v>
      </c>
      <c r="L173" s="361">
        <f>+IF($I173=L$3,VLOOKUP($H173,Depreciation!$A$6:$L$10,9,FALSE)/2,IF($I173&lt;L$3,VLOOKUP($H173,Depreciation!$A$6:$L$10,9,FALSE),0))</f>
        <v>3.0676363676126896E-2</v>
      </c>
      <c r="M173" s="361">
        <f>+IF($I173=M$3,VLOOKUP($H173,Depreciation!$A$6:$L$10,10,FALSE)/2,IF($I173&lt;M$3,VLOOKUP($H173,Depreciation!$A$6:$L$10,10,FALSE),0))</f>
        <v>3.0676363676126896E-2</v>
      </c>
      <c r="N173" s="361">
        <f>+IF($I173=N$3,VLOOKUP($H173,Depreciation!$A$6:$L$10,11,FALSE)/2,IF($I173&lt;N$3,VLOOKUP($H173,Depreciation!$A$6:$L$10,11,FALSE),0))</f>
        <v>3.0676363676126896E-2</v>
      </c>
      <c r="O173" s="361">
        <f>+IF($I173=O$3,VLOOKUP($H173,Depreciation!$A$6:$L$10,12,FALSE)/2,IF($I173&lt;O$3,VLOOKUP($H173,Depreciation!$A$6:$L$10,12,FALSE),0))</f>
        <v>3.0676363676126896E-2</v>
      </c>
      <c r="P173" s="362">
        <f t="shared" si="7"/>
        <v>1890833.8873271563</v>
      </c>
      <c r="Q173" s="362">
        <f t="shared" si="8"/>
        <v>0</v>
      </c>
      <c r="R173" s="363">
        <f t="shared" si="9"/>
        <v>1890833.8873271563</v>
      </c>
    </row>
    <row r="174" spans="1:25">
      <c r="A174" s="359" t="str">
        <f>'Func Future Lines 2015'!A174</f>
        <v>PPS</v>
      </c>
      <c r="B174" s="359" t="str">
        <f>'Func Future Lines 2015'!B174</f>
        <v>971L180</v>
      </c>
      <c r="C174" s="359">
        <f>'Func Future Lines 2015'!C174</f>
        <v>1101</v>
      </c>
      <c r="D174" s="359">
        <f>'Func Future Lines 2015'!D174</f>
        <v>240</v>
      </c>
      <c r="E174" s="359">
        <f>'Func Future Lines 2015'!E174</f>
        <v>0</v>
      </c>
      <c r="F174" s="359" t="str">
        <f>'Func Future Lines 2015'!F174</f>
        <v>Fort McMurray</v>
      </c>
      <c r="G174" s="359">
        <f>'Func Future Lines 2015'!G174</f>
        <v>1786314.2703774052</v>
      </c>
      <c r="H174" s="359" t="str">
        <f>'Func Future Lines 2015'!H174</f>
        <v>AltaLink</v>
      </c>
      <c r="I174" s="359">
        <f>'Func Future Lines 2015'!I174</f>
        <v>2016</v>
      </c>
      <c r="J174" s="361">
        <f>+IF($I174=J$3,VLOOKUP($H174,Depreciation!$A$6:$L$10,7,FALSE)/2,IF($I174&lt;J$3,VLOOKUP($H174,Depreciation!$A$6:$L$10,7,FALSE),0))</f>
        <v>0</v>
      </c>
      <c r="K174" s="361">
        <f>+IF($I174=K$3,VLOOKUP($H174,Depreciation!$A$6:$L$10,8,FALSE)/2,IF($I174&lt;K$3,VLOOKUP($H174,Depreciation!$A$6:$L$10,8,FALSE),0))</f>
        <v>1.5338181838063448E-2</v>
      </c>
      <c r="L174" s="361">
        <f>+IF($I174=L$3,VLOOKUP($H174,Depreciation!$A$6:$L$10,9,FALSE)/2,IF($I174&lt;L$3,VLOOKUP($H174,Depreciation!$A$6:$L$10,9,FALSE),0))</f>
        <v>3.0676363676126896E-2</v>
      </c>
      <c r="M174" s="361">
        <f>+IF($I174=M$3,VLOOKUP($H174,Depreciation!$A$6:$L$10,10,FALSE)/2,IF($I174&lt;M$3,VLOOKUP($H174,Depreciation!$A$6:$L$10,10,FALSE),0))</f>
        <v>3.0676363676126896E-2</v>
      </c>
      <c r="N174" s="361">
        <f>+IF($I174=N$3,VLOOKUP($H174,Depreciation!$A$6:$L$10,11,FALSE)/2,IF($I174&lt;N$3,VLOOKUP($H174,Depreciation!$A$6:$L$10,11,FALSE),0))</f>
        <v>3.0676363676126896E-2</v>
      </c>
      <c r="O174" s="361">
        <f>+IF($I174=O$3,VLOOKUP($H174,Depreciation!$A$6:$L$10,12,FALSE)/2,IF($I174&lt;O$3,VLOOKUP($H174,Depreciation!$A$6:$L$10,12,FALSE),0))</f>
        <v>3.0676363676126896E-2</v>
      </c>
      <c r="P174" s="362">
        <f t="shared" si="7"/>
        <v>1552816.6421063114</v>
      </c>
      <c r="Q174" s="362">
        <f t="shared" si="8"/>
        <v>1552816.6421063114</v>
      </c>
      <c r="R174" s="363">
        <f t="shared" si="9"/>
        <v>0</v>
      </c>
    </row>
    <row r="175" spans="1:25">
      <c r="A175" s="359" t="str">
        <f>'Func Future Lines 2015'!A175</f>
        <v>PPS</v>
      </c>
      <c r="B175" s="359" t="str">
        <f>'Func Future Lines 2015'!B175</f>
        <v>line 9L930_v181</v>
      </c>
      <c r="C175" s="359">
        <f>'Func Future Lines 2015'!C175</f>
        <v>1101</v>
      </c>
      <c r="D175" s="359">
        <f>'Func Future Lines 2015'!D175</f>
        <v>240</v>
      </c>
      <c r="E175" s="359">
        <f>'Func Future Lines 2015'!E175</f>
        <v>0</v>
      </c>
      <c r="F175" s="359" t="str">
        <f>'Func Future Lines 2015'!F175</f>
        <v>Fort McMurray</v>
      </c>
      <c r="G175" s="359">
        <f>'Func Future Lines 2015'!G175</f>
        <v>4698744.242259468</v>
      </c>
      <c r="H175" s="359" t="str">
        <f>'Func Future Lines 2015'!H175</f>
        <v>ATCO</v>
      </c>
      <c r="I175" s="359">
        <f>'Func Future Lines 2015'!I175</f>
        <v>2016</v>
      </c>
      <c r="J175" s="361">
        <f>+IF($I175=J$3,VLOOKUP($H175,Depreciation!$A$6:$L$10,7,FALSE)/2,IF($I175&lt;J$3,VLOOKUP($H175,Depreciation!$A$6:$L$10,7,FALSE),0))</f>
        <v>0</v>
      </c>
      <c r="K175" s="361">
        <f>+IF($I175=K$3,VLOOKUP($H175,Depreciation!$A$6:$L$10,8,FALSE)/2,IF($I175&lt;K$3,VLOOKUP($H175,Depreciation!$A$6:$L$10,8,FALSE),0))</f>
        <v>1.1971929865503333E-2</v>
      </c>
      <c r="L175" s="361">
        <f>+IF($I175=L$3,VLOOKUP($H175,Depreciation!$A$6:$L$10,9,FALSE)/2,IF($I175&lt;L$3,VLOOKUP($H175,Depreciation!$A$6:$L$10,9,FALSE),0))</f>
        <v>2.4002037926855919E-2</v>
      </c>
      <c r="M175" s="361">
        <f>+IF($I175=M$3,VLOOKUP($H175,Depreciation!$A$6:$L$10,10,FALSE)/2,IF($I175&lt;M$3,VLOOKUP($H175,Depreciation!$A$6:$L$10,10,FALSE),0))</f>
        <v>2.4002037926855919E-2</v>
      </c>
      <c r="N175" s="361">
        <f>+IF($I175=N$3,VLOOKUP($H175,Depreciation!$A$6:$L$10,11,FALSE)/2,IF($I175&lt;N$3,VLOOKUP($H175,Depreciation!$A$6:$L$10,11,FALSE),0))</f>
        <v>2.4002037926855919E-2</v>
      </c>
      <c r="O175" s="361">
        <f>+IF($I175=O$3,VLOOKUP($H175,Depreciation!$A$6:$L$10,12,FALSE)/2,IF($I175&lt;O$3,VLOOKUP($H175,Depreciation!$A$6:$L$10,12,FALSE),0))</f>
        <v>2.4002037926855919E-2</v>
      </c>
      <c r="P175" s="362">
        <f t="shared" si="7"/>
        <v>4212566.1444581551</v>
      </c>
      <c r="Q175" s="362">
        <f t="shared" si="8"/>
        <v>4212566.1444581551</v>
      </c>
      <c r="R175" s="363">
        <f t="shared" si="9"/>
        <v>0</v>
      </c>
    </row>
    <row r="176" spans="1:25">
      <c r="A176" s="359" t="str">
        <f>'Func Future Lines 2015'!A176</f>
        <v>PPS</v>
      </c>
      <c r="B176" s="359" t="str">
        <f>'Func Future Lines 2015'!B176</f>
        <v>1064L/1065L_(v180)</v>
      </c>
      <c r="C176" s="359">
        <f>'Func Future Lines 2015'!C176</f>
        <v>1117</v>
      </c>
      <c r="D176" s="359">
        <f>'Func Future Lines 2015'!D176</f>
        <v>240</v>
      </c>
      <c r="E176" s="359">
        <f>'Func Future Lines 2015'!E176</f>
        <v>0</v>
      </c>
      <c r="F176" s="359" t="str">
        <f>'Func Future Lines 2015'!F176</f>
        <v>Calgary</v>
      </c>
      <c r="G176" s="359">
        <f>'Func Future Lines 2015'!G176</f>
        <v>22476180.185840409</v>
      </c>
      <c r="H176" s="359" t="str">
        <f>'Func Future Lines 2015'!H176</f>
        <v>AltaLink</v>
      </c>
      <c r="I176" s="359">
        <f>'Func Future Lines 2015'!I176</f>
        <v>2015</v>
      </c>
      <c r="J176" s="361">
        <f>+IF($I176=J$3,VLOOKUP($H176,Depreciation!$A$6:$L$10,7,FALSE)/2,IF($I176&lt;J$3,VLOOKUP($H176,Depreciation!$A$6:$L$10,7,FALSE),0))</f>
        <v>1.595020804044691E-2</v>
      </c>
      <c r="K176" s="361">
        <f>+IF($I176=K$3,VLOOKUP($H176,Depreciation!$A$6:$L$10,8,FALSE)/2,IF($I176&lt;K$3,VLOOKUP($H176,Depreciation!$A$6:$L$10,8,FALSE),0))</f>
        <v>3.0676363676126896E-2</v>
      </c>
      <c r="L176" s="361">
        <f>+IF($I176=L$3,VLOOKUP($H176,Depreciation!$A$6:$L$10,9,FALSE)/2,IF($I176&lt;L$3,VLOOKUP($H176,Depreciation!$A$6:$L$10,9,FALSE),0))</f>
        <v>3.0676363676126896E-2</v>
      </c>
      <c r="M176" s="361">
        <f>+IF($I176=M$3,VLOOKUP($H176,Depreciation!$A$6:$L$10,10,FALSE)/2,IF($I176&lt;M$3,VLOOKUP($H176,Depreciation!$A$6:$L$10,10,FALSE),0))</f>
        <v>3.0676363676126896E-2</v>
      </c>
      <c r="N176" s="361">
        <f>+IF($I176=N$3,VLOOKUP($H176,Depreciation!$A$6:$L$10,11,FALSE)/2,IF($I176&lt;N$3,VLOOKUP($H176,Depreciation!$A$6:$L$10,11,FALSE),0))</f>
        <v>3.0676363676126896E-2</v>
      </c>
      <c r="O176" s="361">
        <f>+IF($I176=O$3,VLOOKUP($H176,Depreciation!$A$6:$L$10,12,FALSE)/2,IF($I176&lt;O$3,VLOOKUP($H176,Depreciation!$A$6:$L$10,12,FALSE),0))</f>
        <v>3.0676363676126896E-2</v>
      </c>
      <c r="P176" s="362">
        <f t="shared" si="7"/>
        <v>18927078.928596832</v>
      </c>
      <c r="Q176" s="362">
        <f t="shared" si="8"/>
        <v>18927078.928596832</v>
      </c>
      <c r="R176" s="363">
        <f t="shared" si="9"/>
        <v>0</v>
      </c>
    </row>
    <row r="177" spans="1:18">
      <c r="A177" s="359" t="str">
        <f>'Func Future Lines 2015'!A177</f>
        <v>PPS</v>
      </c>
      <c r="B177" s="359" t="str">
        <f>'Func Future Lines 2015'!B177</f>
        <v>1064L/1065L_(v180)</v>
      </c>
      <c r="C177" s="359">
        <f>'Func Future Lines 2015'!C177</f>
        <v>1117</v>
      </c>
      <c r="D177" s="359">
        <f>'Func Future Lines 2015'!D177</f>
        <v>240</v>
      </c>
      <c r="E177" s="359">
        <f>'Func Future Lines 2015'!E177</f>
        <v>0</v>
      </c>
      <c r="F177" s="359" t="str">
        <f>'Func Future Lines 2015'!F177</f>
        <v>Calgary</v>
      </c>
      <c r="G177" s="359">
        <f>'Func Future Lines 2015'!G177</f>
        <v>22476180.185840409</v>
      </c>
      <c r="H177" s="359" t="str">
        <f>'Func Future Lines 2015'!H177</f>
        <v>AltaLink</v>
      </c>
      <c r="I177" s="359">
        <f>'Func Future Lines 2015'!I177</f>
        <v>2015</v>
      </c>
      <c r="J177" s="361">
        <f>+IF($I177=J$3,VLOOKUP($H177,Depreciation!$A$6:$L$10,7,FALSE)/2,IF($I177&lt;J$3,VLOOKUP($H177,Depreciation!$A$6:$L$10,7,FALSE),0))</f>
        <v>1.595020804044691E-2</v>
      </c>
      <c r="K177" s="361">
        <f>+IF($I177=K$3,VLOOKUP($H177,Depreciation!$A$6:$L$10,8,FALSE)/2,IF($I177&lt;K$3,VLOOKUP($H177,Depreciation!$A$6:$L$10,8,FALSE),0))</f>
        <v>3.0676363676126896E-2</v>
      </c>
      <c r="L177" s="361">
        <f>+IF($I177=L$3,VLOOKUP($H177,Depreciation!$A$6:$L$10,9,FALSE)/2,IF($I177&lt;L$3,VLOOKUP($H177,Depreciation!$A$6:$L$10,9,FALSE),0))</f>
        <v>3.0676363676126896E-2</v>
      </c>
      <c r="M177" s="361">
        <f>+IF($I177=M$3,VLOOKUP($H177,Depreciation!$A$6:$L$10,10,FALSE)/2,IF($I177&lt;M$3,VLOOKUP($H177,Depreciation!$A$6:$L$10,10,FALSE),0))</f>
        <v>3.0676363676126896E-2</v>
      </c>
      <c r="N177" s="361">
        <f>+IF($I177=N$3,VLOOKUP($H177,Depreciation!$A$6:$L$10,11,FALSE)/2,IF($I177&lt;N$3,VLOOKUP($H177,Depreciation!$A$6:$L$10,11,FALSE),0))</f>
        <v>3.0676363676126896E-2</v>
      </c>
      <c r="O177" s="361">
        <f>+IF($I177=O$3,VLOOKUP($H177,Depreciation!$A$6:$L$10,12,FALSE)/2,IF($I177&lt;O$3,VLOOKUP($H177,Depreciation!$A$6:$L$10,12,FALSE),0))</f>
        <v>3.0676363676126896E-2</v>
      </c>
      <c r="P177" s="362">
        <f t="shared" si="7"/>
        <v>18927078.928596832</v>
      </c>
      <c r="Q177" s="362">
        <f t="shared" si="8"/>
        <v>18927078.928596832</v>
      </c>
      <c r="R177" s="363">
        <f t="shared" si="9"/>
        <v>0</v>
      </c>
    </row>
    <row r="178" spans="1:18">
      <c r="A178" s="359" t="str">
        <f>'Func Future Lines 2015'!A178</f>
        <v>PPS</v>
      </c>
      <c r="B178" s="359" t="str">
        <f>'Func Future Lines 2015'!B178</f>
        <v>1064L/1065L_(v180)</v>
      </c>
      <c r="C178" s="359">
        <f>'Func Future Lines 2015'!C178</f>
        <v>1117</v>
      </c>
      <c r="D178" s="359">
        <f>'Func Future Lines 2015'!D178</f>
        <v>240</v>
      </c>
      <c r="E178" s="359">
        <f>'Func Future Lines 2015'!E178</f>
        <v>0</v>
      </c>
      <c r="F178" s="359" t="str">
        <f>'Func Future Lines 2015'!F178</f>
        <v>Calgary</v>
      </c>
      <c r="G178" s="359">
        <f>'Func Future Lines 2015'!G178</f>
        <v>17889351.244998507</v>
      </c>
      <c r="H178" s="359" t="str">
        <f>'Func Future Lines 2015'!H178</f>
        <v>AltaLink</v>
      </c>
      <c r="I178" s="359">
        <f>'Func Future Lines 2015'!I178</f>
        <v>2015</v>
      </c>
      <c r="J178" s="361">
        <f>+IF($I178=J$3,VLOOKUP($H178,Depreciation!$A$6:$L$10,7,FALSE)/2,IF($I178&lt;J$3,VLOOKUP($H178,Depreciation!$A$6:$L$10,7,FALSE),0))</f>
        <v>1.595020804044691E-2</v>
      </c>
      <c r="K178" s="361">
        <f>+IF($I178=K$3,VLOOKUP($H178,Depreciation!$A$6:$L$10,8,FALSE)/2,IF($I178&lt;K$3,VLOOKUP($H178,Depreciation!$A$6:$L$10,8,FALSE),0))</f>
        <v>3.0676363676126896E-2</v>
      </c>
      <c r="L178" s="361">
        <f>+IF($I178=L$3,VLOOKUP($H178,Depreciation!$A$6:$L$10,9,FALSE)/2,IF($I178&lt;L$3,VLOOKUP($H178,Depreciation!$A$6:$L$10,9,FALSE),0))</f>
        <v>3.0676363676126896E-2</v>
      </c>
      <c r="M178" s="361">
        <f>+IF($I178=M$3,VLOOKUP($H178,Depreciation!$A$6:$L$10,10,FALSE)/2,IF($I178&lt;M$3,VLOOKUP($H178,Depreciation!$A$6:$L$10,10,FALSE),0))</f>
        <v>3.0676363676126896E-2</v>
      </c>
      <c r="N178" s="361">
        <f>+IF($I178=N$3,VLOOKUP($H178,Depreciation!$A$6:$L$10,11,FALSE)/2,IF($I178&lt;N$3,VLOOKUP($H178,Depreciation!$A$6:$L$10,11,FALSE),0))</f>
        <v>3.0676363676126896E-2</v>
      </c>
      <c r="O178" s="361">
        <f>+IF($I178=O$3,VLOOKUP($H178,Depreciation!$A$6:$L$10,12,FALSE)/2,IF($I178&lt;O$3,VLOOKUP($H178,Depreciation!$A$6:$L$10,12,FALSE),0))</f>
        <v>3.0676363676126896E-2</v>
      </c>
      <c r="P178" s="362">
        <f t="shared" si="7"/>
        <v>15064533.216760134</v>
      </c>
      <c r="Q178" s="362">
        <f t="shared" si="8"/>
        <v>15064533.216760134</v>
      </c>
      <c r="R178" s="363">
        <f t="shared" si="9"/>
        <v>0</v>
      </c>
    </row>
    <row r="179" spans="1:18">
      <c r="A179" s="359" t="str">
        <f>'Func Future Lines 2015'!A179</f>
        <v>PPS</v>
      </c>
      <c r="B179" s="359" t="str">
        <f>'Func Future Lines 2015'!B179</f>
        <v>1064L/1065L_(v180)</v>
      </c>
      <c r="C179" s="359">
        <f>'Func Future Lines 2015'!C179</f>
        <v>1117</v>
      </c>
      <c r="D179" s="359">
        <f>'Func Future Lines 2015'!D179</f>
        <v>240</v>
      </c>
      <c r="E179" s="359">
        <f>'Func Future Lines 2015'!E179</f>
        <v>0</v>
      </c>
      <c r="F179" s="359" t="str">
        <f>'Func Future Lines 2015'!F179</f>
        <v>Calgary</v>
      </c>
      <c r="G179" s="359">
        <f>'Func Future Lines 2015'!G179</f>
        <v>17889351.244998507</v>
      </c>
      <c r="H179" s="359" t="str">
        <f>'Func Future Lines 2015'!H179</f>
        <v>AltaLink</v>
      </c>
      <c r="I179" s="359">
        <f>'Func Future Lines 2015'!I179</f>
        <v>2015</v>
      </c>
      <c r="J179" s="361">
        <f>+IF($I179=J$3,VLOOKUP($H179,Depreciation!$A$6:$L$10,7,FALSE)/2,IF($I179&lt;J$3,VLOOKUP($H179,Depreciation!$A$6:$L$10,7,FALSE),0))</f>
        <v>1.595020804044691E-2</v>
      </c>
      <c r="K179" s="361">
        <f>+IF($I179=K$3,VLOOKUP($H179,Depreciation!$A$6:$L$10,8,FALSE)/2,IF($I179&lt;K$3,VLOOKUP($H179,Depreciation!$A$6:$L$10,8,FALSE),0))</f>
        <v>3.0676363676126896E-2</v>
      </c>
      <c r="L179" s="361">
        <f>+IF($I179=L$3,VLOOKUP($H179,Depreciation!$A$6:$L$10,9,FALSE)/2,IF($I179&lt;L$3,VLOOKUP($H179,Depreciation!$A$6:$L$10,9,FALSE),0))</f>
        <v>3.0676363676126896E-2</v>
      </c>
      <c r="M179" s="361">
        <f>+IF($I179=M$3,VLOOKUP($H179,Depreciation!$A$6:$L$10,10,FALSE)/2,IF($I179&lt;M$3,VLOOKUP($H179,Depreciation!$A$6:$L$10,10,FALSE),0))</f>
        <v>3.0676363676126896E-2</v>
      </c>
      <c r="N179" s="361">
        <f>+IF($I179=N$3,VLOOKUP($H179,Depreciation!$A$6:$L$10,11,FALSE)/2,IF($I179&lt;N$3,VLOOKUP($H179,Depreciation!$A$6:$L$10,11,FALSE),0))</f>
        <v>3.0676363676126896E-2</v>
      </c>
      <c r="O179" s="361">
        <f>+IF($I179=O$3,VLOOKUP($H179,Depreciation!$A$6:$L$10,12,FALSE)/2,IF($I179&lt;O$3,VLOOKUP($H179,Depreciation!$A$6:$L$10,12,FALSE),0))</f>
        <v>3.0676363676126896E-2</v>
      </c>
      <c r="P179" s="362">
        <f t="shared" si="7"/>
        <v>15064533.216760134</v>
      </c>
      <c r="Q179" s="362">
        <f t="shared" si="8"/>
        <v>15064533.216760134</v>
      </c>
      <c r="R179" s="363">
        <f t="shared" si="9"/>
        <v>0</v>
      </c>
    </row>
    <row r="180" spans="1:18">
      <c r="A180" s="359" t="str">
        <f>'Func Future Lines 2015'!A180</f>
        <v>PPS</v>
      </c>
      <c r="B180" s="359" t="str">
        <f>'Func Future Lines 2015'!B180</f>
        <v>1080L/1109L_180</v>
      </c>
      <c r="C180" s="359">
        <f>'Func Future Lines 2015'!C180</f>
        <v>1117</v>
      </c>
      <c r="D180" s="359">
        <f>'Func Future Lines 2015'!D180</f>
        <v>240</v>
      </c>
      <c r="E180" s="359">
        <f>'Func Future Lines 2015'!E180</f>
        <v>0</v>
      </c>
      <c r="F180" s="359" t="str">
        <f>'Func Future Lines 2015'!F180</f>
        <v>Calgary</v>
      </c>
      <c r="G180" s="359">
        <f>'Func Future Lines 2015'!G180</f>
        <v>2104869.8933907058</v>
      </c>
      <c r="H180" s="359" t="str">
        <f>'Func Future Lines 2015'!H180</f>
        <v>AltaLink</v>
      </c>
      <c r="I180" s="359">
        <f>'Func Future Lines 2015'!I180</f>
        <v>2015</v>
      </c>
      <c r="J180" s="361">
        <f>+IF($I180=J$3,VLOOKUP($H180,Depreciation!$A$6:$L$10,7,FALSE)/2,IF($I180&lt;J$3,VLOOKUP($H180,Depreciation!$A$6:$L$10,7,FALSE),0))</f>
        <v>1.595020804044691E-2</v>
      </c>
      <c r="K180" s="361">
        <f>+IF($I180=K$3,VLOOKUP($H180,Depreciation!$A$6:$L$10,8,FALSE)/2,IF($I180&lt;K$3,VLOOKUP($H180,Depreciation!$A$6:$L$10,8,FALSE),0))</f>
        <v>3.0676363676126896E-2</v>
      </c>
      <c r="L180" s="361">
        <f>+IF($I180=L$3,VLOOKUP($H180,Depreciation!$A$6:$L$10,9,FALSE)/2,IF($I180&lt;L$3,VLOOKUP($H180,Depreciation!$A$6:$L$10,9,FALSE),0))</f>
        <v>3.0676363676126896E-2</v>
      </c>
      <c r="M180" s="361">
        <f>+IF($I180=M$3,VLOOKUP($H180,Depreciation!$A$6:$L$10,10,FALSE)/2,IF($I180&lt;M$3,VLOOKUP($H180,Depreciation!$A$6:$L$10,10,FALSE),0))</f>
        <v>3.0676363676126896E-2</v>
      </c>
      <c r="N180" s="361">
        <f>+IF($I180=N$3,VLOOKUP($H180,Depreciation!$A$6:$L$10,11,FALSE)/2,IF($I180&lt;N$3,VLOOKUP($H180,Depreciation!$A$6:$L$10,11,FALSE),0))</f>
        <v>3.0676363676126896E-2</v>
      </c>
      <c r="O180" s="361">
        <f>+IF($I180=O$3,VLOOKUP($H180,Depreciation!$A$6:$L$10,12,FALSE)/2,IF($I180&lt;O$3,VLOOKUP($H180,Depreciation!$A$6:$L$10,12,FALSE),0))</f>
        <v>3.0676363676126896E-2</v>
      </c>
      <c r="P180" s="362">
        <f t="shared" si="7"/>
        <v>1772500.4105337688</v>
      </c>
      <c r="Q180" s="362">
        <f t="shared" si="8"/>
        <v>1772500.4105337688</v>
      </c>
      <c r="R180" s="363">
        <f t="shared" si="9"/>
        <v>0</v>
      </c>
    </row>
    <row r="181" spans="1:18">
      <c r="A181" s="359" t="str">
        <f>'Func Future Lines 2015'!A181</f>
        <v>Final</v>
      </c>
      <c r="B181" s="359" t="str">
        <f>'Func Future Lines 2015'!B181</f>
        <v>1106L_180</v>
      </c>
      <c r="C181" s="359">
        <f>'Func Future Lines 2015'!C181</f>
        <v>1117</v>
      </c>
      <c r="D181" s="359">
        <f>'Func Future Lines 2015'!D181</f>
        <v>240</v>
      </c>
      <c r="E181" s="359">
        <f>'Func Future Lines 2015'!E181</f>
        <v>0</v>
      </c>
      <c r="F181" s="359">
        <f>'Func Future Lines 2015'!F181</f>
        <v>0</v>
      </c>
      <c r="G181" s="359">
        <f>'Func Future Lines 2015'!G181</f>
        <v>83540470.165999994</v>
      </c>
      <c r="H181" s="359" t="str">
        <f>'Func Future Lines 2015'!H181</f>
        <v>AltaLink</v>
      </c>
      <c r="I181" s="359">
        <f>'Func Future Lines 2015'!I181</f>
        <v>2015</v>
      </c>
      <c r="J181" s="361">
        <f>+IF($I181=J$3,VLOOKUP($H181,Depreciation!$A$6:$L$10,7,FALSE)/2,IF($I181&lt;J$3,VLOOKUP($H181,Depreciation!$A$6:$L$10,7,FALSE),0))</f>
        <v>1.595020804044691E-2</v>
      </c>
      <c r="K181" s="361">
        <f>+IF($I181=K$3,VLOOKUP($H181,Depreciation!$A$6:$L$10,8,FALSE)/2,IF($I181&lt;K$3,VLOOKUP($H181,Depreciation!$A$6:$L$10,8,FALSE),0))</f>
        <v>3.0676363676126896E-2</v>
      </c>
      <c r="L181" s="361">
        <f>+IF($I181=L$3,VLOOKUP($H181,Depreciation!$A$6:$L$10,9,FALSE)/2,IF($I181&lt;L$3,VLOOKUP($H181,Depreciation!$A$6:$L$10,9,FALSE),0))</f>
        <v>3.0676363676126896E-2</v>
      </c>
      <c r="M181" s="361">
        <f>+IF($I181=M$3,VLOOKUP($H181,Depreciation!$A$6:$L$10,10,FALSE)/2,IF($I181&lt;M$3,VLOOKUP($H181,Depreciation!$A$6:$L$10,10,FALSE),0))</f>
        <v>3.0676363676126896E-2</v>
      </c>
      <c r="N181" s="361">
        <f>+IF($I181=N$3,VLOOKUP($H181,Depreciation!$A$6:$L$10,11,FALSE)/2,IF($I181&lt;N$3,VLOOKUP($H181,Depreciation!$A$6:$L$10,11,FALSE),0))</f>
        <v>3.0676363676126896E-2</v>
      </c>
      <c r="O181" s="361">
        <f>+IF($I181=O$3,VLOOKUP($H181,Depreciation!$A$6:$L$10,12,FALSE)/2,IF($I181&lt;O$3,VLOOKUP($H181,Depreciation!$A$6:$L$10,12,FALSE),0))</f>
        <v>3.0676363676126896E-2</v>
      </c>
      <c r="P181" s="362">
        <f t="shared" si="7"/>
        <v>70349012.131522417</v>
      </c>
      <c r="Q181" s="362">
        <f t="shared" si="8"/>
        <v>70349012.131522417</v>
      </c>
      <c r="R181" s="363">
        <f t="shared" si="9"/>
        <v>0</v>
      </c>
    </row>
    <row r="182" spans="1:18">
      <c r="A182" s="359" t="str">
        <f>'Func Future Lines 2015'!A182</f>
        <v>Final</v>
      </c>
      <c r="B182" s="359" t="str">
        <f>'Func Future Lines 2015'!B182</f>
        <v>1107L_180</v>
      </c>
      <c r="C182" s="359">
        <f>'Func Future Lines 2015'!C182</f>
        <v>1117</v>
      </c>
      <c r="D182" s="359">
        <f>'Func Future Lines 2015'!D182</f>
        <v>240</v>
      </c>
      <c r="E182" s="359">
        <f>'Func Future Lines 2015'!E182</f>
        <v>0</v>
      </c>
      <c r="F182" s="359">
        <f>'Func Future Lines 2015'!F182</f>
        <v>0</v>
      </c>
      <c r="G182" s="359">
        <f>'Func Future Lines 2015'!G182</f>
        <v>81881919.074000001</v>
      </c>
      <c r="H182" s="359" t="str">
        <f>'Func Future Lines 2015'!H182</f>
        <v>AltaLink</v>
      </c>
      <c r="I182" s="359">
        <f>'Func Future Lines 2015'!I182</f>
        <v>2015</v>
      </c>
      <c r="J182" s="361">
        <f>+IF($I182=J$3,VLOOKUP($H182,Depreciation!$A$6:$L$10,7,FALSE)/2,IF($I182&lt;J$3,VLOOKUP($H182,Depreciation!$A$6:$L$10,7,FALSE),0))</f>
        <v>1.595020804044691E-2</v>
      </c>
      <c r="K182" s="361">
        <f>+IF($I182=K$3,VLOOKUP($H182,Depreciation!$A$6:$L$10,8,FALSE)/2,IF($I182&lt;K$3,VLOOKUP($H182,Depreciation!$A$6:$L$10,8,FALSE),0))</f>
        <v>3.0676363676126896E-2</v>
      </c>
      <c r="L182" s="361">
        <f>+IF($I182=L$3,VLOOKUP($H182,Depreciation!$A$6:$L$10,9,FALSE)/2,IF($I182&lt;L$3,VLOOKUP($H182,Depreciation!$A$6:$L$10,9,FALSE),0))</f>
        <v>3.0676363676126896E-2</v>
      </c>
      <c r="M182" s="361">
        <f>+IF($I182=M$3,VLOOKUP($H182,Depreciation!$A$6:$L$10,10,FALSE)/2,IF($I182&lt;M$3,VLOOKUP($H182,Depreciation!$A$6:$L$10,10,FALSE),0))</f>
        <v>3.0676363676126896E-2</v>
      </c>
      <c r="N182" s="361">
        <f>+IF($I182=N$3,VLOOKUP($H182,Depreciation!$A$6:$L$10,11,FALSE)/2,IF($I182&lt;N$3,VLOOKUP($H182,Depreciation!$A$6:$L$10,11,FALSE),0))</f>
        <v>3.0676363676126896E-2</v>
      </c>
      <c r="O182" s="361">
        <f>+IF($I182=O$3,VLOOKUP($H182,Depreciation!$A$6:$L$10,12,FALSE)/2,IF($I182&lt;O$3,VLOOKUP($H182,Depreciation!$A$6:$L$10,12,FALSE),0))</f>
        <v>3.0676363676126896E-2</v>
      </c>
      <c r="P182" s="362">
        <f t="shared" si="7"/>
        <v>68952354.55154936</v>
      </c>
      <c r="Q182" s="362">
        <f t="shared" si="8"/>
        <v>68952354.55154936</v>
      </c>
      <c r="R182" s="363">
        <f t="shared" si="9"/>
        <v>0</v>
      </c>
    </row>
    <row r="183" spans="1:18">
      <c r="A183" s="359" t="str">
        <f>'Func Future Lines 2015'!A183</f>
        <v>PPS</v>
      </c>
      <c r="B183" s="359" t="str">
        <f>'Func Future Lines 2015'!B183</f>
        <v>434L/646L_180</v>
      </c>
      <c r="C183" s="359">
        <f>'Func Future Lines 2015'!C183</f>
        <v>1117</v>
      </c>
      <c r="D183" s="359">
        <f>'Func Future Lines 2015'!D183</f>
        <v>138</v>
      </c>
      <c r="E183" s="359">
        <f>'Func Future Lines 2015'!E183</f>
        <v>0</v>
      </c>
      <c r="F183" s="359" t="str">
        <f>'Func Future Lines 2015'!F183</f>
        <v>Calgary</v>
      </c>
      <c r="G183" s="359">
        <f>'Func Future Lines 2015'!G183</f>
        <v>23035758.945204999</v>
      </c>
      <c r="H183" s="359" t="str">
        <f>'Func Future Lines 2015'!H183</f>
        <v>AltaLink</v>
      </c>
      <c r="I183" s="359">
        <f>'Func Future Lines 2015'!I183</f>
        <v>2015</v>
      </c>
      <c r="J183" s="361">
        <f>+IF($I183=J$3,VLOOKUP($H183,Depreciation!$A$6:$L$10,7,FALSE)/2,IF($I183&lt;J$3,VLOOKUP($H183,Depreciation!$A$6:$L$10,7,FALSE),0))</f>
        <v>1.595020804044691E-2</v>
      </c>
      <c r="K183" s="361">
        <f>+IF($I183=K$3,VLOOKUP($H183,Depreciation!$A$6:$L$10,8,FALSE)/2,IF($I183&lt;K$3,VLOOKUP($H183,Depreciation!$A$6:$L$10,8,FALSE),0))</f>
        <v>3.0676363676126896E-2</v>
      </c>
      <c r="L183" s="361">
        <f>+IF($I183=L$3,VLOOKUP($H183,Depreciation!$A$6:$L$10,9,FALSE)/2,IF($I183&lt;L$3,VLOOKUP($H183,Depreciation!$A$6:$L$10,9,FALSE),0))</f>
        <v>3.0676363676126896E-2</v>
      </c>
      <c r="M183" s="361">
        <f>+IF($I183=M$3,VLOOKUP($H183,Depreciation!$A$6:$L$10,10,FALSE)/2,IF($I183&lt;M$3,VLOOKUP($H183,Depreciation!$A$6:$L$10,10,FALSE),0))</f>
        <v>3.0676363676126896E-2</v>
      </c>
      <c r="N183" s="361">
        <f>+IF($I183=N$3,VLOOKUP($H183,Depreciation!$A$6:$L$10,11,FALSE)/2,IF($I183&lt;N$3,VLOOKUP($H183,Depreciation!$A$6:$L$10,11,FALSE),0))</f>
        <v>3.0676363676126896E-2</v>
      </c>
      <c r="O183" s="361">
        <f>+IF($I183=O$3,VLOOKUP($H183,Depreciation!$A$6:$L$10,12,FALSE)/2,IF($I183&lt;O$3,VLOOKUP($H183,Depreciation!$A$6:$L$10,12,FALSE),0))</f>
        <v>3.0676363676126896E-2</v>
      </c>
      <c r="P183" s="362">
        <f t="shared" si="7"/>
        <v>19398297.40334158</v>
      </c>
      <c r="Q183" s="362">
        <f t="shared" si="8"/>
        <v>0</v>
      </c>
      <c r="R183" s="363">
        <f t="shared" si="9"/>
        <v>19398297.40334158</v>
      </c>
    </row>
    <row r="184" spans="1:18">
      <c r="A184" s="359" t="str">
        <f>'Func Future Lines 2015'!A184</f>
        <v>PPS</v>
      </c>
      <c r="B184" s="359" t="str">
        <f>'Func Future Lines 2015'!B184</f>
        <v>434L/646L_180</v>
      </c>
      <c r="C184" s="359">
        <f>'Func Future Lines 2015'!C184</f>
        <v>1117</v>
      </c>
      <c r="D184" s="359">
        <f>'Func Future Lines 2015'!D184</f>
        <v>138</v>
      </c>
      <c r="E184" s="359">
        <f>'Func Future Lines 2015'!E184</f>
        <v>0</v>
      </c>
      <c r="F184" s="359" t="str">
        <f>'Func Future Lines 2015'!F184</f>
        <v>Calgary</v>
      </c>
      <c r="G184" s="359">
        <f>'Func Future Lines 2015'!G184</f>
        <v>23035758.945204999</v>
      </c>
      <c r="H184" s="359" t="str">
        <f>'Func Future Lines 2015'!H184</f>
        <v>AltaLink</v>
      </c>
      <c r="I184" s="359">
        <f>'Func Future Lines 2015'!I184</f>
        <v>2015</v>
      </c>
      <c r="J184" s="361">
        <f>+IF($I184=J$3,VLOOKUP($H184,Depreciation!$A$6:$L$10,7,FALSE)/2,IF($I184&lt;J$3,VLOOKUP($H184,Depreciation!$A$6:$L$10,7,FALSE),0))</f>
        <v>1.595020804044691E-2</v>
      </c>
      <c r="K184" s="361">
        <f>+IF($I184=K$3,VLOOKUP($H184,Depreciation!$A$6:$L$10,8,FALSE)/2,IF($I184&lt;K$3,VLOOKUP($H184,Depreciation!$A$6:$L$10,8,FALSE),0))</f>
        <v>3.0676363676126896E-2</v>
      </c>
      <c r="L184" s="361">
        <f>+IF($I184=L$3,VLOOKUP($H184,Depreciation!$A$6:$L$10,9,FALSE)/2,IF($I184&lt;L$3,VLOOKUP($H184,Depreciation!$A$6:$L$10,9,FALSE),0))</f>
        <v>3.0676363676126896E-2</v>
      </c>
      <c r="M184" s="361">
        <f>+IF($I184=M$3,VLOOKUP($H184,Depreciation!$A$6:$L$10,10,FALSE)/2,IF($I184&lt;M$3,VLOOKUP($H184,Depreciation!$A$6:$L$10,10,FALSE),0))</f>
        <v>3.0676363676126896E-2</v>
      </c>
      <c r="N184" s="361">
        <f>+IF($I184=N$3,VLOOKUP($H184,Depreciation!$A$6:$L$10,11,FALSE)/2,IF($I184&lt;N$3,VLOOKUP($H184,Depreciation!$A$6:$L$10,11,FALSE),0))</f>
        <v>3.0676363676126896E-2</v>
      </c>
      <c r="O184" s="361">
        <f>+IF($I184=O$3,VLOOKUP($H184,Depreciation!$A$6:$L$10,12,FALSE)/2,IF($I184&lt;O$3,VLOOKUP($H184,Depreciation!$A$6:$L$10,12,FALSE),0))</f>
        <v>3.0676363676126896E-2</v>
      </c>
      <c r="P184" s="362">
        <f t="shared" si="7"/>
        <v>19398297.40334158</v>
      </c>
      <c r="Q184" s="362">
        <f t="shared" si="8"/>
        <v>0</v>
      </c>
      <c r="R184" s="363">
        <f t="shared" si="9"/>
        <v>19398297.40334158</v>
      </c>
    </row>
    <row r="185" spans="1:18">
      <c r="A185" s="359" t="str">
        <f>'Func Future Lines 2015'!A185</f>
        <v>PPS</v>
      </c>
      <c r="B185" s="359" t="str">
        <f>'Func Future Lines 2015'!B185</f>
        <v>646L/850L_180</v>
      </c>
      <c r="C185" s="359">
        <f>'Func Future Lines 2015'!C185</f>
        <v>1117</v>
      </c>
      <c r="D185" s="359">
        <f>'Func Future Lines 2015'!D185</f>
        <v>138</v>
      </c>
      <c r="E185" s="359">
        <f>'Func Future Lines 2015'!E185</f>
        <v>0</v>
      </c>
      <c r="F185" s="359" t="str">
        <f>'Func Future Lines 2015'!F185</f>
        <v>Calgary</v>
      </c>
      <c r="G185" s="359">
        <f>'Func Future Lines 2015'!G185</f>
        <v>1379161.0196992834</v>
      </c>
      <c r="H185" s="359" t="str">
        <f>'Func Future Lines 2015'!H185</f>
        <v>AltaLink</v>
      </c>
      <c r="I185" s="359">
        <f>'Func Future Lines 2015'!I185</f>
        <v>2015</v>
      </c>
      <c r="J185" s="361">
        <f>+IF($I185=J$3,VLOOKUP($H185,Depreciation!$A$6:$L$10,7,FALSE)/2,IF($I185&lt;J$3,VLOOKUP($H185,Depreciation!$A$6:$L$10,7,FALSE),0))</f>
        <v>1.595020804044691E-2</v>
      </c>
      <c r="K185" s="361">
        <f>+IF($I185=K$3,VLOOKUP($H185,Depreciation!$A$6:$L$10,8,FALSE)/2,IF($I185&lt;K$3,VLOOKUP($H185,Depreciation!$A$6:$L$10,8,FALSE),0))</f>
        <v>3.0676363676126896E-2</v>
      </c>
      <c r="L185" s="361">
        <f>+IF($I185=L$3,VLOOKUP($H185,Depreciation!$A$6:$L$10,9,FALSE)/2,IF($I185&lt;L$3,VLOOKUP($H185,Depreciation!$A$6:$L$10,9,FALSE),0))</f>
        <v>3.0676363676126896E-2</v>
      </c>
      <c r="M185" s="361">
        <f>+IF($I185=M$3,VLOOKUP($H185,Depreciation!$A$6:$L$10,10,FALSE)/2,IF($I185&lt;M$3,VLOOKUP($H185,Depreciation!$A$6:$L$10,10,FALSE),0))</f>
        <v>3.0676363676126896E-2</v>
      </c>
      <c r="N185" s="361">
        <f>+IF($I185=N$3,VLOOKUP($H185,Depreciation!$A$6:$L$10,11,FALSE)/2,IF($I185&lt;N$3,VLOOKUP($H185,Depreciation!$A$6:$L$10,11,FALSE),0))</f>
        <v>3.0676363676126896E-2</v>
      </c>
      <c r="O185" s="361">
        <f>+IF($I185=O$3,VLOOKUP($H185,Depreciation!$A$6:$L$10,12,FALSE)/2,IF($I185&lt;O$3,VLOOKUP($H185,Depreciation!$A$6:$L$10,12,FALSE),0))</f>
        <v>3.0676363676126896E-2</v>
      </c>
      <c r="P185" s="362">
        <f t="shared" si="7"/>
        <v>1161384.5973497382</v>
      </c>
      <c r="Q185" s="362">
        <f t="shared" si="8"/>
        <v>0</v>
      </c>
      <c r="R185" s="363">
        <f t="shared" si="9"/>
        <v>1161384.5973497382</v>
      </c>
    </row>
    <row r="186" spans="1:18">
      <c r="A186" s="359" t="str">
        <f>'Func Future Lines 2015'!A186</f>
        <v>PPS</v>
      </c>
      <c r="B186" s="359" t="str">
        <f>'Func Future Lines 2015'!B186</f>
        <v>727L salvage_180</v>
      </c>
      <c r="C186" s="359">
        <f>'Func Future Lines 2015'!C186</f>
        <v>1117</v>
      </c>
      <c r="D186" s="359">
        <f>'Func Future Lines 2015'!D186</f>
        <v>138</v>
      </c>
      <c r="E186" s="359">
        <f>'Func Future Lines 2015'!E186</f>
        <v>0</v>
      </c>
      <c r="F186" s="359" t="str">
        <f>'Func Future Lines 2015'!F186</f>
        <v>Calgary</v>
      </c>
      <c r="G186" s="359">
        <f>'Func Future Lines 2015'!G186</f>
        <v>58119.541832429939</v>
      </c>
      <c r="H186" s="359" t="str">
        <f>'Func Future Lines 2015'!H186</f>
        <v>AltaLink</v>
      </c>
      <c r="I186" s="359">
        <f>'Func Future Lines 2015'!I186</f>
        <v>2015</v>
      </c>
      <c r="J186" s="361">
        <f>+IF($I186=J$3,VLOOKUP($H186,Depreciation!$A$6:$L$10,7,FALSE)/2,IF($I186&lt;J$3,VLOOKUP($H186,Depreciation!$A$6:$L$10,7,FALSE),0))</f>
        <v>1.595020804044691E-2</v>
      </c>
      <c r="K186" s="361">
        <f>+IF($I186=K$3,VLOOKUP($H186,Depreciation!$A$6:$L$10,8,FALSE)/2,IF($I186&lt;K$3,VLOOKUP($H186,Depreciation!$A$6:$L$10,8,FALSE),0))</f>
        <v>3.0676363676126896E-2</v>
      </c>
      <c r="L186" s="361">
        <f>+IF($I186=L$3,VLOOKUP($H186,Depreciation!$A$6:$L$10,9,FALSE)/2,IF($I186&lt;L$3,VLOOKUP($H186,Depreciation!$A$6:$L$10,9,FALSE),0))</f>
        <v>3.0676363676126896E-2</v>
      </c>
      <c r="M186" s="361">
        <f>+IF($I186=M$3,VLOOKUP($H186,Depreciation!$A$6:$L$10,10,FALSE)/2,IF($I186&lt;M$3,VLOOKUP($H186,Depreciation!$A$6:$L$10,10,FALSE),0))</f>
        <v>3.0676363676126896E-2</v>
      </c>
      <c r="N186" s="361">
        <f>+IF($I186=N$3,VLOOKUP($H186,Depreciation!$A$6:$L$10,11,FALSE)/2,IF($I186&lt;N$3,VLOOKUP($H186,Depreciation!$A$6:$L$10,11,FALSE),0))</f>
        <v>3.0676363676126896E-2</v>
      </c>
      <c r="O186" s="361">
        <f>+IF($I186=O$3,VLOOKUP($H186,Depreciation!$A$6:$L$10,12,FALSE)/2,IF($I186&lt;O$3,VLOOKUP($H186,Depreciation!$A$6:$L$10,12,FALSE),0))</f>
        <v>3.0676363676126896E-2</v>
      </c>
      <c r="P186" s="362">
        <f t="shared" si="7"/>
        <v>48942.175514738403</v>
      </c>
      <c r="Q186" s="362">
        <f t="shared" si="8"/>
        <v>0</v>
      </c>
      <c r="R186" s="363">
        <f t="shared" si="9"/>
        <v>48942.175514738403</v>
      </c>
    </row>
    <row r="187" spans="1:18">
      <c r="A187" s="359" t="str">
        <f>'Func Future Lines 2015'!A187</f>
        <v>PPS</v>
      </c>
      <c r="B187" s="359" t="str">
        <f>'Func Future Lines 2015'!B187</f>
        <v>727L temporary_180</v>
      </c>
      <c r="C187" s="359">
        <f>'Func Future Lines 2015'!C187</f>
        <v>1117</v>
      </c>
      <c r="D187" s="359">
        <f>'Func Future Lines 2015'!D187</f>
        <v>138</v>
      </c>
      <c r="E187" s="359">
        <f>'Func Future Lines 2015'!E187</f>
        <v>0</v>
      </c>
      <c r="F187" s="359" t="str">
        <f>'Func Future Lines 2015'!F187</f>
        <v>Calgary</v>
      </c>
      <c r="G187" s="359">
        <f>'Func Future Lines 2015'!G187</f>
        <v>113097.48680905285</v>
      </c>
      <c r="H187" s="359" t="str">
        <f>'Func Future Lines 2015'!H187</f>
        <v>AltaLink</v>
      </c>
      <c r="I187" s="359">
        <f>'Func Future Lines 2015'!I187</f>
        <v>2015</v>
      </c>
      <c r="J187" s="361">
        <f>+IF($I187=J$3,VLOOKUP($H187,Depreciation!$A$6:$L$10,7,FALSE)/2,IF($I187&lt;J$3,VLOOKUP($H187,Depreciation!$A$6:$L$10,7,FALSE),0))</f>
        <v>1.595020804044691E-2</v>
      </c>
      <c r="K187" s="361">
        <f>+IF($I187=K$3,VLOOKUP($H187,Depreciation!$A$6:$L$10,8,FALSE)/2,IF($I187&lt;K$3,VLOOKUP($H187,Depreciation!$A$6:$L$10,8,FALSE),0))</f>
        <v>3.0676363676126896E-2</v>
      </c>
      <c r="L187" s="361">
        <f>+IF($I187=L$3,VLOOKUP($H187,Depreciation!$A$6:$L$10,9,FALSE)/2,IF($I187&lt;L$3,VLOOKUP($H187,Depreciation!$A$6:$L$10,9,FALSE),0))</f>
        <v>3.0676363676126896E-2</v>
      </c>
      <c r="M187" s="361">
        <f>+IF($I187=M$3,VLOOKUP($H187,Depreciation!$A$6:$L$10,10,FALSE)/2,IF($I187&lt;M$3,VLOOKUP($H187,Depreciation!$A$6:$L$10,10,FALSE),0))</f>
        <v>3.0676363676126896E-2</v>
      </c>
      <c r="N187" s="361">
        <f>+IF($I187=N$3,VLOOKUP($H187,Depreciation!$A$6:$L$10,11,FALSE)/2,IF($I187&lt;N$3,VLOOKUP($H187,Depreciation!$A$6:$L$10,11,FALSE),0))</f>
        <v>3.0676363676126896E-2</v>
      </c>
      <c r="O187" s="361">
        <f>+IF($I187=O$3,VLOOKUP($H187,Depreciation!$A$6:$L$10,12,FALSE)/2,IF($I187&lt;O$3,VLOOKUP($H187,Depreciation!$A$6:$L$10,12,FALSE),0))</f>
        <v>3.0676363676126896E-2</v>
      </c>
      <c r="P187" s="362">
        <f t="shared" si="7"/>
        <v>95238.828028680116</v>
      </c>
      <c r="Q187" s="362">
        <f t="shared" si="8"/>
        <v>0</v>
      </c>
      <c r="R187" s="363">
        <f t="shared" si="9"/>
        <v>95238.828028680116</v>
      </c>
    </row>
    <row r="188" spans="1:18">
      <c r="A188" s="359" t="str">
        <f>'Func Future Lines 2015'!A188</f>
        <v>PPS</v>
      </c>
      <c r="B188" s="359" t="str">
        <f>'Func Future Lines 2015'!B188</f>
        <v>727L/646L rebuild to d/c_180</v>
      </c>
      <c r="C188" s="359">
        <f>'Func Future Lines 2015'!C188</f>
        <v>1117</v>
      </c>
      <c r="D188" s="359">
        <f>'Func Future Lines 2015'!D188</f>
        <v>138</v>
      </c>
      <c r="E188" s="359">
        <f>'Func Future Lines 2015'!E188</f>
        <v>0</v>
      </c>
      <c r="F188" s="359" t="str">
        <f>'Func Future Lines 2015'!F188</f>
        <v>Calgary</v>
      </c>
      <c r="G188" s="359">
        <f>'Func Future Lines 2015'!G188</f>
        <v>10552623.838655792</v>
      </c>
      <c r="H188" s="359" t="str">
        <f>'Func Future Lines 2015'!H188</f>
        <v>AltaLink</v>
      </c>
      <c r="I188" s="359">
        <f>'Func Future Lines 2015'!I188</f>
        <v>2015</v>
      </c>
      <c r="J188" s="361">
        <f>+IF($I188=J$3,VLOOKUP($H188,Depreciation!$A$6:$L$10,7,FALSE)/2,IF($I188&lt;J$3,VLOOKUP($H188,Depreciation!$A$6:$L$10,7,FALSE),0))</f>
        <v>1.595020804044691E-2</v>
      </c>
      <c r="K188" s="361">
        <f>+IF($I188=K$3,VLOOKUP($H188,Depreciation!$A$6:$L$10,8,FALSE)/2,IF($I188&lt;K$3,VLOOKUP($H188,Depreciation!$A$6:$L$10,8,FALSE),0))</f>
        <v>3.0676363676126896E-2</v>
      </c>
      <c r="L188" s="361">
        <f>+IF($I188=L$3,VLOOKUP($H188,Depreciation!$A$6:$L$10,9,FALSE)/2,IF($I188&lt;L$3,VLOOKUP($H188,Depreciation!$A$6:$L$10,9,FALSE),0))</f>
        <v>3.0676363676126896E-2</v>
      </c>
      <c r="M188" s="361">
        <f>+IF($I188=M$3,VLOOKUP($H188,Depreciation!$A$6:$L$10,10,FALSE)/2,IF($I188&lt;M$3,VLOOKUP($H188,Depreciation!$A$6:$L$10,10,FALSE),0))</f>
        <v>3.0676363676126896E-2</v>
      </c>
      <c r="N188" s="361">
        <f>+IF($I188=N$3,VLOOKUP($H188,Depreciation!$A$6:$L$10,11,FALSE)/2,IF($I188&lt;N$3,VLOOKUP($H188,Depreciation!$A$6:$L$10,11,FALSE),0))</f>
        <v>3.0676363676126896E-2</v>
      </c>
      <c r="O188" s="361">
        <f>+IF($I188=O$3,VLOOKUP($H188,Depreciation!$A$6:$L$10,12,FALSE)/2,IF($I188&lt;O$3,VLOOKUP($H188,Depreciation!$A$6:$L$10,12,FALSE),0))</f>
        <v>3.0676363676126896E-2</v>
      </c>
      <c r="P188" s="362">
        <f t="shared" si="7"/>
        <v>8886311.7596760169</v>
      </c>
      <c r="Q188" s="362">
        <f t="shared" si="8"/>
        <v>0</v>
      </c>
      <c r="R188" s="363">
        <f t="shared" si="9"/>
        <v>8886311.7596760169</v>
      </c>
    </row>
    <row r="189" spans="1:18">
      <c r="A189" s="359" t="str">
        <f>'Func Future Lines 2015'!A189</f>
        <v>PPS</v>
      </c>
      <c r="B189" s="359" t="str">
        <f>'Func Future Lines 2015'!B189</f>
        <v>727L/646L rebuild to d/c_180</v>
      </c>
      <c r="C189" s="359">
        <f>'Func Future Lines 2015'!C189</f>
        <v>1117</v>
      </c>
      <c r="D189" s="359">
        <f>'Func Future Lines 2015'!D189</f>
        <v>138</v>
      </c>
      <c r="E189" s="359">
        <f>'Func Future Lines 2015'!E189</f>
        <v>0</v>
      </c>
      <c r="F189" s="359" t="str">
        <f>'Func Future Lines 2015'!F189</f>
        <v>Calgary</v>
      </c>
      <c r="G189" s="359">
        <f>'Func Future Lines 2015'!G189</f>
        <v>6925650.2686265837</v>
      </c>
      <c r="H189" s="359" t="str">
        <f>'Func Future Lines 2015'!H189</f>
        <v>AltaLink</v>
      </c>
      <c r="I189" s="359">
        <f>'Func Future Lines 2015'!I189</f>
        <v>2015</v>
      </c>
      <c r="J189" s="361">
        <f>+IF($I189=J$3,VLOOKUP($H189,Depreciation!$A$6:$L$10,7,FALSE)/2,IF($I189&lt;J$3,VLOOKUP($H189,Depreciation!$A$6:$L$10,7,FALSE),0))</f>
        <v>1.595020804044691E-2</v>
      </c>
      <c r="K189" s="361">
        <f>+IF($I189=K$3,VLOOKUP($H189,Depreciation!$A$6:$L$10,8,FALSE)/2,IF($I189&lt;K$3,VLOOKUP($H189,Depreciation!$A$6:$L$10,8,FALSE),0))</f>
        <v>3.0676363676126896E-2</v>
      </c>
      <c r="L189" s="361">
        <f>+IF($I189=L$3,VLOOKUP($H189,Depreciation!$A$6:$L$10,9,FALSE)/2,IF($I189&lt;L$3,VLOOKUP($H189,Depreciation!$A$6:$L$10,9,FALSE),0))</f>
        <v>3.0676363676126896E-2</v>
      </c>
      <c r="M189" s="361">
        <f>+IF($I189=M$3,VLOOKUP($H189,Depreciation!$A$6:$L$10,10,FALSE)/2,IF($I189&lt;M$3,VLOOKUP($H189,Depreciation!$A$6:$L$10,10,FALSE),0))</f>
        <v>3.0676363676126896E-2</v>
      </c>
      <c r="N189" s="361">
        <f>+IF($I189=N$3,VLOOKUP($H189,Depreciation!$A$6:$L$10,11,FALSE)/2,IF($I189&lt;N$3,VLOOKUP($H189,Depreciation!$A$6:$L$10,11,FALSE),0))</f>
        <v>3.0676363676126896E-2</v>
      </c>
      <c r="O189" s="361">
        <f>+IF($I189=O$3,VLOOKUP($H189,Depreciation!$A$6:$L$10,12,FALSE)/2,IF($I189&lt;O$3,VLOOKUP($H189,Depreciation!$A$6:$L$10,12,FALSE),0))</f>
        <v>3.0676363676126896E-2</v>
      </c>
      <c r="P189" s="362">
        <f t="shared" si="7"/>
        <v>5832055.4552562591</v>
      </c>
      <c r="Q189" s="362">
        <f t="shared" si="8"/>
        <v>0</v>
      </c>
      <c r="R189" s="363">
        <f t="shared" si="9"/>
        <v>5832055.4552562591</v>
      </c>
    </row>
    <row r="190" spans="1:18">
      <c r="A190" s="359" t="str">
        <f>'Func Future Lines 2015'!A190</f>
        <v>PPS</v>
      </c>
      <c r="B190" s="359" t="str">
        <f>'Func Future Lines 2015'!B190</f>
        <v>850L temporary line_180</v>
      </c>
      <c r="C190" s="359">
        <f>'Func Future Lines 2015'!C190</f>
        <v>1117</v>
      </c>
      <c r="D190" s="359">
        <f>'Func Future Lines 2015'!D190</f>
        <v>240</v>
      </c>
      <c r="E190" s="359">
        <f>'Func Future Lines 2015'!E190</f>
        <v>0</v>
      </c>
      <c r="F190" s="359">
        <f>'Func Future Lines 2015'!F190</f>
        <v>0</v>
      </c>
      <c r="G190" s="359">
        <f>'Func Future Lines 2015'!G190</f>
        <v>6383232.2672256418</v>
      </c>
      <c r="H190" s="359" t="str">
        <f>'Func Future Lines 2015'!H190</f>
        <v>AltaLink</v>
      </c>
      <c r="I190" s="359">
        <f>'Func Future Lines 2015'!I190</f>
        <v>2015</v>
      </c>
      <c r="J190" s="361">
        <f>+IF($I190=J$3,VLOOKUP($H190,Depreciation!$A$6:$L$10,7,FALSE)/2,IF($I190&lt;J$3,VLOOKUP($H190,Depreciation!$A$6:$L$10,7,FALSE),0))</f>
        <v>1.595020804044691E-2</v>
      </c>
      <c r="K190" s="361">
        <f>+IF($I190=K$3,VLOOKUP($H190,Depreciation!$A$6:$L$10,8,FALSE)/2,IF($I190&lt;K$3,VLOOKUP($H190,Depreciation!$A$6:$L$10,8,FALSE),0))</f>
        <v>3.0676363676126896E-2</v>
      </c>
      <c r="L190" s="361">
        <f>+IF($I190=L$3,VLOOKUP($H190,Depreciation!$A$6:$L$10,9,FALSE)/2,IF($I190&lt;L$3,VLOOKUP($H190,Depreciation!$A$6:$L$10,9,FALSE),0))</f>
        <v>3.0676363676126896E-2</v>
      </c>
      <c r="M190" s="361">
        <f>+IF($I190=M$3,VLOOKUP($H190,Depreciation!$A$6:$L$10,10,FALSE)/2,IF($I190&lt;M$3,VLOOKUP($H190,Depreciation!$A$6:$L$10,10,FALSE),0))</f>
        <v>3.0676363676126896E-2</v>
      </c>
      <c r="N190" s="361">
        <f>+IF($I190=N$3,VLOOKUP($H190,Depreciation!$A$6:$L$10,11,FALSE)/2,IF($I190&lt;N$3,VLOOKUP($H190,Depreciation!$A$6:$L$10,11,FALSE),0))</f>
        <v>3.0676363676126896E-2</v>
      </c>
      <c r="O190" s="361">
        <f>+IF($I190=O$3,VLOOKUP($H190,Depreciation!$A$6:$L$10,12,FALSE)/2,IF($I190&lt;O$3,VLOOKUP($H190,Depreciation!$A$6:$L$10,12,FALSE),0))</f>
        <v>3.0676363676126896E-2</v>
      </c>
      <c r="P190" s="362">
        <f t="shared" si="7"/>
        <v>5375287.968969821</v>
      </c>
      <c r="Q190" s="362">
        <f t="shared" si="8"/>
        <v>5375287.968969821</v>
      </c>
      <c r="R190" s="363">
        <f t="shared" si="9"/>
        <v>0</v>
      </c>
    </row>
    <row r="191" spans="1:18">
      <c r="A191" s="359" t="str">
        <f>'Func Future Lines 2015'!A191</f>
        <v>PPS</v>
      </c>
      <c r="B191" s="359" t="str">
        <f>'Func Future Lines 2015'!B191</f>
        <v>850L/911L salvage_180</v>
      </c>
      <c r="C191" s="359">
        <f>'Func Future Lines 2015'!C191</f>
        <v>1117</v>
      </c>
      <c r="D191" s="359">
        <f>'Func Future Lines 2015'!D191</f>
        <v>240</v>
      </c>
      <c r="E191" s="359">
        <f>'Func Future Lines 2015'!E191</f>
        <v>0</v>
      </c>
      <c r="F191" s="359">
        <f>'Func Future Lines 2015'!F191</f>
        <v>0</v>
      </c>
      <c r="G191" s="359">
        <f>'Func Future Lines 2015'!G191</f>
        <v>40534.58651700589</v>
      </c>
      <c r="H191" s="359" t="str">
        <f>'Func Future Lines 2015'!H191</f>
        <v>AltaLink</v>
      </c>
      <c r="I191" s="359">
        <f>'Func Future Lines 2015'!I191</f>
        <v>2015</v>
      </c>
      <c r="J191" s="361">
        <f>+IF($I191=J$3,VLOOKUP($H191,Depreciation!$A$6:$L$10,7,FALSE)/2,IF($I191&lt;J$3,VLOOKUP($H191,Depreciation!$A$6:$L$10,7,FALSE),0))</f>
        <v>1.595020804044691E-2</v>
      </c>
      <c r="K191" s="361">
        <f>+IF($I191=K$3,VLOOKUP($H191,Depreciation!$A$6:$L$10,8,FALSE)/2,IF($I191&lt;K$3,VLOOKUP($H191,Depreciation!$A$6:$L$10,8,FALSE),0))</f>
        <v>3.0676363676126896E-2</v>
      </c>
      <c r="L191" s="361">
        <f>+IF($I191=L$3,VLOOKUP($H191,Depreciation!$A$6:$L$10,9,FALSE)/2,IF($I191&lt;L$3,VLOOKUP($H191,Depreciation!$A$6:$L$10,9,FALSE),0))</f>
        <v>3.0676363676126896E-2</v>
      </c>
      <c r="M191" s="361">
        <f>+IF($I191=M$3,VLOOKUP($H191,Depreciation!$A$6:$L$10,10,FALSE)/2,IF($I191&lt;M$3,VLOOKUP($H191,Depreciation!$A$6:$L$10,10,FALSE),0))</f>
        <v>3.0676363676126896E-2</v>
      </c>
      <c r="N191" s="361">
        <f>+IF($I191=N$3,VLOOKUP($H191,Depreciation!$A$6:$L$10,11,FALSE)/2,IF($I191&lt;N$3,VLOOKUP($H191,Depreciation!$A$6:$L$10,11,FALSE),0))</f>
        <v>3.0676363676126896E-2</v>
      </c>
      <c r="O191" s="361">
        <f>+IF($I191=O$3,VLOOKUP($H191,Depreciation!$A$6:$L$10,12,FALSE)/2,IF($I191&lt;O$3,VLOOKUP($H191,Depreciation!$A$6:$L$10,12,FALSE),0))</f>
        <v>3.0676363676126896E-2</v>
      </c>
      <c r="P191" s="362">
        <f t="shared" si="7"/>
        <v>34133.972587954704</v>
      </c>
      <c r="Q191" s="362">
        <f t="shared" si="8"/>
        <v>34133.972587954704</v>
      </c>
      <c r="R191" s="363">
        <f t="shared" si="9"/>
        <v>0</v>
      </c>
    </row>
    <row r="192" spans="1:18">
      <c r="A192" s="359" t="str">
        <f>'Func Future Lines 2015'!A192</f>
        <v>PPS</v>
      </c>
      <c r="B192" s="359" t="str">
        <f>'Func Future Lines 2015'!B192</f>
        <v>850L/911L_(v180)</v>
      </c>
      <c r="C192" s="359">
        <f>'Func Future Lines 2015'!C192</f>
        <v>1117</v>
      </c>
      <c r="D192" s="359">
        <f>'Func Future Lines 2015'!D192</f>
        <v>240</v>
      </c>
      <c r="E192" s="359">
        <f>'Func Future Lines 2015'!E192</f>
        <v>0</v>
      </c>
      <c r="F192" s="359" t="str">
        <f>'Func Future Lines 2015'!F192</f>
        <v>Calgary</v>
      </c>
      <c r="G192" s="359">
        <f>'Func Future Lines 2015'!G192</f>
        <v>4954996.4948249059</v>
      </c>
      <c r="H192" s="359" t="str">
        <f>'Func Future Lines 2015'!H192</f>
        <v>AltaLink</v>
      </c>
      <c r="I192" s="359">
        <f>'Func Future Lines 2015'!I192</f>
        <v>2015</v>
      </c>
      <c r="J192" s="361">
        <f>+IF($I192=J$3,VLOOKUP($H192,Depreciation!$A$6:$L$10,7,FALSE)/2,IF($I192&lt;J$3,VLOOKUP($H192,Depreciation!$A$6:$L$10,7,FALSE),0))</f>
        <v>1.595020804044691E-2</v>
      </c>
      <c r="K192" s="361">
        <f>+IF($I192=K$3,VLOOKUP($H192,Depreciation!$A$6:$L$10,8,FALSE)/2,IF($I192&lt;K$3,VLOOKUP($H192,Depreciation!$A$6:$L$10,8,FALSE),0))</f>
        <v>3.0676363676126896E-2</v>
      </c>
      <c r="L192" s="361">
        <f>+IF($I192=L$3,VLOOKUP($H192,Depreciation!$A$6:$L$10,9,FALSE)/2,IF($I192&lt;L$3,VLOOKUP($H192,Depreciation!$A$6:$L$10,9,FALSE),0))</f>
        <v>3.0676363676126896E-2</v>
      </c>
      <c r="M192" s="361">
        <f>+IF($I192=M$3,VLOOKUP($H192,Depreciation!$A$6:$L$10,10,FALSE)/2,IF($I192&lt;M$3,VLOOKUP($H192,Depreciation!$A$6:$L$10,10,FALSE),0))</f>
        <v>3.0676363676126896E-2</v>
      </c>
      <c r="N192" s="361">
        <f>+IF($I192=N$3,VLOOKUP($H192,Depreciation!$A$6:$L$10,11,FALSE)/2,IF($I192&lt;N$3,VLOOKUP($H192,Depreciation!$A$6:$L$10,11,FALSE),0))</f>
        <v>3.0676363676126896E-2</v>
      </c>
      <c r="O192" s="361">
        <f>+IF($I192=O$3,VLOOKUP($H192,Depreciation!$A$6:$L$10,12,FALSE)/2,IF($I192&lt;O$3,VLOOKUP($H192,Depreciation!$A$6:$L$10,12,FALSE),0))</f>
        <v>3.0676363676126896E-2</v>
      </c>
      <c r="P192" s="362">
        <f t="shared" si="7"/>
        <v>4172577.7677985351</v>
      </c>
      <c r="Q192" s="362">
        <f t="shared" si="8"/>
        <v>4172577.7677985351</v>
      </c>
      <c r="R192" s="363">
        <f t="shared" si="9"/>
        <v>0</v>
      </c>
    </row>
    <row r="193" spans="1:18">
      <c r="A193" s="359" t="str">
        <f>'Func Future Lines 2015'!A193</f>
        <v>PPS</v>
      </c>
      <c r="B193" s="359" t="str">
        <f>'Func Future Lines 2015'!B193</f>
        <v>850L/911L_(v180)</v>
      </c>
      <c r="C193" s="359">
        <f>'Func Future Lines 2015'!C193</f>
        <v>1117</v>
      </c>
      <c r="D193" s="359">
        <f>'Func Future Lines 2015'!D193</f>
        <v>240</v>
      </c>
      <c r="E193" s="359">
        <f>'Func Future Lines 2015'!E193</f>
        <v>0</v>
      </c>
      <c r="F193" s="359" t="str">
        <f>'Func Future Lines 2015'!F193</f>
        <v>Calgary</v>
      </c>
      <c r="G193" s="359">
        <f>'Func Future Lines 2015'!G193</f>
        <v>6050519.460335305</v>
      </c>
      <c r="H193" s="359" t="str">
        <f>'Func Future Lines 2015'!H193</f>
        <v>AltaLink</v>
      </c>
      <c r="I193" s="359">
        <f>'Func Future Lines 2015'!I193</f>
        <v>2015</v>
      </c>
      <c r="J193" s="361">
        <f>+IF($I193=J$3,VLOOKUP($H193,Depreciation!$A$6:$L$10,7,FALSE)/2,IF($I193&lt;J$3,VLOOKUP($H193,Depreciation!$A$6:$L$10,7,FALSE),0))</f>
        <v>1.595020804044691E-2</v>
      </c>
      <c r="K193" s="361">
        <f>+IF($I193=K$3,VLOOKUP($H193,Depreciation!$A$6:$L$10,8,FALSE)/2,IF($I193&lt;K$3,VLOOKUP($H193,Depreciation!$A$6:$L$10,8,FALSE),0))</f>
        <v>3.0676363676126896E-2</v>
      </c>
      <c r="L193" s="361">
        <f>+IF($I193=L$3,VLOOKUP($H193,Depreciation!$A$6:$L$10,9,FALSE)/2,IF($I193&lt;L$3,VLOOKUP($H193,Depreciation!$A$6:$L$10,9,FALSE),0))</f>
        <v>3.0676363676126896E-2</v>
      </c>
      <c r="M193" s="361">
        <f>+IF($I193=M$3,VLOOKUP($H193,Depreciation!$A$6:$L$10,10,FALSE)/2,IF($I193&lt;M$3,VLOOKUP($H193,Depreciation!$A$6:$L$10,10,FALSE),0))</f>
        <v>3.0676363676126896E-2</v>
      </c>
      <c r="N193" s="361">
        <f>+IF($I193=N$3,VLOOKUP($H193,Depreciation!$A$6:$L$10,11,FALSE)/2,IF($I193&lt;N$3,VLOOKUP($H193,Depreciation!$A$6:$L$10,11,FALSE),0))</f>
        <v>3.0676363676126896E-2</v>
      </c>
      <c r="O193" s="361">
        <f>+IF($I193=O$3,VLOOKUP($H193,Depreciation!$A$6:$L$10,12,FALSE)/2,IF($I193&lt;O$3,VLOOKUP($H193,Depreciation!$A$6:$L$10,12,FALSE),0))</f>
        <v>3.0676363676126896E-2</v>
      </c>
      <c r="P193" s="362">
        <f t="shared" si="7"/>
        <v>5095112.1782215536</v>
      </c>
      <c r="Q193" s="362">
        <f t="shared" si="8"/>
        <v>5095112.1782215536</v>
      </c>
      <c r="R193" s="363">
        <f t="shared" si="9"/>
        <v>0</v>
      </c>
    </row>
    <row r="194" spans="1:18">
      <c r="A194" s="359" t="str">
        <f>'Func Future Lines 2015'!A194</f>
        <v>PPS</v>
      </c>
      <c r="B194" s="359" t="str">
        <f>'Func Future Lines 2015'!B194</f>
        <v>911L temporary line_180</v>
      </c>
      <c r="C194" s="359">
        <f>'Func Future Lines 2015'!C194</f>
        <v>1117</v>
      </c>
      <c r="D194" s="359">
        <f>'Func Future Lines 2015'!D194</f>
        <v>240</v>
      </c>
      <c r="E194" s="359">
        <f>'Func Future Lines 2015'!E194</f>
        <v>0</v>
      </c>
      <c r="F194" s="359">
        <f>'Func Future Lines 2015'!F194</f>
        <v>0</v>
      </c>
      <c r="G194" s="359">
        <f>'Func Future Lines 2015'!G194</f>
        <v>5690283.8596253982</v>
      </c>
      <c r="H194" s="359" t="str">
        <f>'Func Future Lines 2015'!H194</f>
        <v>AltaLink</v>
      </c>
      <c r="I194" s="359">
        <f>'Func Future Lines 2015'!I194</f>
        <v>2015</v>
      </c>
      <c r="J194" s="361">
        <f>+IF($I194=J$3,VLOOKUP($H194,Depreciation!$A$6:$L$10,7,FALSE)/2,IF($I194&lt;J$3,VLOOKUP($H194,Depreciation!$A$6:$L$10,7,FALSE),0))</f>
        <v>1.595020804044691E-2</v>
      </c>
      <c r="K194" s="361">
        <f>+IF($I194=K$3,VLOOKUP($H194,Depreciation!$A$6:$L$10,8,FALSE)/2,IF($I194&lt;K$3,VLOOKUP($H194,Depreciation!$A$6:$L$10,8,FALSE),0))</f>
        <v>3.0676363676126896E-2</v>
      </c>
      <c r="L194" s="361">
        <f>+IF($I194=L$3,VLOOKUP($H194,Depreciation!$A$6:$L$10,9,FALSE)/2,IF($I194&lt;L$3,VLOOKUP($H194,Depreciation!$A$6:$L$10,9,FALSE),0))</f>
        <v>3.0676363676126896E-2</v>
      </c>
      <c r="M194" s="361">
        <f>+IF($I194=M$3,VLOOKUP($H194,Depreciation!$A$6:$L$10,10,FALSE)/2,IF($I194&lt;M$3,VLOOKUP($H194,Depreciation!$A$6:$L$10,10,FALSE),0))</f>
        <v>3.0676363676126896E-2</v>
      </c>
      <c r="N194" s="361">
        <f>+IF($I194=N$3,VLOOKUP($H194,Depreciation!$A$6:$L$10,11,FALSE)/2,IF($I194&lt;N$3,VLOOKUP($H194,Depreciation!$A$6:$L$10,11,FALSE),0))</f>
        <v>3.0676363676126896E-2</v>
      </c>
      <c r="O194" s="361">
        <f>+IF($I194=O$3,VLOOKUP($H194,Depreciation!$A$6:$L$10,12,FALSE)/2,IF($I194&lt;O$3,VLOOKUP($H194,Depreciation!$A$6:$L$10,12,FALSE),0))</f>
        <v>3.0676363676126896E-2</v>
      </c>
      <c r="P194" s="362">
        <f t="shared" si="7"/>
        <v>4791759.5804424034</v>
      </c>
      <c r="Q194" s="362">
        <f t="shared" si="8"/>
        <v>4791759.5804424034</v>
      </c>
      <c r="R194" s="363">
        <f t="shared" si="9"/>
        <v>0</v>
      </c>
    </row>
    <row r="195" spans="1:18">
      <c r="A195" s="359" t="str">
        <f>'Func Future Lines 2015'!A195</f>
        <v>PPS</v>
      </c>
      <c r="B195" s="359" t="str">
        <f>'Func Future Lines 2015'!B195</f>
        <v>936L/937L_(v180)</v>
      </c>
      <c r="C195" s="359">
        <f>'Func Future Lines 2015'!C195</f>
        <v>1117</v>
      </c>
      <c r="D195" s="359">
        <f>'Func Future Lines 2015'!D195</f>
        <v>240</v>
      </c>
      <c r="E195" s="359">
        <f>'Func Future Lines 2015'!E195</f>
        <v>0</v>
      </c>
      <c r="F195" s="359" t="str">
        <f>'Func Future Lines 2015'!F195</f>
        <v>Calgary</v>
      </c>
      <c r="G195" s="359">
        <f>'Func Future Lines 2015'!G195</f>
        <v>5966110.3138123723</v>
      </c>
      <c r="H195" s="359" t="str">
        <f>'Func Future Lines 2015'!H195</f>
        <v>AltaLink</v>
      </c>
      <c r="I195" s="359">
        <f>'Func Future Lines 2015'!I195</f>
        <v>2015</v>
      </c>
      <c r="J195" s="361">
        <f>+IF($I195=J$3,VLOOKUP($H195,Depreciation!$A$6:$L$10,7,FALSE)/2,IF($I195&lt;J$3,VLOOKUP($H195,Depreciation!$A$6:$L$10,7,FALSE),0))</f>
        <v>1.595020804044691E-2</v>
      </c>
      <c r="K195" s="361">
        <f>+IF($I195=K$3,VLOOKUP($H195,Depreciation!$A$6:$L$10,8,FALSE)/2,IF($I195&lt;K$3,VLOOKUP($H195,Depreciation!$A$6:$L$10,8,FALSE),0))</f>
        <v>3.0676363676126896E-2</v>
      </c>
      <c r="L195" s="361">
        <f>+IF($I195=L$3,VLOOKUP($H195,Depreciation!$A$6:$L$10,9,FALSE)/2,IF($I195&lt;L$3,VLOOKUP($H195,Depreciation!$A$6:$L$10,9,FALSE),0))</f>
        <v>3.0676363676126896E-2</v>
      </c>
      <c r="M195" s="361">
        <f>+IF($I195=M$3,VLOOKUP($H195,Depreciation!$A$6:$L$10,10,FALSE)/2,IF($I195&lt;M$3,VLOOKUP($H195,Depreciation!$A$6:$L$10,10,FALSE),0))</f>
        <v>3.0676363676126896E-2</v>
      </c>
      <c r="N195" s="361">
        <f>+IF($I195=N$3,VLOOKUP($H195,Depreciation!$A$6:$L$10,11,FALSE)/2,IF($I195&lt;N$3,VLOOKUP($H195,Depreciation!$A$6:$L$10,11,FALSE),0))</f>
        <v>3.0676363676126896E-2</v>
      </c>
      <c r="O195" s="361">
        <f>+IF($I195=O$3,VLOOKUP($H195,Depreciation!$A$6:$L$10,12,FALSE)/2,IF($I195&lt;O$3,VLOOKUP($H195,Depreciation!$A$6:$L$10,12,FALSE),0))</f>
        <v>3.0676363676126896E-2</v>
      </c>
      <c r="P195" s="362">
        <f t="shared" si="7"/>
        <v>5024031.6580742048</v>
      </c>
      <c r="Q195" s="362">
        <f t="shared" si="8"/>
        <v>5024031.6580742048</v>
      </c>
      <c r="R195" s="363">
        <f t="shared" si="9"/>
        <v>0</v>
      </c>
    </row>
    <row r="196" spans="1:18">
      <c r="A196" s="359" t="str">
        <f>'Func Future Lines 2015'!A196</f>
        <v>PPS</v>
      </c>
      <c r="B196" s="359" t="str">
        <f>'Func Future Lines 2015'!B196</f>
        <v>936L/937L_(v180)</v>
      </c>
      <c r="C196" s="359">
        <f>'Func Future Lines 2015'!C196</f>
        <v>1117</v>
      </c>
      <c r="D196" s="359">
        <f>'Func Future Lines 2015'!D196</f>
        <v>240</v>
      </c>
      <c r="E196" s="359">
        <f>'Func Future Lines 2015'!E196</f>
        <v>0</v>
      </c>
      <c r="F196" s="359" t="str">
        <f>'Func Future Lines 2015'!F196</f>
        <v>Calgary</v>
      </c>
      <c r="G196" s="359">
        <f>'Func Future Lines 2015'!G196</f>
        <v>5966110.3138123723</v>
      </c>
      <c r="H196" s="359" t="str">
        <f>'Func Future Lines 2015'!H196</f>
        <v>AltaLink</v>
      </c>
      <c r="I196" s="359">
        <f>'Func Future Lines 2015'!I196</f>
        <v>2015</v>
      </c>
      <c r="J196" s="361">
        <f>+IF($I196=J$3,VLOOKUP($H196,Depreciation!$A$6:$L$10,7,FALSE)/2,IF($I196&lt;J$3,VLOOKUP($H196,Depreciation!$A$6:$L$10,7,FALSE),0))</f>
        <v>1.595020804044691E-2</v>
      </c>
      <c r="K196" s="361">
        <f>+IF($I196=K$3,VLOOKUP($H196,Depreciation!$A$6:$L$10,8,FALSE)/2,IF($I196&lt;K$3,VLOOKUP($H196,Depreciation!$A$6:$L$10,8,FALSE),0))</f>
        <v>3.0676363676126896E-2</v>
      </c>
      <c r="L196" s="361">
        <f>+IF($I196=L$3,VLOOKUP($H196,Depreciation!$A$6:$L$10,9,FALSE)/2,IF($I196&lt;L$3,VLOOKUP($H196,Depreciation!$A$6:$L$10,9,FALSE),0))</f>
        <v>3.0676363676126896E-2</v>
      </c>
      <c r="M196" s="361">
        <f>+IF($I196=M$3,VLOOKUP($H196,Depreciation!$A$6:$L$10,10,FALSE)/2,IF($I196&lt;M$3,VLOOKUP($H196,Depreciation!$A$6:$L$10,10,FALSE),0))</f>
        <v>3.0676363676126896E-2</v>
      </c>
      <c r="N196" s="361">
        <f>+IF($I196=N$3,VLOOKUP($H196,Depreciation!$A$6:$L$10,11,FALSE)/2,IF($I196&lt;N$3,VLOOKUP($H196,Depreciation!$A$6:$L$10,11,FALSE),0))</f>
        <v>3.0676363676126896E-2</v>
      </c>
      <c r="O196" s="361">
        <f>+IF($I196=O$3,VLOOKUP($H196,Depreciation!$A$6:$L$10,12,FALSE)/2,IF($I196&lt;O$3,VLOOKUP($H196,Depreciation!$A$6:$L$10,12,FALSE),0))</f>
        <v>3.0676363676126896E-2</v>
      </c>
      <c r="P196" s="362">
        <f t="shared" si="7"/>
        <v>5024031.6580742048</v>
      </c>
      <c r="Q196" s="362">
        <f t="shared" si="8"/>
        <v>5024031.6580742048</v>
      </c>
      <c r="R196" s="363">
        <f t="shared" si="9"/>
        <v>0</v>
      </c>
    </row>
    <row r="197" spans="1:18">
      <c r="A197" s="359" t="str">
        <f>'Func Future Lines 2015'!A197</f>
        <v>PPS</v>
      </c>
      <c r="B197" s="359" t="str">
        <f>'Func Future Lines 2015'!B197</f>
        <v>937L UG_(v180)</v>
      </c>
      <c r="C197" s="359">
        <f>'Func Future Lines 2015'!C197</f>
        <v>1117</v>
      </c>
      <c r="D197" s="359">
        <f>'Func Future Lines 2015'!D197</f>
        <v>240</v>
      </c>
      <c r="E197" s="359">
        <f>'Func Future Lines 2015'!E197</f>
        <v>0</v>
      </c>
      <c r="F197" s="359" t="str">
        <f>'Func Future Lines 2015'!F197</f>
        <v>Calgary</v>
      </c>
      <c r="G197" s="359">
        <f>'Func Future Lines 2015'!G197</f>
        <v>6197786.4819285059</v>
      </c>
      <c r="H197" s="359" t="str">
        <f>'Func Future Lines 2015'!H197</f>
        <v>AltaLink</v>
      </c>
      <c r="I197" s="359">
        <f>'Func Future Lines 2015'!I197</f>
        <v>2015</v>
      </c>
      <c r="J197" s="361">
        <f>+IF($I197=J$3,VLOOKUP($H197,Depreciation!$A$6:$L$10,7,FALSE)/2,IF($I197&lt;J$3,VLOOKUP($H197,Depreciation!$A$6:$L$10,7,FALSE),0))</f>
        <v>1.595020804044691E-2</v>
      </c>
      <c r="K197" s="361">
        <f>+IF($I197=K$3,VLOOKUP($H197,Depreciation!$A$6:$L$10,8,FALSE)/2,IF($I197&lt;K$3,VLOOKUP($H197,Depreciation!$A$6:$L$10,8,FALSE),0))</f>
        <v>3.0676363676126896E-2</v>
      </c>
      <c r="L197" s="361">
        <f>+IF($I197=L$3,VLOOKUP($H197,Depreciation!$A$6:$L$10,9,FALSE)/2,IF($I197&lt;L$3,VLOOKUP($H197,Depreciation!$A$6:$L$10,9,FALSE),0))</f>
        <v>3.0676363676126896E-2</v>
      </c>
      <c r="M197" s="361">
        <f>+IF($I197=M$3,VLOOKUP($H197,Depreciation!$A$6:$L$10,10,FALSE)/2,IF($I197&lt;M$3,VLOOKUP($H197,Depreciation!$A$6:$L$10,10,FALSE),0))</f>
        <v>3.0676363676126896E-2</v>
      </c>
      <c r="N197" s="361">
        <f>+IF($I197=N$3,VLOOKUP($H197,Depreciation!$A$6:$L$10,11,FALSE)/2,IF($I197&lt;N$3,VLOOKUP($H197,Depreciation!$A$6:$L$10,11,FALSE),0))</f>
        <v>3.0676363676126896E-2</v>
      </c>
      <c r="O197" s="361">
        <f>+IF($I197=O$3,VLOOKUP($H197,Depreciation!$A$6:$L$10,12,FALSE)/2,IF($I197&lt;O$3,VLOOKUP($H197,Depreciation!$A$6:$L$10,12,FALSE),0))</f>
        <v>3.0676363676126896E-2</v>
      </c>
      <c r="P197" s="362">
        <f t="shared" ref="P197:P260" si="10">IF(I197&lt;=2020,G197*(1-J197)*(1-K197)*(1-L197)*(1-M197)*(1-N197)*(1-O197),0)</f>
        <v>5219125.0006062863</v>
      </c>
      <c r="Q197" s="362">
        <f t="shared" ref="Q197:Q260" si="11">IF(D197&gt;=240,P197,0)</f>
        <v>5219125.0006062863</v>
      </c>
      <c r="R197" s="363">
        <f t="shared" ref="R197:R260" si="12">IF(AND(D197&gt;25,D197&lt;240),P197,0)</f>
        <v>0</v>
      </c>
    </row>
    <row r="198" spans="1:18">
      <c r="A198" s="359" t="str">
        <f>'Func Future Lines 2015'!A198</f>
        <v>PPS</v>
      </c>
      <c r="B198" s="359" t="str">
        <f>'Func Future Lines 2015'!B198</f>
        <v>7L167 Transmission Line</v>
      </c>
      <c r="C198" s="359">
        <f>'Func Future Lines 2015'!C198</f>
        <v>1128</v>
      </c>
      <c r="D198" s="359">
        <f>'Func Future Lines 2015'!D198</f>
        <v>144</v>
      </c>
      <c r="E198" s="359">
        <f>'Func Future Lines 2015'!E198</f>
        <v>0</v>
      </c>
      <c r="F198" s="359" t="str">
        <f>'Func Future Lines 2015'!F198</f>
        <v>Fort McMurray</v>
      </c>
      <c r="G198" s="359">
        <f>'Func Future Lines 2015'!G198</f>
        <v>5836667.1107417718</v>
      </c>
      <c r="H198" s="359" t="str">
        <f>'Func Future Lines 2015'!H198</f>
        <v>ATCO</v>
      </c>
      <c r="I198" s="359">
        <f>'Func Future Lines 2015'!I198</f>
        <v>2015</v>
      </c>
      <c r="J198" s="361">
        <f>+IF($I198=J$3,VLOOKUP($H198,Depreciation!$A$6:$L$10,7,FALSE)/2,IF($I198&lt;J$3,VLOOKUP($H198,Depreciation!$A$6:$L$10,7,FALSE),0))</f>
        <v>1.239102859091515E-2</v>
      </c>
      <c r="K198" s="361">
        <f>+IF($I198=K$3,VLOOKUP($H198,Depreciation!$A$6:$L$10,8,FALSE)/2,IF($I198&lt;K$3,VLOOKUP($H198,Depreciation!$A$6:$L$10,8,FALSE),0))</f>
        <v>2.3943859731006666E-2</v>
      </c>
      <c r="L198" s="361">
        <f>+IF($I198=L$3,VLOOKUP($H198,Depreciation!$A$6:$L$10,9,FALSE)/2,IF($I198&lt;L$3,VLOOKUP($H198,Depreciation!$A$6:$L$10,9,FALSE),0))</f>
        <v>2.4002037926855919E-2</v>
      </c>
      <c r="M198" s="361">
        <f>+IF($I198=M$3,VLOOKUP($H198,Depreciation!$A$6:$L$10,10,FALSE)/2,IF($I198&lt;M$3,VLOOKUP($H198,Depreciation!$A$6:$L$10,10,FALSE),0))</f>
        <v>2.4002037926855919E-2</v>
      </c>
      <c r="N198" s="361">
        <f>+IF($I198=N$3,VLOOKUP($H198,Depreciation!$A$6:$L$10,11,FALSE)/2,IF($I198&lt;N$3,VLOOKUP($H198,Depreciation!$A$6:$L$10,11,FALSE),0))</f>
        <v>2.4002037926855919E-2</v>
      </c>
      <c r="O198" s="361">
        <f>+IF($I198=O$3,VLOOKUP($H198,Depreciation!$A$6:$L$10,12,FALSE)/2,IF($I198&lt;O$3,VLOOKUP($H198,Depreciation!$A$6:$L$10,12,FALSE),0))</f>
        <v>2.4002037926855919E-2</v>
      </c>
      <c r="P198" s="362">
        <f t="shared" si="10"/>
        <v>5105289.7103113998</v>
      </c>
      <c r="Q198" s="362">
        <f t="shared" si="11"/>
        <v>0</v>
      </c>
      <c r="R198" s="363">
        <f t="shared" si="12"/>
        <v>5105289.7103113998</v>
      </c>
    </row>
    <row r="199" spans="1:18">
      <c r="A199" s="359" t="str">
        <f>'Func Future Lines 2015'!A199</f>
        <v>PPS</v>
      </c>
      <c r="B199" s="359" t="str">
        <f>'Func Future Lines 2015'!B199</f>
        <v>7L183 transmission line</v>
      </c>
      <c r="C199" s="359">
        <f>'Func Future Lines 2015'!C199</f>
        <v>1128</v>
      </c>
      <c r="D199" s="359">
        <f>'Func Future Lines 2015'!D199</f>
        <v>144</v>
      </c>
      <c r="E199" s="359">
        <f>'Func Future Lines 2015'!E199</f>
        <v>0</v>
      </c>
      <c r="F199" s="359">
        <f>'Func Future Lines 2015'!F199</f>
        <v>0</v>
      </c>
      <c r="G199" s="359">
        <f>'Func Future Lines 2015'!G199</f>
        <v>9964313.8981428742</v>
      </c>
      <c r="H199" s="359" t="str">
        <f>'Func Future Lines 2015'!H199</f>
        <v>ATCO</v>
      </c>
      <c r="I199" s="359">
        <f>'Func Future Lines 2015'!I199</f>
        <v>2015</v>
      </c>
      <c r="J199" s="361">
        <f>+IF($I199=J$3,VLOOKUP($H199,Depreciation!$A$6:$L$10,7,FALSE)/2,IF($I199&lt;J$3,VLOOKUP($H199,Depreciation!$A$6:$L$10,7,FALSE),0))</f>
        <v>1.239102859091515E-2</v>
      </c>
      <c r="K199" s="361">
        <f>+IF($I199=K$3,VLOOKUP($H199,Depreciation!$A$6:$L$10,8,FALSE)/2,IF($I199&lt;K$3,VLOOKUP($H199,Depreciation!$A$6:$L$10,8,FALSE),0))</f>
        <v>2.3943859731006666E-2</v>
      </c>
      <c r="L199" s="361">
        <f>+IF($I199=L$3,VLOOKUP($H199,Depreciation!$A$6:$L$10,9,FALSE)/2,IF($I199&lt;L$3,VLOOKUP($H199,Depreciation!$A$6:$L$10,9,FALSE),0))</f>
        <v>2.4002037926855919E-2</v>
      </c>
      <c r="M199" s="361">
        <f>+IF($I199=M$3,VLOOKUP($H199,Depreciation!$A$6:$L$10,10,FALSE)/2,IF($I199&lt;M$3,VLOOKUP($H199,Depreciation!$A$6:$L$10,10,FALSE),0))</f>
        <v>2.4002037926855919E-2</v>
      </c>
      <c r="N199" s="361">
        <f>+IF($I199=N$3,VLOOKUP($H199,Depreciation!$A$6:$L$10,11,FALSE)/2,IF($I199&lt;N$3,VLOOKUP($H199,Depreciation!$A$6:$L$10,11,FALSE),0))</f>
        <v>2.4002037926855919E-2</v>
      </c>
      <c r="O199" s="361">
        <f>+IF($I199=O$3,VLOOKUP($H199,Depreciation!$A$6:$L$10,12,FALSE)/2,IF($I199&lt;O$3,VLOOKUP($H199,Depreciation!$A$6:$L$10,12,FALSE),0))</f>
        <v>2.4002037926855919E-2</v>
      </c>
      <c r="P199" s="362">
        <f t="shared" si="10"/>
        <v>8715711.9378762413</v>
      </c>
      <c r="Q199" s="362">
        <f t="shared" si="11"/>
        <v>0</v>
      </c>
      <c r="R199" s="363">
        <f t="shared" si="12"/>
        <v>8715711.9378762413</v>
      </c>
    </row>
    <row r="200" spans="1:18">
      <c r="A200" s="359" t="str">
        <f>'Func Future Lines 2015'!A200</f>
        <v>PPS</v>
      </c>
      <c r="B200" s="359" t="str">
        <f>'Func Future Lines 2015'!B200</f>
        <v>9L08 and 9L76 240kV s/c line</v>
      </c>
      <c r="C200" s="359">
        <f>'Func Future Lines 2015'!C200</f>
        <v>1180</v>
      </c>
      <c r="D200" s="359">
        <f>'Func Future Lines 2015'!D200</f>
        <v>240</v>
      </c>
      <c r="E200" s="359">
        <f>'Func Future Lines 2015'!E200</f>
        <v>0</v>
      </c>
      <c r="F200" s="359" t="str">
        <f>'Func Future Lines 2015'!F200</f>
        <v>Fort McMurray</v>
      </c>
      <c r="G200" s="360">
        <f>'Func Future Lines 2015'!G200</f>
        <v>0</v>
      </c>
      <c r="H200" s="359" t="str">
        <f>'Func Future Lines 2015'!H200</f>
        <v>ATCO</v>
      </c>
      <c r="I200" s="359">
        <f>'Func Future Lines 2015'!I200</f>
        <v>2100</v>
      </c>
      <c r="J200" s="361">
        <f>+IF($I200=J$3,VLOOKUP($H200,Depreciation!$A$6:$L$10,7,FALSE)/2,IF($I200&lt;J$3,VLOOKUP($H200,Depreciation!$A$6:$L$10,7,FALSE),0))</f>
        <v>0</v>
      </c>
      <c r="K200" s="361">
        <f>+IF($I200=K$3,VLOOKUP($H200,Depreciation!$A$6:$L$10,8,FALSE)/2,IF($I200&lt;K$3,VLOOKUP($H200,Depreciation!$A$6:$L$10,8,FALSE),0))</f>
        <v>0</v>
      </c>
      <c r="L200" s="361">
        <f>+IF($I200=L$3,VLOOKUP($H200,Depreciation!$A$6:$L$10,9,FALSE)/2,IF($I200&lt;L$3,VLOOKUP($H200,Depreciation!$A$6:$L$10,9,FALSE),0))</f>
        <v>0</v>
      </c>
      <c r="M200" s="361">
        <f>+IF($I200=M$3,VLOOKUP($H200,Depreciation!$A$6:$L$10,10,FALSE)/2,IF($I200&lt;M$3,VLOOKUP($H200,Depreciation!$A$6:$L$10,10,FALSE),0))</f>
        <v>0</v>
      </c>
      <c r="N200" s="361">
        <f>+IF($I200=N$3,VLOOKUP($H200,Depreciation!$A$6:$L$10,11,FALSE)/2,IF($I200&lt;N$3,VLOOKUP($H200,Depreciation!$A$6:$L$10,11,FALSE),0))</f>
        <v>0</v>
      </c>
      <c r="O200" s="361">
        <f>+IF($I200=O$3,VLOOKUP($H200,Depreciation!$A$6:$L$10,12,FALSE)/2,IF($I200&lt;O$3,VLOOKUP($H200,Depreciation!$A$6:$L$10,12,FALSE),0))</f>
        <v>0</v>
      </c>
      <c r="P200" s="362">
        <f t="shared" si="10"/>
        <v>0</v>
      </c>
      <c r="Q200" s="362">
        <f t="shared" si="11"/>
        <v>0</v>
      </c>
      <c r="R200" s="363">
        <f t="shared" si="12"/>
        <v>0</v>
      </c>
    </row>
    <row r="201" spans="1:18">
      <c r="A201" s="359" t="str">
        <f>'Func Future Lines 2015'!A201</f>
        <v>PPS</v>
      </c>
      <c r="B201" s="359" t="str">
        <f>'Func Future Lines 2015'!B201</f>
        <v>9L95</v>
      </c>
      <c r="C201" s="359">
        <f>'Func Future Lines 2015'!C201</f>
        <v>1180</v>
      </c>
      <c r="D201" s="359">
        <f>'Func Future Lines 2015'!D201</f>
        <v>240</v>
      </c>
      <c r="E201" s="359">
        <f>'Func Future Lines 2015'!E201</f>
        <v>0</v>
      </c>
      <c r="F201" s="359" t="str">
        <f>'Func Future Lines 2015'!F201</f>
        <v>Fort McMurray</v>
      </c>
      <c r="G201" s="360">
        <f>'Func Future Lines 2015'!G201</f>
        <v>0</v>
      </c>
      <c r="H201" s="359" t="str">
        <f>'Func Future Lines 2015'!H201</f>
        <v>ATCO</v>
      </c>
      <c r="I201" s="359">
        <f>'Func Future Lines 2015'!I201</f>
        <v>2100</v>
      </c>
      <c r="J201" s="361">
        <f>+IF($I201=J$3,VLOOKUP($H201,Depreciation!$A$6:$L$10,7,FALSE)/2,IF($I201&lt;J$3,VLOOKUP($H201,Depreciation!$A$6:$L$10,7,FALSE),0))</f>
        <v>0</v>
      </c>
      <c r="K201" s="361">
        <f>+IF($I201=K$3,VLOOKUP($H201,Depreciation!$A$6:$L$10,8,FALSE)/2,IF($I201&lt;K$3,VLOOKUP($H201,Depreciation!$A$6:$L$10,8,FALSE),0))</f>
        <v>0</v>
      </c>
      <c r="L201" s="361">
        <f>+IF($I201=L$3,VLOOKUP($H201,Depreciation!$A$6:$L$10,9,FALSE)/2,IF($I201&lt;L$3,VLOOKUP($H201,Depreciation!$A$6:$L$10,9,FALSE),0))</f>
        <v>0</v>
      </c>
      <c r="M201" s="361">
        <f>+IF($I201=M$3,VLOOKUP($H201,Depreciation!$A$6:$L$10,10,FALSE)/2,IF($I201&lt;M$3,VLOOKUP($H201,Depreciation!$A$6:$L$10,10,FALSE),0))</f>
        <v>0</v>
      </c>
      <c r="N201" s="361">
        <f>+IF($I201=N$3,VLOOKUP($H201,Depreciation!$A$6:$L$10,11,FALSE)/2,IF($I201&lt;N$3,VLOOKUP($H201,Depreciation!$A$6:$L$10,11,FALSE),0))</f>
        <v>0</v>
      </c>
      <c r="O201" s="361">
        <f>+IF($I201=O$3,VLOOKUP($H201,Depreciation!$A$6:$L$10,12,FALSE)/2,IF($I201&lt;O$3,VLOOKUP($H201,Depreciation!$A$6:$L$10,12,FALSE),0))</f>
        <v>0</v>
      </c>
      <c r="P201" s="362">
        <f t="shared" si="10"/>
        <v>0</v>
      </c>
      <c r="Q201" s="362">
        <f t="shared" si="11"/>
        <v>0</v>
      </c>
      <c r="R201" s="363">
        <f t="shared" si="12"/>
        <v>0</v>
      </c>
    </row>
    <row r="202" spans="1:18">
      <c r="A202" s="359" t="str">
        <f>'Func Future Lines 2015'!A202</f>
        <v>PPS</v>
      </c>
      <c r="B202" s="359" t="str">
        <f>'Func Future Lines 2015'!B202</f>
        <v>Construction of 1.3km of 240kV in/out on H-frame, 9L57 &amp; 9L74 180day</v>
      </c>
      <c r="C202" s="359">
        <f>'Func Future Lines 2015'!C202</f>
        <v>1180</v>
      </c>
      <c r="D202" s="359">
        <f>'Func Future Lines 2015'!D202</f>
        <v>240</v>
      </c>
      <c r="E202" s="359">
        <f>'Func Future Lines 2015'!E202</f>
        <v>0</v>
      </c>
      <c r="F202" s="359" t="str">
        <f>'Func Future Lines 2015'!F202</f>
        <v>Fort McMurray</v>
      </c>
      <c r="G202" s="360">
        <f>'Func Future Lines 2015'!G202</f>
        <v>0</v>
      </c>
      <c r="H202" s="359" t="str">
        <f>'Func Future Lines 2015'!H202</f>
        <v>ATCO</v>
      </c>
      <c r="I202" s="359">
        <f>'Func Future Lines 2015'!I202</f>
        <v>2100</v>
      </c>
      <c r="J202" s="361">
        <f>+IF($I202=J$3,VLOOKUP($H202,Depreciation!$A$6:$L$10,7,FALSE)/2,IF($I202&lt;J$3,VLOOKUP($H202,Depreciation!$A$6:$L$10,7,FALSE),0))</f>
        <v>0</v>
      </c>
      <c r="K202" s="361">
        <f>+IF($I202=K$3,VLOOKUP($H202,Depreciation!$A$6:$L$10,8,FALSE)/2,IF($I202&lt;K$3,VLOOKUP($H202,Depreciation!$A$6:$L$10,8,FALSE),0))</f>
        <v>0</v>
      </c>
      <c r="L202" s="361">
        <f>+IF($I202=L$3,VLOOKUP($H202,Depreciation!$A$6:$L$10,9,FALSE)/2,IF($I202&lt;L$3,VLOOKUP($H202,Depreciation!$A$6:$L$10,9,FALSE),0))</f>
        <v>0</v>
      </c>
      <c r="M202" s="361">
        <f>+IF($I202=M$3,VLOOKUP($H202,Depreciation!$A$6:$L$10,10,FALSE)/2,IF($I202&lt;M$3,VLOOKUP($H202,Depreciation!$A$6:$L$10,10,FALSE),0))</f>
        <v>0</v>
      </c>
      <c r="N202" s="361">
        <f>+IF($I202=N$3,VLOOKUP($H202,Depreciation!$A$6:$L$10,11,FALSE)/2,IF($I202&lt;N$3,VLOOKUP($H202,Depreciation!$A$6:$L$10,11,FALSE),0))</f>
        <v>0</v>
      </c>
      <c r="O202" s="361">
        <f>+IF($I202=O$3,VLOOKUP($H202,Depreciation!$A$6:$L$10,12,FALSE)/2,IF($I202&lt;O$3,VLOOKUP($H202,Depreciation!$A$6:$L$10,12,FALSE),0))</f>
        <v>0</v>
      </c>
      <c r="P202" s="362">
        <f t="shared" si="10"/>
        <v>0</v>
      </c>
      <c r="Q202" s="362">
        <f t="shared" si="11"/>
        <v>0</v>
      </c>
      <c r="R202" s="363">
        <f t="shared" si="12"/>
        <v>0</v>
      </c>
    </row>
    <row r="203" spans="1:18">
      <c r="A203" s="359" t="str">
        <f>'Func Future Lines 2015'!A203</f>
        <v>PPS</v>
      </c>
      <c r="B203" s="359" t="str">
        <f>'Func Future Lines 2015'!B203</f>
        <v xml:space="preserve"> 9L01</v>
      </c>
      <c r="C203" s="359">
        <f>'Func Future Lines 2015'!C203</f>
        <v>1186</v>
      </c>
      <c r="D203" s="359">
        <f>'Func Future Lines 2015'!D203</f>
        <v>240</v>
      </c>
      <c r="E203" s="359">
        <f>'Func Future Lines 2015'!E203</f>
        <v>0</v>
      </c>
      <c r="F203" s="359" t="str">
        <f>'Func Future Lines 2015'!F203</f>
        <v>Fort McMurray</v>
      </c>
      <c r="G203" s="360">
        <f>'Func Future Lines 2015'!G203</f>
        <v>24561972.623612437</v>
      </c>
      <c r="H203" s="359" t="str">
        <f>'Func Future Lines 2015'!H203</f>
        <v>ATCO</v>
      </c>
      <c r="I203" s="359">
        <f>'Func Future Lines 2015'!I203</f>
        <v>2018</v>
      </c>
      <c r="J203" s="361">
        <f>+IF($I203=J$3,VLOOKUP($H203,Depreciation!$A$6:$L$10,7,FALSE)/2,IF($I203&lt;J$3,VLOOKUP($H203,Depreciation!$A$6:$L$10,7,FALSE),0))</f>
        <v>0</v>
      </c>
      <c r="K203" s="361">
        <f>+IF($I203=K$3,VLOOKUP($H203,Depreciation!$A$6:$L$10,8,FALSE)/2,IF($I203&lt;K$3,VLOOKUP($H203,Depreciation!$A$6:$L$10,8,FALSE),0))</f>
        <v>0</v>
      </c>
      <c r="L203" s="361">
        <f>+IF($I203=L$3,VLOOKUP($H203,Depreciation!$A$6:$L$10,9,FALSE)/2,IF($I203&lt;L$3,VLOOKUP($H203,Depreciation!$A$6:$L$10,9,FALSE),0))</f>
        <v>0</v>
      </c>
      <c r="M203" s="361">
        <f>+IF($I203=M$3,VLOOKUP($H203,Depreciation!$A$6:$L$10,10,FALSE)/2,IF($I203&lt;M$3,VLOOKUP($H203,Depreciation!$A$6:$L$10,10,FALSE),0))</f>
        <v>1.2001018963427959E-2</v>
      </c>
      <c r="N203" s="361">
        <f>+IF($I203=N$3,VLOOKUP($H203,Depreciation!$A$6:$L$10,11,FALSE)/2,IF($I203&lt;N$3,VLOOKUP($H203,Depreciation!$A$6:$L$10,11,FALSE),0))</f>
        <v>2.4002037926855919E-2</v>
      </c>
      <c r="O203" s="361">
        <f>+IF($I203=O$3,VLOOKUP($H203,Depreciation!$A$6:$L$10,12,FALSE)/2,IF($I203&lt;O$3,VLOOKUP($H203,Depreciation!$A$6:$L$10,12,FALSE),0))</f>
        <v>2.4002037926855919E-2</v>
      </c>
      <c r="P203" s="362">
        <f t="shared" si="10"/>
        <v>23116259.50982495</v>
      </c>
      <c r="Q203" s="362">
        <f t="shared" si="11"/>
        <v>23116259.50982495</v>
      </c>
      <c r="R203" s="363">
        <f t="shared" si="12"/>
        <v>0</v>
      </c>
    </row>
    <row r="204" spans="1:18">
      <c r="A204" s="359" t="str">
        <f>'Func Future Lines 2015'!A204</f>
        <v>PPS</v>
      </c>
      <c r="B204" s="359" t="str">
        <f>'Func Future Lines 2015'!B204</f>
        <v>9L07</v>
      </c>
      <c r="C204" s="359">
        <f>'Func Future Lines 2015'!C204</f>
        <v>1186</v>
      </c>
      <c r="D204" s="359">
        <f>'Func Future Lines 2015'!D204</f>
        <v>240</v>
      </c>
      <c r="E204" s="359">
        <f>'Func Future Lines 2015'!E204</f>
        <v>0</v>
      </c>
      <c r="F204" s="359" t="str">
        <f>'Func Future Lines 2015'!F204</f>
        <v>Fort McMurray</v>
      </c>
      <c r="G204" s="360">
        <f>'Func Future Lines 2015'!G204</f>
        <v>5710678.2441424122</v>
      </c>
      <c r="H204" s="359" t="str">
        <f>'Func Future Lines 2015'!H204</f>
        <v>ATCO</v>
      </c>
      <c r="I204" s="359">
        <f>'Func Future Lines 2015'!I204</f>
        <v>2018</v>
      </c>
      <c r="J204" s="361">
        <f>+IF($I204=J$3,VLOOKUP($H204,Depreciation!$A$6:$L$10,7,FALSE)/2,IF($I204&lt;J$3,VLOOKUP($H204,Depreciation!$A$6:$L$10,7,FALSE),0))</f>
        <v>0</v>
      </c>
      <c r="K204" s="361">
        <f>+IF($I204=K$3,VLOOKUP($H204,Depreciation!$A$6:$L$10,8,FALSE)/2,IF($I204&lt;K$3,VLOOKUP($H204,Depreciation!$A$6:$L$10,8,FALSE),0))</f>
        <v>0</v>
      </c>
      <c r="L204" s="361">
        <f>+IF($I204=L$3,VLOOKUP($H204,Depreciation!$A$6:$L$10,9,FALSE)/2,IF($I204&lt;L$3,VLOOKUP($H204,Depreciation!$A$6:$L$10,9,FALSE),0))</f>
        <v>0</v>
      </c>
      <c r="M204" s="361">
        <f>+IF($I204=M$3,VLOOKUP($H204,Depreciation!$A$6:$L$10,10,FALSE)/2,IF($I204&lt;M$3,VLOOKUP($H204,Depreciation!$A$6:$L$10,10,FALSE),0))</f>
        <v>1.2001018963427959E-2</v>
      </c>
      <c r="N204" s="361">
        <f>+IF($I204=N$3,VLOOKUP($H204,Depreciation!$A$6:$L$10,11,FALSE)/2,IF($I204&lt;N$3,VLOOKUP($H204,Depreciation!$A$6:$L$10,11,FALSE),0))</f>
        <v>2.4002037926855919E-2</v>
      </c>
      <c r="O204" s="361">
        <f>+IF($I204=O$3,VLOOKUP($H204,Depreciation!$A$6:$L$10,12,FALSE)/2,IF($I204&lt;O$3,VLOOKUP($H204,Depreciation!$A$6:$L$10,12,FALSE),0))</f>
        <v>2.4002037926855919E-2</v>
      </c>
      <c r="P204" s="362">
        <f t="shared" si="10"/>
        <v>5374548.7909957711</v>
      </c>
      <c r="Q204" s="362">
        <f t="shared" si="11"/>
        <v>5374548.7909957711</v>
      </c>
      <c r="R204" s="363">
        <f t="shared" si="12"/>
        <v>0</v>
      </c>
    </row>
    <row r="205" spans="1:18">
      <c r="A205" s="359" t="str">
        <f>'Func Future Lines 2015'!A205</f>
        <v>PPS</v>
      </c>
      <c r="B205" s="359" t="str">
        <f>'Func Future Lines 2015'!B205</f>
        <v>9L112</v>
      </c>
      <c r="C205" s="359">
        <f>'Func Future Lines 2015'!C205</f>
        <v>1186</v>
      </c>
      <c r="D205" s="359">
        <f>'Func Future Lines 2015'!D205</f>
        <v>240</v>
      </c>
      <c r="E205" s="359">
        <f>'Func Future Lines 2015'!E205</f>
        <v>0</v>
      </c>
      <c r="F205" s="359" t="str">
        <f>'Func Future Lines 2015'!F205</f>
        <v>Fort McMurray</v>
      </c>
      <c r="G205" s="360">
        <f>'Func Future Lines 2015'!G205</f>
        <v>4958275.2426534528</v>
      </c>
      <c r="H205" s="359" t="str">
        <f>'Func Future Lines 2015'!H205</f>
        <v>ATCO</v>
      </c>
      <c r="I205" s="359">
        <f>'Func Future Lines 2015'!I205</f>
        <v>2018</v>
      </c>
      <c r="J205" s="361">
        <f>+IF($I205=J$3,VLOOKUP($H205,Depreciation!$A$6:$L$10,7,FALSE)/2,IF($I205&lt;J$3,VLOOKUP($H205,Depreciation!$A$6:$L$10,7,FALSE),0))</f>
        <v>0</v>
      </c>
      <c r="K205" s="361">
        <f>+IF($I205=K$3,VLOOKUP($H205,Depreciation!$A$6:$L$10,8,FALSE)/2,IF($I205&lt;K$3,VLOOKUP($H205,Depreciation!$A$6:$L$10,8,FALSE),0))</f>
        <v>0</v>
      </c>
      <c r="L205" s="361">
        <f>+IF($I205=L$3,VLOOKUP($H205,Depreciation!$A$6:$L$10,9,FALSE)/2,IF($I205&lt;L$3,VLOOKUP($H205,Depreciation!$A$6:$L$10,9,FALSE),0))</f>
        <v>0</v>
      </c>
      <c r="M205" s="361">
        <f>+IF($I205=M$3,VLOOKUP($H205,Depreciation!$A$6:$L$10,10,FALSE)/2,IF($I205&lt;M$3,VLOOKUP($H205,Depreciation!$A$6:$L$10,10,FALSE),0))</f>
        <v>1.2001018963427959E-2</v>
      </c>
      <c r="N205" s="361">
        <f>+IF($I205=N$3,VLOOKUP($H205,Depreciation!$A$6:$L$10,11,FALSE)/2,IF($I205&lt;N$3,VLOOKUP($H205,Depreciation!$A$6:$L$10,11,FALSE),0))</f>
        <v>2.4002037926855919E-2</v>
      </c>
      <c r="O205" s="361">
        <f>+IF($I205=O$3,VLOOKUP($H205,Depreciation!$A$6:$L$10,12,FALSE)/2,IF($I205&lt;O$3,VLOOKUP($H205,Depreciation!$A$6:$L$10,12,FALSE),0))</f>
        <v>2.4002037926855919E-2</v>
      </c>
      <c r="P205" s="362">
        <f t="shared" si="10"/>
        <v>4666432.0894214995</v>
      </c>
      <c r="Q205" s="362">
        <f t="shared" si="11"/>
        <v>4666432.0894214995</v>
      </c>
      <c r="R205" s="363">
        <f t="shared" si="12"/>
        <v>0</v>
      </c>
    </row>
    <row r="206" spans="1:18">
      <c r="A206" s="359" t="str">
        <f>'Func Future Lines 2015'!A206</f>
        <v>PPS</v>
      </c>
      <c r="B206" s="359" t="str">
        <f>'Func Future Lines 2015'!B206</f>
        <v>9L30</v>
      </c>
      <c r="C206" s="359">
        <f>'Func Future Lines 2015'!C206</f>
        <v>1186</v>
      </c>
      <c r="D206" s="359">
        <f>'Func Future Lines 2015'!D206</f>
        <v>240</v>
      </c>
      <c r="E206" s="359">
        <f>'Func Future Lines 2015'!E206</f>
        <v>0</v>
      </c>
      <c r="F206" s="359" t="str">
        <f>'Func Future Lines 2015'!F206</f>
        <v>Fort McMurray</v>
      </c>
      <c r="G206" s="360">
        <f>'Func Future Lines 2015'!G206</f>
        <v>24561820.810818728</v>
      </c>
      <c r="H206" s="359" t="str">
        <f>'Func Future Lines 2015'!H206</f>
        <v>ATCO</v>
      </c>
      <c r="I206" s="359">
        <f>'Func Future Lines 2015'!I206</f>
        <v>2018</v>
      </c>
      <c r="J206" s="361">
        <f>+IF($I206=J$3,VLOOKUP($H206,Depreciation!$A$6:$L$10,7,FALSE)/2,IF($I206&lt;J$3,VLOOKUP($H206,Depreciation!$A$6:$L$10,7,FALSE),0))</f>
        <v>0</v>
      </c>
      <c r="K206" s="361">
        <f>+IF($I206=K$3,VLOOKUP($H206,Depreciation!$A$6:$L$10,8,FALSE)/2,IF($I206&lt;K$3,VLOOKUP($H206,Depreciation!$A$6:$L$10,8,FALSE),0))</f>
        <v>0</v>
      </c>
      <c r="L206" s="361">
        <f>+IF($I206=L$3,VLOOKUP($H206,Depreciation!$A$6:$L$10,9,FALSE)/2,IF($I206&lt;L$3,VLOOKUP($H206,Depreciation!$A$6:$L$10,9,FALSE),0))</f>
        <v>0</v>
      </c>
      <c r="M206" s="361">
        <f>+IF($I206=M$3,VLOOKUP($H206,Depreciation!$A$6:$L$10,10,FALSE)/2,IF($I206&lt;M$3,VLOOKUP($H206,Depreciation!$A$6:$L$10,10,FALSE),0))</f>
        <v>1.2001018963427959E-2</v>
      </c>
      <c r="N206" s="361">
        <f>+IF($I206=N$3,VLOOKUP($H206,Depreciation!$A$6:$L$10,11,FALSE)/2,IF($I206&lt;N$3,VLOOKUP($H206,Depreciation!$A$6:$L$10,11,FALSE),0))</f>
        <v>2.4002037926855919E-2</v>
      </c>
      <c r="O206" s="361">
        <f>+IF($I206=O$3,VLOOKUP($H206,Depreciation!$A$6:$L$10,12,FALSE)/2,IF($I206&lt;O$3,VLOOKUP($H206,Depreciation!$A$6:$L$10,12,FALSE),0))</f>
        <v>2.4002037926855919E-2</v>
      </c>
      <c r="P206" s="362">
        <f t="shared" si="10"/>
        <v>23116116.632703874</v>
      </c>
      <c r="Q206" s="362">
        <f t="shared" si="11"/>
        <v>23116116.632703874</v>
      </c>
      <c r="R206" s="363">
        <f t="shared" si="12"/>
        <v>0</v>
      </c>
    </row>
    <row r="207" spans="1:18">
      <c r="A207" s="359" t="str">
        <f>'Func Future Lines 2015'!A207</f>
        <v>PPS</v>
      </c>
      <c r="B207" s="359" t="str">
        <f>'Func Future Lines 2015'!B207</f>
        <v>bypass 9L07/9L112</v>
      </c>
      <c r="C207" s="359">
        <f>'Func Future Lines 2015'!C207</f>
        <v>1186</v>
      </c>
      <c r="D207" s="359">
        <f>'Func Future Lines 2015'!D207</f>
        <v>240</v>
      </c>
      <c r="E207" s="359">
        <f>'Func Future Lines 2015'!E207</f>
        <v>0</v>
      </c>
      <c r="F207" s="359" t="str">
        <f>'Func Future Lines 2015'!F207</f>
        <v>Fort McMurray</v>
      </c>
      <c r="G207" s="360">
        <f>'Func Future Lines 2015'!G207</f>
        <v>424792.43850217451</v>
      </c>
      <c r="H207" s="359" t="str">
        <f>'Func Future Lines 2015'!H207</f>
        <v>ATCO</v>
      </c>
      <c r="I207" s="359">
        <f>'Func Future Lines 2015'!I207</f>
        <v>2018</v>
      </c>
      <c r="J207" s="361">
        <f>+IF($I207=J$3,VLOOKUP($H207,Depreciation!$A$6:$L$10,7,FALSE)/2,IF($I207&lt;J$3,VLOOKUP($H207,Depreciation!$A$6:$L$10,7,FALSE),0))</f>
        <v>0</v>
      </c>
      <c r="K207" s="361">
        <f>+IF($I207=K$3,VLOOKUP($H207,Depreciation!$A$6:$L$10,8,FALSE)/2,IF($I207&lt;K$3,VLOOKUP($H207,Depreciation!$A$6:$L$10,8,FALSE),0))</f>
        <v>0</v>
      </c>
      <c r="L207" s="361">
        <f>+IF($I207=L$3,VLOOKUP($H207,Depreciation!$A$6:$L$10,9,FALSE)/2,IF($I207&lt;L$3,VLOOKUP($H207,Depreciation!$A$6:$L$10,9,FALSE),0))</f>
        <v>0</v>
      </c>
      <c r="M207" s="361">
        <f>+IF($I207=M$3,VLOOKUP($H207,Depreciation!$A$6:$L$10,10,FALSE)/2,IF($I207&lt;M$3,VLOOKUP($H207,Depreciation!$A$6:$L$10,10,FALSE),0))</f>
        <v>1.2001018963427959E-2</v>
      </c>
      <c r="N207" s="361">
        <f>+IF($I207=N$3,VLOOKUP($H207,Depreciation!$A$6:$L$10,11,FALSE)/2,IF($I207&lt;N$3,VLOOKUP($H207,Depreciation!$A$6:$L$10,11,FALSE),0))</f>
        <v>2.4002037926855919E-2</v>
      </c>
      <c r="O207" s="361">
        <f>+IF($I207=O$3,VLOOKUP($H207,Depreciation!$A$6:$L$10,12,FALSE)/2,IF($I207&lt;O$3,VLOOKUP($H207,Depreciation!$A$6:$L$10,12,FALSE),0))</f>
        <v>2.4002037926855919E-2</v>
      </c>
      <c r="P207" s="362">
        <f t="shared" si="10"/>
        <v>399789.23503837892</v>
      </c>
      <c r="Q207" s="362">
        <f t="shared" si="11"/>
        <v>399789.23503837892</v>
      </c>
      <c r="R207" s="363">
        <f t="shared" si="12"/>
        <v>0</v>
      </c>
    </row>
    <row r="208" spans="1:18">
      <c r="A208" s="359" t="str">
        <f>'Func Future Lines 2015'!A208</f>
        <v>PPS</v>
      </c>
      <c r="B208" s="359" t="str">
        <f>'Func Future Lines 2015'!B208</f>
        <v>7L134</v>
      </c>
      <c r="C208" s="359">
        <f>'Func Future Lines 2015'!C208</f>
        <v>1250</v>
      </c>
      <c r="D208" s="359">
        <f>'Func Future Lines 2015'!D208</f>
        <v>138</v>
      </c>
      <c r="E208" s="359">
        <f>'Func Future Lines 2015'!E208</f>
        <v>0</v>
      </c>
      <c r="F208" s="359" t="str">
        <f>'Func Future Lines 2015'!F208</f>
        <v>Lloydminster</v>
      </c>
      <c r="G208" s="360">
        <f>'Func Future Lines 2015'!G208</f>
        <v>257636.33243920893</v>
      </c>
      <c r="H208" s="359" t="str">
        <f>'Func Future Lines 2015'!H208</f>
        <v>ATCO</v>
      </c>
      <c r="I208" s="359">
        <f>'Func Future Lines 2015'!I208</f>
        <v>2017</v>
      </c>
      <c r="J208" s="361">
        <f>+IF($I208=J$3,VLOOKUP($H208,Depreciation!$A$6:$L$10,7,FALSE)/2,IF($I208&lt;J$3,VLOOKUP($H208,Depreciation!$A$6:$L$10,7,FALSE),0))</f>
        <v>0</v>
      </c>
      <c r="K208" s="361">
        <f>+IF($I208=K$3,VLOOKUP($H208,Depreciation!$A$6:$L$10,8,FALSE)/2,IF($I208&lt;K$3,VLOOKUP($H208,Depreciation!$A$6:$L$10,8,FALSE),0))</f>
        <v>0</v>
      </c>
      <c r="L208" s="361">
        <f>+IF($I208=L$3,VLOOKUP($H208,Depreciation!$A$6:$L$10,9,FALSE)/2,IF($I208&lt;L$3,VLOOKUP($H208,Depreciation!$A$6:$L$10,9,FALSE),0))</f>
        <v>1.2001018963427959E-2</v>
      </c>
      <c r="M208" s="361">
        <f>+IF($I208=M$3,VLOOKUP($H208,Depreciation!$A$6:$L$10,10,FALSE)/2,IF($I208&lt;M$3,VLOOKUP($H208,Depreciation!$A$6:$L$10,10,FALSE),0))</f>
        <v>2.4002037926855919E-2</v>
      </c>
      <c r="N208" s="361">
        <f>+IF($I208=N$3,VLOOKUP($H208,Depreciation!$A$6:$L$10,11,FALSE)/2,IF($I208&lt;N$3,VLOOKUP($H208,Depreciation!$A$6:$L$10,11,FALSE),0))</f>
        <v>2.4002037926855919E-2</v>
      </c>
      <c r="O208" s="361">
        <f>+IF($I208=O$3,VLOOKUP($H208,Depreciation!$A$6:$L$10,12,FALSE)/2,IF($I208&lt;O$3,VLOOKUP($H208,Depreciation!$A$6:$L$10,12,FALSE),0))</f>
        <v>2.4002037926855919E-2</v>
      </c>
      <c r="P208" s="362">
        <f t="shared" si="10"/>
        <v>236652.08622157609</v>
      </c>
      <c r="Q208" s="362">
        <f t="shared" si="11"/>
        <v>0</v>
      </c>
      <c r="R208" s="363">
        <f t="shared" si="12"/>
        <v>236652.08622157609</v>
      </c>
    </row>
    <row r="209" spans="1:18">
      <c r="A209" s="359" t="str">
        <f>'Func Future Lines 2015'!A209</f>
        <v>PPS</v>
      </c>
      <c r="B209" s="359" t="str">
        <f>'Func Future Lines 2015'!B209</f>
        <v>7LA65</v>
      </c>
      <c r="C209" s="359">
        <f>'Func Future Lines 2015'!C209</f>
        <v>1250</v>
      </c>
      <c r="D209" s="359">
        <f>'Func Future Lines 2015'!D209</f>
        <v>138</v>
      </c>
      <c r="E209" s="359">
        <f>'Func Future Lines 2015'!E209</f>
        <v>0</v>
      </c>
      <c r="F209" s="359" t="str">
        <f>'Func Future Lines 2015'!F209</f>
        <v>Lloydminster</v>
      </c>
      <c r="G209" s="360">
        <f>'Func Future Lines 2015'!G209</f>
        <v>15341741.522818552</v>
      </c>
      <c r="H209" s="359" t="str">
        <f>'Func Future Lines 2015'!H209</f>
        <v>ATCO</v>
      </c>
      <c r="I209" s="359">
        <f>'Func Future Lines 2015'!I209</f>
        <v>2017</v>
      </c>
      <c r="J209" s="361">
        <f>+IF($I209=J$3,VLOOKUP($H209,Depreciation!$A$6:$L$10,7,FALSE)/2,IF($I209&lt;J$3,VLOOKUP($H209,Depreciation!$A$6:$L$10,7,FALSE),0))</f>
        <v>0</v>
      </c>
      <c r="K209" s="361">
        <f>+IF($I209=K$3,VLOOKUP($H209,Depreciation!$A$6:$L$10,8,FALSE)/2,IF($I209&lt;K$3,VLOOKUP($H209,Depreciation!$A$6:$L$10,8,FALSE),0))</f>
        <v>0</v>
      </c>
      <c r="L209" s="361">
        <f>+IF($I209=L$3,VLOOKUP($H209,Depreciation!$A$6:$L$10,9,FALSE)/2,IF($I209&lt;L$3,VLOOKUP($H209,Depreciation!$A$6:$L$10,9,FALSE),0))</f>
        <v>1.2001018963427959E-2</v>
      </c>
      <c r="M209" s="361">
        <f>+IF($I209=M$3,VLOOKUP($H209,Depreciation!$A$6:$L$10,10,FALSE)/2,IF($I209&lt;M$3,VLOOKUP($H209,Depreciation!$A$6:$L$10,10,FALSE),0))</f>
        <v>2.4002037926855919E-2</v>
      </c>
      <c r="N209" s="361">
        <f>+IF($I209=N$3,VLOOKUP($H209,Depreciation!$A$6:$L$10,11,FALSE)/2,IF($I209&lt;N$3,VLOOKUP($H209,Depreciation!$A$6:$L$10,11,FALSE),0))</f>
        <v>2.4002037926855919E-2</v>
      </c>
      <c r="O209" s="361">
        <f>+IF($I209=O$3,VLOOKUP($H209,Depreciation!$A$6:$L$10,12,FALSE)/2,IF($I209&lt;O$3,VLOOKUP($H209,Depreciation!$A$6:$L$10,12,FALSE),0))</f>
        <v>2.4002037926855919E-2</v>
      </c>
      <c r="P209" s="362">
        <f t="shared" si="10"/>
        <v>14092170.554026453</v>
      </c>
      <c r="Q209" s="362">
        <f t="shared" si="11"/>
        <v>0</v>
      </c>
      <c r="R209" s="363">
        <f t="shared" si="12"/>
        <v>14092170.554026453</v>
      </c>
    </row>
    <row r="210" spans="1:18">
      <c r="A210" s="359" t="str">
        <f>'Func Future Lines 2015'!A210</f>
        <v>PPS</v>
      </c>
      <c r="B210" s="359" t="str">
        <f>'Func Future Lines 2015'!B210</f>
        <v>476L &amp; 477L A</v>
      </c>
      <c r="C210" s="359">
        <f>'Func Future Lines 2015'!C210</f>
        <v>1258</v>
      </c>
      <c r="D210" s="359">
        <f>'Func Future Lines 2015'!D210</f>
        <v>138</v>
      </c>
      <c r="E210" s="359">
        <f>'Func Future Lines 2015'!E210</f>
        <v>0</v>
      </c>
      <c r="F210" s="359" t="str">
        <f>'Func Future Lines 2015'!F210</f>
        <v>Fort McMurray</v>
      </c>
      <c r="G210" s="359">
        <f>'Func Future Lines 2015'!G210</f>
        <v>11720551.545892363</v>
      </c>
      <c r="H210" s="359" t="str">
        <f>'Func Future Lines 2015'!H210</f>
        <v>AltaLink</v>
      </c>
      <c r="I210" s="359">
        <f>'Func Future Lines 2015'!I210</f>
        <v>2019</v>
      </c>
      <c r="J210" s="361">
        <f>+IF($I210=J$3,VLOOKUP($H210,Depreciation!$A$6:$L$10,7,FALSE)/2,IF($I210&lt;J$3,VLOOKUP($H210,Depreciation!$A$6:$L$10,7,FALSE),0))</f>
        <v>0</v>
      </c>
      <c r="K210" s="361">
        <f>+IF($I210=K$3,VLOOKUP($H210,Depreciation!$A$6:$L$10,8,FALSE)/2,IF($I210&lt;K$3,VLOOKUP($H210,Depreciation!$A$6:$L$10,8,FALSE),0))</f>
        <v>0</v>
      </c>
      <c r="L210" s="361">
        <f>+IF($I210=L$3,VLOOKUP($H210,Depreciation!$A$6:$L$10,9,FALSE)/2,IF($I210&lt;L$3,VLOOKUP($H210,Depreciation!$A$6:$L$10,9,FALSE),0))</f>
        <v>0</v>
      </c>
      <c r="M210" s="361">
        <f>+IF($I210=M$3,VLOOKUP($H210,Depreciation!$A$6:$L$10,10,FALSE)/2,IF($I210&lt;M$3,VLOOKUP($H210,Depreciation!$A$6:$L$10,10,FALSE),0))</f>
        <v>0</v>
      </c>
      <c r="N210" s="361">
        <f>+IF($I210=N$3,VLOOKUP($H210,Depreciation!$A$6:$L$10,11,FALSE)/2,IF($I210&lt;N$3,VLOOKUP($H210,Depreciation!$A$6:$L$10,11,FALSE),0))</f>
        <v>1.5338181838063448E-2</v>
      </c>
      <c r="O210" s="361">
        <f>+IF($I210=O$3,VLOOKUP($H210,Depreciation!$A$6:$L$10,12,FALSE)/2,IF($I210&lt;O$3,VLOOKUP($H210,Depreciation!$A$6:$L$10,12,FALSE),0))</f>
        <v>3.0676363676126896E-2</v>
      </c>
      <c r="P210" s="362">
        <f t="shared" si="10"/>
        <v>11186750.443075627</v>
      </c>
      <c r="Q210" s="362">
        <f t="shared" si="11"/>
        <v>0</v>
      </c>
      <c r="R210" s="363">
        <f t="shared" si="12"/>
        <v>11186750.443075627</v>
      </c>
    </row>
    <row r="211" spans="1:18">
      <c r="A211" s="359" t="str">
        <f>'Func Future Lines 2015'!A211</f>
        <v>PPS</v>
      </c>
      <c r="B211" s="359" t="str">
        <f>'Func Future Lines 2015'!B211</f>
        <v>476L &amp; 477L B</v>
      </c>
      <c r="C211" s="359">
        <f>'Func Future Lines 2015'!C211</f>
        <v>1258</v>
      </c>
      <c r="D211" s="359">
        <f>'Func Future Lines 2015'!D211</f>
        <v>138</v>
      </c>
      <c r="E211" s="359">
        <f>'Func Future Lines 2015'!E211</f>
        <v>0</v>
      </c>
      <c r="F211" s="359" t="str">
        <f>'Func Future Lines 2015'!F211</f>
        <v>Fort McMurray</v>
      </c>
      <c r="G211" s="359">
        <f>'Func Future Lines 2015'!G211</f>
        <v>11959135.439218925</v>
      </c>
      <c r="H211" s="359" t="str">
        <f>'Func Future Lines 2015'!H211</f>
        <v>AltaLink</v>
      </c>
      <c r="I211" s="359">
        <f>'Func Future Lines 2015'!I211</f>
        <v>2019</v>
      </c>
      <c r="J211" s="361">
        <f>+IF($I211=J$3,VLOOKUP($H211,Depreciation!$A$6:$L$10,7,FALSE)/2,IF($I211&lt;J$3,VLOOKUP($H211,Depreciation!$A$6:$L$10,7,FALSE),0))</f>
        <v>0</v>
      </c>
      <c r="K211" s="361">
        <f>+IF($I211=K$3,VLOOKUP($H211,Depreciation!$A$6:$L$10,8,FALSE)/2,IF($I211&lt;K$3,VLOOKUP($H211,Depreciation!$A$6:$L$10,8,FALSE),0))</f>
        <v>0</v>
      </c>
      <c r="L211" s="361">
        <f>+IF($I211=L$3,VLOOKUP($H211,Depreciation!$A$6:$L$10,9,FALSE)/2,IF($I211&lt;L$3,VLOOKUP($H211,Depreciation!$A$6:$L$10,9,FALSE),0))</f>
        <v>0</v>
      </c>
      <c r="M211" s="361">
        <f>+IF($I211=M$3,VLOOKUP($H211,Depreciation!$A$6:$L$10,10,FALSE)/2,IF($I211&lt;M$3,VLOOKUP($H211,Depreciation!$A$6:$L$10,10,FALSE),0))</f>
        <v>0</v>
      </c>
      <c r="N211" s="361">
        <f>+IF($I211=N$3,VLOOKUP($H211,Depreciation!$A$6:$L$10,11,FALSE)/2,IF($I211&lt;N$3,VLOOKUP($H211,Depreciation!$A$6:$L$10,11,FALSE),0))</f>
        <v>1.5338181838063448E-2</v>
      </c>
      <c r="O211" s="361">
        <f>+IF($I211=O$3,VLOOKUP($H211,Depreciation!$A$6:$L$10,12,FALSE)/2,IF($I211&lt;O$3,VLOOKUP($H211,Depreciation!$A$6:$L$10,12,FALSE),0))</f>
        <v>3.0676363676126896E-2</v>
      </c>
      <c r="P211" s="362">
        <f t="shared" si="10"/>
        <v>11414468.265392359</v>
      </c>
      <c r="Q211" s="362">
        <f t="shared" si="11"/>
        <v>0</v>
      </c>
      <c r="R211" s="363">
        <f t="shared" si="12"/>
        <v>11414468.265392359</v>
      </c>
    </row>
    <row r="212" spans="1:18">
      <c r="A212" s="359" t="str">
        <f>'Func Future Lines 2015'!A212</f>
        <v>PPS</v>
      </c>
      <c r="B212" s="359" t="str">
        <f>'Func Future Lines 2015'!B212</f>
        <v>172L/463L[v180]</v>
      </c>
      <c r="C212" s="359">
        <f>'Func Future Lines 2015'!C212</f>
        <v>1260</v>
      </c>
      <c r="D212" s="359">
        <f>'Func Future Lines 2015'!D212</f>
        <v>138</v>
      </c>
      <c r="E212" s="359">
        <f>'Func Future Lines 2015'!E212</f>
        <v>0</v>
      </c>
      <c r="F212" s="359" t="str">
        <f>'Func Future Lines 2015'!F212</f>
        <v>Lethbridge</v>
      </c>
      <c r="G212" s="359">
        <f>'Func Future Lines 2015'!G212</f>
        <v>2113680.3025660682</v>
      </c>
      <c r="H212" s="359" t="str">
        <f>'Func Future Lines 2015'!H212</f>
        <v>ENMAX</v>
      </c>
      <c r="I212" s="359">
        <f>'Func Future Lines 2015'!I212</f>
        <v>2016</v>
      </c>
      <c r="J212" s="361">
        <f>+IF($I212=J$3,VLOOKUP($H212,Depreciation!$A$6:$L$10,7,FALSE)/2,IF($I212&lt;J$3,VLOOKUP($H212,Depreciation!$A$6:$L$10,7,FALSE),0))</f>
        <v>0</v>
      </c>
      <c r="K212" s="361">
        <f>+IF($I212=K$3,VLOOKUP($H212,Depreciation!$A$6:$L$10,8,FALSE)/2,IF($I212&lt;K$3,VLOOKUP($H212,Depreciation!$A$6:$L$10,8,FALSE),0))</f>
        <v>1.3475179084025525E-2</v>
      </c>
      <c r="L212" s="361">
        <f>+IF($I212=L$3,VLOOKUP($H212,Depreciation!$A$6:$L$10,9,FALSE)/2,IF($I212&lt;L$3,VLOOKUP($H212,Depreciation!$A$6:$L$10,9,FALSE),0))</f>
        <v>2.6950358168051049E-2</v>
      </c>
      <c r="M212" s="361">
        <f>+IF($I212=M$3,VLOOKUP($H212,Depreciation!$A$6:$L$10,10,FALSE)/2,IF($I212&lt;M$3,VLOOKUP($H212,Depreciation!$A$6:$L$10,10,FALSE),0))</f>
        <v>2.6950358168051049E-2</v>
      </c>
      <c r="N212" s="361">
        <f>+IF($I212=N$3,VLOOKUP($H212,Depreciation!$A$6:$L$10,11,FALSE)/2,IF($I212&lt;N$3,VLOOKUP($H212,Depreciation!$A$6:$L$10,11,FALSE),0))</f>
        <v>2.6950358168051049E-2</v>
      </c>
      <c r="O212" s="361">
        <f>+IF($I212=O$3,VLOOKUP($H212,Depreciation!$A$6:$L$10,12,FALSE)/2,IF($I212&lt;O$3,VLOOKUP($H212,Depreciation!$A$6:$L$10,12,FALSE),0))</f>
        <v>2.6950358168051049E-2</v>
      </c>
      <c r="P212" s="362">
        <f t="shared" si="10"/>
        <v>1869335.722419916</v>
      </c>
      <c r="Q212" s="362">
        <f t="shared" si="11"/>
        <v>0</v>
      </c>
      <c r="R212" s="363">
        <f t="shared" si="12"/>
        <v>1869335.722419916</v>
      </c>
    </row>
    <row r="213" spans="1:18">
      <c r="A213" s="359" t="str">
        <f>'Func Future Lines 2015'!A213</f>
        <v>PPS</v>
      </c>
      <c r="B213" s="359" t="str">
        <f>'Func Future Lines 2015'!B213</f>
        <v>line 172L</v>
      </c>
      <c r="C213" s="359">
        <f>'Func Future Lines 2015'!C213</f>
        <v>1260</v>
      </c>
      <c r="D213" s="359">
        <f>'Func Future Lines 2015'!D213</f>
        <v>138</v>
      </c>
      <c r="E213" s="359">
        <f>'Func Future Lines 2015'!E213</f>
        <v>0</v>
      </c>
      <c r="F213" s="359" t="str">
        <f>'Func Future Lines 2015'!F213</f>
        <v>Lethbridge</v>
      </c>
      <c r="G213" s="359">
        <f>'Func Future Lines 2015'!G213</f>
        <v>605625.19167995139</v>
      </c>
      <c r="H213" s="359" t="str">
        <f>'Func Future Lines 2015'!H213</f>
        <v>AltaLink</v>
      </c>
      <c r="I213" s="359">
        <f>'Func Future Lines 2015'!I213</f>
        <v>2016</v>
      </c>
      <c r="J213" s="361">
        <f>+IF($I213=J$3,VLOOKUP($H213,Depreciation!$A$6:$L$10,7,FALSE)/2,IF($I213&lt;J$3,VLOOKUP($H213,Depreciation!$A$6:$L$10,7,FALSE),0))</f>
        <v>0</v>
      </c>
      <c r="K213" s="361">
        <f>+IF($I213=K$3,VLOOKUP($H213,Depreciation!$A$6:$L$10,8,FALSE)/2,IF($I213&lt;K$3,VLOOKUP($H213,Depreciation!$A$6:$L$10,8,FALSE),0))</f>
        <v>1.5338181838063448E-2</v>
      </c>
      <c r="L213" s="361">
        <f>+IF($I213=L$3,VLOOKUP($H213,Depreciation!$A$6:$L$10,9,FALSE)/2,IF($I213&lt;L$3,VLOOKUP($H213,Depreciation!$A$6:$L$10,9,FALSE),0))</f>
        <v>3.0676363676126896E-2</v>
      </c>
      <c r="M213" s="361">
        <f>+IF($I213=M$3,VLOOKUP($H213,Depreciation!$A$6:$L$10,10,FALSE)/2,IF($I213&lt;M$3,VLOOKUP($H213,Depreciation!$A$6:$L$10,10,FALSE),0))</f>
        <v>3.0676363676126896E-2</v>
      </c>
      <c r="N213" s="361">
        <f>+IF($I213=N$3,VLOOKUP($H213,Depreciation!$A$6:$L$10,11,FALSE)/2,IF($I213&lt;N$3,VLOOKUP($H213,Depreciation!$A$6:$L$10,11,FALSE),0))</f>
        <v>3.0676363676126896E-2</v>
      </c>
      <c r="O213" s="361">
        <f>+IF($I213=O$3,VLOOKUP($H213,Depreciation!$A$6:$L$10,12,FALSE)/2,IF($I213&lt;O$3,VLOOKUP($H213,Depreciation!$A$6:$L$10,12,FALSE),0))</f>
        <v>3.0676363676126896E-2</v>
      </c>
      <c r="P213" s="362">
        <f t="shared" si="10"/>
        <v>526461.04446154612</v>
      </c>
      <c r="Q213" s="362">
        <f t="shared" si="11"/>
        <v>0</v>
      </c>
      <c r="R213" s="363">
        <f t="shared" si="12"/>
        <v>526461.04446154612</v>
      </c>
    </row>
    <row r="214" spans="1:18">
      <c r="A214" s="359" t="str">
        <f>'Func Future Lines 2015'!A214</f>
        <v>PPS</v>
      </c>
      <c r="B214" s="359" t="str">
        <f>'Func Future Lines 2015'!B214</f>
        <v>line 464L</v>
      </c>
      <c r="C214" s="359">
        <f>'Func Future Lines 2015'!C214</f>
        <v>1263</v>
      </c>
      <c r="D214" s="359">
        <f>'Func Future Lines 2015'!D214</f>
        <v>138</v>
      </c>
      <c r="E214" s="359">
        <f>'Func Future Lines 2015'!E214</f>
        <v>0</v>
      </c>
      <c r="F214" s="359" t="str">
        <f>'Func Future Lines 2015'!F214</f>
        <v>Red_Deer</v>
      </c>
      <c r="G214" s="359">
        <f>'Func Future Lines 2015'!G214</f>
        <v>763058.82352941227</v>
      </c>
      <c r="H214" s="359" t="str">
        <f>'Func Future Lines 2015'!H214</f>
        <v>AltaLink</v>
      </c>
      <c r="I214" s="359">
        <f>'Func Future Lines 2015'!I214</f>
        <v>2016</v>
      </c>
      <c r="J214" s="361">
        <f>+IF($I214=J$3,VLOOKUP($H214,Depreciation!$A$6:$L$10,7,FALSE)/2,IF($I214&lt;J$3,VLOOKUP($H214,Depreciation!$A$6:$L$10,7,FALSE),0))</f>
        <v>0</v>
      </c>
      <c r="K214" s="361">
        <f>+IF($I214=K$3,VLOOKUP($H214,Depreciation!$A$6:$L$10,8,FALSE)/2,IF($I214&lt;K$3,VLOOKUP($H214,Depreciation!$A$6:$L$10,8,FALSE),0))</f>
        <v>1.5338181838063448E-2</v>
      </c>
      <c r="L214" s="361">
        <f>+IF($I214=L$3,VLOOKUP($H214,Depreciation!$A$6:$L$10,9,FALSE)/2,IF($I214&lt;L$3,VLOOKUP($H214,Depreciation!$A$6:$L$10,9,FALSE),0))</f>
        <v>3.0676363676126896E-2</v>
      </c>
      <c r="M214" s="361">
        <f>+IF($I214=M$3,VLOOKUP($H214,Depreciation!$A$6:$L$10,10,FALSE)/2,IF($I214&lt;M$3,VLOOKUP($H214,Depreciation!$A$6:$L$10,10,FALSE),0))</f>
        <v>3.0676363676126896E-2</v>
      </c>
      <c r="N214" s="361">
        <f>+IF($I214=N$3,VLOOKUP($H214,Depreciation!$A$6:$L$10,11,FALSE)/2,IF($I214&lt;N$3,VLOOKUP($H214,Depreciation!$A$6:$L$10,11,FALSE),0))</f>
        <v>3.0676363676126896E-2</v>
      </c>
      <c r="O214" s="361">
        <f>+IF($I214=O$3,VLOOKUP($H214,Depreciation!$A$6:$L$10,12,FALSE)/2,IF($I214&lt;O$3,VLOOKUP($H214,Depreciation!$A$6:$L$10,12,FALSE),0))</f>
        <v>3.0676363676126896E-2</v>
      </c>
      <c r="P214" s="362">
        <f t="shared" si="10"/>
        <v>663315.77804178616</v>
      </c>
      <c r="Q214" s="362">
        <f t="shared" si="11"/>
        <v>0</v>
      </c>
      <c r="R214" s="363">
        <f t="shared" si="12"/>
        <v>663315.77804178616</v>
      </c>
    </row>
    <row r="215" spans="1:18">
      <c r="A215" s="359" t="str">
        <f>'Func Future Lines 2015'!A215</f>
        <v>PPS</v>
      </c>
      <c r="B215" s="359" t="str">
        <f>'Func Future Lines 2015'!B215</f>
        <v>line 768L</v>
      </c>
      <c r="C215" s="359">
        <f>'Func Future Lines 2015'!C215</f>
        <v>1263</v>
      </c>
      <c r="D215" s="359">
        <f>'Func Future Lines 2015'!D215</f>
        <v>138</v>
      </c>
      <c r="E215" s="359">
        <f>'Func Future Lines 2015'!E215</f>
        <v>0</v>
      </c>
      <c r="F215" s="359" t="str">
        <f>'Func Future Lines 2015'!F215</f>
        <v>Red_Deer</v>
      </c>
      <c r="G215" s="359">
        <f>'Func Future Lines 2015'!G215</f>
        <v>763058.82352941227</v>
      </c>
      <c r="H215" s="359" t="str">
        <f>'Func Future Lines 2015'!H215</f>
        <v>AltaLink</v>
      </c>
      <c r="I215" s="359">
        <f>'Func Future Lines 2015'!I215</f>
        <v>2016</v>
      </c>
      <c r="J215" s="361">
        <f>+IF($I215=J$3,VLOOKUP($H215,Depreciation!$A$6:$L$10,7,FALSE)/2,IF($I215&lt;J$3,VLOOKUP($H215,Depreciation!$A$6:$L$10,7,FALSE),0))</f>
        <v>0</v>
      </c>
      <c r="K215" s="361">
        <f>+IF($I215=K$3,VLOOKUP($H215,Depreciation!$A$6:$L$10,8,FALSE)/2,IF($I215&lt;K$3,VLOOKUP($H215,Depreciation!$A$6:$L$10,8,FALSE),0))</f>
        <v>1.5338181838063448E-2</v>
      </c>
      <c r="L215" s="361">
        <f>+IF($I215=L$3,VLOOKUP($H215,Depreciation!$A$6:$L$10,9,FALSE)/2,IF($I215&lt;L$3,VLOOKUP($H215,Depreciation!$A$6:$L$10,9,FALSE),0))</f>
        <v>3.0676363676126896E-2</v>
      </c>
      <c r="M215" s="361">
        <f>+IF($I215=M$3,VLOOKUP($H215,Depreciation!$A$6:$L$10,10,FALSE)/2,IF($I215&lt;M$3,VLOOKUP($H215,Depreciation!$A$6:$L$10,10,FALSE),0))</f>
        <v>3.0676363676126896E-2</v>
      </c>
      <c r="N215" s="361">
        <f>+IF($I215=N$3,VLOOKUP($H215,Depreciation!$A$6:$L$10,11,FALSE)/2,IF($I215&lt;N$3,VLOOKUP($H215,Depreciation!$A$6:$L$10,11,FALSE),0))</f>
        <v>3.0676363676126896E-2</v>
      </c>
      <c r="O215" s="361">
        <f>+IF($I215=O$3,VLOOKUP($H215,Depreciation!$A$6:$L$10,12,FALSE)/2,IF($I215&lt;O$3,VLOOKUP($H215,Depreciation!$A$6:$L$10,12,FALSE),0))</f>
        <v>3.0676363676126896E-2</v>
      </c>
      <c r="P215" s="362">
        <f t="shared" si="10"/>
        <v>663315.77804178616</v>
      </c>
      <c r="Q215" s="362">
        <f t="shared" si="11"/>
        <v>0</v>
      </c>
      <c r="R215" s="363">
        <f t="shared" si="12"/>
        <v>663315.77804178616</v>
      </c>
    </row>
    <row r="216" spans="1:18">
      <c r="A216" s="359" t="str">
        <f>'Func Future Lines 2015'!A216</f>
        <v>PPS</v>
      </c>
      <c r="B216" s="359" t="str">
        <f>'Func Future Lines 2015'!B216</f>
        <v>line 778L</v>
      </c>
      <c r="C216" s="359">
        <f>'Func Future Lines 2015'!C216</f>
        <v>1263</v>
      </c>
      <c r="D216" s="359">
        <f>'Func Future Lines 2015'!D216</f>
        <v>138</v>
      </c>
      <c r="E216" s="359">
        <f>'Func Future Lines 2015'!E216</f>
        <v>0</v>
      </c>
      <c r="F216" s="359" t="str">
        <f>'Func Future Lines 2015'!F216</f>
        <v>Red_Deer</v>
      </c>
      <c r="G216" s="359">
        <f>'Func Future Lines 2015'!G216</f>
        <v>331764.70588235313</v>
      </c>
      <c r="H216" s="359" t="str">
        <f>'Func Future Lines 2015'!H216</f>
        <v>AltaLink</v>
      </c>
      <c r="I216" s="359">
        <f>'Func Future Lines 2015'!I216</f>
        <v>2016</v>
      </c>
      <c r="J216" s="361">
        <f>+IF($I216=J$3,VLOOKUP($H216,Depreciation!$A$6:$L$10,7,FALSE)/2,IF($I216&lt;J$3,VLOOKUP($H216,Depreciation!$A$6:$L$10,7,FALSE),0))</f>
        <v>0</v>
      </c>
      <c r="K216" s="361">
        <f>+IF($I216=K$3,VLOOKUP($H216,Depreciation!$A$6:$L$10,8,FALSE)/2,IF($I216&lt;K$3,VLOOKUP($H216,Depreciation!$A$6:$L$10,8,FALSE),0))</f>
        <v>1.5338181838063448E-2</v>
      </c>
      <c r="L216" s="361">
        <f>+IF($I216=L$3,VLOOKUP($H216,Depreciation!$A$6:$L$10,9,FALSE)/2,IF($I216&lt;L$3,VLOOKUP($H216,Depreciation!$A$6:$L$10,9,FALSE),0))</f>
        <v>3.0676363676126896E-2</v>
      </c>
      <c r="M216" s="361">
        <f>+IF($I216=M$3,VLOOKUP($H216,Depreciation!$A$6:$L$10,10,FALSE)/2,IF($I216&lt;M$3,VLOOKUP($H216,Depreciation!$A$6:$L$10,10,FALSE),0))</f>
        <v>3.0676363676126896E-2</v>
      </c>
      <c r="N216" s="361">
        <f>+IF($I216=N$3,VLOOKUP($H216,Depreciation!$A$6:$L$10,11,FALSE)/2,IF($I216&lt;N$3,VLOOKUP($H216,Depreciation!$A$6:$L$10,11,FALSE),0))</f>
        <v>3.0676363676126896E-2</v>
      </c>
      <c r="O216" s="361">
        <f>+IF($I216=O$3,VLOOKUP($H216,Depreciation!$A$6:$L$10,12,FALSE)/2,IF($I216&lt;O$3,VLOOKUP($H216,Depreciation!$A$6:$L$10,12,FALSE),0))</f>
        <v>3.0676363676126896E-2</v>
      </c>
      <c r="P216" s="362">
        <f t="shared" si="10"/>
        <v>288398.16436599399</v>
      </c>
      <c r="Q216" s="362">
        <f t="shared" si="11"/>
        <v>0</v>
      </c>
      <c r="R216" s="363">
        <f t="shared" si="12"/>
        <v>288398.16436599399</v>
      </c>
    </row>
    <row r="217" spans="1:18">
      <c r="A217" s="359" t="str">
        <f>'Func Future Lines 2015'!A217</f>
        <v>PPS</v>
      </c>
      <c r="B217" s="359" t="str">
        <f>'Func Future Lines 2015'!B217</f>
        <v>in and out of line 9L07 and 9L89 from lune 9L07 at Dawes Sub_180</v>
      </c>
      <c r="C217" s="359">
        <f>'Func Future Lines 2015'!C217</f>
        <v>1267</v>
      </c>
      <c r="D217" s="359">
        <f>'Func Future Lines 2015'!D217</f>
        <v>240</v>
      </c>
      <c r="E217" s="359">
        <f>'Func Future Lines 2015'!E217</f>
        <v>0</v>
      </c>
      <c r="F217" s="359">
        <f>'Func Future Lines 2015'!F217</f>
        <v>0</v>
      </c>
      <c r="G217" s="359">
        <f>'Func Future Lines 2015'!G217</f>
        <v>6518260.7904942483</v>
      </c>
      <c r="H217" s="359" t="str">
        <f>'Func Future Lines 2015'!H217</f>
        <v>ATCO</v>
      </c>
      <c r="I217" s="359">
        <f>'Func Future Lines 2015'!I217</f>
        <v>2015</v>
      </c>
      <c r="J217" s="361">
        <f>+IF($I217=J$3,VLOOKUP($H217,Depreciation!$A$6:$L$10,7,FALSE)/2,IF($I217&lt;J$3,VLOOKUP($H217,Depreciation!$A$6:$L$10,7,FALSE),0))</f>
        <v>1.239102859091515E-2</v>
      </c>
      <c r="K217" s="361">
        <f>+IF($I217=K$3,VLOOKUP($H217,Depreciation!$A$6:$L$10,8,FALSE)/2,IF($I217&lt;K$3,VLOOKUP($H217,Depreciation!$A$6:$L$10,8,FALSE),0))</f>
        <v>2.3943859731006666E-2</v>
      </c>
      <c r="L217" s="361">
        <f>+IF($I217=L$3,VLOOKUP($H217,Depreciation!$A$6:$L$10,9,FALSE)/2,IF($I217&lt;L$3,VLOOKUP($H217,Depreciation!$A$6:$L$10,9,FALSE),0))</f>
        <v>2.4002037926855919E-2</v>
      </c>
      <c r="M217" s="361">
        <f>+IF($I217=M$3,VLOOKUP($H217,Depreciation!$A$6:$L$10,10,FALSE)/2,IF($I217&lt;M$3,VLOOKUP($H217,Depreciation!$A$6:$L$10,10,FALSE),0))</f>
        <v>2.4002037926855919E-2</v>
      </c>
      <c r="N217" s="361">
        <f>+IF($I217=N$3,VLOOKUP($H217,Depreciation!$A$6:$L$10,11,FALSE)/2,IF($I217&lt;N$3,VLOOKUP($H217,Depreciation!$A$6:$L$10,11,FALSE),0))</f>
        <v>2.4002037926855919E-2</v>
      </c>
      <c r="O217" s="361">
        <f>+IF($I217=O$3,VLOOKUP($H217,Depreciation!$A$6:$L$10,12,FALSE)/2,IF($I217&lt;O$3,VLOOKUP($H217,Depreciation!$A$6:$L$10,12,FALSE),0))</f>
        <v>2.4002037926855919E-2</v>
      </c>
      <c r="P217" s="362">
        <f t="shared" si="10"/>
        <v>5701474.6792039247</v>
      </c>
      <c r="Q217" s="362">
        <f t="shared" si="11"/>
        <v>5701474.6792039247</v>
      </c>
      <c r="R217" s="363">
        <f t="shared" si="12"/>
        <v>0</v>
      </c>
    </row>
    <row r="218" spans="1:18">
      <c r="A218" s="359" t="str">
        <f>'Func Future Lines 2015'!A218</f>
        <v>PPS</v>
      </c>
      <c r="B218" s="359" t="str">
        <f>'Func Future Lines 2015'!B218</f>
        <v>new line 7L170_180</v>
      </c>
      <c r="C218" s="359">
        <f>'Func Future Lines 2015'!C218</f>
        <v>1267</v>
      </c>
      <c r="D218" s="359">
        <f>'Func Future Lines 2015'!D218</f>
        <v>144</v>
      </c>
      <c r="E218" s="359">
        <f>'Func Future Lines 2015'!E218</f>
        <v>0</v>
      </c>
      <c r="F218" s="359">
        <f>'Func Future Lines 2015'!F218</f>
        <v>0</v>
      </c>
      <c r="G218" s="359">
        <f>'Func Future Lines 2015'!G218</f>
        <v>3456133.2958460073</v>
      </c>
      <c r="H218" s="359" t="str">
        <f>'Func Future Lines 2015'!H218</f>
        <v>ATCO</v>
      </c>
      <c r="I218" s="359">
        <f>'Func Future Lines 2015'!I218</f>
        <v>2015</v>
      </c>
      <c r="J218" s="361">
        <f>+IF($I218=J$3,VLOOKUP($H218,Depreciation!$A$6:$L$10,7,FALSE)/2,IF($I218&lt;J$3,VLOOKUP($H218,Depreciation!$A$6:$L$10,7,FALSE),0))</f>
        <v>1.239102859091515E-2</v>
      </c>
      <c r="K218" s="361">
        <f>+IF($I218=K$3,VLOOKUP($H218,Depreciation!$A$6:$L$10,8,FALSE)/2,IF($I218&lt;K$3,VLOOKUP($H218,Depreciation!$A$6:$L$10,8,FALSE),0))</f>
        <v>2.3943859731006666E-2</v>
      </c>
      <c r="L218" s="361">
        <f>+IF($I218=L$3,VLOOKUP($H218,Depreciation!$A$6:$L$10,9,FALSE)/2,IF($I218&lt;L$3,VLOOKUP($H218,Depreciation!$A$6:$L$10,9,FALSE),0))</f>
        <v>2.4002037926855919E-2</v>
      </c>
      <c r="M218" s="361">
        <f>+IF($I218=M$3,VLOOKUP($H218,Depreciation!$A$6:$L$10,10,FALSE)/2,IF($I218&lt;M$3,VLOOKUP($H218,Depreciation!$A$6:$L$10,10,FALSE),0))</f>
        <v>2.4002037926855919E-2</v>
      </c>
      <c r="N218" s="361">
        <f>+IF($I218=N$3,VLOOKUP($H218,Depreciation!$A$6:$L$10,11,FALSE)/2,IF($I218&lt;N$3,VLOOKUP($H218,Depreciation!$A$6:$L$10,11,FALSE),0))</f>
        <v>2.4002037926855919E-2</v>
      </c>
      <c r="O218" s="361">
        <f>+IF($I218=O$3,VLOOKUP($H218,Depreciation!$A$6:$L$10,12,FALSE)/2,IF($I218&lt;O$3,VLOOKUP($H218,Depreciation!$A$6:$L$10,12,FALSE),0))</f>
        <v>2.4002037926855919E-2</v>
      </c>
      <c r="P218" s="362">
        <f t="shared" si="10"/>
        <v>3023054.3250058386</v>
      </c>
      <c r="Q218" s="362">
        <f t="shared" si="11"/>
        <v>0</v>
      </c>
      <c r="R218" s="363">
        <f t="shared" si="12"/>
        <v>3023054.3250058386</v>
      </c>
    </row>
    <row r="219" spans="1:18">
      <c r="A219" s="359" t="str">
        <f>'Func Future Lines 2015'!A219</f>
        <v>PPS</v>
      </c>
      <c r="B219" s="359" t="str">
        <f>'Func Future Lines 2015'!B219</f>
        <v>1135L/1136L preferred</v>
      </c>
      <c r="C219" s="359">
        <f>'Func Future Lines 2015'!C219</f>
        <v>1287</v>
      </c>
      <c r="D219" s="359">
        <f>'Func Future Lines 2015'!D219</f>
        <v>240</v>
      </c>
      <c r="E219" s="359">
        <f>'Func Future Lines 2015'!E219</f>
        <v>0</v>
      </c>
      <c r="F219" s="359">
        <f>'Func Future Lines 2015'!F219</f>
        <v>0</v>
      </c>
      <c r="G219" s="359">
        <f>'Func Future Lines 2015'!G219</f>
        <v>28342949.806082249</v>
      </c>
      <c r="H219" s="359" t="str">
        <f>'Func Future Lines 2015'!H219</f>
        <v>AltaLink</v>
      </c>
      <c r="I219" s="359">
        <f>'Func Future Lines 2015'!I219</f>
        <v>2019</v>
      </c>
      <c r="J219" s="361">
        <f>+IF($I219=J$3,VLOOKUP($H219,Depreciation!$A$6:$L$10,7,FALSE)/2,IF($I219&lt;J$3,VLOOKUP($H219,Depreciation!$A$6:$L$10,7,FALSE),0))</f>
        <v>0</v>
      </c>
      <c r="K219" s="361">
        <f>+IF($I219=K$3,VLOOKUP($H219,Depreciation!$A$6:$L$10,8,FALSE)/2,IF($I219&lt;K$3,VLOOKUP($H219,Depreciation!$A$6:$L$10,8,FALSE),0))</f>
        <v>0</v>
      </c>
      <c r="L219" s="361">
        <f>+IF($I219=L$3,VLOOKUP($H219,Depreciation!$A$6:$L$10,9,FALSE)/2,IF($I219&lt;L$3,VLOOKUP($H219,Depreciation!$A$6:$L$10,9,FALSE),0))</f>
        <v>0</v>
      </c>
      <c r="M219" s="361">
        <f>+IF($I219=M$3,VLOOKUP($H219,Depreciation!$A$6:$L$10,10,FALSE)/2,IF($I219&lt;M$3,VLOOKUP($H219,Depreciation!$A$6:$L$10,10,FALSE),0))</f>
        <v>0</v>
      </c>
      <c r="N219" s="361">
        <f>+IF($I219=N$3,VLOOKUP($H219,Depreciation!$A$6:$L$10,11,FALSE)/2,IF($I219&lt;N$3,VLOOKUP($H219,Depreciation!$A$6:$L$10,11,FALSE),0))</f>
        <v>1.5338181838063448E-2</v>
      </c>
      <c r="O219" s="361">
        <f>+IF($I219=O$3,VLOOKUP($H219,Depreciation!$A$6:$L$10,12,FALSE)/2,IF($I219&lt;O$3,VLOOKUP($H219,Depreciation!$A$6:$L$10,12,FALSE),0))</f>
        <v>3.0676363676126896E-2</v>
      </c>
      <c r="P219" s="362">
        <f t="shared" si="10"/>
        <v>27052097.766882058</v>
      </c>
      <c r="Q219" s="362">
        <f t="shared" si="11"/>
        <v>27052097.766882058</v>
      </c>
      <c r="R219" s="363">
        <f t="shared" si="12"/>
        <v>0</v>
      </c>
    </row>
    <row r="220" spans="1:18">
      <c r="A220" s="359" t="str">
        <f>'Func Future Lines 2015'!A220</f>
        <v>PPS</v>
      </c>
      <c r="B220" s="359" t="str">
        <f>'Func Future Lines 2015'!B220</f>
        <v>Line 9L930</v>
      </c>
      <c r="C220" s="359">
        <f>'Func Future Lines 2015'!C220</f>
        <v>1287</v>
      </c>
      <c r="D220" s="359">
        <f>'Func Future Lines 2015'!D220</f>
        <v>240</v>
      </c>
      <c r="E220" s="359">
        <f>'Func Future Lines 2015'!E220</f>
        <v>0</v>
      </c>
      <c r="F220" s="359">
        <f>'Func Future Lines 2015'!F220</f>
        <v>0</v>
      </c>
      <c r="G220" s="359">
        <f>'Func Future Lines 2015'!G220</f>
        <v>1903119.3553939713</v>
      </c>
      <c r="H220" s="359" t="str">
        <f>'Func Future Lines 2015'!H220</f>
        <v>ATCO</v>
      </c>
      <c r="I220" s="359">
        <f>'Func Future Lines 2015'!I220</f>
        <v>2019</v>
      </c>
      <c r="J220" s="361">
        <f>+IF($I220=J$3,VLOOKUP($H220,Depreciation!$A$6:$L$10,7,FALSE)/2,IF($I220&lt;J$3,VLOOKUP($H220,Depreciation!$A$6:$L$10,7,FALSE),0))</f>
        <v>0</v>
      </c>
      <c r="K220" s="361">
        <f>+IF($I220=K$3,VLOOKUP($H220,Depreciation!$A$6:$L$10,8,FALSE)/2,IF($I220&lt;K$3,VLOOKUP($H220,Depreciation!$A$6:$L$10,8,FALSE),0))</f>
        <v>0</v>
      </c>
      <c r="L220" s="361">
        <f>+IF($I220=L$3,VLOOKUP($H220,Depreciation!$A$6:$L$10,9,FALSE)/2,IF($I220&lt;L$3,VLOOKUP($H220,Depreciation!$A$6:$L$10,9,FALSE),0))</f>
        <v>0</v>
      </c>
      <c r="M220" s="361">
        <f>+IF($I220=M$3,VLOOKUP($H220,Depreciation!$A$6:$L$10,10,FALSE)/2,IF($I220&lt;M$3,VLOOKUP($H220,Depreciation!$A$6:$L$10,10,FALSE),0))</f>
        <v>0</v>
      </c>
      <c r="N220" s="361">
        <f>+IF($I220=N$3,VLOOKUP($H220,Depreciation!$A$6:$L$10,11,FALSE)/2,IF($I220&lt;N$3,VLOOKUP($H220,Depreciation!$A$6:$L$10,11,FALSE),0))</f>
        <v>1.2001018963427959E-2</v>
      </c>
      <c r="O220" s="361">
        <f>+IF($I220=O$3,VLOOKUP($H220,Depreciation!$A$6:$L$10,12,FALSE)/2,IF($I220&lt;O$3,VLOOKUP($H220,Depreciation!$A$6:$L$10,12,FALSE),0))</f>
        <v>2.4002037926855919E-2</v>
      </c>
      <c r="P220" s="362">
        <f t="shared" si="10"/>
        <v>1835149.4324330601</v>
      </c>
      <c r="Q220" s="362">
        <f t="shared" si="11"/>
        <v>1835149.4324330601</v>
      </c>
      <c r="R220" s="363">
        <f t="shared" si="12"/>
        <v>0</v>
      </c>
    </row>
    <row r="221" spans="1:18">
      <c r="A221" s="359" t="str">
        <f>'Func Future Lines 2015'!A221</f>
        <v>PPS</v>
      </c>
      <c r="B221" s="359" t="str">
        <f>'Func Future Lines 2015'!B221</f>
        <v>138kv s/c line 621L</v>
      </c>
      <c r="C221" s="359">
        <f>'Func Future Lines 2015'!C221</f>
        <v>1289</v>
      </c>
      <c r="D221" s="359">
        <f>'Func Future Lines 2015'!D221</f>
        <v>138</v>
      </c>
      <c r="E221" s="359">
        <f>'Func Future Lines 2015'!E221</f>
        <v>0</v>
      </c>
      <c r="F221" s="359" t="str">
        <f>'Func Future Lines 2015'!F221</f>
        <v>edmonton</v>
      </c>
      <c r="G221" s="360">
        <f>'Func Future Lines 2015'!G221</f>
        <v>1490787.1125611733</v>
      </c>
      <c r="H221" s="359" t="str">
        <f>'Func Future Lines 2015'!H221</f>
        <v>AltaLink</v>
      </c>
      <c r="I221" s="359">
        <f>'Func Future Lines 2015'!I221</f>
        <v>2017</v>
      </c>
      <c r="J221" s="361">
        <f>+IF($I221=J$3,VLOOKUP($H221,Depreciation!$A$6:$L$10,7,FALSE)/2,IF($I221&lt;J$3,VLOOKUP($H221,Depreciation!$A$6:$L$10,7,FALSE),0))</f>
        <v>0</v>
      </c>
      <c r="K221" s="361">
        <f>+IF($I221=K$3,VLOOKUP($H221,Depreciation!$A$6:$L$10,8,FALSE)/2,IF($I221&lt;K$3,VLOOKUP($H221,Depreciation!$A$6:$L$10,8,FALSE),0))</f>
        <v>0</v>
      </c>
      <c r="L221" s="361">
        <f>+IF($I221=L$3,VLOOKUP($H221,Depreciation!$A$6:$L$10,9,FALSE)/2,IF($I221&lt;L$3,VLOOKUP($H221,Depreciation!$A$6:$L$10,9,FALSE),0))</f>
        <v>1.5338181838063448E-2</v>
      </c>
      <c r="M221" s="361">
        <f>+IF($I221=M$3,VLOOKUP($H221,Depreciation!$A$6:$L$10,10,FALSE)/2,IF($I221&lt;M$3,VLOOKUP($H221,Depreciation!$A$6:$L$10,10,FALSE),0))</f>
        <v>3.0676363676126896E-2</v>
      </c>
      <c r="N221" s="361">
        <f>+IF($I221=N$3,VLOOKUP($H221,Depreciation!$A$6:$L$10,11,FALSE)/2,IF($I221&lt;N$3,VLOOKUP($H221,Depreciation!$A$6:$L$10,11,FALSE),0))</f>
        <v>3.0676363676126896E-2</v>
      </c>
      <c r="O221" s="361">
        <f>+IF($I221=O$3,VLOOKUP($H221,Depreciation!$A$6:$L$10,12,FALSE)/2,IF($I221&lt;O$3,VLOOKUP($H221,Depreciation!$A$6:$L$10,12,FALSE),0))</f>
        <v>3.0676363676126896E-2</v>
      </c>
      <c r="P221" s="362">
        <f t="shared" si="10"/>
        <v>1336931.4386923611</v>
      </c>
      <c r="Q221" s="362">
        <f t="shared" si="11"/>
        <v>0</v>
      </c>
      <c r="R221" s="363">
        <f t="shared" si="12"/>
        <v>1336931.4386923611</v>
      </c>
    </row>
    <row r="222" spans="1:18">
      <c r="A222" s="359" t="str">
        <f>'Func Future Lines 2015'!A222</f>
        <v>PPS</v>
      </c>
      <c r="B222" s="359" t="str">
        <f>'Func Future Lines 2015'!B222</f>
        <v xml:space="preserve">Rerouting 815L </v>
      </c>
      <c r="C222" s="359">
        <f>'Func Future Lines 2015'!C222</f>
        <v>1289</v>
      </c>
      <c r="D222" s="359">
        <f>'Func Future Lines 2015'!D222</f>
        <v>138</v>
      </c>
      <c r="E222" s="359">
        <f>'Func Future Lines 2015'!E222</f>
        <v>0</v>
      </c>
      <c r="F222" s="359" t="str">
        <f>'Func Future Lines 2015'!F222</f>
        <v>edmonton</v>
      </c>
      <c r="G222" s="360">
        <f>'Func Future Lines 2015'!G222</f>
        <v>437379.69004893926</v>
      </c>
      <c r="H222" s="359" t="str">
        <f>'Func Future Lines 2015'!H222</f>
        <v>AltaLink</v>
      </c>
      <c r="I222" s="359">
        <f>'Func Future Lines 2015'!I222</f>
        <v>2017</v>
      </c>
      <c r="J222" s="361">
        <f>+IF($I222=J$3,VLOOKUP($H222,Depreciation!$A$6:$L$10,7,FALSE)/2,IF($I222&lt;J$3,VLOOKUP($H222,Depreciation!$A$6:$L$10,7,FALSE),0))</f>
        <v>0</v>
      </c>
      <c r="K222" s="361">
        <f>+IF($I222=K$3,VLOOKUP($H222,Depreciation!$A$6:$L$10,8,FALSE)/2,IF($I222&lt;K$3,VLOOKUP($H222,Depreciation!$A$6:$L$10,8,FALSE),0))</f>
        <v>0</v>
      </c>
      <c r="L222" s="361">
        <f>+IF($I222=L$3,VLOOKUP($H222,Depreciation!$A$6:$L$10,9,FALSE)/2,IF($I222&lt;L$3,VLOOKUP($H222,Depreciation!$A$6:$L$10,9,FALSE),0))</f>
        <v>1.5338181838063448E-2</v>
      </c>
      <c r="M222" s="361">
        <f>+IF($I222=M$3,VLOOKUP($H222,Depreciation!$A$6:$L$10,10,FALSE)/2,IF($I222&lt;M$3,VLOOKUP($H222,Depreciation!$A$6:$L$10,10,FALSE),0))</f>
        <v>3.0676363676126896E-2</v>
      </c>
      <c r="N222" s="361">
        <f>+IF($I222=N$3,VLOOKUP($H222,Depreciation!$A$6:$L$10,11,FALSE)/2,IF($I222&lt;N$3,VLOOKUP($H222,Depreciation!$A$6:$L$10,11,FALSE),0))</f>
        <v>3.0676363676126896E-2</v>
      </c>
      <c r="O222" s="361">
        <f>+IF($I222=O$3,VLOOKUP($H222,Depreciation!$A$6:$L$10,12,FALSE)/2,IF($I222&lt;O$3,VLOOKUP($H222,Depreciation!$A$6:$L$10,12,FALSE),0))</f>
        <v>3.0676363676126896E-2</v>
      </c>
      <c r="P222" s="362">
        <f t="shared" si="10"/>
        <v>392240.21548412251</v>
      </c>
      <c r="Q222" s="362">
        <f t="shared" si="11"/>
        <v>0</v>
      </c>
      <c r="R222" s="363">
        <f t="shared" si="12"/>
        <v>392240.21548412251</v>
      </c>
    </row>
    <row r="223" spans="1:18">
      <c r="A223" s="359" t="str">
        <f>'Func Future Lines 2015'!A223</f>
        <v>PPS</v>
      </c>
      <c r="B223" s="359" t="str">
        <f>'Func Future Lines 2015'!B223</f>
        <v>7LA106 new line</v>
      </c>
      <c r="C223" s="359">
        <f>'Func Future Lines 2015'!C223</f>
        <v>1290</v>
      </c>
      <c r="D223" s="359">
        <f>'Func Future Lines 2015'!D223</f>
        <v>144</v>
      </c>
      <c r="E223" s="359">
        <f>'Func Future Lines 2015'!E223</f>
        <v>0</v>
      </c>
      <c r="F223" s="359" t="str">
        <f>'Func Future Lines 2015'!F223</f>
        <v>Peace_River</v>
      </c>
      <c r="G223" s="360">
        <f>'Func Future Lines 2015'!G223</f>
        <v>5368376.5324647576</v>
      </c>
      <c r="H223" s="359" t="str">
        <f>'Func Future Lines 2015'!H223</f>
        <v>ATCO</v>
      </c>
      <c r="I223" s="359">
        <f>'Func Future Lines 2015'!I223</f>
        <v>2018</v>
      </c>
      <c r="J223" s="361">
        <f>+IF($I223=J$3,VLOOKUP($H223,Depreciation!$A$6:$L$10,7,FALSE)/2,IF($I223&lt;J$3,VLOOKUP($H223,Depreciation!$A$6:$L$10,7,FALSE),0))</f>
        <v>0</v>
      </c>
      <c r="K223" s="361">
        <f>+IF($I223=K$3,VLOOKUP($H223,Depreciation!$A$6:$L$10,8,FALSE)/2,IF($I223&lt;K$3,VLOOKUP($H223,Depreciation!$A$6:$L$10,8,FALSE),0))</f>
        <v>0</v>
      </c>
      <c r="L223" s="361">
        <f>+IF($I223=L$3,VLOOKUP($H223,Depreciation!$A$6:$L$10,9,FALSE)/2,IF($I223&lt;L$3,VLOOKUP($H223,Depreciation!$A$6:$L$10,9,FALSE),0))</f>
        <v>0</v>
      </c>
      <c r="M223" s="361">
        <f>+IF($I223=M$3,VLOOKUP($H223,Depreciation!$A$6:$L$10,10,FALSE)/2,IF($I223&lt;M$3,VLOOKUP($H223,Depreciation!$A$6:$L$10,10,FALSE),0))</f>
        <v>1.2001018963427959E-2</v>
      </c>
      <c r="N223" s="361">
        <f>+IF($I223=N$3,VLOOKUP($H223,Depreciation!$A$6:$L$10,11,FALSE)/2,IF($I223&lt;N$3,VLOOKUP($H223,Depreciation!$A$6:$L$10,11,FALSE),0))</f>
        <v>2.4002037926855919E-2</v>
      </c>
      <c r="O223" s="361">
        <f>+IF($I223=O$3,VLOOKUP($H223,Depreciation!$A$6:$L$10,12,FALSE)/2,IF($I223&lt;O$3,VLOOKUP($H223,Depreciation!$A$6:$L$10,12,FALSE),0))</f>
        <v>2.4002037926855919E-2</v>
      </c>
      <c r="P223" s="362">
        <f t="shared" si="10"/>
        <v>5052394.8940326637</v>
      </c>
      <c r="Q223" s="362">
        <f t="shared" si="11"/>
        <v>0</v>
      </c>
      <c r="R223" s="363">
        <f t="shared" si="12"/>
        <v>5052394.8940326637</v>
      </c>
    </row>
    <row r="224" spans="1:18">
      <c r="A224" s="359" t="str">
        <f>'Func Future Lines 2015'!A224</f>
        <v>PPS</v>
      </c>
      <c r="B224" s="359" t="str">
        <f>'Func Future Lines 2015'!B224</f>
        <v>138-162.81L</v>
      </c>
      <c r="C224" s="359">
        <f>'Func Future Lines 2015'!C224</f>
        <v>1314</v>
      </c>
      <c r="D224" s="359">
        <f>'Func Future Lines 2015'!D224</f>
        <v>138</v>
      </c>
      <c r="E224" s="359">
        <f>'Func Future Lines 2015'!E224</f>
        <v>0</v>
      </c>
      <c r="F224" s="359" t="str">
        <f>'Func Future Lines 2015'!F224</f>
        <v>Fort McMurray</v>
      </c>
      <c r="G224" s="359">
        <f>'Func Future Lines 2015'!G224</f>
        <v>334297.27388090419</v>
      </c>
      <c r="H224" s="359" t="str">
        <f>'Func Future Lines 2015'!H224</f>
        <v>ENMAX</v>
      </c>
      <c r="I224" s="359">
        <f>'Func Future Lines 2015'!I224</f>
        <v>2015</v>
      </c>
      <c r="J224" s="361">
        <f>+IF($I224=J$3,VLOOKUP($H224,Depreciation!$A$6:$L$10,7,FALSE)/2,IF($I224&lt;J$3,VLOOKUP($H224,Depreciation!$A$6:$L$10,7,FALSE),0))</f>
        <v>1.3475179084025525E-2</v>
      </c>
      <c r="K224" s="361">
        <f>+IF($I224=K$3,VLOOKUP($H224,Depreciation!$A$6:$L$10,8,FALSE)/2,IF($I224&lt;K$3,VLOOKUP($H224,Depreciation!$A$6:$L$10,8,FALSE),0))</f>
        <v>2.6950358168051049E-2</v>
      </c>
      <c r="L224" s="361">
        <f>+IF($I224=L$3,VLOOKUP($H224,Depreciation!$A$6:$L$10,9,FALSE)/2,IF($I224&lt;L$3,VLOOKUP($H224,Depreciation!$A$6:$L$10,9,FALSE),0))</f>
        <v>2.6950358168051049E-2</v>
      </c>
      <c r="M224" s="361">
        <f>+IF($I224=M$3,VLOOKUP($H224,Depreciation!$A$6:$L$10,10,FALSE)/2,IF($I224&lt;M$3,VLOOKUP($H224,Depreciation!$A$6:$L$10,10,FALSE),0))</f>
        <v>2.6950358168051049E-2</v>
      </c>
      <c r="N224" s="361">
        <f>+IF($I224=N$3,VLOOKUP($H224,Depreciation!$A$6:$L$10,11,FALSE)/2,IF($I224&lt;N$3,VLOOKUP($H224,Depreciation!$A$6:$L$10,11,FALSE),0))</f>
        <v>2.6950358168051049E-2</v>
      </c>
      <c r="O224" s="361">
        <f>+IF($I224=O$3,VLOOKUP($H224,Depreciation!$A$6:$L$10,12,FALSE)/2,IF($I224&lt;O$3,VLOOKUP($H224,Depreciation!$A$6:$L$10,12,FALSE),0))</f>
        <v>2.6950358168051049E-2</v>
      </c>
      <c r="P224" s="362">
        <f t="shared" si="10"/>
        <v>287684.08520971885</v>
      </c>
      <c r="Q224" s="362">
        <f t="shared" si="11"/>
        <v>0</v>
      </c>
      <c r="R224" s="363">
        <f t="shared" si="12"/>
        <v>287684.08520971885</v>
      </c>
    </row>
    <row r="225" spans="1:18">
      <c r="A225" s="359" t="str">
        <f>'Func Future Lines 2015'!A225</f>
        <v>PPS</v>
      </c>
      <c r="B225" s="359" t="str">
        <f>'Func Future Lines 2015'!B225</f>
        <v>Two 240kV lines 9L124 | 9L139</v>
      </c>
      <c r="C225" s="359">
        <f>'Func Future Lines 2015'!C225</f>
        <v>1321</v>
      </c>
      <c r="D225" s="359">
        <f>'Func Future Lines 2015'!D225</f>
        <v>240</v>
      </c>
      <c r="E225" s="359">
        <f>'Func Future Lines 2015'!E225</f>
        <v>0</v>
      </c>
      <c r="F225" s="359" t="str">
        <f>'Func Future Lines 2015'!F225</f>
        <v>Peace_River</v>
      </c>
      <c r="G225" s="360">
        <f>'Func Future Lines 2015'!G225</f>
        <v>39192318.192983381</v>
      </c>
      <c r="H225" s="359" t="str">
        <f>'Func Future Lines 2015'!H225</f>
        <v>ATCO</v>
      </c>
      <c r="I225" s="359">
        <f>'Func Future Lines 2015'!I225</f>
        <v>2017</v>
      </c>
      <c r="J225" s="361">
        <f>+IF($I225=J$3,VLOOKUP($H225,Depreciation!$A$6:$L$10,7,FALSE)/2,IF($I225&lt;J$3,VLOOKUP($H225,Depreciation!$A$6:$L$10,7,FALSE),0))</f>
        <v>0</v>
      </c>
      <c r="K225" s="361">
        <f>+IF($I225=K$3,VLOOKUP($H225,Depreciation!$A$6:$L$10,8,FALSE)/2,IF($I225&lt;K$3,VLOOKUP($H225,Depreciation!$A$6:$L$10,8,FALSE),0))</f>
        <v>0</v>
      </c>
      <c r="L225" s="361">
        <f>+IF($I225=L$3,VLOOKUP($H225,Depreciation!$A$6:$L$10,9,FALSE)/2,IF($I225&lt;L$3,VLOOKUP($H225,Depreciation!$A$6:$L$10,9,FALSE),0))</f>
        <v>1.2001018963427959E-2</v>
      </c>
      <c r="M225" s="361">
        <f>+IF($I225=M$3,VLOOKUP($H225,Depreciation!$A$6:$L$10,10,FALSE)/2,IF($I225&lt;M$3,VLOOKUP($H225,Depreciation!$A$6:$L$10,10,FALSE),0))</f>
        <v>2.4002037926855919E-2</v>
      </c>
      <c r="N225" s="361">
        <f>+IF($I225=N$3,VLOOKUP($H225,Depreciation!$A$6:$L$10,11,FALSE)/2,IF($I225&lt;N$3,VLOOKUP($H225,Depreciation!$A$6:$L$10,11,FALSE),0))</f>
        <v>2.4002037926855919E-2</v>
      </c>
      <c r="O225" s="361">
        <f>+IF($I225=O$3,VLOOKUP($H225,Depreciation!$A$6:$L$10,12,FALSE)/2,IF($I225&lt;O$3,VLOOKUP($H225,Depreciation!$A$6:$L$10,12,FALSE),0))</f>
        <v>2.4002037926855919E-2</v>
      </c>
      <c r="P225" s="362">
        <f t="shared" si="10"/>
        <v>36000139.329796717</v>
      </c>
      <c r="Q225" s="362">
        <f t="shared" si="11"/>
        <v>36000139.329796717</v>
      </c>
      <c r="R225" s="363">
        <f t="shared" si="12"/>
        <v>0</v>
      </c>
    </row>
    <row r="226" spans="1:18">
      <c r="A226" s="359" t="str">
        <f>'Func Future Lines 2015'!A226</f>
        <v>PPS</v>
      </c>
      <c r="B226" s="359" t="str">
        <f>'Func Future Lines 2015'!B226</f>
        <v>675L</v>
      </c>
      <c r="C226" s="359">
        <f>'Func Future Lines 2015'!C226</f>
        <v>1326</v>
      </c>
      <c r="D226" s="359">
        <f>'Func Future Lines 2015'!D226</f>
        <v>138</v>
      </c>
      <c r="E226" s="359">
        <f>'Func Future Lines 2015'!E226</f>
        <v>0</v>
      </c>
      <c r="F226" s="359">
        <f>'Func Future Lines 2015'!F226</f>
        <v>0</v>
      </c>
      <c r="G226" s="360">
        <f>'Func Future Lines 2015'!G226</f>
        <v>174412.28457799382</v>
      </c>
      <c r="H226" s="359" t="str">
        <f>'Func Future Lines 2015'!H226</f>
        <v>AltaLink</v>
      </c>
      <c r="I226" s="359">
        <f>'Func Future Lines 2015'!I226</f>
        <v>2017</v>
      </c>
      <c r="J226" s="361">
        <f>+IF($I226=J$3,VLOOKUP($H226,Depreciation!$A$6:$L$10,7,FALSE)/2,IF($I226&lt;J$3,VLOOKUP($H226,Depreciation!$A$6:$L$10,7,FALSE),0))</f>
        <v>0</v>
      </c>
      <c r="K226" s="361">
        <f>+IF($I226=K$3,VLOOKUP($H226,Depreciation!$A$6:$L$10,8,FALSE)/2,IF($I226&lt;K$3,VLOOKUP($H226,Depreciation!$A$6:$L$10,8,FALSE),0))</f>
        <v>0</v>
      </c>
      <c r="L226" s="361">
        <f>+IF($I226=L$3,VLOOKUP($H226,Depreciation!$A$6:$L$10,9,FALSE)/2,IF($I226&lt;L$3,VLOOKUP($H226,Depreciation!$A$6:$L$10,9,FALSE),0))</f>
        <v>1.5338181838063448E-2</v>
      </c>
      <c r="M226" s="361">
        <f>+IF($I226=M$3,VLOOKUP($H226,Depreciation!$A$6:$L$10,10,FALSE)/2,IF($I226&lt;M$3,VLOOKUP($H226,Depreciation!$A$6:$L$10,10,FALSE),0))</f>
        <v>3.0676363676126896E-2</v>
      </c>
      <c r="N226" s="361">
        <f>+IF($I226=N$3,VLOOKUP($H226,Depreciation!$A$6:$L$10,11,FALSE)/2,IF($I226&lt;N$3,VLOOKUP($H226,Depreciation!$A$6:$L$10,11,FALSE),0))</f>
        <v>3.0676363676126896E-2</v>
      </c>
      <c r="O226" s="361">
        <f>+IF($I226=O$3,VLOOKUP($H226,Depreciation!$A$6:$L$10,12,FALSE)/2,IF($I226&lt;O$3,VLOOKUP($H226,Depreciation!$A$6:$L$10,12,FALSE),0))</f>
        <v>3.0676363676126896E-2</v>
      </c>
      <c r="P226" s="362">
        <f t="shared" si="10"/>
        <v>156412.18292119532</v>
      </c>
      <c r="Q226" s="362">
        <f t="shared" si="11"/>
        <v>0</v>
      </c>
      <c r="R226" s="363">
        <f t="shared" si="12"/>
        <v>156412.18292119532</v>
      </c>
    </row>
    <row r="227" spans="1:18">
      <c r="A227" s="359" t="str">
        <f>'Func Future Lines 2015'!A227</f>
        <v>PPS</v>
      </c>
      <c r="B227" s="359" t="str">
        <f>'Func Future Lines 2015'!B227</f>
        <v>880L</v>
      </c>
      <c r="C227" s="359">
        <f>'Func Future Lines 2015'!C227</f>
        <v>1326</v>
      </c>
      <c r="D227" s="359">
        <f>'Func Future Lines 2015'!D227</f>
        <v>138</v>
      </c>
      <c r="E227" s="359">
        <f>'Func Future Lines 2015'!E227</f>
        <v>0</v>
      </c>
      <c r="F227" s="359">
        <f>'Func Future Lines 2015'!F227</f>
        <v>0</v>
      </c>
      <c r="G227" s="360">
        <f>'Func Future Lines 2015'!G227</f>
        <v>450149.80114891741</v>
      </c>
      <c r="H227" s="359" t="str">
        <f>'Func Future Lines 2015'!H227</f>
        <v>AltaLink</v>
      </c>
      <c r="I227" s="359">
        <f>'Func Future Lines 2015'!I227</f>
        <v>2017</v>
      </c>
      <c r="J227" s="361">
        <f>+IF($I227=J$3,VLOOKUP($H227,Depreciation!$A$6:$L$10,7,FALSE)/2,IF($I227&lt;J$3,VLOOKUP($H227,Depreciation!$A$6:$L$10,7,FALSE),0))</f>
        <v>0</v>
      </c>
      <c r="K227" s="361">
        <f>+IF($I227=K$3,VLOOKUP($H227,Depreciation!$A$6:$L$10,8,FALSE)/2,IF($I227&lt;K$3,VLOOKUP($H227,Depreciation!$A$6:$L$10,8,FALSE),0))</f>
        <v>0</v>
      </c>
      <c r="L227" s="361">
        <f>+IF($I227=L$3,VLOOKUP($H227,Depreciation!$A$6:$L$10,9,FALSE)/2,IF($I227&lt;L$3,VLOOKUP($H227,Depreciation!$A$6:$L$10,9,FALSE),0))</f>
        <v>1.5338181838063448E-2</v>
      </c>
      <c r="M227" s="361">
        <f>+IF($I227=M$3,VLOOKUP($H227,Depreciation!$A$6:$L$10,10,FALSE)/2,IF($I227&lt;M$3,VLOOKUP($H227,Depreciation!$A$6:$L$10,10,FALSE),0))</f>
        <v>3.0676363676126896E-2</v>
      </c>
      <c r="N227" s="361">
        <f>+IF($I227=N$3,VLOOKUP($H227,Depreciation!$A$6:$L$10,11,FALSE)/2,IF($I227&lt;N$3,VLOOKUP($H227,Depreciation!$A$6:$L$10,11,FALSE),0))</f>
        <v>3.0676363676126896E-2</v>
      </c>
      <c r="O227" s="361">
        <f>+IF($I227=O$3,VLOOKUP($H227,Depreciation!$A$6:$L$10,12,FALSE)/2,IF($I227&lt;O$3,VLOOKUP($H227,Depreciation!$A$6:$L$10,12,FALSE),0))</f>
        <v>3.0676363676126896E-2</v>
      </c>
      <c r="P227" s="362">
        <f t="shared" si="10"/>
        <v>403692.39592041832</v>
      </c>
      <c r="Q227" s="362">
        <f t="shared" si="11"/>
        <v>0</v>
      </c>
      <c r="R227" s="363">
        <f t="shared" si="12"/>
        <v>403692.39592041832</v>
      </c>
    </row>
    <row r="228" spans="1:18">
      <c r="A228" s="359" t="str">
        <f>'Func Future Lines 2015'!A228</f>
        <v>PPS</v>
      </c>
      <c r="B228" s="359" t="str">
        <f>'Func Future Lines 2015'!B228</f>
        <v>882L</v>
      </c>
      <c r="C228" s="359">
        <f>'Func Future Lines 2015'!C228</f>
        <v>1326</v>
      </c>
      <c r="D228" s="359">
        <f>'Func Future Lines 2015'!D228</f>
        <v>138</v>
      </c>
      <c r="E228" s="359">
        <f>'Func Future Lines 2015'!E228</f>
        <v>0</v>
      </c>
      <c r="F228" s="359">
        <f>'Func Future Lines 2015'!F228</f>
        <v>0</v>
      </c>
      <c r="G228" s="360">
        <f>'Func Future Lines 2015'!G228</f>
        <v>292348.21034025634</v>
      </c>
      <c r="H228" s="359" t="str">
        <f>'Func Future Lines 2015'!H228</f>
        <v>AltaLink</v>
      </c>
      <c r="I228" s="359">
        <f>'Func Future Lines 2015'!I228</f>
        <v>2017</v>
      </c>
      <c r="J228" s="361">
        <f>+IF($I228=J$3,VLOOKUP($H228,Depreciation!$A$6:$L$10,7,FALSE)/2,IF($I228&lt;J$3,VLOOKUP($H228,Depreciation!$A$6:$L$10,7,FALSE),0))</f>
        <v>0</v>
      </c>
      <c r="K228" s="361">
        <f>+IF($I228=K$3,VLOOKUP($H228,Depreciation!$A$6:$L$10,8,FALSE)/2,IF($I228&lt;K$3,VLOOKUP($H228,Depreciation!$A$6:$L$10,8,FALSE),0))</f>
        <v>0</v>
      </c>
      <c r="L228" s="361">
        <f>+IF($I228=L$3,VLOOKUP($H228,Depreciation!$A$6:$L$10,9,FALSE)/2,IF($I228&lt;L$3,VLOOKUP($H228,Depreciation!$A$6:$L$10,9,FALSE),0))</f>
        <v>1.5338181838063448E-2</v>
      </c>
      <c r="M228" s="361">
        <f>+IF($I228=M$3,VLOOKUP($H228,Depreciation!$A$6:$L$10,10,FALSE)/2,IF($I228&lt;M$3,VLOOKUP($H228,Depreciation!$A$6:$L$10,10,FALSE),0))</f>
        <v>3.0676363676126896E-2</v>
      </c>
      <c r="N228" s="361">
        <f>+IF($I228=N$3,VLOOKUP($H228,Depreciation!$A$6:$L$10,11,FALSE)/2,IF($I228&lt;N$3,VLOOKUP($H228,Depreciation!$A$6:$L$10,11,FALSE),0))</f>
        <v>3.0676363676126896E-2</v>
      </c>
      <c r="O228" s="361">
        <f>+IF($I228=O$3,VLOOKUP($H228,Depreciation!$A$6:$L$10,12,FALSE)/2,IF($I228&lt;O$3,VLOOKUP($H228,Depreciation!$A$6:$L$10,12,FALSE),0))</f>
        <v>3.0676363676126896E-2</v>
      </c>
      <c r="P228" s="362">
        <f t="shared" si="10"/>
        <v>262176.61137267016</v>
      </c>
      <c r="Q228" s="362">
        <f t="shared" si="11"/>
        <v>0</v>
      </c>
      <c r="R228" s="363">
        <f t="shared" si="12"/>
        <v>262176.61137267016</v>
      </c>
    </row>
    <row r="229" spans="1:18">
      <c r="A229" s="359" t="str">
        <f>'Func Future Lines 2015'!A229</f>
        <v>PPS</v>
      </c>
      <c r="B229" s="359" t="str">
        <f>'Func Future Lines 2015'!B229</f>
        <v>New 100m 475L_(v1)</v>
      </c>
      <c r="C229" s="359">
        <f>'Func Future Lines 2015'!C229</f>
        <v>1336</v>
      </c>
      <c r="D229" s="359">
        <f>'Func Future Lines 2015'!D229</f>
        <v>138</v>
      </c>
      <c r="E229" s="359">
        <f>'Func Future Lines 2015'!E229</f>
        <v>0</v>
      </c>
      <c r="F229" s="359" t="str">
        <f>'Func Future Lines 2015'!F229</f>
        <v>Strathmore_Blackie</v>
      </c>
      <c r="G229" s="360">
        <f>'Func Future Lines 2015'!G229</f>
        <v>623924.51330949506</v>
      </c>
      <c r="H229" s="359" t="str">
        <f>'Func Future Lines 2015'!H229</f>
        <v>AltaLink</v>
      </c>
      <c r="I229" s="359">
        <f>'Func Future Lines 2015'!I229</f>
        <v>2018</v>
      </c>
      <c r="J229" s="361">
        <f>+IF($I229=J$3,VLOOKUP($H229,Depreciation!$A$6:$L$10,7,FALSE)/2,IF($I229&lt;J$3,VLOOKUP($H229,Depreciation!$A$6:$L$10,7,FALSE),0))</f>
        <v>0</v>
      </c>
      <c r="K229" s="361">
        <f>+IF($I229=K$3,VLOOKUP($H229,Depreciation!$A$6:$L$10,8,FALSE)/2,IF($I229&lt;K$3,VLOOKUP($H229,Depreciation!$A$6:$L$10,8,FALSE),0))</f>
        <v>0</v>
      </c>
      <c r="L229" s="361">
        <f>+IF($I229=L$3,VLOOKUP($H229,Depreciation!$A$6:$L$10,9,FALSE)/2,IF($I229&lt;L$3,VLOOKUP($H229,Depreciation!$A$6:$L$10,9,FALSE),0))</f>
        <v>0</v>
      </c>
      <c r="M229" s="361">
        <f>+IF($I229=M$3,VLOOKUP($H229,Depreciation!$A$6:$L$10,10,FALSE)/2,IF($I229&lt;M$3,VLOOKUP($H229,Depreciation!$A$6:$L$10,10,FALSE),0))</f>
        <v>1.5338181838063448E-2</v>
      </c>
      <c r="N229" s="361">
        <f>+IF($I229=N$3,VLOOKUP($H229,Depreciation!$A$6:$L$10,11,FALSE)/2,IF($I229&lt;N$3,VLOOKUP($H229,Depreciation!$A$6:$L$10,11,FALSE),0))</f>
        <v>3.0676363676126896E-2</v>
      </c>
      <c r="O229" s="361">
        <f>+IF($I229=O$3,VLOOKUP($H229,Depreciation!$A$6:$L$10,12,FALSE)/2,IF($I229&lt;O$3,VLOOKUP($H229,Depreciation!$A$6:$L$10,12,FALSE),0))</f>
        <v>3.0676363676126896E-2</v>
      </c>
      <c r="P229" s="362">
        <f t="shared" si="10"/>
        <v>577240.44445625902</v>
      </c>
      <c r="Q229" s="362">
        <f t="shared" si="11"/>
        <v>0</v>
      </c>
      <c r="R229" s="363">
        <f t="shared" si="12"/>
        <v>577240.44445625902</v>
      </c>
    </row>
    <row r="230" spans="1:18">
      <c r="A230" s="359" t="str">
        <f>'Func Future Lines 2015'!A230</f>
        <v>PPS</v>
      </c>
      <c r="B230" s="359" t="str">
        <f>'Func Future Lines 2015'!B230</f>
        <v>line 1071L</v>
      </c>
      <c r="C230" s="359">
        <f>'Func Future Lines 2015'!C230</f>
        <v>1343</v>
      </c>
      <c r="D230" s="359">
        <f>'Func Future Lines 2015'!D230</f>
        <v>240</v>
      </c>
      <c r="E230" s="359">
        <f>'Func Future Lines 2015'!E230</f>
        <v>0</v>
      </c>
      <c r="F230" s="359">
        <f>'Func Future Lines 2015'!F230</f>
        <v>0</v>
      </c>
      <c r="G230" s="359">
        <f>'Func Future Lines 2015'!G230</f>
        <v>19796706.182093833</v>
      </c>
      <c r="H230" s="359" t="str">
        <f>'Func Future Lines 2015'!H230</f>
        <v>AltaLink</v>
      </c>
      <c r="I230" s="359">
        <f>'Func Future Lines 2015'!I230</f>
        <v>2015</v>
      </c>
      <c r="J230" s="361">
        <f>+IF($I230=J$3,VLOOKUP($H230,Depreciation!$A$6:$L$10,7,FALSE)/2,IF($I230&lt;J$3,VLOOKUP($H230,Depreciation!$A$6:$L$10,7,FALSE),0))</f>
        <v>1.595020804044691E-2</v>
      </c>
      <c r="K230" s="361">
        <f>+IF($I230=K$3,VLOOKUP($H230,Depreciation!$A$6:$L$10,8,FALSE)/2,IF($I230&lt;K$3,VLOOKUP($H230,Depreciation!$A$6:$L$10,8,FALSE),0))</f>
        <v>3.0676363676126896E-2</v>
      </c>
      <c r="L230" s="361">
        <f>+IF($I230=L$3,VLOOKUP($H230,Depreciation!$A$6:$L$10,9,FALSE)/2,IF($I230&lt;L$3,VLOOKUP($H230,Depreciation!$A$6:$L$10,9,FALSE),0))</f>
        <v>3.0676363676126896E-2</v>
      </c>
      <c r="M230" s="361">
        <f>+IF($I230=M$3,VLOOKUP($H230,Depreciation!$A$6:$L$10,10,FALSE)/2,IF($I230&lt;M$3,VLOOKUP($H230,Depreciation!$A$6:$L$10,10,FALSE),0))</f>
        <v>3.0676363676126896E-2</v>
      </c>
      <c r="N230" s="361">
        <f>+IF($I230=N$3,VLOOKUP($H230,Depreciation!$A$6:$L$10,11,FALSE)/2,IF($I230&lt;N$3,VLOOKUP($H230,Depreciation!$A$6:$L$10,11,FALSE),0))</f>
        <v>3.0676363676126896E-2</v>
      </c>
      <c r="O230" s="361">
        <f>+IF($I230=O$3,VLOOKUP($H230,Depreciation!$A$6:$L$10,12,FALSE)/2,IF($I230&lt;O$3,VLOOKUP($H230,Depreciation!$A$6:$L$10,12,FALSE),0))</f>
        <v>3.0676363676126896E-2</v>
      </c>
      <c r="P230" s="362">
        <f t="shared" si="10"/>
        <v>16670707.270392023</v>
      </c>
      <c r="Q230" s="362">
        <f t="shared" si="11"/>
        <v>16670707.270392023</v>
      </c>
      <c r="R230" s="363">
        <f t="shared" si="12"/>
        <v>0</v>
      </c>
    </row>
    <row r="231" spans="1:18">
      <c r="A231" s="359" t="str">
        <f>'Func Future Lines 2015'!A231</f>
        <v>PPS</v>
      </c>
      <c r="B231" s="359" t="str">
        <f>'Func Future Lines 2015'!B231</f>
        <v>line 624L</v>
      </c>
      <c r="C231" s="359">
        <f>'Func Future Lines 2015'!C231</f>
        <v>1343</v>
      </c>
      <c r="D231" s="359">
        <f>'Func Future Lines 2015'!D231</f>
        <v>138</v>
      </c>
      <c r="E231" s="359">
        <f>'Func Future Lines 2015'!E231</f>
        <v>0</v>
      </c>
      <c r="F231" s="359">
        <f>'Func Future Lines 2015'!F231</f>
        <v>0</v>
      </c>
      <c r="G231" s="359">
        <f>'Func Future Lines 2015'!G231</f>
        <v>3112543.7968499968</v>
      </c>
      <c r="H231" s="359" t="str">
        <f>'Func Future Lines 2015'!H231</f>
        <v>AltaLink</v>
      </c>
      <c r="I231" s="359">
        <f>'Func Future Lines 2015'!I231</f>
        <v>2015</v>
      </c>
      <c r="J231" s="361">
        <f>+IF($I231=J$3,VLOOKUP($H231,Depreciation!$A$6:$L$10,7,FALSE)/2,IF($I231&lt;J$3,VLOOKUP($H231,Depreciation!$A$6:$L$10,7,FALSE),0))</f>
        <v>1.595020804044691E-2</v>
      </c>
      <c r="K231" s="361">
        <f>+IF($I231=K$3,VLOOKUP($H231,Depreciation!$A$6:$L$10,8,FALSE)/2,IF($I231&lt;K$3,VLOOKUP($H231,Depreciation!$A$6:$L$10,8,FALSE),0))</f>
        <v>3.0676363676126896E-2</v>
      </c>
      <c r="L231" s="361">
        <f>+IF($I231=L$3,VLOOKUP($H231,Depreciation!$A$6:$L$10,9,FALSE)/2,IF($I231&lt;L$3,VLOOKUP($H231,Depreciation!$A$6:$L$10,9,FALSE),0))</f>
        <v>3.0676363676126896E-2</v>
      </c>
      <c r="M231" s="361">
        <f>+IF($I231=M$3,VLOOKUP($H231,Depreciation!$A$6:$L$10,10,FALSE)/2,IF($I231&lt;M$3,VLOOKUP($H231,Depreciation!$A$6:$L$10,10,FALSE),0))</f>
        <v>3.0676363676126896E-2</v>
      </c>
      <c r="N231" s="361">
        <f>+IF($I231=N$3,VLOOKUP($H231,Depreciation!$A$6:$L$10,11,FALSE)/2,IF($I231&lt;N$3,VLOOKUP($H231,Depreciation!$A$6:$L$10,11,FALSE),0))</f>
        <v>3.0676363676126896E-2</v>
      </c>
      <c r="O231" s="361">
        <f>+IF($I231=O$3,VLOOKUP($H231,Depreciation!$A$6:$L$10,12,FALSE)/2,IF($I231&lt;O$3,VLOOKUP($H231,Depreciation!$A$6:$L$10,12,FALSE),0))</f>
        <v>3.0676363676126896E-2</v>
      </c>
      <c r="P231" s="362">
        <f t="shared" si="10"/>
        <v>2621057.5651465659</v>
      </c>
      <c r="Q231" s="362">
        <f t="shared" si="11"/>
        <v>0</v>
      </c>
      <c r="R231" s="363">
        <f t="shared" si="12"/>
        <v>2621057.5651465659</v>
      </c>
    </row>
    <row r="232" spans="1:18">
      <c r="A232" s="359" t="str">
        <f>'Func Future Lines 2015'!A232</f>
        <v>PPS</v>
      </c>
      <c r="B232" s="359" t="str">
        <f>'Func Future Lines 2015'!B232</f>
        <v>line 893AL</v>
      </c>
      <c r="C232" s="359">
        <f>'Func Future Lines 2015'!C232</f>
        <v>1343</v>
      </c>
      <c r="D232" s="359">
        <f>'Func Future Lines 2015'!D232</f>
        <v>138</v>
      </c>
      <c r="E232" s="359">
        <f>'Func Future Lines 2015'!E232</f>
        <v>0</v>
      </c>
      <c r="F232" s="359">
        <f>'Func Future Lines 2015'!F232</f>
        <v>0</v>
      </c>
      <c r="G232" s="359">
        <f>'Func Future Lines 2015'!G232</f>
        <v>39755.748336561956</v>
      </c>
      <c r="H232" s="359" t="str">
        <f>'Func Future Lines 2015'!H232</f>
        <v>AltaLink</v>
      </c>
      <c r="I232" s="359">
        <f>'Func Future Lines 2015'!I232</f>
        <v>2015</v>
      </c>
      <c r="J232" s="361">
        <f>+IF($I232=J$3,VLOOKUP($H232,Depreciation!$A$6:$L$10,7,FALSE)/2,IF($I232&lt;J$3,VLOOKUP($H232,Depreciation!$A$6:$L$10,7,FALSE),0))</f>
        <v>1.595020804044691E-2</v>
      </c>
      <c r="K232" s="361">
        <f>+IF($I232=K$3,VLOOKUP($H232,Depreciation!$A$6:$L$10,8,FALSE)/2,IF($I232&lt;K$3,VLOOKUP($H232,Depreciation!$A$6:$L$10,8,FALSE),0))</f>
        <v>3.0676363676126896E-2</v>
      </c>
      <c r="L232" s="361">
        <f>+IF($I232=L$3,VLOOKUP($H232,Depreciation!$A$6:$L$10,9,FALSE)/2,IF($I232&lt;L$3,VLOOKUP($H232,Depreciation!$A$6:$L$10,9,FALSE),0))</f>
        <v>3.0676363676126896E-2</v>
      </c>
      <c r="M232" s="361">
        <f>+IF($I232=M$3,VLOOKUP($H232,Depreciation!$A$6:$L$10,10,FALSE)/2,IF($I232&lt;M$3,VLOOKUP($H232,Depreciation!$A$6:$L$10,10,FALSE),0))</f>
        <v>3.0676363676126896E-2</v>
      </c>
      <c r="N232" s="361">
        <f>+IF($I232=N$3,VLOOKUP($H232,Depreciation!$A$6:$L$10,11,FALSE)/2,IF($I232&lt;N$3,VLOOKUP($H232,Depreciation!$A$6:$L$10,11,FALSE),0))</f>
        <v>3.0676363676126896E-2</v>
      </c>
      <c r="O232" s="361">
        <f>+IF($I232=O$3,VLOOKUP($H232,Depreciation!$A$6:$L$10,12,FALSE)/2,IF($I232&lt;O$3,VLOOKUP($H232,Depreciation!$A$6:$L$10,12,FALSE),0))</f>
        <v>3.0676363676126896E-2</v>
      </c>
      <c r="P232" s="362">
        <f t="shared" si="10"/>
        <v>33478.116851260012</v>
      </c>
      <c r="Q232" s="362">
        <f t="shared" si="11"/>
        <v>0</v>
      </c>
      <c r="R232" s="363">
        <f t="shared" si="12"/>
        <v>33478.116851260012</v>
      </c>
    </row>
    <row r="233" spans="1:18">
      <c r="A233" s="359" t="str">
        <f>'Func Future Lines 2015'!A233</f>
        <v>PPS</v>
      </c>
      <c r="B233" s="359" t="str">
        <f>'Func Future Lines 2015'!B233</f>
        <v>line 893L stage 1</v>
      </c>
      <c r="C233" s="359">
        <f>'Func Future Lines 2015'!C233</f>
        <v>1343</v>
      </c>
      <c r="D233" s="359">
        <f>'Func Future Lines 2015'!D233</f>
        <v>138</v>
      </c>
      <c r="E233" s="359">
        <f>'Func Future Lines 2015'!E233</f>
        <v>0</v>
      </c>
      <c r="F233" s="359">
        <f>'Func Future Lines 2015'!F233</f>
        <v>0</v>
      </c>
      <c r="G233" s="359">
        <f>'Func Future Lines 2015'!G233</f>
        <v>4325094.121115136</v>
      </c>
      <c r="H233" s="359" t="str">
        <f>'Func Future Lines 2015'!H233</f>
        <v>AltaLink</v>
      </c>
      <c r="I233" s="359">
        <f>'Func Future Lines 2015'!I233</f>
        <v>2015</v>
      </c>
      <c r="J233" s="361">
        <f>+IF($I233=J$3,VLOOKUP($H233,Depreciation!$A$6:$L$10,7,FALSE)/2,IF($I233&lt;J$3,VLOOKUP($H233,Depreciation!$A$6:$L$10,7,FALSE),0))</f>
        <v>1.595020804044691E-2</v>
      </c>
      <c r="K233" s="361">
        <f>+IF($I233=K$3,VLOOKUP($H233,Depreciation!$A$6:$L$10,8,FALSE)/2,IF($I233&lt;K$3,VLOOKUP($H233,Depreciation!$A$6:$L$10,8,FALSE),0))</f>
        <v>3.0676363676126896E-2</v>
      </c>
      <c r="L233" s="361">
        <f>+IF($I233=L$3,VLOOKUP($H233,Depreciation!$A$6:$L$10,9,FALSE)/2,IF($I233&lt;L$3,VLOOKUP($H233,Depreciation!$A$6:$L$10,9,FALSE),0))</f>
        <v>3.0676363676126896E-2</v>
      </c>
      <c r="M233" s="361">
        <f>+IF($I233=M$3,VLOOKUP($H233,Depreciation!$A$6:$L$10,10,FALSE)/2,IF($I233&lt;M$3,VLOOKUP($H233,Depreciation!$A$6:$L$10,10,FALSE),0))</f>
        <v>3.0676363676126896E-2</v>
      </c>
      <c r="N233" s="361">
        <f>+IF($I233=N$3,VLOOKUP($H233,Depreciation!$A$6:$L$10,11,FALSE)/2,IF($I233&lt;N$3,VLOOKUP($H233,Depreciation!$A$6:$L$10,11,FALSE),0))</f>
        <v>3.0676363676126896E-2</v>
      </c>
      <c r="O233" s="361">
        <f>+IF($I233=O$3,VLOOKUP($H233,Depreciation!$A$6:$L$10,12,FALSE)/2,IF($I233&lt;O$3,VLOOKUP($H233,Depreciation!$A$6:$L$10,12,FALSE),0))</f>
        <v>3.0676363676126896E-2</v>
      </c>
      <c r="P233" s="362">
        <f t="shared" si="10"/>
        <v>3642140.1291099959</v>
      </c>
      <c r="Q233" s="362">
        <f t="shared" si="11"/>
        <v>0</v>
      </c>
      <c r="R233" s="363">
        <f t="shared" si="12"/>
        <v>3642140.1291099959</v>
      </c>
    </row>
    <row r="234" spans="1:18">
      <c r="A234" s="359" t="str">
        <f>'Func Future Lines 2015'!A234</f>
        <v>PPS</v>
      </c>
      <c r="B234" s="359" t="str">
        <f>'Func Future Lines 2015'!B234</f>
        <v>line 893L stage 2</v>
      </c>
      <c r="C234" s="359">
        <f>'Func Future Lines 2015'!C234</f>
        <v>1343</v>
      </c>
      <c r="D234" s="359">
        <f>'Func Future Lines 2015'!D234</f>
        <v>138</v>
      </c>
      <c r="E234" s="359">
        <f>'Func Future Lines 2015'!E234</f>
        <v>0</v>
      </c>
      <c r="F234" s="359">
        <f>'Func Future Lines 2015'!F234</f>
        <v>0</v>
      </c>
      <c r="G234" s="359">
        <f>'Func Future Lines 2015'!G234</f>
        <v>57171.622130222037</v>
      </c>
      <c r="H234" s="359" t="str">
        <f>'Func Future Lines 2015'!H234</f>
        <v>AltaLink</v>
      </c>
      <c r="I234" s="359">
        <f>'Func Future Lines 2015'!I234</f>
        <v>2015</v>
      </c>
      <c r="J234" s="361">
        <f>+IF($I234=J$3,VLOOKUP($H234,Depreciation!$A$6:$L$10,7,FALSE)/2,IF($I234&lt;J$3,VLOOKUP($H234,Depreciation!$A$6:$L$10,7,FALSE),0))</f>
        <v>1.595020804044691E-2</v>
      </c>
      <c r="K234" s="361">
        <f>+IF($I234=K$3,VLOOKUP($H234,Depreciation!$A$6:$L$10,8,FALSE)/2,IF($I234&lt;K$3,VLOOKUP($H234,Depreciation!$A$6:$L$10,8,FALSE),0))</f>
        <v>3.0676363676126896E-2</v>
      </c>
      <c r="L234" s="361">
        <f>+IF($I234=L$3,VLOOKUP($H234,Depreciation!$A$6:$L$10,9,FALSE)/2,IF($I234&lt;L$3,VLOOKUP($H234,Depreciation!$A$6:$L$10,9,FALSE),0))</f>
        <v>3.0676363676126896E-2</v>
      </c>
      <c r="M234" s="361">
        <f>+IF($I234=M$3,VLOOKUP($H234,Depreciation!$A$6:$L$10,10,FALSE)/2,IF($I234&lt;M$3,VLOOKUP($H234,Depreciation!$A$6:$L$10,10,FALSE),0))</f>
        <v>3.0676363676126896E-2</v>
      </c>
      <c r="N234" s="361">
        <f>+IF($I234=N$3,VLOOKUP($H234,Depreciation!$A$6:$L$10,11,FALSE)/2,IF($I234&lt;N$3,VLOOKUP($H234,Depreciation!$A$6:$L$10,11,FALSE),0))</f>
        <v>3.0676363676126896E-2</v>
      </c>
      <c r="O234" s="361">
        <f>+IF($I234=O$3,VLOOKUP($H234,Depreciation!$A$6:$L$10,12,FALSE)/2,IF($I234&lt;O$3,VLOOKUP($H234,Depreciation!$A$6:$L$10,12,FALSE),0))</f>
        <v>3.0676363676126896E-2</v>
      </c>
      <c r="P234" s="362">
        <f t="shared" si="10"/>
        <v>48143.937074161928</v>
      </c>
      <c r="Q234" s="362">
        <f t="shared" si="11"/>
        <v>0</v>
      </c>
      <c r="R234" s="363">
        <f t="shared" si="12"/>
        <v>48143.937074161928</v>
      </c>
    </row>
    <row r="235" spans="1:18">
      <c r="A235" s="359" t="str">
        <f>'Func Future Lines 2015'!A235</f>
        <v>PPS</v>
      </c>
      <c r="B235" s="359" t="str">
        <f>'Func Future Lines 2015'!B235</f>
        <v>line 994L</v>
      </c>
      <c r="C235" s="359">
        <f>'Func Future Lines 2015'!C235</f>
        <v>1343</v>
      </c>
      <c r="D235" s="359">
        <f>'Func Future Lines 2015'!D235</f>
        <v>240</v>
      </c>
      <c r="E235" s="359">
        <f>'Func Future Lines 2015'!E235</f>
        <v>0</v>
      </c>
      <c r="F235" s="359">
        <f>'Func Future Lines 2015'!F235</f>
        <v>0</v>
      </c>
      <c r="G235" s="359">
        <f>'Func Future Lines 2015'!G235</f>
        <v>18544400.109492131</v>
      </c>
      <c r="H235" s="359" t="str">
        <f>'Func Future Lines 2015'!H235</f>
        <v>AltaLink</v>
      </c>
      <c r="I235" s="359">
        <f>'Func Future Lines 2015'!I235</f>
        <v>2015</v>
      </c>
      <c r="J235" s="361">
        <f>+IF($I235=J$3,VLOOKUP($H235,Depreciation!$A$6:$L$10,7,FALSE)/2,IF($I235&lt;J$3,VLOOKUP($H235,Depreciation!$A$6:$L$10,7,FALSE),0))</f>
        <v>1.595020804044691E-2</v>
      </c>
      <c r="K235" s="361">
        <f>+IF($I235=K$3,VLOOKUP($H235,Depreciation!$A$6:$L$10,8,FALSE)/2,IF($I235&lt;K$3,VLOOKUP($H235,Depreciation!$A$6:$L$10,8,FALSE),0))</f>
        <v>3.0676363676126896E-2</v>
      </c>
      <c r="L235" s="361">
        <f>+IF($I235=L$3,VLOOKUP($H235,Depreciation!$A$6:$L$10,9,FALSE)/2,IF($I235&lt;L$3,VLOOKUP($H235,Depreciation!$A$6:$L$10,9,FALSE),0))</f>
        <v>3.0676363676126896E-2</v>
      </c>
      <c r="M235" s="361">
        <f>+IF($I235=M$3,VLOOKUP($H235,Depreciation!$A$6:$L$10,10,FALSE)/2,IF($I235&lt;M$3,VLOOKUP($H235,Depreciation!$A$6:$L$10,10,FALSE),0))</f>
        <v>3.0676363676126896E-2</v>
      </c>
      <c r="N235" s="361">
        <f>+IF($I235=N$3,VLOOKUP($H235,Depreciation!$A$6:$L$10,11,FALSE)/2,IF($I235&lt;N$3,VLOOKUP($H235,Depreciation!$A$6:$L$10,11,FALSE),0))</f>
        <v>3.0676363676126896E-2</v>
      </c>
      <c r="O235" s="361">
        <f>+IF($I235=O$3,VLOOKUP($H235,Depreciation!$A$6:$L$10,12,FALSE)/2,IF($I235&lt;O$3,VLOOKUP($H235,Depreciation!$A$6:$L$10,12,FALSE),0))</f>
        <v>3.0676363676126896E-2</v>
      </c>
      <c r="P235" s="362">
        <f t="shared" si="10"/>
        <v>15616146.58957733</v>
      </c>
      <c r="Q235" s="362">
        <f t="shared" si="11"/>
        <v>15616146.58957733</v>
      </c>
      <c r="R235" s="363">
        <f t="shared" si="12"/>
        <v>0</v>
      </c>
    </row>
    <row r="236" spans="1:18">
      <c r="A236" s="359" t="str">
        <f>'Func Future Lines 2015'!A236</f>
        <v>PPS</v>
      </c>
      <c r="B236" s="359" t="str">
        <f>'Func Future Lines 2015'!B236</f>
        <v>Line 9L32</v>
      </c>
      <c r="C236" s="359">
        <f>'Func Future Lines 2015'!C236</f>
        <v>1348</v>
      </c>
      <c r="D236" s="359">
        <f>'Func Future Lines 2015'!D236</f>
        <v>240</v>
      </c>
      <c r="E236" s="359">
        <f>'Func Future Lines 2015'!E236</f>
        <v>0</v>
      </c>
      <c r="F236" s="359">
        <f>'Func Future Lines 2015'!F236</f>
        <v>0</v>
      </c>
      <c r="G236" s="359">
        <f>'Func Future Lines 2015'!G236</f>
        <v>1573745.900388991</v>
      </c>
      <c r="H236" s="359" t="str">
        <f>'Func Future Lines 2015'!H236</f>
        <v>ATCO</v>
      </c>
      <c r="I236" s="359">
        <f>'Func Future Lines 2015'!I236</f>
        <v>2016</v>
      </c>
      <c r="J236" s="361">
        <f>+IF($I236=J$3,VLOOKUP($H236,Depreciation!$A$6:$L$10,7,FALSE)/2,IF($I236&lt;J$3,VLOOKUP($H236,Depreciation!$A$6:$L$10,7,FALSE),0))</f>
        <v>0</v>
      </c>
      <c r="K236" s="361">
        <f>+IF($I236=K$3,VLOOKUP($H236,Depreciation!$A$6:$L$10,8,FALSE)/2,IF($I236&lt;K$3,VLOOKUP($H236,Depreciation!$A$6:$L$10,8,FALSE),0))</f>
        <v>1.1971929865503333E-2</v>
      </c>
      <c r="L236" s="361">
        <f>+IF($I236=L$3,VLOOKUP($H236,Depreciation!$A$6:$L$10,9,FALSE)/2,IF($I236&lt;L$3,VLOOKUP($H236,Depreciation!$A$6:$L$10,9,FALSE),0))</f>
        <v>2.4002037926855919E-2</v>
      </c>
      <c r="M236" s="361">
        <f>+IF($I236=M$3,VLOOKUP($H236,Depreciation!$A$6:$L$10,10,FALSE)/2,IF($I236&lt;M$3,VLOOKUP($H236,Depreciation!$A$6:$L$10,10,FALSE),0))</f>
        <v>2.4002037926855919E-2</v>
      </c>
      <c r="N236" s="361">
        <f>+IF($I236=N$3,VLOOKUP($H236,Depreciation!$A$6:$L$10,11,FALSE)/2,IF($I236&lt;N$3,VLOOKUP($H236,Depreciation!$A$6:$L$10,11,FALSE),0))</f>
        <v>2.4002037926855919E-2</v>
      </c>
      <c r="O236" s="361">
        <f>+IF($I236=O$3,VLOOKUP($H236,Depreciation!$A$6:$L$10,12,FALSE)/2,IF($I236&lt;O$3,VLOOKUP($H236,Depreciation!$A$6:$L$10,12,FALSE),0))</f>
        <v>2.4002037926855919E-2</v>
      </c>
      <c r="P236" s="362">
        <f t="shared" si="10"/>
        <v>1410910.7366036531</v>
      </c>
      <c r="Q236" s="362">
        <f t="shared" si="11"/>
        <v>1410910.7366036531</v>
      </c>
      <c r="R236" s="363">
        <f t="shared" si="12"/>
        <v>0</v>
      </c>
    </row>
    <row r="237" spans="1:18">
      <c r="A237" s="359" t="str">
        <f>'Func Future Lines 2015'!A237</f>
        <v>FINAL</v>
      </c>
      <c r="B237" s="359" t="str">
        <f>'Func Future Lines 2015'!B237</f>
        <v>732AL</v>
      </c>
      <c r="C237" s="359">
        <f>'Func Future Lines 2015'!C237</f>
        <v>1349</v>
      </c>
      <c r="D237" s="359">
        <f>'Func Future Lines 2015'!D237</f>
        <v>138</v>
      </c>
      <c r="E237" s="359">
        <f>'Func Future Lines 2015'!E237</f>
        <v>0</v>
      </c>
      <c r="F237" s="359" t="str">
        <f>'Func Future Lines 2015'!F237</f>
        <v>Wetaskiwin</v>
      </c>
      <c r="G237" s="359">
        <f>'Func Future Lines 2015'!G237</f>
        <v>696425.98546757339</v>
      </c>
      <c r="H237" s="359" t="str">
        <f>'Func Future Lines 2015'!H237</f>
        <v>AltaLink</v>
      </c>
      <c r="I237" s="359">
        <f>'Func Future Lines 2015'!I237</f>
        <v>2015</v>
      </c>
      <c r="J237" s="361">
        <f>+IF($I237=J$3,VLOOKUP($H237,Depreciation!$A$6:$L$10,7,FALSE)/2,IF($I237&lt;J$3,VLOOKUP($H237,Depreciation!$A$6:$L$10,7,FALSE),0))</f>
        <v>1.595020804044691E-2</v>
      </c>
      <c r="K237" s="361">
        <f>+IF($I237=K$3,VLOOKUP($H237,Depreciation!$A$6:$L$10,8,FALSE)/2,IF($I237&lt;K$3,VLOOKUP($H237,Depreciation!$A$6:$L$10,8,FALSE),0))</f>
        <v>3.0676363676126896E-2</v>
      </c>
      <c r="L237" s="361">
        <f>+IF($I237=L$3,VLOOKUP($H237,Depreciation!$A$6:$L$10,9,FALSE)/2,IF($I237&lt;L$3,VLOOKUP($H237,Depreciation!$A$6:$L$10,9,FALSE),0))</f>
        <v>3.0676363676126896E-2</v>
      </c>
      <c r="M237" s="361">
        <f>+IF($I237=M$3,VLOOKUP($H237,Depreciation!$A$6:$L$10,10,FALSE)/2,IF($I237&lt;M$3,VLOOKUP($H237,Depreciation!$A$6:$L$10,10,FALSE),0))</f>
        <v>3.0676363676126896E-2</v>
      </c>
      <c r="N237" s="361">
        <f>+IF($I237=N$3,VLOOKUP($H237,Depreciation!$A$6:$L$10,11,FALSE)/2,IF($I237&lt;N$3,VLOOKUP($H237,Depreciation!$A$6:$L$10,11,FALSE),0))</f>
        <v>3.0676363676126896E-2</v>
      </c>
      <c r="O237" s="361">
        <f>+IF($I237=O$3,VLOOKUP($H237,Depreciation!$A$6:$L$10,12,FALSE)/2,IF($I237&lt;O$3,VLOOKUP($H237,Depreciation!$A$6:$L$10,12,FALSE),0))</f>
        <v>3.0676363676126896E-2</v>
      </c>
      <c r="P237" s="362">
        <f t="shared" si="10"/>
        <v>586456.83945773775</v>
      </c>
      <c r="Q237" s="362">
        <f t="shared" si="11"/>
        <v>0</v>
      </c>
      <c r="R237" s="363">
        <f t="shared" si="12"/>
        <v>586456.83945773775</v>
      </c>
    </row>
    <row r="238" spans="1:18">
      <c r="A238" s="359" t="str">
        <f>'Func Future Lines 2015'!A238</f>
        <v>PPS</v>
      </c>
      <c r="B238" s="359" t="str">
        <f>'Func Future Lines 2015'!B238</f>
        <v>26.81L</v>
      </c>
      <c r="C238" s="359">
        <f>'Func Future Lines 2015'!C238</f>
        <v>1354</v>
      </c>
      <c r="D238" s="359">
        <f>'Func Future Lines 2015'!D238</f>
        <v>138</v>
      </c>
      <c r="E238" s="359">
        <f>'Func Future Lines 2015'!E238</f>
        <v>0</v>
      </c>
      <c r="F238" s="359" t="str">
        <f>'Func Future Lines 2015'!F238</f>
        <v>Calgary</v>
      </c>
      <c r="G238" s="360">
        <f>'Func Future Lines 2015'!G238</f>
        <v>5392.2554130521503</v>
      </c>
      <c r="H238" s="359" t="str">
        <f>'Func Future Lines 2015'!H238</f>
        <v>ENMAX</v>
      </c>
      <c r="I238" s="359">
        <f>'Func Future Lines 2015'!I238</f>
        <v>2017</v>
      </c>
      <c r="J238" s="361">
        <f>+IF($I238=J$3,VLOOKUP($H238,Depreciation!$A$6:$L$10,7,FALSE)/2,IF($I238&lt;J$3,VLOOKUP($H238,Depreciation!$A$6:$L$10,7,FALSE),0))</f>
        <v>0</v>
      </c>
      <c r="K238" s="361">
        <f>+IF($I238=K$3,VLOOKUP($H238,Depreciation!$A$6:$L$10,8,FALSE)/2,IF($I238&lt;K$3,VLOOKUP($H238,Depreciation!$A$6:$L$10,8,FALSE),0))</f>
        <v>0</v>
      </c>
      <c r="L238" s="361">
        <f>+IF($I238=L$3,VLOOKUP($H238,Depreciation!$A$6:$L$10,9,FALSE)/2,IF($I238&lt;L$3,VLOOKUP($H238,Depreciation!$A$6:$L$10,9,FALSE),0))</f>
        <v>1.3475179084025525E-2</v>
      </c>
      <c r="M238" s="361">
        <f>+IF($I238=M$3,VLOOKUP($H238,Depreciation!$A$6:$L$10,10,FALSE)/2,IF($I238&lt;M$3,VLOOKUP($H238,Depreciation!$A$6:$L$10,10,FALSE),0))</f>
        <v>2.6950358168051049E-2</v>
      </c>
      <c r="N238" s="361">
        <f>+IF($I238=N$3,VLOOKUP($H238,Depreciation!$A$6:$L$10,11,FALSE)/2,IF($I238&lt;N$3,VLOOKUP($H238,Depreciation!$A$6:$L$10,11,FALSE),0))</f>
        <v>2.6950358168051049E-2</v>
      </c>
      <c r="O238" s="361">
        <f>+IF($I238=O$3,VLOOKUP($H238,Depreciation!$A$6:$L$10,12,FALSE)/2,IF($I238&lt;O$3,VLOOKUP($H238,Depreciation!$A$6:$L$10,12,FALSE),0))</f>
        <v>2.6950358168051049E-2</v>
      </c>
      <c r="P238" s="362">
        <f t="shared" si="10"/>
        <v>4900.9860124136594</v>
      </c>
      <c r="Q238" s="362">
        <f t="shared" si="11"/>
        <v>0</v>
      </c>
      <c r="R238" s="363">
        <f t="shared" si="12"/>
        <v>4900.9860124136594</v>
      </c>
    </row>
    <row r="239" spans="1:18">
      <c r="A239" s="359" t="str">
        <f>'Func Future Lines 2015'!A239</f>
        <v>PPS</v>
      </c>
      <c r="B239" s="359" t="str">
        <f>'Func Future Lines 2015'!B239</f>
        <v>41.84L</v>
      </c>
      <c r="C239" s="359">
        <f>'Func Future Lines 2015'!C239</f>
        <v>1354</v>
      </c>
      <c r="D239" s="359">
        <f>'Func Future Lines 2015'!D239</f>
        <v>138</v>
      </c>
      <c r="E239" s="359">
        <f>'Func Future Lines 2015'!E239</f>
        <v>0</v>
      </c>
      <c r="F239" s="359" t="str">
        <f>'Func Future Lines 2015'!F239</f>
        <v>Calgary</v>
      </c>
      <c r="G239" s="360">
        <f>'Func Future Lines 2015'!G239</f>
        <v>10940358.319965452</v>
      </c>
      <c r="H239" s="359" t="str">
        <f>'Func Future Lines 2015'!H239</f>
        <v>ENMAX</v>
      </c>
      <c r="I239" s="359">
        <f>'Func Future Lines 2015'!I239</f>
        <v>2017</v>
      </c>
      <c r="J239" s="361">
        <f>+IF($I239=J$3,VLOOKUP($H239,Depreciation!$A$6:$L$10,7,FALSE)/2,IF($I239&lt;J$3,VLOOKUP($H239,Depreciation!$A$6:$L$10,7,FALSE),0))</f>
        <v>0</v>
      </c>
      <c r="K239" s="361">
        <f>+IF($I239=K$3,VLOOKUP($H239,Depreciation!$A$6:$L$10,8,FALSE)/2,IF($I239&lt;K$3,VLOOKUP($H239,Depreciation!$A$6:$L$10,8,FALSE),0))</f>
        <v>0</v>
      </c>
      <c r="L239" s="361">
        <f>+IF($I239=L$3,VLOOKUP($H239,Depreciation!$A$6:$L$10,9,FALSE)/2,IF($I239&lt;L$3,VLOOKUP($H239,Depreciation!$A$6:$L$10,9,FALSE),0))</f>
        <v>1.3475179084025525E-2</v>
      </c>
      <c r="M239" s="361">
        <f>+IF($I239=M$3,VLOOKUP($H239,Depreciation!$A$6:$L$10,10,FALSE)/2,IF($I239&lt;M$3,VLOOKUP($H239,Depreciation!$A$6:$L$10,10,FALSE),0))</f>
        <v>2.6950358168051049E-2</v>
      </c>
      <c r="N239" s="361">
        <f>+IF($I239=N$3,VLOOKUP($H239,Depreciation!$A$6:$L$10,11,FALSE)/2,IF($I239&lt;N$3,VLOOKUP($H239,Depreciation!$A$6:$L$10,11,FALSE),0))</f>
        <v>2.6950358168051049E-2</v>
      </c>
      <c r="O239" s="361">
        <f>+IF($I239=O$3,VLOOKUP($H239,Depreciation!$A$6:$L$10,12,FALSE)/2,IF($I239&lt;O$3,VLOOKUP($H239,Depreciation!$A$6:$L$10,12,FALSE),0))</f>
        <v>2.6950358168051049E-2</v>
      </c>
      <c r="P239" s="362">
        <f t="shared" si="10"/>
        <v>9943620.8023749087</v>
      </c>
      <c r="Q239" s="362">
        <f t="shared" si="11"/>
        <v>0</v>
      </c>
      <c r="R239" s="363">
        <f t="shared" si="12"/>
        <v>9943620.8023749087</v>
      </c>
    </row>
    <row r="240" spans="1:18">
      <c r="A240" s="359" t="str">
        <f>'Func Future Lines 2015'!A240</f>
        <v>PPS</v>
      </c>
      <c r="B240" s="359" t="str">
        <f>'Func Future Lines 2015'!B240</f>
        <v>54.81L</v>
      </c>
      <c r="C240" s="359">
        <f>'Func Future Lines 2015'!C240</f>
        <v>1354</v>
      </c>
      <c r="D240" s="359">
        <f>'Func Future Lines 2015'!D240</f>
        <v>138</v>
      </c>
      <c r="E240" s="359">
        <f>'Func Future Lines 2015'!E240</f>
        <v>0</v>
      </c>
      <c r="F240" s="359" t="str">
        <f>'Func Future Lines 2015'!F240</f>
        <v>Calgary</v>
      </c>
      <c r="G240" s="360">
        <f>'Func Future Lines 2015'!G240</f>
        <v>9176948.6694427244</v>
      </c>
      <c r="H240" s="359" t="str">
        <f>'Func Future Lines 2015'!H240</f>
        <v>ENMAX</v>
      </c>
      <c r="I240" s="359">
        <f>'Func Future Lines 2015'!I240</f>
        <v>2017</v>
      </c>
      <c r="J240" s="361">
        <f>+IF($I240=J$3,VLOOKUP($H240,Depreciation!$A$6:$L$10,7,FALSE)/2,IF($I240&lt;J$3,VLOOKUP($H240,Depreciation!$A$6:$L$10,7,FALSE),0))</f>
        <v>0</v>
      </c>
      <c r="K240" s="361">
        <f>+IF($I240=K$3,VLOOKUP($H240,Depreciation!$A$6:$L$10,8,FALSE)/2,IF($I240&lt;K$3,VLOOKUP($H240,Depreciation!$A$6:$L$10,8,FALSE),0))</f>
        <v>0</v>
      </c>
      <c r="L240" s="361">
        <f>+IF($I240=L$3,VLOOKUP($H240,Depreciation!$A$6:$L$10,9,FALSE)/2,IF($I240&lt;L$3,VLOOKUP($H240,Depreciation!$A$6:$L$10,9,FALSE),0))</f>
        <v>1.3475179084025525E-2</v>
      </c>
      <c r="M240" s="361">
        <f>+IF($I240=M$3,VLOOKUP($H240,Depreciation!$A$6:$L$10,10,FALSE)/2,IF($I240&lt;M$3,VLOOKUP($H240,Depreciation!$A$6:$L$10,10,FALSE),0))</f>
        <v>2.6950358168051049E-2</v>
      </c>
      <c r="N240" s="361">
        <f>+IF($I240=N$3,VLOOKUP($H240,Depreciation!$A$6:$L$10,11,FALSE)/2,IF($I240&lt;N$3,VLOOKUP($H240,Depreciation!$A$6:$L$10,11,FALSE),0))</f>
        <v>2.6950358168051049E-2</v>
      </c>
      <c r="O240" s="361">
        <f>+IF($I240=O$3,VLOOKUP($H240,Depreciation!$A$6:$L$10,12,FALSE)/2,IF($I240&lt;O$3,VLOOKUP($H240,Depreciation!$A$6:$L$10,12,FALSE),0))</f>
        <v>2.6950358168051049E-2</v>
      </c>
      <c r="P240" s="362">
        <f t="shared" si="10"/>
        <v>8340869.1948661506</v>
      </c>
      <c r="Q240" s="362">
        <f t="shared" si="11"/>
        <v>0</v>
      </c>
      <c r="R240" s="363">
        <f t="shared" si="12"/>
        <v>8340869.1948661506</v>
      </c>
    </row>
    <row r="241" spans="1:18">
      <c r="A241" s="359" t="str">
        <f>'Func Future Lines 2015'!A241</f>
        <v>NID</v>
      </c>
      <c r="B241" s="359" t="str">
        <f>'Func Future Lines 2015'!B241</f>
        <v>807L 138kV 1km_(Alt3)</v>
      </c>
      <c r="C241" s="359">
        <f>'Func Future Lines 2015'!C241</f>
        <v>1381</v>
      </c>
      <c r="D241" s="359">
        <f>'Func Future Lines 2015'!D241</f>
        <v>138</v>
      </c>
      <c r="E241" s="359">
        <f>'Func Future Lines 2015'!E241</f>
        <v>0</v>
      </c>
      <c r="F241" s="359" t="str">
        <f>'Func Future Lines 2015'!F241</f>
        <v>Fort_Saskatchewan</v>
      </c>
      <c r="G241" s="359">
        <f>'Func Future Lines 2015'!G241</f>
        <v>2854379.6561085959</v>
      </c>
      <c r="H241" s="359" t="str">
        <f>'Func Future Lines 2015'!H241</f>
        <v>AltaLink</v>
      </c>
      <c r="I241" s="359">
        <f>'Func Future Lines 2015'!I241</f>
        <v>2019</v>
      </c>
      <c r="J241" s="361">
        <f>+IF($I241=J$3,VLOOKUP($H241,Depreciation!$A$6:$L$10,7,FALSE)/2,IF($I241&lt;J$3,VLOOKUP($H241,Depreciation!$A$6:$L$10,7,FALSE),0))</f>
        <v>0</v>
      </c>
      <c r="K241" s="361">
        <f>+IF($I241=K$3,VLOOKUP($H241,Depreciation!$A$6:$L$10,8,FALSE)/2,IF($I241&lt;K$3,VLOOKUP($H241,Depreciation!$A$6:$L$10,8,FALSE),0))</f>
        <v>0</v>
      </c>
      <c r="L241" s="361">
        <f>+IF($I241=L$3,VLOOKUP($H241,Depreciation!$A$6:$L$10,9,FALSE)/2,IF($I241&lt;L$3,VLOOKUP($H241,Depreciation!$A$6:$L$10,9,FALSE),0))</f>
        <v>0</v>
      </c>
      <c r="M241" s="361">
        <f>+IF($I241=M$3,VLOOKUP($H241,Depreciation!$A$6:$L$10,10,FALSE)/2,IF($I241&lt;M$3,VLOOKUP($H241,Depreciation!$A$6:$L$10,10,FALSE),0))</f>
        <v>0</v>
      </c>
      <c r="N241" s="361">
        <f>+IF($I241=N$3,VLOOKUP($H241,Depreciation!$A$6:$L$10,11,FALSE)/2,IF($I241&lt;N$3,VLOOKUP($H241,Depreciation!$A$6:$L$10,11,FALSE),0))</f>
        <v>1.5338181838063448E-2</v>
      </c>
      <c r="O241" s="361">
        <f>+IF($I241=O$3,VLOOKUP($H241,Depreciation!$A$6:$L$10,12,FALSE)/2,IF($I241&lt;O$3,VLOOKUP($H241,Depreciation!$A$6:$L$10,12,FALSE),0))</f>
        <v>3.0676363676126896E-2</v>
      </c>
      <c r="P241" s="362">
        <f t="shared" si="10"/>
        <v>2724379.7152079977</v>
      </c>
      <c r="Q241" s="362">
        <f t="shared" si="11"/>
        <v>0</v>
      </c>
      <c r="R241" s="363">
        <f t="shared" si="12"/>
        <v>2724379.7152079977</v>
      </c>
    </row>
    <row r="242" spans="1:18">
      <c r="A242" s="359" t="str">
        <f>'Func Future Lines 2015'!A242</f>
        <v>NID</v>
      </c>
      <c r="B242" s="359" t="str">
        <f>'Func Future Lines 2015'!B242</f>
        <v>942L 240kV in/out 0.5km_(Alt3)</v>
      </c>
      <c r="C242" s="359">
        <f>'Func Future Lines 2015'!C242</f>
        <v>1381</v>
      </c>
      <c r="D242" s="359">
        <f>'Func Future Lines 2015'!D242</f>
        <v>240</v>
      </c>
      <c r="E242" s="359">
        <f>'Func Future Lines 2015'!E242</f>
        <v>0</v>
      </c>
      <c r="F242" s="359" t="str">
        <f>'Func Future Lines 2015'!F242</f>
        <v>Fort_Saskatchewan</v>
      </c>
      <c r="G242" s="359">
        <f>'Func Future Lines 2015'!G242</f>
        <v>534701.55370326247</v>
      </c>
      <c r="H242" s="359" t="str">
        <f>'Func Future Lines 2015'!H242</f>
        <v>AltaLink</v>
      </c>
      <c r="I242" s="359">
        <f>'Func Future Lines 2015'!I242</f>
        <v>2019</v>
      </c>
      <c r="J242" s="361">
        <f>+IF($I242=J$3,VLOOKUP($H242,Depreciation!$A$6:$L$10,7,FALSE)/2,IF($I242&lt;J$3,VLOOKUP($H242,Depreciation!$A$6:$L$10,7,FALSE),0))</f>
        <v>0</v>
      </c>
      <c r="K242" s="361">
        <f>+IF($I242=K$3,VLOOKUP($H242,Depreciation!$A$6:$L$10,8,FALSE)/2,IF($I242&lt;K$3,VLOOKUP($H242,Depreciation!$A$6:$L$10,8,FALSE),0))</f>
        <v>0</v>
      </c>
      <c r="L242" s="361">
        <f>+IF($I242=L$3,VLOOKUP($H242,Depreciation!$A$6:$L$10,9,FALSE)/2,IF($I242&lt;L$3,VLOOKUP($H242,Depreciation!$A$6:$L$10,9,FALSE),0))</f>
        <v>0</v>
      </c>
      <c r="M242" s="361">
        <f>+IF($I242=M$3,VLOOKUP($H242,Depreciation!$A$6:$L$10,10,FALSE)/2,IF($I242&lt;M$3,VLOOKUP($H242,Depreciation!$A$6:$L$10,10,FALSE),0))</f>
        <v>0</v>
      </c>
      <c r="N242" s="361">
        <f>+IF($I242=N$3,VLOOKUP($H242,Depreciation!$A$6:$L$10,11,FALSE)/2,IF($I242&lt;N$3,VLOOKUP($H242,Depreciation!$A$6:$L$10,11,FALSE),0))</f>
        <v>1.5338181838063448E-2</v>
      </c>
      <c r="O242" s="361">
        <f>+IF($I242=O$3,VLOOKUP($H242,Depreciation!$A$6:$L$10,12,FALSE)/2,IF($I242&lt;O$3,VLOOKUP($H242,Depreciation!$A$6:$L$10,12,FALSE),0))</f>
        <v>3.0676363676126896E-2</v>
      </c>
      <c r="P242" s="362">
        <f t="shared" si="10"/>
        <v>510349.09230867442</v>
      </c>
      <c r="Q242" s="362">
        <f t="shared" si="11"/>
        <v>510349.09230867442</v>
      </c>
      <c r="R242" s="363">
        <f t="shared" si="12"/>
        <v>0</v>
      </c>
    </row>
    <row r="243" spans="1:18">
      <c r="A243" s="359" t="str">
        <f>'Func Future Lines 2015'!A243</f>
        <v>PPS</v>
      </c>
      <c r="B243" s="359" t="str">
        <f>'Func Future Lines 2015'!B243</f>
        <v>971AL</v>
      </c>
      <c r="C243" s="359">
        <f>'Func Future Lines 2015'!C243</f>
        <v>1404</v>
      </c>
      <c r="D243" s="359">
        <f>'Func Future Lines 2015'!D243</f>
        <v>240</v>
      </c>
      <c r="E243" s="359">
        <f>'Func Future Lines 2015'!E243</f>
        <v>0</v>
      </c>
      <c r="F243" s="359" t="str">
        <f>'Func Future Lines 2015'!F243</f>
        <v>Fort McMurray</v>
      </c>
      <c r="G243" s="360">
        <f>'Func Future Lines 2015'!G243</f>
        <v>33123608.699931756</v>
      </c>
      <c r="H243" s="359" t="str">
        <f>'Func Future Lines 2015'!H243</f>
        <v>AltaLink</v>
      </c>
      <c r="I243" s="359">
        <f>'Func Future Lines 2015'!I243</f>
        <v>2017</v>
      </c>
      <c r="J243" s="361">
        <f>+IF($I243=J$3,VLOOKUP($H243,Depreciation!$A$6:$L$10,7,FALSE)/2,IF($I243&lt;J$3,VLOOKUP($H243,Depreciation!$A$6:$L$10,7,FALSE),0))</f>
        <v>0</v>
      </c>
      <c r="K243" s="361">
        <f>+IF($I243=K$3,VLOOKUP($H243,Depreciation!$A$6:$L$10,8,FALSE)/2,IF($I243&lt;K$3,VLOOKUP($H243,Depreciation!$A$6:$L$10,8,FALSE),0))</f>
        <v>0</v>
      </c>
      <c r="L243" s="361">
        <f>+IF($I243=L$3,VLOOKUP($H243,Depreciation!$A$6:$L$10,9,FALSE)/2,IF($I243&lt;L$3,VLOOKUP($H243,Depreciation!$A$6:$L$10,9,FALSE),0))</f>
        <v>1.5338181838063448E-2</v>
      </c>
      <c r="M243" s="361">
        <f>+IF($I243=M$3,VLOOKUP($H243,Depreciation!$A$6:$L$10,10,FALSE)/2,IF($I243&lt;M$3,VLOOKUP($H243,Depreciation!$A$6:$L$10,10,FALSE),0))</f>
        <v>3.0676363676126896E-2</v>
      </c>
      <c r="N243" s="361">
        <f>+IF($I243=N$3,VLOOKUP($H243,Depreciation!$A$6:$L$10,11,FALSE)/2,IF($I243&lt;N$3,VLOOKUP($H243,Depreciation!$A$6:$L$10,11,FALSE),0))</f>
        <v>3.0676363676126896E-2</v>
      </c>
      <c r="O243" s="361">
        <f>+IF($I243=O$3,VLOOKUP($H243,Depreciation!$A$6:$L$10,12,FALSE)/2,IF($I243&lt;O$3,VLOOKUP($H243,Depreciation!$A$6:$L$10,12,FALSE),0))</f>
        <v>3.0676363676126896E-2</v>
      </c>
      <c r="P243" s="362">
        <f t="shared" si="10"/>
        <v>29705109.106962051</v>
      </c>
      <c r="Q243" s="362">
        <f t="shared" si="11"/>
        <v>29705109.106962051</v>
      </c>
      <c r="R243" s="363">
        <f t="shared" si="12"/>
        <v>0</v>
      </c>
    </row>
    <row r="244" spans="1:18">
      <c r="A244" s="359" t="str">
        <f>'Func Future Lines 2015'!A244</f>
        <v>PPS</v>
      </c>
      <c r="B244" s="359" t="str">
        <f>'Func Future Lines 2015'!B244</f>
        <v>New 50m 144kV s/c  line 7LB65</v>
      </c>
      <c r="C244" s="359">
        <f>'Func Future Lines 2015'!C244</f>
        <v>1410</v>
      </c>
      <c r="D244" s="359">
        <f>'Func Future Lines 2015'!D244</f>
        <v>144</v>
      </c>
      <c r="E244" s="359">
        <f>'Func Future Lines 2015'!E244</f>
        <v>0</v>
      </c>
      <c r="F244" s="359" t="str">
        <f>'Func Future Lines 2015'!F244</f>
        <v>central</v>
      </c>
      <c r="G244" s="360">
        <f>'Func Future Lines 2015'!G244</f>
        <v>1252661.4598423878</v>
      </c>
      <c r="H244" s="359" t="str">
        <f>'Func Future Lines 2015'!H244</f>
        <v>ATCO</v>
      </c>
      <c r="I244" s="359">
        <f>'Func Future Lines 2015'!I244</f>
        <v>2017</v>
      </c>
      <c r="J244" s="361">
        <f>+IF($I244=J$3,VLOOKUP($H244,Depreciation!$A$6:$L$10,7,FALSE)/2,IF($I244&lt;J$3,VLOOKUP($H244,Depreciation!$A$6:$L$10,7,FALSE),0))</f>
        <v>0</v>
      </c>
      <c r="K244" s="361">
        <f>+IF($I244=K$3,VLOOKUP($H244,Depreciation!$A$6:$L$10,8,FALSE)/2,IF($I244&lt;K$3,VLOOKUP($H244,Depreciation!$A$6:$L$10,8,FALSE),0))</f>
        <v>0</v>
      </c>
      <c r="L244" s="361">
        <f>+IF($I244=L$3,VLOOKUP($H244,Depreciation!$A$6:$L$10,9,FALSE)/2,IF($I244&lt;L$3,VLOOKUP($H244,Depreciation!$A$6:$L$10,9,FALSE),0))</f>
        <v>1.2001018963427959E-2</v>
      </c>
      <c r="M244" s="361">
        <f>+IF($I244=M$3,VLOOKUP($H244,Depreciation!$A$6:$L$10,10,FALSE)/2,IF($I244&lt;M$3,VLOOKUP($H244,Depreciation!$A$6:$L$10,10,FALSE),0))</f>
        <v>2.4002037926855919E-2</v>
      </c>
      <c r="N244" s="361">
        <f>+IF($I244=N$3,VLOOKUP($H244,Depreciation!$A$6:$L$10,11,FALSE)/2,IF($I244&lt;N$3,VLOOKUP($H244,Depreciation!$A$6:$L$10,11,FALSE),0))</f>
        <v>2.4002037926855919E-2</v>
      </c>
      <c r="O244" s="361">
        <f>+IF($I244=O$3,VLOOKUP($H244,Depreciation!$A$6:$L$10,12,FALSE)/2,IF($I244&lt;O$3,VLOOKUP($H244,Depreciation!$A$6:$L$10,12,FALSE),0))</f>
        <v>2.4002037926855919E-2</v>
      </c>
      <c r="P244" s="362">
        <f t="shared" si="10"/>
        <v>1150633.3171041175</v>
      </c>
      <c r="Q244" s="362">
        <f t="shared" si="11"/>
        <v>0</v>
      </c>
      <c r="R244" s="363">
        <f t="shared" si="12"/>
        <v>1150633.3171041175</v>
      </c>
    </row>
    <row r="245" spans="1:18">
      <c r="A245" s="359" t="str">
        <f>'Func Future Lines 2015'!A245</f>
        <v>PPS</v>
      </c>
      <c r="B245" s="359" t="str">
        <f>'Func Future Lines 2015'!B245</f>
        <v>Phase1 1120L</v>
      </c>
      <c r="C245" s="359">
        <f>'Func Future Lines 2015'!C245</f>
        <v>1421</v>
      </c>
      <c r="D245" s="359">
        <f>'Func Future Lines 2015'!D245</f>
        <v>240</v>
      </c>
      <c r="E245" s="359">
        <f>'Func Future Lines 2015'!E245</f>
        <v>0</v>
      </c>
      <c r="F245" s="359" t="str">
        <f>'Func Future Lines 2015'!F245</f>
        <v>Fort_Saskatchewan</v>
      </c>
      <c r="G245" s="359">
        <f>'Func Future Lines 2015'!G245</f>
        <v>539203.14735113864</v>
      </c>
      <c r="H245" s="359" t="str">
        <f>'Func Future Lines 2015'!H245</f>
        <v>AltaLink</v>
      </c>
      <c r="I245" s="359">
        <f>'Func Future Lines 2015'!I245</f>
        <v>2019</v>
      </c>
      <c r="J245" s="361">
        <f>+IF($I245=J$3,VLOOKUP($H245,Depreciation!$A$6:$L$10,7,FALSE)/2,IF($I245&lt;J$3,VLOOKUP($H245,Depreciation!$A$6:$L$10,7,FALSE),0))</f>
        <v>0</v>
      </c>
      <c r="K245" s="361">
        <f>+IF($I245=K$3,VLOOKUP($H245,Depreciation!$A$6:$L$10,8,FALSE)/2,IF($I245&lt;K$3,VLOOKUP($H245,Depreciation!$A$6:$L$10,8,FALSE),0))</f>
        <v>0</v>
      </c>
      <c r="L245" s="361">
        <f>+IF($I245=L$3,VLOOKUP($H245,Depreciation!$A$6:$L$10,9,FALSE)/2,IF($I245&lt;L$3,VLOOKUP($H245,Depreciation!$A$6:$L$10,9,FALSE),0))</f>
        <v>0</v>
      </c>
      <c r="M245" s="361">
        <f>+IF($I245=M$3,VLOOKUP($H245,Depreciation!$A$6:$L$10,10,FALSE)/2,IF($I245&lt;M$3,VLOOKUP($H245,Depreciation!$A$6:$L$10,10,FALSE),0))</f>
        <v>0</v>
      </c>
      <c r="N245" s="361">
        <f>+IF($I245=N$3,VLOOKUP($H245,Depreciation!$A$6:$L$10,11,FALSE)/2,IF($I245&lt;N$3,VLOOKUP($H245,Depreciation!$A$6:$L$10,11,FALSE),0))</f>
        <v>1.5338181838063448E-2</v>
      </c>
      <c r="O245" s="361">
        <f>+IF($I245=O$3,VLOOKUP($H245,Depreciation!$A$6:$L$10,12,FALSE)/2,IF($I245&lt;O$3,VLOOKUP($H245,Depreciation!$A$6:$L$10,12,FALSE),0))</f>
        <v>3.0676363676126896E-2</v>
      </c>
      <c r="P245" s="362">
        <f t="shared" si="10"/>
        <v>514645.66525899549</v>
      </c>
      <c r="Q245" s="362">
        <f t="shared" si="11"/>
        <v>514645.66525899549</v>
      </c>
      <c r="R245" s="363">
        <f t="shared" si="12"/>
        <v>0</v>
      </c>
    </row>
    <row r="246" spans="1:18">
      <c r="A246" s="359" t="str">
        <f>'Func Future Lines 2015'!A246</f>
        <v>PPS</v>
      </c>
      <c r="B246" s="359" t="str">
        <f>'Func Future Lines 2015'!B246</f>
        <v>Phase1 1181L</v>
      </c>
      <c r="C246" s="359">
        <f>'Func Future Lines 2015'!C246</f>
        <v>1421</v>
      </c>
      <c r="D246" s="359">
        <f>'Func Future Lines 2015'!D246</f>
        <v>240</v>
      </c>
      <c r="E246" s="359">
        <f>'Func Future Lines 2015'!E246</f>
        <v>0</v>
      </c>
      <c r="F246" s="359" t="str">
        <f>'Func Future Lines 2015'!F246</f>
        <v>Fort_Saskatchewan</v>
      </c>
      <c r="G246" s="359">
        <f>'Func Future Lines 2015'!G246</f>
        <v>19967023.256146636</v>
      </c>
      <c r="H246" s="359" t="str">
        <f>'Func Future Lines 2015'!H246</f>
        <v>AltaLink</v>
      </c>
      <c r="I246" s="359">
        <f>'Func Future Lines 2015'!I246</f>
        <v>2019</v>
      </c>
      <c r="J246" s="361">
        <f>+IF($I246=J$3,VLOOKUP($H246,Depreciation!$A$6:$L$10,7,FALSE)/2,IF($I246&lt;J$3,VLOOKUP($H246,Depreciation!$A$6:$L$10,7,FALSE),0))</f>
        <v>0</v>
      </c>
      <c r="K246" s="361">
        <f>+IF($I246=K$3,VLOOKUP($H246,Depreciation!$A$6:$L$10,8,FALSE)/2,IF($I246&lt;K$3,VLOOKUP($H246,Depreciation!$A$6:$L$10,8,FALSE),0))</f>
        <v>0</v>
      </c>
      <c r="L246" s="361">
        <f>+IF($I246=L$3,VLOOKUP($H246,Depreciation!$A$6:$L$10,9,FALSE)/2,IF($I246&lt;L$3,VLOOKUP($H246,Depreciation!$A$6:$L$10,9,FALSE),0))</f>
        <v>0</v>
      </c>
      <c r="M246" s="361">
        <f>+IF($I246=M$3,VLOOKUP($H246,Depreciation!$A$6:$L$10,10,FALSE)/2,IF($I246&lt;M$3,VLOOKUP($H246,Depreciation!$A$6:$L$10,10,FALSE),0))</f>
        <v>0</v>
      </c>
      <c r="N246" s="361">
        <f>+IF($I246=N$3,VLOOKUP($H246,Depreciation!$A$6:$L$10,11,FALSE)/2,IF($I246&lt;N$3,VLOOKUP($H246,Depreciation!$A$6:$L$10,11,FALSE),0))</f>
        <v>1.5338181838063448E-2</v>
      </c>
      <c r="O246" s="361">
        <f>+IF($I246=O$3,VLOOKUP($H246,Depreciation!$A$6:$L$10,12,FALSE)/2,IF($I246&lt;O$3,VLOOKUP($H246,Depreciation!$A$6:$L$10,12,FALSE),0))</f>
        <v>3.0676363676126896E-2</v>
      </c>
      <c r="P246" s="362">
        <f t="shared" si="10"/>
        <v>19057644.632421896</v>
      </c>
      <c r="Q246" s="362">
        <f t="shared" si="11"/>
        <v>19057644.632421896</v>
      </c>
      <c r="R246" s="363">
        <f t="shared" si="12"/>
        <v>0</v>
      </c>
    </row>
    <row r="247" spans="1:18">
      <c r="A247" s="359" t="str">
        <f>'Func Future Lines 2015'!A247</f>
        <v>PPS</v>
      </c>
      <c r="B247" s="359" t="str">
        <f>'Func Future Lines 2015'!B247</f>
        <v>Phase1 807L</v>
      </c>
      <c r="C247" s="359">
        <f>'Func Future Lines 2015'!C247</f>
        <v>1421</v>
      </c>
      <c r="D247" s="359">
        <f>'Func Future Lines 2015'!D247</f>
        <v>240</v>
      </c>
      <c r="E247" s="359">
        <f>'Func Future Lines 2015'!E247</f>
        <v>0</v>
      </c>
      <c r="F247" s="359" t="str">
        <f>'Func Future Lines 2015'!F247</f>
        <v>Fort_Saskatchewan</v>
      </c>
      <c r="G247" s="359">
        <f>'Func Future Lines 2015'!G247</f>
        <v>499439.58032038546</v>
      </c>
      <c r="H247" s="359" t="str">
        <f>'Func Future Lines 2015'!H247</f>
        <v>AltaLink</v>
      </c>
      <c r="I247" s="359">
        <f>'Func Future Lines 2015'!I247</f>
        <v>2019</v>
      </c>
      <c r="J247" s="361">
        <f>+IF($I247=J$3,VLOOKUP($H247,Depreciation!$A$6:$L$10,7,FALSE)/2,IF($I247&lt;J$3,VLOOKUP($H247,Depreciation!$A$6:$L$10,7,FALSE),0))</f>
        <v>0</v>
      </c>
      <c r="K247" s="361">
        <f>+IF($I247=K$3,VLOOKUP($H247,Depreciation!$A$6:$L$10,8,FALSE)/2,IF($I247&lt;K$3,VLOOKUP($H247,Depreciation!$A$6:$L$10,8,FALSE),0))</f>
        <v>0</v>
      </c>
      <c r="L247" s="361">
        <f>+IF($I247=L$3,VLOOKUP($H247,Depreciation!$A$6:$L$10,9,FALSE)/2,IF($I247&lt;L$3,VLOOKUP($H247,Depreciation!$A$6:$L$10,9,FALSE),0))</f>
        <v>0</v>
      </c>
      <c r="M247" s="361">
        <f>+IF($I247=M$3,VLOOKUP($H247,Depreciation!$A$6:$L$10,10,FALSE)/2,IF($I247&lt;M$3,VLOOKUP($H247,Depreciation!$A$6:$L$10,10,FALSE),0))</f>
        <v>0</v>
      </c>
      <c r="N247" s="361">
        <f>+IF($I247=N$3,VLOOKUP($H247,Depreciation!$A$6:$L$10,11,FALSE)/2,IF($I247&lt;N$3,VLOOKUP($H247,Depreciation!$A$6:$L$10,11,FALSE),0))</f>
        <v>1.5338181838063448E-2</v>
      </c>
      <c r="O247" s="361">
        <f>+IF($I247=O$3,VLOOKUP($H247,Depreciation!$A$6:$L$10,12,FALSE)/2,IF($I247&lt;O$3,VLOOKUP($H247,Depreciation!$A$6:$L$10,12,FALSE),0))</f>
        <v>3.0676363676126896E-2</v>
      </c>
      <c r="P247" s="362">
        <f t="shared" si="10"/>
        <v>476693.09115377424</v>
      </c>
      <c r="Q247" s="362">
        <f t="shared" si="11"/>
        <v>476693.09115377424</v>
      </c>
      <c r="R247" s="363">
        <f t="shared" si="12"/>
        <v>0</v>
      </c>
    </row>
    <row r="248" spans="1:18">
      <c r="A248" s="359" t="str">
        <f>'Func Future Lines 2015'!A248</f>
        <v>PPS</v>
      </c>
      <c r="B248" s="359" t="str">
        <f>'Func Future Lines 2015'!B248</f>
        <v>Phase1 856L/776L/857L</v>
      </c>
      <c r="C248" s="359">
        <f>'Func Future Lines 2015'!C248</f>
        <v>1421</v>
      </c>
      <c r="D248" s="359">
        <f>'Func Future Lines 2015'!D248</f>
        <v>240</v>
      </c>
      <c r="E248" s="359">
        <f>'Func Future Lines 2015'!E248</f>
        <v>0</v>
      </c>
      <c r="F248" s="359" t="str">
        <f>'Func Future Lines 2015'!F248</f>
        <v>Fort_Saskatchewan</v>
      </c>
      <c r="G248" s="359">
        <f>'Func Future Lines 2015'!G248</f>
        <v>152011.1100611416</v>
      </c>
      <c r="H248" s="359" t="str">
        <f>'Func Future Lines 2015'!H248</f>
        <v>AltaLink</v>
      </c>
      <c r="I248" s="359">
        <f>'Func Future Lines 2015'!I248</f>
        <v>2019</v>
      </c>
      <c r="J248" s="361">
        <f>+IF($I248=J$3,VLOOKUP($H248,Depreciation!$A$6:$L$10,7,FALSE)/2,IF($I248&lt;J$3,VLOOKUP($H248,Depreciation!$A$6:$L$10,7,FALSE),0))</f>
        <v>0</v>
      </c>
      <c r="K248" s="361">
        <f>+IF($I248=K$3,VLOOKUP($H248,Depreciation!$A$6:$L$10,8,FALSE)/2,IF($I248&lt;K$3,VLOOKUP($H248,Depreciation!$A$6:$L$10,8,FALSE),0))</f>
        <v>0</v>
      </c>
      <c r="L248" s="361">
        <f>+IF($I248=L$3,VLOOKUP($H248,Depreciation!$A$6:$L$10,9,FALSE)/2,IF($I248&lt;L$3,VLOOKUP($H248,Depreciation!$A$6:$L$10,9,FALSE),0))</f>
        <v>0</v>
      </c>
      <c r="M248" s="361">
        <f>+IF($I248=M$3,VLOOKUP($H248,Depreciation!$A$6:$L$10,10,FALSE)/2,IF($I248&lt;M$3,VLOOKUP($H248,Depreciation!$A$6:$L$10,10,FALSE),0))</f>
        <v>0</v>
      </c>
      <c r="N248" s="361">
        <f>+IF($I248=N$3,VLOOKUP($H248,Depreciation!$A$6:$L$10,11,FALSE)/2,IF($I248&lt;N$3,VLOOKUP($H248,Depreciation!$A$6:$L$10,11,FALSE),0))</f>
        <v>1.5338181838063448E-2</v>
      </c>
      <c r="O248" s="361">
        <f>+IF($I248=O$3,VLOOKUP($H248,Depreciation!$A$6:$L$10,12,FALSE)/2,IF($I248&lt;O$3,VLOOKUP($H248,Depreciation!$A$6:$L$10,12,FALSE),0))</f>
        <v>3.0676363676126896E-2</v>
      </c>
      <c r="P248" s="362">
        <f t="shared" si="10"/>
        <v>145087.91213199025</v>
      </c>
      <c r="Q248" s="362">
        <f t="shared" si="11"/>
        <v>145087.91213199025</v>
      </c>
      <c r="R248" s="363">
        <f t="shared" si="12"/>
        <v>0</v>
      </c>
    </row>
    <row r="249" spans="1:18">
      <c r="A249" s="359" t="str">
        <f>'Func Future Lines 2015'!A249</f>
        <v>PPS</v>
      </c>
      <c r="B249" s="359" t="str">
        <f>'Func Future Lines 2015'!B249</f>
        <v>Phase2 1120L</v>
      </c>
      <c r="C249" s="359">
        <f>'Func Future Lines 2015'!C249</f>
        <v>1421</v>
      </c>
      <c r="D249" s="359">
        <f>'Func Future Lines 2015'!D249</f>
        <v>240</v>
      </c>
      <c r="E249" s="359">
        <f>'Func Future Lines 2015'!E249</f>
        <v>0</v>
      </c>
      <c r="F249" s="359" t="str">
        <f>'Func Future Lines 2015'!F249</f>
        <v>Fort_Saskatchewan</v>
      </c>
      <c r="G249" s="359">
        <f>'Func Future Lines 2015'!G249</f>
        <v>552930.93167308858</v>
      </c>
      <c r="H249" s="359" t="str">
        <f>'Func Future Lines 2015'!H249</f>
        <v>AltaLink</v>
      </c>
      <c r="I249" s="359">
        <f>'Func Future Lines 2015'!I249</f>
        <v>2019</v>
      </c>
      <c r="J249" s="361">
        <f>+IF($I249=J$3,VLOOKUP($H249,Depreciation!$A$6:$L$10,7,FALSE)/2,IF($I249&lt;J$3,VLOOKUP($H249,Depreciation!$A$6:$L$10,7,FALSE),0))</f>
        <v>0</v>
      </c>
      <c r="K249" s="361">
        <f>+IF($I249=K$3,VLOOKUP($H249,Depreciation!$A$6:$L$10,8,FALSE)/2,IF($I249&lt;K$3,VLOOKUP($H249,Depreciation!$A$6:$L$10,8,FALSE),0))</f>
        <v>0</v>
      </c>
      <c r="L249" s="361">
        <f>+IF($I249=L$3,VLOOKUP($H249,Depreciation!$A$6:$L$10,9,FALSE)/2,IF($I249&lt;L$3,VLOOKUP($H249,Depreciation!$A$6:$L$10,9,FALSE),0))</f>
        <v>0</v>
      </c>
      <c r="M249" s="361">
        <f>+IF($I249=M$3,VLOOKUP($H249,Depreciation!$A$6:$L$10,10,FALSE)/2,IF($I249&lt;M$3,VLOOKUP($H249,Depreciation!$A$6:$L$10,10,FALSE),0))</f>
        <v>0</v>
      </c>
      <c r="N249" s="361">
        <f>+IF($I249=N$3,VLOOKUP($H249,Depreciation!$A$6:$L$10,11,FALSE)/2,IF($I249&lt;N$3,VLOOKUP($H249,Depreciation!$A$6:$L$10,11,FALSE),0))</f>
        <v>1.5338181838063448E-2</v>
      </c>
      <c r="O249" s="361">
        <f>+IF($I249=O$3,VLOOKUP($H249,Depreciation!$A$6:$L$10,12,FALSE)/2,IF($I249&lt;O$3,VLOOKUP($H249,Depreciation!$A$6:$L$10,12,FALSE),0))</f>
        <v>3.0676363676126896E-2</v>
      </c>
      <c r="P249" s="362">
        <f t="shared" si="10"/>
        <v>527748.23101664882</v>
      </c>
      <c r="Q249" s="362">
        <f t="shared" si="11"/>
        <v>527748.23101664882</v>
      </c>
      <c r="R249" s="363">
        <f t="shared" si="12"/>
        <v>0</v>
      </c>
    </row>
    <row r="250" spans="1:18">
      <c r="A250" s="359" t="str">
        <f>'Func Future Lines 2015'!A250</f>
        <v>PPS</v>
      </c>
      <c r="B250" s="359" t="str">
        <f>'Func Future Lines 2015'!B250</f>
        <v>Phase2 1182L</v>
      </c>
      <c r="C250" s="359">
        <f>'Func Future Lines 2015'!C250</f>
        <v>1421</v>
      </c>
      <c r="D250" s="359">
        <f>'Func Future Lines 2015'!D250</f>
        <v>240</v>
      </c>
      <c r="E250" s="359">
        <f>'Func Future Lines 2015'!E250</f>
        <v>0</v>
      </c>
      <c r="F250" s="359" t="str">
        <f>'Func Future Lines 2015'!F250</f>
        <v>Fort_Saskatchewan</v>
      </c>
      <c r="G250" s="359">
        <f>'Func Future Lines 2015'!G250</f>
        <v>19778650.647485077</v>
      </c>
      <c r="H250" s="359" t="str">
        <f>'Func Future Lines 2015'!H250</f>
        <v>AltaLink</v>
      </c>
      <c r="I250" s="359">
        <f>'Func Future Lines 2015'!I250</f>
        <v>2019</v>
      </c>
      <c r="J250" s="361">
        <f>+IF($I250=J$3,VLOOKUP($H250,Depreciation!$A$6:$L$10,7,FALSE)/2,IF($I250&lt;J$3,VLOOKUP($H250,Depreciation!$A$6:$L$10,7,FALSE),0))</f>
        <v>0</v>
      </c>
      <c r="K250" s="361">
        <f>+IF($I250=K$3,VLOOKUP($H250,Depreciation!$A$6:$L$10,8,FALSE)/2,IF($I250&lt;K$3,VLOOKUP($H250,Depreciation!$A$6:$L$10,8,FALSE),0))</f>
        <v>0</v>
      </c>
      <c r="L250" s="361">
        <f>+IF($I250=L$3,VLOOKUP($H250,Depreciation!$A$6:$L$10,9,FALSE)/2,IF($I250&lt;L$3,VLOOKUP($H250,Depreciation!$A$6:$L$10,9,FALSE),0))</f>
        <v>0</v>
      </c>
      <c r="M250" s="361">
        <f>+IF($I250=M$3,VLOOKUP($H250,Depreciation!$A$6:$L$10,10,FALSE)/2,IF($I250&lt;M$3,VLOOKUP($H250,Depreciation!$A$6:$L$10,10,FALSE),0))</f>
        <v>0</v>
      </c>
      <c r="N250" s="361">
        <f>+IF($I250=N$3,VLOOKUP($H250,Depreciation!$A$6:$L$10,11,FALSE)/2,IF($I250&lt;N$3,VLOOKUP($H250,Depreciation!$A$6:$L$10,11,FALSE),0))</f>
        <v>1.5338181838063448E-2</v>
      </c>
      <c r="O250" s="361">
        <f>+IF($I250=O$3,VLOOKUP($H250,Depreciation!$A$6:$L$10,12,FALSE)/2,IF($I250&lt;O$3,VLOOKUP($H250,Depreciation!$A$6:$L$10,12,FALSE),0))</f>
        <v>3.0676363676126896E-2</v>
      </c>
      <c r="P250" s="362">
        <f t="shared" si="10"/>
        <v>18877851.270722415</v>
      </c>
      <c r="Q250" s="362">
        <f t="shared" si="11"/>
        <v>18877851.270722415</v>
      </c>
      <c r="R250" s="363">
        <f t="shared" si="12"/>
        <v>0</v>
      </c>
    </row>
    <row r="251" spans="1:18">
      <c r="A251" s="359" t="str">
        <f>'Func Future Lines 2015'!A251</f>
        <v>PPS</v>
      </c>
      <c r="B251" s="359" t="str">
        <f>'Func Future Lines 2015'!B251</f>
        <v>Phase2 942L/1131L</v>
      </c>
      <c r="C251" s="359">
        <f>'Func Future Lines 2015'!C251</f>
        <v>1421</v>
      </c>
      <c r="D251" s="359">
        <f>'Func Future Lines 2015'!D251</f>
        <v>240</v>
      </c>
      <c r="E251" s="359">
        <f>'Func Future Lines 2015'!E251</f>
        <v>0</v>
      </c>
      <c r="F251" s="359" t="str">
        <f>'Func Future Lines 2015'!F251</f>
        <v>Fort_Saskatchewan</v>
      </c>
      <c r="G251" s="359">
        <f>'Func Future Lines 2015'!G251</f>
        <v>987104.97626991919</v>
      </c>
      <c r="H251" s="359" t="str">
        <f>'Func Future Lines 2015'!H251</f>
        <v>AltaLink</v>
      </c>
      <c r="I251" s="359">
        <f>'Func Future Lines 2015'!I251</f>
        <v>2019</v>
      </c>
      <c r="J251" s="361">
        <f>+IF($I251=J$3,VLOOKUP($H251,Depreciation!$A$6:$L$10,7,FALSE)/2,IF($I251&lt;J$3,VLOOKUP($H251,Depreciation!$A$6:$L$10,7,FALSE),0))</f>
        <v>0</v>
      </c>
      <c r="K251" s="361">
        <f>+IF($I251=K$3,VLOOKUP($H251,Depreciation!$A$6:$L$10,8,FALSE)/2,IF($I251&lt;K$3,VLOOKUP($H251,Depreciation!$A$6:$L$10,8,FALSE),0))</f>
        <v>0</v>
      </c>
      <c r="L251" s="361">
        <f>+IF($I251=L$3,VLOOKUP($H251,Depreciation!$A$6:$L$10,9,FALSE)/2,IF($I251&lt;L$3,VLOOKUP($H251,Depreciation!$A$6:$L$10,9,FALSE),0))</f>
        <v>0</v>
      </c>
      <c r="M251" s="361">
        <f>+IF($I251=M$3,VLOOKUP($H251,Depreciation!$A$6:$L$10,10,FALSE)/2,IF($I251&lt;M$3,VLOOKUP($H251,Depreciation!$A$6:$L$10,10,FALSE),0))</f>
        <v>0</v>
      </c>
      <c r="N251" s="361">
        <f>+IF($I251=N$3,VLOOKUP($H251,Depreciation!$A$6:$L$10,11,FALSE)/2,IF($I251&lt;N$3,VLOOKUP($H251,Depreciation!$A$6:$L$10,11,FALSE),0))</f>
        <v>1.5338181838063448E-2</v>
      </c>
      <c r="O251" s="361">
        <f>+IF($I251=O$3,VLOOKUP($H251,Depreciation!$A$6:$L$10,12,FALSE)/2,IF($I251&lt;O$3,VLOOKUP($H251,Depreciation!$A$6:$L$10,12,FALSE),0))</f>
        <v>3.0676363676126896E-2</v>
      </c>
      <c r="P251" s="362">
        <f t="shared" si="10"/>
        <v>942148.24169428088</v>
      </c>
      <c r="Q251" s="362">
        <f t="shared" si="11"/>
        <v>942148.24169428088</v>
      </c>
      <c r="R251" s="363">
        <f t="shared" si="12"/>
        <v>0</v>
      </c>
    </row>
    <row r="252" spans="1:18">
      <c r="A252" s="359" t="str">
        <f>'Func Future Lines 2015'!A252</f>
        <v>PPS</v>
      </c>
      <c r="B252" s="359" t="str">
        <f>'Func Future Lines 2015'!B252</f>
        <v>Phase2 997L</v>
      </c>
      <c r="C252" s="359">
        <f>'Func Future Lines 2015'!C252</f>
        <v>1421</v>
      </c>
      <c r="D252" s="359">
        <f>'Func Future Lines 2015'!D252</f>
        <v>240</v>
      </c>
      <c r="E252" s="359">
        <f>'Func Future Lines 2015'!E252</f>
        <v>0</v>
      </c>
      <c r="F252" s="359" t="str">
        <f>'Func Future Lines 2015'!F252</f>
        <v>Fort_Saskatchewan</v>
      </c>
      <c r="G252" s="359">
        <f>'Func Future Lines 2015'!G252</f>
        <v>339650.72037236777</v>
      </c>
      <c r="H252" s="359" t="str">
        <f>'Func Future Lines 2015'!H252</f>
        <v>AltaLink</v>
      </c>
      <c r="I252" s="359">
        <f>'Func Future Lines 2015'!I252</f>
        <v>2019</v>
      </c>
      <c r="J252" s="361">
        <f>+IF($I252=J$3,VLOOKUP($H252,Depreciation!$A$6:$L$10,7,FALSE)/2,IF($I252&lt;J$3,VLOOKUP($H252,Depreciation!$A$6:$L$10,7,FALSE),0))</f>
        <v>0</v>
      </c>
      <c r="K252" s="361">
        <f>+IF($I252=K$3,VLOOKUP($H252,Depreciation!$A$6:$L$10,8,FALSE)/2,IF($I252&lt;K$3,VLOOKUP($H252,Depreciation!$A$6:$L$10,8,FALSE),0))</f>
        <v>0</v>
      </c>
      <c r="L252" s="361">
        <f>+IF($I252=L$3,VLOOKUP($H252,Depreciation!$A$6:$L$10,9,FALSE)/2,IF($I252&lt;L$3,VLOOKUP($H252,Depreciation!$A$6:$L$10,9,FALSE),0))</f>
        <v>0</v>
      </c>
      <c r="M252" s="361">
        <f>+IF($I252=M$3,VLOOKUP($H252,Depreciation!$A$6:$L$10,10,FALSE)/2,IF($I252&lt;M$3,VLOOKUP($H252,Depreciation!$A$6:$L$10,10,FALSE),0))</f>
        <v>0</v>
      </c>
      <c r="N252" s="361">
        <f>+IF($I252=N$3,VLOOKUP($H252,Depreciation!$A$6:$L$10,11,FALSE)/2,IF($I252&lt;N$3,VLOOKUP($H252,Depreciation!$A$6:$L$10,11,FALSE),0))</f>
        <v>1.5338181838063448E-2</v>
      </c>
      <c r="O252" s="361">
        <f>+IF($I252=O$3,VLOOKUP($H252,Depreciation!$A$6:$L$10,12,FALSE)/2,IF($I252&lt;O$3,VLOOKUP($H252,Depreciation!$A$6:$L$10,12,FALSE),0))</f>
        <v>3.0676363676126896E-2</v>
      </c>
      <c r="P252" s="362">
        <f t="shared" si="10"/>
        <v>324181.65917696606</v>
      </c>
      <c r="Q252" s="362">
        <f t="shared" si="11"/>
        <v>324181.65917696606</v>
      </c>
      <c r="R252" s="363">
        <f t="shared" si="12"/>
        <v>0</v>
      </c>
    </row>
    <row r="253" spans="1:18">
      <c r="A253" s="359" t="str">
        <f>'Func Future Lines 2015'!A253</f>
        <v>PPS</v>
      </c>
      <c r="B253" s="359" t="str">
        <f>'Func Future Lines 2015'!B253</f>
        <v>215AL</v>
      </c>
      <c r="C253" s="359">
        <f>'Func Future Lines 2015'!C253</f>
        <v>1442</v>
      </c>
      <c r="D253" s="359">
        <f>'Func Future Lines 2015'!D253</f>
        <v>138</v>
      </c>
      <c r="E253" s="359">
        <f>'Func Future Lines 2015'!E253</f>
        <v>0</v>
      </c>
      <c r="F253" s="359" t="str">
        <f>'Func Future Lines 2015'!F253</f>
        <v>Edmonton</v>
      </c>
      <c r="G253" s="359">
        <f>'Func Future Lines 2015'!G253</f>
        <v>1662085.6643356658</v>
      </c>
      <c r="H253" s="359" t="str">
        <f>'Func Future Lines 2015'!H253</f>
        <v>AltaLink</v>
      </c>
      <c r="I253" s="359">
        <f>'Func Future Lines 2015'!I253</f>
        <v>2019</v>
      </c>
      <c r="J253" s="361">
        <f>+IF($I253=J$3,VLOOKUP($H253,Depreciation!$A$6:$L$10,7,FALSE)/2,IF($I253&lt;J$3,VLOOKUP($H253,Depreciation!$A$6:$L$10,7,FALSE),0))</f>
        <v>0</v>
      </c>
      <c r="K253" s="361">
        <f>+IF($I253=K$3,VLOOKUP($H253,Depreciation!$A$6:$L$10,8,FALSE)/2,IF($I253&lt;K$3,VLOOKUP($H253,Depreciation!$A$6:$L$10,8,FALSE),0))</f>
        <v>0</v>
      </c>
      <c r="L253" s="361">
        <f>+IF($I253=L$3,VLOOKUP($H253,Depreciation!$A$6:$L$10,9,FALSE)/2,IF($I253&lt;L$3,VLOOKUP($H253,Depreciation!$A$6:$L$10,9,FALSE),0))</f>
        <v>0</v>
      </c>
      <c r="M253" s="361">
        <f>+IF($I253=M$3,VLOOKUP($H253,Depreciation!$A$6:$L$10,10,FALSE)/2,IF($I253&lt;M$3,VLOOKUP($H253,Depreciation!$A$6:$L$10,10,FALSE),0))</f>
        <v>0</v>
      </c>
      <c r="N253" s="361">
        <f>+IF($I253=N$3,VLOOKUP($H253,Depreciation!$A$6:$L$10,11,FALSE)/2,IF($I253&lt;N$3,VLOOKUP($H253,Depreciation!$A$6:$L$10,11,FALSE),0))</f>
        <v>1.5338181838063448E-2</v>
      </c>
      <c r="O253" s="361">
        <f>+IF($I253=O$3,VLOOKUP($H253,Depreciation!$A$6:$L$10,12,FALSE)/2,IF($I253&lt;O$3,VLOOKUP($H253,Depreciation!$A$6:$L$10,12,FALSE),0))</f>
        <v>3.0676363676126896E-2</v>
      </c>
      <c r="P253" s="362">
        <f t="shared" si="10"/>
        <v>1586387.5918410136</v>
      </c>
      <c r="Q253" s="362">
        <f t="shared" si="11"/>
        <v>0</v>
      </c>
      <c r="R253" s="363">
        <f t="shared" si="12"/>
        <v>1586387.5918410136</v>
      </c>
    </row>
    <row r="254" spans="1:18">
      <c r="A254" s="359" t="str">
        <f>'Func Future Lines 2015'!A254</f>
        <v>PPS</v>
      </c>
      <c r="B254" s="359" t="str">
        <f>'Func Future Lines 2015'!B254</f>
        <v>745L</v>
      </c>
      <c r="C254" s="359">
        <f>'Func Future Lines 2015'!C254</f>
        <v>1460</v>
      </c>
      <c r="D254" s="359">
        <f>'Func Future Lines 2015'!D254</f>
        <v>138</v>
      </c>
      <c r="E254" s="359">
        <f>'Func Future Lines 2015'!E254</f>
        <v>0</v>
      </c>
      <c r="F254" s="359" t="str">
        <f>'Func Future Lines 2015'!F254</f>
        <v>Hinton_Edson</v>
      </c>
      <c r="G254" s="359">
        <f>'Func Future Lines 2015'!G254</f>
        <v>1744293.0518617025</v>
      </c>
      <c r="H254" s="359" t="str">
        <f>'Func Future Lines 2015'!H254</f>
        <v>AltaLink</v>
      </c>
      <c r="I254" s="359">
        <f>'Func Future Lines 2015'!I254</f>
        <v>2019</v>
      </c>
      <c r="J254" s="361">
        <f>+IF($I254=J$3,VLOOKUP($H254,Depreciation!$A$6:$L$10,7,FALSE)/2,IF($I254&lt;J$3,VLOOKUP($H254,Depreciation!$A$6:$L$10,7,FALSE),0))</f>
        <v>0</v>
      </c>
      <c r="K254" s="361">
        <f>+IF($I254=K$3,VLOOKUP($H254,Depreciation!$A$6:$L$10,8,FALSE)/2,IF($I254&lt;K$3,VLOOKUP($H254,Depreciation!$A$6:$L$10,8,FALSE),0))</f>
        <v>0</v>
      </c>
      <c r="L254" s="361">
        <f>+IF($I254=L$3,VLOOKUP($H254,Depreciation!$A$6:$L$10,9,FALSE)/2,IF($I254&lt;L$3,VLOOKUP($H254,Depreciation!$A$6:$L$10,9,FALSE),0))</f>
        <v>0</v>
      </c>
      <c r="M254" s="361">
        <f>+IF($I254=M$3,VLOOKUP($H254,Depreciation!$A$6:$L$10,10,FALSE)/2,IF($I254&lt;M$3,VLOOKUP($H254,Depreciation!$A$6:$L$10,10,FALSE),0))</f>
        <v>0</v>
      </c>
      <c r="N254" s="361">
        <f>+IF($I254=N$3,VLOOKUP($H254,Depreciation!$A$6:$L$10,11,FALSE)/2,IF($I254&lt;N$3,VLOOKUP($H254,Depreciation!$A$6:$L$10,11,FALSE),0))</f>
        <v>1.5338181838063448E-2</v>
      </c>
      <c r="O254" s="361">
        <f>+IF($I254=O$3,VLOOKUP($H254,Depreciation!$A$6:$L$10,12,FALSE)/2,IF($I254&lt;O$3,VLOOKUP($H254,Depreciation!$A$6:$L$10,12,FALSE),0))</f>
        <v>3.0676363676126896E-2</v>
      </c>
      <c r="P254" s="362">
        <f t="shared" si="10"/>
        <v>1664850.9239828598</v>
      </c>
      <c r="Q254" s="362">
        <f t="shared" si="11"/>
        <v>0</v>
      </c>
      <c r="R254" s="363">
        <f t="shared" si="12"/>
        <v>1664850.9239828598</v>
      </c>
    </row>
    <row r="255" spans="1:18">
      <c r="A255" s="359" t="str">
        <f>'Func Future Lines 2015'!A255</f>
        <v>PPS</v>
      </c>
      <c r="B255" s="359" t="str">
        <f>'Func Future Lines 2015'!B255</f>
        <v>Line 9L144</v>
      </c>
      <c r="C255" s="359">
        <f>'Func Future Lines 2015'!C255</f>
        <v>1482</v>
      </c>
      <c r="D255" s="359">
        <f>'Func Future Lines 2015'!D255</f>
        <v>240</v>
      </c>
      <c r="E255" s="359">
        <f>'Func Future Lines 2015'!E255</f>
        <v>0</v>
      </c>
      <c r="F255" s="359">
        <f>'Func Future Lines 2015'!F255</f>
        <v>0</v>
      </c>
      <c r="G255" s="359">
        <f>'Func Future Lines 2015'!G255</f>
        <v>2696306.3908610074</v>
      </c>
      <c r="H255" s="359" t="str">
        <f>'Func Future Lines 2015'!H255</f>
        <v>ATCO</v>
      </c>
      <c r="I255" s="359">
        <f>'Func Future Lines 2015'!I255</f>
        <v>2016</v>
      </c>
      <c r="J255" s="361">
        <f>+IF($I255=J$3,VLOOKUP($H255,Depreciation!$A$6:$L$10,7,FALSE)/2,IF($I255&lt;J$3,VLOOKUP($H255,Depreciation!$A$6:$L$10,7,FALSE),0))</f>
        <v>0</v>
      </c>
      <c r="K255" s="361">
        <f>+IF($I255=K$3,VLOOKUP($H255,Depreciation!$A$6:$L$10,8,FALSE)/2,IF($I255&lt;K$3,VLOOKUP($H255,Depreciation!$A$6:$L$10,8,FALSE),0))</f>
        <v>1.1971929865503333E-2</v>
      </c>
      <c r="L255" s="361">
        <f>+IF($I255=L$3,VLOOKUP($H255,Depreciation!$A$6:$L$10,9,FALSE)/2,IF($I255&lt;L$3,VLOOKUP($H255,Depreciation!$A$6:$L$10,9,FALSE),0))</f>
        <v>2.4002037926855919E-2</v>
      </c>
      <c r="M255" s="361">
        <f>+IF($I255=M$3,VLOOKUP($H255,Depreciation!$A$6:$L$10,10,FALSE)/2,IF($I255&lt;M$3,VLOOKUP($H255,Depreciation!$A$6:$L$10,10,FALSE),0))</f>
        <v>2.4002037926855919E-2</v>
      </c>
      <c r="N255" s="361">
        <f>+IF($I255=N$3,VLOOKUP($H255,Depreciation!$A$6:$L$10,11,FALSE)/2,IF($I255&lt;N$3,VLOOKUP($H255,Depreciation!$A$6:$L$10,11,FALSE),0))</f>
        <v>2.4002037926855919E-2</v>
      </c>
      <c r="O255" s="361">
        <f>+IF($I255=O$3,VLOOKUP($H255,Depreciation!$A$6:$L$10,12,FALSE)/2,IF($I255&lt;O$3,VLOOKUP($H255,Depreciation!$A$6:$L$10,12,FALSE),0))</f>
        <v>2.4002037926855919E-2</v>
      </c>
      <c r="P255" s="362">
        <f t="shared" si="10"/>
        <v>2417320.1246138434</v>
      </c>
      <c r="Q255" s="362">
        <f t="shared" si="11"/>
        <v>2417320.1246138434</v>
      </c>
      <c r="R255" s="363">
        <f t="shared" si="12"/>
        <v>0</v>
      </c>
    </row>
    <row r="256" spans="1:18">
      <c r="A256" s="359" t="str">
        <f>'Func Future Lines 2015'!A256</f>
        <v>PPS</v>
      </c>
      <c r="B256" s="359" t="str">
        <f>'Func Future Lines 2015'!B256</f>
        <v>Line 9L57</v>
      </c>
      <c r="C256" s="359">
        <f>'Func Future Lines 2015'!C256</f>
        <v>1482</v>
      </c>
      <c r="D256" s="359">
        <f>'Func Future Lines 2015'!D256</f>
        <v>240</v>
      </c>
      <c r="E256" s="359">
        <f>'Func Future Lines 2015'!E256</f>
        <v>0</v>
      </c>
      <c r="F256" s="359">
        <f>'Func Future Lines 2015'!F256</f>
        <v>0</v>
      </c>
      <c r="G256" s="359">
        <f>'Func Future Lines 2015'!G256</f>
        <v>1212513.1677151551</v>
      </c>
      <c r="H256" s="359" t="str">
        <f>'Func Future Lines 2015'!H256</f>
        <v>ATCO</v>
      </c>
      <c r="I256" s="359">
        <f>'Func Future Lines 2015'!I256</f>
        <v>2016</v>
      </c>
      <c r="J256" s="361">
        <f>+IF($I256=J$3,VLOOKUP($H256,Depreciation!$A$6:$L$10,7,FALSE)/2,IF($I256&lt;J$3,VLOOKUP($H256,Depreciation!$A$6:$L$10,7,FALSE),0))</f>
        <v>0</v>
      </c>
      <c r="K256" s="361">
        <f>+IF($I256=K$3,VLOOKUP($H256,Depreciation!$A$6:$L$10,8,FALSE)/2,IF($I256&lt;K$3,VLOOKUP($H256,Depreciation!$A$6:$L$10,8,FALSE),0))</f>
        <v>1.1971929865503333E-2</v>
      </c>
      <c r="L256" s="361">
        <f>+IF($I256=L$3,VLOOKUP($H256,Depreciation!$A$6:$L$10,9,FALSE)/2,IF($I256&lt;L$3,VLOOKUP($H256,Depreciation!$A$6:$L$10,9,FALSE),0))</f>
        <v>2.4002037926855919E-2</v>
      </c>
      <c r="M256" s="361">
        <f>+IF($I256=M$3,VLOOKUP($H256,Depreciation!$A$6:$L$10,10,FALSE)/2,IF($I256&lt;M$3,VLOOKUP($H256,Depreciation!$A$6:$L$10,10,FALSE),0))</f>
        <v>2.4002037926855919E-2</v>
      </c>
      <c r="N256" s="361">
        <f>+IF($I256=N$3,VLOOKUP($H256,Depreciation!$A$6:$L$10,11,FALSE)/2,IF($I256&lt;N$3,VLOOKUP($H256,Depreciation!$A$6:$L$10,11,FALSE),0))</f>
        <v>2.4002037926855919E-2</v>
      </c>
      <c r="O256" s="361">
        <f>+IF($I256=O$3,VLOOKUP($H256,Depreciation!$A$6:$L$10,12,FALSE)/2,IF($I256&lt;O$3,VLOOKUP($H256,Depreciation!$A$6:$L$10,12,FALSE),0))</f>
        <v>2.4002037926855919E-2</v>
      </c>
      <c r="P256" s="362">
        <f t="shared" si="10"/>
        <v>1087054.6802884531</v>
      </c>
      <c r="Q256" s="362">
        <f t="shared" si="11"/>
        <v>1087054.6802884531</v>
      </c>
      <c r="R256" s="363">
        <f t="shared" si="12"/>
        <v>0</v>
      </c>
    </row>
    <row r="257" spans="1:18">
      <c r="A257" s="359" t="str">
        <f>'Func Future Lines 2015'!A257</f>
        <v>PPS</v>
      </c>
      <c r="B257" s="359" t="str">
        <f>'Func Future Lines 2015'!B257</f>
        <v xml:space="preserve">v180 - Retermination of 0.025km138kV 719L </v>
      </c>
      <c r="C257" s="359">
        <f>'Func Future Lines 2015'!C257</f>
        <v>1494</v>
      </c>
      <c r="D257" s="359">
        <f>'Func Future Lines 2015'!D257</f>
        <v>138</v>
      </c>
      <c r="E257" s="359">
        <f>'Func Future Lines 2015'!E257</f>
        <v>0</v>
      </c>
      <c r="F257" s="359" t="str">
        <f>'Func Future Lines 2015'!F257</f>
        <v>Caroline</v>
      </c>
      <c r="G257" s="359">
        <f>'Func Future Lines 2015'!G257</f>
        <v>51687.593104915919</v>
      </c>
      <c r="H257" s="359" t="str">
        <f>'Func Future Lines 2015'!H257</f>
        <v>AltaLink</v>
      </c>
      <c r="I257" s="359">
        <f>'Func Future Lines 2015'!I257</f>
        <v>2015</v>
      </c>
      <c r="J257" s="361">
        <f>+IF($I257=J$3,VLOOKUP($H257,Depreciation!$A$6:$L$10,7,FALSE)/2,IF($I257&lt;J$3,VLOOKUP($H257,Depreciation!$A$6:$L$10,7,FALSE),0))</f>
        <v>1.595020804044691E-2</v>
      </c>
      <c r="K257" s="361">
        <f>+IF($I257=K$3,VLOOKUP($H257,Depreciation!$A$6:$L$10,8,FALSE)/2,IF($I257&lt;K$3,VLOOKUP($H257,Depreciation!$A$6:$L$10,8,FALSE),0))</f>
        <v>3.0676363676126896E-2</v>
      </c>
      <c r="L257" s="361">
        <f>+IF($I257=L$3,VLOOKUP($H257,Depreciation!$A$6:$L$10,9,FALSE)/2,IF($I257&lt;L$3,VLOOKUP($H257,Depreciation!$A$6:$L$10,9,FALSE),0))</f>
        <v>3.0676363676126896E-2</v>
      </c>
      <c r="M257" s="361">
        <f>+IF($I257=M$3,VLOOKUP($H257,Depreciation!$A$6:$L$10,10,FALSE)/2,IF($I257&lt;M$3,VLOOKUP($H257,Depreciation!$A$6:$L$10,10,FALSE),0))</f>
        <v>3.0676363676126896E-2</v>
      </c>
      <c r="N257" s="361">
        <f>+IF($I257=N$3,VLOOKUP($H257,Depreciation!$A$6:$L$10,11,FALSE)/2,IF($I257&lt;N$3,VLOOKUP($H257,Depreciation!$A$6:$L$10,11,FALSE),0))</f>
        <v>3.0676363676126896E-2</v>
      </c>
      <c r="O257" s="361">
        <f>+IF($I257=O$3,VLOOKUP($H257,Depreciation!$A$6:$L$10,12,FALSE)/2,IF($I257&lt;O$3,VLOOKUP($H257,Depreciation!$A$6:$L$10,12,FALSE),0))</f>
        <v>3.0676363676126896E-2</v>
      </c>
      <c r="P257" s="362">
        <f t="shared" si="10"/>
        <v>43525.863658196213</v>
      </c>
      <c r="Q257" s="362">
        <f t="shared" si="11"/>
        <v>0</v>
      </c>
      <c r="R257" s="363">
        <f t="shared" si="12"/>
        <v>43525.863658196213</v>
      </c>
    </row>
    <row r="258" spans="1:18">
      <c r="A258" s="359" t="str">
        <f>'Func Future Lines 2015'!A258</f>
        <v>PPS</v>
      </c>
      <c r="B258" s="359" t="str">
        <f>'Func Future Lines 2015'!B258</f>
        <v>line upgrade</v>
      </c>
      <c r="C258" s="359">
        <f>'Func Future Lines 2015'!C258</f>
        <v>1503</v>
      </c>
      <c r="D258" s="359">
        <f>'Func Future Lines 2015'!D258</f>
        <v>25</v>
      </c>
      <c r="E258" s="359">
        <f>'Func Future Lines 2015'!E258</f>
        <v>0</v>
      </c>
      <c r="F258" s="359" t="str">
        <f>'Func Future Lines 2015'!F258</f>
        <v>Fort_Saskatchewan</v>
      </c>
      <c r="G258" s="359">
        <f>'Func Future Lines 2015'!G258</f>
        <v>391589.7435897438</v>
      </c>
      <c r="H258" s="359" t="str">
        <f>'Func Future Lines 2015'!H258</f>
        <v>AltaLink</v>
      </c>
      <c r="I258" s="359">
        <f>'Func Future Lines 2015'!I258</f>
        <v>2016</v>
      </c>
      <c r="J258" s="361">
        <f>+IF($I258=J$3,VLOOKUP($H258,Depreciation!$A$6:$L$10,7,FALSE)/2,IF($I258&lt;J$3,VLOOKUP($H258,Depreciation!$A$6:$L$10,7,FALSE),0))</f>
        <v>0</v>
      </c>
      <c r="K258" s="361">
        <f>+IF($I258=K$3,VLOOKUP($H258,Depreciation!$A$6:$L$10,8,FALSE)/2,IF($I258&lt;K$3,VLOOKUP($H258,Depreciation!$A$6:$L$10,8,FALSE),0))</f>
        <v>1.5338181838063448E-2</v>
      </c>
      <c r="L258" s="361">
        <f>+IF($I258=L$3,VLOOKUP($H258,Depreciation!$A$6:$L$10,9,FALSE)/2,IF($I258&lt;L$3,VLOOKUP($H258,Depreciation!$A$6:$L$10,9,FALSE),0))</f>
        <v>3.0676363676126896E-2</v>
      </c>
      <c r="M258" s="361">
        <f>+IF($I258=M$3,VLOOKUP($H258,Depreciation!$A$6:$L$10,10,FALSE)/2,IF($I258&lt;M$3,VLOOKUP($H258,Depreciation!$A$6:$L$10,10,FALSE),0))</f>
        <v>3.0676363676126896E-2</v>
      </c>
      <c r="N258" s="361">
        <f>+IF($I258=N$3,VLOOKUP($H258,Depreciation!$A$6:$L$10,11,FALSE)/2,IF($I258&lt;N$3,VLOOKUP($H258,Depreciation!$A$6:$L$10,11,FALSE),0))</f>
        <v>3.0676363676126896E-2</v>
      </c>
      <c r="O258" s="361">
        <f>+IF($I258=O$3,VLOOKUP($H258,Depreciation!$A$6:$L$10,12,FALSE)/2,IF($I258&lt;O$3,VLOOKUP($H258,Depreciation!$A$6:$L$10,12,FALSE),0))</f>
        <v>3.0676363676126896E-2</v>
      </c>
      <c r="P258" s="362">
        <f t="shared" si="10"/>
        <v>340403.18705835985</v>
      </c>
      <c r="Q258" s="362">
        <f t="shared" si="11"/>
        <v>0</v>
      </c>
      <c r="R258" s="363">
        <f t="shared" si="12"/>
        <v>0</v>
      </c>
    </row>
    <row r="259" spans="1:18">
      <c r="A259" s="359" t="str">
        <f>'Func Future Lines 2015'!A259</f>
        <v>PPS</v>
      </c>
      <c r="B259" s="359" t="str">
        <f>'Func Future Lines 2015'!B259</f>
        <v>685L/854L 60m in/out line</v>
      </c>
      <c r="C259" s="359">
        <f>'Func Future Lines 2015'!C259</f>
        <v>1515</v>
      </c>
      <c r="D259" s="359">
        <f>'Func Future Lines 2015'!D259</f>
        <v>138</v>
      </c>
      <c r="E259" s="359">
        <f>'Func Future Lines 2015'!E259</f>
        <v>0</v>
      </c>
      <c r="F259" s="359" t="str">
        <f>'Func Future Lines 2015'!F259</f>
        <v>Fox_Creek</v>
      </c>
      <c r="G259" s="359">
        <f>'Func Future Lines 2015'!G259</f>
        <v>1401330.1096067054</v>
      </c>
      <c r="H259" s="359" t="str">
        <f>'Func Future Lines 2015'!H259</f>
        <v>AltaLink</v>
      </c>
      <c r="I259" s="359">
        <f>'Func Future Lines 2015'!I259</f>
        <v>2016</v>
      </c>
      <c r="J259" s="361">
        <f>+IF($I259=J$3,VLOOKUP($H259,Depreciation!$A$6:$L$10,7,FALSE)/2,IF($I259&lt;J$3,VLOOKUP($H259,Depreciation!$A$6:$L$10,7,FALSE),0))</f>
        <v>0</v>
      </c>
      <c r="K259" s="361">
        <f>+IF($I259=K$3,VLOOKUP($H259,Depreciation!$A$6:$L$10,8,FALSE)/2,IF($I259&lt;K$3,VLOOKUP($H259,Depreciation!$A$6:$L$10,8,FALSE),0))</f>
        <v>1.5338181838063448E-2</v>
      </c>
      <c r="L259" s="361">
        <f>+IF($I259=L$3,VLOOKUP($H259,Depreciation!$A$6:$L$10,9,FALSE)/2,IF($I259&lt;L$3,VLOOKUP($H259,Depreciation!$A$6:$L$10,9,FALSE),0))</f>
        <v>3.0676363676126896E-2</v>
      </c>
      <c r="M259" s="361">
        <f>+IF($I259=M$3,VLOOKUP($H259,Depreciation!$A$6:$L$10,10,FALSE)/2,IF($I259&lt;M$3,VLOOKUP($H259,Depreciation!$A$6:$L$10,10,FALSE),0))</f>
        <v>3.0676363676126896E-2</v>
      </c>
      <c r="N259" s="361">
        <f>+IF($I259=N$3,VLOOKUP($H259,Depreciation!$A$6:$L$10,11,FALSE)/2,IF($I259&lt;N$3,VLOOKUP($H259,Depreciation!$A$6:$L$10,11,FALSE),0))</f>
        <v>3.0676363676126896E-2</v>
      </c>
      <c r="O259" s="361">
        <f>+IF($I259=O$3,VLOOKUP($H259,Depreciation!$A$6:$L$10,12,FALSE)/2,IF($I259&lt;O$3,VLOOKUP($H259,Depreciation!$A$6:$L$10,12,FALSE),0))</f>
        <v>3.0676363676126896E-2</v>
      </c>
      <c r="P259" s="362">
        <f t="shared" si="10"/>
        <v>1218155.5907417205</v>
      </c>
      <c r="Q259" s="362">
        <f t="shared" si="11"/>
        <v>0</v>
      </c>
      <c r="R259" s="363">
        <f t="shared" si="12"/>
        <v>1218155.5907417205</v>
      </c>
    </row>
    <row r="260" spans="1:18">
      <c r="A260" s="359" t="str">
        <f>'Func Future Lines 2015'!A260</f>
        <v>PPS</v>
      </c>
      <c r="B260" s="359" t="str">
        <f>'Func Future Lines 2015'!B260</f>
        <v>949L</v>
      </c>
      <c r="C260" s="359">
        <f>'Func Future Lines 2015'!C260</f>
        <v>1533</v>
      </c>
      <c r="D260" s="359">
        <f>'Func Future Lines 2015'!D260</f>
        <v>240</v>
      </c>
      <c r="E260" s="359">
        <f>'Func Future Lines 2015'!E260</f>
        <v>0</v>
      </c>
      <c r="F260" s="359">
        <f>'Func Future Lines 2015'!F260</f>
        <v>0</v>
      </c>
      <c r="G260" s="360">
        <f>'Func Future Lines 2015'!G260</f>
        <v>9435770.9999999963</v>
      </c>
      <c r="H260" s="359" t="str">
        <f>'Func Future Lines 2015'!H260</f>
        <v>AltaLink</v>
      </c>
      <c r="I260" s="359">
        <f>'Func Future Lines 2015'!I260</f>
        <v>2017</v>
      </c>
      <c r="J260" s="361">
        <f>+IF($I260=J$3,VLOOKUP($H260,Depreciation!$A$6:$L$10,7,FALSE)/2,IF($I260&lt;J$3,VLOOKUP($H260,Depreciation!$A$6:$L$10,7,FALSE),0))</f>
        <v>0</v>
      </c>
      <c r="K260" s="361">
        <f>+IF($I260=K$3,VLOOKUP($H260,Depreciation!$A$6:$L$10,8,FALSE)/2,IF($I260&lt;K$3,VLOOKUP($H260,Depreciation!$A$6:$L$10,8,FALSE),0))</f>
        <v>0</v>
      </c>
      <c r="L260" s="361">
        <f>+IF($I260=L$3,VLOOKUP($H260,Depreciation!$A$6:$L$10,9,FALSE)/2,IF($I260&lt;L$3,VLOOKUP($H260,Depreciation!$A$6:$L$10,9,FALSE),0))</f>
        <v>1.5338181838063448E-2</v>
      </c>
      <c r="M260" s="361">
        <f>+IF($I260=M$3,VLOOKUP($H260,Depreciation!$A$6:$L$10,10,FALSE)/2,IF($I260&lt;M$3,VLOOKUP($H260,Depreciation!$A$6:$L$10,10,FALSE),0))</f>
        <v>3.0676363676126896E-2</v>
      </c>
      <c r="N260" s="361">
        <f>+IF($I260=N$3,VLOOKUP($H260,Depreciation!$A$6:$L$10,11,FALSE)/2,IF($I260&lt;N$3,VLOOKUP($H260,Depreciation!$A$6:$L$10,11,FALSE),0))</f>
        <v>3.0676363676126896E-2</v>
      </c>
      <c r="O260" s="361">
        <f>+IF($I260=O$3,VLOOKUP($H260,Depreciation!$A$6:$L$10,12,FALSE)/2,IF($I260&lt;O$3,VLOOKUP($H260,Depreciation!$A$6:$L$10,12,FALSE),0))</f>
        <v>3.0676363676126896E-2</v>
      </c>
      <c r="P260" s="362">
        <f t="shared" si="10"/>
        <v>8461958.6471532565</v>
      </c>
      <c r="Q260" s="362">
        <f t="shared" si="11"/>
        <v>8461958.6471532565</v>
      </c>
      <c r="R260" s="363">
        <f t="shared" si="12"/>
        <v>0</v>
      </c>
    </row>
    <row r="261" spans="1:18">
      <c r="A261" s="359" t="str">
        <f>'Func Future Lines 2015'!A261</f>
        <v>PPS</v>
      </c>
      <c r="B261" s="359" t="str">
        <f>'Func Future Lines 2015'!B261</f>
        <v>949L</v>
      </c>
      <c r="C261" s="359">
        <f>'Func Future Lines 2015'!C261</f>
        <v>1533</v>
      </c>
      <c r="D261" s="359">
        <f>'Func Future Lines 2015'!D261</f>
        <v>240</v>
      </c>
      <c r="E261" s="359">
        <f>'Func Future Lines 2015'!E261</f>
        <v>0</v>
      </c>
      <c r="F261" s="359">
        <f>'Func Future Lines 2015'!F261</f>
        <v>0</v>
      </c>
      <c r="G261" s="360">
        <f>'Func Future Lines 2015'!G261</f>
        <v>130006.54878847413</v>
      </c>
      <c r="H261" s="359" t="str">
        <f>'Func Future Lines 2015'!H261</f>
        <v>AltaLink</v>
      </c>
      <c r="I261" s="359">
        <f>'Func Future Lines 2015'!I261</f>
        <v>2017</v>
      </c>
      <c r="J261" s="361">
        <f>+IF($I261=J$3,VLOOKUP($H261,Depreciation!$A$6:$L$10,7,FALSE)/2,IF($I261&lt;J$3,VLOOKUP($H261,Depreciation!$A$6:$L$10,7,FALSE),0))</f>
        <v>0</v>
      </c>
      <c r="K261" s="361">
        <f>+IF($I261=K$3,VLOOKUP($H261,Depreciation!$A$6:$L$10,8,FALSE)/2,IF($I261&lt;K$3,VLOOKUP($H261,Depreciation!$A$6:$L$10,8,FALSE),0))</f>
        <v>0</v>
      </c>
      <c r="L261" s="361">
        <f>+IF($I261=L$3,VLOOKUP($H261,Depreciation!$A$6:$L$10,9,FALSE)/2,IF($I261&lt;L$3,VLOOKUP($H261,Depreciation!$A$6:$L$10,9,FALSE),0))</f>
        <v>1.5338181838063448E-2</v>
      </c>
      <c r="M261" s="361">
        <f>+IF($I261=M$3,VLOOKUP($H261,Depreciation!$A$6:$L$10,10,FALSE)/2,IF($I261&lt;M$3,VLOOKUP($H261,Depreciation!$A$6:$L$10,10,FALSE),0))</f>
        <v>3.0676363676126896E-2</v>
      </c>
      <c r="N261" s="361">
        <f>+IF($I261=N$3,VLOOKUP($H261,Depreciation!$A$6:$L$10,11,FALSE)/2,IF($I261&lt;N$3,VLOOKUP($H261,Depreciation!$A$6:$L$10,11,FALSE),0))</f>
        <v>3.0676363676126896E-2</v>
      </c>
      <c r="O261" s="361">
        <f>+IF($I261=O$3,VLOOKUP($H261,Depreciation!$A$6:$L$10,12,FALSE)/2,IF($I261&lt;O$3,VLOOKUP($H261,Depreciation!$A$6:$L$10,12,FALSE),0))</f>
        <v>3.0676363676126896E-2</v>
      </c>
      <c r="P261" s="362">
        <f t="shared" ref="P261:P277" si="13">IF(I261&lt;=2020,G261*(1-J261)*(1-K261)*(1-L261)*(1-M261)*(1-N261)*(1-O261),0)</f>
        <v>116589.31100671909</v>
      </c>
      <c r="Q261" s="362">
        <f t="shared" ref="Q261:Q277" si="14">IF(D261&gt;=240,P261,0)</f>
        <v>116589.31100671909</v>
      </c>
      <c r="R261" s="363">
        <f t="shared" ref="R261:R277" si="15">IF(AND(D261&gt;25,D261&lt;240),P261,0)</f>
        <v>0</v>
      </c>
    </row>
    <row r="262" spans="1:18">
      <c r="A262" s="359" t="str">
        <f>'Func Future Lines 2015'!A262</f>
        <v>PPS</v>
      </c>
      <c r="B262" s="359" t="str">
        <f>'Func Future Lines 2015'!B262</f>
        <v>769BL</v>
      </c>
      <c r="C262" s="359">
        <f>'Func Future Lines 2015'!C262</f>
        <v>1558</v>
      </c>
      <c r="D262" s="359">
        <f>'Func Future Lines 2015'!D262</f>
        <v>138</v>
      </c>
      <c r="E262" s="359">
        <f>'Func Future Lines 2015'!E262</f>
        <v>0</v>
      </c>
      <c r="F262" s="359" t="str">
        <f>'Func Future Lines 2015'!F262</f>
        <v>Wainwright</v>
      </c>
      <c r="G262" s="360">
        <f>'Func Future Lines 2015'!G262</f>
        <v>3292161.5302869286</v>
      </c>
      <c r="H262" s="359" t="str">
        <f>'Func Future Lines 2015'!H262</f>
        <v>AltaLink</v>
      </c>
      <c r="I262" s="359">
        <f>'Func Future Lines 2015'!I262</f>
        <v>2018</v>
      </c>
      <c r="J262" s="361">
        <f>+IF($I262=J$3,VLOOKUP($H262,Depreciation!$A$6:$L$10,7,FALSE)/2,IF($I262&lt;J$3,VLOOKUP($H262,Depreciation!$A$6:$L$10,7,FALSE),0))</f>
        <v>0</v>
      </c>
      <c r="K262" s="361">
        <f>+IF($I262=K$3,VLOOKUP($H262,Depreciation!$A$6:$L$10,8,FALSE)/2,IF($I262&lt;K$3,VLOOKUP($H262,Depreciation!$A$6:$L$10,8,FALSE),0))</f>
        <v>0</v>
      </c>
      <c r="L262" s="361">
        <f>+IF($I262=L$3,VLOOKUP($H262,Depreciation!$A$6:$L$10,9,FALSE)/2,IF($I262&lt;L$3,VLOOKUP($H262,Depreciation!$A$6:$L$10,9,FALSE),0))</f>
        <v>0</v>
      </c>
      <c r="M262" s="361">
        <f>+IF($I262=M$3,VLOOKUP($H262,Depreciation!$A$6:$L$10,10,FALSE)/2,IF($I262&lt;M$3,VLOOKUP($H262,Depreciation!$A$6:$L$10,10,FALSE),0))</f>
        <v>1.5338181838063448E-2</v>
      </c>
      <c r="N262" s="361">
        <f>+IF($I262=N$3,VLOOKUP($H262,Depreciation!$A$6:$L$10,11,FALSE)/2,IF($I262&lt;N$3,VLOOKUP($H262,Depreciation!$A$6:$L$10,11,FALSE),0))</f>
        <v>3.0676363676126896E-2</v>
      </c>
      <c r="O262" s="361">
        <f>+IF($I262=O$3,VLOOKUP($H262,Depreciation!$A$6:$L$10,12,FALSE)/2,IF($I262&lt;O$3,VLOOKUP($H262,Depreciation!$A$6:$L$10,12,FALSE),0))</f>
        <v>3.0676363676126896E-2</v>
      </c>
      <c r="P262" s="362">
        <f t="shared" si="13"/>
        <v>3045831.2575097601</v>
      </c>
      <c r="Q262" s="362">
        <f t="shared" si="14"/>
        <v>0</v>
      </c>
      <c r="R262" s="363">
        <f t="shared" si="15"/>
        <v>3045831.2575097601</v>
      </c>
    </row>
    <row r="263" spans="1:18">
      <c r="A263" s="359" t="str">
        <f>'Func Future Lines 2015'!A263</f>
        <v>PPS</v>
      </c>
      <c r="B263" s="359" t="str">
        <f>'Func Future Lines 2015'!B263</f>
        <v>769L</v>
      </c>
      <c r="C263" s="359">
        <f>'Func Future Lines 2015'!C263</f>
        <v>1558</v>
      </c>
      <c r="D263" s="359">
        <f>'Func Future Lines 2015'!D263</f>
        <v>138</v>
      </c>
      <c r="E263" s="359">
        <f>'Func Future Lines 2015'!E263</f>
        <v>0</v>
      </c>
      <c r="F263" s="359" t="str">
        <f>'Func Future Lines 2015'!F263</f>
        <v>Wainwright</v>
      </c>
      <c r="G263" s="360">
        <f>'Func Future Lines 2015'!G263</f>
        <v>96108.749557208634</v>
      </c>
      <c r="H263" s="359" t="str">
        <f>'Func Future Lines 2015'!H263</f>
        <v>AltaLink</v>
      </c>
      <c r="I263" s="359">
        <f>'Func Future Lines 2015'!I263</f>
        <v>2018</v>
      </c>
      <c r="J263" s="361">
        <f>+IF($I263=J$3,VLOOKUP($H263,Depreciation!$A$6:$L$10,7,FALSE)/2,IF($I263&lt;J$3,VLOOKUP($H263,Depreciation!$A$6:$L$10,7,FALSE),0))</f>
        <v>0</v>
      </c>
      <c r="K263" s="361">
        <f>+IF($I263=K$3,VLOOKUP($H263,Depreciation!$A$6:$L$10,8,FALSE)/2,IF($I263&lt;K$3,VLOOKUP($H263,Depreciation!$A$6:$L$10,8,FALSE),0))</f>
        <v>0</v>
      </c>
      <c r="L263" s="361">
        <f>+IF($I263=L$3,VLOOKUP($H263,Depreciation!$A$6:$L$10,9,FALSE)/2,IF($I263&lt;L$3,VLOOKUP($H263,Depreciation!$A$6:$L$10,9,FALSE),0))</f>
        <v>0</v>
      </c>
      <c r="M263" s="361">
        <f>+IF($I263=M$3,VLOOKUP($H263,Depreciation!$A$6:$L$10,10,FALSE)/2,IF($I263&lt;M$3,VLOOKUP($H263,Depreciation!$A$6:$L$10,10,FALSE),0))</f>
        <v>1.5338181838063448E-2</v>
      </c>
      <c r="N263" s="361">
        <f>+IF($I263=N$3,VLOOKUP($H263,Depreciation!$A$6:$L$10,11,FALSE)/2,IF($I263&lt;N$3,VLOOKUP($H263,Depreciation!$A$6:$L$10,11,FALSE),0))</f>
        <v>3.0676363676126896E-2</v>
      </c>
      <c r="O263" s="361">
        <f>+IF($I263=O$3,VLOOKUP($H263,Depreciation!$A$6:$L$10,12,FALSE)/2,IF($I263&lt;O$3,VLOOKUP($H263,Depreciation!$A$6:$L$10,12,FALSE),0))</f>
        <v>3.0676363676126896E-2</v>
      </c>
      <c r="P263" s="362">
        <f t="shared" si="13"/>
        <v>88917.579173586404</v>
      </c>
      <c r="Q263" s="362">
        <f t="shared" si="14"/>
        <v>0</v>
      </c>
      <c r="R263" s="363">
        <f t="shared" si="15"/>
        <v>88917.579173586404</v>
      </c>
    </row>
    <row r="264" spans="1:18">
      <c r="A264" s="359" t="str">
        <f>'Func Future Lines 2015'!A264</f>
        <v>PPS</v>
      </c>
      <c r="B264" s="359" t="str">
        <f>'Func Future Lines 2015'!B264</f>
        <v>7L05</v>
      </c>
      <c r="C264" s="359">
        <f>'Func Future Lines 2015'!C264</f>
        <v>1570</v>
      </c>
      <c r="D264" s="359">
        <f>'Func Future Lines 2015'!D264</f>
        <v>138</v>
      </c>
      <c r="E264" s="359">
        <f>'Func Future Lines 2015'!E264</f>
        <v>0</v>
      </c>
      <c r="F264" s="359" t="str">
        <f>'Func Future Lines 2015'!F264</f>
        <v>Fort McMurray</v>
      </c>
      <c r="G264" s="360">
        <f>'Func Future Lines 2015'!G264</f>
        <v>304434.26965509646</v>
      </c>
      <c r="H264" s="359" t="str">
        <f>'Func Future Lines 2015'!H264</f>
        <v>ATCO</v>
      </c>
      <c r="I264" s="359">
        <f>'Func Future Lines 2015'!I264</f>
        <v>2017</v>
      </c>
      <c r="J264" s="361">
        <f>+IF($I264=J$3,VLOOKUP($H264,Depreciation!$A$6:$L$10,7,FALSE)/2,IF($I264&lt;J$3,VLOOKUP($H264,Depreciation!$A$6:$L$10,7,FALSE),0))</f>
        <v>0</v>
      </c>
      <c r="K264" s="361">
        <f>+IF($I264=K$3,VLOOKUP($H264,Depreciation!$A$6:$L$10,8,FALSE)/2,IF($I264&lt;K$3,VLOOKUP($H264,Depreciation!$A$6:$L$10,8,FALSE),0))</f>
        <v>0</v>
      </c>
      <c r="L264" s="361">
        <f>+IF($I264=L$3,VLOOKUP($H264,Depreciation!$A$6:$L$10,9,FALSE)/2,IF($I264&lt;L$3,VLOOKUP($H264,Depreciation!$A$6:$L$10,9,FALSE),0))</f>
        <v>1.2001018963427959E-2</v>
      </c>
      <c r="M264" s="361">
        <f>+IF($I264=M$3,VLOOKUP($H264,Depreciation!$A$6:$L$10,10,FALSE)/2,IF($I264&lt;M$3,VLOOKUP($H264,Depreciation!$A$6:$L$10,10,FALSE),0))</f>
        <v>2.4002037926855919E-2</v>
      </c>
      <c r="N264" s="361">
        <f>+IF($I264=N$3,VLOOKUP($H264,Depreciation!$A$6:$L$10,11,FALSE)/2,IF($I264&lt;N$3,VLOOKUP($H264,Depreciation!$A$6:$L$10,11,FALSE),0))</f>
        <v>2.4002037926855919E-2</v>
      </c>
      <c r="O264" s="361">
        <f>+IF($I264=O$3,VLOOKUP($H264,Depreciation!$A$6:$L$10,12,FALSE)/2,IF($I264&lt;O$3,VLOOKUP($H264,Depreciation!$A$6:$L$10,12,FALSE),0))</f>
        <v>2.4002037926855919E-2</v>
      </c>
      <c r="P264" s="362">
        <f t="shared" si="13"/>
        <v>279638.37378495501</v>
      </c>
      <c r="Q264" s="362">
        <f t="shared" si="14"/>
        <v>0</v>
      </c>
      <c r="R264" s="363">
        <f t="shared" si="15"/>
        <v>279638.37378495501</v>
      </c>
    </row>
    <row r="265" spans="1:18">
      <c r="A265" s="359" t="str">
        <f>'Func Future Lines 2015'!A265</f>
        <v>PPS</v>
      </c>
      <c r="B265" s="359" t="str">
        <f>'Func Future Lines 2015'!B265</f>
        <v>704L</v>
      </c>
      <c r="C265" s="359">
        <f>'Func Future Lines 2015'!C265</f>
        <v>1594</v>
      </c>
      <c r="D265" s="359">
        <f>'Func Future Lines 2015'!D265</f>
        <v>138</v>
      </c>
      <c r="E265" s="359">
        <f>'Func Future Lines 2015'!E265</f>
        <v>0</v>
      </c>
      <c r="F265" s="359">
        <f>'Func Future Lines 2015'!F265</f>
        <v>0</v>
      </c>
      <c r="G265" s="360">
        <f>'Func Future Lines 2015'!G265</f>
        <v>14086571.090359084</v>
      </c>
      <c r="H265" s="359" t="str">
        <f>'Func Future Lines 2015'!H265</f>
        <v>AltaLink</v>
      </c>
      <c r="I265" s="359">
        <f>'Func Future Lines 2015'!I265</f>
        <v>2018</v>
      </c>
      <c r="J265" s="361">
        <f>+IF($I265=J$3,VLOOKUP($H265,Depreciation!$A$6:$L$10,7,FALSE)/2,IF($I265&lt;J$3,VLOOKUP($H265,Depreciation!$A$6:$L$10,7,FALSE),0))</f>
        <v>0</v>
      </c>
      <c r="K265" s="361">
        <f>+IF($I265=K$3,VLOOKUP($H265,Depreciation!$A$6:$L$10,8,FALSE)/2,IF($I265&lt;K$3,VLOOKUP($H265,Depreciation!$A$6:$L$10,8,FALSE),0))</f>
        <v>0</v>
      </c>
      <c r="L265" s="361">
        <f>+IF($I265=L$3,VLOOKUP($H265,Depreciation!$A$6:$L$10,9,FALSE)/2,IF($I265&lt;L$3,VLOOKUP($H265,Depreciation!$A$6:$L$10,9,FALSE),0))</f>
        <v>0</v>
      </c>
      <c r="M265" s="361">
        <f>+IF($I265=M$3,VLOOKUP($H265,Depreciation!$A$6:$L$10,10,FALSE)/2,IF($I265&lt;M$3,VLOOKUP($H265,Depreciation!$A$6:$L$10,10,FALSE),0))</f>
        <v>1.5338181838063448E-2</v>
      </c>
      <c r="N265" s="361">
        <f>+IF($I265=N$3,VLOOKUP($H265,Depreciation!$A$6:$L$10,11,FALSE)/2,IF($I265&lt;N$3,VLOOKUP($H265,Depreciation!$A$6:$L$10,11,FALSE),0))</f>
        <v>3.0676363676126896E-2</v>
      </c>
      <c r="O265" s="361">
        <f>+IF($I265=O$3,VLOOKUP($H265,Depreciation!$A$6:$L$10,12,FALSE)/2,IF($I265&lt;O$3,VLOOKUP($H265,Depreciation!$A$6:$L$10,12,FALSE),0))</f>
        <v>3.0676363676126896E-2</v>
      </c>
      <c r="P265" s="362">
        <f t="shared" si="13"/>
        <v>13032567.856538201</v>
      </c>
      <c r="Q265" s="362">
        <f t="shared" si="14"/>
        <v>0</v>
      </c>
      <c r="R265" s="363">
        <f t="shared" si="15"/>
        <v>13032567.856538201</v>
      </c>
    </row>
    <row r="266" spans="1:18">
      <c r="A266" s="359" t="str">
        <f>'Func Future Lines 2015'!A266</f>
        <v>PPS</v>
      </c>
      <c r="B266" s="359" t="str">
        <f>'Func Future Lines 2015'!B266</f>
        <v>7LA10</v>
      </c>
      <c r="C266" s="359">
        <f>'Func Future Lines 2015'!C266</f>
        <v>1618</v>
      </c>
      <c r="D266" s="359">
        <f>'Func Future Lines 2015'!D266</f>
        <v>144</v>
      </c>
      <c r="E266" s="359">
        <f>'Func Future Lines 2015'!E266</f>
        <v>0</v>
      </c>
      <c r="F266" s="359">
        <f>'Func Future Lines 2015'!F266</f>
        <v>0</v>
      </c>
      <c r="G266" s="360">
        <f>'Func Future Lines 2015'!G266</f>
        <v>994089.50036748685</v>
      </c>
      <c r="H266" s="359" t="str">
        <f>'Func Future Lines 2015'!H266</f>
        <v>ATCO</v>
      </c>
      <c r="I266" s="359">
        <f>'Func Future Lines 2015'!I266</f>
        <v>2017</v>
      </c>
      <c r="J266" s="361">
        <f>+IF($I266=J$3,VLOOKUP($H266,Depreciation!$A$6:$L$10,7,FALSE)/2,IF($I266&lt;J$3,VLOOKUP($H266,Depreciation!$A$6:$L$10,7,FALSE),0))</f>
        <v>0</v>
      </c>
      <c r="K266" s="361">
        <f>+IF($I266=K$3,VLOOKUP($H266,Depreciation!$A$6:$L$10,8,FALSE)/2,IF($I266&lt;K$3,VLOOKUP($H266,Depreciation!$A$6:$L$10,8,FALSE),0))</f>
        <v>0</v>
      </c>
      <c r="L266" s="361">
        <f>+IF($I266=L$3,VLOOKUP($H266,Depreciation!$A$6:$L$10,9,FALSE)/2,IF($I266&lt;L$3,VLOOKUP($H266,Depreciation!$A$6:$L$10,9,FALSE),0))</f>
        <v>1.2001018963427959E-2</v>
      </c>
      <c r="M266" s="361">
        <f>+IF($I266=M$3,VLOOKUP($H266,Depreciation!$A$6:$L$10,10,FALSE)/2,IF($I266&lt;M$3,VLOOKUP($H266,Depreciation!$A$6:$L$10,10,FALSE),0))</f>
        <v>2.4002037926855919E-2</v>
      </c>
      <c r="N266" s="361">
        <f>+IF($I266=N$3,VLOOKUP($H266,Depreciation!$A$6:$L$10,11,FALSE)/2,IF($I266&lt;N$3,VLOOKUP($H266,Depreciation!$A$6:$L$10,11,FALSE),0))</f>
        <v>2.4002037926855919E-2</v>
      </c>
      <c r="O266" s="361">
        <f>+IF($I266=O$3,VLOOKUP($H266,Depreciation!$A$6:$L$10,12,FALSE)/2,IF($I266&lt;O$3,VLOOKUP($H266,Depreciation!$A$6:$L$10,12,FALSE),0))</f>
        <v>2.4002037926855919E-2</v>
      </c>
      <c r="P266" s="362">
        <f t="shared" si="13"/>
        <v>913121.80982253223</v>
      </c>
      <c r="Q266" s="362">
        <f t="shared" si="14"/>
        <v>0</v>
      </c>
      <c r="R266" s="363">
        <f t="shared" si="15"/>
        <v>913121.80982253223</v>
      </c>
    </row>
    <row r="267" spans="1:18">
      <c r="A267" s="359" t="str">
        <f>'Func Future Lines 2015'!A267</f>
        <v>PPS</v>
      </c>
      <c r="B267" s="359" t="str">
        <f>'Func Future Lines 2015'!B267</f>
        <v>7L20/7L228_(v1)</v>
      </c>
      <c r="C267" s="359">
        <f>'Func Future Lines 2015'!C267</f>
        <v>1634</v>
      </c>
      <c r="D267" s="359">
        <f>'Func Future Lines 2015'!D267</f>
        <v>144</v>
      </c>
      <c r="E267" s="359">
        <f>'Func Future Lines 2015'!E267</f>
        <v>0</v>
      </c>
      <c r="F267" s="359" t="str">
        <f>'Func Future Lines 2015'!F267</f>
        <v>Grande Prairie</v>
      </c>
      <c r="G267" s="359">
        <f>'Func Future Lines 2015'!G267</f>
        <v>2547123.3415767057</v>
      </c>
      <c r="H267" s="359" t="str">
        <f>'Func Future Lines 2015'!H267</f>
        <v>ATCO</v>
      </c>
      <c r="I267" s="359">
        <f>'Func Future Lines 2015'!I267</f>
        <v>2016</v>
      </c>
      <c r="J267" s="361">
        <f>+IF($I267=J$3,VLOOKUP($H267,Depreciation!$A$6:$L$10,7,FALSE)/2,IF($I267&lt;J$3,VLOOKUP($H267,Depreciation!$A$6:$L$10,7,FALSE),0))</f>
        <v>0</v>
      </c>
      <c r="K267" s="361">
        <f>+IF($I267=K$3,VLOOKUP($H267,Depreciation!$A$6:$L$10,8,FALSE)/2,IF($I267&lt;K$3,VLOOKUP($H267,Depreciation!$A$6:$L$10,8,FALSE),0))</f>
        <v>1.1971929865503333E-2</v>
      </c>
      <c r="L267" s="361">
        <f>+IF($I267=L$3,VLOOKUP($H267,Depreciation!$A$6:$L$10,9,FALSE)/2,IF($I267&lt;L$3,VLOOKUP($H267,Depreciation!$A$6:$L$10,9,FALSE),0))</f>
        <v>2.4002037926855919E-2</v>
      </c>
      <c r="M267" s="361">
        <f>+IF($I267=M$3,VLOOKUP($H267,Depreciation!$A$6:$L$10,10,FALSE)/2,IF($I267&lt;M$3,VLOOKUP($H267,Depreciation!$A$6:$L$10,10,FALSE),0))</f>
        <v>2.4002037926855919E-2</v>
      </c>
      <c r="N267" s="361">
        <f>+IF($I267=N$3,VLOOKUP($H267,Depreciation!$A$6:$L$10,11,FALSE)/2,IF($I267&lt;N$3,VLOOKUP($H267,Depreciation!$A$6:$L$10,11,FALSE),0))</f>
        <v>2.4002037926855919E-2</v>
      </c>
      <c r="O267" s="361">
        <f>+IF($I267=O$3,VLOOKUP($H267,Depreciation!$A$6:$L$10,12,FALSE)/2,IF($I267&lt;O$3,VLOOKUP($H267,Depreciation!$A$6:$L$10,12,FALSE),0))</f>
        <v>2.4002037926855919E-2</v>
      </c>
      <c r="P267" s="362">
        <f t="shared" si="13"/>
        <v>2283573.0146754049</v>
      </c>
      <c r="Q267" s="362">
        <f t="shared" si="14"/>
        <v>0</v>
      </c>
      <c r="R267" s="363">
        <f t="shared" si="15"/>
        <v>2283573.0146754049</v>
      </c>
    </row>
    <row r="268" spans="1:18">
      <c r="A268" s="359" t="str">
        <f>'Func Future Lines 2015'!A268</f>
        <v>PPS</v>
      </c>
      <c r="B268" s="359" t="str">
        <f>'Func Future Lines 2015'!B268</f>
        <v>7L20/7L228_(v1)</v>
      </c>
      <c r="C268" s="359">
        <f>'Func Future Lines 2015'!C268</f>
        <v>1634</v>
      </c>
      <c r="D268" s="359">
        <f>'Func Future Lines 2015'!D268</f>
        <v>144</v>
      </c>
      <c r="E268" s="359">
        <f>'Func Future Lines 2015'!E268</f>
        <v>0</v>
      </c>
      <c r="F268" s="359" t="str">
        <f>'Func Future Lines 2015'!F268</f>
        <v>Grande Prairie</v>
      </c>
      <c r="G268" s="359">
        <f>'Func Future Lines 2015'!G268</f>
        <v>2545264.0744639053</v>
      </c>
      <c r="H268" s="359" t="str">
        <f>'Func Future Lines 2015'!H268</f>
        <v>ATCO</v>
      </c>
      <c r="I268" s="359">
        <f>'Func Future Lines 2015'!I268</f>
        <v>2016</v>
      </c>
      <c r="J268" s="361">
        <f>+IF($I268=J$3,VLOOKUP($H268,Depreciation!$A$6:$L$10,7,FALSE)/2,IF($I268&lt;J$3,VLOOKUP($H268,Depreciation!$A$6:$L$10,7,FALSE),0))</f>
        <v>0</v>
      </c>
      <c r="K268" s="361">
        <f>+IF($I268=K$3,VLOOKUP($H268,Depreciation!$A$6:$L$10,8,FALSE)/2,IF($I268&lt;K$3,VLOOKUP($H268,Depreciation!$A$6:$L$10,8,FALSE),0))</f>
        <v>1.1971929865503333E-2</v>
      </c>
      <c r="L268" s="361">
        <f>+IF($I268=L$3,VLOOKUP($H268,Depreciation!$A$6:$L$10,9,FALSE)/2,IF($I268&lt;L$3,VLOOKUP($H268,Depreciation!$A$6:$L$10,9,FALSE),0))</f>
        <v>2.4002037926855919E-2</v>
      </c>
      <c r="M268" s="361">
        <f>+IF($I268=M$3,VLOOKUP($H268,Depreciation!$A$6:$L$10,10,FALSE)/2,IF($I268&lt;M$3,VLOOKUP($H268,Depreciation!$A$6:$L$10,10,FALSE),0))</f>
        <v>2.4002037926855919E-2</v>
      </c>
      <c r="N268" s="361">
        <f>+IF($I268=N$3,VLOOKUP($H268,Depreciation!$A$6:$L$10,11,FALSE)/2,IF($I268&lt;N$3,VLOOKUP($H268,Depreciation!$A$6:$L$10,11,FALSE),0))</f>
        <v>2.4002037926855919E-2</v>
      </c>
      <c r="O268" s="361">
        <f>+IF($I268=O$3,VLOOKUP($H268,Depreciation!$A$6:$L$10,12,FALSE)/2,IF($I268&lt;O$3,VLOOKUP($H268,Depreciation!$A$6:$L$10,12,FALSE),0))</f>
        <v>2.4002037926855919E-2</v>
      </c>
      <c r="P268" s="362">
        <f t="shared" si="13"/>
        <v>2281906.1255473602</v>
      </c>
      <c r="Q268" s="362">
        <f t="shared" si="14"/>
        <v>0</v>
      </c>
      <c r="R268" s="363">
        <f t="shared" si="15"/>
        <v>2281906.1255473602</v>
      </c>
    </row>
    <row r="269" spans="1:18">
      <c r="A269" s="359" t="str">
        <f>'Func Future Lines 2015'!A269</f>
        <v>PPS</v>
      </c>
      <c r="B269" s="359" t="str">
        <f>'Func Future Lines 2015'!B269</f>
        <v>633L</v>
      </c>
      <c r="C269" s="359">
        <f>'Func Future Lines 2015'!C269</f>
        <v>1636</v>
      </c>
      <c r="D269" s="359">
        <f>'Func Future Lines 2015'!D269</f>
        <v>138</v>
      </c>
      <c r="E269" s="359">
        <f>'Func Future Lines 2015'!E269</f>
        <v>0</v>
      </c>
      <c r="F269" s="359" t="str">
        <f>'Func Future Lines 2015'!F269</f>
        <v>Athabasca/Lac</v>
      </c>
      <c r="G269" s="359">
        <f>'Func Future Lines 2015'!G269</f>
        <v>357000.61337149848</v>
      </c>
      <c r="H269" s="359" t="str">
        <f>'Func Future Lines 2015'!H269</f>
        <v>AltaLink</v>
      </c>
      <c r="I269" s="359">
        <f>'Func Future Lines 2015'!I269</f>
        <v>2016</v>
      </c>
      <c r="J269" s="361">
        <f>+IF($I269=J$3,VLOOKUP($H269,Depreciation!$A$6:$L$10,7,FALSE)/2,IF($I269&lt;J$3,VLOOKUP($H269,Depreciation!$A$6:$L$10,7,FALSE),0))</f>
        <v>0</v>
      </c>
      <c r="K269" s="361">
        <f>+IF($I269=K$3,VLOOKUP($H269,Depreciation!$A$6:$L$10,8,FALSE)/2,IF($I269&lt;K$3,VLOOKUP($H269,Depreciation!$A$6:$L$10,8,FALSE),0))</f>
        <v>1.5338181838063448E-2</v>
      </c>
      <c r="L269" s="361">
        <f>+IF($I269=L$3,VLOOKUP($H269,Depreciation!$A$6:$L$10,9,FALSE)/2,IF($I269&lt;L$3,VLOOKUP($H269,Depreciation!$A$6:$L$10,9,FALSE),0))</f>
        <v>3.0676363676126896E-2</v>
      </c>
      <c r="M269" s="361">
        <f>+IF($I269=M$3,VLOOKUP($H269,Depreciation!$A$6:$L$10,10,FALSE)/2,IF($I269&lt;M$3,VLOOKUP($H269,Depreciation!$A$6:$L$10,10,FALSE),0))</f>
        <v>3.0676363676126896E-2</v>
      </c>
      <c r="N269" s="361">
        <f>+IF($I269=N$3,VLOOKUP($H269,Depreciation!$A$6:$L$10,11,FALSE)/2,IF($I269&lt;N$3,VLOOKUP($H269,Depreciation!$A$6:$L$10,11,FALSE),0))</f>
        <v>3.0676363676126896E-2</v>
      </c>
      <c r="O269" s="361">
        <f>+IF($I269=O$3,VLOOKUP($H269,Depreciation!$A$6:$L$10,12,FALSE)/2,IF($I269&lt;O$3,VLOOKUP($H269,Depreciation!$A$6:$L$10,12,FALSE),0))</f>
        <v>3.0676363676126896E-2</v>
      </c>
      <c r="P269" s="362">
        <f t="shared" si="13"/>
        <v>310335.36644607427</v>
      </c>
      <c r="Q269" s="362">
        <f t="shared" si="14"/>
        <v>0</v>
      </c>
      <c r="R269" s="363">
        <f t="shared" si="15"/>
        <v>310335.36644607427</v>
      </c>
    </row>
    <row r="270" spans="1:18">
      <c r="A270" s="359" t="str">
        <f>'Func Future Lines 2015'!A270</f>
        <v>PPS</v>
      </c>
      <c r="B270" s="359" t="str">
        <f>'Func Future Lines 2015'!B270</f>
        <v>1214L</v>
      </c>
      <c r="C270" s="359">
        <f>'Func Future Lines 2015'!C270</f>
        <v>1655</v>
      </c>
      <c r="D270" s="359">
        <f>'Func Future Lines 2015'!D270</f>
        <v>500</v>
      </c>
      <c r="E270" s="359">
        <f>'Func Future Lines 2015'!E270</f>
        <v>0</v>
      </c>
      <c r="F270" s="359" t="str">
        <f>'Func Future Lines 2015'!F270</f>
        <v>Fort McMurray</v>
      </c>
      <c r="G270" s="360">
        <f>'Func Future Lines 2015'!G270</f>
        <v>816333.28402366897</v>
      </c>
      <c r="H270" s="359" t="str">
        <f>'Func Future Lines 2015'!H270</f>
        <v>AltaLink</v>
      </c>
      <c r="I270" s="359">
        <f>'Func Future Lines 2015'!I270</f>
        <v>2018</v>
      </c>
      <c r="J270" s="361">
        <f>+IF($I270=J$3,VLOOKUP($H270,Depreciation!$A$6:$L$10,7,FALSE)/2,IF($I270&lt;J$3,VLOOKUP($H270,Depreciation!$A$6:$L$10,7,FALSE),0))</f>
        <v>0</v>
      </c>
      <c r="K270" s="361">
        <f>+IF($I270=K$3,VLOOKUP($H270,Depreciation!$A$6:$L$10,8,FALSE)/2,IF($I270&lt;K$3,VLOOKUP($H270,Depreciation!$A$6:$L$10,8,FALSE),0))</f>
        <v>0</v>
      </c>
      <c r="L270" s="361">
        <f>+IF($I270=L$3,VLOOKUP($H270,Depreciation!$A$6:$L$10,9,FALSE)/2,IF($I270&lt;L$3,VLOOKUP($H270,Depreciation!$A$6:$L$10,9,FALSE),0))</f>
        <v>0</v>
      </c>
      <c r="M270" s="361">
        <f>+IF($I270=M$3,VLOOKUP($H270,Depreciation!$A$6:$L$10,10,FALSE)/2,IF($I270&lt;M$3,VLOOKUP($H270,Depreciation!$A$6:$L$10,10,FALSE),0))</f>
        <v>1.5338181838063448E-2</v>
      </c>
      <c r="N270" s="361">
        <f>+IF($I270=N$3,VLOOKUP($H270,Depreciation!$A$6:$L$10,11,FALSE)/2,IF($I270&lt;N$3,VLOOKUP($H270,Depreciation!$A$6:$L$10,11,FALSE),0))</f>
        <v>3.0676363676126896E-2</v>
      </c>
      <c r="O270" s="361">
        <f>+IF($I270=O$3,VLOOKUP($H270,Depreciation!$A$6:$L$10,12,FALSE)/2,IF($I270&lt;O$3,VLOOKUP($H270,Depreciation!$A$6:$L$10,12,FALSE),0))</f>
        <v>3.0676363676126896E-2</v>
      </c>
      <c r="P270" s="362">
        <f t="shared" si="13"/>
        <v>755252.56283769885</v>
      </c>
      <c r="Q270" s="362">
        <f t="shared" si="14"/>
        <v>755252.56283769885</v>
      </c>
      <c r="R270" s="363">
        <f t="shared" si="15"/>
        <v>0</v>
      </c>
    </row>
    <row r="271" spans="1:18">
      <c r="A271" s="359" t="str">
        <f>'Func Future Lines 2015'!A271</f>
        <v>OOM</v>
      </c>
      <c r="B271" s="359" t="str">
        <f>'Func Future Lines 2015'!B271</f>
        <v>New 7km s/c tap to 7L90</v>
      </c>
      <c r="C271" s="359">
        <f>'Func Future Lines 2015'!C271</f>
        <v>1722</v>
      </c>
      <c r="D271" s="359">
        <f>'Func Future Lines 2015'!D271</f>
        <v>144</v>
      </c>
      <c r="E271" s="359">
        <f>'Func Future Lines 2015'!E271</f>
        <v>0</v>
      </c>
      <c r="F271" s="359">
        <f>'Func Future Lines 2015'!F271</f>
        <v>0</v>
      </c>
      <c r="G271" s="360">
        <f>'Func Future Lines 2015'!G271</f>
        <v>5595520.8321615737</v>
      </c>
      <c r="H271" s="359" t="str">
        <f>'Func Future Lines 2015'!H271</f>
        <v>ATCO</v>
      </c>
      <c r="I271" s="359">
        <f>'Func Future Lines 2015'!I271</f>
        <v>2017</v>
      </c>
      <c r="J271" s="361">
        <f>+IF($I271=J$3,VLOOKUP($H271,Depreciation!$A$6:$L$10,7,FALSE)/2,IF($I271&lt;J$3,VLOOKUP($H271,Depreciation!$A$6:$L$10,7,FALSE),0))</f>
        <v>0</v>
      </c>
      <c r="K271" s="361">
        <f>+IF($I271=K$3,VLOOKUP($H271,Depreciation!$A$6:$L$10,8,FALSE)/2,IF($I271&lt;K$3,VLOOKUP($H271,Depreciation!$A$6:$L$10,8,FALSE),0))</f>
        <v>0</v>
      </c>
      <c r="L271" s="361">
        <f>+IF($I271=L$3,VLOOKUP($H271,Depreciation!$A$6:$L$10,9,FALSE)/2,IF($I271&lt;L$3,VLOOKUP($H271,Depreciation!$A$6:$L$10,9,FALSE),0))</f>
        <v>1.2001018963427959E-2</v>
      </c>
      <c r="M271" s="361">
        <f>+IF($I271=M$3,VLOOKUP($H271,Depreciation!$A$6:$L$10,10,FALSE)/2,IF($I271&lt;M$3,VLOOKUP($H271,Depreciation!$A$6:$L$10,10,FALSE),0))</f>
        <v>2.4002037926855919E-2</v>
      </c>
      <c r="N271" s="361">
        <f>+IF($I271=N$3,VLOOKUP($H271,Depreciation!$A$6:$L$10,11,FALSE)/2,IF($I271&lt;N$3,VLOOKUP($H271,Depreciation!$A$6:$L$10,11,FALSE),0))</f>
        <v>2.4002037926855919E-2</v>
      </c>
      <c r="O271" s="361">
        <f>+IF($I271=O$3,VLOOKUP($H271,Depreciation!$A$6:$L$10,12,FALSE)/2,IF($I271&lt;O$3,VLOOKUP($H271,Depreciation!$A$6:$L$10,12,FALSE),0))</f>
        <v>2.4002037926855919E-2</v>
      </c>
      <c r="P271" s="362">
        <f t="shared" si="13"/>
        <v>5139770.7221273929</v>
      </c>
      <c r="Q271" s="362">
        <f t="shared" si="14"/>
        <v>0</v>
      </c>
      <c r="R271" s="363">
        <f t="shared" si="15"/>
        <v>5139770.7221273929</v>
      </c>
    </row>
    <row r="272" spans="1:18">
      <c r="A272" s="359" t="str">
        <f>'Func Future Lines 2015'!A272</f>
        <v>NID</v>
      </c>
      <c r="B272" s="359" t="str">
        <f>'Func Future Lines 2015'!B272</f>
        <v>138kV line</v>
      </c>
      <c r="C272" s="359">
        <f>'Func Future Lines 2015'!C272</f>
        <v>1456</v>
      </c>
      <c r="D272" s="359">
        <f>'Func Future Lines 2015'!D272</f>
        <v>138</v>
      </c>
      <c r="E272" s="359">
        <f>'Func Future Lines 2015'!E272</f>
        <v>0</v>
      </c>
      <c r="F272" s="359" t="str">
        <f>'Func Future Lines 2015'!F272</f>
        <v>Calgary</v>
      </c>
      <c r="G272" s="359">
        <f>'Func Future Lines 2015'!G272</f>
        <v>74119816.894765332</v>
      </c>
      <c r="H272" s="359" t="str">
        <f>'Func Future Lines 2015'!H272</f>
        <v>ENMAX</v>
      </c>
      <c r="I272" s="359">
        <f>'Func Future Lines 2015'!I272</f>
        <v>2021</v>
      </c>
      <c r="J272" s="361">
        <f>+IF($I272=J$3,VLOOKUP($H272,Depreciation!$A$6:$L$10,7,FALSE)/2,IF($I272&lt;J$3,VLOOKUP($H272,Depreciation!$A$6:$L$10,7,FALSE),0))</f>
        <v>0</v>
      </c>
      <c r="K272" s="361">
        <f>+IF($I272=K$3,VLOOKUP($H272,Depreciation!$A$6:$L$10,8,FALSE)/2,IF($I272&lt;K$3,VLOOKUP($H272,Depreciation!$A$6:$L$10,8,FALSE),0))</f>
        <v>0</v>
      </c>
      <c r="L272" s="361">
        <f>+IF($I272=L$3,VLOOKUP($H272,Depreciation!$A$6:$L$10,9,FALSE)/2,IF($I272&lt;L$3,VLOOKUP($H272,Depreciation!$A$6:$L$10,9,FALSE),0))</f>
        <v>0</v>
      </c>
      <c r="M272" s="361">
        <f>+IF($I272=M$3,VLOOKUP($H272,Depreciation!$A$6:$L$10,10,FALSE)/2,IF($I272&lt;M$3,VLOOKUP($H272,Depreciation!$A$6:$L$10,10,FALSE),0))</f>
        <v>0</v>
      </c>
      <c r="N272" s="361">
        <f>+IF($I272=N$3,VLOOKUP($H272,Depreciation!$A$6:$L$10,11,FALSE)/2,IF($I272&lt;N$3,VLOOKUP($H272,Depreciation!$A$6:$L$10,11,FALSE),0))</f>
        <v>0</v>
      </c>
      <c r="O272" s="361">
        <f>+IF($I272=O$3,VLOOKUP($H272,Depreciation!$A$6:$L$10,12,FALSE)/2,IF($I272&lt;O$3,VLOOKUP($H272,Depreciation!$A$6:$L$10,12,FALSE),0))</f>
        <v>0</v>
      </c>
      <c r="P272" s="362">
        <f t="shared" si="13"/>
        <v>0</v>
      </c>
      <c r="Q272" s="362">
        <f t="shared" si="14"/>
        <v>0</v>
      </c>
      <c r="R272" s="363">
        <f t="shared" si="15"/>
        <v>0</v>
      </c>
    </row>
    <row r="273" spans="1:19">
      <c r="A273" s="359" t="str">
        <f>'Func Future Lines 2015'!A273</f>
        <v>Planning</v>
      </c>
      <c r="B273" s="359" t="str">
        <f>'Func Future Lines 2015'!B273</f>
        <v>144KV line</v>
      </c>
      <c r="C273" s="359">
        <f>'Func Future Lines 2015'!C273</f>
        <v>1784</v>
      </c>
      <c r="D273" s="359">
        <f>'Func Future Lines 2015'!D273</f>
        <v>144</v>
      </c>
      <c r="E273" s="359">
        <f>'Func Future Lines 2015'!E273</f>
        <v>0</v>
      </c>
      <c r="F273" s="359" t="str">
        <f>'Func Future Lines 2015'!F273</f>
        <v>Grande Prairie</v>
      </c>
      <c r="G273" s="359">
        <f>'Func Future Lines 2015'!G273</f>
        <v>35000000</v>
      </c>
      <c r="H273" s="359" t="str">
        <f>'Func Future Lines 2015'!H273</f>
        <v>ATCO</v>
      </c>
      <c r="I273" s="359">
        <f>'Func Future Lines 2015'!I273</f>
        <v>2020</v>
      </c>
      <c r="J273" s="361">
        <f>+IF($I273=J$3,VLOOKUP($H273,Depreciation!$A$6:$L$10,7,FALSE)/2,IF($I273&lt;J$3,VLOOKUP($H273,Depreciation!$A$6:$L$10,7,FALSE),0))</f>
        <v>0</v>
      </c>
      <c r="K273" s="361">
        <f>+IF($I273=K$3,VLOOKUP($H273,Depreciation!$A$6:$L$10,8,FALSE)/2,IF($I273&lt;K$3,VLOOKUP($H273,Depreciation!$A$6:$L$10,8,FALSE),0))</f>
        <v>0</v>
      </c>
      <c r="L273" s="361">
        <f>+IF($I273=L$3,VLOOKUP($H273,Depreciation!$A$6:$L$10,9,FALSE)/2,IF($I273&lt;L$3,VLOOKUP($H273,Depreciation!$A$6:$L$10,9,FALSE),0))</f>
        <v>0</v>
      </c>
      <c r="M273" s="361">
        <f>+IF($I273=M$3,VLOOKUP($H273,Depreciation!$A$6:$L$10,10,FALSE)/2,IF($I273&lt;M$3,VLOOKUP($H273,Depreciation!$A$6:$L$10,10,FALSE),0))</f>
        <v>0</v>
      </c>
      <c r="N273" s="361">
        <f>+IF($I273=N$3,VLOOKUP($H273,Depreciation!$A$6:$L$10,11,FALSE)/2,IF($I273&lt;N$3,VLOOKUP($H273,Depreciation!$A$6:$L$10,11,FALSE),0))</f>
        <v>0</v>
      </c>
      <c r="O273" s="361">
        <f>+IF($I273=O$3,VLOOKUP($H273,Depreciation!$A$6:$L$10,12,FALSE)/2,IF($I273&lt;O$3,VLOOKUP($H273,Depreciation!$A$6:$L$10,12,FALSE),0))</f>
        <v>1.2001018963427959E-2</v>
      </c>
      <c r="P273" s="362">
        <f t="shared" si="13"/>
        <v>34579964.336280018</v>
      </c>
      <c r="Q273" s="362">
        <f t="shared" si="14"/>
        <v>0</v>
      </c>
      <c r="R273" s="363">
        <f t="shared" si="15"/>
        <v>34579964.336280018</v>
      </c>
    </row>
    <row r="274" spans="1:19">
      <c r="A274" s="359" t="str">
        <f>'Func Future Lines 2015'!A274</f>
        <v>Planning</v>
      </c>
      <c r="B274" s="359" t="str">
        <f>'Func Future Lines 2015'!B274</f>
        <v>144 kV line</v>
      </c>
      <c r="C274" s="359">
        <f>'Func Future Lines 2015'!C274</f>
        <v>1785</v>
      </c>
      <c r="D274" s="359">
        <f>'Func Future Lines 2015'!D274</f>
        <v>144</v>
      </c>
      <c r="E274" s="359">
        <f>'Func Future Lines 2015'!E274</f>
        <v>0</v>
      </c>
      <c r="F274" s="359" t="str">
        <f>'Func Future Lines 2015'!F274</f>
        <v>Grande Prairie</v>
      </c>
      <c r="G274" s="359">
        <f>'Func Future Lines 2015'!G274</f>
        <v>40000000</v>
      </c>
      <c r="H274" s="359" t="str">
        <f>'Func Future Lines 2015'!H274</f>
        <v>ATCO</v>
      </c>
      <c r="I274" s="359">
        <f>'Func Future Lines 2015'!I274</f>
        <v>2020</v>
      </c>
      <c r="J274" s="361">
        <f>+IF($I274=J$3,VLOOKUP($H274,Depreciation!$A$6:$L$10,7,FALSE)/2,IF($I274&lt;J$3,VLOOKUP($H274,Depreciation!$A$6:$L$10,7,FALSE),0))</f>
        <v>0</v>
      </c>
      <c r="K274" s="361">
        <f>+IF($I274=K$3,VLOOKUP($H274,Depreciation!$A$6:$L$10,8,FALSE)/2,IF($I274&lt;K$3,VLOOKUP($H274,Depreciation!$A$6:$L$10,8,FALSE),0))</f>
        <v>0</v>
      </c>
      <c r="L274" s="361">
        <f>+IF($I274=L$3,VLOOKUP($H274,Depreciation!$A$6:$L$10,9,FALSE)/2,IF($I274&lt;L$3,VLOOKUP($H274,Depreciation!$A$6:$L$10,9,FALSE),0))</f>
        <v>0</v>
      </c>
      <c r="M274" s="361">
        <f>+IF($I274=M$3,VLOOKUP($H274,Depreciation!$A$6:$L$10,10,FALSE)/2,IF($I274&lt;M$3,VLOOKUP($H274,Depreciation!$A$6:$L$10,10,FALSE),0))</f>
        <v>0</v>
      </c>
      <c r="N274" s="361">
        <f>+IF($I274=N$3,VLOOKUP($H274,Depreciation!$A$6:$L$10,11,FALSE)/2,IF($I274&lt;N$3,VLOOKUP($H274,Depreciation!$A$6:$L$10,11,FALSE),0))</f>
        <v>0</v>
      </c>
      <c r="O274" s="361">
        <f>+IF($I274=O$3,VLOOKUP($H274,Depreciation!$A$6:$L$10,12,FALSE)/2,IF($I274&lt;O$3,VLOOKUP($H274,Depreciation!$A$6:$L$10,12,FALSE),0))</f>
        <v>1.2001018963427959E-2</v>
      </c>
      <c r="P274" s="362">
        <f t="shared" si="13"/>
        <v>39519959.241462879</v>
      </c>
      <c r="Q274" s="362">
        <f t="shared" si="14"/>
        <v>0</v>
      </c>
      <c r="R274" s="363">
        <f t="shared" si="15"/>
        <v>39519959.241462879</v>
      </c>
    </row>
    <row r="275" spans="1:19">
      <c r="A275" s="359" t="str">
        <f>'Func Future Lines 2015'!A275</f>
        <v>Planning</v>
      </c>
      <c r="B275" s="359" t="str">
        <f>'Func Future Lines 2015'!B275</f>
        <v>144kV line</v>
      </c>
      <c r="C275" s="359">
        <f>'Func Future Lines 2015'!C275</f>
        <v>1781</v>
      </c>
      <c r="D275" s="359">
        <f>'Func Future Lines 2015'!D275</f>
        <v>144</v>
      </c>
      <c r="E275" s="359">
        <f>'Func Future Lines 2015'!E275</f>
        <v>0</v>
      </c>
      <c r="F275" s="359" t="str">
        <f>'Func Future Lines 2015'!F275</f>
        <v>Central East</v>
      </c>
      <c r="G275" s="359">
        <f>'Func Future Lines 2015'!G275</f>
        <v>150186554.50853476</v>
      </c>
      <c r="H275" s="359" t="str">
        <f>'Func Future Lines 2015'!H275</f>
        <v>AltaLink</v>
      </c>
      <c r="I275" s="359">
        <f>'Func Future Lines 2015'!I275</f>
        <v>2021</v>
      </c>
      <c r="J275" s="361">
        <f>+IF($I275=J$3,VLOOKUP($H275,Depreciation!$A$6:$L$10,7,FALSE)/2,IF($I275&lt;J$3,VLOOKUP($H275,Depreciation!$A$6:$L$10,7,FALSE),0))</f>
        <v>0</v>
      </c>
      <c r="K275" s="361">
        <f>+IF($I275=K$3,VLOOKUP($H275,Depreciation!$A$6:$L$10,8,FALSE)/2,IF($I275&lt;K$3,VLOOKUP($H275,Depreciation!$A$6:$L$10,8,FALSE),0))</f>
        <v>0</v>
      </c>
      <c r="L275" s="361">
        <f>+IF($I275=L$3,VLOOKUP($H275,Depreciation!$A$6:$L$10,9,FALSE)/2,IF($I275&lt;L$3,VLOOKUP($H275,Depreciation!$A$6:$L$10,9,FALSE),0))</f>
        <v>0</v>
      </c>
      <c r="M275" s="361">
        <f>+IF($I275=M$3,VLOOKUP($H275,Depreciation!$A$6:$L$10,10,FALSE)/2,IF($I275&lt;M$3,VLOOKUP($H275,Depreciation!$A$6:$L$10,10,FALSE),0))</f>
        <v>0</v>
      </c>
      <c r="N275" s="361">
        <f>+IF($I275=N$3,VLOOKUP($H275,Depreciation!$A$6:$L$10,11,FALSE)/2,IF($I275&lt;N$3,VLOOKUP($H275,Depreciation!$A$6:$L$10,11,FALSE),0))</f>
        <v>0</v>
      </c>
      <c r="O275" s="361">
        <f>+IF($I275=O$3,VLOOKUP($H275,Depreciation!$A$6:$L$10,12,FALSE)/2,IF($I275&lt;O$3,VLOOKUP($H275,Depreciation!$A$6:$L$10,12,FALSE),0))</f>
        <v>0</v>
      </c>
      <c r="P275" s="362">
        <f t="shared" si="13"/>
        <v>0</v>
      </c>
      <c r="Q275" s="362">
        <f t="shared" si="14"/>
        <v>0</v>
      </c>
      <c r="R275" s="363">
        <f t="shared" si="15"/>
        <v>0</v>
      </c>
    </row>
    <row r="276" spans="1:19">
      <c r="A276" s="359" t="str">
        <f>'Func Future Lines 2015'!A276</f>
        <v>Planning</v>
      </c>
      <c r="B276" s="359" t="str">
        <f>'Func Future Lines 2015'!B276</f>
        <v>144KV line</v>
      </c>
      <c r="C276" s="359">
        <f>'Func Future Lines 2015'!C276</f>
        <v>1781</v>
      </c>
      <c r="D276" s="359">
        <f>'Func Future Lines 2015'!D276</f>
        <v>144</v>
      </c>
      <c r="E276" s="359">
        <f>'Func Future Lines 2015'!E276</f>
        <v>0</v>
      </c>
      <c r="F276" s="359" t="str">
        <f>'Func Future Lines 2015'!F276</f>
        <v>Central East</v>
      </c>
      <c r="G276" s="359">
        <f>'Func Future Lines 2015'!G276</f>
        <v>43590130.403618827</v>
      </c>
      <c r="H276" s="359" t="str">
        <f>'Func Future Lines 2015'!H276</f>
        <v>ATCO</v>
      </c>
      <c r="I276" s="359">
        <f>'Func Future Lines 2015'!I276</f>
        <v>2021</v>
      </c>
      <c r="J276" s="361">
        <f>+IF($I276=J$3,VLOOKUP($H276,Depreciation!$A$6:$L$10,7,FALSE)/2,IF($I276&lt;J$3,VLOOKUP($H276,Depreciation!$A$6:$L$10,7,FALSE),0))</f>
        <v>0</v>
      </c>
      <c r="K276" s="361">
        <f>+IF($I276=K$3,VLOOKUP($H276,Depreciation!$A$6:$L$10,8,FALSE)/2,IF($I276&lt;K$3,VLOOKUP($H276,Depreciation!$A$6:$L$10,8,FALSE),0))</f>
        <v>0</v>
      </c>
      <c r="L276" s="361">
        <f>+IF($I276=L$3,VLOOKUP($H276,Depreciation!$A$6:$L$10,9,FALSE)/2,IF($I276&lt;L$3,VLOOKUP($H276,Depreciation!$A$6:$L$10,9,FALSE),0))</f>
        <v>0</v>
      </c>
      <c r="M276" s="361">
        <f>+IF($I276=M$3,VLOOKUP($H276,Depreciation!$A$6:$L$10,10,FALSE)/2,IF($I276&lt;M$3,VLOOKUP($H276,Depreciation!$A$6:$L$10,10,FALSE),0))</f>
        <v>0</v>
      </c>
      <c r="N276" s="361">
        <f>+IF($I276=N$3,VLOOKUP($H276,Depreciation!$A$6:$L$10,11,FALSE)/2,IF($I276&lt;N$3,VLOOKUP($H276,Depreciation!$A$6:$L$10,11,FALSE),0))</f>
        <v>0</v>
      </c>
      <c r="O276" s="361">
        <f>+IF($I276=O$3,VLOOKUP($H276,Depreciation!$A$6:$L$10,12,FALSE)/2,IF($I276&lt;O$3,VLOOKUP($H276,Depreciation!$A$6:$L$10,12,FALSE),0))</f>
        <v>0</v>
      </c>
      <c r="P276" s="362">
        <f t="shared" si="13"/>
        <v>0</v>
      </c>
      <c r="Q276" s="362">
        <f t="shared" si="14"/>
        <v>0</v>
      </c>
      <c r="R276" s="363">
        <f t="shared" si="15"/>
        <v>0</v>
      </c>
    </row>
    <row r="277" spans="1:19">
      <c r="A277" s="359" t="str">
        <f>'Func Future Lines 2015'!A277</f>
        <v>Planning</v>
      </c>
      <c r="B277" s="359" t="str">
        <f>'Func Future Lines 2015'!B277</f>
        <v>Competitive Process</v>
      </c>
      <c r="C277" s="359">
        <f>'Func Future Lines 2015'!C277</f>
        <v>1590</v>
      </c>
      <c r="D277" s="359">
        <f>'Func Future Lines 2015'!D277</f>
        <v>500</v>
      </c>
      <c r="E277" s="359">
        <f>'Func Future Lines 2015'!E277</f>
        <v>0</v>
      </c>
      <c r="F277" s="359" t="str">
        <f>'Func Future Lines 2015'!F277</f>
        <v>Ft McMurray</v>
      </c>
      <c r="G277" s="359">
        <f>'Func Future Lines 2015'!G277</f>
        <v>0</v>
      </c>
      <c r="H277" s="359" t="str">
        <f>'Func Future Lines 2015'!H277</f>
        <v>Average</v>
      </c>
      <c r="I277" s="359">
        <f>'Func Future Lines 2015'!I277</f>
        <v>2019</v>
      </c>
      <c r="J277" s="361">
        <f>+IF($I277=J$3,VLOOKUP($H277,Depreciation!$A$6:$L$10,7,FALSE)/2,IF($I277&lt;J$3,VLOOKUP($H277,Depreciation!$A$6:$L$10,7,FALSE),0))</f>
        <v>0</v>
      </c>
      <c r="K277" s="361">
        <f>+IF($I277=K$3,VLOOKUP($H277,Depreciation!$A$6:$L$10,8,FALSE)/2,IF($I277&lt;K$3,VLOOKUP($H277,Depreciation!$A$6:$L$10,8,FALSE),0))</f>
        <v>0</v>
      </c>
      <c r="L277" s="361">
        <f>+IF($I277=L$3,VLOOKUP($H277,Depreciation!$A$6:$L$10,9,FALSE)/2,IF($I277&lt;L$3,VLOOKUP($H277,Depreciation!$A$6:$L$10,9,FALSE),0))</f>
        <v>0</v>
      </c>
      <c r="M277" s="361">
        <f>+IF($I277=M$3,VLOOKUP($H277,Depreciation!$A$6:$L$10,10,FALSE)/2,IF($I277&lt;M$3,VLOOKUP($H277,Depreciation!$A$6:$L$10,10,FALSE),0))</f>
        <v>0</v>
      </c>
      <c r="N277" s="361">
        <f>+IF($I277=N$3,VLOOKUP($H277,Depreciation!$A$6:$L$10,11,FALSE)/2,IF($I277&lt;N$3,VLOOKUP($H277,Depreciation!$A$6:$L$10,11,FALSE),0))</f>
        <v>1.3732050514778531E-2</v>
      </c>
      <c r="O277" s="361">
        <f>+IF($I277=O$3,VLOOKUP($H277,Depreciation!$A$6:$L$10,12,FALSE)/2,IF($I277&lt;O$3,VLOOKUP($H277,Depreciation!$A$6:$L$10,12,FALSE),0))</f>
        <v>2.7464101029557063E-2</v>
      </c>
      <c r="P277" s="362">
        <f t="shared" si="13"/>
        <v>0</v>
      </c>
      <c r="Q277" s="362">
        <f t="shared" si="14"/>
        <v>0</v>
      </c>
      <c r="R277" s="363">
        <f t="shared" si="15"/>
        <v>0</v>
      </c>
    </row>
    <row r="278" spans="1:19">
      <c r="F278" s="4"/>
      <c r="G278" s="101"/>
      <c r="H278" s="4"/>
      <c r="I278" s="4"/>
      <c r="P278" s="367"/>
      <c r="Q278" s="367"/>
      <c r="R278" s="367"/>
    </row>
    <row r="279" spans="1:19">
      <c r="F279" s="4"/>
      <c r="G279" s="101">
        <f>SUM(G4:G277)</f>
        <v>5884356833.6935625</v>
      </c>
      <c r="H279" s="4"/>
      <c r="I279" s="4"/>
      <c r="P279" s="367">
        <f>SUM(P4:P277)</f>
        <v>4874831715.6342421</v>
      </c>
      <c r="Q279" s="367">
        <f t="shared" ref="Q279:R279" si="16">SUM(Q4:Q277)</f>
        <v>4070854597.8236027</v>
      </c>
      <c r="R279" s="367">
        <f t="shared" si="16"/>
        <v>761919711.1861254</v>
      </c>
    </row>
    <row r="280" spans="1:19">
      <c r="F280" s="4"/>
      <c r="G280" s="4">
        <f>SUMIF(I4:I277,"&lt;=2020",G4:G277)</f>
        <v>5616460331.8866444</v>
      </c>
      <c r="H280" s="4"/>
      <c r="I280" s="4"/>
      <c r="J280" s="4"/>
      <c r="O280" s="594"/>
      <c r="P280" s="594"/>
      <c r="Q280" s="594"/>
      <c r="R280" s="594"/>
      <c r="S280" s="594"/>
    </row>
    <row r="281" spans="1:19">
      <c r="F281" s="4"/>
      <c r="G281" s="4"/>
      <c r="H281" s="4"/>
      <c r="I281" s="4"/>
      <c r="J281" s="4"/>
      <c r="O281" s="594"/>
      <c r="P281" s="594"/>
      <c r="Q281" s="1006"/>
      <c r="R281" s="1006"/>
      <c r="S281" s="594"/>
    </row>
    <row r="282" spans="1:19">
      <c r="F282" s="4"/>
      <c r="G282" s="4"/>
      <c r="H282" s="4"/>
      <c r="I282" s="4"/>
      <c r="J282" s="4"/>
      <c r="O282" s="594"/>
      <c r="P282" s="594"/>
      <c r="Q282" s="594"/>
      <c r="R282" s="594"/>
      <c r="S282" s="594"/>
    </row>
    <row r="283" spans="1:19">
      <c r="F283" s="4"/>
      <c r="G283" s="4"/>
      <c r="H283" s="4"/>
      <c r="I283" s="4"/>
      <c r="J283" s="4"/>
      <c r="O283" s="594"/>
      <c r="P283" s="597"/>
      <c r="Q283" s="594"/>
      <c r="R283" s="594"/>
      <c r="S283" s="594"/>
    </row>
    <row r="284" spans="1:19">
      <c r="F284" s="4"/>
      <c r="G284" s="4"/>
      <c r="H284" s="4"/>
      <c r="I284" s="4"/>
      <c r="J284" s="4"/>
      <c r="O284" s="594"/>
      <c r="P284" s="594"/>
      <c r="Q284" s="594"/>
      <c r="R284" s="594"/>
      <c r="S284" s="594"/>
    </row>
    <row r="285" spans="1:19">
      <c r="F285" s="4"/>
      <c r="G285" s="4"/>
      <c r="H285" s="4"/>
      <c r="I285" s="4"/>
      <c r="J285" s="4"/>
      <c r="O285" s="594"/>
      <c r="P285" s="594"/>
      <c r="Q285" s="594"/>
      <c r="R285" s="594"/>
      <c r="S285" s="594"/>
    </row>
    <row r="286" spans="1:19">
      <c r="F286" s="4"/>
      <c r="G286" s="4"/>
      <c r="H286" s="4"/>
      <c r="I286" s="4"/>
      <c r="J286" s="4"/>
      <c r="O286" s="594"/>
      <c r="P286" s="594"/>
      <c r="Q286" s="594"/>
      <c r="R286" s="594"/>
      <c r="S286" s="594"/>
    </row>
    <row r="287" spans="1:19">
      <c r="F287" s="4"/>
      <c r="G287" s="4"/>
      <c r="H287" s="4"/>
      <c r="I287" s="4"/>
      <c r="J287" s="4"/>
      <c r="O287" s="594"/>
      <c r="P287" s="594"/>
      <c r="Q287" s="597"/>
      <c r="R287" s="597"/>
      <c r="S287" s="594"/>
    </row>
    <row r="288" spans="1:19">
      <c r="F288" s="4"/>
      <c r="G288" s="4"/>
      <c r="H288" s="4"/>
      <c r="I288" s="4"/>
      <c r="J288" s="4"/>
    </row>
    <row r="289" spans="6:10">
      <c r="F289" s="4"/>
      <c r="G289" s="4"/>
      <c r="H289" s="4"/>
      <c r="I289" s="4"/>
      <c r="J289" s="4"/>
    </row>
    <row r="290" spans="6:10">
      <c r="F290" s="4"/>
      <c r="G290" s="4"/>
      <c r="H290" s="4"/>
      <c r="I290" s="4"/>
      <c r="J290" s="4"/>
    </row>
    <row r="291" spans="6:10">
      <c r="F291" s="4"/>
      <c r="G291" s="4"/>
      <c r="H291" s="4"/>
      <c r="I291" s="4"/>
      <c r="J291" s="4"/>
    </row>
    <row r="292" spans="6:10">
      <c r="F292" s="4"/>
      <c r="G292" s="4"/>
      <c r="H292" s="4"/>
      <c r="I292" s="4"/>
      <c r="J292" s="4"/>
    </row>
    <row r="293" spans="6:10">
      <c r="F293" s="4"/>
      <c r="G293" s="4"/>
      <c r="H293" s="4"/>
      <c r="I293" s="4"/>
      <c r="J293" s="4"/>
    </row>
    <row r="294" spans="6:10">
      <c r="F294" s="4"/>
      <c r="G294" s="4"/>
      <c r="H294" s="4"/>
      <c r="I294" s="4"/>
      <c r="J294" s="4"/>
    </row>
    <row r="295" spans="6:10">
      <c r="F295" s="4"/>
      <c r="G295" s="4"/>
      <c r="H295" s="4"/>
      <c r="I295" s="4"/>
      <c r="J295" s="4"/>
    </row>
    <row r="296" spans="6:10">
      <c r="F296" s="4"/>
      <c r="G296" s="4"/>
      <c r="H296" s="4"/>
      <c r="I296" s="4"/>
      <c r="J296" s="4"/>
    </row>
    <row r="297" spans="6:10">
      <c r="F297" s="4"/>
      <c r="G297" s="4"/>
      <c r="H297" s="4"/>
      <c r="I297" s="4"/>
      <c r="J297" s="4"/>
    </row>
    <row r="298" spans="6:10">
      <c r="F298" s="4"/>
      <c r="G298" s="4"/>
      <c r="H298" s="4"/>
      <c r="I298" s="4"/>
      <c r="J298" s="4"/>
    </row>
    <row r="299" spans="6:10">
      <c r="F299" s="4"/>
      <c r="G299" s="4"/>
      <c r="H299" s="4"/>
      <c r="I299" s="4"/>
      <c r="J299" s="4"/>
    </row>
    <row r="300" spans="6:10">
      <c r="F300" s="4"/>
      <c r="G300" s="4"/>
      <c r="H300" s="4"/>
      <c r="I300" s="4"/>
      <c r="J300" s="4"/>
    </row>
    <row r="301" spans="6:10">
      <c r="F301" s="4"/>
      <c r="G301" s="4"/>
      <c r="H301" s="4"/>
      <c r="I301" s="4"/>
      <c r="J301" s="4"/>
    </row>
    <row r="302" spans="6:10">
      <c r="F302" s="4"/>
      <c r="G302" s="4"/>
      <c r="H302" s="4"/>
      <c r="I302" s="4"/>
      <c r="J302" s="4"/>
    </row>
    <row r="303" spans="6:10">
      <c r="F303" s="4"/>
      <c r="G303" s="4"/>
      <c r="H303" s="4"/>
      <c r="I303" s="4"/>
      <c r="J303" s="4"/>
    </row>
    <row r="304" spans="6:10">
      <c r="F304" s="4"/>
      <c r="G304" s="4"/>
      <c r="H304" s="4"/>
      <c r="I304" s="4"/>
      <c r="J304" s="4"/>
    </row>
    <row r="305" spans="6:10">
      <c r="F305" s="4"/>
      <c r="G305" s="4"/>
      <c r="H305" s="4"/>
      <c r="I305" s="4"/>
      <c r="J305" s="4"/>
    </row>
    <row r="306" spans="6:10">
      <c r="F306" s="4"/>
      <c r="G306" s="4"/>
      <c r="H306" s="4"/>
      <c r="I306" s="4"/>
      <c r="J306" s="4"/>
    </row>
    <row r="307" spans="6:10">
      <c r="F307" s="4"/>
      <c r="G307" s="4"/>
      <c r="H307" s="4"/>
      <c r="I307" s="4"/>
      <c r="J307" s="4"/>
    </row>
    <row r="308" spans="6:10">
      <c r="F308" s="4"/>
      <c r="G308" s="4"/>
      <c r="H308" s="4"/>
      <c r="I308" s="4"/>
      <c r="J308" s="4"/>
    </row>
    <row r="309" spans="6:10">
      <c r="F309" s="4"/>
      <c r="G309" s="4"/>
      <c r="H309" s="4"/>
      <c r="I309" s="4"/>
      <c r="J309" s="4"/>
    </row>
    <row r="310" spans="6:10">
      <c r="F310" s="4"/>
      <c r="G310" s="4"/>
      <c r="H310" s="4"/>
      <c r="I310" s="4"/>
      <c r="J310" s="4"/>
    </row>
    <row r="311" spans="6:10">
      <c r="F311" s="4"/>
      <c r="G311" s="4"/>
      <c r="H311" s="4"/>
      <c r="I311" s="4"/>
      <c r="J311" s="4"/>
    </row>
    <row r="312" spans="6:10">
      <c r="F312" s="4"/>
      <c r="G312" s="4"/>
      <c r="H312" s="4"/>
      <c r="I312" s="4"/>
      <c r="J312" s="4"/>
    </row>
    <row r="313" spans="6:10">
      <c r="F313" s="4"/>
      <c r="G313" s="4"/>
      <c r="H313" s="4"/>
      <c r="I313" s="4"/>
      <c r="J313" s="4"/>
    </row>
    <row r="314" spans="6:10">
      <c r="F314" s="4"/>
      <c r="G314" s="4"/>
      <c r="H314" s="4"/>
      <c r="I314" s="4"/>
      <c r="J314" s="4"/>
    </row>
    <row r="315" spans="6:10">
      <c r="F315" s="4"/>
      <c r="G315" s="4"/>
      <c r="H315" s="4"/>
      <c r="I315" s="4"/>
      <c r="J315" s="4"/>
    </row>
    <row r="316" spans="6:10">
      <c r="F316" s="4"/>
      <c r="G316" s="4"/>
      <c r="H316" s="4"/>
      <c r="I316" s="4"/>
      <c r="J316" s="4"/>
    </row>
    <row r="317" spans="6:10">
      <c r="F317" s="4"/>
      <c r="G317" s="4"/>
      <c r="H317" s="4"/>
      <c r="I317" s="4"/>
      <c r="J317" s="4"/>
    </row>
    <row r="318" spans="6:10">
      <c r="F318" s="4"/>
      <c r="G318" s="4"/>
      <c r="H318" s="4"/>
      <c r="I318" s="4"/>
      <c r="J318" s="4"/>
    </row>
    <row r="319" spans="6:10">
      <c r="F319" s="4"/>
      <c r="G319" s="4"/>
      <c r="H319" s="4"/>
      <c r="I319" s="4"/>
      <c r="J319" s="4"/>
    </row>
    <row r="320" spans="6:10">
      <c r="F320" s="4"/>
      <c r="G320" s="4"/>
      <c r="H320" s="4"/>
      <c r="I320" s="4"/>
      <c r="J320" s="4"/>
    </row>
    <row r="321" spans="6:10">
      <c r="F321" s="4"/>
      <c r="G321" s="4"/>
      <c r="H321" s="4"/>
      <c r="I321" s="4"/>
      <c r="J321" s="4"/>
    </row>
    <row r="322" spans="6:10">
      <c r="F322" s="4"/>
      <c r="G322" s="4"/>
      <c r="H322" s="4"/>
      <c r="I322" s="4"/>
      <c r="J322" s="4"/>
    </row>
    <row r="323" spans="6:10">
      <c r="F323" s="4"/>
      <c r="G323" s="4"/>
      <c r="H323" s="4"/>
      <c r="I323" s="4"/>
      <c r="J323" s="4"/>
    </row>
    <row r="324" spans="6:10">
      <c r="F324" s="4"/>
      <c r="G324" s="4"/>
      <c r="H324" s="4"/>
      <c r="I324" s="4"/>
      <c r="J324" s="4"/>
    </row>
    <row r="325" spans="6:10">
      <c r="F325" s="4"/>
      <c r="G325" s="4"/>
      <c r="H325" s="4"/>
      <c r="I325" s="4"/>
      <c r="J325" s="4"/>
    </row>
    <row r="326" spans="6:10">
      <c r="F326" s="4"/>
      <c r="G326" s="4"/>
      <c r="H326" s="4"/>
      <c r="I326" s="4"/>
      <c r="J326" s="4"/>
    </row>
    <row r="327" spans="6:10">
      <c r="F327" s="4"/>
      <c r="G327" s="4"/>
      <c r="H327" s="4"/>
      <c r="I327" s="4"/>
      <c r="J327" s="4"/>
    </row>
    <row r="328" spans="6:10">
      <c r="F328" s="4"/>
      <c r="G328" s="4"/>
      <c r="H328" s="4"/>
      <c r="I328" s="4"/>
      <c r="J328" s="4"/>
    </row>
    <row r="329" spans="6:10">
      <c r="F329" s="4"/>
      <c r="G329" s="4"/>
      <c r="H329" s="4"/>
      <c r="I329" s="4"/>
      <c r="J329" s="4"/>
    </row>
    <row r="330" spans="6:10">
      <c r="F330" s="4"/>
      <c r="G330" s="4"/>
      <c r="H330" s="4"/>
      <c r="I330" s="4"/>
      <c r="J330" s="4"/>
    </row>
    <row r="331" spans="6:10">
      <c r="F331" s="4"/>
      <c r="G331" s="4"/>
      <c r="H331" s="4"/>
      <c r="I331" s="4"/>
      <c r="J331" s="4"/>
    </row>
    <row r="332" spans="6:10">
      <c r="F332" s="4"/>
      <c r="G332" s="4"/>
      <c r="H332" s="4"/>
      <c r="I332" s="4"/>
      <c r="J332" s="4"/>
    </row>
    <row r="333" spans="6:10">
      <c r="F333" s="4"/>
      <c r="G333" s="4"/>
      <c r="H333" s="4"/>
      <c r="I333" s="4"/>
      <c r="J333" s="4"/>
    </row>
    <row r="334" spans="6:10">
      <c r="F334" s="4"/>
      <c r="G334" s="4"/>
      <c r="H334" s="4"/>
      <c r="I334" s="4"/>
      <c r="J334" s="4"/>
    </row>
    <row r="335" spans="6:10">
      <c r="F335" s="4"/>
      <c r="G335" s="4"/>
      <c r="H335" s="4"/>
      <c r="I335" s="4"/>
      <c r="J335" s="4"/>
    </row>
    <row r="336" spans="6:10">
      <c r="F336" s="4"/>
      <c r="G336" s="4"/>
      <c r="H336" s="4"/>
      <c r="I336" s="4"/>
      <c r="J336" s="4"/>
    </row>
    <row r="337" spans="6:10">
      <c r="F337" s="4"/>
      <c r="G337" s="4"/>
      <c r="H337" s="4"/>
      <c r="I337" s="4"/>
      <c r="J337" s="4"/>
    </row>
    <row r="338" spans="6:10">
      <c r="F338" s="4"/>
      <c r="G338" s="4"/>
      <c r="H338" s="4"/>
      <c r="I338" s="4"/>
      <c r="J338" s="4"/>
    </row>
    <row r="339" spans="6:10">
      <c r="F339" s="4"/>
      <c r="G339" s="4"/>
      <c r="H339" s="4"/>
      <c r="I339" s="4"/>
      <c r="J339" s="4"/>
    </row>
    <row r="340" spans="6:10">
      <c r="F340" s="4"/>
      <c r="G340" s="4"/>
      <c r="H340" s="4"/>
      <c r="I340" s="4"/>
      <c r="J340" s="4"/>
    </row>
    <row r="341" spans="6:10">
      <c r="J341" s="4"/>
    </row>
    <row r="342" spans="6:10">
      <c r="J342" s="4"/>
    </row>
    <row r="343" spans="6:10">
      <c r="J343" s="4"/>
    </row>
    <row r="344" spans="6:10">
      <c r="J344" s="4"/>
    </row>
    <row r="345" spans="6:10">
      <c r="J345" s="4"/>
    </row>
    <row r="346" spans="6:10">
      <c r="J346" s="4"/>
    </row>
    <row r="347" spans="6:10">
      <c r="J347" s="4"/>
    </row>
    <row r="348" spans="6:10">
      <c r="J348" s="4"/>
    </row>
    <row r="349" spans="6:10">
      <c r="J349" s="4"/>
    </row>
    <row r="350" spans="6:10">
      <c r="J350" s="4"/>
    </row>
    <row r="351" spans="6:10">
      <c r="J351" s="4"/>
    </row>
    <row r="352" spans="6:10">
      <c r="J352" s="4"/>
    </row>
    <row r="353" spans="10:10">
      <c r="J353" s="4"/>
    </row>
    <row r="354" spans="10:10">
      <c r="J354" s="4"/>
    </row>
    <row r="355" spans="10:10">
      <c r="J355" s="4"/>
    </row>
    <row r="356" spans="10:10">
      <c r="J356" s="4"/>
    </row>
    <row r="357" spans="10:10">
      <c r="J357" s="4"/>
    </row>
    <row r="358" spans="10:10">
      <c r="J358" s="4"/>
    </row>
    <row r="359" spans="10:10">
      <c r="J359" s="4"/>
    </row>
    <row r="360" spans="10:10">
      <c r="J360" s="4"/>
    </row>
    <row r="361" spans="10:10">
      <c r="J361" s="4"/>
    </row>
    <row r="362" spans="10:10">
      <c r="J362" s="4"/>
    </row>
    <row r="363" spans="10:10">
      <c r="J363" s="4"/>
    </row>
    <row r="364" spans="10:10">
      <c r="J364" s="4"/>
    </row>
    <row r="365" spans="10:10">
      <c r="J365" s="4"/>
    </row>
    <row r="366" spans="10:10">
      <c r="J366" s="4"/>
    </row>
    <row r="367" spans="10:10">
      <c r="J367" s="4"/>
    </row>
    <row r="368" spans="10:10">
      <c r="J368" s="4"/>
    </row>
    <row r="369" spans="10:10">
      <c r="J369" s="4"/>
    </row>
    <row r="370" spans="10:10">
      <c r="J370" s="4"/>
    </row>
    <row r="371" spans="10:10">
      <c r="J371" s="4"/>
    </row>
    <row r="372" spans="10:10">
      <c r="J372" s="4"/>
    </row>
    <row r="373" spans="10:10">
      <c r="J373" s="4"/>
    </row>
    <row r="374" spans="10:10">
      <c r="J374" s="4"/>
    </row>
    <row r="375" spans="10:10">
      <c r="J375" s="4"/>
    </row>
    <row r="376" spans="10:10">
      <c r="J376" s="4"/>
    </row>
    <row r="377" spans="10:10">
      <c r="J377" s="4"/>
    </row>
    <row r="378" spans="10:10">
      <c r="J378" s="4"/>
    </row>
    <row r="379" spans="10:10">
      <c r="J379" s="4"/>
    </row>
    <row r="380" spans="10:10">
      <c r="J380" s="4"/>
    </row>
    <row r="381" spans="10:10">
      <c r="J381" s="4"/>
    </row>
    <row r="382" spans="10:10">
      <c r="J382" s="4"/>
    </row>
    <row r="383" spans="10:10">
      <c r="J383" s="4"/>
    </row>
    <row r="384" spans="10:10">
      <c r="J384" s="4"/>
    </row>
    <row r="385" spans="10:10">
      <c r="J385" s="4"/>
    </row>
    <row r="386" spans="10:10">
      <c r="J386" s="4"/>
    </row>
  </sheetData>
  <mergeCells count="5">
    <mergeCell ref="Q281:R281"/>
    <mergeCell ref="A1:I1"/>
    <mergeCell ref="K1:O1"/>
    <mergeCell ref="Q1:R1"/>
    <mergeCell ref="U1:W1"/>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D365"/>
  <sheetViews>
    <sheetView showGridLines="0" zoomScale="60" zoomScaleNormal="60" workbookViewId="0">
      <pane ySplit="2" topLeftCell="A3" activePane="bottomLeft" state="frozen"/>
      <selection activeCell="O24" sqref="A1:XFD1048576"/>
      <selection pane="bottomLeft" activeCell="Y356" sqref="A1:Y356"/>
    </sheetView>
  </sheetViews>
  <sheetFormatPr defaultColWidth="9.109375" defaultRowHeight="13.8"/>
  <cols>
    <col min="1" max="1" width="43.88671875" style="286" customWidth="1"/>
    <col min="2" max="2" width="22.109375" style="286" customWidth="1"/>
    <col min="3" max="3" width="20.33203125" style="286" bestFit="1" customWidth="1"/>
    <col min="4" max="4" width="25" style="286" bestFit="1" customWidth="1"/>
    <col min="5" max="5" width="17" style="286" bestFit="1" customWidth="1"/>
    <col min="6" max="6" width="16.5546875" style="286" bestFit="1" customWidth="1"/>
    <col min="7" max="7" width="9.109375" style="286"/>
    <col min="8" max="8" width="19.109375" style="286" customWidth="1"/>
    <col min="9" max="9" width="19" style="286" customWidth="1"/>
    <col min="10" max="10" width="21.44140625" style="286" customWidth="1"/>
    <col min="11" max="14" width="17.6640625" style="286" customWidth="1"/>
    <col min="15" max="15" width="19.44140625" style="286" customWidth="1"/>
    <col min="16" max="16" width="15.5546875" style="4" customWidth="1"/>
    <col min="17" max="17" width="16.44140625" style="4" customWidth="1"/>
    <col min="18" max="18" width="12.109375" style="4" customWidth="1"/>
    <col min="19" max="19" width="15.6640625" style="4" bestFit="1" customWidth="1"/>
    <col min="20" max="20" width="22.44140625" style="4" customWidth="1"/>
    <col min="21" max="21" width="16.109375" style="4" bestFit="1" customWidth="1"/>
    <col min="22" max="22" width="22.33203125" style="4" customWidth="1"/>
    <col min="23" max="23" width="17.88671875" style="4" bestFit="1" customWidth="1"/>
    <col min="24" max="24" width="15.33203125" style="4" bestFit="1" customWidth="1"/>
    <col min="25" max="25" width="16.109375" style="4" bestFit="1" customWidth="1"/>
    <col min="26" max="26" width="19.44140625" style="286" customWidth="1"/>
    <col min="27" max="27" width="29.44140625" style="286" bestFit="1" customWidth="1"/>
    <col min="28" max="28" width="20.33203125" style="286" bestFit="1" customWidth="1"/>
    <col min="29" max="29" width="18.6640625" style="286" bestFit="1" customWidth="1"/>
    <col min="30" max="30" width="24" style="286" bestFit="1" customWidth="1"/>
    <col min="31" max="16384" width="9.109375" style="286"/>
  </cols>
  <sheetData>
    <row r="1" spans="1:30" ht="14.4" thickBot="1">
      <c r="A1" s="1015" t="s">
        <v>2066</v>
      </c>
      <c r="B1" s="1016"/>
      <c r="C1" s="1016"/>
      <c r="D1" s="1016"/>
      <c r="E1" s="1016"/>
      <c r="F1" s="1017"/>
      <c r="G1" s="1018" t="s">
        <v>51</v>
      </c>
      <c r="H1" s="1019"/>
      <c r="I1" s="1019"/>
      <c r="J1" s="1019"/>
      <c r="K1" s="1019"/>
      <c r="L1" s="1019"/>
      <c r="M1" s="1019"/>
      <c r="N1" s="1019"/>
      <c r="O1" s="1019"/>
      <c r="P1" s="993" t="s">
        <v>101</v>
      </c>
      <c r="Q1" s="994"/>
      <c r="R1" s="995"/>
      <c r="S1" s="990" t="s">
        <v>103</v>
      </c>
      <c r="T1" s="991"/>
      <c r="U1" s="992"/>
      <c r="V1" s="285" t="s">
        <v>725</v>
      </c>
      <c r="W1" s="987" t="s">
        <v>45</v>
      </c>
      <c r="X1" s="988"/>
      <c r="Y1" s="989"/>
      <c r="AA1" s="1014" t="s">
        <v>147</v>
      </c>
      <c r="AB1" s="1014"/>
      <c r="AC1" s="1014"/>
      <c r="AD1" s="1014"/>
    </row>
    <row r="2" spans="1:30" ht="41.4">
      <c r="A2" s="287" t="s">
        <v>1689</v>
      </c>
      <c r="B2" s="288" t="s">
        <v>136</v>
      </c>
      <c r="C2" s="288" t="s">
        <v>1496</v>
      </c>
      <c r="D2" s="289" t="s">
        <v>142</v>
      </c>
      <c r="E2" s="289" t="s">
        <v>1679</v>
      </c>
      <c r="F2" s="290" t="s">
        <v>141</v>
      </c>
      <c r="G2" s="291" t="s">
        <v>30</v>
      </c>
      <c r="H2" s="292" t="s">
        <v>137</v>
      </c>
      <c r="I2" s="292">
        <v>2015</v>
      </c>
      <c r="J2" s="292">
        <v>2016</v>
      </c>
      <c r="K2" s="292">
        <v>2017</v>
      </c>
      <c r="L2" s="292">
        <v>2018</v>
      </c>
      <c r="M2" s="293">
        <v>2019</v>
      </c>
      <c r="N2" s="293">
        <v>2020</v>
      </c>
      <c r="O2" s="294" t="s">
        <v>217</v>
      </c>
      <c r="P2" s="295" t="s">
        <v>99</v>
      </c>
      <c r="Q2" s="296" t="s">
        <v>100</v>
      </c>
      <c r="R2" s="297" t="s">
        <v>102</v>
      </c>
      <c r="S2" s="298" t="s">
        <v>53</v>
      </c>
      <c r="T2" s="299" t="s">
        <v>50</v>
      </c>
      <c r="U2" s="300" t="s">
        <v>102</v>
      </c>
      <c r="V2" s="301" t="s">
        <v>725</v>
      </c>
      <c r="W2" s="302" t="s">
        <v>104</v>
      </c>
      <c r="X2" s="303" t="s">
        <v>74</v>
      </c>
      <c r="Y2" s="304" t="s">
        <v>50</v>
      </c>
      <c r="AA2" s="305"/>
      <c r="AB2" s="305" t="s">
        <v>49</v>
      </c>
      <c r="AC2" s="305" t="s">
        <v>74</v>
      </c>
      <c r="AD2" s="305" t="s">
        <v>146</v>
      </c>
    </row>
    <row r="3" spans="1:30">
      <c r="A3" s="730" t="s">
        <v>1806</v>
      </c>
      <c r="B3" s="332">
        <v>437</v>
      </c>
      <c r="C3" s="332">
        <v>240</v>
      </c>
      <c r="D3" s="332">
        <v>25</v>
      </c>
      <c r="E3" s="331" t="s">
        <v>1641</v>
      </c>
      <c r="F3" s="731">
        <v>2902755.0596147967</v>
      </c>
      <c r="G3" s="324" t="s">
        <v>66</v>
      </c>
      <c r="H3" s="325">
        <v>2016</v>
      </c>
      <c r="I3" s="306">
        <f>+IF($H3=I$2,VLOOKUP($G3,Depreciation!$A$14:$L$18,7,FALSE)/2,IF($H3&lt;I$2,VLOOKUP($G3,Depreciation!$A$14:$L$18,7,FALSE),0))</f>
        <v>0</v>
      </c>
      <c r="J3" s="306">
        <f>+IF($H3=J$2,VLOOKUP($G3,Depreciation!$A$14:$L$18,8,FALSE)/2,IF($H3&lt;J$2,VLOOKUP($G3,Depreciation!$A$14:$L$18,8,FALSE),0))</f>
        <v>1.231622525054236E-2</v>
      </c>
      <c r="K3" s="306">
        <f>+IF($H3=K$2,VLOOKUP($G3,Depreciation!$A$14:$L$18,9,FALSE)/2,IF($H3&lt;K$2,VLOOKUP($G3,Depreciation!$A$14:$L$18,9,FALSE),0))</f>
        <v>2.4351536427798831E-2</v>
      </c>
      <c r="L3" s="306">
        <f>+IF($H3=L$2,VLOOKUP($G3,Depreciation!$A$14:$L$18,10,FALSE)/2,IF($H3&lt;L$2,VLOOKUP($G3,Depreciation!$A$14:$L$18,10,FALSE),0))</f>
        <v>2.4351536427798831E-2</v>
      </c>
      <c r="M3" s="306">
        <f>+IF($H3=M$2,VLOOKUP($G3,Depreciation!$A$14:$L$18,11,FALSE)/2,IF($H3&lt;M$2,VLOOKUP($G3,Depreciation!$A$14:$L$18,11,FALSE),0))</f>
        <v>2.4351536427798831E-2</v>
      </c>
      <c r="N3" s="306">
        <f>+IF($H3=N$2,VLOOKUP($G3,Depreciation!$A$14:$L$18,12,FALSE)/2,IF($H3&lt;N$2,VLOOKUP($G3,Depreciation!$A$14:$L$18,12,FALSE),0))</f>
        <v>2.4351536427798831E-2</v>
      </c>
      <c r="O3" s="307">
        <f>IF(H3&lt;=2015,F3*(1-I3),0)</f>
        <v>0</v>
      </c>
      <c r="P3" s="732">
        <v>0</v>
      </c>
      <c r="Q3" s="733">
        <v>1</v>
      </c>
      <c r="R3" s="734">
        <f>1-P3-Q3</f>
        <v>0</v>
      </c>
      <c r="S3" s="735">
        <f>+P3*$O3</f>
        <v>0</v>
      </c>
      <c r="T3" s="735">
        <f t="shared" ref="T3:U3" si="0">+Q3*$O3</f>
        <v>0</v>
      </c>
      <c r="U3" s="735">
        <f t="shared" si="0"/>
        <v>0</v>
      </c>
      <c r="V3" s="736">
        <f>IF(AND(R3=1,D3=0),O3,0)</f>
        <v>0</v>
      </c>
      <c r="W3" s="735">
        <f>S3+IF(D3&gt;144,U3,0)</f>
        <v>0</v>
      </c>
      <c r="X3" s="737">
        <f>IF(AND(D3&lt;=144,D3&gt;=69),U3,0)</f>
        <v>0</v>
      </c>
      <c r="Y3" s="738">
        <f>T3+IF(AND(D3&lt;69,D3&gt;0),U3,0)</f>
        <v>0</v>
      </c>
      <c r="Z3" s="627"/>
      <c r="AA3" s="313" t="s">
        <v>108</v>
      </c>
      <c r="AB3" s="314">
        <f>W356</f>
        <v>1447293354.5241923</v>
      </c>
      <c r="AC3" s="314">
        <f>X356</f>
        <v>193541839.22159982</v>
      </c>
      <c r="AD3" s="314">
        <f>Y356</f>
        <v>263413582.63657933</v>
      </c>
    </row>
    <row r="4" spans="1:30">
      <c r="A4" s="730" t="s">
        <v>1807</v>
      </c>
      <c r="B4" s="332">
        <v>437</v>
      </c>
      <c r="C4" s="332">
        <v>240</v>
      </c>
      <c r="D4" s="332">
        <v>25</v>
      </c>
      <c r="E4" s="331" t="s">
        <v>1946</v>
      </c>
      <c r="F4" s="731">
        <v>1919444.9403852033</v>
      </c>
      <c r="G4" s="324" t="s">
        <v>66</v>
      </c>
      <c r="H4" s="325">
        <v>2016</v>
      </c>
      <c r="I4" s="306">
        <f>+IF($H4=I$2,VLOOKUP($G4,Depreciation!$A$14:$L$18,7,FALSE)/2,IF($H4&lt;I$2,VLOOKUP($G4,Depreciation!$A$14:$L$18,7,FALSE),0))</f>
        <v>0</v>
      </c>
      <c r="J4" s="306">
        <f>+IF($H4=J$2,VLOOKUP($G4,Depreciation!$A$14:$L$18,8,FALSE)/2,IF($H4&lt;J$2,VLOOKUP($G4,Depreciation!$A$14:$L$18,8,FALSE),0))</f>
        <v>1.231622525054236E-2</v>
      </c>
      <c r="K4" s="306">
        <f>+IF($H4=K$2,VLOOKUP($G4,Depreciation!$A$14:$L$18,9,FALSE)/2,IF($H4&lt;K$2,VLOOKUP($G4,Depreciation!$A$14:$L$18,9,FALSE),0))</f>
        <v>2.4351536427798831E-2</v>
      </c>
      <c r="L4" s="306">
        <f>+IF($H4=L$2,VLOOKUP($G4,Depreciation!$A$14:$L$18,10,FALSE)/2,IF($H4&lt;L$2,VLOOKUP($G4,Depreciation!$A$14:$L$18,10,FALSE),0))</f>
        <v>2.4351536427798831E-2</v>
      </c>
      <c r="M4" s="306">
        <f>+IF($H4=M$2,VLOOKUP($G4,Depreciation!$A$14:$L$18,11,FALSE)/2,IF($H4&lt;M$2,VLOOKUP($G4,Depreciation!$A$14:$L$18,11,FALSE),0))</f>
        <v>2.4351536427798831E-2</v>
      </c>
      <c r="N4" s="306">
        <f>+IF($H4=N$2,VLOOKUP($G4,Depreciation!$A$14:$L$18,12,FALSE)/2,IF($H4&lt;N$2,VLOOKUP($G4,Depreciation!$A$14:$L$18,12,FALSE),0))</f>
        <v>2.4351536427798831E-2</v>
      </c>
      <c r="O4" s="307">
        <f t="shared" ref="O4:O67" si="1">IF(H4&lt;=2015,F4*(1-I4),0)</f>
        <v>0</v>
      </c>
      <c r="P4" s="732">
        <v>0</v>
      </c>
      <c r="Q4" s="733">
        <v>1</v>
      </c>
      <c r="R4" s="734">
        <f t="shared" ref="R4:R67" si="2">1-P4-Q4</f>
        <v>0</v>
      </c>
      <c r="S4" s="735">
        <f t="shared" ref="S4:S67" si="3">+P4*$O4</f>
        <v>0</v>
      </c>
      <c r="T4" s="735">
        <f t="shared" ref="T4:T67" si="4">+Q4*$O4</f>
        <v>0</v>
      </c>
      <c r="U4" s="735">
        <f t="shared" ref="U4:U67" si="5">+R4*$O4</f>
        <v>0</v>
      </c>
      <c r="V4" s="736">
        <f t="shared" ref="V4:V67" si="6">IF(AND(R4=1,D4=0),O4,0)</f>
        <v>0</v>
      </c>
      <c r="W4" s="735">
        <f t="shared" ref="W4:W67" si="7">S4+IF(D4&gt;144,U4,0)</f>
        <v>0</v>
      </c>
      <c r="X4" s="737">
        <f t="shared" ref="X4:X67" si="8">IF(AND(D4&lt;=144,D4&gt;=69),U4,0)</f>
        <v>0</v>
      </c>
      <c r="Y4" s="738">
        <f t="shared" ref="Y4:Y67" si="9">T4+IF(AND(D4&lt;69,D4&gt;0),U4,0)</f>
        <v>0</v>
      </c>
      <c r="Z4" s="627"/>
      <c r="AA4" s="313" t="s">
        <v>109</v>
      </c>
      <c r="AB4" s="315">
        <f>+AB3/SUM($AB$3:$AD$3)</f>
        <v>0.76003375844290266</v>
      </c>
      <c r="AC4" s="315">
        <f>+AC3/SUM($AB$3:$AD$3)</f>
        <v>0.10163684578507866</v>
      </c>
      <c r="AD4" s="315">
        <f>+AD3/SUM($AB$3:$AD$3)</f>
        <v>0.13832939577201867</v>
      </c>
    </row>
    <row r="5" spans="1:30">
      <c r="A5" s="730" t="s">
        <v>1808</v>
      </c>
      <c r="B5" s="332">
        <v>479</v>
      </c>
      <c r="C5" s="332">
        <v>240</v>
      </c>
      <c r="D5" s="332">
        <v>138</v>
      </c>
      <c r="E5" s="331" t="s">
        <v>1570</v>
      </c>
      <c r="F5" s="731">
        <v>6192429.956324066</v>
      </c>
      <c r="G5" s="324" t="s">
        <v>4</v>
      </c>
      <c r="H5" s="325">
        <v>2019</v>
      </c>
      <c r="I5" s="306">
        <f>+IF($H5=I$2,VLOOKUP($G5,Depreciation!$A$14:$L$18,7,FALSE)/2,IF($H5&lt;I$2,VLOOKUP($G5,Depreciation!$A$14:$L$18,7,FALSE),0))</f>
        <v>0</v>
      </c>
      <c r="J5" s="306">
        <f>+IF($H5=J$2,VLOOKUP($G5,Depreciation!$A$14:$L$18,8,FALSE)/2,IF($H5&lt;J$2,VLOOKUP($G5,Depreciation!$A$14:$L$18,8,FALSE),0))</f>
        <v>0</v>
      </c>
      <c r="K5" s="306">
        <f>+IF($H5=K$2,VLOOKUP($G5,Depreciation!$A$14:$L$18,9,FALSE)/2,IF($H5&lt;K$2,VLOOKUP($G5,Depreciation!$A$14:$L$18,9,FALSE),0))</f>
        <v>0</v>
      </c>
      <c r="L5" s="306">
        <f>+IF($H5=L$2,VLOOKUP($G5,Depreciation!$A$14:$L$18,10,FALSE)/2,IF($H5&lt;L$2,VLOOKUP($G5,Depreciation!$A$14:$L$18,10,FALSE),0))</f>
        <v>0</v>
      </c>
      <c r="M5" s="306">
        <f>+IF($H5=M$2,VLOOKUP($G5,Depreciation!$A$14:$L$18,11,FALSE)/2,IF($H5&lt;M$2,VLOOKUP($G5,Depreciation!$A$14:$L$18,11,FALSE),0))</f>
        <v>1.671703928371859E-2</v>
      </c>
      <c r="N5" s="306">
        <f>+IF($H5=N$2,VLOOKUP($G5,Depreciation!$A$14:$L$18,12,FALSE)/2,IF($H5&lt;N$2,VLOOKUP($G5,Depreciation!$A$14:$L$18,12,FALSE),0))</f>
        <v>3.343407856743718E-2</v>
      </c>
      <c r="O5" s="307">
        <f t="shared" si="1"/>
        <v>0</v>
      </c>
      <c r="P5" s="732">
        <v>0</v>
      </c>
      <c r="Q5" s="733">
        <v>0</v>
      </c>
      <c r="R5" s="734">
        <f t="shared" si="2"/>
        <v>1</v>
      </c>
      <c r="S5" s="735">
        <f t="shared" si="3"/>
        <v>0</v>
      </c>
      <c r="T5" s="735">
        <f t="shared" si="4"/>
        <v>0</v>
      </c>
      <c r="U5" s="735">
        <f t="shared" si="5"/>
        <v>0</v>
      </c>
      <c r="V5" s="736">
        <f t="shared" si="6"/>
        <v>0</v>
      </c>
      <c r="W5" s="735">
        <f t="shared" si="7"/>
        <v>0</v>
      </c>
      <c r="X5" s="737">
        <f t="shared" si="8"/>
        <v>0</v>
      </c>
      <c r="Y5" s="738">
        <f t="shared" si="9"/>
        <v>0</v>
      </c>
      <c r="Z5" s="627"/>
    </row>
    <row r="6" spans="1:30">
      <c r="A6" s="730" t="s">
        <v>1459</v>
      </c>
      <c r="B6" s="332">
        <v>479</v>
      </c>
      <c r="C6" s="332">
        <v>240</v>
      </c>
      <c r="D6" s="332">
        <v>240</v>
      </c>
      <c r="E6" s="331" t="s">
        <v>1529</v>
      </c>
      <c r="F6" s="731">
        <v>3207190.9954739143</v>
      </c>
      <c r="G6" s="324" t="s">
        <v>4</v>
      </c>
      <c r="H6" s="325">
        <v>2019</v>
      </c>
      <c r="I6" s="306">
        <f>+IF($H6=I$2,VLOOKUP($G6,Depreciation!$A$14:$L$18,7,FALSE)/2,IF($H6&lt;I$2,VLOOKUP($G6,Depreciation!$A$14:$L$18,7,FALSE),0))</f>
        <v>0</v>
      </c>
      <c r="J6" s="306">
        <f>+IF($H6=J$2,VLOOKUP($G6,Depreciation!$A$14:$L$18,8,FALSE)/2,IF($H6&lt;J$2,VLOOKUP($G6,Depreciation!$A$14:$L$18,8,FALSE),0))</f>
        <v>0</v>
      </c>
      <c r="K6" s="306">
        <f>+IF($H6=K$2,VLOOKUP($G6,Depreciation!$A$14:$L$18,9,FALSE)/2,IF($H6&lt;K$2,VLOOKUP($G6,Depreciation!$A$14:$L$18,9,FALSE),0))</f>
        <v>0</v>
      </c>
      <c r="L6" s="306">
        <f>+IF($H6=L$2,VLOOKUP($G6,Depreciation!$A$14:$L$18,10,FALSE)/2,IF($H6&lt;L$2,VLOOKUP($G6,Depreciation!$A$14:$L$18,10,FALSE),0))</f>
        <v>0</v>
      </c>
      <c r="M6" s="306">
        <f>+IF($H6=M$2,VLOOKUP($G6,Depreciation!$A$14:$L$18,11,FALSE)/2,IF($H6&lt;M$2,VLOOKUP($G6,Depreciation!$A$14:$L$18,11,FALSE),0))</f>
        <v>1.671703928371859E-2</v>
      </c>
      <c r="N6" s="306">
        <f>+IF($H6=N$2,VLOOKUP($G6,Depreciation!$A$14:$L$18,12,FALSE)/2,IF($H6&lt;N$2,VLOOKUP($G6,Depreciation!$A$14:$L$18,12,FALSE),0))</f>
        <v>3.343407856743718E-2</v>
      </c>
      <c r="O6" s="307">
        <f t="shared" si="1"/>
        <v>0</v>
      </c>
      <c r="P6" s="732">
        <v>0</v>
      </c>
      <c r="Q6" s="733">
        <v>0</v>
      </c>
      <c r="R6" s="734">
        <f t="shared" si="2"/>
        <v>1</v>
      </c>
      <c r="S6" s="735">
        <f t="shared" si="3"/>
        <v>0</v>
      </c>
      <c r="T6" s="735">
        <f t="shared" si="4"/>
        <v>0</v>
      </c>
      <c r="U6" s="735">
        <f t="shared" si="5"/>
        <v>0</v>
      </c>
      <c r="V6" s="736">
        <f t="shared" si="6"/>
        <v>0</v>
      </c>
      <c r="W6" s="735">
        <f t="shared" si="7"/>
        <v>0</v>
      </c>
      <c r="X6" s="737">
        <f t="shared" si="8"/>
        <v>0</v>
      </c>
      <c r="Y6" s="738">
        <f t="shared" si="9"/>
        <v>0</v>
      </c>
      <c r="Z6" s="627"/>
      <c r="AA6" s="286" t="s">
        <v>180</v>
      </c>
      <c r="AB6" s="316">
        <f>+O356</f>
        <v>1980667562.0555449</v>
      </c>
    </row>
    <row r="7" spans="1:30">
      <c r="A7" s="730" t="s">
        <v>1809</v>
      </c>
      <c r="B7" s="332">
        <v>479</v>
      </c>
      <c r="C7" s="332">
        <v>240</v>
      </c>
      <c r="D7" s="332">
        <v>0</v>
      </c>
      <c r="E7" s="331" t="s">
        <v>1947</v>
      </c>
      <c r="F7" s="731">
        <v>694965.93628763652</v>
      </c>
      <c r="G7" s="324" t="s">
        <v>4</v>
      </c>
      <c r="H7" s="325">
        <v>2019</v>
      </c>
      <c r="I7" s="306">
        <f>+IF($H7=I$2,VLOOKUP($G7,Depreciation!$A$14:$L$18,7,FALSE)/2,IF($H7&lt;I$2,VLOOKUP($G7,Depreciation!$A$14:$L$18,7,FALSE),0))</f>
        <v>0</v>
      </c>
      <c r="J7" s="306">
        <f>+IF($H7=J$2,VLOOKUP($G7,Depreciation!$A$14:$L$18,8,FALSE)/2,IF($H7&lt;J$2,VLOOKUP($G7,Depreciation!$A$14:$L$18,8,FALSE),0))</f>
        <v>0</v>
      </c>
      <c r="K7" s="306">
        <f>+IF($H7=K$2,VLOOKUP($G7,Depreciation!$A$14:$L$18,9,FALSE)/2,IF($H7&lt;K$2,VLOOKUP($G7,Depreciation!$A$14:$L$18,9,FALSE),0))</f>
        <v>0</v>
      </c>
      <c r="L7" s="306">
        <f>+IF($H7=L$2,VLOOKUP($G7,Depreciation!$A$14:$L$18,10,FALSE)/2,IF($H7&lt;L$2,VLOOKUP($G7,Depreciation!$A$14:$L$18,10,FALSE),0))</f>
        <v>0</v>
      </c>
      <c r="M7" s="306">
        <f>+IF($H7=M$2,VLOOKUP($G7,Depreciation!$A$14:$L$18,11,FALSE)/2,IF($H7&lt;M$2,VLOOKUP($G7,Depreciation!$A$14:$L$18,11,FALSE),0))</f>
        <v>1.671703928371859E-2</v>
      </c>
      <c r="N7" s="306">
        <f>+IF($H7=N$2,VLOOKUP($G7,Depreciation!$A$14:$L$18,12,FALSE)/2,IF($H7&lt;N$2,VLOOKUP($G7,Depreciation!$A$14:$L$18,12,FALSE),0))</f>
        <v>3.343407856743718E-2</v>
      </c>
      <c r="O7" s="307">
        <f t="shared" si="1"/>
        <v>0</v>
      </c>
      <c r="P7" s="732">
        <v>0</v>
      </c>
      <c r="Q7" s="733">
        <v>0</v>
      </c>
      <c r="R7" s="734">
        <f t="shared" si="2"/>
        <v>1</v>
      </c>
      <c r="S7" s="735">
        <f t="shared" si="3"/>
        <v>0</v>
      </c>
      <c r="T7" s="735">
        <f t="shared" si="4"/>
        <v>0</v>
      </c>
      <c r="U7" s="735">
        <f t="shared" si="5"/>
        <v>0</v>
      </c>
      <c r="V7" s="736">
        <f t="shared" si="6"/>
        <v>0</v>
      </c>
      <c r="W7" s="735">
        <f t="shared" si="7"/>
        <v>0</v>
      </c>
      <c r="X7" s="737">
        <f t="shared" si="8"/>
        <v>0</v>
      </c>
      <c r="Y7" s="738">
        <f t="shared" si="9"/>
        <v>0</v>
      </c>
      <c r="Z7" s="627"/>
    </row>
    <row r="8" spans="1:30">
      <c r="A8" s="730" t="s">
        <v>1810</v>
      </c>
      <c r="B8" s="332">
        <v>513</v>
      </c>
      <c r="C8" s="332">
        <v>145</v>
      </c>
      <c r="D8" s="332">
        <v>0</v>
      </c>
      <c r="E8" s="331" t="s">
        <v>1948</v>
      </c>
      <c r="F8" s="731">
        <v>637591.72154280276</v>
      </c>
      <c r="G8" s="324" t="s">
        <v>4</v>
      </c>
      <c r="H8" s="325">
        <v>2017</v>
      </c>
      <c r="I8" s="306">
        <f>+IF($H8=I$2,VLOOKUP($G8,Depreciation!$A$14:$L$18,7,FALSE)/2,IF($H8&lt;I$2,VLOOKUP($G8,Depreciation!$A$14:$L$18,7,FALSE),0))</f>
        <v>0</v>
      </c>
      <c r="J8" s="306">
        <f>+IF($H8=J$2,VLOOKUP($G8,Depreciation!$A$14:$L$18,8,FALSE)/2,IF($H8&lt;J$2,VLOOKUP($G8,Depreciation!$A$14:$L$18,8,FALSE),0))</f>
        <v>0</v>
      </c>
      <c r="K8" s="306">
        <f>+IF($H8=K$2,VLOOKUP($G8,Depreciation!$A$14:$L$18,9,FALSE)/2,IF($H8&lt;K$2,VLOOKUP($G8,Depreciation!$A$14:$L$18,9,FALSE),0))</f>
        <v>1.671703928371859E-2</v>
      </c>
      <c r="L8" s="306">
        <f>+IF($H8=L$2,VLOOKUP($G8,Depreciation!$A$14:$L$18,10,FALSE)/2,IF($H8&lt;L$2,VLOOKUP($G8,Depreciation!$A$14:$L$18,10,FALSE),0))</f>
        <v>3.343407856743718E-2</v>
      </c>
      <c r="M8" s="306">
        <f>+IF($H8=M$2,VLOOKUP($G8,Depreciation!$A$14:$L$18,11,FALSE)/2,IF($H8&lt;M$2,VLOOKUP($G8,Depreciation!$A$14:$L$18,11,FALSE),0))</f>
        <v>3.343407856743718E-2</v>
      </c>
      <c r="N8" s="306">
        <f>+IF($H8=N$2,VLOOKUP($G8,Depreciation!$A$14:$L$18,12,FALSE)/2,IF($H8&lt;N$2,VLOOKUP($G8,Depreciation!$A$14:$L$18,12,FALSE),0))</f>
        <v>3.343407856743718E-2</v>
      </c>
      <c r="O8" s="307">
        <f t="shared" si="1"/>
        <v>0</v>
      </c>
      <c r="P8" s="732">
        <v>0</v>
      </c>
      <c r="Q8" s="733">
        <v>0</v>
      </c>
      <c r="R8" s="734">
        <f t="shared" si="2"/>
        <v>1</v>
      </c>
      <c r="S8" s="735">
        <f t="shared" si="3"/>
        <v>0</v>
      </c>
      <c r="T8" s="735">
        <f t="shared" si="4"/>
        <v>0</v>
      </c>
      <c r="U8" s="735">
        <f t="shared" si="5"/>
        <v>0</v>
      </c>
      <c r="V8" s="736">
        <f t="shared" si="6"/>
        <v>0</v>
      </c>
      <c r="W8" s="735">
        <f t="shared" si="7"/>
        <v>0</v>
      </c>
      <c r="X8" s="737">
        <f t="shared" si="8"/>
        <v>0</v>
      </c>
      <c r="Y8" s="738">
        <f t="shared" si="9"/>
        <v>0</v>
      </c>
      <c r="Z8" s="627"/>
      <c r="AA8" s="1014" t="s">
        <v>147</v>
      </c>
      <c r="AB8" s="1014"/>
      <c r="AC8" s="1014"/>
      <c r="AD8" s="1014"/>
    </row>
    <row r="9" spans="1:30">
      <c r="A9" s="730" t="s">
        <v>1320</v>
      </c>
      <c r="B9" s="332">
        <v>513</v>
      </c>
      <c r="C9" s="332">
        <v>240</v>
      </c>
      <c r="D9" s="332">
        <v>69</v>
      </c>
      <c r="E9" s="331" t="s">
        <v>1575</v>
      </c>
      <c r="F9" s="731">
        <v>338720.60206961393</v>
      </c>
      <c r="G9" s="324" t="s">
        <v>4</v>
      </c>
      <c r="H9" s="325">
        <v>2017</v>
      </c>
      <c r="I9" s="306">
        <f>+IF($H9=I$2,VLOOKUP($G9,Depreciation!$A$14:$L$18,7,FALSE)/2,IF($H9&lt;I$2,VLOOKUP($G9,Depreciation!$A$14:$L$18,7,FALSE),0))</f>
        <v>0</v>
      </c>
      <c r="J9" s="306">
        <f>+IF($H9=J$2,VLOOKUP($G9,Depreciation!$A$14:$L$18,8,FALSE)/2,IF($H9&lt;J$2,VLOOKUP($G9,Depreciation!$A$14:$L$18,8,FALSE),0))</f>
        <v>0</v>
      </c>
      <c r="K9" s="306">
        <f>+IF($H9=K$2,VLOOKUP($G9,Depreciation!$A$14:$L$18,9,FALSE)/2,IF($H9&lt;K$2,VLOOKUP($G9,Depreciation!$A$14:$L$18,9,FALSE),0))</f>
        <v>1.671703928371859E-2</v>
      </c>
      <c r="L9" s="306">
        <f>+IF($H9=L$2,VLOOKUP($G9,Depreciation!$A$14:$L$18,10,FALSE)/2,IF($H9&lt;L$2,VLOOKUP($G9,Depreciation!$A$14:$L$18,10,FALSE),0))</f>
        <v>3.343407856743718E-2</v>
      </c>
      <c r="M9" s="306">
        <f>+IF($H9=M$2,VLOOKUP($G9,Depreciation!$A$14:$L$18,11,FALSE)/2,IF($H9&lt;M$2,VLOOKUP($G9,Depreciation!$A$14:$L$18,11,FALSE),0))</f>
        <v>3.343407856743718E-2</v>
      </c>
      <c r="N9" s="306">
        <f>+IF($H9=N$2,VLOOKUP($G9,Depreciation!$A$14:$L$18,12,FALSE)/2,IF($H9&lt;N$2,VLOOKUP($G9,Depreciation!$A$14:$L$18,12,FALSE),0))</f>
        <v>3.343407856743718E-2</v>
      </c>
      <c r="O9" s="307">
        <f t="shared" si="1"/>
        <v>0</v>
      </c>
      <c r="P9" s="732">
        <v>0.796875</v>
      </c>
      <c r="Q9" s="733">
        <v>0.203125</v>
      </c>
      <c r="R9" s="734">
        <f t="shared" si="2"/>
        <v>0</v>
      </c>
      <c r="S9" s="735">
        <f t="shared" si="3"/>
        <v>0</v>
      </c>
      <c r="T9" s="735">
        <f t="shared" si="4"/>
        <v>0</v>
      </c>
      <c r="U9" s="735">
        <f t="shared" si="5"/>
        <v>0</v>
      </c>
      <c r="V9" s="736">
        <f t="shared" si="6"/>
        <v>0</v>
      </c>
      <c r="W9" s="735">
        <f t="shared" si="7"/>
        <v>0</v>
      </c>
      <c r="X9" s="737">
        <f t="shared" si="8"/>
        <v>0</v>
      </c>
      <c r="Y9" s="738">
        <f t="shared" si="9"/>
        <v>0</v>
      </c>
      <c r="Z9" s="627"/>
      <c r="AA9" s="305"/>
      <c r="AB9" s="305" t="s">
        <v>49</v>
      </c>
      <c r="AC9" s="305" t="s">
        <v>74</v>
      </c>
      <c r="AD9" s="305" t="s">
        <v>146</v>
      </c>
    </row>
    <row r="10" spans="1:30">
      <c r="A10" s="730" t="s">
        <v>1811</v>
      </c>
      <c r="B10" s="332">
        <v>513</v>
      </c>
      <c r="C10" s="332">
        <v>240</v>
      </c>
      <c r="D10" s="332">
        <v>25</v>
      </c>
      <c r="E10" s="331" t="s">
        <v>1949</v>
      </c>
      <c r="F10" s="731">
        <v>282267.16839134495</v>
      </c>
      <c r="G10" s="324" t="s">
        <v>4</v>
      </c>
      <c r="H10" s="325">
        <v>2017</v>
      </c>
      <c r="I10" s="306">
        <f>+IF($H10=I$2,VLOOKUP($G10,Depreciation!$A$14:$L$18,7,FALSE)/2,IF($H10&lt;I$2,VLOOKUP($G10,Depreciation!$A$14:$L$18,7,FALSE),0))</f>
        <v>0</v>
      </c>
      <c r="J10" s="306">
        <f>+IF($H10=J$2,VLOOKUP($G10,Depreciation!$A$14:$L$18,8,FALSE)/2,IF($H10&lt;J$2,VLOOKUP($G10,Depreciation!$A$14:$L$18,8,FALSE),0))</f>
        <v>0</v>
      </c>
      <c r="K10" s="306">
        <f>+IF($H10=K$2,VLOOKUP($G10,Depreciation!$A$14:$L$18,9,FALSE)/2,IF($H10&lt;K$2,VLOOKUP($G10,Depreciation!$A$14:$L$18,9,FALSE),0))</f>
        <v>1.671703928371859E-2</v>
      </c>
      <c r="L10" s="306">
        <f>+IF($H10=L$2,VLOOKUP($G10,Depreciation!$A$14:$L$18,10,FALSE)/2,IF($H10&lt;L$2,VLOOKUP($G10,Depreciation!$A$14:$L$18,10,FALSE),0))</f>
        <v>3.343407856743718E-2</v>
      </c>
      <c r="M10" s="306">
        <f>+IF($H10=M$2,VLOOKUP($G10,Depreciation!$A$14:$L$18,11,FALSE)/2,IF($H10&lt;M$2,VLOOKUP($G10,Depreciation!$A$14:$L$18,11,FALSE),0))</f>
        <v>3.343407856743718E-2</v>
      </c>
      <c r="N10" s="306">
        <f>+IF($H10=N$2,VLOOKUP($G10,Depreciation!$A$14:$L$18,12,FALSE)/2,IF($H10&lt;N$2,VLOOKUP($G10,Depreciation!$A$14:$L$18,12,FALSE),0))</f>
        <v>3.343407856743718E-2</v>
      </c>
      <c r="O10" s="307">
        <f t="shared" si="1"/>
        <v>0</v>
      </c>
      <c r="P10" s="732">
        <v>0</v>
      </c>
      <c r="Q10" s="733">
        <v>1</v>
      </c>
      <c r="R10" s="734">
        <f t="shared" si="2"/>
        <v>0</v>
      </c>
      <c r="S10" s="735">
        <f t="shared" si="3"/>
        <v>0</v>
      </c>
      <c r="T10" s="735">
        <f t="shared" si="4"/>
        <v>0</v>
      </c>
      <c r="U10" s="735">
        <f t="shared" si="5"/>
        <v>0</v>
      </c>
      <c r="V10" s="736">
        <f t="shared" si="6"/>
        <v>0</v>
      </c>
      <c r="W10" s="735">
        <f t="shared" si="7"/>
        <v>0</v>
      </c>
      <c r="X10" s="737">
        <f t="shared" si="8"/>
        <v>0</v>
      </c>
      <c r="Y10" s="738">
        <f t="shared" si="9"/>
        <v>0</v>
      </c>
      <c r="Z10" s="627"/>
      <c r="AA10" s="313" t="s">
        <v>1681</v>
      </c>
      <c r="AB10" s="314">
        <f>AB4*$AB$6</f>
        <v>1505374211.4150169</v>
      </c>
      <c r="AC10" s="314">
        <f>AC4*$AB$6</f>
        <v>201308803.55614713</v>
      </c>
      <c r="AD10" s="314">
        <f>AD4*$AB$6</f>
        <v>273984547.08438081</v>
      </c>
    </row>
    <row r="11" spans="1:30">
      <c r="A11" s="730" t="s">
        <v>1812</v>
      </c>
      <c r="B11" s="332">
        <v>513</v>
      </c>
      <c r="C11" s="332">
        <v>138</v>
      </c>
      <c r="D11" s="332">
        <v>0</v>
      </c>
      <c r="E11" s="331" t="s">
        <v>1950</v>
      </c>
      <c r="F11" s="731">
        <v>597742.23894637753</v>
      </c>
      <c r="G11" s="324" t="s">
        <v>4</v>
      </c>
      <c r="H11" s="325">
        <v>2017</v>
      </c>
      <c r="I11" s="306">
        <f>+IF($H11=I$2,VLOOKUP($G11,Depreciation!$A$14:$L$18,7,FALSE)/2,IF($H11&lt;I$2,VLOOKUP($G11,Depreciation!$A$14:$L$18,7,FALSE),0))</f>
        <v>0</v>
      </c>
      <c r="J11" s="306">
        <f>+IF($H11=J$2,VLOOKUP($G11,Depreciation!$A$14:$L$18,8,FALSE)/2,IF($H11&lt;J$2,VLOOKUP($G11,Depreciation!$A$14:$L$18,8,FALSE),0))</f>
        <v>0</v>
      </c>
      <c r="K11" s="306">
        <f>+IF($H11=K$2,VLOOKUP($G11,Depreciation!$A$14:$L$18,9,FALSE)/2,IF($H11&lt;K$2,VLOOKUP($G11,Depreciation!$A$14:$L$18,9,FALSE),0))</f>
        <v>1.671703928371859E-2</v>
      </c>
      <c r="L11" s="306">
        <f>+IF($H11=L$2,VLOOKUP($G11,Depreciation!$A$14:$L$18,10,FALSE)/2,IF($H11&lt;L$2,VLOOKUP($G11,Depreciation!$A$14:$L$18,10,FALSE),0))</f>
        <v>3.343407856743718E-2</v>
      </c>
      <c r="M11" s="306">
        <f>+IF($H11=M$2,VLOOKUP($G11,Depreciation!$A$14:$L$18,11,FALSE)/2,IF($H11&lt;M$2,VLOOKUP($G11,Depreciation!$A$14:$L$18,11,FALSE),0))</f>
        <v>3.343407856743718E-2</v>
      </c>
      <c r="N11" s="306">
        <f>+IF($H11=N$2,VLOOKUP($G11,Depreciation!$A$14:$L$18,12,FALSE)/2,IF($H11&lt;N$2,VLOOKUP($G11,Depreciation!$A$14:$L$18,12,FALSE),0))</f>
        <v>3.343407856743718E-2</v>
      </c>
      <c r="O11" s="307">
        <f t="shared" si="1"/>
        <v>0</v>
      </c>
      <c r="P11" s="732">
        <v>0</v>
      </c>
      <c r="Q11" s="733">
        <v>0</v>
      </c>
      <c r="R11" s="734">
        <f t="shared" si="2"/>
        <v>1</v>
      </c>
      <c r="S11" s="735">
        <f t="shared" si="3"/>
        <v>0</v>
      </c>
      <c r="T11" s="735">
        <f t="shared" si="4"/>
        <v>0</v>
      </c>
      <c r="U11" s="735">
        <f t="shared" si="5"/>
        <v>0</v>
      </c>
      <c r="V11" s="736">
        <f t="shared" si="6"/>
        <v>0</v>
      </c>
      <c r="W11" s="735">
        <f t="shared" si="7"/>
        <v>0</v>
      </c>
      <c r="X11" s="737">
        <f t="shared" si="8"/>
        <v>0</v>
      </c>
      <c r="Y11" s="738">
        <f t="shared" si="9"/>
        <v>0</v>
      </c>
      <c r="Z11" s="627"/>
    </row>
    <row r="12" spans="1:30">
      <c r="A12" s="730" t="s">
        <v>1813</v>
      </c>
      <c r="B12" s="332">
        <v>524</v>
      </c>
      <c r="C12" s="332">
        <v>240</v>
      </c>
      <c r="D12" s="332">
        <v>25</v>
      </c>
      <c r="E12" s="331" t="s">
        <v>1577</v>
      </c>
      <c r="F12" s="731">
        <v>3365840.0000000009</v>
      </c>
      <c r="G12" s="324" t="s">
        <v>4</v>
      </c>
      <c r="H12" s="325">
        <v>2017</v>
      </c>
      <c r="I12" s="306">
        <f>+IF($H12=I$2,VLOOKUP($G12,Depreciation!$A$14:$L$18,7,FALSE)/2,IF($H12&lt;I$2,VLOOKUP($G12,Depreciation!$A$14:$L$18,7,FALSE),0))</f>
        <v>0</v>
      </c>
      <c r="J12" s="306">
        <f>+IF($H12=J$2,VLOOKUP($G12,Depreciation!$A$14:$L$18,8,FALSE)/2,IF($H12&lt;J$2,VLOOKUP($G12,Depreciation!$A$14:$L$18,8,FALSE),0))</f>
        <v>0</v>
      </c>
      <c r="K12" s="306">
        <f>+IF($H12=K$2,VLOOKUP($G12,Depreciation!$A$14:$L$18,9,FALSE)/2,IF($H12&lt;K$2,VLOOKUP($G12,Depreciation!$A$14:$L$18,9,FALSE),0))</f>
        <v>1.671703928371859E-2</v>
      </c>
      <c r="L12" s="306">
        <f>+IF($H12=L$2,VLOOKUP($G12,Depreciation!$A$14:$L$18,10,FALSE)/2,IF($H12&lt;L$2,VLOOKUP($G12,Depreciation!$A$14:$L$18,10,FALSE),0))</f>
        <v>3.343407856743718E-2</v>
      </c>
      <c r="M12" s="306">
        <f>+IF($H12=M$2,VLOOKUP($G12,Depreciation!$A$14:$L$18,11,FALSE)/2,IF($H12&lt;M$2,VLOOKUP($G12,Depreciation!$A$14:$L$18,11,FALSE),0))</f>
        <v>3.343407856743718E-2</v>
      </c>
      <c r="N12" s="306">
        <f>+IF($H12=N$2,VLOOKUP($G12,Depreciation!$A$14:$L$18,12,FALSE)/2,IF($H12&lt;N$2,VLOOKUP($G12,Depreciation!$A$14:$L$18,12,FALSE),0))</f>
        <v>3.343407856743718E-2</v>
      </c>
      <c r="O12" s="307">
        <f t="shared" si="1"/>
        <v>0</v>
      </c>
      <c r="P12" s="732">
        <v>0.99826388888888884</v>
      </c>
      <c r="Q12" s="733">
        <v>1.7361111111111112E-3</v>
      </c>
      <c r="R12" s="734">
        <f t="shared" si="2"/>
        <v>4.9222778630841901E-17</v>
      </c>
      <c r="S12" s="735">
        <f t="shared" si="3"/>
        <v>0</v>
      </c>
      <c r="T12" s="735">
        <f t="shared" si="4"/>
        <v>0</v>
      </c>
      <c r="U12" s="735">
        <f t="shared" si="5"/>
        <v>0</v>
      </c>
      <c r="V12" s="736">
        <f t="shared" si="6"/>
        <v>0</v>
      </c>
      <c r="W12" s="735">
        <f t="shared" si="7"/>
        <v>0</v>
      </c>
      <c r="X12" s="737">
        <f t="shared" si="8"/>
        <v>0</v>
      </c>
      <c r="Y12" s="738">
        <f t="shared" si="9"/>
        <v>0</v>
      </c>
      <c r="Z12" s="627"/>
    </row>
    <row r="13" spans="1:30">
      <c r="A13" s="730" t="s">
        <v>1814</v>
      </c>
      <c r="B13" s="332">
        <v>559</v>
      </c>
      <c r="C13" s="332">
        <v>240</v>
      </c>
      <c r="D13" s="332">
        <v>25</v>
      </c>
      <c r="E13" s="331" t="s">
        <v>1951</v>
      </c>
      <c r="F13" s="731">
        <v>40330685.047325686</v>
      </c>
      <c r="G13" s="324" t="s">
        <v>4</v>
      </c>
      <c r="H13" s="325">
        <v>2015</v>
      </c>
      <c r="I13" s="306">
        <f>+IF($H13=I$2,VLOOKUP($G13,Depreciation!$A$14:$L$18,7,FALSE)/2,IF($H13&lt;I$2,VLOOKUP($G13,Depreciation!$A$14:$L$18,7,FALSE),0))</f>
        <v>1.7228380322441735E-2</v>
      </c>
      <c r="J13" s="306">
        <f>+IF($H13=J$2,VLOOKUP($G13,Depreciation!$A$14:$L$18,8,FALSE)/2,IF($H13&lt;J$2,VLOOKUP($G13,Depreciation!$A$14:$L$18,8,FALSE),0))</f>
        <v>3.343407856743718E-2</v>
      </c>
      <c r="K13" s="306">
        <f>+IF($H13=K$2,VLOOKUP($G13,Depreciation!$A$14:$L$18,9,FALSE)/2,IF($H13&lt;K$2,VLOOKUP($G13,Depreciation!$A$14:$L$18,9,FALSE),0))</f>
        <v>3.343407856743718E-2</v>
      </c>
      <c r="L13" s="306">
        <f>+IF($H13=L$2,VLOOKUP($G13,Depreciation!$A$14:$L$18,10,FALSE)/2,IF($H13&lt;L$2,VLOOKUP($G13,Depreciation!$A$14:$L$18,10,FALSE),0))</f>
        <v>3.343407856743718E-2</v>
      </c>
      <c r="M13" s="306">
        <f>+IF($H13=M$2,VLOOKUP($G13,Depreciation!$A$14:$L$18,11,FALSE)/2,IF($H13&lt;M$2,VLOOKUP($G13,Depreciation!$A$14:$L$18,11,FALSE),0))</f>
        <v>3.343407856743718E-2</v>
      </c>
      <c r="N13" s="306">
        <f>+IF($H13=N$2,VLOOKUP($G13,Depreciation!$A$14:$L$18,12,FALSE)/2,IF($H13&lt;N$2,VLOOKUP($G13,Depreciation!$A$14:$L$18,12,FALSE),0))</f>
        <v>3.343407856743718E-2</v>
      </c>
      <c r="O13" s="307">
        <f t="shared" si="1"/>
        <v>39635852.66666574</v>
      </c>
      <c r="P13" s="732">
        <v>0</v>
      </c>
      <c r="Q13" s="733">
        <v>1</v>
      </c>
      <c r="R13" s="734">
        <f t="shared" si="2"/>
        <v>0</v>
      </c>
      <c r="S13" s="735">
        <f t="shared" si="3"/>
        <v>0</v>
      </c>
      <c r="T13" s="735">
        <f t="shared" si="4"/>
        <v>39635852.66666574</v>
      </c>
      <c r="U13" s="735">
        <f t="shared" si="5"/>
        <v>0</v>
      </c>
      <c r="V13" s="736">
        <f t="shared" si="6"/>
        <v>0</v>
      </c>
      <c r="W13" s="735">
        <f t="shared" si="7"/>
        <v>0</v>
      </c>
      <c r="X13" s="737">
        <f t="shared" si="8"/>
        <v>0</v>
      </c>
      <c r="Y13" s="738">
        <f t="shared" si="9"/>
        <v>39635852.66666574</v>
      </c>
      <c r="Z13" s="627"/>
    </row>
    <row r="14" spans="1:30">
      <c r="A14" s="739" t="s">
        <v>1815</v>
      </c>
      <c r="B14" s="740">
        <v>559</v>
      </c>
      <c r="C14" s="740">
        <v>240</v>
      </c>
      <c r="D14" s="332">
        <v>138</v>
      </c>
      <c r="E14" s="331" t="s">
        <v>1615</v>
      </c>
      <c r="F14" s="731">
        <v>5142.2812693605028</v>
      </c>
      <c r="G14" s="324" t="s">
        <v>4</v>
      </c>
      <c r="H14" s="325">
        <v>2015</v>
      </c>
      <c r="I14" s="306">
        <f>+IF($H14=I$2,VLOOKUP($G14,Depreciation!$A$14:$L$18,7,FALSE)/2,IF($H14&lt;I$2,VLOOKUP($G14,Depreciation!$A$14:$L$18,7,FALSE),0))</f>
        <v>1.7228380322441735E-2</v>
      </c>
      <c r="J14" s="306">
        <f>+IF($H14=J$2,VLOOKUP($G14,Depreciation!$A$14:$L$18,8,FALSE)/2,IF($H14&lt;J$2,VLOOKUP($G14,Depreciation!$A$14:$L$18,8,FALSE),0))</f>
        <v>3.343407856743718E-2</v>
      </c>
      <c r="K14" s="306">
        <f>+IF($H14=K$2,VLOOKUP($G14,Depreciation!$A$14:$L$18,9,FALSE)/2,IF($H14&lt;K$2,VLOOKUP($G14,Depreciation!$A$14:$L$18,9,FALSE),0))</f>
        <v>3.343407856743718E-2</v>
      </c>
      <c r="L14" s="306">
        <f>+IF($H14=L$2,VLOOKUP($G14,Depreciation!$A$14:$L$18,10,FALSE)/2,IF($H14&lt;L$2,VLOOKUP($G14,Depreciation!$A$14:$L$18,10,FALSE),0))</f>
        <v>3.343407856743718E-2</v>
      </c>
      <c r="M14" s="306">
        <f>+IF($H14=M$2,VLOOKUP($G14,Depreciation!$A$14:$L$18,11,FALSE)/2,IF($H14&lt;M$2,VLOOKUP($G14,Depreciation!$A$14:$L$18,11,FALSE),0))</f>
        <v>3.343407856743718E-2</v>
      </c>
      <c r="N14" s="306">
        <f>+IF($H14=N$2,VLOOKUP($G14,Depreciation!$A$14:$L$18,12,FALSE)/2,IF($H14&lt;N$2,VLOOKUP($G14,Depreciation!$A$14:$L$18,12,FALSE),0))</f>
        <v>3.343407856743718E-2</v>
      </c>
      <c r="O14" s="307">
        <f t="shared" si="1"/>
        <v>5053.6880919269915</v>
      </c>
      <c r="P14" s="732">
        <v>0</v>
      </c>
      <c r="Q14" s="733">
        <v>0</v>
      </c>
      <c r="R14" s="734">
        <f t="shared" si="2"/>
        <v>1</v>
      </c>
      <c r="S14" s="735">
        <f t="shared" si="3"/>
        <v>0</v>
      </c>
      <c r="T14" s="735">
        <f t="shared" si="4"/>
        <v>0</v>
      </c>
      <c r="U14" s="735">
        <f t="shared" si="5"/>
        <v>5053.6880919269915</v>
      </c>
      <c r="V14" s="736">
        <f t="shared" si="6"/>
        <v>0</v>
      </c>
      <c r="W14" s="735">
        <f t="shared" si="7"/>
        <v>0</v>
      </c>
      <c r="X14" s="737">
        <f t="shared" si="8"/>
        <v>5053.6880919269915</v>
      </c>
      <c r="Y14" s="738">
        <f t="shared" si="9"/>
        <v>0</v>
      </c>
      <c r="Z14" s="627"/>
    </row>
    <row r="15" spans="1:30">
      <c r="A15" s="730" t="s">
        <v>1816</v>
      </c>
      <c r="B15" s="332">
        <v>559</v>
      </c>
      <c r="C15" s="332">
        <v>240</v>
      </c>
      <c r="D15" s="332">
        <v>138</v>
      </c>
      <c r="E15" s="331" t="s">
        <v>1685</v>
      </c>
      <c r="F15" s="731">
        <v>80730.150925862225</v>
      </c>
      <c r="G15" s="324" t="s">
        <v>4</v>
      </c>
      <c r="H15" s="325">
        <v>2015</v>
      </c>
      <c r="I15" s="306">
        <f>+IF($H15=I$2,VLOOKUP($G15,Depreciation!$A$14:$L$18,7,FALSE)/2,IF($H15&lt;I$2,VLOOKUP($G15,Depreciation!$A$14:$L$18,7,FALSE),0))</f>
        <v>1.7228380322441735E-2</v>
      </c>
      <c r="J15" s="306">
        <f>+IF($H15=J$2,VLOOKUP($G15,Depreciation!$A$14:$L$18,8,FALSE)/2,IF($H15&lt;J$2,VLOOKUP($G15,Depreciation!$A$14:$L$18,8,FALSE),0))</f>
        <v>3.343407856743718E-2</v>
      </c>
      <c r="K15" s="306">
        <f>+IF($H15=K$2,VLOOKUP($G15,Depreciation!$A$14:$L$18,9,FALSE)/2,IF($H15&lt;K$2,VLOOKUP($G15,Depreciation!$A$14:$L$18,9,FALSE),0))</f>
        <v>3.343407856743718E-2</v>
      </c>
      <c r="L15" s="306">
        <f>+IF($H15=L$2,VLOOKUP($G15,Depreciation!$A$14:$L$18,10,FALSE)/2,IF($H15&lt;L$2,VLOOKUP($G15,Depreciation!$A$14:$L$18,10,FALSE),0))</f>
        <v>3.343407856743718E-2</v>
      </c>
      <c r="M15" s="306">
        <f>+IF($H15=M$2,VLOOKUP($G15,Depreciation!$A$14:$L$18,11,FALSE)/2,IF($H15&lt;M$2,VLOOKUP($G15,Depreciation!$A$14:$L$18,11,FALSE),0))</f>
        <v>3.343407856743718E-2</v>
      </c>
      <c r="N15" s="306">
        <f>+IF($H15=N$2,VLOOKUP($G15,Depreciation!$A$14:$L$18,12,FALSE)/2,IF($H15&lt;N$2,VLOOKUP($G15,Depreciation!$A$14:$L$18,12,FALSE),0))</f>
        <v>3.343407856743718E-2</v>
      </c>
      <c r="O15" s="307">
        <f t="shared" si="1"/>
        <v>79339.301182223338</v>
      </c>
      <c r="P15" s="732">
        <v>0</v>
      </c>
      <c r="Q15" s="733">
        <v>0</v>
      </c>
      <c r="R15" s="734">
        <f t="shared" si="2"/>
        <v>1</v>
      </c>
      <c r="S15" s="735">
        <f t="shared" si="3"/>
        <v>0</v>
      </c>
      <c r="T15" s="735">
        <f t="shared" si="4"/>
        <v>0</v>
      </c>
      <c r="U15" s="735">
        <f t="shared" si="5"/>
        <v>79339.301182223338</v>
      </c>
      <c r="V15" s="736">
        <f t="shared" si="6"/>
        <v>0</v>
      </c>
      <c r="W15" s="735">
        <f t="shared" si="7"/>
        <v>0</v>
      </c>
      <c r="X15" s="737">
        <f t="shared" si="8"/>
        <v>79339.301182223338</v>
      </c>
      <c r="Y15" s="738">
        <f t="shared" si="9"/>
        <v>0</v>
      </c>
      <c r="Z15" s="627"/>
    </row>
    <row r="16" spans="1:30">
      <c r="A16" s="730" t="s">
        <v>1814</v>
      </c>
      <c r="B16" s="332">
        <v>629</v>
      </c>
      <c r="C16" s="332">
        <v>240</v>
      </c>
      <c r="D16" s="332">
        <v>25</v>
      </c>
      <c r="E16" s="331" t="s">
        <v>1951</v>
      </c>
      <c r="F16" s="731">
        <v>10135.432206033322</v>
      </c>
      <c r="G16" s="324" t="s">
        <v>4</v>
      </c>
      <c r="H16" s="325">
        <v>2015</v>
      </c>
      <c r="I16" s="306">
        <f>+IF($H16=I$2,VLOOKUP($G16,Depreciation!$A$14:$L$18,7,FALSE)/2,IF($H16&lt;I$2,VLOOKUP($G16,Depreciation!$A$14:$L$18,7,FALSE),0))</f>
        <v>1.7228380322441735E-2</v>
      </c>
      <c r="J16" s="306">
        <f>+IF($H16=J$2,VLOOKUP($G16,Depreciation!$A$14:$L$18,8,FALSE)/2,IF($H16&lt;J$2,VLOOKUP($G16,Depreciation!$A$14:$L$18,8,FALSE),0))</f>
        <v>3.343407856743718E-2</v>
      </c>
      <c r="K16" s="306">
        <f>+IF($H16=K$2,VLOOKUP($G16,Depreciation!$A$14:$L$18,9,FALSE)/2,IF($H16&lt;K$2,VLOOKUP($G16,Depreciation!$A$14:$L$18,9,FALSE),0))</f>
        <v>3.343407856743718E-2</v>
      </c>
      <c r="L16" s="306">
        <f>+IF($H16=L$2,VLOOKUP($G16,Depreciation!$A$14:$L$18,10,FALSE)/2,IF($H16&lt;L$2,VLOOKUP($G16,Depreciation!$A$14:$L$18,10,FALSE),0))</f>
        <v>3.343407856743718E-2</v>
      </c>
      <c r="M16" s="306">
        <f>+IF($H16=M$2,VLOOKUP($G16,Depreciation!$A$14:$L$18,11,FALSE)/2,IF($H16&lt;M$2,VLOOKUP($G16,Depreciation!$A$14:$L$18,11,FALSE),0))</f>
        <v>3.343407856743718E-2</v>
      </c>
      <c r="N16" s="306">
        <f>+IF($H16=N$2,VLOOKUP($G16,Depreciation!$A$14:$L$18,12,FALSE)/2,IF($H16&lt;N$2,VLOOKUP($G16,Depreciation!$A$14:$L$18,12,FALSE),0))</f>
        <v>3.343407856743718E-2</v>
      </c>
      <c r="O16" s="307">
        <f t="shared" si="1"/>
        <v>9960.8151252554544</v>
      </c>
      <c r="P16" s="732">
        <v>0</v>
      </c>
      <c r="Q16" s="733">
        <v>1</v>
      </c>
      <c r="R16" s="734">
        <f t="shared" si="2"/>
        <v>0</v>
      </c>
      <c r="S16" s="735">
        <f t="shared" si="3"/>
        <v>0</v>
      </c>
      <c r="T16" s="735">
        <f t="shared" si="4"/>
        <v>9960.8151252554544</v>
      </c>
      <c r="U16" s="735">
        <f t="shared" si="5"/>
        <v>0</v>
      </c>
      <c r="V16" s="736">
        <f t="shared" si="6"/>
        <v>0</v>
      </c>
      <c r="W16" s="735">
        <f t="shared" si="7"/>
        <v>0</v>
      </c>
      <c r="X16" s="737">
        <f t="shared" si="8"/>
        <v>0</v>
      </c>
      <c r="Y16" s="738">
        <f t="shared" si="9"/>
        <v>9960.8151252554544</v>
      </c>
      <c r="Z16" s="627"/>
    </row>
    <row r="17" spans="1:26">
      <c r="A17" s="730" t="s">
        <v>1815</v>
      </c>
      <c r="B17" s="332">
        <v>629</v>
      </c>
      <c r="C17" s="332">
        <v>240</v>
      </c>
      <c r="D17" s="332">
        <v>138</v>
      </c>
      <c r="E17" s="331" t="s">
        <v>1615</v>
      </c>
      <c r="F17" s="731">
        <v>516260.4179627226</v>
      </c>
      <c r="G17" s="324" t="s">
        <v>4</v>
      </c>
      <c r="H17" s="325">
        <v>2015</v>
      </c>
      <c r="I17" s="306">
        <f>+IF($H17=I$2,VLOOKUP($G17,Depreciation!$A$14:$L$18,7,FALSE)/2,IF($H17&lt;I$2,VLOOKUP($G17,Depreciation!$A$14:$L$18,7,FALSE),0))</f>
        <v>1.7228380322441735E-2</v>
      </c>
      <c r="J17" s="306">
        <f>+IF($H17=J$2,VLOOKUP($G17,Depreciation!$A$14:$L$18,8,FALSE)/2,IF($H17&lt;J$2,VLOOKUP($G17,Depreciation!$A$14:$L$18,8,FALSE),0))</f>
        <v>3.343407856743718E-2</v>
      </c>
      <c r="K17" s="306">
        <f>+IF($H17=K$2,VLOOKUP($G17,Depreciation!$A$14:$L$18,9,FALSE)/2,IF($H17&lt;K$2,VLOOKUP($G17,Depreciation!$A$14:$L$18,9,FALSE),0))</f>
        <v>3.343407856743718E-2</v>
      </c>
      <c r="L17" s="306">
        <f>+IF($H17=L$2,VLOOKUP($G17,Depreciation!$A$14:$L$18,10,FALSE)/2,IF($H17&lt;L$2,VLOOKUP($G17,Depreciation!$A$14:$L$18,10,FALSE),0))</f>
        <v>3.343407856743718E-2</v>
      </c>
      <c r="M17" s="306">
        <f>+IF($H17=M$2,VLOOKUP($G17,Depreciation!$A$14:$L$18,11,FALSE)/2,IF($H17&lt;M$2,VLOOKUP($G17,Depreciation!$A$14:$L$18,11,FALSE),0))</f>
        <v>3.343407856743718E-2</v>
      </c>
      <c r="N17" s="306">
        <f>+IF($H17=N$2,VLOOKUP($G17,Depreciation!$A$14:$L$18,12,FALSE)/2,IF($H17&lt;N$2,VLOOKUP($G17,Depreciation!$A$14:$L$18,12,FALSE),0))</f>
        <v>3.343407856743718E-2</v>
      </c>
      <c r="O17" s="307">
        <f t="shared" si="1"/>
        <v>507366.08713663806</v>
      </c>
      <c r="P17" s="732">
        <v>0</v>
      </c>
      <c r="Q17" s="733">
        <v>0</v>
      </c>
      <c r="R17" s="734">
        <f t="shared" si="2"/>
        <v>1</v>
      </c>
      <c r="S17" s="735">
        <f t="shared" si="3"/>
        <v>0</v>
      </c>
      <c r="T17" s="735">
        <f t="shared" si="4"/>
        <v>0</v>
      </c>
      <c r="U17" s="735">
        <f t="shared" si="5"/>
        <v>507366.08713663806</v>
      </c>
      <c r="V17" s="736">
        <f t="shared" si="6"/>
        <v>0</v>
      </c>
      <c r="W17" s="735">
        <f t="shared" si="7"/>
        <v>0</v>
      </c>
      <c r="X17" s="737">
        <f t="shared" si="8"/>
        <v>507366.08713663806</v>
      </c>
      <c r="Y17" s="738">
        <f t="shared" si="9"/>
        <v>0</v>
      </c>
      <c r="Z17" s="627"/>
    </row>
    <row r="18" spans="1:26">
      <c r="A18" s="730" t="s">
        <v>1817</v>
      </c>
      <c r="B18" s="332">
        <v>629</v>
      </c>
      <c r="C18" s="332">
        <v>500</v>
      </c>
      <c r="D18" s="332">
        <v>240</v>
      </c>
      <c r="E18" s="331" t="s">
        <v>1556</v>
      </c>
      <c r="F18" s="731">
        <v>23778913.961869717</v>
      </c>
      <c r="G18" s="324" t="s">
        <v>4</v>
      </c>
      <c r="H18" s="325">
        <v>2015</v>
      </c>
      <c r="I18" s="306">
        <f>+IF($H18=I$2,VLOOKUP($G18,Depreciation!$A$14:$L$18,7,FALSE)/2,IF($H18&lt;I$2,VLOOKUP($G18,Depreciation!$A$14:$L$18,7,FALSE),0))</f>
        <v>1.7228380322441735E-2</v>
      </c>
      <c r="J18" s="306">
        <f>+IF($H18=J$2,VLOOKUP($G18,Depreciation!$A$14:$L$18,8,FALSE)/2,IF($H18&lt;J$2,VLOOKUP($G18,Depreciation!$A$14:$L$18,8,FALSE),0))</f>
        <v>3.343407856743718E-2</v>
      </c>
      <c r="K18" s="306">
        <f>+IF($H18=K$2,VLOOKUP($G18,Depreciation!$A$14:$L$18,9,FALSE)/2,IF($H18&lt;K$2,VLOOKUP($G18,Depreciation!$A$14:$L$18,9,FALSE),0))</f>
        <v>3.343407856743718E-2</v>
      </c>
      <c r="L18" s="306">
        <f>+IF($H18=L$2,VLOOKUP($G18,Depreciation!$A$14:$L$18,10,FALSE)/2,IF($H18&lt;L$2,VLOOKUP($G18,Depreciation!$A$14:$L$18,10,FALSE),0))</f>
        <v>3.343407856743718E-2</v>
      </c>
      <c r="M18" s="306">
        <f>+IF($H18=M$2,VLOOKUP($G18,Depreciation!$A$14:$L$18,11,FALSE)/2,IF($H18&lt;M$2,VLOOKUP($G18,Depreciation!$A$14:$L$18,11,FALSE),0))</f>
        <v>3.343407856743718E-2</v>
      </c>
      <c r="N18" s="306">
        <f>+IF($H18=N$2,VLOOKUP($G18,Depreciation!$A$14:$L$18,12,FALSE)/2,IF($H18&lt;N$2,VLOOKUP($G18,Depreciation!$A$14:$L$18,12,FALSE),0))</f>
        <v>3.343407856743718E-2</v>
      </c>
      <c r="O18" s="307">
        <f t="shared" si="1"/>
        <v>23369241.788480002</v>
      </c>
      <c r="P18" s="732">
        <v>0</v>
      </c>
      <c r="Q18" s="733">
        <v>0</v>
      </c>
      <c r="R18" s="734">
        <f t="shared" si="2"/>
        <v>1</v>
      </c>
      <c r="S18" s="735">
        <f t="shared" si="3"/>
        <v>0</v>
      </c>
      <c r="T18" s="735">
        <f t="shared" si="4"/>
        <v>0</v>
      </c>
      <c r="U18" s="735">
        <f t="shared" si="5"/>
        <v>23369241.788480002</v>
      </c>
      <c r="V18" s="736">
        <f t="shared" si="6"/>
        <v>0</v>
      </c>
      <c r="W18" s="735">
        <f t="shared" si="7"/>
        <v>23369241.788480002</v>
      </c>
      <c r="X18" s="737">
        <f t="shared" si="8"/>
        <v>0</v>
      </c>
      <c r="Y18" s="738">
        <f t="shared" si="9"/>
        <v>0</v>
      </c>
      <c r="Z18" s="627"/>
    </row>
    <row r="19" spans="1:26">
      <c r="A19" s="730" t="s">
        <v>1818</v>
      </c>
      <c r="B19" s="332">
        <v>629</v>
      </c>
      <c r="C19" s="332">
        <v>500</v>
      </c>
      <c r="D19" s="332">
        <v>240</v>
      </c>
      <c r="E19" s="331" t="s">
        <v>1952</v>
      </c>
      <c r="F19" s="731">
        <v>66671500.436580472</v>
      </c>
      <c r="G19" s="324" t="s">
        <v>4</v>
      </c>
      <c r="H19" s="325">
        <v>2015</v>
      </c>
      <c r="I19" s="306">
        <f>+IF($H19=I$2,VLOOKUP($G19,Depreciation!$A$14:$L$18,7,FALSE)/2,IF($H19&lt;I$2,VLOOKUP($G19,Depreciation!$A$14:$L$18,7,FALSE),0))</f>
        <v>1.7228380322441735E-2</v>
      </c>
      <c r="J19" s="306">
        <f>+IF($H19=J$2,VLOOKUP($G19,Depreciation!$A$14:$L$18,8,FALSE)/2,IF($H19&lt;J$2,VLOOKUP($G19,Depreciation!$A$14:$L$18,8,FALSE),0))</f>
        <v>3.343407856743718E-2</v>
      </c>
      <c r="K19" s="306">
        <f>+IF($H19=K$2,VLOOKUP($G19,Depreciation!$A$14:$L$18,9,FALSE)/2,IF($H19&lt;K$2,VLOOKUP($G19,Depreciation!$A$14:$L$18,9,FALSE),0))</f>
        <v>3.343407856743718E-2</v>
      </c>
      <c r="L19" s="306">
        <f>+IF($H19=L$2,VLOOKUP($G19,Depreciation!$A$14:$L$18,10,FALSE)/2,IF($H19&lt;L$2,VLOOKUP($G19,Depreciation!$A$14:$L$18,10,FALSE),0))</f>
        <v>3.343407856743718E-2</v>
      </c>
      <c r="M19" s="306">
        <f>+IF($H19=M$2,VLOOKUP($G19,Depreciation!$A$14:$L$18,11,FALSE)/2,IF($H19&lt;M$2,VLOOKUP($G19,Depreciation!$A$14:$L$18,11,FALSE),0))</f>
        <v>3.343407856743718E-2</v>
      </c>
      <c r="N19" s="306">
        <f>+IF($H19=N$2,VLOOKUP($G19,Depreciation!$A$14:$L$18,12,FALSE)/2,IF($H19&lt;N$2,VLOOKUP($G19,Depreciation!$A$14:$L$18,12,FALSE),0))</f>
        <v>3.343407856743718E-2</v>
      </c>
      <c r="O19" s="307">
        <f t="shared" si="1"/>
        <v>65522858.470391221</v>
      </c>
      <c r="P19" s="732">
        <v>0</v>
      </c>
      <c r="Q19" s="733">
        <v>0</v>
      </c>
      <c r="R19" s="734">
        <f t="shared" si="2"/>
        <v>1</v>
      </c>
      <c r="S19" s="735">
        <f t="shared" si="3"/>
        <v>0</v>
      </c>
      <c r="T19" s="735">
        <f t="shared" si="4"/>
        <v>0</v>
      </c>
      <c r="U19" s="735">
        <f t="shared" si="5"/>
        <v>65522858.470391221</v>
      </c>
      <c r="V19" s="736">
        <f t="shared" si="6"/>
        <v>0</v>
      </c>
      <c r="W19" s="735">
        <f t="shared" si="7"/>
        <v>65522858.470391221</v>
      </c>
      <c r="X19" s="737">
        <f t="shared" si="8"/>
        <v>0</v>
      </c>
      <c r="Y19" s="738">
        <f t="shared" si="9"/>
        <v>0</v>
      </c>
      <c r="Z19" s="627"/>
    </row>
    <row r="20" spans="1:26">
      <c r="A20" s="730" t="s">
        <v>1819</v>
      </c>
      <c r="B20" s="332">
        <v>629</v>
      </c>
      <c r="C20" s="332">
        <v>240</v>
      </c>
      <c r="D20" s="332">
        <v>138</v>
      </c>
      <c r="E20" s="331" t="s">
        <v>1685</v>
      </c>
      <c r="F20" s="731">
        <v>706122.92894576001</v>
      </c>
      <c r="G20" s="324" t="s">
        <v>4</v>
      </c>
      <c r="H20" s="325">
        <v>2015</v>
      </c>
      <c r="I20" s="306">
        <f>+IF($H20=I$2,VLOOKUP($G20,Depreciation!$A$14:$L$18,7,FALSE)/2,IF($H20&lt;I$2,VLOOKUP($G20,Depreciation!$A$14:$L$18,7,FALSE),0))</f>
        <v>1.7228380322441735E-2</v>
      </c>
      <c r="J20" s="306">
        <f>+IF($H20=J$2,VLOOKUP($G20,Depreciation!$A$14:$L$18,8,FALSE)/2,IF($H20&lt;J$2,VLOOKUP($G20,Depreciation!$A$14:$L$18,8,FALSE),0))</f>
        <v>3.343407856743718E-2</v>
      </c>
      <c r="K20" s="306">
        <f>+IF($H20=K$2,VLOOKUP($G20,Depreciation!$A$14:$L$18,9,FALSE)/2,IF($H20&lt;K$2,VLOOKUP($G20,Depreciation!$A$14:$L$18,9,FALSE),0))</f>
        <v>3.343407856743718E-2</v>
      </c>
      <c r="L20" s="306">
        <f>+IF($H20=L$2,VLOOKUP($G20,Depreciation!$A$14:$L$18,10,FALSE)/2,IF($H20&lt;L$2,VLOOKUP($G20,Depreciation!$A$14:$L$18,10,FALSE),0))</f>
        <v>3.343407856743718E-2</v>
      </c>
      <c r="M20" s="306">
        <f>+IF($H20=M$2,VLOOKUP($G20,Depreciation!$A$14:$L$18,11,FALSE)/2,IF($H20&lt;M$2,VLOOKUP($G20,Depreciation!$A$14:$L$18,11,FALSE),0))</f>
        <v>3.343407856743718E-2</v>
      </c>
      <c r="N20" s="306">
        <f>+IF($H20=N$2,VLOOKUP($G20,Depreciation!$A$14:$L$18,12,FALSE)/2,IF($H20&lt;N$2,VLOOKUP($G20,Depreciation!$A$14:$L$18,12,FALSE),0))</f>
        <v>3.343407856743718E-2</v>
      </c>
      <c r="O20" s="307">
        <f t="shared" si="1"/>
        <v>693957.57457148586</v>
      </c>
      <c r="P20" s="732">
        <v>0</v>
      </c>
      <c r="Q20" s="733">
        <v>0</v>
      </c>
      <c r="R20" s="734">
        <f t="shared" si="2"/>
        <v>1</v>
      </c>
      <c r="S20" s="735">
        <f t="shared" si="3"/>
        <v>0</v>
      </c>
      <c r="T20" s="735">
        <f t="shared" si="4"/>
        <v>0</v>
      </c>
      <c r="U20" s="735">
        <f t="shared" si="5"/>
        <v>693957.57457148586</v>
      </c>
      <c r="V20" s="736">
        <f t="shared" si="6"/>
        <v>0</v>
      </c>
      <c r="W20" s="735">
        <f t="shared" si="7"/>
        <v>0</v>
      </c>
      <c r="X20" s="737">
        <f t="shared" si="8"/>
        <v>693957.57457148586</v>
      </c>
      <c r="Y20" s="738">
        <f t="shared" si="9"/>
        <v>0</v>
      </c>
      <c r="Z20" s="627"/>
    </row>
    <row r="21" spans="1:26">
      <c r="A21" s="730" t="s">
        <v>1408</v>
      </c>
      <c r="B21" s="332">
        <v>635</v>
      </c>
      <c r="C21" s="332">
        <v>240</v>
      </c>
      <c r="D21" s="332">
        <v>240</v>
      </c>
      <c r="E21" s="331" t="s">
        <v>1526</v>
      </c>
      <c r="F21" s="731">
        <v>17584069.1948951</v>
      </c>
      <c r="G21" s="324" t="s">
        <v>66</v>
      </c>
      <c r="H21" s="325">
        <v>2019</v>
      </c>
      <c r="I21" s="306">
        <f>+IF($H21=I$2,VLOOKUP($G21,Depreciation!$A$14:$L$18,7,FALSE)/2,IF($H21&lt;I$2,VLOOKUP($G21,Depreciation!$A$14:$L$18,7,FALSE),0))</f>
        <v>0</v>
      </c>
      <c r="J21" s="306">
        <f>+IF($H21=J$2,VLOOKUP($G21,Depreciation!$A$14:$L$18,8,FALSE)/2,IF($H21&lt;J$2,VLOOKUP($G21,Depreciation!$A$14:$L$18,8,FALSE),0))</f>
        <v>0</v>
      </c>
      <c r="K21" s="306">
        <f>+IF($H21=K$2,VLOOKUP($G21,Depreciation!$A$14:$L$18,9,FALSE)/2,IF($H21&lt;K$2,VLOOKUP($G21,Depreciation!$A$14:$L$18,9,FALSE),0))</f>
        <v>0</v>
      </c>
      <c r="L21" s="306">
        <f>+IF($H21=L$2,VLOOKUP($G21,Depreciation!$A$14:$L$18,10,FALSE)/2,IF($H21&lt;L$2,VLOOKUP($G21,Depreciation!$A$14:$L$18,10,FALSE),0))</f>
        <v>0</v>
      </c>
      <c r="M21" s="306">
        <f>+IF($H21=M$2,VLOOKUP($G21,Depreciation!$A$14:$L$18,11,FALSE)/2,IF($H21&lt;M$2,VLOOKUP($G21,Depreciation!$A$14:$L$18,11,FALSE),0))</f>
        <v>1.2175768213899416E-2</v>
      </c>
      <c r="N21" s="306">
        <f>+IF($H21=N$2,VLOOKUP($G21,Depreciation!$A$14:$L$18,12,FALSE)/2,IF($H21&lt;N$2,VLOOKUP($G21,Depreciation!$A$14:$L$18,12,FALSE),0))</f>
        <v>2.4351536427798831E-2</v>
      </c>
      <c r="O21" s="307">
        <f t="shared" si="1"/>
        <v>0</v>
      </c>
      <c r="P21" s="732">
        <v>0</v>
      </c>
      <c r="Q21" s="733">
        <v>0</v>
      </c>
      <c r="R21" s="734">
        <f t="shared" si="2"/>
        <v>1</v>
      </c>
      <c r="S21" s="735">
        <f t="shared" si="3"/>
        <v>0</v>
      </c>
      <c r="T21" s="735">
        <f t="shared" si="4"/>
        <v>0</v>
      </c>
      <c r="U21" s="735">
        <f t="shared" si="5"/>
        <v>0</v>
      </c>
      <c r="V21" s="736">
        <f t="shared" si="6"/>
        <v>0</v>
      </c>
      <c r="W21" s="735">
        <f t="shared" si="7"/>
        <v>0</v>
      </c>
      <c r="X21" s="737">
        <f t="shared" si="8"/>
        <v>0</v>
      </c>
      <c r="Y21" s="738">
        <f t="shared" si="9"/>
        <v>0</v>
      </c>
      <c r="Z21" s="627"/>
    </row>
    <row r="22" spans="1:26">
      <c r="A22" s="730" t="s">
        <v>1820</v>
      </c>
      <c r="B22" s="332">
        <v>678</v>
      </c>
      <c r="C22" s="332">
        <v>240</v>
      </c>
      <c r="D22" s="332">
        <v>138</v>
      </c>
      <c r="E22" s="331" t="s">
        <v>1953</v>
      </c>
      <c r="F22" s="731">
        <v>5823406.5519853365</v>
      </c>
      <c r="G22" s="324" t="s">
        <v>66</v>
      </c>
      <c r="H22" s="325">
        <v>2018</v>
      </c>
      <c r="I22" s="306">
        <f>+IF($H22=I$2,VLOOKUP($G22,Depreciation!$A$14:$L$18,7,FALSE)/2,IF($H22&lt;I$2,VLOOKUP($G22,Depreciation!$A$14:$L$18,7,FALSE),0))</f>
        <v>0</v>
      </c>
      <c r="J22" s="306">
        <f>+IF($H22=J$2,VLOOKUP($G22,Depreciation!$A$14:$L$18,8,FALSE)/2,IF($H22&lt;J$2,VLOOKUP($G22,Depreciation!$A$14:$L$18,8,FALSE),0))</f>
        <v>0</v>
      </c>
      <c r="K22" s="306">
        <f>+IF($H22=K$2,VLOOKUP($G22,Depreciation!$A$14:$L$18,9,FALSE)/2,IF($H22&lt;K$2,VLOOKUP($G22,Depreciation!$A$14:$L$18,9,FALSE),0))</f>
        <v>0</v>
      </c>
      <c r="L22" s="306">
        <f>+IF($H22=L$2,VLOOKUP($G22,Depreciation!$A$14:$L$18,10,FALSE)/2,IF($H22&lt;L$2,VLOOKUP($G22,Depreciation!$A$14:$L$18,10,FALSE),0))</f>
        <v>1.2175768213899416E-2</v>
      </c>
      <c r="M22" s="306">
        <f>+IF($H22=M$2,VLOOKUP($G22,Depreciation!$A$14:$L$18,11,FALSE)/2,IF($H22&lt;M$2,VLOOKUP($G22,Depreciation!$A$14:$L$18,11,FALSE),0))</f>
        <v>2.4351536427798831E-2</v>
      </c>
      <c r="N22" s="306">
        <f>+IF($H22=N$2,VLOOKUP($G22,Depreciation!$A$14:$L$18,12,FALSE)/2,IF($H22&lt;N$2,VLOOKUP($G22,Depreciation!$A$14:$L$18,12,FALSE),0))</f>
        <v>2.4351536427798831E-2</v>
      </c>
      <c r="O22" s="307">
        <f t="shared" si="1"/>
        <v>0</v>
      </c>
      <c r="P22" s="732">
        <v>0</v>
      </c>
      <c r="Q22" s="733">
        <v>0</v>
      </c>
      <c r="R22" s="734">
        <f t="shared" si="2"/>
        <v>1</v>
      </c>
      <c r="S22" s="735">
        <f t="shared" si="3"/>
        <v>0</v>
      </c>
      <c r="T22" s="735">
        <f t="shared" si="4"/>
        <v>0</v>
      </c>
      <c r="U22" s="735">
        <f t="shared" si="5"/>
        <v>0</v>
      </c>
      <c r="V22" s="736">
        <f t="shared" si="6"/>
        <v>0</v>
      </c>
      <c r="W22" s="735">
        <f t="shared" si="7"/>
        <v>0</v>
      </c>
      <c r="X22" s="737">
        <f t="shared" si="8"/>
        <v>0</v>
      </c>
      <c r="Y22" s="738">
        <f t="shared" si="9"/>
        <v>0</v>
      </c>
      <c r="Z22" s="627"/>
    </row>
    <row r="23" spans="1:26">
      <c r="A23" s="730" t="s">
        <v>1461</v>
      </c>
      <c r="B23" s="332">
        <v>693</v>
      </c>
      <c r="C23" s="332">
        <v>240</v>
      </c>
      <c r="D23" s="332">
        <v>240</v>
      </c>
      <c r="E23" s="331" t="s">
        <v>1527</v>
      </c>
      <c r="F23" s="731">
        <v>113408.37728544539</v>
      </c>
      <c r="G23" s="324" t="s">
        <v>4</v>
      </c>
      <c r="H23" s="325">
        <v>2019</v>
      </c>
      <c r="I23" s="306">
        <f>+IF($H23=I$2,VLOOKUP($G23,Depreciation!$A$14:$L$18,7,FALSE)/2,IF($H23&lt;I$2,VLOOKUP($G23,Depreciation!$A$14:$L$18,7,FALSE),0))</f>
        <v>0</v>
      </c>
      <c r="J23" s="306">
        <f>+IF($H23=J$2,VLOOKUP($G23,Depreciation!$A$14:$L$18,8,FALSE)/2,IF($H23&lt;J$2,VLOOKUP($G23,Depreciation!$A$14:$L$18,8,FALSE),0))</f>
        <v>0</v>
      </c>
      <c r="K23" s="306">
        <f>+IF($H23=K$2,VLOOKUP($G23,Depreciation!$A$14:$L$18,9,FALSE)/2,IF($H23&lt;K$2,VLOOKUP($G23,Depreciation!$A$14:$L$18,9,FALSE),0))</f>
        <v>0</v>
      </c>
      <c r="L23" s="306">
        <f>+IF($H23=L$2,VLOOKUP($G23,Depreciation!$A$14:$L$18,10,FALSE)/2,IF($H23&lt;L$2,VLOOKUP($G23,Depreciation!$A$14:$L$18,10,FALSE),0))</f>
        <v>0</v>
      </c>
      <c r="M23" s="306">
        <f>+IF($H23=M$2,VLOOKUP($G23,Depreciation!$A$14:$L$18,11,FALSE)/2,IF($H23&lt;M$2,VLOOKUP($G23,Depreciation!$A$14:$L$18,11,FALSE),0))</f>
        <v>1.671703928371859E-2</v>
      </c>
      <c r="N23" s="306">
        <f>+IF($H23=N$2,VLOOKUP($G23,Depreciation!$A$14:$L$18,12,FALSE)/2,IF($H23&lt;N$2,VLOOKUP($G23,Depreciation!$A$14:$L$18,12,FALSE),0))</f>
        <v>3.343407856743718E-2</v>
      </c>
      <c r="O23" s="307">
        <f t="shared" si="1"/>
        <v>0</v>
      </c>
      <c r="P23" s="732">
        <v>0</v>
      </c>
      <c r="Q23" s="733">
        <v>0</v>
      </c>
      <c r="R23" s="734">
        <f t="shared" si="2"/>
        <v>1</v>
      </c>
      <c r="S23" s="735">
        <f t="shared" si="3"/>
        <v>0</v>
      </c>
      <c r="T23" s="735">
        <f t="shared" si="4"/>
        <v>0</v>
      </c>
      <c r="U23" s="735">
        <f t="shared" si="5"/>
        <v>0</v>
      </c>
      <c r="V23" s="736">
        <f t="shared" si="6"/>
        <v>0</v>
      </c>
      <c r="W23" s="735">
        <f t="shared" si="7"/>
        <v>0</v>
      </c>
      <c r="X23" s="737">
        <f t="shared" si="8"/>
        <v>0</v>
      </c>
      <c r="Y23" s="738">
        <f t="shared" si="9"/>
        <v>0</v>
      </c>
      <c r="Z23" s="627"/>
    </row>
    <row r="24" spans="1:26">
      <c r="A24" s="730" t="s">
        <v>1463</v>
      </c>
      <c r="B24" s="332">
        <v>693</v>
      </c>
      <c r="C24" s="332">
        <v>240</v>
      </c>
      <c r="D24" s="332">
        <v>240</v>
      </c>
      <c r="E24" s="331" t="s">
        <v>1528</v>
      </c>
      <c r="F24" s="731">
        <v>201366.13092386365</v>
      </c>
      <c r="G24" s="324" t="s">
        <v>4</v>
      </c>
      <c r="H24" s="325">
        <v>2019</v>
      </c>
      <c r="I24" s="306">
        <f>+IF($H24=I$2,VLOOKUP($G24,Depreciation!$A$14:$L$18,7,FALSE)/2,IF($H24&lt;I$2,VLOOKUP($G24,Depreciation!$A$14:$L$18,7,FALSE),0))</f>
        <v>0</v>
      </c>
      <c r="J24" s="306">
        <f>+IF($H24=J$2,VLOOKUP($G24,Depreciation!$A$14:$L$18,8,FALSE)/2,IF($H24&lt;J$2,VLOOKUP($G24,Depreciation!$A$14:$L$18,8,FALSE),0))</f>
        <v>0</v>
      </c>
      <c r="K24" s="306">
        <f>+IF($H24=K$2,VLOOKUP($G24,Depreciation!$A$14:$L$18,9,FALSE)/2,IF($H24&lt;K$2,VLOOKUP($G24,Depreciation!$A$14:$L$18,9,FALSE),0))</f>
        <v>0</v>
      </c>
      <c r="L24" s="306">
        <f>+IF($H24=L$2,VLOOKUP($G24,Depreciation!$A$14:$L$18,10,FALSE)/2,IF($H24&lt;L$2,VLOOKUP($G24,Depreciation!$A$14:$L$18,10,FALSE),0))</f>
        <v>0</v>
      </c>
      <c r="M24" s="306">
        <f>+IF($H24=M$2,VLOOKUP($G24,Depreciation!$A$14:$L$18,11,FALSE)/2,IF($H24&lt;M$2,VLOOKUP($G24,Depreciation!$A$14:$L$18,11,FALSE),0))</f>
        <v>1.671703928371859E-2</v>
      </c>
      <c r="N24" s="306">
        <f>+IF($H24=N$2,VLOOKUP($G24,Depreciation!$A$14:$L$18,12,FALSE)/2,IF($H24&lt;N$2,VLOOKUP($G24,Depreciation!$A$14:$L$18,12,FALSE),0))</f>
        <v>3.343407856743718E-2</v>
      </c>
      <c r="O24" s="307">
        <f t="shared" si="1"/>
        <v>0</v>
      </c>
      <c r="P24" s="732">
        <v>0</v>
      </c>
      <c r="Q24" s="733">
        <v>0</v>
      </c>
      <c r="R24" s="734">
        <f t="shared" si="2"/>
        <v>1</v>
      </c>
      <c r="S24" s="735">
        <f t="shared" si="3"/>
        <v>0</v>
      </c>
      <c r="T24" s="735">
        <f t="shared" si="4"/>
        <v>0</v>
      </c>
      <c r="U24" s="735">
        <f t="shared" si="5"/>
        <v>0</v>
      </c>
      <c r="V24" s="736">
        <f t="shared" si="6"/>
        <v>0</v>
      </c>
      <c r="W24" s="735">
        <f t="shared" si="7"/>
        <v>0</v>
      </c>
      <c r="X24" s="737">
        <f t="shared" si="8"/>
        <v>0</v>
      </c>
      <c r="Y24" s="738">
        <f t="shared" si="9"/>
        <v>0</v>
      </c>
      <c r="Z24" s="627"/>
    </row>
    <row r="25" spans="1:26">
      <c r="A25" s="730" t="s">
        <v>1459</v>
      </c>
      <c r="B25" s="332">
        <v>693</v>
      </c>
      <c r="C25" s="332">
        <v>240</v>
      </c>
      <c r="D25" s="332">
        <v>240</v>
      </c>
      <c r="E25" s="331" t="s">
        <v>1529</v>
      </c>
      <c r="F25" s="731">
        <v>15828490.515206028</v>
      </c>
      <c r="G25" s="324" t="s">
        <v>4</v>
      </c>
      <c r="H25" s="325">
        <v>2019</v>
      </c>
      <c r="I25" s="306">
        <f>+IF($H25=I$2,VLOOKUP($G25,Depreciation!$A$14:$L$18,7,FALSE)/2,IF($H25&lt;I$2,VLOOKUP($G25,Depreciation!$A$14:$L$18,7,FALSE),0))</f>
        <v>0</v>
      </c>
      <c r="J25" s="306">
        <f>+IF($H25=J$2,VLOOKUP($G25,Depreciation!$A$14:$L$18,8,FALSE)/2,IF($H25&lt;J$2,VLOOKUP($G25,Depreciation!$A$14:$L$18,8,FALSE),0))</f>
        <v>0</v>
      </c>
      <c r="K25" s="306">
        <f>+IF($H25=K$2,VLOOKUP($G25,Depreciation!$A$14:$L$18,9,FALSE)/2,IF($H25&lt;K$2,VLOOKUP($G25,Depreciation!$A$14:$L$18,9,FALSE),0))</f>
        <v>0</v>
      </c>
      <c r="L25" s="306">
        <f>+IF($H25=L$2,VLOOKUP($G25,Depreciation!$A$14:$L$18,10,FALSE)/2,IF($H25&lt;L$2,VLOOKUP($G25,Depreciation!$A$14:$L$18,10,FALSE),0))</f>
        <v>0</v>
      </c>
      <c r="M25" s="306">
        <f>+IF($H25=M$2,VLOOKUP($G25,Depreciation!$A$14:$L$18,11,FALSE)/2,IF($H25&lt;M$2,VLOOKUP($G25,Depreciation!$A$14:$L$18,11,FALSE),0))</f>
        <v>1.671703928371859E-2</v>
      </c>
      <c r="N25" s="306">
        <f>+IF($H25=N$2,VLOOKUP($G25,Depreciation!$A$14:$L$18,12,FALSE)/2,IF($H25&lt;N$2,VLOOKUP($G25,Depreciation!$A$14:$L$18,12,FALSE),0))</f>
        <v>3.343407856743718E-2</v>
      </c>
      <c r="O25" s="307">
        <f t="shared" si="1"/>
        <v>0</v>
      </c>
      <c r="P25" s="732">
        <v>0</v>
      </c>
      <c r="Q25" s="733">
        <v>0</v>
      </c>
      <c r="R25" s="734">
        <f t="shared" si="2"/>
        <v>1</v>
      </c>
      <c r="S25" s="735">
        <f t="shared" si="3"/>
        <v>0</v>
      </c>
      <c r="T25" s="735">
        <f t="shared" si="4"/>
        <v>0</v>
      </c>
      <c r="U25" s="735">
        <f t="shared" si="5"/>
        <v>0</v>
      </c>
      <c r="V25" s="736">
        <f t="shared" si="6"/>
        <v>0</v>
      </c>
      <c r="W25" s="735">
        <f t="shared" si="7"/>
        <v>0</v>
      </c>
      <c r="X25" s="737">
        <f t="shared" si="8"/>
        <v>0</v>
      </c>
      <c r="Y25" s="738">
        <f t="shared" si="9"/>
        <v>0</v>
      </c>
      <c r="Z25" s="627"/>
    </row>
    <row r="26" spans="1:26">
      <c r="A26" s="730" t="s">
        <v>1462</v>
      </c>
      <c r="B26" s="332">
        <v>693</v>
      </c>
      <c r="C26" s="332">
        <v>240</v>
      </c>
      <c r="D26" s="332">
        <v>240</v>
      </c>
      <c r="E26" s="331" t="s">
        <v>1530</v>
      </c>
      <c r="F26" s="731">
        <v>169902.62110316977</v>
      </c>
      <c r="G26" s="324" t="s">
        <v>4</v>
      </c>
      <c r="H26" s="325">
        <v>2019</v>
      </c>
      <c r="I26" s="306">
        <f>+IF($H26=I$2,VLOOKUP($G26,Depreciation!$A$14:$L$18,7,FALSE)/2,IF($H26&lt;I$2,VLOOKUP($G26,Depreciation!$A$14:$L$18,7,FALSE),0))</f>
        <v>0</v>
      </c>
      <c r="J26" s="306">
        <f>+IF($H26=J$2,VLOOKUP($G26,Depreciation!$A$14:$L$18,8,FALSE)/2,IF($H26&lt;J$2,VLOOKUP($G26,Depreciation!$A$14:$L$18,8,FALSE),0))</f>
        <v>0</v>
      </c>
      <c r="K26" s="306">
        <f>+IF($H26=K$2,VLOOKUP($G26,Depreciation!$A$14:$L$18,9,FALSE)/2,IF($H26&lt;K$2,VLOOKUP($G26,Depreciation!$A$14:$L$18,9,FALSE),0))</f>
        <v>0</v>
      </c>
      <c r="L26" s="306">
        <f>+IF($H26=L$2,VLOOKUP($G26,Depreciation!$A$14:$L$18,10,FALSE)/2,IF($H26&lt;L$2,VLOOKUP($G26,Depreciation!$A$14:$L$18,10,FALSE),0))</f>
        <v>0</v>
      </c>
      <c r="M26" s="306">
        <f>+IF($H26=M$2,VLOOKUP($G26,Depreciation!$A$14:$L$18,11,FALSE)/2,IF($H26&lt;M$2,VLOOKUP($G26,Depreciation!$A$14:$L$18,11,FALSE),0))</f>
        <v>1.671703928371859E-2</v>
      </c>
      <c r="N26" s="306">
        <f>+IF($H26=N$2,VLOOKUP($G26,Depreciation!$A$14:$L$18,12,FALSE)/2,IF($H26&lt;N$2,VLOOKUP($G26,Depreciation!$A$14:$L$18,12,FALSE),0))</f>
        <v>3.343407856743718E-2</v>
      </c>
      <c r="O26" s="307">
        <f t="shared" si="1"/>
        <v>0</v>
      </c>
      <c r="P26" s="732">
        <v>0</v>
      </c>
      <c r="Q26" s="733">
        <v>0</v>
      </c>
      <c r="R26" s="734">
        <f t="shared" si="2"/>
        <v>1</v>
      </c>
      <c r="S26" s="735">
        <f t="shared" si="3"/>
        <v>0</v>
      </c>
      <c r="T26" s="735">
        <f t="shared" si="4"/>
        <v>0</v>
      </c>
      <c r="U26" s="735">
        <f t="shared" si="5"/>
        <v>0</v>
      </c>
      <c r="V26" s="736">
        <f t="shared" si="6"/>
        <v>0</v>
      </c>
      <c r="W26" s="735">
        <f t="shared" si="7"/>
        <v>0</v>
      </c>
      <c r="X26" s="737">
        <f t="shared" si="8"/>
        <v>0</v>
      </c>
      <c r="Y26" s="738">
        <f t="shared" si="9"/>
        <v>0</v>
      </c>
      <c r="Z26" s="627"/>
    </row>
    <row r="27" spans="1:26">
      <c r="A27" s="730" t="s">
        <v>1268</v>
      </c>
      <c r="B27" s="332">
        <v>719</v>
      </c>
      <c r="C27" s="332">
        <v>240</v>
      </c>
      <c r="D27" s="332">
        <v>240</v>
      </c>
      <c r="E27" s="331" t="s">
        <v>1531</v>
      </c>
      <c r="F27" s="731">
        <v>33632105.5811226</v>
      </c>
      <c r="G27" s="324" t="s">
        <v>4</v>
      </c>
      <c r="H27" s="325">
        <v>2015</v>
      </c>
      <c r="I27" s="306">
        <f>+IF($H27=I$2,VLOOKUP($G27,Depreciation!$A$14:$L$18,7,FALSE)/2,IF($H27&lt;I$2,VLOOKUP($G27,Depreciation!$A$14:$L$18,7,FALSE),0))</f>
        <v>1.7228380322441735E-2</v>
      </c>
      <c r="J27" s="306">
        <f>+IF($H27=J$2,VLOOKUP($G27,Depreciation!$A$14:$L$18,8,FALSE)/2,IF($H27&lt;J$2,VLOOKUP($G27,Depreciation!$A$14:$L$18,8,FALSE),0))</f>
        <v>3.343407856743718E-2</v>
      </c>
      <c r="K27" s="306">
        <f>+IF($H27=K$2,VLOOKUP($G27,Depreciation!$A$14:$L$18,9,FALSE)/2,IF($H27&lt;K$2,VLOOKUP($G27,Depreciation!$A$14:$L$18,9,FALSE),0))</f>
        <v>3.343407856743718E-2</v>
      </c>
      <c r="L27" s="306">
        <f>+IF($H27=L$2,VLOOKUP($G27,Depreciation!$A$14:$L$18,10,FALSE)/2,IF($H27&lt;L$2,VLOOKUP($G27,Depreciation!$A$14:$L$18,10,FALSE),0))</f>
        <v>3.343407856743718E-2</v>
      </c>
      <c r="M27" s="306">
        <f>+IF($H27=M$2,VLOOKUP($G27,Depreciation!$A$14:$L$18,11,FALSE)/2,IF($H27&lt;M$2,VLOOKUP($G27,Depreciation!$A$14:$L$18,11,FALSE),0))</f>
        <v>3.343407856743718E-2</v>
      </c>
      <c r="N27" s="306">
        <f>+IF($H27=N$2,VLOOKUP($G27,Depreciation!$A$14:$L$18,12,FALSE)/2,IF($H27&lt;N$2,VLOOKUP($G27,Depreciation!$A$14:$L$18,12,FALSE),0))</f>
        <v>3.343407856743718E-2</v>
      </c>
      <c r="O27" s="307">
        <f t="shared" si="1"/>
        <v>33052678.875126503</v>
      </c>
      <c r="P27" s="732">
        <v>0</v>
      </c>
      <c r="Q27" s="733">
        <v>0</v>
      </c>
      <c r="R27" s="734">
        <f t="shared" si="2"/>
        <v>1</v>
      </c>
      <c r="S27" s="735">
        <f t="shared" si="3"/>
        <v>0</v>
      </c>
      <c r="T27" s="735">
        <f t="shared" si="4"/>
        <v>0</v>
      </c>
      <c r="U27" s="735">
        <f t="shared" si="5"/>
        <v>33052678.875126503</v>
      </c>
      <c r="V27" s="736">
        <f t="shared" si="6"/>
        <v>0</v>
      </c>
      <c r="W27" s="735">
        <f t="shared" si="7"/>
        <v>33052678.875126503</v>
      </c>
      <c r="X27" s="737">
        <f t="shared" si="8"/>
        <v>0</v>
      </c>
      <c r="Y27" s="738">
        <f t="shared" si="9"/>
        <v>0</v>
      </c>
      <c r="Z27" s="627"/>
    </row>
    <row r="28" spans="1:26">
      <c r="A28" s="730" t="s">
        <v>1265</v>
      </c>
      <c r="B28" s="332">
        <v>719</v>
      </c>
      <c r="C28" s="332">
        <v>138</v>
      </c>
      <c r="D28" s="332">
        <v>25</v>
      </c>
      <c r="E28" s="334" t="s">
        <v>1532</v>
      </c>
      <c r="F28" s="731">
        <v>37801368.20335371</v>
      </c>
      <c r="G28" s="324" t="s">
        <v>64</v>
      </c>
      <c r="H28" s="325">
        <v>2015</v>
      </c>
      <c r="I28" s="306">
        <f>+IF($H28=I$2,VLOOKUP($G28,Depreciation!$A$14:$L$18,7,FALSE)/2,IF($H28&lt;I$2,VLOOKUP($G28,Depreciation!$A$14:$L$18,7,FALSE),0))</f>
        <v>1.3928409269726289E-2</v>
      </c>
      <c r="J28" s="306">
        <f>+IF($H28=J$2,VLOOKUP($G28,Depreciation!$A$14:$L$18,8,FALSE)/2,IF($H28&lt;J$2,VLOOKUP($G28,Depreciation!$A$14:$L$18,8,FALSE),0))</f>
        <v>2.7856818539452578E-2</v>
      </c>
      <c r="K28" s="306">
        <f>+IF($H28=K$2,VLOOKUP($G28,Depreciation!$A$14:$L$18,9,FALSE)/2,IF($H28&lt;K$2,VLOOKUP($G28,Depreciation!$A$14:$L$18,9,FALSE),0))</f>
        <v>2.7856818539452578E-2</v>
      </c>
      <c r="L28" s="306">
        <f>+IF($H28=L$2,VLOOKUP($G28,Depreciation!$A$14:$L$18,10,FALSE)/2,IF($H28&lt;L$2,VLOOKUP($G28,Depreciation!$A$14:$L$18,10,FALSE),0))</f>
        <v>2.7856818539452578E-2</v>
      </c>
      <c r="M28" s="306">
        <f>+IF($H28=M$2,VLOOKUP($G28,Depreciation!$A$14:$L$18,11,FALSE)/2,IF($H28&lt;M$2,VLOOKUP($G28,Depreciation!$A$14:$L$18,11,FALSE),0))</f>
        <v>2.7856818539452578E-2</v>
      </c>
      <c r="N28" s="306">
        <f>+IF($H28=N$2,VLOOKUP($G28,Depreciation!$A$14:$L$18,12,FALSE)/2,IF($H28&lt;N$2,VLOOKUP($G28,Depreciation!$A$14:$L$18,12,FALSE),0))</f>
        <v>2.7856818539452578E-2</v>
      </c>
      <c r="O28" s="307">
        <f t="shared" si="1"/>
        <v>37274855.276061781</v>
      </c>
      <c r="P28" s="732">
        <v>0</v>
      </c>
      <c r="Q28" s="733">
        <v>1</v>
      </c>
      <c r="R28" s="734">
        <f t="shared" si="2"/>
        <v>0</v>
      </c>
      <c r="S28" s="735">
        <f t="shared" si="3"/>
        <v>0</v>
      </c>
      <c r="T28" s="735">
        <f t="shared" si="4"/>
        <v>37274855.276061781</v>
      </c>
      <c r="U28" s="735">
        <f t="shared" si="5"/>
        <v>0</v>
      </c>
      <c r="V28" s="736">
        <f t="shared" si="6"/>
        <v>0</v>
      </c>
      <c r="W28" s="735">
        <f t="shared" si="7"/>
        <v>0</v>
      </c>
      <c r="X28" s="737">
        <f t="shared" si="8"/>
        <v>0</v>
      </c>
      <c r="Y28" s="738">
        <f t="shared" si="9"/>
        <v>37274855.276061781</v>
      </c>
      <c r="Z28" s="627"/>
    </row>
    <row r="29" spans="1:26">
      <c r="A29" s="730" t="s">
        <v>1266</v>
      </c>
      <c r="B29" s="332">
        <v>719</v>
      </c>
      <c r="C29" s="332">
        <v>138</v>
      </c>
      <c r="D29" s="332">
        <v>25</v>
      </c>
      <c r="E29" s="331" t="s">
        <v>1533</v>
      </c>
      <c r="F29" s="731">
        <v>822893.43442026142</v>
      </c>
      <c r="G29" s="324" t="s">
        <v>64</v>
      </c>
      <c r="H29" s="325">
        <v>2015</v>
      </c>
      <c r="I29" s="306">
        <f>+IF($H29=I$2,VLOOKUP($G29,Depreciation!$A$14:$L$18,7,FALSE)/2,IF($H29&lt;I$2,VLOOKUP($G29,Depreciation!$A$14:$L$18,7,FALSE),0))</f>
        <v>1.3928409269726289E-2</v>
      </c>
      <c r="J29" s="306">
        <f>+IF($H29=J$2,VLOOKUP($G29,Depreciation!$A$14:$L$18,8,FALSE)/2,IF($H29&lt;J$2,VLOOKUP($G29,Depreciation!$A$14:$L$18,8,FALSE),0))</f>
        <v>2.7856818539452578E-2</v>
      </c>
      <c r="K29" s="306">
        <f>+IF($H29=K$2,VLOOKUP($G29,Depreciation!$A$14:$L$18,9,FALSE)/2,IF($H29&lt;K$2,VLOOKUP($G29,Depreciation!$A$14:$L$18,9,FALSE),0))</f>
        <v>2.7856818539452578E-2</v>
      </c>
      <c r="L29" s="306">
        <f>+IF($H29=L$2,VLOOKUP($G29,Depreciation!$A$14:$L$18,10,FALSE)/2,IF($H29&lt;L$2,VLOOKUP($G29,Depreciation!$A$14:$L$18,10,FALSE),0))</f>
        <v>2.7856818539452578E-2</v>
      </c>
      <c r="M29" s="306">
        <f>+IF($H29=M$2,VLOOKUP($G29,Depreciation!$A$14:$L$18,11,FALSE)/2,IF($H29&lt;M$2,VLOOKUP($G29,Depreciation!$A$14:$L$18,11,FALSE),0))</f>
        <v>2.7856818539452578E-2</v>
      </c>
      <c r="N29" s="306">
        <f>+IF($H29=N$2,VLOOKUP($G29,Depreciation!$A$14:$L$18,12,FALSE)/2,IF($H29&lt;N$2,VLOOKUP($G29,Depreciation!$A$14:$L$18,12,FALSE),0))</f>
        <v>2.7856818539452578E-2</v>
      </c>
      <c r="O29" s="307">
        <f t="shared" si="1"/>
        <v>811431.83788028534</v>
      </c>
      <c r="P29" s="732">
        <v>0</v>
      </c>
      <c r="Q29" s="733">
        <v>1</v>
      </c>
      <c r="R29" s="734">
        <f t="shared" si="2"/>
        <v>0</v>
      </c>
      <c r="S29" s="735">
        <f t="shared" si="3"/>
        <v>0</v>
      </c>
      <c r="T29" s="735">
        <f t="shared" si="4"/>
        <v>811431.83788028534</v>
      </c>
      <c r="U29" s="735">
        <f t="shared" si="5"/>
        <v>0</v>
      </c>
      <c r="V29" s="736">
        <f t="shared" si="6"/>
        <v>0</v>
      </c>
      <c r="W29" s="735">
        <f t="shared" si="7"/>
        <v>0</v>
      </c>
      <c r="X29" s="737">
        <f t="shared" si="8"/>
        <v>0</v>
      </c>
      <c r="Y29" s="738">
        <f t="shared" si="9"/>
        <v>811431.83788028534</v>
      </c>
      <c r="Z29" s="627"/>
    </row>
    <row r="30" spans="1:26">
      <c r="A30" s="730" t="s">
        <v>1417</v>
      </c>
      <c r="B30" s="332">
        <v>719</v>
      </c>
      <c r="C30" s="332">
        <v>240</v>
      </c>
      <c r="D30" s="332">
        <v>25</v>
      </c>
      <c r="E30" s="331" t="s">
        <v>1534</v>
      </c>
      <c r="F30" s="731">
        <v>17323675</v>
      </c>
      <c r="G30" s="324" t="s">
        <v>64</v>
      </c>
      <c r="H30" s="325">
        <v>2015</v>
      </c>
      <c r="I30" s="306">
        <f>+IF($H30=I$2,VLOOKUP($G30,Depreciation!$A$14:$L$18,7,FALSE)/2,IF($H30&lt;I$2,VLOOKUP($G30,Depreciation!$A$14:$L$18,7,FALSE),0))</f>
        <v>1.3928409269726289E-2</v>
      </c>
      <c r="J30" s="306">
        <f>+IF($H30=J$2,VLOOKUP($G30,Depreciation!$A$14:$L$18,8,FALSE)/2,IF($H30&lt;J$2,VLOOKUP($G30,Depreciation!$A$14:$L$18,8,FALSE),0))</f>
        <v>2.7856818539452578E-2</v>
      </c>
      <c r="K30" s="306">
        <f>+IF($H30=K$2,VLOOKUP($G30,Depreciation!$A$14:$L$18,9,FALSE)/2,IF($H30&lt;K$2,VLOOKUP($G30,Depreciation!$A$14:$L$18,9,FALSE),0))</f>
        <v>2.7856818539452578E-2</v>
      </c>
      <c r="L30" s="306">
        <f>+IF($H30=L$2,VLOOKUP($G30,Depreciation!$A$14:$L$18,10,FALSE)/2,IF($H30&lt;L$2,VLOOKUP($G30,Depreciation!$A$14:$L$18,10,FALSE),0))</f>
        <v>2.7856818539452578E-2</v>
      </c>
      <c r="M30" s="306">
        <f>+IF($H30=M$2,VLOOKUP($G30,Depreciation!$A$14:$L$18,11,FALSE)/2,IF($H30&lt;M$2,VLOOKUP($G30,Depreciation!$A$14:$L$18,11,FALSE),0))</f>
        <v>2.7856818539452578E-2</v>
      </c>
      <c r="N30" s="306">
        <f>+IF($H30=N$2,VLOOKUP($G30,Depreciation!$A$14:$L$18,12,FALSE)/2,IF($H30&lt;N$2,VLOOKUP($G30,Depreciation!$A$14:$L$18,12,FALSE),0))</f>
        <v>2.7856818539452578E-2</v>
      </c>
      <c r="O30" s="307">
        <f t="shared" si="1"/>
        <v>17082383.764544275</v>
      </c>
      <c r="P30" s="732">
        <v>0.9759174311926605</v>
      </c>
      <c r="Q30" s="733">
        <v>2.4082568807339451E-2</v>
      </c>
      <c r="R30" s="734">
        <f t="shared" si="2"/>
        <v>4.8572257327350599E-17</v>
      </c>
      <c r="S30" s="735">
        <f t="shared" si="3"/>
        <v>16670996.082141258</v>
      </c>
      <c r="T30" s="735">
        <f t="shared" si="4"/>
        <v>411387.68240301579</v>
      </c>
      <c r="U30" s="735">
        <f t="shared" si="5"/>
        <v>8.2972993997600052E-10</v>
      </c>
      <c r="V30" s="736">
        <f t="shared" si="6"/>
        <v>0</v>
      </c>
      <c r="W30" s="735">
        <f t="shared" si="7"/>
        <v>16670996.082141258</v>
      </c>
      <c r="X30" s="737">
        <f t="shared" si="8"/>
        <v>0</v>
      </c>
      <c r="Y30" s="738">
        <f t="shared" si="9"/>
        <v>411387.6824030166</v>
      </c>
      <c r="Z30" s="627"/>
    </row>
    <row r="31" spans="1:26">
      <c r="A31" s="730" t="s">
        <v>1270</v>
      </c>
      <c r="B31" s="332">
        <v>719</v>
      </c>
      <c r="C31" s="332">
        <v>240</v>
      </c>
      <c r="D31" s="332">
        <v>138</v>
      </c>
      <c r="E31" s="331" t="s">
        <v>1535</v>
      </c>
      <c r="F31" s="731">
        <v>1242846.8878267198</v>
      </c>
      <c r="G31" s="324" t="s">
        <v>4</v>
      </c>
      <c r="H31" s="325">
        <v>2015</v>
      </c>
      <c r="I31" s="306">
        <f>+IF($H31=I$2,VLOOKUP($G31,Depreciation!$A$14:$L$18,7,FALSE)/2,IF($H31&lt;I$2,VLOOKUP($G31,Depreciation!$A$14:$L$18,7,FALSE),0))</f>
        <v>1.7228380322441735E-2</v>
      </c>
      <c r="J31" s="306">
        <f>+IF($H31=J$2,VLOOKUP($G31,Depreciation!$A$14:$L$18,8,FALSE)/2,IF($H31&lt;J$2,VLOOKUP($G31,Depreciation!$A$14:$L$18,8,FALSE),0))</f>
        <v>3.343407856743718E-2</v>
      </c>
      <c r="K31" s="306">
        <f>+IF($H31=K$2,VLOOKUP($G31,Depreciation!$A$14:$L$18,9,FALSE)/2,IF($H31&lt;K$2,VLOOKUP($G31,Depreciation!$A$14:$L$18,9,FALSE),0))</f>
        <v>3.343407856743718E-2</v>
      </c>
      <c r="L31" s="306">
        <f>+IF($H31=L$2,VLOOKUP($G31,Depreciation!$A$14:$L$18,10,FALSE)/2,IF($H31&lt;L$2,VLOOKUP($G31,Depreciation!$A$14:$L$18,10,FALSE),0))</f>
        <v>3.343407856743718E-2</v>
      </c>
      <c r="M31" s="306">
        <f>+IF($H31=M$2,VLOOKUP($G31,Depreciation!$A$14:$L$18,11,FALSE)/2,IF($H31&lt;M$2,VLOOKUP($G31,Depreciation!$A$14:$L$18,11,FALSE),0))</f>
        <v>3.343407856743718E-2</v>
      </c>
      <c r="N31" s="306">
        <f>+IF($H31=N$2,VLOOKUP($G31,Depreciation!$A$14:$L$18,12,FALSE)/2,IF($H31&lt;N$2,VLOOKUP($G31,Depreciation!$A$14:$L$18,12,FALSE),0))</f>
        <v>3.343407856743718E-2</v>
      </c>
      <c r="O31" s="307">
        <f t="shared" si="1"/>
        <v>1221434.6489606779</v>
      </c>
      <c r="P31" s="732">
        <v>0</v>
      </c>
      <c r="Q31" s="733">
        <v>0</v>
      </c>
      <c r="R31" s="734">
        <f t="shared" si="2"/>
        <v>1</v>
      </c>
      <c r="S31" s="735">
        <f t="shared" si="3"/>
        <v>0</v>
      </c>
      <c r="T31" s="735">
        <f t="shared" si="4"/>
        <v>0</v>
      </c>
      <c r="U31" s="735">
        <f t="shared" si="5"/>
        <v>1221434.6489606779</v>
      </c>
      <c r="V31" s="736">
        <f t="shared" si="6"/>
        <v>0</v>
      </c>
      <c r="W31" s="735">
        <f t="shared" si="7"/>
        <v>0</v>
      </c>
      <c r="X31" s="737">
        <f t="shared" si="8"/>
        <v>1221434.6489606779</v>
      </c>
      <c r="Y31" s="738">
        <f t="shared" si="9"/>
        <v>0</v>
      </c>
      <c r="Z31" s="627"/>
    </row>
    <row r="32" spans="1:26">
      <c r="A32" s="730" t="s">
        <v>1269</v>
      </c>
      <c r="B32" s="332">
        <v>719</v>
      </c>
      <c r="C32" s="332">
        <v>240</v>
      </c>
      <c r="D32" s="332">
        <v>240</v>
      </c>
      <c r="E32" s="331" t="s">
        <v>1536</v>
      </c>
      <c r="F32" s="731">
        <v>11146.608859432465</v>
      </c>
      <c r="G32" s="324" t="s">
        <v>4</v>
      </c>
      <c r="H32" s="325">
        <v>2015</v>
      </c>
      <c r="I32" s="306">
        <f>+IF($H32=I$2,VLOOKUP($G32,Depreciation!$A$14:$L$18,7,FALSE)/2,IF($H32&lt;I$2,VLOOKUP($G32,Depreciation!$A$14:$L$18,7,FALSE),0))</f>
        <v>1.7228380322441735E-2</v>
      </c>
      <c r="J32" s="306">
        <f>+IF($H32=J$2,VLOOKUP($G32,Depreciation!$A$14:$L$18,8,FALSE)/2,IF($H32&lt;J$2,VLOOKUP($G32,Depreciation!$A$14:$L$18,8,FALSE),0))</f>
        <v>3.343407856743718E-2</v>
      </c>
      <c r="K32" s="306">
        <f>+IF($H32=K$2,VLOOKUP($G32,Depreciation!$A$14:$L$18,9,FALSE)/2,IF($H32&lt;K$2,VLOOKUP($G32,Depreciation!$A$14:$L$18,9,FALSE),0))</f>
        <v>3.343407856743718E-2</v>
      </c>
      <c r="L32" s="306">
        <f>+IF($H32=L$2,VLOOKUP($G32,Depreciation!$A$14:$L$18,10,FALSE)/2,IF($H32&lt;L$2,VLOOKUP($G32,Depreciation!$A$14:$L$18,10,FALSE),0))</f>
        <v>3.343407856743718E-2</v>
      </c>
      <c r="M32" s="306">
        <f>+IF($H32=M$2,VLOOKUP($G32,Depreciation!$A$14:$L$18,11,FALSE)/2,IF($H32&lt;M$2,VLOOKUP($G32,Depreciation!$A$14:$L$18,11,FALSE),0))</f>
        <v>3.343407856743718E-2</v>
      </c>
      <c r="N32" s="306">
        <f>+IF($H32=N$2,VLOOKUP($G32,Depreciation!$A$14:$L$18,12,FALSE)/2,IF($H32&lt;N$2,VLOOKUP($G32,Depreciation!$A$14:$L$18,12,FALSE),0))</f>
        <v>3.343407856743718E-2</v>
      </c>
      <c r="O32" s="307">
        <f t="shared" si="1"/>
        <v>10954.570842696663</v>
      </c>
      <c r="P32" s="732">
        <v>0</v>
      </c>
      <c r="Q32" s="733">
        <v>0</v>
      </c>
      <c r="R32" s="734">
        <f t="shared" si="2"/>
        <v>1</v>
      </c>
      <c r="S32" s="735">
        <f t="shared" si="3"/>
        <v>0</v>
      </c>
      <c r="T32" s="735">
        <f t="shared" si="4"/>
        <v>0</v>
      </c>
      <c r="U32" s="735">
        <f t="shared" si="5"/>
        <v>10954.570842696663</v>
      </c>
      <c r="V32" s="736">
        <f t="shared" si="6"/>
        <v>0</v>
      </c>
      <c r="W32" s="735">
        <f t="shared" si="7"/>
        <v>10954.570842696663</v>
      </c>
      <c r="X32" s="737">
        <f t="shared" si="8"/>
        <v>0</v>
      </c>
      <c r="Y32" s="738">
        <f t="shared" si="9"/>
        <v>0</v>
      </c>
      <c r="Z32" s="627"/>
    </row>
    <row r="33" spans="1:26">
      <c r="A33" s="730" t="s">
        <v>1272</v>
      </c>
      <c r="B33" s="332">
        <v>719</v>
      </c>
      <c r="C33" s="332">
        <v>240</v>
      </c>
      <c r="D33" s="332">
        <v>138</v>
      </c>
      <c r="E33" s="331" t="s">
        <v>1525</v>
      </c>
      <c r="F33" s="731">
        <v>13933.26107429058</v>
      </c>
      <c r="G33" s="324" t="s">
        <v>4</v>
      </c>
      <c r="H33" s="325">
        <v>2015</v>
      </c>
      <c r="I33" s="306">
        <f>+IF($H33=I$2,VLOOKUP($G33,Depreciation!$A$14:$L$18,7,FALSE)/2,IF($H33&lt;I$2,VLOOKUP($G33,Depreciation!$A$14:$L$18,7,FALSE),0))</f>
        <v>1.7228380322441735E-2</v>
      </c>
      <c r="J33" s="306">
        <f>+IF($H33=J$2,VLOOKUP($G33,Depreciation!$A$14:$L$18,8,FALSE)/2,IF($H33&lt;J$2,VLOOKUP($G33,Depreciation!$A$14:$L$18,8,FALSE),0))</f>
        <v>3.343407856743718E-2</v>
      </c>
      <c r="K33" s="306">
        <f>+IF($H33=K$2,VLOOKUP($G33,Depreciation!$A$14:$L$18,9,FALSE)/2,IF($H33&lt;K$2,VLOOKUP($G33,Depreciation!$A$14:$L$18,9,FALSE),0))</f>
        <v>3.343407856743718E-2</v>
      </c>
      <c r="L33" s="306">
        <f>+IF($H33=L$2,VLOOKUP($G33,Depreciation!$A$14:$L$18,10,FALSE)/2,IF($H33&lt;L$2,VLOOKUP($G33,Depreciation!$A$14:$L$18,10,FALSE),0))</f>
        <v>3.343407856743718E-2</v>
      </c>
      <c r="M33" s="306">
        <f>+IF($H33=M$2,VLOOKUP($G33,Depreciation!$A$14:$L$18,11,FALSE)/2,IF($H33&lt;M$2,VLOOKUP($G33,Depreciation!$A$14:$L$18,11,FALSE),0))</f>
        <v>3.343407856743718E-2</v>
      </c>
      <c r="N33" s="306">
        <f>+IF($H33=N$2,VLOOKUP($G33,Depreciation!$A$14:$L$18,12,FALSE)/2,IF($H33&lt;N$2,VLOOKUP($G33,Depreciation!$A$14:$L$18,12,FALSE),0))</f>
        <v>3.343407856743718E-2</v>
      </c>
      <c r="O33" s="307">
        <f t="shared" si="1"/>
        <v>13693.213553370828</v>
      </c>
      <c r="P33" s="732">
        <v>0</v>
      </c>
      <c r="Q33" s="733">
        <v>0</v>
      </c>
      <c r="R33" s="734">
        <f t="shared" si="2"/>
        <v>1</v>
      </c>
      <c r="S33" s="735">
        <f t="shared" si="3"/>
        <v>0</v>
      </c>
      <c r="T33" s="735">
        <f t="shared" si="4"/>
        <v>0</v>
      </c>
      <c r="U33" s="735">
        <f t="shared" si="5"/>
        <v>13693.213553370828</v>
      </c>
      <c r="V33" s="736">
        <f t="shared" si="6"/>
        <v>0</v>
      </c>
      <c r="W33" s="735">
        <f t="shared" si="7"/>
        <v>0</v>
      </c>
      <c r="X33" s="737">
        <f t="shared" si="8"/>
        <v>13693.213553370828</v>
      </c>
      <c r="Y33" s="738">
        <f t="shared" si="9"/>
        <v>0</v>
      </c>
      <c r="Z33" s="627"/>
    </row>
    <row r="34" spans="1:26">
      <c r="A34" s="730" t="s">
        <v>1271</v>
      </c>
      <c r="B34" s="332">
        <v>719</v>
      </c>
      <c r="C34" s="332">
        <v>240</v>
      </c>
      <c r="D34" s="332">
        <v>138</v>
      </c>
      <c r="E34" s="331" t="s">
        <v>1537</v>
      </c>
      <c r="F34" s="731">
        <v>128186.00188347333</v>
      </c>
      <c r="G34" s="324" t="s">
        <v>4</v>
      </c>
      <c r="H34" s="325">
        <v>2015</v>
      </c>
      <c r="I34" s="306">
        <f>+IF($H34=I$2,VLOOKUP($G34,Depreciation!$A$14:$L$18,7,FALSE)/2,IF($H34&lt;I$2,VLOOKUP($G34,Depreciation!$A$14:$L$18,7,FALSE),0))</f>
        <v>1.7228380322441735E-2</v>
      </c>
      <c r="J34" s="306">
        <f>+IF($H34=J$2,VLOOKUP($G34,Depreciation!$A$14:$L$18,8,FALSE)/2,IF($H34&lt;J$2,VLOOKUP($G34,Depreciation!$A$14:$L$18,8,FALSE),0))</f>
        <v>3.343407856743718E-2</v>
      </c>
      <c r="K34" s="306">
        <f>+IF($H34=K$2,VLOOKUP($G34,Depreciation!$A$14:$L$18,9,FALSE)/2,IF($H34&lt;K$2,VLOOKUP($G34,Depreciation!$A$14:$L$18,9,FALSE),0))</f>
        <v>3.343407856743718E-2</v>
      </c>
      <c r="L34" s="306">
        <f>+IF($H34=L$2,VLOOKUP($G34,Depreciation!$A$14:$L$18,10,FALSE)/2,IF($H34&lt;L$2,VLOOKUP($G34,Depreciation!$A$14:$L$18,10,FALSE),0))</f>
        <v>3.343407856743718E-2</v>
      </c>
      <c r="M34" s="306">
        <f>+IF($H34=M$2,VLOOKUP($G34,Depreciation!$A$14:$L$18,11,FALSE)/2,IF($H34&lt;M$2,VLOOKUP($G34,Depreciation!$A$14:$L$18,11,FALSE),0))</f>
        <v>3.343407856743718E-2</v>
      </c>
      <c r="N34" s="306">
        <f>+IF($H34=N$2,VLOOKUP($G34,Depreciation!$A$14:$L$18,12,FALSE)/2,IF($H34&lt;N$2,VLOOKUP($G34,Depreciation!$A$14:$L$18,12,FALSE),0))</f>
        <v>3.343407856743718E-2</v>
      </c>
      <c r="O34" s="307">
        <f t="shared" si="1"/>
        <v>125977.56469101162</v>
      </c>
      <c r="P34" s="732">
        <v>0</v>
      </c>
      <c r="Q34" s="733">
        <v>0</v>
      </c>
      <c r="R34" s="734">
        <f t="shared" si="2"/>
        <v>1</v>
      </c>
      <c r="S34" s="735">
        <f t="shared" si="3"/>
        <v>0</v>
      </c>
      <c r="T34" s="735">
        <f t="shared" si="4"/>
        <v>0</v>
      </c>
      <c r="U34" s="735">
        <f t="shared" si="5"/>
        <v>125977.56469101162</v>
      </c>
      <c r="V34" s="736">
        <f t="shared" si="6"/>
        <v>0</v>
      </c>
      <c r="W34" s="735">
        <f t="shared" si="7"/>
        <v>0</v>
      </c>
      <c r="X34" s="737">
        <f t="shared" si="8"/>
        <v>125977.56469101162</v>
      </c>
      <c r="Y34" s="738">
        <f t="shared" si="9"/>
        <v>0</v>
      </c>
      <c r="Z34" s="627"/>
    </row>
    <row r="35" spans="1:26">
      <c r="A35" s="730" t="s">
        <v>1821</v>
      </c>
      <c r="B35" s="332">
        <v>786</v>
      </c>
      <c r="C35" s="332">
        <v>240</v>
      </c>
      <c r="D35" s="332">
        <v>0</v>
      </c>
      <c r="E35" s="331" t="s">
        <v>1954</v>
      </c>
      <c r="F35" s="731">
        <v>977096.32405747706</v>
      </c>
      <c r="G35" s="324" t="s">
        <v>38</v>
      </c>
      <c r="H35" s="325">
        <v>2016</v>
      </c>
      <c r="I35" s="306">
        <f>+IF($H35=I$2,VLOOKUP($G35,Depreciation!$A$14:$L$18,7,FALSE)/2,IF($H35&lt;I$2,VLOOKUP($G35,Depreciation!$A$14:$L$18,7,FALSE),0))</f>
        <v>0</v>
      </c>
      <c r="J35" s="306">
        <f>+IF($H35=J$2,VLOOKUP($G35,Depreciation!$A$14:$L$18,8,FALSE)/2,IF($H35&lt;J$2,VLOOKUP($G35,Depreciation!$A$14:$L$18,8,FALSE),0))</f>
        <v>2.0800027799922457E-2</v>
      </c>
      <c r="K35" s="306">
        <f>+IF($H35=K$2,VLOOKUP($G35,Depreciation!$A$14:$L$18,9,FALSE)/2,IF($H35&lt;K$2,VLOOKUP($G35,Depreciation!$A$14:$L$18,9,FALSE),0))</f>
        <v>4.1145263498658789E-2</v>
      </c>
      <c r="L35" s="306">
        <f>+IF($H35=L$2,VLOOKUP($G35,Depreciation!$A$14:$L$18,10,FALSE)/2,IF($H35&lt;L$2,VLOOKUP($G35,Depreciation!$A$14:$L$18,10,FALSE),0))</f>
        <v>4.1145263498658789E-2</v>
      </c>
      <c r="M35" s="306">
        <f>+IF($H35=M$2,VLOOKUP($G35,Depreciation!$A$14:$L$18,11,FALSE)/2,IF($H35&lt;M$2,VLOOKUP($G35,Depreciation!$A$14:$L$18,11,FALSE),0))</f>
        <v>4.1145263498658789E-2</v>
      </c>
      <c r="N35" s="306">
        <f>+IF($H35=N$2,VLOOKUP($G35,Depreciation!$A$14:$L$18,12,FALSE)/2,IF($H35&lt;N$2,VLOOKUP($G35,Depreciation!$A$14:$L$18,12,FALSE),0))</f>
        <v>4.1145263498658789E-2</v>
      </c>
      <c r="O35" s="307">
        <f t="shared" si="1"/>
        <v>0</v>
      </c>
      <c r="P35" s="732">
        <v>0</v>
      </c>
      <c r="Q35" s="733">
        <v>0</v>
      </c>
      <c r="R35" s="734">
        <f t="shared" si="2"/>
        <v>1</v>
      </c>
      <c r="S35" s="735">
        <f t="shared" si="3"/>
        <v>0</v>
      </c>
      <c r="T35" s="735">
        <f t="shared" si="4"/>
        <v>0</v>
      </c>
      <c r="U35" s="735">
        <f t="shared" si="5"/>
        <v>0</v>
      </c>
      <c r="V35" s="736">
        <f t="shared" si="6"/>
        <v>0</v>
      </c>
      <c r="W35" s="735">
        <f t="shared" si="7"/>
        <v>0</v>
      </c>
      <c r="X35" s="737">
        <f t="shared" si="8"/>
        <v>0</v>
      </c>
      <c r="Y35" s="738">
        <f t="shared" si="9"/>
        <v>0</v>
      </c>
      <c r="Z35" s="627"/>
    </row>
    <row r="36" spans="1:26">
      <c r="A36" s="730" t="s">
        <v>1822</v>
      </c>
      <c r="B36" s="332">
        <v>786</v>
      </c>
      <c r="C36" s="332">
        <v>240</v>
      </c>
      <c r="D36" s="332">
        <v>25</v>
      </c>
      <c r="E36" s="331" t="s">
        <v>1560</v>
      </c>
      <c r="F36" s="731">
        <v>1459886.8313876344</v>
      </c>
      <c r="G36" s="324" t="s">
        <v>38</v>
      </c>
      <c r="H36" s="325">
        <v>2016</v>
      </c>
      <c r="I36" s="306">
        <f>+IF($H36=I$2,VLOOKUP($G36,Depreciation!$A$14:$L$18,7,FALSE)/2,IF($H36&lt;I$2,VLOOKUP($G36,Depreciation!$A$14:$L$18,7,FALSE),0))</f>
        <v>0</v>
      </c>
      <c r="J36" s="306">
        <f>+IF($H36=J$2,VLOOKUP($G36,Depreciation!$A$14:$L$18,8,FALSE)/2,IF($H36&lt;J$2,VLOOKUP($G36,Depreciation!$A$14:$L$18,8,FALSE),0))</f>
        <v>2.0800027799922457E-2</v>
      </c>
      <c r="K36" s="306">
        <f>+IF($H36=K$2,VLOOKUP($G36,Depreciation!$A$14:$L$18,9,FALSE)/2,IF($H36&lt;K$2,VLOOKUP($G36,Depreciation!$A$14:$L$18,9,FALSE),0))</f>
        <v>4.1145263498658789E-2</v>
      </c>
      <c r="L36" s="306">
        <f>+IF($H36=L$2,VLOOKUP($G36,Depreciation!$A$14:$L$18,10,FALSE)/2,IF($H36&lt;L$2,VLOOKUP($G36,Depreciation!$A$14:$L$18,10,FALSE),0))</f>
        <v>4.1145263498658789E-2</v>
      </c>
      <c r="M36" s="306">
        <f>+IF($H36=M$2,VLOOKUP($G36,Depreciation!$A$14:$L$18,11,FALSE)/2,IF($H36&lt;M$2,VLOOKUP($G36,Depreciation!$A$14:$L$18,11,FALSE),0))</f>
        <v>4.1145263498658789E-2</v>
      </c>
      <c r="N36" s="306">
        <f>+IF($H36=N$2,VLOOKUP($G36,Depreciation!$A$14:$L$18,12,FALSE)/2,IF($H36&lt;N$2,VLOOKUP($G36,Depreciation!$A$14:$L$18,12,FALSE),0))</f>
        <v>4.1145263498658789E-2</v>
      </c>
      <c r="O36" s="307">
        <f t="shared" si="1"/>
        <v>0</v>
      </c>
      <c r="P36" s="732">
        <v>0</v>
      </c>
      <c r="Q36" s="733">
        <v>0</v>
      </c>
      <c r="R36" s="734">
        <f t="shared" si="2"/>
        <v>1</v>
      </c>
      <c r="S36" s="735">
        <f t="shared" si="3"/>
        <v>0</v>
      </c>
      <c r="T36" s="735">
        <f t="shared" si="4"/>
        <v>0</v>
      </c>
      <c r="U36" s="735">
        <f t="shared" si="5"/>
        <v>0</v>
      </c>
      <c r="V36" s="736">
        <f t="shared" si="6"/>
        <v>0</v>
      </c>
      <c r="W36" s="735">
        <f t="shared" si="7"/>
        <v>0</v>
      </c>
      <c r="X36" s="737">
        <f t="shared" si="8"/>
        <v>0</v>
      </c>
      <c r="Y36" s="738">
        <f t="shared" si="9"/>
        <v>0</v>
      </c>
      <c r="Z36" s="627"/>
    </row>
    <row r="37" spans="1:26">
      <c r="A37" s="730" t="s">
        <v>1823</v>
      </c>
      <c r="B37" s="332">
        <v>786</v>
      </c>
      <c r="C37" s="332">
        <v>240</v>
      </c>
      <c r="D37" s="332">
        <v>0</v>
      </c>
      <c r="E37" s="331" t="s">
        <v>1955</v>
      </c>
      <c r="F37" s="731">
        <v>700514.65499403654</v>
      </c>
      <c r="G37" s="324" t="s">
        <v>38</v>
      </c>
      <c r="H37" s="325">
        <v>2016</v>
      </c>
      <c r="I37" s="306">
        <f>+IF($H37=I$2,VLOOKUP($G37,Depreciation!$A$14:$L$18,7,FALSE)/2,IF($H37&lt;I$2,VLOOKUP($G37,Depreciation!$A$14:$L$18,7,FALSE),0))</f>
        <v>0</v>
      </c>
      <c r="J37" s="306">
        <f>+IF($H37=J$2,VLOOKUP($G37,Depreciation!$A$14:$L$18,8,FALSE)/2,IF($H37&lt;J$2,VLOOKUP($G37,Depreciation!$A$14:$L$18,8,FALSE),0))</f>
        <v>2.0800027799922457E-2</v>
      </c>
      <c r="K37" s="306">
        <f>+IF($H37=K$2,VLOOKUP($G37,Depreciation!$A$14:$L$18,9,FALSE)/2,IF($H37&lt;K$2,VLOOKUP($G37,Depreciation!$A$14:$L$18,9,FALSE),0))</f>
        <v>4.1145263498658789E-2</v>
      </c>
      <c r="L37" s="306">
        <f>+IF($H37=L$2,VLOOKUP($G37,Depreciation!$A$14:$L$18,10,FALSE)/2,IF($H37&lt;L$2,VLOOKUP($G37,Depreciation!$A$14:$L$18,10,FALSE),0))</f>
        <v>4.1145263498658789E-2</v>
      </c>
      <c r="M37" s="306">
        <f>+IF($H37=M$2,VLOOKUP($G37,Depreciation!$A$14:$L$18,11,FALSE)/2,IF($H37&lt;M$2,VLOOKUP($G37,Depreciation!$A$14:$L$18,11,FALSE),0))</f>
        <v>4.1145263498658789E-2</v>
      </c>
      <c r="N37" s="306">
        <f>+IF($H37=N$2,VLOOKUP($G37,Depreciation!$A$14:$L$18,12,FALSE)/2,IF($H37&lt;N$2,VLOOKUP($G37,Depreciation!$A$14:$L$18,12,FALSE),0))</f>
        <v>4.1145263498658789E-2</v>
      </c>
      <c r="O37" s="307">
        <f t="shared" si="1"/>
        <v>0</v>
      </c>
      <c r="P37" s="732">
        <v>0</v>
      </c>
      <c r="Q37" s="733">
        <v>0</v>
      </c>
      <c r="R37" s="734">
        <f t="shared" si="2"/>
        <v>1</v>
      </c>
      <c r="S37" s="735">
        <f t="shared" si="3"/>
        <v>0</v>
      </c>
      <c r="T37" s="735">
        <f t="shared" si="4"/>
        <v>0</v>
      </c>
      <c r="U37" s="735">
        <f t="shared" si="5"/>
        <v>0</v>
      </c>
      <c r="V37" s="736">
        <f t="shared" si="6"/>
        <v>0</v>
      </c>
      <c r="W37" s="735">
        <f t="shared" si="7"/>
        <v>0</v>
      </c>
      <c r="X37" s="737">
        <f t="shared" si="8"/>
        <v>0</v>
      </c>
      <c r="Y37" s="738">
        <f t="shared" si="9"/>
        <v>0</v>
      </c>
      <c r="Z37" s="627"/>
    </row>
    <row r="38" spans="1:26">
      <c r="A38" s="730" t="s">
        <v>1824</v>
      </c>
      <c r="B38" s="332">
        <v>786</v>
      </c>
      <c r="C38" s="332">
        <v>240</v>
      </c>
      <c r="D38" s="332">
        <v>0</v>
      </c>
      <c r="E38" s="331" t="s">
        <v>1956</v>
      </c>
      <c r="F38" s="731">
        <v>616310.21693290537</v>
      </c>
      <c r="G38" s="324" t="s">
        <v>38</v>
      </c>
      <c r="H38" s="325">
        <v>2016</v>
      </c>
      <c r="I38" s="306">
        <f>+IF($H38=I$2,VLOOKUP($G38,Depreciation!$A$14:$L$18,7,FALSE)/2,IF($H38&lt;I$2,VLOOKUP($G38,Depreciation!$A$14:$L$18,7,FALSE),0))</f>
        <v>0</v>
      </c>
      <c r="J38" s="306">
        <f>+IF($H38=J$2,VLOOKUP($G38,Depreciation!$A$14:$L$18,8,FALSE)/2,IF($H38&lt;J$2,VLOOKUP($G38,Depreciation!$A$14:$L$18,8,FALSE),0))</f>
        <v>2.0800027799922457E-2</v>
      </c>
      <c r="K38" s="306">
        <f>+IF($H38=K$2,VLOOKUP($G38,Depreciation!$A$14:$L$18,9,FALSE)/2,IF($H38&lt;K$2,VLOOKUP($G38,Depreciation!$A$14:$L$18,9,FALSE),0))</f>
        <v>4.1145263498658789E-2</v>
      </c>
      <c r="L38" s="306">
        <f>+IF($H38=L$2,VLOOKUP($G38,Depreciation!$A$14:$L$18,10,FALSE)/2,IF($H38&lt;L$2,VLOOKUP($G38,Depreciation!$A$14:$L$18,10,FALSE),0))</f>
        <v>4.1145263498658789E-2</v>
      </c>
      <c r="M38" s="306">
        <f>+IF($H38=M$2,VLOOKUP($G38,Depreciation!$A$14:$L$18,11,FALSE)/2,IF($H38&lt;M$2,VLOOKUP($G38,Depreciation!$A$14:$L$18,11,FALSE),0))</f>
        <v>4.1145263498658789E-2</v>
      </c>
      <c r="N38" s="306">
        <f>+IF($H38=N$2,VLOOKUP($G38,Depreciation!$A$14:$L$18,12,FALSE)/2,IF($H38&lt;N$2,VLOOKUP($G38,Depreciation!$A$14:$L$18,12,FALSE),0))</f>
        <v>4.1145263498658789E-2</v>
      </c>
      <c r="O38" s="307">
        <f t="shared" si="1"/>
        <v>0</v>
      </c>
      <c r="P38" s="732">
        <v>0</v>
      </c>
      <c r="Q38" s="733">
        <v>0</v>
      </c>
      <c r="R38" s="734">
        <f t="shared" si="2"/>
        <v>1</v>
      </c>
      <c r="S38" s="735">
        <f t="shared" si="3"/>
        <v>0</v>
      </c>
      <c r="T38" s="735">
        <f t="shared" si="4"/>
        <v>0</v>
      </c>
      <c r="U38" s="735">
        <f t="shared" si="5"/>
        <v>0</v>
      </c>
      <c r="V38" s="736">
        <f t="shared" si="6"/>
        <v>0</v>
      </c>
      <c r="W38" s="735">
        <f t="shared" si="7"/>
        <v>0</v>
      </c>
      <c r="X38" s="737">
        <f t="shared" si="8"/>
        <v>0</v>
      </c>
      <c r="Y38" s="738">
        <f t="shared" si="9"/>
        <v>0</v>
      </c>
      <c r="Z38" s="627"/>
    </row>
    <row r="39" spans="1:26">
      <c r="A39" s="730" t="s">
        <v>1825</v>
      </c>
      <c r="B39" s="332">
        <v>786</v>
      </c>
      <c r="C39" s="332">
        <v>500</v>
      </c>
      <c r="D39" s="332">
        <v>240</v>
      </c>
      <c r="E39" s="331" t="s">
        <v>1688</v>
      </c>
      <c r="F39" s="731">
        <v>112557.4943276488</v>
      </c>
      <c r="G39" s="324" t="s">
        <v>38</v>
      </c>
      <c r="H39" s="325">
        <v>2016</v>
      </c>
      <c r="I39" s="306">
        <f>+IF($H39=I$2,VLOOKUP($G39,Depreciation!$A$14:$L$18,7,FALSE)/2,IF($H39&lt;I$2,VLOOKUP($G39,Depreciation!$A$14:$L$18,7,FALSE),0))</f>
        <v>0</v>
      </c>
      <c r="J39" s="306">
        <f>+IF($H39=J$2,VLOOKUP($G39,Depreciation!$A$14:$L$18,8,FALSE)/2,IF($H39&lt;J$2,VLOOKUP($G39,Depreciation!$A$14:$L$18,8,FALSE),0))</f>
        <v>2.0800027799922457E-2</v>
      </c>
      <c r="K39" s="306">
        <f>+IF($H39=K$2,VLOOKUP($G39,Depreciation!$A$14:$L$18,9,FALSE)/2,IF($H39&lt;K$2,VLOOKUP($G39,Depreciation!$A$14:$L$18,9,FALSE),0))</f>
        <v>4.1145263498658789E-2</v>
      </c>
      <c r="L39" s="306">
        <f>+IF($H39=L$2,VLOOKUP($G39,Depreciation!$A$14:$L$18,10,FALSE)/2,IF($H39&lt;L$2,VLOOKUP($G39,Depreciation!$A$14:$L$18,10,FALSE),0))</f>
        <v>4.1145263498658789E-2</v>
      </c>
      <c r="M39" s="306">
        <f>+IF($H39=M$2,VLOOKUP($G39,Depreciation!$A$14:$L$18,11,FALSE)/2,IF($H39&lt;M$2,VLOOKUP($G39,Depreciation!$A$14:$L$18,11,FALSE),0))</f>
        <v>4.1145263498658789E-2</v>
      </c>
      <c r="N39" s="306">
        <f>+IF($H39=N$2,VLOOKUP($G39,Depreciation!$A$14:$L$18,12,FALSE)/2,IF($H39&lt;N$2,VLOOKUP($G39,Depreciation!$A$14:$L$18,12,FALSE),0))</f>
        <v>4.1145263498658789E-2</v>
      </c>
      <c r="O39" s="307">
        <f t="shared" si="1"/>
        <v>0</v>
      </c>
      <c r="P39" s="732">
        <v>0</v>
      </c>
      <c r="Q39" s="733">
        <v>0</v>
      </c>
      <c r="R39" s="734">
        <f t="shared" si="2"/>
        <v>1</v>
      </c>
      <c r="S39" s="735">
        <f t="shared" si="3"/>
        <v>0</v>
      </c>
      <c r="T39" s="735">
        <f t="shared" si="4"/>
        <v>0</v>
      </c>
      <c r="U39" s="735">
        <f t="shared" si="5"/>
        <v>0</v>
      </c>
      <c r="V39" s="736">
        <f t="shared" si="6"/>
        <v>0</v>
      </c>
      <c r="W39" s="735">
        <f t="shared" si="7"/>
        <v>0</v>
      </c>
      <c r="X39" s="737">
        <f t="shared" si="8"/>
        <v>0</v>
      </c>
      <c r="Y39" s="738">
        <f t="shared" si="9"/>
        <v>0</v>
      </c>
      <c r="Z39" s="627"/>
    </row>
    <row r="40" spans="1:26">
      <c r="A40" s="730" t="s">
        <v>1279</v>
      </c>
      <c r="B40" s="332">
        <v>786</v>
      </c>
      <c r="C40" s="332">
        <v>240</v>
      </c>
      <c r="D40" s="332">
        <v>25</v>
      </c>
      <c r="E40" s="331" t="s">
        <v>1680</v>
      </c>
      <c r="F40" s="731">
        <v>5431229.6126103988</v>
      </c>
      <c r="G40" s="324" t="s">
        <v>4</v>
      </c>
      <c r="H40" s="325">
        <v>2016</v>
      </c>
      <c r="I40" s="306">
        <f>+IF($H40=I$2,VLOOKUP($G40,Depreciation!$A$14:$L$18,7,FALSE)/2,IF($H40&lt;I$2,VLOOKUP($G40,Depreciation!$A$14:$L$18,7,FALSE),0))</f>
        <v>0</v>
      </c>
      <c r="J40" s="306">
        <f>+IF($H40=J$2,VLOOKUP($G40,Depreciation!$A$14:$L$18,8,FALSE)/2,IF($H40&lt;J$2,VLOOKUP($G40,Depreciation!$A$14:$L$18,8,FALSE),0))</f>
        <v>1.671703928371859E-2</v>
      </c>
      <c r="K40" s="306">
        <f>+IF($H40=K$2,VLOOKUP($G40,Depreciation!$A$14:$L$18,9,FALSE)/2,IF($H40&lt;K$2,VLOOKUP($G40,Depreciation!$A$14:$L$18,9,FALSE),0))</f>
        <v>3.343407856743718E-2</v>
      </c>
      <c r="L40" s="306">
        <f>+IF($H40=L$2,VLOOKUP($G40,Depreciation!$A$14:$L$18,10,FALSE)/2,IF($H40&lt;L$2,VLOOKUP($G40,Depreciation!$A$14:$L$18,10,FALSE),0))</f>
        <v>3.343407856743718E-2</v>
      </c>
      <c r="M40" s="306">
        <f>+IF($H40=M$2,VLOOKUP($G40,Depreciation!$A$14:$L$18,11,FALSE)/2,IF($H40&lt;M$2,VLOOKUP($G40,Depreciation!$A$14:$L$18,11,FALSE),0))</f>
        <v>3.343407856743718E-2</v>
      </c>
      <c r="N40" s="306">
        <f>+IF($H40=N$2,VLOOKUP($G40,Depreciation!$A$14:$L$18,12,FALSE)/2,IF($H40&lt;N$2,VLOOKUP($G40,Depreciation!$A$14:$L$18,12,FALSE),0))</f>
        <v>3.343407856743718E-2</v>
      </c>
      <c r="O40" s="307">
        <f t="shared" si="1"/>
        <v>0</v>
      </c>
      <c r="P40" s="732">
        <v>0.96203522504892369</v>
      </c>
      <c r="Q40" s="733">
        <v>3.7964774951076322E-2</v>
      </c>
      <c r="R40" s="734">
        <f t="shared" si="2"/>
        <v>0</v>
      </c>
      <c r="S40" s="735">
        <f t="shared" si="3"/>
        <v>0</v>
      </c>
      <c r="T40" s="735">
        <f t="shared" si="4"/>
        <v>0</v>
      </c>
      <c r="U40" s="735">
        <f t="shared" si="5"/>
        <v>0</v>
      </c>
      <c r="V40" s="736">
        <f t="shared" si="6"/>
        <v>0</v>
      </c>
      <c r="W40" s="735">
        <f t="shared" si="7"/>
        <v>0</v>
      </c>
      <c r="X40" s="737">
        <f t="shared" si="8"/>
        <v>0</v>
      </c>
      <c r="Y40" s="738">
        <f t="shared" si="9"/>
        <v>0</v>
      </c>
      <c r="Z40" s="627"/>
    </row>
    <row r="41" spans="1:26">
      <c r="A41" s="730" t="s">
        <v>1826</v>
      </c>
      <c r="B41" s="332">
        <v>786</v>
      </c>
      <c r="C41" s="332">
        <v>240</v>
      </c>
      <c r="D41" s="332">
        <v>25</v>
      </c>
      <c r="E41" s="331" t="s">
        <v>1957</v>
      </c>
      <c r="F41" s="731">
        <v>681829.47830029717</v>
      </c>
      <c r="G41" s="324" t="s">
        <v>38</v>
      </c>
      <c r="H41" s="325">
        <v>2016</v>
      </c>
      <c r="I41" s="306">
        <f>+IF($H41=I$2,VLOOKUP($G41,Depreciation!$A$14:$L$18,7,FALSE)/2,IF($H41&lt;I$2,VLOOKUP($G41,Depreciation!$A$14:$L$18,7,FALSE),0))</f>
        <v>0</v>
      </c>
      <c r="J41" s="306">
        <f>+IF($H41=J$2,VLOOKUP($G41,Depreciation!$A$14:$L$18,8,FALSE)/2,IF($H41&lt;J$2,VLOOKUP($G41,Depreciation!$A$14:$L$18,8,FALSE),0))</f>
        <v>2.0800027799922457E-2</v>
      </c>
      <c r="K41" s="306">
        <f>+IF($H41=K$2,VLOOKUP($G41,Depreciation!$A$14:$L$18,9,FALSE)/2,IF($H41&lt;K$2,VLOOKUP($G41,Depreciation!$A$14:$L$18,9,FALSE),0))</f>
        <v>4.1145263498658789E-2</v>
      </c>
      <c r="L41" s="306">
        <f>+IF($H41=L$2,VLOOKUP($G41,Depreciation!$A$14:$L$18,10,FALSE)/2,IF($H41&lt;L$2,VLOOKUP($G41,Depreciation!$A$14:$L$18,10,FALSE),0))</f>
        <v>4.1145263498658789E-2</v>
      </c>
      <c r="M41" s="306">
        <f>+IF($H41=M$2,VLOOKUP($G41,Depreciation!$A$14:$L$18,11,FALSE)/2,IF($H41&lt;M$2,VLOOKUP($G41,Depreciation!$A$14:$L$18,11,FALSE),0))</f>
        <v>4.1145263498658789E-2</v>
      </c>
      <c r="N41" s="306">
        <f>+IF($H41=N$2,VLOOKUP($G41,Depreciation!$A$14:$L$18,12,FALSE)/2,IF($H41&lt;N$2,VLOOKUP($G41,Depreciation!$A$14:$L$18,12,FALSE),0))</f>
        <v>4.1145263498658789E-2</v>
      </c>
      <c r="O41" s="307">
        <f t="shared" si="1"/>
        <v>0</v>
      </c>
      <c r="P41" s="732">
        <v>0</v>
      </c>
      <c r="Q41" s="733">
        <v>1</v>
      </c>
      <c r="R41" s="734">
        <f t="shared" si="2"/>
        <v>0</v>
      </c>
      <c r="S41" s="735">
        <f t="shared" si="3"/>
        <v>0</v>
      </c>
      <c r="T41" s="735">
        <f t="shared" si="4"/>
        <v>0</v>
      </c>
      <c r="U41" s="735">
        <f t="shared" si="5"/>
        <v>0</v>
      </c>
      <c r="V41" s="736">
        <f t="shared" si="6"/>
        <v>0</v>
      </c>
      <c r="W41" s="735">
        <f t="shared" si="7"/>
        <v>0</v>
      </c>
      <c r="X41" s="737">
        <f t="shared" si="8"/>
        <v>0</v>
      </c>
      <c r="Y41" s="738">
        <f t="shared" si="9"/>
        <v>0</v>
      </c>
      <c r="Z41" s="627"/>
    </row>
    <row r="42" spans="1:26">
      <c r="A42" s="730" t="s">
        <v>1827</v>
      </c>
      <c r="B42" s="332">
        <v>786</v>
      </c>
      <c r="C42" s="332">
        <v>240</v>
      </c>
      <c r="D42" s="332">
        <v>0</v>
      </c>
      <c r="E42" s="331"/>
      <c r="F42" s="731">
        <v>31168613.741793498</v>
      </c>
      <c r="G42" s="324" t="s">
        <v>66</v>
      </c>
      <c r="H42" s="325">
        <v>2016</v>
      </c>
      <c r="I42" s="306">
        <f>+IF($H42=I$2,VLOOKUP($G42,Depreciation!$A$14:$L$18,7,FALSE)/2,IF($H42&lt;I$2,VLOOKUP($G42,Depreciation!$A$14:$L$18,7,FALSE),0))</f>
        <v>0</v>
      </c>
      <c r="J42" s="306">
        <f>+IF($H42=J$2,VLOOKUP($G42,Depreciation!$A$14:$L$18,8,FALSE)/2,IF($H42&lt;J$2,VLOOKUP($G42,Depreciation!$A$14:$L$18,8,FALSE),0))</f>
        <v>1.231622525054236E-2</v>
      </c>
      <c r="K42" s="306">
        <f>+IF($H42=K$2,VLOOKUP($G42,Depreciation!$A$14:$L$18,9,FALSE)/2,IF($H42&lt;K$2,VLOOKUP($G42,Depreciation!$A$14:$L$18,9,FALSE),0))</f>
        <v>2.4351536427798831E-2</v>
      </c>
      <c r="L42" s="306">
        <f>+IF($H42=L$2,VLOOKUP($G42,Depreciation!$A$14:$L$18,10,FALSE)/2,IF($H42&lt;L$2,VLOOKUP($G42,Depreciation!$A$14:$L$18,10,FALSE),0))</f>
        <v>2.4351536427798831E-2</v>
      </c>
      <c r="M42" s="306">
        <f>+IF($H42=M$2,VLOOKUP($G42,Depreciation!$A$14:$L$18,11,FALSE)/2,IF($H42&lt;M$2,VLOOKUP($G42,Depreciation!$A$14:$L$18,11,FALSE),0))</f>
        <v>2.4351536427798831E-2</v>
      </c>
      <c r="N42" s="306">
        <f>+IF($H42=N$2,VLOOKUP($G42,Depreciation!$A$14:$L$18,12,FALSE)/2,IF($H42&lt;N$2,VLOOKUP($G42,Depreciation!$A$14:$L$18,12,FALSE),0))</f>
        <v>2.4351536427798831E-2</v>
      </c>
      <c r="O42" s="307">
        <f t="shared" si="1"/>
        <v>0</v>
      </c>
      <c r="P42" s="732">
        <v>0</v>
      </c>
      <c r="Q42" s="733">
        <v>0</v>
      </c>
      <c r="R42" s="734">
        <f t="shared" si="2"/>
        <v>1</v>
      </c>
      <c r="S42" s="735">
        <f t="shared" si="3"/>
        <v>0</v>
      </c>
      <c r="T42" s="735">
        <f t="shared" si="4"/>
        <v>0</v>
      </c>
      <c r="U42" s="735">
        <f t="shared" si="5"/>
        <v>0</v>
      </c>
      <c r="V42" s="736">
        <f t="shared" si="6"/>
        <v>0</v>
      </c>
      <c r="W42" s="735">
        <f t="shared" si="7"/>
        <v>0</v>
      </c>
      <c r="X42" s="737">
        <f t="shared" si="8"/>
        <v>0</v>
      </c>
      <c r="Y42" s="738">
        <f t="shared" si="9"/>
        <v>0</v>
      </c>
      <c r="Z42" s="627"/>
    </row>
    <row r="43" spans="1:26">
      <c r="A43" s="730" t="s">
        <v>1828</v>
      </c>
      <c r="B43" s="332">
        <v>786</v>
      </c>
      <c r="C43" s="332">
        <v>240</v>
      </c>
      <c r="D43" s="332">
        <v>25</v>
      </c>
      <c r="E43" s="331" t="s">
        <v>1958</v>
      </c>
      <c r="F43" s="731">
        <v>314796.88531681657</v>
      </c>
      <c r="G43" s="324" t="s">
        <v>4</v>
      </c>
      <c r="H43" s="325">
        <v>2016</v>
      </c>
      <c r="I43" s="306">
        <f>+IF($H43=I$2,VLOOKUP($G43,Depreciation!$A$14:$L$18,7,FALSE)/2,IF($H43&lt;I$2,VLOOKUP($G43,Depreciation!$A$14:$L$18,7,FALSE),0))</f>
        <v>0</v>
      </c>
      <c r="J43" s="306">
        <f>+IF($H43=J$2,VLOOKUP($G43,Depreciation!$A$14:$L$18,8,FALSE)/2,IF($H43&lt;J$2,VLOOKUP($G43,Depreciation!$A$14:$L$18,8,FALSE),0))</f>
        <v>1.671703928371859E-2</v>
      </c>
      <c r="K43" s="306">
        <f>+IF($H43=K$2,VLOOKUP($G43,Depreciation!$A$14:$L$18,9,FALSE)/2,IF($H43&lt;K$2,VLOOKUP($G43,Depreciation!$A$14:$L$18,9,FALSE),0))</f>
        <v>3.343407856743718E-2</v>
      </c>
      <c r="L43" s="306">
        <f>+IF($H43=L$2,VLOOKUP($G43,Depreciation!$A$14:$L$18,10,FALSE)/2,IF($H43&lt;L$2,VLOOKUP($G43,Depreciation!$A$14:$L$18,10,FALSE),0))</f>
        <v>3.343407856743718E-2</v>
      </c>
      <c r="M43" s="306">
        <f>+IF($H43=M$2,VLOOKUP($G43,Depreciation!$A$14:$L$18,11,FALSE)/2,IF($H43&lt;M$2,VLOOKUP($G43,Depreciation!$A$14:$L$18,11,FALSE),0))</f>
        <v>3.343407856743718E-2</v>
      </c>
      <c r="N43" s="306">
        <f>+IF($H43=N$2,VLOOKUP($G43,Depreciation!$A$14:$L$18,12,FALSE)/2,IF($H43&lt;N$2,VLOOKUP($G43,Depreciation!$A$14:$L$18,12,FALSE),0))</f>
        <v>3.343407856743718E-2</v>
      </c>
      <c r="O43" s="307">
        <f t="shared" si="1"/>
        <v>0</v>
      </c>
      <c r="P43" s="732">
        <v>1</v>
      </c>
      <c r="Q43" s="733">
        <v>0</v>
      </c>
      <c r="R43" s="734">
        <f t="shared" si="2"/>
        <v>0</v>
      </c>
      <c r="S43" s="735">
        <f t="shared" si="3"/>
        <v>0</v>
      </c>
      <c r="T43" s="735">
        <f t="shared" si="4"/>
        <v>0</v>
      </c>
      <c r="U43" s="735">
        <f t="shared" si="5"/>
        <v>0</v>
      </c>
      <c r="V43" s="736">
        <f t="shared" si="6"/>
        <v>0</v>
      </c>
      <c r="W43" s="735">
        <f t="shared" si="7"/>
        <v>0</v>
      </c>
      <c r="X43" s="737">
        <f t="shared" si="8"/>
        <v>0</v>
      </c>
      <c r="Y43" s="738">
        <f t="shared" si="9"/>
        <v>0</v>
      </c>
      <c r="Z43" s="627"/>
    </row>
    <row r="44" spans="1:26">
      <c r="A44" s="730" t="s">
        <v>1829</v>
      </c>
      <c r="B44" s="332">
        <v>786</v>
      </c>
      <c r="C44" s="332">
        <v>240</v>
      </c>
      <c r="D44" s="332">
        <v>138</v>
      </c>
      <c r="E44" s="741" t="s">
        <v>1959</v>
      </c>
      <c r="F44" s="731">
        <v>314793.33534968545</v>
      </c>
      <c r="G44" s="324" t="s">
        <v>4</v>
      </c>
      <c r="H44" s="325">
        <v>2016</v>
      </c>
      <c r="I44" s="306">
        <f>+IF($H44=I$2,VLOOKUP($G44,Depreciation!$A$14:$L$18,7,FALSE)/2,IF($H44&lt;I$2,VLOOKUP($G44,Depreciation!$A$14:$L$18,7,FALSE),0))</f>
        <v>0</v>
      </c>
      <c r="J44" s="306">
        <f>+IF($H44=J$2,VLOOKUP($G44,Depreciation!$A$14:$L$18,8,FALSE)/2,IF($H44&lt;J$2,VLOOKUP($G44,Depreciation!$A$14:$L$18,8,FALSE),0))</f>
        <v>1.671703928371859E-2</v>
      </c>
      <c r="K44" s="306">
        <f>+IF($H44=K$2,VLOOKUP($G44,Depreciation!$A$14:$L$18,9,FALSE)/2,IF($H44&lt;K$2,VLOOKUP($G44,Depreciation!$A$14:$L$18,9,FALSE),0))</f>
        <v>3.343407856743718E-2</v>
      </c>
      <c r="L44" s="306">
        <f>+IF($H44=L$2,VLOOKUP($G44,Depreciation!$A$14:$L$18,10,FALSE)/2,IF($H44&lt;L$2,VLOOKUP($G44,Depreciation!$A$14:$L$18,10,FALSE),0))</f>
        <v>3.343407856743718E-2</v>
      </c>
      <c r="M44" s="306">
        <f>+IF($H44=M$2,VLOOKUP($G44,Depreciation!$A$14:$L$18,11,FALSE)/2,IF($H44&lt;M$2,VLOOKUP($G44,Depreciation!$A$14:$L$18,11,FALSE),0))</f>
        <v>3.343407856743718E-2</v>
      </c>
      <c r="N44" s="306">
        <f>+IF($H44=N$2,VLOOKUP($G44,Depreciation!$A$14:$L$18,12,FALSE)/2,IF($H44&lt;N$2,VLOOKUP($G44,Depreciation!$A$14:$L$18,12,FALSE),0))</f>
        <v>3.343407856743718E-2</v>
      </c>
      <c r="O44" s="307">
        <f t="shared" si="1"/>
        <v>0</v>
      </c>
      <c r="P44" s="732">
        <v>0</v>
      </c>
      <c r="Q44" s="733">
        <v>0</v>
      </c>
      <c r="R44" s="734">
        <f t="shared" si="2"/>
        <v>1</v>
      </c>
      <c r="S44" s="735">
        <f t="shared" si="3"/>
        <v>0</v>
      </c>
      <c r="T44" s="735">
        <f t="shared" si="4"/>
        <v>0</v>
      </c>
      <c r="U44" s="735">
        <f t="shared" si="5"/>
        <v>0</v>
      </c>
      <c r="V44" s="736">
        <f t="shared" si="6"/>
        <v>0</v>
      </c>
      <c r="W44" s="735">
        <f t="shared" si="7"/>
        <v>0</v>
      </c>
      <c r="X44" s="737">
        <f t="shared" si="8"/>
        <v>0</v>
      </c>
      <c r="Y44" s="738">
        <f t="shared" si="9"/>
        <v>0</v>
      </c>
      <c r="Z44" s="627"/>
    </row>
    <row r="45" spans="1:26">
      <c r="A45" s="739" t="s">
        <v>1260</v>
      </c>
      <c r="B45" s="740">
        <v>803</v>
      </c>
      <c r="C45" s="332">
        <v>138</v>
      </c>
      <c r="D45" s="332">
        <v>138</v>
      </c>
      <c r="E45" s="741" t="s">
        <v>1538</v>
      </c>
      <c r="F45" s="731">
        <v>119288.54647463236</v>
      </c>
      <c r="G45" s="324" t="s">
        <v>66</v>
      </c>
      <c r="H45" s="325">
        <v>2017</v>
      </c>
      <c r="I45" s="306">
        <f>+IF($H45=I$2,VLOOKUP($G45,Depreciation!$A$14:$L$18,7,FALSE)/2,IF($H45&lt;I$2,VLOOKUP($G45,Depreciation!$A$14:$L$18,7,FALSE),0))</f>
        <v>0</v>
      </c>
      <c r="J45" s="306">
        <f>+IF($H45=J$2,VLOOKUP($G45,Depreciation!$A$14:$L$18,8,FALSE)/2,IF($H45&lt;J$2,VLOOKUP($G45,Depreciation!$A$14:$L$18,8,FALSE),0))</f>
        <v>0</v>
      </c>
      <c r="K45" s="306">
        <f>+IF($H45=K$2,VLOOKUP($G45,Depreciation!$A$14:$L$18,9,FALSE)/2,IF($H45&lt;K$2,VLOOKUP($G45,Depreciation!$A$14:$L$18,9,FALSE),0))</f>
        <v>1.2175768213899416E-2</v>
      </c>
      <c r="L45" s="306">
        <f>+IF($H45=L$2,VLOOKUP($G45,Depreciation!$A$14:$L$18,10,FALSE)/2,IF($H45&lt;L$2,VLOOKUP($G45,Depreciation!$A$14:$L$18,10,FALSE),0))</f>
        <v>2.4351536427798831E-2</v>
      </c>
      <c r="M45" s="306">
        <f>+IF($H45=M$2,VLOOKUP($G45,Depreciation!$A$14:$L$18,11,FALSE)/2,IF($H45&lt;M$2,VLOOKUP($G45,Depreciation!$A$14:$L$18,11,FALSE),0))</f>
        <v>2.4351536427798831E-2</v>
      </c>
      <c r="N45" s="306">
        <f>+IF($H45=N$2,VLOOKUP($G45,Depreciation!$A$14:$L$18,12,FALSE)/2,IF($H45&lt;N$2,VLOOKUP($G45,Depreciation!$A$14:$L$18,12,FALSE),0))</f>
        <v>2.4351536427798831E-2</v>
      </c>
      <c r="O45" s="307">
        <f t="shared" si="1"/>
        <v>0</v>
      </c>
      <c r="P45" s="732">
        <v>0</v>
      </c>
      <c r="Q45" s="733">
        <v>0</v>
      </c>
      <c r="R45" s="734">
        <f t="shared" si="2"/>
        <v>1</v>
      </c>
      <c r="S45" s="735">
        <f t="shared" si="3"/>
        <v>0</v>
      </c>
      <c r="T45" s="735">
        <f t="shared" si="4"/>
        <v>0</v>
      </c>
      <c r="U45" s="735">
        <f t="shared" si="5"/>
        <v>0</v>
      </c>
      <c r="V45" s="736">
        <f t="shared" si="6"/>
        <v>0</v>
      </c>
      <c r="W45" s="735">
        <f t="shared" si="7"/>
        <v>0</v>
      </c>
      <c r="X45" s="737">
        <f t="shared" si="8"/>
        <v>0</v>
      </c>
      <c r="Y45" s="738">
        <f t="shared" si="9"/>
        <v>0</v>
      </c>
      <c r="Z45" s="627"/>
    </row>
    <row r="46" spans="1:26">
      <c r="A46" s="730" t="s">
        <v>1256</v>
      </c>
      <c r="B46" s="332">
        <v>803</v>
      </c>
      <c r="C46" s="332">
        <v>138</v>
      </c>
      <c r="D46" s="332">
        <v>25</v>
      </c>
      <c r="E46" s="741" t="s">
        <v>1539</v>
      </c>
      <c r="F46" s="731">
        <v>3476988.1419072561</v>
      </c>
      <c r="G46" s="324" t="s">
        <v>66</v>
      </c>
      <c r="H46" s="325">
        <v>2017</v>
      </c>
      <c r="I46" s="306">
        <f>+IF($H46=I$2,VLOOKUP($G46,Depreciation!$A$14:$L$18,7,FALSE)/2,IF($H46&lt;I$2,VLOOKUP($G46,Depreciation!$A$14:$L$18,7,FALSE),0))</f>
        <v>0</v>
      </c>
      <c r="J46" s="306">
        <f>+IF($H46=J$2,VLOOKUP($G46,Depreciation!$A$14:$L$18,8,FALSE)/2,IF($H46&lt;J$2,VLOOKUP($G46,Depreciation!$A$14:$L$18,8,FALSE),0))</f>
        <v>0</v>
      </c>
      <c r="K46" s="306">
        <f>+IF($H46=K$2,VLOOKUP($G46,Depreciation!$A$14:$L$18,9,FALSE)/2,IF($H46&lt;K$2,VLOOKUP($G46,Depreciation!$A$14:$L$18,9,FALSE),0))</f>
        <v>1.2175768213899416E-2</v>
      </c>
      <c r="L46" s="306">
        <f>+IF($H46=L$2,VLOOKUP($G46,Depreciation!$A$14:$L$18,10,FALSE)/2,IF($H46&lt;L$2,VLOOKUP($G46,Depreciation!$A$14:$L$18,10,FALSE),0))</f>
        <v>2.4351536427798831E-2</v>
      </c>
      <c r="M46" s="306">
        <f>+IF($H46=M$2,VLOOKUP($G46,Depreciation!$A$14:$L$18,11,FALSE)/2,IF($H46&lt;M$2,VLOOKUP($G46,Depreciation!$A$14:$L$18,11,FALSE),0))</f>
        <v>2.4351536427798831E-2</v>
      </c>
      <c r="N46" s="306">
        <f>+IF($H46=N$2,VLOOKUP($G46,Depreciation!$A$14:$L$18,12,FALSE)/2,IF($H46&lt;N$2,VLOOKUP($G46,Depreciation!$A$14:$L$18,12,FALSE),0))</f>
        <v>2.4351536427798831E-2</v>
      </c>
      <c r="O46" s="307">
        <f t="shared" si="1"/>
        <v>0</v>
      </c>
      <c r="P46" s="732">
        <v>0</v>
      </c>
      <c r="Q46" s="733">
        <v>1</v>
      </c>
      <c r="R46" s="734">
        <f t="shared" si="2"/>
        <v>0</v>
      </c>
      <c r="S46" s="735">
        <f t="shared" si="3"/>
        <v>0</v>
      </c>
      <c r="T46" s="735">
        <f t="shared" si="4"/>
        <v>0</v>
      </c>
      <c r="U46" s="735">
        <f t="shared" si="5"/>
        <v>0</v>
      </c>
      <c r="V46" s="736">
        <f t="shared" si="6"/>
        <v>0</v>
      </c>
      <c r="W46" s="735">
        <f t="shared" si="7"/>
        <v>0</v>
      </c>
      <c r="X46" s="737">
        <f t="shared" si="8"/>
        <v>0</v>
      </c>
      <c r="Y46" s="738">
        <f t="shared" si="9"/>
        <v>0</v>
      </c>
      <c r="Z46" s="627"/>
    </row>
    <row r="47" spans="1:26">
      <c r="A47" s="730" t="s">
        <v>1258</v>
      </c>
      <c r="B47" s="332">
        <v>803</v>
      </c>
      <c r="C47" s="332">
        <v>138</v>
      </c>
      <c r="D47" s="332">
        <v>0</v>
      </c>
      <c r="E47" s="741"/>
      <c r="F47" s="731">
        <v>660698.13426418137</v>
      </c>
      <c r="G47" s="324" t="s">
        <v>66</v>
      </c>
      <c r="H47" s="325">
        <v>2017</v>
      </c>
      <c r="I47" s="306">
        <f>+IF($H47=I$2,VLOOKUP($G47,Depreciation!$A$14:$L$18,7,FALSE)/2,IF($H47&lt;I$2,VLOOKUP($G47,Depreciation!$A$14:$L$18,7,FALSE),0))</f>
        <v>0</v>
      </c>
      <c r="J47" s="306">
        <f>+IF($H47=J$2,VLOOKUP($G47,Depreciation!$A$14:$L$18,8,FALSE)/2,IF($H47&lt;J$2,VLOOKUP($G47,Depreciation!$A$14:$L$18,8,FALSE),0))</f>
        <v>0</v>
      </c>
      <c r="K47" s="306">
        <f>+IF($H47=K$2,VLOOKUP($G47,Depreciation!$A$14:$L$18,9,FALSE)/2,IF($H47&lt;K$2,VLOOKUP($G47,Depreciation!$A$14:$L$18,9,FALSE),0))</f>
        <v>1.2175768213899416E-2</v>
      </c>
      <c r="L47" s="306">
        <f>+IF($H47=L$2,VLOOKUP($G47,Depreciation!$A$14:$L$18,10,FALSE)/2,IF($H47&lt;L$2,VLOOKUP($G47,Depreciation!$A$14:$L$18,10,FALSE),0))</f>
        <v>2.4351536427798831E-2</v>
      </c>
      <c r="M47" s="306">
        <f>+IF($H47=M$2,VLOOKUP($G47,Depreciation!$A$14:$L$18,11,FALSE)/2,IF($H47&lt;M$2,VLOOKUP($G47,Depreciation!$A$14:$L$18,11,FALSE),0))</f>
        <v>2.4351536427798831E-2</v>
      </c>
      <c r="N47" s="306">
        <f>+IF($H47=N$2,VLOOKUP($G47,Depreciation!$A$14:$L$18,12,FALSE)/2,IF($H47&lt;N$2,VLOOKUP($G47,Depreciation!$A$14:$L$18,12,FALSE),0))</f>
        <v>2.4351536427798831E-2</v>
      </c>
      <c r="O47" s="307">
        <f t="shared" si="1"/>
        <v>0</v>
      </c>
      <c r="P47" s="732">
        <v>0</v>
      </c>
      <c r="Q47" s="733">
        <v>0</v>
      </c>
      <c r="R47" s="734">
        <f t="shared" si="2"/>
        <v>1</v>
      </c>
      <c r="S47" s="735">
        <f t="shared" si="3"/>
        <v>0</v>
      </c>
      <c r="T47" s="735">
        <f t="shared" si="4"/>
        <v>0</v>
      </c>
      <c r="U47" s="735">
        <f t="shared" si="5"/>
        <v>0</v>
      </c>
      <c r="V47" s="736">
        <f t="shared" si="6"/>
        <v>0</v>
      </c>
      <c r="W47" s="735">
        <f t="shared" si="7"/>
        <v>0</v>
      </c>
      <c r="X47" s="737">
        <f t="shared" si="8"/>
        <v>0</v>
      </c>
      <c r="Y47" s="738">
        <f t="shared" si="9"/>
        <v>0</v>
      </c>
      <c r="Z47" s="627"/>
    </row>
    <row r="48" spans="1:26">
      <c r="A48" s="730" t="s">
        <v>1259</v>
      </c>
      <c r="B48" s="332">
        <v>803</v>
      </c>
      <c r="C48" s="332">
        <v>138</v>
      </c>
      <c r="D48" s="332">
        <v>138</v>
      </c>
      <c r="E48" s="741" t="s">
        <v>1540</v>
      </c>
      <c r="F48" s="731">
        <v>242204.41402375777</v>
      </c>
      <c r="G48" s="324" t="s">
        <v>66</v>
      </c>
      <c r="H48" s="325">
        <v>2017</v>
      </c>
      <c r="I48" s="306">
        <f>+IF($H48=I$2,VLOOKUP($G48,Depreciation!$A$14:$L$18,7,FALSE)/2,IF($H48&lt;I$2,VLOOKUP($G48,Depreciation!$A$14:$L$18,7,FALSE),0))</f>
        <v>0</v>
      </c>
      <c r="J48" s="306">
        <f>+IF($H48=J$2,VLOOKUP($G48,Depreciation!$A$14:$L$18,8,FALSE)/2,IF($H48&lt;J$2,VLOOKUP($G48,Depreciation!$A$14:$L$18,8,FALSE),0))</f>
        <v>0</v>
      </c>
      <c r="K48" s="306">
        <f>+IF($H48=K$2,VLOOKUP($G48,Depreciation!$A$14:$L$18,9,FALSE)/2,IF($H48&lt;K$2,VLOOKUP($G48,Depreciation!$A$14:$L$18,9,FALSE),0))</f>
        <v>1.2175768213899416E-2</v>
      </c>
      <c r="L48" s="306">
        <f>+IF($H48=L$2,VLOOKUP($G48,Depreciation!$A$14:$L$18,10,FALSE)/2,IF($H48&lt;L$2,VLOOKUP($G48,Depreciation!$A$14:$L$18,10,FALSE),0))</f>
        <v>2.4351536427798831E-2</v>
      </c>
      <c r="M48" s="306">
        <f>+IF($H48=M$2,VLOOKUP($G48,Depreciation!$A$14:$L$18,11,FALSE)/2,IF($H48&lt;M$2,VLOOKUP($G48,Depreciation!$A$14:$L$18,11,FALSE),0))</f>
        <v>2.4351536427798831E-2</v>
      </c>
      <c r="N48" s="306">
        <f>+IF($H48=N$2,VLOOKUP($G48,Depreciation!$A$14:$L$18,12,FALSE)/2,IF($H48&lt;N$2,VLOOKUP($G48,Depreciation!$A$14:$L$18,12,FALSE),0))</f>
        <v>2.4351536427798831E-2</v>
      </c>
      <c r="O48" s="307">
        <f t="shared" si="1"/>
        <v>0</v>
      </c>
      <c r="P48" s="732">
        <v>0</v>
      </c>
      <c r="Q48" s="733">
        <v>0</v>
      </c>
      <c r="R48" s="734">
        <f t="shared" si="2"/>
        <v>1</v>
      </c>
      <c r="S48" s="735">
        <f t="shared" si="3"/>
        <v>0</v>
      </c>
      <c r="T48" s="735">
        <f t="shared" si="4"/>
        <v>0</v>
      </c>
      <c r="U48" s="735">
        <f t="shared" si="5"/>
        <v>0</v>
      </c>
      <c r="V48" s="736">
        <f t="shared" si="6"/>
        <v>0</v>
      </c>
      <c r="W48" s="735">
        <f t="shared" si="7"/>
        <v>0</v>
      </c>
      <c r="X48" s="737">
        <f t="shared" si="8"/>
        <v>0</v>
      </c>
      <c r="Y48" s="738">
        <f t="shared" si="9"/>
        <v>0</v>
      </c>
      <c r="Z48" s="627"/>
    </row>
    <row r="49" spans="1:27">
      <c r="A49" s="742" t="s">
        <v>1262</v>
      </c>
      <c r="B49" s="743">
        <v>803</v>
      </c>
      <c r="C49" s="743">
        <v>138</v>
      </c>
      <c r="D49" s="332">
        <v>25</v>
      </c>
      <c r="E49" s="744" t="s">
        <v>1541</v>
      </c>
      <c r="F49" s="745">
        <v>85463.58970544675</v>
      </c>
      <c r="G49" s="324" t="s">
        <v>66</v>
      </c>
      <c r="H49" s="325">
        <v>2017</v>
      </c>
      <c r="I49" s="306">
        <f>+IF($H49=I$2,VLOOKUP($G49,Depreciation!$A$14:$L$18,7,FALSE)/2,IF($H49&lt;I$2,VLOOKUP($G49,Depreciation!$A$14:$L$18,7,FALSE),0))</f>
        <v>0</v>
      </c>
      <c r="J49" s="306">
        <f>+IF($H49=J$2,VLOOKUP($G49,Depreciation!$A$14:$L$18,8,FALSE)/2,IF($H49&lt;J$2,VLOOKUP($G49,Depreciation!$A$14:$L$18,8,FALSE),0))</f>
        <v>0</v>
      </c>
      <c r="K49" s="306">
        <f>+IF($H49=K$2,VLOOKUP($G49,Depreciation!$A$14:$L$18,9,FALSE)/2,IF($H49&lt;K$2,VLOOKUP($G49,Depreciation!$A$14:$L$18,9,FALSE),0))</f>
        <v>1.2175768213899416E-2</v>
      </c>
      <c r="L49" s="306">
        <f>+IF($H49=L$2,VLOOKUP($G49,Depreciation!$A$14:$L$18,10,FALSE)/2,IF($H49&lt;L$2,VLOOKUP($G49,Depreciation!$A$14:$L$18,10,FALSE),0))</f>
        <v>2.4351536427798831E-2</v>
      </c>
      <c r="M49" s="306">
        <f>+IF($H49=M$2,VLOOKUP($G49,Depreciation!$A$14:$L$18,11,FALSE)/2,IF($H49&lt;M$2,VLOOKUP($G49,Depreciation!$A$14:$L$18,11,FALSE),0))</f>
        <v>2.4351536427798831E-2</v>
      </c>
      <c r="N49" s="306">
        <f>+IF($H49=N$2,VLOOKUP($G49,Depreciation!$A$14:$L$18,12,FALSE)/2,IF($H49&lt;N$2,VLOOKUP($G49,Depreciation!$A$14:$L$18,12,FALSE),0))</f>
        <v>2.4351536427798831E-2</v>
      </c>
      <c r="O49" s="307">
        <f t="shared" si="1"/>
        <v>0</v>
      </c>
      <c r="P49" s="732">
        <v>0</v>
      </c>
      <c r="Q49" s="733">
        <v>1</v>
      </c>
      <c r="R49" s="734">
        <f t="shared" si="2"/>
        <v>0</v>
      </c>
      <c r="S49" s="735">
        <f t="shared" si="3"/>
        <v>0</v>
      </c>
      <c r="T49" s="735">
        <f t="shared" si="4"/>
        <v>0</v>
      </c>
      <c r="U49" s="735">
        <f t="shared" si="5"/>
        <v>0</v>
      </c>
      <c r="V49" s="736">
        <f t="shared" si="6"/>
        <v>0</v>
      </c>
      <c r="W49" s="735">
        <f t="shared" si="7"/>
        <v>0</v>
      </c>
      <c r="X49" s="737">
        <f t="shared" si="8"/>
        <v>0</v>
      </c>
      <c r="Y49" s="738">
        <f t="shared" si="9"/>
        <v>0</v>
      </c>
      <c r="Z49" s="627"/>
    </row>
    <row r="50" spans="1:27">
      <c r="A50" s="746" t="s">
        <v>1261</v>
      </c>
      <c r="B50" s="743">
        <v>803</v>
      </c>
      <c r="C50" s="743">
        <v>138</v>
      </c>
      <c r="D50" s="332">
        <v>25</v>
      </c>
      <c r="E50" s="744" t="s">
        <v>1542</v>
      </c>
      <c r="F50" s="747">
        <v>66376.971670614337</v>
      </c>
      <c r="G50" s="324" t="s">
        <v>66</v>
      </c>
      <c r="H50" s="325">
        <v>2017</v>
      </c>
      <c r="I50" s="306">
        <f>+IF($H50=I$2,VLOOKUP($G50,Depreciation!$A$14:$L$18,7,FALSE)/2,IF($H50&lt;I$2,VLOOKUP($G50,Depreciation!$A$14:$L$18,7,FALSE),0))</f>
        <v>0</v>
      </c>
      <c r="J50" s="306">
        <f>+IF($H50=J$2,VLOOKUP($G50,Depreciation!$A$14:$L$18,8,FALSE)/2,IF($H50&lt;J$2,VLOOKUP($G50,Depreciation!$A$14:$L$18,8,FALSE),0))</f>
        <v>0</v>
      </c>
      <c r="K50" s="306">
        <f>+IF($H50=K$2,VLOOKUP($G50,Depreciation!$A$14:$L$18,9,FALSE)/2,IF($H50&lt;K$2,VLOOKUP($G50,Depreciation!$A$14:$L$18,9,FALSE),0))</f>
        <v>1.2175768213899416E-2</v>
      </c>
      <c r="L50" s="306">
        <f>+IF($H50=L$2,VLOOKUP($G50,Depreciation!$A$14:$L$18,10,FALSE)/2,IF($H50&lt;L$2,VLOOKUP($G50,Depreciation!$A$14:$L$18,10,FALSE),0))</f>
        <v>2.4351536427798831E-2</v>
      </c>
      <c r="M50" s="306">
        <f>+IF($H50=M$2,VLOOKUP($G50,Depreciation!$A$14:$L$18,11,FALSE)/2,IF($H50&lt;M$2,VLOOKUP($G50,Depreciation!$A$14:$L$18,11,FALSE),0))</f>
        <v>2.4351536427798831E-2</v>
      </c>
      <c r="N50" s="306">
        <f>+IF($H50=N$2,VLOOKUP($G50,Depreciation!$A$14:$L$18,12,FALSE)/2,IF($H50&lt;N$2,VLOOKUP($G50,Depreciation!$A$14:$L$18,12,FALSE),0))</f>
        <v>2.4351536427798831E-2</v>
      </c>
      <c r="O50" s="307">
        <f t="shared" si="1"/>
        <v>0</v>
      </c>
      <c r="P50" s="732">
        <v>0</v>
      </c>
      <c r="Q50" s="733">
        <v>1</v>
      </c>
      <c r="R50" s="734">
        <f t="shared" si="2"/>
        <v>0</v>
      </c>
      <c r="S50" s="735">
        <f t="shared" si="3"/>
        <v>0</v>
      </c>
      <c r="T50" s="735">
        <f t="shared" si="4"/>
        <v>0</v>
      </c>
      <c r="U50" s="735">
        <f t="shared" si="5"/>
        <v>0</v>
      </c>
      <c r="V50" s="736">
        <f t="shared" si="6"/>
        <v>0</v>
      </c>
      <c r="W50" s="735">
        <f t="shared" si="7"/>
        <v>0</v>
      </c>
      <c r="X50" s="737">
        <f t="shared" si="8"/>
        <v>0</v>
      </c>
      <c r="Y50" s="738">
        <f t="shared" si="9"/>
        <v>0</v>
      </c>
      <c r="Z50" s="627"/>
    </row>
    <row r="51" spans="1:27">
      <c r="A51" s="331" t="s">
        <v>1830</v>
      </c>
      <c r="B51" s="332">
        <v>811</v>
      </c>
      <c r="C51" s="332">
        <v>144</v>
      </c>
      <c r="D51" s="332">
        <v>144</v>
      </c>
      <c r="E51" s="331" t="s">
        <v>1582</v>
      </c>
      <c r="F51" s="333">
        <v>20557692.682692483</v>
      </c>
      <c r="G51" s="324" t="s">
        <v>66</v>
      </c>
      <c r="H51" s="325">
        <v>2017</v>
      </c>
      <c r="I51" s="306">
        <f>+IF($H51=I$2,VLOOKUP($G51,Depreciation!$A$14:$L$18,7,FALSE)/2,IF($H51&lt;I$2,VLOOKUP($G51,Depreciation!$A$14:$L$18,7,FALSE),0))</f>
        <v>0</v>
      </c>
      <c r="J51" s="306">
        <f>+IF($H51=J$2,VLOOKUP($G51,Depreciation!$A$14:$L$18,8,FALSE)/2,IF($H51&lt;J$2,VLOOKUP($G51,Depreciation!$A$14:$L$18,8,FALSE),0))</f>
        <v>0</v>
      </c>
      <c r="K51" s="306">
        <f>+IF($H51=K$2,VLOOKUP($G51,Depreciation!$A$14:$L$18,9,FALSE)/2,IF($H51&lt;K$2,VLOOKUP($G51,Depreciation!$A$14:$L$18,9,FALSE),0))</f>
        <v>1.2175768213899416E-2</v>
      </c>
      <c r="L51" s="306">
        <f>+IF($H51=L$2,VLOOKUP($G51,Depreciation!$A$14:$L$18,10,FALSE)/2,IF($H51&lt;L$2,VLOOKUP($G51,Depreciation!$A$14:$L$18,10,FALSE),0))</f>
        <v>2.4351536427798831E-2</v>
      </c>
      <c r="M51" s="306">
        <f>+IF($H51=M$2,VLOOKUP($G51,Depreciation!$A$14:$L$18,11,FALSE)/2,IF($H51&lt;M$2,VLOOKUP($G51,Depreciation!$A$14:$L$18,11,FALSE),0))</f>
        <v>2.4351536427798831E-2</v>
      </c>
      <c r="N51" s="306">
        <f>+IF($H51=N$2,VLOOKUP($G51,Depreciation!$A$14:$L$18,12,FALSE)/2,IF($H51&lt;N$2,VLOOKUP($G51,Depreciation!$A$14:$L$18,12,FALSE),0))</f>
        <v>2.4351536427798831E-2</v>
      </c>
      <c r="O51" s="307">
        <f t="shared" si="1"/>
        <v>0</v>
      </c>
      <c r="P51" s="732">
        <v>0</v>
      </c>
      <c r="Q51" s="733">
        <v>0</v>
      </c>
      <c r="R51" s="734">
        <f t="shared" si="2"/>
        <v>1</v>
      </c>
      <c r="S51" s="735">
        <f t="shared" si="3"/>
        <v>0</v>
      </c>
      <c r="T51" s="735">
        <f t="shared" si="4"/>
        <v>0</v>
      </c>
      <c r="U51" s="735">
        <f t="shared" si="5"/>
        <v>0</v>
      </c>
      <c r="V51" s="736">
        <f t="shared" si="6"/>
        <v>0</v>
      </c>
      <c r="W51" s="735">
        <f t="shared" si="7"/>
        <v>0</v>
      </c>
      <c r="X51" s="737">
        <f t="shared" si="8"/>
        <v>0</v>
      </c>
      <c r="Y51" s="738">
        <f t="shared" si="9"/>
        <v>0</v>
      </c>
      <c r="Z51" s="627"/>
    </row>
    <row r="52" spans="1:27">
      <c r="A52" s="748" t="s">
        <v>1831</v>
      </c>
      <c r="B52" s="749">
        <v>811</v>
      </c>
      <c r="C52" s="749">
        <v>144</v>
      </c>
      <c r="D52" s="332">
        <v>25</v>
      </c>
      <c r="E52" s="750" t="s">
        <v>1960</v>
      </c>
      <c r="F52" s="751">
        <v>14655875.320036264</v>
      </c>
      <c r="G52" s="328" t="s">
        <v>66</v>
      </c>
      <c r="H52" s="329">
        <v>2017</v>
      </c>
      <c r="I52" s="306">
        <f>+IF($H52=I$2,VLOOKUP($G52,Depreciation!$A$14:$L$18,7,FALSE)/2,IF($H52&lt;I$2,VLOOKUP($G52,Depreciation!$A$14:$L$18,7,FALSE),0))</f>
        <v>0</v>
      </c>
      <c r="J52" s="306">
        <f>+IF($H52=J$2,VLOOKUP($G52,Depreciation!$A$14:$L$18,8,FALSE)/2,IF($H52&lt;J$2,VLOOKUP($G52,Depreciation!$A$14:$L$18,8,FALSE),0))</f>
        <v>0</v>
      </c>
      <c r="K52" s="306">
        <f>+IF($H52=K$2,VLOOKUP($G52,Depreciation!$A$14:$L$18,9,FALSE)/2,IF($H52&lt;K$2,VLOOKUP($G52,Depreciation!$A$14:$L$18,9,FALSE),0))</f>
        <v>1.2175768213899416E-2</v>
      </c>
      <c r="L52" s="306">
        <f>+IF($H52=L$2,VLOOKUP($G52,Depreciation!$A$14:$L$18,10,FALSE)/2,IF($H52&lt;L$2,VLOOKUP($G52,Depreciation!$A$14:$L$18,10,FALSE),0))</f>
        <v>2.4351536427798831E-2</v>
      </c>
      <c r="M52" s="306">
        <f>+IF($H52=M$2,VLOOKUP($G52,Depreciation!$A$14:$L$18,11,FALSE)/2,IF($H52&lt;M$2,VLOOKUP($G52,Depreciation!$A$14:$L$18,11,FALSE),0))</f>
        <v>2.4351536427798831E-2</v>
      </c>
      <c r="N52" s="306">
        <f>+IF($H52=N$2,VLOOKUP($G52,Depreciation!$A$14:$L$18,12,FALSE)/2,IF($H52&lt;N$2,VLOOKUP($G52,Depreciation!$A$14:$L$18,12,FALSE),0))</f>
        <v>2.4351536427798831E-2</v>
      </c>
      <c r="O52" s="307">
        <f t="shared" si="1"/>
        <v>0</v>
      </c>
      <c r="P52" s="732">
        <v>0</v>
      </c>
      <c r="Q52" s="733">
        <v>1</v>
      </c>
      <c r="R52" s="734">
        <f t="shared" si="2"/>
        <v>0</v>
      </c>
      <c r="S52" s="735">
        <f t="shared" si="3"/>
        <v>0</v>
      </c>
      <c r="T52" s="735">
        <f t="shared" si="4"/>
        <v>0</v>
      </c>
      <c r="U52" s="735">
        <f t="shared" si="5"/>
        <v>0</v>
      </c>
      <c r="V52" s="736">
        <f t="shared" si="6"/>
        <v>0</v>
      </c>
      <c r="W52" s="735">
        <f t="shared" si="7"/>
        <v>0</v>
      </c>
      <c r="X52" s="737">
        <f t="shared" si="8"/>
        <v>0</v>
      </c>
      <c r="Y52" s="738">
        <f t="shared" si="9"/>
        <v>0</v>
      </c>
      <c r="Z52" s="627"/>
    </row>
    <row r="53" spans="1:27">
      <c r="A53" s="331" t="s">
        <v>1832</v>
      </c>
      <c r="B53" s="332">
        <v>811</v>
      </c>
      <c r="C53" s="752">
        <v>144</v>
      </c>
      <c r="D53" s="332">
        <v>25</v>
      </c>
      <c r="E53" s="477" t="s">
        <v>1961</v>
      </c>
      <c r="F53" s="333">
        <v>13565760.579394037</v>
      </c>
      <c r="G53" s="330" t="s">
        <v>66</v>
      </c>
      <c r="H53" s="325">
        <v>2017</v>
      </c>
      <c r="I53" s="306">
        <f>+IF($H53=I$2,VLOOKUP($G53,Depreciation!$A$14:$L$18,7,FALSE)/2,IF($H53&lt;I$2,VLOOKUP($G53,Depreciation!$A$14:$L$18,7,FALSE),0))</f>
        <v>0</v>
      </c>
      <c r="J53" s="306">
        <f>+IF($H53=J$2,VLOOKUP($G53,Depreciation!$A$14:$L$18,8,FALSE)/2,IF($H53&lt;J$2,VLOOKUP($G53,Depreciation!$A$14:$L$18,8,FALSE),0))</f>
        <v>0</v>
      </c>
      <c r="K53" s="306">
        <f>+IF($H53=K$2,VLOOKUP($G53,Depreciation!$A$14:$L$18,9,FALSE)/2,IF($H53&lt;K$2,VLOOKUP($G53,Depreciation!$A$14:$L$18,9,FALSE),0))</f>
        <v>1.2175768213899416E-2</v>
      </c>
      <c r="L53" s="306">
        <f>+IF($H53=L$2,VLOOKUP($G53,Depreciation!$A$14:$L$18,10,FALSE)/2,IF($H53&lt;L$2,VLOOKUP($G53,Depreciation!$A$14:$L$18,10,FALSE),0))</f>
        <v>2.4351536427798831E-2</v>
      </c>
      <c r="M53" s="306">
        <f>+IF($H53=M$2,VLOOKUP($G53,Depreciation!$A$14:$L$18,11,FALSE)/2,IF($H53&lt;M$2,VLOOKUP($G53,Depreciation!$A$14:$L$18,11,FALSE),0))</f>
        <v>2.4351536427798831E-2</v>
      </c>
      <c r="N53" s="306">
        <f>+IF($H53=N$2,VLOOKUP($G53,Depreciation!$A$14:$L$18,12,FALSE)/2,IF($H53&lt;N$2,VLOOKUP($G53,Depreciation!$A$14:$L$18,12,FALSE),0))</f>
        <v>2.4351536427798831E-2</v>
      </c>
      <c r="O53" s="307">
        <f t="shared" si="1"/>
        <v>0</v>
      </c>
      <c r="P53" s="732">
        <v>0</v>
      </c>
      <c r="Q53" s="733">
        <v>1</v>
      </c>
      <c r="R53" s="734">
        <f t="shared" si="2"/>
        <v>0</v>
      </c>
      <c r="S53" s="735">
        <f t="shared" si="3"/>
        <v>0</v>
      </c>
      <c r="T53" s="735">
        <f t="shared" si="4"/>
        <v>0</v>
      </c>
      <c r="U53" s="735">
        <f t="shared" si="5"/>
        <v>0</v>
      </c>
      <c r="V53" s="736">
        <f t="shared" si="6"/>
        <v>0</v>
      </c>
      <c r="W53" s="735">
        <f t="shared" si="7"/>
        <v>0</v>
      </c>
      <c r="X53" s="737">
        <f t="shared" si="8"/>
        <v>0</v>
      </c>
      <c r="Y53" s="738">
        <f t="shared" si="9"/>
        <v>0</v>
      </c>
      <c r="Z53" s="627"/>
    </row>
    <row r="54" spans="1:27">
      <c r="A54" s="331" t="s">
        <v>1833</v>
      </c>
      <c r="B54" s="332">
        <v>811</v>
      </c>
      <c r="C54" s="752">
        <v>144</v>
      </c>
      <c r="D54" s="332">
        <v>25</v>
      </c>
      <c r="E54" s="477" t="s">
        <v>1962</v>
      </c>
      <c r="F54" s="333">
        <v>267528.16210213065</v>
      </c>
      <c r="G54" s="332" t="s">
        <v>66</v>
      </c>
      <c r="H54" s="332">
        <v>2017</v>
      </c>
      <c r="I54" s="306">
        <f>+IF($H54=I$2,VLOOKUP($G54,Depreciation!$A$14:$L$18,7,FALSE)/2,IF($H54&lt;I$2,VLOOKUP($G54,Depreciation!$A$14:$L$18,7,FALSE),0))</f>
        <v>0</v>
      </c>
      <c r="J54" s="306">
        <f>+IF($H54=J$2,VLOOKUP($G54,Depreciation!$A$14:$L$18,8,FALSE)/2,IF($H54&lt;J$2,VLOOKUP($G54,Depreciation!$A$14:$L$18,8,FALSE),0))</f>
        <v>0</v>
      </c>
      <c r="K54" s="306">
        <f>+IF($H54=K$2,VLOOKUP($G54,Depreciation!$A$14:$L$18,9,FALSE)/2,IF($H54&lt;K$2,VLOOKUP($G54,Depreciation!$A$14:$L$18,9,FALSE),0))</f>
        <v>1.2175768213899416E-2</v>
      </c>
      <c r="L54" s="306">
        <f>+IF($H54=L$2,VLOOKUP($G54,Depreciation!$A$14:$L$18,10,FALSE)/2,IF($H54&lt;L$2,VLOOKUP($G54,Depreciation!$A$14:$L$18,10,FALSE),0))</f>
        <v>2.4351536427798831E-2</v>
      </c>
      <c r="M54" s="306">
        <f>+IF($H54=M$2,VLOOKUP($G54,Depreciation!$A$14:$L$18,11,FALSE)/2,IF($H54&lt;M$2,VLOOKUP($G54,Depreciation!$A$14:$L$18,11,FALSE),0))</f>
        <v>2.4351536427798831E-2</v>
      </c>
      <c r="N54" s="306">
        <f>+IF($H54=N$2,VLOOKUP($G54,Depreciation!$A$14:$L$18,12,FALSE)/2,IF($H54&lt;N$2,VLOOKUP($G54,Depreciation!$A$14:$L$18,12,FALSE),0))</f>
        <v>2.4351536427798831E-2</v>
      </c>
      <c r="O54" s="307">
        <f t="shared" si="1"/>
        <v>0</v>
      </c>
      <c r="P54" s="732">
        <v>0</v>
      </c>
      <c r="Q54" s="733">
        <v>1</v>
      </c>
      <c r="R54" s="734">
        <f t="shared" si="2"/>
        <v>0</v>
      </c>
      <c r="S54" s="735">
        <f t="shared" si="3"/>
        <v>0</v>
      </c>
      <c r="T54" s="735">
        <f t="shared" si="4"/>
        <v>0</v>
      </c>
      <c r="U54" s="735">
        <f t="shared" si="5"/>
        <v>0</v>
      </c>
      <c r="V54" s="736">
        <f t="shared" si="6"/>
        <v>0</v>
      </c>
      <c r="W54" s="735">
        <f t="shared" si="7"/>
        <v>0</v>
      </c>
      <c r="X54" s="737">
        <f t="shared" si="8"/>
        <v>0</v>
      </c>
      <c r="Y54" s="738">
        <f t="shared" si="9"/>
        <v>0</v>
      </c>
      <c r="Z54" s="627"/>
      <c r="AA54" s="317"/>
    </row>
    <row r="55" spans="1:27">
      <c r="A55" s="331" t="s">
        <v>1834</v>
      </c>
      <c r="B55" s="332">
        <v>811</v>
      </c>
      <c r="C55" s="752">
        <v>144</v>
      </c>
      <c r="D55" s="332">
        <v>25</v>
      </c>
      <c r="E55" s="477" t="s">
        <v>1660</v>
      </c>
      <c r="F55" s="333">
        <v>1431346.4418924579</v>
      </c>
      <c r="G55" s="332" t="s">
        <v>66</v>
      </c>
      <c r="H55" s="332">
        <v>2017</v>
      </c>
      <c r="I55" s="306">
        <f>+IF($H55=I$2,VLOOKUP($G55,Depreciation!$A$14:$L$18,7,FALSE)/2,IF($H55&lt;I$2,VLOOKUP($G55,Depreciation!$A$14:$L$18,7,FALSE),0))</f>
        <v>0</v>
      </c>
      <c r="J55" s="306">
        <f>+IF($H55=J$2,VLOOKUP($G55,Depreciation!$A$14:$L$18,8,FALSE)/2,IF($H55&lt;J$2,VLOOKUP($G55,Depreciation!$A$14:$L$18,8,FALSE),0))</f>
        <v>0</v>
      </c>
      <c r="K55" s="306">
        <f>+IF($H55=K$2,VLOOKUP($G55,Depreciation!$A$14:$L$18,9,FALSE)/2,IF($H55&lt;K$2,VLOOKUP($G55,Depreciation!$A$14:$L$18,9,FALSE),0))</f>
        <v>1.2175768213899416E-2</v>
      </c>
      <c r="L55" s="306">
        <f>+IF($H55=L$2,VLOOKUP($G55,Depreciation!$A$14:$L$18,10,FALSE)/2,IF($H55&lt;L$2,VLOOKUP($G55,Depreciation!$A$14:$L$18,10,FALSE),0))</f>
        <v>2.4351536427798831E-2</v>
      </c>
      <c r="M55" s="306">
        <f>+IF($H55=M$2,VLOOKUP($G55,Depreciation!$A$14:$L$18,11,FALSE)/2,IF($H55&lt;M$2,VLOOKUP($G55,Depreciation!$A$14:$L$18,11,FALSE),0))</f>
        <v>2.4351536427798831E-2</v>
      </c>
      <c r="N55" s="306">
        <f>+IF($H55=N$2,VLOOKUP($G55,Depreciation!$A$14:$L$18,12,FALSE)/2,IF($H55&lt;N$2,VLOOKUP($G55,Depreciation!$A$14:$L$18,12,FALSE),0))</f>
        <v>2.4351536427798831E-2</v>
      </c>
      <c r="O55" s="307">
        <f t="shared" si="1"/>
        <v>0</v>
      </c>
      <c r="P55" s="732">
        <v>0</v>
      </c>
      <c r="Q55" s="733">
        <v>1</v>
      </c>
      <c r="R55" s="734">
        <f t="shared" si="2"/>
        <v>0</v>
      </c>
      <c r="S55" s="735">
        <f t="shared" si="3"/>
        <v>0</v>
      </c>
      <c r="T55" s="735">
        <f t="shared" si="4"/>
        <v>0</v>
      </c>
      <c r="U55" s="735">
        <f t="shared" si="5"/>
        <v>0</v>
      </c>
      <c r="V55" s="736">
        <f t="shared" si="6"/>
        <v>0</v>
      </c>
      <c r="W55" s="735">
        <f t="shared" si="7"/>
        <v>0</v>
      </c>
      <c r="X55" s="737">
        <f t="shared" si="8"/>
        <v>0</v>
      </c>
      <c r="Y55" s="738">
        <f t="shared" si="9"/>
        <v>0</v>
      </c>
      <c r="Z55" s="627"/>
    </row>
    <row r="56" spans="1:27">
      <c r="A56" s="331" t="s">
        <v>1835</v>
      </c>
      <c r="B56" s="332">
        <v>811</v>
      </c>
      <c r="C56" s="752">
        <v>144</v>
      </c>
      <c r="D56" s="332">
        <v>138</v>
      </c>
      <c r="E56" s="477" t="s">
        <v>1963</v>
      </c>
      <c r="F56" s="333">
        <v>688730.2425556964</v>
      </c>
      <c r="G56" s="332" t="s">
        <v>66</v>
      </c>
      <c r="H56" s="332">
        <v>2017</v>
      </c>
      <c r="I56" s="306">
        <f>+IF($H56=I$2,VLOOKUP($G56,Depreciation!$A$14:$L$18,7,FALSE)/2,IF($H56&lt;I$2,VLOOKUP($G56,Depreciation!$A$14:$L$18,7,FALSE),0))</f>
        <v>0</v>
      </c>
      <c r="J56" s="306">
        <f>+IF($H56=J$2,VLOOKUP($G56,Depreciation!$A$14:$L$18,8,FALSE)/2,IF($H56&lt;J$2,VLOOKUP($G56,Depreciation!$A$14:$L$18,8,FALSE),0))</f>
        <v>0</v>
      </c>
      <c r="K56" s="306">
        <f>+IF($H56=K$2,VLOOKUP($G56,Depreciation!$A$14:$L$18,9,FALSE)/2,IF($H56&lt;K$2,VLOOKUP($G56,Depreciation!$A$14:$L$18,9,FALSE),0))</f>
        <v>1.2175768213899416E-2</v>
      </c>
      <c r="L56" s="306">
        <f>+IF($H56=L$2,VLOOKUP($G56,Depreciation!$A$14:$L$18,10,FALSE)/2,IF($H56&lt;L$2,VLOOKUP($G56,Depreciation!$A$14:$L$18,10,FALSE),0))</f>
        <v>2.4351536427798831E-2</v>
      </c>
      <c r="M56" s="306">
        <f>+IF($H56=M$2,VLOOKUP($G56,Depreciation!$A$14:$L$18,11,FALSE)/2,IF($H56&lt;M$2,VLOOKUP($G56,Depreciation!$A$14:$L$18,11,FALSE),0))</f>
        <v>2.4351536427798831E-2</v>
      </c>
      <c r="N56" s="306">
        <f>+IF($H56=N$2,VLOOKUP($G56,Depreciation!$A$14:$L$18,12,FALSE)/2,IF($H56&lt;N$2,VLOOKUP($G56,Depreciation!$A$14:$L$18,12,FALSE),0))</f>
        <v>2.4351536427798831E-2</v>
      </c>
      <c r="O56" s="307">
        <f t="shared" si="1"/>
        <v>0</v>
      </c>
      <c r="P56" s="732">
        <v>0</v>
      </c>
      <c r="Q56" s="733">
        <v>0</v>
      </c>
      <c r="R56" s="734">
        <f t="shared" si="2"/>
        <v>1</v>
      </c>
      <c r="S56" s="735">
        <f t="shared" si="3"/>
        <v>0</v>
      </c>
      <c r="T56" s="735">
        <f t="shared" si="4"/>
        <v>0</v>
      </c>
      <c r="U56" s="735">
        <f t="shared" si="5"/>
        <v>0</v>
      </c>
      <c r="V56" s="736">
        <f t="shared" si="6"/>
        <v>0</v>
      </c>
      <c r="W56" s="735">
        <f t="shared" si="7"/>
        <v>0</v>
      </c>
      <c r="X56" s="737">
        <f t="shared" si="8"/>
        <v>0</v>
      </c>
      <c r="Y56" s="738">
        <f t="shared" si="9"/>
        <v>0</v>
      </c>
      <c r="Z56" s="627"/>
    </row>
    <row r="57" spans="1:27">
      <c r="A57" s="331" t="s">
        <v>1836</v>
      </c>
      <c r="B57" s="332">
        <v>811</v>
      </c>
      <c r="C57" s="752">
        <v>0</v>
      </c>
      <c r="D57" s="332">
        <v>0</v>
      </c>
      <c r="E57" s="477"/>
      <c r="F57" s="333">
        <v>33228963.973278571</v>
      </c>
      <c r="G57" s="752" t="s">
        <v>66</v>
      </c>
      <c r="H57" s="752">
        <v>2017</v>
      </c>
      <c r="I57" s="306">
        <f>+IF($H57=I$2,VLOOKUP($G57,Depreciation!$A$14:$L$18,7,FALSE)/2,IF($H57&lt;I$2,VLOOKUP($G57,Depreciation!$A$14:$L$18,7,FALSE),0))</f>
        <v>0</v>
      </c>
      <c r="J57" s="306">
        <f>+IF($H57=J$2,VLOOKUP($G57,Depreciation!$A$14:$L$18,8,FALSE)/2,IF($H57&lt;J$2,VLOOKUP($G57,Depreciation!$A$14:$L$18,8,FALSE),0))</f>
        <v>0</v>
      </c>
      <c r="K57" s="306">
        <f>+IF($H57=K$2,VLOOKUP($G57,Depreciation!$A$14:$L$18,9,FALSE)/2,IF($H57&lt;K$2,VLOOKUP($G57,Depreciation!$A$14:$L$18,9,FALSE),0))</f>
        <v>1.2175768213899416E-2</v>
      </c>
      <c r="L57" s="306">
        <f>+IF($H57=L$2,VLOOKUP($G57,Depreciation!$A$14:$L$18,10,FALSE)/2,IF($H57&lt;L$2,VLOOKUP($G57,Depreciation!$A$14:$L$18,10,FALSE),0))</f>
        <v>2.4351536427798831E-2</v>
      </c>
      <c r="M57" s="306">
        <f>+IF($H57=M$2,VLOOKUP($G57,Depreciation!$A$14:$L$18,11,FALSE)/2,IF($H57&lt;M$2,VLOOKUP($G57,Depreciation!$A$14:$L$18,11,FALSE),0))</f>
        <v>2.4351536427798831E-2</v>
      </c>
      <c r="N57" s="306">
        <f>+IF($H57=N$2,VLOOKUP($G57,Depreciation!$A$14:$L$18,12,FALSE)/2,IF($H57&lt;N$2,VLOOKUP($G57,Depreciation!$A$14:$L$18,12,FALSE),0))</f>
        <v>2.4351536427798831E-2</v>
      </c>
      <c r="O57" s="307">
        <f t="shared" si="1"/>
        <v>0</v>
      </c>
      <c r="P57" s="732">
        <v>0</v>
      </c>
      <c r="Q57" s="733">
        <v>0</v>
      </c>
      <c r="R57" s="734">
        <f t="shared" si="2"/>
        <v>1</v>
      </c>
      <c r="S57" s="735">
        <f t="shared" si="3"/>
        <v>0</v>
      </c>
      <c r="T57" s="735">
        <f t="shared" si="4"/>
        <v>0</v>
      </c>
      <c r="U57" s="735">
        <f t="shared" si="5"/>
        <v>0</v>
      </c>
      <c r="V57" s="736">
        <f t="shared" si="6"/>
        <v>0</v>
      </c>
      <c r="W57" s="735">
        <f t="shared" si="7"/>
        <v>0</v>
      </c>
      <c r="X57" s="737">
        <f t="shared" si="8"/>
        <v>0</v>
      </c>
      <c r="Y57" s="738">
        <f t="shared" si="9"/>
        <v>0</v>
      </c>
      <c r="Z57" s="627"/>
    </row>
    <row r="58" spans="1:27">
      <c r="A58" s="331" t="s">
        <v>1837</v>
      </c>
      <c r="B58" s="332">
        <v>811</v>
      </c>
      <c r="C58" s="752">
        <v>0</v>
      </c>
      <c r="D58" s="332">
        <v>25</v>
      </c>
      <c r="E58" s="477" t="s">
        <v>1603</v>
      </c>
      <c r="F58" s="333">
        <v>8709690</v>
      </c>
      <c r="G58" s="752" t="s">
        <v>66</v>
      </c>
      <c r="H58" s="752">
        <v>2017</v>
      </c>
      <c r="I58" s="306">
        <f>+IF($H58=I$2,VLOOKUP($G58,Depreciation!$A$14:$L$18,7,FALSE)/2,IF($H58&lt;I$2,VLOOKUP($G58,Depreciation!$A$14:$L$18,7,FALSE),0))</f>
        <v>0</v>
      </c>
      <c r="J58" s="306">
        <f>+IF($H58=J$2,VLOOKUP($G58,Depreciation!$A$14:$L$18,8,FALSE)/2,IF($H58&lt;J$2,VLOOKUP($G58,Depreciation!$A$14:$L$18,8,FALSE),0))</f>
        <v>0</v>
      </c>
      <c r="K58" s="306">
        <f>+IF($H58=K$2,VLOOKUP($G58,Depreciation!$A$14:$L$18,9,FALSE)/2,IF($H58&lt;K$2,VLOOKUP($G58,Depreciation!$A$14:$L$18,9,FALSE),0))</f>
        <v>1.2175768213899416E-2</v>
      </c>
      <c r="L58" s="306">
        <f>+IF($H58=L$2,VLOOKUP($G58,Depreciation!$A$14:$L$18,10,FALSE)/2,IF($H58&lt;L$2,VLOOKUP($G58,Depreciation!$A$14:$L$18,10,FALSE),0))</f>
        <v>2.4351536427798831E-2</v>
      </c>
      <c r="M58" s="306">
        <f>+IF($H58=M$2,VLOOKUP($G58,Depreciation!$A$14:$L$18,11,FALSE)/2,IF($H58&lt;M$2,VLOOKUP($G58,Depreciation!$A$14:$L$18,11,FALSE),0))</f>
        <v>2.4351536427798831E-2</v>
      </c>
      <c r="N58" s="306">
        <f>+IF($H58=N$2,VLOOKUP($G58,Depreciation!$A$14:$L$18,12,FALSE)/2,IF($H58&lt;N$2,VLOOKUP($G58,Depreciation!$A$14:$L$18,12,FALSE),0))</f>
        <v>2.4351536427798831E-2</v>
      </c>
      <c r="O58" s="307">
        <f t="shared" si="1"/>
        <v>0</v>
      </c>
      <c r="P58" s="732">
        <v>0</v>
      </c>
      <c r="Q58" s="733">
        <v>1</v>
      </c>
      <c r="R58" s="734">
        <f t="shared" si="2"/>
        <v>0</v>
      </c>
      <c r="S58" s="735">
        <f t="shared" si="3"/>
        <v>0</v>
      </c>
      <c r="T58" s="735">
        <f t="shared" si="4"/>
        <v>0</v>
      </c>
      <c r="U58" s="735">
        <f t="shared" si="5"/>
        <v>0</v>
      </c>
      <c r="V58" s="736">
        <f t="shared" si="6"/>
        <v>0</v>
      </c>
      <c r="W58" s="735">
        <f t="shared" si="7"/>
        <v>0</v>
      </c>
      <c r="X58" s="737">
        <f t="shared" si="8"/>
        <v>0</v>
      </c>
      <c r="Y58" s="738">
        <f t="shared" si="9"/>
        <v>0</v>
      </c>
      <c r="Z58" s="627"/>
    </row>
    <row r="59" spans="1:27">
      <c r="A59" s="331" t="s">
        <v>1838</v>
      </c>
      <c r="B59" s="332">
        <v>811</v>
      </c>
      <c r="C59" s="752">
        <v>144</v>
      </c>
      <c r="D59" s="332">
        <v>25</v>
      </c>
      <c r="E59" s="477" t="s">
        <v>1964</v>
      </c>
      <c r="F59" s="333">
        <v>1030247.2205012403</v>
      </c>
      <c r="G59" s="752" t="s">
        <v>66</v>
      </c>
      <c r="H59" s="752">
        <v>2017</v>
      </c>
      <c r="I59" s="306">
        <f>+IF($H59=I$2,VLOOKUP($G59,Depreciation!$A$14:$L$18,7,FALSE)/2,IF($H59&lt;I$2,VLOOKUP($G59,Depreciation!$A$14:$L$18,7,FALSE),0))</f>
        <v>0</v>
      </c>
      <c r="J59" s="306">
        <f>+IF($H59=J$2,VLOOKUP($G59,Depreciation!$A$14:$L$18,8,FALSE)/2,IF($H59&lt;J$2,VLOOKUP($G59,Depreciation!$A$14:$L$18,8,FALSE),0))</f>
        <v>0</v>
      </c>
      <c r="K59" s="306">
        <f>+IF($H59=K$2,VLOOKUP($G59,Depreciation!$A$14:$L$18,9,FALSE)/2,IF($H59&lt;K$2,VLOOKUP($G59,Depreciation!$A$14:$L$18,9,FALSE),0))</f>
        <v>1.2175768213899416E-2</v>
      </c>
      <c r="L59" s="306">
        <f>+IF($H59=L$2,VLOOKUP($G59,Depreciation!$A$14:$L$18,10,FALSE)/2,IF($H59&lt;L$2,VLOOKUP($G59,Depreciation!$A$14:$L$18,10,FALSE),0))</f>
        <v>2.4351536427798831E-2</v>
      </c>
      <c r="M59" s="306">
        <f>+IF($H59=M$2,VLOOKUP($G59,Depreciation!$A$14:$L$18,11,FALSE)/2,IF($H59&lt;M$2,VLOOKUP($G59,Depreciation!$A$14:$L$18,11,FALSE),0))</f>
        <v>2.4351536427798831E-2</v>
      </c>
      <c r="N59" s="306">
        <f>+IF($H59=N$2,VLOOKUP($G59,Depreciation!$A$14:$L$18,12,FALSE)/2,IF($H59&lt;N$2,VLOOKUP($G59,Depreciation!$A$14:$L$18,12,FALSE),0))</f>
        <v>2.4351536427798831E-2</v>
      </c>
      <c r="O59" s="307">
        <f t="shared" si="1"/>
        <v>0</v>
      </c>
      <c r="P59" s="732">
        <v>0</v>
      </c>
      <c r="Q59" s="733">
        <v>1</v>
      </c>
      <c r="R59" s="734">
        <f t="shared" si="2"/>
        <v>0</v>
      </c>
      <c r="S59" s="735">
        <f t="shared" si="3"/>
        <v>0</v>
      </c>
      <c r="T59" s="735">
        <f t="shared" si="4"/>
        <v>0</v>
      </c>
      <c r="U59" s="735">
        <f t="shared" si="5"/>
        <v>0</v>
      </c>
      <c r="V59" s="736">
        <f t="shared" si="6"/>
        <v>0</v>
      </c>
      <c r="W59" s="735">
        <f t="shared" si="7"/>
        <v>0</v>
      </c>
      <c r="X59" s="737">
        <f t="shared" si="8"/>
        <v>0</v>
      </c>
      <c r="Y59" s="738">
        <f t="shared" si="9"/>
        <v>0</v>
      </c>
      <c r="Z59" s="627"/>
    </row>
    <row r="60" spans="1:27">
      <c r="A60" s="331" t="s">
        <v>1535</v>
      </c>
      <c r="B60" s="332">
        <v>813</v>
      </c>
      <c r="C60" s="752">
        <v>240</v>
      </c>
      <c r="D60" s="332">
        <v>138</v>
      </c>
      <c r="E60" s="477" t="s">
        <v>1535</v>
      </c>
      <c r="F60" s="333">
        <v>395882.33037640859</v>
      </c>
      <c r="G60" s="752" t="s">
        <v>4</v>
      </c>
      <c r="H60" s="752">
        <v>2017</v>
      </c>
      <c r="I60" s="306">
        <f>+IF($H60=I$2,VLOOKUP($G60,Depreciation!$A$14:$L$18,7,FALSE)/2,IF($H60&lt;I$2,VLOOKUP($G60,Depreciation!$A$14:$L$18,7,FALSE),0))</f>
        <v>0</v>
      </c>
      <c r="J60" s="306">
        <f>+IF($H60=J$2,VLOOKUP($G60,Depreciation!$A$14:$L$18,8,FALSE)/2,IF($H60&lt;J$2,VLOOKUP($G60,Depreciation!$A$14:$L$18,8,FALSE),0))</f>
        <v>0</v>
      </c>
      <c r="K60" s="306">
        <f>+IF($H60=K$2,VLOOKUP($G60,Depreciation!$A$14:$L$18,9,FALSE)/2,IF($H60&lt;K$2,VLOOKUP($G60,Depreciation!$A$14:$L$18,9,FALSE),0))</f>
        <v>1.671703928371859E-2</v>
      </c>
      <c r="L60" s="306">
        <f>+IF($H60=L$2,VLOOKUP($G60,Depreciation!$A$14:$L$18,10,FALSE)/2,IF($H60&lt;L$2,VLOOKUP($G60,Depreciation!$A$14:$L$18,10,FALSE),0))</f>
        <v>3.343407856743718E-2</v>
      </c>
      <c r="M60" s="306">
        <f>+IF($H60=M$2,VLOOKUP($G60,Depreciation!$A$14:$L$18,11,FALSE)/2,IF($H60&lt;M$2,VLOOKUP($G60,Depreciation!$A$14:$L$18,11,FALSE),0))</f>
        <v>3.343407856743718E-2</v>
      </c>
      <c r="N60" s="306">
        <f>+IF($H60=N$2,VLOOKUP($G60,Depreciation!$A$14:$L$18,12,FALSE)/2,IF($H60&lt;N$2,VLOOKUP($G60,Depreciation!$A$14:$L$18,12,FALSE),0))</f>
        <v>3.343407856743718E-2</v>
      </c>
      <c r="O60" s="307">
        <f t="shared" si="1"/>
        <v>0</v>
      </c>
      <c r="P60" s="732">
        <v>0</v>
      </c>
      <c r="Q60" s="733">
        <v>0</v>
      </c>
      <c r="R60" s="734">
        <f t="shared" si="2"/>
        <v>1</v>
      </c>
      <c r="S60" s="735">
        <f t="shared" si="3"/>
        <v>0</v>
      </c>
      <c r="T60" s="735">
        <f t="shared" si="4"/>
        <v>0</v>
      </c>
      <c r="U60" s="735">
        <f t="shared" si="5"/>
        <v>0</v>
      </c>
      <c r="V60" s="736">
        <f t="shared" si="6"/>
        <v>0</v>
      </c>
      <c r="W60" s="735">
        <f t="shared" si="7"/>
        <v>0</v>
      </c>
      <c r="X60" s="737">
        <f t="shared" si="8"/>
        <v>0</v>
      </c>
      <c r="Y60" s="738">
        <f t="shared" si="9"/>
        <v>0</v>
      </c>
      <c r="Z60" s="627"/>
    </row>
    <row r="61" spans="1:27">
      <c r="A61" s="331" t="s">
        <v>1683</v>
      </c>
      <c r="B61" s="332">
        <v>813</v>
      </c>
      <c r="C61" s="332">
        <v>240</v>
      </c>
      <c r="D61" s="332">
        <v>25</v>
      </c>
      <c r="E61" s="331" t="s">
        <v>1619</v>
      </c>
      <c r="F61" s="333">
        <v>39588.233037640857</v>
      </c>
      <c r="G61" s="332" t="s">
        <v>4</v>
      </c>
      <c r="H61" s="332">
        <v>2017</v>
      </c>
      <c r="I61" s="306">
        <f>+IF($H61=I$2,VLOOKUP($G61,Depreciation!$A$14:$L$18,7,FALSE)/2,IF($H61&lt;I$2,VLOOKUP($G61,Depreciation!$A$14:$L$18,7,FALSE),0))</f>
        <v>0</v>
      </c>
      <c r="J61" s="306">
        <f>+IF($H61=J$2,VLOOKUP($G61,Depreciation!$A$14:$L$18,8,FALSE)/2,IF($H61&lt;J$2,VLOOKUP($G61,Depreciation!$A$14:$L$18,8,FALSE),0))</f>
        <v>0</v>
      </c>
      <c r="K61" s="306">
        <f>+IF($H61=K$2,VLOOKUP($G61,Depreciation!$A$14:$L$18,9,FALSE)/2,IF($H61&lt;K$2,VLOOKUP($G61,Depreciation!$A$14:$L$18,9,FALSE),0))</f>
        <v>1.671703928371859E-2</v>
      </c>
      <c r="L61" s="306">
        <f>+IF($H61=L$2,VLOOKUP($G61,Depreciation!$A$14:$L$18,10,FALSE)/2,IF($H61&lt;L$2,VLOOKUP($G61,Depreciation!$A$14:$L$18,10,FALSE),0))</f>
        <v>3.343407856743718E-2</v>
      </c>
      <c r="M61" s="306">
        <f>+IF($H61=M$2,VLOOKUP($G61,Depreciation!$A$14:$L$18,11,FALSE)/2,IF($H61&lt;M$2,VLOOKUP($G61,Depreciation!$A$14:$L$18,11,FALSE),0))</f>
        <v>3.343407856743718E-2</v>
      </c>
      <c r="N61" s="306">
        <f>+IF($H61=N$2,VLOOKUP($G61,Depreciation!$A$14:$L$18,12,FALSE)/2,IF($H61&lt;N$2,VLOOKUP($G61,Depreciation!$A$14:$L$18,12,FALSE),0))</f>
        <v>3.343407856743718E-2</v>
      </c>
      <c r="O61" s="307">
        <f t="shared" si="1"/>
        <v>0</v>
      </c>
      <c r="P61" s="732">
        <v>0.9116809116809117</v>
      </c>
      <c r="Q61" s="733">
        <v>8.8319088319088315E-2</v>
      </c>
      <c r="R61" s="734">
        <f t="shared" si="2"/>
        <v>0</v>
      </c>
      <c r="S61" s="735">
        <f t="shared" si="3"/>
        <v>0</v>
      </c>
      <c r="T61" s="735">
        <f t="shared" si="4"/>
        <v>0</v>
      </c>
      <c r="U61" s="735">
        <f t="shared" si="5"/>
        <v>0</v>
      </c>
      <c r="V61" s="736">
        <f t="shared" si="6"/>
        <v>0</v>
      </c>
      <c r="W61" s="735">
        <f t="shared" si="7"/>
        <v>0</v>
      </c>
      <c r="X61" s="737">
        <f t="shared" si="8"/>
        <v>0</v>
      </c>
      <c r="Y61" s="738">
        <f t="shared" si="9"/>
        <v>0</v>
      </c>
      <c r="Z61" s="627"/>
    </row>
    <row r="62" spans="1:27">
      <c r="A62" s="331" t="s">
        <v>1839</v>
      </c>
      <c r="B62" s="332">
        <v>813</v>
      </c>
      <c r="C62" s="332">
        <v>240</v>
      </c>
      <c r="D62" s="332">
        <v>25</v>
      </c>
      <c r="E62" s="331" t="s">
        <v>1965</v>
      </c>
      <c r="F62" s="333">
        <v>8444000.0000000019</v>
      </c>
      <c r="G62" s="332" t="s">
        <v>4</v>
      </c>
      <c r="H62" s="332">
        <v>2017</v>
      </c>
      <c r="I62" s="306">
        <f>+IF($H62=I$2,VLOOKUP($G62,Depreciation!$A$14:$L$18,7,FALSE)/2,IF($H62&lt;I$2,VLOOKUP($G62,Depreciation!$A$14:$L$18,7,FALSE),0))</f>
        <v>0</v>
      </c>
      <c r="J62" s="306">
        <f>+IF($H62=J$2,VLOOKUP($G62,Depreciation!$A$14:$L$18,8,FALSE)/2,IF($H62&lt;J$2,VLOOKUP($G62,Depreciation!$A$14:$L$18,8,FALSE),0))</f>
        <v>0</v>
      </c>
      <c r="K62" s="306">
        <f>+IF($H62=K$2,VLOOKUP($G62,Depreciation!$A$14:$L$18,9,FALSE)/2,IF($H62&lt;K$2,VLOOKUP($G62,Depreciation!$A$14:$L$18,9,FALSE),0))</f>
        <v>1.671703928371859E-2</v>
      </c>
      <c r="L62" s="306">
        <f>+IF($H62=L$2,VLOOKUP($G62,Depreciation!$A$14:$L$18,10,FALSE)/2,IF($H62&lt;L$2,VLOOKUP($G62,Depreciation!$A$14:$L$18,10,FALSE),0))</f>
        <v>3.343407856743718E-2</v>
      </c>
      <c r="M62" s="306">
        <f>+IF($H62=M$2,VLOOKUP($G62,Depreciation!$A$14:$L$18,11,FALSE)/2,IF($H62&lt;M$2,VLOOKUP($G62,Depreciation!$A$14:$L$18,11,FALSE),0))</f>
        <v>3.343407856743718E-2</v>
      </c>
      <c r="N62" s="306">
        <f>+IF($H62=N$2,VLOOKUP($G62,Depreciation!$A$14:$L$18,12,FALSE)/2,IF($H62&lt;N$2,VLOOKUP($G62,Depreciation!$A$14:$L$18,12,FALSE),0))</f>
        <v>3.343407856743718E-2</v>
      </c>
      <c r="O62" s="307">
        <f t="shared" si="1"/>
        <v>0</v>
      </c>
      <c r="P62" s="732">
        <v>0</v>
      </c>
      <c r="Q62" s="733">
        <v>1</v>
      </c>
      <c r="R62" s="734">
        <f t="shared" si="2"/>
        <v>0</v>
      </c>
      <c r="S62" s="735">
        <f t="shared" si="3"/>
        <v>0</v>
      </c>
      <c r="T62" s="735">
        <f t="shared" si="4"/>
        <v>0</v>
      </c>
      <c r="U62" s="735">
        <f t="shared" si="5"/>
        <v>0</v>
      </c>
      <c r="V62" s="736">
        <f t="shared" si="6"/>
        <v>0</v>
      </c>
      <c r="W62" s="735">
        <f t="shared" si="7"/>
        <v>0</v>
      </c>
      <c r="X62" s="737">
        <f t="shared" si="8"/>
        <v>0</v>
      </c>
      <c r="Y62" s="738">
        <f t="shared" si="9"/>
        <v>0</v>
      </c>
      <c r="Z62" s="627"/>
    </row>
    <row r="63" spans="1:27">
      <c r="A63" s="331" t="s">
        <v>1840</v>
      </c>
      <c r="B63" s="332">
        <v>813</v>
      </c>
      <c r="C63" s="332">
        <v>240</v>
      </c>
      <c r="D63" s="332">
        <v>25</v>
      </c>
      <c r="E63" s="331" t="s">
        <v>1965</v>
      </c>
      <c r="F63" s="333">
        <v>134255.74682330378</v>
      </c>
      <c r="G63" s="332" t="s">
        <v>4</v>
      </c>
      <c r="H63" s="332">
        <v>2017</v>
      </c>
      <c r="I63" s="306">
        <f>+IF($H63=I$2,VLOOKUP($G63,Depreciation!$A$14:$L$18,7,FALSE)/2,IF($H63&lt;I$2,VLOOKUP($G63,Depreciation!$A$14:$L$18,7,FALSE),0))</f>
        <v>0</v>
      </c>
      <c r="J63" s="306">
        <f>+IF($H63=J$2,VLOOKUP($G63,Depreciation!$A$14:$L$18,8,FALSE)/2,IF($H63&lt;J$2,VLOOKUP($G63,Depreciation!$A$14:$L$18,8,FALSE),0))</f>
        <v>0</v>
      </c>
      <c r="K63" s="306">
        <f>+IF($H63=K$2,VLOOKUP($G63,Depreciation!$A$14:$L$18,9,FALSE)/2,IF($H63&lt;K$2,VLOOKUP($G63,Depreciation!$A$14:$L$18,9,FALSE),0))</f>
        <v>1.671703928371859E-2</v>
      </c>
      <c r="L63" s="306">
        <f>+IF($H63=L$2,VLOOKUP($G63,Depreciation!$A$14:$L$18,10,FALSE)/2,IF($H63&lt;L$2,VLOOKUP($G63,Depreciation!$A$14:$L$18,10,FALSE),0))</f>
        <v>3.343407856743718E-2</v>
      </c>
      <c r="M63" s="306">
        <f>+IF($H63=M$2,VLOOKUP($G63,Depreciation!$A$14:$L$18,11,FALSE)/2,IF($H63&lt;M$2,VLOOKUP($G63,Depreciation!$A$14:$L$18,11,FALSE),0))</f>
        <v>3.343407856743718E-2</v>
      </c>
      <c r="N63" s="306">
        <f>+IF($H63=N$2,VLOOKUP($G63,Depreciation!$A$14:$L$18,12,FALSE)/2,IF($H63&lt;N$2,VLOOKUP($G63,Depreciation!$A$14:$L$18,12,FALSE),0))</f>
        <v>3.343407856743718E-2</v>
      </c>
      <c r="O63" s="307">
        <f t="shared" si="1"/>
        <v>0</v>
      </c>
      <c r="P63" s="732">
        <v>0</v>
      </c>
      <c r="Q63" s="733">
        <v>1</v>
      </c>
      <c r="R63" s="734">
        <f t="shared" si="2"/>
        <v>0</v>
      </c>
      <c r="S63" s="735">
        <f t="shared" si="3"/>
        <v>0</v>
      </c>
      <c r="T63" s="735">
        <f t="shared" si="4"/>
        <v>0</v>
      </c>
      <c r="U63" s="735">
        <f t="shared" si="5"/>
        <v>0</v>
      </c>
      <c r="V63" s="736">
        <f t="shared" si="6"/>
        <v>0</v>
      </c>
      <c r="W63" s="735">
        <f t="shared" si="7"/>
        <v>0</v>
      </c>
      <c r="X63" s="737">
        <f t="shared" si="8"/>
        <v>0</v>
      </c>
      <c r="Y63" s="738">
        <f t="shared" si="9"/>
        <v>0</v>
      </c>
      <c r="Z63" s="627"/>
    </row>
    <row r="64" spans="1:27">
      <c r="A64" s="331" t="s">
        <v>1841</v>
      </c>
      <c r="B64" s="332">
        <v>813</v>
      </c>
      <c r="C64" s="332">
        <v>240</v>
      </c>
      <c r="D64" s="332">
        <v>25</v>
      </c>
      <c r="E64" s="331" t="s">
        <v>1965</v>
      </c>
      <c r="F64" s="333">
        <v>20654.730280508273</v>
      </c>
      <c r="G64" s="332" t="s">
        <v>4</v>
      </c>
      <c r="H64" s="332">
        <v>2017</v>
      </c>
      <c r="I64" s="306">
        <f>+IF($H64=I$2,VLOOKUP($G64,Depreciation!$A$14:$L$18,7,FALSE)/2,IF($H64&lt;I$2,VLOOKUP($G64,Depreciation!$A$14:$L$18,7,FALSE),0))</f>
        <v>0</v>
      </c>
      <c r="J64" s="306">
        <f>+IF($H64=J$2,VLOOKUP($G64,Depreciation!$A$14:$L$18,8,FALSE)/2,IF($H64&lt;J$2,VLOOKUP($G64,Depreciation!$A$14:$L$18,8,FALSE),0))</f>
        <v>0</v>
      </c>
      <c r="K64" s="306">
        <f>+IF($H64=K$2,VLOOKUP($G64,Depreciation!$A$14:$L$18,9,FALSE)/2,IF($H64&lt;K$2,VLOOKUP($G64,Depreciation!$A$14:$L$18,9,FALSE),0))</f>
        <v>1.671703928371859E-2</v>
      </c>
      <c r="L64" s="306">
        <f>+IF($H64=L$2,VLOOKUP($G64,Depreciation!$A$14:$L$18,10,FALSE)/2,IF($H64&lt;L$2,VLOOKUP($G64,Depreciation!$A$14:$L$18,10,FALSE),0))</f>
        <v>3.343407856743718E-2</v>
      </c>
      <c r="M64" s="306">
        <f>+IF($H64=M$2,VLOOKUP($G64,Depreciation!$A$14:$L$18,11,FALSE)/2,IF($H64&lt;M$2,VLOOKUP($G64,Depreciation!$A$14:$L$18,11,FALSE),0))</f>
        <v>3.343407856743718E-2</v>
      </c>
      <c r="N64" s="306">
        <f>+IF($H64=N$2,VLOOKUP($G64,Depreciation!$A$14:$L$18,12,FALSE)/2,IF($H64&lt;N$2,VLOOKUP($G64,Depreciation!$A$14:$L$18,12,FALSE),0))</f>
        <v>3.343407856743718E-2</v>
      </c>
      <c r="O64" s="307">
        <f t="shared" si="1"/>
        <v>0</v>
      </c>
      <c r="P64" s="732">
        <v>0</v>
      </c>
      <c r="Q64" s="733">
        <v>1</v>
      </c>
      <c r="R64" s="734">
        <f t="shared" si="2"/>
        <v>0</v>
      </c>
      <c r="S64" s="735">
        <f t="shared" si="3"/>
        <v>0</v>
      </c>
      <c r="T64" s="735">
        <f t="shared" si="4"/>
        <v>0</v>
      </c>
      <c r="U64" s="735">
        <f t="shared" si="5"/>
        <v>0</v>
      </c>
      <c r="V64" s="736">
        <f t="shared" si="6"/>
        <v>0</v>
      </c>
      <c r="W64" s="735">
        <f t="shared" si="7"/>
        <v>0</v>
      </c>
      <c r="X64" s="737">
        <f t="shared" si="8"/>
        <v>0</v>
      </c>
      <c r="Y64" s="738">
        <f t="shared" si="9"/>
        <v>0</v>
      </c>
      <c r="Z64" s="627"/>
    </row>
    <row r="65" spans="1:26">
      <c r="A65" s="331" t="s">
        <v>1842</v>
      </c>
      <c r="B65" s="332">
        <v>813</v>
      </c>
      <c r="C65" s="332">
        <v>138</v>
      </c>
      <c r="D65" s="332">
        <v>25</v>
      </c>
      <c r="E65" s="331" t="s">
        <v>1965</v>
      </c>
      <c r="F65" s="333">
        <v>655703.2937070569</v>
      </c>
      <c r="G65" s="332" t="s">
        <v>4</v>
      </c>
      <c r="H65" s="332">
        <v>2017</v>
      </c>
      <c r="I65" s="306">
        <f>+IF($H65=I$2,VLOOKUP($G65,Depreciation!$A$14:$L$18,7,FALSE)/2,IF($H65&lt;I$2,VLOOKUP($G65,Depreciation!$A$14:$L$18,7,FALSE),0))</f>
        <v>0</v>
      </c>
      <c r="J65" s="306">
        <f>+IF($H65=J$2,VLOOKUP($G65,Depreciation!$A$14:$L$18,8,FALSE)/2,IF($H65&lt;J$2,VLOOKUP($G65,Depreciation!$A$14:$L$18,8,FALSE),0))</f>
        <v>0</v>
      </c>
      <c r="K65" s="306">
        <f>+IF($H65=K$2,VLOOKUP($G65,Depreciation!$A$14:$L$18,9,FALSE)/2,IF($H65&lt;K$2,VLOOKUP($G65,Depreciation!$A$14:$L$18,9,FALSE),0))</f>
        <v>1.671703928371859E-2</v>
      </c>
      <c r="L65" s="306">
        <f>+IF($H65=L$2,VLOOKUP($G65,Depreciation!$A$14:$L$18,10,FALSE)/2,IF($H65&lt;L$2,VLOOKUP($G65,Depreciation!$A$14:$L$18,10,FALSE),0))</f>
        <v>3.343407856743718E-2</v>
      </c>
      <c r="M65" s="306">
        <f>+IF($H65=M$2,VLOOKUP($G65,Depreciation!$A$14:$L$18,11,FALSE)/2,IF($H65&lt;M$2,VLOOKUP($G65,Depreciation!$A$14:$L$18,11,FALSE),0))</f>
        <v>3.343407856743718E-2</v>
      </c>
      <c r="N65" s="306">
        <f>+IF($H65=N$2,VLOOKUP($G65,Depreciation!$A$14:$L$18,12,FALSE)/2,IF($H65&lt;N$2,VLOOKUP($G65,Depreciation!$A$14:$L$18,12,FALSE),0))</f>
        <v>3.343407856743718E-2</v>
      </c>
      <c r="O65" s="307">
        <f t="shared" si="1"/>
        <v>0</v>
      </c>
      <c r="P65" s="732">
        <v>0</v>
      </c>
      <c r="Q65" s="733">
        <v>1</v>
      </c>
      <c r="R65" s="734">
        <f t="shared" si="2"/>
        <v>0</v>
      </c>
      <c r="S65" s="735">
        <f t="shared" si="3"/>
        <v>0</v>
      </c>
      <c r="T65" s="735">
        <f t="shared" si="4"/>
        <v>0</v>
      </c>
      <c r="U65" s="735">
        <f t="shared" si="5"/>
        <v>0</v>
      </c>
      <c r="V65" s="736">
        <f t="shared" si="6"/>
        <v>0</v>
      </c>
      <c r="W65" s="735">
        <f t="shared" si="7"/>
        <v>0</v>
      </c>
      <c r="X65" s="737">
        <f t="shared" si="8"/>
        <v>0</v>
      </c>
      <c r="Y65" s="738">
        <f t="shared" si="9"/>
        <v>0</v>
      </c>
      <c r="Z65" s="627"/>
    </row>
    <row r="66" spans="1:26">
      <c r="A66" s="331" t="s">
        <v>1843</v>
      </c>
      <c r="B66" s="332">
        <v>813</v>
      </c>
      <c r="C66" s="332">
        <v>138</v>
      </c>
      <c r="D66" s="332">
        <v>25</v>
      </c>
      <c r="E66" s="331" t="s">
        <v>1966</v>
      </c>
      <c r="F66" s="333">
        <v>2796588.4995215004</v>
      </c>
      <c r="G66" s="332" t="s">
        <v>4</v>
      </c>
      <c r="H66" s="332">
        <v>2017</v>
      </c>
      <c r="I66" s="306">
        <f>+IF($H66=I$2,VLOOKUP($G66,Depreciation!$A$14:$L$18,7,FALSE)/2,IF($H66&lt;I$2,VLOOKUP($G66,Depreciation!$A$14:$L$18,7,FALSE),0))</f>
        <v>0</v>
      </c>
      <c r="J66" s="306">
        <f>+IF($H66=J$2,VLOOKUP($G66,Depreciation!$A$14:$L$18,8,FALSE)/2,IF($H66&lt;J$2,VLOOKUP($G66,Depreciation!$A$14:$L$18,8,FALSE),0))</f>
        <v>0</v>
      </c>
      <c r="K66" s="306">
        <f>+IF($H66=K$2,VLOOKUP($G66,Depreciation!$A$14:$L$18,9,FALSE)/2,IF($H66&lt;K$2,VLOOKUP($G66,Depreciation!$A$14:$L$18,9,FALSE),0))</f>
        <v>1.671703928371859E-2</v>
      </c>
      <c r="L66" s="306">
        <f>+IF($H66=L$2,VLOOKUP($G66,Depreciation!$A$14:$L$18,10,FALSE)/2,IF($H66&lt;L$2,VLOOKUP($G66,Depreciation!$A$14:$L$18,10,FALSE),0))</f>
        <v>3.343407856743718E-2</v>
      </c>
      <c r="M66" s="306">
        <f>+IF($H66=M$2,VLOOKUP($G66,Depreciation!$A$14:$L$18,11,FALSE)/2,IF($H66&lt;M$2,VLOOKUP($G66,Depreciation!$A$14:$L$18,11,FALSE),0))</f>
        <v>3.343407856743718E-2</v>
      </c>
      <c r="N66" s="306">
        <f>+IF($H66=N$2,VLOOKUP($G66,Depreciation!$A$14:$L$18,12,FALSE)/2,IF($H66&lt;N$2,VLOOKUP($G66,Depreciation!$A$14:$L$18,12,FALSE),0))</f>
        <v>3.343407856743718E-2</v>
      </c>
      <c r="O66" s="307">
        <f t="shared" si="1"/>
        <v>0</v>
      </c>
      <c r="P66" s="732">
        <v>0.7403207006269098</v>
      </c>
      <c r="Q66" s="733">
        <v>0.25967929937309009</v>
      </c>
      <c r="R66" s="734">
        <f t="shared" si="2"/>
        <v>0</v>
      </c>
      <c r="S66" s="735">
        <f t="shared" si="3"/>
        <v>0</v>
      </c>
      <c r="T66" s="735">
        <f t="shared" si="4"/>
        <v>0</v>
      </c>
      <c r="U66" s="735">
        <f t="shared" si="5"/>
        <v>0</v>
      </c>
      <c r="V66" s="736">
        <f t="shared" si="6"/>
        <v>0</v>
      </c>
      <c r="W66" s="735">
        <f t="shared" si="7"/>
        <v>0</v>
      </c>
      <c r="X66" s="737">
        <f t="shared" si="8"/>
        <v>0</v>
      </c>
      <c r="Y66" s="738">
        <f t="shared" si="9"/>
        <v>0</v>
      </c>
      <c r="Z66" s="627"/>
    </row>
    <row r="67" spans="1:26">
      <c r="A67" s="331" t="s">
        <v>1844</v>
      </c>
      <c r="B67" s="332">
        <v>813</v>
      </c>
      <c r="C67" s="332">
        <v>138</v>
      </c>
      <c r="D67" s="332">
        <v>25</v>
      </c>
      <c r="E67" s="331" t="s">
        <v>1966</v>
      </c>
      <c r="F67" s="333">
        <v>323419.86019997793</v>
      </c>
      <c r="G67" s="332" t="s">
        <v>4</v>
      </c>
      <c r="H67" s="332">
        <v>2017</v>
      </c>
      <c r="I67" s="306">
        <f>+IF($H67=I$2,VLOOKUP($G67,Depreciation!$A$14:$L$18,7,FALSE)/2,IF($H67&lt;I$2,VLOOKUP($G67,Depreciation!$A$14:$L$18,7,FALSE),0))</f>
        <v>0</v>
      </c>
      <c r="J67" s="306">
        <f>+IF($H67=J$2,VLOOKUP($G67,Depreciation!$A$14:$L$18,8,FALSE)/2,IF($H67&lt;J$2,VLOOKUP($G67,Depreciation!$A$14:$L$18,8,FALSE),0))</f>
        <v>0</v>
      </c>
      <c r="K67" s="306">
        <f>+IF($H67=K$2,VLOOKUP($G67,Depreciation!$A$14:$L$18,9,FALSE)/2,IF($H67&lt;K$2,VLOOKUP($G67,Depreciation!$A$14:$L$18,9,FALSE),0))</f>
        <v>1.671703928371859E-2</v>
      </c>
      <c r="L67" s="306">
        <f>+IF($H67=L$2,VLOOKUP($G67,Depreciation!$A$14:$L$18,10,FALSE)/2,IF($H67&lt;L$2,VLOOKUP($G67,Depreciation!$A$14:$L$18,10,FALSE),0))</f>
        <v>3.343407856743718E-2</v>
      </c>
      <c r="M67" s="306">
        <f>+IF($H67=M$2,VLOOKUP($G67,Depreciation!$A$14:$L$18,11,FALSE)/2,IF($H67&lt;M$2,VLOOKUP($G67,Depreciation!$A$14:$L$18,11,FALSE),0))</f>
        <v>3.343407856743718E-2</v>
      </c>
      <c r="N67" s="306">
        <f>+IF($H67=N$2,VLOOKUP($G67,Depreciation!$A$14:$L$18,12,FALSE)/2,IF($H67&lt;N$2,VLOOKUP($G67,Depreciation!$A$14:$L$18,12,FALSE),0))</f>
        <v>3.343407856743718E-2</v>
      </c>
      <c r="O67" s="307">
        <f t="shared" si="1"/>
        <v>0</v>
      </c>
      <c r="P67" s="732">
        <v>0.7403207006269098</v>
      </c>
      <c r="Q67" s="733">
        <v>0.25967929937309009</v>
      </c>
      <c r="R67" s="734">
        <f t="shared" si="2"/>
        <v>0</v>
      </c>
      <c r="S67" s="735">
        <f t="shared" si="3"/>
        <v>0</v>
      </c>
      <c r="T67" s="735">
        <f t="shared" si="4"/>
        <v>0</v>
      </c>
      <c r="U67" s="735">
        <f t="shared" si="5"/>
        <v>0</v>
      </c>
      <c r="V67" s="736">
        <f t="shared" si="6"/>
        <v>0</v>
      </c>
      <c r="W67" s="735">
        <f t="shared" si="7"/>
        <v>0</v>
      </c>
      <c r="X67" s="737">
        <f t="shared" si="8"/>
        <v>0</v>
      </c>
      <c r="Y67" s="738">
        <f t="shared" si="9"/>
        <v>0</v>
      </c>
      <c r="Z67" s="627"/>
    </row>
    <row r="68" spans="1:26">
      <c r="A68" s="331" t="s">
        <v>1845</v>
      </c>
      <c r="B68" s="332">
        <v>813</v>
      </c>
      <c r="C68" s="332">
        <v>240</v>
      </c>
      <c r="D68" s="332">
        <v>25</v>
      </c>
      <c r="E68" s="331" t="s">
        <v>1619</v>
      </c>
      <c r="F68" s="333">
        <v>36791.145939886468</v>
      </c>
      <c r="G68" s="332" t="s">
        <v>4</v>
      </c>
      <c r="H68" s="332">
        <v>2017</v>
      </c>
      <c r="I68" s="306">
        <f>+IF($H68=I$2,VLOOKUP($G68,Depreciation!$A$14:$L$18,7,FALSE)/2,IF($H68&lt;I$2,VLOOKUP($G68,Depreciation!$A$14:$L$18,7,FALSE),0))</f>
        <v>0</v>
      </c>
      <c r="J68" s="306">
        <f>+IF($H68=J$2,VLOOKUP($G68,Depreciation!$A$14:$L$18,8,FALSE)/2,IF($H68&lt;J$2,VLOOKUP($G68,Depreciation!$A$14:$L$18,8,FALSE),0))</f>
        <v>0</v>
      </c>
      <c r="K68" s="306">
        <f>+IF($H68=K$2,VLOOKUP($G68,Depreciation!$A$14:$L$18,9,FALSE)/2,IF($H68&lt;K$2,VLOOKUP($G68,Depreciation!$A$14:$L$18,9,FALSE),0))</f>
        <v>1.671703928371859E-2</v>
      </c>
      <c r="L68" s="306">
        <f>+IF($H68=L$2,VLOOKUP($G68,Depreciation!$A$14:$L$18,10,FALSE)/2,IF($H68&lt;L$2,VLOOKUP($G68,Depreciation!$A$14:$L$18,10,FALSE),0))</f>
        <v>3.343407856743718E-2</v>
      </c>
      <c r="M68" s="306">
        <f>+IF($H68=M$2,VLOOKUP($G68,Depreciation!$A$14:$L$18,11,FALSE)/2,IF($H68&lt;M$2,VLOOKUP($G68,Depreciation!$A$14:$L$18,11,FALSE),0))</f>
        <v>3.343407856743718E-2</v>
      </c>
      <c r="N68" s="306">
        <f>+IF($H68=N$2,VLOOKUP($G68,Depreciation!$A$14:$L$18,12,FALSE)/2,IF($H68&lt;N$2,VLOOKUP($G68,Depreciation!$A$14:$L$18,12,FALSE),0))</f>
        <v>3.343407856743718E-2</v>
      </c>
      <c r="O68" s="307">
        <f t="shared" ref="O68:O131" si="10">IF(H68&lt;=2015,F68*(1-I68),0)</f>
        <v>0</v>
      </c>
      <c r="P68" s="732">
        <v>0.9116809116809117</v>
      </c>
      <c r="Q68" s="733">
        <v>8.8319088319088315E-2</v>
      </c>
      <c r="R68" s="734">
        <f t="shared" ref="R68:R131" si="11">1-P68-Q68</f>
        <v>0</v>
      </c>
      <c r="S68" s="735">
        <f t="shared" ref="S68:S131" si="12">+P68*$O68</f>
        <v>0</v>
      </c>
      <c r="T68" s="735">
        <f t="shared" ref="T68:T131" si="13">+Q68*$O68</f>
        <v>0</v>
      </c>
      <c r="U68" s="735">
        <f t="shared" ref="U68:U131" si="14">+R68*$O68</f>
        <v>0</v>
      </c>
      <c r="V68" s="736">
        <f t="shared" ref="V68:V131" si="15">IF(AND(R68=1,D68=0),O68,0)</f>
        <v>0</v>
      </c>
      <c r="W68" s="735">
        <f t="shared" ref="W68:W131" si="16">S68+IF(D68&gt;144,U68,0)</f>
        <v>0</v>
      </c>
      <c r="X68" s="737">
        <f t="shared" ref="X68:X131" si="17">IF(AND(D68&lt;=144,D68&gt;=69),U68,0)</f>
        <v>0</v>
      </c>
      <c r="Y68" s="738">
        <f t="shared" ref="Y68:Y131" si="18">T68+IF(AND(D68&lt;69,D68&gt;0),U68,0)</f>
        <v>0</v>
      </c>
      <c r="Z68" s="627"/>
    </row>
    <row r="69" spans="1:26">
      <c r="A69" s="331" t="s">
        <v>1846</v>
      </c>
      <c r="B69" s="332">
        <v>813</v>
      </c>
      <c r="C69" s="332">
        <v>240</v>
      </c>
      <c r="D69" s="332">
        <v>25</v>
      </c>
      <c r="E69" s="331" t="s">
        <v>1965</v>
      </c>
      <c r="F69" s="333">
        <v>5892088.7617147239</v>
      </c>
      <c r="G69" s="332" t="s">
        <v>4</v>
      </c>
      <c r="H69" s="332">
        <v>2017</v>
      </c>
      <c r="I69" s="306">
        <f>+IF($H69=I$2,VLOOKUP($G69,Depreciation!$A$14:$L$18,7,FALSE)/2,IF($H69&lt;I$2,VLOOKUP($G69,Depreciation!$A$14:$L$18,7,FALSE),0))</f>
        <v>0</v>
      </c>
      <c r="J69" s="306">
        <f>+IF($H69=J$2,VLOOKUP($G69,Depreciation!$A$14:$L$18,8,FALSE)/2,IF($H69&lt;J$2,VLOOKUP($G69,Depreciation!$A$14:$L$18,8,FALSE),0))</f>
        <v>0</v>
      </c>
      <c r="K69" s="306">
        <f>+IF($H69=K$2,VLOOKUP($G69,Depreciation!$A$14:$L$18,9,FALSE)/2,IF($H69&lt;K$2,VLOOKUP($G69,Depreciation!$A$14:$L$18,9,FALSE),0))</f>
        <v>1.671703928371859E-2</v>
      </c>
      <c r="L69" s="306">
        <f>+IF($H69=L$2,VLOOKUP($G69,Depreciation!$A$14:$L$18,10,FALSE)/2,IF($H69&lt;L$2,VLOOKUP($G69,Depreciation!$A$14:$L$18,10,FALSE),0))</f>
        <v>3.343407856743718E-2</v>
      </c>
      <c r="M69" s="306">
        <f>+IF($H69=M$2,VLOOKUP($G69,Depreciation!$A$14:$L$18,11,FALSE)/2,IF($H69&lt;M$2,VLOOKUP($G69,Depreciation!$A$14:$L$18,11,FALSE),0))</f>
        <v>3.343407856743718E-2</v>
      </c>
      <c r="N69" s="306">
        <f>+IF($H69=N$2,VLOOKUP($G69,Depreciation!$A$14:$L$18,12,FALSE)/2,IF($H69&lt;N$2,VLOOKUP($G69,Depreciation!$A$14:$L$18,12,FALSE),0))</f>
        <v>3.343407856743718E-2</v>
      </c>
      <c r="O69" s="307">
        <f t="shared" si="10"/>
        <v>0</v>
      </c>
      <c r="P69" s="732">
        <v>0</v>
      </c>
      <c r="Q69" s="733">
        <v>1</v>
      </c>
      <c r="R69" s="734">
        <f t="shared" si="11"/>
        <v>0</v>
      </c>
      <c r="S69" s="735">
        <f t="shared" si="12"/>
        <v>0</v>
      </c>
      <c r="T69" s="735">
        <f t="shared" si="13"/>
        <v>0</v>
      </c>
      <c r="U69" s="735">
        <f t="shared" si="14"/>
        <v>0</v>
      </c>
      <c r="V69" s="736">
        <f t="shared" si="15"/>
        <v>0</v>
      </c>
      <c r="W69" s="735">
        <f t="shared" si="16"/>
        <v>0</v>
      </c>
      <c r="X69" s="737">
        <f t="shared" si="17"/>
        <v>0</v>
      </c>
      <c r="Y69" s="738">
        <f t="shared" si="18"/>
        <v>0</v>
      </c>
      <c r="Z69" s="627"/>
    </row>
    <row r="70" spans="1:26">
      <c r="A70" s="331" t="s">
        <v>1847</v>
      </c>
      <c r="B70" s="332">
        <v>813</v>
      </c>
      <c r="C70" s="332">
        <v>240</v>
      </c>
      <c r="D70" s="332">
        <v>25</v>
      </c>
      <c r="E70" s="331" t="s">
        <v>1965</v>
      </c>
      <c r="F70" s="333">
        <v>36791.145939886468</v>
      </c>
      <c r="G70" s="332" t="s">
        <v>4</v>
      </c>
      <c r="H70" s="332">
        <v>2017</v>
      </c>
      <c r="I70" s="306">
        <f>+IF($H70=I$2,VLOOKUP($G70,Depreciation!$A$14:$L$18,7,FALSE)/2,IF($H70&lt;I$2,VLOOKUP($G70,Depreciation!$A$14:$L$18,7,FALSE),0))</f>
        <v>0</v>
      </c>
      <c r="J70" s="306">
        <f>+IF($H70=J$2,VLOOKUP($G70,Depreciation!$A$14:$L$18,8,FALSE)/2,IF($H70&lt;J$2,VLOOKUP($G70,Depreciation!$A$14:$L$18,8,FALSE),0))</f>
        <v>0</v>
      </c>
      <c r="K70" s="306">
        <f>+IF($H70=K$2,VLOOKUP($G70,Depreciation!$A$14:$L$18,9,FALSE)/2,IF($H70&lt;K$2,VLOOKUP($G70,Depreciation!$A$14:$L$18,9,FALSE),0))</f>
        <v>1.671703928371859E-2</v>
      </c>
      <c r="L70" s="306">
        <f>+IF($H70=L$2,VLOOKUP($G70,Depreciation!$A$14:$L$18,10,FALSE)/2,IF($H70&lt;L$2,VLOOKUP($G70,Depreciation!$A$14:$L$18,10,FALSE),0))</f>
        <v>3.343407856743718E-2</v>
      </c>
      <c r="M70" s="306">
        <f>+IF($H70=M$2,VLOOKUP($G70,Depreciation!$A$14:$L$18,11,FALSE)/2,IF($H70&lt;M$2,VLOOKUP($G70,Depreciation!$A$14:$L$18,11,FALSE),0))</f>
        <v>3.343407856743718E-2</v>
      </c>
      <c r="N70" s="306">
        <f>+IF($H70=N$2,VLOOKUP($G70,Depreciation!$A$14:$L$18,12,FALSE)/2,IF($H70&lt;N$2,VLOOKUP($G70,Depreciation!$A$14:$L$18,12,FALSE),0))</f>
        <v>3.343407856743718E-2</v>
      </c>
      <c r="O70" s="307">
        <f t="shared" si="10"/>
        <v>0</v>
      </c>
      <c r="P70" s="732">
        <v>0</v>
      </c>
      <c r="Q70" s="733">
        <v>1</v>
      </c>
      <c r="R70" s="734">
        <f t="shared" si="11"/>
        <v>0</v>
      </c>
      <c r="S70" s="735">
        <f t="shared" si="12"/>
        <v>0</v>
      </c>
      <c r="T70" s="735">
        <f t="shared" si="13"/>
        <v>0</v>
      </c>
      <c r="U70" s="735">
        <f t="shared" si="14"/>
        <v>0</v>
      </c>
      <c r="V70" s="736">
        <f t="shared" si="15"/>
        <v>0</v>
      </c>
      <c r="W70" s="735">
        <f t="shared" si="16"/>
        <v>0</v>
      </c>
      <c r="X70" s="737">
        <f t="shared" si="17"/>
        <v>0</v>
      </c>
      <c r="Y70" s="738">
        <f t="shared" si="18"/>
        <v>0</v>
      </c>
      <c r="Z70" s="627"/>
    </row>
    <row r="71" spans="1:26">
      <c r="A71" s="331" t="s">
        <v>1848</v>
      </c>
      <c r="B71" s="332">
        <v>813</v>
      </c>
      <c r="C71" s="332">
        <v>240</v>
      </c>
      <c r="D71" s="332">
        <v>25</v>
      </c>
      <c r="E71" s="331" t="s">
        <v>1965</v>
      </c>
      <c r="F71" s="333">
        <v>350767.67769415543</v>
      </c>
      <c r="G71" s="332" t="s">
        <v>4</v>
      </c>
      <c r="H71" s="332">
        <v>2017</v>
      </c>
      <c r="I71" s="306">
        <f>+IF($H71=I$2,VLOOKUP($G71,Depreciation!$A$14:$L$18,7,FALSE)/2,IF($H71&lt;I$2,VLOOKUP($G71,Depreciation!$A$14:$L$18,7,FALSE),0))</f>
        <v>0</v>
      </c>
      <c r="J71" s="306">
        <f>+IF($H71=J$2,VLOOKUP($G71,Depreciation!$A$14:$L$18,8,FALSE)/2,IF($H71&lt;J$2,VLOOKUP($G71,Depreciation!$A$14:$L$18,8,FALSE),0))</f>
        <v>0</v>
      </c>
      <c r="K71" s="306">
        <f>+IF($H71=K$2,VLOOKUP($G71,Depreciation!$A$14:$L$18,9,FALSE)/2,IF($H71&lt;K$2,VLOOKUP($G71,Depreciation!$A$14:$L$18,9,FALSE),0))</f>
        <v>1.671703928371859E-2</v>
      </c>
      <c r="L71" s="306">
        <f>+IF($H71=L$2,VLOOKUP($G71,Depreciation!$A$14:$L$18,10,FALSE)/2,IF($H71&lt;L$2,VLOOKUP($G71,Depreciation!$A$14:$L$18,10,FALSE),0))</f>
        <v>3.343407856743718E-2</v>
      </c>
      <c r="M71" s="306">
        <f>+IF($H71=M$2,VLOOKUP($G71,Depreciation!$A$14:$L$18,11,FALSE)/2,IF($H71&lt;M$2,VLOOKUP($G71,Depreciation!$A$14:$L$18,11,FALSE),0))</f>
        <v>3.343407856743718E-2</v>
      </c>
      <c r="N71" s="306">
        <f>+IF($H71=N$2,VLOOKUP($G71,Depreciation!$A$14:$L$18,12,FALSE)/2,IF($H71&lt;N$2,VLOOKUP($G71,Depreciation!$A$14:$L$18,12,FALSE),0))</f>
        <v>3.343407856743718E-2</v>
      </c>
      <c r="O71" s="307">
        <f t="shared" si="10"/>
        <v>0</v>
      </c>
      <c r="P71" s="732">
        <v>0</v>
      </c>
      <c r="Q71" s="733">
        <v>1</v>
      </c>
      <c r="R71" s="734">
        <f t="shared" si="11"/>
        <v>0</v>
      </c>
      <c r="S71" s="735">
        <f t="shared" si="12"/>
        <v>0</v>
      </c>
      <c r="T71" s="735">
        <f t="shared" si="13"/>
        <v>0</v>
      </c>
      <c r="U71" s="735">
        <f t="shared" si="14"/>
        <v>0</v>
      </c>
      <c r="V71" s="736">
        <f t="shared" si="15"/>
        <v>0</v>
      </c>
      <c r="W71" s="735">
        <f t="shared" si="16"/>
        <v>0</v>
      </c>
      <c r="X71" s="737">
        <f t="shared" si="17"/>
        <v>0</v>
      </c>
      <c r="Y71" s="738">
        <f t="shared" si="18"/>
        <v>0</v>
      </c>
      <c r="Z71" s="627"/>
    </row>
    <row r="72" spans="1:26">
      <c r="A72" s="331" t="s">
        <v>1849</v>
      </c>
      <c r="B72" s="332">
        <v>813</v>
      </c>
      <c r="C72" s="332">
        <v>240</v>
      </c>
      <c r="D72" s="332">
        <v>0</v>
      </c>
      <c r="E72" s="331" t="s">
        <v>1967</v>
      </c>
      <c r="F72" s="333">
        <v>447651.4772203879</v>
      </c>
      <c r="G72" s="332" t="s">
        <v>4</v>
      </c>
      <c r="H72" s="332">
        <v>2017</v>
      </c>
      <c r="I72" s="306">
        <f>+IF($H72=I$2,VLOOKUP($G72,Depreciation!$A$14:$L$18,7,FALSE)/2,IF($H72&lt;I$2,VLOOKUP($G72,Depreciation!$A$14:$L$18,7,FALSE),0))</f>
        <v>0</v>
      </c>
      <c r="J72" s="306">
        <f>+IF($H72=J$2,VLOOKUP($G72,Depreciation!$A$14:$L$18,8,FALSE)/2,IF($H72&lt;J$2,VLOOKUP($G72,Depreciation!$A$14:$L$18,8,FALSE),0))</f>
        <v>0</v>
      </c>
      <c r="K72" s="306">
        <f>+IF($H72=K$2,VLOOKUP($G72,Depreciation!$A$14:$L$18,9,FALSE)/2,IF($H72&lt;K$2,VLOOKUP($G72,Depreciation!$A$14:$L$18,9,FALSE),0))</f>
        <v>1.671703928371859E-2</v>
      </c>
      <c r="L72" s="306">
        <f>+IF($H72=L$2,VLOOKUP($G72,Depreciation!$A$14:$L$18,10,FALSE)/2,IF($H72&lt;L$2,VLOOKUP($G72,Depreciation!$A$14:$L$18,10,FALSE),0))</f>
        <v>3.343407856743718E-2</v>
      </c>
      <c r="M72" s="306">
        <f>+IF($H72=M$2,VLOOKUP($G72,Depreciation!$A$14:$L$18,11,FALSE)/2,IF($H72&lt;M$2,VLOOKUP($G72,Depreciation!$A$14:$L$18,11,FALSE),0))</f>
        <v>3.343407856743718E-2</v>
      </c>
      <c r="N72" s="306">
        <f>+IF($H72=N$2,VLOOKUP($G72,Depreciation!$A$14:$L$18,12,FALSE)/2,IF($H72&lt;N$2,VLOOKUP($G72,Depreciation!$A$14:$L$18,12,FALSE),0))</f>
        <v>3.343407856743718E-2</v>
      </c>
      <c r="O72" s="307">
        <f t="shared" si="10"/>
        <v>0</v>
      </c>
      <c r="P72" s="732">
        <v>0</v>
      </c>
      <c r="Q72" s="733">
        <v>0</v>
      </c>
      <c r="R72" s="734">
        <f t="shared" si="11"/>
        <v>1</v>
      </c>
      <c r="S72" s="735">
        <f t="shared" si="12"/>
        <v>0</v>
      </c>
      <c r="T72" s="735">
        <f t="shared" si="13"/>
        <v>0</v>
      </c>
      <c r="U72" s="735">
        <f t="shared" si="14"/>
        <v>0</v>
      </c>
      <c r="V72" s="736">
        <f t="shared" si="15"/>
        <v>0</v>
      </c>
      <c r="W72" s="735">
        <f t="shared" si="16"/>
        <v>0</v>
      </c>
      <c r="X72" s="737">
        <f t="shared" si="17"/>
        <v>0</v>
      </c>
      <c r="Y72" s="738">
        <f t="shared" si="18"/>
        <v>0</v>
      </c>
      <c r="Z72" s="627"/>
    </row>
    <row r="73" spans="1:26">
      <c r="A73" s="331" t="s">
        <v>1850</v>
      </c>
      <c r="B73" s="332">
        <v>813</v>
      </c>
      <c r="C73" s="332">
        <v>138</v>
      </c>
      <c r="D73" s="332">
        <v>25</v>
      </c>
      <c r="E73" s="331" t="s">
        <v>1968</v>
      </c>
      <c r="F73" s="333">
        <v>3030739.6252496969</v>
      </c>
      <c r="G73" s="332" t="s">
        <v>4</v>
      </c>
      <c r="H73" s="332">
        <v>2017</v>
      </c>
      <c r="I73" s="306">
        <f>+IF($H73=I$2,VLOOKUP($G73,Depreciation!$A$14:$L$18,7,FALSE)/2,IF($H73&lt;I$2,VLOOKUP($G73,Depreciation!$A$14:$L$18,7,FALSE),0))</f>
        <v>0</v>
      </c>
      <c r="J73" s="306">
        <f>+IF($H73=J$2,VLOOKUP($G73,Depreciation!$A$14:$L$18,8,FALSE)/2,IF($H73&lt;J$2,VLOOKUP($G73,Depreciation!$A$14:$L$18,8,FALSE),0))</f>
        <v>0</v>
      </c>
      <c r="K73" s="306">
        <f>+IF($H73=K$2,VLOOKUP($G73,Depreciation!$A$14:$L$18,9,FALSE)/2,IF($H73&lt;K$2,VLOOKUP($G73,Depreciation!$A$14:$L$18,9,FALSE),0))</f>
        <v>1.671703928371859E-2</v>
      </c>
      <c r="L73" s="306">
        <f>+IF($H73=L$2,VLOOKUP($G73,Depreciation!$A$14:$L$18,10,FALSE)/2,IF($H73&lt;L$2,VLOOKUP($G73,Depreciation!$A$14:$L$18,10,FALSE),0))</f>
        <v>3.343407856743718E-2</v>
      </c>
      <c r="M73" s="306">
        <f>+IF($H73=M$2,VLOOKUP($G73,Depreciation!$A$14:$L$18,11,FALSE)/2,IF($H73&lt;M$2,VLOOKUP($G73,Depreciation!$A$14:$L$18,11,FALSE),0))</f>
        <v>3.343407856743718E-2</v>
      </c>
      <c r="N73" s="306">
        <f>+IF($H73=N$2,VLOOKUP($G73,Depreciation!$A$14:$L$18,12,FALSE)/2,IF($H73&lt;N$2,VLOOKUP($G73,Depreciation!$A$14:$L$18,12,FALSE),0))</f>
        <v>3.343407856743718E-2</v>
      </c>
      <c r="O73" s="307">
        <f t="shared" si="10"/>
        <v>0</v>
      </c>
      <c r="P73" s="732">
        <v>0</v>
      </c>
      <c r="Q73" s="733">
        <v>1</v>
      </c>
      <c r="R73" s="734">
        <f t="shared" si="11"/>
        <v>0</v>
      </c>
      <c r="S73" s="735">
        <f t="shared" si="12"/>
        <v>0</v>
      </c>
      <c r="T73" s="735">
        <f t="shared" si="13"/>
        <v>0</v>
      </c>
      <c r="U73" s="735">
        <f t="shared" si="14"/>
        <v>0</v>
      </c>
      <c r="V73" s="736">
        <f t="shared" si="15"/>
        <v>0</v>
      </c>
      <c r="W73" s="735">
        <f t="shared" si="16"/>
        <v>0</v>
      </c>
      <c r="X73" s="737">
        <f t="shared" si="17"/>
        <v>0</v>
      </c>
      <c r="Y73" s="738">
        <f t="shared" si="18"/>
        <v>0</v>
      </c>
      <c r="Z73" s="627"/>
    </row>
    <row r="74" spans="1:26">
      <c r="A74" s="331" t="s">
        <v>1851</v>
      </c>
      <c r="B74" s="332">
        <v>813</v>
      </c>
      <c r="C74" s="332">
        <v>138</v>
      </c>
      <c r="D74" s="332">
        <v>25</v>
      </c>
      <c r="E74" s="331" t="s">
        <v>1968</v>
      </c>
      <c r="F74" s="333">
        <v>2498374.023488957</v>
      </c>
      <c r="G74" s="332" t="s">
        <v>4</v>
      </c>
      <c r="H74" s="332">
        <v>2017</v>
      </c>
      <c r="I74" s="306">
        <f>+IF($H74=I$2,VLOOKUP($G74,Depreciation!$A$14:$L$18,7,FALSE)/2,IF($H74&lt;I$2,VLOOKUP($G74,Depreciation!$A$14:$L$18,7,FALSE),0))</f>
        <v>0</v>
      </c>
      <c r="J74" s="306">
        <f>+IF($H74=J$2,VLOOKUP($G74,Depreciation!$A$14:$L$18,8,FALSE)/2,IF($H74&lt;J$2,VLOOKUP($G74,Depreciation!$A$14:$L$18,8,FALSE),0))</f>
        <v>0</v>
      </c>
      <c r="K74" s="306">
        <f>+IF($H74=K$2,VLOOKUP($G74,Depreciation!$A$14:$L$18,9,FALSE)/2,IF($H74&lt;K$2,VLOOKUP($G74,Depreciation!$A$14:$L$18,9,FALSE),0))</f>
        <v>1.671703928371859E-2</v>
      </c>
      <c r="L74" s="306">
        <f>+IF($H74=L$2,VLOOKUP($G74,Depreciation!$A$14:$L$18,10,FALSE)/2,IF($H74&lt;L$2,VLOOKUP($G74,Depreciation!$A$14:$L$18,10,FALSE),0))</f>
        <v>3.343407856743718E-2</v>
      </c>
      <c r="M74" s="306">
        <f>+IF($H74=M$2,VLOOKUP($G74,Depreciation!$A$14:$L$18,11,FALSE)/2,IF($H74&lt;M$2,VLOOKUP($G74,Depreciation!$A$14:$L$18,11,FALSE),0))</f>
        <v>3.343407856743718E-2</v>
      </c>
      <c r="N74" s="306">
        <f>+IF($H74=N$2,VLOOKUP($G74,Depreciation!$A$14:$L$18,12,FALSE)/2,IF($H74&lt;N$2,VLOOKUP($G74,Depreciation!$A$14:$L$18,12,FALSE),0))</f>
        <v>3.343407856743718E-2</v>
      </c>
      <c r="O74" s="307">
        <f t="shared" si="10"/>
        <v>0</v>
      </c>
      <c r="P74" s="732">
        <v>0</v>
      </c>
      <c r="Q74" s="733">
        <v>1</v>
      </c>
      <c r="R74" s="734">
        <f t="shared" si="11"/>
        <v>0</v>
      </c>
      <c r="S74" s="735">
        <f t="shared" si="12"/>
        <v>0</v>
      </c>
      <c r="T74" s="735">
        <f t="shared" si="13"/>
        <v>0</v>
      </c>
      <c r="U74" s="735">
        <f t="shared" si="14"/>
        <v>0</v>
      </c>
      <c r="V74" s="736">
        <f t="shared" si="15"/>
        <v>0</v>
      </c>
      <c r="W74" s="735">
        <f t="shared" si="16"/>
        <v>0</v>
      </c>
      <c r="X74" s="737">
        <f t="shared" si="17"/>
        <v>0</v>
      </c>
      <c r="Y74" s="738">
        <f t="shared" si="18"/>
        <v>0</v>
      </c>
      <c r="Z74" s="627"/>
    </row>
    <row r="75" spans="1:26">
      <c r="A75" s="331" t="s">
        <v>1852</v>
      </c>
      <c r="B75" s="332">
        <v>813</v>
      </c>
      <c r="C75" s="332">
        <v>138</v>
      </c>
      <c r="D75" s="332">
        <v>25</v>
      </c>
      <c r="E75" s="331" t="s">
        <v>1543</v>
      </c>
      <c r="F75" s="333">
        <v>446170.86016879894</v>
      </c>
      <c r="G75" s="332" t="s">
        <v>4</v>
      </c>
      <c r="H75" s="332">
        <v>2017</v>
      </c>
      <c r="I75" s="306">
        <f>+IF($H75=I$2,VLOOKUP($G75,Depreciation!$A$14:$L$18,7,FALSE)/2,IF($H75&lt;I$2,VLOOKUP($G75,Depreciation!$A$14:$L$18,7,FALSE),0))</f>
        <v>0</v>
      </c>
      <c r="J75" s="306">
        <f>+IF($H75=J$2,VLOOKUP($G75,Depreciation!$A$14:$L$18,8,FALSE)/2,IF($H75&lt;J$2,VLOOKUP($G75,Depreciation!$A$14:$L$18,8,FALSE),0))</f>
        <v>0</v>
      </c>
      <c r="K75" s="306">
        <f>+IF($H75=K$2,VLOOKUP($G75,Depreciation!$A$14:$L$18,9,FALSE)/2,IF($H75&lt;K$2,VLOOKUP($G75,Depreciation!$A$14:$L$18,9,FALSE),0))</f>
        <v>1.671703928371859E-2</v>
      </c>
      <c r="L75" s="306">
        <f>+IF($H75=L$2,VLOOKUP($G75,Depreciation!$A$14:$L$18,10,FALSE)/2,IF($H75&lt;L$2,VLOOKUP($G75,Depreciation!$A$14:$L$18,10,FALSE),0))</f>
        <v>3.343407856743718E-2</v>
      </c>
      <c r="M75" s="306">
        <f>+IF($H75=M$2,VLOOKUP($G75,Depreciation!$A$14:$L$18,11,FALSE)/2,IF($H75&lt;M$2,VLOOKUP($G75,Depreciation!$A$14:$L$18,11,FALSE),0))</f>
        <v>3.343407856743718E-2</v>
      </c>
      <c r="N75" s="306">
        <f>+IF($H75=N$2,VLOOKUP($G75,Depreciation!$A$14:$L$18,12,FALSE)/2,IF($H75&lt;N$2,VLOOKUP($G75,Depreciation!$A$14:$L$18,12,FALSE),0))</f>
        <v>3.343407856743718E-2</v>
      </c>
      <c r="O75" s="307">
        <f t="shared" si="10"/>
        <v>0</v>
      </c>
      <c r="P75" s="732">
        <v>0.54510993176648981</v>
      </c>
      <c r="Q75" s="733">
        <v>0.45489006823351025</v>
      </c>
      <c r="R75" s="734">
        <f t="shared" si="11"/>
        <v>0</v>
      </c>
      <c r="S75" s="735">
        <f t="shared" si="12"/>
        <v>0</v>
      </c>
      <c r="T75" s="735">
        <f t="shared" si="13"/>
        <v>0</v>
      </c>
      <c r="U75" s="735">
        <f t="shared" si="14"/>
        <v>0</v>
      </c>
      <c r="V75" s="736">
        <f t="shared" si="15"/>
        <v>0</v>
      </c>
      <c r="W75" s="735">
        <f t="shared" si="16"/>
        <v>0</v>
      </c>
      <c r="X75" s="737">
        <f t="shared" si="17"/>
        <v>0</v>
      </c>
      <c r="Y75" s="738">
        <f t="shared" si="18"/>
        <v>0</v>
      </c>
      <c r="Z75" s="627"/>
    </row>
    <row r="76" spans="1:26">
      <c r="A76" s="331" t="s">
        <v>1853</v>
      </c>
      <c r="B76" s="332">
        <v>813</v>
      </c>
      <c r="C76" s="332">
        <v>240</v>
      </c>
      <c r="D76" s="332">
        <v>25</v>
      </c>
      <c r="E76" s="331" t="s">
        <v>1969</v>
      </c>
      <c r="F76" s="333">
        <v>3173918.3394682109</v>
      </c>
      <c r="G76" s="332" t="s">
        <v>4</v>
      </c>
      <c r="H76" s="332">
        <v>2017</v>
      </c>
      <c r="I76" s="306">
        <f>+IF($H76=I$2,VLOOKUP($G76,Depreciation!$A$14:$L$18,7,FALSE)/2,IF($H76&lt;I$2,VLOOKUP($G76,Depreciation!$A$14:$L$18,7,FALSE),0))</f>
        <v>0</v>
      </c>
      <c r="J76" s="306">
        <f>+IF($H76=J$2,VLOOKUP($G76,Depreciation!$A$14:$L$18,8,FALSE)/2,IF($H76&lt;J$2,VLOOKUP($G76,Depreciation!$A$14:$L$18,8,FALSE),0))</f>
        <v>0</v>
      </c>
      <c r="K76" s="306">
        <f>+IF($H76=K$2,VLOOKUP($G76,Depreciation!$A$14:$L$18,9,FALSE)/2,IF($H76&lt;K$2,VLOOKUP($G76,Depreciation!$A$14:$L$18,9,FALSE),0))</f>
        <v>1.671703928371859E-2</v>
      </c>
      <c r="L76" s="306">
        <f>+IF($H76=L$2,VLOOKUP($G76,Depreciation!$A$14:$L$18,10,FALSE)/2,IF($H76&lt;L$2,VLOOKUP($G76,Depreciation!$A$14:$L$18,10,FALSE),0))</f>
        <v>3.343407856743718E-2</v>
      </c>
      <c r="M76" s="306">
        <f>+IF($H76=M$2,VLOOKUP($G76,Depreciation!$A$14:$L$18,11,FALSE)/2,IF($H76&lt;M$2,VLOOKUP($G76,Depreciation!$A$14:$L$18,11,FALSE),0))</f>
        <v>3.343407856743718E-2</v>
      </c>
      <c r="N76" s="306">
        <f>+IF($H76=N$2,VLOOKUP($G76,Depreciation!$A$14:$L$18,12,FALSE)/2,IF($H76&lt;N$2,VLOOKUP($G76,Depreciation!$A$14:$L$18,12,FALSE),0))</f>
        <v>3.343407856743718E-2</v>
      </c>
      <c r="O76" s="307">
        <f t="shared" si="10"/>
        <v>0</v>
      </c>
      <c r="P76" s="732">
        <v>0</v>
      </c>
      <c r="Q76" s="733">
        <v>1</v>
      </c>
      <c r="R76" s="734">
        <f t="shared" si="11"/>
        <v>0</v>
      </c>
      <c r="S76" s="735">
        <f t="shared" si="12"/>
        <v>0</v>
      </c>
      <c r="T76" s="735">
        <f t="shared" si="13"/>
        <v>0</v>
      </c>
      <c r="U76" s="735">
        <f t="shared" si="14"/>
        <v>0</v>
      </c>
      <c r="V76" s="736">
        <f t="shared" si="15"/>
        <v>0</v>
      </c>
      <c r="W76" s="735">
        <f t="shared" si="16"/>
        <v>0</v>
      </c>
      <c r="X76" s="737">
        <f t="shared" si="17"/>
        <v>0</v>
      </c>
      <c r="Y76" s="738">
        <f t="shared" si="18"/>
        <v>0</v>
      </c>
      <c r="Z76" s="627"/>
    </row>
    <row r="77" spans="1:26">
      <c r="A77" s="331" t="s">
        <v>1854</v>
      </c>
      <c r="B77" s="332">
        <v>813</v>
      </c>
      <c r="C77" s="332">
        <v>138</v>
      </c>
      <c r="D77" s="332">
        <v>138</v>
      </c>
      <c r="E77" s="331" t="s">
        <v>1970</v>
      </c>
      <c r="F77" s="333">
        <v>624990.21387200279</v>
      </c>
      <c r="G77" s="332" t="s">
        <v>4</v>
      </c>
      <c r="H77" s="332">
        <v>2017</v>
      </c>
      <c r="I77" s="306">
        <f>+IF($H77=I$2,VLOOKUP($G77,Depreciation!$A$14:$L$18,7,FALSE)/2,IF($H77&lt;I$2,VLOOKUP($G77,Depreciation!$A$14:$L$18,7,FALSE),0))</f>
        <v>0</v>
      </c>
      <c r="J77" s="306">
        <f>+IF($H77=J$2,VLOOKUP($G77,Depreciation!$A$14:$L$18,8,FALSE)/2,IF($H77&lt;J$2,VLOOKUP($G77,Depreciation!$A$14:$L$18,8,FALSE),0))</f>
        <v>0</v>
      </c>
      <c r="K77" s="306">
        <f>+IF($H77=K$2,VLOOKUP($G77,Depreciation!$A$14:$L$18,9,FALSE)/2,IF($H77&lt;K$2,VLOOKUP($G77,Depreciation!$A$14:$L$18,9,FALSE),0))</f>
        <v>1.671703928371859E-2</v>
      </c>
      <c r="L77" s="306">
        <f>+IF($H77=L$2,VLOOKUP($G77,Depreciation!$A$14:$L$18,10,FALSE)/2,IF($H77&lt;L$2,VLOOKUP($G77,Depreciation!$A$14:$L$18,10,FALSE),0))</f>
        <v>3.343407856743718E-2</v>
      </c>
      <c r="M77" s="306">
        <f>+IF($H77=M$2,VLOOKUP($G77,Depreciation!$A$14:$L$18,11,FALSE)/2,IF($H77&lt;M$2,VLOOKUP($G77,Depreciation!$A$14:$L$18,11,FALSE),0))</f>
        <v>3.343407856743718E-2</v>
      </c>
      <c r="N77" s="306">
        <f>+IF($H77=N$2,VLOOKUP($G77,Depreciation!$A$14:$L$18,12,FALSE)/2,IF($H77&lt;N$2,VLOOKUP($G77,Depreciation!$A$14:$L$18,12,FALSE),0))</f>
        <v>3.343407856743718E-2</v>
      </c>
      <c r="O77" s="307">
        <f t="shared" si="10"/>
        <v>0</v>
      </c>
      <c r="P77" s="732">
        <v>0</v>
      </c>
      <c r="Q77" s="733">
        <v>0</v>
      </c>
      <c r="R77" s="734">
        <f t="shared" si="11"/>
        <v>1</v>
      </c>
      <c r="S77" s="735">
        <f t="shared" si="12"/>
        <v>0</v>
      </c>
      <c r="T77" s="735">
        <f t="shared" si="13"/>
        <v>0</v>
      </c>
      <c r="U77" s="735">
        <f t="shared" si="14"/>
        <v>0</v>
      </c>
      <c r="V77" s="736">
        <f t="shared" si="15"/>
        <v>0</v>
      </c>
      <c r="W77" s="735">
        <f t="shared" si="16"/>
        <v>0</v>
      </c>
      <c r="X77" s="737">
        <f t="shared" si="17"/>
        <v>0</v>
      </c>
      <c r="Y77" s="738">
        <f t="shared" si="18"/>
        <v>0</v>
      </c>
      <c r="Z77" s="627"/>
    </row>
    <row r="78" spans="1:26">
      <c r="A78" s="331" t="s">
        <v>1855</v>
      </c>
      <c r="B78" s="332">
        <v>813</v>
      </c>
      <c r="C78" s="332">
        <v>138</v>
      </c>
      <c r="D78" s="332">
        <v>25</v>
      </c>
      <c r="E78" s="331" t="s">
        <v>1971</v>
      </c>
      <c r="F78" s="333">
        <v>3065380.5529317935</v>
      </c>
      <c r="G78" s="332" t="s">
        <v>4</v>
      </c>
      <c r="H78" s="332">
        <v>2017</v>
      </c>
      <c r="I78" s="306">
        <f>+IF($H78=I$2,VLOOKUP($G78,Depreciation!$A$14:$L$18,7,FALSE)/2,IF($H78&lt;I$2,VLOOKUP($G78,Depreciation!$A$14:$L$18,7,FALSE),0))</f>
        <v>0</v>
      </c>
      <c r="J78" s="306">
        <f>+IF($H78=J$2,VLOOKUP($G78,Depreciation!$A$14:$L$18,8,FALSE)/2,IF($H78&lt;J$2,VLOOKUP($G78,Depreciation!$A$14:$L$18,8,FALSE),0))</f>
        <v>0</v>
      </c>
      <c r="K78" s="306">
        <f>+IF($H78=K$2,VLOOKUP($G78,Depreciation!$A$14:$L$18,9,FALSE)/2,IF($H78&lt;K$2,VLOOKUP($G78,Depreciation!$A$14:$L$18,9,FALSE),0))</f>
        <v>1.671703928371859E-2</v>
      </c>
      <c r="L78" s="306">
        <f>+IF($H78=L$2,VLOOKUP($G78,Depreciation!$A$14:$L$18,10,FALSE)/2,IF($H78&lt;L$2,VLOOKUP($G78,Depreciation!$A$14:$L$18,10,FALSE),0))</f>
        <v>3.343407856743718E-2</v>
      </c>
      <c r="M78" s="306">
        <f>+IF($H78=M$2,VLOOKUP($G78,Depreciation!$A$14:$L$18,11,FALSE)/2,IF($H78&lt;M$2,VLOOKUP($G78,Depreciation!$A$14:$L$18,11,FALSE),0))</f>
        <v>3.343407856743718E-2</v>
      </c>
      <c r="N78" s="306">
        <f>+IF($H78=N$2,VLOOKUP($G78,Depreciation!$A$14:$L$18,12,FALSE)/2,IF($H78&lt;N$2,VLOOKUP($G78,Depreciation!$A$14:$L$18,12,FALSE),0))</f>
        <v>3.343407856743718E-2</v>
      </c>
      <c r="O78" s="307">
        <f t="shared" si="10"/>
        <v>0</v>
      </c>
      <c r="P78" s="732">
        <v>0</v>
      </c>
      <c r="Q78" s="733">
        <v>1</v>
      </c>
      <c r="R78" s="734">
        <f t="shared" si="11"/>
        <v>0</v>
      </c>
      <c r="S78" s="735">
        <f t="shared" si="12"/>
        <v>0</v>
      </c>
      <c r="T78" s="735">
        <f t="shared" si="13"/>
        <v>0</v>
      </c>
      <c r="U78" s="735">
        <f t="shared" si="14"/>
        <v>0</v>
      </c>
      <c r="V78" s="736">
        <f t="shared" si="15"/>
        <v>0</v>
      </c>
      <c r="W78" s="735">
        <f t="shared" si="16"/>
        <v>0</v>
      </c>
      <c r="X78" s="737">
        <f t="shared" si="17"/>
        <v>0</v>
      </c>
      <c r="Y78" s="738">
        <f t="shared" si="18"/>
        <v>0</v>
      </c>
      <c r="Z78" s="627"/>
    </row>
    <row r="79" spans="1:26">
      <c r="A79" s="331" t="s">
        <v>1856</v>
      </c>
      <c r="B79" s="332">
        <v>813</v>
      </c>
      <c r="C79" s="332">
        <v>138</v>
      </c>
      <c r="D79" s="332">
        <v>25</v>
      </c>
      <c r="E79" s="331" t="s">
        <v>1972</v>
      </c>
      <c r="F79" s="333">
        <v>3186555.949000001</v>
      </c>
      <c r="G79" s="332" t="s">
        <v>4</v>
      </c>
      <c r="H79" s="332">
        <v>2017</v>
      </c>
      <c r="I79" s="306">
        <f>+IF($H79=I$2,VLOOKUP($G79,Depreciation!$A$14:$L$18,7,FALSE)/2,IF($H79&lt;I$2,VLOOKUP($G79,Depreciation!$A$14:$L$18,7,FALSE),0))</f>
        <v>0</v>
      </c>
      <c r="J79" s="306">
        <f>+IF($H79=J$2,VLOOKUP($G79,Depreciation!$A$14:$L$18,8,FALSE)/2,IF($H79&lt;J$2,VLOOKUP($G79,Depreciation!$A$14:$L$18,8,FALSE),0))</f>
        <v>0</v>
      </c>
      <c r="K79" s="306">
        <f>+IF($H79=K$2,VLOOKUP($G79,Depreciation!$A$14:$L$18,9,FALSE)/2,IF($H79&lt;K$2,VLOOKUP($G79,Depreciation!$A$14:$L$18,9,FALSE),0))</f>
        <v>1.671703928371859E-2</v>
      </c>
      <c r="L79" s="306">
        <f>+IF($H79=L$2,VLOOKUP($G79,Depreciation!$A$14:$L$18,10,FALSE)/2,IF($H79&lt;L$2,VLOOKUP($G79,Depreciation!$A$14:$L$18,10,FALSE),0))</f>
        <v>3.343407856743718E-2</v>
      </c>
      <c r="M79" s="306">
        <f>+IF($H79=M$2,VLOOKUP($G79,Depreciation!$A$14:$L$18,11,FALSE)/2,IF($H79&lt;M$2,VLOOKUP($G79,Depreciation!$A$14:$L$18,11,FALSE),0))</f>
        <v>3.343407856743718E-2</v>
      </c>
      <c r="N79" s="306">
        <f>+IF($H79=N$2,VLOOKUP($G79,Depreciation!$A$14:$L$18,12,FALSE)/2,IF($H79&lt;N$2,VLOOKUP($G79,Depreciation!$A$14:$L$18,12,FALSE),0))</f>
        <v>3.343407856743718E-2</v>
      </c>
      <c r="O79" s="307">
        <f t="shared" si="10"/>
        <v>0</v>
      </c>
      <c r="P79" s="732">
        <v>0</v>
      </c>
      <c r="Q79" s="733">
        <v>0</v>
      </c>
      <c r="R79" s="734">
        <f t="shared" si="11"/>
        <v>1</v>
      </c>
      <c r="S79" s="735">
        <f t="shared" si="12"/>
        <v>0</v>
      </c>
      <c r="T79" s="735">
        <f t="shared" si="13"/>
        <v>0</v>
      </c>
      <c r="U79" s="735">
        <f t="shared" si="14"/>
        <v>0</v>
      </c>
      <c r="V79" s="736">
        <f t="shared" si="15"/>
        <v>0</v>
      </c>
      <c r="W79" s="735">
        <f t="shared" si="16"/>
        <v>0</v>
      </c>
      <c r="X79" s="737">
        <f t="shared" si="17"/>
        <v>0</v>
      </c>
      <c r="Y79" s="738">
        <f t="shared" si="18"/>
        <v>0</v>
      </c>
      <c r="Z79" s="627"/>
    </row>
    <row r="80" spans="1:26">
      <c r="A80" s="331" t="s">
        <v>1857</v>
      </c>
      <c r="B80" s="332">
        <v>813</v>
      </c>
      <c r="C80" s="332">
        <v>240</v>
      </c>
      <c r="D80" s="332">
        <v>25</v>
      </c>
      <c r="E80" s="331" t="s">
        <v>1631</v>
      </c>
      <c r="F80" s="333">
        <v>1318872.5453853337</v>
      </c>
      <c r="G80" s="332" t="s">
        <v>4</v>
      </c>
      <c r="H80" s="332">
        <v>2017</v>
      </c>
      <c r="I80" s="306">
        <f>+IF($H80=I$2,VLOOKUP($G80,Depreciation!$A$14:$L$18,7,FALSE)/2,IF($H80&lt;I$2,VLOOKUP($G80,Depreciation!$A$14:$L$18,7,FALSE),0))</f>
        <v>0</v>
      </c>
      <c r="J80" s="306">
        <f>+IF($H80=J$2,VLOOKUP($G80,Depreciation!$A$14:$L$18,8,FALSE)/2,IF($H80&lt;J$2,VLOOKUP($G80,Depreciation!$A$14:$L$18,8,FALSE),0))</f>
        <v>0</v>
      </c>
      <c r="K80" s="306">
        <f>+IF($H80=K$2,VLOOKUP($G80,Depreciation!$A$14:$L$18,9,FALSE)/2,IF($H80&lt;K$2,VLOOKUP($G80,Depreciation!$A$14:$L$18,9,FALSE),0))</f>
        <v>1.671703928371859E-2</v>
      </c>
      <c r="L80" s="306">
        <f>+IF($H80=L$2,VLOOKUP($G80,Depreciation!$A$14:$L$18,10,FALSE)/2,IF($H80&lt;L$2,VLOOKUP($G80,Depreciation!$A$14:$L$18,10,FALSE),0))</f>
        <v>3.343407856743718E-2</v>
      </c>
      <c r="M80" s="306">
        <f>+IF($H80=M$2,VLOOKUP($G80,Depreciation!$A$14:$L$18,11,FALSE)/2,IF($H80&lt;M$2,VLOOKUP($G80,Depreciation!$A$14:$L$18,11,FALSE),0))</f>
        <v>3.343407856743718E-2</v>
      </c>
      <c r="N80" s="306">
        <f>+IF($H80=N$2,VLOOKUP($G80,Depreciation!$A$14:$L$18,12,FALSE)/2,IF($H80&lt;N$2,VLOOKUP($G80,Depreciation!$A$14:$L$18,12,FALSE),0))</f>
        <v>3.343407856743718E-2</v>
      </c>
      <c r="O80" s="307">
        <f t="shared" si="10"/>
        <v>0</v>
      </c>
      <c r="P80" s="732">
        <v>0</v>
      </c>
      <c r="Q80" s="733">
        <v>1</v>
      </c>
      <c r="R80" s="734">
        <f t="shared" si="11"/>
        <v>0</v>
      </c>
      <c r="S80" s="735">
        <f t="shared" si="12"/>
        <v>0</v>
      </c>
      <c r="T80" s="735">
        <f t="shared" si="13"/>
        <v>0</v>
      </c>
      <c r="U80" s="735">
        <f t="shared" si="14"/>
        <v>0</v>
      </c>
      <c r="V80" s="736">
        <f t="shared" si="15"/>
        <v>0</v>
      </c>
      <c r="W80" s="735">
        <f t="shared" si="16"/>
        <v>0</v>
      </c>
      <c r="X80" s="737">
        <f t="shared" si="17"/>
        <v>0</v>
      </c>
      <c r="Y80" s="738">
        <f t="shared" si="18"/>
        <v>0</v>
      </c>
      <c r="Z80" s="627"/>
    </row>
    <row r="81" spans="1:26">
      <c r="A81" s="331" t="s">
        <v>1858</v>
      </c>
      <c r="B81" s="332">
        <v>813</v>
      </c>
      <c r="C81" s="332">
        <v>240</v>
      </c>
      <c r="D81" s="332">
        <v>25</v>
      </c>
      <c r="E81" s="331" t="s">
        <v>1631</v>
      </c>
      <c r="F81" s="333">
        <v>437105.37992401363</v>
      </c>
      <c r="G81" s="332" t="s">
        <v>4</v>
      </c>
      <c r="H81" s="332">
        <v>2017</v>
      </c>
      <c r="I81" s="306">
        <f>+IF($H81=I$2,VLOOKUP($G81,Depreciation!$A$14:$L$18,7,FALSE)/2,IF($H81&lt;I$2,VLOOKUP($G81,Depreciation!$A$14:$L$18,7,FALSE),0))</f>
        <v>0</v>
      </c>
      <c r="J81" s="306">
        <f>+IF($H81=J$2,VLOOKUP($G81,Depreciation!$A$14:$L$18,8,FALSE)/2,IF($H81&lt;J$2,VLOOKUP($G81,Depreciation!$A$14:$L$18,8,FALSE),0))</f>
        <v>0</v>
      </c>
      <c r="K81" s="306">
        <f>+IF($H81=K$2,VLOOKUP($G81,Depreciation!$A$14:$L$18,9,FALSE)/2,IF($H81&lt;K$2,VLOOKUP($G81,Depreciation!$A$14:$L$18,9,FALSE),0))</f>
        <v>1.671703928371859E-2</v>
      </c>
      <c r="L81" s="306">
        <f>+IF($H81=L$2,VLOOKUP($G81,Depreciation!$A$14:$L$18,10,FALSE)/2,IF($H81&lt;L$2,VLOOKUP($G81,Depreciation!$A$14:$L$18,10,FALSE),0))</f>
        <v>3.343407856743718E-2</v>
      </c>
      <c r="M81" s="306">
        <f>+IF($H81=M$2,VLOOKUP($G81,Depreciation!$A$14:$L$18,11,FALSE)/2,IF($H81&lt;M$2,VLOOKUP($G81,Depreciation!$A$14:$L$18,11,FALSE),0))</f>
        <v>3.343407856743718E-2</v>
      </c>
      <c r="N81" s="306">
        <f>+IF($H81=N$2,VLOOKUP($G81,Depreciation!$A$14:$L$18,12,FALSE)/2,IF($H81&lt;N$2,VLOOKUP($G81,Depreciation!$A$14:$L$18,12,FALSE),0))</f>
        <v>3.343407856743718E-2</v>
      </c>
      <c r="O81" s="307">
        <f t="shared" si="10"/>
        <v>0</v>
      </c>
      <c r="P81" s="732">
        <v>0</v>
      </c>
      <c r="Q81" s="733">
        <v>1</v>
      </c>
      <c r="R81" s="734">
        <f t="shared" si="11"/>
        <v>0</v>
      </c>
      <c r="S81" s="735">
        <f t="shared" si="12"/>
        <v>0</v>
      </c>
      <c r="T81" s="735">
        <f t="shared" si="13"/>
        <v>0</v>
      </c>
      <c r="U81" s="735">
        <f t="shared" si="14"/>
        <v>0</v>
      </c>
      <c r="V81" s="736">
        <f t="shared" si="15"/>
        <v>0</v>
      </c>
      <c r="W81" s="735">
        <f t="shared" si="16"/>
        <v>0</v>
      </c>
      <c r="X81" s="737">
        <f t="shared" si="17"/>
        <v>0</v>
      </c>
      <c r="Y81" s="738">
        <f t="shared" si="18"/>
        <v>0</v>
      </c>
      <c r="Z81" s="627"/>
    </row>
    <row r="82" spans="1:26">
      <c r="A82" s="331" t="s">
        <v>1859</v>
      </c>
      <c r="B82" s="332">
        <v>813</v>
      </c>
      <c r="C82" s="332">
        <v>240</v>
      </c>
      <c r="D82" s="332">
        <v>25</v>
      </c>
      <c r="E82" s="331" t="s">
        <v>1631</v>
      </c>
      <c r="F82" s="333">
        <v>335873.21742754214</v>
      </c>
      <c r="G82" s="332" t="s">
        <v>4</v>
      </c>
      <c r="H82" s="332">
        <v>2017</v>
      </c>
      <c r="I82" s="306">
        <f>+IF($H82=I$2,VLOOKUP($G82,Depreciation!$A$14:$L$18,7,FALSE)/2,IF($H82&lt;I$2,VLOOKUP($G82,Depreciation!$A$14:$L$18,7,FALSE),0))</f>
        <v>0</v>
      </c>
      <c r="J82" s="306">
        <f>+IF($H82=J$2,VLOOKUP($G82,Depreciation!$A$14:$L$18,8,FALSE)/2,IF($H82&lt;J$2,VLOOKUP($G82,Depreciation!$A$14:$L$18,8,FALSE),0))</f>
        <v>0</v>
      </c>
      <c r="K82" s="306">
        <f>+IF($H82=K$2,VLOOKUP($G82,Depreciation!$A$14:$L$18,9,FALSE)/2,IF($H82&lt;K$2,VLOOKUP($G82,Depreciation!$A$14:$L$18,9,FALSE),0))</f>
        <v>1.671703928371859E-2</v>
      </c>
      <c r="L82" s="306">
        <f>+IF($H82=L$2,VLOOKUP($G82,Depreciation!$A$14:$L$18,10,FALSE)/2,IF($H82&lt;L$2,VLOOKUP($G82,Depreciation!$A$14:$L$18,10,FALSE),0))</f>
        <v>3.343407856743718E-2</v>
      </c>
      <c r="M82" s="306">
        <f>+IF($H82=M$2,VLOOKUP($G82,Depreciation!$A$14:$L$18,11,FALSE)/2,IF($H82&lt;M$2,VLOOKUP($G82,Depreciation!$A$14:$L$18,11,FALSE),0))</f>
        <v>3.343407856743718E-2</v>
      </c>
      <c r="N82" s="306">
        <f>+IF($H82=N$2,VLOOKUP($G82,Depreciation!$A$14:$L$18,12,FALSE)/2,IF($H82&lt;N$2,VLOOKUP($G82,Depreciation!$A$14:$L$18,12,FALSE),0))</f>
        <v>3.343407856743718E-2</v>
      </c>
      <c r="O82" s="307">
        <f t="shared" si="10"/>
        <v>0</v>
      </c>
      <c r="P82" s="732">
        <v>0</v>
      </c>
      <c r="Q82" s="733">
        <v>1</v>
      </c>
      <c r="R82" s="734">
        <f t="shared" si="11"/>
        <v>0</v>
      </c>
      <c r="S82" s="735">
        <f t="shared" si="12"/>
        <v>0</v>
      </c>
      <c r="T82" s="735">
        <f t="shared" si="13"/>
        <v>0</v>
      </c>
      <c r="U82" s="735">
        <f t="shared" si="14"/>
        <v>0</v>
      </c>
      <c r="V82" s="736">
        <f t="shared" si="15"/>
        <v>0</v>
      </c>
      <c r="W82" s="735">
        <f t="shared" si="16"/>
        <v>0</v>
      </c>
      <c r="X82" s="737">
        <f t="shared" si="17"/>
        <v>0</v>
      </c>
      <c r="Y82" s="738">
        <f t="shared" si="18"/>
        <v>0</v>
      </c>
      <c r="Z82" s="627"/>
    </row>
    <row r="83" spans="1:26">
      <c r="A83" s="331" t="s">
        <v>1860</v>
      </c>
      <c r="B83" s="332">
        <v>813</v>
      </c>
      <c r="C83" s="332">
        <v>138</v>
      </c>
      <c r="D83" s="332">
        <v>138</v>
      </c>
      <c r="E83" s="331" t="s">
        <v>1973</v>
      </c>
      <c r="F83" s="333">
        <v>1494037.1072305865</v>
      </c>
      <c r="G83" s="332" t="s">
        <v>4</v>
      </c>
      <c r="H83" s="332">
        <v>2017</v>
      </c>
      <c r="I83" s="306">
        <f>+IF($H83=I$2,VLOOKUP($G83,Depreciation!$A$14:$L$18,7,FALSE)/2,IF($H83&lt;I$2,VLOOKUP($G83,Depreciation!$A$14:$L$18,7,FALSE),0))</f>
        <v>0</v>
      </c>
      <c r="J83" s="306">
        <f>+IF($H83=J$2,VLOOKUP($G83,Depreciation!$A$14:$L$18,8,FALSE)/2,IF($H83&lt;J$2,VLOOKUP($G83,Depreciation!$A$14:$L$18,8,FALSE),0))</f>
        <v>0</v>
      </c>
      <c r="K83" s="306">
        <f>+IF($H83=K$2,VLOOKUP($G83,Depreciation!$A$14:$L$18,9,FALSE)/2,IF($H83&lt;K$2,VLOOKUP($G83,Depreciation!$A$14:$L$18,9,FALSE),0))</f>
        <v>1.671703928371859E-2</v>
      </c>
      <c r="L83" s="306">
        <f>+IF($H83=L$2,VLOOKUP($G83,Depreciation!$A$14:$L$18,10,FALSE)/2,IF($H83&lt;L$2,VLOOKUP($G83,Depreciation!$A$14:$L$18,10,FALSE),0))</f>
        <v>3.343407856743718E-2</v>
      </c>
      <c r="M83" s="306">
        <f>+IF($H83=M$2,VLOOKUP($G83,Depreciation!$A$14:$L$18,11,FALSE)/2,IF($H83&lt;M$2,VLOOKUP($G83,Depreciation!$A$14:$L$18,11,FALSE),0))</f>
        <v>3.343407856743718E-2</v>
      </c>
      <c r="N83" s="306">
        <f>+IF($H83=N$2,VLOOKUP($G83,Depreciation!$A$14:$L$18,12,FALSE)/2,IF($H83&lt;N$2,VLOOKUP($G83,Depreciation!$A$14:$L$18,12,FALSE),0))</f>
        <v>3.343407856743718E-2</v>
      </c>
      <c r="O83" s="307">
        <f t="shared" si="10"/>
        <v>0</v>
      </c>
      <c r="P83" s="732">
        <v>0</v>
      </c>
      <c r="Q83" s="733">
        <v>0</v>
      </c>
      <c r="R83" s="734">
        <f t="shared" si="11"/>
        <v>1</v>
      </c>
      <c r="S83" s="735">
        <f t="shared" si="12"/>
        <v>0</v>
      </c>
      <c r="T83" s="735">
        <f t="shared" si="13"/>
        <v>0</v>
      </c>
      <c r="U83" s="735">
        <f t="shared" si="14"/>
        <v>0</v>
      </c>
      <c r="V83" s="736">
        <f t="shared" si="15"/>
        <v>0</v>
      </c>
      <c r="W83" s="735">
        <f t="shared" si="16"/>
        <v>0</v>
      </c>
      <c r="X83" s="737">
        <f t="shared" si="17"/>
        <v>0</v>
      </c>
      <c r="Y83" s="738">
        <f t="shared" si="18"/>
        <v>0</v>
      </c>
      <c r="Z83" s="627"/>
    </row>
    <row r="84" spans="1:26">
      <c r="A84" s="331" t="s">
        <v>1861</v>
      </c>
      <c r="B84" s="332">
        <v>813</v>
      </c>
      <c r="C84" s="332">
        <v>138</v>
      </c>
      <c r="D84" s="332">
        <v>138</v>
      </c>
      <c r="E84" s="331" t="s">
        <v>1973</v>
      </c>
      <c r="F84" s="333">
        <v>1533469.4238101142</v>
      </c>
      <c r="G84" s="332" t="s">
        <v>4</v>
      </c>
      <c r="H84" s="332">
        <v>2017</v>
      </c>
      <c r="I84" s="306">
        <f>+IF($H84=I$2,VLOOKUP($G84,Depreciation!$A$14:$L$18,7,FALSE)/2,IF($H84&lt;I$2,VLOOKUP($G84,Depreciation!$A$14:$L$18,7,FALSE),0))</f>
        <v>0</v>
      </c>
      <c r="J84" s="306">
        <f>+IF($H84=J$2,VLOOKUP($G84,Depreciation!$A$14:$L$18,8,FALSE)/2,IF($H84&lt;J$2,VLOOKUP($G84,Depreciation!$A$14:$L$18,8,FALSE),0))</f>
        <v>0</v>
      </c>
      <c r="K84" s="306">
        <f>+IF($H84=K$2,VLOOKUP($G84,Depreciation!$A$14:$L$18,9,FALSE)/2,IF($H84&lt;K$2,VLOOKUP($G84,Depreciation!$A$14:$L$18,9,FALSE),0))</f>
        <v>1.671703928371859E-2</v>
      </c>
      <c r="L84" s="306">
        <f>+IF($H84=L$2,VLOOKUP($G84,Depreciation!$A$14:$L$18,10,FALSE)/2,IF($H84&lt;L$2,VLOOKUP($G84,Depreciation!$A$14:$L$18,10,FALSE),0))</f>
        <v>3.343407856743718E-2</v>
      </c>
      <c r="M84" s="306">
        <f>+IF($H84=M$2,VLOOKUP($G84,Depreciation!$A$14:$L$18,11,FALSE)/2,IF($H84&lt;M$2,VLOOKUP($G84,Depreciation!$A$14:$L$18,11,FALSE),0))</f>
        <v>3.343407856743718E-2</v>
      </c>
      <c r="N84" s="306">
        <f>+IF($H84=N$2,VLOOKUP($G84,Depreciation!$A$14:$L$18,12,FALSE)/2,IF($H84&lt;N$2,VLOOKUP($G84,Depreciation!$A$14:$L$18,12,FALSE),0))</f>
        <v>3.343407856743718E-2</v>
      </c>
      <c r="O84" s="307">
        <f t="shared" si="10"/>
        <v>0</v>
      </c>
      <c r="P84" s="732">
        <v>0</v>
      </c>
      <c r="Q84" s="733">
        <v>0</v>
      </c>
      <c r="R84" s="734">
        <f t="shared" si="11"/>
        <v>1</v>
      </c>
      <c r="S84" s="735">
        <f t="shared" si="12"/>
        <v>0</v>
      </c>
      <c r="T84" s="735">
        <f t="shared" si="13"/>
        <v>0</v>
      </c>
      <c r="U84" s="735">
        <f t="shared" si="14"/>
        <v>0</v>
      </c>
      <c r="V84" s="736">
        <f t="shared" si="15"/>
        <v>0</v>
      </c>
      <c r="W84" s="735">
        <f t="shared" si="16"/>
        <v>0</v>
      </c>
      <c r="X84" s="737">
        <f t="shared" si="17"/>
        <v>0</v>
      </c>
      <c r="Y84" s="738">
        <f t="shared" si="18"/>
        <v>0</v>
      </c>
      <c r="Z84" s="627"/>
    </row>
    <row r="85" spans="1:26">
      <c r="A85" s="331" t="s">
        <v>1862</v>
      </c>
      <c r="B85" s="332">
        <v>813</v>
      </c>
      <c r="C85" s="332">
        <v>138</v>
      </c>
      <c r="D85" s="332">
        <v>25</v>
      </c>
      <c r="E85" s="331" t="s">
        <v>1974</v>
      </c>
      <c r="F85" s="333">
        <v>517837.0121000802</v>
      </c>
      <c r="G85" s="332" t="s">
        <v>4</v>
      </c>
      <c r="H85" s="332">
        <v>2017</v>
      </c>
      <c r="I85" s="306">
        <f>+IF($H85=I$2,VLOOKUP($G85,Depreciation!$A$14:$L$18,7,FALSE)/2,IF($H85&lt;I$2,VLOOKUP($G85,Depreciation!$A$14:$L$18,7,FALSE),0))</f>
        <v>0</v>
      </c>
      <c r="J85" s="306">
        <f>+IF($H85=J$2,VLOOKUP($G85,Depreciation!$A$14:$L$18,8,FALSE)/2,IF($H85&lt;J$2,VLOOKUP($G85,Depreciation!$A$14:$L$18,8,FALSE),0))</f>
        <v>0</v>
      </c>
      <c r="K85" s="306">
        <f>+IF($H85=K$2,VLOOKUP($G85,Depreciation!$A$14:$L$18,9,FALSE)/2,IF($H85&lt;K$2,VLOOKUP($G85,Depreciation!$A$14:$L$18,9,FALSE),0))</f>
        <v>1.671703928371859E-2</v>
      </c>
      <c r="L85" s="306">
        <f>+IF($H85=L$2,VLOOKUP($G85,Depreciation!$A$14:$L$18,10,FALSE)/2,IF($H85&lt;L$2,VLOOKUP($G85,Depreciation!$A$14:$L$18,10,FALSE),0))</f>
        <v>3.343407856743718E-2</v>
      </c>
      <c r="M85" s="306">
        <f>+IF($H85=M$2,VLOOKUP($G85,Depreciation!$A$14:$L$18,11,FALSE)/2,IF($H85&lt;M$2,VLOOKUP($G85,Depreciation!$A$14:$L$18,11,FALSE),0))</f>
        <v>3.343407856743718E-2</v>
      </c>
      <c r="N85" s="306">
        <f>+IF($H85=N$2,VLOOKUP($G85,Depreciation!$A$14:$L$18,12,FALSE)/2,IF($H85&lt;N$2,VLOOKUP($G85,Depreciation!$A$14:$L$18,12,FALSE),0))</f>
        <v>3.343407856743718E-2</v>
      </c>
      <c r="O85" s="307">
        <f t="shared" si="10"/>
        <v>0</v>
      </c>
      <c r="P85" s="732">
        <v>0</v>
      </c>
      <c r="Q85" s="733">
        <v>1</v>
      </c>
      <c r="R85" s="734">
        <f t="shared" si="11"/>
        <v>0</v>
      </c>
      <c r="S85" s="735">
        <f t="shared" si="12"/>
        <v>0</v>
      </c>
      <c r="T85" s="735">
        <f t="shared" si="13"/>
        <v>0</v>
      </c>
      <c r="U85" s="735">
        <f t="shared" si="14"/>
        <v>0</v>
      </c>
      <c r="V85" s="736">
        <f t="shared" si="15"/>
        <v>0</v>
      </c>
      <c r="W85" s="735">
        <f t="shared" si="16"/>
        <v>0</v>
      </c>
      <c r="X85" s="737">
        <f t="shared" si="17"/>
        <v>0</v>
      </c>
      <c r="Y85" s="738">
        <f t="shared" si="18"/>
        <v>0</v>
      </c>
      <c r="Z85" s="627"/>
    </row>
    <row r="86" spans="1:26">
      <c r="A86" s="331" t="s">
        <v>1863</v>
      </c>
      <c r="B86" s="332">
        <v>813</v>
      </c>
      <c r="C86" s="332">
        <v>240</v>
      </c>
      <c r="D86" s="332">
        <v>0</v>
      </c>
      <c r="E86" s="331" t="s">
        <v>1967</v>
      </c>
      <c r="F86" s="333">
        <v>89503.831215535858</v>
      </c>
      <c r="G86" s="332" t="s">
        <v>4</v>
      </c>
      <c r="H86" s="332">
        <v>2017</v>
      </c>
      <c r="I86" s="306">
        <f>+IF($H86=I$2,VLOOKUP($G86,Depreciation!$A$14:$L$18,7,FALSE)/2,IF($H86&lt;I$2,VLOOKUP($G86,Depreciation!$A$14:$L$18,7,FALSE),0))</f>
        <v>0</v>
      </c>
      <c r="J86" s="306">
        <f>+IF($H86=J$2,VLOOKUP($G86,Depreciation!$A$14:$L$18,8,FALSE)/2,IF($H86&lt;J$2,VLOOKUP($G86,Depreciation!$A$14:$L$18,8,FALSE),0))</f>
        <v>0</v>
      </c>
      <c r="K86" s="306">
        <f>+IF($H86=K$2,VLOOKUP($G86,Depreciation!$A$14:$L$18,9,FALSE)/2,IF($H86&lt;K$2,VLOOKUP($G86,Depreciation!$A$14:$L$18,9,FALSE),0))</f>
        <v>1.671703928371859E-2</v>
      </c>
      <c r="L86" s="306">
        <f>+IF($H86=L$2,VLOOKUP($G86,Depreciation!$A$14:$L$18,10,FALSE)/2,IF($H86&lt;L$2,VLOOKUP($G86,Depreciation!$A$14:$L$18,10,FALSE),0))</f>
        <v>3.343407856743718E-2</v>
      </c>
      <c r="M86" s="306">
        <f>+IF($H86=M$2,VLOOKUP($G86,Depreciation!$A$14:$L$18,11,FALSE)/2,IF($H86&lt;M$2,VLOOKUP($G86,Depreciation!$A$14:$L$18,11,FALSE),0))</f>
        <v>3.343407856743718E-2</v>
      </c>
      <c r="N86" s="306">
        <f>+IF($H86=N$2,VLOOKUP($G86,Depreciation!$A$14:$L$18,12,FALSE)/2,IF($H86&lt;N$2,VLOOKUP($G86,Depreciation!$A$14:$L$18,12,FALSE),0))</f>
        <v>3.343407856743718E-2</v>
      </c>
      <c r="O86" s="307">
        <f t="shared" si="10"/>
        <v>0</v>
      </c>
      <c r="P86" s="732">
        <v>0</v>
      </c>
      <c r="Q86" s="733">
        <v>0</v>
      </c>
      <c r="R86" s="734">
        <f t="shared" si="11"/>
        <v>1</v>
      </c>
      <c r="S86" s="735">
        <f t="shared" si="12"/>
        <v>0</v>
      </c>
      <c r="T86" s="735">
        <f t="shared" si="13"/>
        <v>0</v>
      </c>
      <c r="U86" s="735">
        <f t="shared" si="14"/>
        <v>0</v>
      </c>
      <c r="V86" s="736">
        <f t="shared" si="15"/>
        <v>0</v>
      </c>
      <c r="W86" s="735">
        <f t="shared" si="16"/>
        <v>0</v>
      </c>
      <c r="X86" s="737">
        <f t="shared" si="17"/>
        <v>0</v>
      </c>
      <c r="Y86" s="738">
        <f t="shared" si="18"/>
        <v>0</v>
      </c>
      <c r="Z86" s="627"/>
    </row>
    <row r="87" spans="1:26">
      <c r="A87" s="331" t="s">
        <v>1864</v>
      </c>
      <c r="B87" s="332">
        <v>813</v>
      </c>
      <c r="C87" s="332">
        <v>240</v>
      </c>
      <c r="D87" s="332">
        <v>0</v>
      </c>
      <c r="E87" s="331"/>
      <c r="F87" s="333">
        <v>554235.26252697199</v>
      </c>
      <c r="G87" s="332" t="s">
        <v>4</v>
      </c>
      <c r="H87" s="332">
        <v>2017</v>
      </c>
      <c r="I87" s="306">
        <f>+IF($H87=I$2,VLOOKUP($G87,Depreciation!$A$14:$L$18,7,FALSE)/2,IF($H87&lt;I$2,VLOOKUP($G87,Depreciation!$A$14:$L$18,7,FALSE),0))</f>
        <v>0</v>
      </c>
      <c r="J87" s="306">
        <f>+IF($H87=J$2,VLOOKUP($G87,Depreciation!$A$14:$L$18,8,FALSE)/2,IF($H87&lt;J$2,VLOOKUP($G87,Depreciation!$A$14:$L$18,8,FALSE),0))</f>
        <v>0</v>
      </c>
      <c r="K87" s="306">
        <f>+IF($H87=K$2,VLOOKUP($G87,Depreciation!$A$14:$L$18,9,FALSE)/2,IF($H87&lt;K$2,VLOOKUP($G87,Depreciation!$A$14:$L$18,9,FALSE),0))</f>
        <v>1.671703928371859E-2</v>
      </c>
      <c r="L87" s="306">
        <f>+IF($H87=L$2,VLOOKUP($G87,Depreciation!$A$14:$L$18,10,FALSE)/2,IF($H87&lt;L$2,VLOOKUP($G87,Depreciation!$A$14:$L$18,10,FALSE),0))</f>
        <v>3.343407856743718E-2</v>
      </c>
      <c r="M87" s="306">
        <f>+IF($H87=M$2,VLOOKUP($G87,Depreciation!$A$14:$L$18,11,FALSE)/2,IF($H87&lt;M$2,VLOOKUP($G87,Depreciation!$A$14:$L$18,11,FALSE),0))</f>
        <v>3.343407856743718E-2</v>
      </c>
      <c r="N87" s="306">
        <f>+IF($H87=N$2,VLOOKUP($G87,Depreciation!$A$14:$L$18,12,FALSE)/2,IF($H87&lt;N$2,VLOOKUP($G87,Depreciation!$A$14:$L$18,12,FALSE),0))</f>
        <v>3.343407856743718E-2</v>
      </c>
      <c r="O87" s="307">
        <f t="shared" si="10"/>
        <v>0</v>
      </c>
      <c r="P87" s="732">
        <v>0</v>
      </c>
      <c r="Q87" s="733">
        <v>0</v>
      </c>
      <c r="R87" s="734">
        <f t="shared" si="11"/>
        <v>1</v>
      </c>
      <c r="S87" s="735">
        <f t="shared" si="12"/>
        <v>0</v>
      </c>
      <c r="T87" s="735">
        <f t="shared" si="13"/>
        <v>0</v>
      </c>
      <c r="U87" s="735">
        <f t="shared" si="14"/>
        <v>0</v>
      </c>
      <c r="V87" s="736">
        <f t="shared" si="15"/>
        <v>0</v>
      </c>
      <c r="W87" s="735">
        <f t="shared" si="16"/>
        <v>0</v>
      </c>
      <c r="X87" s="737">
        <f t="shared" si="17"/>
        <v>0</v>
      </c>
      <c r="Y87" s="738">
        <f t="shared" si="18"/>
        <v>0</v>
      </c>
      <c r="Z87" s="627"/>
    </row>
    <row r="88" spans="1:26">
      <c r="A88" s="331" t="s">
        <v>1326</v>
      </c>
      <c r="B88" s="332">
        <v>813</v>
      </c>
      <c r="C88" s="332">
        <v>240</v>
      </c>
      <c r="D88" s="332">
        <v>240</v>
      </c>
      <c r="E88" s="331" t="s">
        <v>1556</v>
      </c>
      <c r="F88" s="333">
        <v>117043.47158954688</v>
      </c>
      <c r="G88" s="332" t="s">
        <v>4</v>
      </c>
      <c r="H88" s="332">
        <v>2017</v>
      </c>
      <c r="I88" s="306">
        <f>+IF($H88=I$2,VLOOKUP($G88,Depreciation!$A$14:$L$18,7,FALSE)/2,IF($H88&lt;I$2,VLOOKUP($G88,Depreciation!$A$14:$L$18,7,FALSE),0))</f>
        <v>0</v>
      </c>
      <c r="J88" s="306">
        <f>+IF($H88=J$2,VLOOKUP($G88,Depreciation!$A$14:$L$18,8,FALSE)/2,IF($H88&lt;J$2,VLOOKUP($G88,Depreciation!$A$14:$L$18,8,FALSE),0))</f>
        <v>0</v>
      </c>
      <c r="K88" s="306">
        <f>+IF($H88=K$2,VLOOKUP($G88,Depreciation!$A$14:$L$18,9,FALSE)/2,IF($H88&lt;K$2,VLOOKUP($G88,Depreciation!$A$14:$L$18,9,FALSE),0))</f>
        <v>1.671703928371859E-2</v>
      </c>
      <c r="L88" s="306">
        <f>+IF($H88=L$2,VLOOKUP($G88,Depreciation!$A$14:$L$18,10,FALSE)/2,IF($H88&lt;L$2,VLOOKUP($G88,Depreciation!$A$14:$L$18,10,FALSE),0))</f>
        <v>3.343407856743718E-2</v>
      </c>
      <c r="M88" s="306">
        <f>+IF($H88=M$2,VLOOKUP($G88,Depreciation!$A$14:$L$18,11,FALSE)/2,IF($H88&lt;M$2,VLOOKUP($G88,Depreciation!$A$14:$L$18,11,FALSE),0))</f>
        <v>3.343407856743718E-2</v>
      </c>
      <c r="N88" s="306">
        <f>+IF($H88=N$2,VLOOKUP($G88,Depreciation!$A$14:$L$18,12,FALSE)/2,IF($H88&lt;N$2,VLOOKUP($G88,Depreciation!$A$14:$L$18,12,FALSE),0))</f>
        <v>3.343407856743718E-2</v>
      </c>
      <c r="O88" s="307">
        <f t="shared" si="10"/>
        <v>0</v>
      </c>
      <c r="P88" s="732">
        <v>0</v>
      </c>
      <c r="Q88" s="733">
        <v>0</v>
      </c>
      <c r="R88" s="734">
        <f t="shared" si="11"/>
        <v>1</v>
      </c>
      <c r="S88" s="735">
        <f t="shared" si="12"/>
        <v>0</v>
      </c>
      <c r="T88" s="735">
        <f t="shared" si="13"/>
        <v>0</v>
      </c>
      <c r="U88" s="735">
        <f t="shared" si="14"/>
        <v>0</v>
      </c>
      <c r="V88" s="736">
        <f t="shared" si="15"/>
        <v>0</v>
      </c>
      <c r="W88" s="735">
        <f t="shared" si="16"/>
        <v>0</v>
      </c>
      <c r="X88" s="737">
        <f t="shared" si="17"/>
        <v>0</v>
      </c>
      <c r="Y88" s="738">
        <f t="shared" si="18"/>
        <v>0</v>
      </c>
      <c r="Z88" s="627"/>
    </row>
    <row r="89" spans="1:26">
      <c r="A89" s="331" t="s">
        <v>1865</v>
      </c>
      <c r="B89" s="332">
        <v>813</v>
      </c>
      <c r="C89" s="332">
        <v>138</v>
      </c>
      <c r="D89" s="332">
        <v>25</v>
      </c>
      <c r="E89" s="331" t="s">
        <v>1968</v>
      </c>
      <c r="F89" s="333">
        <v>4802999.9999999981</v>
      </c>
      <c r="G89" s="332" t="s">
        <v>4</v>
      </c>
      <c r="H89" s="332">
        <v>2017</v>
      </c>
      <c r="I89" s="306">
        <f>+IF($H89=I$2,VLOOKUP($G89,Depreciation!$A$14:$L$18,7,FALSE)/2,IF($H89&lt;I$2,VLOOKUP($G89,Depreciation!$A$14:$L$18,7,FALSE),0))</f>
        <v>0</v>
      </c>
      <c r="J89" s="306">
        <f>+IF($H89=J$2,VLOOKUP($G89,Depreciation!$A$14:$L$18,8,FALSE)/2,IF($H89&lt;J$2,VLOOKUP($G89,Depreciation!$A$14:$L$18,8,FALSE),0))</f>
        <v>0</v>
      </c>
      <c r="K89" s="306">
        <f>+IF($H89=K$2,VLOOKUP($G89,Depreciation!$A$14:$L$18,9,FALSE)/2,IF($H89&lt;K$2,VLOOKUP($G89,Depreciation!$A$14:$L$18,9,FALSE),0))</f>
        <v>1.671703928371859E-2</v>
      </c>
      <c r="L89" s="306">
        <f>+IF($H89=L$2,VLOOKUP($G89,Depreciation!$A$14:$L$18,10,FALSE)/2,IF($H89&lt;L$2,VLOOKUP($G89,Depreciation!$A$14:$L$18,10,FALSE),0))</f>
        <v>3.343407856743718E-2</v>
      </c>
      <c r="M89" s="306">
        <f>+IF($H89=M$2,VLOOKUP($G89,Depreciation!$A$14:$L$18,11,FALSE)/2,IF($H89&lt;M$2,VLOOKUP($G89,Depreciation!$A$14:$L$18,11,FALSE),0))</f>
        <v>3.343407856743718E-2</v>
      </c>
      <c r="N89" s="306">
        <f>+IF($H89=N$2,VLOOKUP($G89,Depreciation!$A$14:$L$18,12,FALSE)/2,IF($H89&lt;N$2,VLOOKUP($G89,Depreciation!$A$14:$L$18,12,FALSE),0))</f>
        <v>3.343407856743718E-2</v>
      </c>
      <c r="O89" s="307">
        <f t="shared" si="10"/>
        <v>0</v>
      </c>
      <c r="P89" s="732">
        <v>0</v>
      </c>
      <c r="Q89" s="733">
        <v>1</v>
      </c>
      <c r="R89" s="734">
        <f t="shared" si="11"/>
        <v>0</v>
      </c>
      <c r="S89" s="735">
        <f t="shared" si="12"/>
        <v>0</v>
      </c>
      <c r="T89" s="735">
        <f t="shared" si="13"/>
        <v>0</v>
      </c>
      <c r="U89" s="735">
        <f t="shared" si="14"/>
        <v>0</v>
      </c>
      <c r="V89" s="736">
        <f t="shared" si="15"/>
        <v>0</v>
      </c>
      <c r="W89" s="735">
        <f t="shared" si="16"/>
        <v>0</v>
      </c>
      <c r="X89" s="737">
        <f t="shared" si="17"/>
        <v>0</v>
      </c>
      <c r="Y89" s="738">
        <f t="shared" si="18"/>
        <v>0</v>
      </c>
      <c r="Z89" s="627"/>
    </row>
    <row r="90" spans="1:26">
      <c r="A90" s="331" t="s">
        <v>1866</v>
      </c>
      <c r="B90" s="332">
        <v>813</v>
      </c>
      <c r="C90" s="332">
        <v>138</v>
      </c>
      <c r="D90" s="332">
        <v>25</v>
      </c>
      <c r="E90" s="331" t="s">
        <v>1968</v>
      </c>
      <c r="F90" s="333">
        <v>1561153.3637017503</v>
      </c>
      <c r="G90" s="332" t="s">
        <v>4</v>
      </c>
      <c r="H90" s="332">
        <v>2017</v>
      </c>
      <c r="I90" s="306">
        <f>+IF($H90=I$2,VLOOKUP($G90,Depreciation!$A$14:$L$18,7,FALSE)/2,IF($H90&lt;I$2,VLOOKUP($G90,Depreciation!$A$14:$L$18,7,FALSE),0))</f>
        <v>0</v>
      </c>
      <c r="J90" s="306">
        <f>+IF($H90=J$2,VLOOKUP($G90,Depreciation!$A$14:$L$18,8,FALSE)/2,IF($H90&lt;J$2,VLOOKUP($G90,Depreciation!$A$14:$L$18,8,FALSE),0))</f>
        <v>0</v>
      </c>
      <c r="K90" s="306">
        <f>+IF($H90=K$2,VLOOKUP($G90,Depreciation!$A$14:$L$18,9,FALSE)/2,IF($H90&lt;K$2,VLOOKUP($G90,Depreciation!$A$14:$L$18,9,FALSE),0))</f>
        <v>1.671703928371859E-2</v>
      </c>
      <c r="L90" s="306">
        <f>+IF($H90=L$2,VLOOKUP($G90,Depreciation!$A$14:$L$18,10,FALSE)/2,IF($H90&lt;L$2,VLOOKUP($G90,Depreciation!$A$14:$L$18,10,FALSE),0))</f>
        <v>3.343407856743718E-2</v>
      </c>
      <c r="M90" s="306">
        <f>+IF($H90=M$2,VLOOKUP($G90,Depreciation!$A$14:$L$18,11,FALSE)/2,IF($H90&lt;M$2,VLOOKUP($G90,Depreciation!$A$14:$L$18,11,FALSE),0))</f>
        <v>3.343407856743718E-2</v>
      </c>
      <c r="N90" s="306">
        <f>+IF($H90=N$2,VLOOKUP($G90,Depreciation!$A$14:$L$18,12,FALSE)/2,IF($H90&lt;N$2,VLOOKUP($G90,Depreciation!$A$14:$L$18,12,FALSE),0))</f>
        <v>3.343407856743718E-2</v>
      </c>
      <c r="O90" s="307">
        <f t="shared" si="10"/>
        <v>0</v>
      </c>
      <c r="P90" s="732">
        <v>0</v>
      </c>
      <c r="Q90" s="733">
        <v>1</v>
      </c>
      <c r="R90" s="734">
        <f t="shared" si="11"/>
        <v>0</v>
      </c>
      <c r="S90" s="735">
        <f t="shared" si="12"/>
        <v>0</v>
      </c>
      <c r="T90" s="735">
        <f t="shared" si="13"/>
        <v>0</v>
      </c>
      <c r="U90" s="735">
        <f t="shared" si="14"/>
        <v>0</v>
      </c>
      <c r="V90" s="736">
        <f t="shared" si="15"/>
        <v>0</v>
      </c>
      <c r="W90" s="735">
        <f t="shared" si="16"/>
        <v>0</v>
      </c>
      <c r="X90" s="737">
        <f t="shared" si="17"/>
        <v>0</v>
      </c>
      <c r="Y90" s="738">
        <f t="shared" si="18"/>
        <v>0</v>
      </c>
      <c r="Z90" s="627"/>
    </row>
    <row r="91" spans="1:26">
      <c r="A91" s="331" t="s">
        <v>1264</v>
      </c>
      <c r="B91" s="332">
        <v>813</v>
      </c>
      <c r="C91" s="332">
        <v>240</v>
      </c>
      <c r="D91" s="332">
        <v>138</v>
      </c>
      <c r="E91" s="331" t="s">
        <v>1607</v>
      </c>
      <c r="F91" s="333">
        <v>3058127.6636590497</v>
      </c>
      <c r="G91" s="332" t="s">
        <v>4</v>
      </c>
      <c r="H91" s="332">
        <v>2017</v>
      </c>
      <c r="I91" s="306">
        <f>+IF($H91=I$2,VLOOKUP($G91,Depreciation!$A$14:$L$18,7,FALSE)/2,IF($H91&lt;I$2,VLOOKUP($G91,Depreciation!$A$14:$L$18,7,FALSE),0))</f>
        <v>0</v>
      </c>
      <c r="J91" s="306">
        <f>+IF($H91=J$2,VLOOKUP($G91,Depreciation!$A$14:$L$18,8,FALSE)/2,IF($H91&lt;J$2,VLOOKUP($G91,Depreciation!$A$14:$L$18,8,FALSE),0))</f>
        <v>0</v>
      </c>
      <c r="K91" s="306">
        <f>+IF($H91=K$2,VLOOKUP($G91,Depreciation!$A$14:$L$18,9,FALSE)/2,IF($H91&lt;K$2,VLOOKUP($G91,Depreciation!$A$14:$L$18,9,FALSE),0))</f>
        <v>1.671703928371859E-2</v>
      </c>
      <c r="L91" s="306">
        <f>+IF($H91=L$2,VLOOKUP($G91,Depreciation!$A$14:$L$18,10,FALSE)/2,IF($H91&lt;L$2,VLOOKUP($G91,Depreciation!$A$14:$L$18,10,FALSE),0))</f>
        <v>3.343407856743718E-2</v>
      </c>
      <c r="M91" s="306">
        <f>+IF($H91=M$2,VLOOKUP($G91,Depreciation!$A$14:$L$18,11,FALSE)/2,IF($H91&lt;M$2,VLOOKUP($G91,Depreciation!$A$14:$L$18,11,FALSE),0))</f>
        <v>3.343407856743718E-2</v>
      </c>
      <c r="N91" s="306">
        <f>+IF($H91=N$2,VLOOKUP($G91,Depreciation!$A$14:$L$18,12,FALSE)/2,IF($H91&lt;N$2,VLOOKUP($G91,Depreciation!$A$14:$L$18,12,FALSE),0))</f>
        <v>3.343407856743718E-2</v>
      </c>
      <c r="O91" s="307">
        <f t="shared" si="10"/>
        <v>0</v>
      </c>
      <c r="P91" s="732">
        <v>0</v>
      </c>
      <c r="Q91" s="733">
        <v>0</v>
      </c>
      <c r="R91" s="734">
        <f t="shared" si="11"/>
        <v>1</v>
      </c>
      <c r="S91" s="735">
        <f t="shared" si="12"/>
        <v>0</v>
      </c>
      <c r="T91" s="735">
        <f t="shared" si="13"/>
        <v>0</v>
      </c>
      <c r="U91" s="735">
        <f t="shared" si="14"/>
        <v>0</v>
      </c>
      <c r="V91" s="736">
        <f t="shared" si="15"/>
        <v>0</v>
      </c>
      <c r="W91" s="735">
        <f t="shared" si="16"/>
        <v>0</v>
      </c>
      <c r="X91" s="737">
        <f t="shared" si="17"/>
        <v>0</v>
      </c>
      <c r="Y91" s="738">
        <f t="shared" si="18"/>
        <v>0</v>
      </c>
      <c r="Z91" s="627"/>
    </row>
    <row r="92" spans="1:26">
      <c r="A92" s="331" t="s">
        <v>1867</v>
      </c>
      <c r="B92" s="332">
        <v>813</v>
      </c>
      <c r="C92" s="332">
        <v>240</v>
      </c>
      <c r="D92" s="332">
        <v>25</v>
      </c>
      <c r="E92" s="331" t="s">
        <v>1543</v>
      </c>
      <c r="F92" s="333">
        <v>185892.57252457447</v>
      </c>
      <c r="G92" s="332" t="s">
        <v>4</v>
      </c>
      <c r="H92" s="332">
        <v>2017</v>
      </c>
      <c r="I92" s="306">
        <f>+IF($H92=I$2,VLOOKUP($G92,Depreciation!$A$14:$L$18,7,FALSE)/2,IF($H92&lt;I$2,VLOOKUP($G92,Depreciation!$A$14:$L$18,7,FALSE),0))</f>
        <v>0</v>
      </c>
      <c r="J92" s="306">
        <f>+IF($H92=J$2,VLOOKUP($G92,Depreciation!$A$14:$L$18,8,FALSE)/2,IF($H92&lt;J$2,VLOOKUP($G92,Depreciation!$A$14:$L$18,8,FALSE),0))</f>
        <v>0</v>
      </c>
      <c r="K92" s="306">
        <f>+IF($H92=K$2,VLOOKUP($G92,Depreciation!$A$14:$L$18,9,FALSE)/2,IF($H92&lt;K$2,VLOOKUP($G92,Depreciation!$A$14:$L$18,9,FALSE),0))</f>
        <v>1.671703928371859E-2</v>
      </c>
      <c r="L92" s="306">
        <f>+IF($H92=L$2,VLOOKUP($G92,Depreciation!$A$14:$L$18,10,FALSE)/2,IF($H92&lt;L$2,VLOOKUP($G92,Depreciation!$A$14:$L$18,10,FALSE),0))</f>
        <v>3.343407856743718E-2</v>
      </c>
      <c r="M92" s="306">
        <f>+IF($H92=M$2,VLOOKUP($G92,Depreciation!$A$14:$L$18,11,FALSE)/2,IF($H92&lt;M$2,VLOOKUP($G92,Depreciation!$A$14:$L$18,11,FALSE),0))</f>
        <v>3.343407856743718E-2</v>
      </c>
      <c r="N92" s="306">
        <f>+IF($H92=N$2,VLOOKUP($G92,Depreciation!$A$14:$L$18,12,FALSE)/2,IF($H92&lt;N$2,VLOOKUP($G92,Depreciation!$A$14:$L$18,12,FALSE),0))</f>
        <v>3.343407856743718E-2</v>
      </c>
      <c r="O92" s="307">
        <f t="shared" si="10"/>
        <v>0</v>
      </c>
      <c r="P92" s="732">
        <v>0.54510993176648981</v>
      </c>
      <c r="Q92" s="733">
        <v>0.45489006823351025</v>
      </c>
      <c r="R92" s="734">
        <f t="shared" si="11"/>
        <v>0</v>
      </c>
      <c r="S92" s="735">
        <f t="shared" si="12"/>
        <v>0</v>
      </c>
      <c r="T92" s="735">
        <f t="shared" si="13"/>
        <v>0</v>
      </c>
      <c r="U92" s="735">
        <f t="shared" si="14"/>
        <v>0</v>
      </c>
      <c r="V92" s="736">
        <f t="shared" si="15"/>
        <v>0</v>
      </c>
      <c r="W92" s="735">
        <f t="shared" si="16"/>
        <v>0</v>
      </c>
      <c r="X92" s="737">
        <f t="shared" si="17"/>
        <v>0</v>
      </c>
      <c r="Y92" s="738">
        <f t="shared" si="18"/>
        <v>0</v>
      </c>
      <c r="Z92" s="627"/>
    </row>
    <row r="93" spans="1:26">
      <c r="A93" s="331" t="s">
        <v>1868</v>
      </c>
      <c r="B93" s="332">
        <v>813</v>
      </c>
      <c r="C93" s="332">
        <v>240</v>
      </c>
      <c r="D93" s="332">
        <v>0</v>
      </c>
      <c r="E93" s="331" t="s">
        <v>1975</v>
      </c>
      <c r="F93" s="333">
        <v>24486182.74754256</v>
      </c>
      <c r="G93" s="332" t="s">
        <v>4</v>
      </c>
      <c r="H93" s="332">
        <v>2017</v>
      </c>
      <c r="I93" s="306">
        <f>+IF($H93=I$2,VLOOKUP($G93,Depreciation!$A$14:$L$18,7,FALSE)/2,IF($H93&lt;I$2,VLOOKUP($G93,Depreciation!$A$14:$L$18,7,FALSE),0))</f>
        <v>0</v>
      </c>
      <c r="J93" s="306">
        <f>+IF($H93=J$2,VLOOKUP($G93,Depreciation!$A$14:$L$18,8,FALSE)/2,IF($H93&lt;J$2,VLOOKUP($G93,Depreciation!$A$14:$L$18,8,FALSE),0))</f>
        <v>0</v>
      </c>
      <c r="K93" s="306">
        <f>+IF($H93=K$2,VLOOKUP($G93,Depreciation!$A$14:$L$18,9,FALSE)/2,IF($H93&lt;K$2,VLOOKUP($G93,Depreciation!$A$14:$L$18,9,FALSE),0))</f>
        <v>1.671703928371859E-2</v>
      </c>
      <c r="L93" s="306">
        <f>+IF($H93=L$2,VLOOKUP($G93,Depreciation!$A$14:$L$18,10,FALSE)/2,IF($H93&lt;L$2,VLOOKUP($G93,Depreciation!$A$14:$L$18,10,FALSE),0))</f>
        <v>3.343407856743718E-2</v>
      </c>
      <c r="M93" s="306">
        <f>+IF($H93=M$2,VLOOKUP($G93,Depreciation!$A$14:$L$18,11,FALSE)/2,IF($H93&lt;M$2,VLOOKUP($G93,Depreciation!$A$14:$L$18,11,FALSE),0))</f>
        <v>3.343407856743718E-2</v>
      </c>
      <c r="N93" s="306">
        <f>+IF($H93=N$2,VLOOKUP($G93,Depreciation!$A$14:$L$18,12,FALSE)/2,IF($H93&lt;N$2,VLOOKUP($G93,Depreciation!$A$14:$L$18,12,FALSE),0))</f>
        <v>3.343407856743718E-2</v>
      </c>
      <c r="O93" s="307">
        <f t="shared" si="10"/>
        <v>0</v>
      </c>
      <c r="P93" s="732">
        <v>0</v>
      </c>
      <c r="Q93" s="733">
        <v>0</v>
      </c>
      <c r="R93" s="734">
        <f t="shared" si="11"/>
        <v>1</v>
      </c>
      <c r="S93" s="735">
        <f t="shared" si="12"/>
        <v>0</v>
      </c>
      <c r="T93" s="735">
        <f t="shared" si="13"/>
        <v>0</v>
      </c>
      <c r="U93" s="735">
        <f t="shared" si="14"/>
        <v>0</v>
      </c>
      <c r="V93" s="736">
        <f t="shared" si="15"/>
        <v>0</v>
      </c>
      <c r="W93" s="735">
        <f t="shared" si="16"/>
        <v>0</v>
      </c>
      <c r="X93" s="737">
        <f t="shared" si="17"/>
        <v>0</v>
      </c>
      <c r="Y93" s="738">
        <f t="shared" si="18"/>
        <v>0</v>
      </c>
      <c r="Z93" s="627"/>
    </row>
    <row r="94" spans="1:26">
      <c r="A94" s="331" t="s">
        <v>1869</v>
      </c>
      <c r="B94" s="332">
        <v>813</v>
      </c>
      <c r="C94" s="332">
        <v>138</v>
      </c>
      <c r="D94" s="332">
        <v>25</v>
      </c>
      <c r="E94" s="331" t="s">
        <v>1969</v>
      </c>
      <c r="F94" s="333">
        <v>4439045.7827859037</v>
      </c>
      <c r="G94" s="332" t="s">
        <v>4</v>
      </c>
      <c r="H94" s="332">
        <v>2017</v>
      </c>
      <c r="I94" s="306">
        <f>+IF($H94=I$2,VLOOKUP($G94,Depreciation!$A$14:$L$18,7,FALSE)/2,IF($H94&lt;I$2,VLOOKUP($G94,Depreciation!$A$14:$L$18,7,FALSE),0))</f>
        <v>0</v>
      </c>
      <c r="J94" s="306">
        <f>+IF($H94=J$2,VLOOKUP($G94,Depreciation!$A$14:$L$18,8,FALSE)/2,IF($H94&lt;J$2,VLOOKUP($G94,Depreciation!$A$14:$L$18,8,FALSE),0))</f>
        <v>0</v>
      </c>
      <c r="K94" s="306">
        <f>+IF($H94=K$2,VLOOKUP($G94,Depreciation!$A$14:$L$18,9,FALSE)/2,IF($H94&lt;K$2,VLOOKUP($G94,Depreciation!$A$14:$L$18,9,FALSE),0))</f>
        <v>1.671703928371859E-2</v>
      </c>
      <c r="L94" s="306">
        <f>+IF($H94=L$2,VLOOKUP($G94,Depreciation!$A$14:$L$18,10,FALSE)/2,IF($H94&lt;L$2,VLOOKUP($G94,Depreciation!$A$14:$L$18,10,FALSE),0))</f>
        <v>3.343407856743718E-2</v>
      </c>
      <c r="M94" s="306">
        <f>+IF($H94=M$2,VLOOKUP($G94,Depreciation!$A$14:$L$18,11,FALSE)/2,IF($H94&lt;M$2,VLOOKUP($G94,Depreciation!$A$14:$L$18,11,FALSE),0))</f>
        <v>3.343407856743718E-2</v>
      </c>
      <c r="N94" s="306">
        <f>+IF($H94=N$2,VLOOKUP($G94,Depreciation!$A$14:$L$18,12,FALSE)/2,IF($H94&lt;N$2,VLOOKUP($G94,Depreciation!$A$14:$L$18,12,FALSE),0))</f>
        <v>3.343407856743718E-2</v>
      </c>
      <c r="O94" s="307">
        <f t="shared" si="10"/>
        <v>0</v>
      </c>
      <c r="P94" s="732">
        <v>0</v>
      </c>
      <c r="Q94" s="733">
        <v>1</v>
      </c>
      <c r="R94" s="734">
        <f t="shared" si="11"/>
        <v>0</v>
      </c>
      <c r="S94" s="735">
        <f t="shared" si="12"/>
        <v>0</v>
      </c>
      <c r="T94" s="735">
        <f t="shared" si="13"/>
        <v>0</v>
      </c>
      <c r="U94" s="735">
        <f t="shared" si="14"/>
        <v>0</v>
      </c>
      <c r="V94" s="736">
        <f t="shared" si="15"/>
        <v>0</v>
      </c>
      <c r="W94" s="735">
        <f t="shared" si="16"/>
        <v>0</v>
      </c>
      <c r="X94" s="737">
        <f t="shared" si="17"/>
        <v>0</v>
      </c>
      <c r="Y94" s="738">
        <f t="shared" si="18"/>
        <v>0</v>
      </c>
      <c r="Z94" s="627"/>
    </row>
    <row r="95" spans="1:26">
      <c r="A95" s="331" t="s">
        <v>1870</v>
      </c>
      <c r="B95" s="332">
        <v>813</v>
      </c>
      <c r="C95" s="332">
        <v>138</v>
      </c>
      <c r="D95" s="332">
        <v>25</v>
      </c>
      <c r="E95" s="331" t="s">
        <v>1966</v>
      </c>
      <c r="F95" s="333">
        <v>5110999.9999999963</v>
      </c>
      <c r="G95" s="332" t="s">
        <v>4</v>
      </c>
      <c r="H95" s="332">
        <v>2017</v>
      </c>
      <c r="I95" s="306">
        <f>+IF($H95=I$2,VLOOKUP($G95,Depreciation!$A$14:$L$18,7,FALSE)/2,IF($H95&lt;I$2,VLOOKUP($G95,Depreciation!$A$14:$L$18,7,FALSE),0))</f>
        <v>0</v>
      </c>
      <c r="J95" s="306">
        <f>+IF($H95=J$2,VLOOKUP($G95,Depreciation!$A$14:$L$18,8,FALSE)/2,IF($H95&lt;J$2,VLOOKUP($G95,Depreciation!$A$14:$L$18,8,FALSE),0))</f>
        <v>0</v>
      </c>
      <c r="K95" s="306">
        <f>+IF($H95=K$2,VLOOKUP($G95,Depreciation!$A$14:$L$18,9,FALSE)/2,IF($H95&lt;K$2,VLOOKUP($G95,Depreciation!$A$14:$L$18,9,FALSE),0))</f>
        <v>1.671703928371859E-2</v>
      </c>
      <c r="L95" s="306">
        <f>+IF($H95=L$2,VLOOKUP($G95,Depreciation!$A$14:$L$18,10,FALSE)/2,IF($H95&lt;L$2,VLOOKUP($G95,Depreciation!$A$14:$L$18,10,FALSE),0))</f>
        <v>3.343407856743718E-2</v>
      </c>
      <c r="M95" s="306">
        <f>+IF($H95=M$2,VLOOKUP($G95,Depreciation!$A$14:$L$18,11,FALSE)/2,IF($H95&lt;M$2,VLOOKUP($G95,Depreciation!$A$14:$L$18,11,FALSE),0))</f>
        <v>3.343407856743718E-2</v>
      </c>
      <c r="N95" s="306">
        <f>+IF($H95=N$2,VLOOKUP($G95,Depreciation!$A$14:$L$18,12,FALSE)/2,IF($H95&lt;N$2,VLOOKUP($G95,Depreciation!$A$14:$L$18,12,FALSE),0))</f>
        <v>3.343407856743718E-2</v>
      </c>
      <c r="O95" s="307">
        <f t="shared" si="10"/>
        <v>0</v>
      </c>
      <c r="P95" s="732">
        <v>0.7403207006269098</v>
      </c>
      <c r="Q95" s="733">
        <v>0.25967929937309009</v>
      </c>
      <c r="R95" s="734">
        <f t="shared" si="11"/>
        <v>0</v>
      </c>
      <c r="S95" s="735">
        <f t="shared" si="12"/>
        <v>0</v>
      </c>
      <c r="T95" s="735">
        <f t="shared" si="13"/>
        <v>0</v>
      </c>
      <c r="U95" s="735">
        <f t="shared" si="14"/>
        <v>0</v>
      </c>
      <c r="V95" s="736">
        <f t="shared" si="15"/>
        <v>0</v>
      </c>
      <c r="W95" s="735">
        <f t="shared" si="16"/>
        <v>0</v>
      </c>
      <c r="X95" s="737">
        <f t="shared" si="17"/>
        <v>0</v>
      </c>
      <c r="Y95" s="738">
        <f t="shared" si="18"/>
        <v>0</v>
      </c>
      <c r="Z95" s="627"/>
    </row>
    <row r="96" spans="1:26">
      <c r="A96" s="331" t="s">
        <v>1871</v>
      </c>
      <c r="B96" s="332">
        <v>813</v>
      </c>
      <c r="C96" s="332">
        <v>138</v>
      </c>
      <c r="D96" s="332">
        <v>25</v>
      </c>
      <c r="E96" s="331" t="s">
        <v>1966</v>
      </c>
      <c r="F96" s="333">
        <v>974788.85374631989</v>
      </c>
      <c r="G96" s="332" t="s">
        <v>4</v>
      </c>
      <c r="H96" s="332">
        <v>2017</v>
      </c>
      <c r="I96" s="306">
        <f>+IF($H96=I$2,VLOOKUP($G96,Depreciation!$A$14:$L$18,7,FALSE)/2,IF($H96&lt;I$2,VLOOKUP($G96,Depreciation!$A$14:$L$18,7,FALSE),0))</f>
        <v>0</v>
      </c>
      <c r="J96" s="306">
        <f>+IF($H96=J$2,VLOOKUP($G96,Depreciation!$A$14:$L$18,8,FALSE)/2,IF($H96&lt;J$2,VLOOKUP($G96,Depreciation!$A$14:$L$18,8,FALSE),0))</f>
        <v>0</v>
      </c>
      <c r="K96" s="306">
        <f>+IF($H96=K$2,VLOOKUP($G96,Depreciation!$A$14:$L$18,9,FALSE)/2,IF($H96&lt;K$2,VLOOKUP($G96,Depreciation!$A$14:$L$18,9,FALSE),0))</f>
        <v>1.671703928371859E-2</v>
      </c>
      <c r="L96" s="306">
        <f>+IF($H96=L$2,VLOOKUP($G96,Depreciation!$A$14:$L$18,10,FALSE)/2,IF($H96&lt;L$2,VLOOKUP($G96,Depreciation!$A$14:$L$18,10,FALSE),0))</f>
        <v>3.343407856743718E-2</v>
      </c>
      <c r="M96" s="306">
        <f>+IF($H96=M$2,VLOOKUP($G96,Depreciation!$A$14:$L$18,11,FALSE)/2,IF($H96&lt;M$2,VLOOKUP($G96,Depreciation!$A$14:$L$18,11,FALSE),0))</f>
        <v>3.343407856743718E-2</v>
      </c>
      <c r="N96" s="306">
        <f>+IF($H96=N$2,VLOOKUP($G96,Depreciation!$A$14:$L$18,12,FALSE)/2,IF($H96&lt;N$2,VLOOKUP($G96,Depreciation!$A$14:$L$18,12,FALSE),0))</f>
        <v>3.343407856743718E-2</v>
      </c>
      <c r="O96" s="307">
        <f t="shared" si="10"/>
        <v>0</v>
      </c>
      <c r="P96" s="732">
        <v>0.7403207006269098</v>
      </c>
      <c r="Q96" s="733">
        <v>0.25967929937309009</v>
      </c>
      <c r="R96" s="734">
        <f t="shared" si="11"/>
        <v>0</v>
      </c>
      <c r="S96" s="735">
        <f t="shared" si="12"/>
        <v>0</v>
      </c>
      <c r="T96" s="735">
        <f t="shared" si="13"/>
        <v>0</v>
      </c>
      <c r="U96" s="735">
        <f t="shared" si="14"/>
        <v>0</v>
      </c>
      <c r="V96" s="736">
        <f t="shared" si="15"/>
        <v>0</v>
      </c>
      <c r="W96" s="735">
        <f t="shared" si="16"/>
        <v>0</v>
      </c>
      <c r="X96" s="737">
        <f t="shared" si="17"/>
        <v>0</v>
      </c>
      <c r="Y96" s="738">
        <f t="shared" si="18"/>
        <v>0</v>
      </c>
      <c r="Z96" s="627"/>
    </row>
    <row r="97" spans="1:26">
      <c r="A97" s="331" t="s">
        <v>1872</v>
      </c>
      <c r="B97" s="332">
        <v>813</v>
      </c>
      <c r="C97" s="332">
        <v>240</v>
      </c>
      <c r="D97" s="332">
        <v>138</v>
      </c>
      <c r="E97" s="331" t="s">
        <v>1545</v>
      </c>
      <c r="F97" s="333">
        <v>27577507.379525296</v>
      </c>
      <c r="G97" s="332" t="s">
        <v>4</v>
      </c>
      <c r="H97" s="332">
        <v>2017</v>
      </c>
      <c r="I97" s="306">
        <f>+IF($H97=I$2,VLOOKUP($G97,Depreciation!$A$14:$L$18,7,FALSE)/2,IF($H97&lt;I$2,VLOOKUP($G97,Depreciation!$A$14:$L$18,7,FALSE),0))</f>
        <v>0</v>
      </c>
      <c r="J97" s="306">
        <f>+IF($H97=J$2,VLOOKUP($G97,Depreciation!$A$14:$L$18,8,FALSE)/2,IF($H97&lt;J$2,VLOOKUP($G97,Depreciation!$A$14:$L$18,8,FALSE),0))</f>
        <v>0</v>
      </c>
      <c r="K97" s="306">
        <f>+IF($H97=K$2,VLOOKUP($G97,Depreciation!$A$14:$L$18,9,FALSE)/2,IF($H97&lt;K$2,VLOOKUP($G97,Depreciation!$A$14:$L$18,9,FALSE),0))</f>
        <v>1.671703928371859E-2</v>
      </c>
      <c r="L97" s="306">
        <f>+IF($H97=L$2,VLOOKUP($G97,Depreciation!$A$14:$L$18,10,FALSE)/2,IF($H97&lt;L$2,VLOOKUP($G97,Depreciation!$A$14:$L$18,10,FALSE),0))</f>
        <v>3.343407856743718E-2</v>
      </c>
      <c r="M97" s="306">
        <f>+IF($H97=M$2,VLOOKUP($G97,Depreciation!$A$14:$L$18,11,FALSE)/2,IF($H97&lt;M$2,VLOOKUP($G97,Depreciation!$A$14:$L$18,11,FALSE),0))</f>
        <v>3.343407856743718E-2</v>
      </c>
      <c r="N97" s="306">
        <f>+IF($H97=N$2,VLOOKUP($G97,Depreciation!$A$14:$L$18,12,FALSE)/2,IF($H97&lt;N$2,VLOOKUP($G97,Depreciation!$A$14:$L$18,12,FALSE),0))</f>
        <v>3.343407856743718E-2</v>
      </c>
      <c r="O97" s="307">
        <f t="shared" si="10"/>
        <v>0</v>
      </c>
      <c r="P97" s="732">
        <v>0</v>
      </c>
      <c r="Q97" s="733">
        <v>0</v>
      </c>
      <c r="R97" s="734">
        <f t="shared" si="11"/>
        <v>1</v>
      </c>
      <c r="S97" s="735">
        <f t="shared" si="12"/>
        <v>0</v>
      </c>
      <c r="T97" s="735">
        <f t="shared" si="13"/>
        <v>0</v>
      </c>
      <c r="U97" s="735">
        <f t="shared" si="14"/>
        <v>0</v>
      </c>
      <c r="V97" s="736">
        <f t="shared" si="15"/>
        <v>0</v>
      </c>
      <c r="W97" s="735">
        <f t="shared" si="16"/>
        <v>0</v>
      </c>
      <c r="X97" s="737">
        <f t="shared" si="17"/>
        <v>0</v>
      </c>
      <c r="Y97" s="738">
        <f t="shared" si="18"/>
        <v>0</v>
      </c>
      <c r="Z97" s="627"/>
    </row>
    <row r="98" spans="1:26">
      <c r="A98" s="331" t="s">
        <v>1873</v>
      </c>
      <c r="B98" s="332">
        <v>813</v>
      </c>
      <c r="C98" s="332">
        <v>138</v>
      </c>
      <c r="D98" s="332">
        <v>25</v>
      </c>
      <c r="E98" s="331" t="s">
        <v>1976</v>
      </c>
      <c r="F98" s="333">
        <v>5363344.9628386488</v>
      </c>
      <c r="G98" s="332" t="s">
        <v>4</v>
      </c>
      <c r="H98" s="332">
        <v>2017</v>
      </c>
      <c r="I98" s="306">
        <f>+IF($H98=I$2,VLOOKUP($G98,Depreciation!$A$14:$L$18,7,FALSE)/2,IF($H98&lt;I$2,VLOOKUP($G98,Depreciation!$A$14:$L$18,7,FALSE),0))</f>
        <v>0</v>
      </c>
      <c r="J98" s="306">
        <f>+IF($H98=J$2,VLOOKUP($G98,Depreciation!$A$14:$L$18,8,FALSE)/2,IF($H98&lt;J$2,VLOOKUP($G98,Depreciation!$A$14:$L$18,8,FALSE),0))</f>
        <v>0</v>
      </c>
      <c r="K98" s="306">
        <f>+IF($H98=K$2,VLOOKUP($G98,Depreciation!$A$14:$L$18,9,FALSE)/2,IF($H98&lt;K$2,VLOOKUP($G98,Depreciation!$A$14:$L$18,9,FALSE),0))</f>
        <v>1.671703928371859E-2</v>
      </c>
      <c r="L98" s="306">
        <f>+IF($H98=L$2,VLOOKUP($G98,Depreciation!$A$14:$L$18,10,FALSE)/2,IF($H98&lt;L$2,VLOOKUP($G98,Depreciation!$A$14:$L$18,10,FALSE),0))</f>
        <v>3.343407856743718E-2</v>
      </c>
      <c r="M98" s="306">
        <f>+IF($H98=M$2,VLOOKUP($G98,Depreciation!$A$14:$L$18,11,FALSE)/2,IF($H98&lt;M$2,VLOOKUP($G98,Depreciation!$A$14:$L$18,11,FALSE),0))</f>
        <v>3.343407856743718E-2</v>
      </c>
      <c r="N98" s="306">
        <f>+IF($H98=N$2,VLOOKUP($G98,Depreciation!$A$14:$L$18,12,FALSE)/2,IF($H98&lt;N$2,VLOOKUP($G98,Depreciation!$A$14:$L$18,12,FALSE),0))</f>
        <v>3.343407856743718E-2</v>
      </c>
      <c r="O98" s="307">
        <f t="shared" si="10"/>
        <v>0</v>
      </c>
      <c r="P98" s="732">
        <v>0</v>
      </c>
      <c r="Q98" s="733">
        <v>1</v>
      </c>
      <c r="R98" s="734">
        <f t="shared" si="11"/>
        <v>0</v>
      </c>
      <c r="S98" s="735">
        <f t="shared" si="12"/>
        <v>0</v>
      </c>
      <c r="T98" s="735">
        <f t="shared" si="13"/>
        <v>0</v>
      </c>
      <c r="U98" s="735">
        <f t="shared" si="14"/>
        <v>0</v>
      </c>
      <c r="V98" s="736">
        <f t="shared" si="15"/>
        <v>0</v>
      </c>
      <c r="W98" s="735">
        <f t="shared" si="16"/>
        <v>0</v>
      </c>
      <c r="X98" s="737">
        <f t="shared" si="17"/>
        <v>0</v>
      </c>
      <c r="Y98" s="738">
        <f t="shared" si="18"/>
        <v>0</v>
      </c>
      <c r="Z98" s="627"/>
    </row>
    <row r="99" spans="1:26">
      <c r="A99" s="331" t="s">
        <v>1874</v>
      </c>
      <c r="B99" s="332">
        <v>813</v>
      </c>
      <c r="C99" s="332">
        <v>240</v>
      </c>
      <c r="D99" s="332">
        <v>0</v>
      </c>
      <c r="E99" s="331" t="s">
        <v>1975</v>
      </c>
      <c r="F99" s="333">
        <v>19156315.519322906</v>
      </c>
      <c r="G99" s="332" t="s">
        <v>4</v>
      </c>
      <c r="H99" s="332">
        <v>2017</v>
      </c>
      <c r="I99" s="306">
        <f>+IF($H99=I$2,VLOOKUP($G99,Depreciation!$A$14:$L$18,7,FALSE)/2,IF($H99&lt;I$2,VLOOKUP($G99,Depreciation!$A$14:$L$18,7,FALSE),0))</f>
        <v>0</v>
      </c>
      <c r="J99" s="306">
        <f>+IF($H99=J$2,VLOOKUP($G99,Depreciation!$A$14:$L$18,8,FALSE)/2,IF($H99&lt;J$2,VLOOKUP($G99,Depreciation!$A$14:$L$18,8,FALSE),0))</f>
        <v>0</v>
      </c>
      <c r="K99" s="306">
        <f>+IF($H99=K$2,VLOOKUP($G99,Depreciation!$A$14:$L$18,9,FALSE)/2,IF($H99&lt;K$2,VLOOKUP($G99,Depreciation!$A$14:$L$18,9,FALSE),0))</f>
        <v>1.671703928371859E-2</v>
      </c>
      <c r="L99" s="306">
        <f>+IF($H99=L$2,VLOOKUP($G99,Depreciation!$A$14:$L$18,10,FALSE)/2,IF($H99&lt;L$2,VLOOKUP($G99,Depreciation!$A$14:$L$18,10,FALSE),0))</f>
        <v>3.343407856743718E-2</v>
      </c>
      <c r="M99" s="306">
        <f>+IF($H99=M$2,VLOOKUP($G99,Depreciation!$A$14:$L$18,11,FALSE)/2,IF($H99&lt;M$2,VLOOKUP($G99,Depreciation!$A$14:$L$18,11,FALSE),0))</f>
        <v>3.343407856743718E-2</v>
      </c>
      <c r="N99" s="306">
        <f>+IF($H99=N$2,VLOOKUP($G99,Depreciation!$A$14:$L$18,12,FALSE)/2,IF($H99&lt;N$2,VLOOKUP($G99,Depreciation!$A$14:$L$18,12,FALSE),0))</f>
        <v>3.343407856743718E-2</v>
      </c>
      <c r="O99" s="307">
        <f t="shared" si="10"/>
        <v>0</v>
      </c>
      <c r="P99" s="732">
        <v>0</v>
      </c>
      <c r="Q99" s="733">
        <v>0</v>
      </c>
      <c r="R99" s="734">
        <f t="shared" si="11"/>
        <v>1</v>
      </c>
      <c r="S99" s="735">
        <f t="shared" si="12"/>
        <v>0</v>
      </c>
      <c r="T99" s="735">
        <f t="shared" si="13"/>
        <v>0</v>
      </c>
      <c r="U99" s="735">
        <f t="shared" si="14"/>
        <v>0</v>
      </c>
      <c r="V99" s="736">
        <f t="shared" si="15"/>
        <v>0</v>
      </c>
      <c r="W99" s="735">
        <f t="shared" si="16"/>
        <v>0</v>
      </c>
      <c r="X99" s="737">
        <f t="shared" si="17"/>
        <v>0</v>
      </c>
      <c r="Y99" s="738">
        <f t="shared" si="18"/>
        <v>0</v>
      </c>
      <c r="Z99" s="627"/>
    </row>
    <row r="100" spans="1:26">
      <c r="A100" s="331" t="s">
        <v>1875</v>
      </c>
      <c r="B100" s="332">
        <v>813</v>
      </c>
      <c r="C100" s="332">
        <v>240</v>
      </c>
      <c r="D100" s="332">
        <v>138</v>
      </c>
      <c r="E100" s="331" t="s">
        <v>1545</v>
      </c>
      <c r="F100" s="333">
        <v>20096056.343237866</v>
      </c>
      <c r="G100" s="332" t="s">
        <v>4</v>
      </c>
      <c r="H100" s="332">
        <v>2017</v>
      </c>
      <c r="I100" s="306">
        <f>+IF($H100=I$2,VLOOKUP($G100,Depreciation!$A$14:$L$18,7,FALSE)/2,IF($H100&lt;I$2,VLOOKUP($G100,Depreciation!$A$14:$L$18,7,FALSE),0))</f>
        <v>0</v>
      </c>
      <c r="J100" s="306">
        <f>+IF($H100=J$2,VLOOKUP($G100,Depreciation!$A$14:$L$18,8,FALSE)/2,IF($H100&lt;J$2,VLOOKUP($G100,Depreciation!$A$14:$L$18,8,FALSE),0))</f>
        <v>0</v>
      </c>
      <c r="K100" s="306">
        <f>+IF($H100=K$2,VLOOKUP($G100,Depreciation!$A$14:$L$18,9,FALSE)/2,IF($H100&lt;K$2,VLOOKUP($G100,Depreciation!$A$14:$L$18,9,FALSE),0))</f>
        <v>1.671703928371859E-2</v>
      </c>
      <c r="L100" s="306">
        <f>+IF($H100=L$2,VLOOKUP($G100,Depreciation!$A$14:$L$18,10,FALSE)/2,IF($H100&lt;L$2,VLOOKUP($G100,Depreciation!$A$14:$L$18,10,FALSE),0))</f>
        <v>3.343407856743718E-2</v>
      </c>
      <c r="M100" s="306">
        <f>+IF($H100=M$2,VLOOKUP($G100,Depreciation!$A$14:$L$18,11,FALSE)/2,IF($H100&lt;M$2,VLOOKUP($G100,Depreciation!$A$14:$L$18,11,FALSE),0))</f>
        <v>3.343407856743718E-2</v>
      </c>
      <c r="N100" s="306">
        <f>+IF($H100=N$2,VLOOKUP($G100,Depreciation!$A$14:$L$18,12,FALSE)/2,IF($H100&lt;N$2,VLOOKUP($G100,Depreciation!$A$14:$L$18,12,FALSE),0))</f>
        <v>3.343407856743718E-2</v>
      </c>
      <c r="O100" s="307">
        <f t="shared" si="10"/>
        <v>0</v>
      </c>
      <c r="P100" s="732">
        <v>0</v>
      </c>
      <c r="Q100" s="733">
        <v>0</v>
      </c>
      <c r="R100" s="734">
        <f t="shared" si="11"/>
        <v>1</v>
      </c>
      <c r="S100" s="735">
        <f t="shared" si="12"/>
        <v>0</v>
      </c>
      <c r="T100" s="735">
        <f t="shared" si="13"/>
        <v>0</v>
      </c>
      <c r="U100" s="735">
        <f t="shared" si="14"/>
        <v>0</v>
      </c>
      <c r="V100" s="736">
        <f t="shared" si="15"/>
        <v>0</v>
      </c>
      <c r="W100" s="735">
        <f t="shared" si="16"/>
        <v>0</v>
      </c>
      <c r="X100" s="737">
        <f t="shared" si="17"/>
        <v>0</v>
      </c>
      <c r="Y100" s="738">
        <f t="shared" si="18"/>
        <v>0</v>
      </c>
      <c r="Z100" s="627"/>
    </row>
    <row r="101" spans="1:26">
      <c r="A101" s="331" t="s">
        <v>1876</v>
      </c>
      <c r="B101" s="332">
        <v>813</v>
      </c>
      <c r="C101" s="332">
        <v>240</v>
      </c>
      <c r="D101" s="332">
        <v>138</v>
      </c>
      <c r="E101" s="331" t="s">
        <v>1566</v>
      </c>
      <c r="F101" s="333">
        <v>16806672.487195268</v>
      </c>
      <c r="G101" s="332" t="s">
        <v>4</v>
      </c>
      <c r="H101" s="332">
        <v>2017</v>
      </c>
      <c r="I101" s="306">
        <f>+IF($H101=I$2,VLOOKUP($G101,Depreciation!$A$14:$L$18,7,FALSE)/2,IF($H101&lt;I$2,VLOOKUP($G101,Depreciation!$A$14:$L$18,7,FALSE),0))</f>
        <v>0</v>
      </c>
      <c r="J101" s="306">
        <f>+IF($H101=J$2,VLOOKUP($G101,Depreciation!$A$14:$L$18,8,FALSE)/2,IF($H101&lt;J$2,VLOOKUP($G101,Depreciation!$A$14:$L$18,8,FALSE),0))</f>
        <v>0</v>
      </c>
      <c r="K101" s="306">
        <f>+IF($H101=K$2,VLOOKUP($G101,Depreciation!$A$14:$L$18,9,FALSE)/2,IF($H101&lt;K$2,VLOOKUP($G101,Depreciation!$A$14:$L$18,9,FALSE),0))</f>
        <v>1.671703928371859E-2</v>
      </c>
      <c r="L101" s="306">
        <f>+IF($H101=L$2,VLOOKUP($G101,Depreciation!$A$14:$L$18,10,FALSE)/2,IF($H101&lt;L$2,VLOOKUP($G101,Depreciation!$A$14:$L$18,10,FALSE),0))</f>
        <v>3.343407856743718E-2</v>
      </c>
      <c r="M101" s="306">
        <f>+IF($H101=M$2,VLOOKUP($G101,Depreciation!$A$14:$L$18,11,FALSE)/2,IF($H101&lt;M$2,VLOOKUP($G101,Depreciation!$A$14:$L$18,11,FALSE),0))</f>
        <v>3.343407856743718E-2</v>
      </c>
      <c r="N101" s="306">
        <f>+IF($H101=N$2,VLOOKUP($G101,Depreciation!$A$14:$L$18,12,FALSE)/2,IF($H101&lt;N$2,VLOOKUP($G101,Depreciation!$A$14:$L$18,12,FALSE),0))</f>
        <v>3.343407856743718E-2</v>
      </c>
      <c r="O101" s="307">
        <f t="shared" si="10"/>
        <v>0</v>
      </c>
      <c r="P101" s="732">
        <v>0</v>
      </c>
      <c r="Q101" s="733">
        <v>0</v>
      </c>
      <c r="R101" s="734">
        <f t="shared" si="11"/>
        <v>1</v>
      </c>
      <c r="S101" s="735">
        <f t="shared" si="12"/>
        <v>0</v>
      </c>
      <c r="T101" s="735">
        <f t="shared" si="13"/>
        <v>0</v>
      </c>
      <c r="U101" s="735">
        <f t="shared" si="14"/>
        <v>0</v>
      </c>
      <c r="V101" s="736">
        <f t="shared" si="15"/>
        <v>0</v>
      </c>
      <c r="W101" s="735">
        <f t="shared" si="16"/>
        <v>0</v>
      </c>
      <c r="X101" s="737">
        <f t="shared" si="17"/>
        <v>0</v>
      </c>
      <c r="Y101" s="738">
        <f t="shared" si="18"/>
        <v>0</v>
      </c>
      <c r="Z101" s="627"/>
    </row>
    <row r="102" spans="1:26">
      <c r="A102" s="331" t="s">
        <v>1877</v>
      </c>
      <c r="B102" s="332">
        <v>813</v>
      </c>
      <c r="C102" s="332">
        <v>240</v>
      </c>
      <c r="D102" s="332">
        <v>138</v>
      </c>
      <c r="E102" s="331" t="s">
        <v>1607</v>
      </c>
      <c r="F102" s="333">
        <v>2595668.490111751</v>
      </c>
      <c r="G102" s="332" t="s">
        <v>4</v>
      </c>
      <c r="H102" s="332">
        <v>2017</v>
      </c>
      <c r="I102" s="306">
        <f>+IF($H102=I$2,VLOOKUP($G102,Depreciation!$A$14:$L$18,7,FALSE)/2,IF($H102&lt;I$2,VLOOKUP($G102,Depreciation!$A$14:$L$18,7,FALSE),0))</f>
        <v>0</v>
      </c>
      <c r="J102" s="306">
        <f>+IF($H102=J$2,VLOOKUP($G102,Depreciation!$A$14:$L$18,8,FALSE)/2,IF($H102&lt;J$2,VLOOKUP($G102,Depreciation!$A$14:$L$18,8,FALSE),0))</f>
        <v>0</v>
      </c>
      <c r="K102" s="306">
        <f>+IF($H102=K$2,VLOOKUP($G102,Depreciation!$A$14:$L$18,9,FALSE)/2,IF($H102&lt;K$2,VLOOKUP($G102,Depreciation!$A$14:$L$18,9,FALSE),0))</f>
        <v>1.671703928371859E-2</v>
      </c>
      <c r="L102" s="306">
        <f>+IF($H102=L$2,VLOOKUP($G102,Depreciation!$A$14:$L$18,10,FALSE)/2,IF($H102&lt;L$2,VLOOKUP($G102,Depreciation!$A$14:$L$18,10,FALSE),0))</f>
        <v>3.343407856743718E-2</v>
      </c>
      <c r="M102" s="306">
        <f>+IF($H102=M$2,VLOOKUP($G102,Depreciation!$A$14:$L$18,11,FALSE)/2,IF($H102&lt;M$2,VLOOKUP($G102,Depreciation!$A$14:$L$18,11,FALSE),0))</f>
        <v>3.343407856743718E-2</v>
      </c>
      <c r="N102" s="306">
        <f>+IF($H102=N$2,VLOOKUP($G102,Depreciation!$A$14:$L$18,12,FALSE)/2,IF($H102&lt;N$2,VLOOKUP($G102,Depreciation!$A$14:$L$18,12,FALSE),0))</f>
        <v>3.343407856743718E-2</v>
      </c>
      <c r="O102" s="307">
        <f t="shared" si="10"/>
        <v>0</v>
      </c>
      <c r="P102" s="732">
        <v>0</v>
      </c>
      <c r="Q102" s="733">
        <v>0</v>
      </c>
      <c r="R102" s="734">
        <f t="shared" si="11"/>
        <v>1</v>
      </c>
      <c r="S102" s="735">
        <f t="shared" si="12"/>
        <v>0</v>
      </c>
      <c r="T102" s="735">
        <f t="shared" si="13"/>
        <v>0</v>
      </c>
      <c r="U102" s="735">
        <f t="shared" si="14"/>
        <v>0</v>
      </c>
      <c r="V102" s="736">
        <f t="shared" si="15"/>
        <v>0</v>
      </c>
      <c r="W102" s="735">
        <f t="shared" si="16"/>
        <v>0</v>
      </c>
      <c r="X102" s="737">
        <f t="shared" si="17"/>
        <v>0</v>
      </c>
      <c r="Y102" s="738">
        <f t="shared" si="18"/>
        <v>0</v>
      </c>
      <c r="Z102" s="627"/>
    </row>
    <row r="103" spans="1:26">
      <c r="A103" s="334" t="s">
        <v>1878</v>
      </c>
      <c r="B103" s="332">
        <v>813</v>
      </c>
      <c r="C103" s="332">
        <v>138</v>
      </c>
      <c r="D103" s="332">
        <v>25</v>
      </c>
      <c r="E103" s="331" t="s">
        <v>1976</v>
      </c>
      <c r="F103" s="333">
        <v>3773036.0916385679</v>
      </c>
      <c r="G103" s="332" t="s">
        <v>4</v>
      </c>
      <c r="H103" s="332">
        <v>2017</v>
      </c>
      <c r="I103" s="306">
        <f>+IF($H103=I$2,VLOOKUP($G103,Depreciation!$A$14:$L$18,7,FALSE)/2,IF($H103&lt;I$2,VLOOKUP($G103,Depreciation!$A$14:$L$18,7,FALSE),0))</f>
        <v>0</v>
      </c>
      <c r="J103" s="306">
        <f>+IF($H103=J$2,VLOOKUP($G103,Depreciation!$A$14:$L$18,8,FALSE)/2,IF($H103&lt;J$2,VLOOKUP($G103,Depreciation!$A$14:$L$18,8,FALSE),0))</f>
        <v>0</v>
      </c>
      <c r="K103" s="306">
        <f>+IF($H103=K$2,VLOOKUP($G103,Depreciation!$A$14:$L$18,9,FALSE)/2,IF($H103&lt;K$2,VLOOKUP($G103,Depreciation!$A$14:$L$18,9,FALSE),0))</f>
        <v>1.671703928371859E-2</v>
      </c>
      <c r="L103" s="306">
        <f>+IF($H103=L$2,VLOOKUP($G103,Depreciation!$A$14:$L$18,10,FALSE)/2,IF($H103&lt;L$2,VLOOKUP($G103,Depreciation!$A$14:$L$18,10,FALSE),0))</f>
        <v>3.343407856743718E-2</v>
      </c>
      <c r="M103" s="306">
        <f>+IF($H103=M$2,VLOOKUP($G103,Depreciation!$A$14:$L$18,11,FALSE)/2,IF($H103&lt;M$2,VLOOKUP($G103,Depreciation!$A$14:$L$18,11,FALSE),0))</f>
        <v>3.343407856743718E-2</v>
      </c>
      <c r="N103" s="306">
        <f>+IF($H103=N$2,VLOOKUP($G103,Depreciation!$A$14:$L$18,12,FALSE)/2,IF($H103&lt;N$2,VLOOKUP($G103,Depreciation!$A$14:$L$18,12,FALSE),0))</f>
        <v>3.343407856743718E-2</v>
      </c>
      <c r="O103" s="307">
        <f t="shared" si="10"/>
        <v>0</v>
      </c>
      <c r="P103" s="732">
        <v>0</v>
      </c>
      <c r="Q103" s="733">
        <v>1</v>
      </c>
      <c r="R103" s="734">
        <f t="shared" si="11"/>
        <v>0</v>
      </c>
      <c r="S103" s="735">
        <f t="shared" si="12"/>
        <v>0</v>
      </c>
      <c r="T103" s="735">
        <f t="shared" si="13"/>
        <v>0</v>
      </c>
      <c r="U103" s="735">
        <f t="shared" si="14"/>
        <v>0</v>
      </c>
      <c r="V103" s="736">
        <f t="shared" si="15"/>
        <v>0</v>
      </c>
      <c r="W103" s="735">
        <f t="shared" si="16"/>
        <v>0</v>
      </c>
      <c r="X103" s="737">
        <f t="shared" si="17"/>
        <v>0</v>
      </c>
      <c r="Y103" s="738">
        <f t="shared" si="18"/>
        <v>0</v>
      </c>
      <c r="Z103" s="627"/>
    </row>
    <row r="104" spans="1:26">
      <c r="A104" s="331" t="s">
        <v>1879</v>
      </c>
      <c r="B104" s="332">
        <v>813</v>
      </c>
      <c r="C104" s="332">
        <v>138</v>
      </c>
      <c r="D104" s="332">
        <v>25</v>
      </c>
      <c r="E104" s="331" t="s">
        <v>1608</v>
      </c>
      <c r="F104" s="333">
        <v>1453039.2523468195</v>
      </c>
      <c r="G104" s="332" t="s">
        <v>4</v>
      </c>
      <c r="H104" s="332">
        <v>2017</v>
      </c>
      <c r="I104" s="306">
        <f>+IF($H104=I$2,VLOOKUP($G104,Depreciation!$A$14:$L$18,7,FALSE)/2,IF($H104&lt;I$2,VLOOKUP($G104,Depreciation!$A$14:$L$18,7,FALSE),0))</f>
        <v>0</v>
      </c>
      <c r="J104" s="306">
        <f>+IF($H104=J$2,VLOOKUP($G104,Depreciation!$A$14:$L$18,8,FALSE)/2,IF($H104&lt;J$2,VLOOKUP($G104,Depreciation!$A$14:$L$18,8,FALSE),0))</f>
        <v>0</v>
      </c>
      <c r="K104" s="306">
        <f>+IF($H104=K$2,VLOOKUP($G104,Depreciation!$A$14:$L$18,9,FALSE)/2,IF($H104&lt;K$2,VLOOKUP($G104,Depreciation!$A$14:$L$18,9,FALSE),0))</f>
        <v>1.671703928371859E-2</v>
      </c>
      <c r="L104" s="306">
        <f>+IF($H104=L$2,VLOOKUP($G104,Depreciation!$A$14:$L$18,10,FALSE)/2,IF($H104&lt;L$2,VLOOKUP($G104,Depreciation!$A$14:$L$18,10,FALSE),0))</f>
        <v>3.343407856743718E-2</v>
      </c>
      <c r="M104" s="306">
        <f>+IF($H104=M$2,VLOOKUP($G104,Depreciation!$A$14:$L$18,11,FALSE)/2,IF($H104&lt;M$2,VLOOKUP($G104,Depreciation!$A$14:$L$18,11,FALSE),0))</f>
        <v>3.343407856743718E-2</v>
      </c>
      <c r="N104" s="306">
        <f>+IF($H104=N$2,VLOOKUP($G104,Depreciation!$A$14:$L$18,12,FALSE)/2,IF($H104&lt;N$2,VLOOKUP($G104,Depreciation!$A$14:$L$18,12,FALSE),0))</f>
        <v>3.343407856743718E-2</v>
      </c>
      <c r="O104" s="307">
        <f t="shared" si="10"/>
        <v>0</v>
      </c>
      <c r="P104" s="732">
        <v>0</v>
      </c>
      <c r="Q104" s="733">
        <v>1</v>
      </c>
      <c r="R104" s="734">
        <f t="shared" si="11"/>
        <v>0</v>
      </c>
      <c r="S104" s="735">
        <f t="shared" si="12"/>
        <v>0</v>
      </c>
      <c r="T104" s="735">
        <f t="shared" si="13"/>
        <v>0</v>
      </c>
      <c r="U104" s="735">
        <f t="shared" si="14"/>
        <v>0</v>
      </c>
      <c r="V104" s="736">
        <f t="shared" si="15"/>
        <v>0</v>
      </c>
      <c r="W104" s="735">
        <f t="shared" si="16"/>
        <v>0</v>
      </c>
      <c r="X104" s="737">
        <f t="shared" si="17"/>
        <v>0</v>
      </c>
      <c r="Y104" s="738">
        <f t="shared" si="18"/>
        <v>0</v>
      </c>
      <c r="Z104" s="627"/>
    </row>
    <row r="105" spans="1:26">
      <c r="A105" s="331" t="s">
        <v>1880</v>
      </c>
      <c r="B105" s="332">
        <v>813</v>
      </c>
      <c r="C105" s="332">
        <v>138</v>
      </c>
      <c r="D105" s="332">
        <v>25</v>
      </c>
      <c r="E105" s="331" t="s">
        <v>1608</v>
      </c>
      <c r="F105" s="333">
        <v>1479296.8070426565</v>
      </c>
      <c r="G105" s="332" t="s">
        <v>4</v>
      </c>
      <c r="H105" s="332">
        <v>2017</v>
      </c>
      <c r="I105" s="306">
        <f>+IF($H105=I$2,VLOOKUP($G105,Depreciation!$A$14:$L$18,7,FALSE)/2,IF($H105&lt;I$2,VLOOKUP($G105,Depreciation!$A$14:$L$18,7,FALSE),0))</f>
        <v>0</v>
      </c>
      <c r="J105" s="306">
        <f>+IF($H105=J$2,VLOOKUP($G105,Depreciation!$A$14:$L$18,8,FALSE)/2,IF($H105&lt;J$2,VLOOKUP($G105,Depreciation!$A$14:$L$18,8,FALSE),0))</f>
        <v>0</v>
      </c>
      <c r="K105" s="306">
        <f>+IF($H105=K$2,VLOOKUP($G105,Depreciation!$A$14:$L$18,9,FALSE)/2,IF($H105&lt;K$2,VLOOKUP($G105,Depreciation!$A$14:$L$18,9,FALSE),0))</f>
        <v>1.671703928371859E-2</v>
      </c>
      <c r="L105" s="306">
        <f>+IF($H105=L$2,VLOOKUP($G105,Depreciation!$A$14:$L$18,10,FALSE)/2,IF($H105&lt;L$2,VLOOKUP($G105,Depreciation!$A$14:$L$18,10,FALSE),0))</f>
        <v>3.343407856743718E-2</v>
      </c>
      <c r="M105" s="306">
        <f>+IF($H105=M$2,VLOOKUP($G105,Depreciation!$A$14:$L$18,11,FALSE)/2,IF($H105&lt;M$2,VLOOKUP($G105,Depreciation!$A$14:$L$18,11,FALSE),0))</f>
        <v>3.343407856743718E-2</v>
      </c>
      <c r="N105" s="306">
        <f>+IF($H105=N$2,VLOOKUP($G105,Depreciation!$A$14:$L$18,12,FALSE)/2,IF($H105&lt;N$2,VLOOKUP($G105,Depreciation!$A$14:$L$18,12,FALSE),0))</f>
        <v>3.343407856743718E-2</v>
      </c>
      <c r="O105" s="307">
        <f t="shared" si="10"/>
        <v>0</v>
      </c>
      <c r="P105" s="732">
        <v>0</v>
      </c>
      <c r="Q105" s="733">
        <v>1</v>
      </c>
      <c r="R105" s="734">
        <f t="shared" si="11"/>
        <v>0</v>
      </c>
      <c r="S105" s="735">
        <f t="shared" si="12"/>
        <v>0</v>
      </c>
      <c r="T105" s="735">
        <f t="shared" si="13"/>
        <v>0</v>
      </c>
      <c r="U105" s="735">
        <f t="shared" si="14"/>
        <v>0</v>
      </c>
      <c r="V105" s="736">
        <f t="shared" si="15"/>
        <v>0</v>
      </c>
      <c r="W105" s="735">
        <f t="shared" si="16"/>
        <v>0</v>
      </c>
      <c r="X105" s="737">
        <f t="shared" si="17"/>
        <v>0</v>
      </c>
      <c r="Y105" s="738">
        <f t="shared" si="18"/>
        <v>0</v>
      </c>
      <c r="Z105" s="627"/>
    </row>
    <row r="106" spans="1:26">
      <c r="A106" s="331" t="s">
        <v>1343</v>
      </c>
      <c r="B106" s="332">
        <v>813</v>
      </c>
      <c r="C106" s="332">
        <v>138</v>
      </c>
      <c r="D106" s="332">
        <v>25</v>
      </c>
      <c r="E106" s="331" t="s">
        <v>1608</v>
      </c>
      <c r="F106" s="333">
        <v>187594.25782528098</v>
      </c>
      <c r="G106" s="332" t="s">
        <v>4</v>
      </c>
      <c r="H106" s="332">
        <v>2017</v>
      </c>
      <c r="I106" s="306">
        <f>+IF($H106=I$2,VLOOKUP($G106,Depreciation!$A$14:$L$18,7,FALSE)/2,IF($H106&lt;I$2,VLOOKUP($G106,Depreciation!$A$14:$L$18,7,FALSE),0))</f>
        <v>0</v>
      </c>
      <c r="J106" s="306">
        <f>+IF($H106=J$2,VLOOKUP($G106,Depreciation!$A$14:$L$18,8,FALSE)/2,IF($H106&lt;J$2,VLOOKUP($G106,Depreciation!$A$14:$L$18,8,FALSE),0))</f>
        <v>0</v>
      </c>
      <c r="K106" s="306">
        <f>+IF($H106=K$2,VLOOKUP($G106,Depreciation!$A$14:$L$18,9,FALSE)/2,IF($H106&lt;K$2,VLOOKUP($G106,Depreciation!$A$14:$L$18,9,FALSE),0))</f>
        <v>1.671703928371859E-2</v>
      </c>
      <c r="L106" s="306">
        <f>+IF($H106=L$2,VLOOKUP($G106,Depreciation!$A$14:$L$18,10,FALSE)/2,IF($H106&lt;L$2,VLOOKUP($G106,Depreciation!$A$14:$L$18,10,FALSE),0))</f>
        <v>3.343407856743718E-2</v>
      </c>
      <c r="M106" s="306">
        <f>+IF($H106=M$2,VLOOKUP($G106,Depreciation!$A$14:$L$18,11,FALSE)/2,IF($H106&lt;M$2,VLOOKUP($G106,Depreciation!$A$14:$L$18,11,FALSE),0))</f>
        <v>3.343407856743718E-2</v>
      </c>
      <c r="N106" s="306">
        <f>+IF($H106=N$2,VLOOKUP($G106,Depreciation!$A$14:$L$18,12,FALSE)/2,IF($H106&lt;N$2,VLOOKUP($G106,Depreciation!$A$14:$L$18,12,FALSE),0))</f>
        <v>3.343407856743718E-2</v>
      </c>
      <c r="O106" s="307">
        <f t="shared" si="10"/>
        <v>0</v>
      </c>
      <c r="P106" s="732">
        <v>0</v>
      </c>
      <c r="Q106" s="733">
        <v>1</v>
      </c>
      <c r="R106" s="734">
        <f t="shared" si="11"/>
        <v>0</v>
      </c>
      <c r="S106" s="735">
        <f t="shared" si="12"/>
        <v>0</v>
      </c>
      <c r="T106" s="735">
        <f t="shared" si="13"/>
        <v>0</v>
      </c>
      <c r="U106" s="735">
        <f t="shared" si="14"/>
        <v>0</v>
      </c>
      <c r="V106" s="736">
        <f t="shared" si="15"/>
        <v>0</v>
      </c>
      <c r="W106" s="735">
        <f t="shared" si="16"/>
        <v>0</v>
      </c>
      <c r="X106" s="737">
        <f t="shared" si="17"/>
        <v>0</v>
      </c>
      <c r="Y106" s="738">
        <f t="shared" si="18"/>
        <v>0</v>
      </c>
      <c r="Z106" s="627"/>
    </row>
    <row r="107" spans="1:26">
      <c r="A107" s="331" t="s">
        <v>1881</v>
      </c>
      <c r="B107" s="332">
        <v>813</v>
      </c>
      <c r="C107" s="332">
        <v>138</v>
      </c>
      <c r="D107" s="332">
        <v>25</v>
      </c>
      <c r="E107" s="331" t="s">
        <v>1977</v>
      </c>
      <c r="F107" s="333">
        <v>98109.968832414306</v>
      </c>
      <c r="G107" s="332" t="s">
        <v>4</v>
      </c>
      <c r="H107" s="332">
        <v>2017</v>
      </c>
      <c r="I107" s="306">
        <f>+IF($H107=I$2,VLOOKUP($G107,Depreciation!$A$14:$L$18,7,FALSE)/2,IF($H107&lt;I$2,VLOOKUP($G107,Depreciation!$A$14:$L$18,7,FALSE),0))</f>
        <v>0</v>
      </c>
      <c r="J107" s="306">
        <f>+IF($H107=J$2,VLOOKUP($G107,Depreciation!$A$14:$L$18,8,FALSE)/2,IF($H107&lt;J$2,VLOOKUP($G107,Depreciation!$A$14:$L$18,8,FALSE),0))</f>
        <v>0</v>
      </c>
      <c r="K107" s="306">
        <f>+IF($H107=K$2,VLOOKUP($G107,Depreciation!$A$14:$L$18,9,FALSE)/2,IF($H107&lt;K$2,VLOOKUP($G107,Depreciation!$A$14:$L$18,9,FALSE),0))</f>
        <v>1.671703928371859E-2</v>
      </c>
      <c r="L107" s="306">
        <f>+IF($H107=L$2,VLOOKUP($G107,Depreciation!$A$14:$L$18,10,FALSE)/2,IF($H107&lt;L$2,VLOOKUP($G107,Depreciation!$A$14:$L$18,10,FALSE),0))</f>
        <v>3.343407856743718E-2</v>
      </c>
      <c r="M107" s="306">
        <f>+IF($H107=M$2,VLOOKUP($G107,Depreciation!$A$14:$L$18,11,FALSE)/2,IF($H107&lt;M$2,VLOOKUP($G107,Depreciation!$A$14:$L$18,11,FALSE),0))</f>
        <v>3.343407856743718E-2</v>
      </c>
      <c r="N107" s="306">
        <f>+IF($H107=N$2,VLOOKUP($G107,Depreciation!$A$14:$L$18,12,FALSE)/2,IF($H107&lt;N$2,VLOOKUP($G107,Depreciation!$A$14:$L$18,12,FALSE),0))</f>
        <v>3.343407856743718E-2</v>
      </c>
      <c r="O107" s="307">
        <f t="shared" si="10"/>
        <v>0</v>
      </c>
      <c r="P107" s="732">
        <v>0</v>
      </c>
      <c r="Q107" s="733">
        <v>1</v>
      </c>
      <c r="R107" s="734">
        <f t="shared" si="11"/>
        <v>0</v>
      </c>
      <c r="S107" s="735">
        <f t="shared" si="12"/>
        <v>0</v>
      </c>
      <c r="T107" s="735">
        <f t="shared" si="13"/>
        <v>0</v>
      </c>
      <c r="U107" s="735">
        <f t="shared" si="14"/>
        <v>0</v>
      </c>
      <c r="V107" s="736">
        <f t="shared" si="15"/>
        <v>0</v>
      </c>
      <c r="W107" s="735">
        <f t="shared" si="16"/>
        <v>0</v>
      </c>
      <c r="X107" s="737">
        <f t="shared" si="17"/>
        <v>0</v>
      </c>
      <c r="Y107" s="738">
        <f t="shared" si="18"/>
        <v>0</v>
      </c>
      <c r="Z107" s="627"/>
    </row>
    <row r="108" spans="1:26">
      <c r="A108" s="331" t="s">
        <v>1882</v>
      </c>
      <c r="B108" s="332">
        <v>813</v>
      </c>
      <c r="C108" s="332">
        <v>240</v>
      </c>
      <c r="D108" s="332">
        <v>25</v>
      </c>
      <c r="E108" s="331" t="s">
        <v>1977</v>
      </c>
      <c r="F108" s="333">
        <v>390718.64780628151</v>
      </c>
      <c r="G108" s="332" t="s">
        <v>4</v>
      </c>
      <c r="H108" s="332">
        <v>2017</v>
      </c>
      <c r="I108" s="306">
        <f>+IF($H108=I$2,VLOOKUP($G108,Depreciation!$A$14:$L$18,7,FALSE)/2,IF($H108&lt;I$2,VLOOKUP($G108,Depreciation!$A$14:$L$18,7,FALSE),0))</f>
        <v>0</v>
      </c>
      <c r="J108" s="306">
        <f>+IF($H108=J$2,VLOOKUP($G108,Depreciation!$A$14:$L$18,8,FALSE)/2,IF($H108&lt;J$2,VLOOKUP($G108,Depreciation!$A$14:$L$18,8,FALSE),0))</f>
        <v>0</v>
      </c>
      <c r="K108" s="306">
        <f>+IF($H108=K$2,VLOOKUP($G108,Depreciation!$A$14:$L$18,9,FALSE)/2,IF($H108&lt;K$2,VLOOKUP($G108,Depreciation!$A$14:$L$18,9,FALSE),0))</f>
        <v>1.671703928371859E-2</v>
      </c>
      <c r="L108" s="306">
        <f>+IF($H108=L$2,VLOOKUP($G108,Depreciation!$A$14:$L$18,10,FALSE)/2,IF($H108&lt;L$2,VLOOKUP($G108,Depreciation!$A$14:$L$18,10,FALSE),0))</f>
        <v>3.343407856743718E-2</v>
      </c>
      <c r="M108" s="306">
        <f>+IF($H108=M$2,VLOOKUP($G108,Depreciation!$A$14:$L$18,11,FALSE)/2,IF($H108&lt;M$2,VLOOKUP($G108,Depreciation!$A$14:$L$18,11,FALSE),0))</f>
        <v>3.343407856743718E-2</v>
      </c>
      <c r="N108" s="306">
        <f>+IF($H108=N$2,VLOOKUP($G108,Depreciation!$A$14:$L$18,12,FALSE)/2,IF($H108&lt;N$2,VLOOKUP($G108,Depreciation!$A$14:$L$18,12,FALSE),0))</f>
        <v>3.343407856743718E-2</v>
      </c>
      <c r="O108" s="307">
        <f t="shared" si="10"/>
        <v>0</v>
      </c>
      <c r="P108" s="732">
        <v>0</v>
      </c>
      <c r="Q108" s="733">
        <v>1</v>
      </c>
      <c r="R108" s="734">
        <f t="shared" si="11"/>
        <v>0</v>
      </c>
      <c r="S108" s="735">
        <f t="shared" si="12"/>
        <v>0</v>
      </c>
      <c r="T108" s="735">
        <f t="shared" si="13"/>
        <v>0</v>
      </c>
      <c r="U108" s="735">
        <f t="shared" si="14"/>
        <v>0</v>
      </c>
      <c r="V108" s="736">
        <f t="shared" si="15"/>
        <v>0</v>
      </c>
      <c r="W108" s="735">
        <f t="shared" si="16"/>
        <v>0</v>
      </c>
      <c r="X108" s="737">
        <f t="shared" si="17"/>
        <v>0</v>
      </c>
      <c r="Y108" s="738">
        <f t="shared" si="18"/>
        <v>0</v>
      </c>
      <c r="Z108" s="627"/>
    </row>
    <row r="109" spans="1:26">
      <c r="A109" s="331" t="s">
        <v>1883</v>
      </c>
      <c r="B109" s="332">
        <v>813</v>
      </c>
      <c r="C109" s="332">
        <v>138</v>
      </c>
      <c r="D109" s="332">
        <v>138</v>
      </c>
      <c r="E109" s="331" t="s">
        <v>1970</v>
      </c>
      <c r="F109" s="333">
        <v>1998667.7936525263</v>
      </c>
      <c r="G109" s="332" t="s">
        <v>4</v>
      </c>
      <c r="H109" s="332">
        <v>2017</v>
      </c>
      <c r="I109" s="306">
        <f>+IF($H109=I$2,VLOOKUP($G109,Depreciation!$A$14:$L$18,7,FALSE)/2,IF($H109&lt;I$2,VLOOKUP($G109,Depreciation!$A$14:$L$18,7,FALSE),0))</f>
        <v>0</v>
      </c>
      <c r="J109" s="306">
        <f>+IF($H109=J$2,VLOOKUP($G109,Depreciation!$A$14:$L$18,8,FALSE)/2,IF($H109&lt;J$2,VLOOKUP($G109,Depreciation!$A$14:$L$18,8,FALSE),0))</f>
        <v>0</v>
      </c>
      <c r="K109" s="306">
        <f>+IF($H109=K$2,VLOOKUP($G109,Depreciation!$A$14:$L$18,9,FALSE)/2,IF($H109&lt;K$2,VLOOKUP($G109,Depreciation!$A$14:$L$18,9,FALSE),0))</f>
        <v>1.671703928371859E-2</v>
      </c>
      <c r="L109" s="306">
        <f>+IF($H109=L$2,VLOOKUP($G109,Depreciation!$A$14:$L$18,10,FALSE)/2,IF($H109&lt;L$2,VLOOKUP($G109,Depreciation!$A$14:$L$18,10,FALSE),0))</f>
        <v>3.343407856743718E-2</v>
      </c>
      <c r="M109" s="306">
        <f>+IF($H109=M$2,VLOOKUP($G109,Depreciation!$A$14:$L$18,11,FALSE)/2,IF($H109&lt;M$2,VLOOKUP($G109,Depreciation!$A$14:$L$18,11,FALSE),0))</f>
        <v>3.343407856743718E-2</v>
      </c>
      <c r="N109" s="306">
        <f>+IF($H109=N$2,VLOOKUP($G109,Depreciation!$A$14:$L$18,12,FALSE)/2,IF($H109&lt;N$2,VLOOKUP($G109,Depreciation!$A$14:$L$18,12,FALSE),0))</f>
        <v>3.343407856743718E-2</v>
      </c>
      <c r="O109" s="307">
        <f t="shared" si="10"/>
        <v>0</v>
      </c>
      <c r="P109" s="732">
        <v>0</v>
      </c>
      <c r="Q109" s="733">
        <v>0</v>
      </c>
      <c r="R109" s="734">
        <f t="shared" si="11"/>
        <v>1</v>
      </c>
      <c r="S109" s="735">
        <f t="shared" si="12"/>
        <v>0</v>
      </c>
      <c r="T109" s="735">
        <f t="shared" si="13"/>
        <v>0</v>
      </c>
      <c r="U109" s="735">
        <f t="shared" si="14"/>
        <v>0</v>
      </c>
      <c r="V109" s="736">
        <f t="shared" si="15"/>
        <v>0</v>
      </c>
      <c r="W109" s="735">
        <f t="shared" si="16"/>
        <v>0</v>
      </c>
      <c r="X109" s="737">
        <f t="shared" si="17"/>
        <v>0</v>
      </c>
      <c r="Y109" s="738">
        <f t="shared" si="18"/>
        <v>0</v>
      </c>
      <c r="Z109" s="627"/>
    </row>
    <row r="110" spans="1:26">
      <c r="A110" s="331" t="s">
        <v>1884</v>
      </c>
      <c r="B110" s="332">
        <v>813</v>
      </c>
      <c r="C110" s="332">
        <v>138</v>
      </c>
      <c r="D110" s="332">
        <v>25</v>
      </c>
      <c r="E110" s="331" t="s">
        <v>1971</v>
      </c>
      <c r="F110" s="333">
        <v>3179107.2356748986</v>
      </c>
      <c r="G110" s="332" t="s">
        <v>4</v>
      </c>
      <c r="H110" s="332">
        <v>2017</v>
      </c>
      <c r="I110" s="306">
        <f>+IF($H110=I$2,VLOOKUP($G110,Depreciation!$A$14:$L$18,7,FALSE)/2,IF($H110&lt;I$2,VLOOKUP($G110,Depreciation!$A$14:$L$18,7,FALSE),0))</f>
        <v>0</v>
      </c>
      <c r="J110" s="306">
        <f>+IF($H110=J$2,VLOOKUP($G110,Depreciation!$A$14:$L$18,8,FALSE)/2,IF($H110&lt;J$2,VLOOKUP($G110,Depreciation!$A$14:$L$18,8,FALSE),0))</f>
        <v>0</v>
      </c>
      <c r="K110" s="306">
        <f>+IF($H110=K$2,VLOOKUP($G110,Depreciation!$A$14:$L$18,9,FALSE)/2,IF($H110&lt;K$2,VLOOKUP($G110,Depreciation!$A$14:$L$18,9,FALSE),0))</f>
        <v>1.671703928371859E-2</v>
      </c>
      <c r="L110" s="306">
        <f>+IF($H110=L$2,VLOOKUP($G110,Depreciation!$A$14:$L$18,10,FALSE)/2,IF($H110&lt;L$2,VLOOKUP($G110,Depreciation!$A$14:$L$18,10,FALSE),0))</f>
        <v>3.343407856743718E-2</v>
      </c>
      <c r="M110" s="306">
        <f>+IF($H110=M$2,VLOOKUP($G110,Depreciation!$A$14:$L$18,11,FALSE)/2,IF($H110&lt;M$2,VLOOKUP($G110,Depreciation!$A$14:$L$18,11,FALSE),0))</f>
        <v>3.343407856743718E-2</v>
      </c>
      <c r="N110" s="306">
        <f>+IF($H110=N$2,VLOOKUP($G110,Depreciation!$A$14:$L$18,12,FALSE)/2,IF($H110&lt;N$2,VLOOKUP($G110,Depreciation!$A$14:$L$18,12,FALSE),0))</f>
        <v>3.343407856743718E-2</v>
      </c>
      <c r="O110" s="307">
        <f t="shared" si="10"/>
        <v>0</v>
      </c>
      <c r="P110" s="732">
        <v>0</v>
      </c>
      <c r="Q110" s="733">
        <v>1</v>
      </c>
      <c r="R110" s="734">
        <f t="shared" si="11"/>
        <v>0</v>
      </c>
      <c r="S110" s="735">
        <f t="shared" si="12"/>
        <v>0</v>
      </c>
      <c r="T110" s="735">
        <f t="shared" si="13"/>
        <v>0</v>
      </c>
      <c r="U110" s="735">
        <f t="shared" si="14"/>
        <v>0</v>
      </c>
      <c r="V110" s="736">
        <f t="shared" si="15"/>
        <v>0</v>
      </c>
      <c r="W110" s="735">
        <f t="shared" si="16"/>
        <v>0</v>
      </c>
      <c r="X110" s="737">
        <f t="shared" si="17"/>
        <v>0</v>
      </c>
      <c r="Y110" s="738">
        <f t="shared" si="18"/>
        <v>0</v>
      </c>
      <c r="Z110" s="627"/>
    </row>
    <row r="111" spans="1:26">
      <c r="A111" s="331" t="s">
        <v>1885</v>
      </c>
      <c r="B111" s="332">
        <v>813</v>
      </c>
      <c r="C111" s="332">
        <v>138</v>
      </c>
      <c r="D111" s="332">
        <v>25</v>
      </c>
      <c r="E111" s="331" t="s">
        <v>1972</v>
      </c>
      <c r="F111" s="333">
        <v>4288175.2445767764</v>
      </c>
      <c r="G111" s="332" t="s">
        <v>4</v>
      </c>
      <c r="H111" s="332">
        <v>2017</v>
      </c>
      <c r="I111" s="306">
        <f>+IF($H111=I$2,VLOOKUP($G111,Depreciation!$A$14:$L$18,7,FALSE)/2,IF($H111&lt;I$2,VLOOKUP($G111,Depreciation!$A$14:$L$18,7,FALSE),0))</f>
        <v>0</v>
      </c>
      <c r="J111" s="306">
        <f>+IF($H111=J$2,VLOOKUP($G111,Depreciation!$A$14:$L$18,8,FALSE)/2,IF($H111&lt;J$2,VLOOKUP($G111,Depreciation!$A$14:$L$18,8,FALSE),0))</f>
        <v>0</v>
      </c>
      <c r="K111" s="306">
        <f>+IF($H111=K$2,VLOOKUP($G111,Depreciation!$A$14:$L$18,9,FALSE)/2,IF($H111&lt;K$2,VLOOKUP($G111,Depreciation!$A$14:$L$18,9,FALSE),0))</f>
        <v>1.671703928371859E-2</v>
      </c>
      <c r="L111" s="306">
        <f>+IF($H111=L$2,VLOOKUP($G111,Depreciation!$A$14:$L$18,10,FALSE)/2,IF($H111&lt;L$2,VLOOKUP($G111,Depreciation!$A$14:$L$18,10,FALSE),0))</f>
        <v>3.343407856743718E-2</v>
      </c>
      <c r="M111" s="306">
        <f>+IF($H111=M$2,VLOOKUP($G111,Depreciation!$A$14:$L$18,11,FALSE)/2,IF($H111&lt;M$2,VLOOKUP($G111,Depreciation!$A$14:$L$18,11,FALSE),0))</f>
        <v>3.343407856743718E-2</v>
      </c>
      <c r="N111" s="306">
        <f>+IF($H111=N$2,VLOOKUP($G111,Depreciation!$A$14:$L$18,12,FALSE)/2,IF($H111&lt;N$2,VLOOKUP($G111,Depreciation!$A$14:$L$18,12,FALSE),0))</f>
        <v>3.343407856743718E-2</v>
      </c>
      <c r="O111" s="307">
        <f t="shared" si="10"/>
        <v>0</v>
      </c>
      <c r="P111" s="732">
        <v>0</v>
      </c>
      <c r="Q111" s="733">
        <v>0</v>
      </c>
      <c r="R111" s="734">
        <f t="shared" si="11"/>
        <v>1</v>
      </c>
      <c r="S111" s="735">
        <f t="shared" si="12"/>
        <v>0</v>
      </c>
      <c r="T111" s="735">
        <f t="shared" si="13"/>
        <v>0</v>
      </c>
      <c r="U111" s="735">
        <f t="shared" si="14"/>
        <v>0</v>
      </c>
      <c r="V111" s="736">
        <f t="shared" si="15"/>
        <v>0</v>
      </c>
      <c r="W111" s="735">
        <f t="shared" si="16"/>
        <v>0</v>
      </c>
      <c r="X111" s="737">
        <f t="shared" si="17"/>
        <v>0</v>
      </c>
      <c r="Y111" s="738">
        <f t="shared" si="18"/>
        <v>0</v>
      </c>
      <c r="Z111" s="627"/>
    </row>
    <row r="112" spans="1:26">
      <c r="A112" s="331" t="s">
        <v>1300</v>
      </c>
      <c r="B112" s="332">
        <v>813</v>
      </c>
      <c r="C112" s="332">
        <v>138</v>
      </c>
      <c r="D112" s="332">
        <v>25</v>
      </c>
      <c r="E112" s="331" t="s">
        <v>1543</v>
      </c>
      <c r="F112" s="333">
        <v>140996.12247626696</v>
      </c>
      <c r="G112" s="332" t="s">
        <v>4</v>
      </c>
      <c r="H112" s="332">
        <v>2017</v>
      </c>
      <c r="I112" s="306">
        <f>+IF($H112=I$2,VLOOKUP($G112,Depreciation!$A$14:$L$18,7,FALSE)/2,IF($H112&lt;I$2,VLOOKUP($G112,Depreciation!$A$14:$L$18,7,FALSE),0))</f>
        <v>0</v>
      </c>
      <c r="J112" s="306">
        <f>+IF($H112=J$2,VLOOKUP($G112,Depreciation!$A$14:$L$18,8,FALSE)/2,IF($H112&lt;J$2,VLOOKUP($G112,Depreciation!$A$14:$L$18,8,FALSE),0))</f>
        <v>0</v>
      </c>
      <c r="K112" s="306">
        <f>+IF($H112=K$2,VLOOKUP($G112,Depreciation!$A$14:$L$18,9,FALSE)/2,IF($H112&lt;K$2,VLOOKUP($G112,Depreciation!$A$14:$L$18,9,FALSE),0))</f>
        <v>1.671703928371859E-2</v>
      </c>
      <c r="L112" s="306">
        <f>+IF($H112=L$2,VLOOKUP($G112,Depreciation!$A$14:$L$18,10,FALSE)/2,IF($H112&lt;L$2,VLOOKUP($G112,Depreciation!$A$14:$L$18,10,FALSE),0))</f>
        <v>3.343407856743718E-2</v>
      </c>
      <c r="M112" s="306">
        <f>+IF($H112=M$2,VLOOKUP($G112,Depreciation!$A$14:$L$18,11,FALSE)/2,IF($H112&lt;M$2,VLOOKUP($G112,Depreciation!$A$14:$L$18,11,FALSE),0))</f>
        <v>3.343407856743718E-2</v>
      </c>
      <c r="N112" s="306">
        <f>+IF($H112=N$2,VLOOKUP($G112,Depreciation!$A$14:$L$18,12,FALSE)/2,IF($H112&lt;N$2,VLOOKUP($G112,Depreciation!$A$14:$L$18,12,FALSE),0))</f>
        <v>3.343407856743718E-2</v>
      </c>
      <c r="O112" s="307">
        <f t="shared" si="10"/>
        <v>0</v>
      </c>
      <c r="P112" s="732">
        <v>0.54510993176648981</v>
      </c>
      <c r="Q112" s="733">
        <v>0.45489006823351025</v>
      </c>
      <c r="R112" s="734">
        <f t="shared" si="11"/>
        <v>0</v>
      </c>
      <c r="S112" s="735">
        <f t="shared" si="12"/>
        <v>0</v>
      </c>
      <c r="T112" s="735">
        <f t="shared" si="13"/>
        <v>0</v>
      </c>
      <c r="U112" s="735">
        <f t="shared" si="14"/>
        <v>0</v>
      </c>
      <c r="V112" s="736">
        <f t="shared" si="15"/>
        <v>0</v>
      </c>
      <c r="W112" s="735">
        <f t="shared" si="16"/>
        <v>0</v>
      </c>
      <c r="X112" s="737">
        <f t="shared" si="17"/>
        <v>0</v>
      </c>
      <c r="Y112" s="738">
        <f t="shared" si="18"/>
        <v>0</v>
      </c>
      <c r="Z112" s="627"/>
    </row>
    <row r="113" spans="1:26">
      <c r="A113" s="331" t="s">
        <v>1886</v>
      </c>
      <c r="B113" s="332">
        <v>813</v>
      </c>
      <c r="C113" s="332">
        <v>138</v>
      </c>
      <c r="D113" s="332">
        <v>25</v>
      </c>
      <c r="E113" s="331" t="s">
        <v>1608</v>
      </c>
      <c r="F113" s="333">
        <v>2898997.8882702999</v>
      </c>
      <c r="G113" s="332" t="s">
        <v>4</v>
      </c>
      <c r="H113" s="332">
        <v>2017</v>
      </c>
      <c r="I113" s="306">
        <f>+IF($H113=I$2,VLOOKUP($G113,Depreciation!$A$14:$L$18,7,FALSE)/2,IF($H113&lt;I$2,VLOOKUP($G113,Depreciation!$A$14:$L$18,7,FALSE),0))</f>
        <v>0</v>
      </c>
      <c r="J113" s="306">
        <f>+IF($H113=J$2,VLOOKUP($G113,Depreciation!$A$14:$L$18,8,FALSE)/2,IF($H113&lt;J$2,VLOOKUP($G113,Depreciation!$A$14:$L$18,8,FALSE),0))</f>
        <v>0</v>
      </c>
      <c r="K113" s="306">
        <f>+IF($H113=K$2,VLOOKUP($G113,Depreciation!$A$14:$L$18,9,FALSE)/2,IF($H113&lt;K$2,VLOOKUP($G113,Depreciation!$A$14:$L$18,9,FALSE),0))</f>
        <v>1.671703928371859E-2</v>
      </c>
      <c r="L113" s="306">
        <f>+IF($H113=L$2,VLOOKUP($G113,Depreciation!$A$14:$L$18,10,FALSE)/2,IF($H113&lt;L$2,VLOOKUP($G113,Depreciation!$A$14:$L$18,10,FALSE),0))</f>
        <v>3.343407856743718E-2</v>
      </c>
      <c r="M113" s="306">
        <f>+IF($H113=M$2,VLOOKUP($G113,Depreciation!$A$14:$L$18,11,FALSE)/2,IF($H113&lt;M$2,VLOOKUP($G113,Depreciation!$A$14:$L$18,11,FALSE),0))</f>
        <v>3.343407856743718E-2</v>
      </c>
      <c r="N113" s="306">
        <f>+IF($H113=N$2,VLOOKUP($G113,Depreciation!$A$14:$L$18,12,FALSE)/2,IF($H113&lt;N$2,VLOOKUP($G113,Depreciation!$A$14:$L$18,12,FALSE),0))</f>
        <v>3.343407856743718E-2</v>
      </c>
      <c r="O113" s="307">
        <f t="shared" si="10"/>
        <v>0</v>
      </c>
      <c r="P113" s="732">
        <v>0</v>
      </c>
      <c r="Q113" s="733">
        <v>1</v>
      </c>
      <c r="R113" s="734">
        <f t="shared" si="11"/>
        <v>0</v>
      </c>
      <c r="S113" s="735">
        <f t="shared" si="12"/>
        <v>0</v>
      </c>
      <c r="T113" s="735">
        <f t="shared" si="13"/>
        <v>0</v>
      </c>
      <c r="U113" s="735">
        <f t="shared" si="14"/>
        <v>0</v>
      </c>
      <c r="V113" s="736">
        <f t="shared" si="15"/>
        <v>0</v>
      </c>
      <c r="W113" s="735">
        <f t="shared" si="16"/>
        <v>0</v>
      </c>
      <c r="X113" s="737">
        <f t="shared" si="17"/>
        <v>0</v>
      </c>
      <c r="Y113" s="738">
        <f t="shared" si="18"/>
        <v>0</v>
      </c>
      <c r="Z113" s="627"/>
    </row>
    <row r="114" spans="1:26">
      <c r="A114" s="331" t="s">
        <v>1887</v>
      </c>
      <c r="B114" s="332">
        <v>813</v>
      </c>
      <c r="C114" s="332">
        <v>138</v>
      </c>
      <c r="D114" s="332">
        <v>25</v>
      </c>
      <c r="E114" s="331" t="s">
        <v>1631</v>
      </c>
      <c r="F114" s="333">
        <v>759143.11811538937</v>
      </c>
      <c r="G114" s="332" t="s">
        <v>4</v>
      </c>
      <c r="H114" s="332">
        <v>2017</v>
      </c>
      <c r="I114" s="306">
        <f>+IF($H114=I$2,VLOOKUP($G114,Depreciation!$A$14:$L$18,7,FALSE)/2,IF($H114&lt;I$2,VLOOKUP($G114,Depreciation!$A$14:$L$18,7,FALSE),0))</f>
        <v>0</v>
      </c>
      <c r="J114" s="306">
        <f>+IF($H114=J$2,VLOOKUP($G114,Depreciation!$A$14:$L$18,8,FALSE)/2,IF($H114&lt;J$2,VLOOKUP($G114,Depreciation!$A$14:$L$18,8,FALSE),0))</f>
        <v>0</v>
      </c>
      <c r="K114" s="306">
        <f>+IF($H114=K$2,VLOOKUP($G114,Depreciation!$A$14:$L$18,9,FALSE)/2,IF($H114&lt;K$2,VLOOKUP($G114,Depreciation!$A$14:$L$18,9,FALSE),0))</f>
        <v>1.671703928371859E-2</v>
      </c>
      <c r="L114" s="306">
        <f>+IF($H114=L$2,VLOOKUP($G114,Depreciation!$A$14:$L$18,10,FALSE)/2,IF($H114&lt;L$2,VLOOKUP($G114,Depreciation!$A$14:$L$18,10,FALSE),0))</f>
        <v>3.343407856743718E-2</v>
      </c>
      <c r="M114" s="306">
        <f>+IF($H114=M$2,VLOOKUP($G114,Depreciation!$A$14:$L$18,11,FALSE)/2,IF($H114&lt;M$2,VLOOKUP($G114,Depreciation!$A$14:$L$18,11,FALSE),0))</f>
        <v>3.343407856743718E-2</v>
      </c>
      <c r="N114" s="306">
        <f>+IF($H114=N$2,VLOOKUP($G114,Depreciation!$A$14:$L$18,12,FALSE)/2,IF($H114&lt;N$2,VLOOKUP($G114,Depreciation!$A$14:$L$18,12,FALSE),0))</f>
        <v>3.343407856743718E-2</v>
      </c>
      <c r="O114" s="307">
        <f t="shared" si="10"/>
        <v>0</v>
      </c>
      <c r="P114" s="732">
        <v>0</v>
      </c>
      <c r="Q114" s="733">
        <v>1</v>
      </c>
      <c r="R114" s="734">
        <f t="shared" si="11"/>
        <v>0</v>
      </c>
      <c r="S114" s="735">
        <f t="shared" si="12"/>
        <v>0</v>
      </c>
      <c r="T114" s="735">
        <f t="shared" si="13"/>
        <v>0</v>
      </c>
      <c r="U114" s="735">
        <f t="shared" si="14"/>
        <v>0</v>
      </c>
      <c r="V114" s="736">
        <f t="shared" si="15"/>
        <v>0</v>
      </c>
      <c r="W114" s="735">
        <f t="shared" si="16"/>
        <v>0</v>
      </c>
      <c r="X114" s="737">
        <f t="shared" si="17"/>
        <v>0</v>
      </c>
      <c r="Y114" s="738">
        <f t="shared" si="18"/>
        <v>0</v>
      </c>
      <c r="Z114" s="627"/>
    </row>
    <row r="115" spans="1:26">
      <c r="A115" s="331" t="s">
        <v>1888</v>
      </c>
      <c r="B115" s="332">
        <v>813</v>
      </c>
      <c r="C115" s="332">
        <v>138</v>
      </c>
      <c r="D115" s="332">
        <v>25</v>
      </c>
      <c r="E115" s="331" t="s">
        <v>1631</v>
      </c>
      <c r="F115" s="333">
        <v>682001.5541498533</v>
      </c>
      <c r="G115" s="332" t="s">
        <v>4</v>
      </c>
      <c r="H115" s="332">
        <v>2017</v>
      </c>
      <c r="I115" s="306">
        <f>+IF($H115=I$2,VLOOKUP($G115,Depreciation!$A$14:$L$18,7,FALSE)/2,IF($H115&lt;I$2,VLOOKUP($G115,Depreciation!$A$14:$L$18,7,FALSE),0))</f>
        <v>0</v>
      </c>
      <c r="J115" s="306">
        <f>+IF($H115=J$2,VLOOKUP($G115,Depreciation!$A$14:$L$18,8,FALSE)/2,IF($H115&lt;J$2,VLOOKUP($G115,Depreciation!$A$14:$L$18,8,FALSE),0))</f>
        <v>0</v>
      </c>
      <c r="K115" s="306">
        <f>+IF($H115=K$2,VLOOKUP($G115,Depreciation!$A$14:$L$18,9,FALSE)/2,IF($H115&lt;K$2,VLOOKUP($G115,Depreciation!$A$14:$L$18,9,FALSE),0))</f>
        <v>1.671703928371859E-2</v>
      </c>
      <c r="L115" s="306">
        <f>+IF($H115=L$2,VLOOKUP($G115,Depreciation!$A$14:$L$18,10,FALSE)/2,IF($H115&lt;L$2,VLOOKUP($G115,Depreciation!$A$14:$L$18,10,FALSE),0))</f>
        <v>3.343407856743718E-2</v>
      </c>
      <c r="M115" s="306">
        <f>+IF($H115=M$2,VLOOKUP($G115,Depreciation!$A$14:$L$18,11,FALSE)/2,IF($H115&lt;M$2,VLOOKUP($G115,Depreciation!$A$14:$L$18,11,FALSE),0))</f>
        <v>3.343407856743718E-2</v>
      </c>
      <c r="N115" s="306">
        <f>+IF($H115=N$2,VLOOKUP($G115,Depreciation!$A$14:$L$18,12,FALSE)/2,IF($H115&lt;N$2,VLOOKUP($G115,Depreciation!$A$14:$L$18,12,FALSE),0))</f>
        <v>3.343407856743718E-2</v>
      </c>
      <c r="O115" s="307">
        <f t="shared" si="10"/>
        <v>0</v>
      </c>
      <c r="P115" s="732">
        <v>0</v>
      </c>
      <c r="Q115" s="733">
        <v>1</v>
      </c>
      <c r="R115" s="734">
        <f t="shared" si="11"/>
        <v>0</v>
      </c>
      <c r="S115" s="735">
        <f t="shared" si="12"/>
        <v>0</v>
      </c>
      <c r="T115" s="735">
        <f t="shared" si="13"/>
        <v>0</v>
      </c>
      <c r="U115" s="735">
        <f t="shared" si="14"/>
        <v>0</v>
      </c>
      <c r="V115" s="736">
        <f t="shared" si="15"/>
        <v>0</v>
      </c>
      <c r="W115" s="735">
        <f t="shared" si="16"/>
        <v>0</v>
      </c>
      <c r="X115" s="737">
        <f t="shared" si="17"/>
        <v>0</v>
      </c>
      <c r="Y115" s="738">
        <f t="shared" si="18"/>
        <v>0</v>
      </c>
      <c r="Z115" s="627"/>
    </row>
    <row r="116" spans="1:26">
      <c r="A116" s="331" t="s">
        <v>1889</v>
      </c>
      <c r="B116" s="332">
        <v>813</v>
      </c>
      <c r="C116" s="332">
        <v>138</v>
      </c>
      <c r="D116" s="332">
        <v>25</v>
      </c>
      <c r="E116" s="331" t="s">
        <v>1631</v>
      </c>
      <c r="F116" s="333">
        <v>1044917.5482604436</v>
      </c>
      <c r="G116" s="332" t="s">
        <v>4</v>
      </c>
      <c r="H116" s="332">
        <v>2017</v>
      </c>
      <c r="I116" s="306">
        <f>+IF($H116=I$2,VLOOKUP($G116,Depreciation!$A$14:$L$18,7,FALSE)/2,IF($H116&lt;I$2,VLOOKUP($G116,Depreciation!$A$14:$L$18,7,FALSE),0))</f>
        <v>0</v>
      </c>
      <c r="J116" s="306">
        <f>+IF($H116=J$2,VLOOKUP($G116,Depreciation!$A$14:$L$18,8,FALSE)/2,IF($H116&lt;J$2,VLOOKUP($G116,Depreciation!$A$14:$L$18,8,FALSE),0))</f>
        <v>0</v>
      </c>
      <c r="K116" s="306">
        <f>+IF($H116=K$2,VLOOKUP($G116,Depreciation!$A$14:$L$18,9,FALSE)/2,IF($H116&lt;K$2,VLOOKUP($G116,Depreciation!$A$14:$L$18,9,FALSE),0))</f>
        <v>1.671703928371859E-2</v>
      </c>
      <c r="L116" s="306">
        <f>+IF($H116=L$2,VLOOKUP($G116,Depreciation!$A$14:$L$18,10,FALSE)/2,IF($H116&lt;L$2,VLOOKUP($G116,Depreciation!$A$14:$L$18,10,FALSE),0))</f>
        <v>3.343407856743718E-2</v>
      </c>
      <c r="M116" s="306">
        <f>+IF($H116=M$2,VLOOKUP($G116,Depreciation!$A$14:$L$18,11,FALSE)/2,IF($H116&lt;M$2,VLOOKUP($G116,Depreciation!$A$14:$L$18,11,FALSE),0))</f>
        <v>3.343407856743718E-2</v>
      </c>
      <c r="N116" s="306">
        <f>+IF($H116=N$2,VLOOKUP($G116,Depreciation!$A$14:$L$18,12,FALSE)/2,IF($H116&lt;N$2,VLOOKUP($G116,Depreciation!$A$14:$L$18,12,FALSE),0))</f>
        <v>3.343407856743718E-2</v>
      </c>
      <c r="O116" s="307">
        <f t="shared" si="10"/>
        <v>0</v>
      </c>
      <c r="P116" s="732">
        <v>0</v>
      </c>
      <c r="Q116" s="733">
        <v>1</v>
      </c>
      <c r="R116" s="734">
        <f t="shared" si="11"/>
        <v>0</v>
      </c>
      <c r="S116" s="735">
        <f t="shared" si="12"/>
        <v>0</v>
      </c>
      <c r="T116" s="735">
        <f t="shared" si="13"/>
        <v>0</v>
      </c>
      <c r="U116" s="735">
        <f t="shared" si="14"/>
        <v>0</v>
      </c>
      <c r="V116" s="736">
        <f t="shared" si="15"/>
        <v>0</v>
      </c>
      <c r="W116" s="735">
        <f t="shared" si="16"/>
        <v>0</v>
      </c>
      <c r="X116" s="737">
        <f t="shared" si="17"/>
        <v>0</v>
      </c>
      <c r="Y116" s="738">
        <f t="shared" si="18"/>
        <v>0</v>
      </c>
      <c r="Z116" s="627"/>
    </row>
    <row r="117" spans="1:26">
      <c r="A117" s="331" t="s">
        <v>1890</v>
      </c>
      <c r="B117" s="332">
        <v>813</v>
      </c>
      <c r="C117" s="332">
        <v>240</v>
      </c>
      <c r="D117" s="332">
        <v>25</v>
      </c>
      <c r="E117" s="331" t="s">
        <v>1631</v>
      </c>
      <c r="F117" s="333">
        <v>406209.69551666273</v>
      </c>
      <c r="G117" s="332" t="s">
        <v>4</v>
      </c>
      <c r="H117" s="332">
        <v>2017</v>
      </c>
      <c r="I117" s="306">
        <f>+IF($H117=I$2,VLOOKUP($G117,Depreciation!$A$14:$L$18,7,FALSE)/2,IF($H117&lt;I$2,VLOOKUP($G117,Depreciation!$A$14:$L$18,7,FALSE),0))</f>
        <v>0</v>
      </c>
      <c r="J117" s="306">
        <f>+IF($H117=J$2,VLOOKUP($G117,Depreciation!$A$14:$L$18,8,FALSE)/2,IF($H117&lt;J$2,VLOOKUP($G117,Depreciation!$A$14:$L$18,8,FALSE),0))</f>
        <v>0</v>
      </c>
      <c r="K117" s="306">
        <f>+IF($H117=K$2,VLOOKUP($G117,Depreciation!$A$14:$L$18,9,FALSE)/2,IF($H117&lt;K$2,VLOOKUP($G117,Depreciation!$A$14:$L$18,9,FALSE),0))</f>
        <v>1.671703928371859E-2</v>
      </c>
      <c r="L117" s="306">
        <f>+IF($H117=L$2,VLOOKUP($G117,Depreciation!$A$14:$L$18,10,FALSE)/2,IF($H117&lt;L$2,VLOOKUP($G117,Depreciation!$A$14:$L$18,10,FALSE),0))</f>
        <v>3.343407856743718E-2</v>
      </c>
      <c r="M117" s="306">
        <f>+IF($H117=M$2,VLOOKUP($G117,Depreciation!$A$14:$L$18,11,FALSE)/2,IF($H117&lt;M$2,VLOOKUP($G117,Depreciation!$A$14:$L$18,11,FALSE),0))</f>
        <v>3.343407856743718E-2</v>
      </c>
      <c r="N117" s="306">
        <f>+IF($H117=N$2,VLOOKUP($G117,Depreciation!$A$14:$L$18,12,FALSE)/2,IF($H117&lt;N$2,VLOOKUP($G117,Depreciation!$A$14:$L$18,12,FALSE),0))</f>
        <v>3.343407856743718E-2</v>
      </c>
      <c r="O117" s="307">
        <f t="shared" si="10"/>
        <v>0</v>
      </c>
      <c r="P117" s="732">
        <v>0</v>
      </c>
      <c r="Q117" s="733">
        <v>1</v>
      </c>
      <c r="R117" s="734">
        <f t="shared" si="11"/>
        <v>0</v>
      </c>
      <c r="S117" s="735">
        <f t="shared" si="12"/>
        <v>0</v>
      </c>
      <c r="T117" s="735">
        <f t="shared" si="13"/>
        <v>0</v>
      </c>
      <c r="U117" s="735">
        <f t="shared" si="14"/>
        <v>0</v>
      </c>
      <c r="V117" s="736">
        <f t="shared" si="15"/>
        <v>0</v>
      </c>
      <c r="W117" s="735">
        <f t="shared" si="16"/>
        <v>0</v>
      </c>
      <c r="X117" s="737">
        <f t="shared" si="17"/>
        <v>0</v>
      </c>
      <c r="Y117" s="738">
        <f t="shared" si="18"/>
        <v>0</v>
      </c>
      <c r="Z117" s="627"/>
    </row>
    <row r="118" spans="1:26">
      <c r="A118" s="331" t="s">
        <v>1891</v>
      </c>
      <c r="B118" s="332">
        <v>813</v>
      </c>
      <c r="C118" s="332">
        <v>240</v>
      </c>
      <c r="D118" s="332">
        <v>25</v>
      </c>
      <c r="E118" s="331" t="s">
        <v>1631</v>
      </c>
      <c r="F118" s="333">
        <v>89503.831215535858</v>
      </c>
      <c r="G118" s="332" t="s">
        <v>4</v>
      </c>
      <c r="H118" s="332">
        <v>2017</v>
      </c>
      <c r="I118" s="306">
        <f>+IF($H118=I$2,VLOOKUP($G118,Depreciation!$A$14:$L$18,7,FALSE)/2,IF($H118&lt;I$2,VLOOKUP($G118,Depreciation!$A$14:$L$18,7,FALSE),0))</f>
        <v>0</v>
      </c>
      <c r="J118" s="306">
        <f>+IF($H118=J$2,VLOOKUP($G118,Depreciation!$A$14:$L$18,8,FALSE)/2,IF($H118&lt;J$2,VLOOKUP($G118,Depreciation!$A$14:$L$18,8,FALSE),0))</f>
        <v>0</v>
      </c>
      <c r="K118" s="306">
        <f>+IF($H118=K$2,VLOOKUP($G118,Depreciation!$A$14:$L$18,9,FALSE)/2,IF($H118&lt;K$2,VLOOKUP($G118,Depreciation!$A$14:$L$18,9,FALSE),0))</f>
        <v>1.671703928371859E-2</v>
      </c>
      <c r="L118" s="306">
        <f>+IF($H118=L$2,VLOOKUP($G118,Depreciation!$A$14:$L$18,10,FALSE)/2,IF($H118&lt;L$2,VLOOKUP($G118,Depreciation!$A$14:$L$18,10,FALSE),0))</f>
        <v>3.343407856743718E-2</v>
      </c>
      <c r="M118" s="306">
        <f>+IF($H118=M$2,VLOOKUP($G118,Depreciation!$A$14:$L$18,11,FALSE)/2,IF($H118&lt;M$2,VLOOKUP($G118,Depreciation!$A$14:$L$18,11,FALSE),0))</f>
        <v>3.343407856743718E-2</v>
      </c>
      <c r="N118" s="306">
        <f>+IF($H118=N$2,VLOOKUP($G118,Depreciation!$A$14:$L$18,12,FALSE)/2,IF($H118&lt;N$2,VLOOKUP($G118,Depreciation!$A$14:$L$18,12,FALSE),0))</f>
        <v>3.343407856743718E-2</v>
      </c>
      <c r="O118" s="307">
        <f t="shared" si="10"/>
        <v>0</v>
      </c>
      <c r="P118" s="732">
        <v>0</v>
      </c>
      <c r="Q118" s="733">
        <v>1</v>
      </c>
      <c r="R118" s="734">
        <f t="shared" si="11"/>
        <v>0</v>
      </c>
      <c r="S118" s="735">
        <f t="shared" si="12"/>
        <v>0</v>
      </c>
      <c r="T118" s="735">
        <f t="shared" si="13"/>
        <v>0</v>
      </c>
      <c r="U118" s="735">
        <f t="shared" si="14"/>
        <v>0</v>
      </c>
      <c r="V118" s="736">
        <f t="shared" si="15"/>
        <v>0</v>
      </c>
      <c r="W118" s="735">
        <f t="shared" si="16"/>
        <v>0</v>
      </c>
      <c r="X118" s="737">
        <f t="shared" si="17"/>
        <v>0</v>
      </c>
      <c r="Y118" s="738">
        <f t="shared" si="18"/>
        <v>0</v>
      </c>
      <c r="Z118" s="627"/>
    </row>
    <row r="119" spans="1:26">
      <c r="A119" s="331" t="s">
        <v>1301</v>
      </c>
      <c r="B119" s="332">
        <v>813</v>
      </c>
      <c r="C119" s="332">
        <v>138</v>
      </c>
      <c r="D119" s="332">
        <v>25</v>
      </c>
      <c r="E119" s="331" t="s">
        <v>1544</v>
      </c>
      <c r="F119" s="333">
        <v>107820.56424655707</v>
      </c>
      <c r="G119" s="332" t="s">
        <v>4</v>
      </c>
      <c r="H119" s="332">
        <v>2017</v>
      </c>
      <c r="I119" s="306">
        <f>+IF($H119=I$2,VLOOKUP($G119,Depreciation!$A$14:$L$18,7,FALSE)/2,IF($H119&lt;I$2,VLOOKUP($G119,Depreciation!$A$14:$L$18,7,FALSE),0))</f>
        <v>0</v>
      </c>
      <c r="J119" s="306">
        <f>+IF($H119=J$2,VLOOKUP($G119,Depreciation!$A$14:$L$18,8,FALSE)/2,IF($H119&lt;J$2,VLOOKUP($G119,Depreciation!$A$14:$L$18,8,FALSE),0))</f>
        <v>0</v>
      </c>
      <c r="K119" s="306">
        <f>+IF($H119=K$2,VLOOKUP($G119,Depreciation!$A$14:$L$18,9,FALSE)/2,IF($H119&lt;K$2,VLOOKUP($G119,Depreciation!$A$14:$L$18,9,FALSE),0))</f>
        <v>1.671703928371859E-2</v>
      </c>
      <c r="L119" s="306">
        <f>+IF($H119=L$2,VLOOKUP($G119,Depreciation!$A$14:$L$18,10,FALSE)/2,IF($H119&lt;L$2,VLOOKUP($G119,Depreciation!$A$14:$L$18,10,FALSE),0))</f>
        <v>3.343407856743718E-2</v>
      </c>
      <c r="M119" s="306">
        <f>+IF($H119=M$2,VLOOKUP($G119,Depreciation!$A$14:$L$18,11,FALSE)/2,IF($H119&lt;M$2,VLOOKUP($G119,Depreciation!$A$14:$L$18,11,FALSE),0))</f>
        <v>3.343407856743718E-2</v>
      </c>
      <c r="N119" s="306">
        <f>+IF($H119=N$2,VLOOKUP($G119,Depreciation!$A$14:$L$18,12,FALSE)/2,IF($H119&lt;N$2,VLOOKUP($G119,Depreciation!$A$14:$L$18,12,FALSE),0))</f>
        <v>3.343407856743718E-2</v>
      </c>
      <c r="O119" s="307">
        <f t="shared" si="10"/>
        <v>0</v>
      </c>
      <c r="P119" s="732">
        <v>0.31207004377736086</v>
      </c>
      <c r="Q119" s="733">
        <v>0.68792995622263919</v>
      </c>
      <c r="R119" s="734">
        <f t="shared" si="11"/>
        <v>0</v>
      </c>
      <c r="S119" s="735">
        <f t="shared" si="12"/>
        <v>0</v>
      </c>
      <c r="T119" s="735">
        <f t="shared" si="13"/>
        <v>0</v>
      </c>
      <c r="U119" s="735">
        <f t="shared" si="14"/>
        <v>0</v>
      </c>
      <c r="V119" s="736">
        <f t="shared" si="15"/>
        <v>0</v>
      </c>
      <c r="W119" s="735">
        <f t="shared" si="16"/>
        <v>0</v>
      </c>
      <c r="X119" s="737">
        <f t="shared" si="17"/>
        <v>0</v>
      </c>
      <c r="Y119" s="738">
        <f t="shared" si="18"/>
        <v>0</v>
      </c>
      <c r="Z119" s="627"/>
    </row>
    <row r="120" spans="1:26">
      <c r="A120" s="331" t="s">
        <v>1892</v>
      </c>
      <c r="B120" s="332">
        <v>813</v>
      </c>
      <c r="C120" s="332">
        <v>138</v>
      </c>
      <c r="D120" s="332">
        <v>138</v>
      </c>
      <c r="E120" s="331" t="s">
        <v>1973</v>
      </c>
      <c r="F120" s="333">
        <v>1236018.2408114308</v>
      </c>
      <c r="G120" s="332" t="s">
        <v>4</v>
      </c>
      <c r="H120" s="332">
        <v>2017</v>
      </c>
      <c r="I120" s="306">
        <f>+IF($H120=I$2,VLOOKUP($G120,Depreciation!$A$14:$L$18,7,FALSE)/2,IF($H120&lt;I$2,VLOOKUP($G120,Depreciation!$A$14:$L$18,7,FALSE),0))</f>
        <v>0</v>
      </c>
      <c r="J120" s="306">
        <f>+IF($H120=J$2,VLOOKUP($G120,Depreciation!$A$14:$L$18,8,FALSE)/2,IF($H120&lt;J$2,VLOOKUP($G120,Depreciation!$A$14:$L$18,8,FALSE),0))</f>
        <v>0</v>
      </c>
      <c r="K120" s="306">
        <f>+IF($H120=K$2,VLOOKUP($G120,Depreciation!$A$14:$L$18,9,FALSE)/2,IF($H120&lt;K$2,VLOOKUP($G120,Depreciation!$A$14:$L$18,9,FALSE),0))</f>
        <v>1.671703928371859E-2</v>
      </c>
      <c r="L120" s="306">
        <f>+IF($H120=L$2,VLOOKUP($G120,Depreciation!$A$14:$L$18,10,FALSE)/2,IF($H120&lt;L$2,VLOOKUP($G120,Depreciation!$A$14:$L$18,10,FALSE),0))</f>
        <v>3.343407856743718E-2</v>
      </c>
      <c r="M120" s="306">
        <f>+IF($H120=M$2,VLOOKUP($G120,Depreciation!$A$14:$L$18,11,FALSE)/2,IF($H120&lt;M$2,VLOOKUP($G120,Depreciation!$A$14:$L$18,11,FALSE),0))</f>
        <v>3.343407856743718E-2</v>
      </c>
      <c r="N120" s="306">
        <f>+IF($H120=N$2,VLOOKUP($G120,Depreciation!$A$14:$L$18,12,FALSE)/2,IF($H120&lt;N$2,VLOOKUP($G120,Depreciation!$A$14:$L$18,12,FALSE),0))</f>
        <v>3.343407856743718E-2</v>
      </c>
      <c r="O120" s="307">
        <f t="shared" si="10"/>
        <v>0</v>
      </c>
      <c r="P120" s="732">
        <v>0</v>
      </c>
      <c r="Q120" s="733">
        <v>0</v>
      </c>
      <c r="R120" s="734">
        <f t="shared" si="11"/>
        <v>1</v>
      </c>
      <c r="S120" s="735">
        <f t="shared" si="12"/>
        <v>0</v>
      </c>
      <c r="T120" s="735">
        <f t="shared" si="13"/>
        <v>0</v>
      </c>
      <c r="U120" s="735">
        <f t="shared" si="14"/>
        <v>0</v>
      </c>
      <c r="V120" s="736">
        <f t="shared" si="15"/>
        <v>0</v>
      </c>
      <c r="W120" s="735">
        <f t="shared" si="16"/>
        <v>0</v>
      </c>
      <c r="X120" s="737">
        <f t="shared" si="17"/>
        <v>0</v>
      </c>
      <c r="Y120" s="738">
        <f t="shared" si="18"/>
        <v>0</v>
      </c>
      <c r="Z120" s="627"/>
    </row>
    <row r="121" spans="1:26">
      <c r="A121" s="331" t="s">
        <v>1893</v>
      </c>
      <c r="B121" s="332">
        <v>813</v>
      </c>
      <c r="C121" s="332">
        <v>138</v>
      </c>
      <c r="D121" s="332">
        <v>138</v>
      </c>
      <c r="E121" s="331" t="s">
        <v>1973</v>
      </c>
      <c r="F121" s="333">
        <v>1628738.9300905238</v>
      </c>
      <c r="G121" s="332" t="s">
        <v>4</v>
      </c>
      <c r="H121" s="335">
        <v>2017</v>
      </c>
      <c r="I121" s="306">
        <f>+IF($H121=I$2,VLOOKUP($G121,Depreciation!$A$14:$L$18,7,FALSE)/2,IF($H121&lt;I$2,VLOOKUP($G121,Depreciation!$A$14:$L$18,7,FALSE),0))</f>
        <v>0</v>
      </c>
      <c r="J121" s="306">
        <f>+IF($H121=J$2,VLOOKUP($G121,Depreciation!$A$14:$L$18,8,FALSE)/2,IF($H121&lt;J$2,VLOOKUP($G121,Depreciation!$A$14:$L$18,8,FALSE),0))</f>
        <v>0</v>
      </c>
      <c r="K121" s="306">
        <f>+IF($H121=K$2,VLOOKUP($G121,Depreciation!$A$14:$L$18,9,FALSE)/2,IF($H121&lt;K$2,VLOOKUP($G121,Depreciation!$A$14:$L$18,9,FALSE),0))</f>
        <v>1.671703928371859E-2</v>
      </c>
      <c r="L121" s="306">
        <f>+IF($H121=L$2,VLOOKUP($G121,Depreciation!$A$14:$L$18,10,FALSE)/2,IF($H121&lt;L$2,VLOOKUP($G121,Depreciation!$A$14:$L$18,10,FALSE),0))</f>
        <v>3.343407856743718E-2</v>
      </c>
      <c r="M121" s="306">
        <f>+IF($H121=M$2,VLOOKUP($G121,Depreciation!$A$14:$L$18,11,FALSE)/2,IF($H121&lt;M$2,VLOOKUP($G121,Depreciation!$A$14:$L$18,11,FALSE),0))</f>
        <v>3.343407856743718E-2</v>
      </c>
      <c r="N121" s="306">
        <f>+IF($H121=N$2,VLOOKUP($G121,Depreciation!$A$14:$L$18,12,FALSE)/2,IF($H121&lt;N$2,VLOOKUP($G121,Depreciation!$A$14:$L$18,12,FALSE),0))</f>
        <v>3.343407856743718E-2</v>
      </c>
      <c r="O121" s="307">
        <f t="shared" si="10"/>
        <v>0</v>
      </c>
      <c r="P121" s="732">
        <v>0</v>
      </c>
      <c r="Q121" s="733">
        <v>0</v>
      </c>
      <c r="R121" s="734">
        <f t="shared" si="11"/>
        <v>1</v>
      </c>
      <c r="S121" s="735">
        <f t="shared" si="12"/>
        <v>0</v>
      </c>
      <c r="T121" s="735">
        <f t="shared" si="13"/>
        <v>0</v>
      </c>
      <c r="U121" s="735">
        <f t="shared" si="14"/>
        <v>0</v>
      </c>
      <c r="V121" s="736">
        <f t="shared" si="15"/>
        <v>0</v>
      </c>
      <c r="W121" s="735">
        <f t="shared" si="16"/>
        <v>0</v>
      </c>
      <c r="X121" s="737">
        <f t="shared" si="17"/>
        <v>0</v>
      </c>
      <c r="Y121" s="738">
        <f t="shared" si="18"/>
        <v>0</v>
      </c>
      <c r="Z121" s="627"/>
    </row>
    <row r="122" spans="1:26">
      <c r="A122" s="331" t="s">
        <v>1304</v>
      </c>
      <c r="B122" s="332">
        <v>813</v>
      </c>
      <c r="C122" s="332">
        <v>138</v>
      </c>
      <c r="D122" s="332">
        <v>25</v>
      </c>
      <c r="E122" s="331" t="s">
        <v>1543</v>
      </c>
      <c r="F122" s="333">
        <v>5094521.6606498221</v>
      </c>
      <c r="G122" s="332" t="s">
        <v>4</v>
      </c>
      <c r="H122" s="332">
        <v>2017</v>
      </c>
      <c r="I122" s="306">
        <f>+IF($H122=I$2,VLOOKUP($G122,Depreciation!$A$14:$L$18,7,FALSE)/2,IF($H122&lt;I$2,VLOOKUP($G122,Depreciation!$A$14:$L$18,7,FALSE),0))</f>
        <v>0</v>
      </c>
      <c r="J122" s="306">
        <f>+IF($H122=J$2,VLOOKUP($G122,Depreciation!$A$14:$L$18,8,FALSE)/2,IF($H122&lt;J$2,VLOOKUP($G122,Depreciation!$A$14:$L$18,8,FALSE),0))</f>
        <v>0</v>
      </c>
      <c r="K122" s="306">
        <f>+IF($H122=K$2,VLOOKUP($G122,Depreciation!$A$14:$L$18,9,FALSE)/2,IF($H122&lt;K$2,VLOOKUP($G122,Depreciation!$A$14:$L$18,9,FALSE),0))</f>
        <v>1.671703928371859E-2</v>
      </c>
      <c r="L122" s="306">
        <f>+IF($H122=L$2,VLOOKUP($G122,Depreciation!$A$14:$L$18,10,FALSE)/2,IF($H122&lt;L$2,VLOOKUP($G122,Depreciation!$A$14:$L$18,10,FALSE),0))</f>
        <v>3.343407856743718E-2</v>
      </c>
      <c r="M122" s="306">
        <f>+IF($H122=M$2,VLOOKUP($G122,Depreciation!$A$14:$L$18,11,FALSE)/2,IF($H122&lt;M$2,VLOOKUP($G122,Depreciation!$A$14:$L$18,11,FALSE),0))</f>
        <v>3.343407856743718E-2</v>
      </c>
      <c r="N122" s="306">
        <f>+IF($H122=N$2,VLOOKUP($G122,Depreciation!$A$14:$L$18,12,FALSE)/2,IF($H122&lt;N$2,VLOOKUP($G122,Depreciation!$A$14:$L$18,12,FALSE),0))</f>
        <v>3.343407856743718E-2</v>
      </c>
      <c r="O122" s="307">
        <f t="shared" si="10"/>
        <v>0</v>
      </c>
      <c r="P122" s="732">
        <v>0.54510993176648981</v>
      </c>
      <c r="Q122" s="733">
        <v>0.45489006823351025</v>
      </c>
      <c r="R122" s="734">
        <f t="shared" si="11"/>
        <v>0</v>
      </c>
      <c r="S122" s="735">
        <f t="shared" si="12"/>
        <v>0</v>
      </c>
      <c r="T122" s="735">
        <f t="shared" si="13"/>
        <v>0</v>
      </c>
      <c r="U122" s="735">
        <f t="shared" si="14"/>
        <v>0</v>
      </c>
      <c r="V122" s="736">
        <f t="shared" si="15"/>
        <v>0</v>
      </c>
      <c r="W122" s="735">
        <f t="shared" si="16"/>
        <v>0</v>
      </c>
      <c r="X122" s="737">
        <f t="shared" si="17"/>
        <v>0</v>
      </c>
      <c r="Y122" s="738">
        <f t="shared" si="18"/>
        <v>0</v>
      </c>
      <c r="Z122" s="627"/>
    </row>
    <row r="123" spans="1:26">
      <c r="A123" s="331" t="s">
        <v>1303</v>
      </c>
      <c r="B123" s="332">
        <v>813</v>
      </c>
      <c r="C123" s="332">
        <v>240</v>
      </c>
      <c r="D123" s="332">
        <v>138</v>
      </c>
      <c r="E123" s="331" t="s">
        <v>1545</v>
      </c>
      <c r="F123" s="333">
        <v>841829.79007888795</v>
      </c>
      <c r="G123" s="332" t="s">
        <v>4</v>
      </c>
      <c r="H123" s="332">
        <v>2017</v>
      </c>
      <c r="I123" s="306">
        <f>+IF($H123=I$2,VLOOKUP($G123,Depreciation!$A$14:$L$18,7,FALSE)/2,IF($H123&lt;I$2,VLOOKUP($G123,Depreciation!$A$14:$L$18,7,FALSE),0))</f>
        <v>0</v>
      </c>
      <c r="J123" s="306">
        <f>+IF($H123=J$2,VLOOKUP($G123,Depreciation!$A$14:$L$18,8,FALSE)/2,IF($H123&lt;J$2,VLOOKUP($G123,Depreciation!$A$14:$L$18,8,FALSE),0))</f>
        <v>0</v>
      </c>
      <c r="K123" s="306">
        <f>+IF($H123=K$2,VLOOKUP($G123,Depreciation!$A$14:$L$18,9,FALSE)/2,IF($H123&lt;K$2,VLOOKUP($G123,Depreciation!$A$14:$L$18,9,FALSE),0))</f>
        <v>1.671703928371859E-2</v>
      </c>
      <c r="L123" s="306">
        <f>+IF($H123=L$2,VLOOKUP($G123,Depreciation!$A$14:$L$18,10,FALSE)/2,IF($H123&lt;L$2,VLOOKUP($G123,Depreciation!$A$14:$L$18,10,FALSE),0))</f>
        <v>3.343407856743718E-2</v>
      </c>
      <c r="M123" s="306">
        <f>+IF($H123=M$2,VLOOKUP($G123,Depreciation!$A$14:$L$18,11,FALSE)/2,IF($H123&lt;M$2,VLOOKUP($G123,Depreciation!$A$14:$L$18,11,FALSE),0))</f>
        <v>3.343407856743718E-2</v>
      </c>
      <c r="N123" s="306">
        <f>+IF($H123=N$2,VLOOKUP($G123,Depreciation!$A$14:$L$18,12,FALSE)/2,IF($H123&lt;N$2,VLOOKUP($G123,Depreciation!$A$14:$L$18,12,FALSE),0))</f>
        <v>3.343407856743718E-2</v>
      </c>
      <c r="O123" s="307">
        <f t="shared" si="10"/>
        <v>0</v>
      </c>
      <c r="P123" s="732">
        <v>0</v>
      </c>
      <c r="Q123" s="733">
        <v>0</v>
      </c>
      <c r="R123" s="734">
        <f t="shared" si="11"/>
        <v>1</v>
      </c>
      <c r="S123" s="735">
        <f t="shared" si="12"/>
        <v>0</v>
      </c>
      <c r="T123" s="735">
        <f t="shared" si="13"/>
        <v>0</v>
      </c>
      <c r="U123" s="735">
        <f t="shared" si="14"/>
        <v>0</v>
      </c>
      <c r="V123" s="736">
        <f t="shared" si="15"/>
        <v>0</v>
      </c>
      <c r="W123" s="735">
        <f t="shared" si="16"/>
        <v>0</v>
      </c>
      <c r="X123" s="737">
        <f t="shared" si="17"/>
        <v>0</v>
      </c>
      <c r="Y123" s="738">
        <f t="shared" si="18"/>
        <v>0</v>
      </c>
      <c r="Z123" s="627"/>
    </row>
    <row r="124" spans="1:26">
      <c r="A124" s="331" t="s">
        <v>1299</v>
      </c>
      <c r="B124" s="332">
        <v>813</v>
      </c>
      <c r="C124" s="332">
        <v>138</v>
      </c>
      <c r="D124" s="332">
        <v>25</v>
      </c>
      <c r="E124" s="331" t="s">
        <v>1546</v>
      </c>
      <c r="F124" s="333">
        <v>109894.03663591394</v>
      </c>
      <c r="G124" s="332" t="s">
        <v>4</v>
      </c>
      <c r="H124" s="332">
        <v>2017</v>
      </c>
      <c r="I124" s="306">
        <f>+IF($H124=I$2,VLOOKUP($G124,Depreciation!$A$14:$L$18,7,FALSE)/2,IF($H124&lt;I$2,VLOOKUP($G124,Depreciation!$A$14:$L$18,7,FALSE),0))</f>
        <v>0</v>
      </c>
      <c r="J124" s="306">
        <f>+IF($H124=J$2,VLOOKUP($G124,Depreciation!$A$14:$L$18,8,FALSE)/2,IF($H124&lt;J$2,VLOOKUP($G124,Depreciation!$A$14:$L$18,8,FALSE),0))</f>
        <v>0</v>
      </c>
      <c r="K124" s="306">
        <f>+IF($H124=K$2,VLOOKUP($G124,Depreciation!$A$14:$L$18,9,FALSE)/2,IF($H124&lt;K$2,VLOOKUP($G124,Depreciation!$A$14:$L$18,9,FALSE),0))</f>
        <v>1.671703928371859E-2</v>
      </c>
      <c r="L124" s="306">
        <f>+IF($H124=L$2,VLOOKUP($G124,Depreciation!$A$14:$L$18,10,FALSE)/2,IF($H124&lt;L$2,VLOOKUP($G124,Depreciation!$A$14:$L$18,10,FALSE),0))</f>
        <v>3.343407856743718E-2</v>
      </c>
      <c r="M124" s="306">
        <f>+IF($H124=M$2,VLOOKUP($G124,Depreciation!$A$14:$L$18,11,FALSE)/2,IF($H124&lt;M$2,VLOOKUP($G124,Depreciation!$A$14:$L$18,11,FALSE),0))</f>
        <v>3.343407856743718E-2</v>
      </c>
      <c r="N124" s="306">
        <f>+IF($H124=N$2,VLOOKUP($G124,Depreciation!$A$14:$L$18,12,FALSE)/2,IF($H124&lt;N$2,VLOOKUP($G124,Depreciation!$A$14:$L$18,12,FALSE),0))</f>
        <v>3.343407856743718E-2</v>
      </c>
      <c r="O124" s="307">
        <f t="shared" si="10"/>
        <v>0</v>
      </c>
      <c r="P124" s="732">
        <v>0</v>
      </c>
      <c r="Q124" s="733">
        <v>1</v>
      </c>
      <c r="R124" s="734">
        <f t="shared" si="11"/>
        <v>0</v>
      </c>
      <c r="S124" s="735">
        <f t="shared" si="12"/>
        <v>0</v>
      </c>
      <c r="T124" s="735">
        <f t="shared" si="13"/>
        <v>0</v>
      </c>
      <c r="U124" s="735">
        <f t="shared" si="14"/>
        <v>0</v>
      </c>
      <c r="V124" s="736">
        <f t="shared" si="15"/>
        <v>0</v>
      </c>
      <c r="W124" s="735">
        <f t="shared" si="16"/>
        <v>0</v>
      </c>
      <c r="X124" s="737">
        <f t="shared" si="17"/>
        <v>0</v>
      </c>
      <c r="Y124" s="738">
        <f t="shared" si="18"/>
        <v>0</v>
      </c>
      <c r="Z124" s="627"/>
    </row>
    <row r="125" spans="1:26">
      <c r="A125" s="331" t="s">
        <v>1894</v>
      </c>
      <c r="B125" s="332">
        <v>813</v>
      </c>
      <c r="C125" s="332">
        <v>138</v>
      </c>
      <c r="D125" s="332">
        <v>25</v>
      </c>
      <c r="E125" s="331" t="s">
        <v>1974</v>
      </c>
      <c r="F125" s="333">
        <v>932711.63703784568</v>
      </c>
      <c r="G125" s="332" t="s">
        <v>4</v>
      </c>
      <c r="H125" s="332">
        <v>2017</v>
      </c>
      <c r="I125" s="306">
        <f>+IF($H125=I$2,VLOOKUP($G125,Depreciation!$A$14:$L$18,7,FALSE)/2,IF($H125&lt;I$2,VLOOKUP($G125,Depreciation!$A$14:$L$18,7,FALSE),0))</f>
        <v>0</v>
      </c>
      <c r="J125" s="306">
        <f>+IF($H125=J$2,VLOOKUP($G125,Depreciation!$A$14:$L$18,8,FALSE)/2,IF($H125&lt;J$2,VLOOKUP($G125,Depreciation!$A$14:$L$18,8,FALSE),0))</f>
        <v>0</v>
      </c>
      <c r="K125" s="306">
        <f>+IF($H125=K$2,VLOOKUP($G125,Depreciation!$A$14:$L$18,9,FALSE)/2,IF($H125&lt;K$2,VLOOKUP($G125,Depreciation!$A$14:$L$18,9,FALSE),0))</f>
        <v>1.671703928371859E-2</v>
      </c>
      <c r="L125" s="306">
        <f>+IF($H125=L$2,VLOOKUP($G125,Depreciation!$A$14:$L$18,10,FALSE)/2,IF($H125&lt;L$2,VLOOKUP($G125,Depreciation!$A$14:$L$18,10,FALSE),0))</f>
        <v>3.343407856743718E-2</v>
      </c>
      <c r="M125" s="306">
        <f>+IF($H125=M$2,VLOOKUP($G125,Depreciation!$A$14:$L$18,11,FALSE)/2,IF($H125&lt;M$2,VLOOKUP($G125,Depreciation!$A$14:$L$18,11,FALSE),0))</f>
        <v>3.343407856743718E-2</v>
      </c>
      <c r="N125" s="306">
        <f>+IF($H125=N$2,VLOOKUP($G125,Depreciation!$A$14:$L$18,12,FALSE)/2,IF($H125&lt;N$2,VLOOKUP($G125,Depreciation!$A$14:$L$18,12,FALSE),0))</f>
        <v>3.343407856743718E-2</v>
      </c>
      <c r="O125" s="307">
        <f t="shared" si="10"/>
        <v>0</v>
      </c>
      <c r="P125" s="732">
        <v>0</v>
      </c>
      <c r="Q125" s="733">
        <v>1</v>
      </c>
      <c r="R125" s="734">
        <f t="shared" si="11"/>
        <v>0</v>
      </c>
      <c r="S125" s="735">
        <f t="shared" si="12"/>
        <v>0</v>
      </c>
      <c r="T125" s="735">
        <f t="shared" si="13"/>
        <v>0</v>
      </c>
      <c r="U125" s="735">
        <f t="shared" si="14"/>
        <v>0</v>
      </c>
      <c r="V125" s="736">
        <f t="shared" si="15"/>
        <v>0</v>
      </c>
      <c r="W125" s="735">
        <f t="shared" si="16"/>
        <v>0</v>
      </c>
      <c r="X125" s="737">
        <f t="shared" si="17"/>
        <v>0</v>
      </c>
      <c r="Y125" s="738">
        <f t="shared" si="18"/>
        <v>0</v>
      </c>
      <c r="Z125" s="627"/>
    </row>
    <row r="126" spans="1:26">
      <c r="A126" s="331" t="s">
        <v>1895</v>
      </c>
      <c r="B126" s="332">
        <v>813</v>
      </c>
      <c r="C126" s="332">
        <v>240</v>
      </c>
      <c r="D126" s="332">
        <v>0</v>
      </c>
      <c r="E126" s="331" t="s">
        <v>1978</v>
      </c>
      <c r="F126" s="333">
        <v>957002.50299688336</v>
      </c>
      <c r="G126" s="332" t="s">
        <v>4</v>
      </c>
      <c r="H126" s="332">
        <v>2017</v>
      </c>
      <c r="I126" s="306">
        <f>+IF($H126=I$2,VLOOKUP($G126,Depreciation!$A$14:$L$18,7,FALSE)/2,IF($H126&lt;I$2,VLOOKUP($G126,Depreciation!$A$14:$L$18,7,FALSE),0))</f>
        <v>0</v>
      </c>
      <c r="J126" s="306">
        <f>+IF($H126=J$2,VLOOKUP($G126,Depreciation!$A$14:$L$18,8,FALSE)/2,IF($H126&lt;J$2,VLOOKUP($G126,Depreciation!$A$14:$L$18,8,FALSE),0))</f>
        <v>0</v>
      </c>
      <c r="K126" s="306">
        <f>+IF($H126=K$2,VLOOKUP($G126,Depreciation!$A$14:$L$18,9,FALSE)/2,IF($H126&lt;K$2,VLOOKUP($G126,Depreciation!$A$14:$L$18,9,FALSE),0))</f>
        <v>1.671703928371859E-2</v>
      </c>
      <c r="L126" s="306">
        <f>+IF($H126=L$2,VLOOKUP($G126,Depreciation!$A$14:$L$18,10,FALSE)/2,IF($H126&lt;L$2,VLOOKUP($G126,Depreciation!$A$14:$L$18,10,FALSE),0))</f>
        <v>3.343407856743718E-2</v>
      </c>
      <c r="M126" s="306">
        <f>+IF($H126=M$2,VLOOKUP($G126,Depreciation!$A$14:$L$18,11,FALSE)/2,IF($H126&lt;M$2,VLOOKUP($G126,Depreciation!$A$14:$L$18,11,FALSE),0))</f>
        <v>3.343407856743718E-2</v>
      </c>
      <c r="N126" s="306">
        <f>+IF($H126=N$2,VLOOKUP($G126,Depreciation!$A$14:$L$18,12,FALSE)/2,IF($H126&lt;N$2,VLOOKUP($G126,Depreciation!$A$14:$L$18,12,FALSE),0))</f>
        <v>3.343407856743718E-2</v>
      </c>
      <c r="O126" s="307">
        <f t="shared" si="10"/>
        <v>0</v>
      </c>
      <c r="P126" s="732">
        <v>0</v>
      </c>
      <c r="Q126" s="733">
        <v>0</v>
      </c>
      <c r="R126" s="734">
        <f t="shared" si="11"/>
        <v>1</v>
      </c>
      <c r="S126" s="735">
        <f t="shared" si="12"/>
        <v>0</v>
      </c>
      <c r="T126" s="735">
        <f t="shared" si="13"/>
        <v>0</v>
      </c>
      <c r="U126" s="735">
        <f t="shared" si="14"/>
        <v>0</v>
      </c>
      <c r="V126" s="736">
        <f t="shared" si="15"/>
        <v>0</v>
      </c>
      <c r="W126" s="735">
        <f t="shared" si="16"/>
        <v>0</v>
      </c>
      <c r="X126" s="737">
        <f t="shared" si="17"/>
        <v>0</v>
      </c>
      <c r="Y126" s="738">
        <f t="shared" si="18"/>
        <v>0</v>
      </c>
      <c r="Z126" s="627"/>
    </row>
    <row r="127" spans="1:26">
      <c r="A127" s="331" t="s">
        <v>1282</v>
      </c>
      <c r="B127" s="332">
        <v>813</v>
      </c>
      <c r="C127" s="332">
        <v>240</v>
      </c>
      <c r="D127" s="332">
        <v>138</v>
      </c>
      <c r="E127" s="331" t="s">
        <v>1566</v>
      </c>
      <c r="F127" s="333">
        <v>35639737.099017024</v>
      </c>
      <c r="G127" s="332" t="s">
        <v>4</v>
      </c>
      <c r="H127" s="332">
        <v>2017</v>
      </c>
      <c r="I127" s="306">
        <f>+IF($H127=I$2,VLOOKUP($G127,Depreciation!$A$14:$L$18,7,FALSE)/2,IF($H127&lt;I$2,VLOOKUP($G127,Depreciation!$A$14:$L$18,7,FALSE),0))</f>
        <v>0</v>
      </c>
      <c r="J127" s="306">
        <f>+IF($H127=J$2,VLOOKUP($G127,Depreciation!$A$14:$L$18,8,FALSE)/2,IF($H127&lt;J$2,VLOOKUP($G127,Depreciation!$A$14:$L$18,8,FALSE),0))</f>
        <v>0</v>
      </c>
      <c r="K127" s="306">
        <f>+IF($H127=K$2,VLOOKUP($G127,Depreciation!$A$14:$L$18,9,FALSE)/2,IF($H127&lt;K$2,VLOOKUP($G127,Depreciation!$A$14:$L$18,9,FALSE),0))</f>
        <v>1.671703928371859E-2</v>
      </c>
      <c r="L127" s="306">
        <f>+IF($H127=L$2,VLOOKUP($G127,Depreciation!$A$14:$L$18,10,FALSE)/2,IF($H127&lt;L$2,VLOOKUP($G127,Depreciation!$A$14:$L$18,10,FALSE),0))</f>
        <v>3.343407856743718E-2</v>
      </c>
      <c r="M127" s="306">
        <f>+IF($H127=M$2,VLOOKUP($G127,Depreciation!$A$14:$L$18,11,FALSE)/2,IF($H127&lt;M$2,VLOOKUP($G127,Depreciation!$A$14:$L$18,11,FALSE),0))</f>
        <v>3.343407856743718E-2</v>
      </c>
      <c r="N127" s="306">
        <f>+IF($H127=N$2,VLOOKUP($G127,Depreciation!$A$14:$L$18,12,FALSE)/2,IF($H127&lt;N$2,VLOOKUP($G127,Depreciation!$A$14:$L$18,12,FALSE),0))</f>
        <v>3.343407856743718E-2</v>
      </c>
      <c r="O127" s="307">
        <f t="shared" si="10"/>
        <v>0</v>
      </c>
      <c r="P127" s="732">
        <v>0</v>
      </c>
      <c r="Q127" s="733">
        <v>0</v>
      </c>
      <c r="R127" s="734">
        <f t="shared" si="11"/>
        <v>1</v>
      </c>
      <c r="S127" s="735">
        <f t="shared" si="12"/>
        <v>0</v>
      </c>
      <c r="T127" s="735">
        <f t="shared" si="13"/>
        <v>0</v>
      </c>
      <c r="U127" s="735">
        <f t="shared" si="14"/>
        <v>0</v>
      </c>
      <c r="V127" s="736">
        <f t="shared" si="15"/>
        <v>0</v>
      </c>
      <c r="W127" s="735">
        <f t="shared" si="16"/>
        <v>0</v>
      </c>
      <c r="X127" s="737">
        <f t="shared" si="17"/>
        <v>0</v>
      </c>
      <c r="Y127" s="738">
        <f t="shared" si="18"/>
        <v>0</v>
      </c>
      <c r="Z127" s="627"/>
    </row>
    <row r="128" spans="1:26">
      <c r="A128" s="331" t="s">
        <v>1334</v>
      </c>
      <c r="B128" s="332">
        <v>850</v>
      </c>
      <c r="C128" s="332">
        <v>138</v>
      </c>
      <c r="D128" s="332">
        <v>25</v>
      </c>
      <c r="E128" s="331" t="s">
        <v>1547</v>
      </c>
      <c r="F128" s="333">
        <v>8772223.6609183215</v>
      </c>
      <c r="G128" s="332" t="s">
        <v>4</v>
      </c>
      <c r="H128" s="332">
        <v>2017</v>
      </c>
      <c r="I128" s="306">
        <f>+IF($H128=I$2,VLOOKUP($G128,Depreciation!$A$14:$L$18,7,FALSE)/2,IF($H128&lt;I$2,VLOOKUP($G128,Depreciation!$A$14:$L$18,7,FALSE),0))</f>
        <v>0</v>
      </c>
      <c r="J128" s="306">
        <f>+IF($H128=J$2,VLOOKUP($G128,Depreciation!$A$14:$L$18,8,FALSE)/2,IF($H128&lt;J$2,VLOOKUP($G128,Depreciation!$A$14:$L$18,8,FALSE),0))</f>
        <v>0</v>
      </c>
      <c r="K128" s="306">
        <f>+IF($H128=K$2,VLOOKUP($G128,Depreciation!$A$14:$L$18,9,FALSE)/2,IF($H128&lt;K$2,VLOOKUP($G128,Depreciation!$A$14:$L$18,9,FALSE),0))</f>
        <v>1.671703928371859E-2</v>
      </c>
      <c r="L128" s="306">
        <f>+IF($H128=L$2,VLOOKUP($G128,Depreciation!$A$14:$L$18,10,FALSE)/2,IF($H128&lt;L$2,VLOOKUP($G128,Depreciation!$A$14:$L$18,10,FALSE),0))</f>
        <v>3.343407856743718E-2</v>
      </c>
      <c r="M128" s="306">
        <f>+IF($H128=M$2,VLOOKUP($G128,Depreciation!$A$14:$L$18,11,FALSE)/2,IF($H128&lt;M$2,VLOOKUP($G128,Depreciation!$A$14:$L$18,11,FALSE),0))</f>
        <v>3.343407856743718E-2</v>
      </c>
      <c r="N128" s="306">
        <f>+IF($H128=N$2,VLOOKUP($G128,Depreciation!$A$14:$L$18,12,FALSE)/2,IF($H128&lt;N$2,VLOOKUP($G128,Depreciation!$A$14:$L$18,12,FALSE),0))</f>
        <v>3.343407856743718E-2</v>
      </c>
      <c r="O128" s="307">
        <f t="shared" si="10"/>
        <v>0</v>
      </c>
      <c r="P128" s="732">
        <v>0</v>
      </c>
      <c r="Q128" s="733">
        <v>1</v>
      </c>
      <c r="R128" s="734">
        <f t="shared" si="11"/>
        <v>0</v>
      </c>
      <c r="S128" s="735">
        <f t="shared" si="12"/>
        <v>0</v>
      </c>
      <c r="T128" s="735">
        <f t="shared" si="13"/>
        <v>0</v>
      </c>
      <c r="U128" s="735">
        <f t="shared" si="14"/>
        <v>0</v>
      </c>
      <c r="V128" s="736">
        <f t="shared" si="15"/>
        <v>0</v>
      </c>
      <c r="W128" s="735">
        <f t="shared" si="16"/>
        <v>0</v>
      </c>
      <c r="X128" s="737">
        <f t="shared" si="17"/>
        <v>0</v>
      </c>
      <c r="Y128" s="738">
        <f t="shared" si="18"/>
        <v>0</v>
      </c>
      <c r="Z128" s="627"/>
    </row>
    <row r="129" spans="1:26">
      <c r="A129" s="331" t="s">
        <v>1330</v>
      </c>
      <c r="B129" s="332">
        <v>850</v>
      </c>
      <c r="C129" s="332">
        <v>138</v>
      </c>
      <c r="D129" s="332">
        <v>138</v>
      </c>
      <c r="E129" s="331" t="s">
        <v>1548</v>
      </c>
      <c r="F129" s="333">
        <v>1637012.1502390178</v>
      </c>
      <c r="G129" s="332" t="s">
        <v>4</v>
      </c>
      <c r="H129" s="332">
        <v>2017</v>
      </c>
      <c r="I129" s="306">
        <f>+IF($H129=I$2,VLOOKUP($G129,Depreciation!$A$14:$L$18,7,FALSE)/2,IF($H129&lt;I$2,VLOOKUP($G129,Depreciation!$A$14:$L$18,7,FALSE),0))</f>
        <v>0</v>
      </c>
      <c r="J129" s="306">
        <f>+IF($H129=J$2,VLOOKUP($G129,Depreciation!$A$14:$L$18,8,FALSE)/2,IF($H129&lt;J$2,VLOOKUP($G129,Depreciation!$A$14:$L$18,8,FALSE),0))</f>
        <v>0</v>
      </c>
      <c r="K129" s="306">
        <f>+IF($H129=K$2,VLOOKUP($G129,Depreciation!$A$14:$L$18,9,FALSE)/2,IF($H129&lt;K$2,VLOOKUP($G129,Depreciation!$A$14:$L$18,9,FALSE),0))</f>
        <v>1.671703928371859E-2</v>
      </c>
      <c r="L129" s="306">
        <f>+IF($H129=L$2,VLOOKUP($G129,Depreciation!$A$14:$L$18,10,FALSE)/2,IF($H129&lt;L$2,VLOOKUP($G129,Depreciation!$A$14:$L$18,10,FALSE),0))</f>
        <v>3.343407856743718E-2</v>
      </c>
      <c r="M129" s="306">
        <f>+IF($H129=M$2,VLOOKUP($G129,Depreciation!$A$14:$L$18,11,FALSE)/2,IF($H129&lt;M$2,VLOOKUP($G129,Depreciation!$A$14:$L$18,11,FALSE),0))</f>
        <v>3.343407856743718E-2</v>
      </c>
      <c r="N129" s="306">
        <f>+IF($H129=N$2,VLOOKUP($G129,Depreciation!$A$14:$L$18,12,FALSE)/2,IF($H129&lt;N$2,VLOOKUP($G129,Depreciation!$A$14:$L$18,12,FALSE),0))</f>
        <v>3.343407856743718E-2</v>
      </c>
      <c r="O129" s="307">
        <f t="shared" si="10"/>
        <v>0</v>
      </c>
      <c r="P129" s="732">
        <v>0</v>
      </c>
      <c r="Q129" s="733">
        <v>0</v>
      </c>
      <c r="R129" s="734">
        <f t="shared" si="11"/>
        <v>1</v>
      </c>
      <c r="S129" s="735">
        <f t="shared" si="12"/>
        <v>0</v>
      </c>
      <c r="T129" s="735">
        <f t="shared" si="13"/>
        <v>0</v>
      </c>
      <c r="U129" s="735">
        <f t="shared" si="14"/>
        <v>0</v>
      </c>
      <c r="V129" s="736">
        <f t="shared" si="15"/>
        <v>0</v>
      </c>
      <c r="W129" s="735">
        <f t="shared" si="16"/>
        <v>0</v>
      </c>
      <c r="X129" s="737">
        <f t="shared" si="17"/>
        <v>0</v>
      </c>
      <c r="Y129" s="738">
        <f t="shared" si="18"/>
        <v>0</v>
      </c>
      <c r="Z129" s="627"/>
    </row>
    <row r="130" spans="1:26">
      <c r="A130" s="331" t="s">
        <v>1346</v>
      </c>
      <c r="B130" s="332">
        <v>850</v>
      </c>
      <c r="C130" s="332">
        <v>240</v>
      </c>
      <c r="D130" s="332">
        <v>138</v>
      </c>
      <c r="E130" s="331" t="s">
        <v>1549</v>
      </c>
      <c r="F130" s="333">
        <v>413798.77575694869</v>
      </c>
      <c r="G130" s="332" t="s">
        <v>4</v>
      </c>
      <c r="H130" s="332">
        <v>2017</v>
      </c>
      <c r="I130" s="306">
        <f>+IF($H130=I$2,VLOOKUP($G130,Depreciation!$A$14:$L$18,7,FALSE)/2,IF($H130&lt;I$2,VLOOKUP($G130,Depreciation!$A$14:$L$18,7,FALSE),0))</f>
        <v>0</v>
      </c>
      <c r="J130" s="306">
        <f>+IF($H130=J$2,VLOOKUP($G130,Depreciation!$A$14:$L$18,8,FALSE)/2,IF($H130&lt;J$2,VLOOKUP($G130,Depreciation!$A$14:$L$18,8,FALSE),0))</f>
        <v>0</v>
      </c>
      <c r="K130" s="306">
        <f>+IF($H130=K$2,VLOOKUP($G130,Depreciation!$A$14:$L$18,9,FALSE)/2,IF($H130&lt;K$2,VLOOKUP($G130,Depreciation!$A$14:$L$18,9,FALSE),0))</f>
        <v>1.671703928371859E-2</v>
      </c>
      <c r="L130" s="306">
        <f>+IF($H130=L$2,VLOOKUP($G130,Depreciation!$A$14:$L$18,10,FALSE)/2,IF($H130&lt;L$2,VLOOKUP($G130,Depreciation!$A$14:$L$18,10,FALSE),0))</f>
        <v>3.343407856743718E-2</v>
      </c>
      <c r="M130" s="306">
        <f>+IF($H130=M$2,VLOOKUP($G130,Depreciation!$A$14:$L$18,11,FALSE)/2,IF($H130&lt;M$2,VLOOKUP($G130,Depreciation!$A$14:$L$18,11,FALSE),0))</f>
        <v>3.343407856743718E-2</v>
      </c>
      <c r="N130" s="306">
        <f>+IF($H130=N$2,VLOOKUP($G130,Depreciation!$A$14:$L$18,12,FALSE)/2,IF($H130&lt;N$2,VLOOKUP($G130,Depreciation!$A$14:$L$18,12,FALSE),0))</f>
        <v>3.343407856743718E-2</v>
      </c>
      <c r="O130" s="307">
        <f t="shared" si="10"/>
        <v>0</v>
      </c>
      <c r="P130" s="732">
        <v>0</v>
      </c>
      <c r="Q130" s="733">
        <v>0</v>
      </c>
      <c r="R130" s="734">
        <f t="shared" si="11"/>
        <v>1</v>
      </c>
      <c r="S130" s="735">
        <f t="shared" si="12"/>
        <v>0</v>
      </c>
      <c r="T130" s="735">
        <f t="shared" si="13"/>
        <v>0</v>
      </c>
      <c r="U130" s="735">
        <f t="shared" si="14"/>
        <v>0</v>
      </c>
      <c r="V130" s="736">
        <f t="shared" si="15"/>
        <v>0</v>
      </c>
      <c r="W130" s="735">
        <f t="shared" si="16"/>
        <v>0</v>
      </c>
      <c r="X130" s="737">
        <f t="shared" si="17"/>
        <v>0</v>
      </c>
      <c r="Y130" s="738">
        <f t="shared" si="18"/>
        <v>0</v>
      </c>
      <c r="Z130" s="627"/>
    </row>
    <row r="131" spans="1:26">
      <c r="A131" s="331" t="s">
        <v>1340</v>
      </c>
      <c r="B131" s="332">
        <v>850</v>
      </c>
      <c r="C131" s="332">
        <v>138</v>
      </c>
      <c r="D131" s="332">
        <v>25</v>
      </c>
      <c r="E131" s="331" t="s">
        <v>1550</v>
      </c>
      <c r="F131" s="333">
        <v>109864.19345706432</v>
      </c>
      <c r="G131" s="332" t="s">
        <v>4</v>
      </c>
      <c r="H131" s="332">
        <v>2017</v>
      </c>
      <c r="I131" s="306">
        <f>+IF($H131=I$2,VLOOKUP($G131,Depreciation!$A$14:$L$18,7,FALSE)/2,IF($H131&lt;I$2,VLOOKUP($G131,Depreciation!$A$14:$L$18,7,FALSE),0))</f>
        <v>0</v>
      </c>
      <c r="J131" s="306">
        <f>+IF($H131=J$2,VLOOKUP($G131,Depreciation!$A$14:$L$18,8,FALSE)/2,IF($H131&lt;J$2,VLOOKUP($G131,Depreciation!$A$14:$L$18,8,FALSE),0))</f>
        <v>0</v>
      </c>
      <c r="K131" s="306">
        <f>+IF($H131=K$2,VLOOKUP($G131,Depreciation!$A$14:$L$18,9,FALSE)/2,IF($H131&lt;K$2,VLOOKUP($G131,Depreciation!$A$14:$L$18,9,FALSE),0))</f>
        <v>1.671703928371859E-2</v>
      </c>
      <c r="L131" s="306">
        <f>+IF($H131=L$2,VLOOKUP($G131,Depreciation!$A$14:$L$18,10,FALSE)/2,IF($H131&lt;L$2,VLOOKUP($G131,Depreciation!$A$14:$L$18,10,FALSE),0))</f>
        <v>3.343407856743718E-2</v>
      </c>
      <c r="M131" s="306">
        <f>+IF($H131=M$2,VLOOKUP($G131,Depreciation!$A$14:$L$18,11,FALSE)/2,IF($H131&lt;M$2,VLOOKUP($G131,Depreciation!$A$14:$L$18,11,FALSE),0))</f>
        <v>3.343407856743718E-2</v>
      </c>
      <c r="N131" s="306">
        <f>+IF($H131=N$2,VLOOKUP($G131,Depreciation!$A$14:$L$18,12,FALSE)/2,IF($H131&lt;N$2,VLOOKUP($G131,Depreciation!$A$14:$L$18,12,FALSE),0))</f>
        <v>3.343407856743718E-2</v>
      </c>
      <c r="O131" s="307">
        <f t="shared" si="10"/>
        <v>0</v>
      </c>
      <c r="P131" s="732">
        <v>0</v>
      </c>
      <c r="Q131" s="733">
        <v>1</v>
      </c>
      <c r="R131" s="734">
        <f t="shared" si="11"/>
        <v>0</v>
      </c>
      <c r="S131" s="735">
        <f t="shared" si="12"/>
        <v>0</v>
      </c>
      <c r="T131" s="735">
        <f t="shared" si="13"/>
        <v>0</v>
      </c>
      <c r="U131" s="735">
        <f t="shared" si="14"/>
        <v>0</v>
      </c>
      <c r="V131" s="736">
        <f t="shared" si="15"/>
        <v>0</v>
      </c>
      <c r="W131" s="735">
        <f t="shared" si="16"/>
        <v>0</v>
      </c>
      <c r="X131" s="737">
        <f t="shared" si="17"/>
        <v>0</v>
      </c>
      <c r="Y131" s="738">
        <f t="shared" si="18"/>
        <v>0</v>
      </c>
      <c r="Z131" s="627"/>
    </row>
    <row r="132" spans="1:26">
      <c r="A132" s="331" t="s">
        <v>1345</v>
      </c>
      <c r="B132" s="332">
        <v>850</v>
      </c>
      <c r="C132" s="332">
        <v>138</v>
      </c>
      <c r="D132" s="332">
        <v>25</v>
      </c>
      <c r="E132" s="331" t="s">
        <v>1551</v>
      </c>
      <c r="F132" s="333">
        <v>22946.871241679786</v>
      </c>
      <c r="G132" s="332" t="s">
        <v>4</v>
      </c>
      <c r="H132" s="332">
        <v>2017</v>
      </c>
      <c r="I132" s="306">
        <f>+IF($H132=I$2,VLOOKUP($G132,Depreciation!$A$14:$L$18,7,FALSE)/2,IF($H132&lt;I$2,VLOOKUP($G132,Depreciation!$A$14:$L$18,7,FALSE),0))</f>
        <v>0</v>
      </c>
      <c r="J132" s="306">
        <f>+IF($H132=J$2,VLOOKUP($G132,Depreciation!$A$14:$L$18,8,FALSE)/2,IF($H132&lt;J$2,VLOOKUP($G132,Depreciation!$A$14:$L$18,8,FALSE),0))</f>
        <v>0</v>
      </c>
      <c r="K132" s="306">
        <f>+IF($H132=K$2,VLOOKUP($G132,Depreciation!$A$14:$L$18,9,FALSE)/2,IF($H132&lt;K$2,VLOOKUP($G132,Depreciation!$A$14:$L$18,9,FALSE),0))</f>
        <v>1.671703928371859E-2</v>
      </c>
      <c r="L132" s="306">
        <f>+IF($H132=L$2,VLOOKUP($G132,Depreciation!$A$14:$L$18,10,FALSE)/2,IF($H132&lt;L$2,VLOOKUP($G132,Depreciation!$A$14:$L$18,10,FALSE),0))</f>
        <v>3.343407856743718E-2</v>
      </c>
      <c r="M132" s="306">
        <f>+IF($H132=M$2,VLOOKUP($G132,Depreciation!$A$14:$L$18,11,FALSE)/2,IF($H132&lt;M$2,VLOOKUP($G132,Depreciation!$A$14:$L$18,11,FALSE),0))</f>
        <v>3.343407856743718E-2</v>
      </c>
      <c r="N132" s="306">
        <f>+IF($H132=N$2,VLOOKUP($G132,Depreciation!$A$14:$L$18,12,FALSE)/2,IF($H132&lt;N$2,VLOOKUP($G132,Depreciation!$A$14:$L$18,12,FALSE),0))</f>
        <v>3.343407856743718E-2</v>
      </c>
      <c r="O132" s="307">
        <f t="shared" ref="O132:O195" si="19">IF(H132&lt;=2015,F132*(1-I132),0)</f>
        <v>0</v>
      </c>
      <c r="P132" s="732">
        <v>0</v>
      </c>
      <c r="Q132" s="733">
        <v>1</v>
      </c>
      <c r="R132" s="734">
        <f t="shared" ref="R132:R195" si="20">1-P132-Q132</f>
        <v>0</v>
      </c>
      <c r="S132" s="735">
        <f t="shared" ref="S132:S195" si="21">+P132*$O132</f>
        <v>0</v>
      </c>
      <c r="T132" s="735">
        <f t="shared" ref="T132:T195" si="22">+Q132*$O132</f>
        <v>0</v>
      </c>
      <c r="U132" s="735">
        <f t="shared" ref="U132:U195" si="23">+R132*$O132</f>
        <v>0</v>
      </c>
      <c r="V132" s="736">
        <f t="shared" ref="V132:V195" si="24">IF(AND(R132=1,D132=0),O132,0)</f>
        <v>0</v>
      </c>
      <c r="W132" s="735">
        <f t="shared" ref="W132:W195" si="25">S132+IF(D132&gt;144,U132,0)</f>
        <v>0</v>
      </c>
      <c r="X132" s="737">
        <f t="shared" ref="X132:X195" si="26">IF(AND(D132&lt;=144,D132&gt;=69),U132,0)</f>
        <v>0</v>
      </c>
      <c r="Y132" s="738">
        <f t="shared" ref="Y132:Y195" si="27">T132+IF(AND(D132&lt;69,D132&gt;0),U132,0)</f>
        <v>0</v>
      </c>
      <c r="Z132" s="627"/>
    </row>
    <row r="133" spans="1:26">
      <c r="A133" s="331" t="s">
        <v>1341</v>
      </c>
      <c r="B133" s="332">
        <v>850</v>
      </c>
      <c r="C133" s="332">
        <v>138</v>
      </c>
      <c r="D133" s="332">
        <v>25</v>
      </c>
      <c r="E133" s="331" t="s">
        <v>1552</v>
      </c>
      <c r="F133" s="333">
        <v>125476.41366771194</v>
      </c>
      <c r="G133" s="332" t="s">
        <v>4</v>
      </c>
      <c r="H133" s="332">
        <v>2017</v>
      </c>
      <c r="I133" s="306">
        <f>+IF($H133=I$2,VLOOKUP($G133,Depreciation!$A$14:$L$18,7,FALSE)/2,IF($H133&lt;I$2,VLOOKUP($G133,Depreciation!$A$14:$L$18,7,FALSE),0))</f>
        <v>0</v>
      </c>
      <c r="J133" s="306">
        <f>+IF($H133=J$2,VLOOKUP($G133,Depreciation!$A$14:$L$18,8,FALSE)/2,IF($H133&lt;J$2,VLOOKUP($G133,Depreciation!$A$14:$L$18,8,FALSE),0))</f>
        <v>0</v>
      </c>
      <c r="K133" s="306">
        <f>+IF($H133=K$2,VLOOKUP($G133,Depreciation!$A$14:$L$18,9,FALSE)/2,IF($H133&lt;K$2,VLOOKUP($G133,Depreciation!$A$14:$L$18,9,FALSE),0))</f>
        <v>1.671703928371859E-2</v>
      </c>
      <c r="L133" s="306">
        <f>+IF($H133=L$2,VLOOKUP($G133,Depreciation!$A$14:$L$18,10,FALSE)/2,IF($H133&lt;L$2,VLOOKUP($G133,Depreciation!$A$14:$L$18,10,FALSE),0))</f>
        <v>3.343407856743718E-2</v>
      </c>
      <c r="M133" s="306">
        <f>+IF($H133=M$2,VLOOKUP($G133,Depreciation!$A$14:$L$18,11,FALSE)/2,IF($H133&lt;M$2,VLOOKUP($G133,Depreciation!$A$14:$L$18,11,FALSE),0))</f>
        <v>3.343407856743718E-2</v>
      </c>
      <c r="N133" s="306">
        <f>+IF($H133=N$2,VLOOKUP($G133,Depreciation!$A$14:$L$18,12,FALSE)/2,IF($H133&lt;N$2,VLOOKUP($G133,Depreciation!$A$14:$L$18,12,FALSE),0))</f>
        <v>3.343407856743718E-2</v>
      </c>
      <c r="O133" s="307">
        <f t="shared" si="19"/>
        <v>0</v>
      </c>
      <c r="P133" s="732">
        <v>0</v>
      </c>
      <c r="Q133" s="733">
        <v>1</v>
      </c>
      <c r="R133" s="734">
        <f t="shared" si="20"/>
        <v>0</v>
      </c>
      <c r="S133" s="735">
        <f t="shared" si="21"/>
        <v>0</v>
      </c>
      <c r="T133" s="735">
        <f t="shared" si="22"/>
        <v>0</v>
      </c>
      <c r="U133" s="735">
        <f t="shared" si="23"/>
        <v>0</v>
      </c>
      <c r="V133" s="736">
        <f t="shared" si="24"/>
        <v>0</v>
      </c>
      <c r="W133" s="735">
        <f t="shared" si="25"/>
        <v>0</v>
      </c>
      <c r="X133" s="737">
        <f t="shared" si="26"/>
        <v>0</v>
      </c>
      <c r="Y133" s="738">
        <f t="shared" si="27"/>
        <v>0</v>
      </c>
      <c r="Z133" s="627"/>
    </row>
    <row r="134" spans="1:26">
      <c r="A134" s="331" t="s">
        <v>1333</v>
      </c>
      <c r="B134" s="332">
        <v>850</v>
      </c>
      <c r="C134" s="332">
        <v>138</v>
      </c>
      <c r="D134" s="332">
        <v>25</v>
      </c>
      <c r="E134" s="331" t="s">
        <v>1553</v>
      </c>
      <c r="F134" s="333">
        <v>6420665.4815754285</v>
      </c>
      <c r="G134" s="332" t="s">
        <v>4</v>
      </c>
      <c r="H134" s="332">
        <v>2017</v>
      </c>
      <c r="I134" s="306">
        <f>+IF($H134=I$2,VLOOKUP($G134,Depreciation!$A$14:$L$18,7,FALSE)/2,IF($H134&lt;I$2,VLOOKUP($G134,Depreciation!$A$14:$L$18,7,FALSE),0))</f>
        <v>0</v>
      </c>
      <c r="J134" s="306">
        <f>+IF($H134=J$2,VLOOKUP($G134,Depreciation!$A$14:$L$18,8,FALSE)/2,IF($H134&lt;J$2,VLOOKUP($G134,Depreciation!$A$14:$L$18,8,FALSE),0))</f>
        <v>0</v>
      </c>
      <c r="K134" s="306">
        <f>+IF($H134=K$2,VLOOKUP($G134,Depreciation!$A$14:$L$18,9,FALSE)/2,IF($H134&lt;K$2,VLOOKUP($G134,Depreciation!$A$14:$L$18,9,FALSE),0))</f>
        <v>1.671703928371859E-2</v>
      </c>
      <c r="L134" s="306">
        <f>+IF($H134=L$2,VLOOKUP($G134,Depreciation!$A$14:$L$18,10,FALSE)/2,IF($H134&lt;L$2,VLOOKUP($G134,Depreciation!$A$14:$L$18,10,FALSE),0))</f>
        <v>3.343407856743718E-2</v>
      </c>
      <c r="M134" s="306">
        <f>+IF($H134=M$2,VLOOKUP($G134,Depreciation!$A$14:$L$18,11,FALSE)/2,IF($H134&lt;M$2,VLOOKUP($G134,Depreciation!$A$14:$L$18,11,FALSE),0))</f>
        <v>3.343407856743718E-2</v>
      </c>
      <c r="N134" s="306">
        <f>+IF($H134=N$2,VLOOKUP($G134,Depreciation!$A$14:$L$18,12,FALSE)/2,IF($H134&lt;N$2,VLOOKUP($G134,Depreciation!$A$14:$L$18,12,FALSE),0))</f>
        <v>3.343407856743718E-2</v>
      </c>
      <c r="O134" s="307">
        <f t="shared" si="19"/>
        <v>0</v>
      </c>
      <c r="P134" s="732">
        <v>0</v>
      </c>
      <c r="Q134" s="733">
        <v>1</v>
      </c>
      <c r="R134" s="734">
        <f t="shared" si="20"/>
        <v>0</v>
      </c>
      <c r="S134" s="735">
        <f t="shared" si="21"/>
        <v>0</v>
      </c>
      <c r="T134" s="735">
        <f t="shared" si="22"/>
        <v>0</v>
      </c>
      <c r="U134" s="735">
        <f t="shared" si="23"/>
        <v>0</v>
      </c>
      <c r="V134" s="736">
        <f t="shared" si="24"/>
        <v>0</v>
      </c>
      <c r="W134" s="735">
        <f t="shared" si="25"/>
        <v>0</v>
      </c>
      <c r="X134" s="737">
        <f t="shared" si="26"/>
        <v>0</v>
      </c>
      <c r="Y134" s="738">
        <f t="shared" si="27"/>
        <v>0</v>
      </c>
      <c r="Z134" s="627"/>
    </row>
    <row r="135" spans="1:26">
      <c r="A135" s="331" t="s">
        <v>1338</v>
      </c>
      <c r="B135" s="332">
        <v>850</v>
      </c>
      <c r="C135" s="332">
        <v>138</v>
      </c>
      <c r="D135" s="332">
        <v>25</v>
      </c>
      <c r="E135" s="331" t="s">
        <v>1554</v>
      </c>
      <c r="F135" s="333">
        <v>22946.871241679786</v>
      </c>
      <c r="G135" s="332" t="s">
        <v>4</v>
      </c>
      <c r="H135" s="332">
        <v>2017</v>
      </c>
      <c r="I135" s="306">
        <f>+IF($H135=I$2,VLOOKUP($G135,Depreciation!$A$14:$L$18,7,FALSE)/2,IF($H135&lt;I$2,VLOOKUP($G135,Depreciation!$A$14:$L$18,7,FALSE),0))</f>
        <v>0</v>
      </c>
      <c r="J135" s="306">
        <f>+IF($H135=J$2,VLOOKUP($G135,Depreciation!$A$14:$L$18,8,FALSE)/2,IF($H135&lt;J$2,VLOOKUP($G135,Depreciation!$A$14:$L$18,8,FALSE),0))</f>
        <v>0</v>
      </c>
      <c r="K135" s="306">
        <f>+IF($H135=K$2,VLOOKUP($G135,Depreciation!$A$14:$L$18,9,FALSE)/2,IF($H135&lt;K$2,VLOOKUP($G135,Depreciation!$A$14:$L$18,9,FALSE),0))</f>
        <v>1.671703928371859E-2</v>
      </c>
      <c r="L135" s="306">
        <f>+IF($H135=L$2,VLOOKUP($G135,Depreciation!$A$14:$L$18,10,FALSE)/2,IF($H135&lt;L$2,VLOOKUP($G135,Depreciation!$A$14:$L$18,10,FALSE),0))</f>
        <v>3.343407856743718E-2</v>
      </c>
      <c r="M135" s="306">
        <f>+IF($H135=M$2,VLOOKUP($G135,Depreciation!$A$14:$L$18,11,FALSE)/2,IF($H135&lt;M$2,VLOOKUP($G135,Depreciation!$A$14:$L$18,11,FALSE),0))</f>
        <v>3.343407856743718E-2</v>
      </c>
      <c r="N135" s="306">
        <f>+IF($H135=N$2,VLOOKUP($G135,Depreciation!$A$14:$L$18,12,FALSE)/2,IF($H135&lt;N$2,VLOOKUP($G135,Depreciation!$A$14:$L$18,12,FALSE),0))</f>
        <v>3.343407856743718E-2</v>
      </c>
      <c r="O135" s="307">
        <f t="shared" si="19"/>
        <v>0</v>
      </c>
      <c r="P135" s="732">
        <v>0</v>
      </c>
      <c r="Q135" s="733">
        <v>1</v>
      </c>
      <c r="R135" s="734">
        <f t="shared" si="20"/>
        <v>0</v>
      </c>
      <c r="S135" s="735">
        <f t="shared" si="21"/>
        <v>0</v>
      </c>
      <c r="T135" s="735">
        <f t="shared" si="22"/>
        <v>0</v>
      </c>
      <c r="U135" s="735">
        <f t="shared" si="23"/>
        <v>0</v>
      </c>
      <c r="V135" s="736">
        <f t="shared" si="24"/>
        <v>0</v>
      </c>
      <c r="W135" s="735">
        <f t="shared" si="25"/>
        <v>0</v>
      </c>
      <c r="X135" s="737">
        <f t="shared" si="26"/>
        <v>0</v>
      </c>
      <c r="Y135" s="738">
        <f t="shared" si="27"/>
        <v>0</v>
      </c>
      <c r="Z135" s="627"/>
    </row>
    <row r="136" spans="1:26">
      <c r="A136" s="331" t="s">
        <v>1325</v>
      </c>
      <c r="B136" s="332">
        <v>850</v>
      </c>
      <c r="C136" s="332">
        <v>240</v>
      </c>
      <c r="D136" s="332">
        <v>25</v>
      </c>
      <c r="E136" s="331" t="s">
        <v>1555</v>
      </c>
      <c r="F136" s="333">
        <v>101645.43808550939</v>
      </c>
      <c r="G136" s="332" t="s">
        <v>4</v>
      </c>
      <c r="H136" s="332">
        <v>2017</v>
      </c>
      <c r="I136" s="306">
        <f>+IF($H136=I$2,VLOOKUP($G136,Depreciation!$A$14:$L$18,7,FALSE)/2,IF($H136&lt;I$2,VLOOKUP($G136,Depreciation!$A$14:$L$18,7,FALSE),0))</f>
        <v>0</v>
      </c>
      <c r="J136" s="306">
        <f>+IF($H136=J$2,VLOOKUP($G136,Depreciation!$A$14:$L$18,8,FALSE)/2,IF($H136&lt;J$2,VLOOKUP($G136,Depreciation!$A$14:$L$18,8,FALSE),0))</f>
        <v>0</v>
      </c>
      <c r="K136" s="306">
        <f>+IF($H136=K$2,VLOOKUP($G136,Depreciation!$A$14:$L$18,9,FALSE)/2,IF($H136&lt;K$2,VLOOKUP($G136,Depreciation!$A$14:$L$18,9,FALSE),0))</f>
        <v>1.671703928371859E-2</v>
      </c>
      <c r="L136" s="306">
        <f>+IF($H136=L$2,VLOOKUP($G136,Depreciation!$A$14:$L$18,10,FALSE)/2,IF($H136&lt;L$2,VLOOKUP($G136,Depreciation!$A$14:$L$18,10,FALSE),0))</f>
        <v>3.343407856743718E-2</v>
      </c>
      <c r="M136" s="306">
        <f>+IF($H136=M$2,VLOOKUP($G136,Depreciation!$A$14:$L$18,11,FALSE)/2,IF($H136&lt;M$2,VLOOKUP($G136,Depreciation!$A$14:$L$18,11,FALSE),0))</f>
        <v>3.343407856743718E-2</v>
      </c>
      <c r="N136" s="306">
        <f>+IF($H136=N$2,VLOOKUP($G136,Depreciation!$A$14:$L$18,12,FALSE)/2,IF($H136&lt;N$2,VLOOKUP($G136,Depreciation!$A$14:$L$18,12,FALSE),0))</f>
        <v>3.343407856743718E-2</v>
      </c>
      <c r="O136" s="307">
        <f t="shared" si="19"/>
        <v>0</v>
      </c>
      <c r="P136" s="732">
        <v>0</v>
      </c>
      <c r="Q136" s="733">
        <v>1</v>
      </c>
      <c r="R136" s="734">
        <f t="shared" si="20"/>
        <v>0</v>
      </c>
      <c r="S136" s="735">
        <f t="shared" si="21"/>
        <v>0</v>
      </c>
      <c r="T136" s="735">
        <f t="shared" si="22"/>
        <v>0</v>
      </c>
      <c r="U136" s="735">
        <f t="shared" si="23"/>
        <v>0</v>
      </c>
      <c r="V136" s="736">
        <f t="shared" si="24"/>
        <v>0</v>
      </c>
      <c r="W136" s="735">
        <f t="shared" si="25"/>
        <v>0</v>
      </c>
      <c r="X136" s="737">
        <f t="shared" si="26"/>
        <v>0</v>
      </c>
      <c r="Y136" s="738">
        <f t="shared" si="27"/>
        <v>0</v>
      </c>
      <c r="Z136" s="627"/>
    </row>
    <row r="137" spans="1:26">
      <c r="A137" s="331" t="s">
        <v>1339</v>
      </c>
      <c r="B137" s="332">
        <v>850</v>
      </c>
      <c r="C137" s="332">
        <v>240</v>
      </c>
      <c r="D137" s="332">
        <v>25</v>
      </c>
      <c r="E137" s="331" t="s">
        <v>1555</v>
      </c>
      <c r="F137" s="333">
        <v>98365.145371423874</v>
      </c>
      <c r="G137" s="332" t="s">
        <v>4</v>
      </c>
      <c r="H137" s="332">
        <v>2017</v>
      </c>
      <c r="I137" s="306">
        <f>+IF($H137=I$2,VLOOKUP($G137,Depreciation!$A$14:$L$18,7,FALSE)/2,IF($H137&lt;I$2,VLOOKUP($G137,Depreciation!$A$14:$L$18,7,FALSE),0))</f>
        <v>0</v>
      </c>
      <c r="J137" s="306">
        <f>+IF($H137=J$2,VLOOKUP($G137,Depreciation!$A$14:$L$18,8,FALSE)/2,IF($H137&lt;J$2,VLOOKUP($G137,Depreciation!$A$14:$L$18,8,FALSE),0))</f>
        <v>0</v>
      </c>
      <c r="K137" s="306">
        <f>+IF($H137=K$2,VLOOKUP($G137,Depreciation!$A$14:$L$18,9,FALSE)/2,IF($H137&lt;K$2,VLOOKUP($G137,Depreciation!$A$14:$L$18,9,FALSE),0))</f>
        <v>1.671703928371859E-2</v>
      </c>
      <c r="L137" s="306">
        <f>+IF($H137=L$2,VLOOKUP($G137,Depreciation!$A$14:$L$18,10,FALSE)/2,IF($H137&lt;L$2,VLOOKUP($G137,Depreciation!$A$14:$L$18,10,FALSE),0))</f>
        <v>3.343407856743718E-2</v>
      </c>
      <c r="M137" s="306">
        <f>+IF($H137=M$2,VLOOKUP($G137,Depreciation!$A$14:$L$18,11,FALSE)/2,IF($H137&lt;M$2,VLOOKUP($G137,Depreciation!$A$14:$L$18,11,FALSE),0))</f>
        <v>3.343407856743718E-2</v>
      </c>
      <c r="N137" s="306">
        <f>+IF($H137=N$2,VLOOKUP($G137,Depreciation!$A$14:$L$18,12,FALSE)/2,IF($H137&lt;N$2,VLOOKUP($G137,Depreciation!$A$14:$L$18,12,FALSE),0))</f>
        <v>3.343407856743718E-2</v>
      </c>
      <c r="O137" s="307">
        <f t="shared" si="19"/>
        <v>0</v>
      </c>
      <c r="P137" s="732">
        <v>0</v>
      </c>
      <c r="Q137" s="733">
        <v>1</v>
      </c>
      <c r="R137" s="734">
        <f t="shared" si="20"/>
        <v>0</v>
      </c>
      <c r="S137" s="735">
        <f t="shared" si="21"/>
        <v>0</v>
      </c>
      <c r="T137" s="735">
        <f t="shared" si="22"/>
        <v>0</v>
      </c>
      <c r="U137" s="735">
        <f t="shared" si="23"/>
        <v>0</v>
      </c>
      <c r="V137" s="736">
        <f t="shared" si="24"/>
        <v>0</v>
      </c>
      <c r="W137" s="735">
        <f t="shared" si="25"/>
        <v>0</v>
      </c>
      <c r="X137" s="737">
        <f t="shared" si="26"/>
        <v>0</v>
      </c>
      <c r="Y137" s="738">
        <f t="shared" si="27"/>
        <v>0</v>
      </c>
      <c r="Z137" s="627"/>
    </row>
    <row r="138" spans="1:26">
      <c r="A138" s="331" t="s">
        <v>1326</v>
      </c>
      <c r="B138" s="332">
        <v>850</v>
      </c>
      <c r="C138" s="332">
        <v>500</v>
      </c>
      <c r="D138" s="332">
        <v>240</v>
      </c>
      <c r="E138" s="331" t="s">
        <v>1556</v>
      </c>
      <c r="F138" s="333">
        <v>655238.94394348608</v>
      </c>
      <c r="G138" s="332" t="s">
        <v>4</v>
      </c>
      <c r="H138" s="332">
        <v>2017</v>
      </c>
      <c r="I138" s="306">
        <f>+IF($H138=I$2,VLOOKUP($G138,Depreciation!$A$14:$L$18,7,FALSE)/2,IF($H138&lt;I$2,VLOOKUP($G138,Depreciation!$A$14:$L$18,7,FALSE),0))</f>
        <v>0</v>
      </c>
      <c r="J138" s="306">
        <f>+IF($H138=J$2,VLOOKUP($G138,Depreciation!$A$14:$L$18,8,FALSE)/2,IF($H138&lt;J$2,VLOOKUP($G138,Depreciation!$A$14:$L$18,8,FALSE),0))</f>
        <v>0</v>
      </c>
      <c r="K138" s="306">
        <f>+IF($H138=K$2,VLOOKUP($G138,Depreciation!$A$14:$L$18,9,FALSE)/2,IF($H138&lt;K$2,VLOOKUP($G138,Depreciation!$A$14:$L$18,9,FALSE),0))</f>
        <v>1.671703928371859E-2</v>
      </c>
      <c r="L138" s="306">
        <f>+IF($H138=L$2,VLOOKUP($G138,Depreciation!$A$14:$L$18,10,FALSE)/2,IF($H138&lt;L$2,VLOOKUP($G138,Depreciation!$A$14:$L$18,10,FALSE),0))</f>
        <v>3.343407856743718E-2</v>
      </c>
      <c r="M138" s="306">
        <f>+IF($H138=M$2,VLOOKUP($G138,Depreciation!$A$14:$L$18,11,FALSE)/2,IF($H138&lt;M$2,VLOOKUP($G138,Depreciation!$A$14:$L$18,11,FALSE),0))</f>
        <v>3.343407856743718E-2</v>
      </c>
      <c r="N138" s="306">
        <f>+IF($H138=N$2,VLOOKUP($G138,Depreciation!$A$14:$L$18,12,FALSE)/2,IF($H138&lt;N$2,VLOOKUP($G138,Depreciation!$A$14:$L$18,12,FALSE),0))</f>
        <v>3.343407856743718E-2</v>
      </c>
      <c r="O138" s="307">
        <f t="shared" si="19"/>
        <v>0</v>
      </c>
      <c r="P138" s="732">
        <v>0</v>
      </c>
      <c r="Q138" s="733">
        <v>0</v>
      </c>
      <c r="R138" s="734">
        <f t="shared" si="20"/>
        <v>1</v>
      </c>
      <c r="S138" s="735">
        <f t="shared" si="21"/>
        <v>0</v>
      </c>
      <c r="T138" s="735">
        <f t="shared" si="22"/>
        <v>0</v>
      </c>
      <c r="U138" s="735">
        <f t="shared" si="23"/>
        <v>0</v>
      </c>
      <c r="V138" s="736">
        <f t="shared" si="24"/>
        <v>0</v>
      </c>
      <c r="W138" s="735">
        <f t="shared" si="25"/>
        <v>0</v>
      </c>
      <c r="X138" s="737">
        <f t="shared" si="26"/>
        <v>0</v>
      </c>
      <c r="Y138" s="738">
        <f t="shared" si="27"/>
        <v>0</v>
      </c>
      <c r="Z138" s="627"/>
    </row>
    <row r="139" spans="1:26">
      <c r="A139" s="331" t="s">
        <v>1329</v>
      </c>
      <c r="B139" s="332">
        <v>850</v>
      </c>
      <c r="C139" s="332">
        <v>240</v>
      </c>
      <c r="D139" s="332">
        <v>138</v>
      </c>
      <c r="E139" s="331" t="s">
        <v>1557</v>
      </c>
      <c r="F139" s="333">
        <v>55595620.830533721</v>
      </c>
      <c r="G139" s="332" t="s">
        <v>4</v>
      </c>
      <c r="H139" s="332">
        <v>2017</v>
      </c>
      <c r="I139" s="306">
        <f>+IF($H139=I$2,VLOOKUP($G139,Depreciation!$A$14:$L$18,7,FALSE)/2,IF($H139&lt;I$2,VLOOKUP($G139,Depreciation!$A$14:$L$18,7,FALSE),0))</f>
        <v>0</v>
      </c>
      <c r="J139" s="306">
        <f>+IF($H139=J$2,VLOOKUP($G139,Depreciation!$A$14:$L$18,8,FALSE)/2,IF($H139&lt;J$2,VLOOKUP($G139,Depreciation!$A$14:$L$18,8,FALSE),0))</f>
        <v>0</v>
      </c>
      <c r="K139" s="306">
        <f>+IF($H139=K$2,VLOOKUP($G139,Depreciation!$A$14:$L$18,9,FALSE)/2,IF($H139&lt;K$2,VLOOKUP($G139,Depreciation!$A$14:$L$18,9,FALSE),0))</f>
        <v>1.671703928371859E-2</v>
      </c>
      <c r="L139" s="306">
        <f>+IF($H139=L$2,VLOOKUP($G139,Depreciation!$A$14:$L$18,10,FALSE)/2,IF($H139&lt;L$2,VLOOKUP($G139,Depreciation!$A$14:$L$18,10,FALSE),0))</f>
        <v>3.343407856743718E-2</v>
      </c>
      <c r="M139" s="306">
        <f>+IF($H139=M$2,VLOOKUP($G139,Depreciation!$A$14:$L$18,11,FALSE)/2,IF($H139&lt;M$2,VLOOKUP($G139,Depreciation!$A$14:$L$18,11,FALSE),0))</f>
        <v>3.343407856743718E-2</v>
      </c>
      <c r="N139" s="306">
        <f>+IF($H139=N$2,VLOOKUP($G139,Depreciation!$A$14:$L$18,12,FALSE)/2,IF($H139&lt;N$2,VLOOKUP($G139,Depreciation!$A$14:$L$18,12,FALSE),0))</f>
        <v>3.343407856743718E-2</v>
      </c>
      <c r="O139" s="307">
        <f t="shared" si="19"/>
        <v>0</v>
      </c>
      <c r="P139" s="732">
        <v>0</v>
      </c>
      <c r="Q139" s="733">
        <v>0</v>
      </c>
      <c r="R139" s="734">
        <f t="shared" si="20"/>
        <v>1</v>
      </c>
      <c r="S139" s="735">
        <f t="shared" si="21"/>
        <v>0</v>
      </c>
      <c r="T139" s="735">
        <f t="shared" si="22"/>
        <v>0</v>
      </c>
      <c r="U139" s="735">
        <f t="shared" si="23"/>
        <v>0</v>
      </c>
      <c r="V139" s="736">
        <f t="shared" si="24"/>
        <v>0</v>
      </c>
      <c r="W139" s="735">
        <f t="shared" si="25"/>
        <v>0</v>
      </c>
      <c r="X139" s="737">
        <f t="shared" si="26"/>
        <v>0</v>
      </c>
      <c r="Y139" s="738">
        <f t="shared" si="27"/>
        <v>0</v>
      </c>
      <c r="Z139" s="627"/>
    </row>
    <row r="140" spans="1:26">
      <c r="A140" s="331" t="s">
        <v>1279</v>
      </c>
      <c r="B140" s="332">
        <v>850</v>
      </c>
      <c r="C140" s="332">
        <v>500</v>
      </c>
      <c r="D140" s="332">
        <v>25</v>
      </c>
      <c r="E140" s="331" t="s">
        <v>1680</v>
      </c>
      <c r="F140" s="333">
        <v>507255.81398474087</v>
      </c>
      <c r="G140" s="332" t="s">
        <v>4</v>
      </c>
      <c r="H140" s="332">
        <v>2017</v>
      </c>
      <c r="I140" s="306">
        <f>+IF($H140=I$2,VLOOKUP($G140,Depreciation!$A$14:$L$18,7,FALSE)/2,IF($H140&lt;I$2,VLOOKUP($G140,Depreciation!$A$14:$L$18,7,FALSE),0))</f>
        <v>0</v>
      </c>
      <c r="J140" s="306">
        <f>+IF($H140=J$2,VLOOKUP($G140,Depreciation!$A$14:$L$18,8,FALSE)/2,IF($H140&lt;J$2,VLOOKUP($G140,Depreciation!$A$14:$L$18,8,FALSE),0))</f>
        <v>0</v>
      </c>
      <c r="K140" s="306">
        <f>+IF($H140=K$2,VLOOKUP($G140,Depreciation!$A$14:$L$18,9,FALSE)/2,IF($H140&lt;K$2,VLOOKUP($G140,Depreciation!$A$14:$L$18,9,FALSE),0))</f>
        <v>1.671703928371859E-2</v>
      </c>
      <c r="L140" s="306">
        <f>+IF($H140=L$2,VLOOKUP($G140,Depreciation!$A$14:$L$18,10,FALSE)/2,IF($H140&lt;L$2,VLOOKUP($G140,Depreciation!$A$14:$L$18,10,FALSE),0))</f>
        <v>3.343407856743718E-2</v>
      </c>
      <c r="M140" s="306">
        <f>+IF($H140=M$2,VLOOKUP($G140,Depreciation!$A$14:$L$18,11,FALSE)/2,IF($H140&lt;M$2,VLOOKUP($G140,Depreciation!$A$14:$L$18,11,FALSE),0))</f>
        <v>3.343407856743718E-2</v>
      </c>
      <c r="N140" s="306">
        <f>+IF($H140=N$2,VLOOKUP($G140,Depreciation!$A$14:$L$18,12,FALSE)/2,IF($H140&lt;N$2,VLOOKUP($G140,Depreciation!$A$14:$L$18,12,FALSE),0))</f>
        <v>3.343407856743718E-2</v>
      </c>
      <c r="O140" s="307">
        <f t="shared" si="19"/>
        <v>0</v>
      </c>
      <c r="P140" s="732">
        <v>0.96203522504892369</v>
      </c>
      <c r="Q140" s="733">
        <v>3.7964774951076322E-2</v>
      </c>
      <c r="R140" s="734">
        <f t="shared" si="20"/>
        <v>0</v>
      </c>
      <c r="S140" s="735">
        <f t="shared" si="21"/>
        <v>0</v>
      </c>
      <c r="T140" s="735">
        <f t="shared" si="22"/>
        <v>0</v>
      </c>
      <c r="U140" s="735">
        <f t="shared" si="23"/>
        <v>0</v>
      </c>
      <c r="V140" s="736">
        <f t="shared" si="24"/>
        <v>0</v>
      </c>
      <c r="W140" s="735">
        <f t="shared" si="25"/>
        <v>0</v>
      </c>
      <c r="X140" s="737">
        <f t="shared" si="26"/>
        <v>0</v>
      </c>
      <c r="Y140" s="738">
        <f t="shared" si="27"/>
        <v>0</v>
      </c>
      <c r="Z140" s="627"/>
    </row>
    <row r="141" spans="1:26">
      <c r="A141" s="331" t="s">
        <v>1279</v>
      </c>
      <c r="B141" s="332">
        <v>850</v>
      </c>
      <c r="C141" s="332">
        <v>500</v>
      </c>
      <c r="D141" s="332">
        <v>25</v>
      </c>
      <c r="E141" s="331" t="s">
        <v>1680</v>
      </c>
      <c r="F141" s="333">
        <v>507255.81398474087</v>
      </c>
      <c r="G141" s="332" t="s">
        <v>4</v>
      </c>
      <c r="H141" s="332">
        <v>2017</v>
      </c>
      <c r="I141" s="306">
        <f>+IF($H141=I$2,VLOOKUP($G141,Depreciation!$A$14:$L$18,7,FALSE)/2,IF($H141&lt;I$2,VLOOKUP($G141,Depreciation!$A$14:$L$18,7,FALSE),0))</f>
        <v>0</v>
      </c>
      <c r="J141" s="306">
        <f>+IF($H141=J$2,VLOOKUP($G141,Depreciation!$A$14:$L$18,8,FALSE)/2,IF($H141&lt;J$2,VLOOKUP($G141,Depreciation!$A$14:$L$18,8,FALSE),0))</f>
        <v>0</v>
      </c>
      <c r="K141" s="306">
        <f>+IF($H141=K$2,VLOOKUP($G141,Depreciation!$A$14:$L$18,9,FALSE)/2,IF($H141&lt;K$2,VLOOKUP($G141,Depreciation!$A$14:$L$18,9,FALSE),0))</f>
        <v>1.671703928371859E-2</v>
      </c>
      <c r="L141" s="306">
        <f>+IF($H141=L$2,VLOOKUP($G141,Depreciation!$A$14:$L$18,10,FALSE)/2,IF($H141&lt;L$2,VLOOKUP($G141,Depreciation!$A$14:$L$18,10,FALSE),0))</f>
        <v>3.343407856743718E-2</v>
      </c>
      <c r="M141" s="306">
        <f>+IF($H141=M$2,VLOOKUP($G141,Depreciation!$A$14:$L$18,11,FALSE)/2,IF($H141&lt;M$2,VLOOKUP($G141,Depreciation!$A$14:$L$18,11,FALSE),0))</f>
        <v>3.343407856743718E-2</v>
      </c>
      <c r="N141" s="306">
        <f>+IF($H141=N$2,VLOOKUP($G141,Depreciation!$A$14:$L$18,12,FALSE)/2,IF($H141&lt;N$2,VLOOKUP($G141,Depreciation!$A$14:$L$18,12,FALSE),0))</f>
        <v>3.343407856743718E-2</v>
      </c>
      <c r="O141" s="307">
        <f t="shared" si="19"/>
        <v>0</v>
      </c>
      <c r="P141" s="732">
        <v>0.96203522504892369</v>
      </c>
      <c r="Q141" s="733">
        <v>3.7964774951076322E-2</v>
      </c>
      <c r="R141" s="734">
        <f t="shared" si="20"/>
        <v>0</v>
      </c>
      <c r="S141" s="735">
        <f t="shared" si="21"/>
        <v>0</v>
      </c>
      <c r="T141" s="735">
        <f t="shared" si="22"/>
        <v>0</v>
      </c>
      <c r="U141" s="735">
        <f t="shared" si="23"/>
        <v>0</v>
      </c>
      <c r="V141" s="736">
        <f t="shared" si="24"/>
        <v>0</v>
      </c>
      <c r="W141" s="735">
        <f t="shared" si="25"/>
        <v>0</v>
      </c>
      <c r="X141" s="737">
        <f t="shared" si="26"/>
        <v>0</v>
      </c>
      <c r="Y141" s="738">
        <f t="shared" si="27"/>
        <v>0</v>
      </c>
      <c r="Z141" s="627"/>
    </row>
    <row r="142" spans="1:26">
      <c r="A142" s="331" t="s">
        <v>1336</v>
      </c>
      <c r="B142" s="332">
        <v>850</v>
      </c>
      <c r="C142" s="332">
        <v>138</v>
      </c>
      <c r="D142" s="332">
        <v>25</v>
      </c>
      <c r="E142" s="331" t="s">
        <v>1558</v>
      </c>
      <c r="F142" s="333">
        <v>3055561.3590470157</v>
      </c>
      <c r="G142" s="332" t="s">
        <v>4</v>
      </c>
      <c r="H142" s="332">
        <v>2017</v>
      </c>
      <c r="I142" s="306">
        <f>+IF($H142=I$2,VLOOKUP($G142,Depreciation!$A$14:$L$18,7,FALSE)/2,IF($H142&lt;I$2,VLOOKUP($G142,Depreciation!$A$14:$L$18,7,FALSE),0))</f>
        <v>0</v>
      </c>
      <c r="J142" s="306">
        <f>+IF($H142=J$2,VLOOKUP($G142,Depreciation!$A$14:$L$18,8,FALSE)/2,IF($H142&lt;J$2,VLOOKUP($G142,Depreciation!$A$14:$L$18,8,FALSE),0))</f>
        <v>0</v>
      </c>
      <c r="K142" s="306">
        <f>+IF($H142=K$2,VLOOKUP($G142,Depreciation!$A$14:$L$18,9,FALSE)/2,IF($H142&lt;K$2,VLOOKUP($G142,Depreciation!$A$14:$L$18,9,FALSE),0))</f>
        <v>1.671703928371859E-2</v>
      </c>
      <c r="L142" s="306">
        <f>+IF($H142=L$2,VLOOKUP($G142,Depreciation!$A$14:$L$18,10,FALSE)/2,IF($H142&lt;L$2,VLOOKUP($G142,Depreciation!$A$14:$L$18,10,FALSE),0))</f>
        <v>3.343407856743718E-2</v>
      </c>
      <c r="M142" s="306">
        <f>+IF($H142=M$2,VLOOKUP($G142,Depreciation!$A$14:$L$18,11,FALSE)/2,IF($H142&lt;M$2,VLOOKUP($G142,Depreciation!$A$14:$L$18,11,FALSE),0))</f>
        <v>3.343407856743718E-2</v>
      </c>
      <c r="N142" s="306">
        <f>+IF($H142=N$2,VLOOKUP($G142,Depreciation!$A$14:$L$18,12,FALSE)/2,IF($H142&lt;N$2,VLOOKUP($G142,Depreciation!$A$14:$L$18,12,FALSE),0))</f>
        <v>3.343407856743718E-2</v>
      </c>
      <c r="O142" s="307">
        <f t="shared" si="19"/>
        <v>0</v>
      </c>
      <c r="P142" s="732">
        <v>0</v>
      </c>
      <c r="Q142" s="733">
        <v>1</v>
      </c>
      <c r="R142" s="734">
        <f t="shared" si="20"/>
        <v>0</v>
      </c>
      <c r="S142" s="735">
        <f t="shared" si="21"/>
        <v>0</v>
      </c>
      <c r="T142" s="735">
        <f t="shared" si="22"/>
        <v>0</v>
      </c>
      <c r="U142" s="735">
        <f t="shared" si="23"/>
        <v>0</v>
      </c>
      <c r="V142" s="736">
        <f t="shared" si="24"/>
        <v>0</v>
      </c>
      <c r="W142" s="735">
        <f t="shared" si="25"/>
        <v>0</v>
      </c>
      <c r="X142" s="737">
        <f t="shared" si="26"/>
        <v>0</v>
      </c>
      <c r="Y142" s="738">
        <f t="shared" si="27"/>
        <v>0</v>
      </c>
      <c r="Z142" s="627"/>
    </row>
    <row r="143" spans="1:26">
      <c r="A143" s="331" t="s">
        <v>1328</v>
      </c>
      <c r="B143" s="332">
        <v>850</v>
      </c>
      <c r="C143" s="332">
        <v>138</v>
      </c>
      <c r="D143" s="332">
        <v>25</v>
      </c>
      <c r="E143" s="331" t="s">
        <v>1559</v>
      </c>
      <c r="F143" s="333">
        <v>4164342.0352394478</v>
      </c>
      <c r="G143" s="332" t="s">
        <v>4</v>
      </c>
      <c r="H143" s="332">
        <v>2017</v>
      </c>
      <c r="I143" s="306">
        <f>+IF($H143=I$2,VLOOKUP($G143,Depreciation!$A$14:$L$18,7,FALSE)/2,IF($H143&lt;I$2,VLOOKUP($G143,Depreciation!$A$14:$L$18,7,FALSE),0))</f>
        <v>0</v>
      </c>
      <c r="J143" s="306">
        <f>+IF($H143=J$2,VLOOKUP($G143,Depreciation!$A$14:$L$18,8,FALSE)/2,IF($H143&lt;J$2,VLOOKUP($G143,Depreciation!$A$14:$L$18,8,FALSE),0))</f>
        <v>0</v>
      </c>
      <c r="K143" s="306">
        <f>+IF($H143=K$2,VLOOKUP($G143,Depreciation!$A$14:$L$18,9,FALSE)/2,IF($H143&lt;K$2,VLOOKUP($G143,Depreciation!$A$14:$L$18,9,FALSE),0))</f>
        <v>1.671703928371859E-2</v>
      </c>
      <c r="L143" s="306">
        <f>+IF($H143=L$2,VLOOKUP($G143,Depreciation!$A$14:$L$18,10,FALSE)/2,IF($H143&lt;L$2,VLOOKUP($G143,Depreciation!$A$14:$L$18,10,FALSE),0))</f>
        <v>3.343407856743718E-2</v>
      </c>
      <c r="M143" s="306">
        <f>+IF($H143=M$2,VLOOKUP($G143,Depreciation!$A$14:$L$18,11,FALSE)/2,IF($H143&lt;M$2,VLOOKUP($G143,Depreciation!$A$14:$L$18,11,FALSE),0))</f>
        <v>3.343407856743718E-2</v>
      </c>
      <c r="N143" s="306">
        <f>+IF($H143=N$2,VLOOKUP($G143,Depreciation!$A$14:$L$18,12,FALSE)/2,IF($H143&lt;N$2,VLOOKUP($G143,Depreciation!$A$14:$L$18,12,FALSE),0))</f>
        <v>3.343407856743718E-2</v>
      </c>
      <c r="O143" s="307">
        <f t="shared" si="19"/>
        <v>0</v>
      </c>
      <c r="P143" s="732">
        <v>0</v>
      </c>
      <c r="Q143" s="733">
        <v>1</v>
      </c>
      <c r="R143" s="734">
        <f t="shared" si="20"/>
        <v>0</v>
      </c>
      <c r="S143" s="735">
        <f t="shared" si="21"/>
        <v>0</v>
      </c>
      <c r="T143" s="735">
        <f t="shared" si="22"/>
        <v>0</v>
      </c>
      <c r="U143" s="735">
        <f t="shared" si="23"/>
        <v>0</v>
      </c>
      <c r="V143" s="736">
        <f t="shared" si="24"/>
        <v>0</v>
      </c>
      <c r="W143" s="735">
        <f t="shared" si="25"/>
        <v>0</v>
      </c>
      <c r="X143" s="737">
        <f t="shared" si="26"/>
        <v>0</v>
      </c>
      <c r="Y143" s="738">
        <f t="shared" si="27"/>
        <v>0</v>
      </c>
      <c r="Z143" s="627"/>
    </row>
    <row r="144" spans="1:26">
      <c r="A144" s="331" t="s">
        <v>1302</v>
      </c>
      <c r="B144" s="332">
        <v>850</v>
      </c>
      <c r="C144" s="332">
        <v>240</v>
      </c>
      <c r="D144" s="332">
        <v>25</v>
      </c>
      <c r="E144" s="331" t="s">
        <v>1560</v>
      </c>
      <c r="F144" s="333">
        <v>171568.00000000006</v>
      </c>
      <c r="G144" s="332" t="s">
        <v>38</v>
      </c>
      <c r="H144" s="332">
        <v>2017</v>
      </c>
      <c r="I144" s="306">
        <f>+IF($H144=I$2,VLOOKUP($G144,Depreciation!$A$14:$L$18,7,FALSE)/2,IF($H144&lt;I$2,VLOOKUP($G144,Depreciation!$A$14:$L$18,7,FALSE),0))</f>
        <v>0</v>
      </c>
      <c r="J144" s="306">
        <f>+IF($H144=J$2,VLOOKUP($G144,Depreciation!$A$14:$L$18,8,FALSE)/2,IF($H144&lt;J$2,VLOOKUP($G144,Depreciation!$A$14:$L$18,8,FALSE),0))</f>
        <v>0</v>
      </c>
      <c r="K144" s="306">
        <f>+IF($H144=K$2,VLOOKUP($G144,Depreciation!$A$14:$L$18,9,FALSE)/2,IF($H144&lt;K$2,VLOOKUP($G144,Depreciation!$A$14:$L$18,9,FALSE),0))</f>
        <v>2.0572631749329395E-2</v>
      </c>
      <c r="L144" s="306">
        <f>+IF($H144=L$2,VLOOKUP($G144,Depreciation!$A$14:$L$18,10,FALSE)/2,IF($H144&lt;L$2,VLOOKUP($G144,Depreciation!$A$14:$L$18,10,FALSE),0))</f>
        <v>4.1145263498658789E-2</v>
      </c>
      <c r="M144" s="306">
        <f>+IF($H144=M$2,VLOOKUP($G144,Depreciation!$A$14:$L$18,11,FALSE)/2,IF($H144&lt;M$2,VLOOKUP($G144,Depreciation!$A$14:$L$18,11,FALSE),0))</f>
        <v>4.1145263498658789E-2</v>
      </c>
      <c r="N144" s="306">
        <f>+IF($H144=N$2,VLOOKUP($G144,Depreciation!$A$14:$L$18,12,FALSE)/2,IF($H144&lt;N$2,VLOOKUP($G144,Depreciation!$A$14:$L$18,12,FALSE),0))</f>
        <v>4.1145263498658789E-2</v>
      </c>
      <c r="O144" s="307">
        <f t="shared" si="19"/>
        <v>0</v>
      </c>
      <c r="P144" s="732">
        <v>0</v>
      </c>
      <c r="Q144" s="733">
        <v>0</v>
      </c>
      <c r="R144" s="734">
        <f t="shared" si="20"/>
        <v>1</v>
      </c>
      <c r="S144" s="735">
        <f t="shared" si="21"/>
        <v>0</v>
      </c>
      <c r="T144" s="735">
        <f t="shared" si="22"/>
        <v>0</v>
      </c>
      <c r="U144" s="735">
        <f t="shared" si="23"/>
        <v>0</v>
      </c>
      <c r="V144" s="736">
        <f t="shared" si="24"/>
        <v>0</v>
      </c>
      <c r="W144" s="735">
        <f t="shared" si="25"/>
        <v>0</v>
      </c>
      <c r="X144" s="737">
        <f t="shared" si="26"/>
        <v>0</v>
      </c>
      <c r="Y144" s="738">
        <f t="shared" si="27"/>
        <v>0</v>
      </c>
      <c r="Z144" s="627"/>
    </row>
    <row r="145" spans="1:26">
      <c r="A145" s="331" t="s">
        <v>1335</v>
      </c>
      <c r="B145" s="332">
        <v>850</v>
      </c>
      <c r="C145" s="332">
        <v>240</v>
      </c>
      <c r="D145" s="332">
        <v>138</v>
      </c>
      <c r="E145" s="331" t="s">
        <v>1561</v>
      </c>
      <c r="F145" s="333">
        <v>59647159.879132695</v>
      </c>
      <c r="G145" s="332" t="s">
        <v>4</v>
      </c>
      <c r="H145" s="332">
        <v>2017</v>
      </c>
      <c r="I145" s="306">
        <f>+IF($H145=I$2,VLOOKUP($G145,Depreciation!$A$14:$L$18,7,FALSE)/2,IF($H145&lt;I$2,VLOOKUP($G145,Depreciation!$A$14:$L$18,7,FALSE),0))</f>
        <v>0</v>
      </c>
      <c r="J145" s="306">
        <f>+IF($H145=J$2,VLOOKUP($G145,Depreciation!$A$14:$L$18,8,FALSE)/2,IF($H145&lt;J$2,VLOOKUP($G145,Depreciation!$A$14:$L$18,8,FALSE),0))</f>
        <v>0</v>
      </c>
      <c r="K145" s="306">
        <f>+IF($H145=K$2,VLOOKUP($G145,Depreciation!$A$14:$L$18,9,FALSE)/2,IF($H145&lt;K$2,VLOOKUP($G145,Depreciation!$A$14:$L$18,9,FALSE),0))</f>
        <v>1.671703928371859E-2</v>
      </c>
      <c r="L145" s="306">
        <f>+IF($H145=L$2,VLOOKUP($G145,Depreciation!$A$14:$L$18,10,FALSE)/2,IF($H145&lt;L$2,VLOOKUP($G145,Depreciation!$A$14:$L$18,10,FALSE),0))</f>
        <v>3.343407856743718E-2</v>
      </c>
      <c r="M145" s="306">
        <f>+IF($H145=M$2,VLOOKUP($G145,Depreciation!$A$14:$L$18,11,FALSE)/2,IF($H145&lt;M$2,VLOOKUP($G145,Depreciation!$A$14:$L$18,11,FALSE),0))</f>
        <v>3.343407856743718E-2</v>
      </c>
      <c r="N145" s="306">
        <f>+IF($H145=N$2,VLOOKUP($G145,Depreciation!$A$14:$L$18,12,FALSE)/2,IF($H145&lt;N$2,VLOOKUP($G145,Depreciation!$A$14:$L$18,12,FALSE),0))</f>
        <v>3.343407856743718E-2</v>
      </c>
      <c r="O145" s="307">
        <f t="shared" si="19"/>
        <v>0</v>
      </c>
      <c r="P145" s="732">
        <v>0</v>
      </c>
      <c r="Q145" s="733">
        <v>0</v>
      </c>
      <c r="R145" s="734">
        <f t="shared" si="20"/>
        <v>1</v>
      </c>
      <c r="S145" s="735">
        <f t="shared" si="21"/>
        <v>0</v>
      </c>
      <c r="T145" s="735">
        <f t="shared" si="22"/>
        <v>0</v>
      </c>
      <c r="U145" s="735">
        <f t="shared" si="23"/>
        <v>0</v>
      </c>
      <c r="V145" s="736">
        <f t="shared" si="24"/>
        <v>0</v>
      </c>
      <c r="W145" s="735">
        <f t="shared" si="25"/>
        <v>0</v>
      </c>
      <c r="X145" s="737">
        <f t="shared" si="26"/>
        <v>0</v>
      </c>
      <c r="Y145" s="738">
        <f t="shared" si="27"/>
        <v>0</v>
      </c>
      <c r="Z145" s="627"/>
    </row>
    <row r="146" spans="1:26">
      <c r="A146" s="331" t="s">
        <v>1337</v>
      </c>
      <c r="B146" s="332">
        <v>850</v>
      </c>
      <c r="C146" s="332">
        <v>138</v>
      </c>
      <c r="D146" s="332">
        <v>25</v>
      </c>
      <c r="E146" s="331" t="s">
        <v>1562</v>
      </c>
      <c r="F146" s="333">
        <v>83551.654618630506</v>
      </c>
      <c r="G146" s="332" t="s">
        <v>4</v>
      </c>
      <c r="H146" s="332">
        <v>2017</v>
      </c>
      <c r="I146" s="306">
        <f>+IF($H146=I$2,VLOOKUP($G146,Depreciation!$A$14:$L$18,7,FALSE)/2,IF($H146&lt;I$2,VLOOKUP($G146,Depreciation!$A$14:$L$18,7,FALSE),0))</f>
        <v>0</v>
      </c>
      <c r="J146" s="306">
        <f>+IF($H146=J$2,VLOOKUP($G146,Depreciation!$A$14:$L$18,8,FALSE)/2,IF($H146&lt;J$2,VLOOKUP($G146,Depreciation!$A$14:$L$18,8,FALSE),0))</f>
        <v>0</v>
      </c>
      <c r="K146" s="306">
        <f>+IF($H146=K$2,VLOOKUP($G146,Depreciation!$A$14:$L$18,9,FALSE)/2,IF($H146&lt;K$2,VLOOKUP($G146,Depreciation!$A$14:$L$18,9,FALSE),0))</f>
        <v>1.671703928371859E-2</v>
      </c>
      <c r="L146" s="306">
        <f>+IF($H146=L$2,VLOOKUP($G146,Depreciation!$A$14:$L$18,10,FALSE)/2,IF($H146&lt;L$2,VLOOKUP($G146,Depreciation!$A$14:$L$18,10,FALSE),0))</f>
        <v>3.343407856743718E-2</v>
      </c>
      <c r="M146" s="306">
        <f>+IF($H146=M$2,VLOOKUP($G146,Depreciation!$A$14:$L$18,11,FALSE)/2,IF($H146&lt;M$2,VLOOKUP($G146,Depreciation!$A$14:$L$18,11,FALSE),0))</f>
        <v>3.343407856743718E-2</v>
      </c>
      <c r="N146" s="306">
        <f>+IF($H146=N$2,VLOOKUP($G146,Depreciation!$A$14:$L$18,12,FALSE)/2,IF($H146&lt;N$2,VLOOKUP($G146,Depreciation!$A$14:$L$18,12,FALSE),0))</f>
        <v>3.343407856743718E-2</v>
      </c>
      <c r="O146" s="307">
        <f t="shared" si="19"/>
        <v>0</v>
      </c>
      <c r="P146" s="732">
        <v>0</v>
      </c>
      <c r="Q146" s="733">
        <v>1</v>
      </c>
      <c r="R146" s="734">
        <f t="shared" si="20"/>
        <v>0</v>
      </c>
      <c r="S146" s="735">
        <f t="shared" si="21"/>
        <v>0</v>
      </c>
      <c r="T146" s="735">
        <f t="shared" si="22"/>
        <v>0</v>
      </c>
      <c r="U146" s="735">
        <f t="shared" si="23"/>
        <v>0</v>
      </c>
      <c r="V146" s="736">
        <f t="shared" si="24"/>
        <v>0</v>
      </c>
      <c r="W146" s="735">
        <f t="shared" si="25"/>
        <v>0</v>
      </c>
      <c r="X146" s="737">
        <f t="shared" si="26"/>
        <v>0</v>
      </c>
      <c r="Y146" s="738">
        <f t="shared" si="27"/>
        <v>0</v>
      </c>
      <c r="Z146" s="627"/>
    </row>
    <row r="147" spans="1:26">
      <c r="A147" s="331" t="s">
        <v>1331</v>
      </c>
      <c r="B147" s="332">
        <v>850</v>
      </c>
      <c r="C147" s="332">
        <v>138</v>
      </c>
      <c r="D147" s="332">
        <v>25</v>
      </c>
      <c r="E147" s="331" t="s">
        <v>1563</v>
      </c>
      <c r="F147" s="333">
        <v>1277016.625539762</v>
      </c>
      <c r="G147" s="332" t="s">
        <v>4</v>
      </c>
      <c r="H147" s="332">
        <v>2017</v>
      </c>
      <c r="I147" s="306">
        <f>+IF($H147=I$2,VLOOKUP($G147,Depreciation!$A$14:$L$18,7,FALSE)/2,IF($H147&lt;I$2,VLOOKUP($G147,Depreciation!$A$14:$L$18,7,FALSE),0))</f>
        <v>0</v>
      </c>
      <c r="J147" s="306">
        <f>+IF($H147=J$2,VLOOKUP($G147,Depreciation!$A$14:$L$18,8,FALSE)/2,IF($H147&lt;J$2,VLOOKUP($G147,Depreciation!$A$14:$L$18,8,FALSE),0))</f>
        <v>0</v>
      </c>
      <c r="K147" s="306">
        <f>+IF($H147=K$2,VLOOKUP($G147,Depreciation!$A$14:$L$18,9,FALSE)/2,IF($H147&lt;K$2,VLOOKUP($G147,Depreciation!$A$14:$L$18,9,FALSE),0))</f>
        <v>1.671703928371859E-2</v>
      </c>
      <c r="L147" s="306">
        <f>+IF($H147=L$2,VLOOKUP($G147,Depreciation!$A$14:$L$18,10,FALSE)/2,IF($H147&lt;L$2,VLOOKUP($G147,Depreciation!$A$14:$L$18,10,FALSE),0))</f>
        <v>3.343407856743718E-2</v>
      </c>
      <c r="M147" s="306">
        <f>+IF($H147=M$2,VLOOKUP($G147,Depreciation!$A$14:$L$18,11,FALSE)/2,IF($H147&lt;M$2,VLOOKUP($G147,Depreciation!$A$14:$L$18,11,FALSE),0))</f>
        <v>3.343407856743718E-2</v>
      </c>
      <c r="N147" s="306">
        <f>+IF($H147=N$2,VLOOKUP($G147,Depreciation!$A$14:$L$18,12,FALSE)/2,IF($H147&lt;N$2,VLOOKUP($G147,Depreciation!$A$14:$L$18,12,FALSE),0))</f>
        <v>3.343407856743718E-2</v>
      </c>
      <c r="O147" s="307">
        <f t="shared" si="19"/>
        <v>0</v>
      </c>
      <c r="P147" s="732">
        <v>0</v>
      </c>
      <c r="Q147" s="733">
        <v>1</v>
      </c>
      <c r="R147" s="734">
        <f t="shared" si="20"/>
        <v>0</v>
      </c>
      <c r="S147" s="735">
        <f t="shared" si="21"/>
        <v>0</v>
      </c>
      <c r="T147" s="735">
        <f t="shared" si="22"/>
        <v>0</v>
      </c>
      <c r="U147" s="735">
        <f t="shared" si="23"/>
        <v>0</v>
      </c>
      <c r="V147" s="736">
        <f t="shared" si="24"/>
        <v>0</v>
      </c>
      <c r="W147" s="735">
        <f t="shared" si="25"/>
        <v>0</v>
      </c>
      <c r="X147" s="737">
        <f t="shared" si="26"/>
        <v>0</v>
      </c>
      <c r="Y147" s="738">
        <f t="shared" si="27"/>
        <v>0</v>
      </c>
      <c r="Z147" s="627"/>
    </row>
    <row r="148" spans="1:26">
      <c r="A148" s="331" t="s">
        <v>1344</v>
      </c>
      <c r="B148" s="332">
        <v>850</v>
      </c>
      <c r="C148" s="332">
        <v>138</v>
      </c>
      <c r="D148" s="332">
        <v>25</v>
      </c>
      <c r="E148" s="331" t="s">
        <v>1564</v>
      </c>
      <c r="F148" s="333">
        <v>84454.731155301823</v>
      </c>
      <c r="G148" s="332" t="s">
        <v>4</v>
      </c>
      <c r="H148" s="332">
        <v>2017</v>
      </c>
      <c r="I148" s="306">
        <f>+IF($H148=I$2,VLOOKUP($G148,Depreciation!$A$14:$L$18,7,FALSE)/2,IF($H148&lt;I$2,VLOOKUP($G148,Depreciation!$A$14:$L$18,7,FALSE),0))</f>
        <v>0</v>
      </c>
      <c r="J148" s="306">
        <f>+IF($H148=J$2,VLOOKUP($G148,Depreciation!$A$14:$L$18,8,FALSE)/2,IF($H148&lt;J$2,VLOOKUP($G148,Depreciation!$A$14:$L$18,8,FALSE),0))</f>
        <v>0</v>
      </c>
      <c r="K148" s="306">
        <f>+IF($H148=K$2,VLOOKUP($G148,Depreciation!$A$14:$L$18,9,FALSE)/2,IF($H148&lt;K$2,VLOOKUP($G148,Depreciation!$A$14:$L$18,9,FALSE),0))</f>
        <v>1.671703928371859E-2</v>
      </c>
      <c r="L148" s="306">
        <f>+IF($H148=L$2,VLOOKUP($G148,Depreciation!$A$14:$L$18,10,FALSE)/2,IF($H148&lt;L$2,VLOOKUP($G148,Depreciation!$A$14:$L$18,10,FALSE),0))</f>
        <v>3.343407856743718E-2</v>
      </c>
      <c r="M148" s="306">
        <f>+IF($H148=M$2,VLOOKUP($G148,Depreciation!$A$14:$L$18,11,FALSE)/2,IF($H148&lt;M$2,VLOOKUP($G148,Depreciation!$A$14:$L$18,11,FALSE),0))</f>
        <v>3.343407856743718E-2</v>
      </c>
      <c r="N148" s="306">
        <f>+IF($H148=N$2,VLOOKUP($G148,Depreciation!$A$14:$L$18,12,FALSE)/2,IF($H148&lt;N$2,VLOOKUP($G148,Depreciation!$A$14:$L$18,12,FALSE),0))</f>
        <v>3.343407856743718E-2</v>
      </c>
      <c r="O148" s="307">
        <f t="shared" si="19"/>
        <v>0</v>
      </c>
      <c r="P148" s="732">
        <v>0</v>
      </c>
      <c r="Q148" s="733">
        <v>1</v>
      </c>
      <c r="R148" s="734">
        <f t="shared" si="20"/>
        <v>0</v>
      </c>
      <c r="S148" s="735">
        <f t="shared" si="21"/>
        <v>0</v>
      </c>
      <c r="T148" s="735">
        <f t="shared" si="22"/>
        <v>0</v>
      </c>
      <c r="U148" s="735">
        <f t="shared" si="23"/>
        <v>0</v>
      </c>
      <c r="V148" s="736">
        <f t="shared" si="24"/>
        <v>0</v>
      </c>
      <c r="W148" s="735">
        <f t="shared" si="25"/>
        <v>0</v>
      </c>
      <c r="X148" s="737">
        <f t="shared" si="26"/>
        <v>0</v>
      </c>
      <c r="Y148" s="738">
        <f t="shared" si="27"/>
        <v>0</v>
      </c>
      <c r="Z148" s="627"/>
    </row>
    <row r="149" spans="1:26">
      <c r="A149" s="331" t="s">
        <v>1332</v>
      </c>
      <c r="B149" s="332">
        <v>850</v>
      </c>
      <c r="C149" s="332">
        <v>138</v>
      </c>
      <c r="D149" s="332">
        <v>25</v>
      </c>
      <c r="E149" s="331" t="s">
        <v>1565</v>
      </c>
      <c r="F149" s="333">
        <v>1153188.8957173596</v>
      </c>
      <c r="G149" s="332" t="s">
        <v>4</v>
      </c>
      <c r="H149" s="332">
        <v>2017</v>
      </c>
      <c r="I149" s="306">
        <f>+IF($H149=I$2,VLOOKUP($G149,Depreciation!$A$14:$L$18,7,FALSE)/2,IF($H149&lt;I$2,VLOOKUP($G149,Depreciation!$A$14:$L$18,7,FALSE),0))</f>
        <v>0</v>
      </c>
      <c r="J149" s="306">
        <f>+IF($H149=J$2,VLOOKUP($G149,Depreciation!$A$14:$L$18,8,FALSE)/2,IF($H149&lt;J$2,VLOOKUP($G149,Depreciation!$A$14:$L$18,8,FALSE),0))</f>
        <v>0</v>
      </c>
      <c r="K149" s="306">
        <f>+IF($H149=K$2,VLOOKUP($G149,Depreciation!$A$14:$L$18,9,FALSE)/2,IF($H149&lt;K$2,VLOOKUP($G149,Depreciation!$A$14:$L$18,9,FALSE),0))</f>
        <v>1.671703928371859E-2</v>
      </c>
      <c r="L149" s="306">
        <f>+IF($H149=L$2,VLOOKUP($G149,Depreciation!$A$14:$L$18,10,FALSE)/2,IF($H149&lt;L$2,VLOOKUP($G149,Depreciation!$A$14:$L$18,10,FALSE),0))</f>
        <v>3.343407856743718E-2</v>
      </c>
      <c r="M149" s="306">
        <f>+IF($H149=M$2,VLOOKUP($G149,Depreciation!$A$14:$L$18,11,FALSE)/2,IF($H149&lt;M$2,VLOOKUP($G149,Depreciation!$A$14:$L$18,11,FALSE),0))</f>
        <v>3.343407856743718E-2</v>
      </c>
      <c r="N149" s="306">
        <f>+IF($H149=N$2,VLOOKUP($G149,Depreciation!$A$14:$L$18,12,FALSE)/2,IF($H149&lt;N$2,VLOOKUP($G149,Depreciation!$A$14:$L$18,12,FALSE),0))</f>
        <v>3.343407856743718E-2</v>
      </c>
      <c r="O149" s="307">
        <f t="shared" si="19"/>
        <v>0</v>
      </c>
      <c r="P149" s="732">
        <v>0</v>
      </c>
      <c r="Q149" s="733">
        <v>1</v>
      </c>
      <c r="R149" s="734">
        <f t="shared" si="20"/>
        <v>0</v>
      </c>
      <c r="S149" s="735">
        <f t="shared" si="21"/>
        <v>0</v>
      </c>
      <c r="T149" s="735">
        <f t="shared" si="22"/>
        <v>0</v>
      </c>
      <c r="U149" s="735">
        <f t="shared" si="23"/>
        <v>0</v>
      </c>
      <c r="V149" s="736">
        <f t="shared" si="24"/>
        <v>0</v>
      </c>
      <c r="W149" s="735">
        <f t="shared" si="25"/>
        <v>0</v>
      </c>
      <c r="X149" s="737">
        <f t="shared" si="26"/>
        <v>0</v>
      </c>
      <c r="Y149" s="738">
        <f t="shared" si="27"/>
        <v>0</v>
      </c>
      <c r="Z149" s="627"/>
    </row>
    <row r="150" spans="1:26">
      <c r="A150" s="331" t="s">
        <v>1282</v>
      </c>
      <c r="B150" s="332">
        <v>850</v>
      </c>
      <c r="C150" s="332">
        <v>240</v>
      </c>
      <c r="D150" s="332">
        <v>138</v>
      </c>
      <c r="E150" s="331" t="s">
        <v>1566</v>
      </c>
      <c r="F150" s="333">
        <v>475507.74094974546</v>
      </c>
      <c r="G150" s="332" t="s">
        <v>4</v>
      </c>
      <c r="H150" s="332">
        <v>2017</v>
      </c>
      <c r="I150" s="306">
        <f>+IF($H150=I$2,VLOOKUP($G150,Depreciation!$A$14:$L$18,7,FALSE)/2,IF($H150&lt;I$2,VLOOKUP($G150,Depreciation!$A$14:$L$18,7,FALSE),0))</f>
        <v>0</v>
      </c>
      <c r="J150" s="306">
        <f>+IF($H150=J$2,VLOOKUP($G150,Depreciation!$A$14:$L$18,8,FALSE)/2,IF($H150&lt;J$2,VLOOKUP($G150,Depreciation!$A$14:$L$18,8,FALSE),0))</f>
        <v>0</v>
      </c>
      <c r="K150" s="306">
        <f>+IF($H150=K$2,VLOOKUP($G150,Depreciation!$A$14:$L$18,9,FALSE)/2,IF($H150&lt;K$2,VLOOKUP($G150,Depreciation!$A$14:$L$18,9,FALSE),0))</f>
        <v>1.671703928371859E-2</v>
      </c>
      <c r="L150" s="306">
        <f>+IF($H150=L$2,VLOOKUP($G150,Depreciation!$A$14:$L$18,10,FALSE)/2,IF($H150&lt;L$2,VLOOKUP($G150,Depreciation!$A$14:$L$18,10,FALSE),0))</f>
        <v>3.343407856743718E-2</v>
      </c>
      <c r="M150" s="306">
        <f>+IF($H150=M$2,VLOOKUP($G150,Depreciation!$A$14:$L$18,11,FALSE)/2,IF($H150&lt;M$2,VLOOKUP($G150,Depreciation!$A$14:$L$18,11,FALSE),0))</f>
        <v>3.343407856743718E-2</v>
      </c>
      <c r="N150" s="306">
        <f>+IF($H150=N$2,VLOOKUP($G150,Depreciation!$A$14:$L$18,12,FALSE)/2,IF($H150&lt;N$2,VLOOKUP($G150,Depreciation!$A$14:$L$18,12,FALSE),0))</f>
        <v>3.343407856743718E-2</v>
      </c>
      <c r="O150" s="307">
        <f t="shared" si="19"/>
        <v>0</v>
      </c>
      <c r="P150" s="732">
        <v>0</v>
      </c>
      <c r="Q150" s="733">
        <v>0</v>
      </c>
      <c r="R150" s="734">
        <f t="shared" si="20"/>
        <v>1</v>
      </c>
      <c r="S150" s="735">
        <f t="shared" si="21"/>
        <v>0</v>
      </c>
      <c r="T150" s="735">
        <f t="shared" si="22"/>
        <v>0</v>
      </c>
      <c r="U150" s="735">
        <f t="shared" si="23"/>
        <v>0</v>
      </c>
      <c r="V150" s="736">
        <f t="shared" si="24"/>
        <v>0</v>
      </c>
      <c r="W150" s="735">
        <f t="shared" si="25"/>
        <v>0</v>
      </c>
      <c r="X150" s="737">
        <f t="shared" si="26"/>
        <v>0</v>
      </c>
      <c r="Y150" s="738">
        <f t="shared" si="27"/>
        <v>0</v>
      </c>
      <c r="Z150" s="627"/>
    </row>
    <row r="151" spans="1:26">
      <c r="A151" s="331" t="s">
        <v>1896</v>
      </c>
      <c r="B151" s="332">
        <v>859</v>
      </c>
      <c r="C151" s="332">
        <v>138</v>
      </c>
      <c r="D151" s="332">
        <v>25</v>
      </c>
      <c r="E151" s="331" t="s">
        <v>1979</v>
      </c>
      <c r="F151" s="333">
        <v>37991871.591546685</v>
      </c>
      <c r="G151" s="332" t="s">
        <v>64</v>
      </c>
      <c r="H151" s="332">
        <v>2015</v>
      </c>
      <c r="I151" s="306">
        <f>+IF($H151=I$2,VLOOKUP($G151,Depreciation!$A$14:$L$18,7,FALSE)/2,IF($H151&lt;I$2,VLOOKUP($G151,Depreciation!$A$14:$L$18,7,FALSE),0))</f>
        <v>1.3928409269726289E-2</v>
      </c>
      <c r="J151" s="306">
        <f>+IF($H151=J$2,VLOOKUP($G151,Depreciation!$A$14:$L$18,8,FALSE)/2,IF($H151&lt;J$2,VLOOKUP($G151,Depreciation!$A$14:$L$18,8,FALSE),0))</f>
        <v>2.7856818539452578E-2</v>
      </c>
      <c r="K151" s="306">
        <f>+IF($H151=K$2,VLOOKUP($G151,Depreciation!$A$14:$L$18,9,FALSE)/2,IF($H151&lt;K$2,VLOOKUP($G151,Depreciation!$A$14:$L$18,9,FALSE),0))</f>
        <v>2.7856818539452578E-2</v>
      </c>
      <c r="L151" s="306">
        <f>+IF($H151=L$2,VLOOKUP($G151,Depreciation!$A$14:$L$18,10,FALSE)/2,IF($H151&lt;L$2,VLOOKUP($G151,Depreciation!$A$14:$L$18,10,FALSE),0))</f>
        <v>2.7856818539452578E-2</v>
      </c>
      <c r="M151" s="306">
        <f>+IF($H151=M$2,VLOOKUP($G151,Depreciation!$A$14:$L$18,11,FALSE)/2,IF($H151&lt;M$2,VLOOKUP($G151,Depreciation!$A$14:$L$18,11,FALSE),0))</f>
        <v>2.7856818539452578E-2</v>
      </c>
      <c r="N151" s="306">
        <f>+IF($H151=N$2,VLOOKUP($G151,Depreciation!$A$14:$L$18,12,FALSE)/2,IF($H151&lt;N$2,VLOOKUP($G151,Depreciation!$A$14:$L$18,12,FALSE),0))</f>
        <v>2.7856818539452578E-2</v>
      </c>
      <c r="O151" s="307">
        <f t="shared" si="19"/>
        <v>37462705.255096734</v>
      </c>
      <c r="P151" s="732">
        <v>0</v>
      </c>
      <c r="Q151" s="733">
        <v>1</v>
      </c>
      <c r="R151" s="734">
        <f t="shared" si="20"/>
        <v>0</v>
      </c>
      <c r="S151" s="735">
        <f t="shared" si="21"/>
        <v>0</v>
      </c>
      <c r="T151" s="735">
        <f t="shared" si="22"/>
        <v>37462705.255096734</v>
      </c>
      <c r="U151" s="735">
        <f t="shared" si="23"/>
        <v>0</v>
      </c>
      <c r="V151" s="736">
        <f t="shared" si="24"/>
        <v>0</v>
      </c>
      <c r="W151" s="735">
        <f t="shared" si="25"/>
        <v>0</v>
      </c>
      <c r="X151" s="737">
        <f t="shared" si="26"/>
        <v>0</v>
      </c>
      <c r="Y151" s="738">
        <f t="shared" si="27"/>
        <v>37462705.255096734</v>
      </c>
      <c r="Z151" s="627"/>
    </row>
    <row r="152" spans="1:26">
      <c r="A152" s="331" t="s">
        <v>1274</v>
      </c>
      <c r="B152" s="332">
        <v>882</v>
      </c>
      <c r="C152" s="332">
        <v>240</v>
      </c>
      <c r="D152" s="332">
        <v>138</v>
      </c>
      <c r="E152" s="331" t="s">
        <v>1567</v>
      </c>
      <c r="F152" s="333">
        <v>358753.33155285398</v>
      </c>
      <c r="G152" s="332" t="s">
        <v>4</v>
      </c>
      <c r="H152" s="332">
        <v>2015</v>
      </c>
      <c r="I152" s="306">
        <f>+IF($H152=I$2,VLOOKUP($G152,Depreciation!$A$14:$L$18,7,FALSE)/2,IF($H152&lt;I$2,VLOOKUP($G152,Depreciation!$A$14:$L$18,7,FALSE),0))</f>
        <v>1.7228380322441735E-2</v>
      </c>
      <c r="J152" s="306">
        <f>+IF($H152=J$2,VLOOKUP($G152,Depreciation!$A$14:$L$18,8,FALSE)/2,IF($H152&lt;J$2,VLOOKUP($G152,Depreciation!$A$14:$L$18,8,FALSE),0))</f>
        <v>3.343407856743718E-2</v>
      </c>
      <c r="K152" s="306">
        <f>+IF($H152=K$2,VLOOKUP($G152,Depreciation!$A$14:$L$18,9,FALSE)/2,IF($H152&lt;K$2,VLOOKUP($G152,Depreciation!$A$14:$L$18,9,FALSE),0))</f>
        <v>3.343407856743718E-2</v>
      </c>
      <c r="L152" s="306">
        <f>+IF($H152=L$2,VLOOKUP($G152,Depreciation!$A$14:$L$18,10,FALSE)/2,IF($H152&lt;L$2,VLOOKUP($G152,Depreciation!$A$14:$L$18,10,FALSE),0))</f>
        <v>3.343407856743718E-2</v>
      </c>
      <c r="M152" s="306">
        <f>+IF($H152=M$2,VLOOKUP($G152,Depreciation!$A$14:$L$18,11,FALSE)/2,IF($H152&lt;M$2,VLOOKUP($G152,Depreciation!$A$14:$L$18,11,FALSE),0))</f>
        <v>3.343407856743718E-2</v>
      </c>
      <c r="N152" s="306">
        <f>+IF($H152=N$2,VLOOKUP($G152,Depreciation!$A$14:$L$18,12,FALSE)/2,IF($H152&lt;N$2,VLOOKUP($G152,Depreciation!$A$14:$L$18,12,FALSE),0))</f>
        <v>3.343407856743718E-2</v>
      </c>
      <c r="O152" s="307">
        <f t="shared" si="19"/>
        <v>352572.59271491837</v>
      </c>
      <c r="P152" s="732">
        <v>0</v>
      </c>
      <c r="Q152" s="733">
        <v>0</v>
      </c>
      <c r="R152" s="734">
        <f t="shared" si="20"/>
        <v>1</v>
      </c>
      <c r="S152" s="735">
        <f t="shared" si="21"/>
        <v>0</v>
      </c>
      <c r="T152" s="735">
        <f t="shared" si="22"/>
        <v>0</v>
      </c>
      <c r="U152" s="735">
        <f t="shared" si="23"/>
        <v>352572.59271491837</v>
      </c>
      <c r="V152" s="736">
        <f t="shared" si="24"/>
        <v>0</v>
      </c>
      <c r="W152" s="735">
        <f t="shared" si="25"/>
        <v>0</v>
      </c>
      <c r="X152" s="737">
        <f t="shared" si="26"/>
        <v>352572.59271491837</v>
      </c>
      <c r="Y152" s="738">
        <f t="shared" si="27"/>
        <v>0</v>
      </c>
      <c r="Z152" s="627"/>
    </row>
    <row r="153" spans="1:26">
      <c r="A153" s="331" t="s">
        <v>1287</v>
      </c>
      <c r="B153" s="332">
        <v>882</v>
      </c>
      <c r="C153" s="332">
        <v>240</v>
      </c>
      <c r="D153" s="332">
        <v>138</v>
      </c>
      <c r="E153" s="331" t="s">
        <v>1525</v>
      </c>
      <c r="F153" s="333">
        <v>309435.01757324504</v>
      </c>
      <c r="G153" s="332" t="s">
        <v>4</v>
      </c>
      <c r="H153" s="332">
        <v>2015</v>
      </c>
      <c r="I153" s="306">
        <f>+IF($H153=I$2,VLOOKUP($G153,Depreciation!$A$14:$L$18,7,FALSE)/2,IF($H153&lt;I$2,VLOOKUP($G153,Depreciation!$A$14:$L$18,7,FALSE),0))</f>
        <v>1.7228380322441735E-2</v>
      </c>
      <c r="J153" s="306">
        <f>+IF($H153=J$2,VLOOKUP($G153,Depreciation!$A$14:$L$18,8,FALSE)/2,IF($H153&lt;J$2,VLOOKUP($G153,Depreciation!$A$14:$L$18,8,FALSE),0))</f>
        <v>3.343407856743718E-2</v>
      </c>
      <c r="K153" s="306">
        <f>+IF($H153=K$2,VLOOKUP($G153,Depreciation!$A$14:$L$18,9,FALSE)/2,IF($H153&lt;K$2,VLOOKUP($G153,Depreciation!$A$14:$L$18,9,FALSE),0))</f>
        <v>3.343407856743718E-2</v>
      </c>
      <c r="L153" s="306">
        <f>+IF($H153=L$2,VLOOKUP($G153,Depreciation!$A$14:$L$18,10,FALSE)/2,IF($H153&lt;L$2,VLOOKUP($G153,Depreciation!$A$14:$L$18,10,FALSE),0))</f>
        <v>3.343407856743718E-2</v>
      </c>
      <c r="M153" s="306">
        <f>+IF($H153=M$2,VLOOKUP($G153,Depreciation!$A$14:$L$18,11,FALSE)/2,IF($H153&lt;M$2,VLOOKUP($G153,Depreciation!$A$14:$L$18,11,FALSE),0))</f>
        <v>3.343407856743718E-2</v>
      </c>
      <c r="N153" s="306">
        <f>+IF($H153=N$2,VLOOKUP($G153,Depreciation!$A$14:$L$18,12,FALSE)/2,IF($H153&lt;N$2,VLOOKUP($G153,Depreciation!$A$14:$L$18,12,FALSE),0))</f>
        <v>3.343407856743718E-2</v>
      </c>
      <c r="O153" s="307">
        <f t="shared" si="19"/>
        <v>304103.95340541174</v>
      </c>
      <c r="P153" s="732">
        <v>0</v>
      </c>
      <c r="Q153" s="733">
        <v>0</v>
      </c>
      <c r="R153" s="734">
        <f t="shared" si="20"/>
        <v>1</v>
      </c>
      <c r="S153" s="735">
        <f t="shared" si="21"/>
        <v>0</v>
      </c>
      <c r="T153" s="735">
        <f t="shared" si="22"/>
        <v>0</v>
      </c>
      <c r="U153" s="735">
        <f t="shared" si="23"/>
        <v>304103.95340541174</v>
      </c>
      <c r="V153" s="736">
        <f t="shared" si="24"/>
        <v>0</v>
      </c>
      <c r="W153" s="735">
        <f t="shared" si="25"/>
        <v>0</v>
      </c>
      <c r="X153" s="737">
        <f t="shared" si="26"/>
        <v>304103.95340541174</v>
      </c>
      <c r="Y153" s="738">
        <f t="shared" si="27"/>
        <v>0</v>
      </c>
      <c r="Z153" s="627"/>
    </row>
    <row r="154" spans="1:26">
      <c r="A154" s="331" t="s">
        <v>1284</v>
      </c>
      <c r="B154" s="332">
        <v>882</v>
      </c>
      <c r="C154" s="332">
        <v>240</v>
      </c>
      <c r="D154" s="332">
        <v>240</v>
      </c>
      <c r="E154" s="331" t="s">
        <v>1568</v>
      </c>
      <c r="F154" s="333">
        <v>42547759.969354637</v>
      </c>
      <c r="G154" s="332" t="s">
        <v>4</v>
      </c>
      <c r="H154" s="332">
        <v>2015</v>
      </c>
      <c r="I154" s="306">
        <f>+IF($H154=I$2,VLOOKUP($G154,Depreciation!$A$14:$L$18,7,FALSE)/2,IF($H154&lt;I$2,VLOOKUP($G154,Depreciation!$A$14:$L$18,7,FALSE),0))</f>
        <v>1.7228380322441735E-2</v>
      </c>
      <c r="J154" s="306">
        <f>+IF($H154=J$2,VLOOKUP($G154,Depreciation!$A$14:$L$18,8,FALSE)/2,IF($H154&lt;J$2,VLOOKUP($G154,Depreciation!$A$14:$L$18,8,FALSE),0))</f>
        <v>3.343407856743718E-2</v>
      </c>
      <c r="K154" s="306">
        <f>+IF($H154=K$2,VLOOKUP($G154,Depreciation!$A$14:$L$18,9,FALSE)/2,IF($H154&lt;K$2,VLOOKUP($G154,Depreciation!$A$14:$L$18,9,FALSE),0))</f>
        <v>3.343407856743718E-2</v>
      </c>
      <c r="L154" s="306">
        <f>+IF($H154=L$2,VLOOKUP($G154,Depreciation!$A$14:$L$18,10,FALSE)/2,IF($H154&lt;L$2,VLOOKUP($G154,Depreciation!$A$14:$L$18,10,FALSE),0))</f>
        <v>3.343407856743718E-2</v>
      </c>
      <c r="M154" s="306">
        <f>+IF($H154=M$2,VLOOKUP($G154,Depreciation!$A$14:$L$18,11,FALSE)/2,IF($H154&lt;M$2,VLOOKUP($G154,Depreciation!$A$14:$L$18,11,FALSE),0))</f>
        <v>3.343407856743718E-2</v>
      </c>
      <c r="N154" s="306">
        <f>+IF($H154=N$2,VLOOKUP($G154,Depreciation!$A$14:$L$18,12,FALSE)/2,IF($H154&lt;N$2,VLOOKUP($G154,Depreciation!$A$14:$L$18,12,FALSE),0))</f>
        <v>3.343407856743718E-2</v>
      </c>
      <c r="O154" s="307">
        <f t="shared" si="19"/>
        <v>41814730.978734635</v>
      </c>
      <c r="P154" s="732">
        <v>0</v>
      </c>
      <c r="Q154" s="733">
        <v>0</v>
      </c>
      <c r="R154" s="734">
        <f t="shared" si="20"/>
        <v>1</v>
      </c>
      <c r="S154" s="735">
        <f t="shared" si="21"/>
        <v>0</v>
      </c>
      <c r="T154" s="735">
        <f t="shared" si="22"/>
        <v>0</v>
      </c>
      <c r="U154" s="735">
        <f t="shared" si="23"/>
        <v>41814730.978734635</v>
      </c>
      <c r="V154" s="736">
        <f t="shared" si="24"/>
        <v>0</v>
      </c>
      <c r="W154" s="735">
        <f t="shared" si="25"/>
        <v>41814730.978734635</v>
      </c>
      <c r="X154" s="737">
        <f t="shared" si="26"/>
        <v>0</v>
      </c>
      <c r="Y154" s="738">
        <f t="shared" si="27"/>
        <v>0</v>
      </c>
      <c r="Z154" s="627"/>
    </row>
    <row r="155" spans="1:26">
      <c r="A155" s="331" t="s">
        <v>1283</v>
      </c>
      <c r="B155" s="332">
        <v>882</v>
      </c>
      <c r="C155" s="332">
        <v>240</v>
      </c>
      <c r="D155" s="332">
        <v>138</v>
      </c>
      <c r="E155" s="331" t="s">
        <v>1569</v>
      </c>
      <c r="F155" s="333">
        <v>73372187.647627547</v>
      </c>
      <c r="G155" s="332" t="s">
        <v>4</v>
      </c>
      <c r="H155" s="332">
        <v>2015</v>
      </c>
      <c r="I155" s="306">
        <f>+IF($H155=I$2,VLOOKUP($G155,Depreciation!$A$14:$L$18,7,FALSE)/2,IF($H155&lt;I$2,VLOOKUP($G155,Depreciation!$A$14:$L$18,7,FALSE),0))</f>
        <v>1.7228380322441735E-2</v>
      </c>
      <c r="J155" s="306">
        <f>+IF($H155=J$2,VLOOKUP($G155,Depreciation!$A$14:$L$18,8,FALSE)/2,IF($H155&lt;J$2,VLOOKUP($G155,Depreciation!$A$14:$L$18,8,FALSE),0))</f>
        <v>3.343407856743718E-2</v>
      </c>
      <c r="K155" s="306">
        <f>+IF($H155=K$2,VLOOKUP($G155,Depreciation!$A$14:$L$18,9,FALSE)/2,IF($H155&lt;K$2,VLOOKUP($G155,Depreciation!$A$14:$L$18,9,FALSE),0))</f>
        <v>3.343407856743718E-2</v>
      </c>
      <c r="L155" s="306">
        <f>+IF($H155=L$2,VLOOKUP($G155,Depreciation!$A$14:$L$18,10,FALSE)/2,IF($H155&lt;L$2,VLOOKUP($G155,Depreciation!$A$14:$L$18,10,FALSE),0))</f>
        <v>3.343407856743718E-2</v>
      </c>
      <c r="M155" s="306">
        <f>+IF($H155=M$2,VLOOKUP($G155,Depreciation!$A$14:$L$18,11,FALSE)/2,IF($H155&lt;M$2,VLOOKUP($G155,Depreciation!$A$14:$L$18,11,FALSE),0))</f>
        <v>3.343407856743718E-2</v>
      </c>
      <c r="N155" s="306">
        <f>+IF($H155=N$2,VLOOKUP($G155,Depreciation!$A$14:$L$18,12,FALSE)/2,IF($H155&lt;N$2,VLOOKUP($G155,Depreciation!$A$14:$L$18,12,FALSE),0))</f>
        <v>3.343407856743718E-2</v>
      </c>
      <c r="O155" s="307">
        <f t="shared" si="19"/>
        <v>72108103.693744659</v>
      </c>
      <c r="P155" s="732">
        <v>0</v>
      </c>
      <c r="Q155" s="733">
        <v>0</v>
      </c>
      <c r="R155" s="734">
        <f t="shared" si="20"/>
        <v>1</v>
      </c>
      <c r="S155" s="735">
        <f t="shared" si="21"/>
        <v>0</v>
      </c>
      <c r="T155" s="735">
        <f t="shared" si="22"/>
        <v>0</v>
      </c>
      <c r="U155" s="735">
        <f t="shared" si="23"/>
        <v>72108103.693744659</v>
      </c>
      <c r="V155" s="736">
        <f t="shared" si="24"/>
        <v>0</v>
      </c>
      <c r="W155" s="735">
        <f t="shared" si="25"/>
        <v>0</v>
      </c>
      <c r="X155" s="737">
        <f t="shared" si="26"/>
        <v>72108103.693744659</v>
      </c>
      <c r="Y155" s="738">
        <f t="shared" si="27"/>
        <v>0</v>
      </c>
      <c r="Z155" s="627"/>
    </row>
    <row r="156" spans="1:26">
      <c r="A156" s="331" t="s">
        <v>1315</v>
      </c>
      <c r="B156" s="332">
        <v>888</v>
      </c>
      <c r="C156" s="332">
        <v>240</v>
      </c>
      <c r="D156" s="332">
        <v>138</v>
      </c>
      <c r="E156" s="331" t="s">
        <v>1570</v>
      </c>
      <c r="F156" s="333">
        <v>31598804.467574589</v>
      </c>
      <c r="G156" s="332" t="s">
        <v>4</v>
      </c>
      <c r="H156" s="332">
        <v>2016</v>
      </c>
      <c r="I156" s="306">
        <f>+IF($H156=I$2,VLOOKUP($G156,Depreciation!$A$14:$L$18,7,FALSE)/2,IF($H156&lt;I$2,VLOOKUP($G156,Depreciation!$A$14:$L$18,7,FALSE),0))</f>
        <v>0</v>
      </c>
      <c r="J156" s="306">
        <f>+IF($H156=J$2,VLOOKUP($G156,Depreciation!$A$14:$L$18,8,FALSE)/2,IF($H156&lt;J$2,VLOOKUP($G156,Depreciation!$A$14:$L$18,8,FALSE),0))</f>
        <v>1.671703928371859E-2</v>
      </c>
      <c r="K156" s="306">
        <f>+IF($H156=K$2,VLOOKUP($G156,Depreciation!$A$14:$L$18,9,FALSE)/2,IF($H156&lt;K$2,VLOOKUP($G156,Depreciation!$A$14:$L$18,9,FALSE),0))</f>
        <v>3.343407856743718E-2</v>
      </c>
      <c r="L156" s="306">
        <f>+IF($H156=L$2,VLOOKUP($G156,Depreciation!$A$14:$L$18,10,FALSE)/2,IF($H156&lt;L$2,VLOOKUP($G156,Depreciation!$A$14:$L$18,10,FALSE),0))</f>
        <v>3.343407856743718E-2</v>
      </c>
      <c r="M156" s="306">
        <f>+IF($H156=M$2,VLOOKUP($G156,Depreciation!$A$14:$L$18,11,FALSE)/2,IF($H156&lt;M$2,VLOOKUP($G156,Depreciation!$A$14:$L$18,11,FALSE),0))</f>
        <v>3.343407856743718E-2</v>
      </c>
      <c r="N156" s="306">
        <f>+IF($H156=N$2,VLOOKUP($G156,Depreciation!$A$14:$L$18,12,FALSE)/2,IF($H156&lt;N$2,VLOOKUP($G156,Depreciation!$A$14:$L$18,12,FALSE),0))</f>
        <v>3.343407856743718E-2</v>
      </c>
      <c r="O156" s="307">
        <f t="shared" si="19"/>
        <v>0</v>
      </c>
      <c r="P156" s="732">
        <v>0</v>
      </c>
      <c r="Q156" s="733">
        <v>0</v>
      </c>
      <c r="R156" s="734">
        <f t="shared" si="20"/>
        <v>1</v>
      </c>
      <c r="S156" s="735">
        <f t="shared" si="21"/>
        <v>0</v>
      </c>
      <c r="T156" s="735">
        <f t="shared" si="22"/>
        <v>0</v>
      </c>
      <c r="U156" s="735">
        <f t="shared" si="23"/>
        <v>0</v>
      </c>
      <c r="V156" s="736">
        <f t="shared" si="24"/>
        <v>0</v>
      </c>
      <c r="W156" s="735">
        <f t="shared" si="25"/>
        <v>0</v>
      </c>
      <c r="X156" s="737">
        <f t="shared" si="26"/>
        <v>0</v>
      </c>
      <c r="Y156" s="738">
        <f t="shared" si="27"/>
        <v>0</v>
      </c>
      <c r="Z156" s="627"/>
    </row>
    <row r="157" spans="1:26">
      <c r="A157" s="331" t="s">
        <v>1321</v>
      </c>
      <c r="B157" s="332">
        <v>888</v>
      </c>
      <c r="C157" s="332">
        <v>240</v>
      </c>
      <c r="D157" s="332">
        <v>25</v>
      </c>
      <c r="E157" s="331" t="s">
        <v>1571</v>
      </c>
      <c r="F157" s="333">
        <v>1075414.0279138924</v>
      </c>
      <c r="G157" s="332" t="s">
        <v>4</v>
      </c>
      <c r="H157" s="332">
        <v>2016</v>
      </c>
      <c r="I157" s="306">
        <f>+IF($H157=I$2,VLOOKUP($G157,Depreciation!$A$14:$L$18,7,FALSE)/2,IF($H157&lt;I$2,VLOOKUP($G157,Depreciation!$A$14:$L$18,7,FALSE),0))</f>
        <v>0</v>
      </c>
      <c r="J157" s="306">
        <f>+IF($H157=J$2,VLOOKUP($G157,Depreciation!$A$14:$L$18,8,FALSE)/2,IF($H157&lt;J$2,VLOOKUP($G157,Depreciation!$A$14:$L$18,8,FALSE),0))</f>
        <v>1.671703928371859E-2</v>
      </c>
      <c r="K157" s="306">
        <f>+IF($H157=K$2,VLOOKUP($G157,Depreciation!$A$14:$L$18,9,FALSE)/2,IF($H157&lt;K$2,VLOOKUP($G157,Depreciation!$A$14:$L$18,9,FALSE),0))</f>
        <v>3.343407856743718E-2</v>
      </c>
      <c r="L157" s="306">
        <f>+IF($H157=L$2,VLOOKUP($G157,Depreciation!$A$14:$L$18,10,FALSE)/2,IF($H157&lt;L$2,VLOOKUP($G157,Depreciation!$A$14:$L$18,10,FALSE),0))</f>
        <v>3.343407856743718E-2</v>
      </c>
      <c r="M157" s="306">
        <f>+IF($H157=M$2,VLOOKUP($G157,Depreciation!$A$14:$L$18,11,FALSE)/2,IF($H157&lt;M$2,VLOOKUP($G157,Depreciation!$A$14:$L$18,11,FALSE),0))</f>
        <v>3.343407856743718E-2</v>
      </c>
      <c r="N157" s="306">
        <f>+IF($H157=N$2,VLOOKUP($G157,Depreciation!$A$14:$L$18,12,FALSE)/2,IF($H157&lt;N$2,VLOOKUP($G157,Depreciation!$A$14:$L$18,12,FALSE),0))</f>
        <v>3.343407856743718E-2</v>
      </c>
      <c r="O157" s="307">
        <f t="shared" si="19"/>
        <v>0</v>
      </c>
      <c r="P157" s="732">
        <v>0</v>
      </c>
      <c r="Q157" s="733">
        <v>1</v>
      </c>
      <c r="R157" s="734">
        <f t="shared" si="20"/>
        <v>0</v>
      </c>
      <c r="S157" s="735">
        <f t="shared" si="21"/>
        <v>0</v>
      </c>
      <c r="T157" s="735">
        <f t="shared" si="22"/>
        <v>0</v>
      </c>
      <c r="U157" s="735">
        <f t="shared" si="23"/>
        <v>0</v>
      </c>
      <c r="V157" s="736">
        <f t="shared" si="24"/>
        <v>0</v>
      </c>
      <c r="W157" s="735">
        <f t="shared" si="25"/>
        <v>0</v>
      </c>
      <c r="X157" s="737">
        <f t="shared" si="26"/>
        <v>0</v>
      </c>
      <c r="Y157" s="738">
        <f t="shared" si="27"/>
        <v>0</v>
      </c>
      <c r="Z157" s="627"/>
    </row>
    <row r="158" spans="1:26">
      <c r="A158" s="331" t="s">
        <v>1319</v>
      </c>
      <c r="B158" s="332">
        <v>888</v>
      </c>
      <c r="C158" s="332">
        <v>138</v>
      </c>
      <c r="D158" s="332">
        <v>25</v>
      </c>
      <c r="E158" s="331" t="s">
        <v>1572</v>
      </c>
      <c r="F158" s="333">
        <v>300701.16758473852</v>
      </c>
      <c r="G158" s="332" t="s">
        <v>4</v>
      </c>
      <c r="H158" s="332">
        <v>2016</v>
      </c>
      <c r="I158" s="306">
        <f>+IF($H158=I$2,VLOOKUP($G158,Depreciation!$A$14:$L$18,7,FALSE)/2,IF($H158&lt;I$2,VLOOKUP($G158,Depreciation!$A$14:$L$18,7,FALSE),0))</f>
        <v>0</v>
      </c>
      <c r="J158" s="306">
        <f>+IF($H158=J$2,VLOOKUP($G158,Depreciation!$A$14:$L$18,8,FALSE)/2,IF($H158&lt;J$2,VLOOKUP($G158,Depreciation!$A$14:$L$18,8,FALSE),0))</f>
        <v>1.671703928371859E-2</v>
      </c>
      <c r="K158" s="306">
        <f>+IF($H158=K$2,VLOOKUP($G158,Depreciation!$A$14:$L$18,9,FALSE)/2,IF($H158&lt;K$2,VLOOKUP($G158,Depreciation!$A$14:$L$18,9,FALSE),0))</f>
        <v>3.343407856743718E-2</v>
      </c>
      <c r="L158" s="306">
        <f>+IF($H158=L$2,VLOOKUP($G158,Depreciation!$A$14:$L$18,10,FALSE)/2,IF($H158&lt;L$2,VLOOKUP($G158,Depreciation!$A$14:$L$18,10,FALSE),0))</f>
        <v>3.343407856743718E-2</v>
      </c>
      <c r="M158" s="306">
        <f>+IF($H158=M$2,VLOOKUP($G158,Depreciation!$A$14:$L$18,11,FALSE)/2,IF($H158&lt;M$2,VLOOKUP($G158,Depreciation!$A$14:$L$18,11,FALSE),0))</f>
        <v>3.343407856743718E-2</v>
      </c>
      <c r="N158" s="306">
        <f>+IF($H158=N$2,VLOOKUP($G158,Depreciation!$A$14:$L$18,12,FALSE)/2,IF($H158&lt;N$2,VLOOKUP($G158,Depreciation!$A$14:$L$18,12,FALSE),0))</f>
        <v>3.343407856743718E-2</v>
      </c>
      <c r="O158" s="307">
        <f t="shared" si="19"/>
        <v>0</v>
      </c>
      <c r="P158" s="732">
        <v>0</v>
      </c>
      <c r="Q158" s="733">
        <v>1</v>
      </c>
      <c r="R158" s="734">
        <f t="shared" si="20"/>
        <v>0</v>
      </c>
      <c r="S158" s="735">
        <f t="shared" si="21"/>
        <v>0</v>
      </c>
      <c r="T158" s="735">
        <f t="shared" si="22"/>
        <v>0</v>
      </c>
      <c r="U158" s="735">
        <f t="shared" si="23"/>
        <v>0</v>
      </c>
      <c r="V158" s="736">
        <f t="shared" si="24"/>
        <v>0</v>
      </c>
      <c r="W158" s="735">
        <f t="shared" si="25"/>
        <v>0</v>
      </c>
      <c r="X158" s="737">
        <f t="shared" si="26"/>
        <v>0</v>
      </c>
      <c r="Y158" s="738">
        <f t="shared" si="27"/>
        <v>0</v>
      </c>
      <c r="Z158" s="627"/>
    </row>
    <row r="159" spans="1:26">
      <c r="A159" s="331" t="s">
        <v>1318</v>
      </c>
      <c r="B159" s="332">
        <v>888</v>
      </c>
      <c r="C159" s="332">
        <v>138</v>
      </c>
      <c r="D159" s="332">
        <v>25</v>
      </c>
      <c r="E159" s="331" t="s">
        <v>1573</v>
      </c>
      <c r="F159" s="333">
        <v>51845.028893920433</v>
      </c>
      <c r="G159" s="332" t="s">
        <v>4</v>
      </c>
      <c r="H159" s="332">
        <v>2016</v>
      </c>
      <c r="I159" s="306">
        <f>+IF($H159=I$2,VLOOKUP($G159,Depreciation!$A$14:$L$18,7,FALSE)/2,IF($H159&lt;I$2,VLOOKUP($G159,Depreciation!$A$14:$L$18,7,FALSE),0))</f>
        <v>0</v>
      </c>
      <c r="J159" s="306">
        <f>+IF($H159=J$2,VLOOKUP($G159,Depreciation!$A$14:$L$18,8,FALSE)/2,IF($H159&lt;J$2,VLOOKUP($G159,Depreciation!$A$14:$L$18,8,FALSE),0))</f>
        <v>1.671703928371859E-2</v>
      </c>
      <c r="K159" s="306">
        <f>+IF($H159=K$2,VLOOKUP($G159,Depreciation!$A$14:$L$18,9,FALSE)/2,IF($H159&lt;K$2,VLOOKUP($G159,Depreciation!$A$14:$L$18,9,FALSE),0))</f>
        <v>3.343407856743718E-2</v>
      </c>
      <c r="L159" s="306">
        <f>+IF($H159=L$2,VLOOKUP($G159,Depreciation!$A$14:$L$18,10,FALSE)/2,IF($H159&lt;L$2,VLOOKUP($G159,Depreciation!$A$14:$L$18,10,FALSE),0))</f>
        <v>3.343407856743718E-2</v>
      </c>
      <c r="M159" s="306">
        <f>+IF($H159=M$2,VLOOKUP($G159,Depreciation!$A$14:$L$18,11,FALSE)/2,IF($H159&lt;M$2,VLOOKUP($G159,Depreciation!$A$14:$L$18,11,FALSE),0))</f>
        <v>3.343407856743718E-2</v>
      </c>
      <c r="N159" s="306">
        <f>+IF($H159=N$2,VLOOKUP($G159,Depreciation!$A$14:$L$18,12,FALSE)/2,IF($H159&lt;N$2,VLOOKUP($G159,Depreciation!$A$14:$L$18,12,FALSE),0))</f>
        <v>3.343407856743718E-2</v>
      </c>
      <c r="O159" s="307">
        <f t="shared" si="19"/>
        <v>0</v>
      </c>
      <c r="P159" s="732">
        <v>0</v>
      </c>
      <c r="Q159" s="733">
        <v>1</v>
      </c>
      <c r="R159" s="734">
        <f t="shared" si="20"/>
        <v>0</v>
      </c>
      <c r="S159" s="735">
        <f t="shared" si="21"/>
        <v>0</v>
      </c>
      <c r="T159" s="735">
        <f t="shared" si="22"/>
        <v>0</v>
      </c>
      <c r="U159" s="735">
        <f t="shared" si="23"/>
        <v>0</v>
      </c>
      <c r="V159" s="736">
        <f t="shared" si="24"/>
        <v>0</v>
      </c>
      <c r="W159" s="735">
        <f t="shared" si="25"/>
        <v>0</v>
      </c>
      <c r="X159" s="737">
        <f t="shared" si="26"/>
        <v>0</v>
      </c>
      <c r="Y159" s="738">
        <f t="shared" si="27"/>
        <v>0</v>
      </c>
      <c r="Z159" s="627"/>
    </row>
    <row r="160" spans="1:26">
      <c r="A160" s="331" t="s">
        <v>1317</v>
      </c>
      <c r="B160" s="332">
        <v>888</v>
      </c>
      <c r="C160" s="332">
        <v>240</v>
      </c>
      <c r="D160" s="332">
        <v>138</v>
      </c>
      <c r="E160" s="331" t="s">
        <v>1574</v>
      </c>
      <c r="F160" s="333">
        <v>142203.50782332462</v>
      </c>
      <c r="G160" s="332" t="s">
        <v>4</v>
      </c>
      <c r="H160" s="332">
        <v>2016</v>
      </c>
      <c r="I160" s="306">
        <f>+IF($H160=I$2,VLOOKUP($G160,Depreciation!$A$14:$L$18,7,FALSE)/2,IF($H160&lt;I$2,VLOOKUP($G160,Depreciation!$A$14:$L$18,7,FALSE),0))</f>
        <v>0</v>
      </c>
      <c r="J160" s="306">
        <f>+IF($H160=J$2,VLOOKUP($G160,Depreciation!$A$14:$L$18,8,FALSE)/2,IF($H160&lt;J$2,VLOOKUP($G160,Depreciation!$A$14:$L$18,8,FALSE),0))</f>
        <v>1.671703928371859E-2</v>
      </c>
      <c r="K160" s="306">
        <f>+IF($H160=K$2,VLOOKUP($G160,Depreciation!$A$14:$L$18,9,FALSE)/2,IF($H160&lt;K$2,VLOOKUP($G160,Depreciation!$A$14:$L$18,9,FALSE),0))</f>
        <v>3.343407856743718E-2</v>
      </c>
      <c r="L160" s="306">
        <f>+IF($H160=L$2,VLOOKUP($G160,Depreciation!$A$14:$L$18,10,FALSE)/2,IF($H160&lt;L$2,VLOOKUP($G160,Depreciation!$A$14:$L$18,10,FALSE),0))</f>
        <v>3.343407856743718E-2</v>
      </c>
      <c r="M160" s="306">
        <f>+IF($H160=M$2,VLOOKUP($G160,Depreciation!$A$14:$L$18,11,FALSE)/2,IF($H160&lt;M$2,VLOOKUP($G160,Depreciation!$A$14:$L$18,11,FALSE),0))</f>
        <v>3.343407856743718E-2</v>
      </c>
      <c r="N160" s="306">
        <f>+IF($H160=N$2,VLOOKUP($G160,Depreciation!$A$14:$L$18,12,FALSE)/2,IF($H160&lt;N$2,VLOOKUP($G160,Depreciation!$A$14:$L$18,12,FALSE),0))</f>
        <v>3.343407856743718E-2</v>
      </c>
      <c r="O160" s="307">
        <f t="shared" si="19"/>
        <v>0</v>
      </c>
      <c r="P160" s="732">
        <v>0</v>
      </c>
      <c r="Q160" s="733">
        <v>0</v>
      </c>
      <c r="R160" s="734">
        <f t="shared" si="20"/>
        <v>1</v>
      </c>
      <c r="S160" s="735">
        <f t="shared" si="21"/>
        <v>0</v>
      </c>
      <c r="T160" s="735">
        <f t="shared" si="22"/>
        <v>0</v>
      </c>
      <c r="U160" s="735">
        <f t="shared" si="23"/>
        <v>0</v>
      </c>
      <c r="V160" s="736">
        <f t="shared" si="24"/>
        <v>0</v>
      </c>
      <c r="W160" s="735">
        <f t="shared" si="25"/>
        <v>0</v>
      </c>
      <c r="X160" s="737">
        <f t="shared" si="26"/>
        <v>0</v>
      </c>
      <c r="Y160" s="738">
        <f t="shared" si="27"/>
        <v>0</v>
      </c>
      <c r="Z160" s="627"/>
    </row>
    <row r="161" spans="1:26">
      <c r="A161" s="331" t="s">
        <v>1320</v>
      </c>
      <c r="B161" s="332">
        <v>888</v>
      </c>
      <c r="C161" s="332">
        <v>138</v>
      </c>
      <c r="D161" s="332">
        <v>69</v>
      </c>
      <c r="E161" s="331" t="s">
        <v>1575</v>
      </c>
      <c r="F161" s="333">
        <v>1193916.9510999962</v>
      </c>
      <c r="G161" s="332" t="s">
        <v>4</v>
      </c>
      <c r="H161" s="332">
        <v>2016</v>
      </c>
      <c r="I161" s="306">
        <f>+IF($H161=I$2,VLOOKUP($G161,Depreciation!$A$14:$L$18,7,FALSE)/2,IF($H161&lt;I$2,VLOOKUP($G161,Depreciation!$A$14:$L$18,7,FALSE),0))</f>
        <v>0</v>
      </c>
      <c r="J161" s="306">
        <f>+IF($H161=J$2,VLOOKUP($G161,Depreciation!$A$14:$L$18,8,FALSE)/2,IF($H161&lt;J$2,VLOOKUP($G161,Depreciation!$A$14:$L$18,8,FALSE),0))</f>
        <v>1.671703928371859E-2</v>
      </c>
      <c r="K161" s="306">
        <f>+IF($H161=K$2,VLOOKUP($G161,Depreciation!$A$14:$L$18,9,FALSE)/2,IF($H161&lt;K$2,VLOOKUP($G161,Depreciation!$A$14:$L$18,9,FALSE),0))</f>
        <v>3.343407856743718E-2</v>
      </c>
      <c r="L161" s="306">
        <f>+IF($H161=L$2,VLOOKUP($G161,Depreciation!$A$14:$L$18,10,FALSE)/2,IF($H161&lt;L$2,VLOOKUP($G161,Depreciation!$A$14:$L$18,10,FALSE),0))</f>
        <v>3.343407856743718E-2</v>
      </c>
      <c r="M161" s="306">
        <f>+IF($H161=M$2,VLOOKUP($G161,Depreciation!$A$14:$L$18,11,FALSE)/2,IF($H161&lt;M$2,VLOOKUP($G161,Depreciation!$A$14:$L$18,11,FALSE),0))</f>
        <v>3.343407856743718E-2</v>
      </c>
      <c r="N161" s="306">
        <f>+IF($H161=N$2,VLOOKUP($G161,Depreciation!$A$14:$L$18,12,FALSE)/2,IF($H161&lt;N$2,VLOOKUP($G161,Depreciation!$A$14:$L$18,12,FALSE),0))</f>
        <v>3.343407856743718E-2</v>
      </c>
      <c r="O161" s="307">
        <f t="shared" si="19"/>
        <v>0</v>
      </c>
      <c r="P161" s="732">
        <v>0.796875</v>
      </c>
      <c r="Q161" s="733">
        <v>0.203125</v>
      </c>
      <c r="R161" s="734">
        <f t="shared" si="20"/>
        <v>0</v>
      </c>
      <c r="S161" s="735">
        <f t="shared" si="21"/>
        <v>0</v>
      </c>
      <c r="T161" s="735">
        <f t="shared" si="22"/>
        <v>0</v>
      </c>
      <c r="U161" s="735">
        <f t="shared" si="23"/>
        <v>0</v>
      </c>
      <c r="V161" s="736">
        <f t="shared" si="24"/>
        <v>0</v>
      </c>
      <c r="W161" s="735">
        <f t="shared" si="25"/>
        <v>0</v>
      </c>
      <c r="X161" s="737">
        <f t="shared" si="26"/>
        <v>0</v>
      </c>
      <c r="Y161" s="738">
        <f t="shared" si="27"/>
        <v>0</v>
      </c>
      <c r="Z161" s="627"/>
    </row>
    <row r="162" spans="1:26">
      <c r="A162" s="331" t="s">
        <v>1316</v>
      </c>
      <c r="B162" s="332">
        <v>888</v>
      </c>
      <c r="C162" s="332">
        <v>138</v>
      </c>
      <c r="D162" s="332">
        <v>25</v>
      </c>
      <c r="E162" s="331" t="s">
        <v>1576</v>
      </c>
      <c r="F162" s="333">
        <v>103690.05778784087</v>
      </c>
      <c r="G162" s="332" t="s">
        <v>4</v>
      </c>
      <c r="H162" s="332">
        <v>2016</v>
      </c>
      <c r="I162" s="306">
        <f>+IF($H162=I$2,VLOOKUP($G162,Depreciation!$A$14:$L$18,7,FALSE)/2,IF($H162&lt;I$2,VLOOKUP($G162,Depreciation!$A$14:$L$18,7,FALSE),0))</f>
        <v>0</v>
      </c>
      <c r="J162" s="306">
        <f>+IF($H162=J$2,VLOOKUP($G162,Depreciation!$A$14:$L$18,8,FALSE)/2,IF($H162&lt;J$2,VLOOKUP($G162,Depreciation!$A$14:$L$18,8,FALSE),0))</f>
        <v>1.671703928371859E-2</v>
      </c>
      <c r="K162" s="306">
        <f>+IF($H162=K$2,VLOOKUP($G162,Depreciation!$A$14:$L$18,9,FALSE)/2,IF($H162&lt;K$2,VLOOKUP($G162,Depreciation!$A$14:$L$18,9,FALSE),0))</f>
        <v>3.343407856743718E-2</v>
      </c>
      <c r="L162" s="306">
        <f>+IF($H162=L$2,VLOOKUP($G162,Depreciation!$A$14:$L$18,10,FALSE)/2,IF($H162&lt;L$2,VLOOKUP($G162,Depreciation!$A$14:$L$18,10,FALSE),0))</f>
        <v>3.343407856743718E-2</v>
      </c>
      <c r="M162" s="306">
        <f>+IF($H162=M$2,VLOOKUP($G162,Depreciation!$A$14:$L$18,11,FALSE)/2,IF($H162&lt;M$2,VLOOKUP($G162,Depreciation!$A$14:$L$18,11,FALSE),0))</f>
        <v>3.343407856743718E-2</v>
      </c>
      <c r="N162" s="306">
        <f>+IF($H162=N$2,VLOOKUP($G162,Depreciation!$A$14:$L$18,12,FALSE)/2,IF($H162&lt;N$2,VLOOKUP($G162,Depreciation!$A$14:$L$18,12,FALSE),0))</f>
        <v>3.343407856743718E-2</v>
      </c>
      <c r="O162" s="307">
        <f t="shared" si="19"/>
        <v>0</v>
      </c>
      <c r="P162" s="732">
        <v>0.23378141437755698</v>
      </c>
      <c r="Q162" s="733">
        <v>0.76621858562244305</v>
      </c>
      <c r="R162" s="734">
        <f t="shared" si="20"/>
        <v>0</v>
      </c>
      <c r="S162" s="735">
        <f t="shared" si="21"/>
        <v>0</v>
      </c>
      <c r="T162" s="735">
        <f t="shared" si="22"/>
        <v>0</v>
      </c>
      <c r="U162" s="735">
        <f t="shared" si="23"/>
        <v>0</v>
      </c>
      <c r="V162" s="736">
        <f t="shared" si="24"/>
        <v>0</v>
      </c>
      <c r="W162" s="735">
        <f t="shared" si="25"/>
        <v>0</v>
      </c>
      <c r="X162" s="737">
        <f t="shared" si="26"/>
        <v>0</v>
      </c>
      <c r="Y162" s="738">
        <f t="shared" si="27"/>
        <v>0</v>
      </c>
      <c r="Z162" s="627"/>
    </row>
    <row r="163" spans="1:26">
      <c r="A163" s="331" t="s">
        <v>1897</v>
      </c>
      <c r="B163" s="332">
        <v>948</v>
      </c>
      <c r="C163" s="332">
        <v>240</v>
      </c>
      <c r="D163" s="332">
        <v>240</v>
      </c>
      <c r="E163" s="331" t="s">
        <v>1687</v>
      </c>
      <c r="F163" s="333">
        <v>13129855.568043312</v>
      </c>
      <c r="G163" s="332" t="s">
        <v>66</v>
      </c>
      <c r="H163" s="332">
        <v>2015</v>
      </c>
      <c r="I163" s="306">
        <f>+IF($H163=I$2,VLOOKUP($G163,Depreciation!$A$14:$L$18,7,FALSE)/2,IF($H163&lt;I$2,VLOOKUP($G163,Depreciation!$A$14:$L$18,7,FALSE),0))</f>
        <v>1.221703683566912E-2</v>
      </c>
      <c r="J163" s="306">
        <f>+IF($H163=J$2,VLOOKUP($G163,Depreciation!$A$14:$L$18,8,FALSE)/2,IF($H163&lt;J$2,VLOOKUP($G163,Depreciation!$A$14:$L$18,8,FALSE),0))</f>
        <v>2.4632450501084719E-2</v>
      </c>
      <c r="K163" s="306">
        <f>+IF($H163=K$2,VLOOKUP($G163,Depreciation!$A$14:$L$18,9,FALSE)/2,IF($H163&lt;K$2,VLOOKUP($G163,Depreciation!$A$14:$L$18,9,FALSE),0))</f>
        <v>2.4351536427798831E-2</v>
      </c>
      <c r="L163" s="306">
        <f>+IF($H163=L$2,VLOOKUP($G163,Depreciation!$A$14:$L$18,10,FALSE)/2,IF($H163&lt;L$2,VLOOKUP($G163,Depreciation!$A$14:$L$18,10,FALSE),0))</f>
        <v>2.4351536427798831E-2</v>
      </c>
      <c r="M163" s="306">
        <f>+IF($H163=M$2,VLOOKUP($G163,Depreciation!$A$14:$L$18,11,FALSE)/2,IF($H163&lt;M$2,VLOOKUP($G163,Depreciation!$A$14:$L$18,11,FALSE),0))</f>
        <v>2.4351536427798831E-2</v>
      </c>
      <c r="N163" s="306">
        <f>+IF($H163=N$2,VLOOKUP($G163,Depreciation!$A$14:$L$18,12,FALSE)/2,IF($H163&lt;N$2,VLOOKUP($G163,Depreciation!$A$14:$L$18,12,FALSE),0))</f>
        <v>2.4351536427798831E-2</v>
      </c>
      <c r="O163" s="307">
        <f t="shared" si="19"/>
        <v>12969447.638921512</v>
      </c>
      <c r="P163" s="732">
        <v>0</v>
      </c>
      <c r="Q163" s="733">
        <v>0</v>
      </c>
      <c r="R163" s="734">
        <f t="shared" si="20"/>
        <v>1</v>
      </c>
      <c r="S163" s="735">
        <f t="shared" si="21"/>
        <v>0</v>
      </c>
      <c r="T163" s="735">
        <f t="shared" si="22"/>
        <v>0</v>
      </c>
      <c r="U163" s="735">
        <f t="shared" si="23"/>
        <v>12969447.638921512</v>
      </c>
      <c r="V163" s="736">
        <f t="shared" si="24"/>
        <v>0</v>
      </c>
      <c r="W163" s="735">
        <f t="shared" si="25"/>
        <v>12969447.638921512</v>
      </c>
      <c r="X163" s="737">
        <f t="shared" si="26"/>
        <v>0</v>
      </c>
      <c r="Y163" s="738">
        <f t="shared" si="27"/>
        <v>0</v>
      </c>
      <c r="Z163" s="627"/>
    </row>
    <row r="164" spans="1:26">
      <c r="A164" s="331" t="s">
        <v>1898</v>
      </c>
      <c r="B164" s="332">
        <v>737</v>
      </c>
      <c r="C164" s="332">
        <v>240</v>
      </c>
      <c r="D164" s="332">
        <v>138</v>
      </c>
      <c r="E164" s="331" t="s">
        <v>1570</v>
      </c>
      <c r="F164" s="333">
        <v>598925.20531495858</v>
      </c>
      <c r="G164" s="332" t="s">
        <v>4</v>
      </c>
      <c r="H164" s="332">
        <v>2015</v>
      </c>
      <c r="I164" s="306">
        <f>+IF($H164=I$2,VLOOKUP($G164,Depreciation!$A$14:$L$18,7,FALSE)/2,IF($H164&lt;I$2,VLOOKUP($G164,Depreciation!$A$14:$L$18,7,FALSE),0))</f>
        <v>1.7228380322441735E-2</v>
      </c>
      <c r="J164" s="306">
        <f>+IF($H164=J$2,VLOOKUP($G164,Depreciation!$A$14:$L$18,8,FALSE)/2,IF($H164&lt;J$2,VLOOKUP($G164,Depreciation!$A$14:$L$18,8,FALSE),0))</f>
        <v>3.343407856743718E-2</v>
      </c>
      <c r="K164" s="306">
        <f>+IF($H164=K$2,VLOOKUP($G164,Depreciation!$A$14:$L$18,9,FALSE)/2,IF($H164&lt;K$2,VLOOKUP($G164,Depreciation!$A$14:$L$18,9,FALSE),0))</f>
        <v>3.343407856743718E-2</v>
      </c>
      <c r="L164" s="306">
        <f>+IF($H164=L$2,VLOOKUP($G164,Depreciation!$A$14:$L$18,10,FALSE)/2,IF($H164&lt;L$2,VLOOKUP($G164,Depreciation!$A$14:$L$18,10,FALSE),0))</f>
        <v>3.343407856743718E-2</v>
      </c>
      <c r="M164" s="306">
        <f>+IF($H164=M$2,VLOOKUP($G164,Depreciation!$A$14:$L$18,11,FALSE)/2,IF($H164&lt;M$2,VLOOKUP($G164,Depreciation!$A$14:$L$18,11,FALSE),0))</f>
        <v>3.343407856743718E-2</v>
      </c>
      <c r="N164" s="306">
        <f>+IF($H164=N$2,VLOOKUP($G164,Depreciation!$A$14:$L$18,12,FALSE)/2,IF($H164&lt;N$2,VLOOKUP($G164,Depreciation!$A$14:$L$18,12,FALSE),0))</f>
        <v>3.343407856743718E-2</v>
      </c>
      <c r="O164" s="307">
        <f t="shared" si="19"/>
        <v>588606.69409309595</v>
      </c>
      <c r="P164" s="732">
        <v>0</v>
      </c>
      <c r="Q164" s="733">
        <v>0</v>
      </c>
      <c r="R164" s="734">
        <f t="shared" si="20"/>
        <v>1</v>
      </c>
      <c r="S164" s="735">
        <f t="shared" si="21"/>
        <v>0</v>
      </c>
      <c r="T164" s="735">
        <f t="shared" si="22"/>
        <v>0</v>
      </c>
      <c r="U164" s="735">
        <f t="shared" si="23"/>
        <v>588606.69409309595</v>
      </c>
      <c r="V164" s="736">
        <f t="shared" si="24"/>
        <v>0</v>
      </c>
      <c r="W164" s="735">
        <f t="shared" si="25"/>
        <v>0</v>
      </c>
      <c r="X164" s="737">
        <f t="shared" si="26"/>
        <v>588606.69409309595</v>
      </c>
      <c r="Y164" s="738">
        <f t="shared" si="27"/>
        <v>0</v>
      </c>
      <c r="Z164" s="627"/>
    </row>
    <row r="165" spans="1:26">
      <c r="A165" s="331" t="s">
        <v>1899</v>
      </c>
      <c r="B165" s="332">
        <v>737</v>
      </c>
      <c r="C165" s="332">
        <v>240</v>
      </c>
      <c r="D165" s="332">
        <v>240</v>
      </c>
      <c r="E165" s="331" t="s">
        <v>1556</v>
      </c>
      <c r="F165" s="333">
        <v>701881.13162263809</v>
      </c>
      <c r="G165" s="332" t="s">
        <v>4</v>
      </c>
      <c r="H165" s="332">
        <v>2015</v>
      </c>
      <c r="I165" s="306">
        <f>+IF($H165=I$2,VLOOKUP($G165,Depreciation!$A$14:$L$18,7,FALSE)/2,IF($H165&lt;I$2,VLOOKUP($G165,Depreciation!$A$14:$L$18,7,FALSE),0))</f>
        <v>1.7228380322441735E-2</v>
      </c>
      <c r="J165" s="306">
        <f>+IF($H165=J$2,VLOOKUP($G165,Depreciation!$A$14:$L$18,8,FALSE)/2,IF($H165&lt;J$2,VLOOKUP($G165,Depreciation!$A$14:$L$18,8,FALSE),0))</f>
        <v>3.343407856743718E-2</v>
      </c>
      <c r="K165" s="306">
        <f>+IF($H165=K$2,VLOOKUP($G165,Depreciation!$A$14:$L$18,9,FALSE)/2,IF($H165&lt;K$2,VLOOKUP($G165,Depreciation!$A$14:$L$18,9,FALSE),0))</f>
        <v>3.343407856743718E-2</v>
      </c>
      <c r="L165" s="306">
        <f>+IF($H165=L$2,VLOOKUP($G165,Depreciation!$A$14:$L$18,10,FALSE)/2,IF($H165&lt;L$2,VLOOKUP($G165,Depreciation!$A$14:$L$18,10,FALSE),0))</f>
        <v>3.343407856743718E-2</v>
      </c>
      <c r="M165" s="306">
        <f>+IF($H165=M$2,VLOOKUP($G165,Depreciation!$A$14:$L$18,11,FALSE)/2,IF($H165&lt;M$2,VLOOKUP($G165,Depreciation!$A$14:$L$18,11,FALSE),0))</f>
        <v>3.343407856743718E-2</v>
      </c>
      <c r="N165" s="306">
        <f>+IF($H165=N$2,VLOOKUP($G165,Depreciation!$A$14:$L$18,12,FALSE)/2,IF($H165&lt;N$2,VLOOKUP($G165,Depreciation!$A$14:$L$18,12,FALSE),0))</f>
        <v>3.343407856743718E-2</v>
      </c>
      <c r="O165" s="307">
        <f t="shared" si="19"/>
        <v>689788.85654589743</v>
      </c>
      <c r="P165" s="732">
        <v>0</v>
      </c>
      <c r="Q165" s="733">
        <v>0</v>
      </c>
      <c r="R165" s="734">
        <f t="shared" si="20"/>
        <v>1</v>
      </c>
      <c r="S165" s="735">
        <f t="shared" si="21"/>
        <v>0</v>
      </c>
      <c r="T165" s="735">
        <f t="shared" si="22"/>
        <v>0</v>
      </c>
      <c r="U165" s="735">
        <f t="shared" si="23"/>
        <v>689788.85654589743</v>
      </c>
      <c r="V165" s="736">
        <f t="shared" si="24"/>
        <v>0</v>
      </c>
      <c r="W165" s="735">
        <f t="shared" si="25"/>
        <v>689788.85654589743</v>
      </c>
      <c r="X165" s="737">
        <f t="shared" si="26"/>
        <v>0</v>
      </c>
      <c r="Y165" s="738">
        <f t="shared" si="27"/>
        <v>0</v>
      </c>
      <c r="Z165" s="627"/>
    </row>
    <row r="166" spans="1:26">
      <c r="A166" s="331" t="s">
        <v>1900</v>
      </c>
      <c r="B166" s="332">
        <v>737</v>
      </c>
      <c r="C166" s="332">
        <v>240</v>
      </c>
      <c r="D166" s="332">
        <v>25</v>
      </c>
      <c r="E166" s="331" t="s">
        <v>1680</v>
      </c>
      <c r="F166" s="333">
        <v>314443.89048852649</v>
      </c>
      <c r="G166" s="332" t="s">
        <v>4</v>
      </c>
      <c r="H166" s="332">
        <v>2015</v>
      </c>
      <c r="I166" s="306">
        <f>+IF($H166=I$2,VLOOKUP($G166,Depreciation!$A$14:$L$18,7,FALSE)/2,IF($H166&lt;I$2,VLOOKUP($G166,Depreciation!$A$14:$L$18,7,FALSE),0))</f>
        <v>1.7228380322441735E-2</v>
      </c>
      <c r="J166" s="306">
        <f>+IF($H166=J$2,VLOOKUP($G166,Depreciation!$A$14:$L$18,8,FALSE)/2,IF($H166&lt;J$2,VLOOKUP($G166,Depreciation!$A$14:$L$18,8,FALSE),0))</f>
        <v>3.343407856743718E-2</v>
      </c>
      <c r="K166" s="306">
        <f>+IF($H166=K$2,VLOOKUP($G166,Depreciation!$A$14:$L$18,9,FALSE)/2,IF($H166&lt;K$2,VLOOKUP($G166,Depreciation!$A$14:$L$18,9,FALSE),0))</f>
        <v>3.343407856743718E-2</v>
      </c>
      <c r="L166" s="306">
        <f>+IF($H166=L$2,VLOOKUP($G166,Depreciation!$A$14:$L$18,10,FALSE)/2,IF($H166&lt;L$2,VLOOKUP($G166,Depreciation!$A$14:$L$18,10,FALSE),0))</f>
        <v>3.343407856743718E-2</v>
      </c>
      <c r="M166" s="306">
        <f>+IF($H166=M$2,VLOOKUP($G166,Depreciation!$A$14:$L$18,11,FALSE)/2,IF($H166&lt;M$2,VLOOKUP($G166,Depreciation!$A$14:$L$18,11,FALSE),0))</f>
        <v>3.343407856743718E-2</v>
      </c>
      <c r="N166" s="306">
        <f>+IF($H166=N$2,VLOOKUP($G166,Depreciation!$A$14:$L$18,12,FALSE)/2,IF($H166&lt;N$2,VLOOKUP($G166,Depreciation!$A$14:$L$18,12,FALSE),0))</f>
        <v>3.343407856743718E-2</v>
      </c>
      <c r="O166" s="307">
        <f t="shared" si="19"/>
        <v>309026.53155312192</v>
      </c>
      <c r="P166" s="732">
        <v>0.96203522504892369</v>
      </c>
      <c r="Q166" s="733">
        <v>3.7964774951076322E-2</v>
      </c>
      <c r="R166" s="734">
        <f t="shared" si="20"/>
        <v>0</v>
      </c>
      <c r="S166" s="735">
        <f t="shared" si="21"/>
        <v>297294.40882879595</v>
      </c>
      <c r="T166" s="735">
        <f t="shared" si="22"/>
        <v>11732.12272432596</v>
      </c>
      <c r="U166" s="735">
        <f t="shared" si="23"/>
        <v>0</v>
      </c>
      <c r="V166" s="736">
        <f t="shared" si="24"/>
        <v>0</v>
      </c>
      <c r="W166" s="735">
        <f t="shared" si="25"/>
        <v>297294.40882879595</v>
      </c>
      <c r="X166" s="737">
        <f t="shared" si="26"/>
        <v>0</v>
      </c>
      <c r="Y166" s="738">
        <f t="shared" si="27"/>
        <v>11732.12272432596</v>
      </c>
      <c r="Z166" s="627"/>
    </row>
    <row r="167" spans="1:26">
      <c r="A167" s="331" t="s">
        <v>1901</v>
      </c>
      <c r="B167" s="332">
        <v>737</v>
      </c>
      <c r="C167" s="332">
        <v>240</v>
      </c>
      <c r="D167" s="332">
        <v>240</v>
      </c>
      <c r="E167" s="331" t="s">
        <v>1527</v>
      </c>
      <c r="F167" s="333">
        <v>1228267.7960131739</v>
      </c>
      <c r="G167" s="332" t="s">
        <v>4</v>
      </c>
      <c r="H167" s="332">
        <v>2015</v>
      </c>
      <c r="I167" s="306">
        <f>+IF($H167=I$2,VLOOKUP($G167,Depreciation!$A$14:$L$18,7,FALSE)/2,IF($H167&lt;I$2,VLOOKUP($G167,Depreciation!$A$14:$L$18,7,FALSE),0))</f>
        <v>1.7228380322441735E-2</v>
      </c>
      <c r="J167" s="306">
        <f>+IF($H167=J$2,VLOOKUP($G167,Depreciation!$A$14:$L$18,8,FALSE)/2,IF($H167&lt;J$2,VLOOKUP($G167,Depreciation!$A$14:$L$18,8,FALSE),0))</f>
        <v>3.343407856743718E-2</v>
      </c>
      <c r="K167" s="306">
        <f>+IF($H167=K$2,VLOOKUP($G167,Depreciation!$A$14:$L$18,9,FALSE)/2,IF($H167&lt;K$2,VLOOKUP($G167,Depreciation!$A$14:$L$18,9,FALSE),0))</f>
        <v>3.343407856743718E-2</v>
      </c>
      <c r="L167" s="306">
        <f>+IF($H167=L$2,VLOOKUP($G167,Depreciation!$A$14:$L$18,10,FALSE)/2,IF($H167&lt;L$2,VLOOKUP($G167,Depreciation!$A$14:$L$18,10,FALSE),0))</f>
        <v>3.343407856743718E-2</v>
      </c>
      <c r="M167" s="306">
        <f>+IF($H167=M$2,VLOOKUP($G167,Depreciation!$A$14:$L$18,11,FALSE)/2,IF($H167&lt;M$2,VLOOKUP($G167,Depreciation!$A$14:$L$18,11,FALSE),0))</f>
        <v>3.343407856743718E-2</v>
      </c>
      <c r="N167" s="306">
        <f>+IF($H167=N$2,VLOOKUP($G167,Depreciation!$A$14:$L$18,12,FALSE)/2,IF($H167&lt;N$2,VLOOKUP($G167,Depreciation!$A$14:$L$18,12,FALSE),0))</f>
        <v>3.343407856743718E-2</v>
      </c>
      <c r="O167" s="307">
        <f t="shared" si="19"/>
        <v>1207106.7312856517</v>
      </c>
      <c r="P167" s="732">
        <v>0</v>
      </c>
      <c r="Q167" s="733">
        <v>0</v>
      </c>
      <c r="R167" s="734">
        <f t="shared" si="20"/>
        <v>1</v>
      </c>
      <c r="S167" s="735">
        <f t="shared" si="21"/>
        <v>0</v>
      </c>
      <c r="T167" s="735">
        <f t="shared" si="22"/>
        <v>0</v>
      </c>
      <c r="U167" s="735">
        <f t="shared" si="23"/>
        <v>1207106.7312856517</v>
      </c>
      <c r="V167" s="736">
        <f t="shared" si="24"/>
        <v>0</v>
      </c>
      <c r="W167" s="735">
        <f t="shared" si="25"/>
        <v>1207106.7312856517</v>
      </c>
      <c r="X167" s="737">
        <f t="shared" si="26"/>
        <v>0</v>
      </c>
      <c r="Y167" s="738">
        <f t="shared" si="27"/>
        <v>0</v>
      </c>
      <c r="Z167" s="627"/>
    </row>
    <row r="168" spans="1:26">
      <c r="A168" s="331" t="s">
        <v>1902</v>
      </c>
      <c r="B168" s="332">
        <v>737</v>
      </c>
      <c r="C168" s="332">
        <v>240</v>
      </c>
      <c r="D168" s="332">
        <v>240</v>
      </c>
      <c r="E168" s="331" t="s">
        <v>1980</v>
      </c>
      <c r="F168" s="333">
        <v>509558.70470753126</v>
      </c>
      <c r="G168" s="332" t="s">
        <v>4</v>
      </c>
      <c r="H168" s="332">
        <v>2015</v>
      </c>
      <c r="I168" s="306">
        <f>+IF($H168=I$2,VLOOKUP($G168,Depreciation!$A$14:$L$18,7,FALSE)/2,IF($H168&lt;I$2,VLOOKUP($G168,Depreciation!$A$14:$L$18,7,FALSE),0))</f>
        <v>1.7228380322441735E-2</v>
      </c>
      <c r="J168" s="306">
        <f>+IF($H168=J$2,VLOOKUP($G168,Depreciation!$A$14:$L$18,8,FALSE)/2,IF($H168&lt;J$2,VLOOKUP($G168,Depreciation!$A$14:$L$18,8,FALSE),0))</f>
        <v>3.343407856743718E-2</v>
      </c>
      <c r="K168" s="306">
        <f>+IF($H168=K$2,VLOOKUP($G168,Depreciation!$A$14:$L$18,9,FALSE)/2,IF($H168&lt;K$2,VLOOKUP($G168,Depreciation!$A$14:$L$18,9,FALSE),0))</f>
        <v>3.343407856743718E-2</v>
      </c>
      <c r="L168" s="306">
        <f>+IF($H168=L$2,VLOOKUP($G168,Depreciation!$A$14:$L$18,10,FALSE)/2,IF($H168&lt;L$2,VLOOKUP($G168,Depreciation!$A$14:$L$18,10,FALSE),0))</f>
        <v>3.343407856743718E-2</v>
      </c>
      <c r="M168" s="306">
        <f>+IF($H168=M$2,VLOOKUP($G168,Depreciation!$A$14:$L$18,11,FALSE)/2,IF($H168&lt;M$2,VLOOKUP($G168,Depreciation!$A$14:$L$18,11,FALSE),0))</f>
        <v>3.343407856743718E-2</v>
      </c>
      <c r="N168" s="306">
        <f>+IF($H168=N$2,VLOOKUP($G168,Depreciation!$A$14:$L$18,12,FALSE)/2,IF($H168&lt;N$2,VLOOKUP($G168,Depreciation!$A$14:$L$18,12,FALSE),0))</f>
        <v>3.343407856743718E-2</v>
      </c>
      <c r="O168" s="307">
        <f t="shared" si="19"/>
        <v>500779.8335462191</v>
      </c>
      <c r="P168" s="732">
        <v>0</v>
      </c>
      <c r="Q168" s="733">
        <v>0</v>
      </c>
      <c r="R168" s="734">
        <f t="shared" si="20"/>
        <v>1</v>
      </c>
      <c r="S168" s="735">
        <f t="shared" si="21"/>
        <v>0</v>
      </c>
      <c r="T168" s="735">
        <f t="shared" si="22"/>
        <v>0</v>
      </c>
      <c r="U168" s="735">
        <f t="shared" si="23"/>
        <v>500779.8335462191</v>
      </c>
      <c r="V168" s="736">
        <f t="shared" si="24"/>
        <v>0</v>
      </c>
      <c r="W168" s="735">
        <f t="shared" si="25"/>
        <v>500779.8335462191</v>
      </c>
      <c r="X168" s="737">
        <f t="shared" si="26"/>
        <v>0</v>
      </c>
      <c r="Y168" s="738">
        <f t="shared" si="27"/>
        <v>0</v>
      </c>
      <c r="Z168" s="627"/>
    </row>
    <row r="169" spans="1:26">
      <c r="A169" s="331" t="s">
        <v>1903</v>
      </c>
      <c r="B169" s="332">
        <v>737</v>
      </c>
      <c r="C169" s="332">
        <v>500</v>
      </c>
      <c r="D169" s="332">
        <v>500</v>
      </c>
      <c r="E169" s="331" t="s">
        <v>1981</v>
      </c>
      <c r="F169" s="333">
        <v>532569282.5</v>
      </c>
      <c r="G169" s="332" t="s">
        <v>66</v>
      </c>
      <c r="H169" s="332">
        <v>2015</v>
      </c>
      <c r="I169" s="306">
        <f>+IF($H169=I$2,VLOOKUP($G169,Depreciation!$A$14:$L$18,7,FALSE)/2,IF($H169&lt;I$2,VLOOKUP($G169,Depreciation!$A$14:$L$18,7,FALSE),0))</f>
        <v>1.221703683566912E-2</v>
      </c>
      <c r="J169" s="306">
        <f>+IF($H169=J$2,VLOOKUP($G169,Depreciation!$A$14:$L$18,8,FALSE)/2,IF($H169&lt;J$2,VLOOKUP($G169,Depreciation!$A$14:$L$18,8,FALSE),0))</f>
        <v>2.4632450501084719E-2</v>
      </c>
      <c r="K169" s="306">
        <f>+IF($H169=K$2,VLOOKUP($G169,Depreciation!$A$14:$L$18,9,FALSE)/2,IF($H169&lt;K$2,VLOOKUP($G169,Depreciation!$A$14:$L$18,9,FALSE),0))</f>
        <v>2.4351536427798831E-2</v>
      </c>
      <c r="L169" s="306">
        <f>+IF($H169=L$2,VLOOKUP($G169,Depreciation!$A$14:$L$18,10,FALSE)/2,IF($H169&lt;L$2,VLOOKUP($G169,Depreciation!$A$14:$L$18,10,FALSE),0))</f>
        <v>2.4351536427798831E-2</v>
      </c>
      <c r="M169" s="306">
        <f>+IF($H169=M$2,VLOOKUP($G169,Depreciation!$A$14:$L$18,11,FALSE)/2,IF($H169&lt;M$2,VLOOKUP($G169,Depreciation!$A$14:$L$18,11,FALSE),0))</f>
        <v>2.4351536427798831E-2</v>
      </c>
      <c r="N169" s="306">
        <f>+IF($H169=N$2,VLOOKUP($G169,Depreciation!$A$14:$L$18,12,FALSE)/2,IF($H169&lt;N$2,VLOOKUP($G169,Depreciation!$A$14:$L$18,12,FALSE),0))</f>
        <v>2.4351536427798831E-2</v>
      </c>
      <c r="O169" s="307">
        <f t="shared" si="19"/>
        <v>526062863.95815164</v>
      </c>
      <c r="P169" s="732">
        <v>0</v>
      </c>
      <c r="Q169" s="733">
        <v>0</v>
      </c>
      <c r="R169" s="734">
        <f t="shared" si="20"/>
        <v>1</v>
      </c>
      <c r="S169" s="735">
        <f t="shared" si="21"/>
        <v>0</v>
      </c>
      <c r="T169" s="735">
        <f t="shared" si="22"/>
        <v>0</v>
      </c>
      <c r="U169" s="735">
        <f t="shared" si="23"/>
        <v>526062863.95815164</v>
      </c>
      <c r="V169" s="736">
        <f t="shared" si="24"/>
        <v>0</v>
      </c>
      <c r="W169" s="735">
        <f t="shared" si="25"/>
        <v>526062863.95815164</v>
      </c>
      <c r="X169" s="737">
        <f t="shared" si="26"/>
        <v>0</v>
      </c>
      <c r="Y169" s="738">
        <f t="shared" si="27"/>
        <v>0</v>
      </c>
      <c r="Z169" s="627"/>
    </row>
    <row r="170" spans="1:26">
      <c r="A170" s="331" t="s">
        <v>1904</v>
      </c>
      <c r="B170" s="332">
        <v>737</v>
      </c>
      <c r="C170" s="332">
        <v>500</v>
      </c>
      <c r="D170" s="332">
        <v>240</v>
      </c>
      <c r="E170" s="331" t="s">
        <v>1688</v>
      </c>
      <c r="F170" s="333">
        <v>107206.28193058976</v>
      </c>
      <c r="G170" s="332" t="s">
        <v>38</v>
      </c>
      <c r="H170" s="332">
        <v>2015</v>
      </c>
      <c r="I170" s="306">
        <f>+IF($H170=I$2,VLOOKUP($G170,Depreciation!$A$14:$L$18,7,FALSE)/2,IF($H170&lt;I$2,VLOOKUP($G170,Depreciation!$A$14:$L$18,7,FALSE),0))</f>
        <v>2.0607513622398654E-2</v>
      </c>
      <c r="J170" s="306">
        <f>+IF($H170=J$2,VLOOKUP($G170,Depreciation!$A$14:$L$18,8,FALSE)/2,IF($H170&lt;J$2,VLOOKUP($G170,Depreciation!$A$14:$L$18,8,FALSE),0))</f>
        <v>4.1600055599844914E-2</v>
      </c>
      <c r="K170" s="306">
        <f>+IF($H170=K$2,VLOOKUP($G170,Depreciation!$A$14:$L$18,9,FALSE)/2,IF($H170&lt;K$2,VLOOKUP($G170,Depreciation!$A$14:$L$18,9,FALSE),0))</f>
        <v>4.1145263498658789E-2</v>
      </c>
      <c r="L170" s="306">
        <f>+IF($H170=L$2,VLOOKUP($G170,Depreciation!$A$14:$L$18,10,FALSE)/2,IF($H170&lt;L$2,VLOOKUP($G170,Depreciation!$A$14:$L$18,10,FALSE),0))</f>
        <v>4.1145263498658789E-2</v>
      </c>
      <c r="M170" s="306">
        <f>+IF($H170=M$2,VLOOKUP($G170,Depreciation!$A$14:$L$18,11,FALSE)/2,IF($H170&lt;M$2,VLOOKUP($G170,Depreciation!$A$14:$L$18,11,FALSE),0))</f>
        <v>4.1145263498658789E-2</v>
      </c>
      <c r="N170" s="306">
        <f>+IF($H170=N$2,VLOOKUP($G170,Depreciation!$A$14:$L$18,12,FALSE)/2,IF($H170&lt;N$2,VLOOKUP($G170,Depreciation!$A$14:$L$18,12,FALSE),0))</f>
        <v>4.1145263498658789E-2</v>
      </c>
      <c r="O170" s="307">
        <f t="shared" si="19"/>
        <v>104997.02701529842</v>
      </c>
      <c r="P170" s="732">
        <v>0</v>
      </c>
      <c r="Q170" s="733">
        <v>0</v>
      </c>
      <c r="R170" s="734">
        <f t="shared" si="20"/>
        <v>1</v>
      </c>
      <c r="S170" s="735">
        <f t="shared" si="21"/>
        <v>0</v>
      </c>
      <c r="T170" s="735">
        <f t="shared" si="22"/>
        <v>0</v>
      </c>
      <c r="U170" s="735">
        <f t="shared" si="23"/>
        <v>104997.02701529842</v>
      </c>
      <c r="V170" s="736">
        <f t="shared" si="24"/>
        <v>0</v>
      </c>
      <c r="W170" s="735">
        <f t="shared" si="25"/>
        <v>104997.02701529842</v>
      </c>
      <c r="X170" s="737">
        <f t="shared" si="26"/>
        <v>0</v>
      </c>
      <c r="Y170" s="738">
        <f t="shared" si="27"/>
        <v>0</v>
      </c>
      <c r="Z170" s="627"/>
    </row>
    <row r="171" spans="1:26">
      <c r="A171" s="331" t="s">
        <v>1905</v>
      </c>
      <c r="B171" s="332">
        <v>737</v>
      </c>
      <c r="C171" s="332">
        <v>500</v>
      </c>
      <c r="D171" s="332">
        <v>240</v>
      </c>
      <c r="E171" s="331" t="s">
        <v>1952</v>
      </c>
      <c r="F171" s="333">
        <v>33005662.747339312</v>
      </c>
      <c r="G171" s="332" t="s">
        <v>4</v>
      </c>
      <c r="H171" s="332">
        <v>2015</v>
      </c>
      <c r="I171" s="306">
        <f>+IF($H171=I$2,VLOOKUP($G171,Depreciation!$A$14:$L$18,7,FALSE)/2,IF($H171&lt;I$2,VLOOKUP($G171,Depreciation!$A$14:$L$18,7,FALSE),0))</f>
        <v>1.7228380322441735E-2</v>
      </c>
      <c r="J171" s="306">
        <f>+IF($H171=J$2,VLOOKUP($G171,Depreciation!$A$14:$L$18,8,FALSE)/2,IF($H171&lt;J$2,VLOOKUP($G171,Depreciation!$A$14:$L$18,8,FALSE),0))</f>
        <v>3.343407856743718E-2</v>
      </c>
      <c r="K171" s="306">
        <f>+IF($H171=K$2,VLOOKUP($G171,Depreciation!$A$14:$L$18,9,FALSE)/2,IF($H171&lt;K$2,VLOOKUP($G171,Depreciation!$A$14:$L$18,9,FALSE),0))</f>
        <v>3.343407856743718E-2</v>
      </c>
      <c r="L171" s="306">
        <f>+IF($H171=L$2,VLOOKUP($G171,Depreciation!$A$14:$L$18,10,FALSE)/2,IF($H171&lt;L$2,VLOOKUP($G171,Depreciation!$A$14:$L$18,10,FALSE),0))</f>
        <v>3.343407856743718E-2</v>
      </c>
      <c r="M171" s="306">
        <f>+IF($H171=M$2,VLOOKUP($G171,Depreciation!$A$14:$L$18,11,FALSE)/2,IF($H171&lt;M$2,VLOOKUP($G171,Depreciation!$A$14:$L$18,11,FALSE),0))</f>
        <v>3.343407856743718E-2</v>
      </c>
      <c r="N171" s="306">
        <f>+IF($H171=N$2,VLOOKUP($G171,Depreciation!$A$14:$L$18,12,FALSE)/2,IF($H171&lt;N$2,VLOOKUP($G171,Depreciation!$A$14:$L$18,12,FALSE),0))</f>
        <v>3.343407856743718E-2</v>
      </c>
      <c r="O171" s="307">
        <f t="shared" si="19"/>
        <v>32437028.636733901</v>
      </c>
      <c r="P171" s="732">
        <v>0</v>
      </c>
      <c r="Q171" s="733">
        <v>0</v>
      </c>
      <c r="R171" s="734">
        <f t="shared" si="20"/>
        <v>1</v>
      </c>
      <c r="S171" s="735">
        <f t="shared" si="21"/>
        <v>0</v>
      </c>
      <c r="T171" s="735">
        <f t="shared" si="22"/>
        <v>0</v>
      </c>
      <c r="U171" s="735">
        <f t="shared" si="23"/>
        <v>32437028.636733901</v>
      </c>
      <c r="V171" s="736">
        <f t="shared" si="24"/>
        <v>0</v>
      </c>
      <c r="W171" s="735">
        <f t="shared" si="25"/>
        <v>32437028.636733901</v>
      </c>
      <c r="X171" s="737">
        <f t="shared" si="26"/>
        <v>0</v>
      </c>
      <c r="Y171" s="738">
        <f t="shared" si="27"/>
        <v>0</v>
      </c>
      <c r="Z171" s="627"/>
    </row>
    <row r="172" spans="1:26">
      <c r="A172" s="331" t="s">
        <v>1906</v>
      </c>
      <c r="B172" s="332">
        <v>737</v>
      </c>
      <c r="C172" s="332">
        <v>240</v>
      </c>
      <c r="D172" s="332">
        <v>25</v>
      </c>
      <c r="E172" s="331" t="s">
        <v>1680</v>
      </c>
      <c r="F172" s="333">
        <v>551841.87584074528</v>
      </c>
      <c r="G172" s="332" t="s">
        <v>4</v>
      </c>
      <c r="H172" s="332">
        <v>2015</v>
      </c>
      <c r="I172" s="306">
        <f>+IF($H172=I$2,VLOOKUP($G172,Depreciation!$A$14:$L$18,7,FALSE)/2,IF($H172&lt;I$2,VLOOKUP($G172,Depreciation!$A$14:$L$18,7,FALSE),0))</f>
        <v>1.7228380322441735E-2</v>
      </c>
      <c r="J172" s="306">
        <f>+IF($H172=J$2,VLOOKUP($G172,Depreciation!$A$14:$L$18,8,FALSE)/2,IF($H172&lt;J$2,VLOOKUP($G172,Depreciation!$A$14:$L$18,8,FALSE),0))</f>
        <v>3.343407856743718E-2</v>
      </c>
      <c r="K172" s="306">
        <f>+IF($H172=K$2,VLOOKUP($G172,Depreciation!$A$14:$L$18,9,FALSE)/2,IF($H172&lt;K$2,VLOOKUP($G172,Depreciation!$A$14:$L$18,9,FALSE),0))</f>
        <v>3.343407856743718E-2</v>
      </c>
      <c r="L172" s="306">
        <f>+IF($H172=L$2,VLOOKUP($G172,Depreciation!$A$14:$L$18,10,FALSE)/2,IF($H172&lt;L$2,VLOOKUP($G172,Depreciation!$A$14:$L$18,10,FALSE),0))</f>
        <v>3.343407856743718E-2</v>
      </c>
      <c r="M172" s="306">
        <f>+IF($H172=M$2,VLOOKUP($G172,Depreciation!$A$14:$L$18,11,FALSE)/2,IF($H172&lt;M$2,VLOOKUP($G172,Depreciation!$A$14:$L$18,11,FALSE),0))</f>
        <v>3.343407856743718E-2</v>
      </c>
      <c r="N172" s="306">
        <f>+IF($H172=N$2,VLOOKUP($G172,Depreciation!$A$14:$L$18,12,FALSE)/2,IF($H172&lt;N$2,VLOOKUP($G172,Depreciation!$A$14:$L$18,12,FALSE),0))</f>
        <v>3.343407856743718E-2</v>
      </c>
      <c r="O172" s="307">
        <f t="shared" si="19"/>
        <v>542334.53412591119</v>
      </c>
      <c r="P172" s="732">
        <v>0.96203522504892369</v>
      </c>
      <c r="Q172" s="733">
        <v>3.7964774951076322E-2</v>
      </c>
      <c r="R172" s="734">
        <f t="shared" si="20"/>
        <v>0</v>
      </c>
      <c r="S172" s="735">
        <f t="shared" si="21"/>
        <v>521744.92558962415</v>
      </c>
      <c r="T172" s="735">
        <f t="shared" si="22"/>
        <v>20589.60853628704</v>
      </c>
      <c r="U172" s="735">
        <f t="shared" si="23"/>
        <v>0</v>
      </c>
      <c r="V172" s="736">
        <f t="shared" si="24"/>
        <v>0</v>
      </c>
      <c r="W172" s="735">
        <f t="shared" si="25"/>
        <v>521744.92558962415</v>
      </c>
      <c r="X172" s="737">
        <f t="shared" si="26"/>
        <v>0</v>
      </c>
      <c r="Y172" s="738">
        <f t="shared" si="27"/>
        <v>20589.60853628704</v>
      </c>
      <c r="Z172" s="627"/>
    </row>
    <row r="173" spans="1:26">
      <c r="A173" s="331" t="s">
        <v>1907</v>
      </c>
      <c r="B173" s="332">
        <v>737</v>
      </c>
      <c r="C173" s="332">
        <v>240</v>
      </c>
      <c r="D173" s="332">
        <v>240</v>
      </c>
      <c r="E173" s="331" t="s">
        <v>1688</v>
      </c>
      <c r="F173" s="333">
        <v>223583.15265230645</v>
      </c>
      <c r="G173" s="332" t="s">
        <v>4</v>
      </c>
      <c r="H173" s="332">
        <v>2015</v>
      </c>
      <c r="I173" s="306">
        <f>+IF($H173=I$2,VLOOKUP($G173,Depreciation!$A$14:$L$18,7,FALSE)/2,IF($H173&lt;I$2,VLOOKUP($G173,Depreciation!$A$14:$L$18,7,FALSE),0))</f>
        <v>1.7228380322441735E-2</v>
      </c>
      <c r="J173" s="306">
        <f>+IF($H173=J$2,VLOOKUP($G173,Depreciation!$A$14:$L$18,8,FALSE)/2,IF($H173&lt;J$2,VLOOKUP($G173,Depreciation!$A$14:$L$18,8,FALSE),0))</f>
        <v>3.343407856743718E-2</v>
      </c>
      <c r="K173" s="306">
        <f>+IF($H173=K$2,VLOOKUP($G173,Depreciation!$A$14:$L$18,9,FALSE)/2,IF($H173&lt;K$2,VLOOKUP($G173,Depreciation!$A$14:$L$18,9,FALSE),0))</f>
        <v>3.343407856743718E-2</v>
      </c>
      <c r="L173" s="306">
        <f>+IF($H173=L$2,VLOOKUP($G173,Depreciation!$A$14:$L$18,10,FALSE)/2,IF($H173&lt;L$2,VLOOKUP($G173,Depreciation!$A$14:$L$18,10,FALSE),0))</f>
        <v>3.343407856743718E-2</v>
      </c>
      <c r="M173" s="306">
        <f>+IF($H173=M$2,VLOOKUP($G173,Depreciation!$A$14:$L$18,11,FALSE)/2,IF($H173&lt;M$2,VLOOKUP($G173,Depreciation!$A$14:$L$18,11,FALSE),0))</f>
        <v>3.343407856743718E-2</v>
      </c>
      <c r="N173" s="306">
        <f>+IF($H173=N$2,VLOOKUP($G173,Depreciation!$A$14:$L$18,12,FALSE)/2,IF($H173&lt;N$2,VLOOKUP($G173,Depreciation!$A$14:$L$18,12,FALSE),0))</f>
        <v>3.343407856743718E-2</v>
      </c>
      <c r="O173" s="307">
        <f t="shared" si="19"/>
        <v>219731.17706472197</v>
      </c>
      <c r="P173" s="732">
        <v>0</v>
      </c>
      <c r="Q173" s="733">
        <v>0</v>
      </c>
      <c r="R173" s="734">
        <f t="shared" si="20"/>
        <v>1</v>
      </c>
      <c r="S173" s="735">
        <f t="shared" si="21"/>
        <v>0</v>
      </c>
      <c r="T173" s="735">
        <f t="shared" si="22"/>
        <v>0</v>
      </c>
      <c r="U173" s="735">
        <f t="shared" si="23"/>
        <v>219731.17706472197</v>
      </c>
      <c r="V173" s="736">
        <f t="shared" si="24"/>
        <v>0</v>
      </c>
      <c r="W173" s="735">
        <f t="shared" si="25"/>
        <v>219731.17706472197</v>
      </c>
      <c r="X173" s="737">
        <f t="shared" si="26"/>
        <v>0</v>
      </c>
      <c r="Y173" s="738">
        <f t="shared" si="27"/>
        <v>0</v>
      </c>
      <c r="Z173" s="627"/>
    </row>
    <row r="174" spans="1:26">
      <c r="A174" s="331" t="s">
        <v>1908</v>
      </c>
      <c r="B174" s="332">
        <v>737</v>
      </c>
      <c r="C174" s="332">
        <v>240</v>
      </c>
      <c r="D174" s="332">
        <v>138</v>
      </c>
      <c r="E174" s="331" t="s">
        <v>1535</v>
      </c>
      <c r="F174" s="333">
        <v>315408.50917802192</v>
      </c>
      <c r="G174" s="332" t="s">
        <v>4</v>
      </c>
      <c r="H174" s="332">
        <v>2015</v>
      </c>
      <c r="I174" s="306">
        <f>+IF($H174=I$2,VLOOKUP($G174,Depreciation!$A$14:$L$18,7,FALSE)/2,IF($H174&lt;I$2,VLOOKUP($G174,Depreciation!$A$14:$L$18,7,FALSE),0))</f>
        <v>1.7228380322441735E-2</v>
      </c>
      <c r="J174" s="306">
        <f>+IF($H174=J$2,VLOOKUP($G174,Depreciation!$A$14:$L$18,8,FALSE)/2,IF($H174&lt;J$2,VLOOKUP($G174,Depreciation!$A$14:$L$18,8,FALSE),0))</f>
        <v>3.343407856743718E-2</v>
      </c>
      <c r="K174" s="306">
        <f>+IF($H174=K$2,VLOOKUP($G174,Depreciation!$A$14:$L$18,9,FALSE)/2,IF($H174&lt;K$2,VLOOKUP($G174,Depreciation!$A$14:$L$18,9,FALSE),0))</f>
        <v>3.343407856743718E-2</v>
      </c>
      <c r="L174" s="306">
        <f>+IF($H174=L$2,VLOOKUP($G174,Depreciation!$A$14:$L$18,10,FALSE)/2,IF($H174&lt;L$2,VLOOKUP($G174,Depreciation!$A$14:$L$18,10,FALSE),0))</f>
        <v>3.343407856743718E-2</v>
      </c>
      <c r="M174" s="306">
        <f>+IF($H174=M$2,VLOOKUP($G174,Depreciation!$A$14:$L$18,11,FALSE)/2,IF($H174&lt;M$2,VLOOKUP($G174,Depreciation!$A$14:$L$18,11,FALSE),0))</f>
        <v>3.343407856743718E-2</v>
      </c>
      <c r="N174" s="306">
        <f>+IF($H174=N$2,VLOOKUP($G174,Depreciation!$A$14:$L$18,12,FALSE)/2,IF($H174&lt;N$2,VLOOKUP($G174,Depreciation!$A$14:$L$18,12,FALSE),0))</f>
        <v>3.343407856743718E-2</v>
      </c>
      <c r="O174" s="307">
        <f t="shared" si="19"/>
        <v>309974.53142496862</v>
      </c>
      <c r="P174" s="732">
        <v>0</v>
      </c>
      <c r="Q174" s="733">
        <v>0</v>
      </c>
      <c r="R174" s="734">
        <f t="shared" si="20"/>
        <v>1</v>
      </c>
      <c r="S174" s="735">
        <f t="shared" si="21"/>
        <v>0</v>
      </c>
      <c r="T174" s="735">
        <f t="shared" si="22"/>
        <v>0</v>
      </c>
      <c r="U174" s="735">
        <f t="shared" si="23"/>
        <v>309974.53142496862</v>
      </c>
      <c r="V174" s="736">
        <f t="shared" si="24"/>
        <v>0</v>
      </c>
      <c r="W174" s="735">
        <f t="shared" si="25"/>
        <v>0</v>
      </c>
      <c r="X174" s="737">
        <f t="shared" si="26"/>
        <v>309974.53142496862</v>
      </c>
      <c r="Y174" s="738">
        <f t="shared" si="27"/>
        <v>0</v>
      </c>
      <c r="Z174" s="627"/>
    </row>
    <row r="175" spans="1:26">
      <c r="A175" s="331" t="s">
        <v>1909</v>
      </c>
      <c r="B175" s="332">
        <v>737</v>
      </c>
      <c r="C175" s="332">
        <v>240</v>
      </c>
      <c r="D175" s="332">
        <v>240</v>
      </c>
      <c r="E175" s="331" t="s">
        <v>1556</v>
      </c>
      <c r="F175" s="333">
        <v>273015.76516128465</v>
      </c>
      <c r="G175" s="332" t="s">
        <v>4</v>
      </c>
      <c r="H175" s="332">
        <v>2015</v>
      </c>
      <c r="I175" s="306">
        <f>+IF($H175=I$2,VLOOKUP($G175,Depreciation!$A$14:$L$18,7,FALSE)/2,IF($H175&lt;I$2,VLOOKUP($G175,Depreciation!$A$14:$L$18,7,FALSE),0))</f>
        <v>1.7228380322441735E-2</v>
      </c>
      <c r="J175" s="306">
        <f>+IF($H175=J$2,VLOOKUP($G175,Depreciation!$A$14:$L$18,8,FALSE)/2,IF($H175&lt;J$2,VLOOKUP($G175,Depreciation!$A$14:$L$18,8,FALSE),0))</f>
        <v>3.343407856743718E-2</v>
      </c>
      <c r="K175" s="306">
        <f>+IF($H175=K$2,VLOOKUP($G175,Depreciation!$A$14:$L$18,9,FALSE)/2,IF($H175&lt;K$2,VLOOKUP($G175,Depreciation!$A$14:$L$18,9,FALSE),0))</f>
        <v>3.343407856743718E-2</v>
      </c>
      <c r="L175" s="306">
        <f>+IF($H175=L$2,VLOOKUP($G175,Depreciation!$A$14:$L$18,10,FALSE)/2,IF($H175&lt;L$2,VLOOKUP($G175,Depreciation!$A$14:$L$18,10,FALSE),0))</f>
        <v>3.343407856743718E-2</v>
      </c>
      <c r="M175" s="306">
        <f>+IF($H175=M$2,VLOOKUP($G175,Depreciation!$A$14:$L$18,11,FALSE)/2,IF($H175&lt;M$2,VLOOKUP($G175,Depreciation!$A$14:$L$18,11,FALSE),0))</f>
        <v>3.343407856743718E-2</v>
      </c>
      <c r="N175" s="306">
        <f>+IF($H175=N$2,VLOOKUP($G175,Depreciation!$A$14:$L$18,12,FALSE)/2,IF($H175&lt;N$2,VLOOKUP($G175,Depreciation!$A$14:$L$18,12,FALSE),0))</f>
        <v>3.343407856743718E-2</v>
      </c>
      <c r="O175" s="307">
        <f t="shared" si="19"/>
        <v>268312.14572506357</v>
      </c>
      <c r="P175" s="732">
        <v>0</v>
      </c>
      <c r="Q175" s="733">
        <v>0</v>
      </c>
      <c r="R175" s="734">
        <f t="shared" si="20"/>
        <v>1</v>
      </c>
      <c r="S175" s="735">
        <f t="shared" si="21"/>
        <v>0</v>
      </c>
      <c r="T175" s="735">
        <f t="shared" si="22"/>
        <v>0</v>
      </c>
      <c r="U175" s="735">
        <f t="shared" si="23"/>
        <v>268312.14572506357</v>
      </c>
      <c r="V175" s="736">
        <f t="shared" si="24"/>
        <v>0</v>
      </c>
      <c r="W175" s="735">
        <f t="shared" si="25"/>
        <v>268312.14572506357</v>
      </c>
      <c r="X175" s="737">
        <f t="shared" si="26"/>
        <v>0</v>
      </c>
      <c r="Y175" s="738">
        <f t="shared" si="27"/>
        <v>0</v>
      </c>
      <c r="Z175" s="627"/>
    </row>
    <row r="176" spans="1:26">
      <c r="A176" s="331" t="s">
        <v>1910</v>
      </c>
      <c r="B176" s="332">
        <v>737</v>
      </c>
      <c r="C176" s="332">
        <v>500</v>
      </c>
      <c r="D176" s="332">
        <v>0</v>
      </c>
      <c r="E176" s="331" t="s">
        <v>1982</v>
      </c>
      <c r="F176" s="333">
        <v>59049851.860905387</v>
      </c>
      <c r="G176" s="332" t="s">
        <v>4</v>
      </c>
      <c r="H176" s="332">
        <v>2015</v>
      </c>
      <c r="I176" s="306">
        <f>+IF($H176=I$2,VLOOKUP($G176,Depreciation!$A$14:$L$18,7,FALSE)/2,IF($H176&lt;I$2,VLOOKUP($G176,Depreciation!$A$14:$L$18,7,FALSE),0))</f>
        <v>1.7228380322441735E-2</v>
      </c>
      <c r="J176" s="306">
        <f>+IF($H176=J$2,VLOOKUP($G176,Depreciation!$A$14:$L$18,8,FALSE)/2,IF($H176&lt;J$2,VLOOKUP($G176,Depreciation!$A$14:$L$18,8,FALSE),0))</f>
        <v>3.343407856743718E-2</v>
      </c>
      <c r="K176" s="306">
        <f>+IF($H176=K$2,VLOOKUP($G176,Depreciation!$A$14:$L$18,9,FALSE)/2,IF($H176&lt;K$2,VLOOKUP($G176,Depreciation!$A$14:$L$18,9,FALSE),0))</f>
        <v>3.343407856743718E-2</v>
      </c>
      <c r="L176" s="306">
        <f>+IF($H176=L$2,VLOOKUP($G176,Depreciation!$A$14:$L$18,10,FALSE)/2,IF($H176&lt;L$2,VLOOKUP($G176,Depreciation!$A$14:$L$18,10,FALSE),0))</f>
        <v>3.343407856743718E-2</v>
      </c>
      <c r="M176" s="306">
        <f>+IF($H176=M$2,VLOOKUP($G176,Depreciation!$A$14:$L$18,11,FALSE)/2,IF($H176&lt;M$2,VLOOKUP($G176,Depreciation!$A$14:$L$18,11,FALSE),0))</f>
        <v>3.343407856743718E-2</v>
      </c>
      <c r="N176" s="306">
        <f>+IF($H176=N$2,VLOOKUP($G176,Depreciation!$A$14:$L$18,12,FALSE)/2,IF($H176&lt;N$2,VLOOKUP($G176,Depreciation!$A$14:$L$18,12,FALSE),0))</f>
        <v>3.343407856743718E-2</v>
      </c>
      <c r="O176" s="307">
        <f t="shared" si="19"/>
        <v>58032518.555061862</v>
      </c>
      <c r="P176" s="732">
        <v>0</v>
      </c>
      <c r="Q176" s="733">
        <v>0</v>
      </c>
      <c r="R176" s="734">
        <f t="shared" si="20"/>
        <v>1</v>
      </c>
      <c r="S176" s="735">
        <f t="shared" si="21"/>
        <v>0</v>
      </c>
      <c r="T176" s="735">
        <f t="shared" si="22"/>
        <v>0</v>
      </c>
      <c r="U176" s="735">
        <f t="shared" si="23"/>
        <v>58032518.555061862</v>
      </c>
      <c r="V176" s="736">
        <f t="shared" si="24"/>
        <v>58032518.555061862</v>
      </c>
      <c r="W176" s="735">
        <f t="shared" si="25"/>
        <v>0</v>
      </c>
      <c r="X176" s="737">
        <f t="shared" si="26"/>
        <v>0</v>
      </c>
      <c r="Y176" s="738">
        <f t="shared" si="27"/>
        <v>0</v>
      </c>
      <c r="Z176" s="627"/>
    </row>
    <row r="177" spans="1:26">
      <c r="A177" s="331" t="s">
        <v>1911</v>
      </c>
      <c r="B177" s="332">
        <v>737</v>
      </c>
      <c r="C177" s="332">
        <v>500</v>
      </c>
      <c r="D177" s="332">
        <v>240</v>
      </c>
      <c r="E177" s="331" t="s">
        <v>1983</v>
      </c>
      <c r="F177" s="333">
        <v>248522285.09999999</v>
      </c>
      <c r="G177" s="332" t="s">
        <v>4</v>
      </c>
      <c r="H177" s="332">
        <v>2015</v>
      </c>
      <c r="I177" s="306">
        <f>+IF($H177=I$2,VLOOKUP($G177,Depreciation!$A$14:$L$18,7,FALSE)/2,IF($H177&lt;I$2,VLOOKUP($G177,Depreciation!$A$14:$L$18,7,FALSE),0))</f>
        <v>1.7228380322441735E-2</v>
      </c>
      <c r="J177" s="306">
        <f>+IF($H177=J$2,VLOOKUP($G177,Depreciation!$A$14:$L$18,8,FALSE)/2,IF($H177&lt;J$2,VLOOKUP($G177,Depreciation!$A$14:$L$18,8,FALSE),0))</f>
        <v>3.343407856743718E-2</v>
      </c>
      <c r="K177" s="306">
        <f>+IF($H177=K$2,VLOOKUP($G177,Depreciation!$A$14:$L$18,9,FALSE)/2,IF($H177&lt;K$2,VLOOKUP($G177,Depreciation!$A$14:$L$18,9,FALSE),0))</f>
        <v>3.343407856743718E-2</v>
      </c>
      <c r="L177" s="306">
        <f>+IF($H177=L$2,VLOOKUP($G177,Depreciation!$A$14:$L$18,10,FALSE)/2,IF($H177&lt;L$2,VLOOKUP($G177,Depreciation!$A$14:$L$18,10,FALSE),0))</f>
        <v>3.343407856743718E-2</v>
      </c>
      <c r="M177" s="306">
        <f>+IF($H177=M$2,VLOOKUP($G177,Depreciation!$A$14:$L$18,11,FALSE)/2,IF($H177&lt;M$2,VLOOKUP($G177,Depreciation!$A$14:$L$18,11,FALSE),0))</f>
        <v>3.343407856743718E-2</v>
      </c>
      <c r="N177" s="306">
        <f>+IF($H177=N$2,VLOOKUP($G177,Depreciation!$A$14:$L$18,12,FALSE)/2,IF($H177&lt;N$2,VLOOKUP($G177,Depreciation!$A$14:$L$18,12,FALSE),0))</f>
        <v>3.343407856743718E-2</v>
      </c>
      <c r="O177" s="307">
        <f t="shared" si="19"/>
        <v>244240648.6536949</v>
      </c>
      <c r="P177" s="732">
        <v>0</v>
      </c>
      <c r="Q177" s="733">
        <v>0</v>
      </c>
      <c r="R177" s="734">
        <f t="shared" si="20"/>
        <v>1</v>
      </c>
      <c r="S177" s="735">
        <f t="shared" si="21"/>
        <v>0</v>
      </c>
      <c r="T177" s="735">
        <f t="shared" si="22"/>
        <v>0</v>
      </c>
      <c r="U177" s="735">
        <f t="shared" si="23"/>
        <v>244240648.6536949</v>
      </c>
      <c r="V177" s="736">
        <f t="shared" si="24"/>
        <v>0</v>
      </c>
      <c r="W177" s="735">
        <f t="shared" si="25"/>
        <v>244240648.6536949</v>
      </c>
      <c r="X177" s="737">
        <f t="shared" si="26"/>
        <v>0</v>
      </c>
      <c r="Y177" s="738">
        <f t="shared" si="27"/>
        <v>0</v>
      </c>
      <c r="Z177" s="627"/>
    </row>
    <row r="178" spans="1:26">
      <c r="A178" s="331" t="s">
        <v>1912</v>
      </c>
      <c r="B178" s="332">
        <v>737</v>
      </c>
      <c r="C178" s="332">
        <v>500</v>
      </c>
      <c r="D178" s="332">
        <v>240</v>
      </c>
      <c r="E178" s="331" t="s">
        <v>1688</v>
      </c>
      <c r="F178" s="333">
        <v>418379.53308123141</v>
      </c>
      <c r="G178" s="332" t="s">
        <v>38</v>
      </c>
      <c r="H178" s="332">
        <v>2015</v>
      </c>
      <c r="I178" s="306">
        <f>+IF($H178=I$2,VLOOKUP($G178,Depreciation!$A$14:$L$18,7,FALSE)/2,IF($H178&lt;I$2,VLOOKUP($G178,Depreciation!$A$14:$L$18,7,FALSE),0))</f>
        <v>2.0607513622398654E-2</v>
      </c>
      <c r="J178" s="306">
        <f>+IF($H178=J$2,VLOOKUP($G178,Depreciation!$A$14:$L$18,8,FALSE)/2,IF($H178&lt;J$2,VLOOKUP($G178,Depreciation!$A$14:$L$18,8,FALSE),0))</f>
        <v>4.1600055599844914E-2</v>
      </c>
      <c r="K178" s="306">
        <f>+IF($H178=K$2,VLOOKUP($G178,Depreciation!$A$14:$L$18,9,FALSE)/2,IF($H178&lt;K$2,VLOOKUP($G178,Depreciation!$A$14:$L$18,9,FALSE),0))</f>
        <v>4.1145263498658789E-2</v>
      </c>
      <c r="L178" s="306">
        <f>+IF($H178=L$2,VLOOKUP($G178,Depreciation!$A$14:$L$18,10,FALSE)/2,IF($H178&lt;L$2,VLOOKUP($G178,Depreciation!$A$14:$L$18,10,FALSE),0))</f>
        <v>4.1145263498658789E-2</v>
      </c>
      <c r="M178" s="306">
        <f>+IF($H178=M$2,VLOOKUP($G178,Depreciation!$A$14:$L$18,11,FALSE)/2,IF($H178&lt;M$2,VLOOKUP($G178,Depreciation!$A$14:$L$18,11,FALSE),0))</f>
        <v>4.1145263498658789E-2</v>
      </c>
      <c r="N178" s="306">
        <f>+IF($H178=N$2,VLOOKUP($G178,Depreciation!$A$14:$L$18,12,FALSE)/2,IF($H178&lt;N$2,VLOOKUP($G178,Depreciation!$A$14:$L$18,12,FALSE),0))</f>
        <v>4.1145263498658789E-2</v>
      </c>
      <c r="O178" s="307">
        <f t="shared" si="19"/>
        <v>409757.77115392714</v>
      </c>
      <c r="P178" s="732">
        <v>0</v>
      </c>
      <c r="Q178" s="733">
        <v>0</v>
      </c>
      <c r="R178" s="734">
        <f t="shared" si="20"/>
        <v>1</v>
      </c>
      <c r="S178" s="735">
        <f t="shared" si="21"/>
        <v>0</v>
      </c>
      <c r="T178" s="735">
        <f t="shared" si="22"/>
        <v>0</v>
      </c>
      <c r="U178" s="735">
        <f t="shared" si="23"/>
        <v>409757.77115392714</v>
      </c>
      <c r="V178" s="736">
        <f t="shared" si="24"/>
        <v>0</v>
      </c>
      <c r="W178" s="735">
        <f t="shared" si="25"/>
        <v>409757.77115392714</v>
      </c>
      <c r="X178" s="737">
        <f t="shared" si="26"/>
        <v>0</v>
      </c>
      <c r="Y178" s="738">
        <f t="shared" si="27"/>
        <v>0</v>
      </c>
      <c r="Z178" s="627"/>
    </row>
    <row r="179" spans="1:26">
      <c r="A179" s="331" t="s">
        <v>1913</v>
      </c>
      <c r="B179" s="332">
        <v>737</v>
      </c>
      <c r="C179" s="332">
        <v>240</v>
      </c>
      <c r="D179" s="332">
        <v>240</v>
      </c>
      <c r="E179" s="331" t="s">
        <v>1536</v>
      </c>
      <c r="F179" s="333">
        <v>61400098.23974175</v>
      </c>
      <c r="G179" s="332" t="s">
        <v>4</v>
      </c>
      <c r="H179" s="332">
        <v>2015</v>
      </c>
      <c r="I179" s="306">
        <f>+IF($H179=I$2,VLOOKUP($G179,Depreciation!$A$14:$L$18,7,FALSE)/2,IF($H179&lt;I$2,VLOOKUP($G179,Depreciation!$A$14:$L$18,7,FALSE),0))</f>
        <v>1.7228380322441735E-2</v>
      </c>
      <c r="J179" s="306">
        <f>+IF($H179=J$2,VLOOKUP($G179,Depreciation!$A$14:$L$18,8,FALSE)/2,IF($H179&lt;J$2,VLOOKUP($G179,Depreciation!$A$14:$L$18,8,FALSE),0))</f>
        <v>3.343407856743718E-2</v>
      </c>
      <c r="K179" s="306">
        <f>+IF($H179=K$2,VLOOKUP($G179,Depreciation!$A$14:$L$18,9,FALSE)/2,IF($H179&lt;K$2,VLOOKUP($G179,Depreciation!$A$14:$L$18,9,FALSE),0))</f>
        <v>3.343407856743718E-2</v>
      </c>
      <c r="L179" s="306">
        <f>+IF($H179=L$2,VLOOKUP($G179,Depreciation!$A$14:$L$18,10,FALSE)/2,IF($H179&lt;L$2,VLOOKUP($G179,Depreciation!$A$14:$L$18,10,FALSE),0))</f>
        <v>3.343407856743718E-2</v>
      </c>
      <c r="M179" s="306">
        <f>+IF($H179=M$2,VLOOKUP($G179,Depreciation!$A$14:$L$18,11,FALSE)/2,IF($H179&lt;M$2,VLOOKUP($G179,Depreciation!$A$14:$L$18,11,FALSE),0))</f>
        <v>3.343407856743718E-2</v>
      </c>
      <c r="N179" s="306">
        <f>+IF($H179=N$2,VLOOKUP($G179,Depreciation!$A$14:$L$18,12,FALSE)/2,IF($H179&lt;N$2,VLOOKUP($G179,Depreciation!$A$14:$L$18,12,FALSE),0))</f>
        <v>3.343407856743718E-2</v>
      </c>
      <c r="O179" s="307">
        <f t="shared" si="19"/>
        <v>60342273.995432191</v>
      </c>
      <c r="P179" s="732">
        <v>0</v>
      </c>
      <c r="Q179" s="733">
        <v>0</v>
      </c>
      <c r="R179" s="734">
        <f t="shared" si="20"/>
        <v>1</v>
      </c>
      <c r="S179" s="735">
        <f t="shared" si="21"/>
        <v>0</v>
      </c>
      <c r="T179" s="735">
        <f t="shared" si="22"/>
        <v>0</v>
      </c>
      <c r="U179" s="735">
        <f t="shared" si="23"/>
        <v>60342273.995432191</v>
      </c>
      <c r="V179" s="736">
        <f t="shared" si="24"/>
        <v>0</v>
      </c>
      <c r="W179" s="735">
        <f t="shared" si="25"/>
        <v>60342273.995432191</v>
      </c>
      <c r="X179" s="737">
        <f t="shared" si="26"/>
        <v>0</v>
      </c>
      <c r="Y179" s="738">
        <f t="shared" si="27"/>
        <v>0</v>
      </c>
      <c r="Z179" s="627"/>
    </row>
    <row r="180" spans="1:26">
      <c r="A180" s="331" t="s">
        <v>1914</v>
      </c>
      <c r="B180" s="332">
        <v>737</v>
      </c>
      <c r="C180" s="332">
        <v>240</v>
      </c>
      <c r="D180" s="332">
        <v>240</v>
      </c>
      <c r="E180" s="331" t="s">
        <v>1980</v>
      </c>
      <c r="F180" s="333">
        <v>403965.62500399671</v>
      </c>
      <c r="G180" s="332" t="s">
        <v>4</v>
      </c>
      <c r="H180" s="332">
        <v>2015</v>
      </c>
      <c r="I180" s="306">
        <f>+IF($H180=I$2,VLOOKUP($G180,Depreciation!$A$14:$L$18,7,FALSE)/2,IF($H180&lt;I$2,VLOOKUP($G180,Depreciation!$A$14:$L$18,7,FALSE),0))</f>
        <v>1.7228380322441735E-2</v>
      </c>
      <c r="J180" s="306">
        <f>+IF($H180=J$2,VLOOKUP($G180,Depreciation!$A$14:$L$18,8,FALSE)/2,IF($H180&lt;J$2,VLOOKUP($G180,Depreciation!$A$14:$L$18,8,FALSE),0))</f>
        <v>3.343407856743718E-2</v>
      </c>
      <c r="K180" s="306">
        <f>+IF($H180=K$2,VLOOKUP($G180,Depreciation!$A$14:$L$18,9,FALSE)/2,IF($H180&lt;K$2,VLOOKUP($G180,Depreciation!$A$14:$L$18,9,FALSE),0))</f>
        <v>3.343407856743718E-2</v>
      </c>
      <c r="L180" s="306">
        <f>+IF($H180=L$2,VLOOKUP($G180,Depreciation!$A$14:$L$18,10,FALSE)/2,IF($H180&lt;L$2,VLOOKUP($G180,Depreciation!$A$14:$L$18,10,FALSE),0))</f>
        <v>3.343407856743718E-2</v>
      </c>
      <c r="M180" s="306">
        <f>+IF($H180=M$2,VLOOKUP($G180,Depreciation!$A$14:$L$18,11,FALSE)/2,IF($H180&lt;M$2,VLOOKUP($G180,Depreciation!$A$14:$L$18,11,FALSE),0))</f>
        <v>3.343407856743718E-2</v>
      </c>
      <c r="N180" s="306">
        <f>+IF($H180=N$2,VLOOKUP($G180,Depreciation!$A$14:$L$18,12,FALSE)/2,IF($H180&lt;N$2,VLOOKUP($G180,Depreciation!$A$14:$L$18,12,FALSE),0))</f>
        <v>3.343407856743718E-2</v>
      </c>
      <c r="O180" s="307">
        <f t="shared" si="19"/>
        <v>397005.95157923497</v>
      </c>
      <c r="P180" s="732">
        <v>0</v>
      </c>
      <c r="Q180" s="733">
        <v>0</v>
      </c>
      <c r="R180" s="734">
        <f t="shared" si="20"/>
        <v>1</v>
      </c>
      <c r="S180" s="735">
        <f t="shared" si="21"/>
        <v>0</v>
      </c>
      <c r="T180" s="735">
        <f t="shared" si="22"/>
        <v>0</v>
      </c>
      <c r="U180" s="735">
        <f t="shared" si="23"/>
        <v>397005.95157923497</v>
      </c>
      <c r="V180" s="736">
        <f t="shared" si="24"/>
        <v>0</v>
      </c>
      <c r="W180" s="735">
        <f t="shared" si="25"/>
        <v>397005.95157923497</v>
      </c>
      <c r="X180" s="737">
        <f t="shared" si="26"/>
        <v>0</v>
      </c>
      <c r="Y180" s="738">
        <f t="shared" si="27"/>
        <v>0</v>
      </c>
      <c r="Z180" s="627"/>
    </row>
    <row r="181" spans="1:26">
      <c r="A181" s="331" t="s">
        <v>1915</v>
      </c>
      <c r="B181" s="332">
        <v>737</v>
      </c>
      <c r="C181" s="332">
        <v>240</v>
      </c>
      <c r="D181" s="332">
        <v>25</v>
      </c>
      <c r="E181" s="331" t="s">
        <v>1965</v>
      </c>
      <c r="F181" s="333">
        <v>748276.10411280254</v>
      </c>
      <c r="G181" s="332" t="s">
        <v>4</v>
      </c>
      <c r="H181" s="332">
        <v>2015</v>
      </c>
      <c r="I181" s="306">
        <f>+IF($H181=I$2,VLOOKUP($G181,Depreciation!$A$14:$L$18,7,FALSE)/2,IF($H181&lt;I$2,VLOOKUP($G181,Depreciation!$A$14:$L$18,7,FALSE),0))</f>
        <v>1.7228380322441735E-2</v>
      </c>
      <c r="J181" s="306">
        <f>+IF($H181=J$2,VLOOKUP($G181,Depreciation!$A$14:$L$18,8,FALSE)/2,IF($H181&lt;J$2,VLOOKUP($G181,Depreciation!$A$14:$L$18,8,FALSE),0))</f>
        <v>3.343407856743718E-2</v>
      </c>
      <c r="K181" s="306">
        <f>+IF($H181=K$2,VLOOKUP($G181,Depreciation!$A$14:$L$18,9,FALSE)/2,IF($H181&lt;K$2,VLOOKUP($G181,Depreciation!$A$14:$L$18,9,FALSE),0))</f>
        <v>3.343407856743718E-2</v>
      </c>
      <c r="L181" s="306">
        <f>+IF($H181=L$2,VLOOKUP($G181,Depreciation!$A$14:$L$18,10,FALSE)/2,IF($H181&lt;L$2,VLOOKUP($G181,Depreciation!$A$14:$L$18,10,FALSE),0))</f>
        <v>3.343407856743718E-2</v>
      </c>
      <c r="M181" s="306">
        <f>+IF($H181=M$2,VLOOKUP($G181,Depreciation!$A$14:$L$18,11,FALSE)/2,IF($H181&lt;M$2,VLOOKUP($G181,Depreciation!$A$14:$L$18,11,FALSE),0))</f>
        <v>3.343407856743718E-2</v>
      </c>
      <c r="N181" s="306">
        <f>+IF($H181=N$2,VLOOKUP($G181,Depreciation!$A$14:$L$18,12,FALSE)/2,IF($H181&lt;N$2,VLOOKUP($G181,Depreciation!$A$14:$L$18,12,FALSE),0))</f>
        <v>3.343407856743718E-2</v>
      </c>
      <c r="O181" s="307">
        <f t="shared" si="19"/>
        <v>735384.51880495215</v>
      </c>
      <c r="P181" s="732">
        <v>0</v>
      </c>
      <c r="Q181" s="733">
        <v>1</v>
      </c>
      <c r="R181" s="734">
        <f t="shared" si="20"/>
        <v>0</v>
      </c>
      <c r="S181" s="735">
        <f t="shared" si="21"/>
        <v>0</v>
      </c>
      <c r="T181" s="735">
        <f t="shared" si="22"/>
        <v>735384.51880495215</v>
      </c>
      <c r="U181" s="735">
        <f t="shared" si="23"/>
        <v>0</v>
      </c>
      <c r="V181" s="736">
        <f t="shared" si="24"/>
        <v>0</v>
      </c>
      <c r="W181" s="735">
        <f t="shared" si="25"/>
        <v>0</v>
      </c>
      <c r="X181" s="737">
        <f t="shared" si="26"/>
        <v>0</v>
      </c>
      <c r="Y181" s="738">
        <f t="shared" si="27"/>
        <v>735384.51880495215</v>
      </c>
      <c r="Z181" s="627"/>
    </row>
    <row r="182" spans="1:26">
      <c r="A182" s="331" t="s">
        <v>1916</v>
      </c>
      <c r="B182" s="332">
        <v>737</v>
      </c>
      <c r="C182" s="332">
        <v>240</v>
      </c>
      <c r="D182" s="332">
        <v>0</v>
      </c>
      <c r="E182" s="331"/>
      <c r="F182" s="333">
        <v>440477.54930957168</v>
      </c>
      <c r="G182" s="332" t="s">
        <v>4</v>
      </c>
      <c r="H182" s="332">
        <v>2015</v>
      </c>
      <c r="I182" s="306">
        <f>+IF($H182=I$2,VLOOKUP($G182,Depreciation!$A$14:$L$18,7,FALSE)/2,IF($H182&lt;I$2,VLOOKUP($G182,Depreciation!$A$14:$L$18,7,FALSE),0))</f>
        <v>1.7228380322441735E-2</v>
      </c>
      <c r="J182" s="306">
        <f>+IF($H182=J$2,VLOOKUP($G182,Depreciation!$A$14:$L$18,8,FALSE)/2,IF($H182&lt;J$2,VLOOKUP($G182,Depreciation!$A$14:$L$18,8,FALSE),0))</f>
        <v>3.343407856743718E-2</v>
      </c>
      <c r="K182" s="306">
        <f>+IF($H182=K$2,VLOOKUP($G182,Depreciation!$A$14:$L$18,9,FALSE)/2,IF($H182&lt;K$2,VLOOKUP($G182,Depreciation!$A$14:$L$18,9,FALSE),0))</f>
        <v>3.343407856743718E-2</v>
      </c>
      <c r="L182" s="306">
        <f>+IF($H182=L$2,VLOOKUP($G182,Depreciation!$A$14:$L$18,10,FALSE)/2,IF($H182&lt;L$2,VLOOKUP($G182,Depreciation!$A$14:$L$18,10,FALSE),0))</f>
        <v>3.343407856743718E-2</v>
      </c>
      <c r="M182" s="306">
        <f>+IF($H182=M$2,VLOOKUP($G182,Depreciation!$A$14:$L$18,11,FALSE)/2,IF($H182&lt;M$2,VLOOKUP($G182,Depreciation!$A$14:$L$18,11,FALSE),0))</f>
        <v>3.343407856743718E-2</v>
      </c>
      <c r="N182" s="306">
        <f>+IF($H182=N$2,VLOOKUP($G182,Depreciation!$A$14:$L$18,12,FALSE)/2,IF($H182&lt;N$2,VLOOKUP($G182,Depreciation!$A$14:$L$18,12,FALSE),0))</f>
        <v>3.343407856743718E-2</v>
      </c>
      <c r="O182" s="307">
        <f t="shared" si="19"/>
        <v>432888.83456656931</v>
      </c>
      <c r="P182" s="732">
        <v>0</v>
      </c>
      <c r="Q182" s="733">
        <v>0</v>
      </c>
      <c r="R182" s="734">
        <f t="shared" si="20"/>
        <v>1</v>
      </c>
      <c r="S182" s="735">
        <f t="shared" si="21"/>
        <v>0</v>
      </c>
      <c r="T182" s="735">
        <f t="shared" si="22"/>
        <v>0</v>
      </c>
      <c r="U182" s="735">
        <f t="shared" si="23"/>
        <v>432888.83456656931</v>
      </c>
      <c r="V182" s="736">
        <f t="shared" si="24"/>
        <v>432888.83456656931</v>
      </c>
      <c r="W182" s="735">
        <f t="shared" si="25"/>
        <v>0</v>
      </c>
      <c r="X182" s="737">
        <f t="shared" si="26"/>
        <v>0</v>
      </c>
      <c r="Y182" s="738">
        <f t="shared" si="27"/>
        <v>0</v>
      </c>
      <c r="Z182" s="627"/>
    </row>
    <row r="183" spans="1:26">
      <c r="A183" s="331" t="s">
        <v>1917</v>
      </c>
      <c r="B183" s="332">
        <v>737</v>
      </c>
      <c r="C183" s="332">
        <v>240</v>
      </c>
      <c r="D183" s="332">
        <v>0</v>
      </c>
      <c r="E183" s="331"/>
      <c r="F183" s="333">
        <v>413456.98863797617</v>
      </c>
      <c r="G183" s="332" t="s">
        <v>4</v>
      </c>
      <c r="H183" s="332">
        <v>2015</v>
      </c>
      <c r="I183" s="306">
        <f>+IF($H183=I$2,VLOOKUP($G183,Depreciation!$A$14:$L$18,7,FALSE)/2,IF($H183&lt;I$2,VLOOKUP($G183,Depreciation!$A$14:$L$18,7,FALSE),0))</f>
        <v>1.7228380322441735E-2</v>
      </c>
      <c r="J183" s="306">
        <f>+IF($H183=J$2,VLOOKUP($G183,Depreciation!$A$14:$L$18,8,FALSE)/2,IF($H183&lt;J$2,VLOOKUP($G183,Depreciation!$A$14:$L$18,8,FALSE),0))</f>
        <v>3.343407856743718E-2</v>
      </c>
      <c r="K183" s="306">
        <f>+IF($H183=K$2,VLOOKUP($G183,Depreciation!$A$14:$L$18,9,FALSE)/2,IF($H183&lt;K$2,VLOOKUP($G183,Depreciation!$A$14:$L$18,9,FALSE),0))</f>
        <v>3.343407856743718E-2</v>
      </c>
      <c r="L183" s="306">
        <f>+IF($H183=L$2,VLOOKUP($G183,Depreciation!$A$14:$L$18,10,FALSE)/2,IF($H183&lt;L$2,VLOOKUP($G183,Depreciation!$A$14:$L$18,10,FALSE),0))</f>
        <v>3.343407856743718E-2</v>
      </c>
      <c r="M183" s="306">
        <f>+IF($H183=M$2,VLOOKUP($G183,Depreciation!$A$14:$L$18,11,FALSE)/2,IF($H183&lt;M$2,VLOOKUP($G183,Depreciation!$A$14:$L$18,11,FALSE),0))</f>
        <v>3.343407856743718E-2</v>
      </c>
      <c r="N183" s="306">
        <f>+IF($H183=N$2,VLOOKUP($G183,Depreciation!$A$14:$L$18,12,FALSE)/2,IF($H183&lt;N$2,VLOOKUP($G183,Depreciation!$A$14:$L$18,12,FALSE),0))</f>
        <v>3.343407856743718E-2</v>
      </c>
      <c r="O183" s="307">
        <f t="shared" si="19"/>
        <v>406333.79439074965</v>
      </c>
      <c r="P183" s="732">
        <v>0</v>
      </c>
      <c r="Q183" s="733">
        <v>0</v>
      </c>
      <c r="R183" s="734">
        <f t="shared" si="20"/>
        <v>1</v>
      </c>
      <c r="S183" s="735">
        <f t="shared" si="21"/>
        <v>0</v>
      </c>
      <c r="T183" s="735">
        <f t="shared" si="22"/>
        <v>0</v>
      </c>
      <c r="U183" s="735">
        <f t="shared" si="23"/>
        <v>406333.79439074965</v>
      </c>
      <c r="V183" s="736">
        <f t="shared" si="24"/>
        <v>406333.79439074965</v>
      </c>
      <c r="W183" s="735">
        <f t="shared" si="25"/>
        <v>0</v>
      </c>
      <c r="X183" s="737">
        <f t="shared" si="26"/>
        <v>0</v>
      </c>
      <c r="Y183" s="738">
        <f t="shared" si="27"/>
        <v>0</v>
      </c>
      <c r="Z183" s="627"/>
    </row>
    <row r="184" spans="1:26">
      <c r="A184" s="331" t="s">
        <v>1918</v>
      </c>
      <c r="B184" s="332">
        <v>737</v>
      </c>
      <c r="C184" s="332">
        <v>500</v>
      </c>
      <c r="D184" s="332">
        <v>500</v>
      </c>
      <c r="E184" s="331" t="s">
        <v>1677</v>
      </c>
      <c r="F184" s="333">
        <v>355813227.30000001</v>
      </c>
      <c r="G184" s="332" t="s">
        <v>4</v>
      </c>
      <c r="H184" s="332">
        <v>2015</v>
      </c>
      <c r="I184" s="306">
        <f>+IF($H184=I$2,VLOOKUP($G184,Depreciation!$A$14:$L$18,7,FALSE)/2,IF($H184&lt;I$2,VLOOKUP($G184,Depreciation!$A$14:$L$18,7,FALSE),0))</f>
        <v>1.7228380322441735E-2</v>
      </c>
      <c r="J184" s="306">
        <f>+IF($H184=J$2,VLOOKUP($G184,Depreciation!$A$14:$L$18,8,FALSE)/2,IF($H184&lt;J$2,VLOOKUP($G184,Depreciation!$A$14:$L$18,8,FALSE),0))</f>
        <v>3.343407856743718E-2</v>
      </c>
      <c r="K184" s="306">
        <f>+IF($H184=K$2,VLOOKUP($G184,Depreciation!$A$14:$L$18,9,FALSE)/2,IF($H184&lt;K$2,VLOOKUP($G184,Depreciation!$A$14:$L$18,9,FALSE),0))</f>
        <v>3.343407856743718E-2</v>
      </c>
      <c r="L184" s="306">
        <f>+IF($H184=L$2,VLOOKUP($G184,Depreciation!$A$14:$L$18,10,FALSE)/2,IF($H184&lt;L$2,VLOOKUP($G184,Depreciation!$A$14:$L$18,10,FALSE),0))</f>
        <v>3.343407856743718E-2</v>
      </c>
      <c r="M184" s="306">
        <f>+IF($H184=M$2,VLOOKUP($G184,Depreciation!$A$14:$L$18,11,FALSE)/2,IF($H184&lt;M$2,VLOOKUP($G184,Depreciation!$A$14:$L$18,11,FALSE),0))</f>
        <v>3.343407856743718E-2</v>
      </c>
      <c r="N184" s="306">
        <f>+IF($H184=N$2,VLOOKUP($G184,Depreciation!$A$14:$L$18,12,FALSE)/2,IF($H184&lt;N$2,VLOOKUP($G184,Depreciation!$A$14:$L$18,12,FALSE),0))</f>
        <v>3.343407856743718E-2</v>
      </c>
      <c r="O184" s="307">
        <f t="shared" si="19"/>
        <v>349683141.69632018</v>
      </c>
      <c r="P184" s="732">
        <v>0</v>
      </c>
      <c r="Q184" s="733">
        <v>0</v>
      </c>
      <c r="R184" s="734">
        <f t="shared" si="20"/>
        <v>1</v>
      </c>
      <c r="S184" s="735">
        <f t="shared" si="21"/>
        <v>0</v>
      </c>
      <c r="T184" s="735">
        <f t="shared" si="22"/>
        <v>0</v>
      </c>
      <c r="U184" s="735">
        <f t="shared" si="23"/>
        <v>349683141.69632018</v>
      </c>
      <c r="V184" s="736">
        <f t="shared" si="24"/>
        <v>0</v>
      </c>
      <c r="W184" s="735">
        <f t="shared" si="25"/>
        <v>349683141.69632018</v>
      </c>
      <c r="X184" s="737">
        <f t="shared" si="26"/>
        <v>0</v>
      </c>
      <c r="Y184" s="738">
        <f t="shared" si="27"/>
        <v>0</v>
      </c>
      <c r="Z184" s="627"/>
    </row>
    <row r="185" spans="1:26">
      <c r="A185" s="331" t="s">
        <v>1273</v>
      </c>
      <c r="B185" s="332">
        <v>1101</v>
      </c>
      <c r="C185" s="332">
        <v>240</v>
      </c>
      <c r="D185" s="332">
        <v>240</v>
      </c>
      <c r="E185" s="331" t="s">
        <v>1583</v>
      </c>
      <c r="F185" s="333">
        <v>53066.077171378703</v>
      </c>
      <c r="G185" s="332" t="s">
        <v>66</v>
      </c>
      <c r="H185" s="332">
        <v>2016</v>
      </c>
      <c r="I185" s="306">
        <f>+IF($H185=I$2,VLOOKUP($G185,Depreciation!$A$14:$L$18,7,FALSE)/2,IF($H185&lt;I$2,VLOOKUP($G185,Depreciation!$A$14:$L$18,7,FALSE),0))</f>
        <v>0</v>
      </c>
      <c r="J185" s="306">
        <f>+IF($H185=J$2,VLOOKUP($G185,Depreciation!$A$14:$L$18,8,FALSE)/2,IF($H185&lt;J$2,VLOOKUP($G185,Depreciation!$A$14:$L$18,8,FALSE),0))</f>
        <v>1.231622525054236E-2</v>
      </c>
      <c r="K185" s="306">
        <f>+IF($H185=K$2,VLOOKUP($G185,Depreciation!$A$14:$L$18,9,FALSE)/2,IF($H185&lt;K$2,VLOOKUP($G185,Depreciation!$A$14:$L$18,9,FALSE),0))</f>
        <v>2.4351536427798831E-2</v>
      </c>
      <c r="L185" s="306">
        <f>+IF($H185=L$2,VLOOKUP($G185,Depreciation!$A$14:$L$18,10,FALSE)/2,IF($H185&lt;L$2,VLOOKUP($G185,Depreciation!$A$14:$L$18,10,FALSE),0))</f>
        <v>2.4351536427798831E-2</v>
      </c>
      <c r="M185" s="306">
        <f>+IF($H185=M$2,VLOOKUP($G185,Depreciation!$A$14:$L$18,11,FALSE)/2,IF($H185&lt;M$2,VLOOKUP($G185,Depreciation!$A$14:$L$18,11,FALSE),0))</f>
        <v>2.4351536427798831E-2</v>
      </c>
      <c r="N185" s="306">
        <f>+IF($H185=N$2,VLOOKUP($G185,Depreciation!$A$14:$L$18,12,FALSE)/2,IF($H185&lt;N$2,VLOOKUP($G185,Depreciation!$A$14:$L$18,12,FALSE),0))</f>
        <v>2.4351536427798831E-2</v>
      </c>
      <c r="O185" s="307">
        <f t="shared" si="19"/>
        <v>0</v>
      </c>
      <c r="P185" s="732">
        <v>0</v>
      </c>
      <c r="Q185" s="733">
        <v>0</v>
      </c>
      <c r="R185" s="734">
        <f t="shared" si="20"/>
        <v>1</v>
      </c>
      <c r="S185" s="735">
        <f t="shared" si="21"/>
        <v>0</v>
      </c>
      <c r="T185" s="735">
        <f t="shared" si="22"/>
        <v>0</v>
      </c>
      <c r="U185" s="735">
        <f t="shared" si="23"/>
        <v>0</v>
      </c>
      <c r="V185" s="736">
        <f t="shared" si="24"/>
        <v>0</v>
      </c>
      <c r="W185" s="735">
        <f t="shared" si="25"/>
        <v>0</v>
      </c>
      <c r="X185" s="737">
        <f t="shared" si="26"/>
        <v>0</v>
      </c>
      <c r="Y185" s="738">
        <f t="shared" si="27"/>
        <v>0</v>
      </c>
      <c r="Z185" s="627"/>
    </row>
    <row r="186" spans="1:26">
      <c r="A186" s="331" t="s">
        <v>1267</v>
      </c>
      <c r="B186" s="332">
        <v>1101</v>
      </c>
      <c r="C186" s="332">
        <v>240</v>
      </c>
      <c r="D186" s="332">
        <v>144</v>
      </c>
      <c r="E186" s="331" t="s">
        <v>1584</v>
      </c>
      <c r="F186" s="333">
        <v>16501631.680569168</v>
      </c>
      <c r="G186" s="332" t="s">
        <v>66</v>
      </c>
      <c r="H186" s="332">
        <v>2016</v>
      </c>
      <c r="I186" s="306">
        <f>+IF($H186=I$2,VLOOKUP($G186,Depreciation!$A$14:$L$18,7,FALSE)/2,IF($H186&lt;I$2,VLOOKUP($G186,Depreciation!$A$14:$L$18,7,FALSE),0))</f>
        <v>0</v>
      </c>
      <c r="J186" s="306">
        <f>+IF($H186=J$2,VLOOKUP($G186,Depreciation!$A$14:$L$18,8,FALSE)/2,IF($H186&lt;J$2,VLOOKUP($G186,Depreciation!$A$14:$L$18,8,FALSE),0))</f>
        <v>1.231622525054236E-2</v>
      </c>
      <c r="K186" s="306">
        <f>+IF($H186=K$2,VLOOKUP($G186,Depreciation!$A$14:$L$18,9,FALSE)/2,IF($H186&lt;K$2,VLOOKUP($G186,Depreciation!$A$14:$L$18,9,FALSE),0))</f>
        <v>2.4351536427798831E-2</v>
      </c>
      <c r="L186" s="306">
        <f>+IF($H186=L$2,VLOOKUP($G186,Depreciation!$A$14:$L$18,10,FALSE)/2,IF($H186&lt;L$2,VLOOKUP($G186,Depreciation!$A$14:$L$18,10,FALSE),0))</f>
        <v>2.4351536427798831E-2</v>
      </c>
      <c r="M186" s="306">
        <f>+IF($H186=M$2,VLOOKUP($G186,Depreciation!$A$14:$L$18,11,FALSE)/2,IF($H186&lt;M$2,VLOOKUP($G186,Depreciation!$A$14:$L$18,11,FALSE),0))</f>
        <v>2.4351536427798831E-2</v>
      </c>
      <c r="N186" s="306">
        <f>+IF($H186=N$2,VLOOKUP($G186,Depreciation!$A$14:$L$18,12,FALSE)/2,IF($H186&lt;N$2,VLOOKUP($G186,Depreciation!$A$14:$L$18,12,FALSE),0))</f>
        <v>2.4351536427798831E-2</v>
      </c>
      <c r="O186" s="307">
        <f t="shared" si="19"/>
        <v>0</v>
      </c>
      <c r="P186" s="732">
        <v>0</v>
      </c>
      <c r="Q186" s="733">
        <v>0</v>
      </c>
      <c r="R186" s="734">
        <f t="shared" si="20"/>
        <v>1</v>
      </c>
      <c r="S186" s="735">
        <f t="shared" si="21"/>
        <v>0</v>
      </c>
      <c r="T186" s="735">
        <f t="shared" si="22"/>
        <v>0</v>
      </c>
      <c r="U186" s="735">
        <f t="shared" si="23"/>
        <v>0</v>
      </c>
      <c r="V186" s="736">
        <f t="shared" si="24"/>
        <v>0</v>
      </c>
      <c r="W186" s="735">
        <f t="shared" si="25"/>
        <v>0</v>
      </c>
      <c r="X186" s="737">
        <f t="shared" si="26"/>
        <v>0</v>
      </c>
      <c r="Y186" s="738">
        <f t="shared" si="27"/>
        <v>0</v>
      </c>
      <c r="Z186" s="627"/>
    </row>
    <row r="187" spans="1:26">
      <c r="A187" s="331" t="s">
        <v>1295</v>
      </c>
      <c r="B187" s="332">
        <v>1101</v>
      </c>
      <c r="C187" s="332">
        <v>240</v>
      </c>
      <c r="D187" s="332">
        <v>240</v>
      </c>
      <c r="E187" s="331" t="s">
        <v>1585</v>
      </c>
      <c r="F187" s="333">
        <v>412500.85892165155</v>
      </c>
      <c r="G187" s="332" t="s">
        <v>4</v>
      </c>
      <c r="H187" s="332">
        <v>2016</v>
      </c>
      <c r="I187" s="306">
        <f>+IF($H187=I$2,VLOOKUP($G187,Depreciation!$A$14:$L$18,7,FALSE)/2,IF($H187&lt;I$2,VLOOKUP($G187,Depreciation!$A$14:$L$18,7,FALSE),0))</f>
        <v>0</v>
      </c>
      <c r="J187" s="306">
        <f>+IF($H187=J$2,VLOOKUP($G187,Depreciation!$A$14:$L$18,8,FALSE)/2,IF($H187&lt;J$2,VLOOKUP($G187,Depreciation!$A$14:$L$18,8,FALSE),0))</f>
        <v>1.671703928371859E-2</v>
      </c>
      <c r="K187" s="306">
        <f>+IF($H187=K$2,VLOOKUP($G187,Depreciation!$A$14:$L$18,9,FALSE)/2,IF($H187&lt;K$2,VLOOKUP($G187,Depreciation!$A$14:$L$18,9,FALSE),0))</f>
        <v>3.343407856743718E-2</v>
      </c>
      <c r="L187" s="306">
        <f>+IF($H187=L$2,VLOOKUP($G187,Depreciation!$A$14:$L$18,10,FALSE)/2,IF($H187&lt;L$2,VLOOKUP($G187,Depreciation!$A$14:$L$18,10,FALSE),0))</f>
        <v>3.343407856743718E-2</v>
      </c>
      <c r="M187" s="306">
        <f>+IF($H187=M$2,VLOOKUP($G187,Depreciation!$A$14:$L$18,11,FALSE)/2,IF($H187&lt;M$2,VLOOKUP($G187,Depreciation!$A$14:$L$18,11,FALSE),0))</f>
        <v>3.343407856743718E-2</v>
      </c>
      <c r="N187" s="306">
        <f>+IF($H187=N$2,VLOOKUP($G187,Depreciation!$A$14:$L$18,12,FALSE)/2,IF($H187&lt;N$2,VLOOKUP($G187,Depreciation!$A$14:$L$18,12,FALSE),0))</f>
        <v>3.343407856743718E-2</v>
      </c>
      <c r="O187" s="307">
        <f t="shared" si="19"/>
        <v>0</v>
      </c>
      <c r="P187" s="732">
        <v>0</v>
      </c>
      <c r="Q187" s="733">
        <v>0</v>
      </c>
      <c r="R187" s="734">
        <f t="shared" si="20"/>
        <v>1</v>
      </c>
      <c r="S187" s="735">
        <f t="shared" si="21"/>
        <v>0</v>
      </c>
      <c r="T187" s="735">
        <f t="shared" si="22"/>
        <v>0</v>
      </c>
      <c r="U187" s="735">
        <f t="shared" si="23"/>
        <v>0</v>
      </c>
      <c r="V187" s="736">
        <f t="shared" si="24"/>
        <v>0</v>
      </c>
      <c r="W187" s="735">
        <f t="shared" si="25"/>
        <v>0</v>
      </c>
      <c r="X187" s="737">
        <f t="shared" si="26"/>
        <v>0</v>
      </c>
      <c r="Y187" s="738">
        <f t="shared" si="27"/>
        <v>0</v>
      </c>
      <c r="Z187" s="627"/>
    </row>
    <row r="188" spans="1:26">
      <c r="A188" s="331" t="s">
        <v>1919</v>
      </c>
      <c r="B188" s="332">
        <v>1101</v>
      </c>
      <c r="C188" s="332">
        <v>240</v>
      </c>
      <c r="D188" s="332">
        <v>240</v>
      </c>
      <c r="E188" s="331" t="s">
        <v>1585</v>
      </c>
      <c r="F188" s="333">
        <v>26377454.74440499</v>
      </c>
      <c r="G188" s="332" t="s">
        <v>4</v>
      </c>
      <c r="H188" s="332">
        <v>2016</v>
      </c>
      <c r="I188" s="306">
        <f>+IF($H188=I$2,VLOOKUP($G188,Depreciation!$A$14:$L$18,7,FALSE)/2,IF($H188&lt;I$2,VLOOKUP($G188,Depreciation!$A$14:$L$18,7,FALSE),0))</f>
        <v>0</v>
      </c>
      <c r="J188" s="306">
        <f>+IF($H188=J$2,VLOOKUP($G188,Depreciation!$A$14:$L$18,8,FALSE)/2,IF($H188&lt;J$2,VLOOKUP($G188,Depreciation!$A$14:$L$18,8,FALSE),0))</f>
        <v>1.671703928371859E-2</v>
      </c>
      <c r="K188" s="306">
        <f>+IF($H188=K$2,VLOOKUP($G188,Depreciation!$A$14:$L$18,9,FALSE)/2,IF($H188&lt;K$2,VLOOKUP($G188,Depreciation!$A$14:$L$18,9,FALSE),0))</f>
        <v>3.343407856743718E-2</v>
      </c>
      <c r="L188" s="306">
        <f>+IF($H188=L$2,VLOOKUP($G188,Depreciation!$A$14:$L$18,10,FALSE)/2,IF($H188&lt;L$2,VLOOKUP($G188,Depreciation!$A$14:$L$18,10,FALSE),0))</f>
        <v>3.343407856743718E-2</v>
      </c>
      <c r="M188" s="306">
        <f>+IF($H188=M$2,VLOOKUP($G188,Depreciation!$A$14:$L$18,11,FALSE)/2,IF($H188&lt;M$2,VLOOKUP($G188,Depreciation!$A$14:$L$18,11,FALSE),0))</f>
        <v>3.343407856743718E-2</v>
      </c>
      <c r="N188" s="306">
        <f>+IF($H188=N$2,VLOOKUP($G188,Depreciation!$A$14:$L$18,12,FALSE)/2,IF($H188&lt;N$2,VLOOKUP($G188,Depreciation!$A$14:$L$18,12,FALSE),0))</f>
        <v>3.343407856743718E-2</v>
      </c>
      <c r="O188" s="307">
        <f t="shared" si="19"/>
        <v>0</v>
      </c>
      <c r="P188" s="732">
        <v>0</v>
      </c>
      <c r="Q188" s="733">
        <v>0</v>
      </c>
      <c r="R188" s="734">
        <f t="shared" si="20"/>
        <v>1</v>
      </c>
      <c r="S188" s="735">
        <f t="shared" si="21"/>
        <v>0</v>
      </c>
      <c r="T188" s="735">
        <f t="shared" si="22"/>
        <v>0</v>
      </c>
      <c r="U188" s="735">
        <f t="shared" si="23"/>
        <v>0</v>
      </c>
      <c r="V188" s="736">
        <f t="shared" si="24"/>
        <v>0</v>
      </c>
      <c r="W188" s="735">
        <f t="shared" si="25"/>
        <v>0</v>
      </c>
      <c r="X188" s="737">
        <f t="shared" si="26"/>
        <v>0</v>
      </c>
      <c r="Y188" s="738">
        <f t="shared" si="27"/>
        <v>0</v>
      </c>
      <c r="Z188" s="627"/>
    </row>
    <row r="189" spans="1:26">
      <c r="A189" s="331" t="s">
        <v>1294</v>
      </c>
      <c r="B189" s="332">
        <v>1101</v>
      </c>
      <c r="C189" s="332">
        <v>240</v>
      </c>
      <c r="D189" s="332">
        <v>25</v>
      </c>
      <c r="E189" s="331" t="s">
        <v>1586</v>
      </c>
      <c r="F189" s="333">
        <v>3002680.4093360943</v>
      </c>
      <c r="G189" s="332" t="s">
        <v>4</v>
      </c>
      <c r="H189" s="332">
        <v>2016</v>
      </c>
      <c r="I189" s="306">
        <f>+IF($H189=I$2,VLOOKUP($G189,Depreciation!$A$14:$L$18,7,FALSE)/2,IF($H189&lt;I$2,VLOOKUP($G189,Depreciation!$A$14:$L$18,7,FALSE),0))</f>
        <v>0</v>
      </c>
      <c r="J189" s="306">
        <f>+IF($H189=J$2,VLOOKUP($G189,Depreciation!$A$14:$L$18,8,FALSE)/2,IF($H189&lt;J$2,VLOOKUP($G189,Depreciation!$A$14:$L$18,8,FALSE),0))</f>
        <v>1.671703928371859E-2</v>
      </c>
      <c r="K189" s="306">
        <f>+IF($H189=K$2,VLOOKUP($G189,Depreciation!$A$14:$L$18,9,FALSE)/2,IF($H189&lt;K$2,VLOOKUP($G189,Depreciation!$A$14:$L$18,9,FALSE),0))</f>
        <v>3.343407856743718E-2</v>
      </c>
      <c r="L189" s="306">
        <f>+IF($H189=L$2,VLOOKUP($G189,Depreciation!$A$14:$L$18,10,FALSE)/2,IF($H189&lt;L$2,VLOOKUP($G189,Depreciation!$A$14:$L$18,10,FALSE),0))</f>
        <v>3.343407856743718E-2</v>
      </c>
      <c r="M189" s="306">
        <f>+IF($H189=M$2,VLOOKUP($G189,Depreciation!$A$14:$L$18,11,FALSE)/2,IF($H189&lt;M$2,VLOOKUP($G189,Depreciation!$A$14:$L$18,11,FALSE),0))</f>
        <v>3.343407856743718E-2</v>
      </c>
      <c r="N189" s="306">
        <f>+IF($H189=N$2,VLOOKUP($G189,Depreciation!$A$14:$L$18,12,FALSE)/2,IF($H189&lt;N$2,VLOOKUP($G189,Depreciation!$A$14:$L$18,12,FALSE),0))</f>
        <v>3.343407856743718E-2</v>
      </c>
      <c r="O189" s="307">
        <f t="shared" si="19"/>
        <v>0</v>
      </c>
      <c r="P189" s="732">
        <v>0</v>
      </c>
      <c r="Q189" s="733">
        <v>1</v>
      </c>
      <c r="R189" s="734">
        <f t="shared" si="20"/>
        <v>0</v>
      </c>
      <c r="S189" s="735">
        <f t="shared" si="21"/>
        <v>0</v>
      </c>
      <c r="T189" s="735">
        <f t="shared" si="22"/>
        <v>0</v>
      </c>
      <c r="U189" s="735">
        <f t="shared" si="23"/>
        <v>0</v>
      </c>
      <c r="V189" s="736">
        <f t="shared" si="24"/>
        <v>0</v>
      </c>
      <c r="W189" s="735">
        <f t="shared" si="25"/>
        <v>0</v>
      </c>
      <c r="X189" s="737">
        <f t="shared" si="26"/>
        <v>0</v>
      </c>
      <c r="Y189" s="738">
        <f t="shared" si="27"/>
        <v>0</v>
      </c>
      <c r="Z189" s="627"/>
    </row>
    <row r="190" spans="1:26">
      <c r="A190" s="331" t="s">
        <v>1920</v>
      </c>
      <c r="B190" s="332">
        <v>1101</v>
      </c>
      <c r="C190" s="332">
        <v>240</v>
      </c>
      <c r="D190" s="332">
        <v>25</v>
      </c>
      <c r="E190" s="331" t="s">
        <v>1633</v>
      </c>
      <c r="F190" s="333">
        <v>17282.930052027419</v>
      </c>
      <c r="G190" s="332" t="s">
        <v>4</v>
      </c>
      <c r="H190" s="332">
        <v>2016</v>
      </c>
      <c r="I190" s="306">
        <f>+IF($H190=I$2,VLOOKUP($G190,Depreciation!$A$14:$L$18,7,FALSE)/2,IF($H190&lt;I$2,VLOOKUP($G190,Depreciation!$A$14:$L$18,7,FALSE),0))</f>
        <v>0</v>
      </c>
      <c r="J190" s="306">
        <f>+IF($H190=J$2,VLOOKUP($G190,Depreciation!$A$14:$L$18,8,FALSE)/2,IF($H190&lt;J$2,VLOOKUP($G190,Depreciation!$A$14:$L$18,8,FALSE),0))</f>
        <v>1.671703928371859E-2</v>
      </c>
      <c r="K190" s="306">
        <f>+IF($H190=K$2,VLOOKUP($G190,Depreciation!$A$14:$L$18,9,FALSE)/2,IF($H190&lt;K$2,VLOOKUP($G190,Depreciation!$A$14:$L$18,9,FALSE),0))</f>
        <v>3.343407856743718E-2</v>
      </c>
      <c r="L190" s="306">
        <f>+IF($H190=L$2,VLOOKUP($G190,Depreciation!$A$14:$L$18,10,FALSE)/2,IF($H190&lt;L$2,VLOOKUP($G190,Depreciation!$A$14:$L$18,10,FALSE),0))</f>
        <v>3.343407856743718E-2</v>
      </c>
      <c r="M190" s="306">
        <f>+IF($H190=M$2,VLOOKUP($G190,Depreciation!$A$14:$L$18,11,FALSE)/2,IF($H190&lt;M$2,VLOOKUP($G190,Depreciation!$A$14:$L$18,11,FALSE),0))</f>
        <v>3.343407856743718E-2</v>
      </c>
      <c r="N190" s="306">
        <f>+IF($H190=N$2,VLOOKUP($G190,Depreciation!$A$14:$L$18,12,FALSE)/2,IF($H190&lt;N$2,VLOOKUP($G190,Depreciation!$A$14:$L$18,12,FALSE),0))</f>
        <v>3.343407856743718E-2</v>
      </c>
      <c r="O190" s="307">
        <f t="shared" si="19"/>
        <v>0</v>
      </c>
      <c r="P190" s="732">
        <v>0.92307692307692313</v>
      </c>
      <c r="Q190" s="733">
        <v>7.6923076923076927E-2</v>
      </c>
      <c r="R190" s="734">
        <f t="shared" si="20"/>
        <v>0</v>
      </c>
      <c r="S190" s="735">
        <f t="shared" si="21"/>
        <v>0</v>
      </c>
      <c r="T190" s="735">
        <f t="shared" si="22"/>
        <v>0</v>
      </c>
      <c r="U190" s="735">
        <f t="shared" si="23"/>
        <v>0</v>
      </c>
      <c r="V190" s="736">
        <f t="shared" si="24"/>
        <v>0</v>
      </c>
      <c r="W190" s="735">
        <f t="shared" si="25"/>
        <v>0</v>
      </c>
      <c r="X190" s="737">
        <f t="shared" si="26"/>
        <v>0</v>
      </c>
      <c r="Y190" s="738">
        <f t="shared" si="27"/>
        <v>0</v>
      </c>
      <c r="Z190" s="627"/>
    </row>
    <row r="191" spans="1:26">
      <c r="A191" s="331" t="s">
        <v>1292</v>
      </c>
      <c r="B191" s="332">
        <v>1101</v>
      </c>
      <c r="C191" s="332">
        <v>240</v>
      </c>
      <c r="D191" s="332">
        <v>138</v>
      </c>
      <c r="E191" s="331" t="s">
        <v>1587</v>
      </c>
      <c r="F191" s="333">
        <v>51249492.017830744</v>
      </c>
      <c r="G191" s="332" t="s">
        <v>4</v>
      </c>
      <c r="H191" s="332">
        <v>2016</v>
      </c>
      <c r="I191" s="306">
        <f>+IF($H191=I$2,VLOOKUP($G191,Depreciation!$A$14:$L$18,7,FALSE)/2,IF($H191&lt;I$2,VLOOKUP($G191,Depreciation!$A$14:$L$18,7,FALSE),0))</f>
        <v>0</v>
      </c>
      <c r="J191" s="306">
        <f>+IF($H191=J$2,VLOOKUP($G191,Depreciation!$A$14:$L$18,8,FALSE)/2,IF($H191&lt;J$2,VLOOKUP($G191,Depreciation!$A$14:$L$18,8,FALSE),0))</f>
        <v>1.671703928371859E-2</v>
      </c>
      <c r="K191" s="306">
        <f>+IF($H191=K$2,VLOOKUP($G191,Depreciation!$A$14:$L$18,9,FALSE)/2,IF($H191&lt;K$2,VLOOKUP($G191,Depreciation!$A$14:$L$18,9,FALSE),0))</f>
        <v>3.343407856743718E-2</v>
      </c>
      <c r="L191" s="306">
        <f>+IF($H191=L$2,VLOOKUP($G191,Depreciation!$A$14:$L$18,10,FALSE)/2,IF($H191&lt;L$2,VLOOKUP($G191,Depreciation!$A$14:$L$18,10,FALSE),0))</f>
        <v>3.343407856743718E-2</v>
      </c>
      <c r="M191" s="306">
        <f>+IF($H191=M$2,VLOOKUP($G191,Depreciation!$A$14:$L$18,11,FALSE)/2,IF($H191&lt;M$2,VLOOKUP($G191,Depreciation!$A$14:$L$18,11,FALSE),0))</f>
        <v>3.343407856743718E-2</v>
      </c>
      <c r="N191" s="306">
        <f>+IF($H191=N$2,VLOOKUP($G191,Depreciation!$A$14:$L$18,12,FALSE)/2,IF($H191&lt;N$2,VLOOKUP($G191,Depreciation!$A$14:$L$18,12,FALSE),0))</f>
        <v>3.343407856743718E-2</v>
      </c>
      <c r="O191" s="307">
        <f t="shared" si="19"/>
        <v>0</v>
      </c>
      <c r="P191" s="732">
        <v>0</v>
      </c>
      <c r="Q191" s="733">
        <v>0</v>
      </c>
      <c r="R191" s="734">
        <f t="shared" si="20"/>
        <v>1</v>
      </c>
      <c r="S191" s="735">
        <f t="shared" si="21"/>
        <v>0</v>
      </c>
      <c r="T191" s="735">
        <f t="shared" si="22"/>
        <v>0</v>
      </c>
      <c r="U191" s="735">
        <f t="shared" si="23"/>
        <v>0</v>
      </c>
      <c r="V191" s="736">
        <f t="shared" si="24"/>
        <v>0</v>
      </c>
      <c r="W191" s="735">
        <f t="shared" si="25"/>
        <v>0</v>
      </c>
      <c r="X191" s="737">
        <f t="shared" si="26"/>
        <v>0</v>
      </c>
      <c r="Y191" s="738">
        <f t="shared" si="27"/>
        <v>0</v>
      </c>
      <c r="Z191" s="627"/>
    </row>
    <row r="192" spans="1:26">
      <c r="A192" s="331" t="s">
        <v>1296</v>
      </c>
      <c r="B192" s="332">
        <v>1101</v>
      </c>
      <c r="C192" s="332">
        <v>240</v>
      </c>
      <c r="D192" s="332">
        <v>25</v>
      </c>
      <c r="E192" s="331" t="s">
        <v>1588</v>
      </c>
      <c r="F192" s="333">
        <v>485910.49572502839</v>
      </c>
      <c r="G192" s="332" t="s">
        <v>4</v>
      </c>
      <c r="H192" s="332">
        <v>2016</v>
      </c>
      <c r="I192" s="306">
        <f>+IF($H192=I$2,VLOOKUP($G192,Depreciation!$A$14:$L$18,7,FALSE)/2,IF($H192&lt;I$2,VLOOKUP($G192,Depreciation!$A$14:$L$18,7,FALSE),0))</f>
        <v>0</v>
      </c>
      <c r="J192" s="306">
        <f>+IF($H192=J$2,VLOOKUP($G192,Depreciation!$A$14:$L$18,8,FALSE)/2,IF($H192&lt;J$2,VLOOKUP($G192,Depreciation!$A$14:$L$18,8,FALSE),0))</f>
        <v>1.671703928371859E-2</v>
      </c>
      <c r="K192" s="306">
        <f>+IF($H192=K$2,VLOOKUP($G192,Depreciation!$A$14:$L$18,9,FALSE)/2,IF($H192&lt;K$2,VLOOKUP($G192,Depreciation!$A$14:$L$18,9,FALSE),0))</f>
        <v>3.343407856743718E-2</v>
      </c>
      <c r="L192" s="306">
        <f>+IF($H192=L$2,VLOOKUP($G192,Depreciation!$A$14:$L$18,10,FALSE)/2,IF($H192&lt;L$2,VLOOKUP($G192,Depreciation!$A$14:$L$18,10,FALSE),0))</f>
        <v>3.343407856743718E-2</v>
      </c>
      <c r="M192" s="306">
        <f>+IF($H192=M$2,VLOOKUP($G192,Depreciation!$A$14:$L$18,11,FALSE)/2,IF($H192&lt;M$2,VLOOKUP($G192,Depreciation!$A$14:$L$18,11,FALSE),0))</f>
        <v>3.343407856743718E-2</v>
      </c>
      <c r="N192" s="306">
        <f>+IF($H192=N$2,VLOOKUP($G192,Depreciation!$A$14:$L$18,12,FALSE)/2,IF($H192&lt;N$2,VLOOKUP($G192,Depreciation!$A$14:$L$18,12,FALSE),0))</f>
        <v>3.343407856743718E-2</v>
      </c>
      <c r="O192" s="307">
        <f t="shared" si="19"/>
        <v>0</v>
      </c>
      <c r="P192" s="732">
        <v>0</v>
      </c>
      <c r="Q192" s="733">
        <v>0</v>
      </c>
      <c r="R192" s="734">
        <f t="shared" si="20"/>
        <v>1</v>
      </c>
      <c r="S192" s="735">
        <f t="shared" si="21"/>
        <v>0</v>
      </c>
      <c r="T192" s="735">
        <f t="shared" si="22"/>
        <v>0</v>
      </c>
      <c r="U192" s="735">
        <f t="shared" si="23"/>
        <v>0</v>
      </c>
      <c r="V192" s="736">
        <f t="shared" si="24"/>
        <v>0</v>
      </c>
      <c r="W192" s="735">
        <f t="shared" si="25"/>
        <v>0</v>
      </c>
      <c r="X192" s="737">
        <f t="shared" si="26"/>
        <v>0</v>
      </c>
      <c r="Y192" s="738">
        <f t="shared" si="27"/>
        <v>0</v>
      </c>
      <c r="Z192" s="627"/>
    </row>
    <row r="193" spans="1:26">
      <c r="A193" s="331" t="s">
        <v>1921</v>
      </c>
      <c r="B193" s="332">
        <v>1101</v>
      </c>
      <c r="C193" s="332">
        <v>240</v>
      </c>
      <c r="D193" s="332">
        <v>25</v>
      </c>
      <c r="E193" s="331" t="s">
        <v>1588</v>
      </c>
      <c r="F193" s="333">
        <v>17282.930052027419</v>
      </c>
      <c r="G193" s="332" t="s">
        <v>4</v>
      </c>
      <c r="H193" s="332">
        <v>2016</v>
      </c>
      <c r="I193" s="306">
        <f>+IF($H193=I$2,VLOOKUP($G193,Depreciation!$A$14:$L$18,7,FALSE)/2,IF($H193&lt;I$2,VLOOKUP($G193,Depreciation!$A$14:$L$18,7,FALSE),0))</f>
        <v>0</v>
      </c>
      <c r="J193" s="306">
        <f>+IF($H193=J$2,VLOOKUP($G193,Depreciation!$A$14:$L$18,8,FALSE)/2,IF($H193&lt;J$2,VLOOKUP($G193,Depreciation!$A$14:$L$18,8,FALSE),0))</f>
        <v>1.671703928371859E-2</v>
      </c>
      <c r="K193" s="306">
        <f>+IF($H193=K$2,VLOOKUP($G193,Depreciation!$A$14:$L$18,9,FALSE)/2,IF($H193&lt;K$2,VLOOKUP($G193,Depreciation!$A$14:$L$18,9,FALSE),0))</f>
        <v>3.343407856743718E-2</v>
      </c>
      <c r="L193" s="306">
        <f>+IF($H193=L$2,VLOOKUP($G193,Depreciation!$A$14:$L$18,10,FALSE)/2,IF($H193&lt;L$2,VLOOKUP($G193,Depreciation!$A$14:$L$18,10,FALSE),0))</f>
        <v>3.343407856743718E-2</v>
      </c>
      <c r="M193" s="306">
        <f>+IF($H193=M$2,VLOOKUP($G193,Depreciation!$A$14:$L$18,11,FALSE)/2,IF($H193&lt;M$2,VLOOKUP($G193,Depreciation!$A$14:$L$18,11,FALSE),0))</f>
        <v>3.343407856743718E-2</v>
      </c>
      <c r="N193" s="306">
        <f>+IF($H193=N$2,VLOOKUP($G193,Depreciation!$A$14:$L$18,12,FALSE)/2,IF($H193&lt;N$2,VLOOKUP($G193,Depreciation!$A$14:$L$18,12,FALSE),0))</f>
        <v>3.343407856743718E-2</v>
      </c>
      <c r="O193" s="307">
        <f t="shared" si="19"/>
        <v>0</v>
      </c>
      <c r="P193" s="732">
        <v>0</v>
      </c>
      <c r="Q193" s="733">
        <v>0</v>
      </c>
      <c r="R193" s="734">
        <f t="shared" si="20"/>
        <v>1</v>
      </c>
      <c r="S193" s="735">
        <f t="shared" si="21"/>
        <v>0</v>
      </c>
      <c r="T193" s="735">
        <f t="shared" si="22"/>
        <v>0</v>
      </c>
      <c r="U193" s="735">
        <f t="shared" si="23"/>
        <v>0</v>
      </c>
      <c r="V193" s="736">
        <f t="shared" si="24"/>
        <v>0</v>
      </c>
      <c r="W193" s="735">
        <f t="shared" si="25"/>
        <v>0</v>
      </c>
      <c r="X193" s="737">
        <f t="shared" si="26"/>
        <v>0</v>
      </c>
      <c r="Y193" s="738">
        <f t="shared" si="27"/>
        <v>0</v>
      </c>
      <c r="Z193" s="627"/>
    </row>
    <row r="194" spans="1:26">
      <c r="A194" s="331" t="s">
        <v>1297</v>
      </c>
      <c r="B194" s="332">
        <v>1101</v>
      </c>
      <c r="C194" s="332">
        <v>240</v>
      </c>
      <c r="D194" s="332">
        <v>138</v>
      </c>
      <c r="E194" s="331" t="s">
        <v>1589</v>
      </c>
      <c r="F194" s="333">
        <v>31472.735128396711</v>
      </c>
      <c r="G194" s="332" t="s">
        <v>4</v>
      </c>
      <c r="H194" s="332">
        <v>2016</v>
      </c>
      <c r="I194" s="306">
        <f>+IF($H194=I$2,VLOOKUP($G194,Depreciation!$A$14:$L$18,7,FALSE)/2,IF($H194&lt;I$2,VLOOKUP($G194,Depreciation!$A$14:$L$18,7,FALSE),0))</f>
        <v>0</v>
      </c>
      <c r="J194" s="306">
        <f>+IF($H194=J$2,VLOOKUP($G194,Depreciation!$A$14:$L$18,8,FALSE)/2,IF($H194&lt;J$2,VLOOKUP($G194,Depreciation!$A$14:$L$18,8,FALSE),0))</f>
        <v>1.671703928371859E-2</v>
      </c>
      <c r="K194" s="306">
        <f>+IF($H194=K$2,VLOOKUP($G194,Depreciation!$A$14:$L$18,9,FALSE)/2,IF($H194&lt;K$2,VLOOKUP($G194,Depreciation!$A$14:$L$18,9,FALSE),0))</f>
        <v>3.343407856743718E-2</v>
      </c>
      <c r="L194" s="306">
        <f>+IF($H194=L$2,VLOOKUP($G194,Depreciation!$A$14:$L$18,10,FALSE)/2,IF($H194&lt;L$2,VLOOKUP($G194,Depreciation!$A$14:$L$18,10,FALSE),0))</f>
        <v>3.343407856743718E-2</v>
      </c>
      <c r="M194" s="306">
        <f>+IF($H194=M$2,VLOOKUP($G194,Depreciation!$A$14:$L$18,11,FALSE)/2,IF($H194&lt;M$2,VLOOKUP($G194,Depreciation!$A$14:$L$18,11,FALSE),0))</f>
        <v>3.343407856743718E-2</v>
      </c>
      <c r="N194" s="306">
        <f>+IF($H194=N$2,VLOOKUP($G194,Depreciation!$A$14:$L$18,12,FALSE)/2,IF($H194&lt;N$2,VLOOKUP($G194,Depreciation!$A$14:$L$18,12,FALSE),0))</f>
        <v>3.343407856743718E-2</v>
      </c>
      <c r="O194" s="307">
        <f t="shared" si="19"/>
        <v>0</v>
      </c>
      <c r="P194" s="732">
        <v>0</v>
      </c>
      <c r="Q194" s="733">
        <v>0</v>
      </c>
      <c r="R194" s="734">
        <f t="shared" si="20"/>
        <v>1</v>
      </c>
      <c r="S194" s="735">
        <f t="shared" si="21"/>
        <v>0</v>
      </c>
      <c r="T194" s="735">
        <f t="shared" si="22"/>
        <v>0</v>
      </c>
      <c r="U194" s="735">
        <f t="shared" si="23"/>
        <v>0</v>
      </c>
      <c r="V194" s="736">
        <f t="shared" si="24"/>
        <v>0</v>
      </c>
      <c r="W194" s="735">
        <f t="shared" si="25"/>
        <v>0</v>
      </c>
      <c r="X194" s="737">
        <f t="shared" si="26"/>
        <v>0</v>
      </c>
      <c r="Y194" s="738">
        <f t="shared" si="27"/>
        <v>0</v>
      </c>
      <c r="Z194" s="627"/>
    </row>
    <row r="195" spans="1:26">
      <c r="A195" s="331" t="s">
        <v>1922</v>
      </c>
      <c r="B195" s="332">
        <v>1101</v>
      </c>
      <c r="C195" s="332">
        <v>240</v>
      </c>
      <c r="D195" s="332">
        <v>138</v>
      </c>
      <c r="E195" s="331" t="s">
        <v>1589</v>
      </c>
      <c r="F195" s="333">
        <v>49648445.339725867</v>
      </c>
      <c r="G195" s="332" t="s">
        <v>4</v>
      </c>
      <c r="H195" s="332">
        <v>2016</v>
      </c>
      <c r="I195" s="306">
        <f>+IF($H195=I$2,VLOOKUP($G195,Depreciation!$A$14:$L$18,7,FALSE)/2,IF($H195&lt;I$2,VLOOKUP($G195,Depreciation!$A$14:$L$18,7,FALSE),0))</f>
        <v>0</v>
      </c>
      <c r="J195" s="306">
        <f>+IF($H195=J$2,VLOOKUP($G195,Depreciation!$A$14:$L$18,8,FALSE)/2,IF($H195&lt;J$2,VLOOKUP($G195,Depreciation!$A$14:$L$18,8,FALSE),0))</f>
        <v>1.671703928371859E-2</v>
      </c>
      <c r="K195" s="306">
        <f>+IF($H195=K$2,VLOOKUP($G195,Depreciation!$A$14:$L$18,9,FALSE)/2,IF($H195&lt;K$2,VLOOKUP($G195,Depreciation!$A$14:$L$18,9,FALSE),0))</f>
        <v>3.343407856743718E-2</v>
      </c>
      <c r="L195" s="306">
        <f>+IF($H195=L$2,VLOOKUP($G195,Depreciation!$A$14:$L$18,10,FALSE)/2,IF($H195&lt;L$2,VLOOKUP($G195,Depreciation!$A$14:$L$18,10,FALSE),0))</f>
        <v>3.343407856743718E-2</v>
      </c>
      <c r="M195" s="306">
        <f>+IF($H195=M$2,VLOOKUP($G195,Depreciation!$A$14:$L$18,11,FALSE)/2,IF($H195&lt;M$2,VLOOKUP($G195,Depreciation!$A$14:$L$18,11,FALSE),0))</f>
        <v>3.343407856743718E-2</v>
      </c>
      <c r="N195" s="306">
        <f>+IF($H195=N$2,VLOOKUP($G195,Depreciation!$A$14:$L$18,12,FALSE)/2,IF($H195&lt;N$2,VLOOKUP($G195,Depreciation!$A$14:$L$18,12,FALSE),0))</f>
        <v>3.343407856743718E-2</v>
      </c>
      <c r="O195" s="307">
        <f t="shared" si="19"/>
        <v>0</v>
      </c>
      <c r="P195" s="732">
        <v>0</v>
      </c>
      <c r="Q195" s="733">
        <v>0</v>
      </c>
      <c r="R195" s="734">
        <f t="shared" si="20"/>
        <v>1</v>
      </c>
      <c r="S195" s="735">
        <f t="shared" si="21"/>
        <v>0</v>
      </c>
      <c r="T195" s="735">
        <f t="shared" si="22"/>
        <v>0</v>
      </c>
      <c r="U195" s="735">
        <f t="shared" si="23"/>
        <v>0</v>
      </c>
      <c r="V195" s="736">
        <f t="shared" si="24"/>
        <v>0</v>
      </c>
      <c r="W195" s="735">
        <f t="shared" si="25"/>
        <v>0</v>
      </c>
      <c r="X195" s="737">
        <f t="shared" si="26"/>
        <v>0</v>
      </c>
      <c r="Y195" s="738">
        <f t="shared" si="27"/>
        <v>0</v>
      </c>
      <c r="Z195" s="627"/>
    </row>
    <row r="196" spans="1:26">
      <c r="A196" s="331" t="s">
        <v>1298</v>
      </c>
      <c r="B196" s="332">
        <v>1101</v>
      </c>
      <c r="C196" s="332">
        <v>240</v>
      </c>
      <c r="D196" s="332">
        <v>25</v>
      </c>
      <c r="E196" s="331" t="s">
        <v>1590</v>
      </c>
      <c r="F196" s="333">
        <v>467632.85141133214</v>
      </c>
      <c r="G196" s="332" t="s">
        <v>4</v>
      </c>
      <c r="H196" s="332">
        <v>2016</v>
      </c>
      <c r="I196" s="306">
        <f>+IF($H196=I$2,VLOOKUP($G196,Depreciation!$A$14:$L$18,7,FALSE)/2,IF($H196&lt;I$2,VLOOKUP($G196,Depreciation!$A$14:$L$18,7,FALSE),0))</f>
        <v>0</v>
      </c>
      <c r="J196" s="306">
        <f>+IF($H196=J$2,VLOOKUP($G196,Depreciation!$A$14:$L$18,8,FALSE)/2,IF($H196&lt;J$2,VLOOKUP($G196,Depreciation!$A$14:$L$18,8,FALSE),0))</f>
        <v>1.671703928371859E-2</v>
      </c>
      <c r="K196" s="306">
        <f>+IF($H196=K$2,VLOOKUP($G196,Depreciation!$A$14:$L$18,9,FALSE)/2,IF($H196&lt;K$2,VLOOKUP($G196,Depreciation!$A$14:$L$18,9,FALSE),0))</f>
        <v>3.343407856743718E-2</v>
      </c>
      <c r="L196" s="306">
        <f>+IF($H196=L$2,VLOOKUP($G196,Depreciation!$A$14:$L$18,10,FALSE)/2,IF($H196&lt;L$2,VLOOKUP($G196,Depreciation!$A$14:$L$18,10,FALSE),0))</f>
        <v>3.343407856743718E-2</v>
      </c>
      <c r="M196" s="306">
        <f>+IF($H196=M$2,VLOOKUP($G196,Depreciation!$A$14:$L$18,11,FALSE)/2,IF($H196&lt;M$2,VLOOKUP($G196,Depreciation!$A$14:$L$18,11,FALSE),0))</f>
        <v>3.343407856743718E-2</v>
      </c>
      <c r="N196" s="306">
        <f>+IF($H196=N$2,VLOOKUP($G196,Depreciation!$A$14:$L$18,12,FALSE)/2,IF($H196&lt;N$2,VLOOKUP($G196,Depreciation!$A$14:$L$18,12,FALSE),0))</f>
        <v>3.343407856743718E-2</v>
      </c>
      <c r="O196" s="307">
        <f t="shared" ref="O196:O259" si="28">IF(H196&lt;=2015,F196*(1-I196),0)</f>
        <v>0</v>
      </c>
      <c r="P196" s="732">
        <v>0</v>
      </c>
      <c r="Q196" s="733">
        <v>1</v>
      </c>
      <c r="R196" s="734">
        <f t="shared" ref="R196:R259" si="29">1-P196-Q196</f>
        <v>0</v>
      </c>
      <c r="S196" s="735">
        <f t="shared" ref="S196:S259" si="30">+P196*$O196</f>
        <v>0</v>
      </c>
      <c r="T196" s="735">
        <f t="shared" ref="T196:T259" si="31">+Q196*$O196</f>
        <v>0</v>
      </c>
      <c r="U196" s="735">
        <f t="shared" ref="U196:U259" si="32">+R196*$O196</f>
        <v>0</v>
      </c>
      <c r="V196" s="736">
        <f t="shared" ref="V196:V259" si="33">IF(AND(R196=1,D196=0),O196,0)</f>
        <v>0</v>
      </c>
      <c r="W196" s="735">
        <f t="shared" ref="W196:W259" si="34">S196+IF(D196&gt;144,U196,0)</f>
        <v>0</v>
      </c>
      <c r="X196" s="737">
        <f t="shared" ref="X196:X259" si="35">IF(AND(D196&lt;=144,D196&gt;=69),U196,0)</f>
        <v>0</v>
      </c>
      <c r="Y196" s="738">
        <f t="shared" ref="Y196:Y259" si="36">T196+IF(AND(D196&lt;69,D196&gt;0),U196,0)</f>
        <v>0</v>
      </c>
      <c r="Z196" s="627"/>
    </row>
    <row r="197" spans="1:26">
      <c r="A197" s="331" t="s">
        <v>1923</v>
      </c>
      <c r="B197" s="332">
        <v>1107</v>
      </c>
      <c r="C197" s="332">
        <v>138</v>
      </c>
      <c r="D197" s="332">
        <v>25</v>
      </c>
      <c r="E197" s="331" t="s">
        <v>1984</v>
      </c>
      <c r="F197" s="333">
        <v>9408587.9999999944</v>
      </c>
      <c r="G197" s="332" t="s">
        <v>4</v>
      </c>
      <c r="H197" s="332">
        <v>2015</v>
      </c>
      <c r="I197" s="306">
        <f>+IF($H197=I$2,VLOOKUP($G197,Depreciation!$A$14:$L$18,7,FALSE)/2,IF($H197&lt;I$2,VLOOKUP($G197,Depreciation!$A$14:$L$18,7,FALSE),0))</f>
        <v>1.7228380322441735E-2</v>
      </c>
      <c r="J197" s="306">
        <f>+IF($H197=J$2,VLOOKUP($G197,Depreciation!$A$14:$L$18,8,FALSE)/2,IF($H197&lt;J$2,VLOOKUP($G197,Depreciation!$A$14:$L$18,8,FALSE),0))</f>
        <v>3.343407856743718E-2</v>
      </c>
      <c r="K197" s="306">
        <f>+IF($H197=K$2,VLOOKUP($G197,Depreciation!$A$14:$L$18,9,FALSE)/2,IF($H197&lt;K$2,VLOOKUP($G197,Depreciation!$A$14:$L$18,9,FALSE),0))</f>
        <v>3.343407856743718E-2</v>
      </c>
      <c r="L197" s="306">
        <f>+IF($H197=L$2,VLOOKUP($G197,Depreciation!$A$14:$L$18,10,FALSE)/2,IF($H197&lt;L$2,VLOOKUP($G197,Depreciation!$A$14:$L$18,10,FALSE),0))</f>
        <v>3.343407856743718E-2</v>
      </c>
      <c r="M197" s="306">
        <f>+IF($H197=M$2,VLOOKUP($G197,Depreciation!$A$14:$L$18,11,FALSE)/2,IF($H197&lt;M$2,VLOOKUP($G197,Depreciation!$A$14:$L$18,11,FALSE),0))</f>
        <v>3.343407856743718E-2</v>
      </c>
      <c r="N197" s="306">
        <f>+IF($H197=N$2,VLOOKUP($G197,Depreciation!$A$14:$L$18,12,FALSE)/2,IF($H197&lt;N$2,VLOOKUP($G197,Depreciation!$A$14:$L$18,12,FALSE),0))</f>
        <v>3.343407856743718E-2</v>
      </c>
      <c r="O197" s="307">
        <f t="shared" si="28"/>
        <v>9246493.2676388323</v>
      </c>
      <c r="P197" s="732">
        <v>0</v>
      </c>
      <c r="Q197" s="733">
        <v>0</v>
      </c>
      <c r="R197" s="734">
        <f t="shared" si="29"/>
        <v>1</v>
      </c>
      <c r="S197" s="735">
        <f t="shared" si="30"/>
        <v>0</v>
      </c>
      <c r="T197" s="735">
        <f t="shared" si="31"/>
        <v>0</v>
      </c>
      <c r="U197" s="735">
        <f t="shared" si="32"/>
        <v>9246493.2676388323</v>
      </c>
      <c r="V197" s="736">
        <f t="shared" si="33"/>
        <v>0</v>
      </c>
      <c r="W197" s="735">
        <f t="shared" si="34"/>
        <v>0</v>
      </c>
      <c r="X197" s="737">
        <f t="shared" si="35"/>
        <v>0</v>
      </c>
      <c r="Y197" s="738">
        <f t="shared" si="36"/>
        <v>9246493.2676388323</v>
      </c>
      <c r="Z197" s="627"/>
    </row>
    <row r="198" spans="1:26">
      <c r="A198" s="331" t="s">
        <v>1290</v>
      </c>
      <c r="B198" s="332">
        <v>1117</v>
      </c>
      <c r="C198" s="332">
        <v>138</v>
      </c>
      <c r="D198" s="332">
        <v>25</v>
      </c>
      <c r="E198" s="331" t="s">
        <v>1592</v>
      </c>
      <c r="F198" s="333">
        <v>179071.02078100035</v>
      </c>
      <c r="G198" s="332" t="s">
        <v>4</v>
      </c>
      <c r="H198" s="332">
        <v>2015</v>
      </c>
      <c r="I198" s="306">
        <f>+IF($H198=I$2,VLOOKUP($G198,Depreciation!$A$14:$L$18,7,FALSE)/2,IF($H198&lt;I$2,VLOOKUP($G198,Depreciation!$A$14:$L$18,7,FALSE),0))</f>
        <v>1.7228380322441735E-2</v>
      </c>
      <c r="J198" s="306">
        <f>+IF($H198=J$2,VLOOKUP($G198,Depreciation!$A$14:$L$18,8,FALSE)/2,IF($H198&lt;J$2,VLOOKUP($G198,Depreciation!$A$14:$L$18,8,FALSE),0))</f>
        <v>3.343407856743718E-2</v>
      </c>
      <c r="K198" s="306">
        <f>+IF($H198=K$2,VLOOKUP($G198,Depreciation!$A$14:$L$18,9,FALSE)/2,IF($H198&lt;K$2,VLOOKUP($G198,Depreciation!$A$14:$L$18,9,FALSE),0))</f>
        <v>3.343407856743718E-2</v>
      </c>
      <c r="L198" s="306">
        <f>+IF($H198=L$2,VLOOKUP($G198,Depreciation!$A$14:$L$18,10,FALSE)/2,IF($H198&lt;L$2,VLOOKUP($G198,Depreciation!$A$14:$L$18,10,FALSE),0))</f>
        <v>3.343407856743718E-2</v>
      </c>
      <c r="M198" s="306">
        <f>+IF($H198=M$2,VLOOKUP($G198,Depreciation!$A$14:$L$18,11,FALSE)/2,IF($H198&lt;M$2,VLOOKUP($G198,Depreciation!$A$14:$L$18,11,FALSE),0))</f>
        <v>3.343407856743718E-2</v>
      </c>
      <c r="N198" s="306">
        <f>+IF($H198=N$2,VLOOKUP($G198,Depreciation!$A$14:$L$18,12,FALSE)/2,IF($H198&lt;N$2,VLOOKUP($G198,Depreciation!$A$14:$L$18,12,FALSE),0))</f>
        <v>3.343407856743718E-2</v>
      </c>
      <c r="O198" s="307">
        <f t="shared" si="28"/>
        <v>175985.91713025741</v>
      </c>
      <c r="P198" s="732">
        <v>0.7346189164370982</v>
      </c>
      <c r="Q198" s="733">
        <v>0.26538108356290174</v>
      </c>
      <c r="R198" s="734">
        <f t="shared" si="29"/>
        <v>0</v>
      </c>
      <c r="S198" s="735">
        <f t="shared" si="30"/>
        <v>129282.58375041866</v>
      </c>
      <c r="T198" s="735">
        <f t="shared" si="31"/>
        <v>46703.333379838747</v>
      </c>
      <c r="U198" s="735">
        <f t="shared" si="32"/>
        <v>0</v>
      </c>
      <c r="V198" s="736">
        <f t="shared" si="33"/>
        <v>0</v>
      </c>
      <c r="W198" s="735">
        <f t="shared" si="34"/>
        <v>129282.58375041866</v>
      </c>
      <c r="X198" s="737">
        <f t="shared" si="35"/>
        <v>0</v>
      </c>
      <c r="Y198" s="738">
        <f t="shared" si="36"/>
        <v>46703.333379838747</v>
      </c>
      <c r="Z198" s="627"/>
    </row>
    <row r="199" spans="1:26">
      <c r="A199" s="331" t="s">
        <v>1924</v>
      </c>
      <c r="B199" s="332">
        <v>1117</v>
      </c>
      <c r="C199" s="332">
        <v>240</v>
      </c>
      <c r="D199" s="332">
        <v>25</v>
      </c>
      <c r="E199" s="331" t="s">
        <v>1534</v>
      </c>
      <c r="F199" s="333">
        <v>712675.2914213459</v>
      </c>
      <c r="G199" s="332" t="s">
        <v>64</v>
      </c>
      <c r="H199" s="332">
        <v>2015</v>
      </c>
      <c r="I199" s="306">
        <f>+IF($H199=I$2,VLOOKUP($G199,Depreciation!$A$14:$L$18,7,FALSE)/2,IF($H199&lt;I$2,VLOOKUP($G199,Depreciation!$A$14:$L$18,7,FALSE),0))</f>
        <v>1.3928409269726289E-2</v>
      </c>
      <c r="J199" s="306">
        <f>+IF($H199=J$2,VLOOKUP($G199,Depreciation!$A$14:$L$18,8,FALSE)/2,IF($H199&lt;J$2,VLOOKUP($G199,Depreciation!$A$14:$L$18,8,FALSE),0))</f>
        <v>2.7856818539452578E-2</v>
      </c>
      <c r="K199" s="306">
        <f>+IF($H199=K$2,VLOOKUP($G199,Depreciation!$A$14:$L$18,9,FALSE)/2,IF($H199&lt;K$2,VLOOKUP($G199,Depreciation!$A$14:$L$18,9,FALSE),0))</f>
        <v>2.7856818539452578E-2</v>
      </c>
      <c r="L199" s="306">
        <f>+IF($H199=L$2,VLOOKUP($G199,Depreciation!$A$14:$L$18,10,FALSE)/2,IF($H199&lt;L$2,VLOOKUP($G199,Depreciation!$A$14:$L$18,10,FALSE),0))</f>
        <v>2.7856818539452578E-2</v>
      </c>
      <c r="M199" s="306">
        <f>+IF($H199=M$2,VLOOKUP($G199,Depreciation!$A$14:$L$18,11,FALSE)/2,IF($H199&lt;M$2,VLOOKUP($G199,Depreciation!$A$14:$L$18,11,FALSE),0))</f>
        <v>2.7856818539452578E-2</v>
      </c>
      <c r="N199" s="306">
        <f>+IF($H199=N$2,VLOOKUP($G199,Depreciation!$A$14:$L$18,12,FALSE)/2,IF($H199&lt;N$2,VLOOKUP($G199,Depreciation!$A$14:$L$18,12,FALSE),0))</f>
        <v>2.7856818539452578E-2</v>
      </c>
      <c r="O199" s="307">
        <f t="shared" si="28"/>
        <v>702748.85828600801</v>
      </c>
      <c r="P199" s="732">
        <v>0.9759174311926605</v>
      </c>
      <c r="Q199" s="733">
        <v>2.4082568807339451E-2</v>
      </c>
      <c r="R199" s="734">
        <f t="shared" si="29"/>
        <v>4.8572257327350599E-17</v>
      </c>
      <c r="S199" s="735">
        <f t="shared" si="30"/>
        <v>685824.86055205599</v>
      </c>
      <c r="T199" s="735">
        <f t="shared" si="31"/>
        <v>16923.99773395203</v>
      </c>
      <c r="U199" s="735">
        <f t="shared" si="32"/>
        <v>3.4134098381169818E-11</v>
      </c>
      <c r="V199" s="736">
        <f t="shared" si="33"/>
        <v>0</v>
      </c>
      <c r="W199" s="735">
        <f t="shared" si="34"/>
        <v>685824.86055205599</v>
      </c>
      <c r="X199" s="737">
        <f t="shared" si="35"/>
        <v>0</v>
      </c>
      <c r="Y199" s="738">
        <f t="shared" si="36"/>
        <v>16923.997733952063</v>
      </c>
      <c r="Z199" s="627"/>
    </row>
    <row r="200" spans="1:26">
      <c r="A200" s="331" t="s">
        <v>1925</v>
      </c>
      <c r="B200" s="332">
        <v>1117</v>
      </c>
      <c r="C200" s="332">
        <v>240</v>
      </c>
      <c r="D200" s="332">
        <v>138</v>
      </c>
      <c r="E200" s="331" t="s">
        <v>1985</v>
      </c>
      <c r="F200" s="333">
        <v>3684124.7085786541</v>
      </c>
      <c r="G200" s="332" t="s">
        <v>64</v>
      </c>
      <c r="H200" s="332">
        <v>2015</v>
      </c>
      <c r="I200" s="306">
        <f>+IF($H200=I$2,VLOOKUP($G200,Depreciation!$A$14:$L$18,7,FALSE)/2,IF($H200&lt;I$2,VLOOKUP($G200,Depreciation!$A$14:$L$18,7,FALSE),0))</f>
        <v>1.3928409269726289E-2</v>
      </c>
      <c r="J200" s="306">
        <f>+IF($H200=J$2,VLOOKUP($G200,Depreciation!$A$14:$L$18,8,FALSE)/2,IF($H200&lt;J$2,VLOOKUP($G200,Depreciation!$A$14:$L$18,8,FALSE),0))</f>
        <v>2.7856818539452578E-2</v>
      </c>
      <c r="K200" s="306">
        <f>+IF($H200=K$2,VLOOKUP($G200,Depreciation!$A$14:$L$18,9,FALSE)/2,IF($H200&lt;K$2,VLOOKUP($G200,Depreciation!$A$14:$L$18,9,FALSE),0))</f>
        <v>2.7856818539452578E-2</v>
      </c>
      <c r="L200" s="306">
        <f>+IF($H200=L$2,VLOOKUP($G200,Depreciation!$A$14:$L$18,10,FALSE)/2,IF($H200&lt;L$2,VLOOKUP($G200,Depreciation!$A$14:$L$18,10,FALSE),0))</f>
        <v>2.7856818539452578E-2</v>
      </c>
      <c r="M200" s="306">
        <f>+IF($H200=M$2,VLOOKUP($G200,Depreciation!$A$14:$L$18,11,FALSE)/2,IF($H200&lt;M$2,VLOOKUP($G200,Depreciation!$A$14:$L$18,11,FALSE),0))</f>
        <v>2.7856818539452578E-2</v>
      </c>
      <c r="N200" s="306">
        <f>+IF($H200=N$2,VLOOKUP($G200,Depreciation!$A$14:$L$18,12,FALSE)/2,IF($H200&lt;N$2,VLOOKUP($G200,Depreciation!$A$14:$L$18,12,FALSE),0))</f>
        <v>2.7856818539452578E-2</v>
      </c>
      <c r="O200" s="307">
        <f t="shared" si="28"/>
        <v>3632810.7118368596</v>
      </c>
      <c r="P200" s="732">
        <v>0</v>
      </c>
      <c r="Q200" s="733">
        <v>0</v>
      </c>
      <c r="R200" s="734">
        <f t="shared" si="29"/>
        <v>1</v>
      </c>
      <c r="S200" s="735">
        <f t="shared" si="30"/>
        <v>0</v>
      </c>
      <c r="T200" s="735">
        <f t="shared" si="31"/>
        <v>0</v>
      </c>
      <c r="U200" s="735">
        <f t="shared" si="32"/>
        <v>3632810.7118368596</v>
      </c>
      <c r="V200" s="736">
        <f t="shared" si="33"/>
        <v>0</v>
      </c>
      <c r="W200" s="735">
        <f t="shared" si="34"/>
        <v>0</v>
      </c>
      <c r="X200" s="737">
        <f t="shared" si="35"/>
        <v>3632810.7118368596</v>
      </c>
      <c r="Y200" s="738">
        <f t="shared" si="36"/>
        <v>0</v>
      </c>
      <c r="Z200" s="627"/>
    </row>
    <row r="201" spans="1:26">
      <c r="A201" s="331" t="s">
        <v>1288</v>
      </c>
      <c r="B201" s="332">
        <v>1117</v>
      </c>
      <c r="C201" s="332">
        <v>240</v>
      </c>
      <c r="D201" s="332">
        <v>138</v>
      </c>
      <c r="E201" s="331" t="s">
        <v>1567</v>
      </c>
      <c r="F201" s="333">
        <v>50320527.637888998</v>
      </c>
      <c r="G201" s="332" t="s">
        <v>4</v>
      </c>
      <c r="H201" s="332">
        <v>2015</v>
      </c>
      <c r="I201" s="306">
        <f>+IF($H201=I$2,VLOOKUP($G201,Depreciation!$A$14:$L$18,7,FALSE)/2,IF($H201&lt;I$2,VLOOKUP($G201,Depreciation!$A$14:$L$18,7,FALSE),0))</f>
        <v>1.7228380322441735E-2</v>
      </c>
      <c r="J201" s="306">
        <f>+IF($H201=J$2,VLOOKUP($G201,Depreciation!$A$14:$L$18,8,FALSE)/2,IF($H201&lt;J$2,VLOOKUP($G201,Depreciation!$A$14:$L$18,8,FALSE),0))</f>
        <v>3.343407856743718E-2</v>
      </c>
      <c r="K201" s="306">
        <f>+IF($H201=K$2,VLOOKUP($G201,Depreciation!$A$14:$L$18,9,FALSE)/2,IF($H201&lt;K$2,VLOOKUP($G201,Depreciation!$A$14:$L$18,9,FALSE),0))</f>
        <v>3.343407856743718E-2</v>
      </c>
      <c r="L201" s="306">
        <f>+IF($H201=L$2,VLOOKUP($G201,Depreciation!$A$14:$L$18,10,FALSE)/2,IF($H201&lt;L$2,VLOOKUP($G201,Depreciation!$A$14:$L$18,10,FALSE),0))</f>
        <v>3.343407856743718E-2</v>
      </c>
      <c r="M201" s="306">
        <f>+IF($H201=M$2,VLOOKUP($G201,Depreciation!$A$14:$L$18,11,FALSE)/2,IF($H201&lt;M$2,VLOOKUP($G201,Depreciation!$A$14:$L$18,11,FALSE),0))</f>
        <v>3.343407856743718E-2</v>
      </c>
      <c r="N201" s="306">
        <f>+IF($H201=N$2,VLOOKUP($G201,Depreciation!$A$14:$L$18,12,FALSE)/2,IF($H201&lt;N$2,VLOOKUP($G201,Depreciation!$A$14:$L$18,12,FALSE),0))</f>
        <v>3.343407856743718E-2</v>
      </c>
      <c r="O201" s="307">
        <f t="shared" si="28"/>
        <v>49453586.449717507</v>
      </c>
      <c r="P201" s="732">
        <v>0</v>
      </c>
      <c r="Q201" s="733">
        <v>0</v>
      </c>
      <c r="R201" s="734">
        <f t="shared" si="29"/>
        <v>1</v>
      </c>
      <c r="S201" s="735">
        <f t="shared" si="30"/>
        <v>0</v>
      </c>
      <c r="T201" s="735">
        <f t="shared" si="31"/>
        <v>0</v>
      </c>
      <c r="U201" s="735">
        <f t="shared" si="32"/>
        <v>49453586.449717507</v>
      </c>
      <c r="V201" s="736">
        <f t="shared" si="33"/>
        <v>0</v>
      </c>
      <c r="W201" s="735">
        <f t="shared" si="34"/>
        <v>0</v>
      </c>
      <c r="X201" s="737">
        <f t="shared" si="35"/>
        <v>49453586.449717507</v>
      </c>
      <c r="Y201" s="738">
        <f t="shared" si="36"/>
        <v>0</v>
      </c>
      <c r="Z201" s="627"/>
    </row>
    <row r="202" spans="1:26">
      <c r="A202" s="331" t="s">
        <v>1926</v>
      </c>
      <c r="B202" s="332">
        <v>1117</v>
      </c>
      <c r="C202" s="332">
        <v>240</v>
      </c>
      <c r="D202" s="332">
        <v>138</v>
      </c>
      <c r="E202" s="331" t="s">
        <v>1567</v>
      </c>
      <c r="F202" s="333">
        <v>7942848.7389275823</v>
      </c>
      <c r="G202" s="332" t="s">
        <v>4</v>
      </c>
      <c r="H202" s="332">
        <v>2015</v>
      </c>
      <c r="I202" s="306">
        <f>+IF($H202=I$2,VLOOKUP($G202,Depreciation!$A$14:$L$18,7,FALSE)/2,IF($H202&lt;I$2,VLOOKUP($G202,Depreciation!$A$14:$L$18,7,FALSE),0))</f>
        <v>1.7228380322441735E-2</v>
      </c>
      <c r="J202" s="306">
        <f>+IF($H202=J$2,VLOOKUP($G202,Depreciation!$A$14:$L$18,8,FALSE)/2,IF($H202&lt;J$2,VLOOKUP($G202,Depreciation!$A$14:$L$18,8,FALSE),0))</f>
        <v>3.343407856743718E-2</v>
      </c>
      <c r="K202" s="306">
        <f>+IF($H202=K$2,VLOOKUP($G202,Depreciation!$A$14:$L$18,9,FALSE)/2,IF($H202&lt;K$2,VLOOKUP($G202,Depreciation!$A$14:$L$18,9,FALSE),0))</f>
        <v>3.343407856743718E-2</v>
      </c>
      <c r="L202" s="306">
        <f>+IF($H202=L$2,VLOOKUP($G202,Depreciation!$A$14:$L$18,10,FALSE)/2,IF($H202&lt;L$2,VLOOKUP($G202,Depreciation!$A$14:$L$18,10,FALSE),0))</f>
        <v>3.343407856743718E-2</v>
      </c>
      <c r="M202" s="306">
        <f>+IF($H202=M$2,VLOOKUP($G202,Depreciation!$A$14:$L$18,11,FALSE)/2,IF($H202&lt;M$2,VLOOKUP($G202,Depreciation!$A$14:$L$18,11,FALSE),0))</f>
        <v>3.343407856743718E-2</v>
      </c>
      <c r="N202" s="306">
        <f>+IF($H202=N$2,VLOOKUP($G202,Depreciation!$A$14:$L$18,12,FALSE)/2,IF($H202&lt;N$2,VLOOKUP($G202,Depreciation!$A$14:$L$18,12,FALSE),0))</f>
        <v>3.343407856743718E-2</v>
      </c>
      <c r="O202" s="307">
        <f t="shared" si="28"/>
        <v>7806006.3200097112</v>
      </c>
      <c r="P202" s="732">
        <v>0</v>
      </c>
      <c r="Q202" s="733">
        <v>0</v>
      </c>
      <c r="R202" s="734">
        <f t="shared" si="29"/>
        <v>1</v>
      </c>
      <c r="S202" s="735">
        <f t="shared" si="30"/>
        <v>0</v>
      </c>
      <c r="T202" s="735">
        <f t="shared" si="31"/>
        <v>0</v>
      </c>
      <c r="U202" s="735">
        <f t="shared" si="32"/>
        <v>7806006.3200097112</v>
      </c>
      <c r="V202" s="736">
        <f t="shared" si="33"/>
        <v>0</v>
      </c>
      <c r="W202" s="735">
        <f t="shared" si="34"/>
        <v>0</v>
      </c>
      <c r="X202" s="737">
        <f t="shared" si="35"/>
        <v>7806006.3200097112</v>
      </c>
      <c r="Y202" s="738">
        <f t="shared" si="36"/>
        <v>0</v>
      </c>
      <c r="Z202" s="627"/>
    </row>
    <row r="203" spans="1:26">
      <c r="A203" s="331" t="s">
        <v>1289</v>
      </c>
      <c r="B203" s="332">
        <v>1117</v>
      </c>
      <c r="C203" s="332">
        <v>138</v>
      </c>
      <c r="D203" s="332">
        <v>25</v>
      </c>
      <c r="E203" s="331" t="s">
        <v>1593</v>
      </c>
      <c r="F203" s="333">
        <v>7010473.3837333731</v>
      </c>
      <c r="G203" s="332" t="s">
        <v>4</v>
      </c>
      <c r="H203" s="332">
        <v>2015</v>
      </c>
      <c r="I203" s="306">
        <f>+IF($H203=I$2,VLOOKUP($G203,Depreciation!$A$14:$L$18,7,FALSE)/2,IF($H203&lt;I$2,VLOOKUP($G203,Depreciation!$A$14:$L$18,7,FALSE),0))</f>
        <v>1.7228380322441735E-2</v>
      </c>
      <c r="J203" s="306">
        <f>+IF($H203=J$2,VLOOKUP($G203,Depreciation!$A$14:$L$18,8,FALSE)/2,IF($H203&lt;J$2,VLOOKUP($G203,Depreciation!$A$14:$L$18,8,FALSE),0))</f>
        <v>3.343407856743718E-2</v>
      </c>
      <c r="K203" s="306">
        <f>+IF($H203=K$2,VLOOKUP($G203,Depreciation!$A$14:$L$18,9,FALSE)/2,IF($H203&lt;K$2,VLOOKUP($G203,Depreciation!$A$14:$L$18,9,FALSE),0))</f>
        <v>3.343407856743718E-2</v>
      </c>
      <c r="L203" s="306">
        <f>+IF($H203=L$2,VLOOKUP($G203,Depreciation!$A$14:$L$18,10,FALSE)/2,IF($H203&lt;L$2,VLOOKUP($G203,Depreciation!$A$14:$L$18,10,FALSE),0))</f>
        <v>3.343407856743718E-2</v>
      </c>
      <c r="M203" s="306">
        <f>+IF($H203=M$2,VLOOKUP($G203,Depreciation!$A$14:$L$18,11,FALSE)/2,IF($H203&lt;M$2,VLOOKUP($G203,Depreciation!$A$14:$L$18,11,FALSE),0))</f>
        <v>3.343407856743718E-2</v>
      </c>
      <c r="N203" s="306">
        <f>+IF($H203=N$2,VLOOKUP($G203,Depreciation!$A$14:$L$18,12,FALSE)/2,IF($H203&lt;N$2,VLOOKUP($G203,Depreciation!$A$14:$L$18,12,FALSE),0))</f>
        <v>3.343407856743718E-2</v>
      </c>
      <c r="O203" s="307">
        <f t="shared" si="28"/>
        <v>6889694.2820380591</v>
      </c>
      <c r="P203" s="732">
        <v>0</v>
      </c>
      <c r="Q203" s="733">
        <v>1</v>
      </c>
      <c r="R203" s="734">
        <f t="shared" si="29"/>
        <v>0</v>
      </c>
      <c r="S203" s="735">
        <f t="shared" si="30"/>
        <v>0</v>
      </c>
      <c r="T203" s="735">
        <f t="shared" si="31"/>
        <v>6889694.2820380591</v>
      </c>
      <c r="U203" s="735">
        <f t="shared" si="32"/>
        <v>0</v>
      </c>
      <c r="V203" s="736">
        <f t="shared" si="33"/>
        <v>0</v>
      </c>
      <c r="W203" s="735">
        <f t="shared" si="34"/>
        <v>0</v>
      </c>
      <c r="X203" s="737">
        <f t="shared" si="35"/>
        <v>0</v>
      </c>
      <c r="Y203" s="738">
        <f t="shared" si="36"/>
        <v>6889694.2820380591</v>
      </c>
      <c r="Z203" s="627"/>
    </row>
    <row r="204" spans="1:26">
      <c r="A204" s="331" t="s">
        <v>1927</v>
      </c>
      <c r="B204" s="332">
        <v>1117</v>
      </c>
      <c r="C204" s="332">
        <v>240</v>
      </c>
      <c r="D204" s="332">
        <v>138</v>
      </c>
      <c r="E204" s="331" t="s">
        <v>1535</v>
      </c>
      <c r="F204" s="333">
        <v>26955252.769418996</v>
      </c>
      <c r="G204" s="332" t="s">
        <v>4</v>
      </c>
      <c r="H204" s="332">
        <v>2015</v>
      </c>
      <c r="I204" s="306">
        <f>+IF($H204=I$2,VLOOKUP($G204,Depreciation!$A$14:$L$18,7,FALSE)/2,IF($H204&lt;I$2,VLOOKUP($G204,Depreciation!$A$14:$L$18,7,FALSE),0))</f>
        <v>1.7228380322441735E-2</v>
      </c>
      <c r="J204" s="306">
        <f>+IF($H204=J$2,VLOOKUP($G204,Depreciation!$A$14:$L$18,8,FALSE)/2,IF($H204&lt;J$2,VLOOKUP($G204,Depreciation!$A$14:$L$18,8,FALSE),0))</f>
        <v>3.343407856743718E-2</v>
      </c>
      <c r="K204" s="306">
        <f>+IF($H204=K$2,VLOOKUP($G204,Depreciation!$A$14:$L$18,9,FALSE)/2,IF($H204&lt;K$2,VLOOKUP($G204,Depreciation!$A$14:$L$18,9,FALSE),0))</f>
        <v>3.343407856743718E-2</v>
      </c>
      <c r="L204" s="306">
        <f>+IF($H204=L$2,VLOOKUP($G204,Depreciation!$A$14:$L$18,10,FALSE)/2,IF($H204&lt;L$2,VLOOKUP($G204,Depreciation!$A$14:$L$18,10,FALSE),0))</f>
        <v>3.343407856743718E-2</v>
      </c>
      <c r="M204" s="306">
        <f>+IF($H204=M$2,VLOOKUP($G204,Depreciation!$A$14:$L$18,11,FALSE)/2,IF($H204&lt;M$2,VLOOKUP($G204,Depreciation!$A$14:$L$18,11,FALSE),0))</f>
        <v>3.343407856743718E-2</v>
      </c>
      <c r="N204" s="306">
        <f>+IF($H204=N$2,VLOOKUP($G204,Depreciation!$A$14:$L$18,12,FALSE)/2,IF($H204&lt;N$2,VLOOKUP($G204,Depreciation!$A$14:$L$18,12,FALSE),0))</f>
        <v>3.343407856743718E-2</v>
      </c>
      <c r="O204" s="307">
        <f t="shared" si="28"/>
        <v>26490857.423019893</v>
      </c>
      <c r="P204" s="732">
        <v>0</v>
      </c>
      <c r="Q204" s="733">
        <v>0</v>
      </c>
      <c r="R204" s="734">
        <f t="shared" si="29"/>
        <v>1</v>
      </c>
      <c r="S204" s="735">
        <f t="shared" si="30"/>
        <v>0</v>
      </c>
      <c r="T204" s="735">
        <f t="shared" si="31"/>
        <v>0</v>
      </c>
      <c r="U204" s="735">
        <f t="shared" si="32"/>
        <v>26490857.423019893</v>
      </c>
      <c r="V204" s="736">
        <f t="shared" si="33"/>
        <v>0</v>
      </c>
      <c r="W204" s="735">
        <f t="shared" si="34"/>
        <v>0</v>
      </c>
      <c r="X204" s="737">
        <f t="shared" si="35"/>
        <v>26490857.423019893</v>
      </c>
      <c r="Y204" s="738">
        <f t="shared" si="36"/>
        <v>0</v>
      </c>
      <c r="Z204" s="627"/>
    </row>
    <row r="205" spans="1:26">
      <c r="A205" s="331" t="s">
        <v>1928</v>
      </c>
      <c r="B205" s="332">
        <v>1117</v>
      </c>
      <c r="C205" s="332">
        <v>500</v>
      </c>
      <c r="D205" s="332">
        <v>240</v>
      </c>
      <c r="E205" s="331" t="s">
        <v>1536</v>
      </c>
      <c r="F205" s="333">
        <v>26111161.304189671</v>
      </c>
      <c r="G205" s="332" t="s">
        <v>4</v>
      </c>
      <c r="H205" s="332">
        <v>2015</v>
      </c>
      <c r="I205" s="306">
        <f>+IF($H205=I$2,VLOOKUP($G205,Depreciation!$A$14:$L$18,7,FALSE)/2,IF($H205&lt;I$2,VLOOKUP($G205,Depreciation!$A$14:$L$18,7,FALSE),0))</f>
        <v>1.7228380322441735E-2</v>
      </c>
      <c r="J205" s="306">
        <f>+IF($H205=J$2,VLOOKUP($G205,Depreciation!$A$14:$L$18,8,FALSE)/2,IF($H205&lt;J$2,VLOOKUP($G205,Depreciation!$A$14:$L$18,8,FALSE),0))</f>
        <v>3.343407856743718E-2</v>
      </c>
      <c r="K205" s="306">
        <f>+IF($H205=K$2,VLOOKUP($G205,Depreciation!$A$14:$L$18,9,FALSE)/2,IF($H205&lt;K$2,VLOOKUP($G205,Depreciation!$A$14:$L$18,9,FALSE),0))</f>
        <v>3.343407856743718E-2</v>
      </c>
      <c r="L205" s="306">
        <f>+IF($H205=L$2,VLOOKUP($G205,Depreciation!$A$14:$L$18,10,FALSE)/2,IF($H205&lt;L$2,VLOOKUP($G205,Depreciation!$A$14:$L$18,10,FALSE),0))</f>
        <v>3.343407856743718E-2</v>
      </c>
      <c r="M205" s="306">
        <f>+IF($H205=M$2,VLOOKUP($G205,Depreciation!$A$14:$L$18,11,FALSE)/2,IF($H205&lt;M$2,VLOOKUP($G205,Depreciation!$A$14:$L$18,11,FALSE),0))</f>
        <v>3.343407856743718E-2</v>
      </c>
      <c r="N205" s="306">
        <f>+IF($H205=N$2,VLOOKUP($G205,Depreciation!$A$14:$L$18,12,FALSE)/2,IF($H205&lt;N$2,VLOOKUP($G205,Depreciation!$A$14:$L$18,12,FALSE),0))</f>
        <v>3.343407856743718E-2</v>
      </c>
      <c r="O205" s="307">
        <f t="shared" si="28"/>
        <v>25661308.286580466</v>
      </c>
      <c r="P205" s="732">
        <v>0</v>
      </c>
      <c r="Q205" s="733">
        <v>0</v>
      </c>
      <c r="R205" s="734">
        <f t="shared" si="29"/>
        <v>1</v>
      </c>
      <c r="S205" s="735">
        <f t="shared" si="30"/>
        <v>0</v>
      </c>
      <c r="T205" s="735">
        <f t="shared" si="31"/>
        <v>0</v>
      </c>
      <c r="U205" s="735">
        <f t="shared" si="32"/>
        <v>25661308.286580466</v>
      </c>
      <c r="V205" s="736">
        <f t="shared" si="33"/>
        <v>0</v>
      </c>
      <c r="W205" s="735">
        <f t="shared" si="34"/>
        <v>25661308.286580466</v>
      </c>
      <c r="X205" s="737">
        <f t="shared" si="35"/>
        <v>0</v>
      </c>
      <c r="Y205" s="738">
        <f t="shared" si="36"/>
        <v>0</v>
      </c>
      <c r="Z205" s="627"/>
    </row>
    <row r="206" spans="1:26">
      <c r="A206" s="331" t="s">
        <v>1291</v>
      </c>
      <c r="B206" s="332">
        <v>1117</v>
      </c>
      <c r="C206" s="332">
        <v>138</v>
      </c>
      <c r="D206" s="332">
        <v>25</v>
      </c>
      <c r="E206" s="331" t="s">
        <v>1594</v>
      </c>
      <c r="F206" s="333">
        <v>5976888.018172862</v>
      </c>
      <c r="G206" s="332" t="s">
        <v>4</v>
      </c>
      <c r="H206" s="332">
        <v>2015</v>
      </c>
      <c r="I206" s="306">
        <f>+IF($H206=I$2,VLOOKUP($G206,Depreciation!$A$14:$L$18,7,FALSE)/2,IF($H206&lt;I$2,VLOOKUP($G206,Depreciation!$A$14:$L$18,7,FALSE),0))</f>
        <v>1.7228380322441735E-2</v>
      </c>
      <c r="J206" s="306">
        <f>+IF($H206=J$2,VLOOKUP($G206,Depreciation!$A$14:$L$18,8,FALSE)/2,IF($H206&lt;J$2,VLOOKUP($G206,Depreciation!$A$14:$L$18,8,FALSE),0))</f>
        <v>3.343407856743718E-2</v>
      </c>
      <c r="K206" s="306">
        <f>+IF($H206=K$2,VLOOKUP($G206,Depreciation!$A$14:$L$18,9,FALSE)/2,IF($H206&lt;K$2,VLOOKUP($G206,Depreciation!$A$14:$L$18,9,FALSE),0))</f>
        <v>3.343407856743718E-2</v>
      </c>
      <c r="L206" s="306">
        <f>+IF($H206=L$2,VLOOKUP($G206,Depreciation!$A$14:$L$18,10,FALSE)/2,IF($H206&lt;L$2,VLOOKUP($G206,Depreciation!$A$14:$L$18,10,FALSE),0))</f>
        <v>3.343407856743718E-2</v>
      </c>
      <c r="M206" s="306">
        <f>+IF($H206=M$2,VLOOKUP($G206,Depreciation!$A$14:$L$18,11,FALSE)/2,IF($H206&lt;M$2,VLOOKUP($G206,Depreciation!$A$14:$L$18,11,FALSE),0))</f>
        <v>3.343407856743718E-2</v>
      </c>
      <c r="N206" s="306">
        <f>+IF($H206=N$2,VLOOKUP($G206,Depreciation!$A$14:$L$18,12,FALSE)/2,IF($H206&lt;N$2,VLOOKUP($G206,Depreciation!$A$14:$L$18,12,FALSE),0))</f>
        <v>3.343407856743718E-2</v>
      </c>
      <c r="O206" s="307">
        <f t="shared" si="28"/>
        <v>5873915.9182511345</v>
      </c>
      <c r="P206" s="732">
        <v>0</v>
      </c>
      <c r="Q206" s="733">
        <v>1</v>
      </c>
      <c r="R206" s="734">
        <f t="shared" si="29"/>
        <v>0</v>
      </c>
      <c r="S206" s="735">
        <f t="shared" si="30"/>
        <v>0</v>
      </c>
      <c r="T206" s="735">
        <f t="shared" si="31"/>
        <v>5873915.9182511345</v>
      </c>
      <c r="U206" s="735">
        <f t="shared" si="32"/>
        <v>0</v>
      </c>
      <c r="V206" s="736">
        <f t="shared" si="33"/>
        <v>0</v>
      </c>
      <c r="W206" s="735">
        <f t="shared" si="34"/>
        <v>0</v>
      </c>
      <c r="X206" s="737">
        <f t="shared" si="35"/>
        <v>0</v>
      </c>
      <c r="Y206" s="738">
        <f t="shared" si="36"/>
        <v>5873915.9182511345</v>
      </c>
      <c r="Z206" s="627"/>
    </row>
    <row r="207" spans="1:26">
      <c r="A207" s="331" t="s">
        <v>1410</v>
      </c>
      <c r="B207" s="332">
        <v>1128</v>
      </c>
      <c r="C207" s="332">
        <v>144</v>
      </c>
      <c r="D207" s="332">
        <v>25</v>
      </c>
      <c r="E207" s="331" t="s">
        <v>1595</v>
      </c>
      <c r="F207" s="333">
        <v>3013835.5296935784</v>
      </c>
      <c r="G207" s="332" t="s">
        <v>66</v>
      </c>
      <c r="H207" s="332">
        <v>2015</v>
      </c>
      <c r="I207" s="306">
        <f>+IF($H207=I$2,VLOOKUP($G207,Depreciation!$A$14:$L$18,7,FALSE)/2,IF($H207&lt;I$2,VLOOKUP($G207,Depreciation!$A$14:$L$18,7,FALSE),0))</f>
        <v>1.221703683566912E-2</v>
      </c>
      <c r="J207" s="306">
        <f>+IF($H207=J$2,VLOOKUP($G207,Depreciation!$A$14:$L$18,8,FALSE)/2,IF($H207&lt;J$2,VLOOKUP($G207,Depreciation!$A$14:$L$18,8,FALSE),0))</f>
        <v>2.4632450501084719E-2</v>
      </c>
      <c r="K207" s="306">
        <f>+IF($H207=K$2,VLOOKUP($G207,Depreciation!$A$14:$L$18,9,FALSE)/2,IF($H207&lt;K$2,VLOOKUP($G207,Depreciation!$A$14:$L$18,9,FALSE),0))</f>
        <v>2.4351536427798831E-2</v>
      </c>
      <c r="L207" s="306">
        <f>+IF($H207=L$2,VLOOKUP($G207,Depreciation!$A$14:$L$18,10,FALSE)/2,IF($H207&lt;L$2,VLOOKUP($G207,Depreciation!$A$14:$L$18,10,FALSE),0))</f>
        <v>2.4351536427798831E-2</v>
      </c>
      <c r="M207" s="306">
        <f>+IF($H207=M$2,VLOOKUP($G207,Depreciation!$A$14:$L$18,11,FALSE)/2,IF($H207&lt;M$2,VLOOKUP($G207,Depreciation!$A$14:$L$18,11,FALSE),0))</f>
        <v>2.4351536427798831E-2</v>
      </c>
      <c r="N207" s="306">
        <f>+IF($H207=N$2,VLOOKUP($G207,Depreciation!$A$14:$L$18,12,FALSE)/2,IF($H207&lt;N$2,VLOOKUP($G207,Depreciation!$A$14:$L$18,12,FALSE),0))</f>
        <v>2.4351536427798831E-2</v>
      </c>
      <c r="O207" s="307">
        <f t="shared" si="28"/>
        <v>2977015.3900106638</v>
      </c>
      <c r="P207" s="732">
        <v>0</v>
      </c>
      <c r="Q207" s="733">
        <v>1</v>
      </c>
      <c r="R207" s="734">
        <f t="shared" si="29"/>
        <v>0</v>
      </c>
      <c r="S207" s="735">
        <f t="shared" si="30"/>
        <v>0</v>
      </c>
      <c r="T207" s="735">
        <f t="shared" si="31"/>
        <v>2977015.3900106638</v>
      </c>
      <c r="U207" s="735">
        <f t="shared" si="32"/>
        <v>0</v>
      </c>
      <c r="V207" s="736">
        <f t="shared" si="33"/>
        <v>0</v>
      </c>
      <c r="W207" s="735">
        <f t="shared" si="34"/>
        <v>0</v>
      </c>
      <c r="X207" s="737">
        <f t="shared" si="35"/>
        <v>0</v>
      </c>
      <c r="Y207" s="738">
        <f t="shared" si="36"/>
        <v>2977015.3900106638</v>
      </c>
      <c r="Z207" s="627"/>
    </row>
    <row r="208" spans="1:26">
      <c r="A208" s="331" t="s">
        <v>1255</v>
      </c>
      <c r="B208" s="332">
        <v>1128</v>
      </c>
      <c r="C208" s="332">
        <v>240</v>
      </c>
      <c r="D208" s="332">
        <v>25</v>
      </c>
      <c r="E208" s="331" t="s">
        <v>1596</v>
      </c>
      <c r="F208" s="333">
        <v>26494192.572163552</v>
      </c>
      <c r="G208" s="332" t="s">
        <v>66</v>
      </c>
      <c r="H208" s="332">
        <v>2015</v>
      </c>
      <c r="I208" s="306">
        <f>+IF($H208=I$2,VLOOKUP($G208,Depreciation!$A$14:$L$18,7,FALSE)/2,IF($H208&lt;I$2,VLOOKUP($G208,Depreciation!$A$14:$L$18,7,FALSE),0))</f>
        <v>1.221703683566912E-2</v>
      </c>
      <c r="J208" s="306">
        <f>+IF($H208=J$2,VLOOKUP($G208,Depreciation!$A$14:$L$18,8,FALSE)/2,IF($H208&lt;J$2,VLOOKUP($G208,Depreciation!$A$14:$L$18,8,FALSE),0))</f>
        <v>2.4632450501084719E-2</v>
      </c>
      <c r="K208" s="306">
        <f>+IF($H208=K$2,VLOOKUP($G208,Depreciation!$A$14:$L$18,9,FALSE)/2,IF($H208&lt;K$2,VLOOKUP($G208,Depreciation!$A$14:$L$18,9,FALSE),0))</f>
        <v>2.4351536427798831E-2</v>
      </c>
      <c r="L208" s="306">
        <f>+IF($H208=L$2,VLOOKUP($G208,Depreciation!$A$14:$L$18,10,FALSE)/2,IF($H208&lt;L$2,VLOOKUP($G208,Depreciation!$A$14:$L$18,10,FALSE),0))</f>
        <v>2.4351536427798831E-2</v>
      </c>
      <c r="M208" s="306">
        <f>+IF($H208=M$2,VLOOKUP($G208,Depreciation!$A$14:$L$18,11,FALSE)/2,IF($H208&lt;M$2,VLOOKUP($G208,Depreciation!$A$14:$L$18,11,FALSE),0))</f>
        <v>2.4351536427798831E-2</v>
      </c>
      <c r="N208" s="306">
        <f>+IF($H208=N$2,VLOOKUP($G208,Depreciation!$A$14:$L$18,12,FALSE)/2,IF($H208&lt;N$2,VLOOKUP($G208,Depreciation!$A$14:$L$18,12,FALSE),0))</f>
        <v>2.4351536427798831E-2</v>
      </c>
      <c r="O208" s="307">
        <f t="shared" si="28"/>
        <v>26170512.045578118</v>
      </c>
      <c r="P208" s="732">
        <v>0</v>
      </c>
      <c r="Q208" s="733">
        <v>1</v>
      </c>
      <c r="R208" s="734">
        <f t="shared" si="29"/>
        <v>0</v>
      </c>
      <c r="S208" s="735">
        <f t="shared" si="30"/>
        <v>0</v>
      </c>
      <c r="T208" s="735">
        <f t="shared" si="31"/>
        <v>26170512.045578118</v>
      </c>
      <c r="U208" s="735">
        <f t="shared" si="32"/>
        <v>0</v>
      </c>
      <c r="V208" s="736">
        <f t="shared" si="33"/>
        <v>0</v>
      </c>
      <c r="W208" s="735">
        <f t="shared" si="34"/>
        <v>0</v>
      </c>
      <c r="X208" s="737">
        <f t="shared" si="35"/>
        <v>0</v>
      </c>
      <c r="Y208" s="738">
        <f t="shared" si="36"/>
        <v>26170512.045578118</v>
      </c>
      <c r="Z208" s="627"/>
    </row>
    <row r="209" spans="1:26">
      <c r="A209" s="331" t="s">
        <v>1929</v>
      </c>
      <c r="B209" s="332">
        <v>1128</v>
      </c>
      <c r="C209" s="332">
        <v>144</v>
      </c>
      <c r="D209" s="332">
        <v>25</v>
      </c>
      <c r="E209" s="331" t="s">
        <v>1986</v>
      </c>
      <c r="F209" s="333">
        <v>2933649.2335773744</v>
      </c>
      <c r="G209" s="332" t="s">
        <v>66</v>
      </c>
      <c r="H209" s="332">
        <v>2015</v>
      </c>
      <c r="I209" s="306">
        <f>+IF($H209=I$2,VLOOKUP($G209,Depreciation!$A$14:$L$18,7,FALSE)/2,IF($H209&lt;I$2,VLOOKUP($G209,Depreciation!$A$14:$L$18,7,FALSE),0))</f>
        <v>1.221703683566912E-2</v>
      </c>
      <c r="J209" s="306">
        <f>+IF($H209=J$2,VLOOKUP($G209,Depreciation!$A$14:$L$18,8,FALSE)/2,IF($H209&lt;J$2,VLOOKUP($G209,Depreciation!$A$14:$L$18,8,FALSE),0))</f>
        <v>2.4632450501084719E-2</v>
      </c>
      <c r="K209" s="306">
        <f>+IF($H209=K$2,VLOOKUP($G209,Depreciation!$A$14:$L$18,9,FALSE)/2,IF($H209&lt;K$2,VLOOKUP($G209,Depreciation!$A$14:$L$18,9,FALSE),0))</f>
        <v>2.4351536427798831E-2</v>
      </c>
      <c r="L209" s="306">
        <f>+IF($H209=L$2,VLOOKUP($G209,Depreciation!$A$14:$L$18,10,FALSE)/2,IF($H209&lt;L$2,VLOOKUP($G209,Depreciation!$A$14:$L$18,10,FALSE),0))</f>
        <v>2.4351536427798831E-2</v>
      </c>
      <c r="M209" s="306">
        <f>+IF($H209=M$2,VLOOKUP($G209,Depreciation!$A$14:$L$18,11,FALSE)/2,IF($H209&lt;M$2,VLOOKUP($G209,Depreciation!$A$14:$L$18,11,FALSE),0))</f>
        <v>2.4351536427798831E-2</v>
      </c>
      <c r="N209" s="306">
        <f>+IF($H209=N$2,VLOOKUP($G209,Depreciation!$A$14:$L$18,12,FALSE)/2,IF($H209&lt;N$2,VLOOKUP($G209,Depreciation!$A$14:$L$18,12,FALSE),0))</f>
        <v>2.4351536427798831E-2</v>
      </c>
      <c r="O209" s="307">
        <f t="shared" si="28"/>
        <v>2897808.7328278273</v>
      </c>
      <c r="P209" s="732">
        <v>0</v>
      </c>
      <c r="Q209" s="733">
        <v>1</v>
      </c>
      <c r="R209" s="734">
        <f t="shared" si="29"/>
        <v>0</v>
      </c>
      <c r="S209" s="735">
        <f t="shared" si="30"/>
        <v>0</v>
      </c>
      <c r="T209" s="735">
        <f t="shared" si="31"/>
        <v>2897808.7328278273</v>
      </c>
      <c r="U209" s="735">
        <f t="shared" si="32"/>
        <v>0</v>
      </c>
      <c r="V209" s="736">
        <f t="shared" si="33"/>
        <v>0</v>
      </c>
      <c r="W209" s="735">
        <f t="shared" si="34"/>
        <v>0</v>
      </c>
      <c r="X209" s="737">
        <f t="shared" si="35"/>
        <v>0</v>
      </c>
      <c r="Y209" s="738">
        <f t="shared" si="36"/>
        <v>2897808.7328278273</v>
      </c>
      <c r="Z209" s="627"/>
    </row>
    <row r="210" spans="1:26">
      <c r="A210" s="331" t="s">
        <v>1930</v>
      </c>
      <c r="B210" s="332">
        <v>1128</v>
      </c>
      <c r="C210" s="332">
        <v>144</v>
      </c>
      <c r="D210" s="332">
        <v>25</v>
      </c>
      <c r="E210" s="331" t="s">
        <v>1595</v>
      </c>
      <c r="F210" s="333">
        <v>25809473.341965247</v>
      </c>
      <c r="G210" s="332" t="s">
        <v>66</v>
      </c>
      <c r="H210" s="332">
        <v>2015</v>
      </c>
      <c r="I210" s="306">
        <f>+IF($H210=I$2,VLOOKUP($G210,Depreciation!$A$14:$L$18,7,FALSE)/2,IF($H210&lt;I$2,VLOOKUP($G210,Depreciation!$A$14:$L$18,7,FALSE),0))</f>
        <v>1.221703683566912E-2</v>
      </c>
      <c r="J210" s="306">
        <f>+IF($H210=J$2,VLOOKUP($G210,Depreciation!$A$14:$L$18,8,FALSE)/2,IF($H210&lt;J$2,VLOOKUP($G210,Depreciation!$A$14:$L$18,8,FALSE),0))</f>
        <v>2.4632450501084719E-2</v>
      </c>
      <c r="K210" s="306">
        <f>+IF($H210=K$2,VLOOKUP($G210,Depreciation!$A$14:$L$18,9,FALSE)/2,IF($H210&lt;K$2,VLOOKUP($G210,Depreciation!$A$14:$L$18,9,FALSE),0))</f>
        <v>2.4351536427798831E-2</v>
      </c>
      <c r="L210" s="306">
        <f>+IF($H210=L$2,VLOOKUP($G210,Depreciation!$A$14:$L$18,10,FALSE)/2,IF($H210&lt;L$2,VLOOKUP($G210,Depreciation!$A$14:$L$18,10,FALSE),0))</f>
        <v>2.4351536427798831E-2</v>
      </c>
      <c r="M210" s="306">
        <f>+IF($H210=M$2,VLOOKUP($G210,Depreciation!$A$14:$L$18,11,FALSE)/2,IF($H210&lt;M$2,VLOOKUP($G210,Depreciation!$A$14:$L$18,11,FALSE),0))</f>
        <v>2.4351536427798831E-2</v>
      </c>
      <c r="N210" s="306">
        <f>+IF($H210=N$2,VLOOKUP($G210,Depreciation!$A$14:$L$18,12,FALSE)/2,IF($H210&lt;N$2,VLOOKUP($G210,Depreciation!$A$14:$L$18,12,FALSE),0))</f>
        <v>2.4351536427798831E-2</v>
      </c>
      <c r="O210" s="307">
        <f t="shared" si="28"/>
        <v>25494158.055437237</v>
      </c>
      <c r="P210" s="732">
        <v>0</v>
      </c>
      <c r="Q210" s="733">
        <v>1</v>
      </c>
      <c r="R210" s="734">
        <f t="shared" si="29"/>
        <v>0</v>
      </c>
      <c r="S210" s="735">
        <f t="shared" si="30"/>
        <v>0</v>
      </c>
      <c r="T210" s="735">
        <f t="shared" si="31"/>
        <v>25494158.055437237</v>
      </c>
      <c r="U210" s="735">
        <f t="shared" si="32"/>
        <v>0</v>
      </c>
      <c r="V210" s="736">
        <f t="shared" si="33"/>
        <v>0</v>
      </c>
      <c r="W210" s="735">
        <f t="shared" si="34"/>
        <v>0</v>
      </c>
      <c r="X210" s="737">
        <f t="shared" si="35"/>
        <v>0</v>
      </c>
      <c r="Y210" s="738">
        <f t="shared" si="36"/>
        <v>25494158.055437237</v>
      </c>
      <c r="Z210" s="627"/>
    </row>
    <row r="211" spans="1:26">
      <c r="A211" s="331" t="s">
        <v>1931</v>
      </c>
      <c r="B211" s="332">
        <v>1180</v>
      </c>
      <c r="C211" s="332">
        <v>240</v>
      </c>
      <c r="D211" s="332">
        <v>25</v>
      </c>
      <c r="E211" s="331" t="s">
        <v>1595</v>
      </c>
      <c r="F211" s="333">
        <v>0</v>
      </c>
      <c r="G211" s="332" t="s">
        <v>66</v>
      </c>
      <c r="H211" s="332">
        <v>2100</v>
      </c>
      <c r="I211" s="306">
        <f>+IF($H211=I$2,VLOOKUP($G211,Depreciation!$A$14:$L$18,7,FALSE)/2,IF($H211&lt;I$2,VLOOKUP($G211,Depreciation!$A$14:$L$18,7,FALSE),0))</f>
        <v>0</v>
      </c>
      <c r="J211" s="306">
        <f>+IF($H211=J$2,VLOOKUP($G211,Depreciation!$A$14:$L$18,8,FALSE)/2,IF($H211&lt;J$2,VLOOKUP($G211,Depreciation!$A$14:$L$18,8,FALSE),0))</f>
        <v>0</v>
      </c>
      <c r="K211" s="306">
        <f>+IF($H211=K$2,VLOOKUP($G211,Depreciation!$A$14:$L$18,9,FALSE)/2,IF($H211&lt;K$2,VLOOKUP($G211,Depreciation!$A$14:$L$18,9,FALSE),0))</f>
        <v>0</v>
      </c>
      <c r="L211" s="306">
        <f>+IF($H211=L$2,VLOOKUP($G211,Depreciation!$A$14:$L$18,10,FALSE)/2,IF($H211&lt;L$2,VLOOKUP($G211,Depreciation!$A$14:$L$18,10,FALSE),0))</f>
        <v>0</v>
      </c>
      <c r="M211" s="306">
        <f>+IF($H211=M$2,VLOOKUP($G211,Depreciation!$A$14:$L$18,11,FALSE)/2,IF($H211&lt;M$2,VLOOKUP($G211,Depreciation!$A$14:$L$18,11,FALSE),0))</f>
        <v>0</v>
      </c>
      <c r="N211" s="306">
        <f>+IF($H211=N$2,VLOOKUP($G211,Depreciation!$A$14:$L$18,12,FALSE)/2,IF($H211&lt;N$2,VLOOKUP($G211,Depreciation!$A$14:$L$18,12,FALSE),0))</f>
        <v>0</v>
      </c>
      <c r="O211" s="307">
        <f t="shared" si="28"/>
        <v>0</v>
      </c>
      <c r="P211" s="732">
        <v>0</v>
      </c>
      <c r="Q211" s="733">
        <v>1</v>
      </c>
      <c r="R211" s="734">
        <f t="shared" si="29"/>
        <v>0</v>
      </c>
      <c r="S211" s="735">
        <f t="shared" si="30"/>
        <v>0</v>
      </c>
      <c r="T211" s="735">
        <f t="shared" si="31"/>
        <v>0</v>
      </c>
      <c r="U211" s="735">
        <f t="shared" si="32"/>
        <v>0</v>
      </c>
      <c r="V211" s="736">
        <f t="shared" si="33"/>
        <v>0</v>
      </c>
      <c r="W211" s="735">
        <f t="shared" si="34"/>
        <v>0</v>
      </c>
      <c r="X211" s="737">
        <f t="shared" si="35"/>
        <v>0</v>
      </c>
      <c r="Y211" s="738">
        <f t="shared" si="36"/>
        <v>0</v>
      </c>
      <c r="Z211" s="627"/>
    </row>
    <row r="212" spans="1:26">
      <c r="A212" s="331" t="s">
        <v>1263</v>
      </c>
      <c r="B212" s="332">
        <v>1180</v>
      </c>
      <c r="C212" s="332">
        <v>240</v>
      </c>
      <c r="D212" s="332">
        <v>240</v>
      </c>
      <c r="E212" s="331" t="s">
        <v>1597</v>
      </c>
      <c r="F212" s="333">
        <v>0</v>
      </c>
      <c r="G212" s="332" t="s">
        <v>66</v>
      </c>
      <c r="H212" s="332">
        <v>2100</v>
      </c>
      <c r="I212" s="306">
        <f>+IF($H212=I$2,VLOOKUP($G212,Depreciation!$A$14:$L$18,7,FALSE)/2,IF($H212&lt;I$2,VLOOKUP($G212,Depreciation!$A$14:$L$18,7,FALSE),0))</f>
        <v>0</v>
      </c>
      <c r="J212" s="306">
        <f>+IF($H212=J$2,VLOOKUP($G212,Depreciation!$A$14:$L$18,8,FALSE)/2,IF($H212&lt;J$2,VLOOKUP($G212,Depreciation!$A$14:$L$18,8,FALSE),0))</f>
        <v>0</v>
      </c>
      <c r="K212" s="306">
        <f>+IF($H212=K$2,VLOOKUP($G212,Depreciation!$A$14:$L$18,9,FALSE)/2,IF($H212&lt;K$2,VLOOKUP($G212,Depreciation!$A$14:$L$18,9,FALSE),0))</f>
        <v>0</v>
      </c>
      <c r="L212" s="306">
        <f>+IF($H212=L$2,VLOOKUP($G212,Depreciation!$A$14:$L$18,10,FALSE)/2,IF($H212&lt;L$2,VLOOKUP($G212,Depreciation!$A$14:$L$18,10,FALSE),0))</f>
        <v>0</v>
      </c>
      <c r="M212" s="306">
        <f>+IF($H212=M$2,VLOOKUP($G212,Depreciation!$A$14:$L$18,11,FALSE)/2,IF($H212&lt;M$2,VLOOKUP($G212,Depreciation!$A$14:$L$18,11,FALSE),0))</f>
        <v>0</v>
      </c>
      <c r="N212" s="306">
        <f>+IF($H212=N$2,VLOOKUP($G212,Depreciation!$A$14:$L$18,12,FALSE)/2,IF($H212&lt;N$2,VLOOKUP($G212,Depreciation!$A$14:$L$18,12,FALSE),0))</f>
        <v>0</v>
      </c>
      <c r="O212" s="307">
        <f t="shared" si="28"/>
        <v>0</v>
      </c>
      <c r="P212" s="732">
        <v>0</v>
      </c>
      <c r="Q212" s="733">
        <v>0</v>
      </c>
      <c r="R212" s="734">
        <f t="shared" si="29"/>
        <v>1</v>
      </c>
      <c r="S212" s="735">
        <f t="shared" si="30"/>
        <v>0</v>
      </c>
      <c r="T212" s="735">
        <f t="shared" si="31"/>
        <v>0</v>
      </c>
      <c r="U212" s="735">
        <f t="shared" si="32"/>
        <v>0</v>
      </c>
      <c r="V212" s="736">
        <f t="shared" si="33"/>
        <v>0</v>
      </c>
      <c r="W212" s="735">
        <f t="shared" si="34"/>
        <v>0</v>
      </c>
      <c r="X212" s="737">
        <f t="shared" si="35"/>
        <v>0</v>
      </c>
      <c r="Y212" s="738">
        <f t="shared" si="36"/>
        <v>0</v>
      </c>
      <c r="Z212" s="627"/>
    </row>
    <row r="213" spans="1:26">
      <c r="A213" s="331" t="s">
        <v>1323</v>
      </c>
      <c r="B213" s="332">
        <v>1180</v>
      </c>
      <c r="C213" s="332">
        <v>240</v>
      </c>
      <c r="D213" s="332">
        <v>240</v>
      </c>
      <c r="E213" s="331" t="s">
        <v>1598</v>
      </c>
      <c r="F213" s="333">
        <v>0</v>
      </c>
      <c r="G213" s="332" t="s">
        <v>66</v>
      </c>
      <c r="H213" s="332">
        <v>2100</v>
      </c>
      <c r="I213" s="306">
        <f>+IF($H213=I$2,VLOOKUP($G213,Depreciation!$A$14:$L$18,7,FALSE)/2,IF($H213&lt;I$2,VLOOKUP($G213,Depreciation!$A$14:$L$18,7,FALSE),0))</f>
        <v>0</v>
      </c>
      <c r="J213" s="306">
        <f>+IF($H213=J$2,VLOOKUP($G213,Depreciation!$A$14:$L$18,8,FALSE)/2,IF($H213&lt;J$2,VLOOKUP($G213,Depreciation!$A$14:$L$18,8,FALSE),0))</f>
        <v>0</v>
      </c>
      <c r="K213" s="306">
        <f>+IF($H213=K$2,VLOOKUP($G213,Depreciation!$A$14:$L$18,9,FALSE)/2,IF($H213&lt;K$2,VLOOKUP($G213,Depreciation!$A$14:$L$18,9,FALSE),0))</f>
        <v>0</v>
      </c>
      <c r="L213" s="306">
        <f>+IF($H213=L$2,VLOOKUP($G213,Depreciation!$A$14:$L$18,10,FALSE)/2,IF($H213&lt;L$2,VLOOKUP($G213,Depreciation!$A$14:$L$18,10,FALSE),0))</f>
        <v>0</v>
      </c>
      <c r="M213" s="306">
        <f>+IF($H213=M$2,VLOOKUP($G213,Depreciation!$A$14:$L$18,11,FALSE)/2,IF($H213&lt;M$2,VLOOKUP($G213,Depreciation!$A$14:$L$18,11,FALSE),0))</f>
        <v>0</v>
      </c>
      <c r="N213" s="306">
        <f>+IF($H213=N$2,VLOOKUP($G213,Depreciation!$A$14:$L$18,12,FALSE)/2,IF($H213&lt;N$2,VLOOKUP($G213,Depreciation!$A$14:$L$18,12,FALSE),0))</f>
        <v>0</v>
      </c>
      <c r="O213" s="307">
        <f t="shared" si="28"/>
        <v>0</v>
      </c>
      <c r="P213" s="732">
        <v>0</v>
      </c>
      <c r="Q213" s="733">
        <v>0</v>
      </c>
      <c r="R213" s="734">
        <f t="shared" si="29"/>
        <v>1</v>
      </c>
      <c r="S213" s="735">
        <f t="shared" si="30"/>
        <v>0</v>
      </c>
      <c r="T213" s="735">
        <f t="shared" si="31"/>
        <v>0</v>
      </c>
      <c r="U213" s="735">
        <f t="shared" si="32"/>
        <v>0</v>
      </c>
      <c r="V213" s="736">
        <f t="shared" si="33"/>
        <v>0</v>
      </c>
      <c r="W213" s="735">
        <f t="shared" si="34"/>
        <v>0</v>
      </c>
      <c r="X213" s="737">
        <f t="shared" si="35"/>
        <v>0</v>
      </c>
      <c r="Y213" s="738">
        <f t="shared" si="36"/>
        <v>0</v>
      </c>
      <c r="Z213" s="627"/>
    </row>
    <row r="214" spans="1:26">
      <c r="A214" s="331" t="s">
        <v>1324</v>
      </c>
      <c r="B214" s="332">
        <v>1180</v>
      </c>
      <c r="C214" s="332">
        <v>240</v>
      </c>
      <c r="D214" s="332">
        <v>25</v>
      </c>
      <c r="E214" s="331" t="s">
        <v>1599</v>
      </c>
      <c r="F214" s="333">
        <v>0</v>
      </c>
      <c r="G214" s="332" t="s">
        <v>66</v>
      </c>
      <c r="H214" s="332">
        <v>2100</v>
      </c>
      <c r="I214" s="306">
        <f>+IF($H214=I$2,VLOOKUP($G214,Depreciation!$A$14:$L$18,7,FALSE)/2,IF($H214&lt;I$2,VLOOKUP($G214,Depreciation!$A$14:$L$18,7,FALSE),0))</f>
        <v>0</v>
      </c>
      <c r="J214" s="306">
        <f>+IF($H214=J$2,VLOOKUP($G214,Depreciation!$A$14:$L$18,8,FALSE)/2,IF($H214&lt;J$2,VLOOKUP($G214,Depreciation!$A$14:$L$18,8,FALSE),0))</f>
        <v>0</v>
      </c>
      <c r="K214" s="306">
        <f>+IF($H214=K$2,VLOOKUP($G214,Depreciation!$A$14:$L$18,9,FALSE)/2,IF($H214&lt;K$2,VLOOKUP($G214,Depreciation!$A$14:$L$18,9,FALSE),0))</f>
        <v>0</v>
      </c>
      <c r="L214" s="306">
        <f>+IF($H214=L$2,VLOOKUP($G214,Depreciation!$A$14:$L$18,10,FALSE)/2,IF($H214&lt;L$2,VLOOKUP($G214,Depreciation!$A$14:$L$18,10,FALSE),0))</f>
        <v>0</v>
      </c>
      <c r="M214" s="306">
        <f>+IF($H214=M$2,VLOOKUP($G214,Depreciation!$A$14:$L$18,11,FALSE)/2,IF($H214&lt;M$2,VLOOKUP($G214,Depreciation!$A$14:$L$18,11,FALSE),0))</f>
        <v>0</v>
      </c>
      <c r="N214" s="306">
        <f>+IF($H214=N$2,VLOOKUP($G214,Depreciation!$A$14:$L$18,12,FALSE)/2,IF($H214&lt;N$2,VLOOKUP($G214,Depreciation!$A$14:$L$18,12,FALSE),0))</f>
        <v>0</v>
      </c>
      <c r="O214" s="307">
        <f t="shared" si="28"/>
        <v>0</v>
      </c>
      <c r="P214" s="732">
        <v>0</v>
      </c>
      <c r="Q214" s="733">
        <v>1</v>
      </c>
      <c r="R214" s="734">
        <f t="shared" si="29"/>
        <v>0</v>
      </c>
      <c r="S214" s="735">
        <f t="shared" si="30"/>
        <v>0</v>
      </c>
      <c r="T214" s="735">
        <f t="shared" si="31"/>
        <v>0</v>
      </c>
      <c r="U214" s="735">
        <f t="shared" si="32"/>
        <v>0</v>
      </c>
      <c r="V214" s="736">
        <f t="shared" si="33"/>
        <v>0</v>
      </c>
      <c r="W214" s="735">
        <f t="shared" si="34"/>
        <v>0</v>
      </c>
      <c r="X214" s="737">
        <f t="shared" si="35"/>
        <v>0</v>
      </c>
      <c r="Y214" s="738">
        <f t="shared" si="36"/>
        <v>0</v>
      </c>
      <c r="Z214" s="627"/>
    </row>
    <row r="215" spans="1:26">
      <c r="A215" s="331" t="s">
        <v>1322</v>
      </c>
      <c r="B215" s="332">
        <v>1180</v>
      </c>
      <c r="C215" s="332">
        <v>240</v>
      </c>
      <c r="D215" s="332">
        <v>240</v>
      </c>
      <c r="E215" s="331" t="s">
        <v>1597</v>
      </c>
      <c r="F215" s="333">
        <v>0</v>
      </c>
      <c r="G215" s="332" t="s">
        <v>66</v>
      </c>
      <c r="H215" s="332">
        <v>2100</v>
      </c>
      <c r="I215" s="306">
        <f>+IF($H215=I$2,VLOOKUP($G215,Depreciation!$A$14:$L$18,7,FALSE)/2,IF($H215&lt;I$2,VLOOKUP($G215,Depreciation!$A$14:$L$18,7,FALSE),0))</f>
        <v>0</v>
      </c>
      <c r="J215" s="306">
        <f>+IF($H215=J$2,VLOOKUP($G215,Depreciation!$A$14:$L$18,8,FALSE)/2,IF($H215&lt;J$2,VLOOKUP($G215,Depreciation!$A$14:$L$18,8,FALSE),0))</f>
        <v>0</v>
      </c>
      <c r="K215" s="306">
        <f>+IF($H215=K$2,VLOOKUP($G215,Depreciation!$A$14:$L$18,9,FALSE)/2,IF($H215&lt;K$2,VLOOKUP($G215,Depreciation!$A$14:$L$18,9,FALSE),0))</f>
        <v>0</v>
      </c>
      <c r="L215" s="306">
        <f>+IF($H215=L$2,VLOOKUP($G215,Depreciation!$A$14:$L$18,10,FALSE)/2,IF($H215&lt;L$2,VLOOKUP($G215,Depreciation!$A$14:$L$18,10,FALSE),0))</f>
        <v>0</v>
      </c>
      <c r="M215" s="306">
        <f>+IF($H215=M$2,VLOOKUP($G215,Depreciation!$A$14:$L$18,11,FALSE)/2,IF($H215&lt;M$2,VLOOKUP($G215,Depreciation!$A$14:$L$18,11,FALSE),0))</f>
        <v>0</v>
      </c>
      <c r="N215" s="306">
        <f>+IF($H215=N$2,VLOOKUP($G215,Depreciation!$A$14:$L$18,12,FALSE)/2,IF($H215&lt;N$2,VLOOKUP($G215,Depreciation!$A$14:$L$18,12,FALSE),0))</f>
        <v>0</v>
      </c>
      <c r="O215" s="307">
        <f t="shared" si="28"/>
        <v>0</v>
      </c>
      <c r="P215" s="732">
        <v>0</v>
      </c>
      <c r="Q215" s="733">
        <v>0</v>
      </c>
      <c r="R215" s="734">
        <f t="shared" si="29"/>
        <v>1</v>
      </c>
      <c r="S215" s="735">
        <f t="shared" si="30"/>
        <v>0</v>
      </c>
      <c r="T215" s="735">
        <f t="shared" si="31"/>
        <v>0</v>
      </c>
      <c r="U215" s="735">
        <f t="shared" si="32"/>
        <v>0</v>
      </c>
      <c r="V215" s="736">
        <f t="shared" si="33"/>
        <v>0</v>
      </c>
      <c r="W215" s="735">
        <f t="shared" si="34"/>
        <v>0</v>
      </c>
      <c r="X215" s="737">
        <f t="shared" si="35"/>
        <v>0</v>
      </c>
      <c r="Y215" s="738">
        <f t="shared" si="36"/>
        <v>0</v>
      </c>
      <c r="Z215" s="627"/>
    </row>
    <row r="216" spans="1:26">
      <c r="A216" s="331" t="s">
        <v>1351</v>
      </c>
      <c r="B216" s="332">
        <v>1186</v>
      </c>
      <c r="C216" s="332">
        <v>240</v>
      </c>
      <c r="D216" s="332">
        <v>0</v>
      </c>
      <c r="E216" s="331"/>
      <c r="F216" s="333">
        <v>75896.276001329621</v>
      </c>
      <c r="G216" s="332" t="s">
        <v>66</v>
      </c>
      <c r="H216" s="332">
        <v>2018</v>
      </c>
      <c r="I216" s="306">
        <f>+IF($H216=I$2,VLOOKUP($G216,Depreciation!$A$14:$L$18,7,FALSE)/2,IF($H216&lt;I$2,VLOOKUP($G216,Depreciation!$A$14:$L$18,7,FALSE),0))</f>
        <v>0</v>
      </c>
      <c r="J216" s="306">
        <f>+IF($H216=J$2,VLOOKUP($G216,Depreciation!$A$14:$L$18,8,FALSE)/2,IF($H216&lt;J$2,VLOOKUP($G216,Depreciation!$A$14:$L$18,8,FALSE),0))</f>
        <v>0</v>
      </c>
      <c r="K216" s="306">
        <f>+IF($H216=K$2,VLOOKUP($G216,Depreciation!$A$14:$L$18,9,FALSE)/2,IF($H216&lt;K$2,VLOOKUP($G216,Depreciation!$A$14:$L$18,9,FALSE),0))</f>
        <v>0</v>
      </c>
      <c r="L216" s="306">
        <f>+IF($H216=L$2,VLOOKUP($G216,Depreciation!$A$14:$L$18,10,FALSE)/2,IF($H216&lt;L$2,VLOOKUP($G216,Depreciation!$A$14:$L$18,10,FALSE),0))</f>
        <v>1.2175768213899416E-2</v>
      </c>
      <c r="M216" s="306">
        <f>+IF($H216=M$2,VLOOKUP($G216,Depreciation!$A$14:$L$18,11,FALSE)/2,IF($H216&lt;M$2,VLOOKUP($G216,Depreciation!$A$14:$L$18,11,FALSE),0))</f>
        <v>2.4351536427798831E-2</v>
      </c>
      <c r="N216" s="306">
        <f>+IF($H216=N$2,VLOOKUP($G216,Depreciation!$A$14:$L$18,12,FALSE)/2,IF($H216&lt;N$2,VLOOKUP($G216,Depreciation!$A$14:$L$18,12,FALSE),0))</f>
        <v>2.4351536427798831E-2</v>
      </c>
      <c r="O216" s="307">
        <f t="shared" si="28"/>
        <v>0</v>
      </c>
      <c r="P216" s="732">
        <v>0</v>
      </c>
      <c r="Q216" s="733">
        <v>0</v>
      </c>
      <c r="R216" s="734">
        <f t="shared" si="29"/>
        <v>1</v>
      </c>
      <c r="S216" s="735">
        <f t="shared" si="30"/>
        <v>0</v>
      </c>
      <c r="T216" s="735">
        <f t="shared" si="31"/>
        <v>0</v>
      </c>
      <c r="U216" s="735">
        <f t="shared" si="32"/>
        <v>0</v>
      </c>
      <c r="V216" s="736">
        <f t="shared" si="33"/>
        <v>0</v>
      </c>
      <c r="W216" s="735">
        <f t="shared" si="34"/>
        <v>0</v>
      </c>
      <c r="X216" s="737">
        <f t="shared" si="35"/>
        <v>0</v>
      </c>
      <c r="Y216" s="738">
        <f t="shared" si="36"/>
        <v>0</v>
      </c>
      <c r="Z216" s="627"/>
    </row>
    <row r="217" spans="1:26">
      <c r="A217" s="331" t="s">
        <v>1352</v>
      </c>
      <c r="B217" s="332">
        <v>1186</v>
      </c>
      <c r="C217" s="332">
        <v>240</v>
      </c>
      <c r="D217" s="332">
        <v>0</v>
      </c>
      <c r="E217" s="331"/>
      <c r="F217" s="333">
        <v>107010.66953091667</v>
      </c>
      <c r="G217" s="332" t="s">
        <v>66</v>
      </c>
      <c r="H217" s="332">
        <v>2018</v>
      </c>
      <c r="I217" s="306">
        <f>+IF($H217=I$2,VLOOKUP($G217,Depreciation!$A$14:$L$18,7,FALSE)/2,IF($H217&lt;I$2,VLOOKUP($G217,Depreciation!$A$14:$L$18,7,FALSE),0))</f>
        <v>0</v>
      </c>
      <c r="J217" s="306">
        <f>+IF($H217=J$2,VLOOKUP($G217,Depreciation!$A$14:$L$18,8,FALSE)/2,IF($H217&lt;J$2,VLOOKUP($G217,Depreciation!$A$14:$L$18,8,FALSE),0))</f>
        <v>0</v>
      </c>
      <c r="K217" s="306">
        <f>+IF($H217=K$2,VLOOKUP($G217,Depreciation!$A$14:$L$18,9,FALSE)/2,IF($H217&lt;K$2,VLOOKUP($G217,Depreciation!$A$14:$L$18,9,FALSE),0))</f>
        <v>0</v>
      </c>
      <c r="L217" s="306">
        <f>+IF($H217=L$2,VLOOKUP($G217,Depreciation!$A$14:$L$18,10,FALSE)/2,IF($H217&lt;L$2,VLOOKUP($G217,Depreciation!$A$14:$L$18,10,FALSE),0))</f>
        <v>1.2175768213899416E-2</v>
      </c>
      <c r="M217" s="306">
        <f>+IF($H217=M$2,VLOOKUP($G217,Depreciation!$A$14:$L$18,11,FALSE)/2,IF($H217&lt;M$2,VLOOKUP($G217,Depreciation!$A$14:$L$18,11,FALSE),0))</f>
        <v>2.4351536427798831E-2</v>
      </c>
      <c r="N217" s="306">
        <f>+IF($H217=N$2,VLOOKUP($G217,Depreciation!$A$14:$L$18,12,FALSE)/2,IF($H217&lt;N$2,VLOOKUP($G217,Depreciation!$A$14:$L$18,12,FALSE),0))</f>
        <v>2.4351536427798831E-2</v>
      </c>
      <c r="O217" s="307">
        <f t="shared" si="28"/>
        <v>0</v>
      </c>
      <c r="P217" s="732">
        <v>0</v>
      </c>
      <c r="Q217" s="733">
        <v>0</v>
      </c>
      <c r="R217" s="734">
        <f t="shared" si="29"/>
        <v>1</v>
      </c>
      <c r="S217" s="735">
        <f t="shared" si="30"/>
        <v>0</v>
      </c>
      <c r="T217" s="735">
        <f t="shared" si="31"/>
        <v>0</v>
      </c>
      <c r="U217" s="735">
        <f t="shared" si="32"/>
        <v>0</v>
      </c>
      <c r="V217" s="736">
        <f t="shared" si="33"/>
        <v>0</v>
      </c>
      <c r="W217" s="735">
        <f t="shared" si="34"/>
        <v>0</v>
      </c>
      <c r="X217" s="737">
        <f t="shared" si="35"/>
        <v>0</v>
      </c>
      <c r="Y217" s="738">
        <f t="shared" si="36"/>
        <v>0</v>
      </c>
      <c r="Z217" s="627"/>
    </row>
    <row r="218" spans="1:26">
      <c r="A218" s="331" t="s">
        <v>1350</v>
      </c>
      <c r="B218" s="332">
        <v>1186</v>
      </c>
      <c r="C218" s="332">
        <v>240</v>
      </c>
      <c r="D218" s="332">
        <v>0</v>
      </c>
      <c r="E218" s="331"/>
      <c r="F218" s="333">
        <v>75646.146350743249</v>
      </c>
      <c r="G218" s="332" t="s">
        <v>66</v>
      </c>
      <c r="H218" s="332">
        <v>2018</v>
      </c>
      <c r="I218" s="306">
        <f>+IF($H218=I$2,VLOOKUP($G218,Depreciation!$A$14:$L$18,7,FALSE)/2,IF($H218&lt;I$2,VLOOKUP($G218,Depreciation!$A$14:$L$18,7,FALSE),0))</f>
        <v>0</v>
      </c>
      <c r="J218" s="306">
        <f>+IF($H218=J$2,VLOOKUP($G218,Depreciation!$A$14:$L$18,8,FALSE)/2,IF($H218&lt;J$2,VLOOKUP($G218,Depreciation!$A$14:$L$18,8,FALSE),0))</f>
        <v>0</v>
      </c>
      <c r="K218" s="306">
        <f>+IF($H218=K$2,VLOOKUP($G218,Depreciation!$A$14:$L$18,9,FALSE)/2,IF($H218&lt;K$2,VLOOKUP($G218,Depreciation!$A$14:$L$18,9,FALSE),0))</f>
        <v>0</v>
      </c>
      <c r="L218" s="306">
        <f>+IF($H218=L$2,VLOOKUP($G218,Depreciation!$A$14:$L$18,10,FALSE)/2,IF($H218&lt;L$2,VLOOKUP($G218,Depreciation!$A$14:$L$18,10,FALSE),0))</f>
        <v>1.2175768213899416E-2</v>
      </c>
      <c r="M218" s="306">
        <f>+IF($H218=M$2,VLOOKUP($G218,Depreciation!$A$14:$L$18,11,FALSE)/2,IF($H218&lt;M$2,VLOOKUP($G218,Depreciation!$A$14:$L$18,11,FALSE),0))</f>
        <v>2.4351536427798831E-2</v>
      </c>
      <c r="N218" s="306">
        <f>+IF($H218=N$2,VLOOKUP($G218,Depreciation!$A$14:$L$18,12,FALSE)/2,IF($H218&lt;N$2,VLOOKUP($G218,Depreciation!$A$14:$L$18,12,FALSE),0))</f>
        <v>2.4351536427798831E-2</v>
      </c>
      <c r="O218" s="307">
        <f t="shared" si="28"/>
        <v>0</v>
      </c>
      <c r="P218" s="732">
        <v>0</v>
      </c>
      <c r="Q218" s="733">
        <v>0</v>
      </c>
      <c r="R218" s="734">
        <f t="shared" si="29"/>
        <v>1</v>
      </c>
      <c r="S218" s="735">
        <f t="shared" si="30"/>
        <v>0</v>
      </c>
      <c r="T218" s="735">
        <f t="shared" si="31"/>
        <v>0</v>
      </c>
      <c r="U218" s="735">
        <f t="shared" si="32"/>
        <v>0</v>
      </c>
      <c r="V218" s="736">
        <f t="shared" si="33"/>
        <v>0</v>
      </c>
      <c r="W218" s="735">
        <f t="shared" si="34"/>
        <v>0</v>
      </c>
      <c r="X218" s="737">
        <f t="shared" si="35"/>
        <v>0</v>
      </c>
      <c r="Y218" s="738">
        <f t="shared" si="36"/>
        <v>0</v>
      </c>
      <c r="Z218" s="627"/>
    </row>
    <row r="219" spans="1:26">
      <c r="A219" s="331" t="s">
        <v>1347</v>
      </c>
      <c r="B219" s="332">
        <v>1186</v>
      </c>
      <c r="C219" s="332">
        <v>240</v>
      </c>
      <c r="D219" s="332">
        <v>240</v>
      </c>
      <c r="E219" s="331" t="s">
        <v>1600</v>
      </c>
      <c r="F219" s="333">
        <v>36719404.285963841</v>
      </c>
      <c r="G219" s="332" t="s">
        <v>66</v>
      </c>
      <c r="H219" s="332">
        <v>2018</v>
      </c>
      <c r="I219" s="306">
        <f>+IF($H219=I$2,VLOOKUP($G219,Depreciation!$A$14:$L$18,7,FALSE)/2,IF($H219&lt;I$2,VLOOKUP($G219,Depreciation!$A$14:$L$18,7,FALSE),0))</f>
        <v>0</v>
      </c>
      <c r="J219" s="306">
        <f>+IF($H219=J$2,VLOOKUP($G219,Depreciation!$A$14:$L$18,8,FALSE)/2,IF($H219&lt;J$2,VLOOKUP($G219,Depreciation!$A$14:$L$18,8,FALSE),0))</f>
        <v>0</v>
      </c>
      <c r="K219" s="306">
        <f>+IF($H219=K$2,VLOOKUP($G219,Depreciation!$A$14:$L$18,9,FALSE)/2,IF($H219&lt;K$2,VLOOKUP($G219,Depreciation!$A$14:$L$18,9,FALSE),0))</f>
        <v>0</v>
      </c>
      <c r="L219" s="306">
        <f>+IF($H219=L$2,VLOOKUP($G219,Depreciation!$A$14:$L$18,10,FALSE)/2,IF($H219&lt;L$2,VLOOKUP($G219,Depreciation!$A$14:$L$18,10,FALSE),0))</f>
        <v>1.2175768213899416E-2</v>
      </c>
      <c r="M219" s="306">
        <f>+IF($H219=M$2,VLOOKUP($G219,Depreciation!$A$14:$L$18,11,FALSE)/2,IF($H219&lt;M$2,VLOOKUP($G219,Depreciation!$A$14:$L$18,11,FALSE),0))</f>
        <v>2.4351536427798831E-2</v>
      </c>
      <c r="N219" s="306">
        <f>+IF($H219=N$2,VLOOKUP($G219,Depreciation!$A$14:$L$18,12,FALSE)/2,IF($H219&lt;N$2,VLOOKUP($G219,Depreciation!$A$14:$L$18,12,FALSE),0))</f>
        <v>2.4351536427798831E-2</v>
      </c>
      <c r="O219" s="307">
        <f t="shared" si="28"/>
        <v>0</v>
      </c>
      <c r="P219" s="732">
        <v>0</v>
      </c>
      <c r="Q219" s="733">
        <v>0</v>
      </c>
      <c r="R219" s="734">
        <f t="shared" si="29"/>
        <v>1</v>
      </c>
      <c r="S219" s="735">
        <f t="shared" si="30"/>
        <v>0</v>
      </c>
      <c r="T219" s="735">
        <f t="shared" si="31"/>
        <v>0</v>
      </c>
      <c r="U219" s="735">
        <f t="shared" si="32"/>
        <v>0</v>
      </c>
      <c r="V219" s="736">
        <f t="shared" si="33"/>
        <v>0</v>
      </c>
      <c r="W219" s="735">
        <f t="shared" si="34"/>
        <v>0</v>
      </c>
      <c r="X219" s="737">
        <f t="shared" si="35"/>
        <v>0</v>
      </c>
      <c r="Y219" s="738">
        <f t="shared" si="36"/>
        <v>0</v>
      </c>
      <c r="Z219" s="627"/>
    </row>
    <row r="220" spans="1:26">
      <c r="A220" s="331" t="s">
        <v>1348</v>
      </c>
      <c r="B220" s="332">
        <v>1186</v>
      </c>
      <c r="C220" s="332">
        <v>240</v>
      </c>
      <c r="D220" s="332">
        <v>240</v>
      </c>
      <c r="E220" s="331" t="s">
        <v>1600</v>
      </c>
      <c r="F220" s="333">
        <v>35229814.262423903</v>
      </c>
      <c r="G220" s="332" t="s">
        <v>66</v>
      </c>
      <c r="H220" s="332">
        <v>2018</v>
      </c>
      <c r="I220" s="306">
        <f>+IF($H220=I$2,VLOOKUP($G220,Depreciation!$A$14:$L$18,7,FALSE)/2,IF($H220&lt;I$2,VLOOKUP($G220,Depreciation!$A$14:$L$18,7,FALSE),0))</f>
        <v>0</v>
      </c>
      <c r="J220" s="306">
        <f>+IF($H220=J$2,VLOOKUP($G220,Depreciation!$A$14:$L$18,8,FALSE)/2,IF($H220&lt;J$2,VLOOKUP($G220,Depreciation!$A$14:$L$18,8,FALSE),0))</f>
        <v>0</v>
      </c>
      <c r="K220" s="306">
        <f>+IF($H220=K$2,VLOOKUP($G220,Depreciation!$A$14:$L$18,9,FALSE)/2,IF($H220&lt;K$2,VLOOKUP($G220,Depreciation!$A$14:$L$18,9,FALSE),0))</f>
        <v>0</v>
      </c>
      <c r="L220" s="306">
        <f>+IF($H220=L$2,VLOOKUP($G220,Depreciation!$A$14:$L$18,10,FALSE)/2,IF($H220&lt;L$2,VLOOKUP($G220,Depreciation!$A$14:$L$18,10,FALSE),0))</f>
        <v>1.2175768213899416E-2</v>
      </c>
      <c r="M220" s="306">
        <f>+IF($H220=M$2,VLOOKUP($G220,Depreciation!$A$14:$L$18,11,FALSE)/2,IF($H220&lt;M$2,VLOOKUP($G220,Depreciation!$A$14:$L$18,11,FALSE),0))</f>
        <v>2.4351536427798831E-2</v>
      </c>
      <c r="N220" s="306">
        <f>+IF($H220=N$2,VLOOKUP($G220,Depreciation!$A$14:$L$18,12,FALSE)/2,IF($H220&lt;N$2,VLOOKUP($G220,Depreciation!$A$14:$L$18,12,FALSE),0))</f>
        <v>2.4351536427798831E-2</v>
      </c>
      <c r="O220" s="307">
        <f t="shared" si="28"/>
        <v>0</v>
      </c>
      <c r="P220" s="732">
        <v>0</v>
      </c>
      <c r="Q220" s="733">
        <v>0</v>
      </c>
      <c r="R220" s="734">
        <f t="shared" si="29"/>
        <v>1</v>
      </c>
      <c r="S220" s="735">
        <f t="shared" si="30"/>
        <v>0</v>
      </c>
      <c r="T220" s="735">
        <f t="shared" si="31"/>
        <v>0</v>
      </c>
      <c r="U220" s="735">
        <f t="shared" si="32"/>
        <v>0</v>
      </c>
      <c r="V220" s="736">
        <f t="shared" si="33"/>
        <v>0</v>
      </c>
      <c r="W220" s="735">
        <f t="shared" si="34"/>
        <v>0</v>
      </c>
      <c r="X220" s="737">
        <f t="shared" si="35"/>
        <v>0</v>
      </c>
      <c r="Y220" s="738">
        <f t="shared" si="36"/>
        <v>0</v>
      </c>
      <c r="Z220" s="627"/>
    </row>
    <row r="221" spans="1:26">
      <c r="A221" s="331" t="s">
        <v>1487</v>
      </c>
      <c r="B221" s="332">
        <v>1250</v>
      </c>
      <c r="C221" s="332">
        <v>144</v>
      </c>
      <c r="D221" s="332">
        <v>144</v>
      </c>
      <c r="E221" s="331" t="s">
        <v>1601</v>
      </c>
      <c r="F221" s="333">
        <v>7531332.8673087647</v>
      </c>
      <c r="G221" s="332" t="s">
        <v>66</v>
      </c>
      <c r="H221" s="332">
        <v>2017</v>
      </c>
      <c r="I221" s="306">
        <f>+IF($H221=I$2,VLOOKUP($G221,Depreciation!$A$14:$L$18,7,FALSE)/2,IF($H221&lt;I$2,VLOOKUP($G221,Depreciation!$A$14:$L$18,7,FALSE),0))</f>
        <v>0</v>
      </c>
      <c r="J221" s="306">
        <f>+IF($H221=J$2,VLOOKUP($G221,Depreciation!$A$14:$L$18,8,FALSE)/2,IF($H221&lt;J$2,VLOOKUP($G221,Depreciation!$A$14:$L$18,8,FALSE),0))</f>
        <v>0</v>
      </c>
      <c r="K221" s="306">
        <f>+IF($H221=K$2,VLOOKUP($G221,Depreciation!$A$14:$L$18,9,FALSE)/2,IF($H221&lt;K$2,VLOOKUP($G221,Depreciation!$A$14:$L$18,9,FALSE),0))</f>
        <v>1.2175768213899416E-2</v>
      </c>
      <c r="L221" s="306">
        <f>+IF($H221=L$2,VLOOKUP($G221,Depreciation!$A$14:$L$18,10,FALSE)/2,IF($H221&lt;L$2,VLOOKUP($G221,Depreciation!$A$14:$L$18,10,FALSE),0))</f>
        <v>2.4351536427798831E-2</v>
      </c>
      <c r="M221" s="306">
        <f>+IF($H221=M$2,VLOOKUP($G221,Depreciation!$A$14:$L$18,11,FALSE)/2,IF($H221&lt;M$2,VLOOKUP($G221,Depreciation!$A$14:$L$18,11,FALSE),0))</f>
        <v>2.4351536427798831E-2</v>
      </c>
      <c r="N221" s="306">
        <f>+IF($H221=N$2,VLOOKUP($G221,Depreciation!$A$14:$L$18,12,FALSE)/2,IF($H221&lt;N$2,VLOOKUP($G221,Depreciation!$A$14:$L$18,12,FALSE),0))</f>
        <v>2.4351536427798831E-2</v>
      </c>
      <c r="O221" s="307">
        <f t="shared" si="28"/>
        <v>0</v>
      </c>
      <c r="P221" s="732">
        <v>0</v>
      </c>
      <c r="Q221" s="733">
        <v>0</v>
      </c>
      <c r="R221" s="734">
        <f t="shared" si="29"/>
        <v>1</v>
      </c>
      <c r="S221" s="735">
        <f t="shared" si="30"/>
        <v>0</v>
      </c>
      <c r="T221" s="735">
        <f t="shared" si="31"/>
        <v>0</v>
      </c>
      <c r="U221" s="735">
        <f t="shared" si="32"/>
        <v>0</v>
      </c>
      <c r="V221" s="736">
        <f t="shared" si="33"/>
        <v>0</v>
      </c>
      <c r="W221" s="735">
        <f t="shared" si="34"/>
        <v>0</v>
      </c>
      <c r="X221" s="737">
        <f t="shared" si="35"/>
        <v>0</v>
      </c>
      <c r="Y221" s="738">
        <f t="shared" si="36"/>
        <v>0</v>
      </c>
      <c r="Z221" s="627"/>
    </row>
    <row r="222" spans="1:26">
      <c r="A222" s="331" t="s">
        <v>1489</v>
      </c>
      <c r="B222" s="332">
        <v>1250</v>
      </c>
      <c r="C222" s="332">
        <v>138</v>
      </c>
      <c r="D222" s="332">
        <v>25</v>
      </c>
      <c r="E222" s="331" t="s">
        <v>1602</v>
      </c>
      <c r="F222" s="333">
        <v>153452.1754973343</v>
      </c>
      <c r="G222" s="332" t="s">
        <v>66</v>
      </c>
      <c r="H222" s="332">
        <v>2017</v>
      </c>
      <c r="I222" s="306">
        <f>+IF($H222=I$2,VLOOKUP($G222,Depreciation!$A$14:$L$18,7,FALSE)/2,IF($H222&lt;I$2,VLOOKUP($G222,Depreciation!$A$14:$L$18,7,FALSE),0))</f>
        <v>0</v>
      </c>
      <c r="J222" s="306">
        <f>+IF($H222=J$2,VLOOKUP($G222,Depreciation!$A$14:$L$18,8,FALSE)/2,IF($H222&lt;J$2,VLOOKUP($G222,Depreciation!$A$14:$L$18,8,FALSE),0))</f>
        <v>0</v>
      </c>
      <c r="K222" s="306">
        <f>+IF($H222=K$2,VLOOKUP($G222,Depreciation!$A$14:$L$18,9,FALSE)/2,IF($H222&lt;K$2,VLOOKUP($G222,Depreciation!$A$14:$L$18,9,FALSE),0))</f>
        <v>1.2175768213899416E-2</v>
      </c>
      <c r="L222" s="306">
        <f>+IF($H222=L$2,VLOOKUP($G222,Depreciation!$A$14:$L$18,10,FALSE)/2,IF($H222&lt;L$2,VLOOKUP($G222,Depreciation!$A$14:$L$18,10,FALSE),0))</f>
        <v>2.4351536427798831E-2</v>
      </c>
      <c r="M222" s="306">
        <f>+IF($H222=M$2,VLOOKUP($G222,Depreciation!$A$14:$L$18,11,FALSE)/2,IF($H222&lt;M$2,VLOOKUP($G222,Depreciation!$A$14:$L$18,11,FALSE),0))</f>
        <v>2.4351536427798831E-2</v>
      </c>
      <c r="N222" s="306">
        <f>+IF($H222=N$2,VLOOKUP($G222,Depreciation!$A$14:$L$18,12,FALSE)/2,IF($H222&lt;N$2,VLOOKUP($G222,Depreciation!$A$14:$L$18,12,FALSE),0))</f>
        <v>2.4351536427798831E-2</v>
      </c>
      <c r="O222" s="307">
        <f t="shared" si="28"/>
        <v>0</v>
      </c>
      <c r="P222" s="732">
        <v>0</v>
      </c>
      <c r="Q222" s="733">
        <v>1</v>
      </c>
      <c r="R222" s="734">
        <f t="shared" si="29"/>
        <v>0</v>
      </c>
      <c r="S222" s="735">
        <f t="shared" si="30"/>
        <v>0</v>
      </c>
      <c r="T222" s="735">
        <f t="shared" si="31"/>
        <v>0</v>
      </c>
      <c r="U222" s="735">
        <f t="shared" si="32"/>
        <v>0</v>
      </c>
      <c r="V222" s="736">
        <f t="shared" si="33"/>
        <v>0</v>
      </c>
      <c r="W222" s="735">
        <f t="shared" si="34"/>
        <v>0</v>
      </c>
      <c r="X222" s="737">
        <f t="shared" si="35"/>
        <v>0</v>
      </c>
      <c r="Y222" s="738">
        <f t="shared" si="36"/>
        <v>0</v>
      </c>
      <c r="Z222" s="627"/>
    </row>
    <row r="223" spans="1:26">
      <c r="A223" s="331" t="s">
        <v>1327</v>
      </c>
      <c r="B223" s="332">
        <v>1250</v>
      </c>
      <c r="C223" s="332">
        <v>144</v>
      </c>
      <c r="D223" s="332">
        <v>25</v>
      </c>
      <c r="E223" s="331" t="s">
        <v>1603</v>
      </c>
      <c r="F223" s="333">
        <v>796710.45575867116</v>
      </c>
      <c r="G223" s="332" t="s">
        <v>66</v>
      </c>
      <c r="H223" s="332">
        <v>2017</v>
      </c>
      <c r="I223" s="306">
        <f>+IF($H223=I$2,VLOOKUP($G223,Depreciation!$A$14:$L$18,7,FALSE)/2,IF($H223&lt;I$2,VLOOKUP($G223,Depreciation!$A$14:$L$18,7,FALSE),0))</f>
        <v>0</v>
      </c>
      <c r="J223" s="306">
        <f>+IF($H223=J$2,VLOOKUP($G223,Depreciation!$A$14:$L$18,8,FALSE)/2,IF($H223&lt;J$2,VLOOKUP($G223,Depreciation!$A$14:$L$18,8,FALSE),0))</f>
        <v>0</v>
      </c>
      <c r="K223" s="306">
        <f>+IF($H223=K$2,VLOOKUP($G223,Depreciation!$A$14:$L$18,9,FALSE)/2,IF($H223&lt;K$2,VLOOKUP($G223,Depreciation!$A$14:$L$18,9,FALSE),0))</f>
        <v>1.2175768213899416E-2</v>
      </c>
      <c r="L223" s="306">
        <f>+IF($H223=L$2,VLOOKUP($G223,Depreciation!$A$14:$L$18,10,FALSE)/2,IF($H223&lt;L$2,VLOOKUP($G223,Depreciation!$A$14:$L$18,10,FALSE),0))</f>
        <v>2.4351536427798831E-2</v>
      </c>
      <c r="M223" s="306">
        <f>+IF($H223=M$2,VLOOKUP($G223,Depreciation!$A$14:$L$18,11,FALSE)/2,IF($H223&lt;M$2,VLOOKUP($G223,Depreciation!$A$14:$L$18,11,FALSE),0))</f>
        <v>2.4351536427798831E-2</v>
      </c>
      <c r="N223" s="306">
        <f>+IF($H223=N$2,VLOOKUP($G223,Depreciation!$A$14:$L$18,12,FALSE)/2,IF($H223&lt;N$2,VLOOKUP($G223,Depreciation!$A$14:$L$18,12,FALSE),0))</f>
        <v>2.4351536427798831E-2</v>
      </c>
      <c r="O223" s="307">
        <f t="shared" si="28"/>
        <v>0</v>
      </c>
      <c r="P223" s="732">
        <v>0</v>
      </c>
      <c r="Q223" s="733">
        <v>1</v>
      </c>
      <c r="R223" s="734">
        <f t="shared" si="29"/>
        <v>0</v>
      </c>
      <c r="S223" s="735">
        <f t="shared" si="30"/>
        <v>0</v>
      </c>
      <c r="T223" s="735">
        <f t="shared" si="31"/>
        <v>0</v>
      </c>
      <c r="U223" s="735">
        <f t="shared" si="32"/>
        <v>0</v>
      </c>
      <c r="V223" s="736">
        <f t="shared" si="33"/>
        <v>0</v>
      </c>
      <c r="W223" s="735">
        <f t="shared" si="34"/>
        <v>0</v>
      </c>
      <c r="X223" s="737">
        <f t="shared" si="35"/>
        <v>0</v>
      </c>
      <c r="Y223" s="738">
        <f t="shared" si="36"/>
        <v>0</v>
      </c>
      <c r="Z223" s="627"/>
    </row>
    <row r="224" spans="1:26">
      <c r="A224" s="331" t="s">
        <v>1488</v>
      </c>
      <c r="B224" s="332">
        <v>1250</v>
      </c>
      <c r="C224" s="332">
        <v>144</v>
      </c>
      <c r="D224" s="332">
        <v>25</v>
      </c>
      <c r="E224" s="331" t="s">
        <v>1604</v>
      </c>
      <c r="F224" s="333">
        <v>2371467.6461774474</v>
      </c>
      <c r="G224" s="332" t="s">
        <v>66</v>
      </c>
      <c r="H224" s="332">
        <v>2017</v>
      </c>
      <c r="I224" s="306">
        <f>+IF($H224=I$2,VLOOKUP($G224,Depreciation!$A$14:$L$18,7,FALSE)/2,IF($H224&lt;I$2,VLOOKUP($G224,Depreciation!$A$14:$L$18,7,FALSE),0))</f>
        <v>0</v>
      </c>
      <c r="J224" s="306">
        <f>+IF($H224=J$2,VLOOKUP($G224,Depreciation!$A$14:$L$18,8,FALSE)/2,IF($H224&lt;J$2,VLOOKUP($G224,Depreciation!$A$14:$L$18,8,FALSE),0))</f>
        <v>0</v>
      </c>
      <c r="K224" s="306">
        <f>+IF($H224=K$2,VLOOKUP($G224,Depreciation!$A$14:$L$18,9,FALSE)/2,IF($H224&lt;K$2,VLOOKUP($G224,Depreciation!$A$14:$L$18,9,FALSE),0))</f>
        <v>1.2175768213899416E-2</v>
      </c>
      <c r="L224" s="306">
        <f>+IF($H224=L$2,VLOOKUP($G224,Depreciation!$A$14:$L$18,10,FALSE)/2,IF($H224&lt;L$2,VLOOKUP($G224,Depreciation!$A$14:$L$18,10,FALSE),0))</f>
        <v>2.4351536427798831E-2</v>
      </c>
      <c r="M224" s="306">
        <f>+IF($H224=M$2,VLOOKUP($G224,Depreciation!$A$14:$L$18,11,FALSE)/2,IF($H224&lt;M$2,VLOOKUP($G224,Depreciation!$A$14:$L$18,11,FALSE),0))</f>
        <v>2.4351536427798831E-2</v>
      </c>
      <c r="N224" s="306">
        <f>+IF($H224=N$2,VLOOKUP($G224,Depreciation!$A$14:$L$18,12,FALSE)/2,IF($H224&lt;N$2,VLOOKUP($G224,Depreciation!$A$14:$L$18,12,FALSE),0))</f>
        <v>2.4351536427798831E-2</v>
      </c>
      <c r="O224" s="307">
        <f t="shared" si="28"/>
        <v>0</v>
      </c>
      <c r="P224" s="732">
        <v>0</v>
      </c>
      <c r="Q224" s="733">
        <v>0</v>
      </c>
      <c r="R224" s="734">
        <f t="shared" si="29"/>
        <v>1</v>
      </c>
      <c r="S224" s="735">
        <f t="shared" si="30"/>
        <v>0</v>
      </c>
      <c r="T224" s="735">
        <f t="shared" si="31"/>
        <v>0</v>
      </c>
      <c r="U224" s="735">
        <f t="shared" si="32"/>
        <v>0</v>
      </c>
      <c r="V224" s="736">
        <f t="shared" si="33"/>
        <v>0</v>
      </c>
      <c r="W224" s="735">
        <f t="shared" si="34"/>
        <v>0</v>
      </c>
      <c r="X224" s="737">
        <f t="shared" si="35"/>
        <v>0</v>
      </c>
      <c r="Y224" s="738">
        <f t="shared" si="36"/>
        <v>0</v>
      </c>
      <c r="Z224" s="627"/>
    </row>
    <row r="225" spans="1:26">
      <c r="A225" s="331" t="s">
        <v>1307</v>
      </c>
      <c r="B225" s="332">
        <v>1258</v>
      </c>
      <c r="C225" s="332">
        <v>138</v>
      </c>
      <c r="D225" s="332">
        <v>25</v>
      </c>
      <c r="E225" s="331" t="s">
        <v>1605</v>
      </c>
      <c r="F225" s="333">
        <v>41252104.186539032</v>
      </c>
      <c r="G225" s="332" t="s">
        <v>4</v>
      </c>
      <c r="H225" s="332">
        <v>2019</v>
      </c>
      <c r="I225" s="306">
        <f>+IF($H225=I$2,VLOOKUP($G225,Depreciation!$A$14:$L$18,7,FALSE)/2,IF($H225&lt;I$2,VLOOKUP($G225,Depreciation!$A$14:$L$18,7,FALSE),0))</f>
        <v>0</v>
      </c>
      <c r="J225" s="306">
        <f>+IF($H225=J$2,VLOOKUP($G225,Depreciation!$A$14:$L$18,8,FALSE)/2,IF($H225&lt;J$2,VLOOKUP($G225,Depreciation!$A$14:$L$18,8,FALSE),0))</f>
        <v>0</v>
      </c>
      <c r="K225" s="306">
        <f>+IF($H225=K$2,VLOOKUP($G225,Depreciation!$A$14:$L$18,9,FALSE)/2,IF($H225&lt;K$2,VLOOKUP($G225,Depreciation!$A$14:$L$18,9,FALSE),0))</f>
        <v>0</v>
      </c>
      <c r="L225" s="306">
        <f>+IF($H225=L$2,VLOOKUP($G225,Depreciation!$A$14:$L$18,10,FALSE)/2,IF($H225&lt;L$2,VLOOKUP($G225,Depreciation!$A$14:$L$18,10,FALSE),0))</f>
        <v>0</v>
      </c>
      <c r="M225" s="306">
        <f>+IF($H225=M$2,VLOOKUP($G225,Depreciation!$A$14:$L$18,11,FALSE)/2,IF($H225&lt;M$2,VLOOKUP($G225,Depreciation!$A$14:$L$18,11,FALSE),0))</f>
        <v>1.671703928371859E-2</v>
      </c>
      <c r="N225" s="306">
        <f>+IF($H225=N$2,VLOOKUP($G225,Depreciation!$A$14:$L$18,12,FALSE)/2,IF($H225&lt;N$2,VLOOKUP($G225,Depreciation!$A$14:$L$18,12,FALSE),0))</f>
        <v>3.343407856743718E-2</v>
      </c>
      <c r="O225" s="307">
        <f t="shared" si="28"/>
        <v>0</v>
      </c>
      <c r="P225" s="732">
        <v>0</v>
      </c>
      <c r="Q225" s="733">
        <v>0</v>
      </c>
      <c r="R225" s="734">
        <f t="shared" si="29"/>
        <v>1</v>
      </c>
      <c r="S225" s="735">
        <f t="shared" si="30"/>
        <v>0</v>
      </c>
      <c r="T225" s="735">
        <f t="shared" si="31"/>
        <v>0</v>
      </c>
      <c r="U225" s="735">
        <f t="shared" si="32"/>
        <v>0</v>
      </c>
      <c r="V225" s="736">
        <f t="shared" si="33"/>
        <v>0</v>
      </c>
      <c r="W225" s="735">
        <f t="shared" si="34"/>
        <v>0</v>
      </c>
      <c r="X225" s="737">
        <f t="shared" si="35"/>
        <v>0</v>
      </c>
      <c r="Y225" s="738">
        <f t="shared" si="36"/>
        <v>0</v>
      </c>
      <c r="Z225" s="627"/>
    </row>
    <row r="226" spans="1:26">
      <c r="A226" s="331" t="s">
        <v>1308</v>
      </c>
      <c r="B226" s="332">
        <v>1258</v>
      </c>
      <c r="C226" s="332">
        <v>138</v>
      </c>
      <c r="D226" s="332">
        <v>138</v>
      </c>
      <c r="E226" s="331" t="s">
        <v>1589</v>
      </c>
      <c r="F226" s="333">
        <v>4886932.8273881162</v>
      </c>
      <c r="G226" s="332" t="s">
        <v>4</v>
      </c>
      <c r="H226" s="332">
        <v>2019</v>
      </c>
      <c r="I226" s="306">
        <f>+IF($H226=I$2,VLOOKUP($G226,Depreciation!$A$14:$L$18,7,FALSE)/2,IF($H226&lt;I$2,VLOOKUP($G226,Depreciation!$A$14:$L$18,7,FALSE),0))</f>
        <v>0</v>
      </c>
      <c r="J226" s="306">
        <f>+IF($H226=J$2,VLOOKUP($G226,Depreciation!$A$14:$L$18,8,FALSE)/2,IF($H226&lt;J$2,VLOOKUP($G226,Depreciation!$A$14:$L$18,8,FALSE),0))</f>
        <v>0</v>
      </c>
      <c r="K226" s="306">
        <f>+IF($H226=K$2,VLOOKUP($G226,Depreciation!$A$14:$L$18,9,FALSE)/2,IF($H226&lt;K$2,VLOOKUP($G226,Depreciation!$A$14:$L$18,9,FALSE),0))</f>
        <v>0</v>
      </c>
      <c r="L226" s="306">
        <f>+IF($H226=L$2,VLOOKUP($G226,Depreciation!$A$14:$L$18,10,FALSE)/2,IF($H226&lt;L$2,VLOOKUP($G226,Depreciation!$A$14:$L$18,10,FALSE),0))</f>
        <v>0</v>
      </c>
      <c r="M226" s="306">
        <f>+IF($H226=M$2,VLOOKUP($G226,Depreciation!$A$14:$L$18,11,FALSE)/2,IF($H226&lt;M$2,VLOOKUP($G226,Depreciation!$A$14:$L$18,11,FALSE),0))</f>
        <v>1.671703928371859E-2</v>
      </c>
      <c r="N226" s="306">
        <f>+IF($H226=N$2,VLOOKUP($G226,Depreciation!$A$14:$L$18,12,FALSE)/2,IF($H226&lt;N$2,VLOOKUP($G226,Depreciation!$A$14:$L$18,12,FALSE),0))</f>
        <v>3.343407856743718E-2</v>
      </c>
      <c r="O226" s="307">
        <f t="shared" si="28"/>
        <v>0</v>
      </c>
      <c r="P226" s="732">
        <v>0</v>
      </c>
      <c r="Q226" s="733">
        <v>0</v>
      </c>
      <c r="R226" s="734">
        <f t="shared" si="29"/>
        <v>1</v>
      </c>
      <c r="S226" s="735">
        <f t="shared" si="30"/>
        <v>0</v>
      </c>
      <c r="T226" s="735">
        <f t="shared" si="31"/>
        <v>0</v>
      </c>
      <c r="U226" s="735">
        <f t="shared" si="32"/>
        <v>0</v>
      </c>
      <c r="V226" s="736">
        <f t="shared" si="33"/>
        <v>0</v>
      </c>
      <c r="W226" s="735">
        <f t="shared" si="34"/>
        <v>0</v>
      </c>
      <c r="X226" s="737">
        <f t="shared" si="35"/>
        <v>0</v>
      </c>
      <c r="Y226" s="738">
        <f t="shared" si="36"/>
        <v>0</v>
      </c>
      <c r="Z226" s="627"/>
    </row>
    <row r="227" spans="1:26">
      <c r="A227" s="331" t="s">
        <v>1415</v>
      </c>
      <c r="B227" s="332">
        <v>1260</v>
      </c>
      <c r="C227" s="332">
        <v>240</v>
      </c>
      <c r="D227" s="332">
        <v>25</v>
      </c>
      <c r="E227" s="331" t="s">
        <v>1606</v>
      </c>
      <c r="F227" s="333">
        <v>10887667.697433928</v>
      </c>
      <c r="G227" s="332" t="s">
        <v>64</v>
      </c>
      <c r="H227" s="332">
        <v>2016</v>
      </c>
      <c r="I227" s="306">
        <f>+IF($H227=I$2,VLOOKUP($G227,Depreciation!$A$14:$L$18,7,FALSE)/2,IF($H227&lt;I$2,VLOOKUP($G227,Depreciation!$A$14:$L$18,7,FALSE),0))</f>
        <v>0</v>
      </c>
      <c r="J227" s="306">
        <f>+IF($H227=J$2,VLOOKUP($G227,Depreciation!$A$14:$L$18,8,FALSE)/2,IF($H227&lt;J$2,VLOOKUP($G227,Depreciation!$A$14:$L$18,8,FALSE),0))</f>
        <v>1.3928409269726289E-2</v>
      </c>
      <c r="K227" s="306">
        <f>+IF($H227=K$2,VLOOKUP($G227,Depreciation!$A$14:$L$18,9,FALSE)/2,IF($H227&lt;K$2,VLOOKUP($G227,Depreciation!$A$14:$L$18,9,FALSE),0))</f>
        <v>2.7856818539452578E-2</v>
      </c>
      <c r="L227" s="306">
        <f>+IF($H227=L$2,VLOOKUP($G227,Depreciation!$A$14:$L$18,10,FALSE)/2,IF($H227&lt;L$2,VLOOKUP($G227,Depreciation!$A$14:$L$18,10,FALSE),0))</f>
        <v>2.7856818539452578E-2</v>
      </c>
      <c r="M227" s="306">
        <f>+IF($H227=M$2,VLOOKUP($G227,Depreciation!$A$14:$L$18,11,FALSE)/2,IF($H227&lt;M$2,VLOOKUP($G227,Depreciation!$A$14:$L$18,11,FALSE),0))</f>
        <v>2.7856818539452578E-2</v>
      </c>
      <c r="N227" s="306">
        <f>+IF($H227=N$2,VLOOKUP($G227,Depreciation!$A$14:$L$18,12,FALSE)/2,IF($H227&lt;N$2,VLOOKUP($G227,Depreciation!$A$14:$L$18,12,FALSE),0))</f>
        <v>2.7856818539452578E-2</v>
      </c>
      <c r="O227" s="307">
        <f t="shared" si="28"/>
        <v>0</v>
      </c>
      <c r="P227" s="732">
        <v>0</v>
      </c>
      <c r="Q227" s="733">
        <v>0</v>
      </c>
      <c r="R227" s="734">
        <f t="shared" si="29"/>
        <v>1</v>
      </c>
      <c r="S227" s="735">
        <f t="shared" si="30"/>
        <v>0</v>
      </c>
      <c r="T227" s="735">
        <f t="shared" si="31"/>
        <v>0</v>
      </c>
      <c r="U227" s="735">
        <f t="shared" si="32"/>
        <v>0</v>
      </c>
      <c r="V227" s="736">
        <f t="shared" si="33"/>
        <v>0</v>
      </c>
      <c r="W227" s="735">
        <f t="shared" si="34"/>
        <v>0</v>
      </c>
      <c r="X227" s="737">
        <f t="shared" si="35"/>
        <v>0</v>
      </c>
      <c r="Y227" s="738">
        <f t="shared" si="36"/>
        <v>0</v>
      </c>
      <c r="Z227" s="627"/>
    </row>
    <row r="228" spans="1:26">
      <c r="A228" s="331" t="s">
        <v>1416</v>
      </c>
      <c r="B228" s="332">
        <v>1260</v>
      </c>
      <c r="C228" s="332">
        <v>240</v>
      </c>
      <c r="D228" s="332">
        <v>25</v>
      </c>
      <c r="E228" s="331" t="s">
        <v>1524</v>
      </c>
      <c r="F228" s="333">
        <v>484549.80832004856</v>
      </c>
      <c r="G228" s="332" t="s">
        <v>4</v>
      </c>
      <c r="H228" s="332">
        <v>2016</v>
      </c>
      <c r="I228" s="306">
        <f>+IF($H228=I$2,VLOOKUP($G228,Depreciation!$A$14:$L$18,7,FALSE)/2,IF($H228&lt;I$2,VLOOKUP($G228,Depreciation!$A$14:$L$18,7,FALSE),0))</f>
        <v>0</v>
      </c>
      <c r="J228" s="306">
        <f>+IF($H228=J$2,VLOOKUP($G228,Depreciation!$A$14:$L$18,8,FALSE)/2,IF($H228&lt;J$2,VLOOKUP($G228,Depreciation!$A$14:$L$18,8,FALSE),0))</f>
        <v>1.671703928371859E-2</v>
      </c>
      <c r="K228" s="306">
        <f>+IF($H228=K$2,VLOOKUP($G228,Depreciation!$A$14:$L$18,9,FALSE)/2,IF($H228&lt;K$2,VLOOKUP($G228,Depreciation!$A$14:$L$18,9,FALSE),0))</f>
        <v>3.343407856743718E-2</v>
      </c>
      <c r="L228" s="306">
        <f>+IF($H228=L$2,VLOOKUP($G228,Depreciation!$A$14:$L$18,10,FALSE)/2,IF($H228&lt;L$2,VLOOKUP($G228,Depreciation!$A$14:$L$18,10,FALSE),0))</f>
        <v>3.343407856743718E-2</v>
      </c>
      <c r="M228" s="306">
        <f>+IF($H228=M$2,VLOOKUP($G228,Depreciation!$A$14:$L$18,11,FALSE)/2,IF($H228&lt;M$2,VLOOKUP($G228,Depreciation!$A$14:$L$18,11,FALSE),0))</f>
        <v>3.343407856743718E-2</v>
      </c>
      <c r="N228" s="306">
        <f>+IF($H228=N$2,VLOOKUP($G228,Depreciation!$A$14:$L$18,12,FALSE)/2,IF($H228&lt;N$2,VLOOKUP($G228,Depreciation!$A$14:$L$18,12,FALSE),0))</f>
        <v>3.343407856743718E-2</v>
      </c>
      <c r="O228" s="307">
        <f t="shared" si="28"/>
        <v>0</v>
      </c>
      <c r="P228" s="732">
        <v>0</v>
      </c>
      <c r="Q228" s="733">
        <v>1</v>
      </c>
      <c r="R228" s="734">
        <f t="shared" si="29"/>
        <v>0</v>
      </c>
      <c r="S228" s="735">
        <f t="shared" si="30"/>
        <v>0</v>
      </c>
      <c r="T228" s="735">
        <f t="shared" si="31"/>
        <v>0</v>
      </c>
      <c r="U228" s="735">
        <f t="shared" si="32"/>
        <v>0</v>
      </c>
      <c r="V228" s="736">
        <f t="shared" si="33"/>
        <v>0</v>
      </c>
      <c r="W228" s="735">
        <f t="shared" si="34"/>
        <v>0</v>
      </c>
      <c r="X228" s="737">
        <f t="shared" si="35"/>
        <v>0</v>
      </c>
      <c r="Y228" s="738">
        <f t="shared" si="36"/>
        <v>0</v>
      </c>
      <c r="Z228" s="627"/>
    </row>
    <row r="229" spans="1:26">
      <c r="A229" s="331" t="s">
        <v>1264</v>
      </c>
      <c r="B229" s="332">
        <v>1263</v>
      </c>
      <c r="C229" s="332">
        <v>240</v>
      </c>
      <c r="D229" s="332">
        <v>138</v>
      </c>
      <c r="E229" s="331" t="s">
        <v>1607</v>
      </c>
      <c r="F229" s="333">
        <v>452029.41176470619</v>
      </c>
      <c r="G229" s="332" t="s">
        <v>4</v>
      </c>
      <c r="H229" s="332">
        <v>2016</v>
      </c>
      <c r="I229" s="306">
        <f>+IF($H229=I$2,VLOOKUP($G229,Depreciation!$A$14:$L$18,7,FALSE)/2,IF($H229&lt;I$2,VLOOKUP($G229,Depreciation!$A$14:$L$18,7,FALSE),0))</f>
        <v>0</v>
      </c>
      <c r="J229" s="306">
        <f>+IF($H229=J$2,VLOOKUP($G229,Depreciation!$A$14:$L$18,8,FALSE)/2,IF($H229&lt;J$2,VLOOKUP($G229,Depreciation!$A$14:$L$18,8,FALSE),0))</f>
        <v>1.671703928371859E-2</v>
      </c>
      <c r="K229" s="306">
        <f>+IF($H229=K$2,VLOOKUP($G229,Depreciation!$A$14:$L$18,9,FALSE)/2,IF($H229&lt;K$2,VLOOKUP($G229,Depreciation!$A$14:$L$18,9,FALSE),0))</f>
        <v>3.343407856743718E-2</v>
      </c>
      <c r="L229" s="306">
        <f>+IF($H229=L$2,VLOOKUP($G229,Depreciation!$A$14:$L$18,10,FALSE)/2,IF($H229&lt;L$2,VLOOKUP($G229,Depreciation!$A$14:$L$18,10,FALSE),0))</f>
        <v>3.343407856743718E-2</v>
      </c>
      <c r="M229" s="306">
        <f>+IF($H229=M$2,VLOOKUP($G229,Depreciation!$A$14:$L$18,11,FALSE)/2,IF($H229&lt;M$2,VLOOKUP($G229,Depreciation!$A$14:$L$18,11,FALSE),0))</f>
        <v>3.343407856743718E-2</v>
      </c>
      <c r="N229" s="306">
        <f>+IF($H229=N$2,VLOOKUP($G229,Depreciation!$A$14:$L$18,12,FALSE)/2,IF($H229&lt;N$2,VLOOKUP($G229,Depreciation!$A$14:$L$18,12,FALSE),0))</f>
        <v>3.343407856743718E-2</v>
      </c>
      <c r="O229" s="307">
        <f t="shared" si="28"/>
        <v>0</v>
      </c>
      <c r="P229" s="732">
        <v>0</v>
      </c>
      <c r="Q229" s="733">
        <v>0</v>
      </c>
      <c r="R229" s="734">
        <f t="shared" si="29"/>
        <v>1</v>
      </c>
      <c r="S229" s="735">
        <f t="shared" si="30"/>
        <v>0</v>
      </c>
      <c r="T229" s="735">
        <f t="shared" si="31"/>
        <v>0</v>
      </c>
      <c r="U229" s="735">
        <f t="shared" si="32"/>
        <v>0</v>
      </c>
      <c r="V229" s="736">
        <f t="shared" si="33"/>
        <v>0</v>
      </c>
      <c r="W229" s="735">
        <f t="shared" si="34"/>
        <v>0</v>
      </c>
      <c r="X229" s="737">
        <f t="shared" si="35"/>
        <v>0</v>
      </c>
      <c r="Y229" s="738">
        <f t="shared" si="36"/>
        <v>0</v>
      </c>
      <c r="Z229" s="627"/>
    </row>
    <row r="230" spans="1:26">
      <c r="A230" s="331" t="s">
        <v>1343</v>
      </c>
      <c r="B230" s="332">
        <v>1263</v>
      </c>
      <c r="C230" s="332">
        <v>138</v>
      </c>
      <c r="D230" s="332">
        <v>25</v>
      </c>
      <c r="E230" s="331" t="s">
        <v>1608</v>
      </c>
      <c r="F230" s="333">
        <v>369088.23529411788</v>
      </c>
      <c r="G230" s="332" t="s">
        <v>4</v>
      </c>
      <c r="H230" s="332">
        <v>2016</v>
      </c>
      <c r="I230" s="306">
        <f>+IF($H230=I$2,VLOOKUP($G230,Depreciation!$A$14:$L$18,7,FALSE)/2,IF($H230&lt;I$2,VLOOKUP($G230,Depreciation!$A$14:$L$18,7,FALSE),0))</f>
        <v>0</v>
      </c>
      <c r="J230" s="306">
        <f>+IF($H230=J$2,VLOOKUP($G230,Depreciation!$A$14:$L$18,8,FALSE)/2,IF($H230&lt;J$2,VLOOKUP($G230,Depreciation!$A$14:$L$18,8,FALSE),0))</f>
        <v>1.671703928371859E-2</v>
      </c>
      <c r="K230" s="306">
        <f>+IF($H230=K$2,VLOOKUP($G230,Depreciation!$A$14:$L$18,9,FALSE)/2,IF($H230&lt;K$2,VLOOKUP($G230,Depreciation!$A$14:$L$18,9,FALSE),0))</f>
        <v>3.343407856743718E-2</v>
      </c>
      <c r="L230" s="306">
        <f>+IF($H230=L$2,VLOOKUP($G230,Depreciation!$A$14:$L$18,10,FALSE)/2,IF($H230&lt;L$2,VLOOKUP($G230,Depreciation!$A$14:$L$18,10,FALSE),0))</f>
        <v>3.343407856743718E-2</v>
      </c>
      <c r="M230" s="306">
        <f>+IF($H230=M$2,VLOOKUP($G230,Depreciation!$A$14:$L$18,11,FALSE)/2,IF($H230&lt;M$2,VLOOKUP($G230,Depreciation!$A$14:$L$18,11,FALSE),0))</f>
        <v>3.343407856743718E-2</v>
      </c>
      <c r="N230" s="306">
        <f>+IF($H230=N$2,VLOOKUP($G230,Depreciation!$A$14:$L$18,12,FALSE)/2,IF($H230&lt;N$2,VLOOKUP($G230,Depreciation!$A$14:$L$18,12,FALSE),0))</f>
        <v>3.343407856743718E-2</v>
      </c>
      <c r="O230" s="307">
        <f t="shared" si="28"/>
        <v>0</v>
      </c>
      <c r="P230" s="732">
        <v>0</v>
      </c>
      <c r="Q230" s="733">
        <v>1</v>
      </c>
      <c r="R230" s="734">
        <f t="shared" si="29"/>
        <v>0</v>
      </c>
      <c r="S230" s="735">
        <f t="shared" si="30"/>
        <v>0</v>
      </c>
      <c r="T230" s="735">
        <f t="shared" si="31"/>
        <v>0</v>
      </c>
      <c r="U230" s="735">
        <f t="shared" si="32"/>
        <v>0</v>
      </c>
      <c r="V230" s="736">
        <f t="shared" si="33"/>
        <v>0</v>
      </c>
      <c r="W230" s="735">
        <f t="shared" si="34"/>
        <v>0</v>
      </c>
      <c r="X230" s="737">
        <f t="shared" si="35"/>
        <v>0</v>
      </c>
      <c r="Y230" s="738">
        <f t="shared" si="36"/>
        <v>0</v>
      </c>
      <c r="Z230" s="627"/>
    </row>
    <row r="231" spans="1:26">
      <c r="A231" s="331" t="s">
        <v>1275</v>
      </c>
      <c r="B231" s="332">
        <v>1267</v>
      </c>
      <c r="C231" s="332">
        <v>144</v>
      </c>
      <c r="D231" s="332">
        <v>25</v>
      </c>
      <c r="E231" s="331" t="s">
        <v>1609</v>
      </c>
      <c r="F231" s="333">
        <v>3416800.4605387161</v>
      </c>
      <c r="G231" s="332" t="s">
        <v>66</v>
      </c>
      <c r="H231" s="332">
        <v>2015</v>
      </c>
      <c r="I231" s="306">
        <f>+IF($H231=I$2,VLOOKUP($G231,Depreciation!$A$14:$L$18,7,FALSE)/2,IF($H231&lt;I$2,VLOOKUP($G231,Depreciation!$A$14:$L$18,7,FALSE),0))</f>
        <v>1.221703683566912E-2</v>
      </c>
      <c r="J231" s="306">
        <f>+IF($H231=J$2,VLOOKUP($G231,Depreciation!$A$14:$L$18,8,FALSE)/2,IF($H231&lt;J$2,VLOOKUP($G231,Depreciation!$A$14:$L$18,8,FALSE),0))</f>
        <v>2.4632450501084719E-2</v>
      </c>
      <c r="K231" s="306">
        <f>+IF($H231=K$2,VLOOKUP($G231,Depreciation!$A$14:$L$18,9,FALSE)/2,IF($H231&lt;K$2,VLOOKUP($G231,Depreciation!$A$14:$L$18,9,FALSE),0))</f>
        <v>2.4351536427798831E-2</v>
      </c>
      <c r="L231" s="306">
        <f>+IF($H231=L$2,VLOOKUP($G231,Depreciation!$A$14:$L$18,10,FALSE)/2,IF($H231&lt;L$2,VLOOKUP($G231,Depreciation!$A$14:$L$18,10,FALSE),0))</f>
        <v>2.4351536427798831E-2</v>
      </c>
      <c r="M231" s="306">
        <f>+IF($H231=M$2,VLOOKUP($G231,Depreciation!$A$14:$L$18,11,FALSE)/2,IF($H231&lt;M$2,VLOOKUP($G231,Depreciation!$A$14:$L$18,11,FALSE),0))</f>
        <v>2.4351536427798831E-2</v>
      </c>
      <c r="N231" s="306">
        <f>+IF($H231=N$2,VLOOKUP($G231,Depreciation!$A$14:$L$18,12,FALSE)/2,IF($H231&lt;N$2,VLOOKUP($G231,Depreciation!$A$14:$L$18,12,FALSE),0))</f>
        <v>2.4351536427798831E-2</v>
      </c>
      <c r="O231" s="307">
        <f t="shared" si="28"/>
        <v>3375057.2834521835</v>
      </c>
      <c r="P231" s="732">
        <v>0</v>
      </c>
      <c r="Q231" s="733">
        <v>1</v>
      </c>
      <c r="R231" s="734">
        <f t="shared" si="29"/>
        <v>0</v>
      </c>
      <c r="S231" s="735">
        <f t="shared" si="30"/>
        <v>0</v>
      </c>
      <c r="T231" s="735">
        <f t="shared" si="31"/>
        <v>3375057.2834521835</v>
      </c>
      <c r="U231" s="735">
        <f t="shared" si="32"/>
        <v>0</v>
      </c>
      <c r="V231" s="736">
        <f t="shared" si="33"/>
        <v>0</v>
      </c>
      <c r="W231" s="735">
        <f t="shared" si="34"/>
        <v>0</v>
      </c>
      <c r="X231" s="737">
        <f t="shared" si="35"/>
        <v>0</v>
      </c>
      <c r="Y231" s="738">
        <f t="shared" si="36"/>
        <v>3375057.2834521835</v>
      </c>
      <c r="Z231" s="627"/>
    </row>
    <row r="232" spans="1:26">
      <c r="A232" s="331" t="s">
        <v>1276</v>
      </c>
      <c r="B232" s="332">
        <v>1267</v>
      </c>
      <c r="C232" s="332">
        <v>240</v>
      </c>
      <c r="D232" s="332">
        <v>144</v>
      </c>
      <c r="E232" s="331" t="s">
        <v>1610</v>
      </c>
      <c r="F232" s="333">
        <v>30016954.600294784</v>
      </c>
      <c r="G232" s="332" t="s">
        <v>66</v>
      </c>
      <c r="H232" s="332">
        <v>2015</v>
      </c>
      <c r="I232" s="306">
        <f>+IF($H232=I$2,VLOOKUP($G232,Depreciation!$A$14:$L$18,7,FALSE)/2,IF($H232&lt;I$2,VLOOKUP($G232,Depreciation!$A$14:$L$18,7,FALSE),0))</f>
        <v>1.221703683566912E-2</v>
      </c>
      <c r="J232" s="306">
        <f>+IF($H232=J$2,VLOOKUP($G232,Depreciation!$A$14:$L$18,8,FALSE)/2,IF($H232&lt;J$2,VLOOKUP($G232,Depreciation!$A$14:$L$18,8,FALSE),0))</f>
        <v>2.4632450501084719E-2</v>
      </c>
      <c r="K232" s="306">
        <f>+IF($H232=K$2,VLOOKUP($G232,Depreciation!$A$14:$L$18,9,FALSE)/2,IF($H232&lt;K$2,VLOOKUP($G232,Depreciation!$A$14:$L$18,9,FALSE),0))</f>
        <v>2.4351536427798831E-2</v>
      </c>
      <c r="L232" s="306">
        <f>+IF($H232=L$2,VLOOKUP($G232,Depreciation!$A$14:$L$18,10,FALSE)/2,IF($H232&lt;L$2,VLOOKUP($G232,Depreciation!$A$14:$L$18,10,FALSE),0))</f>
        <v>2.4351536427798831E-2</v>
      </c>
      <c r="M232" s="306">
        <f>+IF($H232=M$2,VLOOKUP($G232,Depreciation!$A$14:$L$18,11,FALSE)/2,IF($H232&lt;M$2,VLOOKUP($G232,Depreciation!$A$14:$L$18,11,FALSE),0))</f>
        <v>2.4351536427798831E-2</v>
      </c>
      <c r="N232" s="306">
        <f>+IF($H232=N$2,VLOOKUP($G232,Depreciation!$A$14:$L$18,12,FALSE)/2,IF($H232&lt;N$2,VLOOKUP($G232,Depreciation!$A$14:$L$18,12,FALSE),0))</f>
        <v>2.4351536427798831E-2</v>
      </c>
      <c r="O232" s="307">
        <f t="shared" si="28"/>
        <v>29650236.360248376</v>
      </c>
      <c r="P232" s="732">
        <v>0</v>
      </c>
      <c r="Q232" s="733">
        <v>0</v>
      </c>
      <c r="R232" s="734">
        <f t="shared" si="29"/>
        <v>1</v>
      </c>
      <c r="S232" s="735">
        <f t="shared" si="30"/>
        <v>0</v>
      </c>
      <c r="T232" s="735">
        <f t="shared" si="31"/>
        <v>0</v>
      </c>
      <c r="U232" s="735">
        <f t="shared" si="32"/>
        <v>29650236.360248376</v>
      </c>
      <c r="V232" s="736">
        <f t="shared" si="33"/>
        <v>0</v>
      </c>
      <c r="W232" s="735">
        <f t="shared" si="34"/>
        <v>0</v>
      </c>
      <c r="X232" s="737">
        <f t="shared" si="35"/>
        <v>29650236.360248376</v>
      </c>
      <c r="Y232" s="738">
        <f t="shared" si="36"/>
        <v>0</v>
      </c>
      <c r="Z232" s="627"/>
    </row>
    <row r="233" spans="1:26">
      <c r="A233" s="331" t="s">
        <v>1277</v>
      </c>
      <c r="B233" s="332">
        <v>1267</v>
      </c>
      <c r="C233" s="332">
        <v>240</v>
      </c>
      <c r="D233" s="332">
        <v>240</v>
      </c>
      <c r="E233" s="331" t="s">
        <v>1598</v>
      </c>
      <c r="F233" s="333">
        <v>362081.23436601309</v>
      </c>
      <c r="G233" s="332" t="s">
        <v>66</v>
      </c>
      <c r="H233" s="332">
        <v>2015</v>
      </c>
      <c r="I233" s="306">
        <f>+IF($H233=I$2,VLOOKUP($G233,Depreciation!$A$14:$L$18,7,FALSE)/2,IF($H233&lt;I$2,VLOOKUP($G233,Depreciation!$A$14:$L$18,7,FALSE),0))</f>
        <v>1.221703683566912E-2</v>
      </c>
      <c r="J233" s="306">
        <f>+IF($H233=J$2,VLOOKUP($G233,Depreciation!$A$14:$L$18,8,FALSE)/2,IF($H233&lt;J$2,VLOOKUP($G233,Depreciation!$A$14:$L$18,8,FALSE),0))</f>
        <v>2.4632450501084719E-2</v>
      </c>
      <c r="K233" s="306">
        <f>+IF($H233=K$2,VLOOKUP($G233,Depreciation!$A$14:$L$18,9,FALSE)/2,IF($H233&lt;K$2,VLOOKUP($G233,Depreciation!$A$14:$L$18,9,FALSE),0))</f>
        <v>2.4351536427798831E-2</v>
      </c>
      <c r="L233" s="306">
        <f>+IF($H233=L$2,VLOOKUP($G233,Depreciation!$A$14:$L$18,10,FALSE)/2,IF($H233&lt;L$2,VLOOKUP($G233,Depreciation!$A$14:$L$18,10,FALSE),0))</f>
        <v>2.4351536427798831E-2</v>
      </c>
      <c r="M233" s="306">
        <f>+IF($H233=M$2,VLOOKUP($G233,Depreciation!$A$14:$L$18,11,FALSE)/2,IF($H233&lt;M$2,VLOOKUP($G233,Depreciation!$A$14:$L$18,11,FALSE),0))</f>
        <v>2.4351536427798831E-2</v>
      </c>
      <c r="N233" s="306">
        <f>+IF($H233=N$2,VLOOKUP($G233,Depreciation!$A$14:$L$18,12,FALSE)/2,IF($H233&lt;N$2,VLOOKUP($G233,Depreciation!$A$14:$L$18,12,FALSE),0))</f>
        <v>2.4351536427798831E-2</v>
      </c>
      <c r="O233" s="307">
        <f t="shared" si="28"/>
        <v>357657.67458825896</v>
      </c>
      <c r="P233" s="732">
        <v>0</v>
      </c>
      <c r="Q233" s="733">
        <v>0</v>
      </c>
      <c r="R233" s="734">
        <f t="shared" si="29"/>
        <v>1</v>
      </c>
      <c r="S233" s="735">
        <f t="shared" si="30"/>
        <v>0</v>
      </c>
      <c r="T233" s="735">
        <f t="shared" si="31"/>
        <v>0</v>
      </c>
      <c r="U233" s="735">
        <f t="shared" si="32"/>
        <v>357657.67458825896</v>
      </c>
      <c r="V233" s="736">
        <f t="shared" si="33"/>
        <v>0</v>
      </c>
      <c r="W233" s="735">
        <f t="shared" si="34"/>
        <v>357657.67458825896</v>
      </c>
      <c r="X233" s="737">
        <f t="shared" si="35"/>
        <v>0</v>
      </c>
      <c r="Y233" s="738">
        <f t="shared" si="36"/>
        <v>0</v>
      </c>
      <c r="Z233" s="627"/>
    </row>
    <row r="234" spans="1:26">
      <c r="A234" s="331" t="s">
        <v>1281</v>
      </c>
      <c r="B234" s="332">
        <v>1267</v>
      </c>
      <c r="C234" s="332">
        <v>138</v>
      </c>
      <c r="D234" s="332">
        <v>25</v>
      </c>
      <c r="E234" s="331" t="s">
        <v>1611</v>
      </c>
      <c r="F234" s="333">
        <v>89644.273802190583</v>
      </c>
      <c r="G234" s="332" t="s">
        <v>66</v>
      </c>
      <c r="H234" s="332">
        <v>2015</v>
      </c>
      <c r="I234" s="306">
        <f>+IF($H234=I$2,VLOOKUP($G234,Depreciation!$A$14:$L$18,7,FALSE)/2,IF($H234&lt;I$2,VLOOKUP($G234,Depreciation!$A$14:$L$18,7,FALSE),0))</f>
        <v>1.221703683566912E-2</v>
      </c>
      <c r="J234" s="306">
        <f>+IF($H234=J$2,VLOOKUP($G234,Depreciation!$A$14:$L$18,8,FALSE)/2,IF($H234&lt;J$2,VLOOKUP($G234,Depreciation!$A$14:$L$18,8,FALSE),0))</f>
        <v>2.4632450501084719E-2</v>
      </c>
      <c r="K234" s="306">
        <f>+IF($H234=K$2,VLOOKUP($G234,Depreciation!$A$14:$L$18,9,FALSE)/2,IF($H234&lt;K$2,VLOOKUP($G234,Depreciation!$A$14:$L$18,9,FALSE),0))</f>
        <v>2.4351536427798831E-2</v>
      </c>
      <c r="L234" s="306">
        <f>+IF($H234=L$2,VLOOKUP($G234,Depreciation!$A$14:$L$18,10,FALSE)/2,IF($H234&lt;L$2,VLOOKUP($G234,Depreciation!$A$14:$L$18,10,FALSE),0))</f>
        <v>2.4351536427798831E-2</v>
      </c>
      <c r="M234" s="306">
        <f>+IF($H234=M$2,VLOOKUP($G234,Depreciation!$A$14:$L$18,11,FALSE)/2,IF($H234&lt;M$2,VLOOKUP($G234,Depreciation!$A$14:$L$18,11,FALSE),0))</f>
        <v>2.4351536427798831E-2</v>
      </c>
      <c r="N234" s="306">
        <f>+IF($H234=N$2,VLOOKUP($G234,Depreciation!$A$14:$L$18,12,FALSE)/2,IF($H234&lt;N$2,VLOOKUP($G234,Depreciation!$A$14:$L$18,12,FALSE),0))</f>
        <v>2.4351536427798831E-2</v>
      </c>
      <c r="O234" s="307">
        <f t="shared" si="28"/>
        <v>88549.086407042414</v>
      </c>
      <c r="P234" s="732">
        <v>0</v>
      </c>
      <c r="Q234" s="733">
        <v>1</v>
      </c>
      <c r="R234" s="734">
        <f t="shared" si="29"/>
        <v>0</v>
      </c>
      <c r="S234" s="735">
        <f t="shared" si="30"/>
        <v>0</v>
      </c>
      <c r="T234" s="735">
        <f t="shared" si="31"/>
        <v>88549.086407042414</v>
      </c>
      <c r="U234" s="735">
        <f t="shared" si="32"/>
        <v>0</v>
      </c>
      <c r="V234" s="736">
        <f t="shared" si="33"/>
        <v>0</v>
      </c>
      <c r="W234" s="735">
        <f t="shared" si="34"/>
        <v>0</v>
      </c>
      <c r="X234" s="737">
        <f t="shared" si="35"/>
        <v>0</v>
      </c>
      <c r="Y234" s="738">
        <f t="shared" si="36"/>
        <v>88549.086407042414</v>
      </c>
      <c r="Z234" s="627"/>
    </row>
    <row r="235" spans="1:26">
      <c r="A235" s="331" t="s">
        <v>1278</v>
      </c>
      <c r="B235" s="332">
        <v>1267</v>
      </c>
      <c r="C235" s="332">
        <v>138</v>
      </c>
      <c r="D235" s="332">
        <v>25</v>
      </c>
      <c r="E235" s="331" t="s">
        <v>1612</v>
      </c>
      <c r="F235" s="333">
        <v>147566.79268526638</v>
      </c>
      <c r="G235" s="332" t="s">
        <v>66</v>
      </c>
      <c r="H235" s="332">
        <v>2015</v>
      </c>
      <c r="I235" s="306">
        <f>+IF($H235=I$2,VLOOKUP($G235,Depreciation!$A$14:$L$18,7,FALSE)/2,IF($H235&lt;I$2,VLOOKUP($G235,Depreciation!$A$14:$L$18,7,FALSE),0))</f>
        <v>1.221703683566912E-2</v>
      </c>
      <c r="J235" s="306">
        <f>+IF($H235=J$2,VLOOKUP($G235,Depreciation!$A$14:$L$18,8,FALSE)/2,IF($H235&lt;J$2,VLOOKUP($G235,Depreciation!$A$14:$L$18,8,FALSE),0))</f>
        <v>2.4632450501084719E-2</v>
      </c>
      <c r="K235" s="306">
        <f>+IF($H235=K$2,VLOOKUP($G235,Depreciation!$A$14:$L$18,9,FALSE)/2,IF($H235&lt;K$2,VLOOKUP($G235,Depreciation!$A$14:$L$18,9,FALSE),0))</f>
        <v>2.4351536427798831E-2</v>
      </c>
      <c r="L235" s="306">
        <f>+IF($H235=L$2,VLOOKUP($G235,Depreciation!$A$14:$L$18,10,FALSE)/2,IF($H235&lt;L$2,VLOOKUP($G235,Depreciation!$A$14:$L$18,10,FALSE),0))</f>
        <v>2.4351536427798831E-2</v>
      </c>
      <c r="M235" s="306">
        <f>+IF($H235=M$2,VLOOKUP($G235,Depreciation!$A$14:$L$18,11,FALSE)/2,IF($H235&lt;M$2,VLOOKUP($G235,Depreciation!$A$14:$L$18,11,FALSE),0))</f>
        <v>2.4351536427798831E-2</v>
      </c>
      <c r="N235" s="306">
        <f>+IF($H235=N$2,VLOOKUP($G235,Depreciation!$A$14:$L$18,12,FALSE)/2,IF($H235&lt;N$2,VLOOKUP($G235,Depreciation!$A$14:$L$18,12,FALSE),0))</f>
        <v>2.4351536427798831E-2</v>
      </c>
      <c r="O235" s="307">
        <f t="shared" si="28"/>
        <v>145763.96374330894</v>
      </c>
      <c r="P235" s="732">
        <v>0</v>
      </c>
      <c r="Q235" s="733">
        <v>1</v>
      </c>
      <c r="R235" s="734">
        <f t="shared" si="29"/>
        <v>0</v>
      </c>
      <c r="S235" s="735">
        <f t="shared" si="30"/>
        <v>0</v>
      </c>
      <c r="T235" s="735">
        <f t="shared" si="31"/>
        <v>145763.96374330894</v>
      </c>
      <c r="U235" s="735">
        <f t="shared" si="32"/>
        <v>0</v>
      </c>
      <c r="V235" s="736">
        <f t="shared" si="33"/>
        <v>0</v>
      </c>
      <c r="W235" s="735">
        <f t="shared" si="34"/>
        <v>0</v>
      </c>
      <c r="X235" s="737">
        <f t="shared" si="35"/>
        <v>0</v>
      </c>
      <c r="Y235" s="738">
        <f t="shared" si="36"/>
        <v>145763.96374330894</v>
      </c>
      <c r="Z235" s="627"/>
    </row>
    <row r="236" spans="1:26">
      <c r="A236" s="331" t="s">
        <v>1280</v>
      </c>
      <c r="B236" s="332">
        <v>1267</v>
      </c>
      <c r="C236" s="332">
        <v>240</v>
      </c>
      <c r="D236" s="332">
        <v>144</v>
      </c>
      <c r="E236" s="331" t="s">
        <v>1613</v>
      </c>
      <c r="F236" s="333">
        <v>143610.55197275945</v>
      </c>
      <c r="G236" s="332" t="s">
        <v>66</v>
      </c>
      <c r="H236" s="332">
        <v>2015</v>
      </c>
      <c r="I236" s="306">
        <f>+IF($H236=I$2,VLOOKUP($G236,Depreciation!$A$14:$L$18,7,FALSE)/2,IF($H236&lt;I$2,VLOOKUP($G236,Depreciation!$A$14:$L$18,7,FALSE),0))</f>
        <v>1.221703683566912E-2</v>
      </c>
      <c r="J236" s="306">
        <f>+IF($H236=J$2,VLOOKUP($G236,Depreciation!$A$14:$L$18,8,FALSE)/2,IF($H236&lt;J$2,VLOOKUP($G236,Depreciation!$A$14:$L$18,8,FALSE),0))</f>
        <v>2.4632450501084719E-2</v>
      </c>
      <c r="K236" s="306">
        <f>+IF($H236=K$2,VLOOKUP($G236,Depreciation!$A$14:$L$18,9,FALSE)/2,IF($H236&lt;K$2,VLOOKUP($G236,Depreciation!$A$14:$L$18,9,FALSE),0))</f>
        <v>2.4351536427798831E-2</v>
      </c>
      <c r="L236" s="306">
        <f>+IF($H236=L$2,VLOOKUP($G236,Depreciation!$A$14:$L$18,10,FALSE)/2,IF($H236&lt;L$2,VLOOKUP($G236,Depreciation!$A$14:$L$18,10,FALSE),0))</f>
        <v>2.4351536427798831E-2</v>
      </c>
      <c r="M236" s="306">
        <f>+IF($H236=M$2,VLOOKUP($G236,Depreciation!$A$14:$L$18,11,FALSE)/2,IF($H236&lt;M$2,VLOOKUP($G236,Depreciation!$A$14:$L$18,11,FALSE),0))</f>
        <v>2.4351536427798831E-2</v>
      </c>
      <c r="N236" s="306">
        <f>+IF($H236=N$2,VLOOKUP($G236,Depreciation!$A$14:$L$18,12,FALSE)/2,IF($H236&lt;N$2,VLOOKUP($G236,Depreciation!$A$14:$L$18,12,FALSE),0))</f>
        <v>2.4351536427798831E-2</v>
      </c>
      <c r="O236" s="307">
        <f t="shared" si="28"/>
        <v>141856.05656931747</v>
      </c>
      <c r="P236" s="732">
        <v>0</v>
      </c>
      <c r="Q236" s="733">
        <v>0</v>
      </c>
      <c r="R236" s="734">
        <f t="shared" si="29"/>
        <v>1</v>
      </c>
      <c r="S236" s="735">
        <f t="shared" si="30"/>
        <v>0</v>
      </c>
      <c r="T236" s="735">
        <f t="shared" si="31"/>
        <v>0</v>
      </c>
      <c r="U236" s="735">
        <f t="shared" si="32"/>
        <v>141856.05656931747</v>
      </c>
      <c r="V236" s="736">
        <f t="shared" si="33"/>
        <v>0</v>
      </c>
      <c r="W236" s="735">
        <f t="shared" si="34"/>
        <v>0</v>
      </c>
      <c r="X236" s="737">
        <f t="shared" si="35"/>
        <v>141856.05656931747</v>
      </c>
      <c r="Y236" s="738">
        <f t="shared" si="36"/>
        <v>0</v>
      </c>
      <c r="Z236" s="627"/>
    </row>
    <row r="237" spans="1:26">
      <c r="A237" s="331" t="s">
        <v>1293</v>
      </c>
      <c r="B237" s="332">
        <v>1287</v>
      </c>
      <c r="C237" s="332">
        <v>240</v>
      </c>
      <c r="D237" s="332">
        <v>25</v>
      </c>
      <c r="E237" s="331" t="s">
        <v>1614</v>
      </c>
      <c r="F237" s="333">
        <v>36842122.514386363</v>
      </c>
      <c r="G237" s="332" t="s">
        <v>4</v>
      </c>
      <c r="H237" s="332">
        <v>2019</v>
      </c>
      <c r="I237" s="306">
        <f>+IF($H237=I$2,VLOOKUP($G237,Depreciation!$A$14:$L$18,7,FALSE)/2,IF($H237&lt;I$2,VLOOKUP($G237,Depreciation!$A$14:$L$18,7,FALSE),0))</f>
        <v>0</v>
      </c>
      <c r="J237" s="306">
        <f>+IF($H237=J$2,VLOOKUP($G237,Depreciation!$A$14:$L$18,8,FALSE)/2,IF($H237&lt;J$2,VLOOKUP($G237,Depreciation!$A$14:$L$18,8,FALSE),0))</f>
        <v>0</v>
      </c>
      <c r="K237" s="306">
        <f>+IF($H237=K$2,VLOOKUP($G237,Depreciation!$A$14:$L$18,9,FALSE)/2,IF($H237&lt;K$2,VLOOKUP($G237,Depreciation!$A$14:$L$18,9,FALSE),0))</f>
        <v>0</v>
      </c>
      <c r="L237" s="306">
        <f>+IF($H237=L$2,VLOOKUP($G237,Depreciation!$A$14:$L$18,10,FALSE)/2,IF($H237&lt;L$2,VLOOKUP($G237,Depreciation!$A$14:$L$18,10,FALSE),0))</f>
        <v>0</v>
      </c>
      <c r="M237" s="306">
        <f>+IF($H237=M$2,VLOOKUP($G237,Depreciation!$A$14:$L$18,11,FALSE)/2,IF($H237&lt;M$2,VLOOKUP($G237,Depreciation!$A$14:$L$18,11,FALSE),0))</f>
        <v>1.671703928371859E-2</v>
      </c>
      <c r="N237" s="306">
        <f>+IF($H237=N$2,VLOOKUP($G237,Depreciation!$A$14:$L$18,12,FALSE)/2,IF($H237&lt;N$2,VLOOKUP($G237,Depreciation!$A$14:$L$18,12,FALSE),0))</f>
        <v>3.343407856743718E-2</v>
      </c>
      <c r="O237" s="307">
        <f t="shared" si="28"/>
        <v>0</v>
      </c>
      <c r="P237" s="732">
        <v>0</v>
      </c>
      <c r="Q237" s="733">
        <v>0</v>
      </c>
      <c r="R237" s="734">
        <f t="shared" si="29"/>
        <v>1</v>
      </c>
      <c r="S237" s="735">
        <f t="shared" si="30"/>
        <v>0</v>
      </c>
      <c r="T237" s="735">
        <f t="shared" si="31"/>
        <v>0</v>
      </c>
      <c r="U237" s="735">
        <f t="shared" si="32"/>
        <v>0</v>
      </c>
      <c r="V237" s="736">
        <f t="shared" si="33"/>
        <v>0</v>
      </c>
      <c r="W237" s="735">
        <f t="shared" si="34"/>
        <v>0</v>
      </c>
      <c r="X237" s="737">
        <f t="shared" si="35"/>
        <v>0</v>
      </c>
      <c r="Y237" s="738">
        <f t="shared" si="36"/>
        <v>0</v>
      </c>
      <c r="Z237" s="627"/>
    </row>
    <row r="238" spans="1:26">
      <c r="A238" s="331" t="s">
        <v>1440</v>
      </c>
      <c r="B238" s="332">
        <v>1287</v>
      </c>
      <c r="C238" s="332">
        <v>240</v>
      </c>
      <c r="D238" s="332">
        <v>144</v>
      </c>
      <c r="E238" s="331" t="s">
        <v>1584</v>
      </c>
      <c r="F238" s="333">
        <v>267302.36990519403</v>
      </c>
      <c r="G238" s="332" t="s">
        <v>66</v>
      </c>
      <c r="H238" s="332">
        <v>2019</v>
      </c>
      <c r="I238" s="306">
        <f>+IF($H238=I$2,VLOOKUP($G238,Depreciation!$A$14:$L$18,7,FALSE)/2,IF($H238&lt;I$2,VLOOKUP($G238,Depreciation!$A$14:$L$18,7,FALSE),0))</f>
        <v>0</v>
      </c>
      <c r="J238" s="306">
        <f>+IF($H238=J$2,VLOOKUP($G238,Depreciation!$A$14:$L$18,8,FALSE)/2,IF($H238&lt;J$2,VLOOKUP($G238,Depreciation!$A$14:$L$18,8,FALSE),0))</f>
        <v>0</v>
      </c>
      <c r="K238" s="306">
        <f>+IF($H238=K$2,VLOOKUP($G238,Depreciation!$A$14:$L$18,9,FALSE)/2,IF($H238&lt;K$2,VLOOKUP($G238,Depreciation!$A$14:$L$18,9,FALSE),0))</f>
        <v>0</v>
      </c>
      <c r="L238" s="306">
        <f>+IF($H238=L$2,VLOOKUP($G238,Depreciation!$A$14:$L$18,10,FALSE)/2,IF($H238&lt;L$2,VLOOKUP($G238,Depreciation!$A$14:$L$18,10,FALSE),0))</f>
        <v>0</v>
      </c>
      <c r="M238" s="306">
        <f>+IF($H238=M$2,VLOOKUP($G238,Depreciation!$A$14:$L$18,11,FALSE)/2,IF($H238&lt;M$2,VLOOKUP($G238,Depreciation!$A$14:$L$18,11,FALSE),0))</f>
        <v>1.2175768213899416E-2</v>
      </c>
      <c r="N238" s="306">
        <f>+IF($H238=N$2,VLOOKUP($G238,Depreciation!$A$14:$L$18,12,FALSE)/2,IF($H238&lt;N$2,VLOOKUP($G238,Depreciation!$A$14:$L$18,12,FALSE),0))</f>
        <v>2.4351536427798831E-2</v>
      </c>
      <c r="O238" s="307">
        <f t="shared" si="28"/>
        <v>0</v>
      </c>
      <c r="P238" s="732">
        <v>0</v>
      </c>
      <c r="Q238" s="733">
        <v>0</v>
      </c>
      <c r="R238" s="734">
        <f t="shared" si="29"/>
        <v>1</v>
      </c>
      <c r="S238" s="735">
        <f t="shared" si="30"/>
        <v>0</v>
      </c>
      <c r="T238" s="735">
        <f t="shared" si="31"/>
        <v>0</v>
      </c>
      <c r="U238" s="735">
        <f t="shared" si="32"/>
        <v>0</v>
      </c>
      <c r="V238" s="736">
        <f t="shared" si="33"/>
        <v>0</v>
      </c>
      <c r="W238" s="735">
        <f t="shared" si="34"/>
        <v>0</v>
      </c>
      <c r="X238" s="737">
        <f t="shared" si="35"/>
        <v>0</v>
      </c>
      <c r="Y238" s="738">
        <f t="shared" si="36"/>
        <v>0</v>
      </c>
      <c r="Z238" s="627"/>
    </row>
    <row r="239" spans="1:26">
      <c r="A239" s="331" t="s">
        <v>1439</v>
      </c>
      <c r="B239" s="332">
        <v>1289</v>
      </c>
      <c r="C239" s="332">
        <v>138</v>
      </c>
      <c r="D239" s="332">
        <v>138</v>
      </c>
      <c r="E239" s="331" t="s">
        <v>1615</v>
      </c>
      <c r="F239" s="333">
        <v>3106833.197389883</v>
      </c>
      <c r="G239" s="332" t="s">
        <v>4</v>
      </c>
      <c r="H239" s="332">
        <v>2017</v>
      </c>
      <c r="I239" s="306">
        <f>+IF($H239=I$2,VLOOKUP($G239,Depreciation!$A$14:$L$18,7,FALSE)/2,IF($H239&lt;I$2,VLOOKUP($G239,Depreciation!$A$14:$L$18,7,FALSE),0))</f>
        <v>0</v>
      </c>
      <c r="J239" s="306">
        <f>+IF($H239=J$2,VLOOKUP($G239,Depreciation!$A$14:$L$18,8,FALSE)/2,IF($H239&lt;J$2,VLOOKUP($G239,Depreciation!$A$14:$L$18,8,FALSE),0))</f>
        <v>0</v>
      </c>
      <c r="K239" s="306">
        <f>+IF($H239=K$2,VLOOKUP($G239,Depreciation!$A$14:$L$18,9,FALSE)/2,IF($H239&lt;K$2,VLOOKUP($G239,Depreciation!$A$14:$L$18,9,FALSE),0))</f>
        <v>1.671703928371859E-2</v>
      </c>
      <c r="L239" s="306">
        <f>+IF($H239=L$2,VLOOKUP($G239,Depreciation!$A$14:$L$18,10,FALSE)/2,IF($H239&lt;L$2,VLOOKUP($G239,Depreciation!$A$14:$L$18,10,FALSE),0))</f>
        <v>3.343407856743718E-2</v>
      </c>
      <c r="M239" s="306">
        <f>+IF($H239=M$2,VLOOKUP($G239,Depreciation!$A$14:$L$18,11,FALSE)/2,IF($H239&lt;M$2,VLOOKUP($G239,Depreciation!$A$14:$L$18,11,FALSE),0))</f>
        <v>3.343407856743718E-2</v>
      </c>
      <c r="N239" s="306">
        <f>+IF($H239=N$2,VLOOKUP($G239,Depreciation!$A$14:$L$18,12,FALSE)/2,IF($H239&lt;N$2,VLOOKUP($G239,Depreciation!$A$14:$L$18,12,FALSE),0))</f>
        <v>3.343407856743718E-2</v>
      </c>
      <c r="O239" s="307">
        <f t="shared" si="28"/>
        <v>0</v>
      </c>
      <c r="P239" s="732">
        <v>0</v>
      </c>
      <c r="Q239" s="733">
        <v>0</v>
      </c>
      <c r="R239" s="734">
        <f t="shared" si="29"/>
        <v>1</v>
      </c>
      <c r="S239" s="735">
        <f t="shared" si="30"/>
        <v>0</v>
      </c>
      <c r="T239" s="735">
        <f t="shared" si="31"/>
        <v>0</v>
      </c>
      <c r="U239" s="735">
        <f t="shared" si="32"/>
        <v>0</v>
      </c>
      <c r="V239" s="736">
        <f t="shared" si="33"/>
        <v>0</v>
      </c>
      <c r="W239" s="735">
        <f t="shared" si="34"/>
        <v>0</v>
      </c>
      <c r="X239" s="737">
        <f t="shared" si="35"/>
        <v>0</v>
      </c>
      <c r="Y239" s="738">
        <f t="shared" si="36"/>
        <v>0</v>
      </c>
      <c r="Z239" s="627"/>
    </row>
    <row r="240" spans="1:26">
      <c r="A240" s="331" t="s">
        <v>1442</v>
      </c>
      <c r="B240" s="332">
        <v>1290</v>
      </c>
      <c r="C240" s="332">
        <v>144</v>
      </c>
      <c r="D240" s="332">
        <v>144</v>
      </c>
      <c r="E240" s="331" t="s">
        <v>1616</v>
      </c>
      <c r="F240" s="333">
        <v>561275.46753523592</v>
      </c>
      <c r="G240" s="332" t="s">
        <v>66</v>
      </c>
      <c r="H240" s="332">
        <v>2018</v>
      </c>
      <c r="I240" s="306">
        <f>+IF($H240=I$2,VLOOKUP($G240,Depreciation!$A$14:$L$18,7,FALSE)/2,IF($H240&lt;I$2,VLOOKUP($G240,Depreciation!$A$14:$L$18,7,FALSE),0))</f>
        <v>0</v>
      </c>
      <c r="J240" s="306">
        <f>+IF($H240=J$2,VLOOKUP($G240,Depreciation!$A$14:$L$18,8,FALSE)/2,IF($H240&lt;J$2,VLOOKUP($G240,Depreciation!$A$14:$L$18,8,FALSE),0))</f>
        <v>0</v>
      </c>
      <c r="K240" s="306">
        <f>+IF($H240=K$2,VLOOKUP($G240,Depreciation!$A$14:$L$18,9,FALSE)/2,IF($H240&lt;K$2,VLOOKUP($G240,Depreciation!$A$14:$L$18,9,FALSE),0))</f>
        <v>0</v>
      </c>
      <c r="L240" s="306">
        <f>+IF($H240=L$2,VLOOKUP($G240,Depreciation!$A$14:$L$18,10,FALSE)/2,IF($H240&lt;L$2,VLOOKUP($G240,Depreciation!$A$14:$L$18,10,FALSE),0))</f>
        <v>1.2175768213899416E-2</v>
      </c>
      <c r="M240" s="306">
        <f>+IF($H240=M$2,VLOOKUP($G240,Depreciation!$A$14:$L$18,11,FALSE)/2,IF($H240&lt;M$2,VLOOKUP($G240,Depreciation!$A$14:$L$18,11,FALSE),0))</f>
        <v>2.4351536427798831E-2</v>
      </c>
      <c r="N240" s="306">
        <f>+IF($H240=N$2,VLOOKUP($G240,Depreciation!$A$14:$L$18,12,FALSE)/2,IF($H240&lt;N$2,VLOOKUP($G240,Depreciation!$A$14:$L$18,12,FALSE),0))</f>
        <v>2.4351536427798831E-2</v>
      </c>
      <c r="O240" s="307">
        <f t="shared" si="28"/>
        <v>0</v>
      </c>
      <c r="P240" s="732">
        <v>0</v>
      </c>
      <c r="Q240" s="733">
        <v>0</v>
      </c>
      <c r="R240" s="734">
        <f t="shared" si="29"/>
        <v>1</v>
      </c>
      <c r="S240" s="735">
        <f t="shared" si="30"/>
        <v>0</v>
      </c>
      <c r="T240" s="735">
        <f t="shared" si="31"/>
        <v>0</v>
      </c>
      <c r="U240" s="735">
        <f t="shared" si="32"/>
        <v>0</v>
      </c>
      <c r="V240" s="736">
        <f t="shared" si="33"/>
        <v>0</v>
      </c>
      <c r="W240" s="735">
        <f t="shared" si="34"/>
        <v>0</v>
      </c>
      <c r="X240" s="737">
        <f t="shared" si="35"/>
        <v>0</v>
      </c>
      <c r="Y240" s="738">
        <f t="shared" si="36"/>
        <v>0</v>
      </c>
      <c r="Z240" s="627"/>
    </row>
    <row r="241" spans="1:26">
      <c r="A241" s="336" t="s">
        <v>1423</v>
      </c>
      <c r="B241" s="318">
        <v>1294</v>
      </c>
      <c r="C241" s="318">
        <v>69</v>
      </c>
      <c r="D241" s="332">
        <v>25</v>
      </c>
      <c r="E241" s="336" t="s">
        <v>1617</v>
      </c>
      <c r="F241" s="337">
        <v>4433924</v>
      </c>
      <c r="G241" s="318" t="s">
        <v>4</v>
      </c>
      <c r="H241" s="318">
        <v>2015</v>
      </c>
      <c r="I241" s="306">
        <f>+IF($H241=I$2,VLOOKUP($G241,Depreciation!$A$14:$L$18,7,FALSE)/2,IF($H241&lt;I$2,VLOOKUP($G241,Depreciation!$A$14:$L$18,7,FALSE),0))</f>
        <v>1.7228380322441735E-2</v>
      </c>
      <c r="J241" s="306">
        <f>+IF($H241=J$2,VLOOKUP($G241,Depreciation!$A$14:$L$18,8,FALSE)/2,IF($H241&lt;J$2,VLOOKUP($G241,Depreciation!$A$14:$L$18,8,FALSE),0))</f>
        <v>3.343407856743718E-2</v>
      </c>
      <c r="K241" s="306">
        <f>+IF($H241=K$2,VLOOKUP($G241,Depreciation!$A$14:$L$18,9,FALSE)/2,IF($H241&lt;K$2,VLOOKUP($G241,Depreciation!$A$14:$L$18,9,FALSE),0))</f>
        <v>3.343407856743718E-2</v>
      </c>
      <c r="L241" s="306">
        <f>+IF($H241=L$2,VLOOKUP($G241,Depreciation!$A$14:$L$18,10,FALSE)/2,IF($H241&lt;L$2,VLOOKUP($G241,Depreciation!$A$14:$L$18,10,FALSE),0))</f>
        <v>3.343407856743718E-2</v>
      </c>
      <c r="M241" s="306">
        <f>+IF($H241=M$2,VLOOKUP($G241,Depreciation!$A$14:$L$18,11,FALSE)/2,IF($H241&lt;M$2,VLOOKUP($G241,Depreciation!$A$14:$L$18,11,FALSE),0))</f>
        <v>3.343407856743718E-2</v>
      </c>
      <c r="N241" s="306">
        <f>+IF($H241=N$2,VLOOKUP($G241,Depreciation!$A$14:$L$18,12,FALSE)/2,IF($H241&lt;N$2,VLOOKUP($G241,Depreciation!$A$14:$L$18,12,FALSE),0))</f>
        <v>3.343407856743718E-2</v>
      </c>
      <c r="O241" s="307">
        <f t="shared" si="28"/>
        <v>4357534.6710071974</v>
      </c>
      <c r="P241" s="732">
        <v>0.54090909090909089</v>
      </c>
      <c r="Q241" s="733">
        <v>0.45909090909090905</v>
      </c>
      <c r="R241" s="734">
        <f t="shared" si="29"/>
        <v>0</v>
      </c>
      <c r="S241" s="735">
        <f t="shared" si="30"/>
        <v>2357030.1174993478</v>
      </c>
      <c r="T241" s="735">
        <f t="shared" si="31"/>
        <v>2000504.5535078496</v>
      </c>
      <c r="U241" s="735">
        <f t="shared" si="32"/>
        <v>0</v>
      </c>
      <c r="V241" s="736">
        <f t="shared" si="33"/>
        <v>0</v>
      </c>
      <c r="W241" s="735">
        <f t="shared" si="34"/>
        <v>2357030.1174993478</v>
      </c>
      <c r="X241" s="737">
        <f t="shared" si="35"/>
        <v>0</v>
      </c>
      <c r="Y241" s="738">
        <f t="shared" si="36"/>
        <v>2000504.5535078496</v>
      </c>
      <c r="Z241" s="627"/>
    </row>
    <row r="242" spans="1:26">
      <c r="A242" s="336" t="s">
        <v>1422</v>
      </c>
      <c r="B242" s="318">
        <v>1294</v>
      </c>
      <c r="C242" s="318">
        <v>69</v>
      </c>
      <c r="D242" s="332">
        <v>25</v>
      </c>
      <c r="E242" s="336" t="s">
        <v>1617</v>
      </c>
      <c r="F242" s="337">
        <v>5633000.0000000028</v>
      </c>
      <c r="G242" s="318" t="s">
        <v>4</v>
      </c>
      <c r="H242" s="318">
        <v>2015</v>
      </c>
      <c r="I242" s="306">
        <f>+IF($H242=I$2,VLOOKUP($G242,Depreciation!$A$14:$L$18,7,FALSE)/2,IF($H242&lt;I$2,VLOOKUP($G242,Depreciation!$A$14:$L$18,7,FALSE),0))</f>
        <v>1.7228380322441735E-2</v>
      </c>
      <c r="J242" s="306">
        <f>+IF($H242=J$2,VLOOKUP($G242,Depreciation!$A$14:$L$18,8,FALSE)/2,IF($H242&lt;J$2,VLOOKUP($G242,Depreciation!$A$14:$L$18,8,FALSE),0))</f>
        <v>3.343407856743718E-2</v>
      </c>
      <c r="K242" s="306">
        <f>+IF($H242=K$2,VLOOKUP($G242,Depreciation!$A$14:$L$18,9,FALSE)/2,IF($H242&lt;K$2,VLOOKUP($G242,Depreciation!$A$14:$L$18,9,FALSE),0))</f>
        <v>3.343407856743718E-2</v>
      </c>
      <c r="L242" s="306">
        <f>+IF($H242=L$2,VLOOKUP($G242,Depreciation!$A$14:$L$18,10,FALSE)/2,IF($H242&lt;L$2,VLOOKUP($G242,Depreciation!$A$14:$L$18,10,FALSE),0))</f>
        <v>3.343407856743718E-2</v>
      </c>
      <c r="M242" s="306">
        <f>+IF($H242=M$2,VLOOKUP($G242,Depreciation!$A$14:$L$18,11,FALSE)/2,IF($H242&lt;M$2,VLOOKUP($G242,Depreciation!$A$14:$L$18,11,FALSE),0))</f>
        <v>3.343407856743718E-2</v>
      </c>
      <c r="N242" s="306">
        <f>+IF($H242=N$2,VLOOKUP($G242,Depreciation!$A$14:$L$18,12,FALSE)/2,IF($H242&lt;N$2,VLOOKUP($G242,Depreciation!$A$14:$L$18,12,FALSE),0))</f>
        <v>3.343407856743718E-2</v>
      </c>
      <c r="O242" s="307">
        <f t="shared" si="28"/>
        <v>5535952.5336436881</v>
      </c>
      <c r="P242" s="732">
        <v>0.54090909090909089</v>
      </c>
      <c r="Q242" s="733">
        <v>0.45909090909090905</v>
      </c>
      <c r="R242" s="734">
        <f t="shared" si="29"/>
        <v>0</v>
      </c>
      <c r="S242" s="735">
        <f t="shared" si="30"/>
        <v>2994447.0522890859</v>
      </c>
      <c r="T242" s="735">
        <f t="shared" si="31"/>
        <v>2541505.4813546021</v>
      </c>
      <c r="U242" s="735">
        <f t="shared" si="32"/>
        <v>0</v>
      </c>
      <c r="V242" s="736">
        <f t="shared" si="33"/>
        <v>0</v>
      </c>
      <c r="W242" s="735">
        <f t="shared" si="34"/>
        <v>2994447.0522890859</v>
      </c>
      <c r="X242" s="737">
        <f t="shared" si="35"/>
        <v>0</v>
      </c>
      <c r="Y242" s="738">
        <f t="shared" si="36"/>
        <v>2541505.4813546021</v>
      </c>
      <c r="Z242" s="627"/>
    </row>
    <row r="243" spans="1:26">
      <c r="A243" s="336" t="s">
        <v>1413</v>
      </c>
      <c r="B243" s="318">
        <v>1314</v>
      </c>
      <c r="C243" s="318">
        <v>138</v>
      </c>
      <c r="D243" s="332">
        <v>0</v>
      </c>
      <c r="E243" s="336" t="s">
        <v>1413</v>
      </c>
      <c r="F243" s="337">
        <v>16742409.726119097</v>
      </c>
      <c r="G243" s="318" t="s">
        <v>64</v>
      </c>
      <c r="H243" s="318">
        <v>2015</v>
      </c>
      <c r="I243" s="306">
        <f>+IF($H243=I$2,VLOOKUP($G243,Depreciation!$A$14:$L$18,7,FALSE)/2,IF($H243&lt;I$2,VLOOKUP($G243,Depreciation!$A$14:$L$18,7,FALSE),0))</f>
        <v>1.3928409269726289E-2</v>
      </c>
      <c r="J243" s="306">
        <f>+IF($H243=J$2,VLOOKUP($G243,Depreciation!$A$14:$L$18,8,FALSE)/2,IF($H243&lt;J$2,VLOOKUP($G243,Depreciation!$A$14:$L$18,8,FALSE),0))</f>
        <v>2.7856818539452578E-2</v>
      </c>
      <c r="K243" s="306">
        <f>+IF($H243=K$2,VLOOKUP($G243,Depreciation!$A$14:$L$18,9,FALSE)/2,IF($H243&lt;K$2,VLOOKUP($G243,Depreciation!$A$14:$L$18,9,FALSE),0))</f>
        <v>2.7856818539452578E-2</v>
      </c>
      <c r="L243" s="306">
        <f>+IF($H243=L$2,VLOOKUP($G243,Depreciation!$A$14:$L$18,10,FALSE)/2,IF($H243&lt;L$2,VLOOKUP($G243,Depreciation!$A$14:$L$18,10,FALSE),0))</f>
        <v>2.7856818539452578E-2</v>
      </c>
      <c r="M243" s="306">
        <f>+IF($H243=M$2,VLOOKUP($G243,Depreciation!$A$14:$L$18,11,FALSE)/2,IF($H243&lt;M$2,VLOOKUP($G243,Depreciation!$A$14:$L$18,11,FALSE),0))</f>
        <v>2.7856818539452578E-2</v>
      </c>
      <c r="N243" s="306">
        <f>+IF($H243=N$2,VLOOKUP($G243,Depreciation!$A$14:$L$18,12,FALSE)/2,IF($H243&lt;N$2,VLOOKUP($G243,Depreciation!$A$14:$L$18,12,FALSE),0))</f>
        <v>2.7856818539452578E-2</v>
      </c>
      <c r="O243" s="307">
        <f t="shared" si="28"/>
        <v>16509214.591292264</v>
      </c>
      <c r="P243" s="732">
        <v>0</v>
      </c>
      <c r="Q243" s="733">
        <v>0</v>
      </c>
      <c r="R243" s="734">
        <f t="shared" si="29"/>
        <v>1</v>
      </c>
      <c r="S243" s="735">
        <f t="shared" si="30"/>
        <v>0</v>
      </c>
      <c r="T243" s="735">
        <f t="shared" si="31"/>
        <v>0</v>
      </c>
      <c r="U243" s="735">
        <f t="shared" si="32"/>
        <v>16509214.591292264</v>
      </c>
      <c r="V243" s="736">
        <f t="shared" si="33"/>
        <v>16509214.591292264</v>
      </c>
      <c r="W243" s="735">
        <f t="shared" si="34"/>
        <v>0</v>
      </c>
      <c r="X243" s="737">
        <f t="shared" si="35"/>
        <v>0</v>
      </c>
      <c r="Y243" s="738">
        <f t="shared" si="36"/>
        <v>0</v>
      </c>
      <c r="Z243" s="627"/>
    </row>
    <row r="244" spans="1:26">
      <c r="A244" s="336" t="s">
        <v>1932</v>
      </c>
      <c r="B244" s="318">
        <v>1319</v>
      </c>
      <c r="C244" s="318">
        <v>138</v>
      </c>
      <c r="D244" s="332">
        <v>25</v>
      </c>
      <c r="E244" s="336" t="s">
        <v>1987</v>
      </c>
      <c r="F244" s="337">
        <v>3798763.0000000009</v>
      </c>
      <c r="G244" s="318" t="s">
        <v>66</v>
      </c>
      <c r="H244" s="318">
        <v>2015</v>
      </c>
      <c r="I244" s="306">
        <f>+IF($H244=I$2,VLOOKUP($G244,Depreciation!$A$14:$L$18,7,FALSE)/2,IF($H244&lt;I$2,VLOOKUP($G244,Depreciation!$A$14:$L$18,7,FALSE),0))</f>
        <v>1.221703683566912E-2</v>
      </c>
      <c r="J244" s="306">
        <f>+IF($H244=J$2,VLOOKUP($G244,Depreciation!$A$14:$L$18,8,FALSE)/2,IF($H244&lt;J$2,VLOOKUP($G244,Depreciation!$A$14:$L$18,8,FALSE),0))</f>
        <v>2.4632450501084719E-2</v>
      </c>
      <c r="K244" s="306">
        <f>+IF($H244=K$2,VLOOKUP($G244,Depreciation!$A$14:$L$18,9,FALSE)/2,IF($H244&lt;K$2,VLOOKUP($G244,Depreciation!$A$14:$L$18,9,FALSE),0))</f>
        <v>2.4351536427798831E-2</v>
      </c>
      <c r="L244" s="306">
        <f>+IF($H244=L$2,VLOOKUP($G244,Depreciation!$A$14:$L$18,10,FALSE)/2,IF($H244&lt;L$2,VLOOKUP($G244,Depreciation!$A$14:$L$18,10,FALSE),0))</f>
        <v>2.4351536427798831E-2</v>
      </c>
      <c r="M244" s="306">
        <f>+IF($H244=M$2,VLOOKUP($G244,Depreciation!$A$14:$L$18,11,FALSE)/2,IF($H244&lt;M$2,VLOOKUP($G244,Depreciation!$A$14:$L$18,11,FALSE),0))</f>
        <v>2.4351536427798831E-2</v>
      </c>
      <c r="N244" s="306">
        <f>+IF($H244=N$2,VLOOKUP($G244,Depreciation!$A$14:$L$18,12,FALSE)/2,IF($H244&lt;N$2,VLOOKUP($G244,Depreciation!$A$14:$L$18,12,FALSE),0))</f>
        <v>2.4351536427798831E-2</v>
      </c>
      <c r="O244" s="307">
        <f t="shared" si="28"/>
        <v>3752353.372499024</v>
      </c>
      <c r="P244" s="732">
        <v>0</v>
      </c>
      <c r="Q244" s="733">
        <v>1</v>
      </c>
      <c r="R244" s="734">
        <f t="shared" si="29"/>
        <v>0</v>
      </c>
      <c r="S244" s="735">
        <f t="shared" si="30"/>
        <v>0</v>
      </c>
      <c r="T244" s="735">
        <f t="shared" si="31"/>
        <v>3752353.372499024</v>
      </c>
      <c r="U244" s="735">
        <f t="shared" si="32"/>
        <v>0</v>
      </c>
      <c r="V244" s="736">
        <f t="shared" si="33"/>
        <v>0</v>
      </c>
      <c r="W244" s="735">
        <f t="shared" si="34"/>
        <v>0</v>
      </c>
      <c r="X244" s="737">
        <f t="shared" si="35"/>
        <v>0</v>
      </c>
      <c r="Y244" s="738">
        <f t="shared" si="36"/>
        <v>3752353.372499024</v>
      </c>
      <c r="Z244" s="627"/>
    </row>
    <row r="245" spans="1:26">
      <c r="A245" s="336" t="s">
        <v>1421</v>
      </c>
      <c r="B245" s="318">
        <v>1321</v>
      </c>
      <c r="C245" s="318">
        <v>138</v>
      </c>
      <c r="D245" s="332">
        <v>0</v>
      </c>
      <c r="E245" s="336"/>
      <c r="F245" s="337">
        <v>51372.123717071459</v>
      </c>
      <c r="G245" s="318" t="s">
        <v>66</v>
      </c>
      <c r="H245" s="318">
        <v>2017</v>
      </c>
      <c r="I245" s="306">
        <f>+IF($H245=I$2,VLOOKUP($G245,Depreciation!$A$14:$L$18,7,FALSE)/2,IF($H245&lt;I$2,VLOOKUP($G245,Depreciation!$A$14:$L$18,7,FALSE),0))</f>
        <v>0</v>
      </c>
      <c r="J245" s="306">
        <f>+IF($H245=J$2,VLOOKUP($G245,Depreciation!$A$14:$L$18,8,FALSE)/2,IF($H245&lt;J$2,VLOOKUP($G245,Depreciation!$A$14:$L$18,8,FALSE),0))</f>
        <v>0</v>
      </c>
      <c r="K245" s="306">
        <f>+IF($H245=K$2,VLOOKUP($G245,Depreciation!$A$14:$L$18,9,FALSE)/2,IF($H245&lt;K$2,VLOOKUP($G245,Depreciation!$A$14:$L$18,9,FALSE),0))</f>
        <v>1.2175768213899416E-2</v>
      </c>
      <c r="L245" s="306">
        <f>+IF($H245=L$2,VLOOKUP($G245,Depreciation!$A$14:$L$18,10,FALSE)/2,IF($H245&lt;L$2,VLOOKUP($G245,Depreciation!$A$14:$L$18,10,FALSE),0))</f>
        <v>2.4351536427798831E-2</v>
      </c>
      <c r="M245" s="306">
        <f>+IF($H245=M$2,VLOOKUP($G245,Depreciation!$A$14:$L$18,11,FALSE)/2,IF($H245&lt;M$2,VLOOKUP($G245,Depreciation!$A$14:$L$18,11,FALSE),0))</f>
        <v>2.4351536427798831E-2</v>
      </c>
      <c r="N245" s="306">
        <f>+IF($H245=N$2,VLOOKUP($G245,Depreciation!$A$14:$L$18,12,FALSE)/2,IF($H245&lt;N$2,VLOOKUP($G245,Depreciation!$A$14:$L$18,12,FALSE),0))</f>
        <v>2.4351536427798831E-2</v>
      </c>
      <c r="O245" s="307">
        <f t="shared" si="28"/>
        <v>0</v>
      </c>
      <c r="P245" s="732">
        <v>0</v>
      </c>
      <c r="Q245" s="733">
        <v>0</v>
      </c>
      <c r="R245" s="734">
        <f t="shared" si="29"/>
        <v>1</v>
      </c>
      <c r="S245" s="735">
        <f t="shared" si="30"/>
        <v>0</v>
      </c>
      <c r="T245" s="735">
        <f t="shared" si="31"/>
        <v>0</v>
      </c>
      <c r="U245" s="735">
        <f t="shared" si="32"/>
        <v>0</v>
      </c>
      <c r="V245" s="736">
        <f t="shared" si="33"/>
        <v>0</v>
      </c>
      <c r="W245" s="735">
        <f t="shared" si="34"/>
        <v>0</v>
      </c>
      <c r="X245" s="737">
        <f t="shared" si="35"/>
        <v>0</v>
      </c>
      <c r="Y245" s="738">
        <f t="shared" si="36"/>
        <v>0</v>
      </c>
      <c r="Z245" s="627"/>
    </row>
    <row r="246" spans="1:26">
      <c r="A246" s="336" t="s">
        <v>1305</v>
      </c>
      <c r="B246" s="318">
        <v>1321</v>
      </c>
      <c r="C246" s="318">
        <v>240</v>
      </c>
      <c r="D246" s="332">
        <v>138</v>
      </c>
      <c r="E246" s="336" t="s">
        <v>1620</v>
      </c>
      <c r="F246" s="337">
        <v>71234.874916216097</v>
      </c>
      <c r="G246" s="318" t="s">
        <v>66</v>
      </c>
      <c r="H246" s="318">
        <v>2017</v>
      </c>
      <c r="I246" s="306">
        <f>+IF($H246=I$2,VLOOKUP($G246,Depreciation!$A$14:$L$18,7,FALSE)/2,IF($H246&lt;I$2,VLOOKUP($G246,Depreciation!$A$14:$L$18,7,FALSE),0))</f>
        <v>0</v>
      </c>
      <c r="J246" s="306">
        <f>+IF($H246=J$2,VLOOKUP($G246,Depreciation!$A$14:$L$18,8,FALSE)/2,IF($H246&lt;J$2,VLOOKUP($G246,Depreciation!$A$14:$L$18,8,FALSE),0))</f>
        <v>0</v>
      </c>
      <c r="K246" s="306">
        <f>+IF($H246=K$2,VLOOKUP($G246,Depreciation!$A$14:$L$18,9,FALSE)/2,IF($H246&lt;K$2,VLOOKUP($G246,Depreciation!$A$14:$L$18,9,FALSE),0))</f>
        <v>1.2175768213899416E-2</v>
      </c>
      <c r="L246" s="306">
        <f>+IF($H246=L$2,VLOOKUP($G246,Depreciation!$A$14:$L$18,10,FALSE)/2,IF($H246&lt;L$2,VLOOKUP($G246,Depreciation!$A$14:$L$18,10,FALSE),0))</f>
        <v>2.4351536427798831E-2</v>
      </c>
      <c r="M246" s="306">
        <f>+IF($H246=M$2,VLOOKUP($G246,Depreciation!$A$14:$L$18,11,FALSE)/2,IF($H246&lt;M$2,VLOOKUP($G246,Depreciation!$A$14:$L$18,11,FALSE),0))</f>
        <v>2.4351536427798831E-2</v>
      </c>
      <c r="N246" s="306">
        <f>+IF($H246=N$2,VLOOKUP($G246,Depreciation!$A$14:$L$18,12,FALSE)/2,IF($H246&lt;N$2,VLOOKUP($G246,Depreciation!$A$14:$L$18,12,FALSE),0))</f>
        <v>2.4351536427798831E-2</v>
      </c>
      <c r="O246" s="307">
        <f t="shared" si="28"/>
        <v>0</v>
      </c>
      <c r="P246" s="732">
        <v>0</v>
      </c>
      <c r="Q246" s="733">
        <v>0</v>
      </c>
      <c r="R246" s="734">
        <f t="shared" si="29"/>
        <v>1</v>
      </c>
      <c r="S246" s="735">
        <f t="shared" si="30"/>
        <v>0</v>
      </c>
      <c r="T246" s="735">
        <f t="shared" si="31"/>
        <v>0</v>
      </c>
      <c r="U246" s="735">
        <f t="shared" si="32"/>
        <v>0</v>
      </c>
      <c r="V246" s="736">
        <f t="shared" si="33"/>
        <v>0</v>
      </c>
      <c r="W246" s="735">
        <f t="shared" si="34"/>
        <v>0</v>
      </c>
      <c r="X246" s="737">
        <f t="shared" si="35"/>
        <v>0</v>
      </c>
      <c r="Y246" s="738">
        <f t="shared" si="36"/>
        <v>0</v>
      </c>
      <c r="Z246" s="627"/>
    </row>
    <row r="247" spans="1:26">
      <c r="A247" s="336" t="s">
        <v>1412</v>
      </c>
      <c r="B247" s="318">
        <v>1321</v>
      </c>
      <c r="C247" s="318">
        <v>240</v>
      </c>
      <c r="D247" s="332">
        <v>144</v>
      </c>
      <c r="E247" s="336" t="s">
        <v>1591</v>
      </c>
      <c r="F247" s="337">
        <v>67376.674391001157</v>
      </c>
      <c r="G247" s="318" t="s">
        <v>66</v>
      </c>
      <c r="H247" s="318">
        <v>2017</v>
      </c>
      <c r="I247" s="306">
        <f>+IF($H247=I$2,VLOOKUP($G247,Depreciation!$A$14:$L$18,7,FALSE)/2,IF($H247&lt;I$2,VLOOKUP($G247,Depreciation!$A$14:$L$18,7,FALSE),0))</f>
        <v>0</v>
      </c>
      <c r="J247" s="306">
        <f>+IF($H247=J$2,VLOOKUP($G247,Depreciation!$A$14:$L$18,8,FALSE)/2,IF($H247&lt;J$2,VLOOKUP($G247,Depreciation!$A$14:$L$18,8,FALSE),0))</f>
        <v>0</v>
      </c>
      <c r="K247" s="306">
        <f>+IF($H247=K$2,VLOOKUP($G247,Depreciation!$A$14:$L$18,9,FALSE)/2,IF($H247&lt;K$2,VLOOKUP($G247,Depreciation!$A$14:$L$18,9,FALSE),0))</f>
        <v>1.2175768213899416E-2</v>
      </c>
      <c r="L247" s="306">
        <f>+IF($H247=L$2,VLOOKUP($G247,Depreciation!$A$14:$L$18,10,FALSE)/2,IF($H247&lt;L$2,VLOOKUP($G247,Depreciation!$A$14:$L$18,10,FALSE),0))</f>
        <v>2.4351536427798831E-2</v>
      </c>
      <c r="M247" s="306">
        <f>+IF($H247=M$2,VLOOKUP($G247,Depreciation!$A$14:$L$18,11,FALSE)/2,IF($H247&lt;M$2,VLOOKUP($G247,Depreciation!$A$14:$L$18,11,FALSE),0))</f>
        <v>2.4351536427798831E-2</v>
      </c>
      <c r="N247" s="306">
        <f>+IF($H247=N$2,VLOOKUP($G247,Depreciation!$A$14:$L$18,12,FALSE)/2,IF($H247&lt;N$2,VLOOKUP($G247,Depreciation!$A$14:$L$18,12,FALSE),0))</f>
        <v>2.4351536427798831E-2</v>
      </c>
      <c r="O247" s="307">
        <f t="shared" si="28"/>
        <v>0</v>
      </c>
      <c r="P247" s="732">
        <v>0</v>
      </c>
      <c r="Q247" s="733">
        <v>0</v>
      </c>
      <c r="R247" s="734">
        <f t="shared" si="29"/>
        <v>1</v>
      </c>
      <c r="S247" s="735">
        <f t="shared" si="30"/>
        <v>0</v>
      </c>
      <c r="T247" s="735">
        <f t="shared" si="31"/>
        <v>0</v>
      </c>
      <c r="U247" s="735">
        <f t="shared" si="32"/>
        <v>0</v>
      </c>
      <c r="V247" s="736">
        <f t="shared" si="33"/>
        <v>0</v>
      </c>
      <c r="W247" s="735">
        <f t="shared" si="34"/>
        <v>0</v>
      </c>
      <c r="X247" s="737">
        <f t="shared" si="35"/>
        <v>0</v>
      </c>
      <c r="Y247" s="738">
        <f t="shared" si="36"/>
        <v>0</v>
      </c>
      <c r="Z247" s="627"/>
    </row>
    <row r="248" spans="1:26">
      <c r="A248" s="336" t="s">
        <v>1419</v>
      </c>
      <c r="B248" s="336">
        <v>1321</v>
      </c>
      <c r="C248" s="336">
        <v>240</v>
      </c>
      <c r="D248" s="332">
        <v>144</v>
      </c>
      <c r="E248" s="336" t="s">
        <v>1621</v>
      </c>
      <c r="F248" s="338">
        <v>6851820.2017634856</v>
      </c>
      <c r="G248" s="336" t="s">
        <v>66</v>
      </c>
      <c r="H248" s="336">
        <v>2017</v>
      </c>
      <c r="I248" s="306">
        <f>+IF($H248=I$2,VLOOKUP($G248,Depreciation!$A$14:$L$18,7,FALSE)/2,IF($H248&lt;I$2,VLOOKUP($G248,Depreciation!$A$14:$L$18,7,FALSE),0))</f>
        <v>0</v>
      </c>
      <c r="J248" s="306">
        <f>+IF($H248=J$2,VLOOKUP($G248,Depreciation!$A$14:$L$18,8,FALSE)/2,IF($H248&lt;J$2,VLOOKUP($G248,Depreciation!$A$14:$L$18,8,FALSE),0))</f>
        <v>0</v>
      </c>
      <c r="K248" s="306">
        <f>+IF($H248=K$2,VLOOKUP($G248,Depreciation!$A$14:$L$18,9,FALSE)/2,IF($H248&lt;K$2,VLOOKUP($G248,Depreciation!$A$14:$L$18,9,FALSE),0))</f>
        <v>1.2175768213899416E-2</v>
      </c>
      <c r="L248" s="306">
        <f>+IF($H248=L$2,VLOOKUP($G248,Depreciation!$A$14:$L$18,10,FALSE)/2,IF($H248&lt;L$2,VLOOKUP($G248,Depreciation!$A$14:$L$18,10,FALSE),0))</f>
        <v>2.4351536427798831E-2</v>
      </c>
      <c r="M248" s="306">
        <f>+IF($H248=M$2,VLOOKUP($G248,Depreciation!$A$14:$L$18,11,FALSE)/2,IF($H248&lt;M$2,VLOOKUP($G248,Depreciation!$A$14:$L$18,11,FALSE),0))</f>
        <v>2.4351536427798831E-2</v>
      </c>
      <c r="N248" s="306">
        <f>+IF($H248=N$2,VLOOKUP($G248,Depreciation!$A$14:$L$18,12,FALSE)/2,IF($H248&lt;N$2,VLOOKUP($G248,Depreciation!$A$14:$L$18,12,FALSE),0))</f>
        <v>2.4351536427798831E-2</v>
      </c>
      <c r="O248" s="307">
        <f t="shared" si="28"/>
        <v>0</v>
      </c>
      <c r="P248" s="732">
        <v>0</v>
      </c>
      <c r="Q248" s="733">
        <v>0</v>
      </c>
      <c r="R248" s="734">
        <f t="shared" si="29"/>
        <v>1</v>
      </c>
      <c r="S248" s="735">
        <f t="shared" si="30"/>
        <v>0</v>
      </c>
      <c r="T248" s="735">
        <f t="shared" si="31"/>
        <v>0</v>
      </c>
      <c r="U248" s="735">
        <f t="shared" si="32"/>
        <v>0</v>
      </c>
      <c r="V248" s="736">
        <f t="shared" si="33"/>
        <v>0</v>
      </c>
      <c r="W248" s="735">
        <f t="shared" si="34"/>
        <v>0</v>
      </c>
      <c r="X248" s="737">
        <f t="shared" si="35"/>
        <v>0</v>
      </c>
      <c r="Y248" s="738">
        <f t="shared" si="36"/>
        <v>0</v>
      </c>
      <c r="Z248" s="627"/>
    </row>
    <row r="249" spans="1:26">
      <c r="A249" s="336" t="s">
        <v>1420</v>
      </c>
      <c r="B249" s="336">
        <v>1321</v>
      </c>
      <c r="C249" s="336">
        <v>138</v>
      </c>
      <c r="D249" s="332">
        <v>25</v>
      </c>
      <c r="E249" s="336" t="s">
        <v>1622</v>
      </c>
      <c r="F249" s="338">
        <v>43376.462438149829</v>
      </c>
      <c r="G249" s="336" t="s">
        <v>66</v>
      </c>
      <c r="H249" s="336">
        <v>2017</v>
      </c>
      <c r="I249" s="306">
        <f>+IF($H249=I$2,VLOOKUP($G249,Depreciation!$A$14:$L$18,7,FALSE)/2,IF($H249&lt;I$2,VLOOKUP($G249,Depreciation!$A$14:$L$18,7,FALSE),0))</f>
        <v>0</v>
      </c>
      <c r="J249" s="306">
        <f>+IF($H249=J$2,VLOOKUP($G249,Depreciation!$A$14:$L$18,8,FALSE)/2,IF($H249&lt;J$2,VLOOKUP($G249,Depreciation!$A$14:$L$18,8,FALSE),0))</f>
        <v>0</v>
      </c>
      <c r="K249" s="306">
        <f>+IF($H249=K$2,VLOOKUP($G249,Depreciation!$A$14:$L$18,9,FALSE)/2,IF($H249&lt;K$2,VLOOKUP($G249,Depreciation!$A$14:$L$18,9,FALSE),0))</f>
        <v>1.2175768213899416E-2</v>
      </c>
      <c r="L249" s="306">
        <f>+IF($H249=L$2,VLOOKUP($G249,Depreciation!$A$14:$L$18,10,FALSE)/2,IF($H249&lt;L$2,VLOOKUP($G249,Depreciation!$A$14:$L$18,10,FALSE),0))</f>
        <v>2.4351536427798831E-2</v>
      </c>
      <c r="M249" s="306">
        <f>+IF($H249=M$2,VLOOKUP($G249,Depreciation!$A$14:$L$18,11,FALSE)/2,IF($H249&lt;M$2,VLOOKUP($G249,Depreciation!$A$14:$L$18,11,FALSE),0))</f>
        <v>2.4351536427798831E-2</v>
      </c>
      <c r="N249" s="306">
        <f>+IF($H249=N$2,VLOOKUP($G249,Depreciation!$A$14:$L$18,12,FALSE)/2,IF($H249&lt;N$2,VLOOKUP($G249,Depreciation!$A$14:$L$18,12,FALSE),0))</f>
        <v>2.4351536427798831E-2</v>
      </c>
      <c r="O249" s="307">
        <f t="shared" si="28"/>
        <v>0</v>
      </c>
      <c r="P249" s="732">
        <v>0</v>
      </c>
      <c r="Q249" s="733">
        <v>1</v>
      </c>
      <c r="R249" s="734">
        <f t="shared" si="29"/>
        <v>0</v>
      </c>
      <c r="S249" s="735">
        <f t="shared" si="30"/>
        <v>0</v>
      </c>
      <c r="T249" s="735">
        <f t="shared" si="31"/>
        <v>0</v>
      </c>
      <c r="U249" s="735">
        <f t="shared" si="32"/>
        <v>0</v>
      </c>
      <c r="V249" s="736">
        <f t="shared" si="33"/>
        <v>0</v>
      </c>
      <c r="W249" s="735">
        <f t="shared" si="34"/>
        <v>0</v>
      </c>
      <c r="X249" s="737">
        <f t="shared" si="35"/>
        <v>0</v>
      </c>
      <c r="Y249" s="738">
        <f t="shared" si="36"/>
        <v>0</v>
      </c>
      <c r="Z249" s="627"/>
    </row>
    <row r="250" spans="1:26">
      <c r="A250" s="336" t="s">
        <v>1482</v>
      </c>
      <c r="B250" s="336">
        <v>1326</v>
      </c>
      <c r="C250" s="336">
        <v>138</v>
      </c>
      <c r="D250" s="332">
        <v>138</v>
      </c>
      <c r="E250" s="336" t="s">
        <v>1623</v>
      </c>
      <c r="F250" s="338">
        <v>6469865.2231551046</v>
      </c>
      <c r="G250" s="336" t="s">
        <v>4</v>
      </c>
      <c r="H250" s="336">
        <v>2017</v>
      </c>
      <c r="I250" s="306">
        <f>+IF($H250=I$2,VLOOKUP($G250,Depreciation!$A$14:$L$18,7,FALSE)/2,IF($H250&lt;I$2,VLOOKUP($G250,Depreciation!$A$14:$L$18,7,FALSE),0))</f>
        <v>0</v>
      </c>
      <c r="J250" s="306">
        <f>+IF($H250=J$2,VLOOKUP($G250,Depreciation!$A$14:$L$18,8,FALSE)/2,IF($H250&lt;J$2,VLOOKUP($G250,Depreciation!$A$14:$L$18,8,FALSE),0))</f>
        <v>0</v>
      </c>
      <c r="K250" s="306">
        <f>+IF($H250=K$2,VLOOKUP($G250,Depreciation!$A$14:$L$18,9,FALSE)/2,IF($H250&lt;K$2,VLOOKUP($G250,Depreciation!$A$14:$L$18,9,FALSE),0))</f>
        <v>1.671703928371859E-2</v>
      </c>
      <c r="L250" s="306">
        <f>+IF($H250=L$2,VLOOKUP($G250,Depreciation!$A$14:$L$18,10,FALSE)/2,IF($H250&lt;L$2,VLOOKUP($G250,Depreciation!$A$14:$L$18,10,FALSE),0))</f>
        <v>3.343407856743718E-2</v>
      </c>
      <c r="M250" s="306">
        <f>+IF($H250=M$2,VLOOKUP($G250,Depreciation!$A$14:$L$18,11,FALSE)/2,IF($H250&lt;M$2,VLOOKUP($G250,Depreciation!$A$14:$L$18,11,FALSE),0))</f>
        <v>3.343407856743718E-2</v>
      </c>
      <c r="N250" s="306">
        <f>+IF($H250=N$2,VLOOKUP($G250,Depreciation!$A$14:$L$18,12,FALSE)/2,IF($H250&lt;N$2,VLOOKUP($G250,Depreciation!$A$14:$L$18,12,FALSE),0))</f>
        <v>3.343407856743718E-2</v>
      </c>
      <c r="O250" s="307">
        <f t="shared" si="28"/>
        <v>0</v>
      </c>
      <c r="P250" s="732">
        <v>0</v>
      </c>
      <c r="Q250" s="733">
        <v>0</v>
      </c>
      <c r="R250" s="734">
        <f t="shared" si="29"/>
        <v>1</v>
      </c>
      <c r="S250" s="735">
        <f t="shared" si="30"/>
        <v>0</v>
      </c>
      <c r="T250" s="735">
        <f t="shared" si="31"/>
        <v>0</v>
      </c>
      <c r="U250" s="735">
        <f t="shared" si="32"/>
        <v>0</v>
      </c>
      <c r="V250" s="736">
        <f t="shared" si="33"/>
        <v>0</v>
      </c>
      <c r="W250" s="735">
        <f t="shared" si="34"/>
        <v>0</v>
      </c>
      <c r="X250" s="737">
        <f t="shared" si="35"/>
        <v>0</v>
      </c>
      <c r="Y250" s="738">
        <f t="shared" si="36"/>
        <v>0</v>
      </c>
      <c r="Z250" s="627"/>
    </row>
    <row r="251" spans="1:26">
      <c r="A251" s="336" t="s">
        <v>1286</v>
      </c>
      <c r="B251" s="336">
        <v>1326</v>
      </c>
      <c r="C251" s="336">
        <v>240</v>
      </c>
      <c r="D251" s="332">
        <v>138</v>
      </c>
      <c r="E251" s="336" t="s">
        <v>1570</v>
      </c>
      <c r="F251" s="338">
        <v>14949.624392399472</v>
      </c>
      <c r="G251" s="336" t="s">
        <v>4</v>
      </c>
      <c r="H251" s="336">
        <v>2017</v>
      </c>
      <c r="I251" s="306">
        <f>+IF($H251=I$2,VLOOKUP($G251,Depreciation!$A$14:$L$18,7,FALSE)/2,IF($H251&lt;I$2,VLOOKUP($G251,Depreciation!$A$14:$L$18,7,FALSE),0))</f>
        <v>0</v>
      </c>
      <c r="J251" s="306">
        <f>+IF($H251=J$2,VLOOKUP($G251,Depreciation!$A$14:$L$18,8,FALSE)/2,IF($H251&lt;J$2,VLOOKUP($G251,Depreciation!$A$14:$L$18,8,FALSE),0))</f>
        <v>0</v>
      </c>
      <c r="K251" s="306">
        <f>+IF($H251=K$2,VLOOKUP($G251,Depreciation!$A$14:$L$18,9,FALSE)/2,IF($H251&lt;K$2,VLOOKUP($G251,Depreciation!$A$14:$L$18,9,FALSE),0))</f>
        <v>1.671703928371859E-2</v>
      </c>
      <c r="L251" s="306">
        <f>+IF($H251=L$2,VLOOKUP($G251,Depreciation!$A$14:$L$18,10,FALSE)/2,IF($H251&lt;L$2,VLOOKUP($G251,Depreciation!$A$14:$L$18,10,FALSE),0))</f>
        <v>3.343407856743718E-2</v>
      </c>
      <c r="M251" s="306">
        <f>+IF($H251=M$2,VLOOKUP($G251,Depreciation!$A$14:$L$18,11,FALSE)/2,IF($H251&lt;M$2,VLOOKUP($G251,Depreciation!$A$14:$L$18,11,FALSE),0))</f>
        <v>3.343407856743718E-2</v>
      </c>
      <c r="N251" s="306">
        <f>+IF($H251=N$2,VLOOKUP($G251,Depreciation!$A$14:$L$18,12,FALSE)/2,IF($H251&lt;N$2,VLOOKUP($G251,Depreciation!$A$14:$L$18,12,FALSE),0))</f>
        <v>3.343407856743718E-2</v>
      </c>
      <c r="O251" s="307">
        <f t="shared" si="28"/>
        <v>0</v>
      </c>
      <c r="P251" s="732">
        <v>0</v>
      </c>
      <c r="Q251" s="733">
        <v>0</v>
      </c>
      <c r="R251" s="734">
        <f t="shared" si="29"/>
        <v>1</v>
      </c>
      <c r="S251" s="735">
        <f t="shared" si="30"/>
        <v>0</v>
      </c>
      <c r="T251" s="735">
        <f t="shared" si="31"/>
        <v>0</v>
      </c>
      <c r="U251" s="735">
        <f t="shared" si="32"/>
        <v>0</v>
      </c>
      <c r="V251" s="736">
        <f t="shared" si="33"/>
        <v>0</v>
      </c>
      <c r="W251" s="735">
        <f t="shared" si="34"/>
        <v>0</v>
      </c>
      <c r="X251" s="737">
        <f t="shared" si="35"/>
        <v>0</v>
      </c>
      <c r="Y251" s="738">
        <f t="shared" si="36"/>
        <v>0</v>
      </c>
      <c r="Z251" s="627"/>
    </row>
    <row r="252" spans="1:26">
      <c r="A252" s="336" t="s">
        <v>1481</v>
      </c>
      <c r="B252" s="336">
        <v>1326</v>
      </c>
      <c r="C252" s="336">
        <v>240</v>
      </c>
      <c r="D252" s="332">
        <v>25</v>
      </c>
      <c r="E252" s="336" t="s">
        <v>1571</v>
      </c>
      <c r="F252" s="338">
        <v>116274.85638532921</v>
      </c>
      <c r="G252" s="336" t="s">
        <v>4</v>
      </c>
      <c r="H252" s="336">
        <v>2017</v>
      </c>
      <c r="I252" s="306">
        <f>+IF($H252=I$2,VLOOKUP($G252,Depreciation!$A$14:$L$18,7,FALSE)/2,IF($H252&lt;I$2,VLOOKUP($G252,Depreciation!$A$14:$L$18,7,FALSE),0))</f>
        <v>0</v>
      </c>
      <c r="J252" s="306">
        <f>+IF($H252=J$2,VLOOKUP($G252,Depreciation!$A$14:$L$18,8,FALSE)/2,IF($H252&lt;J$2,VLOOKUP($G252,Depreciation!$A$14:$L$18,8,FALSE),0))</f>
        <v>0</v>
      </c>
      <c r="K252" s="306">
        <f>+IF($H252=K$2,VLOOKUP($G252,Depreciation!$A$14:$L$18,9,FALSE)/2,IF($H252&lt;K$2,VLOOKUP($G252,Depreciation!$A$14:$L$18,9,FALSE),0))</f>
        <v>1.671703928371859E-2</v>
      </c>
      <c r="L252" s="306">
        <f>+IF($H252=L$2,VLOOKUP($G252,Depreciation!$A$14:$L$18,10,FALSE)/2,IF($H252&lt;L$2,VLOOKUP($G252,Depreciation!$A$14:$L$18,10,FALSE),0))</f>
        <v>3.343407856743718E-2</v>
      </c>
      <c r="M252" s="306">
        <f>+IF($H252=M$2,VLOOKUP($G252,Depreciation!$A$14:$L$18,11,FALSE)/2,IF($H252&lt;M$2,VLOOKUP($G252,Depreciation!$A$14:$L$18,11,FALSE),0))</f>
        <v>3.343407856743718E-2</v>
      </c>
      <c r="N252" s="306">
        <f>+IF($H252=N$2,VLOOKUP($G252,Depreciation!$A$14:$L$18,12,FALSE)/2,IF($H252&lt;N$2,VLOOKUP($G252,Depreciation!$A$14:$L$18,12,FALSE),0))</f>
        <v>3.343407856743718E-2</v>
      </c>
      <c r="O252" s="307">
        <f t="shared" si="28"/>
        <v>0</v>
      </c>
      <c r="P252" s="732">
        <v>0</v>
      </c>
      <c r="Q252" s="733">
        <v>1</v>
      </c>
      <c r="R252" s="734">
        <f t="shared" si="29"/>
        <v>0</v>
      </c>
      <c r="S252" s="735">
        <f t="shared" si="30"/>
        <v>0</v>
      </c>
      <c r="T252" s="735">
        <f t="shared" si="31"/>
        <v>0</v>
      </c>
      <c r="U252" s="735">
        <f t="shared" si="32"/>
        <v>0</v>
      </c>
      <c r="V252" s="736">
        <f t="shared" si="33"/>
        <v>0</v>
      </c>
      <c r="W252" s="735">
        <f t="shared" si="34"/>
        <v>0</v>
      </c>
      <c r="X252" s="737">
        <f t="shared" si="35"/>
        <v>0</v>
      </c>
      <c r="Y252" s="738">
        <f t="shared" si="36"/>
        <v>0</v>
      </c>
      <c r="Z252" s="627"/>
    </row>
    <row r="253" spans="1:26">
      <c r="A253" s="336" t="s">
        <v>1456</v>
      </c>
      <c r="B253" s="336">
        <v>1336</v>
      </c>
      <c r="C253" s="336">
        <v>138</v>
      </c>
      <c r="D253" s="332">
        <v>25</v>
      </c>
      <c r="E253" s="336" t="s">
        <v>1624</v>
      </c>
      <c r="F253" s="338">
        <v>267677.39372268558</v>
      </c>
      <c r="G253" s="336" t="s">
        <v>4</v>
      </c>
      <c r="H253" s="336">
        <v>2018</v>
      </c>
      <c r="I253" s="306">
        <f>+IF($H253=I$2,VLOOKUP($G253,Depreciation!$A$14:$L$18,7,FALSE)/2,IF($H253&lt;I$2,VLOOKUP($G253,Depreciation!$A$14:$L$18,7,FALSE),0))</f>
        <v>0</v>
      </c>
      <c r="J253" s="306">
        <f>+IF($H253=J$2,VLOOKUP($G253,Depreciation!$A$14:$L$18,8,FALSE)/2,IF($H253&lt;J$2,VLOOKUP($G253,Depreciation!$A$14:$L$18,8,FALSE),0))</f>
        <v>0</v>
      </c>
      <c r="K253" s="306">
        <f>+IF($H253=K$2,VLOOKUP($G253,Depreciation!$A$14:$L$18,9,FALSE)/2,IF($H253&lt;K$2,VLOOKUP($G253,Depreciation!$A$14:$L$18,9,FALSE),0))</f>
        <v>0</v>
      </c>
      <c r="L253" s="306">
        <f>+IF($H253=L$2,VLOOKUP($G253,Depreciation!$A$14:$L$18,10,FALSE)/2,IF($H253&lt;L$2,VLOOKUP($G253,Depreciation!$A$14:$L$18,10,FALSE),0))</f>
        <v>1.671703928371859E-2</v>
      </c>
      <c r="M253" s="306">
        <f>+IF($H253=M$2,VLOOKUP($G253,Depreciation!$A$14:$L$18,11,FALSE)/2,IF($H253&lt;M$2,VLOOKUP($G253,Depreciation!$A$14:$L$18,11,FALSE),0))</f>
        <v>3.343407856743718E-2</v>
      </c>
      <c r="N253" s="306">
        <f>+IF($H253=N$2,VLOOKUP($G253,Depreciation!$A$14:$L$18,12,FALSE)/2,IF($H253&lt;N$2,VLOOKUP($G253,Depreciation!$A$14:$L$18,12,FALSE),0))</f>
        <v>3.343407856743718E-2</v>
      </c>
      <c r="O253" s="307">
        <f t="shared" si="28"/>
        <v>0</v>
      </c>
      <c r="P253" s="732">
        <v>0.16326530612244897</v>
      </c>
      <c r="Q253" s="733">
        <v>0.83673469387755106</v>
      </c>
      <c r="R253" s="734">
        <f t="shared" si="29"/>
        <v>0</v>
      </c>
      <c r="S253" s="735">
        <f t="shared" si="30"/>
        <v>0</v>
      </c>
      <c r="T253" s="735">
        <f t="shared" si="31"/>
        <v>0</v>
      </c>
      <c r="U253" s="735">
        <f t="shared" si="32"/>
        <v>0</v>
      </c>
      <c r="V253" s="736">
        <f t="shared" si="33"/>
        <v>0</v>
      </c>
      <c r="W253" s="735">
        <f t="shared" si="34"/>
        <v>0</v>
      </c>
      <c r="X253" s="737">
        <f t="shared" si="35"/>
        <v>0</v>
      </c>
      <c r="Y253" s="738">
        <f t="shared" si="36"/>
        <v>0</v>
      </c>
      <c r="Z253" s="627"/>
    </row>
    <row r="254" spans="1:26">
      <c r="A254" s="336" t="s">
        <v>1457</v>
      </c>
      <c r="B254" s="336">
        <v>1336</v>
      </c>
      <c r="C254" s="336">
        <v>138</v>
      </c>
      <c r="D254" s="332">
        <v>138</v>
      </c>
      <c r="E254" s="336" t="s">
        <v>1625</v>
      </c>
      <c r="F254" s="338">
        <v>732176.40047675755</v>
      </c>
      <c r="G254" s="336" t="s">
        <v>4</v>
      </c>
      <c r="H254" s="336">
        <v>2018</v>
      </c>
      <c r="I254" s="306">
        <f>+IF($H254=I$2,VLOOKUP($G254,Depreciation!$A$14:$L$18,7,FALSE)/2,IF($H254&lt;I$2,VLOOKUP($G254,Depreciation!$A$14:$L$18,7,FALSE),0))</f>
        <v>0</v>
      </c>
      <c r="J254" s="306">
        <f>+IF($H254=J$2,VLOOKUP($G254,Depreciation!$A$14:$L$18,8,FALSE)/2,IF($H254&lt;J$2,VLOOKUP($G254,Depreciation!$A$14:$L$18,8,FALSE),0))</f>
        <v>0</v>
      </c>
      <c r="K254" s="306">
        <f>+IF($H254=K$2,VLOOKUP($G254,Depreciation!$A$14:$L$18,9,FALSE)/2,IF($H254&lt;K$2,VLOOKUP($G254,Depreciation!$A$14:$L$18,9,FALSE),0))</f>
        <v>0</v>
      </c>
      <c r="L254" s="306">
        <f>+IF($H254=L$2,VLOOKUP($G254,Depreciation!$A$14:$L$18,10,FALSE)/2,IF($H254&lt;L$2,VLOOKUP($G254,Depreciation!$A$14:$L$18,10,FALSE),0))</f>
        <v>1.671703928371859E-2</v>
      </c>
      <c r="M254" s="306">
        <f>+IF($H254=M$2,VLOOKUP($G254,Depreciation!$A$14:$L$18,11,FALSE)/2,IF($H254&lt;M$2,VLOOKUP($G254,Depreciation!$A$14:$L$18,11,FALSE),0))</f>
        <v>3.343407856743718E-2</v>
      </c>
      <c r="N254" s="306">
        <f>+IF($H254=N$2,VLOOKUP($G254,Depreciation!$A$14:$L$18,12,FALSE)/2,IF($H254&lt;N$2,VLOOKUP($G254,Depreciation!$A$14:$L$18,12,FALSE),0))</f>
        <v>3.343407856743718E-2</v>
      </c>
      <c r="O254" s="307">
        <f t="shared" si="28"/>
        <v>0</v>
      </c>
      <c r="P254" s="732">
        <v>0</v>
      </c>
      <c r="Q254" s="733">
        <v>0</v>
      </c>
      <c r="R254" s="734">
        <f t="shared" si="29"/>
        <v>1</v>
      </c>
      <c r="S254" s="735">
        <f t="shared" si="30"/>
        <v>0</v>
      </c>
      <c r="T254" s="735">
        <f t="shared" si="31"/>
        <v>0</v>
      </c>
      <c r="U254" s="735">
        <f t="shared" si="32"/>
        <v>0</v>
      </c>
      <c r="V254" s="736">
        <f t="shared" si="33"/>
        <v>0</v>
      </c>
      <c r="W254" s="735">
        <f t="shared" si="34"/>
        <v>0</v>
      </c>
      <c r="X254" s="737">
        <f t="shared" si="35"/>
        <v>0</v>
      </c>
      <c r="Y254" s="738">
        <f t="shared" si="36"/>
        <v>0</v>
      </c>
      <c r="Z254" s="627"/>
    </row>
    <row r="255" spans="1:26">
      <c r="A255" s="336" t="s">
        <v>1454</v>
      </c>
      <c r="B255" s="336">
        <v>1336</v>
      </c>
      <c r="C255" s="336">
        <v>138</v>
      </c>
      <c r="D255" s="332">
        <v>138</v>
      </c>
      <c r="E255" s="336" t="s">
        <v>1580</v>
      </c>
      <c r="F255" s="338">
        <v>2125673.4207389737</v>
      </c>
      <c r="G255" s="336" t="s">
        <v>4</v>
      </c>
      <c r="H255" s="336">
        <v>2018</v>
      </c>
      <c r="I255" s="306">
        <f>+IF($H255=I$2,VLOOKUP($G255,Depreciation!$A$14:$L$18,7,FALSE)/2,IF($H255&lt;I$2,VLOOKUP($G255,Depreciation!$A$14:$L$18,7,FALSE),0))</f>
        <v>0</v>
      </c>
      <c r="J255" s="306">
        <f>+IF($H255=J$2,VLOOKUP($G255,Depreciation!$A$14:$L$18,8,FALSE)/2,IF($H255&lt;J$2,VLOOKUP($G255,Depreciation!$A$14:$L$18,8,FALSE),0))</f>
        <v>0</v>
      </c>
      <c r="K255" s="306">
        <f>+IF($H255=K$2,VLOOKUP($G255,Depreciation!$A$14:$L$18,9,FALSE)/2,IF($H255&lt;K$2,VLOOKUP($G255,Depreciation!$A$14:$L$18,9,FALSE),0))</f>
        <v>0</v>
      </c>
      <c r="L255" s="306">
        <f>+IF($H255=L$2,VLOOKUP($G255,Depreciation!$A$14:$L$18,10,FALSE)/2,IF($H255&lt;L$2,VLOOKUP($G255,Depreciation!$A$14:$L$18,10,FALSE),0))</f>
        <v>1.671703928371859E-2</v>
      </c>
      <c r="M255" s="306">
        <f>+IF($H255=M$2,VLOOKUP($G255,Depreciation!$A$14:$L$18,11,FALSE)/2,IF($H255&lt;M$2,VLOOKUP($G255,Depreciation!$A$14:$L$18,11,FALSE),0))</f>
        <v>3.343407856743718E-2</v>
      </c>
      <c r="N255" s="306">
        <f>+IF($H255=N$2,VLOOKUP($G255,Depreciation!$A$14:$L$18,12,FALSE)/2,IF($H255&lt;N$2,VLOOKUP($G255,Depreciation!$A$14:$L$18,12,FALSE),0))</f>
        <v>3.343407856743718E-2</v>
      </c>
      <c r="O255" s="307">
        <f t="shared" si="28"/>
        <v>0</v>
      </c>
      <c r="P255" s="732">
        <v>0</v>
      </c>
      <c r="Q255" s="733">
        <v>0</v>
      </c>
      <c r="R255" s="734">
        <f t="shared" si="29"/>
        <v>1</v>
      </c>
      <c r="S255" s="735">
        <f t="shared" si="30"/>
        <v>0</v>
      </c>
      <c r="T255" s="735">
        <f t="shared" si="31"/>
        <v>0</v>
      </c>
      <c r="U255" s="735">
        <f t="shared" si="32"/>
        <v>0</v>
      </c>
      <c r="V255" s="736">
        <f t="shared" si="33"/>
        <v>0</v>
      </c>
      <c r="W255" s="735">
        <f t="shared" si="34"/>
        <v>0</v>
      </c>
      <c r="X255" s="737">
        <f t="shared" si="35"/>
        <v>0</v>
      </c>
      <c r="Y255" s="738">
        <f t="shared" si="36"/>
        <v>0</v>
      </c>
      <c r="Z255" s="627"/>
    </row>
    <row r="256" spans="1:26">
      <c r="A256" s="336" t="s">
        <v>1455</v>
      </c>
      <c r="B256" s="336">
        <v>1336</v>
      </c>
      <c r="C256" s="336">
        <v>240</v>
      </c>
      <c r="D256" s="332">
        <v>25</v>
      </c>
      <c r="E256" s="336" t="s">
        <v>1581</v>
      </c>
      <c r="F256" s="338">
        <v>799095.74890742893</v>
      </c>
      <c r="G256" s="336" t="s">
        <v>4</v>
      </c>
      <c r="H256" s="336">
        <v>2018</v>
      </c>
      <c r="I256" s="306">
        <f>+IF($H256=I$2,VLOOKUP($G256,Depreciation!$A$14:$L$18,7,FALSE)/2,IF($H256&lt;I$2,VLOOKUP($G256,Depreciation!$A$14:$L$18,7,FALSE),0))</f>
        <v>0</v>
      </c>
      <c r="J256" s="306">
        <f>+IF($H256=J$2,VLOOKUP($G256,Depreciation!$A$14:$L$18,8,FALSE)/2,IF($H256&lt;J$2,VLOOKUP($G256,Depreciation!$A$14:$L$18,8,FALSE),0))</f>
        <v>0</v>
      </c>
      <c r="K256" s="306">
        <f>+IF($H256=K$2,VLOOKUP($G256,Depreciation!$A$14:$L$18,9,FALSE)/2,IF($H256&lt;K$2,VLOOKUP($G256,Depreciation!$A$14:$L$18,9,FALSE),0))</f>
        <v>0</v>
      </c>
      <c r="L256" s="306">
        <f>+IF($H256=L$2,VLOOKUP($G256,Depreciation!$A$14:$L$18,10,FALSE)/2,IF($H256&lt;L$2,VLOOKUP($G256,Depreciation!$A$14:$L$18,10,FALSE),0))</f>
        <v>1.671703928371859E-2</v>
      </c>
      <c r="M256" s="306">
        <f>+IF($H256=M$2,VLOOKUP($G256,Depreciation!$A$14:$L$18,11,FALSE)/2,IF($H256&lt;M$2,VLOOKUP($G256,Depreciation!$A$14:$L$18,11,FALSE),0))</f>
        <v>3.343407856743718E-2</v>
      </c>
      <c r="N256" s="306">
        <f>+IF($H256=N$2,VLOOKUP($G256,Depreciation!$A$14:$L$18,12,FALSE)/2,IF($H256&lt;N$2,VLOOKUP($G256,Depreciation!$A$14:$L$18,12,FALSE),0))</f>
        <v>3.343407856743718E-2</v>
      </c>
      <c r="O256" s="307">
        <f t="shared" si="28"/>
        <v>0</v>
      </c>
      <c r="P256" s="732">
        <v>0</v>
      </c>
      <c r="Q256" s="733">
        <v>1</v>
      </c>
      <c r="R256" s="734">
        <f t="shared" si="29"/>
        <v>0</v>
      </c>
      <c r="S256" s="735">
        <f t="shared" si="30"/>
        <v>0</v>
      </c>
      <c r="T256" s="735">
        <f t="shared" si="31"/>
        <v>0</v>
      </c>
      <c r="U256" s="735">
        <f t="shared" si="32"/>
        <v>0</v>
      </c>
      <c r="V256" s="736">
        <f t="shared" si="33"/>
        <v>0</v>
      </c>
      <c r="W256" s="735">
        <f t="shared" si="34"/>
        <v>0</v>
      </c>
      <c r="X256" s="737">
        <f t="shared" si="35"/>
        <v>0</v>
      </c>
      <c r="Y256" s="738">
        <f t="shared" si="36"/>
        <v>0</v>
      </c>
      <c r="Z256" s="627"/>
    </row>
    <row r="257" spans="1:26">
      <c r="A257" s="336" t="s">
        <v>1458</v>
      </c>
      <c r="B257" s="336">
        <v>1336</v>
      </c>
      <c r="C257" s="336">
        <v>240</v>
      </c>
      <c r="D257" s="332">
        <v>25</v>
      </c>
      <c r="E257" s="336" t="s">
        <v>1626</v>
      </c>
      <c r="F257" s="338">
        <v>407420.73897496995</v>
      </c>
      <c r="G257" s="336" t="s">
        <v>4</v>
      </c>
      <c r="H257" s="336">
        <v>2018</v>
      </c>
      <c r="I257" s="306">
        <f>+IF($H257=I$2,VLOOKUP($G257,Depreciation!$A$14:$L$18,7,FALSE)/2,IF($H257&lt;I$2,VLOOKUP($G257,Depreciation!$A$14:$L$18,7,FALSE),0))</f>
        <v>0</v>
      </c>
      <c r="J257" s="306">
        <f>+IF($H257=J$2,VLOOKUP($G257,Depreciation!$A$14:$L$18,8,FALSE)/2,IF($H257&lt;J$2,VLOOKUP($G257,Depreciation!$A$14:$L$18,8,FALSE),0))</f>
        <v>0</v>
      </c>
      <c r="K257" s="306">
        <f>+IF($H257=K$2,VLOOKUP($G257,Depreciation!$A$14:$L$18,9,FALSE)/2,IF($H257&lt;K$2,VLOOKUP($G257,Depreciation!$A$14:$L$18,9,FALSE),0))</f>
        <v>0</v>
      </c>
      <c r="L257" s="306">
        <f>+IF($H257=L$2,VLOOKUP($G257,Depreciation!$A$14:$L$18,10,FALSE)/2,IF($H257&lt;L$2,VLOOKUP($G257,Depreciation!$A$14:$L$18,10,FALSE),0))</f>
        <v>1.671703928371859E-2</v>
      </c>
      <c r="M257" s="306">
        <f>+IF($H257=M$2,VLOOKUP($G257,Depreciation!$A$14:$L$18,11,FALSE)/2,IF($H257&lt;M$2,VLOOKUP($G257,Depreciation!$A$14:$L$18,11,FALSE),0))</f>
        <v>3.343407856743718E-2</v>
      </c>
      <c r="N257" s="306">
        <f>+IF($H257=N$2,VLOOKUP($G257,Depreciation!$A$14:$L$18,12,FALSE)/2,IF($H257&lt;N$2,VLOOKUP($G257,Depreciation!$A$14:$L$18,12,FALSE),0))</f>
        <v>3.343407856743718E-2</v>
      </c>
      <c r="O257" s="307">
        <f t="shared" si="28"/>
        <v>0</v>
      </c>
      <c r="P257" s="732">
        <v>0</v>
      </c>
      <c r="Q257" s="733">
        <v>1</v>
      </c>
      <c r="R257" s="734">
        <f t="shared" si="29"/>
        <v>0</v>
      </c>
      <c r="S257" s="735">
        <f t="shared" si="30"/>
        <v>0</v>
      </c>
      <c r="T257" s="735">
        <f t="shared" si="31"/>
        <v>0</v>
      </c>
      <c r="U257" s="735">
        <f t="shared" si="32"/>
        <v>0</v>
      </c>
      <c r="V257" s="736">
        <f t="shared" si="33"/>
        <v>0</v>
      </c>
      <c r="W257" s="735">
        <f t="shared" si="34"/>
        <v>0</v>
      </c>
      <c r="X257" s="737">
        <f t="shared" si="35"/>
        <v>0</v>
      </c>
      <c r="Y257" s="738">
        <f t="shared" si="36"/>
        <v>0</v>
      </c>
      <c r="Z257" s="627"/>
    </row>
    <row r="258" spans="1:26">
      <c r="A258" s="336" t="s">
        <v>1353</v>
      </c>
      <c r="B258" s="336">
        <v>1343</v>
      </c>
      <c r="C258" s="336">
        <v>240</v>
      </c>
      <c r="D258" s="332">
        <v>25</v>
      </c>
      <c r="E258" s="336" t="s">
        <v>1577</v>
      </c>
      <c r="F258" s="338">
        <v>296511.62301019125</v>
      </c>
      <c r="G258" s="336" t="s">
        <v>4</v>
      </c>
      <c r="H258" s="336">
        <v>2015</v>
      </c>
      <c r="I258" s="306">
        <f>+IF($H258=I$2,VLOOKUP($G258,Depreciation!$A$14:$L$18,7,FALSE)/2,IF($H258&lt;I$2,VLOOKUP($G258,Depreciation!$A$14:$L$18,7,FALSE),0))</f>
        <v>1.7228380322441735E-2</v>
      </c>
      <c r="J258" s="306">
        <f>+IF($H258=J$2,VLOOKUP($G258,Depreciation!$A$14:$L$18,8,FALSE)/2,IF($H258&lt;J$2,VLOOKUP($G258,Depreciation!$A$14:$L$18,8,FALSE),0))</f>
        <v>3.343407856743718E-2</v>
      </c>
      <c r="K258" s="306">
        <f>+IF($H258=K$2,VLOOKUP($G258,Depreciation!$A$14:$L$18,9,FALSE)/2,IF($H258&lt;K$2,VLOOKUP($G258,Depreciation!$A$14:$L$18,9,FALSE),0))</f>
        <v>3.343407856743718E-2</v>
      </c>
      <c r="L258" s="306">
        <f>+IF($H258=L$2,VLOOKUP($G258,Depreciation!$A$14:$L$18,10,FALSE)/2,IF($H258&lt;L$2,VLOOKUP($G258,Depreciation!$A$14:$L$18,10,FALSE),0))</f>
        <v>3.343407856743718E-2</v>
      </c>
      <c r="M258" s="306">
        <f>+IF($H258=M$2,VLOOKUP($G258,Depreciation!$A$14:$L$18,11,FALSE)/2,IF($H258&lt;M$2,VLOOKUP($G258,Depreciation!$A$14:$L$18,11,FALSE),0))</f>
        <v>3.343407856743718E-2</v>
      </c>
      <c r="N258" s="306">
        <f>+IF($H258=N$2,VLOOKUP($G258,Depreciation!$A$14:$L$18,12,FALSE)/2,IF($H258&lt;N$2,VLOOKUP($G258,Depreciation!$A$14:$L$18,12,FALSE),0))</f>
        <v>3.343407856743718E-2</v>
      </c>
      <c r="O258" s="307">
        <f t="shared" si="28"/>
        <v>291403.20799894718</v>
      </c>
      <c r="P258" s="732">
        <v>0.99826388888888884</v>
      </c>
      <c r="Q258" s="733">
        <v>1.7361111111111112E-3</v>
      </c>
      <c r="R258" s="734">
        <f t="shared" si="29"/>
        <v>4.9222778630841901E-17</v>
      </c>
      <c r="S258" s="735">
        <f t="shared" si="30"/>
        <v>290897.29965172679</v>
      </c>
      <c r="T258" s="735">
        <f t="shared" si="31"/>
        <v>505.90834722039443</v>
      </c>
      <c r="U258" s="735">
        <f t="shared" si="32"/>
        <v>1.4343675599649356E-11</v>
      </c>
      <c r="V258" s="736">
        <f t="shared" si="33"/>
        <v>0</v>
      </c>
      <c r="W258" s="735">
        <f t="shared" si="34"/>
        <v>290897.29965172679</v>
      </c>
      <c r="X258" s="737">
        <f t="shared" si="35"/>
        <v>0</v>
      </c>
      <c r="Y258" s="738">
        <f t="shared" si="36"/>
        <v>505.90834722040876</v>
      </c>
      <c r="Z258" s="627"/>
    </row>
    <row r="259" spans="1:26">
      <c r="A259" s="336" t="s">
        <v>1933</v>
      </c>
      <c r="B259" s="336">
        <v>1343</v>
      </c>
      <c r="C259" s="336">
        <v>240</v>
      </c>
      <c r="D259" s="332">
        <v>138</v>
      </c>
      <c r="E259" s="336" t="s">
        <v>1578</v>
      </c>
      <c r="F259" s="338">
        <v>31755235.281731669</v>
      </c>
      <c r="G259" s="336" t="s">
        <v>4</v>
      </c>
      <c r="H259" s="336">
        <v>2019</v>
      </c>
      <c r="I259" s="306">
        <f>+IF($H259=I$2,VLOOKUP($G259,Depreciation!$A$14:$L$18,7,FALSE)/2,IF($H259&lt;I$2,VLOOKUP($G259,Depreciation!$A$14:$L$18,7,FALSE),0))</f>
        <v>0</v>
      </c>
      <c r="J259" s="306">
        <f>+IF($H259=J$2,VLOOKUP($G259,Depreciation!$A$14:$L$18,8,FALSE)/2,IF($H259&lt;J$2,VLOOKUP($G259,Depreciation!$A$14:$L$18,8,FALSE),0))</f>
        <v>0</v>
      </c>
      <c r="K259" s="306">
        <f>+IF($H259=K$2,VLOOKUP($G259,Depreciation!$A$14:$L$18,9,FALSE)/2,IF($H259&lt;K$2,VLOOKUP($G259,Depreciation!$A$14:$L$18,9,FALSE),0))</f>
        <v>0</v>
      </c>
      <c r="L259" s="306">
        <f>+IF($H259=L$2,VLOOKUP($G259,Depreciation!$A$14:$L$18,10,FALSE)/2,IF($H259&lt;L$2,VLOOKUP($G259,Depreciation!$A$14:$L$18,10,FALSE),0))</f>
        <v>0</v>
      </c>
      <c r="M259" s="306">
        <f>+IF($H259=M$2,VLOOKUP($G259,Depreciation!$A$14:$L$18,11,FALSE)/2,IF($H259&lt;M$2,VLOOKUP($G259,Depreciation!$A$14:$L$18,11,FALSE),0))</f>
        <v>1.671703928371859E-2</v>
      </c>
      <c r="N259" s="306">
        <f>+IF($H259=N$2,VLOOKUP($G259,Depreciation!$A$14:$L$18,12,FALSE)/2,IF($H259&lt;N$2,VLOOKUP($G259,Depreciation!$A$14:$L$18,12,FALSE),0))</f>
        <v>3.343407856743718E-2</v>
      </c>
      <c r="O259" s="307">
        <f t="shared" si="28"/>
        <v>0</v>
      </c>
      <c r="P259" s="732">
        <v>0</v>
      </c>
      <c r="Q259" s="733">
        <v>0</v>
      </c>
      <c r="R259" s="734">
        <f t="shared" si="29"/>
        <v>1</v>
      </c>
      <c r="S259" s="735">
        <f t="shared" si="30"/>
        <v>0</v>
      </c>
      <c r="T259" s="735">
        <f t="shared" si="31"/>
        <v>0</v>
      </c>
      <c r="U259" s="735">
        <f t="shared" si="32"/>
        <v>0</v>
      </c>
      <c r="V259" s="736">
        <f t="shared" si="33"/>
        <v>0</v>
      </c>
      <c r="W259" s="735">
        <f t="shared" si="34"/>
        <v>0</v>
      </c>
      <c r="X259" s="737">
        <f t="shared" si="35"/>
        <v>0</v>
      </c>
      <c r="Y259" s="738">
        <f t="shared" si="36"/>
        <v>0</v>
      </c>
      <c r="Z259" s="627"/>
    </row>
    <row r="260" spans="1:26">
      <c r="A260" s="336" t="s">
        <v>1934</v>
      </c>
      <c r="B260" s="336">
        <v>1343</v>
      </c>
      <c r="C260" s="336">
        <v>240</v>
      </c>
      <c r="D260" s="332">
        <v>138</v>
      </c>
      <c r="E260" s="336" t="s">
        <v>1578</v>
      </c>
      <c r="F260" s="338">
        <v>9276667.4068498276</v>
      </c>
      <c r="G260" s="336" t="s">
        <v>4</v>
      </c>
      <c r="H260" s="336">
        <v>2019</v>
      </c>
      <c r="I260" s="306">
        <f>+IF($H260=I$2,VLOOKUP($G260,Depreciation!$A$14:$L$18,7,FALSE)/2,IF($H260&lt;I$2,VLOOKUP($G260,Depreciation!$A$14:$L$18,7,FALSE),0))</f>
        <v>0</v>
      </c>
      <c r="J260" s="306">
        <f>+IF($H260=J$2,VLOOKUP($G260,Depreciation!$A$14:$L$18,8,FALSE)/2,IF($H260&lt;J$2,VLOOKUP($G260,Depreciation!$A$14:$L$18,8,FALSE),0))</f>
        <v>0</v>
      </c>
      <c r="K260" s="306">
        <f>+IF($H260=K$2,VLOOKUP($G260,Depreciation!$A$14:$L$18,9,FALSE)/2,IF($H260&lt;K$2,VLOOKUP($G260,Depreciation!$A$14:$L$18,9,FALSE),0))</f>
        <v>0</v>
      </c>
      <c r="L260" s="306">
        <f>+IF($H260=L$2,VLOOKUP($G260,Depreciation!$A$14:$L$18,10,FALSE)/2,IF($H260&lt;L$2,VLOOKUP($G260,Depreciation!$A$14:$L$18,10,FALSE),0))</f>
        <v>0</v>
      </c>
      <c r="M260" s="306">
        <f>+IF($H260=M$2,VLOOKUP($G260,Depreciation!$A$14:$L$18,11,FALSE)/2,IF($H260&lt;M$2,VLOOKUP($G260,Depreciation!$A$14:$L$18,11,FALSE),0))</f>
        <v>1.671703928371859E-2</v>
      </c>
      <c r="N260" s="306">
        <f>+IF($H260=N$2,VLOOKUP($G260,Depreciation!$A$14:$L$18,12,FALSE)/2,IF($H260&lt;N$2,VLOOKUP($G260,Depreciation!$A$14:$L$18,12,FALSE),0))</f>
        <v>3.343407856743718E-2</v>
      </c>
      <c r="O260" s="307">
        <f t="shared" ref="O260:O323" si="37">IF(H260&lt;=2015,F260*(1-I260),0)</f>
        <v>0</v>
      </c>
      <c r="P260" s="732">
        <v>0</v>
      </c>
      <c r="Q260" s="733">
        <v>0</v>
      </c>
      <c r="R260" s="734">
        <f t="shared" ref="R260:R323" si="38">1-P260-Q260</f>
        <v>1</v>
      </c>
      <c r="S260" s="735">
        <f t="shared" ref="S260:S323" si="39">+P260*$O260</f>
        <v>0</v>
      </c>
      <c r="T260" s="735">
        <f t="shared" ref="T260:T323" si="40">+Q260*$O260</f>
        <v>0</v>
      </c>
      <c r="U260" s="735">
        <f t="shared" ref="U260:U323" si="41">+R260*$O260</f>
        <v>0</v>
      </c>
      <c r="V260" s="736">
        <f t="shared" ref="V260:V323" si="42">IF(AND(R260=1,D260=0),O260,0)</f>
        <v>0</v>
      </c>
      <c r="W260" s="735">
        <f t="shared" ref="W260:W323" si="43">S260+IF(D260&gt;144,U260,0)</f>
        <v>0</v>
      </c>
      <c r="X260" s="737">
        <f t="shared" ref="X260:X323" si="44">IF(AND(D260&lt;=144,D260&gt;=69),U260,0)</f>
        <v>0</v>
      </c>
      <c r="Y260" s="738">
        <f t="shared" ref="Y260:Y323" si="45">T260+IF(AND(D260&lt;69,D260&gt;0),U260,0)</f>
        <v>0</v>
      </c>
      <c r="Z260" s="627"/>
    </row>
    <row r="261" spans="1:26">
      <c r="A261" s="336" t="s">
        <v>1935</v>
      </c>
      <c r="B261" s="336">
        <v>1343</v>
      </c>
      <c r="C261" s="336">
        <v>240</v>
      </c>
      <c r="D261" s="332">
        <v>138</v>
      </c>
      <c r="E261" s="336" t="s">
        <v>1579</v>
      </c>
      <c r="F261" s="338">
        <v>296511.62301019125</v>
      </c>
      <c r="G261" s="336" t="s">
        <v>4</v>
      </c>
      <c r="H261" s="336">
        <v>2019</v>
      </c>
      <c r="I261" s="306">
        <f>+IF($H261=I$2,VLOOKUP($G261,Depreciation!$A$14:$L$18,7,FALSE)/2,IF($H261&lt;I$2,VLOOKUP($G261,Depreciation!$A$14:$L$18,7,FALSE),0))</f>
        <v>0</v>
      </c>
      <c r="J261" s="306">
        <f>+IF($H261=J$2,VLOOKUP($G261,Depreciation!$A$14:$L$18,8,FALSE)/2,IF($H261&lt;J$2,VLOOKUP($G261,Depreciation!$A$14:$L$18,8,FALSE),0))</f>
        <v>0</v>
      </c>
      <c r="K261" s="306">
        <f>+IF($H261=K$2,VLOOKUP($G261,Depreciation!$A$14:$L$18,9,FALSE)/2,IF($H261&lt;K$2,VLOOKUP($G261,Depreciation!$A$14:$L$18,9,FALSE),0))</f>
        <v>0</v>
      </c>
      <c r="L261" s="306">
        <f>+IF($H261=L$2,VLOOKUP($G261,Depreciation!$A$14:$L$18,10,FALSE)/2,IF($H261&lt;L$2,VLOOKUP($G261,Depreciation!$A$14:$L$18,10,FALSE),0))</f>
        <v>0</v>
      </c>
      <c r="M261" s="306">
        <f>+IF($H261=M$2,VLOOKUP($G261,Depreciation!$A$14:$L$18,11,FALSE)/2,IF($H261&lt;M$2,VLOOKUP($G261,Depreciation!$A$14:$L$18,11,FALSE),0))</f>
        <v>1.671703928371859E-2</v>
      </c>
      <c r="N261" s="306">
        <f>+IF($H261=N$2,VLOOKUP($G261,Depreciation!$A$14:$L$18,12,FALSE)/2,IF($H261&lt;N$2,VLOOKUP($G261,Depreciation!$A$14:$L$18,12,FALSE),0))</f>
        <v>3.343407856743718E-2</v>
      </c>
      <c r="O261" s="307">
        <f t="shared" si="37"/>
        <v>0</v>
      </c>
      <c r="P261" s="732">
        <v>0</v>
      </c>
      <c r="Q261" s="733">
        <v>0</v>
      </c>
      <c r="R261" s="734">
        <f t="shared" si="38"/>
        <v>1</v>
      </c>
      <c r="S261" s="735">
        <f t="shared" si="39"/>
        <v>0</v>
      </c>
      <c r="T261" s="735">
        <f t="shared" si="40"/>
        <v>0</v>
      </c>
      <c r="U261" s="735">
        <f t="shared" si="41"/>
        <v>0</v>
      </c>
      <c r="V261" s="736">
        <f t="shared" si="42"/>
        <v>0</v>
      </c>
      <c r="W261" s="735">
        <f t="shared" si="43"/>
        <v>0</v>
      </c>
      <c r="X261" s="737">
        <f t="shared" si="44"/>
        <v>0</v>
      </c>
      <c r="Y261" s="738">
        <f t="shared" si="45"/>
        <v>0</v>
      </c>
      <c r="Z261" s="627"/>
    </row>
    <row r="262" spans="1:26">
      <c r="A262" s="336" t="s">
        <v>1936</v>
      </c>
      <c r="B262" s="336">
        <v>1343</v>
      </c>
      <c r="C262" s="336">
        <v>240</v>
      </c>
      <c r="D262" s="332">
        <v>0</v>
      </c>
      <c r="E262" s="336"/>
      <c r="F262" s="338">
        <v>198194.95671810306</v>
      </c>
      <c r="G262" s="336" t="s">
        <v>4</v>
      </c>
      <c r="H262" s="336">
        <v>2019</v>
      </c>
      <c r="I262" s="306">
        <f>+IF($H262=I$2,VLOOKUP($G262,Depreciation!$A$14:$L$18,7,FALSE)/2,IF($H262&lt;I$2,VLOOKUP($G262,Depreciation!$A$14:$L$18,7,FALSE),0))</f>
        <v>0</v>
      </c>
      <c r="J262" s="306">
        <f>+IF($H262=J$2,VLOOKUP($G262,Depreciation!$A$14:$L$18,8,FALSE)/2,IF($H262&lt;J$2,VLOOKUP($G262,Depreciation!$A$14:$L$18,8,FALSE),0))</f>
        <v>0</v>
      </c>
      <c r="K262" s="306">
        <f>+IF($H262=K$2,VLOOKUP($G262,Depreciation!$A$14:$L$18,9,FALSE)/2,IF($H262&lt;K$2,VLOOKUP($G262,Depreciation!$A$14:$L$18,9,FALSE),0))</f>
        <v>0</v>
      </c>
      <c r="L262" s="306">
        <f>+IF($H262=L$2,VLOOKUP($G262,Depreciation!$A$14:$L$18,10,FALSE)/2,IF($H262&lt;L$2,VLOOKUP($G262,Depreciation!$A$14:$L$18,10,FALSE),0))</f>
        <v>0</v>
      </c>
      <c r="M262" s="306">
        <f>+IF($H262=M$2,VLOOKUP($G262,Depreciation!$A$14:$L$18,11,FALSE)/2,IF($H262&lt;M$2,VLOOKUP($G262,Depreciation!$A$14:$L$18,11,FALSE),0))</f>
        <v>1.671703928371859E-2</v>
      </c>
      <c r="N262" s="306">
        <f>+IF($H262=N$2,VLOOKUP($G262,Depreciation!$A$14:$L$18,12,FALSE)/2,IF($H262&lt;N$2,VLOOKUP($G262,Depreciation!$A$14:$L$18,12,FALSE),0))</f>
        <v>3.343407856743718E-2</v>
      </c>
      <c r="O262" s="307">
        <f t="shared" si="37"/>
        <v>0</v>
      </c>
      <c r="P262" s="732">
        <v>0</v>
      </c>
      <c r="Q262" s="733">
        <v>0</v>
      </c>
      <c r="R262" s="734">
        <f t="shared" si="38"/>
        <v>1</v>
      </c>
      <c r="S262" s="735">
        <f t="shared" si="39"/>
        <v>0</v>
      </c>
      <c r="T262" s="735">
        <f t="shared" si="40"/>
        <v>0</v>
      </c>
      <c r="U262" s="735">
        <f t="shared" si="41"/>
        <v>0</v>
      </c>
      <c r="V262" s="736">
        <f t="shared" si="42"/>
        <v>0</v>
      </c>
      <c r="W262" s="735">
        <f t="shared" si="43"/>
        <v>0</v>
      </c>
      <c r="X262" s="737">
        <f t="shared" si="44"/>
        <v>0</v>
      </c>
      <c r="Y262" s="738">
        <f t="shared" si="45"/>
        <v>0</v>
      </c>
      <c r="Z262" s="627"/>
    </row>
    <row r="263" spans="1:26">
      <c r="A263" s="336" t="s">
        <v>1937</v>
      </c>
      <c r="B263" s="336">
        <v>1343</v>
      </c>
      <c r="C263" s="336">
        <v>138</v>
      </c>
      <c r="D263" s="332">
        <v>25</v>
      </c>
      <c r="E263" s="336" t="s">
        <v>1988</v>
      </c>
      <c r="F263" s="338">
        <v>198194.95671810306</v>
      </c>
      <c r="G263" s="336" t="s">
        <v>4</v>
      </c>
      <c r="H263" s="336">
        <v>2015</v>
      </c>
      <c r="I263" s="306">
        <f>+IF($H263=I$2,VLOOKUP($G263,Depreciation!$A$14:$L$18,7,FALSE)/2,IF($H263&lt;I$2,VLOOKUP($G263,Depreciation!$A$14:$L$18,7,FALSE),0))</f>
        <v>1.7228380322441735E-2</v>
      </c>
      <c r="J263" s="306">
        <f>+IF($H263=J$2,VLOOKUP($G263,Depreciation!$A$14:$L$18,8,FALSE)/2,IF($H263&lt;J$2,VLOOKUP($G263,Depreciation!$A$14:$L$18,8,FALSE),0))</f>
        <v>3.343407856743718E-2</v>
      </c>
      <c r="K263" s="306">
        <f>+IF($H263=K$2,VLOOKUP($G263,Depreciation!$A$14:$L$18,9,FALSE)/2,IF($H263&lt;K$2,VLOOKUP($G263,Depreciation!$A$14:$L$18,9,FALSE),0))</f>
        <v>3.343407856743718E-2</v>
      </c>
      <c r="L263" s="306">
        <f>+IF($H263=L$2,VLOOKUP($G263,Depreciation!$A$14:$L$18,10,FALSE)/2,IF($H263&lt;L$2,VLOOKUP($G263,Depreciation!$A$14:$L$18,10,FALSE),0))</f>
        <v>3.343407856743718E-2</v>
      </c>
      <c r="M263" s="306">
        <f>+IF($H263=M$2,VLOOKUP($G263,Depreciation!$A$14:$L$18,11,FALSE)/2,IF($H263&lt;M$2,VLOOKUP($G263,Depreciation!$A$14:$L$18,11,FALSE),0))</f>
        <v>3.343407856743718E-2</v>
      </c>
      <c r="N263" s="306">
        <f>+IF($H263=N$2,VLOOKUP($G263,Depreciation!$A$14:$L$18,12,FALSE)/2,IF($H263&lt;N$2,VLOOKUP($G263,Depreciation!$A$14:$L$18,12,FALSE),0))</f>
        <v>3.343407856743718E-2</v>
      </c>
      <c r="O263" s="307">
        <f t="shared" si="37"/>
        <v>194780.37862577368</v>
      </c>
      <c r="P263" s="732">
        <v>0.96969696969696972</v>
      </c>
      <c r="Q263" s="733">
        <v>3.0303030303030304E-2</v>
      </c>
      <c r="R263" s="734">
        <f t="shared" si="38"/>
        <v>-2.7755575615628914E-17</v>
      </c>
      <c r="S263" s="735">
        <f t="shared" si="39"/>
        <v>188877.94290984113</v>
      </c>
      <c r="T263" s="735">
        <f t="shared" si="40"/>
        <v>5902.4357159325355</v>
      </c>
      <c r="U263" s="735">
        <f t="shared" si="41"/>
        <v>-5.4062415273884912E-12</v>
      </c>
      <c r="V263" s="736">
        <f t="shared" si="42"/>
        <v>0</v>
      </c>
      <c r="W263" s="735">
        <f t="shared" si="43"/>
        <v>188877.94290984113</v>
      </c>
      <c r="X263" s="737">
        <f t="shared" si="44"/>
        <v>0</v>
      </c>
      <c r="Y263" s="738">
        <f t="shared" si="45"/>
        <v>5902.43571593253</v>
      </c>
      <c r="Z263" s="627"/>
    </row>
    <row r="264" spans="1:26">
      <c r="A264" s="336" t="s">
        <v>1938</v>
      </c>
      <c r="B264" s="336">
        <v>1343</v>
      </c>
      <c r="C264" s="336">
        <v>138</v>
      </c>
      <c r="D264" s="332">
        <v>25</v>
      </c>
      <c r="E264" s="336" t="s">
        <v>1988</v>
      </c>
      <c r="F264" s="338">
        <v>160679.48286027124</v>
      </c>
      <c r="G264" s="336" t="s">
        <v>4</v>
      </c>
      <c r="H264" s="336">
        <v>2015</v>
      </c>
      <c r="I264" s="306">
        <f>+IF($H264=I$2,VLOOKUP($G264,Depreciation!$A$14:$L$18,7,FALSE)/2,IF($H264&lt;I$2,VLOOKUP($G264,Depreciation!$A$14:$L$18,7,FALSE),0))</f>
        <v>1.7228380322441735E-2</v>
      </c>
      <c r="J264" s="306">
        <f>+IF($H264=J$2,VLOOKUP($G264,Depreciation!$A$14:$L$18,8,FALSE)/2,IF($H264&lt;J$2,VLOOKUP($G264,Depreciation!$A$14:$L$18,8,FALSE),0))</f>
        <v>3.343407856743718E-2</v>
      </c>
      <c r="K264" s="306">
        <f>+IF($H264=K$2,VLOOKUP($G264,Depreciation!$A$14:$L$18,9,FALSE)/2,IF($H264&lt;K$2,VLOOKUP($G264,Depreciation!$A$14:$L$18,9,FALSE),0))</f>
        <v>3.343407856743718E-2</v>
      </c>
      <c r="L264" s="306">
        <f>+IF($H264=L$2,VLOOKUP($G264,Depreciation!$A$14:$L$18,10,FALSE)/2,IF($H264&lt;L$2,VLOOKUP($G264,Depreciation!$A$14:$L$18,10,FALSE),0))</f>
        <v>3.343407856743718E-2</v>
      </c>
      <c r="M264" s="306">
        <f>+IF($H264=M$2,VLOOKUP($G264,Depreciation!$A$14:$L$18,11,FALSE)/2,IF($H264&lt;M$2,VLOOKUP($G264,Depreciation!$A$14:$L$18,11,FALSE),0))</f>
        <v>3.343407856743718E-2</v>
      </c>
      <c r="N264" s="306">
        <f>+IF($H264=N$2,VLOOKUP($G264,Depreciation!$A$14:$L$18,12,FALSE)/2,IF($H264&lt;N$2,VLOOKUP($G264,Depreciation!$A$14:$L$18,12,FALSE),0))</f>
        <v>3.343407856743718E-2</v>
      </c>
      <c r="O264" s="307">
        <f t="shared" si="37"/>
        <v>157911.23561954123</v>
      </c>
      <c r="P264" s="732">
        <v>0.96969696969696972</v>
      </c>
      <c r="Q264" s="733">
        <v>3.0303030303030304E-2</v>
      </c>
      <c r="R264" s="734">
        <f t="shared" si="38"/>
        <v>-2.7755575615628914E-17</v>
      </c>
      <c r="S264" s="735">
        <f t="shared" si="39"/>
        <v>153126.04666137332</v>
      </c>
      <c r="T264" s="735">
        <f t="shared" si="40"/>
        <v>4785.1889581679161</v>
      </c>
      <c r="U264" s="735">
        <f t="shared" si="41"/>
        <v>-4.3829172407955704E-12</v>
      </c>
      <c r="V264" s="736">
        <f t="shared" si="42"/>
        <v>0</v>
      </c>
      <c r="W264" s="735">
        <f t="shared" si="43"/>
        <v>153126.04666137332</v>
      </c>
      <c r="X264" s="737">
        <f t="shared" si="44"/>
        <v>0</v>
      </c>
      <c r="Y264" s="738">
        <f t="shared" si="45"/>
        <v>4785.1889581679116</v>
      </c>
      <c r="Z264" s="627"/>
    </row>
    <row r="265" spans="1:26">
      <c r="A265" s="336" t="s">
        <v>1939</v>
      </c>
      <c r="B265" s="336">
        <v>1343</v>
      </c>
      <c r="C265" s="336">
        <v>138</v>
      </c>
      <c r="D265" s="332">
        <v>25</v>
      </c>
      <c r="E265" s="336" t="s">
        <v>1989</v>
      </c>
      <c r="F265" s="338">
        <v>198194.95671810306</v>
      </c>
      <c r="G265" s="336" t="s">
        <v>4</v>
      </c>
      <c r="H265" s="336">
        <v>2015</v>
      </c>
      <c r="I265" s="306">
        <f>+IF($H265=I$2,VLOOKUP($G265,Depreciation!$A$14:$L$18,7,FALSE)/2,IF($H265&lt;I$2,VLOOKUP($G265,Depreciation!$A$14:$L$18,7,FALSE),0))</f>
        <v>1.7228380322441735E-2</v>
      </c>
      <c r="J265" s="306">
        <f>+IF($H265=J$2,VLOOKUP($G265,Depreciation!$A$14:$L$18,8,FALSE)/2,IF($H265&lt;J$2,VLOOKUP($G265,Depreciation!$A$14:$L$18,8,FALSE),0))</f>
        <v>3.343407856743718E-2</v>
      </c>
      <c r="K265" s="306">
        <f>+IF($H265=K$2,VLOOKUP($G265,Depreciation!$A$14:$L$18,9,FALSE)/2,IF($H265&lt;K$2,VLOOKUP($G265,Depreciation!$A$14:$L$18,9,FALSE),0))</f>
        <v>3.343407856743718E-2</v>
      </c>
      <c r="L265" s="306">
        <f>+IF($H265=L$2,VLOOKUP($G265,Depreciation!$A$14:$L$18,10,FALSE)/2,IF($H265&lt;L$2,VLOOKUP($G265,Depreciation!$A$14:$L$18,10,FALSE),0))</f>
        <v>3.343407856743718E-2</v>
      </c>
      <c r="M265" s="306">
        <f>+IF($H265=M$2,VLOOKUP($G265,Depreciation!$A$14:$L$18,11,FALSE)/2,IF($H265&lt;M$2,VLOOKUP($G265,Depreciation!$A$14:$L$18,11,FALSE),0))</f>
        <v>3.343407856743718E-2</v>
      </c>
      <c r="N265" s="306">
        <f>+IF($H265=N$2,VLOOKUP($G265,Depreciation!$A$14:$L$18,12,FALSE)/2,IF($H265&lt;N$2,VLOOKUP($G265,Depreciation!$A$14:$L$18,12,FALSE),0))</f>
        <v>3.343407856743718E-2</v>
      </c>
      <c r="O265" s="307">
        <f t="shared" si="37"/>
        <v>194780.37862577368</v>
      </c>
      <c r="P265" s="732">
        <v>0.9882352941176471</v>
      </c>
      <c r="Q265" s="733">
        <v>1.1764705882352941E-2</v>
      </c>
      <c r="R265" s="734">
        <f t="shared" si="38"/>
        <v>-4.163336342344337E-17</v>
      </c>
      <c r="S265" s="735">
        <f t="shared" si="39"/>
        <v>192488.8447595881</v>
      </c>
      <c r="T265" s="735">
        <f t="shared" si="40"/>
        <v>2291.5338661855726</v>
      </c>
      <c r="U265" s="735">
        <f t="shared" si="41"/>
        <v>-8.1093622910827363E-12</v>
      </c>
      <c r="V265" s="736">
        <f t="shared" si="42"/>
        <v>0</v>
      </c>
      <c r="W265" s="735">
        <f t="shared" si="43"/>
        <v>192488.8447595881</v>
      </c>
      <c r="X265" s="737">
        <f t="shared" si="44"/>
        <v>0</v>
      </c>
      <c r="Y265" s="738">
        <f t="shared" si="45"/>
        <v>2291.5338661855644</v>
      </c>
      <c r="Z265" s="627"/>
    </row>
    <row r="266" spans="1:26">
      <c r="A266" s="336" t="s">
        <v>1940</v>
      </c>
      <c r="B266" s="336">
        <v>1343</v>
      </c>
      <c r="C266" s="336">
        <v>138</v>
      </c>
      <c r="D266" s="332">
        <v>25</v>
      </c>
      <c r="E266" s="336" t="s">
        <v>1988</v>
      </c>
      <c r="F266" s="338">
        <v>183870.33605659907</v>
      </c>
      <c r="G266" s="336" t="s">
        <v>4</v>
      </c>
      <c r="H266" s="336">
        <v>2015</v>
      </c>
      <c r="I266" s="306">
        <f>+IF($H266=I$2,VLOOKUP($G266,Depreciation!$A$14:$L$18,7,FALSE)/2,IF($H266&lt;I$2,VLOOKUP($G266,Depreciation!$A$14:$L$18,7,FALSE),0))</f>
        <v>1.7228380322441735E-2</v>
      </c>
      <c r="J266" s="306">
        <f>+IF($H266=J$2,VLOOKUP($G266,Depreciation!$A$14:$L$18,8,FALSE)/2,IF($H266&lt;J$2,VLOOKUP($G266,Depreciation!$A$14:$L$18,8,FALSE),0))</f>
        <v>3.343407856743718E-2</v>
      </c>
      <c r="K266" s="306">
        <f>+IF($H266=K$2,VLOOKUP($G266,Depreciation!$A$14:$L$18,9,FALSE)/2,IF($H266&lt;K$2,VLOOKUP($G266,Depreciation!$A$14:$L$18,9,FALSE),0))</f>
        <v>3.343407856743718E-2</v>
      </c>
      <c r="L266" s="306">
        <f>+IF($H266=L$2,VLOOKUP($G266,Depreciation!$A$14:$L$18,10,FALSE)/2,IF($H266&lt;L$2,VLOOKUP($G266,Depreciation!$A$14:$L$18,10,FALSE),0))</f>
        <v>3.343407856743718E-2</v>
      </c>
      <c r="M266" s="306">
        <f>+IF($H266=M$2,VLOOKUP($G266,Depreciation!$A$14:$L$18,11,FALSE)/2,IF($H266&lt;M$2,VLOOKUP($G266,Depreciation!$A$14:$L$18,11,FALSE),0))</f>
        <v>3.343407856743718E-2</v>
      </c>
      <c r="N266" s="306">
        <f>+IF($H266=N$2,VLOOKUP($G266,Depreciation!$A$14:$L$18,12,FALSE)/2,IF($H266&lt;N$2,VLOOKUP($G266,Depreciation!$A$14:$L$18,12,FALSE),0))</f>
        <v>3.343407856743718E-2</v>
      </c>
      <c r="O266" s="307">
        <f t="shared" si="37"/>
        <v>180702.5479770008</v>
      </c>
      <c r="P266" s="732">
        <v>0.96969696969696972</v>
      </c>
      <c r="Q266" s="733">
        <v>3.0303030303030304E-2</v>
      </c>
      <c r="R266" s="734">
        <f t="shared" si="38"/>
        <v>-2.7755575615628914E-17</v>
      </c>
      <c r="S266" s="735">
        <f t="shared" si="39"/>
        <v>175226.71318981895</v>
      </c>
      <c r="T266" s="735">
        <f t="shared" si="40"/>
        <v>5475.8347871818423</v>
      </c>
      <c r="U266" s="735">
        <f t="shared" si="41"/>
        <v>-5.0155032343124571E-12</v>
      </c>
      <c r="V266" s="736">
        <f t="shared" si="42"/>
        <v>0</v>
      </c>
      <c r="W266" s="735">
        <f t="shared" si="43"/>
        <v>175226.71318981895</v>
      </c>
      <c r="X266" s="737">
        <f t="shared" si="44"/>
        <v>0</v>
      </c>
      <c r="Y266" s="738">
        <f t="shared" si="45"/>
        <v>5475.8347871818369</v>
      </c>
      <c r="Z266" s="627"/>
    </row>
    <row r="267" spans="1:26">
      <c r="A267" s="336" t="s">
        <v>1941</v>
      </c>
      <c r="B267" s="336">
        <v>1343</v>
      </c>
      <c r="C267" s="336">
        <v>138</v>
      </c>
      <c r="D267" s="332">
        <v>25</v>
      </c>
      <c r="E267" s="336" t="s">
        <v>1990</v>
      </c>
      <c r="F267" s="338">
        <v>160679.48286027124</v>
      </c>
      <c r="G267" s="336" t="s">
        <v>4</v>
      </c>
      <c r="H267" s="336">
        <v>2015</v>
      </c>
      <c r="I267" s="306">
        <f>+IF($H267=I$2,VLOOKUP($G267,Depreciation!$A$14:$L$18,7,FALSE)/2,IF($H267&lt;I$2,VLOOKUP($G267,Depreciation!$A$14:$L$18,7,FALSE),0))</f>
        <v>1.7228380322441735E-2</v>
      </c>
      <c r="J267" s="306">
        <f>+IF($H267=J$2,VLOOKUP($G267,Depreciation!$A$14:$L$18,8,FALSE)/2,IF($H267&lt;J$2,VLOOKUP($G267,Depreciation!$A$14:$L$18,8,FALSE),0))</f>
        <v>3.343407856743718E-2</v>
      </c>
      <c r="K267" s="306">
        <f>+IF($H267=K$2,VLOOKUP($G267,Depreciation!$A$14:$L$18,9,FALSE)/2,IF($H267&lt;K$2,VLOOKUP($G267,Depreciation!$A$14:$L$18,9,FALSE),0))</f>
        <v>3.343407856743718E-2</v>
      </c>
      <c r="L267" s="306">
        <f>+IF($H267=L$2,VLOOKUP($G267,Depreciation!$A$14:$L$18,10,FALSE)/2,IF($H267&lt;L$2,VLOOKUP($G267,Depreciation!$A$14:$L$18,10,FALSE),0))</f>
        <v>3.343407856743718E-2</v>
      </c>
      <c r="M267" s="306">
        <f>+IF($H267=M$2,VLOOKUP($G267,Depreciation!$A$14:$L$18,11,FALSE)/2,IF($H267&lt;M$2,VLOOKUP($G267,Depreciation!$A$14:$L$18,11,FALSE),0))</f>
        <v>3.343407856743718E-2</v>
      </c>
      <c r="N267" s="306">
        <f>+IF($H267=N$2,VLOOKUP($G267,Depreciation!$A$14:$L$18,12,FALSE)/2,IF($H267&lt;N$2,VLOOKUP($G267,Depreciation!$A$14:$L$18,12,FALSE),0))</f>
        <v>3.343407856743718E-2</v>
      </c>
      <c r="O267" s="307">
        <f t="shared" si="37"/>
        <v>157911.23561954123</v>
      </c>
      <c r="P267" s="732">
        <v>0.98712446351931327</v>
      </c>
      <c r="Q267" s="733">
        <v>1.2875536480686695E-2</v>
      </c>
      <c r="R267" s="734">
        <f t="shared" si="38"/>
        <v>3.8163916471489756E-17</v>
      </c>
      <c r="S267" s="735">
        <f t="shared" si="39"/>
        <v>155878.0437446115</v>
      </c>
      <c r="T267" s="735">
        <f t="shared" si="40"/>
        <v>2033.1918749297154</v>
      </c>
      <c r="U267" s="735">
        <f t="shared" si="41"/>
        <v>6.0265112060939097E-12</v>
      </c>
      <c r="V267" s="736">
        <f t="shared" si="42"/>
        <v>0</v>
      </c>
      <c r="W267" s="735">
        <f t="shared" si="43"/>
        <v>155878.0437446115</v>
      </c>
      <c r="X267" s="737">
        <f t="shared" si="44"/>
        <v>0</v>
      </c>
      <c r="Y267" s="738">
        <f t="shared" si="45"/>
        <v>2033.1918749297215</v>
      </c>
      <c r="Z267" s="627"/>
    </row>
    <row r="268" spans="1:26">
      <c r="A268" s="336" t="s">
        <v>1942</v>
      </c>
      <c r="B268" s="336">
        <v>1343</v>
      </c>
      <c r="C268" s="336">
        <v>138</v>
      </c>
      <c r="D268" s="332">
        <v>25</v>
      </c>
      <c r="E268" s="336" t="s">
        <v>1990</v>
      </c>
      <c r="F268" s="338">
        <v>198194.95671810306</v>
      </c>
      <c r="G268" s="336" t="s">
        <v>4</v>
      </c>
      <c r="H268" s="336">
        <v>2015</v>
      </c>
      <c r="I268" s="306">
        <f>+IF($H268=I$2,VLOOKUP($G268,Depreciation!$A$14:$L$18,7,FALSE)/2,IF($H268&lt;I$2,VLOOKUP($G268,Depreciation!$A$14:$L$18,7,FALSE),0))</f>
        <v>1.7228380322441735E-2</v>
      </c>
      <c r="J268" s="306">
        <f>+IF($H268=J$2,VLOOKUP($G268,Depreciation!$A$14:$L$18,8,FALSE)/2,IF($H268&lt;J$2,VLOOKUP($G268,Depreciation!$A$14:$L$18,8,FALSE),0))</f>
        <v>3.343407856743718E-2</v>
      </c>
      <c r="K268" s="306">
        <f>+IF($H268=K$2,VLOOKUP($G268,Depreciation!$A$14:$L$18,9,FALSE)/2,IF($H268&lt;K$2,VLOOKUP($G268,Depreciation!$A$14:$L$18,9,FALSE),0))</f>
        <v>3.343407856743718E-2</v>
      </c>
      <c r="L268" s="306">
        <f>+IF($H268=L$2,VLOOKUP($G268,Depreciation!$A$14:$L$18,10,FALSE)/2,IF($H268&lt;L$2,VLOOKUP($G268,Depreciation!$A$14:$L$18,10,FALSE),0))</f>
        <v>3.343407856743718E-2</v>
      </c>
      <c r="M268" s="306">
        <f>+IF($H268=M$2,VLOOKUP($G268,Depreciation!$A$14:$L$18,11,FALSE)/2,IF($H268&lt;M$2,VLOOKUP($G268,Depreciation!$A$14:$L$18,11,FALSE),0))</f>
        <v>3.343407856743718E-2</v>
      </c>
      <c r="N268" s="306">
        <f>+IF($H268=N$2,VLOOKUP($G268,Depreciation!$A$14:$L$18,12,FALSE)/2,IF($H268&lt;N$2,VLOOKUP($G268,Depreciation!$A$14:$L$18,12,FALSE),0))</f>
        <v>3.343407856743718E-2</v>
      </c>
      <c r="O268" s="307">
        <f t="shared" si="37"/>
        <v>194780.37862577368</v>
      </c>
      <c r="P268" s="732">
        <v>0.98712446351931327</v>
      </c>
      <c r="Q268" s="733">
        <v>1.2875536480686695E-2</v>
      </c>
      <c r="R268" s="734">
        <f t="shared" si="38"/>
        <v>3.8163916471489756E-17</v>
      </c>
      <c r="S268" s="735">
        <f t="shared" si="39"/>
        <v>192272.47675505557</v>
      </c>
      <c r="T268" s="735">
        <f t="shared" si="40"/>
        <v>2507.9018707181162</v>
      </c>
      <c r="U268" s="735">
        <f t="shared" si="41"/>
        <v>7.433582100159176E-12</v>
      </c>
      <c r="V268" s="736">
        <f t="shared" si="42"/>
        <v>0</v>
      </c>
      <c r="W268" s="735">
        <f t="shared" si="43"/>
        <v>192272.47675505557</v>
      </c>
      <c r="X268" s="737">
        <f t="shared" si="44"/>
        <v>0</v>
      </c>
      <c r="Y268" s="738">
        <f t="shared" si="45"/>
        <v>2507.9018707181235</v>
      </c>
      <c r="Z268" s="627"/>
    </row>
    <row r="269" spans="1:26">
      <c r="A269" s="336" t="s">
        <v>1424</v>
      </c>
      <c r="B269" s="336">
        <v>1348</v>
      </c>
      <c r="C269" s="336">
        <v>240</v>
      </c>
      <c r="D269" s="332">
        <v>25</v>
      </c>
      <c r="E269" s="336" t="s">
        <v>1627</v>
      </c>
      <c r="F269" s="338">
        <v>19212616.594896249</v>
      </c>
      <c r="G269" s="336" t="s">
        <v>66</v>
      </c>
      <c r="H269" s="336">
        <v>2016</v>
      </c>
      <c r="I269" s="306">
        <f>+IF($H269=I$2,VLOOKUP($G269,Depreciation!$A$14:$L$18,7,FALSE)/2,IF($H269&lt;I$2,VLOOKUP($G269,Depreciation!$A$14:$L$18,7,FALSE),0))</f>
        <v>0</v>
      </c>
      <c r="J269" s="306">
        <f>+IF($H269=J$2,VLOOKUP($G269,Depreciation!$A$14:$L$18,8,FALSE)/2,IF($H269&lt;J$2,VLOOKUP($G269,Depreciation!$A$14:$L$18,8,FALSE),0))</f>
        <v>1.231622525054236E-2</v>
      </c>
      <c r="K269" s="306">
        <f>+IF($H269=K$2,VLOOKUP($G269,Depreciation!$A$14:$L$18,9,FALSE)/2,IF($H269&lt;K$2,VLOOKUP($G269,Depreciation!$A$14:$L$18,9,FALSE),0))</f>
        <v>2.4351536427798831E-2</v>
      </c>
      <c r="L269" s="306">
        <f>+IF($H269=L$2,VLOOKUP($G269,Depreciation!$A$14:$L$18,10,FALSE)/2,IF($H269&lt;L$2,VLOOKUP($G269,Depreciation!$A$14:$L$18,10,FALSE),0))</f>
        <v>2.4351536427798831E-2</v>
      </c>
      <c r="M269" s="306">
        <f>+IF($H269=M$2,VLOOKUP($G269,Depreciation!$A$14:$L$18,11,FALSE)/2,IF($H269&lt;M$2,VLOOKUP($G269,Depreciation!$A$14:$L$18,11,FALSE),0))</f>
        <v>2.4351536427798831E-2</v>
      </c>
      <c r="N269" s="306">
        <f>+IF($H269=N$2,VLOOKUP($G269,Depreciation!$A$14:$L$18,12,FALSE)/2,IF($H269&lt;N$2,VLOOKUP($G269,Depreciation!$A$14:$L$18,12,FALSE),0))</f>
        <v>2.4351536427798831E-2</v>
      </c>
      <c r="O269" s="307">
        <f t="shared" si="37"/>
        <v>0</v>
      </c>
      <c r="P269" s="732">
        <v>0</v>
      </c>
      <c r="Q269" s="733">
        <v>1</v>
      </c>
      <c r="R269" s="734">
        <f t="shared" si="38"/>
        <v>0</v>
      </c>
      <c r="S269" s="735">
        <f t="shared" si="39"/>
        <v>0</v>
      </c>
      <c r="T269" s="735">
        <f t="shared" si="40"/>
        <v>0</v>
      </c>
      <c r="U269" s="735">
        <f t="shared" si="41"/>
        <v>0</v>
      </c>
      <c r="V269" s="736">
        <f t="shared" si="42"/>
        <v>0</v>
      </c>
      <c r="W269" s="735">
        <f t="shared" si="43"/>
        <v>0</v>
      </c>
      <c r="X269" s="737">
        <f t="shared" si="44"/>
        <v>0</v>
      </c>
      <c r="Y269" s="738">
        <f t="shared" si="45"/>
        <v>0</v>
      </c>
      <c r="Z269" s="627"/>
    </row>
    <row r="270" spans="1:26">
      <c r="A270" s="336" t="s">
        <v>1425</v>
      </c>
      <c r="B270" s="336">
        <v>1348</v>
      </c>
      <c r="C270" s="336">
        <v>240</v>
      </c>
      <c r="D270" s="332">
        <v>25</v>
      </c>
      <c r="E270" s="336" t="s">
        <v>1599</v>
      </c>
      <c r="F270" s="338">
        <v>60415.913503386022</v>
      </c>
      <c r="G270" s="336" t="s">
        <v>66</v>
      </c>
      <c r="H270" s="336">
        <v>2016</v>
      </c>
      <c r="I270" s="306">
        <f>+IF($H270=I$2,VLOOKUP($G270,Depreciation!$A$14:$L$18,7,FALSE)/2,IF($H270&lt;I$2,VLOOKUP($G270,Depreciation!$A$14:$L$18,7,FALSE),0))</f>
        <v>0</v>
      </c>
      <c r="J270" s="306">
        <f>+IF($H270=J$2,VLOOKUP($G270,Depreciation!$A$14:$L$18,8,FALSE)/2,IF($H270&lt;J$2,VLOOKUP($G270,Depreciation!$A$14:$L$18,8,FALSE),0))</f>
        <v>1.231622525054236E-2</v>
      </c>
      <c r="K270" s="306">
        <f>+IF($H270=K$2,VLOOKUP($G270,Depreciation!$A$14:$L$18,9,FALSE)/2,IF($H270&lt;K$2,VLOOKUP($G270,Depreciation!$A$14:$L$18,9,FALSE),0))</f>
        <v>2.4351536427798831E-2</v>
      </c>
      <c r="L270" s="306">
        <f>+IF($H270=L$2,VLOOKUP($G270,Depreciation!$A$14:$L$18,10,FALSE)/2,IF($H270&lt;L$2,VLOOKUP($G270,Depreciation!$A$14:$L$18,10,FALSE),0))</f>
        <v>2.4351536427798831E-2</v>
      </c>
      <c r="M270" s="306">
        <f>+IF($H270=M$2,VLOOKUP($G270,Depreciation!$A$14:$L$18,11,FALSE)/2,IF($H270&lt;M$2,VLOOKUP($G270,Depreciation!$A$14:$L$18,11,FALSE),0))</f>
        <v>2.4351536427798831E-2</v>
      </c>
      <c r="N270" s="306">
        <f>+IF($H270=N$2,VLOOKUP($G270,Depreciation!$A$14:$L$18,12,FALSE)/2,IF($H270&lt;N$2,VLOOKUP($G270,Depreciation!$A$14:$L$18,12,FALSE),0))</f>
        <v>2.4351536427798831E-2</v>
      </c>
      <c r="O270" s="307">
        <f t="shared" si="37"/>
        <v>0</v>
      </c>
      <c r="P270" s="732">
        <v>0</v>
      </c>
      <c r="Q270" s="733">
        <v>1</v>
      </c>
      <c r="R270" s="734">
        <f t="shared" si="38"/>
        <v>0</v>
      </c>
      <c r="S270" s="735">
        <f t="shared" si="39"/>
        <v>0</v>
      </c>
      <c r="T270" s="735">
        <f t="shared" si="40"/>
        <v>0</v>
      </c>
      <c r="U270" s="735">
        <f t="shared" si="41"/>
        <v>0</v>
      </c>
      <c r="V270" s="736">
        <f t="shared" si="42"/>
        <v>0</v>
      </c>
      <c r="W270" s="735">
        <f t="shared" si="43"/>
        <v>0</v>
      </c>
      <c r="X270" s="737">
        <f t="shared" si="44"/>
        <v>0</v>
      </c>
      <c r="Y270" s="738">
        <f t="shared" si="45"/>
        <v>0</v>
      </c>
      <c r="Z270" s="627"/>
    </row>
    <row r="271" spans="1:26">
      <c r="A271" s="336" t="s">
        <v>1426</v>
      </c>
      <c r="B271" s="336">
        <v>1348</v>
      </c>
      <c r="C271" s="336">
        <v>240</v>
      </c>
      <c r="D271" s="332">
        <v>25</v>
      </c>
      <c r="E271" s="336" t="s">
        <v>1628</v>
      </c>
      <c r="F271" s="338">
        <v>68295.591211377177</v>
      </c>
      <c r="G271" s="336" t="s">
        <v>66</v>
      </c>
      <c r="H271" s="336">
        <v>2016</v>
      </c>
      <c r="I271" s="306">
        <f>+IF($H271=I$2,VLOOKUP($G271,Depreciation!$A$14:$L$18,7,FALSE)/2,IF($H271&lt;I$2,VLOOKUP($G271,Depreciation!$A$14:$L$18,7,FALSE),0))</f>
        <v>0</v>
      </c>
      <c r="J271" s="306">
        <f>+IF($H271=J$2,VLOOKUP($G271,Depreciation!$A$14:$L$18,8,FALSE)/2,IF($H271&lt;J$2,VLOOKUP($G271,Depreciation!$A$14:$L$18,8,FALSE),0))</f>
        <v>1.231622525054236E-2</v>
      </c>
      <c r="K271" s="306">
        <f>+IF($H271=K$2,VLOOKUP($G271,Depreciation!$A$14:$L$18,9,FALSE)/2,IF($H271&lt;K$2,VLOOKUP($G271,Depreciation!$A$14:$L$18,9,FALSE),0))</f>
        <v>2.4351536427798831E-2</v>
      </c>
      <c r="L271" s="306">
        <f>+IF($H271=L$2,VLOOKUP($G271,Depreciation!$A$14:$L$18,10,FALSE)/2,IF($H271&lt;L$2,VLOOKUP($G271,Depreciation!$A$14:$L$18,10,FALSE),0))</f>
        <v>2.4351536427798831E-2</v>
      </c>
      <c r="M271" s="306">
        <f>+IF($H271=M$2,VLOOKUP($G271,Depreciation!$A$14:$L$18,11,FALSE)/2,IF($H271&lt;M$2,VLOOKUP($G271,Depreciation!$A$14:$L$18,11,FALSE),0))</f>
        <v>2.4351536427798831E-2</v>
      </c>
      <c r="N271" s="306">
        <f>+IF($H271=N$2,VLOOKUP($G271,Depreciation!$A$14:$L$18,12,FALSE)/2,IF($H271&lt;N$2,VLOOKUP($G271,Depreciation!$A$14:$L$18,12,FALSE),0))</f>
        <v>2.4351536427798831E-2</v>
      </c>
      <c r="O271" s="307">
        <f t="shared" si="37"/>
        <v>0</v>
      </c>
      <c r="P271" s="732">
        <v>0</v>
      </c>
      <c r="Q271" s="733">
        <v>1</v>
      </c>
      <c r="R271" s="734">
        <f t="shared" si="38"/>
        <v>0</v>
      </c>
      <c r="S271" s="735">
        <f t="shared" si="39"/>
        <v>0</v>
      </c>
      <c r="T271" s="735">
        <f t="shared" si="40"/>
        <v>0</v>
      </c>
      <c r="U271" s="735">
        <f t="shared" si="41"/>
        <v>0</v>
      </c>
      <c r="V271" s="736">
        <f t="shared" si="42"/>
        <v>0</v>
      </c>
      <c r="W271" s="735">
        <f t="shared" si="43"/>
        <v>0</v>
      </c>
      <c r="X271" s="737">
        <f t="shared" si="44"/>
        <v>0</v>
      </c>
      <c r="Y271" s="738">
        <f t="shared" si="45"/>
        <v>0</v>
      </c>
      <c r="Z271" s="627"/>
    </row>
    <row r="272" spans="1:26">
      <c r="A272" s="336" t="s">
        <v>1411</v>
      </c>
      <c r="B272" s="336">
        <v>1349</v>
      </c>
      <c r="C272" s="336">
        <v>138</v>
      </c>
      <c r="D272" s="332">
        <v>25</v>
      </c>
      <c r="E272" s="336" t="s">
        <v>1629</v>
      </c>
      <c r="F272" s="338">
        <v>9656869.9129486643</v>
      </c>
      <c r="G272" s="336" t="s">
        <v>4</v>
      </c>
      <c r="H272" s="336">
        <v>2015</v>
      </c>
      <c r="I272" s="306">
        <f>+IF($H272=I$2,VLOOKUP($G272,Depreciation!$A$14:$L$18,7,FALSE)/2,IF($H272&lt;I$2,VLOOKUP($G272,Depreciation!$A$14:$L$18,7,FALSE),0))</f>
        <v>1.7228380322441735E-2</v>
      </c>
      <c r="J272" s="306">
        <f>+IF($H272=J$2,VLOOKUP($G272,Depreciation!$A$14:$L$18,8,FALSE)/2,IF($H272&lt;J$2,VLOOKUP($G272,Depreciation!$A$14:$L$18,8,FALSE),0))</f>
        <v>3.343407856743718E-2</v>
      </c>
      <c r="K272" s="306">
        <f>+IF($H272=K$2,VLOOKUP($G272,Depreciation!$A$14:$L$18,9,FALSE)/2,IF($H272&lt;K$2,VLOOKUP($G272,Depreciation!$A$14:$L$18,9,FALSE),0))</f>
        <v>3.343407856743718E-2</v>
      </c>
      <c r="L272" s="306">
        <f>+IF($H272=L$2,VLOOKUP($G272,Depreciation!$A$14:$L$18,10,FALSE)/2,IF($H272&lt;L$2,VLOOKUP($G272,Depreciation!$A$14:$L$18,10,FALSE),0))</f>
        <v>3.343407856743718E-2</v>
      </c>
      <c r="M272" s="306">
        <f>+IF($H272=M$2,VLOOKUP($G272,Depreciation!$A$14:$L$18,11,FALSE)/2,IF($H272&lt;M$2,VLOOKUP($G272,Depreciation!$A$14:$L$18,11,FALSE),0))</f>
        <v>3.343407856743718E-2</v>
      </c>
      <c r="N272" s="306">
        <f>+IF($H272=N$2,VLOOKUP($G272,Depreciation!$A$14:$L$18,12,FALSE)/2,IF($H272&lt;N$2,VLOOKUP($G272,Depreciation!$A$14:$L$18,12,FALSE),0))</f>
        <v>3.343407856743718E-2</v>
      </c>
      <c r="O272" s="307">
        <f t="shared" si="37"/>
        <v>9490497.6853640396</v>
      </c>
      <c r="P272" s="732">
        <v>0</v>
      </c>
      <c r="Q272" s="733">
        <v>0</v>
      </c>
      <c r="R272" s="734">
        <f t="shared" si="38"/>
        <v>1</v>
      </c>
      <c r="S272" s="735">
        <f t="shared" si="39"/>
        <v>0</v>
      </c>
      <c r="T272" s="735">
        <f t="shared" si="40"/>
        <v>0</v>
      </c>
      <c r="U272" s="735">
        <f t="shared" si="41"/>
        <v>9490497.6853640396</v>
      </c>
      <c r="V272" s="736">
        <f t="shared" si="42"/>
        <v>0</v>
      </c>
      <c r="W272" s="735">
        <f t="shared" si="43"/>
        <v>0</v>
      </c>
      <c r="X272" s="737">
        <f t="shared" si="44"/>
        <v>0</v>
      </c>
      <c r="Y272" s="738">
        <f t="shared" si="45"/>
        <v>9490497.6853640396</v>
      </c>
      <c r="Z272" s="627"/>
    </row>
    <row r="273" spans="1:26">
      <c r="A273" s="336" t="s">
        <v>1682</v>
      </c>
      <c r="B273" s="336">
        <v>1350</v>
      </c>
      <c r="C273" s="336">
        <v>138</v>
      </c>
      <c r="D273" s="332">
        <v>25</v>
      </c>
      <c r="E273" s="336" t="s">
        <v>1684</v>
      </c>
      <c r="F273" s="338">
        <v>6530874.9999999981</v>
      </c>
      <c r="G273" s="336" t="s">
        <v>4</v>
      </c>
      <c r="H273" s="336">
        <v>2015</v>
      </c>
      <c r="I273" s="306">
        <f>+IF($H273=I$2,VLOOKUP($G273,Depreciation!$A$14:$L$18,7,FALSE)/2,IF($H273&lt;I$2,VLOOKUP($G273,Depreciation!$A$14:$L$18,7,FALSE),0))</f>
        <v>1.7228380322441735E-2</v>
      </c>
      <c r="J273" s="306">
        <f>+IF($H273=J$2,VLOOKUP($G273,Depreciation!$A$14:$L$18,8,FALSE)/2,IF($H273&lt;J$2,VLOOKUP($G273,Depreciation!$A$14:$L$18,8,FALSE),0))</f>
        <v>3.343407856743718E-2</v>
      </c>
      <c r="K273" s="306">
        <f>+IF($H273=K$2,VLOOKUP($G273,Depreciation!$A$14:$L$18,9,FALSE)/2,IF($H273&lt;K$2,VLOOKUP($G273,Depreciation!$A$14:$L$18,9,FALSE),0))</f>
        <v>3.343407856743718E-2</v>
      </c>
      <c r="L273" s="306">
        <f>+IF($H273=L$2,VLOOKUP($G273,Depreciation!$A$14:$L$18,10,FALSE)/2,IF($H273&lt;L$2,VLOOKUP($G273,Depreciation!$A$14:$L$18,10,FALSE),0))</f>
        <v>3.343407856743718E-2</v>
      </c>
      <c r="M273" s="306">
        <f>+IF($H273=M$2,VLOOKUP($G273,Depreciation!$A$14:$L$18,11,FALSE)/2,IF($H273&lt;M$2,VLOOKUP($G273,Depreciation!$A$14:$L$18,11,FALSE),0))</f>
        <v>3.343407856743718E-2</v>
      </c>
      <c r="N273" s="306">
        <f>+IF($H273=N$2,VLOOKUP($G273,Depreciation!$A$14:$L$18,12,FALSE)/2,IF($H273&lt;N$2,VLOOKUP($G273,Depreciation!$A$14:$L$18,12,FALSE),0))</f>
        <v>3.343407856743718E-2</v>
      </c>
      <c r="O273" s="307">
        <f t="shared" si="37"/>
        <v>6418358.601661671</v>
      </c>
      <c r="P273" s="732">
        <v>0</v>
      </c>
      <c r="Q273" s="733">
        <v>1</v>
      </c>
      <c r="R273" s="734">
        <f t="shared" si="38"/>
        <v>0</v>
      </c>
      <c r="S273" s="735">
        <f t="shared" si="39"/>
        <v>0</v>
      </c>
      <c r="T273" s="735">
        <f t="shared" si="40"/>
        <v>6418358.601661671</v>
      </c>
      <c r="U273" s="735">
        <f t="shared" si="41"/>
        <v>0</v>
      </c>
      <c r="V273" s="736">
        <f t="shared" si="42"/>
        <v>0</v>
      </c>
      <c r="W273" s="735">
        <f t="shared" si="43"/>
        <v>0</v>
      </c>
      <c r="X273" s="737">
        <f t="shared" si="44"/>
        <v>0</v>
      </c>
      <c r="Y273" s="738">
        <f t="shared" si="45"/>
        <v>6418358.601661671</v>
      </c>
      <c r="Z273" s="627"/>
    </row>
    <row r="274" spans="1:26">
      <c r="A274" s="336" t="s">
        <v>1312</v>
      </c>
      <c r="B274" s="336">
        <v>1354</v>
      </c>
      <c r="C274" s="336">
        <v>138</v>
      </c>
      <c r="D274" s="332">
        <v>25</v>
      </c>
      <c r="E274" s="336" t="s">
        <v>1991</v>
      </c>
      <c r="F274" s="338">
        <v>114690.57505760195</v>
      </c>
      <c r="G274" s="336" t="s">
        <v>64</v>
      </c>
      <c r="H274" s="336">
        <v>2017</v>
      </c>
      <c r="I274" s="306">
        <f>+IF($H274=I$2,VLOOKUP($G274,Depreciation!$A$14:$L$18,7,FALSE)/2,IF($H274&lt;I$2,VLOOKUP($G274,Depreciation!$A$14:$L$18,7,FALSE),0))</f>
        <v>0</v>
      </c>
      <c r="J274" s="306">
        <f>+IF($H274=J$2,VLOOKUP($G274,Depreciation!$A$14:$L$18,8,FALSE)/2,IF($H274&lt;J$2,VLOOKUP($G274,Depreciation!$A$14:$L$18,8,FALSE),0))</f>
        <v>0</v>
      </c>
      <c r="K274" s="306">
        <f>+IF($H274=K$2,VLOOKUP($G274,Depreciation!$A$14:$L$18,9,FALSE)/2,IF($H274&lt;K$2,VLOOKUP($G274,Depreciation!$A$14:$L$18,9,FALSE),0))</f>
        <v>1.3928409269726289E-2</v>
      </c>
      <c r="L274" s="306">
        <f>+IF($H274=L$2,VLOOKUP($G274,Depreciation!$A$14:$L$18,10,FALSE)/2,IF($H274&lt;L$2,VLOOKUP($G274,Depreciation!$A$14:$L$18,10,FALSE),0))</f>
        <v>2.7856818539452578E-2</v>
      </c>
      <c r="M274" s="306">
        <f>+IF($H274=M$2,VLOOKUP($G274,Depreciation!$A$14:$L$18,11,FALSE)/2,IF($H274&lt;M$2,VLOOKUP($G274,Depreciation!$A$14:$L$18,11,FALSE),0))</f>
        <v>2.7856818539452578E-2</v>
      </c>
      <c r="N274" s="306">
        <f>+IF($H274=N$2,VLOOKUP($G274,Depreciation!$A$14:$L$18,12,FALSE)/2,IF($H274&lt;N$2,VLOOKUP($G274,Depreciation!$A$14:$L$18,12,FALSE),0))</f>
        <v>2.7856818539452578E-2</v>
      </c>
      <c r="O274" s="307">
        <f t="shared" si="37"/>
        <v>0</v>
      </c>
      <c r="P274" s="732">
        <v>0</v>
      </c>
      <c r="Q274" s="733">
        <v>0</v>
      </c>
      <c r="R274" s="734">
        <f t="shared" si="38"/>
        <v>1</v>
      </c>
      <c r="S274" s="735">
        <f t="shared" si="39"/>
        <v>0</v>
      </c>
      <c r="T274" s="735">
        <f t="shared" si="40"/>
        <v>0</v>
      </c>
      <c r="U274" s="735">
        <f t="shared" si="41"/>
        <v>0</v>
      </c>
      <c r="V274" s="736">
        <f t="shared" si="42"/>
        <v>0</v>
      </c>
      <c r="W274" s="735">
        <f t="shared" si="43"/>
        <v>0</v>
      </c>
      <c r="X274" s="737">
        <f t="shared" si="44"/>
        <v>0</v>
      </c>
      <c r="Y274" s="738">
        <f t="shared" si="45"/>
        <v>0</v>
      </c>
      <c r="Z274" s="627"/>
    </row>
    <row r="275" spans="1:26">
      <c r="A275" s="336" t="s">
        <v>1314</v>
      </c>
      <c r="B275" s="336">
        <v>1354</v>
      </c>
      <c r="C275" s="336">
        <v>138</v>
      </c>
      <c r="D275" s="332">
        <v>25</v>
      </c>
      <c r="E275" s="336" t="s">
        <v>1992</v>
      </c>
      <c r="F275" s="338">
        <v>114690.57505760195</v>
      </c>
      <c r="G275" s="336" t="s">
        <v>64</v>
      </c>
      <c r="H275" s="336">
        <v>2017</v>
      </c>
      <c r="I275" s="306">
        <f>+IF($H275=I$2,VLOOKUP($G275,Depreciation!$A$14:$L$18,7,FALSE)/2,IF($H275&lt;I$2,VLOOKUP($G275,Depreciation!$A$14:$L$18,7,FALSE),0))</f>
        <v>0</v>
      </c>
      <c r="J275" s="306">
        <f>+IF($H275=J$2,VLOOKUP($G275,Depreciation!$A$14:$L$18,8,FALSE)/2,IF($H275&lt;J$2,VLOOKUP($G275,Depreciation!$A$14:$L$18,8,FALSE),0))</f>
        <v>0</v>
      </c>
      <c r="K275" s="306">
        <f>+IF($H275=K$2,VLOOKUP($G275,Depreciation!$A$14:$L$18,9,FALSE)/2,IF($H275&lt;K$2,VLOOKUP($G275,Depreciation!$A$14:$L$18,9,FALSE),0))</f>
        <v>1.3928409269726289E-2</v>
      </c>
      <c r="L275" s="306">
        <f>+IF($H275=L$2,VLOOKUP($G275,Depreciation!$A$14:$L$18,10,FALSE)/2,IF($H275&lt;L$2,VLOOKUP($G275,Depreciation!$A$14:$L$18,10,FALSE),0))</f>
        <v>2.7856818539452578E-2</v>
      </c>
      <c r="M275" s="306">
        <f>+IF($H275=M$2,VLOOKUP($G275,Depreciation!$A$14:$L$18,11,FALSE)/2,IF($H275&lt;M$2,VLOOKUP($G275,Depreciation!$A$14:$L$18,11,FALSE),0))</f>
        <v>2.7856818539452578E-2</v>
      </c>
      <c r="N275" s="306">
        <f>+IF($H275=N$2,VLOOKUP($G275,Depreciation!$A$14:$L$18,12,FALSE)/2,IF($H275&lt;N$2,VLOOKUP($G275,Depreciation!$A$14:$L$18,12,FALSE),0))</f>
        <v>2.7856818539452578E-2</v>
      </c>
      <c r="O275" s="307">
        <f t="shared" si="37"/>
        <v>0</v>
      </c>
      <c r="P275" s="732">
        <v>0</v>
      </c>
      <c r="Q275" s="733">
        <v>1</v>
      </c>
      <c r="R275" s="734">
        <f t="shared" si="38"/>
        <v>0</v>
      </c>
      <c r="S275" s="735">
        <f t="shared" si="39"/>
        <v>0</v>
      </c>
      <c r="T275" s="735">
        <f t="shared" si="40"/>
        <v>0</v>
      </c>
      <c r="U275" s="735">
        <f t="shared" si="41"/>
        <v>0</v>
      </c>
      <c r="V275" s="736">
        <f t="shared" si="42"/>
        <v>0</v>
      </c>
      <c r="W275" s="735">
        <f t="shared" si="43"/>
        <v>0</v>
      </c>
      <c r="X275" s="737">
        <f t="shared" si="44"/>
        <v>0</v>
      </c>
      <c r="Y275" s="738">
        <f t="shared" si="45"/>
        <v>0</v>
      </c>
      <c r="Z275" s="627"/>
    </row>
    <row r="276" spans="1:26">
      <c r="A276" s="336" t="s">
        <v>1310</v>
      </c>
      <c r="B276" s="336">
        <v>1354</v>
      </c>
      <c r="C276" s="336">
        <v>138</v>
      </c>
      <c r="D276" s="332">
        <v>25</v>
      </c>
      <c r="E276" s="336" t="s">
        <v>1993</v>
      </c>
      <c r="F276" s="338">
        <v>2523427.6016106843</v>
      </c>
      <c r="G276" s="336" t="s">
        <v>64</v>
      </c>
      <c r="H276" s="336">
        <v>2017</v>
      </c>
      <c r="I276" s="306">
        <f>+IF($H276=I$2,VLOOKUP($G276,Depreciation!$A$14:$L$18,7,FALSE)/2,IF($H276&lt;I$2,VLOOKUP($G276,Depreciation!$A$14:$L$18,7,FALSE),0))</f>
        <v>0</v>
      </c>
      <c r="J276" s="306">
        <f>+IF($H276=J$2,VLOOKUP($G276,Depreciation!$A$14:$L$18,8,FALSE)/2,IF($H276&lt;J$2,VLOOKUP($G276,Depreciation!$A$14:$L$18,8,FALSE),0))</f>
        <v>0</v>
      </c>
      <c r="K276" s="306">
        <f>+IF($H276=K$2,VLOOKUP($G276,Depreciation!$A$14:$L$18,9,FALSE)/2,IF($H276&lt;K$2,VLOOKUP($G276,Depreciation!$A$14:$L$18,9,FALSE),0))</f>
        <v>1.3928409269726289E-2</v>
      </c>
      <c r="L276" s="306">
        <f>+IF($H276=L$2,VLOOKUP($G276,Depreciation!$A$14:$L$18,10,FALSE)/2,IF($H276&lt;L$2,VLOOKUP($G276,Depreciation!$A$14:$L$18,10,FALSE),0))</f>
        <v>2.7856818539452578E-2</v>
      </c>
      <c r="M276" s="306">
        <f>+IF($H276=M$2,VLOOKUP($G276,Depreciation!$A$14:$L$18,11,FALSE)/2,IF($H276&lt;M$2,VLOOKUP($G276,Depreciation!$A$14:$L$18,11,FALSE),0))</f>
        <v>2.7856818539452578E-2</v>
      </c>
      <c r="N276" s="306">
        <f>+IF($H276=N$2,VLOOKUP($G276,Depreciation!$A$14:$L$18,12,FALSE)/2,IF($H276&lt;N$2,VLOOKUP($G276,Depreciation!$A$14:$L$18,12,FALSE),0))</f>
        <v>2.7856818539452578E-2</v>
      </c>
      <c r="O276" s="307">
        <f t="shared" si="37"/>
        <v>0</v>
      </c>
      <c r="P276" s="732">
        <v>0</v>
      </c>
      <c r="Q276" s="733">
        <v>1</v>
      </c>
      <c r="R276" s="734">
        <f t="shared" si="38"/>
        <v>0</v>
      </c>
      <c r="S276" s="735">
        <f t="shared" si="39"/>
        <v>0</v>
      </c>
      <c r="T276" s="735">
        <f t="shared" si="40"/>
        <v>0</v>
      </c>
      <c r="U276" s="735">
        <f t="shared" si="41"/>
        <v>0</v>
      </c>
      <c r="V276" s="736">
        <f t="shared" si="42"/>
        <v>0</v>
      </c>
      <c r="W276" s="735">
        <f t="shared" si="43"/>
        <v>0</v>
      </c>
      <c r="X276" s="737">
        <f t="shared" si="44"/>
        <v>0</v>
      </c>
      <c r="Y276" s="738">
        <f t="shared" si="45"/>
        <v>0</v>
      </c>
      <c r="Z276" s="627"/>
    </row>
    <row r="277" spans="1:26">
      <c r="A277" s="336" t="s">
        <v>1313</v>
      </c>
      <c r="B277" s="336">
        <v>1354</v>
      </c>
      <c r="C277" s="336">
        <v>138</v>
      </c>
      <c r="D277" s="332">
        <v>25</v>
      </c>
      <c r="E277" s="336" t="s">
        <v>1994</v>
      </c>
      <c r="F277" s="338">
        <v>114690.57505760195</v>
      </c>
      <c r="G277" s="336" t="s">
        <v>64</v>
      </c>
      <c r="H277" s="336">
        <v>2017</v>
      </c>
      <c r="I277" s="306">
        <f>+IF($H277=I$2,VLOOKUP($G277,Depreciation!$A$14:$L$18,7,FALSE)/2,IF($H277&lt;I$2,VLOOKUP($G277,Depreciation!$A$14:$L$18,7,FALSE),0))</f>
        <v>0</v>
      </c>
      <c r="J277" s="306">
        <f>+IF($H277=J$2,VLOOKUP($G277,Depreciation!$A$14:$L$18,8,FALSE)/2,IF($H277&lt;J$2,VLOOKUP($G277,Depreciation!$A$14:$L$18,8,FALSE),0))</f>
        <v>0</v>
      </c>
      <c r="K277" s="306">
        <f>+IF($H277=K$2,VLOOKUP($G277,Depreciation!$A$14:$L$18,9,FALSE)/2,IF($H277&lt;K$2,VLOOKUP($G277,Depreciation!$A$14:$L$18,9,FALSE),0))</f>
        <v>1.3928409269726289E-2</v>
      </c>
      <c r="L277" s="306">
        <f>+IF($H277=L$2,VLOOKUP($G277,Depreciation!$A$14:$L$18,10,FALSE)/2,IF($H277&lt;L$2,VLOOKUP($G277,Depreciation!$A$14:$L$18,10,FALSE),0))</f>
        <v>2.7856818539452578E-2</v>
      </c>
      <c r="M277" s="306">
        <f>+IF($H277=M$2,VLOOKUP($G277,Depreciation!$A$14:$L$18,11,FALSE)/2,IF($H277&lt;M$2,VLOOKUP($G277,Depreciation!$A$14:$L$18,11,FALSE),0))</f>
        <v>2.7856818539452578E-2</v>
      </c>
      <c r="N277" s="306">
        <f>+IF($H277=N$2,VLOOKUP($G277,Depreciation!$A$14:$L$18,12,FALSE)/2,IF($H277&lt;N$2,VLOOKUP($G277,Depreciation!$A$14:$L$18,12,FALSE),0))</f>
        <v>2.7856818539452578E-2</v>
      </c>
      <c r="O277" s="307">
        <f t="shared" si="37"/>
        <v>0</v>
      </c>
      <c r="P277" s="732">
        <v>0</v>
      </c>
      <c r="Q277" s="733">
        <v>0</v>
      </c>
      <c r="R277" s="734">
        <f t="shared" si="38"/>
        <v>1</v>
      </c>
      <c r="S277" s="735">
        <f t="shared" si="39"/>
        <v>0</v>
      </c>
      <c r="T277" s="735">
        <f t="shared" si="40"/>
        <v>0</v>
      </c>
      <c r="U277" s="735">
        <f t="shared" si="41"/>
        <v>0</v>
      </c>
      <c r="V277" s="736">
        <f t="shared" si="42"/>
        <v>0</v>
      </c>
      <c r="W277" s="735">
        <f t="shared" si="43"/>
        <v>0</v>
      </c>
      <c r="X277" s="737">
        <f t="shared" si="44"/>
        <v>0</v>
      </c>
      <c r="Y277" s="738">
        <f t="shared" si="45"/>
        <v>0</v>
      </c>
      <c r="Z277" s="627"/>
    </row>
    <row r="278" spans="1:26">
      <c r="A278" s="336" t="s">
        <v>1311</v>
      </c>
      <c r="B278" s="336">
        <v>1354</v>
      </c>
      <c r="C278" s="336">
        <v>138</v>
      </c>
      <c r="D278" s="332">
        <v>138</v>
      </c>
      <c r="E278" s="336" t="s">
        <v>1985</v>
      </c>
      <c r="F278" s="338">
        <v>1396717.4283952755</v>
      </c>
      <c r="G278" s="336" t="s">
        <v>64</v>
      </c>
      <c r="H278" s="336">
        <v>2017</v>
      </c>
      <c r="I278" s="306">
        <f>+IF($H278=I$2,VLOOKUP($G278,Depreciation!$A$14:$L$18,7,FALSE)/2,IF($H278&lt;I$2,VLOOKUP($G278,Depreciation!$A$14:$L$18,7,FALSE),0))</f>
        <v>0</v>
      </c>
      <c r="J278" s="306">
        <f>+IF($H278=J$2,VLOOKUP($G278,Depreciation!$A$14:$L$18,8,FALSE)/2,IF($H278&lt;J$2,VLOOKUP($G278,Depreciation!$A$14:$L$18,8,FALSE),0))</f>
        <v>0</v>
      </c>
      <c r="K278" s="306">
        <f>+IF($H278=K$2,VLOOKUP($G278,Depreciation!$A$14:$L$18,9,FALSE)/2,IF($H278&lt;K$2,VLOOKUP($G278,Depreciation!$A$14:$L$18,9,FALSE),0))</f>
        <v>1.3928409269726289E-2</v>
      </c>
      <c r="L278" s="306">
        <f>+IF($H278=L$2,VLOOKUP($G278,Depreciation!$A$14:$L$18,10,FALSE)/2,IF($H278&lt;L$2,VLOOKUP($G278,Depreciation!$A$14:$L$18,10,FALSE),0))</f>
        <v>2.7856818539452578E-2</v>
      </c>
      <c r="M278" s="306">
        <f>+IF($H278=M$2,VLOOKUP($G278,Depreciation!$A$14:$L$18,11,FALSE)/2,IF($H278&lt;M$2,VLOOKUP($G278,Depreciation!$A$14:$L$18,11,FALSE),0))</f>
        <v>2.7856818539452578E-2</v>
      </c>
      <c r="N278" s="306">
        <f>+IF($H278=N$2,VLOOKUP($G278,Depreciation!$A$14:$L$18,12,FALSE)/2,IF($H278&lt;N$2,VLOOKUP($G278,Depreciation!$A$14:$L$18,12,FALSE),0))</f>
        <v>2.7856818539452578E-2</v>
      </c>
      <c r="O278" s="307">
        <f t="shared" si="37"/>
        <v>0</v>
      </c>
      <c r="P278" s="732">
        <v>0</v>
      </c>
      <c r="Q278" s="733">
        <v>0</v>
      </c>
      <c r="R278" s="734">
        <f t="shared" si="38"/>
        <v>1</v>
      </c>
      <c r="S278" s="735">
        <f t="shared" si="39"/>
        <v>0</v>
      </c>
      <c r="T278" s="735">
        <f t="shared" si="40"/>
        <v>0</v>
      </c>
      <c r="U278" s="735">
        <f t="shared" si="41"/>
        <v>0</v>
      </c>
      <c r="V278" s="736">
        <f t="shared" si="42"/>
        <v>0</v>
      </c>
      <c r="W278" s="735">
        <f t="shared" si="43"/>
        <v>0</v>
      </c>
      <c r="X278" s="737">
        <f t="shared" si="44"/>
        <v>0</v>
      </c>
      <c r="Y278" s="738">
        <f t="shared" si="45"/>
        <v>0</v>
      </c>
      <c r="Z278" s="627"/>
    </row>
    <row r="279" spans="1:26">
      <c r="A279" s="336" t="s">
        <v>1943</v>
      </c>
      <c r="B279" s="336">
        <v>1364</v>
      </c>
      <c r="C279" s="336">
        <v>138</v>
      </c>
      <c r="D279" s="332">
        <v>25</v>
      </c>
      <c r="E279" s="336" t="s">
        <v>1995</v>
      </c>
      <c r="F279" s="338">
        <v>57289.359501696126</v>
      </c>
      <c r="G279" s="336" t="s">
        <v>4</v>
      </c>
      <c r="H279" s="336">
        <v>2015</v>
      </c>
      <c r="I279" s="306">
        <f>+IF($H279=I$2,VLOOKUP($G279,Depreciation!$A$14:$L$18,7,FALSE)/2,IF($H279&lt;I$2,VLOOKUP($G279,Depreciation!$A$14:$L$18,7,FALSE),0))</f>
        <v>1.7228380322441735E-2</v>
      </c>
      <c r="J279" s="306">
        <f>+IF($H279=J$2,VLOOKUP($G279,Depreciation!$A$14:$L$18,8,FALSE)/2,IF($H279&lt;J$2,VLOOKUP($G279,Depreciation!$A$14:$L$18,8,FALSE),0))</f>
        <v>3.343407856743718E-2</v>
      </c>
      <c r="K279" s="306">
        <f>+IF($H279=K$2,VLOOKUP($G279,Depreciation!$A$14:$L$18,9,FALSE)/2,IF($H279&lt;K$2,VLOOKUP($G279,Depreciation!$A$14:$L$18,9,FALSE),0))</f>
        <v>3.343407856743718E-2</v>
      </c>
      <c r="L279" s="306">
        <f>+IF($H279=L$2,VLOOKUP($G279,Depreciation!$A$14:$L$18,10,FALSE)/2,IF($H279&lt;L$2,VLOOKUP($G279,Depreciation!$A$14:$L$18,10,FALSE),0))</f>
        <v>3.343407856743718E-2</v>
      </c>
      <c r="M279" s="306">
        <f>+IF($H279=M$2,VLOOKUP($G279,Depreciation!$A$14:$L$18,11,FALSE)/2,IF($H279&lt;M$2,VLOOKUP($G279,Depreciation!$A$14:$L$18,11,FALSE),0))</f>
        <v>3.343407856743718E-2</v>
      </c>
      <c r="N279" s="306">
        <f>+IF($H279=N$2,VLOOKUP($G279,Depreciation!$A$14:$L$18,12,FALSE)/2,IF($H279&lt;N$2,VLOOKUP($G279,Depreciation!$A$14:$L$18,12,FALSE),0))</f>
        <v>3.343407856743718E-2</v>
      </c>
      <c r="O279" s="307">
        <f t="shared" si="37"/>
        <v>56302.356627771813</v>
      </c>
      <c r="P279" s="732">
        <v>0</v>
      </c>
      <c r="Q279" s="733">
        <v>1</v>
      </c>
      <c r="R279" s="734">
        <f t="shared" si="38"/>
        <v>0</v>
      </c>
      <c r="S279" s="735">
        <f t="shared" si="39"/>
        <v>0</v>
      </c>
      <c r="T279" s="735">
        <f t="shared" si="40"/>
        <v>56302.356627771813</v>
      </c>
      <c r="U279" s="735">
        <f t="shared" si="41"/>
        <v>0</v>
      </c>
      <c r="V279" s="736">
        <f t="shared" si="42"/>
        <v>0</v>
      </c>
      <c r="W279" s="735">
        <f t="shared" si="43"/>
        <v>0</v>
      </c>
      <c r="X279" s="737">
        <f t="shared" si="44"/>
        <v>0</v>
      </c>
      <c r="Y279" s="738">
        <f t="shared" si="45"/>
        <v>56302.356627771813</v>
      </c>
      <c r="Z279" s="627"/>
    </row>
    <row r="280" spans="1:26">
      <c r="A280" s="336" t="s">
        <v>1944</v>
      </c>
      <c r="B280" s="336">
        <v>1364</v>
      </c>
      <c r="C280" s="336">
        <v>138</v>
      </c>
      <c r="D280" s="332">
        <v>25</v>
      </c>
      <c r="E280" s="336" t="s">
        <v>1996</v>
      </c>
      <c r="F280" s="338">
        <v>8476582.5247856006</v>
      </c>
      <c r="G280" s="336" t="s">
        <v>4</v>
      </c>
      <c r="H280" s="336">
        <v>2015</v>
      </c>
      <c r="I280" s="306">
        <f>+IF($H280=I$2,VLOOKUP($G280,Depreciation!$A$14:$L$18,7,FALSE)/2,IF($H280&lt;I$2,VLOOKUP($G280,Depreciation!$A$14:$L$18,7,FALSE),0))</f>
        <v>1.7228380322441735E-2</v>
      </c>
      <c r="J280" s="306">
        <f>+IF($H280=J$2,VLOOKUP($G280,Depreciation!$A$14:$L$18,8,FALSE)/2,IF($H280&lt;J$2,VLOOKUP($G280,Depreciation!$A$14:$L$18,8,FALSE),0))</f>
        <v>3.343407856743718E-2</v>
      </c>
      <c r="K280" s="306">
        <f>+IF($H280=K$2,VLOOKUP($G280,Depreciation!$A$14:$L$18,9,FALSE)/2,IF($H280&lt;K$2,VLOOKUP($G280,Depreciation!$A$14:$L$18,9,FALSE),0))</f>
        <v>3.343407856743718E-2</v>
      </c>
      <c r="L280" s="306">
        <f>+IF($H280=L$2,VLOOKUP($G280,Depreciation!$A$14:$L$18,10,FALSE)/2,IF($H280&lt;L$2,VLOOKUP($G280,Depreciation!$A$14:$L$18,10,FALSE),0))</f>
        <v>3.343407856743718E-2</v>
      </c>
      <c r="M280" s="306">
        <f>+IF($H280=M$2,VLOOKUP($G280,Depreciation!$A$14:$L$18,11,FALSE)/2,IF($H280&lt;M$2,VLOOKUP($G280,Depreciation!$A$14:$L$18,11,FALSE),0))</f>
        <v>3.343407856743718E-2</v>
      </c>
      <c r="N280" s="306">
        <f>+IF($H280=N$2,VLOOKUP($G280,Depreciation!$A$14:$L$18,12,FALSE)/2,IF($H280&lt;N$2,VLOOKUP($G280,Depreciation!$A$14:$L$18,12,FALSE),0))</f>
        <v>3.343407856743718E-2</v>
      </c>
      <c r="O280" s="307">
        <f t="shared" si="37"/>
        <v>8330544.7372140307</v>
      </c>
      <c r="P280" s="732">
        <v>0</v>
      </c>
      <c r="Q280" s="733">
        <v>1</v>
      </c>
      <c r="R280" s="734">
        <f t="shared" si="38"/>
        <v>0</v>
      </c>
      <c r="S280" s="735">
        <f t="shared" si="39"/>
        <v>0</v>
      </c>
      <c r="T280" s="735">
        <f t="shared" si="40"/>
        <v>8330544.7372140307</v>
      </c>
      <c r="U280" s="735">
        <f t="shared" si="41"/>
        <v>0</v>
      </c>
      <c r="V280" s="736">
        <f t="shared" si="42"/>
        <v>0</v>
      </c>
      <c r="W280" s="735">
        <f t="shared" si="43"/>
        <v>0</v>
      </c>
      <c r="X280" s="737">
        <f t="shared" si="44"/>
        <v>0</v>
      </c>
      <c r="Y280" s="738">
        <f t="shared" si="45"/>
        <v>8330544.7372140307</v>
      </c>
      <c r="Z280" s="627"/>
    </row>
    <row r="281" spans="1:26">
      <c r="A281" s="336" t="s">
        <v>1945</v>
      </c>
      <c r="B281" s="336">
        <v>1364</v>
      </c>
      <c r="C281" s="336">
        <v>240</v>
      </c>
      <c r="D281" s="332">
        <v>138</v>
      </c>
      <c r="E281" s="336" t="s">
        <v>1963</v>
      </c>
      <c r="F281" s="338">
        <v>57289.359501696126</v>
      </c>
      <c r="G281" s="336" t="s">
        <v>4</v>
      </c>
      <c r="H281" s="336">
        <v>2015</v>
      </c>
      <c r="I281" s="306">
        <f>+IF($H281=I$2,VLOOKUP($G281,Depreciation!$A$14:$L$18,7,FALSE)/2,IF($H281&lt;I$2,VLOOKUP($G281,Depreciation!$A$14:$L$18,7,FALSE),0))</f>
        <v>1.7228380322441735E-2</v>
      </c>
      <c r="J281" s="306">
        <f>+IF($H281=J$2,VLOOKUP($G281,Depreciation!$A$14:$L$18,8,FALSE)/2,IF($H281&lt;J$2,VLOOKUP($G281,Depreciation!$A$14:$L$18,8,FALSE),0))</f>
        <v>3.343407856743718E-2</v>
      </c>
      <c r="K281" s="306">
        <f>+IF($H281=K$2,VLOOKUP($G281,Depreciation!$A$14:$L$18,9,FALSE)/2,IF($H281&lt;K$2,VLOOKUP($G281,Depreciation!$A$14:$L$18,9,FALSE),0))</f>
        <v>3.343407856743718E-2</v>
      </c>
      <c r="L281" s="306">
        <f>+IF($H281=L$2,VLOOKUP($G281,Depreciation!$A$14:$L$18,10,FALSE)/2,IF($H281&lt;L$2,VLOOKUP($G281,Depreciation!$A$14:$L$18,10,FALSE),0))</f>
        <v>3.343407856743718E-2</v>
      </c>
      <c r="M281" s="306">
        <f>+IF($H281=M$2,VLOOKUP($G281,Depreciation!$A$14:$L$18,11,FALSE)/2,IF($H281&lt;M$2,VLOOKUP($G281,Depreciation!$A$14:$L$18,11,FALSE),0))</f>
        <v>3.343407856743718E-2</v>
      </c>
      <c r="N281" s="306">
        <f>+IF($H281=N$2,VLOOKUP($G281,Depreciation!$A$14:$L$18,12,FALSE)/2,IF($H281&lt;N$2,VLOOKUP($G281,Depreciation!$A$14:$L$18,12,FALSE),0))</f>
        <v>3.343407856743718E-2</v>
      </c>
      <c r="O281" s="307">
        <f t="shared" si="37"/>
        <v>56302.356627771813</v>
      </c>
      <c r="P281" s="732">
        <v>0</v>
      </c>
      <c r="Q281" s="733">
        <v>0</v>
      </c>
      <c r="R281" s="734">
        <f t="shared" si="38"/>
        <v>1</v>
      </c>
      <c r="S281" s="735">
        <f t="shared" si="39"/>
        <v>0</v>
      </c>
      <c r="T281" s="735">
        <f t="shared" si="40"/>
        <v>0</v>
      </c>
      <c r="U281" s="735">
        <f t="shared" si="41"/>
        <v>56302.356627771813</v>
      </c>
      <c r="V281" s="736">
        <f t="shared" si="42"/>
        <v>0</v>
      </c>
      <c r="W281" s="735">
        <f t="shared" si="43"/>
        <v>0</v>
      </c>
      <c r="X281" s="737">
        <f t="shared" si="44"/>
        <v>56302.356627771813</v>
      </c>
      <c r="Y281" s="738">
        <f t="shared" si="45"/>
        <v>0</v>
      </c>
      <c r="Z281" s="627"/>
    </row>
    <row r="282" spans="1:26">
      <c r="A282" s="336" t="s">
        <v>1517</v>
      </c>
      <c r="B282" s="336">
        <v>1381</v>
      </c>
      <c r="C282" s="336">
        <v>240</v>
      </c>
      <c r="D282" s="332">
        <v>138</v>
      </c>
      <c r="E282" s="336" t="s">
        <v>1630</v>
      </c>
      <c r="F282" s="338">
        <v>5362918.7901881374</v>
      </c>
      <c r="G282" s="336" t="s">
        <v>4</v>
      </c>
      <c r="H282" s="336">
        <v>2019</v>
      </c>
      <c r="I282" s="306">
        <f>+IF($H282=I$2,VLOOKUP($G282,Depreciation!$A$14:$L$18,7,FALSE)/2,IF($H282&lt;I$2,VLOOKUP($G282,Depreciation!$A$14:$L$18,7,FALSE),0))</f>
        <v>0</v>
      </c>
      <c r="J282" s="306">
        <f>+IF($H282=J$2,VLOOKUP($G282,Depreciation!$A$14:$L$18,8,FALSE)/2,IF($H282&lt;J$2,VLOOKUP($G282,Depreciation!$A$14:$L$18,8,FALSE),0))</f>
        <v>0</v>
      </c>
      <c r="K282" s="306">
        <f>+IF($H282=K$2,VLOOKUP($G282,Depreciation!$A$14:$L$18,9,FALSE)/2,IF($H282&lt;K$2,VLOOKUP($G282,Depreciation!$A$14:$L$18,9,FALSE),0))</f>
        <v>0</v>
      </c>
      <c r="L282" s="306">
        <f>+IF($H282=L$2,VLOOKUP($G282,Depreciation!$A$14:$L$18,10,FALSE)/2,IF($H282&lt;L$2,VLOOKUP($G282,Depreciation!$A$14:$L$18,10,FALSE),0))</f>
        <v>0</v>
      </c>
      <c r="M282" s="306">
        <f>+IF($H282=M$2,VLOOKUP($G282,Depreciation!$A$14:$L$18,11,FALSE)/2,IF($H282&lt;M$2,VLOOKUP($G282,Depreciation!$A$14:$L$18,11,FALSE),0))</f>
        <v>1.671703928371859E-2</v>
      </c>
      <c r="N282" s="306">
        <f>+IF($H282=N$2,VLOOKUP($G282,Depreciation!$A$14:$L$18,12,FALSE)/2,IF($H282&lt;N$2,VLOOKUP($G282,Depreciation!$A$14:$L$18,12,FALSE),0))</f>
        <v>3.343407856743718E-2</v>
      </c>
      <c r="O282" s="307">
        <f t="shared" si="37"/>
        <v>0</v>
      </c>
      <c r="P282" s="732">
        <v>0</v>
      </c>
      <c r="Q282" s="733">
        <v>0</v>
      </c>
      <c r="R282" s="734">
        <f t="shared" si="38"/>
        <v>1</v>
      </c>
      <c r="S282" s="735">
        <f t="shared" si="39"/>
        <v>0</v>
      </c>
      <c r="T282" s="735">
        <f t="shared" si="40"/>
        <v>0</v>
      </c>
      <c r="U282" s="735">
        <f t="shared" si="41"/>
        <v>0</v>
      </c>
      <c r="V282" s="736">
        <f t="shared" si="42"/>
        <v>0</v>
      </c>
      <c r="W282" s="735">
        <f t="shared" si="43"/>
        <v>0</v>
      </c>
      <c r="X282" s="737">
        <f t="shared" si="44"/>
        <v>0</v>
      </c>
      <c r="Y282" s="738">
        <f t="shared" si="45"/>
        <v>0</v>
      </c>
      <c r="Z282" s="627"/>
    </row>
    <row r="283" spans="1:26">
      <c r="A283" s="336" t="s">
        <v>1309</v>
      </c>
      <c r="B283" s="336">
        <v>1394</v>
      </c>
      <c r="C283" s="336">
        <v>240</v>
      </c>
      <c r="D283" s="332">
        <v>25</v>
      </c>
      <c r="E283" s="336" t="s">
        <v>1631</v>
      </c>
      <c r="F283" s="338">
        <v>5221999.9999999972</v>
      </c>
      <c r="G283" s="336" t="s">
        <v>4</v>
      </c>
      <c r="H283" s="336">
        <v>2015</v>
      </c>
      <c r="I283" s="306">
        <f>+IF($H283=I$2,VLOOKUP($G283,Depreciation!$A$14:$L$18,7,FALSE)/2,IF($H283&lt;I$2,VLOOKUP($G283,Depreciation!$A$14:$L$18,7,FALSE),0))</f>
        <v>1.7228380322441735E-2</v>
      </c>
      <c r="J283" s="306">
        <f>+IF($H283=J$2,VLOOKUP($G283,Depreciation!$A$14:$L$18,8,FALSE)/2,IF($H283&lt;J$2,VLOOKUP($G283,Depreciation!$A$14:$L$18,8,FALSE),0))</f>
        <v>3.343407856743718E-2</v>
      </c>
      <c r="K283" s="306">
        <f>+IF($H283=K$2,VLOOKUP($G283,Depreciation!$A$14:$L$18,9,FALSE)/2,IF($H283&lt;K$2,VLOOKUP($G283,Depreciation!$A$14:$L$18,9,FALSE),0))</f>
        <v>3.343407856743718E-2</v>
      </c>
      <c r="L283" s="306">
        <f>+IF($H283=L$2,VLOOKUP($G283,Depreciation!$A$14:$L$18,10,FALSE)/2,IF($H283&lt;L$2,VLOOKUP($G283,Depreciation!$A$14:$L$18,10,FALSE),0))</f>
        <v>3.343407856743718E-2</v>
      </c>
      <c r="M283" s="306">
        <f>+IF($H283=M$2,VLOOKUP($G283,Depreciation!$A$14:$L$18,11,FALSE)/2,IF($H283&lt;M$2,VLOOKUP($G283,Depreciation!$A$14:$L$18,11,FALSE),0))</f>
        <v>3.343407856743718E-2</v>
      </c>
      <c r="N283" s="306">
        <f>+IF($H283=N$2,VLOOKUP($G283,Depreciation!$A$14:$L$18,12,FALSE)/2,IF($H283&lt;N$2,VLOOKUP($G283,Depreciation!$A$14:$L$18,12,FALSE),0))</f>
        <v>3.343407856743718E-2</v>
      </c>
      <c r="O283" s="307">
        <f t="shared" si="37"/>
        <v>5132033.3979562065</v>
      </c>
      <c r="P283" s="732">
        <v>0</v>
      </c>
      <c r="Q283" s="733">
        <v>1</v>
      </c>
      <c r="R283" s="734">
        <f t="shared" si="38"/>
        <v>0</v>
      </c>
      <c r="S283" s="735">
        <f t="shared" si="39"/>
        <v>0</v>
      </c>
      <c r="T283" s="735">
        <f t="shared" si="40"/>
        <v>5132033.3979562065</v>
      </c>
      <c r="U283" s="735">
        <f t="shared" si="41"/>
        <v>0</v>
      </c>
      <c r="V283" s="736">
        <f t="shared" si="42"/>
        <v>0</v>
      </c>
      <c r="W283" s="735">
        <f t="shared" si="43"/>
        <v>0</v>
      </c>
      <c r="X283" s="737">
        <f t="shared" si="44"/>
        <v>0</v>
      </c>
      <c r="Y283" s="738">
        <f t="shared" si="45"/>
        <v>5132033.3979562065</v>
      </c>
      <c r="Z283" s="627"/>
    </row>
    <row r="284" spans="1:26">
      <c r="A284" s="336" t="s">
        <v>1477</v>
      </c>
      <c r="B284" s="336">
        <v>1404</v>
      </c>
      <c r="C284" s="336">
        <v>240</v>
      </c>
      <c r="D284" s="332">
        <v>240</v>
      </c>
      <c r="E284" s="336" t="s">
        <v>1585</v>
      </c>
      <c r="F284" s="338">
        <v>278684.58054174558</v>
      </c>
      <c r="G284" s="336" t="s">
        <v>4</v>
      </c>
      <c r="H284" s="336">
        <v>2017</v>
      </c>
      <c r="I284" s="306">
        <f>+IF($H284=I$2,VLOOKUP($G284,Depreciation!$A$14:$L$18,7,FALSE)/2,IF($H284&lt;I$2,VLOOKUP($G284,Depreciation!$A$14:$L$18,7,FALSE),0))</f>
        <v>0</v>
      </c>
      <c r="J284" s="306">
        <f>+IF($H284=J$2,VLOOKUP($G284,Depreciation!$A$14:$L$18,8,FALSE)/2,IF($H284&lt;J$2,VLOOKUP($G284,Depreciation!$A$14:$L$18,8,FALSE),0))</f>
        <v>0</v>
      </c>
      <c r="K284" s="306">
        <f>+IF($H284=K$2,VLOOKUP($G284,Depreciation!$A$14:$L$18,9,FALSE)/2,IF($H284&lt;K$2,VLOOKUP($G284,Depreciation!$A$14:$L$18,9,FALSE),0))</f>
        <v>1.671703928371859E-2</v>
      </c>
      <c r="L284" s="306">
        <f>+IF($H284=L$2,VLOOKUP($G284,Depreciation!$A$14:$L$18,10,FALSE)/2,IF($H284&lt;L$2,VLOOKUP($G284,Depreciation!$A$14:$L$18,10,FALSE),0))</f>
        <v>3.343407856743718E-2</v>
      </c>
      <c r="M284" s="306">
        <f>+IF($H284=M$2,VLOOKUP($G284,Depreciation!$A$14:$L$18,11,FALSE)/2,IF($H284&lt;M$2,VLOOKUP($G284,Depreciation!$A$14:$L$18,11,FALSE),0))</f>
        <v>3.343407856743718E-2</v>
      </c>
      <c r="N284" s="306">
        <f>+IF($H284=N$2,VLOOKUP($G284,Depreciation!$A$14:$L$18,12,FALSE)/2,IF($H284&lt;N$2,VLOOKUP($G284,Depreciation!$A$14:$L$18,12,FALSE),0))</f>
        <v>3.343407856743718E-2</v>
      </c>
      <c r="O284" s="307">
        <f t="shared" si="37"/>
        <v>0</v>
      </c>
      <c r="P284" s="732">
        <v>0</v>
      </c>
      <c r="Q284" s="733">
        <v>0</v>
      </c>
      <c r="R284" s="734">
        <f t="shared" si="38"/>
        <v>1</v>
      </c>
      <c r="S284" s="735">
        <f t="shared" si="39"/>
        <v>0</v>
      </c>
      <c r="T284" s="735">
        <f t="shared" si="40"/>
        <v>0</v>
      </c>
      <c r="U284" s="735">
        <f t="shared" si="41"/>
        <v>0</v>
      </c>
      <c r="V284" s="736">
        <f t="shared" si="42"/>
        <v>0</v>
      </c>
      <c r="W284" s="735">
        <f t="shared" si="43"/>
        <v>0</v>
      </c>
      <c r="X284" s="737">
        <f t="shared" si="44"/>
        <v>0</v>
      </c>
      <c r="Y284" s="738">
        <f t="shared" si="45"/>
        <v>0</v>
      </c>
      <c r="Z284" s="627"/>
    </row>
    <row r="285" spans="1:26">
      <c r="A285" s="336" t="s">
        <v>1480</v>
      </c>
      <c r="B285" s="336">
        <v>1404</v>
      </c>
      <c r="C285" s="336">
        <v>240</v>
      </c>
      <c r="D285" s="332">
        <v>25</v>
      </c>
      <c r="E285" s="336" t="s">
        <v>1632</v>
      </c>
      <c r="F285" s="338">
        <v>404849.17125705519</v>
      </c>
      <c r="G285" s="336" t="s">
        <v>4</v>
      </c>
      <c r="H285" s="336">
        <v>2017</v>
      </c>
      <c r="I285" s="306">
        <f>+IF($H285=I$2,VLOOKUP($G285,Depreciation!$A$14:$L$18,7,FALSE)/2,IF($H285&lt;I$2,VLOOKUP($G285,Depreciation!$A$14:$L$18,7,FALSE),0))</f>
        <v>0</v>
      </c>
      <c r="J285" s="306">
        <f>+IF($H285=J$2,VLOOKUP($G285,Depreciation!$A$14:$L$18,8,FALSE)/2,IF($H285&lt;J$2,VLOOKUP($G285,Depreciation!$A$14:$L$18,8,FALSE),0))</f>
        <v>0</v>
      </c>
      <c r="K285" s="306">
        <f>+IF($H285=K$2,VLOOKUP($G285,Depreciation!$A$14:$L$18,9,FALSE)/2,IF($H285&lt;K$2,VLOOKUP($G285,Depreciation!$A$14:$L$18,9,FALSE),0))</f>
        <v>1.671703928371859E-2</v>
      </c>
      <c r="L285" s="306">
        <f>+IF($H285=L$2,VLOOKUP($G285,Depreciation!$A$14:$L$18,10,FALSE)/2,IF($H285&lt;L$2,VLOOKUP($G285,Depreciation!$A$14:$L$18,10,FALSE),0))</f>
        <v>3.343407856743718E-2</v>
      </c>
      <c r="M285" s="306">
        <f>+IF($H285=M$2,VLOOKUP($G285,Depreciation!$A$14:$L$18,11,FALSE)/2,IF($H285&lt;M$2,VLOOKUP($G285,Depreciation!$A$14:$L$18,11,FALSE),0))</f>
        <v>3.343407856743718E-2</v>
      </c>
      <c r="N285" s="306">
        <f>+IF($H285=N$2,VLOOKUP($G285,Depreciation!$A$14:$L$18,12,FALSE)/2,IF($H285&lt;N$2,VLOOKUP($G285,Depreciation!$A$14:$L$18,12,FALSE),0))</f>
        <v>3.343407856743718E-2</v>
      </c>
      <c r="O285" s="307">
        <f t="shared" si="37"/>
        <v>0</v>
      </c>
      <c r="P285" s="732">
        <v>0</v>
      </c>
      <c r="Q285" s="733">
        <v>0</v>
      </c>
      <c r="R285" s="734">
        <f t="shared" si="38"/>
        <v>1</v>
      </c>
      <c r="S285" s="735">
        <f t="shared" si="39"/>
        <v>0</v>
      </c>
      <c r="T285" s="735">
        <f t="shared" si="40"/>
        <v>0</v>
      </c>
      <c r="U285" s="735">
        <f t="shared" si="41"/>
        <v>0</v>
      </c>
      <c r="V285" s="736">
        <f t="shared" si="42"/>
        <v>0</v>
      </c>
      <c r="W285" s="735">
        <f t="shared" si="43"/>
        <v>0</v>
      </c>
      <c r="X285" s="737">
        <f t="shared" si="44"/>
        <v>0</v>
      </c>
      <c r="Y285" s="738">
        <f t="shared" si="45"/>
        <v>0</v>
      </c>
      <c r="Z285" s="627"/>
    </row>
    <row r="286" spans="1:26">
      <c r="A286" s="336" t="s">
        <v>1478</v>
      </c>
      <c r="B286" s="336">
        <v>1404</v>
      </c>
      <c r="C286" s="336">
        <v>240</v>
      </c>
      <c r="D286" s="332">
        <v>25</v>
      </c>
      <c r="E286" s="336" t="s">
        <v>1633</v>
      </c>
      <c r="F286" s="338">
        <v>168402.5482694711</v>
      </c>
      <c r="G286" s="336" t="s">
        <v>4</v>
      </c>
      <c r="H286" s="336">
        <v>2017</v>
      </c>
      <c r="I286" s="306">
        <f>+IF($H286=I$2,VLOOKUP($G286,Depreciation!$A$14:$L$18,7,FALSE)/2,IF($H286&lt;I$2,VLOOKUP($G286,Depreciation!$A$14:$L$18,7,FALSE),0))</f>
        <v>0</v>
      </c>
      <c r="J286" s="306">
        <f>+IF($H286=J$2,VLOOKUP($G286,Depreciation!$A$14:$L$18,8,FALSE)/2,IF($H286&lt;J$2,VLOOKUP($G286,Depreciation!$A$14:$L$18,8,FALSE),0))</f>
        <v>0</v>
      </c>
      <c r="K286" s="306">
        <f>+IF($H286=K$2,VLOOKUP($G286,Depreciation!$A$14:$L$18,9,FALSE)/2,IF($H286&lt;K$2,VLOOKUP($G286,Depreciation!$A$14:$L$18,9,FALSE),0))</f>
        <v>1.671703928371859E-2</v>
      </c>
      <c r="L286" s="306">
        <f>+IF($H286=L$2,VLOOKUP($G286,Depreciation!$A$14:$L$18,10,FALSE)/2,IF($H286&lt;L$2,VLOOKUP($G286,Depreciation!$A$14:$L$18,10,FALSE),0))</f>
        <v>3.343407856743718E-2</v>
      </c>
      <c r="M286" s="306">
        <f>+IF($H286=M$2,VLOOKUP($G286,Depreciation!$A$14:$L$18,11,FALSE)/2,IF($H286&lt;M$2,VLOOKUP($G286,Depreciation!$A$14:$L$18,11,FALSE),0))</f>
        <v>3.343407856743718E-2</v>
      </c>
      <c r="N286" s="306">
        <f>+IF($H286=N$2,VLOOKUP($G286,Depreciation!$A$14:$L$18,12,FALSE)/2,IF($H286&lt;N$2,VLOOKUP($G286,Depreciation!$A$14:$L$18,12,FALSE),0))</f>
        <v>3.343407856743718E-2</v>
      </c>
      <c r="O286" s="307">
        <f t="shared" si="37"/>
        <v>0</v>
      </c>
      <c r="P286" s="732">
        <v>0.92307692307692313</v>
      </c>
      <c r="Q286" s="733">
        <v>7.6923076923076927E-2</v>
      </c>
      <c r="R286" s="734">
        <f t="shared" si="38"/>
        <v>0</v>
      </c>
      <c r="S286" s="735">
        <f t="shared" si="39"/>
        <v>0</v>
      </c>
      <c r="T286" s="735">
        <f t="shared" si="40"/>
        <v>0</v>
      </c>
      <c r="U286" s="735">
        <f t="shared" si="41"/>
        <v>0</v>
      </c>
      <c r="V286" s="736">
        <f t="shared" si="42"/>
        <v>0</v>
      </c>
      <c r="W286" s="735">
        <f t="shared" si="43"/>
        <v>0</v>
      </c>
      <c r="X286" s="737">
        <f t="shared" si="44"/>
        <v>0</v>
      </c>
      <c r="Y286" s="738">
        <f t="shared" si="45"/>
        <v>0</v>
      </c>
      <c r="Z286" s="627"/>
    </row>
    <row r="287" spans="1:26">
      <c r="A287" s="336" t="s">
        <v>1447</v>
      </c>
      <c r="B287" s="336">
        <v>1410</v>
      </c>
      <c r="C287" s="336">
        <v>240</v>
      </c>
      <c r="D287" s="332">
        <v>25</v>
      </c>
      <c r="E287" s="336" t="s">
        <v>1603</v>
      </c>
      <c r="F287" s="338">
        <v>15324.249757272422</v>
      </c>
      <c r="G287" s="336" t="s">
        <v>66</v>
      </c>
      <c r="H287" s="336">
        <v>2017</v>
      </c>
      <c r="I287" s="306">
        <f>+IF($H287=I$2,VLOOKUP($G287,Depreciation!$A$14:$L$18,7,FALSE)/2,IF($H287&lt;I$2,VLOOKUP($G287,Depreciation!$A$14:$L$18,7,FALSE),0))</f>
        <v>0</v>
      </c>
      <c r="J287" s="306">
        <f>+IF($H287=J$2,VLOOKUP($G287,Depreciation!$A$14:$L$18,8,FALSE)/2,IF($H287&lt;J$2,VLOOKUP($G287,Depreciation!$A$14:$L$18,8,FALSE),0))</f>
        <v>0</v>
      </c>
      <c r="K287" s="306">
        <f>+IF($H287=K$2,VLOOKUP($G287,Depreciation!$A$14:$L$18,9,FALSE)/2,IF($H287&lt;K$2,VLOOKUP($G287,Depreciation!$A$14:$L$18,9,FALSE),0))</f>
        <v>1.2175768213899416E-2</v>
      </c>
      <c r="L287" s="306">
        <f>+IF($H287=L$2,VLOOKUP($G287,Depreciation!$A$14:$L$18,10,FALSE)/2,IF($H287&lt;L$2,VLOOKUP($G287,Depreciation!$A$14:$L$18,10,FALSE),0))</f>
        <v>2.4351536427798831E-2</v>
      </c>
      <c r="M287" s="306">
        <f>+IF($H287=M$2,VLOOKUP($G287,Depreciation!$A$14:$L$18,11,FALSE)/2,IF($H287&lt;M$2,VLOOKUP($G287,Depreciation!$A$14:$L$18,11,FALSE),0))</f>
        <v>2.4351536427798831E-2</v>
      </c>
      <c r="N287" s="306">
        <f>+IF($H287=N$2,VLOOKUP($G287,Depreciation!$A$14:$L$18,12,FALSE)/2,IF($H287&lt;N$2,VLOOKUP($G287,Depreciation!$A$14:$L$18,12,FALSE),0))</f>
        <v>2.4351536427798831E-2</v>
      </c>
      <c r="O287" s="307">
        <f t="shared" si="37"/>
        <v>0</v>
      </c>
      <c r="P287" s="732">
        <v>0</v>
      </c>
      <c r="Q287" s="733">
        <v>1</v>
      </c>
      <c r="R287" s="734">
        <f t="shared" si="38"/>
        <v>0</v>
      </c>
      <c r="S287" s="735">
        <f t="shared" si="39"/>
        <v>0</v>
      </c>
      <c r="T287" s="735">
        <f t="shared" si="40"/>
        <v>0</v>
      </c>
      <c r="U287" s="735">
        <f t="shared" si="41"/>
        <v>0</v>
      </c>
      <c r="V287" s="736">
        <f t="shared" si="42"/>
        <v>0</v>
      </c>
      <c r="W287" s="735">
        <f t="shared" si="43"/>
        <v>0</v>
      </c>
      <c r="X287" s="737">
        <f t="shared" si="44"/>
        <v>0</v>
      </c>
      <c r="Y287" s="738">
        <f t="shared" si="45"/>
        <v>0</v>
      </c>
      <c r="Z287" s="627"/>
    </row>
    <row r="288" spans="1:26">
      <c r="A288" s="336" t="s">
        <v>1445</v>
      </c>
      <c r="B288" s="336">
        <v>1410</v>
      </c>
      <c r="C288" s="336">
        <v>144</v>
      </c>
      <c r="D288" s="332">
        <v>25</v>
      </c>
      <c r="E288" s="336" t="s">
        <v>1604</v>
      </c>
      <c r="F288" s="338">
        <v>8044760.2895575566</v>
      </c>
      <c r="G288" s="336" t="s">
        <v>66</v>
      </c>
      <c r="H288" s="336">
        <v>2017</v>
      </c>
      <c r="I288" s="306">
        <f>+IF($H288=I$2,VLOOKUP($G288,Depreciation!$A$14:$L$18,7,FALSE)/2,IF($H288&lt;I$2,VLOOKUP($G288,Depreciation!$A$14:$L$18,7,FALSE),0))</f>
        <v>0</v>
      </c>
      <c r="J288" s="306">
        <f>+IF($H288=J$2,VLOOKUP($G288,Depreciation!$A$14:$L$18,8,FALSE)/2,IF($H288&lt;J$2,VLOOKUP($G288,Depreciation!$A$14:$L$18,8,FALSE),0))</f>
        <v>0</v>
      </c>
      <c r="K288" s="306">
        <f>+IF($H288=K$2,VLOOKUP($G288,Depreciation!$A$14:$L$18,9,FALSE)/2,IF($H288&lt;K$2,VLOOKUP($G288,Depreciation!$A$14:$L$18,9,FALSE),0))</f>
        <v>1.2175768213899416E-2</v>
      </c>
      <c r="L288" s="306">
        <f>+IF($H288=L$2,VLOOKUP($G288,Depreciation!$A$14:$L$18,10,FALSE)/2,IF($H288&lt;L$2,VLOOKUP($G288,Depreciation!$A$14:$L$18,10,FALSE),0))</f>
        <v>2.4351536427798831E-2</v>
      </c>
      <c r="M288" s="306">
        <f>+IF($H288=M$2,VLOOKUP($G288,Depreciation!$A$14:$L$18,11,FALSE)/2,IF($H288&lt;M$2,VLOOKUP($G288,Depreciation!$A$14:$L$18,11,FALSE),0))</f>
        <v>2.4351536427798831E-2</v>
      </c>
      <c r="N288" s="306">
        <f>+IF($H288=N$2,VLOOKUP($G288,Depreciation!$A$14:$L$18,12,FALSE)/2,IF($H288&lt;N$2,VLOOKUP($G288,Depreciation!$A$14:$L$18,12,FALSE),0))</f>
        <v>2.4351536427798831E-2</v>
      </c>
      <c r="O288" s="307">
        <f t="shared" si="37"/>
        <v>0</v>
      </c>
      <c r="P288" s="732">
        <v>0</v>
      </c>
      <c r="Q288" s="733">
        <v>0</v>
      </c>
      <c r="R288" s="734">
        <f t="shared" si="38"/>
        <v>1</v>
      </c>
      <c r="S288" s="735">
        <f t="shared" si="39"/>
        <v>0</v>
      </c>
      <c r="T288" s="735">
        <f t="shared" si="40"/>
        <v>0</v>
      </c>
      <c r="U288" s="735">
        <f t="shared" si="41"/>
        <v>0</v>
      </c>
      <c r="V288" s="736">
        <f t="shared" si="42"/>
        <v>0</v>
      </c>
      <c r="W288" s="735">
        <f t="shared" si="43"/>
        <v>0</v>
      </c>
      <c r="X288" s="737">
        <f t="shared" si="44"/>
        <v>0</v>
      </c>
      <c r="Y288" s="738">
        <f t="shared" si="45"/>
        <v>0</v>
      </c>
      <c r="Z288" s="627"/>
    </row>
    <row r="289" spans="1:26">
      <c r="A289" s="336" t="s">
        <v>1306</v>
      </c>
      <c r="B289" s="336">
        <v>1410</v>
      </c>
      <c r="C289" s="336">
        <v>144</v>
      </c>
      <c r="D289" s="332">
        <v>25</v>
      </c>
      <c r="E289" s="336" t="s">
        <v>1618</v>
      </c>
      <c r="F289" s="338">
        <v>3971812.508863166</v>
      </c>
      <c r="G289" s="336" t="s">
        <v>66</v>
      </c>
      <c r="H289" s="336">
        <v>2017</v>
      </c>
      <c r="I289" s="306">
        <f>+IF($H289=I$2,VLOOKUP($G289,Depreciation!$A$14:$L$18,7,FALSE)/2,IF($H289&lt;I$2,VLOOKUP($G289,Depreciation!$A$14:$L$18,7,FALSE),0))</f>
        <v>0</v>
      </c>
      <c r="J289" s="306">
        <f>+IF($H289=J$2,VLOOKUP($G289,Depreciation!$A$14:$L$18,8,FALSE)/2,IF($H289&lt;J$2,VLOOKUP($G289,Depreciation!$A$14:$L$18,8,FALSE),0))</f>
        <v>0</v>
      </c>
      <c r="K289" s="306">
        <f>+IF($H289=K$2,VLOOKUP($G289,Depreciation!$A$14:$L$18,9,FALSE)/2,IF($H289&lt;K$2,VLOOKUP($G289,Depreciation!$A$14:$L$18,9,FALSE),0))</f>
        <v>1.2175768213899416E-2</v>
      </c>
      <c r="L289" s="306">
        <f>+IF($H289=L$2,VLOOKUP($G289,Depreciation!$A$14:$L$18,10,FALSE)/2,IF($H289&lt;L$2,VLOOKUP($G289,Depreciation!$A$14:$L$18,10,FALSE),0))</f>
        <v>2.4351536427798831E-2</v>
      </c>
      <c r="M289" s="306">
        <f>+IF($H289=M$2,VLOOKUP($G289,Depreciation!$A$14:$L$18,11,FALSE)/2,IF($H289&lt;M$2,VLOOKUP($G289,Depreciation!$A$14:$L$18,11,FALSE),0))</f>
        <v>2.4351536427798831E-2</v>
      </c>
      <c r="N289" s="306">
        <f>+IF($H289=N$2,VLOOKUP($G289,Depreciation!$A$14:$L$18,12,FALSE)/2,IF($H289&lt;N$2,VLOOKUP($G289,Depreciation!$A$14:$L$18,12,FALSE),0))</f>
        <v>2.4351536427798831E-2</v>
      </c>
      <c r="O289" s="307">
        <f t="shared" si="37"/>
        <v>0</v>
      </c>
      <c r="P289" s="732">
        <v>0</v>
      </c>
      <c r="Q289" s="733">
        <v>1</v>
      </c>
      <c r="R289" s="734">
        <f t="shared" si="38"/>
        <v>0</v>
      </c>
      <c r="S289" s="735">
        <f t="shared" si="39"/>
        <v>0</v>
      </c>
      <c r="T289" s="735">
        <f t="shared" si="40"/>
        <v>0</v>
      </c>
      <c r="U289" s="735">
        <f t="shared" si="41"/>
        <v>0</v>
      </c>
      <c r="V289" s="736">
        <f t="shared" si="42"/>
        <v>0</v>
      </c>
      <c r="W289" s="735">
        <f t="shared" si="43"/>
        <v>0</v>
      </c>
      <c r="X289" s="737">
        <f t="shared" si="44"/>
        <v>0</v>
      </c>
      <c r="Y289" s="738">
        <f t="shared" si="45"/>
        <v>0</v>
      </c>
      <c r="Z289" s="627"/>
    </row>
    <row r="290" spans="1:26">
      <c r="A290" s="336" t="s">
        <v>1448</v>
      </c>
      <c r="B290" s="336">
        <v>1410</v>
      </c>
      <c r="C290" s="336">
        <v>144</v>
      </c>
      <c r="D290" s="332">
        <v>25</v>
      </c>
      <c r="E290" s="336" t="s">
        <v>1602</v>
      </c>
      <c r="F290" s="338">
        <v>775183.9038130251</v>
      </c>
      <c r="G290" s="336" t="s">
        <v>66</v>
      </c>
      <c r="H290" s="336">
        <v>2017</v>
      </c>
      <c r="I290" s="306">
        <f>+IF($H290=I$2,VLOOKUP($G290,Depreciation!$A$14:$L$18,7,FALSE)/2,IF($H290&lt;I$2,VLOOKUP($G290,Depreciation!$A$14:$L$18,7,FALSE),0))</f>
        <v>0</v>
      </c>
      <c r="J290" s="306">
        <f>+IF($H290=J$2,VLOOKUP($G290,Depreciation!$A$14:$L$18,8,FALSE)/2,IF($H290&lt;J$2,VLOOKUP($G290,Depreciation!$A$14:$L$18,8,FALSE),0))</f>
        <v>0</v>
      </c>
      <c r="K290" s="306">
        <f>+IF($H290=K$2,VLOOKUP($G290,Depreciation!$A$14:$L$18,9,FALSE)/2,IF($H290&lt;K$2,VLOOKUP($G290,Depreciation!$A$14:$L$18,9,FALSE),0))</f>
        <v>1.2175768213899416E-2</v>
      </c>
      <c r="L290" s="306">
        <f>+IF($H290=L$2,VLOOKUP($G290,Depreciation!$A$14:$L$18,10,FALSE)/2,IF($H290&lt;L$2,VLOOKUP($G290,Depreciation!$A$14:$L$18,10,FALSE),0))</f>
        <v>2.4351536427798831E-2</v>
      </c>
      <c r="M290" s="306">
        <f>+IF($H290=M$2,VLOOKUP($G290,Depreciation!$A$14:$L$18,11,FALSE)/2,IF($H290&lt;M$2,VLOOKUP($G290,Depreciation!$A$14:$L$18,11,FALSE),0))</f>
        <v>2.4351536427798831E-2</v>
      </c>
      <c r="N290" s="306">
        <f>+IF($H290=N$2,VLOOKUP($G290,Depreciation!$A$14:$L$18,12,FALSE)/2,IF($H290&lt;N$2,VLOOKUP($G290,Depreciation!$A$14:$L$18,12,FALSE),0))</f>
        <v>2.4351536427798831E-2</v>
      </c>
      <c r="O290" s="307">
        <f t="shared" si="37"/>
        <v>0</v>
      </c>
      <c r="P290" s="732">
        <v>0</v>
      </c>
      <c r="Q290" s="733">
        <v>1</v>
      </c>
      <c r="R290" s="734">
        <f t="shared" si="38"/>
        <v>0</v>
      </c>
      <c r="S290" s="735">
        <f t="shared" si="39"/>
        <v>0</v>
      </c>
      <c r="T290" s="735">
        <f t="shared" si="40"/>
        <v>0</v>
      </c>
      <c r="U290" s="735">
        <f t="shared" si="41"/>
        <v>0</v>
      </c>
      <c r="V290" s="736">
        <f t="shared" si="42"/>
        <v>0</v>
      </c>
      <c r="W290" s="735">
        <f t="shared" si="43"/>
        <v>0</v>
      </c>
      <c r="X290" s="737">
        <f t="shared" si="44"/>
        <v>0</v>
      </c>
      <c r="Y290" s="738">
        <f t="shared" si="45"/>
        <v>0</v>
      </c>
      <c r="Z290" s="627"/>
    </row>
    <row r="291" spans="1:26">
      <c r="A291" s="336" t="s">
        <v>1492</v>
      </c>
      <c r="B291" s="336">
        <v>1412</v>
      </c>
      <c r="C291" s="336">
        <v>138</v>
      </c>
      <c r="D291" s="332">
        <v>25</v>
      </c>
      <c r="E291" s="336" t="s">
        <v>1634</v>
      </c>
      <c r="F291" s="338">
        <v>4938999.9999999953</v>
      </c>
      <c r="G291" s="336" t="s">
        <v>4</v>
      </c>
      <c r="H291" s="336">
        <v>2019</v>
      </c>
      <c r="I291" s="306">
        <f>+IF($H291=I$2,VLOOKUP($G291,Depreciation!$A$14:$L$18,7,FALSE)/2,IF($H291&lt;I$2,VLOOKUP($G291,Depreciation!$A$14:$L$18,7,FALSE),0))</f>
        <v>0</v>
      </c>
      <c r="J291" s="306">
        <f>+IF($H291=J$2,VLOOKUP($G291,Depreciation!$A$14:$L$18,8,FALSE)/2,IF($H291&lt;J$2,VLOOKUP($G291,Depreciation!$A$14:$L$18,8,FALSE),0))</f>
        <v>0</v>
      </c>
      <c r="K291" s="306">
        <f>+IF($H291=K$2,VLOOKUP($G291,Depreciation!$A$14:$L$18,9,FALSE)/2,IF($H291&lt;K$2,VLOOKUP($G291,Depreciation!$A$14:$L$18,9,FALSE),0))</f>
        <v>0</v>
      </c>
      <c r="L291" s="306">
        <f>+IF($H291=L$2,VLOOKUP($G291,Depreciation!$A$14:$L$18,10,FALSE)/2,IF($H291&lt;L$2,VLOOKUP($G291,Depreciation!$A$14:$L$18,10,FALSE),0))</f>
        <v>0</v>
      </c>
      <c r="M291" s="306">
        <f>+IF($H291=M$2,VLOOKUP($G291,Depreciation!$A$14:$L$18,11,FALSE)/2,IF($H291&lt;M$2,VLOOKUP($G291,Depreciation!$A$14:$L$18,11,FALSE),0))</f>
        <v>1.671703928371859E-2</v>
      </c>
      <c r="N291" s="306">
        <f>+IF($H291=N$2,VLOOKUP($G291,Depreciation!$A$14:$L$18,12,FALSE)/2,IF($H291&lt;N$2,VLOOKUP($G291,Depreciation!$A$14:$L$18,12,FALSE),0))</f>
        <v>3.343407856743718E-2</v>
      </c>
      <c r="O291" s="307">
        <f t="shared" si="37"/>
        <v>0</v>
      </c>
      <c r="P291" s="732">
        <v>0</v>
      </c>
      <c r="Q291" s="733">
        <v>1</v>
      </c>
      <c r="R291" s="734">
        <f t="shared" si="38"/>
        <v>0</v>
      </c>
      <c r="S291" s="735">
        <f t="shared" si="39"/>
        <v>0</v>
      </c>
      <c r="T291" s="735">
        <f t="shared" si="40"/>
        <v>0</v>
      </c>
      <c r="U291" s="735">
        <f t="shared" si="41"/>
        <v>0</v>
      </c>
      <c r="V291" s="736">
        <f t="shared" si="42"/>
        <v>0</v>
      </c>
      <c r="W291" s="735">
        <f t="shared" si="43"/>
        <v>0</v>
      </c>
      <c r="X291" s="737">
        <f t="shared" si="44"/>
        <v>0</v>
      </c>
      <c r="Y291" s="738">
        <f t="shared" si="45"/>
        <v>0</v>
      </c>
      <c r="Z291" s="627"/>
    </row>
    <row r="292" spans="1:26">
      <c r="A292" s="336" t="s">
        <v>1409</v>
      </c>
      <c r="B292" s="336">
        <v>1416</v>
      </c>
      <c r="C292" s="336">
        <v>144</v>
      </c>
      <c r="D292" s="332">
        <v>25</v>
      </c>
      <c r="E292" s="336" t="s">
        <v>1635</v>
      </c>
      <c r="F292" s="338">
        <v>1896908</v>
      </c>
      <c r="G292" s="336" t="s">
        <v>66</v>
      </c>
      <c r="H292" s="336">
        <v>2015</v>
      </c>
      <c r="I292" s="306">
        <f>+IF($H292=I$2,VLOOKUP($G292,Depreciation!$A$14:$L$18,7,FALSE)/2,IF($H292&lt;I$2,VLOOKUP($G292,Depreciation!$A$14:$L$18,7,FALSE),0))</f>
        <v>1.221703683566912E-2</v>
      </c>
      <c r="J292" s="306">
        <f>+IF($H292=J$2,VLOOKUP($G292,Depreciation!$A$14:$L$18,8,FALSE)/2,IF($H292&lt;J$2,VLOOKUP($G292,Depreciation!$A$14:$L$18,8,FALSE),0))</f>
        <v>2.4632450501084719E-2</v>
      </c>
      <c r="K292" s="306">
        <f>+IF($H292=K$2,VLOOKUP($G292,Depreciation!$A$14:$L$18,9,FALSE)/2,IF($H292&lt;K$2,VLOOKUP($G292,Depreciation!$A$14:$L$18,9,FALSE),0))</f>
        <v>2.4351536427798831E-2</v>
      </c>
      <c r="L292" s="306">
        <f>+IF($H292=L$2,VLOOKUP($G292,Depreciation!$A$14:$L$18,10,FALSE)/2,IF($H292&lt;L$2,VLOOKUP($G292,Depreciation!$A$14:$L$18,10,FALSE),0))</f>
        <v>2.4351536427798831E-2</v>
      </c>
      <c r="M292" s="306">
        <f>+IF($H292=M$2,VLOOKUP($G292,Depreciation!$A$14:$L$18,11,FALSE)/2,IF($H292&lt;M$2,VLOOKUP($G292,Depreciation!$A$14:$L$18,11,FALSE),0))</f>
        <v>2.4351536427798831E-2</v>
      </c>
      <c r="N292" s="306">
        <f>+IF($H292=N$2,VLOOKUP($G292,Depreciation!$A$14:$L$18,12,FALSE)/2,IF($H292&lt;N$2,VLOOKUP($G292,Depreciation!$A$14:$L$18,12,FALSE),0))</f>
        <v>2.4351536427798831E-2</v>
      </c>
      <c r="O292" s="307">
        <f t="shared" si="37"/>
        <v>1873733.4050901246</v>
      </c>
      <c r="P292" s="732">
        <v>0</v>
      </c>
      <c r="Q292" s="733">
        <v>1</v>
      </c>
      <c r="R292" s="734">
        <f t="shared" si="38"/>
        <v>0</v>
      </c>
      <c r="S292" s="735">
        <f t="shared" si="39"/>
        <v>0</v>
      </c>
      <c r="T292" s="735">
        <f t="shared" si="40"/>
        <v>1873733.4050901246</v>
      </c>
      <c r="U292" s="735">
        <f t="shared" si="41"/>
        <v>0</v>
      </c>
      <c r="V292" s="736">
        <f t="shared" si="42"/>
        <v>0</v>
      </c>
      <c r="W292" s="735">
        <f t="shared" si="43"/>
        <v>0</v>
      </c>
      <c r="X292" s="737">
        <f t="shared" si="44"/>
        <v>0</v>
      </c>
      <c r="Y292" s="738">
        <f t="shared" si="45"/>
        <v>1873733.4050901246</v>
      </c>
      <c r="Z292" s="627"/>
    </row>
    <row r="293" spans="1:26">
      <c r="A293" s="336" t="s">
        <v>1427</v>
      </c>
      <c r="B293" s="336">
        <v>1438</v>
      </c>
      <c r="C293" s="336">
        <v>240</v>
      </c>
      <c r="D293" s="332">
        <v>0</v>
      </c>
      <c r="E293" s="336"/>
      <c r="F293" s="338">
        <v>1059667.0000000005</v>
      </c>
      <c r="G293" s="336" t="s">
        <v>38</v>
      </c>
      <c r="H293" s="336">
        <v>2015</v>
      </c>
      <c r="I293" s="306">
        <f>+IF($H293=I$2,VLOOKUP($G293,Depreciation!$A$14:$L$18,7,FALSE)/2,IF($H293&lt;I$2,VLOOKUP($G293,Depreciation!$A$14:$L$18,7,FALSE),0))</f>
        <v>2.0607513622398654E-2</v>
      </c>
      <c r="J293" s="306">
        <f>+IF($H293=J$2,VLOOKUP($G293,Depreciation!$A$14:$L$18,8,FALSE)/2,IF($H293&lt;J$2,VLOOKUP($G293,Depreciation!$A$14:$L$18,8,FALSE),0))</f>
        <v>4.1600055599844914E-2</v>
      </c>
      <c r="K293" s="306">
        <f>+IF($H293=K$2,VLOOKUP($G293,Depreciation!$A$14:$L$18,9,FALSE)/2,IF($H293&lt;K$2,VLOOKUP($G293,Depreciation!$A$14:$L$18,9,FALSE),0))</f>
        <v>4.1145263498658789E-2</v>
      </c>
      <c r="L293" s="306">
        <f>+IF($H293=L$2,VLOOKUP($G293,Depreciation!$A$14:$L$18,10,FALSE)/2,IF($H293&lt;L$2,VLOOKUP($G293,Depreciation!$A$14:$L$18,10,FALSE),0))</f>
        <v>4.1145263498658789E-2</v>
      </c>
      <c r="M293" s="306">
        <f>+IF($H293=M$2,VLOOKUP($G293,Depreciation!$A$14:$L$18,11,FALSE)/2,IF($H293&lt;M$2,VLOOKUP($G293,Depreciation!$A$14:$L$18,11,FALSE),0))</f>
        <v>4.1145263498658789E-2</v>
      </c>
      <c r="N293" s="306">
        <f>+IF($H293=N$2,VLOOKUP($G293,Depreciation!$A$14:$L$18,12,FALSE)/2,IF($H293&lt;N$2,VLOOKUP($G293,Depreciation!$A$14:$L$18,12,FALSE),0))</f>
        <v>4.1145263498658789E-2</v>
      </c>
      <c r="O293" s="307">
        <f t="shared" si="37"/>
        <v>1037829.8978622941</v>
      </c>
      <c r="P293" s="732">
        <v>0</v>
      </c>
      <c r="Q293" s="733">
        <v>0</v>
      </c>
      <c r="R293" s="734">
        <f t="shared" si="38"/>
        <v>1</v>
      </c>
      <c r="S293" s="735">
        <f t="shared" si="39"/>
        <v>0</v>
      </c>
      <c r="T293" s="735">
        <f t="shared" si="40"/>
        <v>0</v>
      </c>
      <c r="U293" s="735">
        <f t="shared" si="41"/>
        <v>1037829.8978622941</v>
      </c>
      <c r="V293" s="736">
        <f t="shared" si="42"/>
        <v>1037829.8978622941</v>
      </c>
      <c r="W293" s="735">
        <f t="shared" si="43"/>
        <v>0</v>
      </c>
      <c r="X293" s="737">
        <f t="shared" si="44"/>
        <v>0</v>
      </c>
      <c r="Y293" s="738">
        <f t="shared" si="45"/>
        <v>0</v>
      </c>
      <c r="Z293" s="627"/>
    </row>
    <row r="294" spans="1:26">
      <c r="A294" s="336" t="s">
        <v>1472</v>
      </c>
      <c r="B294" s="336">
        <v>1440</v>
      </c>
      <c r="C294" s="336">
        <v>500</v>
      </c>
      <c r="D294" s="332">
        <v>0</v>
      </c>
      <c r="E294" s="336" t="s">
        <v>1997</v>
      </c>
      <c r="F294" s="338">
        <v>36143375.999999993</v>
      </c>
      <c r="G294" s="336" t="s">
        <v>38</v>
      </c>
      <c r="H294" s="336">
        <v>2020</v>
      </c>
      <c r="I294" s="306">
        <f>+IF($H294=I$2,VLOOKUP($G294,Depreciation!$A$14:$L$18,7,FALSE)/2,IF($H294&lt;I$2,VLOOKUP($G294,Depreciation!$A$14:$L$18,7,FALSE),0))</f>
        <v>0</v>
      </c>
      <c r="J294" s="306">
        <f>+IF($H294=J$2,VLOOKUP($G294,Depreciation!$A$14:$L$18,8,FALSE)/2,IF($H294&lt;J$2,VLOOKUP($G294,Depreciation!$A$14:$L$18,8,FALSE),0))</f>
        <v>0</v>
      </c>
      <c r="K294" s="306">
        <f>+IF($H294=K$2,VLOOKUP($G294,Depreciation!$A$14:$L$18,9,FALSE)/2,IF($H294&lt;K$2,VLOOKUP($G294,Depreciation!$A$14:$L$18,9,FALSE),0))</f>
        <v>0</v>
      </c>
      <c r="L294" s="306">
        <f>+IF($H294=L$2,VLOOKUP($G294,Depreciation!$A$14:$L$18,10,FALSE)/2,IF($H294&lt;L$2,VLOOKUP($G294,Depreciation!$A$14:$L$18,10,FALSE),0))</f>
        <v>0</v>
      </c>
      <c r="M294" s="306">
        <f>+IF($H294=M$2,VLOOKUP($G294,Depreciation!$A$14:$L$18,11,FALSE)/2,IF($H294&lt;M$2,VLOOKUP($G294,Depreciation!$A$14:$L$18,11,FALSE),0))</f>
        <v>0</v>
      </c>
      <c r="N294" s="306">
        <f>+IF($H294=N$2,VLOOKUP($G294,Depreciation!$A$14:$L$18,12,FALSE)/2,IF($H294&lt;N$2,VLOOKUP($G294,Depreciation!$A$14:$L$18,12,FALSE),0))</f>
        <v>2.0572631749329395E-2</v>
      </c>
      <c r="O294" s="307">
        <f t="shared" si="37"/>
        <v>0</v>
      </c>
      <c r="P294" s="732">
        <v>0.98836755406354904</v>
      </c>
      <c r="Q294" s="733">
        <v>1.1632445936450932E-2</v>
      </c>
      <c r="R294" s="734">
        <f t="shared" si="38"/>
        <v>3.1225022567582528E-17</v>
      </c>
      <c r="S294" s="735">
        <f t="shared" si="39"/>
        <v>0</v>
      </c>
      <c r="T294" s="735">
        <f t="shared" si="40"/>
        <v>0</v>
      </c>
      <c r="U294" s="735">
        <f t="shared" si="41"/>
        <v>0</v>
      </c>
      <c r="V294" s="736">
        <f t="shared" si="42"/>
        <v>0</v>
      </c>
      <c r="W294" s="735">
        <f t="shared" si="43"/>
        <v>0</v>
      </c>
      <c r="X294" s="737">
        <f t="shared" si="44"/>
        <v>0</v>
      </c>
      <c r="Y294" s="738">
        <f t="shared" si="45"/>
        <v>0</v>
      </c>
      <c r="Z294" s="627"/>
    </row>
    <row r="295" spans="1:26">
      <c r="A295" s="336" t="s">
        <v>1494</v>
      </c>
      <c r="B295" s="336">
        <v>1442</v>
      </c>
      <c r="C295" s="336">
        <v>138</v>
      </c>
      <c r="D295" s="332">
        <v>25</v>
      </c>
      <c r="E295" s="336" t="s">
        <v>1636</v>
      </c>
      <c r="F295" s="338">
        <v>7721658.7024087086</v>
      </c>
      <c r="G295" s="336" t="s">
        <v>4</v>
      </c>
      <c r="H295" s="336">
        <v>2019</v>
      </c>
      <c r="I295" s="306">
        <f>+IF($H295=I$2,VLOOKUP($G295,Depreciation!$A$14:$L$18,7,FALSE)/2,IF($H295&lt;I$2,VLOOKUP($G295,Depreciation!$A$14:$L$18,7,FALSE),0))</f>
        <v>0</v>
      </c>
      <c r="J295" s="306">
        <f>+IF($H295=J$2,VLOOKUP($G295,Depreciation!$A$14:$L$18,8,FALSE)/2,IF($H295&lt;J$2,VLOOKUP($G295,Depreciation!$A$14:$L$18,8,FALSE),0))</f>
        <v>0</v>
      </c>
      <c r="K295" s="306">
        <f>+IF($H295=K$2,VLOOKUP($G295,Depreciation!$A$14:$L$18,9,FALSE)/2,IF($H295&lt;K$2,VLOOKUP($G295,Depreciation!$A$14:$L$18,9,FALSE),0))</f>
        <v>0</v>
      </c>
      <c r="L295" s="306">
        <f>+IF($H295=L$2,VLOOKUP($G295,Depreciation!$A$14:$L$18,10,FALSE)/2,IF($H295&lt;L$2,VLOOKUP($G295,Depreciation!$A$14:$L$18,10,FALSE),0))</f>
        <v>0</v>
      </c>
      <c r="M295" s="306">
        <f>+IF($H295=M$2,VLOOKUP($G295,Depreciation!$A$14:$L$18,11,FALSE)/2,IF($H295&lt;M$2,VLOOKUP($G295,Depreciation!$A$14:$L$18,11,FALSE),0))</f>
        <v>1.671703928371859E-2</v>
      </c>
      <c r="N295" s="306">
        <f>+IF($H295=N$2,VLOOKUP($G295,Depreciation!$A$14:$L$18,12,FALSE)/2,IF($H295&lt;N$2,VLOOKUP($G295,Depreciation!$A$14:$L$18,12,FALSE),0))</f>
        <v>3.343407856743718E-2</v>
      </c>
      <c r="O295" s="307">
        <f t="shared" si="37"/>
        <v>0</v>
      </c>
      <c r="P295" s="732">
        <v>0</v>
      </c>
      <c r="Q295" s="733">
        <v>0</v>
      </c>
      <c r="R295" s="734">
        <f t="shared" si="38"/>
        <v>1</v>
      </c>
      <c r="S295" s="735">
        <f t="shared" si="39"/>
        <v>0</v>
      </c>
      <c r="T295" s="735">
        <f t="shared" si="40"/>
        <v>0</v>
      </c>
      <c r="U295" s="735">
        <f t="shared" si="41"/>
        <v>0</v>
      </c>
      <c r="V295" s="736">
        <f t="shared" si="42"/>
        <v>0</v>
      </c>
      <c r="W295" s="735">
        <f t="shared" si="43"/>
        <v>0</v>
      </c>
      <c r="X295" s="737">
        <f t="shared" si="44"/>
        <v>0</v>
      </c>
      <c r="Y295" s="738">
        <f t="shared" si="45"/>
        <v>0</v>
      </c>
      <c r="Z295" s="627"/>
    </row>
    <row r="296" spans="1:26">
      <c r="A296" s="336" t="s">
        <v>1325</v>
      </c>
      <c r="B296" s="336">
        <v>1442</v>
      </c>
      <c r="C296" s="336">
        <v>240</v>
      </c>
      <c r="D296" s="332">
        <v>25</v>
      </c>
      <c r="E296" s="336" t="s">
        <v>1555</v>
      </c>
      <c r="F296" s="338">
        <v>9142.3853923854003</v>
      </c>
      <c r="G296" s="336" t="s">
        <v>4</v>
      </c>
      <c r="H296" s="336">
        <v>2019</v>
      </c>
      <c r="I296" s="306">
        <f>+IF($H296=I$2,VLOOKUP($G296,Depreciation!$A$14:$L$18,7,FALSE)/2,IF($H296&lt;I$2,VLOOKUP($G296,Depreciation!$A$14:$L$18,7,FALSE),0))</f>
        <v>0</v>
      </c>
      <c r="J296" s="306">
        <f>+IF($H296=J$2,VLOOKUP($G296,Depreciation!$A$14:$L$18,8,FALSE)/2,IF($H296&lt;J$2,VLOOKUP($G296,Depreciation!$A$14:$L$18,8,FALSE),0))</f>
        <v>0</v>
      </c>
      <c r="K296" s="306">
        <f>+IF($H296=K$2,VLOOKUP($G296,Depreciation!$A$14:$L$18,9,FALSE)/2,IF($H296&lt;K$2,VLOOKUP($G296,Depreciation!$A$14:$L$18,9,FALSE),0))</f>
        <v>0</v>
      </c>
      <c r="L296" s="306">
        <f>+IF($H296=L$2,VLOOKUP($G296,Depreciation!$A$14:$L$18,10,FALSE)/2,IF($H296&lt;L$2,VLOOKUP($G296,Depreciation!$A$14:$L$18,10,FALSE),0))</f>
        <v>0</v>
      </c>
      <c r="M296" s="306">
        <f>+IF($H296=M$2,VLOOKUP($G296,Depreciation!$A$14:$L$18,11,FALSE)/2,IF($H296&lt;M$2,VLOOKUP($G296,Depreciation!$A$14:$L$18,11,FALSE),0))</f>
        <v>1.671703928371859E-2</v>
      </c>
      <c r="N296" s="306">
        <f>+IF($H296=N$2,VLOOKUP($G296,Depreciation!$A$14:$L$18,12,FALSE)/2,IF($H296&lt;N$2,VLOOKUP($G296,Depreciation!$A$14:$L$18,12,FALSE),0))</f>
        <v>3.343407856743718E-2</v>
      </c>
      <c r="O296" s="307">
        <f t="shared" si="37"/>
        <v>0</v>
      </c>
      <c r="P296" s="732">
        <v>0</v>
      </c>
      <c r="Q296" s="733">
        <v>1</v>
      </c>
      <c r="R296" s="734">
        <f t="shared" si="38"/>
        <v>0</v>
      </c>
      <c r="S296" s="735">
        <f t="shared" si="39"/>
        <v>0</v>
      </c>
      <c r="T296" s="735">
        <f t="shared" si="40"/>
        <v>0</v>
      </c>
      <c r="U296" s="735">
        <f t="shared" si="41"/>
        <v>0</v>
      </c>
      <c r="V296" s="736">
        <f t="shared" si="42"/>
        <v>0</v>
      </c>
      <c r="W296" s="735">
        <f t="shared" si="43"/>
        <v>0</v>
      </c>
      <c r="X296" s="737">
        <f t="shared" si="44"/>
        <v>0</v>
      </c>
      <c r="Y296" s="738">
        <f t="shared" si="45"/>
        <v>0</v>
      </c>
      <c r="Z296" s="627"/>
    </row>
    <row r="297" spans="1:26">
      <c r="A297" s="336" t="s">
        <v>1495</v>
      </c>
      <c r="B297" s="336">
        <v>1442</v>
      </c>
      <c r="C297" s="336">
        <v>138</v>
      </c>
      <c r="D297" s="332">
        <v>25</v>
      </c>
      <c r="E297" s="336" t="s">
        <v>1637</v>
      </c>
      <c r="F297" s="338">
        <v>20113.247863247878</v>
      </c>
      <c r="G297" s="336" t="s">
        <v>4</v>
      </c>
      <c r="H297" s="336">
        <v>2019</v>
      </c>
      <c r="I297" s="306">
        <f>+IF($H297=I$2,VLOOKUP($G297,Depreciation!$A$14:$L$18,7,FALSE)/2,IF($H297&lt;I$2,VLOOKUP($G297,Depreciation!$A$14:$L$18,7,FALSE),0))</f>
        <v>0</v>
      </c>
      <c r="J297" s="306">
        <f>+IF($H297=J$2,VLOOKUP($G297,Depreciation!$A$14:$L$18,8,FALSE)/2,IF($H297&lt;J$2,VLOOKUP($G297,Depreciation!$A$14:$L$18,8,FALSE),0))</f>
        <v>0</v>
      </c>
      <c r="K297" s="306">
        <f>+IF($H297=K$2,VLOOKUP($G297,Depreciation!$A$14:$L$18,9,FALSE)/2,IF($H297&lt;K$2,VLOOKUP($G297,Depreciation!$A$14:$L$18,9,FALSE),0))</f>
        <v>0</v>
      </c>
      <c r="L297" s="306">
        <f>+IF($H297=L$2,VLOOKUP($G297,Depreciation!$A$14:$L$18,10,FALSE)/2,IF($H297&lt;L$2,VLOOKUP($G297,Depreciation!$A$14:$L$18,10,FALSE),0))</f>
        <v>0</v>
      </c>
      <c r="M297" s="306">
        <f>+IF($H297=M$2,VLOOKUP($G297,Depreciation!$A$14:$L$18,11,FALSE)/2,IF($H297&lt;M$2,VLOOKUP($G297,Depreciation!$A$14:$L$18,11,FALSE),0))</f>
        <v>1.671703928371859E-2</v>
      </c>
      <c r="N297" s="306">
        <f>+IF($H297=N$2,VLOOKUP($G297,Depreciation!$A$14:$L$18,12,FALSE)/2,IF($H297&lt;N$2,VLOOKUP($G297,Depreciation!$A$14:$L$18,12,FALSE),0))</f>
        <v>3.343407856743718E-2</v>
      </c>
      <c r="O297" s="307">
        <f t="shared" si="37"/>
        <v>0</v>
      </c>
      <c r="P297" s="732">
        <v>0</v>
      </c>
      <c r="Q297" s="733">
        <v>1</v>
      </c>
      <c r="R297" s="734">
        <f t="shared" si="38"/>
        <v>0</v>
      </c>
      <c r="S297" s="735">
        <f t="shared" si="39"/>
        <v>0</v>
      </c>
      <c r="T297" s="735">
        <f t="shared" si="40"/>
        <v>0</v>
      </c>
      <c r="U297" s="735">
        <f t="shared" si="41"/>
        <v>0</v>
      </c>
      <c r="V297" s="736">
        <f t="shared" si="42"/>
        <v>0</v>
      </c>
      <c r="W297" s="735">
        <f t="shared" si="43"/>
        <v>0</v>
      </c>
      <c r="X297" s="737">
        <f t="shared" si="44"/>
        <v>0</v>
      </c>
      <c r="Y297" s="738">
        <f t="shared" si="45"/>
        <v>0</v>
      </c>
      <c r="Z297" s="627"/>
    </row>
    <row r="298" spans="1:26">
      <c r="A298" s="336" t="s">
        <v>1428</v>
      </c>
      <c r="B298" s="336">
        <v>1450</v>
      </c>
      <c r="C298" s="336">
        <v>138</v>
      </c>
      <c r="D298" s="332">
        <v>25</v>
      </c>
      <c r="E298" s="336" t="s">
        <v>1638</v>
      </c>
      <c r="F298" s="338">
        <v>6190999.9999999963</v>
      </c>
      <c r="G298" s="336" t="s">
        <v>4</v>
      </c>
      <c r="H298" s="336">
        <v>2015</v>
      </c>
      <c r="I298" s="306">
        <f>+IF($H298=I$2,VLOOKUP($G298,Depreciation!$A$14:$L$18,7,FALSE)/2,IF($H298&lt;I$2,VLOOKUP($G298,Depreciation!$A$14:$L$18,7,FALSE),0))</f>
        <v>1.7228380322441735E-2</v>
      </c>
      <c r="J298" s="306">
        <f>+IF($H298=J$2,VLOOKUP($G298,Depreciation!$A$14:$L$18,8,FALSE)/2,IF($H298&lt;J$2,VLOOKUP($G298,Depreciation!$A$14:$L$18,8,FALSE),0))</f>
        <v>3.343407856743718E-2</v>
      </c>
      <c r="K298" s="306">
        <f>+IF($H298=K$2,VLOOKUP($G298,Depreciation!$A$14:$L$18,9,FALSE)/2,IF($H298&lt;K$2,VLOOKUP($G298,Depreciation!$A$14:$L$18,9,FALSE),0))</f>
        <v>3.343407856743718E-2</v>
      </c>
      <c r="L298" s="306">
        <f>+IF($H298=L$2,VLOOKUP($G298,Depreciation!$A$14:$L$18,10,FALSE)/2,IF($H298&lt;L$2,VLOOKUP($G298,Depreciation!$A$14:$L$18,10,FALSE),0))</f>
        <v>3.343407856743718E-2</v>
      </c>
      <c r="M298" s="306">
        <f>+IF($H298=M$2,VLOOKUP($G298,Depreciation!$A$14:$L$18,11,FALSE)/2,IF($H298&lt;M$2,VLOOKUP($G298,Depreciation!$A$14:$L$18,11,FALSE),0))</f>
        <v>3.343407856743718E-2</v>
      </c>
      <c r="N298" s="306">
        <f>+IF($H298=N$2,VLOOKUP($G298,Depreciation!$A$14:$L$18,12,FALSE)/2,IF($H298&lt;N$2,VLOOKUP($G298,Depreciation!$A$14:$L$18,12,FALSE),0))</f>
        <v>3.343407856743718E-2</v>
      </c>
      <c r="O298" s="307">
        <f t="shared" si="37"/>
        <v>6084339.0974237593</v>
      </c>
      <c r="P298" s="732">
        <v>0</v>
      </c>
      <c r="Q298" s="733">
        <v>1</v>
      </c>
      <c r="R298" s="734">
        <f t="shared" si="38"/>
        <v>0</v>
      </c>
      <c r="S298" s="735">
        <f t="shared" si="39"/>
        <v>0</v>
      </c>
      <c r="T298" s="735">
        <f t="shared" si="40"/>
        <v>6084339.0974237593</v>
      </c>
      <c r="U298" s="735">
        <f t="shared" si="41"/>
        <v>0</v>
      </c>
      <c r="V298" s="736">
        <f t="shared" si="42"/>
        <v>0</v>
      </c>
      <c r="W298" s="735">
        <f t="shared" si="43"/>
        <v>0</v>
      </c>
      <c r="X298" s="737">
        <f t="shared" si="44"/>
        <v>0</v>
      </c>
      <c r="Y298" s="738">
        <f t="shared" si="45"/>
        <v>6084339.0974237593</v>
      </c>
      <c r="Z298" s="627"/>
    </row>
    <row r="299" spans="1:26">
      <c r="A299" s="336" t="s">
        <v>1342</v>
      </c>
      <c r="B299" s="336">
        <v>1460</v>
      </c>
      <c r="C299" s="336">
        <v>138</v>
      </c>
      <c r="D299" s="332">
        <v>25</v>
      </c>
      <c r="E299" s="336" t="s">
        <v>1639</v>
      </c>
      <c r="F299" s="338">
        <v>68876.329787234063</v>
      </c>
      <c r="G299" s="336" t="s">
        <v>4</v>
      </c>
      <c r="H299" s="336">
        <v>2019</v>
      </c>
      <c r="I299" s="306">
        <f>+IF($H299=I$2,VLOOKUP($G299,Depreciation!$A$14:$L$18,7,FALSE)/2,IF($H299&lt;I$2,VLOOKUP($G299,Depreciation!$A$14:$L$18,7,FALSE),0))</f>
        <v>0</v>
      </c>
      <c r="J299" s="306">
        <f>+IF($H299=J$2,VLOOKUP($G299,Depreciation!$A$14:$L$18,8,FALSE)/2,IF($H299&lt;J$2,VLOOKUP($G299,Depreciation!$A$14:$L$18,8,FALSE),0))</f>
        <v>0</v>
      </c>
      <c r="K299" s="306">
        <f>+IF($H299=K$2,VLOOKUP($G299,Depreciation!$A$14:$L$18,9,FALSE)/2,IF($H299&lt;K$2,VLOOKUP($G299,Depreciation!$A$14:$L$18,9,FALSE),0))</f>
        <v>0</v>
      </c>
      <c r="L299" s="306">
        <f>+IF($H299=L$2,VLOOKUP($G299,Depreciation!$A$14:$L$18,10,FALSE)/2,IF($H299&lt;L$2,VLOOKUP($G299,Depreciation!$A$14:$L$18,10,FALSE),0))</f>
        <v>0</v>
      </c>
      <c r="M299" s="306">
        <f>+IF($H299=M$2,VLOOKUP($G299,Depreciation!$A$14:$L$18,11,FALSE)/2,IF($H299&lt;M$2,VLOOKUP($G299,Depreciation!$A$14:$L$18,11,FALSE),0))</f>
        <v>1.671703928371859E-2</v>
      </c>
      <c r="N299" s="306">
        <f>+IF($H299=N$2,VLOOKUP($G299,Depreciation!$A$14:$L$18,12,FALSE)/2,IF($H299&lt;N$2,VLOOKUP($G299,Depreciation!$A$14:$L$18,12,FALSE),0))</f>
        <v>3.343407856743718E-2</v>
      </c>
      <c r="O299" s="307">
        <f t="shared" si="37"/>
        <v>0</v>
      </c>
      <c r="P299" s="732">
        <v>0</v>
      </c>
      <c r="Q299" s="733">
        <v>1</v>
      </c>
      <c r="R299" s="734">
        <f t="shared" si="38"/>
        <v>0</v>
      </c>
      <c r="S299" s="735">
        <f t="shared" si="39"/>
        <v>0</v>
      </c>
      <c r="T299" s="735">
        <f t="shared" si="40"/>
        <v>0</v>
      </c>
      <c r="U299" s="735">
        <f t="shared" si="41"/>
        <v>0</v>
      </c>
      <c r="V299" s="736">
        <f t="shared" si="42"/>
        <v>0</v>
      </c>
      <c r="W299" s="735">
        <f t="shared" si="43"/>
        <v>0</v>
      </c>
      <c r="X299" s="737">
        <f t="shared" si="44"/>
        <v>0</v>
      </c>
      <c r="Y299" s="738">
        <f t="shared" si="45"/>
        <v>0</v>
      </c>
      <c r="Z299" s="627"/>
    </row>
    <row r="300" spans="1:26">
      <c r="A300" s="336" t="s">
        <v>1493</v>
      </c>
      <c r="B300" s="336">
        <v>1460</v>
      </c>
      <c r="C300" s="336">
        <v>138</v>
      </c>
      <c r="D300" s="332">
        <v>25</v>
      </c>
      <c r="E300" s="336" t="s">
        <v>1640</v>
      </c>
      <c r="F300" s="338">
        <v>8201448.9694148954</v>
      </c>
      <c r="G300" s="336" t="s">
        <v>4</v>
      </c>
      <c r="H300" s="336">
        <v>2019</v>
      </c>
      <c r="I300" s="306">
        <f>+IF($H300=I$2,VLOOKUP($G300,Depreciation!$A$14:$L$18,7,FALSE)/2,IF($H300&lt;I$2,VLOOKUP($G300,Depreciation!$A$14:$L$18,7,FALSE),0))</f>
        <v>0</v>
      </c>
      <c r="J300" s="306">
        <f>+IF($H300=J$2,VLOOKUP($G300,Depreciation!$A$14:$L$18,8,FALSE)/2,IF($H300&lt;J$2,VLOOKUP($G300,Depreciation!$A$14:$L$18,8,FALSE),0))</f>
        <v>0</v>
      </c>
      <c r="K300" s="306">
        <f>+IF($H300=K$2,VLOOKUP($G300,Depreciation!$A$14:$L$18,9,FALSE)/2,IF($H300&lt;K$2,VLOOKUP($G300,Depreciation!$A$14:$L$18,9,FALSE),0))</f>
        <v>0</v>
      </c>
      <c r="L300" s="306">
        <f>+IF($H300=L$2,VLOOKUP($G300,Depreciation!$A$14:$L$18,10,FALSE)/2,IF($H300&lt;L$2,VLOOKUP($G300,Depreciation!$A$14:$L$18,10,FALSE),0))</f>
        <v>0</v>
      </c>
      <c r="M300" s="306">
        <f>+IF($H300=M$2,VLOOKUP($G300,Depreciation!$A$14:$L$18,11,FALSE)/2,IF($H300&lt;M$2,VLOOKUP($G300,Depreciation!$A$14:$L$18,11,FALSE),0))</f>
        <v>1.671703928371859E-2</v>
      </c>
      <c r="N300" s="306">
        <f>+IF($H300=N$2,VLOOKUP($G300,Depreciation!$A$14:$L$18,12,FALSE)/2,IF($H300&lt;N$2,VLOOKUP($G300,Depreciation!$A$14:$L$18,12,FALSE),0))</f>
        <v>3.343407856743718E-2</v>
      </c>
      <c r="O300" s="307">
        <f t="shared" si="37"/>
        <v>0</v>
      </c>
      <c r="P300" s="732">
        <v>0</v>
      </c>
      <c r="Q300" s="733">
        <v>0</v>
      </c>
      <c r="R300" s="734">
        <f t="shared" si="38"/>
        <v>1</v>
      </c>
      <c r="S300" s="735">
        <f t="shared" si="39"/>
        <v>0</v>
      </c>
      <c r="T300" s="735">
        <f t="shared" si="40"/>
        <v>0</v>
      </c>
      <c r="U300" s="735">
        <f t="shared" si="41"/>
        <v>0</v>
      </c>
      <c r="V300" s="736">
        <f t="shared" si="42"/>
        <v>0</v>
      </c>
      <c r="W300" s="735">
        <f t="shared" si="43"/>
        <v>0</v>
      </c>
      <c r="X300" s="737">
        <f t="shared" si="44"/>
        <v>0</v>
      </c>
      <c r="Y300" s="738">
        <f t="shared" si="45"/>
        <v>0</v>
      </c>
      <c r="Z300" s="627"/>
    </row>
    <row r="301" spans="1:26">
      <c r="A301" s="336" t="s">
        <v>1429</v>
      </c>
      <c r="B301" s="336">
        <v>1466</v>
      </c>
      <c r="C301" s="336">
        <v>138</v>
      </c>
      <c r="D301" s="332">
        <v>25</v>
      </c>
      <c r="E301" s="336" t="s">
        <v>1998</v>
      </c>
      <c r="F301" s="338">
        <v>6820539.9999999963</v>
      </c>
      <c r="G301" s="336" t="s">
        <v>66</v>
      </c>
      <c r="H301" s="336">
        <v>2016</v>
      </c>
      <c r="I301" s="306">
        <f>+IF($H301=I$2,VLOOKUP($G301,Depreciation!$A$14:$L$18,7,FALSE)/2,IF($H301&lt;I$2,VLOOKUP($G301,Depreciation!$A$14:$L$18,7,FALSE),0))</f>
        <v>0</v>
      </c>
      <c r="J301" s="306">
        <f>+IF($H301=J$2,VLOOKUP($G301,Depreciation!$A$14:$L$18,8,FALSE)/2,IF($H301&lt;J$2,VLOOKUP($G301,Depreciation!$A$14:$L$18,8,FALSE),0))</f>
        <v>1.231622525054236E-2</v>
      </c>
      <c r="K301" s="306">
        <f>+IF($H301=K$2,VLOOKUP($G301,Depreciation!$A$14:$L$18,9,FALSE)/2,IF($H301&lt;K$2,VLOOKUP($G301,Depreciation!$A$14:$L$18,9,FALSE),0))</f>
        <v>2.4351536427798831E-2</v>
      </c>
      <c r="L301" s="306">
        <f>+IF($H301=L$2,VLOOKUP($G301,Depreciation!$A$14:$L$18,10,FALSE)/2,IF($H301&lt;L$2,VLOOKUP($G301,Depreciation!$A$14:$L$18,10,FALSE),0))</f>
        <v>2.4351536427798831E-2</v>
      </c>
      <c r="M301" s="306">
        <f>+IF($H301=M$2,VLOOKUP($G301,Depreciation!$A$14:$L$18,11,FALSE)/2,IF($H301&lt;M$2,VLOOKUP($G301,Depreciation!$A$14:$L$18,11,FALSE),0))</f>
        <v>2.4351536427798831E-2</v>
      </c>
      <c r="N301" s="306">
        <f>+IF($H301=N$2,VLOOKUP($G301,Depreciation!$A$14:$L$18,12,FALSE)/2,IF($H301&lt;N$2,VLOOKUP($G301,Depreciation!$A$14:$L$18,12,FALSE),0))</f>
        <v>2.4351536427798831E-2</v>
      </c>
      <c r="O301" s="307">
        <f t="shared" si="37"/>
        <v>0</v>
      </c>
      <c r="P301" s="732">
        <v>0</v>
      </c>
      <c r="Q301" s="733">
        <v>1</v>
      </c>
      <c r="R301" s="734">
        <f t="shared" si="38"/>
        <v>0</v>
      </c>
      <c r="S301" s="735">
        <f t="shared" si="39"/>
        <v>0</v>
      </c>
      <c r="T301" s="735">
        <f t="shared" si="40"/>
        <v>0</v>
      </c>
      <c r="U301" s="735">
        <f t="shared" si="41"/>
        <v>0</v>
      </c>
      <c r="V301" s="736">
        <f t="shared" si="42"/>
        <v>0</v>
      </c>
      <c r="W301" s="735">
        <f t="shared" si="43"/>
        <v>0</v>
      </c>
      <c r="X301" s="737">
        <f t="shared" si="44"/>
        <v>0</v>
      </c>
      <c r="Y301" s="738">
        <f t="shared" si="45"/>
        <v>0</v>
      </c>
      <c r="Z301" s="627"/>
    </row>
    <row r="302" spans="1:26">
      <c r="A302" s="336" t="s">
        <v>1438</v>
      </c>
      <c r="B302" s="336">
        <v>1480</v>
      </c>
      <c r="C302" s="336">
        <v>25</v>
      </c>
      <c r="D302" s="332">
        <v>25</v>
      </c>
      <c r="E302" s="336" t="s">
        <v>1690</v>
      </c>
      <c r="F302" s="338">
        <v>1181844.0000000002</v>
      </c>
      <c r="G302" s="336" t="s">
        <v>64</v>
      </c>
      <c r="H302" s="336">
        <v>2016</v>
      </c>
      <c r="I302" s="306">
        <f>+IF($H302=I$2,VLOOKUP($G302,Depreciation!$A$14:$L$18,7,FALSE)/2,IF($H302&lt;I$2,VLOOKUP($G302,Depreciation!$A$14:$L$18,7,FALSE),0))</f>
        <v>0</v>
      </c>
      <c r="J302" s="306">
        <f>+IF($H302=J$2,VLOOKUP($G302,Depreciation!$A$14:$L$18,8,FALSE)/2,IF($H302&lt;J$2,VLOOKUP($G302,Depreciation!$A$14:$L$18,8,FALSE),0))</f>
        <v>1.3928409269726289E-2</v>
      </c>
      <c r="K302" s="306">
        <f>+IF($H302=K$2,VLOOKUP($G302,Depreciation!$A$14:$L$18,9,FALSE)/2,IF($H302&lt;K$2,VLOOKUP($G302,Depreciation!$A$14:$L$18,9,FALSE),0))</f>
        <v>2.7856818539452578E-2</v>
      </c>
      <c r="L302" s="306">
        <f>+IF($H302=L$2,VLOOKUP($G302,Depreciation!$A$14:$L$18,10,FALSE)/2,IF($H302&lt;L$2,VLOOKUP($G302,Depreciation!$A$14:$L$18,10,FALSE),0))</f>
        <v>2.7856818539452578E-2</v>
      </c>
      <c r="M302" s="306">
        <f>+IF($H302=M$2,VLOOKUP($G302,Depreciation!$A$14:$L$18,11,FALSE)/2,IF($H302&lt;M$2,VLOOKUP($G302,Depreciation!$A$14:$L$18,11,FALSE),0))</f>
        <v>2.7856818539452578E-2</v>
      </c>
      <c r="N302" s="306">
        <f>+IF($H302=N$2,VLOOKUP($G302,Depreciation!$A$14:$L$18,12,FALSE)/2,IF($H302&lt;N$2,VLOOKUP($G302,Depreciation!$A$14:$L$18,12,FALSE),0))</f>
        <v>2.7856818539452578E-2</v>
      </c>
      <c r="O302" s="307">
        <f t="shared" si="37"/>
        <v>0</v>
      </c>
      <c r="P302" s="732">
        <v>0</v>
      </c>
      <c r="Q302" s="733">
        <v>1</v>
      </c>
      <c r="R302" s="734">
        <f t="shared" si="38"/>
        <v>0</v>
      </c>
      <c r="S302" s="735">
        <f t="shared" si="39"/>
        <v>0</v>
      </c>
      <c r="T302" s="735">
        <f t="shared" si="40"/>
        <v>0</v>
      </c>
      <c r="U302" s="735">
        <f t="shared" si="41"/>
        <v>0</v>
      </c>
      <c r="V302" s="736">
        <f t="shared" si="42"/>
        <v>0</v>
      </c>
      <c r="W302" s="735">
        <f t="shared" si="43"/>
        <v>0</v>
      </c>
      <c r="X302" s="737">
        <f t="shared" si="44"/>
        <v>0</v>
      </c>
      <c r="Y302" s="738">
        <f t="shared" si="45"/>
        <v>0</v>
      </c>
      <c r="Z302" s="627"/>
    </row>
    <row r="303" spans="1:26">
      <c r="A303" s="336" t="s">
        <v>1414</v>
      </c>
      <c r="B303" s="336">
        <v>1481</v>
      </c>
      <c r="C303" s="336">
        <v>240</v>
      </c>
      <c r="D303" s="332">
        <v>25</v>
      </c>
      <c r="E303" s="336" t="s">
        <v>1642</v>
      </c>
      <c r="F303" s="338">
        <v>1115000</v>
      </c>
      <c r="G303" s="336" t="s">
        <v>4</v>
      </c>
      <c r="H303" s="336">
        <v>2015</v>
      </c>
      <c r="I303" s="306">
        <f>+IF($H303=I$2,VLOOKUP($G303,Depreciation!$A$14:$L$18,7,FALSE)/2,IF($H303&lt;I$2,VLOOKUP($G303,Depreciation!$A$14:$L$18,7,FALSE),0))</f>
        <v>1.7228380322441735E-2</v>
      </c>
      <c r="J303" s="306">
        <f>+IF($H303=J$2,VLOOKUP($G303,Depreciation!$A$14:$L$18,8,FALSE)/2,IF($H303&lt;J$2,VLOOKUP($G303,Depreciation!$A$14:$L$18,8,FALSE),0))</f>
        <v>3.343407856743718E-2</v>
      </c>
      <c r="K303" s="306">
        <f>+IF($H303=K$2,VLOOKUP($G303,Depreciation!$A$14:$L$18,9,FALSE)/2,IF($H303&lt;K$2,VLOOKUP($G303,Depreciation!$A$14:$L$18,9,FALSE),0))</f>
        <v>3.343407856743718E-2</v>
      </c>
      <c r="L303" s="306">
        <f>+IF($H303=L$2,VLOOKUP($G303,Depreciation!$A$14:$L$18,10,FALSE)/2,IF($H303&lt;L$2,VLOOKUP($G303,Depreciation!$A$14:$L$18,10,FALSE),0))</f>
        <v>3.343407856743718E-2</v>
      </c>
      <c r="M303" s="306">
        <f>+IF($H303=M$2,VLOOKUP($G303,Depreciation!$A$14:$L$18,11,FALSE)/2,IF($H303&lt;M$2,VLOOKUP($G303,Depreciation!$A$14:$L$18,11,FALSE),0))</f>
        <v>3.343407856743718E-2</v>
      </c>
      <c r="N303" s="306">
        <f>+IF($H303=N$2,VLOOKUP($G303,Depreciation!$A$14:$L$18,12,FALSE)/2,IF($H303&lt;N$2,VLOOKUP($G303,Depreciation!$A$14:$L$18,12,FALSE),0))</f>
        <v>3.343407856743718E-2</v>
      </c>
      <c r="O303" s="307">
        <f t="shared" si="37"/>
        <v>1095790.3559404775</v>
      </c>
      <c r="P303" s="732">
        <v>0</v>
      </c>
      <c r="Q303" s="733">
        <v>1</v>
      </c>
      <c r="R303" s="734">
        <f t="shared" si="38"/>
        <v>0</v>
      </c>
      <c r="S303" s="735">
        <f t="shared" si="39"/>
        <v>0</v>
      </c>
      <c r="T303" s="735">
        <f t="shared" si="40"/>
        <v>1095790.3559404775</v>
      </c>
      <c r="U303" s="735">
        <f t="shared" si="41"/>
        <v>0</v>
      </c>
      <c r="V303" s="736">
        <f t="shared" si="42"/>
        <v>0</v>
      </c>
      <c r="W303" s="735">
        <f t="shared" si="43"/>
        <v>0</v>
      </c>
      <c r="X303" s="737">
        <f t="shared" si="44"/>
        <v>0</v>
      </c>
      <c r="Y303" s="738">
        <f t="shared" si="45"/>
        <v>1095790.3559404775</v>
      </c>
      <c r="Z303" s="627"/>
    </row>
    <row r="304" spans="1:26">
      <c r="A304" s="336" t="s">
        <v>1432</v>
      </c>
      <c r="B304" s="336">
        <v>1482</v>
      </c>
      <c r="C304" s="336">
        <v>240</v>
      </c>
      <c r="D304" s="332">
        <v>0</v>
      </c>
      <c r="E304" s="336"/>
      <c r="F304" s="338">
        <v>2387527.4359669439</v>
      </c>
      <c r="G304" s="336" t="s">
        <v>66</v>
      </c>
      <c r="H304" s="336">
        <v>2016</v>
      </c>
      <c r="I304" s="306">
        <f>+IF($H304=I$2,VLOOKUP($G304,Depreciation!$A$14:$L$18,7,FALSE)/2,IF($H304&lt;I$2,VLOOKUP($G304,Depreciation!$A$14:$L$18,7,FALSE),0))</f>
        <v>0</v>
      </c>
      <c r="J304" s="306">
        <f>+IF($H304=J$2,VLOOKUP($G304,Depreciation!$A$14:$L$18,8,FALSE)/2,IF($H304&lt;J$2,VLOOKUP($G304,Depreciation!$A$14:$L$18,8,FALSE),0))</f>
        <v>1.231622525054236E-2</v>
      </c>
      <c r="K304" s="306">
        <f>+IF($H304=K$2,VLOOKUP($G304,Depreciation!$A$14:$L$18,9,FALSE)/2,IF($H304&lt;K$2,VLOOKUP($G304,Depreciation!$A$14:$L$18,9,FALSE),0))</f>
        <v>2.4351536427798831E-2</v>
      </c>
      <c r="L304" s="306">
        <f>+IF($H304=L$2,VLOOKUP($G304,Depreciation!$A$14:$L$18,10,FALSE)/2,IF($H304&lt;L$2,VLOOKUP($G304,Depreciation!$A$14:$L$18,10,FALSE),0))</f>
        <v>2.4351536427798831E-2</v>
      </c>
      <c r="M304" s="306">
        <f>+IF($H304=M$2,VLOOKUP($G304,Depreciation!$A$14:$L$18,11,FALSE)/2,IF($H304&lt;M$2,VLOOKUP($G304,Depreciation!$A$14:$L$18,11,FALSE),0))</f>
        <v>2.4351536427798831E-2</v>
      </c>
      <c r="N304" s="306">
        <f>+IF($H304=N$2,VLOOKUP($G304,Depreciation!$A$14:$L$18,12,FALSE)/2,IF($H304&lt;N$2,VLOOKUP($G304,Depreciation!$A$14:$L$18,12,FALSE),0))</f>
        <v>2.4351536427798831E-2</v>
      </c>
      <c r="O304" s="307">
        <f t="shared" si="37"/>
        <v>0</v>
      </c>
      <c r="P304" s="732">
        <v>0</v>
      </c>
      <c r="Q304" s="733">
        <v>0</v>
      </c>
      <c r="R304" s="734">
        <f t="shared" si="38"/>
        <v>1</v>
      </c>
      <c r="S304" s="735">
        <f t="shared" si="39"/>
        <v>0</v>
      </c>
      <c r="T304" s="735">
        <f t="shared" si="40"/>
        <v>0</v>
      </c>
      <c r="U304" s="735">
        <f t="shared" si="41"/>
        <v>0</v>
      </c>
      <c r="V304" s="736">
        <f t="shared" si="42"/>
        <v>0</v>
      </c>
      <c r="W304" s="735">
        <f t="shared" si="43"/>
        <v>0</v>
      </c>
      <c r="X304" s="737">
        <f t="shared" si="44"/>
        <v>0</v>
      </c>
      <c r="Y304" s="738">
        <f t="shared" si="45"/>
        <v>0</v>
      </c>
      <c r="Z304" s="627"/>
    </row>
    <row r="305" spans="1:26">
      <c r="A305" s="336" t="s">
        <v>1431</v>
      </c>
      <c r="B305" s="336">
        <v>1482</v>
      </c>
      <c r="C305" s="336">
        <v>240</v>
      </c>
      <c r="D305" s="332">
        <v>0</v>
      </c>
      <c r="E305" s="336"/>
      <c r="F305" s="338">
        <v>15506138.00545691</v>
      </c>
      <c r="G305" s="336" t="s">
        <v>66</v>
      </c>
      <c r="H305" s="336">
        <v>2016</v>
      </c>
      <c r="I305" s="306">
        <f>+IF($H305=I$2,VLOOKUP($G305,Depreciation!$A$14:$L$18,7,FALSE)/2,IF($H305&lt;I$2,VLOOKUP($G305,Depreciation!$A$14:$L$18,7,FALSE),0))</f>
        <v>0</v>
      </c>
      <c r="J305" s="306">
        <f>+IF($H305=J$2,VLOOKUP($G305,Depreciation!$A$14:$L$18,8,FALSE)/2,IF($H305&lt;J$2,VLOOKUP($G305,Depreciation!$A$14:$L$18,8,FALSE),0))</f>
        <v>1.231622525054236E-2</v>
      </c>
      <c r="K305" s="306">
        <f>+IF($H305=K$2,VLOOKUP($G305,Depreciation!$A$14:$L$18,9,FALSE)/2,IF($H305&lt;K$2,VLOOKUP($G305,Depreciation!$A$14:$L$18,9,FALSE),0))</f>
        <v>2.4351536427798831E-2</v>
      </c>
      <c r="L305" s="306">
        <f>+IF($H305=L$2,VLOOKUP($G305,Depreciation!$A$14:$L$18,10,FALSE)/2,IF($H305&lt;L$2,VLOOKUP($G305,Depreciation!$A$14:$L$18,10,FALSE),0))</f>
        <v>2.4351536427798831E-2</v>
      </c>
      <c r="M305" s="306">
        <f>+IF($H305=M$2,VLOOKUP($G305,Depreciation!$A$14:$L$18,11,FALSE)/2,IF($H305&lt;M$2,VLOOKUP($G305,Depreciation!$A$14:$L$18,11,FALSE),0))</f>
        <v>2.4351536427798831E-2</v>
      </c>
      <c r="N305" s="306">
        <f>+IF($H305=N$2,VLOOKUP($G305,Depreciation!$A$14:$L$18,12,FALSE)/2,IF($H305&lt;N$2,VLOOKUP($G305,Depreciation!$A$14:$L$18,12,FALSE),0))</f>
        <v>2.4351536427798831E-2</v>
      </c>
      <c r="O305" s="307">
        <f t="shared" si="37"/>
        <v>0</v>
      </c>
      <c r="P305" s="732">
        <v>0</v>
      </c>
      <c r="Q305" s="733">
        <v>0</v>
      </c>
      <c r="R305" s="734">
        <f t="shared" si="38"/>
        <v>1</v>
      </c>
      <c r="S305" s="735">
        <f t="shared" si="39"/>
        <v>0</v>
      </c>
      <c r="T305" s="735">
        <f t="shared" si="40"/>
        <v>0</v>
      </c>
      <c r="U305" s="735">
        <f t="shared" si="41"/>
        <v>0</v>
      </c>
      <c r="V305" s="736">
        <f t="shared" si="42"/>
        <v>0</v>
      </c>
      <c r="W305" s="735">
        <f t="shared" si="43"/>
        <v>0</v>
      </c>
      <c r="X305" s="737">
        <f t="shared" si="44"/>
        <v>0</v>
      </c>
      <c r="Y305" s="738">
        <f t="shared" si="45"/>
        <v>0</v>
      </c>
      <c r="Z305" s="627"/>
    </row>
    <row r="306" spans="1:26">
      <c r="A306" s="336" t="s">
        <v>1444</v>
      </c>
      <c r="B306" s="336">
        <v>1491</v>
      </c>
      <c r="C306" s="336">
        <v>240</v>
      </c>
      <c r="D306" s="332">
        <v>25</v>
      </c>
      <c r="E306" s="336" t="s">
        <v>1643</v>
      </c>
      <c r="F306" s="338">
        <v>2147023.9999999977</v>
      </c>
      <c r="G306" s="336" t="s">
        <v>66</v>
      </c>
      <c r="H306" s="336">
        <v>2018</v>
      </c>
      <c r="I306" s="306">
        <f>+IF($H306=I$2,VLOOKUP($G306,Depreciation!$A$14:$L$18,7,FALSE)/2,IF($H306&lt;I$2,VLOOKUP($G306,Depreciation!$A$14:$L$18,7,FALSE),0))</f>
        <v>0</v>
      </c>
      <c r="J306" s="306">
        <f>+IF($H306=J$2,VLOOKUP($G306,Depreciation!$A$14:$L$18,8,FALSE)/2,IF($H306&lt;J$2,VLOOKUP($G306,Depreciation!$A$14:$L$18,8,FALSE),0))</f>
        <v>0</v>
      </c>
      <c r="K306" s="306">
        <f>+IF($H306=K$2,VLOOKUP($G306,Depreciation!$A$14:$L$18,9,FALSE)/2,IF($H306&lt;K$2,VLOOKUP($G306,Depreciation!$A$14:$L$18,9,FALSE),0))</f>
        <v>0</v>
      </c>
      <c r="L306" s="306">
        <f>+IF($H306=L$2,VLOOKUP($G306,Depreciation!$A$14:$L$18,10,FALSE)/2,IF($H306&lt;L$2,VLOOKUP($G306,Depreciation!$A$14:$L$18,10,FALSE),0))</f>
        <v>1.2175768213899416E-2</v>
      </c>
      <c r="M306" s="306">
        <f>+IF($H306=M$2,VLOOKUP($G306,Depreciation!$A$14:$L$18,11,FALSE)/2,IF($H306&lt;M$2,VLOOKUP($G306,Depreciation!$A$14:$L$18,11,FALSE),0))</f>
        <v>2.4351536427798831E-2</v>
      </c>
      <c r="N306" s="306">
        <f>+IF($H306=N$2,VLOOKUP($G306,Depreciation!$A$14:$L$18,12,FALSE)/2,IF($H306&lt;N$2,VLOOKUP($G306,Depreciation!$A$14:$L$18,12,FALSE),0))</f>
        <v>2.4351536427798831E-2</v>
      </c>
      <c r="O306" s="307">
        <f t="shared" si="37"/>
        <v>0</v>
      </c>
      <c r="P306" s="732">
        <v>0</v>
      </c>
      <c r="Q306" s="733">
        <v>1</v>
      </c>
      <c r="R306" s="734">
        <f t="shared" si="38"/>
        <v>0</v>
      </c>
      <c r="S306" s="735">
        <f t="shared" si="39"/>
        <v>0</v>
      </c>
      <c r="T306" s="735">
        <f t="shared" si="40"/>
        <v>0</v>
      </c>
      <c r="U306" s="735">
        <f t="shared" si="41"/>
        <v>0</v>
      </c>
      <c r="V306" s="736">
        <f t="shared" si="42"/>
        <v>0</v>
      </c>
      <c r="W306" s="735">
        <f t="shared" si="43"/>
        <v>0</v>
      </c>
      <c r="X306" s="737">
        <f t="shared" si="44"/>
        <v>0</v>
      </c>
      <c r="Y306" s="738">
        <f t="shared" si="45"/>
        <v>0</v>
      </c>
      <c r="Z306" s="627"/>
    </row>
    <row r="307" spans="1:26">
      <c r="A307" s="336" t="s">
        <v>1430</v>
      </c>
      <c r="B307" s="336">
        <v>1494</v>
      </c>
      <c r="C307" s="336">
        <v>138</v>
      </c>
      <c r="D307" s="332">
        <v>25</v>
      </c>
      <c r="E307" s="336" t="s">
        <v>1644</v>
      </c>
      <c r="F307" s="338">
        <v>7308312.4068950815</v>
      </c>
      <c r="G307" s="336" t="s">
        <v>4</v>
      </c>
      <c r="H307" s="336">
        <v>2015</v>
      </c>
      <c r="I307" s="306">
        <f>+IF($H307=I$2,VLOOKUP($G307,Depreciation!$A$14:$L$18,7,FALSE)/2,IF($H307&lt;I$2,VLOOKUP($G307,Depreciation!$A$14:$L$18,7,FALSE),0))</f>
        <v>1.7228380322441735E-2</v>
      </c>
      <c r="J307" s="306">
        <f>+IF($H307=J$2,VLOOKUP($G307,Depreciation!$A$14:$L$18,8,FALSE)/2,IF($H307&lt;J$2,VLOOKUP($G307,Depreciation!$A$14:$L$18,8,FALSE),0))</f>
        <v>3.343407856743718E-2</v>
      </c>
      <c r="K307" s="306">
        <f>+IF($H307=K$2,VLOOKUP($G307,Depreciation!$A$14:$L$18,9,FALSE)/2,IF($H307&lt;K$2,VLOOKUP($G307,Depreciation!$A$14:$L$18,9,FALSE),0))</f>
        <v>3.343407856743718E-2</v>
      </c>
      <c r="L307" s="306">
        <f>+IF($H307=L$2,VLOOKUP($G307,Depreciation!$A$14:$L$18,10,FALSE)/2,IF($H307&lt;L$2,VLOOKUP($G307,Depreciation!$A$14:$L$18,10,FALSE),0))</f>
        <v>3.343407856743718E-2</v>
      </c>
      <c r="M307" s="306">
        <f>+IF($H307=M$2,VLOOKUP($G307,Depreciation!$A$14:$L$18,11,FALSE)/2,IF($H307&lt;M$2,VLOOKUP($G307,Depreciation!$A$14:$L$18,11,FALSE),0))</f>
        <v>3.343407856743718E-2</v>
      </c>
      <c r="N307" s="306">
        <f>+IF($H307=N$2,VLOOKUP($G307,Depreciation!$A$14:$L$18,12,FALSE)/2,IF($H307&lt;N$2,VLOOKUP($G307,Depreciation!$A$14:$L$18,12,FALSE),0))</f>
        <v>3.343407856743718E-2</v>
      </c>
      <c r="O307" s="307">
        <f t="shared" si="37"/>
        <v>7182402.0212338734</v>
      </c>
      <c r="P307" s="732">
        <v>0</v>
      </c>
      <c r="Q307" s="733">
        <v>1</v>
      </c>
      <c r="R307" s="734">
        <f t="shared" si="38"/>
        <v>0</v>
      </c>
      <c r="S307" s="735">
        <f t="shared" si="39"/>
        <v>0</v>
      </c>
      <c r="T307" s="735">
        <f t="shared" si="40"/>
        <v>7182402.0212338734</v>
      </c>
      <c r="U307" s="735">
        <f t="shared" si="41"/>
        <v>0</v>
      </c>
      <c r="V307" s="736">
        <f t="shared" si="42"/>
        <v>0</v>
      </c>
      <c r="W307" s="735">
        <f t="shared" si="43"/>
        <v>0</v>
      </c>
      <c r="X307" s="737">
        <f t="shared" si="44"/>
        <v>0</v>
      </c>
      <c r="Y307" s="738">
        <f t="shared" si="45"/>
        <v>7182402.0212338734</v>
      </c>
      <c r="Z307" s="627"/>
    </row>
    <row r="308" spans="1:26">
      <c r="A308" s="336" t="s">
        <v>1518</v>
      </c>
      <c r="B308" s="336">
        <v>1495</v>
      </c>
      <c r="C308" s="336">
        <v>138</v>
      </c>
      <c r="D308" s="332">
        <v>25</v>
      </c>
      <c r="E308" s="336" t="s">
        <v>1645</v>
      </c>
      <c r="F308" s="338">
        <v>4998436.9999999991</v>
      </c>
      <c r="G308" s="336" t="s">
        <v>4</v>
      </c>
      <c r="H308" s="336">
        <v>2015</v>
      </c>
      <c r="I308" s="306">
        <f>+IF($H308=I$2,VLOOKUP($G308,Depreciation!$A$14:$L$18,7,FALSE)/2,IF($H308&lt;I$2,VLOOKUP($G308,Depreciation!$A$14:$L$18,7,FALSE),0))</f>
        <v>1.7228380322441735E-2</v>
      </c>
      <c r="J308" s="306">
        <f>+IF($H308=J$2,VLOOKUP($G308,Depreciation!$A$14:$L$18,8,FALSE)/2,IF($H308&lt;J$2,VLOOKUP($G308,Depreciation!$A$14:$L$18,8,FALSE),0))</f>
        <v>3.343407856743718E-2</v>
      </c>
      <c r="K308" s="306">
        <f>+IF($H308=K$2,VLOOKUP($G308,Depreciation!$A$14:$L$18,9,FALSE)/2,IF($H308&lt;K$2,VLOOKUP($G308,Depreciation!$A$14:$L$18,9,FALSE),0))</f>
        <v>3.343407856743718E-2</v>
      </c>
      <c r="L308" s="306">
        <f>+IF($H308=L$2,VLOOKUP($G308,Depreciation!$A$14:$L$18,10,FALSE)/2,IF($H308&lt;L$2,VLOOKUP($G308,Depreciation!$A$14:$L$18,10,FALSE),0))</f>
        <v>3.343407856743718E-2</v>
      </c>
      <c r="M308" s="306">
        <f>+IF($H308=M$2,VLOOKUP($G308,Depreciation!$A$14:$L$18,11,FALSE)/2,IF($H308&lt;M$2,VLOOKUP($G308,Depreciation!$A$14:$L$18,11,FALSE),0))</f>
        <v>3.343407856743718E-2</v>
      </c>
      <c r="N308" s="306">
        <f>+IF($H308=N$2,VLOOKUP($G308,Depreciation!$A$14:$L$18,12,FALSE)/2,IF($H308&lt;N$2,VLOOKUP($G308,Depreciation!$A$14:$L$18,12,FALSE),0))</f>
        <v>3.343407856743718E-2</v>
      </c>
      <c r="O308" s="307">
        <f t="shared" si="37"/>
        <v>4912322.0263462346</v>
      </c>
      <c r="P308" s="732">
        <v>0.2544529262086514</v>
      </c>
      <c r="Q308" s="733">
        <v>0.74554707379134866</v>
      </c>
      <c r="R308" s="734">
        <f t="shared" si="38"/>
        <v>0</v>
      </c>
      <c r="S308" s="735">
        <f t="shared" si="39"/>
        <v>1249954.7140830113</v>
      </c>
      <c r="T308" s="735">
        <f t="shared" si="40"/>
        <v>3662367.3122632233</v>
      </c>
      <c r="U308" s="735">
        <f t="shared" si="41"/>
        <v>0</v>
      </c>
      <c r="V308" s="736">
        <f t="shared" si="42"/>
        <v>0</v>
      </c>
      <c r="W308" s="735">
        <f t="shared" si="43"/>
        <v>1249954.7140830113</v>
      </c>
      <c r="X308" s="737">
        <f t="shared" si="44"/>
        <v>0</v>
      </c>
      <c r="Y308" s="738">
        <f t="shared" si="45"/>
        <v>3662367.3122632233</v>
      </c>
      <c r="Z308" s="627"/>
    </row>
    <row r="309" spans="1:26">
      <c r="A309" s="336" t="s">
        <v>1519</v>
      </c>
      <c r="B309" s="336">
        <v>1495</v>
      </c>
      <c r="C309" s="336">
        <v>138</v>
      </c>
      <c r="D309" s="332">
        <v>25</v>
      </c>
      <c r="E309" s="336" t="s">
        <v>1645</v>
      </c>
      <c r="F309" s="338">
        <v>6860894.0285954578</v>
      </c>
      <c r="G309" s="336" t="s">
        <v>4</v>
      </c>
      <c r="H309" s="336">
        <v>2015</v>
      </c>
      <c r="I309" s="306">
        <f>+IF($H309=I$2,VLOOKUP($G309,Depreciation!$A$14:$L$18,7,FALSE)/2,IF($H309&lt;I$2,VLOOKUP($G309,Depreciation!$A$14:$L$18,7,FALSE),0))</f>
        <v>1.7228380322441735E-2</v>
      </c>
      <c r="J309" s="306">
        <f>+IF($H309=J$2,VLOOKUP($G309,Depreciation!$A$14:$L$18,8,FALSE)/2,IF($H309&lt;J$2,VLOOKUP($G309,Depreciation!$A$14:$L$18,8,FALSE),0))</f>
        <v>3.343407856743718E-2</v>
      </c>
      <c r="K309" s="306">
        <f>+IF($H309=K$2,VLOOKUP($G309,Depreciation!$A$14:$L$18,9,FALSE)/2,IF($H309&lt;K$2,VLOOKUP($G309,Depreciation!$A$14:$L$18,9,FALSE),0))</f>
        <v>3.343407856743718E-2</v>
      </c>
      <c r="L309" s="306">
        <f>+IF($H309=L$2,VLOOKUP($G309,Depreciation!$A$14:$L$18,10,FALSE)/2,IF($H309&lt;L$2,VLOOKUP($G309,Depreciation!$A$14:$L$18,10,FALSE),0))</f>
        <v>3.343407856743718E-2</v>
      </c>
      <c r="M309" s="306">
        <f>+IF($H309=M$2,VLOOKUP($G309,Depreciation!$A$14:$L$18,11,FALSE)/2,IF($H309&lt;M$2,VLOOKUP($G309,Depreciation!$A$14:$L$18,11,FALSE),0))</f>
        <v>3.343407856743718E-2</v>
      </c>
      <c r="N309" s="306">
        <f>+IF($H309=N$2,VLOOKUP($G309,Depreciation!$A$14:$L$18,12,FALSE)/2,IF($H309&lt;N$2,VLOOKUP($G309,Depreciation!$A$14:$L$18,12,FALSE),0))</f>
        <v>3.343407856743718E-2</v>
      </c>
      <c r="O309" s="307">
        <f t="shared" si="37"/>
        <v>6742691.9369188454</v>
      </c>
      <c r="P309" s="732">
        <v>0.2544529262086514</v>
      </c>
      <c r="Q309" s="733">
        <v>0.74554707379134866</v>
      </c>
      <c r="R309" s="734">
        <f t="shared" si="38"/>
        <v>0</v>
      </c>
      <c r="S309" s="735">
        <f t="shared" si="39"/>
        <v>1715697.6938724797</v>
      </c>
      <c r="T309" s="735">
        <f t="shared" si="40"/>
        <v>5026994.2430463657</v>
      </c>
      <c r="U309" s="735">
        <f t="shared" si="41"/>
        <v>0</v>
      </c>
      <c r="V309" s="736">
        <f t="shared" si="42"/>
        <v>0</v>
      </c>
      <c r="W309" s="735">
        <f t="shared" si="43"/>
        <v>1715697.6938724797</v>
      </c>
      <c r="X309" s="737">
        <f t="shared" si="44"/>
        <v>0</v>
      </c>
      <c r="Y309" s="738">
        <f t="shared" si="45"/>
        <v>5026994.2430463657</v>
      </c>
      <c r="Z309" s="627"/>
    </row>
    <row r="310" spans="1:26">
      <c r="A310" s="336" t="s">
        <v>1441</v>
      </c>
      <c r="B310" s="336">
        <v>1503</v>
      </c>
      <c r="C310" s="336">
        <v>240</v>
      </c>
      <c r="D310" s="332">
        <v>25</v>
      </c>
      <c r="E310" s="336" t="s">
        <v>1646</v>
      </c>
      <c r="F310" s="338">
        <v>5335410.2564102598</v>
      </c>
      <c r="G310" s="336" t="s">
        <v>4</v>
      </c>
      <c r="H310" s="336">
        <v>2016</v>
      </c>
      <c r="I310" s="306">
        <f>+IF($H310=I$2,VLOOKUP($G310,Depreciation!$A$14:$L$18,7,FALSE)/2,IF($H310&lt;I$2,VLOOKUP($G310,Depreciation!$A$14:$L$18,7,FALSE),0))</f>
        <v>0</v>
      </c>
      <c r="J310" s="306">
        <f>+IF($H310=J$2,VLOOKUP($G310,Depreciation!$A$14:$L$18,8,FALSE)/2,IF($H310&lt;J$2,VLOOKUP($G310,Depreciation!$A$14:$L$18,8,FALSE),0))</f>
        <v>1.671703928371859E-2</v>
      </c>
      <c r="K310" s="306">
        <f>+IF($H310=K$2,VLOOKUP($G310,Depreciation!$A$14:$L$18,9,FALSE)/2,IF($H310&lt;K$2,VLOOKUP($G310,Depreciation!$A$14:$L$18,9,FALSE),0))</f>
        <v>3.343407856743718E-2</v>
      </c>
      <c r="L310" s="306">
        <f>+IF($H310=L$2,VLOOKUP($G310,Depreciation!$A$14:$L$18,10,FALSE)/2,IF($H310&lt;L$2,VLOOKUP($G310,Depreciation!$A$14:$L$18,10,FALSE),0))</f>
        <v>3.343407856743718E-2</v>
      </c>
      <c r="M310" s="306">
        <f>+IF($H310=M$2,VLOOKUP($G310,Depreciation!$A$14:$L$18,11,FALSE)/2,IF($H310&lt;M$2,VLOOKUP($G310,Depreciation!$A$14:$L$18,11,FALSE),0))</f>
        <v>3.343407856743718E-2</v>
      </c>
      <c r="N310" s="306">
        <f>+IF($H310=N$2,VLOOKUP($G310,Depreciation!$A$14:$L$18,12,FALSE)/2,IF($H310&lt;N$2,VLOOKUP($G310,Depreciation!$A$14:$L$18,12,FALSE),0))</f>
        <v>3.343407856743718E-2</v>
      </c>
      <c r="O310" s="307">
        <f t="shared" si="37"/>
        <v>0</v>
      </c>
      <c r="P310" s="732">
        <v>0.29078014184397161</v>
      </c>
      <c r="Q310" s="733">
        <v>0.70921985815602839</v>
      </c>
      <c r="R310" s="734">
        <f t="shared" si="38"/>
        <v>0</v>
      </c>
      <c r="S310" s="735">
        <f t="shared" si="39"/>
        <v>0</v>
      </c>
      <c r="T310" s="735">
        <f t="shared" si="40"/>
        <v>0</v>
      </c>
      <c r="U310" s="735">
        <f t="shared" si="41"/>
        <v>0</v>
      </c>
      <c r="V310" s="736">
        <f t="shared" si="42"/>
        <v>0</v>
      </c>
      <c r="W310" s="735">
        <f t="shared" si="43"/>
        <v>0</v>
      </c>
      <c r="X310" s="737">
        <f t="shared" si="44"/>
        <v>0</v>
      </c>
      <c r="Y310" s="738">
        <f t="shared" si="45"/>
        <v>0</v>
      </c>
      <c r="Z310" s="627"/>
    </row>
    <row r="311" spans="1:26">
      <c r="A311" s="336" t="s">
        <v>1433</v>
      </c>
      <c r="B311" s="336">
        <v>1510</v>
      </c>
      <c r="C311" s="336">
        <v>138</v>
      </c>
      <c r="D311" s="332">
        <v>25</v>
      </c>
      <c r="E311" s="336" t="s">
        <v>1647</v>
      </c>
      <c r="F311" s="338">
        <v>968000.00000000012</v>
      </c>
      <c r="G311" s="336" t="s">
        <v>4</v>
      </c>
      <c r="H311" s="336">
        <v>2015</v>
      </c>
      <c r="I311" s="306">
        <f>+IF($H311=I$2,VLOOKUP($G311,Depreciation!$A$14:$L$18,7,FALSE)/2,IF($H311&lt;I$2,VLOOKUP($G311,Depreciation!$A$14:$L$18,7,FALSE),0))</f>
        <v>1.7228380322441735E-2</v>
      </c>
      <c r="J311" s="306">
        <f>+IF($H311=J$2,VLOOKUP($G311,Depreciation!$A$14:$L$18,8,FALSE)/2,IF($H311&lt;J$2,VLOOKUP($G311,Depreciation!$A$14:$L$18,8,FALSE),0))</f>
        <v>3.343407856743718E-2</v>
      </c>
      <c r="K311" s="306">
        <f>+IF($H311=K$2,VLOOKUP($G311,Depreciation!$A$14:$L$18,9,FALSE)/2,IF($H311&lt;K$2,VLOOKUP($G311,Depreciation!$A$14:$L$18,9,FALSE),0))</f>
        <v>3.343407856743718E-2</v>
      </c>
      <c r="L311" s="306">
        <f>+IF($H311=L$2,VLOOKUP($G311,Depreciation!$A$14:$L$18,10,FALSE)/2,IF($H311&lt;L$2,VLOOKUP($G311,Depreciation!$A$14:$L$18,10,FALSE),0))</f>
        <v>3.343407856743718E-2</v>
      </c>
      <c r="M311" s="306">
        <f>+IF($H311=M$2,VLOOKUP($G311,Depreciation!$A$14:$L$18,11,FALSE)/2,IF($H311&lt;M$2,VLOOKUP($G311,Depreciation!$A$14:$L$18,11,FALSE),0))</f>
        <v>3.343407856743718E-2</v>
      </c>
      <c r="N311" s="306">
        <f>+IF($H311=N$2,VLOOKUP($G311,Depreciation!$A$14:$L$18,12,FALSE)/2,IF($H311&lt;N$2,VLOOKUP($G311,Depreciation!$A$14:$L$18,12,FALSE),0))</f>
        <v>3.343407856743718E-2</v>
      </c>
      <c r="O311" s="307">
        <f t="shared" si="37"/>
        <v>951322.92784787645</v>
      </c>
      <c r="P311" s="732">
        <v>0</v>
      </c>
      <c r="Q311" s="733">
        <v>1</v>
      </c>
      <c r="R311" s="734">
        <f t="shared" si="38"/>
        <v>0</v>
      </c>
      <c r="S311" s="735">
        <f t="shared" si="39"/>
        <v>0</v>
      </c>
      <c r="T311" s="735">
        <f t="shared" si="40"/>
        <v>951322.92784787645</v>
      </c>
      <c r="U311" s="735">
        <f t="shared" si="41"/>
        <v>0</v>
      </c>
      <c r="V311" s="736">
        <f t="shared" si="42"/>
        <v>0</v>
      </c>
      <c r="W311" s="735">
        <f t="shared" si="43"/>
        <v>0</v>
      </c>
      <c r="X311" s="737">
        <f t="shared" si="44"/>
        <v>0</v>
      </c>
      <c r="Y311" s="738">
        <f t="shared" si="45"/>
        <v>951322.92784787645</v>
      </c>
      <c r="Z311" s="627"/>
    </row>
    <row r="312" spans="1:26">
      <c r="A312" s="336" t="s">
        <v>1434</v>
      </c>
      <c r="B312" s="336">
        <v>1515</v>
      </c>
      <c r="C312" s="336">
        <v>138</v>
      </c>
      <c r="D312" s="332">
        <v>25</v>
      </c>
      <c r="E312" s="336" t="s">
        <v>1648</v>
      </c>
      <c r="F312" s="338">
        <v>10972.383408553622</v>
      </c>
      <c r="G312" s="336" t="s">
        <v>4</v>
      </c>
      <c r="H312" s="336">
        <v>2016</v>
      </c>
      <c r="I312" s="306">
        <f>+IF($H312=I$2,VLOOKUP($G312,Depreciation!$A$14:$L$18,7,FALSE)/2,IF($H312&lt;I$2,VLOOKUP($G312,Depreciation!$A$14:$L$18,7,FALSE),0))</f>
        <v>0</v>
      </c>
      <c r="J312" s="306">
        <f>+IF($H312=J$2,VLOOKUP($G312,Depreciation!$A$14:$L$18,8,FALSE)/2,IF($H312&lt;J$2,VLOOKUP($G312,Depreciation!$A$14:$L$18,8,FALSE),0))</f>
        <v>1.671703928371859E-2</v>
      </c>
      <c r="K312" s="306">
        <f>+IF($H312=K$2,VLOOKUP($G312,Depreciation!$A$14:$L$18,9,FALSE)/2,IF($H312&lt;K$2,VLOOKUP($G312,Depreciation!$A$14:$L$18,9,FALSE),0))</f>
        <v>3.343407856743718E-2</v>
      </c>
      <c r="L312" s="306">
        <f>+IF($H312=L$2,VLOOKUP($G312,Depreciation!$A$14:$L$18,10,FALSE)/2,IF($H312&lt;L$2,VLOOKUP($G312,Depreciation!$A$14:$L$18,10,FALSE),0))</f>
        <v>3.343407856743718E-2</v>
      </c>
      <c r="M312" s="306">
        <f>+IF($H312=M$2,VLOOKUP($G312,Depreciation!$A$14:$L$18,11,FALSE)/2,IF($H312&lt;M$2,VLOOKUP($G312,Depreciation!$A$14:$L$18,11,FALSE),0))</f>
        <v>3.343407856743718E-2</v>
      </c>
      <c r="N312" s="306">
        <f>+IF($H312=N$2,VLOOKUP($G312,Depreciation!$A$14:$L$18,12,FALSE)/2,IF($H312&lt;N$2,VLOOKUP($G312,Depreciation!$A$14:$L$18,12,FALSE),0))</f>
        <v>3.343407856743718E-2</v>
      </c>
      <c r="O312" s="307">
        <f t="shared" si="37"/>
        <v>0</v>
      </c>
      <c r="P312" s="732">
        <v>0</v>
      </c>
      <c r="Q312" s="733">
        <v>1</v>
      </c>
      <c r="R312" s="734">
        <f t="shared" si="38"/>
        <v>0</v>
      </c>
      <c r="S312" s="735">
        <f t="shared" si="39"/>
        <v>0</v>
      </c>
      <c r="T312" s="735">
        <f t="shared" si="40"/>
        <v>0</v>
      </c>
      <c r="U312" s="735">
        <f t="shared" si="41"/>
        <v>0</v>
      </c>
      <c r="V312" s="736">
        <f t="shared" si="42"/>
        <v>0</v>
      </c>
      <c r="W312" s="735">
        <f t="shared" si="43"/>
        <v>0</v>
      </c>
      <c r="X312" s="737">
        <f t="shared" si="44"/>
        <v>0</v>
      </c>
      <c r="Y312" s="738">
        <f t="shared" si="45"/>
        <v>0</v>
      </c>
      <c r="Z312" s="627"/>
    </row>
    <row r="313" spans="1:26">
      <c r="A313" s="336" t="s">
        <v>1435</v>
      </c>
      <c r="B313" s="336">
        <v>1515</v>
      </c>
      <c r="C313" s="336">
        <v>240</v>
      </c>
      <c r="D313" s="332">
        <v>138</v>
      </c>
      <c r="E313" s="336" t="s">
        <v>1649</v>
      </c>
      <c r="F313" s="338">
        <v>10972.383408553622</v>
      </c>
      <c r="G313" s="336" t="s">
        <v>4</v>
      </c>
      <c r="H313" s="336">
        <v>2016</v>
      </c>
      <c r="I313" s="306">
        <f>+IF($H313=I$2,VLOOKUP($G313,Depreciation!$A$14:$L$18,7,FALSE)/2,IF($H313&lt;I$2,VLOOKUP($G313,Depreciation!$A$14:$L$18,7,FALSE),0))</f>
        <v>0</v>
      </c>
      <c r="J313" s="306">
        <f>+IF($H313=J$2,VLOOKUP($G313,Depreciation!$A$14:$L$18,8,FALSE)/2,IF($H313&lt;J$2,VLOOKUP($G313,Depreciation!$A$14:$L$18,8,FALSE),0))</f>
        <v>1.671703928371859E-2</v>
      </c>
      <c r="K313" s="306">
        <f>+IF($H313=K$2,VLOOKUP($G313,Depreciation!$A$14:$L$18,9,FALSE)/2,IF($H313&lt;K$2,VLOOKUP($G313,Depreciation!$A$14:$L$18,9,FALSE),0))</f>
        <v>3.343407856743718E-2</v>
      </c>
      <c r="L313" s="306">
        <f>+IF($H313=L$2,VLOOKUP($G313,Depreciation!$A$14:$L$18,10,FALSE)/2,IF($H313&lt;L$2,VLOOKUP($G313,Depreciation!$A$14:$L$18,10,FALSE),0))</f>
        <v>3.343407856743718E-2</v>
      </c>
      <c r="M313" s="306">
        <f>+IF($H313=M$2,VLOOKUP($G313,Depreciation!$A$14:$L$18,11,FALSE)/2,IF($H313&lt;M$2,VLOOKUP($G313,Depreciation!$A$14:$L$18,11,FALSE),0))</f>
        <v>3.343407856743718E-2</v>
      </c>
      <c r="N313" s="306">
        <f>+IF($H313=N$2,VLOOKUP($G313,Depreciation!$A$14:$L$18,12,FALSE)/2,IF($H313&lt;N$2,VLOOKUP($G313,Depreciation!$A$14:$L$18,12,FALSE),0))</f>
        <v>3.343407856743718E-2</v>
      </c>
      <c r="O313" s="307">
        <f t="shared" si="37"/>
        <v>0</v>
      </c>
      <c r="P313" s="732">
        <v>0</v>
      </c>
      <c r="Q313" s="733">
        <v>0</v>
      </c>
      <c r="R313" s="734">
        <f t="shared" si="38"/>
        <v>1</v>
      </c>
      <c r="S313" s="735">
        <f t="shared" si="39"/>
        <v>0</v>
      </c>
      <c r="T313" s="735">
        <f t="shared" si="40"/>
        <v>0</v>
      </c>
      <c r="U313" s="735">
        <f t="shared" si="41"/>
        <v>0</v>
      </c>
      <c r="V313" s="736">
        <f t="shared" si="42"/>
        <v>0</v>
      </c>
      <c r="W313" s="735">
        <f t="shared" si="43"/>
        <v>0</v>
      </c>
      <c r="X313" s="737">
        <f t="shared" si="44"/>
        <v>0</v>
      </c>
      <c r="Y313" s="738">
        <f t="shared" si="45"/>
        <v>0</v>
      </c>
      <c r="Z313" s="627"/>
    </row>
    <row r="314" spans="1:26">
      <c r="A314" s="336" t="s">
        <v>1437</v>
      </c>
      <c r="B314" s="336">
        <v>1515</v>
      </c>
      <c r="C314" s="336">
        <v>138</v>
      </c>
      <c r="D314" s="332">
        <v>25</v>
      </c>
      <c r="E314" s="336" t="s">
        <v>1650</v>
      </c>
      <c r="F314" s="338">
        <v>6269.9333763163559</v>
      </c>
      <c r="G314" s="336" t="s">
        <v>4</v>
      </c>
      <c r="H314" s="336">
        <v>2016</v>
      </c>
      <c r="I314" s="306">
        <f>+IF($H314=I$2,VLOOKUP($G314,Depreciation!$A$14:$L$18,7,FALSE)/2,IF($H314&lt;I$2,VLOOKUP($G314,Depreciation!$A$14:$L$18,7,FALSE),0))</f>
        <v>0</v>
      </c>
      <c r="J314" s="306">
        <f>+IF($H314=J$2,VLOOKUP($G314,Depreciation!$A$14:$L$18,8,FALSE)/2,IF($H314&lt;J$2,VLOOKUP($G314,Depreciation!$A$14:$L$18,8,FALSE),0))</f>
        <v>1.671703928371859E-2</v>
      </c>
      <c r="K314" s="306">
        <f>+IF($H314=K$2,VLOOKUP($G314,Depreciation!$A$14:$L$18,9,FALSE)/2,IF($H314&lt;K$2,VLOOKUP($G314,Depreciation!$A$14:$L$18,9,FALSE),0))</f>
        <v>3.343407856743718E-2</v>
      </c>
      <c r="L314" s="306">
        <f>+IF($H314=L$2,VLOOKUP($G314,Depreciation!$A$14:$L$18,10,FALSE)/2,IF($H314&lt;L$2,VLOOKUP($G314,Depreciation!$A$14:$L$18,10,FALSE),0))</f>
        <v>3.343407856743718E-2</v>
      </c>
      <c r="M314" s="306">
        <f>+IF($H314=M$2,VLOOKUP($G314,Depreciation!$A$14:$L$18,11,FALSE)/2,IF($H314&lt;M$2,VLOOKUP($G314,Depreciation!$A$14:$L$18,11,FALSE),0))</f>
        <v>3.343407856743718E-2</v>
      </c>
      <c r="N314" s="306">
        <f>+IF($H314=N$2,VLOOKUP($G314,Depreciation!$A$14:$L$18,12,FALSE)/2,IF($H314&lt;N$2,VLOOKUP($G314,Depreciation!$A$14:$L$18,12,FALSE),0))</f>
        <v>3.343407856743718E-2</v>
      </c>
      <c r="O314" s="307">
        <f t="shared" si="37"/>
        <v>0</v>
      </c>
      <c r="P314" s="732">
        <v>0</v>
      </c>
      <c r="Q314" s="733">
        <v>1</v>
      </c>
      <c r="R314" s="734">
        <f t="shared" si="38"/>
        <v>0</v>
      </c>
      <c r="S314" s="735">
        <f t="shared" si="39"/>
        <v>0</v>
      </c>
      <c r="T314" s="735">
        <f t="shared" si="40"/>
        <v>0</v>
      </c>
      <c r="U314" s="735">
        <f t="shared" si="41"/>
        <v>0</v>
      </c>
      <c r="V314" s="736">
        <f t="shared" si="42"/>
        <v>0</v>
      </c>
      <c r="W314" s="735">
        <f t="shared" si="43"/>
        <v>0</v>
      </c>
      <c r="X314" s="737">
        <f t="shared" si="44"/>
        <v>0</v>
      </c>
      <c r="Y314" s="738">
        <f t="shared" si="45"/>
        <v>0</v>
      </c>
      <c r="Z314" s="627"/>
    </row>
    <row r="315" spans="1:26">
      <c r="A315" s="336" t="s">
        <v>1436</v>
      </c>
      <c r="B315" s="336">
        <v>1515</v>
      </c>
      <c r="C315" s="336">
        <v>138</v>
      </c>
      <c r="D315" s="332">
        <v>25</v>
      </c>
      <c r="E315" s="336" t="s">
        <v>1651</v>
      </c>
      <c r="F315" s="338">
        <v>13162157.64023211</v>
      </c>
      <c r="G315" s="336" t="s">
        <v>4</v>
      </c>
      <c r="H315" s="336">
        <v>2016</v>
      </c>
      <c r="I315" s="306">
        <f>+IF($H315=I$2,VLOOKUP($G315,Depreciation!$A$14:$L$18,7,FALSE)/2,IF($H315&lt;I$2,VLOOKUP($G315,Depreciation!$A$14:$L$18,7,FALSE),0))</f>
        <v>0</v>
      </c>
      <c r="J315" s="306">
        <f>+IF($H315=J$2,VLOOKUP($G315,Depreciation!$A$14:$L$18,8,FALSE)/2,IF($H315&lt;J$2,VLOOKUP($G315,Depreciation!$A$14:$L$18,8,FALSE),0))</f>
        <v>1.671703928371859E-2</v>
      </c>
      <c r="K315" s="306">
        <f>+IF($H315=K$2,VLOOKUP($G315,Depreciation!$A$14:$L$18,9,FALSE)/2,IF($H315&lt;K$2,VLOOKUP($G315,Depreciation!$A$14:$L$18,9,FALSE),0))</f>
        <v>3.343407856743718E-2</v>
      </c>
      <c r="L315" s="306">
        <f>+IF($H315=L$2,VLOOKUP($G315,Depreciation!$A$14:$L$18,10,FALSE)/2,IF($H315&lt;L$2,VLOOKUP($G315,Depreciation!$A$14:$L$18,10,FALSE),0))</f>
        <v>3.343407856743718E-2</v>
      </c>
      <c r="M315" s="306">
        <f>+IF($H315=M$2,VLOOKUP($G315,Depreciation!$A$14:$L$18,11,FALSE)/2,IF($H315&lt;M$2,VLOOKUP($G315,Depreciation!$A$14:$L$18,11,FALSE),0))</f>
        <v>3.343407856743718E-2</v>
      </c>
      <c r="N315" s="306">
        <f>+IF($H315=N$2,VLOOKUP($G315,Depreciation!$A$14:$L$18,12,FALSE)/2,IF($H315&lt;N$2,VLOOKUP($G315,Depreciation!$A$14:$L$18,12,FALSE),0))</f>
        <v>3.343407856743718E-2</v>
      </c>
      <c r="O315" s="307">
        <f t="shared" si="37"/>
        <v>0</v>
      </c>
      <c r="P315" s="732">
        <v>0</v>
      </c>
      <c r="Q315" s="733">
        <v>1</v>
      </c>
      <c r="R315" s="734">
        <f t="shared" si="38"/>
        <v>0</v>
      </c>
      <c r="S315" s="735">
        <f t="shared" si="39"/>
        <v>0</v>
      </c>
      <c r="T315" s="735">
        <f t="shared" si="40"/>
        <v>0</v>
      </c>
      <c r="U315" s="735">
        <f t="shared" si="41"/>
        <v>0</v>
      </c>
      <c r="V315" s="736">
        <f t="shared" si="42"/>
        <v>0</v>
      </c>
      <c r="W315" s="735">
        <f t="shared" si="43"/>
        <v>0</v>
      </c>
      <c r="X315" s="737">
        <f t="shared" si="44"/>
        <v>0</v>
      </c>
      <c r="Y315" s="738">
        <f t="shared" si="45"/>
        <v>0</v>
      </c>
      <c r="Z315" s="627"/>
    </row>
    <row r="316" spans="1:26">
      <c r="A316" s="318" t="s">
        <v>1486</v>
      </c>
      <c r="B316" s="318">
        <v>1533</v>
      </c>
      <c r="C316" s="318">
        <v>34</v>
      </c>
      <c r="D316" s="332">
        <v>240</v>
      </c>
      <c r="E316" s="318" t="s">
        <v>1652</v>
      </c>
      <c r="F316" s="337">
        <v>121881.13948919451</v>
      </c>
      <c r="G316" s="318" t="s">
        <v>4</v>
      </c>
      <c r="H316" s="318">
        <v>2017</v>
      </c>
      <c r="I316" s="306">
        <f>+IF($H316=I$2,VLOOKUP($G316,Depreciation!$A$14:$L$18,7,FALSE)/2,IF($H316&lt;I$2,VLOOKUP($G316,Depreciation!$A$14:$L$18,7,FALSE),0))</f>
        <v>0</v>
      </c>
      <c r="J316" s="306">
        <f>+IF($H316=J$2,VLOOKUP($G316,Depreciation!$A$14:$L$18,8,FALSE)/2,IF($H316&lt;J$2,VLOOKUP($G316,Depreciation!$A$14:$L$18,8,FALSE),0))</f>
        <v>0</v>
      </c>
      <c r="K316" s="306">
        <f>+IF($H316=K$2,VLOOKUP($G316,Depreciation!$A$14:$L$18,9,FALSE)/2,IF($H316&lt;K$2,VLOOKUP($G316,Depreciation!$A$14:$L$18,9,FALSE),0))</f>
        <v>1.671703928371859E-2</v>
      </c>
      <c r="L316" s="306">
        <f>+IF($H316=L$2,VLOOKUP($G316,Depreciation!$A$14:$L$18,10,FALSE)/2,IF($H316&lt;L$2,VLOOKUP($G316,Depreciation!$A$14:$L$18,10,FALSE),0))</f>
        <v>3.343407856743718E-2</v>
      </c>
      <c r="M316" s="306">
        <f>+IF($H316=M$2,VLOOKUP($G316,Depreciation!$A$14:$L$18,11,FALSE)/2,IF($H316&lt;M$2,VLOOKUP($G316,Depreciation!$A$14:$L$18,11,FALSE),0))</f>
        <v>3.343407856743718E-2</v>
      </c>
      <c r="N316" s="306">
        <f>+IF($H316=N$2,VLOOKUP($G316,Depreciation!$A$14:$L$18,12,FALSE)/2,IF($H316&lt;N$2,VLOOKUP($G316,Depreciation!$A$14:$L$18,12,FALSE),0))</f>
        <v>3.343407856743718E-2</v>
      </c>
      <c r="O316" s="307">
        <f t="shared" si="37"/>
        <v>0</v>
      </c>
      <c r="P316" s="732">
        <v>0</v>
      </c>
      <c r="Q316" s="733">
        <v>0</v>
      </c>
      <c r="R316" s="734">
        <f t="shared" si="38"/>
        <v>1</v>
      </c>
      <c r="S316" s="735">
        <f t="shared" si="39"/>
        <v>0</v>
      </c>
      <c r="T316" s="735">
        <f t="shared" si="40"/>
        <v>0</v>
      </c>
      <c r="U316" s="735">
        <f t="shared" si="41"/>
        <v>0</v>
      </c>
      <c r="V316" s="736">
        <f t="shared" si="42"/>
        <v>0</v>
      </c>
      <c r="W316" s="735">
        <f t="shared" si="43"/>
        <v>0</v>
      </c>
      <c r="X316" s="737">
        <f t="shared" si="44"/>
        <v>0</v>
      </c>
      <c r="Y316" s="738">
        <f t="shared" si="45"/>
        <v>0</v>
      </c>
      <c r="Z316" s="627"/>
    </row>
    <row r="317" spans="1:26">
      <c r="A317" s="318" t="s">
        <v>1484</v>
      </c>
      <c r="B317" s="318">
        <v>1533</v>
      </c>
      <c r="C317" s="318">
        <v>240</v>
      </c>
      <c r="D317" s="332">
        <v>25</v>
      </c>
      <c r="E317" s="318" t="s">
        <v>1653</v>
      </c>
      <c r="F317" s="337">
        <v>4711112.3117223317</v>
      </c>
      <c r="G317" s="318" t="s">
        <v>4</v>
      </c>
      <c r="H317" s="318">
        <v>2017</v>
      </c>
      <c r="I317" s="306">
        <f>+IF($H317=I$2,VLOOKUP($G317,Depreciation!$A$14:$L$18,7,FALSE)/2,IF($H317&lt;I$2,VLOOKUP($G317,Depreciation!$A$14:$L$18,7,FALSE),0))</f>
        <v>0</v>
      </c>
      <c r="J317" s="306">
        <f>+IF($H317=J$2,VLOOKUP($G317,Depreciation!$A$14:$L$18,8,FALSE)/2,IF($H317&lt;J$2,VLOOKUP($G317,Depreciation!$A$14:$L$18,8,FALSE),0))</f>
        <v>0</v>
      </c>
      <c r="K317" s="306">
        <f>+IF($H317=K$2,VLOOKUP($G317,Depreciation!$A$14:$L$18,9,FALSE)/2,IF($H317&lt;K$2,VLOOKUP($G317,Depreciation!$A$14:$L$18,9,FALSE),0))</f>
        <v>1.671703928371859E-2</v>
      </c>
      <c r="L317" s="306">
        <f>+IF($H317=L$2,VLOOKUP($G317,Depreciation!$A$14:$L$18,10,FALSE)/2,IF($H317&lt;L$2,VLOOKUP($G317,Depreciation!$A$14:$L$18,10,FALSE),0))</f>
        <v>3.343407856743718E-2</v>
      </c>
      <c r="M317" s="306">
        <f>+IF($H317=M$2,VLOOKUP($G317,Depreciation!$A$14:$L$18,11,FALSE)/2,IF($H317&lt;M$2,VLOOKUP($G317,Depreciation!$A$14:$L$18,11,FALSE),0))</f>
        <v>3.343407856743718E-2</v>
      </c>
      <c r="N317" s="306">
        <f>+IF($H317=N$2,VLOOKUP($G317,Depreciation!$A$14:$L$18,12,FALSE)/2,IF($H317&lt;N$2,VLOOKUP($G317,Depreciation!$A$14:$L$18,12,FALSE),0))</f>
        <v>3.343407856743718E-2</v>
      </c>
      <c r="O317" s="307">
        <f t="shared" si="37"/>
        <v>0</v>
      </c>
      <c r="P317" s="732">
        <v>0</v>
      </c>
      <c r="Q317" s="733">
        <v>1</v>
      </c>
      <c r="R317" s="734">
        <f t="shared" si="38"/>
        <v>0</v>
      </c>
      <c r="S317" s="735">
        <f t="shared" si="39"/>
        <v>0</v>
      </c>
      <c r="T317" s="735">
        <f t="shared" si="40"/>
        <v>0</v>
      </c>
      <c r="U317" s="735">
        <f t="shared" si="41"/>
        <v>0</v>
      </c>
      <c r="V317" s="736">
        <f t="shared" si="42"/>
        <v>0</v>
      </c>
      <c r="W317" s="735">
        <f t="shared" si="43"/>
        <v>0</v>
      </c>
      <c r="X317" s="737">
        <f t="shared" si="44"/>
        <v>0</v>
      </c>
      <c r="Y317" s="738">
        <f t="shared" si="45"/>
        <v>0</v>
      </c>
      <c r="Z317" s="627"/>
    </row>
    <row r="318" spans="1:26">
      <c r="A318" s="318" t="s">
        <v>1471</v>
      </c>
      <c r="B318" s="318">
        <v>1554</v>
      </c>
      <c r="C318" s="318">
        <v>144</v>
      </c>
      <c r="D318" s="332">
        <v>25</v>
      </c>
      <c r="E318" s="318" t="s">
        <v>1654</v>
      </c>
      <c r="F318" s="337">
        <v>5879941.0000000009</v>
      </c>
      <c r="G318" s="318" t="s">
        <v>66</v>
      </c>
      <c r="H318" s="318">
        <v>2016</v>
      </c>
      <c r="I318" s="306">
        <f>+IF($H318=I$2,VLOOKUP($G318,Depreciation!$A$14:$L$18,7,FALSE)/2,IF($H318&lt;I$2,VLOOKUP($G318,Depreciation!$A$14:$L$18,7,FALSE),0))</f>
        <v>0</v>
      </c>
      <c r="J318" s="306">
        <f>+IF($H318=J$2,VLOOKUP($G318,Depreciation!$A$14:$L$18,8,FALSE)/2,IF($H318&lt;J$2,VLOOKUP($G318,Depreciation!$A$14:$L$18,8,FALSE),0))</f>
        <v>1.231622525054236E-2</v>
      </c>
      <c r="K318" s="306">
        <f>+IF($H318=K$2,VLOOKUP($G318,Depreciation!$A$14:$L$18,9,FALSE)/2,IF($H318&lt;K$2,VLOOKUP($G318,Depreciation!$A$14:$L$18,9,FALSE),0))</f>
        <v>2.4351536427798831E-2</v>
      </c>
      <c r="L318" s="306">
        <f>+IF($H318=L$2,VLOOKUP($G318,Depreciation!$A$14:$L$18,10,FALSE)/2,IF($H318&lt;L$2,VLOOKUP($G318,Depreciation!$A$14:$L$18,10,FALSE),0))</f>
        <v>2.4351536427798831E-2</v>
      </c>
      <c r="M318" s="306">
        <f>+IF($H318=M$2,VLOOKUP($G318,Depreciation!$A$14:$L$18,11,FALSE)/2,IF($H318&lt;M$2,VLOOKUP($G318,Depreciation!$A$14:$L$18,11,FALSE),0))</f>
        <v>2.4351536427798831E-2</v>
      </c>
      <c r="N318" s="306">
        <f>+IF($H318=N$2,VLOOKUP($G318,Depreciation!$A$14:$L$18,12,FALSE)/2,IF($H318&lt;N$2,VLOOKUP($G318,Depreciation!$A$14:$L$18,12,FALSE),0))</f>
        <v>2.4351536427798831E-2</v>
      </c>
      <c r="O318" s="307">
        <f t="shared" si="37"/>
        <v>0</v>
      </c>
      <c r="P318" s="732">
        <v>0</v>
      </c>
      <c r="Q318" s="733">
        <v>1</v>
      </c>
      <c r="R318" s="734">
        <f t="shared" si="38"/>
        <v>0</v>
      </c>
      <c r="S318" s="735">
        <f t="shared" si="39"/>
        <v>0</v>
      </c>
      <c r="T318" s="735">
        <f t="shared" si="40"/>
        <v>0</v>
      </c>
      <c r="U318" s="735">
        <f t="shared" si="41"/>
        <v>0</v>
      </c>
      <c r="V318" s="736">
        <f t="shared" si="42"/>
        <v>0</v>
      </c>
      <c r="W318" s="735">
        <f t="shared" si="43"/>
        <v>0</v>
      </c>
      <c r="X318" s="737">
        <f t="shared" si="44"/>
        <v>0</v>
      </c>
      <c r="Y318" s="738">
        <f t="shared" si="45"/>
        <v>0</v>
      </c>
      <c r="Z318" s="627"/>
    </row>
    <row r="319" spans="1:26">
      <c r="A319" s="318" t="s">
        <v>1285</v>
      </c>
      <c r="B319" s="318">
        <v>1558</v>
      </c>
      <c r="C319" s="318">
        <v>138</v>
      </c>
      <c r="D319" s="332">
        <v>25</v>
      </c>
      <c r="E319" s="318" t="s">
        <v>1655</v>
      </c>
      <c r="F319" s="337">
        <v>40190.931633014516</v>
      </c>
      <c r="G319" s="318" t="s">
        <v>4</v>
      </c>
      <c r="H319" s="318">
        <v>2018</v>
      </c>
      <c r="I319" s="306">
        <f>+IF($H319=I$2,VLOOKUP($G319,Depreciation!$A$14:$L$18,7,FALSE)/2,IF($H319&lt;I$2,VLOOKUP($G319,Depreciation!$A$14:$L$18,7,FALSE),0))</f>
        <v>0</v>
      </c>
      <c r="J319" s="306">
        <f>+IF($H319=J$2,VLOOKUP($G319,Depreciation!$A$14:$L$18,8,FALSE)/2,IF($H319&lt;J$2,VLOOKUP($G319,Depreciation!$A$14:$L$18,8,FALSE),0))</f>
        <v>0</v>
      </c>
      <c r="K319" s="306">
        <f>+IF($H319=K$2,VLOOKUP($G319,Depreciation!$A$14:$L$18,9,FALSE)/2,IF($H319&lt;K$2,VLOOKUP($G319,Depreciation!$A$14:$L$18,9,FALSE),0))</f>
        <v>0</v>
      </c>
      <c r="L319" s="306">
        <f>+IF($H319=L$2,VLOOKUP($G319,Depreciation!$A$14:$L$18,10,FALSE)/2,IF($H319&lt;L$2,VLOOKUP($G319,Depreciation!$A$14:$L$18,10,FALSE),0))</f>
        <v>1.671703928371859E-2</v>
      </c>
      <c r="M319" s="306">
        <f>+IF($H319=M$2,VLOOKUP($G319,Depreciation!$A$14:$L$18,11,FALSE)/2,IF($H319&lt;M$2,VLOOKUP($G319,Depreciation!$A$14:$L$18,11,FALSE),0))</f>
        <v>3.343407856743718E-2</v>
      </c>
      <c r="N319" s="306">
        <f>+IF($H319=N$2,VLOOKUP($G319,Depreciation!$A$14:$L$18,12,FALSE)/2,IF($H319&lt;N$2,VLOOKUP($G319,Depreciation!$A$14:$L$18,12,FALSE),0))</f>
        <v>3.343407856743718E-2</v>
      </c>
      <c r="O319" s="307">
        <f t="shared" si="37"/>
        <v>0</v>
      </c>
      <c r="P319" s="732">
        <v>0</v>
      </c>
      <c r="Q319" s="733">
        <v>1</v>
      </c>
      <c r="R319" s="734">
        <f t="shared" si="38"/>
        <v>0</v>
      </c>
      <c r="S319" s="735">
        <f t="shared" si="39"/>
        <v>0</v>
      </c>
      <c r="T319" s="735">
        <f t="shared" si="40"/>
        <v>0</v>
      </c>
      <c r="U319" s="735">
        <f t="shared" si="41"/>
        <v>0</v>
      </c>
      <c r="V319" s="736">
        <f t="shared" si="42"/>
        <v>0</v>
      </c>
      <c r="W319" s="735">
        <f t="shared" si="43"/>
        <v>0</v>
      </c>
      <c r="X319" s="737">
        <f t="shared" si="44"/>
        <v>0</v>
      </c>
      <c r="Y319" s="738">
        <f t="shared" si="45"/>
        <v>0</v>
      </c>
      <c r="Z319" s="627"/>
    </row>
    <row r="320" spans="1:26">
      <c r="A320" s="318" t="s">
        <v>1483</v>
      </c>
      <c r="B320" s="318">
        <v>1558</v>
      </c>
      <c r="C320" s="318">
        <v>138</v>
      </c>
      <c r="D320" s="332">
        <v>25</v>
      </c>
      <c r="E320" s="318" t="s">
        <v>1656</v>
      </c>
      <c r="F320" s="337">
        <v>1504538.7885228479</v>
      </c>
      <c r="G320" s="318" t="s">
        <v>4</v>
      </c>
      <c r="H320" s="318">
        <v>2018</v>
      </c>
      <c r="I320" s="306">
        <f>+IF($H320=I$2,VLOOKUP($G320,Depreciation!$A$14:$L$18,7,FALSE)/2,IF($H320&lt;I$2,VLOOKUP($G320,Depreciation!$A$14:$L$18,7,FALSE),0))</f>
        <v>0</v>
      </c>
      <c r="J320" s="306">
        <f>+IF($H320=J$2,VLOOKUP($G320,Depreciation!$A$14:$L$18,8,FALSE)/2,IF($H320&lt;J$2,VLOOKUP($G320,Depreciation!$A$14:$L$18,8,FALSE),0))</f>
        <v>0</v>
      </c>
      <c r="K320" s="306">
        <f>+IF($H320=K$2,VLOOKUP($G320,Depreciation!$A$14:$L$18,9,FALSE)/2,IF($H320&lt;K$2,VLOOKUP($G320,Depreciation!$A$14:$L$18,9,FALSE),0))</f>
        <v>0</v>
      </c>
      <c r="L320" s="306">
        <f>+IF($H320=L$2,VLOOKUP($G320,Depreciation!$A$14:$L$18,10,FALSE)/2,IF($H320&lt;L$2,VLOOKUP($G320,Depreciation!$A$14:$L$18,10,FALSE),0))</f>
        <v>1.671703928371859E-2</v>
      </c>
      <c r="M320" s="306">
        <f>+IF($H320=M$2,VLOOKUP($G320,Depreciation!$A$14:$L$18,11,FALSE)/2,IF($H320&lt;M$2,VLOOKUP($G320,Depreciation!$A$14:$L$18,11,FALSE),0))</f>
        <v>3.343407856743718E-2</v>
      </c>
      <c r="N320" s="306">
        <f>+IF($H320=N$2,VLOOKUP($G320,Depreciation!$A$14:$L$18,12,FALSE)/2,IF($H320&lt;N$2,VLOOKUP($G320,Depreciation!$A$14:$L$18,12,FALSE),0))</f>
        <v>3.343407856743718E-2</v>
      </c>
      <c r="O320" s="307">
        <f t="shared" si="37"/>
        <v>0</v>
      </c>
      <c r="P320" s="732">
        <v>0</v>
      </c>
      <c r="Q320" s="733">
        <v>0</v>
      </c>
      <c r="R320" s="734">
        <f t="shared" si="38"/>
        <v>1</v>
      </c>
      <c r="S320" s="735">
        <f t="shared" si="39"/>
        <v>0</v>
      </c>
      <c r="T320" s="735">
        <f t="shared" si="40"/>
        <v>0</v>
      </c>
      <c r="U320" s="735">
        <f t="shared" si="41"/>
        <v>0</v>
      </c>
      <c r="V320" s="736">
        <f t="shared" si="42"/>
        <v>0</v>
      </c>
      <c r="W320" s="735">
        <f t="shared" si="43"/>
        <v>0</v>
      </c>
      <c r="X320" s="737">
        <f t="shared" si="44"/>
        <v>0</v>
      </c>
      <c r="Y320" s="738">
        <f t="shared" si="45"/>
        <v>0</v>
      </c>
      <c r="Z320" s="627"/>
    </row>
    <row r="321" spans="1:26">
      <c r="A321" s="318" t="s">
        <v>1443</v>
      </c>
      <c r="B321" s="318">
        <v>1568</v>
      </c>
      <c r="C321" s="318">
        <v>138</v>
      </c>
      <c r="D321" s="332">
        <v>25</v>
      </c>
      <c r="E321" s="318" t="s">
        <v>1657</v>
      </c>
      <c r="F321" s="337">
        <v>6213000</v>
      </c>
      <c r="G321" s="318" t="s">
        <v>4</v>
      </c>
      <c r="H321" s="318">
        <v>2016</v>
      </c>
      <c r="I321" s="306">
        <f>+IF($H321=I$2,VLOOKUP($G321,Depreciation!$A$14:$L$18,7,FALSE)/2,IF($H321&lt;I$2,VLOOKUP($G321,Depreciation!$A$14:$L$18,7,FALSE),0))</f>
        <v>0</v>
      </c>
      <c r="J321" s="306">
        <f>+IF($H321=J$2,VLOOKUP($G321,Depreciation!$A$14:$L$18,8,FALSE)/2,IF($H321&lt;J$2,VLOOKUP($G321,Depreciation!$A$14:$L$18,8,FALSE),0))</f>
        <v>1.671703928371859E-2</v>
      </c>
      <c r="K321" s="306">
        <f>+IF($H321=K$2,VLOOKUP($G321,Depreciation!$A$14:$L$18,9,FALSE)/2,IF($H321&lt;K$2,VLOOKUP($G321,Depreciation!$A$14:$L$18,9,FALSE),0))</f>
        <v>3.343407856743718E-2</v>
      </c>
      <c r="L321" s="306">
        <f>+IF($H321=L$2,VLOOKUP($G321,Depreciation!$A$14:$L$18,10,FALSE)/2,IF($H321&lt;L$2,VLOOKUP($G321,Depreciation!$A$14:$L$18,10,FALSE),0))</f>
        <v>3.343407856743718E-2</v>
      </c>
      <c r="M321" s="306">
        <f>+IF($H321=M$2,VLOOKUP($G321,Depreciation!$A$14:$L$18,11,FALSE)/2,IF($H321&lt;M$2,VLOOKUP($G321,Depreciation!$A$14:$L$18,11,FALSE),0))</f>
        <v>3.343407856743718E-2</v>
      </c>
      <c r="N321" s="306">
        <f>+IF($H321=N$2,VLOOKUP($G321,Depreciation!$A$14:$L$18,12,FALSE)/2,IF($H321&lt;N$2,VLOOKUP($G321,Depreciation!$A$14:$L$18,12,FALSE),0))</f>
        <v>3.343407856743718E-2</v>
      </c>
      <c r="O321" s="307">
        <f t="shared" si="37"/>
        <v>0</v>
      </c>
      <c r="P321" s="732">
        <v>0</v>
      </c>
      <c r="Q321" s="733">
        <v>1</v>
      </c>
      <c r="R321" s="734">
        <f t="shared" si="38"/>
        <v>0</v>
      </c>
      <c r="S321" s="735">
        <f t="shared" si="39"/>
        <v>0</v>
      </c>
      <c r="T321" s="735">
        <f t="shared" si="40"/>
        <v>0</v>
      </c>
      <c r="U321" s="735">
        <f t="shared" si="41"/>
        <v>0</v>
      </c>
      <c r="V321" s="736">
        <f t="shared" si="42"/>
        <v>0</v>
      </c>
      <c r="W321" s="735">
        <f t="shared" si="43"/>
        <v>0</v>
      </c>
      <c r="X321" s="737">
        <f t="shared" si="44"/>
        <v>0</v>
      </c>
      <c r="Y321" s="738">
        <f t="shared" si="45"/>
        <v>0</v>
      </c>
      <c r="Z321" s="627"/>
    </row>
    <row r="322" spans="1:26">
      <c r="A322" s="318" t="s">
        <v>1453</v>
      </c>
      <c r="B322" s="318">
        <v>1569</v>
      </c>
      <c r="C322" s="318">
        <v>138</v>
      </c>
      <c r="D322" s="332">
        <v>25</v>
      </c>
      <c r="E322" s="318" t="s">
        <v>1658</v>
      </c>
      <c r="F322" s="337">
        <v>5247000.0000000019</v>
      </c>
      <c r="G322" s="318" t="s">
        <v>4</v>
      </c>
      <c r="H322" s="318">
        <v>2016</v>
      </c>
      <c r="I322" s="306">
        <f>+IF($H322=I$2,VLOOKUP($G322,Depreciation!$A$14:$L$18,7,FALSE)/2,IF($H322&lt;I$2,VLOOKUP($G322,Depreciation!$A$14:$L$18,7,FALSE),0))</f>
        <v>0</v>
      </c>
      <c r="J322" s="306">
        <f>+IF($H322=J$2,VLOOKUP($G322,Depreciation!$A$14:$L$18,8,FALSE)/2,IF($H322&lt;J$2,VLOOKUP($G322,Depreciation!$A$14:$L$18,8,FALSE),0))</f>
        <v>1.671703928371859E-2</v>
      </c>
      <c r="K322" s="306">
        <f>+IF($H322=K$2,VLOOKUP($G322,Depreciation!$A$14:$L$18,9,FALSE)/2,IF($H322&lt;K$2,VLOOKUP($G322,Depreciation!$A$14:$L$18,9,FALSE),0))</f>
        <v>3.343407856743718E-2</v>
      </c>
      <c r="L322" s="306">
        <f>+IF($H322=L$2,VLOOKUP($G322,Depreciation!$A$14:$L$18,10,FALSE)/2,IF($H322&lt;L$2,VLOOKUP($G322,Depreciation!$A$14:$L$18,10,FALSE),0))</f>
        <v>3.343407856743718E-2</v>
      </c>
      <c r="M322" s="306">
        <f>+IF($H322=M$2,VLOOKUP($G322,Depreciation!$A$14:$L$18,11,FALSE)/2,IF($H322&lt;M$2,VLOOKUP($G322,Depreciation!$A$14:$L$18,11,FALSE),0))</f>
        <v>3.343407856743718E-2</v>
      </c>
      <c r="N322" s="306">
        <f>+IF($H322=N$2,VLOOKUP($G322,Depreciation!$A$14:$L$18,12,FALSE)/2,IF($H322&lt;N$2,VLOOKUP($G322,Depreciation!$A$14:$L$18,12,FALSE),0))</f>
        <v>3.343407856743718E-2</v>
      </c>
      <c r="O322" s="307">
        <f t="shared" si="37"/>
        <v>0</v>
      </c>
      <c r="P322" s="732">
        <v>0</v>
      </c>
      <c r="Q322" s="733">
        <v>1</v>
      </c>
      <c r="R322" s="734">
        <f t="shared" si="38"/>
        <v>0</v>
      </c>
      <c r="S322" s="735">
        <f t="shared" si="39"/>
        <v>0</v>
      </c>
      <c r="T322" s="735">
        <f t="shared" si="40"/>
        <v>0</v>
      </c>
      <c r="U322" s="735">
        <f t="shared" si="41"/>
        <v>0</v>
      </c>
      <c r="V322" s="736">
        <f t="shared" si="42"/>
        <v>0</v>
      </c>
      <c r="W322" s="735">
        <f t="shared" si="43"/>
        <v>0</v>
      </c>
      <c r="X322" s="737">
        <f t="shared" si="44"/>
        <v>0</v>
      </c>
      <c r="Y322" s="738">
        <f t="shared" si="45"/>
        <v>0</v>
      </c>
      <c r="Z322" s="627"/>
    </row>
    <row r="323" spans="1:26">
      <c r="A323" s="318" t="s">
        <v>1470</v>
      </c>
      <c r="B323" s="318">
        <v>1570</v>
      </c>
      <c r="C323" s="318">
        <v>240</v>
      </c>
      <c r="D323" s="332">
        <v>25</v>
      </c>
      <c r="E323" s="318" t="s">
        <v>1659</v>
      </c>
      <c r="F323" s="337">
        <v>6197779.730344899</v>
      </c>
      <c r="G323" s="318" t="s">
        <v>66</v>
      </c>
      <c r="H323" s="318">
        <v>2017</v>
      </c>
      <c r="I323" s="306">
        <f>+IF($H323=I$2,VLOOKUP($G323,Depreciation!$A$14:$L$18,7,FALSE)/2,IF($H323&lt;I$2,VLOOKUP($G323,Depreciation!$A$14:$L$18,7,FALSE),0))</f>
        <v>0</v>
      </c>
      <c r="J323" s="306">
        <f>+IF($H323=J$2,VLOOKUP($G323,Depreciation!$A$14:$L$18,8,FALSE)/2,IF($H323&lt;J$2,VLOOKUP($G323,Depreciation!$A$14:$L$18,8,FALSE),0))</f>
        <v>0</v>
      </c>
      <c r="K323" s="306">
        <f>+IF($H323=K$2,VLOOKUP($G323,Depreciation!$A$14:$L$18,9,FALSE)/2,IF($H323&lt;K$2,VLOOKUP($G323,Depreciation!$A$14:$L$18,9,FALSE),0))</f>
        <v>1.2175768213899416E-2</v>
      </c>
      <c r="L323" s="306">
        <f>+IF($H323=L$2,VLOOKUP($G323,Depreciation!$A$14:$L$18,10,FALSE)/2,IF($H323&lt;L$2,VLOOKUP($G323,Depreciation!$A$14:$L$18,10,FALSE),0))</f>
        <v>2.4351536427798831E-2</v>
      </c>
      <c r="M323" s="306">
        <f>+IF($H323=M$2,VLOOKUP($G323,Depreciation!$A$14:$L$18,11,FALSE)/2,IF($H323&lt;M$2,VLOOKUP($G323,Depreciation!$A$14:$L$18,11,FALSE),0))</f>
        <v>2.4351536427798831E-2</v>
      </c>
      <c r="N323" s="306">
        <f>+IF($H323=N$2,VLOOKUP($G323,Depreciation!$A$14:$L$18,12,FALSE)/2,IF($H323&lt;N$2,VLOOKUP($G323,Depreciation!$A$14:$L$18,12,FALSE),0))</f>
        <v>2.4351536427798831E-2</v>
      </c>
      <c r="O323" s="307">
        <f t="shared" si="37"/>
        <v>0</v>
      </c>
      <c r="P323" s="732">
        <v>0</v>
      </c>
      <c r="Q323" s="733">
        <v>1</v>
      </c>
      <c r="R323" s="734">
        <f t="shared" si="38"/>
        <v>0</v>
      </c>
      <c r="S323" s="735">
        <f t="shared" si="39"/>
        <v>0</v>
      </c>
      <c r="T323" s="735">
        <f t="shared" si="40"/>
        <v>0</v>
      </c>
      <c r="U323" s="735">
        <f t="shared" si="41"/>
        <v>0</v>
      </c>
      <c r="V323" s="736">
        <f t="shared" si="42"/>
        <v>0</v>
      </c>
      <c r="W323" s="735">
        <f t="shared" si="43"/>
        <v>0</v>
      </c>
      <c r="X323" s="737">
        <f t="shared" si="44"/>
        <v>0</v>
      </c>
      <c r="Y323" s="738">
        <f t="shared" si="45"/>
        <v>0</v>
      </c>
      <c r="Z323" s="627"/>
    </row>
    <row r="324" spans="1:26">
      <c r="A324" s="318" t="s">
        <v>1469</v>
      </c>
      <c r="B324" s="318">
        <v>1571</v>
      </c>
      <c r="C324" s="318">
        <v>138</v>
      </c>
      <c r="D324" s="332">
        <v>25</v>
      </c>
      <c r="E324" s="318" t="s">
        <v>1660</v>
      </c>
      <c r="F324" s="337">
        <v>1810761.9999999988</v>
      </c>
      <c r="G324" s="318" t="s">
        <v>66</v>
      </c>
      <c r="H324" s="318">
        <v>2017</v>
      </c>
      <c r="I324" s="306">
        <f>+IF($H324=I$2,VLOOKUP($G324,Depreciation!$A$14:$L$18,7,FALSE)/2,IF($H324&lt;I$2,VLOOKUP($G324,Depreciation!$A$14:$L$18,7,FALSE),0))</f>
        <v>0</v>
      </c>
      <c r="J324" s="306">
        <f>+IF($H324=J$2,VLOOKUP($G324,Depreciation!$A$14:$L$18,8,FALSE)/2,IF($H324&lt;J$2,VLOOKUP($G324,Depreciation!$A$14:$L$18,8,FALSE),0))</f>
        <v>0</v>
      </c>
      <c r="K324" s="306">
        <f>+IF($H324=K$2,VLOOKUP($G324,Depreciation!$A$14:$L$18,9,FALSE)/2,IF($H324&lt;K$2,VLOOKUP($G324,Depreciation!$A$14:$L$18,9,FALSE),0))</f>
        <v>1.2175768213899416E-2</v>
      </c>
      <c r="L324" s="306">
        <f>+IF($H324=L$2,VLOOKUP($G324,Depreciation!$A$14:$L$18,10,FALSE)/2,IF($H324&lt;L$2,VLOOKUP($G324,Depreciation!$A$14:$L$18,10,FALSE),0))</f>
        <v>2.4351536427798831E-2</v>
      </c>
      <c r="M324" s="306">
        <f>+IF($H324=M$2,VLOOKUP($G324,Depreciation!$A$14:$L$18,11,FALSE)/2,IF($H324&lt;M$2,VLOOKUP($G324,Depreciation!$A$14:$L$18,11,FALSE),0))</f>
        <v>2.4351536427798831E-2</v>
      </c>
      <c r="N324" s="306">
        <f>+IF($H324=N$2,VLOOKUP($G324,Depreciation!$A$14:$L$18,12,FALSE)/2,IF($H324&lt;N$2,VLOOKUP($G324,Depreciation!$A$14:$L$18,12,FALSE),0))</f>
        <v>2.4351536427798831E-2</v>
      </c>
      <c r="O324" s="307">
        <f t="shared" ref="O324:O354" si="46">IF(H324&lt;=2015,F324*(1-I324),0)</f>
        <v>0</v>
      </c>
      <c r="P324" s="732">
        <v>0</v>
      </c>
      <c r="Q324" s="733">
        <v>1</v>
      </c>
      <c r="R324" s="734">
        <f t="shared" ref="R324:R354" si="47">1-P324-Q324</f>
        <v>0</v>
      </c>
      <c r="S324" s="735">
        <f t="shared" ref="S324:S354" si="48">+P324*$O324</f>
        <v>0</v>
      </c>
      <c r="T324" s="735">
        <f t="shared" ref="T324:T354" si="49">+Q324*$O324</f>
        <v>0</v>
      </c>
      <c r="U324" s="735">
        <f t="shared" ref="U324:U354" si="50">+R324*$O324</f>
        <v>0</v>
      </c>
      <c r="V324" s="736">
        <f t="shared" ref="V324:V354" si="51">IF(AND(R324=1,D324=0),O324,0)</f>
        <v>0</v>
      </c>
      <c r="W324" s="735">
        <f t="shared" ref="W324:W354" si="52">S324+IF(D324&gt;144,U324,0)</f>
        <v>0</v>
      </c>
      <c r="X324" s="737">
        <f t="shared" ref="X324:X354" si="53">IF(AND(D324&lt;=144,D324&gt;=69),U324,0)</f>
        <v>0</v>
      </c>
      <c r="Y324" s="738">
        <f t="shared" ref="Y324:Y354" si="54">T324+IF(AND(D324&lt;69,D324&gt;0),U324,0)</f>
        <v>0</v>
      </c>
      <c r="Z324" s="627"/>
    </row>
    <row r="325" spans="1:26">
      <c r="A325" s="318" t="s">
        <v>1449</v>
      </c>
      <c r="B325" s="318">
        <v>1574</v>
      </c>
      <c r="C325" s="318">
        <v>138</v>
      </c>
      <c r="D325" s="332">
        <v>25</v>
      </c>
      <c r="E325" s="318" t="s">
        <v>1558</v>
      </c>
      <c r="F325" s="337">
        <v>6315643.0000000047</v>
      </c>
      <c r="G325" s="318" t="s">
        <v>4</v>
      </c>
      <c r="H325" s="318">
        <v>2016</v>
      </c>
      <c r="I325" s="306">
        <f>+IF($H325=I$2,VLOOKUP($G325,Depreciation!$A$14:$L$18,7,FALSE)/2,IF($H325&lt;I$2,VLOOKUP($G325,Depreciation!$A$14:$L$18,7,FALSE),0))</f>
        <v>0</v>
      </c>
      <c r="J325" s="306">
        <f>+IF($H325=J$2,VLOOKUP($G325,Depreciation!$A$14:$L$18,8,FALSE)/2,IF($H325&lt;J$2,VLOOKUP($G325,Depreciation!$A$14:$L$18,8,FALSE),0))</f>
        <v>1.671703928371859E-2</v>
      </c>
      <c r="K325" s="306">
        <f>+IF($H325=K$2,VLOOKUP($G325,Depreciation!$A$14:$L$18,9,FALSE)/2,IF($H325&lt;K$2,VLOOKUP($G325,Depreciation!$A$14:$L$18,9,FALSE),0))</f>
        <v>3.343407856743718E-2</v>
      </c>
      <c r="L325" s="306">
        <f>+IF($H325=L$2,VLOOKUP($G325,Depreciation!$A$14:$L$18,10,FALSE)/2,IF($H325&lt;L$2,VLOOKUP($G325,Depreciation!$A$14:$L$18,10,FALSE),0))</f>
        <v>3.343407856743718E-2</v>
      </c>
      <c r="M325" s="306">
        <f>+IF($H325=M$2,VLOOKUP($G325,Depreciation!$A$14:$L$18,11,FALSE)/2,IF($H325&lt;M$2,VLOOKUP($G325,Depreciation!$A$14:$L$18,11,FALSE),0))</f>
        <v>3.343407856743718E-2</v>
      </c>
      <c r="N325" s="306">
        <f>+IF($H325=N$2,VLOOKUP($G325,Depreciation!$A$14:$L$18,12,FALSE)/2,IF($H325&lt;N$2,VLOOKUP($G325,Depreciation!$A$14:$L$18,12,FALSE),0))</f>
        <v>3.343407856743718E-2</v>
      </c>
      <c r="O325" s="307">
        <f t="shared" si="46"/>
        <v>0</v>
      </c>
      <c r="P325" s="732">
        <v>0</v>
      </c>
      <c r="Q325" s="733">
        <v>1</v>
      </c>
      <c r="R325" s="734">
        <f t="shared" si="47"/>
        <v>0</v>
      </c>
      <c r="S325" s="735">
        <f t="shared" si="48"/>
        <v>0</v>
      </c>
      <c r="T325" s="735">
        <f t="shared" si="49"/>
        <v>0</v>
      </c>
      <c r="U325" s="735">
        <f t="shared" si="50"/>
        <v>0</v>
      </c>
      <c r="V325" s="736">
        <f t="shared" si="51"/>
        <v>0</v>
      </c>
      <c r="W325" s="735">
        <f t="shared" si="52"/>
        <v>0</v>
      </c>
      <c r="X325" s="737">
        <f t="shared" si="53"/>
        <v>0</v>
      </c>
      <c r="Y325" s="738">
        <f t="shared" si="54"/>
        <v>0</v>
      </c>
      <c r="Z325" s="627"/>
    </row>
    <row r="326" spans="1:26">
      <c r="A326" s="318" t="s">
        <v>1418</v>
      </c>
      <c r="B326" s="318">
        <v>1579</v>
      </c>
      <c r="C326" s="318">
        <v>138</v>
      </c>
      <c r="D326" s="332">
        <v>25</v>
      </c>
      <c r="E326" s="318" t="s">
        <v>1661</v>
      </c>
      <c r="F326" s="337">
        <v>196941.99999999985</v>
      </c>
      <c r="G326" s="318" t="s">
        <v>66</v>
      </c>
      <c r="H326" s="318">
        <v>2015</v>
      </c>
      <c r="I326" s="306">
        <f>+IF($H326=I$2,VLOOKUP($G326,Depreciation!$A$14:$L$18,7,FALSE)/2,IF($H326&lt;I$2,VLOOKUP($G326,Depreciation!$A$14:$L$18,7,FALSE),0))</f>
        <v>1.221703683566912E-2</v>
      </c>
      <c r="J326" s="306">
        <f>+IF($H326=J$2,VLOOKUP($G326,Depreciation!$A$14:$L$18,8,FALSE)/2,IF($H326&lt;J$2,VLOOKUP($G326,Depreciation!$A$14:$L$18,8,FALSE),0))</f>
        <v>2.4632450501084719E-2</v>
      </c>
      <c r="K326" s="306">
        <f>+IF($H326=K$2,VLOOKUP($G326,Depreciation!$A$14:$L$18,9,FALSE)/2,IF($H326&lt;K$2,VLOOKUP($G326,Depreciation!$A$14:$L$18,9,FALSE),0))</f>
        <v>2.4351536427798831E-2</v>
      </c>
      <c r="L326" s="306">
        <f>+IF($H326=L$2,VLOOKUP($G326,Depreciation!$A$14:$L$18,10,FALSE)/2,IF($H326&lt;L$2,VLOOKUP($G326,Depreciation!$A$14:$L$18,10,FALSE),0))</f>
        <v>2.4351536427798831E-2</v>
      </c>
      <c r="M326" s="306">
        <f>+IF($H326=M$2,VLOOKUP($G326,Depreciation!$A$14:$L$18,11,FALSE)/2,IF($H326&lt;M$2,VLOOKUP($G326,Depreciation!$A$14:$L$18,11,FALSE),0))</f>
        <v>2.4351536427798831E-2</v>
      </c>
      <c r="N326" s="306">
        <f>+IF($H326=N$2,VLOOKUP($G326,Depreciation!$A$14:$L$18,12,FALSE)/2,IF($H326&lt;N$2,VLOOKUP($G326,Depreciation!$A$14:$L$18,12,FALSE),0))</f>
        <v>2.4351536427798831E-2</v>
      </c>
      <c r="O326" s="307">
        <f t="shared" si="46"/>
        <v>194535.9523315095</v>
      </c>
      <c r="P326" s="732">
        <v>0</v>
      </c>
      <c r="Q326" s="733">
        <v>1</v>
      </c>
      <c r="R326" s="734">
        <f t="shared" si="47"/>
        <v>0</v>
      </c>
      <c r="S326" s="735">
        <f t="shared" si="48"/>
        <v>0</v>
      </c>
      <c r="T326" s="735">
        <f t="shared" si="49"/>
        <v>194535.9523315095</v>
      </c>
      <c r="U326" s="735">
        <f t="shared" si="50"/>
        <v>0</v>
      </c>
      <c r="V326" s="736">
        <f t="shared" si="51"/>
        <v>0</v>
      </c>
      <c r="W326" s="735">
        <f t="shared" si="52"/>
        <v>0</v>
      </c>
      <c r="X326" s="737">
        <f t="shared" si="53"/>
        <v>0</v>
      </c>
      <c r="Y326" s="738">
        <f t="shared" si="54"/>
        <v>194535.9523315095</v>
      </c>
      <c r="Z326" s="627"/>
    </row>
    <row r="327" spans="1:26">
      <c r="A327" s="318" t="s">
        <v>1464</v>
      </c>
      <c r="B327" s="318">
        <v>1581</v>
      </c>
      <c r="C327" s="318">
        <v>144</v>
      </c>
      <c r="D327" s="332">
        <v>25</v>
      </c>
      <c r="E327" s="318" t="s">
        <v>1662</v>
      </c>
      <c r="F327" s="337">
        <v>6524690.9999999991</v>
      </c>
      <c r="G327" s="318" t="s">
        <v>66</v>
      </c>
      <c r="H327" s="318">
        <v>2016</v>
      </c>
      <c r="I327" s="306">
        <f>+IF($H327=I$2,VLOOKUP($G327,Depreciation!$A$14:$L$18,7,FALSE)/2,IF($H327&lt;I$2,VLOOKUP($G327,Depreciation!$A$14:$L$18,7,FALSE),0))</f>
        <v>0</v>
      </c>
      <c r="J327" s="306">
        <f>+IF($H327=J$2,VLOOKUP($G327,Depreciation!$A$14:$L$18,8,FALSE)/2,IF($H327&lt;J$2,VLOOKUP($G327,Depreciation!$A$14:$L$18,8,FALSE),0))</f>
        <v>1.231622525054236E-2</v>
      </c>
      <c r="K327" s="306">
        <f>+IF($H327=K$2,VLOOKUP($G327,Depreciation!$A$14:$L$18,9,FALSE)/2,IF($H327&lt;K$2,VLOOKUP($G327,Depreciation!$A$14:$L$18,9,FALSE),0))</f>
        <v>2.4351536427798831E-2</v>
      </c>
      <c r="L327" s="306">
        <f>+IF($H327=L$2,VLOOKUP($G327,Depreciation!$A$14:$L$18,10,FALSE)/2,IF($H327&lt;L$2,VLOOKUP($G327,Depreciation!$A$14:$L$18,10,FALSE),0))</f>
        <v>2.4351536427798831E-2</v>
      </c>
      <c r="M327" s="306">
        <f>+IF($H327=M$2,VLOOKUP($G327,Depreciation!$A$14:$L$18,11,FALSE)/2,IF($H327&lt;M$2,VLOOKUP($G327,Depreciation!$A$14:$L$18,11,FALSE),0))</f>
        <v>2.4351536427798831E-2</v>
      </c>
      <c r="N327" s="306">
        <f>+IF($H327=N$2,VLOOKUP($G327,Depreciation!$A$14:$L$18,12,FALSE)/2,IF($H327&lt;N$2,VLOOKUP($G327,Depreciation!$A$14:$L$18,12,FALSE),0))</f>
        <v>2.4351536427798831E-2</v>
      </c>
      <c r="O327" s="307">
        <f t="shared" si="46"/>
        <v>0</v>
      </c>
      <c r="P327" s="732">
        <v>0</v>
      </c>
      <c r="Q327" s="733">
        <v>1</v>
      </c>
      <c r="R327" s="734">
        <f t="shared" si="47"/>
        <v>0</v>
      </c>
      <c r="S327" s="735">
        <f t="shared" si="48"/>
        <v>0</v>
      </c>
      <c r="T327" s="735">
        <f t="shared" si="49"/>
        <v>0</v>
      </c>
      <c r="U327" s="735">
        <f t="shared" si="50"/>
        <v>0</v>
      </c>
      <c r="V327" s="736">
        <f t="shared" si="51"/>
        <v>0</v>
      </c>
      <c r="W327" s="735">
        <f t="shared" si="52"/>
        <v>0</v>
      </c>
      <c r="X327" s="737">
        <f t="shared" si="53"/>
        <v>0</v>
      </c>
      <c r="Y327" s="738">
        <f t="shared" si="54"/>
        <v>0</v>
      </c>
      <c r="Z327" s="627"/>
    </row>
    <row r="328" spans="1:26">
      <c r="A328" s="318" t="s">
        <v>1491</v>
      </c>
      <c r="B328" s="318">
        <v>1594</v>
      </c>
      <c r="C328" s="318">
        <v>138</v>
      </c>
      <c r="D328" s="332">
        <v>25</v>
      </c>
      <c r="E328" s="318" t="s">
        <v>1663</v>
      </c>
      <c r="F328" s="337">
        <v>13928.712350388019</v>
      </c>
      <c r="G328" s="318" t="s">
        <v>4</v>
      </c>
      <c r="H328" s="318">
        <v>2018</v>
      </c>
      <c r="I328" s="306">
        <f>+IF($H328=I$2,VLOOKUP($G328,Depreciation!$A$14:$L$18,7,FALSE)/2,IF($H328&lt;I$2,VLOOKUP($G328,Depreciation!$A$14:$L$18,7,FALSE),0))</f>
        <v>0</v>
      </c>
      <c r="J328" s="306">
        <f>+IF($H328=J$2,VLOOKUP($G328,Depreciation!$A$14:$L$18,8,FALSE)/2,IF($H328&lt;J$2,VLOOKUP($G328,Depreciation!$A$14:$L$18,8,FALSE),0))</f>
        <v>0</v>
      </c>
      <c r="K328" s="306">
        <f>+IF($H328=K$2,VLOOKUP($G328,Depreciation!$A$14:$L$18,9,FALSE)/2,IF($H328&lt;K$2,VLOOKUP($G328,Depreciation!$A$14:$L$18,9,FALSE),0))</f>
        <v>0</v>
      </c>
      <c r="L328" s="306">
        <f>+IF($H328=L$2,VLOOKUP($G328,Depreciation!$A$14:$L$18,10,FALSE)/2,IF($H328&lt;L$2,VLOOKUP($G328,Depreciation!$A$14:$L$18,10,FALSE),0))</f>
        <v>1.671703928371859E-2</v>
      </c>
      <c r="M328" s="306">
        <f>+IF($H328=M$2,VLOOKUP($G328,Depreciation!$A$14:$L$18,11,FALSE)/2,IF($H328&lt;M$2,VLOOKUP($G328,Depreciation!$A$14:$L$18,11,FALSE),0))</f>
        <v>3.343407856743718E-2</v>
      </c>
      <c r="N328" s="306">
        <f>+IF($H328=N$2,VLOOKUP($G328,Depreciation!$A$14:$L$18,12,FALSE)/2,IF($H328&lt;N$2,VLOOKUP($G328,Depreciation!$A$14:$L$18,12,FALSE),0))</f>
        <v>3.343407856743718E-2</v>
      </c>
      <c r="O328" s="307">
        <f t="shared" si="46"/>
        <v>0</v>
      </c>
      <c r="P328" s="732">
        <v>0</v>
      </c>
      <c r="Q328" s="733">
        <v>1</v>
      </c>
      <c r="R328" s="734">
        <f t="shared" si="47"/>
        <v>0</v>
      </c>
      <c r="S328" s="735">
        <f t="shared" si="48"/>
        <v>0</v>
      </c>
      <c r="T328" s="735">
        <f t="shared" si="49"/>
        <v>0</v>
      </c>
      <c r="U328" s="735">
        <f t="shared" si="50"/>
        <v>0</v>
      </c>
      <c r="V328" s="736">
        <f t="shared" si="51"/>
        <v>0</v>
      </c>
      <c r="W328" s="735">
        <f t="shared" si="52"/>
        <v>0</v>
      </c>
      <c r="X328" s="737">
        <f t="shared" si="53"/>
        <v>0</v>
      </c>
      <c r="Y328" s="738">
        <f t="shared" si="54"/>
        <v>0</v>
      </c>
      <c r="Z328" s="627"/>
    </row>
    <row r="329" spans="1:26">
      <c r="A329" s="318" t="s">
        <v>1257</v>
      </c>
      <c r="B329" s="318">
        <v>1594</v>
      </c>
      <c r="C329" s="318">
        <v>138</v>
      </c>
      <c r="D329" s="332">
        <v>25</v>
      </c>
      <c r="E329" s="318" t="s">
        <v>1664</v>
      </c>
      <c r="F329" s="337">
        <v>13928.712350388019</v>
      </c>
      <c r="G329" s="318" t="s">
        <v>4</v>
      </c>
      <c r="H329" s="318">
        <v>2018</v>
      </c>
      <c r="I329" s="306">
        <f>+IF($H329=I$2,VLOOKUP($G329,Depreciation!$A$14:$L$18,7,FALSE)/2,IF($H329&lt;I$2,VLOOKUP($G329,Depreciation!$A$14:$L$18,7,FALSE),0))</f>
        <v>0</v>
      </c>
      <c r="J329" s="306">
        <f>+IF($H329=J$2,VLOOKUP($G329,Depreciation!$A$14:$L$18,8,FALSE)/2,IF($H329&lt;J$2,VLOOKUP($G329,Depreciation!$A$14:$L$18,8,FALSE),0))</f>
        <v>0</v>
      </c>
      <c r="K329" s="306">
        <f>+IF($H329=K$2,VLOOKUP($G329,Depreciation!$A$14:$L$18,9,FALSE)/2,IF($H329&lt;K$2,VLOOKUP($G329,Depreciation!$A$14:$L$18,9,FALSE),0))</f>
        <v>0</v>
      </c>
      <c r="L329" s="306">
        <f>+IF($H329=L$2,VLOOKUP($G329,Depreciation!$A$14:$L$18,10,FALSE)/2,IF($H329&lt;L$2,VLOOKUP($G329,Depreciation!$A$14:$L$18,10,FALSE),0))</f>
        <v>1.671703928371859E-2</v>
      </c>
      <c r="M329" s="306">
        <f>+IF($H329=M$2,VLOOKUP($G329,Depreciation!$A$14:$L$18,11,FALSE)/2,IF($H329&lt;M$2,VLOOKUP($G329,Depreciation!$A$14:$L$18,11,FALSE),0))</f>
        <v>3.343407856743718E-2</v>
      </c>
      <c r="N329" s="306">
        <f>+IF($H329=N$2,VLOOKUP($G329,Depreciation!$A$14:$L$18,12,FALSE)/2,IF($H329&lt;N$2,VLOOKUP($G329,Depreciation!$A$14:$L$18,12,FALSE),0))</f>
        <v>3.343407856743718E-2</v>
      </c>
      <c r="O329" s="307">
        <f t="shared" si="46"/>
        <v>0</v>
      </c>
      <c r="P329" s="732">
        <v>0</v>
      </c>
      <c r="Q329" s="733">
        <v>1</v>
      </c>
      <c r="R329" s="734">
        <f t="shared" si="47"/>
        <v>0</v>
      </c>
      <c r="S329" s="735">
        <f t="shared" si="48"/>
        <v>0</v>
      </c>
      <c r="T329" s="735">
        <f t="shared" si="49"/>
        <v>0</v>
      </c>
      <c r="U329" s="735">
        <f t="shared" si="50"/>
        <v>0</v>
      </c>
      <c r="V329" s="736">
        <f t="shared" si="51"/>
        <v>0</v>
      </c>
      <c r="W329" s="735">
        <f t="shared" si="52"/>
        <v>0</v>
      </c>
      <c r="X329" s="737">
        <f t="shared" si="53"/>
        <v>0</v>
      </c>
      <c r="Y329" s="738">
        <f t="shared" si="54"/>
        <v>0</v>
      </c>
      <c r="Z329" s="627"/>
    </row>
    <row r="330" spans="1:26">
      <c r="A330" s="318" t="s">
        <v>1490</v>
      </c>
      <c r="B330" s="318">
        <v>1594</v>
      </c>
      <c r="C330" s="318">
        <v>138</v>
      </c>
      <c r="D330" s="332">
        <v>25</v>
      </c>
      <c r="E330" s="318" t="s">
        <v>1665</v>
      </c>
      <c r="F330" s="337">
        <v>3535571.4849401587</v>
      </c>
      <c r="G330" s="318" t="s">
        <v>4</v>
      </c>
      <c r="H330" s="318">
        <v>2018</v>
      </c>
      <c r="I330" s="306">
        <f>+IF($H330=I$2,VLOOKUP($G330,Depreciation!$A$14:$L$18,7,FALSE)/2,IF($H330&lt;I$2,VLOOKUP($G330,Depreciation!$A$14:$L$18,7,FALSE),0))</f>
        <v>0</v>
      </c>
      <c r="J330" s="306">
        <f>+IF($H330=J$2,VLOOKUP($G330,Depreciation!$A$14:$L$18,8,FALSE)/2,IF($H330&lt;J$2,VLOOKUP($G330,Depreciation!$A$14:$L$18,8,FALSE),0))</f>
        <v>0</v>
      </c>
      <c r="K330" s="306">
        <f>+IF($H330=K$2,VLOOKUP($G330,Depreciation!$A$14:$L$18,9,FALSE)/2,IF($H330&lt;K$2,VLOOKUP($G330,Depreciation!$A$14:$L$18,9,FALSE),0))</f>
        <v>0</v>
      </c>
      <c r="L330" s="306">
        <f>+IF($H330=L$2,VLOOKUP($G330,Depreciation!$A$14:$L$18,10,FALSE)/2,IF($H330&lt;L$2,VLOOKUP($G330,Depreciation!$A$14:$L$18,10,FALSE),0))</f>
        <v>1.671703928371859E-2</v>
      </c>
      <c r="M330" s="306">
        <f>+IF($H330=M$2,VLOOKUP($G330,Depreciation!$A$14:$L$18,11,FALSE)/2,IF($H330&lt;M$2,VLOOKUP($G330,Depreciation!$A$14:$L$18,11,FALSE),0))</f>
        <v>3.343407856743718E-2</v>
      </c>
      <c r="N330" s="306">
        <f>+IF($H330=N$2,VLOOKUP($G330,Depreciation!$A$14:$L$18,12,FALSE)/2,IF($H330&lt;N$2,VLOOKUP($G330,Depreciation!$A$14:$L$18,12,FALSE),0))</f>
        <v>3.343407856743718E-2</v>
      </c>
      <c r="O330" s="307">
        <f t="shared" si="46"/>
        <v>0</v>
      </c>
      <c r="P330" s="732">
        <v>0</v>
      </c>
      <c r="Q330" s="733">
        <v>1</v>
      </c>
      <c r="R330" s="734">
        <f t="shared" si="47"/>
        <v>0</v>
      </c>
      <c r="S330" s="735">
        <f t="shared" si="48"/>
        <v>0</v>
      </c>
      <c r="T330" s="735">
        <f t="shared" si="49"/>
        <v>0</v>
      </c>
      <c r="U330" s="735">
        <f t="shared" si="50"/>
        <v>0</v>
      </c>
      <c r="V330" s="736">
        <f t="shared" si="51"/>
        <v>0</v>
      </c>
      <c r="W330" s="735">
        <f t="shared" si="52"/>
        <v>0</v>
      </c>
      <c r="X330" s="737">
        <f t="shared" si="53"/>
        <v>0</v>
      </c>
      <c r="Y330" s="738">
        <f t="shared" si="54"/>
        <v>0</v>
      </c>
      <c r="Z330" s="627"/>
    </row>
    <row r="331" spans="1:26">
      <c r="A331" s="318" t="s">
        <v>1520</v>
      </c>
      <c r="B331" s="318">
        <v>1597</v>
      </c>
      <c r="C331" s="318">
        <v>138</v>
      </c>
      <c r="D331" s="332">
        <v>25</v>
      </c>
      <c r="E331" s="318" t="s">
        <v>1666</v>
      </c>
      <c r="F331" s="337">
        <v>5892730</v>
      </c>
      <c r="G331" s="318" t="s">
        <v>4</v>
      </c>
      <c r="H331" s="318">
        <v>2016</v>
      </c>
      <c r="I331" s="306">
        <f>+IF($H331=I$2,VLOOKUP($G331,Depreciation!$A$14:$L$18,7,FALSE)/2,IF($H331&lt;I$2,VLOOKUP($G331,Depreciation!$A$14:$L$18,7,FALSE),0))</f>
        <v>0</v>
      </c>
      <c r="J331" s="306">
        <f>+IF($H331=J$2,VLOOKUP($G331,Depreciation!$A$14:$L$18,8,FALSE)/2,IF($H331&lt;J$2,VLOOKUP($G331,Depreciation!$A$14:$L$18,8,FALSE),0))</f>
        <v>1.671703928371859E-2</v>
      </c>
      <c r="K331" s="306">
        <f>+IF($H331=K$2,VLOOKUP($G331,Depreciation!$A$14:$L$18,9,FALSE)/2,IF($H331&lt;K$2,VLOOKUP($G331,Depreciation!$A$14:$L$18,9,FALSE),0))</f>
        <v>3.343407856743718E-2</v>
      </c>
      <c r="L331" s="306">
        <f>+IF($H331=L$2,VLOOKUP($G331,Depreciation!$A$14:$L$18,10,FALSE)/2,IF($H331&lt;L$2,VLOOKUP($G331,Depreciation!$A$14:$L$18,10,FALSE),0))</f>
        <v>3.343407856743718E-2</v>
      </c>
      <c r="M331" s="306">
        <f>+IF($H331=M$2,VLOOKUP($G331,Depreciation!$A$14:$L$18,11,FALSE)/2,IF($H331&lt;M$2,VLOOKUP($G331,Depreciation!$A$14:$L$18,11,FALSE),0))</f>
        <v>3.343407856743718E-2</v>
      </c>
      <c r="N331" s="306">
        <f>+IF($H331=N$2,VLOOKUP($G331,Depreciation!$A$14:$L$18,12,FALSE)/2,IF($H331&lt;N$2,VLOOKUP($G331,Depreciation!$A$14:$L$18,12,FALSE),0))</f>
        <v>3.343407856743718E-2</v>
      </c>
      <c r="O331" s="307">
        <f t="shared" si="46"/>
        <v>0</v>
      </c>
      <c r="P331" s="732">
        <v>0</v>
      </c>
      <c r="Q331" s="733">
        <v>1</v>
      </c>
      <c r="R331" s="734">
        <f t="shared" si="47"/>
        <v>0</v>
      </c>
      <c r="S331" s="735">
        <f t="shared" si="48"/>
        <v>0</v>
      </c>
      <c r="T331" s="735">
        <f t="shared" si="49"/>
        <v>0</v>
      </c>
      <c r="U331" s="735">
        <f t="shared" si="50"/>
        <v>0</v>
      </c>
      <c r="V331" s="736">
        <f t="shared" si="51"/>
        <v>0</v>
      </c>
      <c r="W331" s="735">
        <f t="shared" si="52"/>
        <v>0</v>
      </c>
      <c r="X331" s="737">
        <f t="shared" si="53"/>
        <v>0</v>
      </c>
      <c r="Y331" s="738">
        <f t="shared" si="54"/>
        <v>0</v>
      </c>
      <c r="Z331" s="627"/>
    </row>
    <row r="332" spans="1:26">
      <c r="A332" s="318" t="s">
        <v>1467</v>
      </c>
      <c r="B332" s="318">
        <v>1597</v>
      </c>
      <c r="C332" s="318">
        <v>138</v>
      </c>
      <c r="D332" s="332">
        <v>25</v>
      </c>
      <c r="E332" s="318" t="s">
        <v>1666</v>
      </c>
      <c r="F332" s="337">
        <v>4899999.9999999991</v>
      </c>
      <c r="G332" s="318" t="s">
        <v>4</v>
      </c>
      <c r="H332" s="318">
        <v>2016</v>
      </c>
      <c r="I332" s="306">
        <f>+IF($H332=I$2,VLOOKUP($G332,Depreciation!$A$14:$L$18,7,FALSE)/2,IF($H332&lt;I$2,VLOOKUP($G332,Depreciation!$A$14:$L$18,7,FALSE),0))</f>
        <v>0</v>
      </c>
      <c r="J332" s="306">
        <f>+IF($H332=J$2,VLOOKUP($G332,Depreciation!$A$14:$L$18,8,FALSE)/2,IF($H332&lt;J$2,VLOOKUP($G332,Depreciation!$A$14:$L$18,8,FALSE),0))</f>
        <v>1.671703928371859E-2</v>
      </c>
      <c r="K332" s="306">
        <f>+IF($H332=K$2,VLOOKUP($G332,Depreciation!$A$14:$L$18,9,FALSE)/2,IF($H332&lt;K$2,VLOOKUP($G332,Depreciation!$A$14:$L$18,9,FALSE),0))</f>
        <v>3.343407856743718E-2</v>
      </c>
      <c r="L332" s="306">
        <f>+IF($H332=L$2,VLOOKUP($G332,Depreciation!$A$14:$L$18,10,FALSE)/2,IF($H332&lt;L$2,VLOOKUP($G332,Depreciation!$A$14:$L$18,10,FALSE),0))</f>
        <v>3.343407856743718E-2</v>
      </c>
      <c r="M332" s="306">
        <f>+IF($H332=M$2,VLOOKUP($G332,Depreciation!$A$14:$L$18,11,FALSE)/2,IF($H332&lt;M$2,VLOOKUP($G332,Depreciation!$A$14:$L$18,11,FALSE),0))</f>
        <v>3.343407856743718E-2</v>
      </c>
      <c r="N332" s="306">
        <f>+IF($H332=N$2,VLOOKUP($G332,Depreciation!$A$14:$L$18,12,FALSE)/2,IF($H332&lt;N$2,VLOOKUP($G332,Depreciation!$A$14:$L$18,12,FALSE),0))</f>
        <v>3.343407856743718E-2</v>
      </c>
      <c r="O332" s="307">
        <f t="shared" si="46"/>
        <v>0</v>
      </c>
      <c r="P332" s="732">
        <v>0</v>
      </c>
      <c r="Q332" s="733">
        <v>1</v>
      </c>
      <c r="R332" s="734">
        <f t="shared" si="47"/>
        <v>0</v>
      </c>
      <c r="S332" s="735">
        <f t="shared" si="48"/>
        <v>0</v>
      </c>
      <c r="T332" s="735">
        <f t="shared" si="49"/>
        <v>0</v>
      </c>
      <c r="U332" s="735">
        <f t="shared" si="50"/>
        <v>0</v>
      </c>
      <c r="V332" s="736">
        <f t="shared" si="51"/>
        <v>0</v>
      </c>
      <c r="W332" s="735">
        <f t="shared" si="52"/>
        <v>0</v>
      </c>
      <c r="X332" s="737">
        <f t="shared" si="53"/>
        <v>0</v>
      </c>
      <c r="Y332" s="738">
        <f t="shared" si="54"/>
        <v>0</v>
      </c>
      <c r="Z332" s="627"/>
    </row>
    <row r="333" spans="1:26">
      <c r="A333" s="318" t="s">
        <v>1446</v>
      </c>
      <c r="B333" s="318">
        <v>1616</v>
      </c>
      <c r="C333" s="318">
        <v>138</v>
      </c>
      <c r="D333" s="332">
        <v>25</v>
      </c>
      <c r="E333" s="318" t="s">
        <v>1667</v>
      </c>
      <c r="F333" s="337">
        <v>1395036.0000000014</v>
      </c>
      <c r="G333" s="318" t="s">
        <v>66</v>
      </c>
      <c r="H333" s="318">
        <v>2016</v>
      </c>
      <c r="I333" s="306">
        <f>+IF($H333=I$2,VLOOKUP($G333,Depreciation!$A$14:$L$18,7,FALSE)/2,IF($H333&lt;I$2,VLOOKUP($G333,Depreciation!$A$14:$L$18,7,FALSE),0))</f>
        <v>0</v>
      </c>
      <c r="J333" s="306">
        <f>+IF($H333=J$2,VLOOKUP($G333,Depreciation!$A$14:$L$18,8,FALSE)/2,IF($H333&lt;J$2,VLOOKUP($G333,Depreciation!$A$14:$L$18,8,FALSE),0))</f>
        <v>1.231622525054236E-2</v>
      </c>
      <c r="K333" s="306">
        <f>+IF($H333=K$2,VLOOKUP($G333,Depreciation!$A$14:$L$18,9,FALSE)/2,IF($H333&lt;K$2,VLOOKUP($G333,Depreciation!$A$14:$L$18,9,FALSE),0))</f>
        <v>2.4351536427798831E-2</v>
      </c>
      <c r="L333" s="306">
        <f>+IF($H333=L$2,VLOOKUP($G333,Depreciation!$A$14:$L$18,10,FALSE)/2,IF($H333&lt;L$2,VLOOKUP($G333,Depreciation!$A$14:$L$18,10,FALSE),0))</f>
        <v>2.4351536427798831E-2</v>
      </c>
      <c r="M333" s="306">
        <f>+IF($H333=M$2,VLOOKUP($G333,Depreciation!$A$14:$L$18,11,FALSE)/2,IF($H333&lt;M$2,VLOOKUP($G333,Depreciation!$A$14:$L$18,11,FALSE),0))</f>
        <v>2.4351536427798831E-2</v>
      </c>
      <c r="N333" s="306">
        <f>+IF($H333=N$2,VLOOKUP($G333,Depreciation!$A$14:$L$18,12,FALSE)/2,IF($H333&lt;N$2,VLOOKUP($G333,Depreciation!$A$14:$L$18,12,FALSE),0))</f>
        <v>2.4351536427798831E-2</v>
      </c>
      <c r="O333" s="307">
        <f t="shared" si="46"/>
        <v>0</v>
      </c>
      <c r="P333" s="732">
        <v>0</v>
      </c>
      <c r="Q333" s="733">
        <v>1</v>
      </c>
      <c r="R333" s="734">
        <f t="shared" si="47"/>
        <v>0</v>
      </c>
      <c r="S333" s="735">
        <f t="shared" si="48"/>
        <v>0</v>
      </c>
      <c r="T333" s="735">
        <f t="shared" si="49"/>
        <v>0</v>
      </c>
      <c r="U333" s="735">
        <f t="shared" si="50"/>
        <v>0</v>
      </c>
      <c r="V333" s="736">
        <f t="shared" si="51"/>
        <v>0</v>
      </c>
      <c r="W333" s="735">
        <f t="shared" si="52"/>
        <v>0</v>
      </c>
      <c r="X333" s="737">
        <f t="shared" si="53"/>
        <v>0</v>
      </c>
      <c r="Y333" s="738">
        <f t="shared" si="54"/>
        <v>0</v>
      </c>
      <c r="Z333" s="627"/>
    </row>
    <row r="334" spans="1:26">
      <c r="A334" s="318" t="s">
        <v>1479</v>
      </c>
      <c r="B334" s="318">
        <v>1618</v>
      </c>
      <c r="C334" s="318">
        <v>138</v>
      </c>
      <c r="D334" s="332">
        <v>138</v>
      </c>
      <c r="E334" s="318" t="s">
        <v>1668</v>
      </c>
      <c r="F334" s="337">
        <v>400830.59344754874</v>
      </c>
      <c r="G334" s="318" t="s">
        <v>66</v>
      </c>
      <c r="H334" s="318">
        <v>2017</v>
      </c>
      <c r="I334" s="306">
        <f>+IF($H334=I$2,VLOOKUP($G334,Depreciation!$A$14:$L$18,7,FALSE)/2,IF($H334&lt;I$2,VLOOKUP($G334,Depreciation!$A$14:$L$18,7,FALSE),0))</f>
        <v>0</v>
      </c>
      <c r="J334" s="306">
        <f>+IF($H334=J$2,VLOOKUP($G334,Depreciation!$A$14:$L$18,8,FALSE)/2,IF($H334&lt;J$2,VLOOKUP($G334,Depreciation!$A$14:$L$18,8,FALSE),0))</f>
        <v>0</v>
      </c>
      <c r="K334" s="306">
        <f>+IF($H334=K$2,VLOOKUP($G334,Depreciation!$A$14:$L$18,9,FALSE)/2,IF($H334&lt;K$2,VLOOKUP($G334,Depreciation!$A$14:$L$18,9,FALSE),0))</f>
        <v>1.2175768213899416E-2</v>
      </c>
      <c r="L334" s="306">
        <f>+IF($H334=L$2,VLOOKUP($G334,Depreciation!$A$14:$L$18,10,FALSE)/2,IF($H334&lt;L$2,VLOOKUP($G334,Depreciation!$A$14:$L$18,10,FALSE),0))</f>
        <v>2.4351536427798831E-2</v>
      </c>
      <c r="M334" s="306">
        <f>+IF($H334=M$2,VLOOKUP($G334,Depreciation!$A$14:$L$18,11,FALSE)/2,IF($H334&lt;M$2,VLOOKUP($G334,Depreciation!$A$14:$L$18,11,FALSE),0))</f>
        <v>2.4351536427798831E-2</v>
      </c>
      <c r="N334" s="306">
        <f>+IF($H334=N$2,VLOOKUP($G334,Depreciation!$A$14:$L$18,12,FALSE)/2,IF($H334&lt;N$2,VLOOKUP($G334,Depreciation!$A$14:$L$18,12,FALSE),0))</f>
        <v>2.4351536427798831E-2</v>
      </c>
      <c r="O334" s="307">
        <f t="shared" si="46"/>
        <v>0</v>
      </c>
      <c r="P334" s="732">
        <v>0</v>
      </c>
      <c r="Q334" s="733">
        <v>0</v>
      </c>
      <c r="R334" s="734">
        <f t="shared" si="47"/>
        <v>1</v>
      </c>
      <c r="S334" s="735">
        <f t="shared" si="48"/>
        <v>0</v>
      </c>
      <c r="T334" s="735">
        <f t="shared" si="49"/>
        <v>0</v>
      </c>
      <c r="U334" s="735">
        <f t="shared" si="50"/>
        <v>0</v>
      </c>
      <c r="V334" s="736">
        <f t="shared" si="51"/>
        <v>0</v>
      </c>
      <c r="W334" s="735">
        <f t="shared" si="52"/>
        <v>0</v>
      </c>
      <c r="X334" s="737">
        <f t="shared" si="53"/>
        <v>0</v>
      </c>
      <c r="Y334" s="738">
        <f t="shared" si="54"/>
        <v>0</v>
      </c>
      <c r="Z334" s="627"/>
    </row>
    <row r="335" spans="1:26">
      <c r="A335" s="318" t="s">
        <v>1475</v>
      </c>
      <c r="B335" s="318">
        <v>1618</v>
      </c>
      <c r="C335" s="318">
        <v>144</v>
      </c>
      <c r="D335" s="332">
        <v>25</v>
      </c>
      <c r="E335" s="318" t="s">
        <v>1669</v>
      </c>
      <c r="F335" s="337">
        <v>13185051.811204772</v>
      </c>
      <c r="G335" s="318" t="s">
        <v>66</v>
      </c>
      <c r="H335" s="318">
        <v>2017</v>
      </c>
      <c r="I335" s="306">
        <f>+IF($H335=I$2,VLOOKUP($G335,Depreciation!$A$14:$L$18,7,FALSE)/2,IF($H335&lt;I$2,VLOOKUP($G335,Depreciation!$A$14:$L$18,7,FALSE),0))</f>
        <v>0</v>
      </c>
      <c r="J335" s="306">
        <f>+IF($H335=J$2,VLOOKUP($G335,Depreciation!$A$14:$L$18,8,FALSE)/2,IF($H335&lt;J$2,VLOOKUP($G335,Depreciation!$A$14:$L$18,8,FALSE),0))</f>
        <v>0</v>
      </c>
      <c r="K335" s="306">
        <f>+IF($H335=K$2,VLOOKUP($G335,Depreciation!$A$14:$L$18,9,FALSE)/2,IF($H335&lt;K$2,VLOOKUP($G335,Depreciation!$A$14:$L$18,9,FALSE),0))</f>
        <v>1.2175768213899416E-2</v>
      </c>
      <c r="L335" s="306">
        <f>+IF($H335=L$2,VLOOKUP($G335,Depreciation!$A$14:$L$18,10,FALSE)/2,IF($H335&lt;L$2,VLOOKUP($G335,Depreciation!$A$14:$L$18,10,FALSE),0))</f>
        <v>2.4351536427798831E-2</v>
      </c>
      <c r="M335" s="306">
        <f>+IF($H335=M$2,VLOOKUP($G335,Depreciation!$A$14:$L$18,11,FALSE)/2,IF($H335&lt;M$2,VLOOKUP($G335,Depreciation!$A$14:$L$18,11,FALSE),0))</f>
        <v>2.4351536427798831E-2</v>
      </c>
      <c r="N335" s="306">
        <f>+IF($H335=N$2,VLOOKUP($G335,Depreciation!$A$14:$L$18,12,FALSE)/2,IF($H335&lt;N$2,VLOOKUP($G335,Depreciation!$A$14:$L$18,12,FALSE),0))</f>
        <v>2.4351536427798831E-2</v>
      </c>
      <c r="O335" s="307">
        <f t="shared" si="46"/>
        <v>0</v>
      </c>
      <c r="P335" s="732">
        <v>0</v>
      </c>
      <c r="Q335" s="733">
        <v>1</v>
      </c>
      <c r="R335" s="734">
        <f t="shared" si="47"/>
        <v>0</v>
      </c>
      <c r="S335" s="735">
        <f t="shared" si="48"/>
        <v>0</v>
      </c>
      <c r="T335" s="735">
        <f t="shared" si="49"/>
        <v>0</v>
      </c>
      <c r="U335" s="735">
        <f t="shared" si="50"/>
        <v>0</v>
      </c>
      <c r="V335" s="736">
        <f t="shared" si="51"/>
        <v>0</v>
      </c>
      <c r="W335" s="735">
        <f t="shared" si="52"/>
        <v>0</v>
      </c>
      <c r="X335" s="737">
        <f t="shared" si="53"/>
        <v>0</v>
      </c>
      <c r="Y335" s="738">
        <f t="shared" si="54"/>
        <v>0</v>
      </c>
      <c r="Z335" s="627"/>
    </row>
    <row r="336" spans="1:26">
      <c r="A336" s="318" t="s">
        <v>1476</v>
      </c>
      <c r="B336" s="318">
        <v>1618</v>
      </c>
      <c r="C336" s="318">
        <v>144</v>
      </c>
      <c r="D336" s="332">
        <v>25</v>
      </c>
      <c r="E336" s="318" t="s">
        <v>1670</v>
      </c>
      <c r="F336" s="337">
        <v>1174290.4338164157</v>
      </c>
      <c r="G336" s="318" t="s">
        <v>66</v>
      </c>
      <c r="H336" s="318">
        <v>2017</v>
      </c>
      <c r="I336" s="306">
        <f>+IF($H336=I$2,VLOOKUP($G336,Depreciation!$A$14:$L$18,7,FALSE)/2,IF($H336&lt;I$2,VLOOKUP($G336,Depreciation!$A$14:$L$18,7,FALSE),0))</f>
        <v>0</v>
      </c>
      <c r="J336" s="306">
        <f>+IF($H336=J$2,VLOOKUP($G336,Depreciation!$A$14:$L$18,8,FALSE)/2,IF($H336&lt;J$2,VLOOKUP($G336,Depreciation!$A$14:$L$18,8,FALSE),0))</f>
        <v>0</v>
      </c>
      <c r="K336" s="306">
        <f>+IF($H336=K$2,VLOOKUP($G336,Depreciation!$A$14:$L$18,9,FALSE)/2,IF($H336&lt;K$2,VLOOKUP($G336,Depreciation!$A$14:$L$18,9,FALSE),0))</f>
        <v>1.2175768213899416E-2</v>
      </c>
      <c r="L336" s="306">
        <f>+IF($H336=L$2,VLOOKUP($G336,Depreciation!$A$14:$L$18,10,FALSE)/2,IF($H336&lt;L$2,VLOOKUP($G336,Depreciation!$A$14:$L$18,10,FALSE),0))</f>
        <v>2.4351536427798831E-2</v>
      </c>
      <c r="M336" s="306">
        <f>+IF($H336=M$2,VLOOKUP($G336,Depreciation!$A$14:$L$18,11,FALSE)/2,IF($H336&lt;M$2,VLOOKUP($G336,Depreciation!$A$14:$L$18,11,FALSE),0))</f>
        <v>2.4351536427798831E-2</v>
      </c>
      <c r="N336" s="306">
        <f>+IF($H336=N$2,VLOOKUP($G336,Depreciation!$A$14:$L$18,12,FALSE)/2,IF($H336&lt;N$2,VLOOKUP($G336,Depreciation!$A$14:$L$18,12,FALSE),0))</f>
        <v>2.4351536427798831E-2</v>
      </c>
      <c r="O336" s="307">
        <f t="shared" si="46"/>
        <v>0</v>
      </c>
      <c r="P336" s="732">
        <v>0</v>
      </c>
      <c r="Q336" s="733">
        <v>1</v>
      </c>
      <c r="R336" s="734">
        <f t="shared" si="47"/>
        <v>0</v>
      </c>
      <c r="S336" s="735">
        <f t="shared" si="48"/>
        <v>0</v>
      </c>
      <c r="T336" s="735">
        <f t="shared" si="49"/>
        <v>0</v>
      </c>
      <c r="U336" s="735">
        <f t="shared" si="50"/>
        <v>0</v>
      </c>
      <c r="V336" s="736">
        <f t="shared" si="51"/>
        <v>0</v>
      </c>
      <c r="W336" s="735">
        <f t="shared" si="52"/>
        <v>0</v>
      </c>
      <c r="X336" s="737">
        <f t="shared" si="53"/>
        <v>0</v>
      </c>
      <c r="Y336" s="738">
        <f t="shared" si="54"/>
        <v>0</v>
      </c>
      <c r="Z336" s="627"/>
    </row>
    <row r="337" spans="1:26">
      <c r="A337" s="318" t="s">
        <v>1451</v>
      </c>
      <c r="B337" s="318">
        <v>1634</v>
      </c>
      <c r="C337" s="318">
        <v>138</v>
      </c>
      <c r="D337" s="332">
        <v>25</v>
      </c>
      <c r="E337" s="318" t="s">
        <v>1671</v>
      </c>
      <c r="F337" s="337">
        <v>39972.664599992102</v>
      </c>
      <c r="G337" s="318" t="s">
        <v>66</v>
      </c>
      <c r="H337" s="318">
        <v>2016</v>
      </c>
      <c r="I337" s="306">
        <f>+IF($H337=I$2,VLOOKUP($G337,Depreciation!$A$14:$L$18,7,FALSE)/2,IF($H337&lt;I$2,VLOOKUP($G337,Depreciation!$A$14:$L$18,7,FALSE),0))</f>
        <v>0</v>
      </c>
      <c r="J337" s="306">
        <f>+IF($H337=J$2,VLOOKUP($G337,Depreciation!$A$14:$L$18,8,FALSE)/2,IF($H337&lt;J$2,VLOOKUP($G337,Depreciation!$A$14:$L$18,8,FALSE),0))</f>
        <v>1.231622525054236E-2</v>
      </c>
      <c r="K337" s="306">
        <f>+IF($H337=K$2,VLOOKUP($G337,Depreciation!$A$14:$L$18,9,FALSE)/2,IF($H337&lt;K$2,VLOOKUP($G337,Depreciation!$A$14:$L$18,9,FALSE),0))</f>
        <v>2.4351536427798831E-2</v>
      </c>
      <c r="L337" s="306">
        <f>+IF($H337=L$2,VLOOKUP($G337,Depreciation!$A$14:$L$18,10,FALSE)/2,IF($H337&lt;L$2,VLOOKUP($G337,Depreciation!$A$14:$L$18,10,FALSE),0))</f>
        <v>2.4351536427798831E-2</v>
      </c>
      <c r="M337" s="306">
        <f>+IF($H337=M$2,VLOOKUP($G337,Depreciation!$A$14:$L$18,11,FALSE)/2,IF($H337&lt;M$2,VLOOKUP($G337,Depreciation!$A$14:$L$18,11,FALSE),0))</f>
        <v>2.4351536427798831E-2</v>
      </c>
      <c r="N337" s="306">
        <f>+IF($H337=N$2,VLOOKUP($G337,Depreciation!$A$14:$L$18,12,FALSE)/2,IF($H337&lt;N$2,VLOOKUP($G337,Depreciation!$A$14:$L$18,12,FALSE),0))</f>
        <v>2.4351536427798831E-2</v>
      </c>
      <c r="O337" s="307">
        <f t="shared" si="46"/>
        <v>0</v>
      </c>
      <c r="P337" s="732">
        <v>0</v>
      </c>
      <c r="Q337" s="733">
        <v>1</v>
      </c>
      <c r="R337" s="734">
        <f t="shared" si="47"/>
        <v>0</v>
      </c>
      <c r="S337" s="735">
        <f t="shared" si="48"/>
        <v>0</v>
      </c>
      <c r="T337" s="735">
        <f t="shared" si="49"/>
        <v>0</v>
      </c>
      <c r="U337" s="735">
        <f t="shared" si="50"/>
        <v>0</v>
      </c>
      <c r="V337" s="736">
        <f t="shared" si="51"/>
        <v>0</v>
      </c>
      <c r="W337" s="735">
        <f t="shared" si="52"/>
        <v>0</v>
      </c>
      <c r="X337" s="737">
        <f t="shared" si="53"/>
        <v>0</v>
      </c>
      <c r="Y337" s="738">
        <f t="shared" si="54"/>
        <v>0</v>
      </c>
      <c r="Z337" s="627"/>
    </row>
    <row r="338" spans="1:26">
      <c r="A338" s="318" t="s">
        <v>1452</v>
      </c>
      <c r="B338" s="318">
        <v>1634</v>
      </c>
      <c r="C338" s="318">
        <v>240</v>
      </c>
      <c r="D338" s="332">
        <v>25</v>
      </c>
      <c r="E338" s="318" t="s">
        <v>1672</v>
      </c>
      <c r="F338" s="337">
        <v>56242.040999609831</v>
      </c>
      <c r="G338" s="318" t="s">
        <v>66</v>
      </c>
      <c r="H338" s="318">
        <v>2016</v>
      </c>
      <c r="I338" s="306">
        <f>+IF($H338=I$2,VLOOKUP($G338,Depreciation!$A$14:$L$18,7,FALSE)/2,IF($H338&lt;I$2,VLOOKUP($G338,Depreciation!$A$14:$L$18,7,FALSE),0))</f>
        <v>0</v>
      </c>
      <c r="J338" s="306">
        <f>+IF($H338=J$2,VLOOKUP($G338,Depreciation!$A$14:$L$18,8,FALSE)/2,IF($H338&lt;J$2,VLOOKUP($G338,Depreciation!$A$14:$L$18,8,FALSE),0))</f>
        <v>1.231622525054236E-2</v>
      </c>
      <c r="K338" s="306">
        <f>+IF($H338=K$2,VLOOKUP($G338,Depreciation!$A$14:$L$18,9,FALSE)/2,IF($H338&lt;K$2,VLOOKUP($G338,Depreciation!$A$14:$L$18,9,FALSE),0))</f>
        <v>2.4351536427798831E-2</v>
      </c>
      <c r="L338" s="306">
        <f>+IF($H338=L$2,VLOOKUP($G338,Depreciation!$A$14:$L$18,10,FALSE)/2,IF($H338&lt;L$2,VLOOKUP($G338,Depreciation!$A$14:$L$18,10,FALSE),0))</f>
        <v>2.4351536427798831E-2</v>
      </c>
      <c r="M338" s="306">
        <f>+IF($H338=M$2,VLOOKUP($G338,Depreciation!$A$14:$L$18,11,FALSE)/2,IF($H338&lt;M$2,VLOOKUP($G338,Depreciation!$A$14:$L$18,11,FALSE),0))</f>
        <v>2.4351536427798831E-2</v>
      </c>
      <c r="N338" s="306">
        <f>+IF($H338=N$2,VLOOKUP($G338,Depreciation!$A$14:$L$18,12,FALSE)/2,IF($H338&lt;N$2,VLOOKUP($G338,Depreciation!$A$14:$L$18,12,FALSE),0))</f>
        <v>2.4351536427798831E-2</v>
      </c>
      <c r="O338" s="307">
        <f t="shared" si="46"/>
        <v>0</v>
      </c>
      <c r="P338" s="732">
        <v>0.89437344274894326</v>
      </c>
      <c r="Q338" s="733">
        <v>0.10562655725105677</v>
      </c>
      <c r="R338" s="734">
        <f t="shared" si="47"/>
        <v>0</v>
      </c>
      <c r="S338" s="735">
        <f t="shared" si="48"/>
        <v>0</v>
      </c>
      <c r="T338" s="735">
        <f t="shared" si="49"/>
        <v>0</v>
      </c>
      <c r="U338" s="735">
        <f t="shared" si="50"/>
        <v>0</v>
      </c>
      <c r="V338" s="736">
        <f t="shared" si="51"/>
        <v>0</v>
      </c>
      <c r="W338" s="735">
        <f t="shared" si="52"/>
        <v>0</v>
      </c>
      <c r="X338" s="737">
        <f t="shared" si="53"/>
        <v>0</v>
      </c>
      <c r="Y338" s="738">
        <f t="shared" si="54"/>
        <v>0</v>
      </c>
      <c r="Z338" s="627"/>
    </row>
    <row r="339" spans="1:26">
      <c r="A339" s="318" t="s">
        <v>1450</v>
      </c>
      <c r="B339" s="318">
        <v>1634</v>
      </c>
      <c r="C339" s="318">
        <v>144</v>
      </c>
      <c r="D339" s="332">
        <v>25</v>
      </c>
      <c r="E339" s="318" t="s">
        <v>1673</v>
      </c>
      <c r="F339" s="337">
        <v>12550982.644961169</v>
      </c>
      <c r="G339" s="318" t="s">
        <v>66</v>
      </c>
      <c r="H339" s="318">
        <v>2016</v>
      </c>
      <c r="I339" s="306">
        <f>+IF($H339=I$2,VLOOKUP($G339,Depreciation!$A$14:$L$18,7,FALSE)/2,IF($H339&lt;I$2,VLOOKUP($G339,Depreciation!$A$14:$L$18,7,FALSE),0))</f>
        <v>0</v>
      </c>
      <c r="J339" s="306">
        <f>+IF($H339=J$2,VLOOKUP($G339,Depreciation!$A$14:$L$18,8,FALSE)/2,IF($H339&lt;J$2,VLOOKUP($G339,Depreciation!$A$14:$L$18,8,FALSE),0))</f>
        <v>1.231622525054236E-2</v>
      </c>
      <c r="K339" s="306">
        <f>+IF($H339=K$2,VLOOKUP($G339,Depreciation!$A$14:$L$18,9,FALSE)/2,IF($H339&lt;K$2,VLOOKUP($G339,Depreciation!$A$14:$L$18,9,FALSE),0))</f>
        <v>2.4351536427798831E-2</v>
      </c>
      <c r="L339" s="306">
        <f>+IF($H339=L$2,VLOOKUP($G339,Depreciation!$A$14:$L$18,10,FALSE)/2,IF($H339&lt;L$2,VLOOKUP($G339,Depreciation!$A$14:$L$18,10,FALSE),0))</f>
        <v>2.4351536427798831E-2</v>
      </c>
      <c r="M339" s="306">
        <f>+IF($H339=M$2,VLOOKUP($G339,Depreciation!$A$14:$L$18,11,FALSE)/2,IF($H339&lt;M$2,VLOOKUP($G339,Depreciation!$A$14:$L$18,11,FALSE),0))</f>
        <v>2.4351536427798831E-2</v>
      </c>
      <c r="N339" s="306">
        <f>+IF($H339=N$2,VLOOKUP($G339,Depreciation!$A$14:$L$18,12,FALSE)/2,IF($H339&lt;N$2,VLOOKUP($G339,Depreciation!$A$14:$L$18,12,FALSE),0))</f>
        <v>2.4351536427798831E-2</v>
      </c>
      <c r="O339" s="307">
        <f t="shared" si="46"/>
        <v>0</v>
      </c>
      <c r="P339" s="732">
        <v>0</v>
      </c>
      <c r="Q339" s="733">
        <v>0</v>
      </c>
      <c r="R339" s="734">
        <f t="shared" si="47"/>
        <v>1</v>
      </c>
      <c r="S339" s="735">
        <f t="shared" si="48"/>
        <v>0</v>
      </c>
      <c r="T339" s="735">
        <f t="shared" si="49"/>
        <v>0</v>
      </c>
      <c r="U339" s="735">
        <f t="shared" si="50"/>
        <v>0</v>
      </c>
      <c r="V339" s="736">
        <f t="shared" si="51"/>
        <v>0</v>
      </c>
      <c r="W339" s="735">
        <f t="shared" si="52"/>
        <v>0</v>
      </c>
      <c r="X339" s="737">
        <f t="shared" si="53"/>
        <v>0</v>
      </c>
      <c r="Y339" s="738">
        <f t="shared" si="54"/>
        <v>0</v>
      </c>
      <c r="Z339" s="627"/>
    </row>
    <row r="340" spans="1:26">
      <c r="A340" s="318" t="s">
        <v>1465</v>
      </c>
      <c r="B340" s="318">
        <v>1636</v>
      </c>
      <c r="C340" s="318">
        <v>138</v>
      </c>
      <c r="D340" s="332">
        <v>25</v>
      </c>
      <c r="E340" s="318" t="s">
        <v>1674</v>
      </c>
      <c r="F340" s="337">
        <v>6332999.3866284983</v>
      </c>
      <c r="G340" s="318" t="s">
        <v>4</v>
      </c>
      <c r="H340" s="318">
        <v>2016</v>
      </c>
      <c r="I340" s="306">
        <f>+IF($H340=I$2,VLOOKUP($G340,Depreciation!$A$14:$L$18,7,FALSE)/2,IF($H340&lt;I$2,VLOOKUP($G340,Depreciation!$A$14:$L$18,7,FALSE),0))</f>
        <v>0</v>
      </c>
      <c r="J340" s="306">
        <f>+IF($H340=J$2,VLOOKUP($G340,Depreciation!$A$14:$L$18,8,FALSE)/2,IF($H340&lt;J$2,VLOOKUP($G340,Depreciation!$A$14:$L$18,8,FALSE),0))</f>
        <v>1.671703928371859E-2</v>
      </c>
      <c r="K340" s="306">
        <f>+IF($H340=K$2,VLOOKUP($G340,Depreciation!$A$14:$L$18,9,FALSE)/2,IF($H340&lt;K$2,VLOOKUP($G340,Depreciation!$A$14:$L$18,9,FALSE),0))</f>
        <v>3.343407856743718E-2</v>
      </c>
      <c r="L340" s="306">
        <f>+IF($H340=L$2,VLOOKUP($G340,Depreciation!$A$14:$L$18,10,FALSE)/2,IF($H340&lt;L$2,VLOOKUP($G340,Depreciation!$A$14:$L$18,10,FALSE),0))</f>
        <v>3.343407856743718E-2</v>
      </c>
      <c r="M340" s="306">
        <f>+IF($H340=M$2,VLOOKUP($G340,Depreciation!$A$14:$L$18,11,FALSE)/2,IF($H340&lt;M$2,VLOOKUP($G340,Depreciation!$A$14:$L$18,11,FALSE),0))</f>
        <v>3.343407856743718E-2</v>
      </c>
      <c r="N340" s="306">
        <f>+IF($H340=N$2,VLOOKUP($G340,Depreciation!$A$14:$L$18,12,FALSE)/2,IF($H340&lt;N$2,VLOOKUP($G340,Depreciation!$A$14:$L$18,12,FALSE),0))</f>
        <v>3.343407856743718E-2</v>
      </c>
      <c r="O340" s="307">
        <f t="shared" si="46"/>
        <v>0</v>
      </c>
      <c r="P340" s="732">
        <v>0</v>
      </c>
      <c r="Q340" s="733">
        <v>1</v>
      </c>
      <c r="R340" s="734">
        <f t="shared" si="47"/>
        <v>0</v>
      </c>
      <c r="S340" s="735">
        <f t="shared" si="48"/>
        <v>0</v>
      </c>
      <c r="T340" s="735">
        <f t="shared" si="49"/>
        <v>0</v>
      </c>
      <c r="U340" s="735">
        <f t="shared" si="50"/>
        <v>0</v>
      </c>
      <c r="V340" s="736">
        <f t="shared" si="51"/>
        <v>0</v>
      </c>
      <c r="W340" s="735">
        <f t="shared" si="52"/>
        <v>0</v>
      </c>
      <c r="X340" s="737">
        <f t="shared" si="53"/>
        <v>0</v>
      </c>
      <c r="Y340" s="738">
        <f t="shared" si="54"/>
        <v>0</v>
      </c>
      <c r="Z340" s="627"/>
    </row>
    <row r="341" spans="1:26">
      <c r="A341" s="318" t="s">
        <v>1460</v>
      </c>
      <c r="B341" s="318">
        <v>1638</v>
      </c>
      <c r="C341" s="318">
        <v>138</v>
      </c>
      <c r="D341" s="332">
        <v>25</v>
      </c>
      <c r="E341" s="318" t="s">
        <v>1648</v>
      </c>
      <c r="F341" s="337">
        <v>2192000.0000000009</v>
      </c>
      <c r="G341" s="318" t="s">
        <v>4</v>
      </c>
      <c r="H341" s="318">
        <v>2016</v>
      </c>
      <c r="I341" s="306">
        <f>+IF($H341=I$2,VLOOKUP($G341,Depreciation!$A$14:$L$18,7,FALSE)/2,IF($H341&lt;I$2,VLOOKUP($G341,Depreciation!$A$14:$L$18,7,FALSE),0))</f>
        <v>0</v>
      </c>
      <c r="J341" s="306">
        <f>+IF($H341=J$2,VLOOKUP($G341,Depreciation!$A$14:$L$18,8,FALSE)/2,IF($H341&lt;J$2,VLOOKUP($G341,Depreciation!$A$14:$L$18,8,FALSE),0))</f>
        <v>1.671703928371859E-2</v>
      </c>
      <c r="K341" s="306">
        <f>+IF($H341=K$2,VLOOKUP($G341,Depreciation!$A$14:$L$18,9,FALSE)/2,IF($H341&lt;K$2,VLOOKUP($G341,Depreciation!$A$14:$L$18,9,FALSE),0))</f>
        <v>3.343407856743718E-2</v>
      </c>
      <c r="L341" s="306">
        <f>+IF($H341=L$2,VLOOKUP($G341,Depreciation!$A$14:$L$18,10,FALSE)/2,IF($H341&lt;L$2,VLOOKUP($G341,Depreciation!$A$14:$L$18,10,FALSE),0))</f>
        <v>3.343407856743718E-2</v>
      </c>
      <c r="M341" s="306">
        <f>+IF($H341=M$2,VLOOKUP($G341,Depreciation!$A$14:$L$18,11,FALSE)/2,IF($H341&lt;M$2,VLOOKUP($G341,Depreciation!$A$14:$L$18,11,FALSE),0))</f>
        <v>3.343407856743718E-2</v>
      </c>
      <c r="N341" s="306">
        <f>+IF($H341=N$2,VLOOKUP($G341,Depreciation!$A$14:$L$18,12,FALSE)/2,IF($H341&lt;N$2,VLOOKUP($G341,Depreciation!$A$14:$L$18,12,FALSE),0))</f>
        <v>3.343407856743718E-2</v>
      </c>
      <c r="O341" s="307">
        <f t="shared" si="46"/>
        <v>0</v>
      </c>
      <c r="P341" s="732">
        <v>0</v>
      </c>
      <c r="Q341" s="733">
        <v>1</v>
      </c>
      <c r="R341" s="734">
        <f t="shared" si="47"/>
        <v>0</v>
      </c>
      <c r="S341" s="735">
        <f t="shared" si="48"/>
        <v>0</v>
      </c>
      <c r="T341" s="735">
        <f t="shared" si="49"/>
        <v>0</v>
      </c>
      <c r="U341" s="735">
        <f t="shared" si="50"/>
        <v>0</v>
      </c>
      <c r="V341" s="736">
        <f t="shared" si="51"/>
        <v>0</v>
      </c>
      <c r="W341" s="735">
        <f t="shared" si="52"/>
        <v>0</v>
      </c>
      <c r="X341" s="737">
        <f t="shared" si="53"/>
        <v>0</v>
      </c>
      <c r="Y341" s="738">
        <f t="shared" si="54"/>
        <v>0</v>
      </c>
      <c r="Z341" s="627"/>
    </row>
    <row r="342" spans="1:26">
      <c r="A342" s="318" t="s">
        <v>1466</v>
      </c>
      <c r="B342" s="318">
        <v>1640</v>
      </c>
      <c r="C342" s="318">
        <v>138</v>
      </c>
      <c r="D342" s="332">
        <v>25</v>
      </c>
      <c r="E342" s="318" t="s">
        <v>1675</v>
      </c>
      <c r="F342" s="337">
        <v>8107602.9999999944</v>
      </c>
      <c r="G342" s="318" t="s">
        <v>4</v>
      </c>
      <c r="H342" s="318">
        <v>2016</v>
      </c>
      <c r="I342" s="306">
        <f>+IF($H342=I$2,VLOOKUP($G342,Depreciation!$A$14:$L$18,7,FALSE)/2,IF($H342&lt;I$2,VLOOKUP($G342,Depreciation!$A$14:$L$18,7,FALSE),0))</f>
        <v>0</v>
      </c>
      <c r="J342" s="306">
        <f>+IF($H342=J$2,VLOOKUP($G342,Depreciation!$A$14:$L$18,8,FALSE)/2,IF($H342&lt;J$2,VLOOKUP($G342,Depreciation!$A$14:$L$18,8,FALSE),0))</f>
        <v>1.671703928371859E-2</v>
      </c>
      <c r="K342" s="306">
        <f>+IF($H342=K$2,VLOOKUP($G342,Depreciation!$A$14:$L$18,9,FALSE)/2,IF($H342&lt;K$2,VLOOKUP($G342,Depreciation!$A$14:$L$18,9,FALSE),0))</f>
        <v>3.343407856743718E-2</v>
      </c>
      <c r="L342" s="306">
        <f>+IF($H342=L$2,VLOOKUP($G342,Depreciation!$A$14:$L$18,10,FALSE)/2,IF($H342&lt;L$2,VLOOKUP($G342,Depreciation!$A$14:$L$18,10,FALSE),0))</f>
        <v>3.343407856743718E-2</v>
      </c>
      <c r="M342" s="306">
        <f>+IF($H342=M$2,VLOOKUP($G342,Depreciation!$A$14:$L$18,11,FALSE)/2,IF($H342&lt;M$2,VLOOKUP($G342,Depreciation!$A$14:$L$18,11,FALSE),0))</f>
        <v>3.343407856743718E-2</v>
      </c>
      <c r="N342" s="306">
        <f>+IF($H342=N$2,VLOOKUP($G342,Depreciation!$A$14:$L$18,12,FALSE)/2,IF($H342&lt;N$2,VLOOKUP($G342,Depreciation!$A$14:$L$18,12,FALSE),0))</f>
        <v>3.343407856743718E-2</v>
      </c>
      <c r="O342" s="307">
        <f t="shared" si="46"/>
        <v>0</v>
      </c>
      <c r="P342" s="732">
        <v>0</v>
      </c>
      <c r="Q342" s="733">
        <v>1</v>
      </c>
      <c r="R342" s="734">
        <f t="shared" si="47"/>
        <v>0</v>
      </c>
      <c r="S342" s="735">
        <f t="shared" si="48"/>
        <v>0</v>
      </c>
      <c r="T342" s="735">
        <f t="shared" si="49"/>
        <v>0</v>
      </c>
      <c r="U342" s="735">
        <f t="shared" si="50"/>
        <v>0</v>
      </c>
      <c r="V342" s="736">
        <f t="shared" si="51"/>
        <v>0</v>
      </c>
      <c r="W342" s="735">
        <f t="shared" si="52"/>
        <v>0</v>
      </c>
      <c r="X342" s="737">
        <f t="shared" si="53"/>
        <v>0</v>
      </c>
      <c r="Y342" s="738">
        <f t="shared" si="54"/>
        <v>0</v>
      </c>
      <c r="Z342" s="627"/>
    </row>
    <row r="343" spans="1:26">
      <c r="A343" s="318" t="s">
        <v>1468</v>
      </c>
      <c r="B343" s="318">
        <v>1642</v>
      </c>
      <c r="C343" s="318">
        <v>138</v>
      </c>
      <c r="D343" s="332">
        <v>25</v>
      </c>
      <c r="E343" s="318" t="s">
        <v>1676</v>
      </c>
      <c r="F343" s="337">
        <v>9130743.8789546061</v>
      </c>
      <c r="G343" s="318" t="s">
        <v>4</v>
      </c>
      <c r="H343" s="318">
        <v>2016</v>
      </c>
      <c r="I343" s="306">
        <f>+IF($H343=I$2,VLOOKUP($G343,Depreciation!$A$14:$L$18,7,FALSE)/2,IF($H343&lt;I$2,VLOOKUP($G343,Depreciation!$A$14:$L$18,7,FALSE),0))</f>
        <v>0</v>
      </c>
      <c r="J343" s="306">
        <f>+IF($H343=J$2,VLOOKUP($G343,Depreciation!$A$14:$L$18,8,FALSE)/2,IF($H343&lt;J$2,VLOOKUP($G343,Depreciation!$A$14:$L$18,8,FALSE),0))</f>
        <v>1.671703928371859E-2</v>
      </c>
      <c r="K343" s="306">
        <f>+IF($H343=K$2,VLOOKUP($G343,Depreciation!$A$14:$L$18,9,FALSE)/2,IF($H343&lt;K$2,VLOOKUP($G343,Depreciation!$A$14:$L$18,9,FALSE),0))</f>
        <v>3.343407856743718E-2</v>
      </c>
      <c r="L343" s="306">
        <f>+IF($H343=L$2,VLOOKUP($G343,Depreciation!$A$14:$L$18,10,FALSE)/2,IF($H343&lt;L$2,VLOOKUP($G343,Depreciation!$A$14:$L$18,10,FALSE),0))</f>
        <v>3.343407856743718E-2</v>
      </c>
      <c r="M343" s="306">
        <f>+IF($H343=M$2,VLOOKUP($G343,Depreciation!$A$14:$L$18,11,FALSE)/2,IF($H343&lt;M$2,VLOOKUP($G343,Depreciation!$A$14:$L$18,11,FALSE),0))</f>
        <v>3.343407856743718E-2</v>
      </c>
      <c r="N343" s="306">
        <f>+IF($H343=N$2,VLOOKUP($G343,Depreciation!$A$14:$L$18,12,FALSE)/2,IF($H343&lt;N$2,VLOOKUP($G343,Depreciation!$A$14:$L$18,12,FALSE),0))</f>
        <v>3.343407856743718E-2</v>
      </c>
      <c r="O343" s="307">
        <f t="shared" si="46"/>
        <v>0</v>
      </c>
      <c r="P343" s="732">
        <v>0</v>
      </c>
      <c r="Q343" s="733">
        <v>1</v>
      </c>
      <c r="R343" s="734">
        <f t="shared" si="47"/>
        <v>0</v>
      </c>
      <c r="S343" s="735">
        <f t="shared" si="48"/>
        <v>0</v>
      </c>
      <c r="T343" s="735">
        <f t="shared" si="49"/>
        <v>0</v>
      </c>
      <c r="U343" s="735">
        <f t="shared" si="50"/>
        <v>0</v>
      </c>
      <c r="V343" s="736">
        <f t="shared" si="51"/>
        <v>0</v>
      </c>
      <c r="W343" s="735">
        <f t="shared" si="52"/>
        <v>0</v>
      </c>
      <c r="X343" s="737">
        <f t="shared" si="53"/>
        <v>0</v>
      </c>
      <c r="Y343" s="738">
        <f t="shared" si="54"/>
        <v>0</v>
      </c>
      <c r="Z343" s="627"/>
    </row>
    <row r="344" spans="1:26">
      <c r="A344" s="318" t="s">
        <v>1349</v>
      </c>
      <c r="B344" s="318">
        <v>1655</v>
      </c>
      <c r="C344" s="318">
        <v>500</v>
      </c>
      <c r="D344" s="332">
        <v>500</v>
      </c>
      <c r="E344" s="318" t="s">
        <v>1677</v>
      </c>
      <c r="F344" s="337">
        <v>33890666.715976343</v>
      </c>
      <c r="G344" s="318" t="s">
        <v>4</v>
      </c>
      <c r="H344" s="318">
        <v>2018</v>
      </c>
      <c r="I344" s="306">
        <f>+IF($H344=I$2,VLOOKUP($G344,Depreciation!$A$14:$L$18,7,FALSE)/2,IF($H344&lt;I$2,VLOOKUP($G344,Depreciation!$A$14:$L$18,7,FALSE),0))</f>
        <v>0</v>
      </c>
      <c r="J344" s="306">
        <f>+IF($H344=J$2,VLOOKUP($G344,Depreciation!$A$14:$L$18,8,FALSE)/2,IF($H344&lt;J$2,VLOOKUP($G344,Depreciation!$A$14:$L$18,8,FALSE),0))</f>
        <v>0</v>
      </c>
      <c r="K344" s="306">
        <f>+IF($H344=K$2,VLOOKUP($G344,Depreciation!$A$14:$L$18,9,FALSE)/2,IF($H344&lt;K$2,VLOOKUP($G344,Depreciation!$A$14:$L$18,9,FALSE),0))</f>
        <v>0</v>
      </c>
      <c r="L344" s="306">
        <f>+IF($H344=L$2,VLOOKUP($G344,Depreciation!$A$14:$L$18,10,FALSE)/2,IF($H344&lt;L$2,VLOOKUP($G344,Depreciation!$A$14:$L$18,10,FALSE),0))</f>
        <v>1.671703928371859E-2</v>
      </c>
      <c r="M344" s="306">
        <f>+IF($H344=M$2,VLOOKUP($G344,Depreciation!$A$14:$L$18,11,FALSE)/2,IF($H344&lt;M$2,VLOOKUP($G344,Depreciation!$A$14:$L$18,11,FALSE),0))</f>
        <v>3.343407856743718E-2</v>
      </c>
      <c r="N344" s="306">
        <f>+IF($H344=N$2,VLOOKUP($G344,Depreciation!$A$14:$L$18,12,FALSE)/2,IF($H344&lt;N$2,VLOOKUP($G344,Depreciation!$A$14:$L$18,12,FALSE),0))</f>
        <v>3.343407856743718E-2</v>
      </c>
      <c r="O344" s="307">
        <f t="shared" si="46"/>
        <v>0</v>
      </c>
      <c r="P344" s="732">
        <v>0</v>
      </c>
      <c r="Q344" s="733">
        <v>0</v>
      </c>
      <c r="R344" s="734">
        <f t="shared" si="47"/>
        <v>1</v>
      </c>
      <c r="S344" s="735">
        <f t="shared" si="48"/>
        <v>0</v>
      </c>
      <c r="T344" s="735">
        <f t="shared" si="49"/>
        <v>0</v>
      </c>
      <c r="U344" s="735">
        <f t="shared" si="50"/>
        <v>0</v>
      </c>
      <c r="V344" s="736">
        <f t="shared" si="51"/>
        <v>0</v>
      </c>
      <c r="W344" s="735">
        <f t="shared" si="52"/>
        <v>0</v>
      </c>
      <c r="X344" s="737">
        <f t="shared" si="53"/>
        <v>0</v>
      </c>
      <c r="Y344" s="738">
        <f t="shared" si="54"/>
        <v>0</v>
      </c>
      <c r="Z344" s="627"/>
    </row>
    <row r="345" spans="1:26">
      <c r="A345" s="318" t="s">
        <v>1473</v>
      </c>
      <c r="B345" s="318">
        <v>1670</v>
      </c>
      <c r="C345" s="318">
        <v>138</v>
      </c>
      <c r="D345" s="332">
        <v>25</v>
      </c>
      <c r="E345" s="318" t="s">
        <v>1593</v>
      </c>
      <c r="F345" s="337">
        <v>2865685.0135288215</v>
      </c>
      <c r="G345" s="318" t="s">
        <v>4</v>
      </c>
      <c r="H345" s="318">
        <v>2018</v>
      </c>
      <c r="I345" s="306">
        <f>+IF($H345=I$2,VLOOKUP($G345,Depreciation!$A$14:$L$18,7,FALSE)/2,IF($H345&lt;I$2,VLOOKUP($G345,Depreciation!$A$14:$L$18,7,FALSE),0))</f>
        <v>0</v>
      </c>
      <c r="J345" s="306">
        <f>+IF($H345=J$2,VLOOKUP($G345,Depreciation!$A$14:$L$18,8,FALSE)/2,IF($H345&lt;J$2,VLOOKUP($G345,Depreciation!$A$14:$L$18,8,FALSE),0))</f>
        <v>0</v>
      </c>
      <c r="K345" s="306">
        <f>+IF($H345=K$2,VLOOKUP($G345,Depreciation!$A$14:$L$18,9,FALSE)/2,IF($H345&lt;K$2,VLOOKUP($G345,Depreciation!$A$14:$L$18,9,FALSE),0))</f>
        <v>0</v>
      </c>
      <c r="L345" s="306">
        <f>+IF($H345=L$2,VLOOKUP($G345,Depreciation!$A$14:$L$18,10,FALSE)/2,IF($H345&lt;L$2,VLOOKUP($G345,Depreciation!$A$14:$L$18,10,FALSE),0))</f>
        <v>1.671703928371859E-2</v>
      </c>
      <c r="M345" s="306">
        <f>+IF($H345=M$2,VLOOKUP($G345,Depreciation!$A$14:$L$18,11,FALSE)/2,IF($H345&lt;M$2,VLOOKUP($G345,Depreciation!$A$14:$L$18,11,FALSE),0))</f>
        <v>3.343407856743718E-2</v>
      </c>
      <c r="N345" s="306">
        <f>+IF($H345=N$2,VLOOKUP($G345,Depreciation!$A$14:$L$18,12,FALSE)/2,IF($H345&lt;N$2,VLOOKUP($G345,Depreciation!$A$14:$L$18,12,FALSE),0))</f>
        <v>3.343407856743718E-2</v>
      </c>
      <c r="O345" s="307">
        <f t="shared" si="46"/>
        <v>0</v>
      </c>
      <c r="P345" s="732">
        <v>0</v>
      </c>
      <c r="Q345" s="733">
        <v>1</v>
      </c>
      <c r="R345" s="734">
        <f t="shared" si="47"/>
        <v>0</v>
      </c>
      <c r="S345" s="735">
        <f t="shared" si="48"/>
        <v>0</v>
      </c>
      <c r="T345" s="735">
        <f t="shared" si="49"/>
        <v>0</v>
      </c>
      <c r="U345" s="735">
        <f t="shared" si="50"/>
        <v>0</v>
      </c>
      <c r="V345" s="736">
        <f t="shared" si="51"/>
        <v>0</v>
      </c>
      <c r="W345" s="735">
        <f t="shared" si="52"/>
        <v>0</v>
      </c>
      <c r="X345" s="737">
        <f t="shared" si="53"/>
        <v>0</v>
      </c>
      <c r="Y345" s="738">
        <f t="shared" si="54"/>
        <v>0</v>
      </c>
      <c r="Z345" s="627"/>
    </row>
    <row r="346" spans="1:26">
      <c r="A346" s="318" t="s">
        <v>1474</v>
      </c>
      <c r="B346" s="318">
        <v>1670</v>
      </c>
      <c r="C346" s="318">
        <v>138</v>
      </c>
      <c r="D346" s="332">
        <v>25</v>
      </c>
      <c r="E346" s="318" t="s">
        <v>1594</v>
      </c>
      <c r="F346" s="337">
        <v>17512173.986471187</v>
      </c>
      <c r="G346" s="318" t="s">
        <v>4</v>
      </c>
      <c r="H346" s="318">
        <v>2018</v>
      </c>
      <c r="I346" s="306">
        <f>+IF($H346=I$2,VLOOKUP($G346,Depreciation!$A$14:$L$18,7,FALSE)/2,IF($H346&lt;I$2,VLOOKUP($G346,Depreciation!$A$14:$L$18,7,FALSE),0))</f>
        <v>0</v>
      </c>
      <c r="J346" s="306">
        <f>+IF($H346=J$2,VLOOKUP($G346,Depreciation!$A$14:$L$18,8,FALSE)/2,IF($H346&lt;J$2,VLOOKUP($G346,Depreciation!$A$14:$L$18,8,FALSE),0))</f>
        <v>0</v>
      </c>
      <c r="K346" s="306">
        <f>+IF($H346=K$2,VLOOKUP($G346,Depreciation!$A$14:$L$18,9,FALSE)/2,IF($H346&lt;K$2,VLOOKUP($G346,Depreciation!$A$14:$L$18,9,FALSE),0))</f>
        <v>0</v>
      </c>
      <c r="L346" s="306">
        <f>+IF($H346=L$2,VLOOKUP($G346,Depreciation!$A$14:$L$18,10,FALSE)/2,IF($H346&lt;L$2,VLOOKUP($G346,Depreciation!$A$14:$L$18,10,FALSE),0))</f>
        <v>1.671703928371859E-2</v>
      </c>
      <c r="M346" s="306">
        <f>+IF($H346=M$2,VLOOKUP($G346,Depreciation!$A$14:$L$18,11,FALSE)/2,IF($H346&lt;M$2,VLOOKUP($G346,Depreciation!$A$14:$L$18,11,FALSE),0))</f>
        <v>3.343407856743718E-2</v>
      </c>
      <c r="N346" s="306">
        <f>+IF($H346=N$2,VLOOKUP($G346,Depreciation!$A$14:$L$18,12,FALSE)/2,IF($H346&lt;N$2,VLOOKUP($G346,Depreciation!$A$14:$L$18,12,FALSE),0))</f>
        <v>3.343407856743718E-2</v>
      </c>
      <c r="O346" s="307">
        <f t="shared" si="46"/>
        <v>0</v>
      </c>
      <c r="P346" s="732">
        <v>0</v>
      </c>
      <c r="Q346" s="733">
        <v>1</v>
      </c>
      <c r="R346" s="734">
        <f t="shared" si="47"/>
        <v>0</v>
      </c>
      <c r="S346" s="735">
        <f t="shared" si="48"/>
        <v>0</v>
      </c>
      <c r="T346" s="735">
        <f t="shared" si="49"/>
        <v>0</v>
      </c>
      <c r="U346" s="735">
        <f t="shared" si="50"/>
        <v>0</v>
      </c>
      <c r="V346" s="736">
        <f t="shared" si="51"/>
        <v>0</v>
      </c>
      <c r="W346" s="735">
        <f t="shared" si="52"/>
        <v>0</v>
      </c>
      <c r="X346" s="737">
        <f t="shared" si="53"/>
        <v>0</v>
      </c>
      <c r="Y346" s="738">
        <f t="shared" si="54"/>
        <v>0</v>
      </c>
      <c r="Z346" s="627"/>
    </row>
    <row r="347" spans="1:26">
      <c r="A347" s="318" t="s">
        <v>1333</v>
      </c>
      <c r="B347" s="318">
        <v>1674</v>
      </c>
      <c r="C347" s="318">
        <v>138</v>
      </c>
      <c r="D347" s="332">
        <v>25</v>
      </c>
      <c r="E347" s="318" t="s">
        <v>1553</v>
      </c>
      <c r="F347" s="337">
        <v>9946465.9999999963</v>
      </c>
      <c r="G347" s="318" t="s">
        <v>4</v>
      </c>
      <c r="H347" s="318">
        <v>2018</v>
      </c>
      <c r="I347" s="306">
        <f>+IF($H347=I$2,VLOOKUP($G347,Depreciation!$A$14:$L$18,7,FALSE)/2,IF($H347&lt;I$2,VLOOKUP($G347,Depreciation!$A$14:$L$18,7,FALSE),0))</f>
        <v>0</v>
      </c>
      <c r="J347" s="306">
        <f>+IF($H347=J$2,VLOOKUP($G347,Depreciation!$A$14:$L$18,8,FALSE)/2,IF($H347&lt;J$2,VLOOKUP($G347,Depreciation!$A$14:$L$18,8,FALSE),0))</f>
        <v>0</v>
      </c>
      <c r="K347" s="306">
        <f>+IF($H347=K$2,VLOOKUP($G347,Depreciation!$A$14:$L$18,9,FALSE)/2,IF($H347&lt;K$2,VLOOKUP($G347,Depreciation!$A$14:$L$18,9,FALSE),0))</f>
        <v>0</v>
      </c>
      <c r="L347" s="306">
        <f>+IF($H347=L$2,VLOOKUP($G347,Depreciation!$A$14:$L$18,10,FALSE)/2,IF($H347&lt;L$2,VLOOKUP($G347,Depreciation!$A$14:$L$18,10,FALSE),0))</f>
        <v>1.671703928371859E-2</v>
      </c>
      <c r="M347" s="306">
        <f>+IF($H347=M$2,VLOOKUP($G347,Depreciation!$A$14:$L$18,11,FALSE)/2,IF($H347&lt;M$2,VLOOKUP($G347,Depreciation!$A$14:$L$18,11,FALSE),0))</f>
        <v>3.343407856743718E-2</v>
      </c>
      <c r="N347" s="306">
        <f>+IF($H347=N$2,VLOOKUP($G347,Depreciation!$A$14:$L$18,12,FALSE)/2,IF($H347&lt;N$2,VLOOKUP($G347,Depreciation!$A$14:$L$18,12,FALSE),0))</f>
        <v>3.343407856743718E-2</v>
      </c>
      <c r="O347" s="307">
        <f t="shared" si="46"/>
        <v>0</v>
      </c>
      <c r="P347" s="732">
        <v>0</v>
      </c>
      <c r="Q347" s="733">
        <v>1</v>
      </c>
      <c r="R347" s="734">
        <f t="shared" si="47"/>
        <v>0</v>
      </c>
      <c r="S347" s="735">
        <f t="shared" si="48"/>
        <v>0</v>
      </c>
      <c r="T347" s="735">
        <f t="shared" si="49"/>
        <v>0</v>
      </c>
      <c r="U347" s="735">
        <f t="shared" si="50"/>
        <v>0</v>
      </c>
      <c r="V347" s="736">
        <f t="shared" si="51"/>
        <v>0</v>
      </c>
      <c r="W347" s="735">
        <f t="shared" si="52"/>
        <v>0</v>
      </c>
      <c r="X347" s="737">
        <f t="shared" si="53"/>
        <v>0</v>
      </c>
      <c r="Y347" s="738">
        <f t="shared" si="54"/>
        <v>0</v>
      </c>
      <c r="Z347" s="627"/>
    </row>
    <row r="348" spans="1:26">
      <c r="A348" s="318" t="s">
        <v>1485</v>
      </c>
      <c r="B348" s="318">
        <v>1679</v>
      </c>
      <c r="C348" s="318">
        <v>138</v>
      </c>
      <c r="D348" s="332">
        <v>25</v>
      </c>
      <c r="E348" s="318" t="s">
        <v>1678</v>
      </c>
      <c r="F348" s="337">
        <v>2923999.9999999986</v>
      </c>
      <c r="G348" s="318" t="s">
        <v>4</v>
      </c>
      <c r="H348" s="318">
        <v>2017</v>
      </c>
      <c r="I348" s="306">
        <f>+IF($H348=I$2,VLOOKUP($G348,Depreciation!$A$14:$L$18,7,FALSE)/2,IF($H348&lt;I$2,VLOOKUP($G348,Depreciation!$A$14:$L$18,7,FALSE),0))</f>
        <v>0</v>
      </c>
      <c r="J348" s="306">
        <f>+IF($H348=J$2,VLOOKUP($G348,Depreciation!$A$14:$L$18,8,FALSE)/2,IF($H348&lt;J$2,VLOOKUP($G348,Depreciation!$A$14:$L$18,8,FALSE),0))</f>
        <v>0</v>
      </c>
      <c r="K348" s="306">
        <f>+IF($H348=K$2,VLOOKUP($G348,Depreciation!$A$14:$L$18,9,FALSE)/2,IF($H348&lt;K$2,VLOOKUP($G348,Depreciation!$A$14:$L$18,9,FALSE),0))</f>
        <v>1.671703928371859E-2</v>
      </c>
      <c r="L348" s="306">
        <f>+IF($H348=L$2,VLOOKUP($G348,Depreciation!$A$14:$L$18,10,FALSE)/2,IF($H348&lt;L$2,VLOOKUP($G348,Depreciation!$A$14:$L$18,10,FALSE),0))</f>
        <v>3.343407856743718E-2</v>
      </c>
      <c r="M348" s="306">
        <f>+IF($H348=M$2,VLOOKUP($G348,Depreciation!$A$14:$L$18,11,FALSE)/2,IF($H348&lt;M$2,VLOOKUP($G348,Depreciation!$A$14:$L$18,11,FALSE),0))</f>
        <v>3.343407856743718E-2</v>
      </c>
      <c r="N348" s="306">
        <f>+IF($H348=N$2,VLOOKUP($G348,Depreciation!$A$14:$L$18,12,FALSE)/2,IF($H348&lt;N$2,VLOOKUP($G348,Depreciation!$A$14:$L$18,12,FALSE),0))</f>
        <v>3.343407856743718E-2</v>
      </c>
      <c r="O348" s="307">
        <f t="shared" si="46"/>
        <v>0</v>
      </c>
      <c r="P348" s="732">
        <v>0</v>
      </c>
      <c r="Q348" s="733">
        <v>1</v>
      </c>
      <c r="R348" s="734">
        <f t="shared" si="47"/>
        <v>0</v>
      </c>
      <c r="S348" s="735">
        <f t="shared" si="48"/>
        <v>0</v>
      </c>
      <c r="T348" s="735">
        <f t="shared" si="49"/>
        <v>0</v>
      </c>
      <c r="U348" s="735">
        <f t="shared" si="50"/>
        <v>0</v>
      </c>
      <c r="V348" s="736">
        <f t="shared" si="51"/>
        <v>0</v>
      </c>
      <c r="W348" s="735">
        <f t="shared" si="52"/>
        <v>0</v>
      </c>
      <c r="X348" s="737">
        <f t="shared" si="53"/>
        <v>0</v>
      </c>
      <c r="Y348" s="738">
        <f t="shared" si="54"/>
        <v>0</v>
      </c>
      <c r="Z348" s="627"/>
    </row>
    <row r="349" spans="1:26">
      <c r="A349" s="318" t="s">
        <v>1521</v>
      </c>
      <c r="B349" s="318">
        <v>1681</v>
      </c>
      <c r="C349" s="318">
        <v>138</v>
      </c>
      <c r="D349" s="332">
        <v>25</v>
      </c>
      <c r="E349" s="318" t="s">
        <v>1571</v>
      </c>
      <c r="F349" s="337">
        <v>5565999.9999999972</v>
      </c>
      <c r="G349" s="318" t="s">
        <v>4</v>
      </c>
      <c r="H349" s="318">
        <v>2017</v>
      </c>
      <c r="I349" s="306">
        <f>+IF($H349=I$2,VLOOKUP($G349,Depreciation!$A$14:$L$18,7,FALSE)/2,IF($H349&lt;I$2,VLOOKUP($G349,Depreciation!$A$14:$L$18,7,FALSE),0))</f>
        <v>0</v>
      </c>
      <c r="J349" s="306">
        <f>+IF($H349=J$2,VLOOKUP($G349,Depreciation!$A$14:$L$18,8,FALSE)/2,IF($H349&lt;J$2,VLOOKUP($G349,Depreciation!$A$14:$L$18,8,FALSE),0))</f>
        <v>0</v>
      </c>
      <c r="K349" s="306">
        <f>+IF($H349=K$2,VLOOKUP($G349,Depreciation!$A$14:$L$18,9,FALSE)/2,IF($H349&lt;K$2,VLOOKUP($G349,Depreciation!$A$14:$L$18,9,FALSE),0))</f>
        <v>1.671703928371859E-2</v>
      </c>
      <c r="L349" s="306">
        <f>+IF($H349=L$2,VLOOKUP($G349,Depreciation!$A$14:$L$18,10,FALSE)/2,IF($H349&lt;L$2,VLOOKUP($G349,Depreciation!$A$14:$L$18,10,FALSE),0))</f>
        <v>3.343407856743718E-2</v>
      </c>
      <c r="M349" s="306">
        <f>+IF($H349=M$2,VLOOKUP($G349,Depreciation!$A$14:$L$18,11,FALSE)/2,IF($H349&lt;M$2,VLOOKUP($G349,Depreciation!$A$14:$L$18,11,FALSE),0))</f>
        <v>3.343407856743718E-2</v>
      </c>
      <c r="N349" s="306">
        <f>+IF($H349=N$2,VLOOKUP($G349,Depreciation!$A$14:$L$18,12,FALSE)/2,IF($H349&lt;N$2,VLOOKUP($G349,Depreciation!$A$14:$L$18,12,FALSE),0))</f>
        <v>3.343407856743718E-2</v>
      </c>
      <c r="O349" s="307">
        <f t="shared" si="46"/>
        <v>0</v>
      </c>
      <c r="P349" s="732">
        <v>0</v>
      </c>
      <c r="Q349" s="733">
        <v>1</v>
      </c>
      <c r="R349" s="734">
        <f t="shared" si="47"/>
        <v>0</v>
      </c>
      <c r="S349" s="735">
        <f t="shared" si="48"/>
        <v>0</v>
      </c>
      <c r="T349" s="735">
        <f t="shared" si="49"/>
        <v>0</v>
      </c>
      <c r="U349" s="735">
        <f t="shared" si="50"/>
        <v>0</v>
      </c>
      <c r="V349" s="736">
        <f t="shared" si="51"/>
        <v>0</v>
      </c>
      <c r="W349" s="735">
        <f t="shared" si="52"/>
        <v>0</v>
      </c>
      <c r="X349" s="737">
        <f t="shared" si="53"/>
        <v>0</v>
      </c>
      <c r="Y349" s="738">
        <f t="shared" si="54"/>
        <v>0</v>
      </c>
      <c r="Z349" s="627"/>
    </row>
    <row r="350" spans="1:26">
      <c r="A350" s="318" t="s">
        <v>1522</v>
      </c>
      <c r="B350" s="318">
        <v>1722</v>
      </c>
      <c r="C350" s="318">
        <v>144</v>
      </c>
      <c r="D350" s="332">
        <v>0</v>
      </c>
      <c r="E350" s="318"/>
      <c r="F350" s="337">
        <v>4905391.5342857111</v>
      </c>
      <c r="G350" s="318" t="s">
        <v>66</v>
      </c>
      <c r="H350" s="318">
        <v>2017</v>
      </c>
      <c r="I350" s="306">
        <f>+IF($H350=I$2,VLOOKUP($G350,Depreciation!$A$14:$L$18,7,FALSE)/2,IF($H350&lt;I$2,VLOOKUP($G350,Depreciation!$A$14:$L$18,7,FALSE),0))</f>
        <v>0</v>
      </c>
      <c r="J350" s="306">
        <f>+IF($H350=J$2,VLOOKUP($G350,Depreciation!$A$14:$L$18,8,FALSE)/2,IF($H350&lt;J$2,VLOOKUP($G350,Depreciation!$A$14:$L$18,8,FALSE),0))</f>
        <v>0</v>
      </c>
      <c r="K350" s="306">
        <f>+IF($H350=K$2,VLOOKUP($G350,Depreciation!$A$14:$L$18,9,FALSE)/2,IF($H350&lt;K$2,VLOOKUP($G350,Depreciation!$A$14:$L$18,9,FALSE),0))</f>
        <v>1.2175768213899416E-2</v>
      </c>
      <c r="L350" s="306">
        <f>+IF($H350=L$2,VLOOKUP($G350,Depreciation!$A$14:$L$18,10,FALSE)/2,IF($H350&lt;L$2,VLOOKUP($G350,Depreciation!$A$14:$L$18,10,FALSE),0))</f>
        <v>2.4351536427798831E-2</v>
      </c>
      <c r="M350" s="306">
        <f>+IF($H350=M$2,VLOOKUP($G350,Depreciation!$A$14:$L$18,11,FALSE)/2,IF($H350&lt;M$2,VLOOKUP($G350,Depreciation!$A$14:$L$18,11,FALSE),0))</f>
        <v>2.4351536427798831E-2</v>
      </c>
      <c r="N350" s="306">
        <f>+IF($H350=N$2,VLOOKUP($G350,Depreciation!$A$14:$L$18,12,FALSE)/2,IF($H350&lt;N$2,VLOOKUP($G350,Depreciation!$A$14:$L$18,12,FALSE),0))</f>
        <v>2.4351536427798831E-2</v>
      </c>
      <c r="O350" s="307">
        <f t="shared" si="46"/>
        <v>0</v>
      </c>
      <c r="P350" s="732">
        <v>0</v>
      </c>
      <c r="Q350" s="733">
        <v>0</v>
      </c>
      <c r="R350" s="734">
        <f t="shared" si="47"/>
        <v>1</v>
      </c>
      <c r="S350" s="735">
        <f t="shared" si="48"/>
        <v>0</v>
      </c>
      <c r="T350" s="735">
        <f t="shared" si="49"/>
        <v>0</v>
      </c>
      <c r="U350" s="735">
        <f t="shared" si="50"/>
        <v>0</v>
      </c>
      <c r="V350" s="736">
        <f t="shared" si="51"/>
        <v>0</v>
      </c>
      <c r="W350" s="735">
        <f t="shared" si="52"/>
        <v>0</v>
      </c>
      <c r="X350" s="737">
        <f t="shared" si="53"/>
        <v>0</v>
      </c>
      <c r="Y350" s="738">
        <f t="shared" si="54"/>
        <v>0</v>
      </c>
      <c r="Z350" s="627"/>
    </row>
    <row r="351" spans="1:26">
      <c r="A351" s="318" t="s">
        <v>1523</v>
      </c>
      <c r="B351" s="318">
        <v>1722</v>
      </c>
      <c r="C351" s="318">
        <v>144</v>
      </c>
      <c r="D351" s="332">
        <v>0</v>
      </c>
      <c r="E351" s="318"/>
      <c r="F351" s="337">
        <v>12202149.6335527</v>
      </c>
      <c r="G351" s="318" t="s">
        <v>66</v>
      </c>
      <c r="H351" s="318">
        <v>2017</v>
      </c>
      <c r="I351" s="306">
        <f>+IF($H351=I$2,VLOOKUP($G351,Depreciation!$A$14:$L$18,7,FALSE)/2,IF($H351&lt;I$2,VLOOKUP($G351,Depreciation!$A$14:$L$18,7,FALSE),0))</f>
        <v>0</v>
      </c>
      <c r="J351" s="306">
        <f>+IF($H351=J$2,VLOOKUP($G351,Depreciation!$A$14:$L$18,8,FALSE)/2,IF($H351&lt;J$2,VLOOKUP($G351,Depreciation!$A$14:$L$18,8,FALSE),0))</f>
        <v>0</v>
      </c>
      <c r="K351" s="306">
        <f>+IF($H351=K$2,VLOOKUP($G351,Depreciation!$A$14:$L$18,9,FALSE)/2,IF($H351&lt;K$2,VLOOKUP($G351,Depreciation!$A$14:$L$18,9,FALSE),0))</f>
        <v>1.2175768213899416E-2</v>
      </c>
      <c r="L351" s="306">
        <f>+IF($H351=L$2,VLOOKUP($G351,Depreciation!$A$14:$L$18,10,FALSE)/2,IF($H351&lt;L$2,VLOOKUP($G351,Depreciation!$A$14:$L$18,10,FALSE),0))</f>
        <v>2.4351536427798831E-2</v>
      </c>
      <c r="M351" s="306">
        <f>+IF($H351=M$2,VLOOKUP($G351,Depreciation!$A$14:$L$18,11,FALSE)/2,IF($H351&lt;M$2,VLOOKUP($G351,Depreciation!$A$14:$L$18,11,FALSE),0))</f>
        <v>2.4351536427798831E-2</v>
      </c>
      <c r="N351" s="306">
        <f>+IF($H351=N$2,VLOOKUP($G351,Depreciation!$A$14:$L$18,12,FALSE)/2,IF($H351&lt;N$2,VLOOKUP($G351,Depreciation!$A$14:$L$18,12,FALSE),0))</f>
        <v>2.4351536427798831E-2</v>
      </c>
      <c r="O351" s="307">
        <f t="shared" si="46"/>
        <v>0</v>
      </c>
      <c r="P351" s="732">
        <v>0</v>
      </c>
      <c r="Q351" s="733">
        <v>0</v>
      </c>
      <c r="R351" s="734">
        <f t="shared" si="47"/>
        <v>1</v>
      </c>
      <c r="S351" s="735">
        <f t="shared" si="48"/>
        <v>0</v>
      </c>
      <c r="T351" s="735">
        <f t="shared" si="49"/>
        <v>0</v>
      </c>
      <c r="U351" s="735">
        <f t="shared" si="50"/>
        <v>0</v>
      </c>
      <c r="V351" s="736">
        <f t="shared" si="51"/>
        <v>0</v>
      </c>
      <c r="W351" s="735">
        <f t="shared" si="52"/>
        <v>0</v>
      </c>
      <c r="X351" s="737">
        <f t="shared" si="53"/>
        <v>0</v>
      </c>
      <c r="Y351" s="738">
        <f t="shared" si="54"/>
        <v>0</v>
      </c>
      <c r="Z351" s="627"/>
    </row>
    <row r="352" spans="1:26">
      <c r="A352" s="318" t="s">
        <v>2001</v>
      </c>
      <c r="B352" s="318">
        <v>1456</v>
      </c>
      <c r="C352" s="318">
        <v>138</v>
      </c>
      <c r="D352" s="318">
        <v>25</v>
      </c>
      <c r="E352" s="318" t="s">
        <v>1532</v>
      </c>
      <c r="F352" s="337">
        <f>(144480966-41456951-39354640)*(39354640/(41456951+39354640))+39354640</f>
        <v>70361149.105234668</v>
      </c>
      <c r="G352" s="318" t="s">
        <v>64</v>
      </c>
      <c r="H352" s="318">
        <v>2020</v>
      </c>
      <c r="I352" s="306">
        <f>+IF($H352=I$2,VLOOKUP($G352,Depreciation!$A$14:$L$18,7,FALSE)/2,IF($H352&lt;I$2,VLOOKUP($G352,Depreciation!$A$14:$L$18,7,FALSE),0))</f>
        <v>0</v>
      </c>
      <c r="J352" s="306">
        <f>+IF($H352=J$2,VLOOKUP($G352,Depreciation!$A$14:$L$18,8,FALSE)/2,IF($H352&lt;J$2,VLOOKUP($G352,Depreciation!$A$14:$L$18,8,FALSE),0))</f>
        <v>0</v>
      </c>
      <c r="K352" s="306">
        <f>+IF($H352=K$2,VLOOKUP($G352,Depreciation!$A$14:$L$18,9,FALSE)/2,IF($H352&lt;K$2,VLOOKUP($G352,Depreciation!$A$14:$L$18,9,FALSE),0))</f>
        <v>0</v>
      </c>
      <c r="L352" s="306">
        <f>+IF($H352=L$2,VLOOKUP($G352,Depreciation!$A$14:$L$18,10,FALSE)/2,IF($H352&lt;L$2,VLOOKUP($G352,Depreciation!$A$14:$L$18,10,FALSE),0))</f>
        <v>0</v>
      </c>
      <c r="M352" s="306">
        <f>+IF($H352=M$2,VLOOKUP($G352,Depreciation!$A$14:$L$18,11,FALSE)/2,IF($H352&lt;M$2,VLOOKUP($G352,Depreciation!$A$14:$L$18,11,FALSE),0))</f>
        <v>0</v>
      </c>
      <c r="N352" s="306">
        <f>+IF($H352=N$2,VLOOKUP($G352,Depreciation!$A$14:$L$18,12,FALSE)/2,IF($H352&lt;N$2,VLOOKUP($G352,Depreciation!$A$14:$L$18,12,FALSE),0))</f>
        <v>1.3928409269726289E-2</v>
      </c>
      <c r="O352" s="307">
        <f t="shared" si="46"/>
        <v>0</v>
      </c>
      <c r="P352" s="732">
        <v>0</v>
      </c>
      <c r="Q352" s="733">
        <v>1</v>
      </c>
      <c r="R352" s="734">
        <f t="shared" si="47"/>
        <v>0</v>
      </c>
      <c r="S352" s="735">
        <f t="shared" si="48"/>
        <v>0</v>
      </c>
      <c r="T352" s="735">
        <f t="shared" si="49"/>
        <v>0</v>
      </c>
      <c r="U352" s="735">
        <f t="shared" si="50"/>
        <v>0</v>
      </c>
      <c r="V352" s="736">
        <f t="shared" si="51"/>
        <v>0</v>
      </c>
      <c r="W352" s="735">
        <f t="shared" si="52"/>
        <v>0</v>
      </c>
      <c r="X352" s="737">
        <f t="shared" si="53"/>
        <v>0</v>
      </c>
      <c r="Y352" s="738">
        <f t="shared" si="54"/>
        <v>0</v>
      </c>
    </row>
    <row r="353" spans="1:25">
      <c r="A353" s="318" t="s">
        <v>2014</v>
      </c>
      <c r="B353" s="318">
        <v>1781</v>
      </c>
      <c r="C353" s="318">
        <v>240</v>
      </c>
      <c r="D353" s="318">
        <v>144</v>
      </c>
      <c r="E353" s="318"/>
      <c r="F353" s="337">
        <v>25938027.308870837</v>
      </c>
      <c r="G353" s="318" t="s">
        <v>4</v>
      </c>
      <c r="H353" s="318">
        <v>2021</v>
      </c>
      <c r="I353" s="306">
        <f>+IF($H353=I$2,VLOOKUP($G353,Depreciation!$A$14:$L$18,7,FALSE)/2,IF($H353&lt;I$2,VLOOKUP($G353,Depreciation!$A$14:$L$18,7,FALSE),0))</f>
        <v>0</v>
      </c>
      <c r="J353" s="306">
        <f>+IF($H353=J$2,VLOOKUP($G353,Depreciation!$A$14:$L$18,8,FALSE)/2,IF($H353&lt;J$2,VLOOKUP($G353,Depreciation!$A$14:$L$18,8,FALSE),0))</f>
        <v>0</v>
      </c>
      <c r="K353" s="306">
        <f>+IF($H353=K$2,VLOOKUP($G353,Depreciation!$A$14:$L$18,9,FALSE)/2,IF($H353&lt;K$2,VLOOKUP($G353,Depreciation!$A$14:$L$18,9,FALSE),0))</f>
        <v>0</v>
      </c>
      <c r="L353" s="306">
        <f>+IF($H353=L$2,VLOOKUP($G353,Depreciation!$A$14:$L$18,10,FALSE)/2,IF($H353&lt;L$2,VLOOKUP($G353,Depreciation!$A$14:$L$18,10,FALSE),0))</f>
        <v>0</v>
      </c>
      <c r="M353" s="306">
        <f>+IF($H353=M$2,VLOOKUP($G353,Depreciation!$A$14:$L$18,11,FALSE)/2,IF($H353&lt;M$2,VLOOKUP($G353,Depreciation!$A$14:$L$18,11,FALSE),0))</f>
        <v>0</v>
      </c>
      <c r="N353" s="306">
        <f>+IF($H353=N$2,VLOOKUP($G353,Depreciation!$A$14:$L$18,12,FALSE)/2,IF($H353&lt;N$2,VLOOKUP($G353,Depreciation!$A$14:$L$18,12,FALSE),0))</f>
        <v>0</v>
      </c>
      <c r="O353" s="307">
        <f t="shared" si="46"/>
        <v>0</v>
      </c>
      <c r="P353" s="732">
        <v>0</v>
      </c>
      <c r="Q353" s="733">
        <v>0</v>
      </c>
      <c r="R353" s="734">
        <f t="shared" si="47"/>
        <v>1</v>
      </c>
      <c r="S353" s="735">
        <f t="shared" si="48"/>
        <v>0</v>
      </c>
      <c r="T353" s="735">
        <f t="shared" si="49"/>
        <v>0</v>
      </c>
      <c r="U353" s="735">
        <f t="shared" si="50"/>
        <v>0</v>
      </c>
      <c r="V353" s="736">
        <f t="shared" si="51"/>
        <v>0</v>
      </c>
      <c r="W353" s="735">
        <f t="shared" si="52"/>
        <v>0</v>
      </c>
      <c r="X353" s="737">
        <f t="shared" si="53"/>
        <v>0</v>
      </c>
      <c r="Y353" s="738">
        <f t="shared" si="54"/>
        <v>0</v>
      </c>
    </row>
    <row r="354" spans="1:25">
      <c r="A354" s="318" t="s">
        <v>2014</v>
      </c>
      <c r="B354" s="318">
        <v>1781</v>
      </c>
      <c r="C354" s="318">
        <v>240</v>
      </c>
      <c r="D354" s="318">
        <v>144</v>
      </c>
      <c r="E354" s="318"/>
      <c r="F354" s="337">
        <v>22116340.596381165</v>
      </c>
      <c r="G354" s="318" t="s">
        <v>66</v>
      </c>
      <c r="H354" s="318">
        <v>2021</v>
      </c>
      <c r="I354" s="306">
        <f>+IF($H354=I$2,VLOOKUP($G354,Depreciation!$A$14:$L$18,7,FALSE)/2,IF($H354&lt;I$2,VLOOKUP($G354,Depreciation!$A$14:$L$18,7,FALSE),0))</f>
        <v>0</v>
      </c>
      <c r="J354" s="306">
        <f>+IF($H354=J$2,VLOOKUP($G354,Depreciation!$A$14:$L$18,8,FALSE)/2,IF($H354&lt;J$2,VLOOKUP($G354,Depreciation!$A$14:$L$18,8,FALSE),0))</f>
        <v>0</v>
      </c>
      <c r="K354" s="306">
        <f>+IF($H354=K$2,VLOOKUP($G354,Depreciation!$A$14:$L$18,9,FALSE)/2,IF($H354&lt;K$2,VLOOKUP($G354,Depreciation!$A$14:$L$18,9,FALSE),0))</f>
        <v>0</v>
      </c>
      <c r="L354" s="306">
        <f>+IF($H354=L$2,VLOOKUP($G354,Depreciation!$A$14:$L$18,10,FALSE)/2,IF($H354&lt;L$2,VLOOKUP($G354,Depreciation!$A$14:$L$18,10,FALSE),0))</f>
        <v>0</v>
      </c>
      <c r="M354" s="306">
        <f>+IF($H354=M$2,VLOOKUP($G354,Depreciation!$A$14:$L$18,11,FALSE)/2,IF($H354&lt;M$2,VLOOKUP($G354,Depreciation!$A$14:$L$18,11,FALSE),0))</f>
        <v>0</v>
      </c>
      <c r="N354" s="306">
        <f>+IF($H354=N$2,VLOOKUP($G354,Depreciation!$A$14:$L$18,12,FALSE)/2,IF($H354&lt;N$2,VLOOKUP($G354,Depreciation!$A$14:$L$18,12,FALSE),0))</f>
        <v>0</v>
      </c>
      <c r="O354" s="307">
        <f t="shared" si="46"/>
        <v>0</v>
      </c>
      <c r="P354" s="732">
        <v>0</v>
      </c>
      <c r="Q354" s="733">
        <v>0</v>
      </c>
      <c r="R354" s="734">
        <f t="shared" si="47"/>
        <v>1</v>
      </c>
      <c r="S354" s="735">
        <f t="shared" si="48"/>
        <v>0</v>
      </c>
      <c r="T354" s="735">
        <f t="shared" si="49"/>
        <v>0</v>
      </c>
      <c r="U354" s="735">
        <f t="shared" si="50"/>
        <v>0</v>
      </c>
      <c r="V354" s="736">
        <f t="shared" si="51"/>
        <v>0</v>
      </c>
      <c r="W354" s="735">
        <f t="shared" si="52"/>
        <v>0</v>
      </c>
      <c r="X354" s="737">
        <f t="shared" si="53"/>
        <v>0</v>
      </c>
      <c r="Y354" s="738">
        <f t="shared" si="54"/>
        <v>0</v>
      </c>
    </row>
    <row r="355" spans="1:25">
      <c r="P355" s="627"/>
      <c r="Q355" s="627"/>
      <c r="R355" s="627"/>
      <c r="S355" s="627"/>
      <c r="T355" s="627"/>
      <c r="U355" s="627"/>
      <c r="V355" s="627"/>
      <c r="W355" s="627"/>
      <c r="X355" s="627"/>
      <c r="Y355" s="627"/>
    </row>
    <row r="356" spans="1:25">
      <c r="F356" s="599">
        <f>SUM(F3:F355)</f>
        <v>3497345536.4569278</v>
      </c>
      <c r="O356" s="599">
        <f>SUM(O3:O355)</f>
        <v>1980667562.0555449</v>
      </c>
      <c r="P356" s="599"/>
      <c r="Q356" s="599"/>
      <c r="R356" s="599"/>
      <c r="S356" s="599">
        <f>SUM(S3:S355)</f>
        <v>27971039.806278095</v>
      </c>
      <c r="T356" s="599">
        <f>SUM(T3:T355)</f>
        <v>244676591.68357643</v>
      </c>
      <c r="U356" s="599">
        <f>SUM(U3:U355)</f>
        <v>1708019930.5656905</v>
      </c>
      <c r="V356" s="599">
        <f>SUM(V3:V355)</f>
        <v>76418785.673173755</v>
      </c>
      <c r="W356" s="599">
        <f t="shared" ref="W356:Y356" si="55">SUM(W3:W355)</f>
        <v>1447293354.5241923</v>
      </c>
      <c r="X356" s="599">
        <f t="shared" si="55"/>
        <v>193541839.22159982</v>
      </c>
      <c r="Y356" s="599">
        <f t="shared" si="55"/>
        <v>263413582.63657933</v>
      </c>
    </row>
    <row r="357" spans="1:25">
      <c r="F357" s="367">
        <f>SUMIF(H3:H355,"&lt;=2015",F3:F355)</f>
        <v>2011724513.1998274</v>
      </c>
      <c r="O357" s="600"/>
      <c r="P357" s="637"/>
      <c r="Q357" s="637"/>
      <c r="R357" s="637"/>
      <c r="S357" s="637"/>
      <c r="T357" s="637"/>
      <c r="U357" s="637"/>
      <c r="V357" s="637"/>
      <c r="W357" s="637"/>
      <c r="X357" s="637"/>
      <c r="Y357" s="637"/>
    </row>
    <row r="358" spans="1:25">
      <c r="F358" s="339"/>
      <c r="O358" s="600"/>
      <c r="P358" s="637"/>
      <c r="Q358" s="637"/>
      <c r="R358" s="637"/>
      <c r="S358" s="637"/>
      <c r="T358" s="637"/>
      <c r="U358" s="637"/>
      <c r="V358" s="753">
        <f>SUM(S356:U356)-V356</f>
        <v>1904248776.3823714</v>
      </c>
      <c r="W358" s="637"/>
      <c r="X358" s="637"/>
      <c r="Y358" s="753">
        <f>SUM(W356:Y356)</f>
        <v>1904248776.3823714</v>
      </c>
    </row>
    <row r="359" spans="1:25">
      <c r="P359" s="627"/>
      <c r="Q359" s="627"/>
      <c r="R359" s="627"/>
      <c r="S359" s="627"/>
      <c r="T359" s="627"/>
      <c r="U359" s="627"/>
      <c r="V359" s="627"/>
      <c r="W359" s="627"/>
      <c r="X359" s="627"/>
      <c r="Y359" s="627"/>
    </row>
    <row r="360" spans="1:25">
      <c r="P360" s="627"/>
      <c r="Q360" s="627"/>
      <c r="R360" s="627"/>
      <c r="S360" s="627"/>
      <c r="T360" s="627"/>
      <c r="U360" s="627"/>
      <c r="V360" s="627"/>
      <c r="W360" s="627"/>
      <c r="X360" s="627"/>
      <c r="Y360" s="627"/>
    </row>
    <row r="361" spans="1:25">
      <c r="P361" s="627"/>
      <c r="Q361" s="627"/>
      <c r="R361" s="627"/>
      <c r="S361" s="627"/>
      <c r="T361" s="627"/>
      <c r="U361" s="627"/>
      <c r="V361" s="627"/>
      <c r="W361" s="627"/>
      <c r="X361" s="627"/>
      <c r="Y361" s="627"/>
    </row>
    <row r="362" spans="1:25">
      <c r="P362" s="627"/>
      <c r="Q362" s="627"/>
      <c r="R362" s="627"/>
      <c r="S362" s="627"/>
      <c r="T362" s="627"/>
      <c r="U362" s="627"/>
      <c r="V362" s="627"/>
      <c r="W362" s="627"/>
      <c r="X362" s="627"/>
      <c r="Y362" s="627"/>
    </row>
    <row r="363" spans="1:25">
      <c r="P363" s="627"/>
      <c r="Q363" s="627"/>
      <c r="R363" s="627"/>
      <c r="S363" s="627"/>
      <c r="T363" s="627"/>
      <c r="U363" s="627"/>
      <c r="V363" s="627"/>
      <c r="W363" s="627"/>
      <c r="X363" s="627"/>
      <c r="Y363" s="627"/>
    </row>
    <row r="364" spans="1:25">
      <c r="P364" s="627"/>
      <c r="Q364" s="627"/>
      <c r="R364" s="627"/>
      <c r="S364" s="627"/>
      <c r="T364" s="627"/>
      <c r="U364" s="627"/>
      <c r="V364" s="627"/>
      <c r="W364" s="627"/>
      <c r="X364" s="627"/>
      <c r="Y364" s="627"/>
    </row>
    <row r="365" spans="1:25">
      <c r="P365" s="627"/>
      <c r="Q365" s="627"/>
      <c r="R365" s="627"/>
      <c r="S365" s="627"/>
      <c r="T365" s="627"/>
      <c r="U365" s="627"/>
      <c r="V365" s="627"/>
      <c r="W365" s="627"/>
      <c r="X365" s="627"/>
      <c r="Y365" s="627"/>
    </row>
  </sheetData>
  <autoFilter ref="A2:Y354"/>
  <mergeCells count="7">
    <mergeCell ref="AA8:AD8"/>
    <mergeCell ref="A1:F1"/>
    <mergeCell ref="G1:O1"/>
    <mergeCell ref="AA1:AD1"/>
    <mergeCell ref="P1:R1"/>
    <mergeCell ref="S1:U1"/>
    <mergeCell ref="W1:Y1"/>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70C0"/>
  </sheetPr>
  <dimension ref="A1:AD387"/>
  <sheetViews>
    <sheetView showGridLines="0" zoomScale="70" zoomScaleNormal="70" workbookViewId="0">
      <pane ySplit="2" topLeftCell="A3" activePane="bottomLeft" state="frozen"/>
      <selection activeCell="O24" sqref="A1:XFD1048576"/>
      <selection pane="bottomLeft" activeCell="Y356" sqref="A1:Y356"/>
    </sheetView>
  </sheetViews>
  <sheetFormatPr defaultColWidth="9.109375" defaultRowHeight="13.8"/>
  <cols>
    <col min="1" max="1" width="43.88671875" style="286" customWidth="1"/>
    <col min="2" max="2" width="22.109375" style="286" bestFit="1" customWidth="1"/>
    <col min="3" max="3" width="20.33203125" style="286" bestFit="1" customWidth="1"/>
    <col min="4" max="4" width="25" style="286" bestFit="1" customWidth="1"/>
    <col min="5" max="5" width="17" style="286" bestFit="1" customWidth="1"/>
    <col min="6" max="6" width="16.5546875" style="286" bestFit="1" customWidth="1"/>
    <col min="7" max="7" width="9.109375" style="286"/>
    <col min="8" max="8" width="19.109375" style="286" customWidth="1"/>
    <col min="9" max="9" width="19" style="286" customWidth="1"/>
    <col min="10" max="10" width="21.44140625" style="286" customWidth="1"/>
    <col min="11" max="14" width="17.6640625" style="286" customWidth="1"/>
    <col min="15" max="15" width="25" style="286" bestFit="1" customWidth="1"/>
    <col min="16" max="16" width="19.5546875" style="4" customWidth="1"/>
    <col min="17" max="17" width="16.44140625" style="4" customWidth="1"/>
    <col min="18" max="18" width="12.109375" style="4" customWidth="1"/>
    <col min="19" max="19" width="15.6640625" style="4" bestFit="1" customWidth="1"/>
    <col min="20" max="20" width="22.44140625" style="4" customWidth="1"/>
    <col min="21" max="21" width="16.109375" style="4" bestFit="1" customWidth="1"/>
    <col min="22" max="22" width="22.33203125" style="4" customWidth="1"/>
    <col min="23" max="23" width="17.88671875" style="4" bestFit="1" customWidth="1"/>
    <col min="24" max="24" width="15.33203125" style="4" bestFit="1" customWidth="1"/>
    <col min="25" max="25" width="16.109375" style="4" bestFit="1" customWidth="1"/>
    <col min="26" max="26" width="19.44140625" style="286" customWidth="1"/>
    <col min="27" max="27" width="29.44140625" style="286" bestFit="1" customWidth="1"/>
    <col min="28" max="28" width="20.33203125" style="286" bestFit="1" customWidth="1"/>
    <col min="29" max="29" width="18.6640625" style="286" bestFit="1" customWidth="1"/>
    <col min="30" max="30" width="24" style="286" bestFit="1" customWidth="1"/>
    <col min="31" max="16384" width="9.109375" style="286"/>
  </cols>
  <sheetData>
    <row r="1" spans="1:30" ht="14.4" thickBot="1">
      <c r="A1" s="1015" t="s">
        <v>2066</v>
      </c>
      <c r="B1" s="1016"/>
      <c r="C1" s="1016"/>
      <c r="D1" s="1016"/>
      <c r="E1" s="1016"/>
      <c r="F1" s="1017"/>
      <c r="G1" s="1018" t="s">
        <v>51</v>
      </c>
      <c r="H1" s="1019"/>
      <c r="I1" s="1019"/>
      <c r="J1" s="1019"/>
      <c r="K1" s="1019"/>
      <c r="L1" s="1019"/>
      <c r="M1" s="1019"/>
      <c r="N1" s="1019"/>
      <c r="O1" s="1019"/>
      <c r="P1" s="993" t="s">
        <v>101</v>
      </c>
      <c r="Q1" s="994"/>
      <c r="R1" s="995"/>
      <c r="S1" s="990" t="s">
        <v>103</v>
      </c>
      <c r="T1" s="991"/>
      <c r="U1" s="992"/>
      <c r="V1" s="285" t="s">
        <v>725</v>
      </c>
      <c r="W1" s="987" t="s">
        <v>45</v>
      </c>
      <c r="X1" s="988"/>
      <c r="Y1" s="989"/>
      <c r="AA1" s="1014" t="s">
        <v>147</v>
      </c>
      <c r="AB1" s="1014"/>
      <c r="AC1" s="1014"/>
      <c r="AD1" s="1014"/>
    </row>
    <row r="2" spans="1:30" ht="27.6">
      <c r="A2" s="287" t="s">
        <v>135</v>
      </c>
      <c r="B2" s="288" t="s">
        <v>136</v>
      </c>
      <c r="C2" s="288" t="s">
        <v>1496</v>
      </c>
      <c r="D2" s="289" t="s">
        <v>142</v>
      </c>
      <c r="E2" s="289" t="s">
        <v>1679</v>
      </c>
      <c r="F2" s="290" t="s">
        <v>141</v>
      </c>
      <c r="G2" s="291" t="s">
        <v>30</v>
      </c>
      <c r="H2" s="292" t="s">
        <v>137</v>
      </c>
      <c r="I2" s="292">
        <v>2015</v>
      </c>
      <c r="J2" s="292">
        <v>2016</v>
      </c>
      <c r="K2" s="292">
        <v>2017</v>
      </c>
      <c r="L2" s="292">
        <v>2018</v>
      </c>
      <c r="M2" s="293">
        <v>2019</v>
      </c>
      <c r="N2" s="293">
        <v>2020</v>
      </c>
      <c r="O2" s="294" t="s">
        <v>1502</v>
      </c>
      <c r="P2" s="295" t="s">
        <v>99</v>
      </c>
      <c r="Q2" s="296" t="s">
        <v>100</v>
      </c>
      <c r="R2" s="297" t="s">
        <v>102</v>
      </c>
      <c r="S2" s="298" t="s">
        <v>53</v>
      </c>
      <c r="T2" s="299" t="s">
        <v>50</v>
      </c>
      <c r="U2" s="300" t="s">
        <v>102</v>
      </c>
      <c r="V2" s="301" t="s">
        <v>725</v>
      </c>
      <c r="W2" s="302" t="s">
        <v>104</v>
      </c>
      <c r="X2" s="303" t="s">
        <v>74</v>
      </c>
      <c r="Y2" s="304" t="s">
        <v>50</v>
      </c>
      <c r="AA2" s="305"/>
      <c r="AB2" s="305" t="s">
        <v>49</v>
      </c>
      <c r="AC2" s="305" t="s">
        <v>74</v>
      </c>
      <c r="AD2" s="305" t="s">
        <v>146</v>
      </c>
    </row>
    <row r="3" spans="1:30">
      <c r="A3" s="754" t="str">
        <f>'Func Future Subs 2015'!A3</f>
        <v>Brintnell 876S</v>
      </c>
      <c r="B3" s="754">
        <f>'Func Future Subs 2015'!B3</f>
        <v>437</v>
      </c>
      <c r="C3" s="754">
        <f>'Func Future Subs 2015'!C3</f>
        <v>240</v>
      </c>
      <c r="D3" s="754">
        <f>'Func Future Subs 2015'!D3</f>
        <v>25</v>
      </c>
      <c r="E3" s="754" t="str">
        <f>'Func Future Subs 2015'!E3</f>
        <v>876S</v>
      </c>
      <c r="F3" s="754">
        <f>'Func Future Subs 2015'!F3</f>
        <v>2902755.0596147967</v>
      </c>
      <c r="G3" s="754" t="str">
        <f>'Func Future Subs 2015'!G3</f>
        <v>ATCO</v>
      </c>
      <c r="H3" s="754">
        <f>'Func Future Subs 2015'!H3</f>
        <v>2016</v>
      </c>
      <c r="I3" s="306">
        <f>+IF($H3=I$2,VLOOKUP($G3,Depreciation!$A$14:$L$18,7,FALSE)/2,IF($H3&lt;I$2,VLOOKUP($G3,Depreciation!$A$14:$L$18,7,FALSE),0))</f>
        <v>0</v>
      </c>
      <c r="J3" s="306">
        <f>+IF($H3=J$2,VLOOKUP($G3,Depreciation!$A$14:$L$18,8,FALSE)/2,IF($H3&lt;J$2,VLOOKUP($G3,Depreciation!$A$14:$L$18,8,FALSE),0))</f>
        <v>1.231622525054236E-2</v>
      </c>
      <c r="K3" s="306">
        <f>+IF($H3=K$2,VLOOKUP($G3,Depreciation!$A$14:$L$18,9,FALSE)/2,IF($H3&lt;K$2,VLOOKUP($G3,Depreciation!$A$14:$L$18,9,FALSE),0))</f>
        <v>2.4351536427798831E-2</v>
      </c>
      <c r="L3" s="306">
        <f>+IF($H3=L$2,VLOOKUP($G3,Depreciation!$A$14:$L$18,10,FALSE)/2,IF($H3&lt;L$2,VLOOKUP($G3,Depreciation!$A$14:$L$18,10,FALSE),0))</f>
        <v>2.4351536427798831E-2</v>
      </c>
      <c r="M3" s="306">
        <f>+IF($H3=M$2,VLOOKUP($G3,Depreciation!$A$14:$L$18,11,FALSE)/2,IF($H3&lt;M$2,VLOOKUP($G3,Depreciation!$A$14:$L$18,11,FALSE),0))</f>
        <v>2.4351536427798831E-2</v>
      </c>
      <c r="N3" s="306">
        <f>+IF($H3=N$2,VLOOKUP($G3,Depreciation!$A$14:$L$18,12,FALSE)/2,IF($H3&lt;N$2,VLOOKUP($G3,Depreciation!$A$14:$L$18,12,FALSE),0))</f>
        <v>2.4351536427798831E-2</v>
      </c>
      <c r="O3" s="307">
        <f t="shared" ref="O3" si="0">IF(H3&lt;=2016,F3*(1-I3)*(1-J3),0)</f>
        <v>2867004.0744534293</v>
      </c>
      <c r="P3" s="732">
        <f>'Func Future Subs 2015'!P3</f>
        <v>0</v>
      </c>
      <c r="Q3" s="732">
        <f>'Func Future Subs 2015'!Q3</f>
        <v>1</v>
      </c>
      <c r="R3" s="732">
        <f>'Func Future Subs 2015'!R3</f>
        <v>0</v>
      </c>
      <c r="S3" s="735">
        <f>+P3*$O3</f>
        <v>0</v>
      </c>
      <c r="T3" s="735">
        <f t="shared" ref="T3:U3" si="1">+Q3*$O3</f>
        <v>2867004.0744534293</v>
      </c>
      <c r="U3" s="735">
        <f t="shared" si="1"/>
        <v>0</v>
      </c>
      <c r="V3" s="736">
        <f>IF(AND(R3=1,D3=0),O3,0)</f>
        <v>0</v>
      </c>
      <c r="W3" s="735">
        <f>S3+IF(D3&gt;144,U3,0)</f>
        <v>0</v>
      </c>
      <c r="X3" s="737">
        <f>IF(AND(D3&lt;=144,D3&gt;=69),U3,0)</f>
        <v>0</v>
      </c>
      <c r="Y3" s="738">
        <f>T3+IF(AND(D3&lt;69,D3&gt;0),U3,0)</f>
        <v>2867004.0744534293</v>
      </c>
      <c r="Z3" s="4"/>
      <c r="AA3" s="313" t="s">
        <v>108</v>
      </c>
      <c r="AB3" s="314">
        <f>W356</f>
        <v>1438246700.0608811</v>
      </c>
      <c r="AC3" s="314">
        <f>X356</f>
        <v>334869174.25373465</v>
      </c>
      <c r="AD3" s="314">
        <f>Y356</f>
        <v>403066698.64858222</v>
      </c>
    </row>
    <row r="4" spans="1:30">
      <c r="A4" s="754" t="str">
        <f>'Func Future Subs 2015'!A4</f>
        <v>Paintearth 863S</v>
      </c>
      <c r="B4" s="754">
        <f>'Func Future Subs 2015'!B4</f>
        <v>437</v>
      </c>
      <c r="C4" s="754">
        <f>'Func Future Subs 2015'!C4</f>
        <v>240</v>
      </c>
      <c r="D4" s="754">
        <f>'Func Future Subs 2015'!D4</f>
        <v>25</v>
      </c>
      <c r="E4" s="754" t="str">
        <f>'Func Future Subs 2015'!E4</f>
        <v>863S</v>
      </c>
      <c r="F4" s="754">
        <f>'Func Future Subs 2015'!F4</f>
        <v>1919444.9403852033</v>
      </c>
      <c r="G4" s="754" t="str">
        <f>'Func Future Subs 2015'!G4</f>
        <v>ATCO</v>
      </c>
      <c r="H4" s="754">
        <f>'Func Future Subs 2015'!H4</f>
        <v>2016</v>
      </c>
      <c r="I4" s="306">
        <f>+IF($H4=I$2,VLOOKUP($G4,Depreciation!$A$14:$L$18,7,FALSE)/2,IF($H4&lt;I$2,VLOOKUP($G4,Depreciation!$A$14:$L$18,7,FALSE),0))</f>
        <v>0</v>
      </c>
      <c r="J4" s="306">
        <f>+IF($H4=J$2,VLOOKUP($G4,Depreciation!$A$14:$L$18,8,FALSE)/2,IF($H4&lt;J$2,VLOOKUP($G4,Depreciation!$A$14:$L$18,8,FALSE),0))</f>
        <v>1.231622525054236E-2</v>
      </c>
      <c r="K4" s="306">
        <f>+IF($H4=K$2,VLOOKUP($G4,Depreciation!$A$14:$L$18,9,FALSE)/2,IF($H4&lt;K$2,VLOOKUP($G4,Depreciation!$A$14:$L$18,9,FALSE),0))</f>
        <v>2.4351536427798831E-2</v>
      </c>
      <c r="L4" s="306">
        <f>+IF($H4=L$2,VLOOKUP($G4,Depreciation!$A$14:$L$18,10,FALSE)/2,IF($H4&lt;L$2,VLOOKUP($G4,Depreciation!$A$14:$L$18,10,FALSE),0))</f>
        <v>2.4351536427798831E-2</v>
      </c>
      <c r="M4" s="306">
        <f>+IF($H4=M$2,VLOOKUP($G4,Depreciation!$A$14:$L$18,11,FALSE)/2,IF($H4&lt;M$2,VLOOKUP($G4,Depreciation!$A$14:$L$18,11,FALSE),0))</f>
        <v>2.4351536427798831E-2</v>
      </c>
      <c r="N4" s="306">
        <f>+IF($H4=N$2,VLOOKUP($G4,Depreciation!$A$14:$L$18,12,FALSE)/2,IF($H4&lt;N$2,VLOOKUP($G4,Depreciation!$A$14:$L$18,12,FALSE),0))</f>
        <v>2.4351536427798831E-2</v>
      </c>
      <c r="O4" s="307">
        <f t="shared" ref="O4:O67" si="2">IF(H4&lt;=2016,F4*(1-I4)*(1-J4),0)</f>
        <v>1895804.6241434054</v>
      </c>
      <c r="P4" s="732">
        <f>'Func Future Subs 2015'!P4</f>
        <v>0</v>
      </c>
      <c r="Q4" s="732">
        <f>'Func Future Subs 2015'!Q4</f>
        <v>1</v>
      </c>
      <c r="R4" s="732">
        <f>'Func Future Subs 2015'!R4</f>
        <v>0</v>
      </c>
      <c r="S4" s="735">
        <f t="shared" ref="S4:S67" si="3">+P4*$O4</f>
        <v>0</v>
      </c>
      <c r="T4" s="735">
        <f t="shared" ref="T4:T67" si="4">+Q4*$O4</f>
        <v>1895804.6241434054</v>
      </c>
      <c r="U4" s="735">
        <f t="shared" ref="U4:U67" si="5">+R4*$O4</f>
        <v>0</v>
      </c>
      <c r="V4" s="736">
        <f t="shared" ref="V4:V67" si="6">IF(AND(R4=1,D4=0),O4,0)</f>
        <v>0</v>
      </c>
      <c r="W4" s="735">
        <f t="shared" ref="W4:W67" si="7">S4+IF(D4&gt;144,U4,0)</f>
        <v>0</v>
      </c>
      <c r="X4" s="737">
        <f t="shared" ref="X4:X67" si="8">IF(AND(D4&lt;=144,D4&gt;=69),U4,0)</f>
        <v>0</v>
      </c>
      <c r="Y4" s="738">
        <f t="shared" ref="Y4:Y67" si="9">T4+IF(AND(D4&lt;69,D4&gt;0),U4,0)</f>
        <v>1895804.6241434054</v>
      </c>
      <c r="Z4" s="4"/>
      <c r="AA4" s="313" t="s">
        <v>109</v>
      </c>
      <c r="AB4" s="315">
        <f>+AB3/SUM($AB$3:$AD$3)</f>
        <v>0.6609035096271787</v>
      </c>
      <c r="AC4" s="315">
        <f>+AC3/SUM($AB$3:$AD$3)</f>
        <v>0.15387917282958491</v>
      </c>
      <c r="AD4" s="315">
        <f>+AD3/SUM($AB$3:$AD$3)</f>
        <v>0.18521731754323659</v>
      </c>
    </row>
    <row r="5" spans="1:30">
      <c r="A5" s="754" t="str">
        <f>'Func Future Subs 2015'!A5</f>
        <v>Bowmanton 244S_(v1)</v>
      </c>
      <c r="B5" s="754">
        <f>'Func Future Subs 2015'!B5</f>
        <v>479</v>
      </c>
      <c r="C5" s="754">
        <f>'Func Future Subs 2015'!C5</f>
        <v>240</v>
      </c>
      <c r="D5" s="754">
        <f>'Func Future Subs 2015'!D5</f>
        <v>138</v>
      </c>
      <c r="E5" s="754" t="str">
        <f>'Func Future Subs 2015'!E5</f>
        <v>244S</v>
      </c>
      <c r="F5" s="754">
        <f>'Func Future Subs 2015'!F5</f>
        <v>6192429.956324066</v>
      </c>
      <c r="G5" s="754" t="str">
        <f>'Func Future Subs 2015'!G5</f>
        <v>AltaLink</v>
      </c>
      <c r="H5" s="754">
        <f>'Func Future Subs 2015'!H5</f>
        <v>2019</v>
      </c>
      <c r="I5" s="306">
        <f>+IF($H5=I$2,VLOOKUP($G5,Depreciation!$A$14:$L$18,7,FALSE)/2,IF($H5&lt;I$2,VLOOKUP($G5,Depreciation!$A$14:$L$18,7,FALSE),0))</f>
        <v>0</v>
      </c>
      <c r="J5" s="306">
        <f>+IF($H5=J$2,VLOOKUP($G5,Depreciation!$A$14:$L$18,8,FALSE)/2,IF($H5&lt;J$2,VLOOKUP($G5,Depreciation!$A$14:$L$18,8,FALSE),0))</f>
        <v>0</v>
      </c>
      <c r="K5" s="306">
        <f>+IF($H5=K$2,VLOOKUP($G5,Depreciation!$A$14:$L$18,9,FALSE)/2,IF($H5&lt;K$2,VLOOKUP($G5,Depreciation!$A$14:$L$18,9,FALSE),0))</f>
        <v>0</v>
      </c>
      <c r="L5" s="306">
        <f>+IF($H5=L$2,VLOOKUP($G5,Depreciation!$A$14:$L$18,10,FALSE)/2,IF($H5&lt;L$2,VLOOKUP($G5,Depreciation!$A$14:$L$18,10,FALSE),0))</f>
        <v>0</v>
      </c>
      <c r="M5" s="306">
        <f>+IF($H5=M$2,VLOOKUP($G5,Depreciation!$A$14:$L$18,11,FALSE)/2,IF($H5&lt;M$2,VLOOKUP($G5,Depreciation!$A$14:$L$18,11,FALSE),0))</f>
        <v>1.671703928371859E-2</v>
      </c>
      <c r="N5" s="306">
        <f>+IF($H5=N$2,VLOOKUP($G5,Depreciation!$A$14:$L$18,12,FALSE)/2,IF($H5&lt;N$2,VLOOKUP($G5,Depreciation!$A$14:$L$18,12,FALSE),0))</f>
        <v>3.343407856743718E-2</v>
      </c>
      <c r="O5" s="307">
        <f t="shared" si="2"/>
        <v>0</v>
      </c>
      <c r="P5" s="732">
        <f>'Func Future Subs 2015'!P5</f>
        <v>0</v>
      </c>
      <c r="Q5" s="732">
        <f>'Func Future Subs 2015'!Q5</f>
        <v>0</v>
      </c>
      <c r="R5" s="732">
        <f>'Func Future Subs 2015'!R5</f>
        <v>1</v>
      </c>
      <c r="S5" s="735">
        <f t="shared" si="3"/>
        <v>0</v>
      </c>
      <c r="T5" s="735">
        <f t="shared" si="4"/>
        <v>0</v>
      </c>
      <c r="U5" s="735">
        <f t="shared" si="5"/>
        <v>0</v>
      </c>
      <c r="V5" s="736">
        <f t="shared" si="6"/>
        <v>0</v>
      </c>
      <c r="W5" s="735">
        <f t="shared" si="7"/>
        <v>0</v>
      </c>
      <c r="X5" s="737">
        <f t="shared" si="8"/>
        <v>0</v>
      </c>
      <c r="Y5" s="738">
        <f t="shared" si="9"/>
        <v>0</v>
      </c>
    </row>
    <row r="6" spans="1:30">
      <c r="A6" s="754" t="str">
        <f>'Func Future Subs 2015'!A6</f>
        <v>Elkwater 264S_(v1)</v>
      </c>
      <c r="B6" s="754">
        <f>'Func Future Subs 2015'!B6</f>
        <v>479</v>
      </c>
      <c r="C6" s="754">
        <f>'Func Future Subs 2015'!C6</f>
        <v>240</v>
      </c>
      <c r="D6" s="754">
        <f>'Func Future Subs 2015'!D6</f>
        <v>240</v>
      </c>
      <c r="E6" s="754" t="str">
        <f>'Func Future Subs 2015'!E6</f>
        <v>264S</v>
      </c>
      <c r="F6" s="754">
        <f>'Func Future Subs 2015'!F6</f>
        <v>3207190.9954739143</v>
      </c>
      <c r="G6" s="754" t="str">
        <f>'Func Future Subs 2015'!G6</f>
        <v>AltaLink</v>
      </c>
      <c r="H6" s="754">
        <f>'Func Future Subs 2015'!H6</f>
        <v>2019</v>
      </c>
      <c r="I6" s="306">
        <f>+IF($H6=I$2,VLOOKUP($G6,Depreciation!$A$14:$L$18,7,FALSE)/2,IF($H6&lt;I$2,VLOOKUP($G6,Depreciation!$A$14:$L$18,7,FALSE),0))</f>
        <v>0</v>
      </c>
      <c r="J6" s="306">
        <f>+IF($H6=J$2,VLOOKUP($G6,Depreciation!$A$14:$L$18,8,FALSE)/2,IF($H6&lt;J$2,VLOOKUP($G6,Depreciation!$A$14:$L$18,8,FALSE),0))</f>
        <v>0</v>
      </c>
      <c r="K6" s="306">
        <f>+IF($H6=K$2,VLOOKUP($G6,Depreciation!$A$14:$L$18,9,FALSE)/2,IF($H6&lt;K$2,VLOOKUP($G6,Depreciation!$A$14:$L$18,9,FALSE),0))</f>
        <v>0</v>
      </c>
      <c r="L6" s="306">
        <f>+IF($H6=L$2,VLOOKUP($G6,Depreciation!$A$14:$L$18,10,FALSE)/2,IF($H6&lt;L$2,VLOOKUP($G6,Depreciation!$A$14:$L$18,10,FALSE),0))</f>
        <v>0</v>
      </c>
      <c r="M6" s="306">
        <f>+IF($H6=M$2,VLOOKUP($G6,Depreciation!$A$14:$L$18,11,FALSE)/2,IF($H6&lt;M$2,VLOOKUP($G6,Depreciation!$A$14:$L$18,11,FALSE),0))</f>
        <v>1.671703928371859E-2</v>
      </c>
      <c r="N6" s="306">
        <f>+IF($H6=N$2,VLOOKUP($G6,Depreciation!$A$14:$L$18,12,FALSE)/2,IF($H6&lt;N$2,VLOOKUP($G6,Depreciation!$A$14:$L$18,12,FALSE),0))</f>
        <v>3.343407856743718E-2</v>
      </c>
      <c r="O6" s="307">
        <f t="shared" si="2"/>
        <v>0</v>
      </c>
      <c r="P6" s="732">
        <f>'Func Future Subs 2015'!P6</f>
        <v>0</v>
      </c>
      <c r="Q6" s="732">
        <f>'Func Future Subs 2015'!Q6</f>
        <v>0</v>
      </c>
      <c r="R6" s="732">
        <f>'Func Future Subs 2015'!R6</f>
        <v>1</v>
      </c>
      <c r="S6" s="735">
        <f t="shared" si="3"/>
        <v>0</v>
      </c>
      <c r="T6" s="735">
        <f t="shared" si="4"/>
        <v>0</v>
      </c>
      <c r="U6" s="735">
        <f t="shared" si="5"/>
        <v>0</v>
      </c>
      <c r="V6" s="736">
        <f t="shared" si="6"/>
        <v>0</v>
      </c>
      <c r="W6" s="735">
        <f t="shared" si="7"/>
        <v>0</v>
      </c>
      <c r="X6" s="737">
        <f t="shared" si="8"/>
        <v>0</v>
      </c>
      <c r="Y6" s="738">
        <f t="shared" si="9"/>
        <v>0</v>
      </c>
      <c r="AA6" s="286" t="s">
        <v>180</v>
      </c>
      <c r="AB6" s="316">
        <f>+O356</f>
        <v>2300834192.912499</v>
      </c>
    </row>
    <row r="7" spans="1:30">
      <c r="A7" s="754" t="str">
        <f>'Func Future Subs 2015'!A7</f>
        <v>WildRose1 547S_(v1)</v>
      </c>
      <c r="B7" s="754">
        <f>'Func Future Subs 2015'!B7</f>
        <v>479</v>
      </c>
      <c r="C7" s="754">
        <f>'Func Future Subs 2015'!C7</f>
        <v>240</v>
      </c>
      <c r="D7" s="754">
        <f>'Func Future Subs 2015'!D7</f>
        <v>0</v>
      </c>
      <c r="E7" s="754" t="str">
        <f>'Func Future Subs 2015'!E7</f>
        <v>547S</v>
      </c>
      <c r="F7" s="754">
        <f>'Func Future Subs 2015'!F7</f>
        <v>694965.93628763652</v>
      </c>
      <c r="G7" s="754" t="str">
        <f>'Func Future Subs 2015'!G7</f>
        <v>AltaLink</v>
      </c>
      <c r="H7" s="754">
        <f>'Func Future Subs 2015'!H7</f>
        <v>2019</v>
      </c>
      <c r="I7" s="306">
        <f>+IF($H7=I$2,VLOOKUP($G7,Depreciation!$A$14:$L$18,7,FALSE)/2,IF($H7&lt;I$2,VLOOKUP($G7,Depreciation!$A$14:$L$18,7,FALSE),0))</f>
        <v>0</v>
      </c>
      <c r="J7" s="306">
        <f>+IF($H7=J$2,VLOOKUP($G7,Depreciation!$A$14:$L$18,8,FALSE)/2,IF($H7&lt;J$2,VLOOKUP($G7,Depreciation!$A$14:$L$18,8,FALSE),0))</f>
        <v>0</v>
      </c>
      <c r="K7" s="306">
        <f>+IF($H7=K$2,VLOOKUP($G7,Depreciation!$A$14:$L$18,9,FALSE)/2,IF($H7&lt;K$2,VLOOKUP($G7,Depreciation!$A$14:$L$18,9,FALSE),0))</f>
        <v>0</v>
      </c>
      <c r="L7" s="306">
        <f>+IF($H7=L$2,VLOOKUP($G7,Depreciation!$A$14:$L$18,10,FALSE)/2,IF($H7&lt;L$2,VLOOKUP($G7,Depreciation!$A$14:$L$18,10,FALSE),0))</f>
        <v>0</v>
      </c>
      <c r="M7" s="306">
        <f>+IF($H7=M$2,VLOOKUP($G7,Depreciation!$A$14:$L$18,11,FALSE)/2,IF($H7&lt;M$2,VLOOKUP($G7,Depreciation!$A$14:$L$18,11,FALSE),0))</f>
        <v>1.671703928371859E-2</v>
      </c>
      <c r="N7" s="306">
        <f>+IF($H7=N$2,VLOOKUP($G7,Depreciation!$A$14:$L$18,12,FALSE)/2,IF($H7&lt;N$2,VLOOKUP($G7,Depreciation!$A$14:$L$18,12,FALSE),0))</f>
        <v>3.343407856743718E-2</v>
      </c>
      <c r="O7" s="307">
        <f t="shared" si="2"/>
        <v>0</v>
      </c>
      <c r="P7" s="732">
        <f>'Func Future Subs 2015'!P7</f>
        <v>0</v>
      </c>
      <c r="Q7" s="732">
        <f>'Func Future Subs 2015'!Q7</f>
        <v>0</v>
      </c>
      <c r="R7" s="732">
        <f>'Func Future Subs 2015'!R7</f>
        <v>1</v>
      </c>
      <c r="S7" s="735">
        <f t="shared" si="3"/>
        <v>0</v>
      </c>
      <c r="T7" s="735">
        <f t="shared" si="4"/>
        <v>0</v>
      </c>
      <c r="U7" s="735">
        <f t="shared" si="5"/>
        <v>0</v>
      </c>
      <c r="V7" s="736">
        <f t="shared" si="6"/>
        <v>0</v>
      </c>
      <c r="W7" s="735">
        <f t="shared" si="7"/>
        <v>0</v>
      </c>
      <c r="X7" s="737">
        <f t="shared" si="8"/>
        <v>0</v>
      </c>
      <c r="Y7" s="738">
        <f t="shared" si="9"/>
        <v>0</v>
      </c>
    </row>
    <row r="8" spans="1:30">
      <c r="A8" s="754" t="str">
        <f>'Func Future Subs 2015'!A8</f>
        <v>Bullshead 532S</v>
      </c>
      <c r="B8" s="754">
        <f>'Func Future Subs 2015'!B8</f>
        <v>513</v>
      </c>
      <c r="C8" s="754">
        <f>'Func Future Subs 2015'!C8</f>
        <v>145</v>
      </c>
      <c r="D8" s="754">
        <f>'Func Future Subs 2015'!D8</f>
        <v>0</v>
      </c>
      <c r="E8" s="754" t="str">
        <f>'Func Future Subs 2015'!E8</f>
        <v>532S</v>
      </c>
      <c r="F8" s="754">
        <f>'Func Future Subs 2015'!F8</f>
        <v>637591.72154280276</v>
      </c>
      <c r="G8" s="754" t="str">
        <f>'Func Future Subs 2015'!G8</f>
        <v>AltaLink</v>
      </c>
      <c r="H8" s="754">
        <f>'Func Future Subs 2015'!H8</f>
        <v>2017</v>
      </c>
      <c r="I8" s="306">
        <f>+IF($H8=I$2,VLOOKUP($G8,Depreciation!$A$14:$L$18,7,FALSE)/2,IF($H8&lt;I$2,VLOOKUP($G8,Depreciation!$A$14:$L$18,7,FALSE),0))</f>
        <v>0</v>
      </c>
      <c r="J8" s="306">
        <f>+IF($H8=J$2,VLOOKUP($G8,Depreciation!$A$14:$L$18,8,FALSE)/2,IF($H8&lt;J$2,VLOOKUP($G8,Depreciation!$A$14:$L$18,8,FALSE),0))</f>
        <v>0</v>
      </c>
      <c r="K8" s="306">
        <f>+IF($H8=K$2,VLOOKUP($G8,Depreciation!$A$14:$L$18,9,FALSE)/2,IF($H8&lt;K$2,VLOOKUP($G8,Depreciation!$A$14:$L$18,9,FALSE),0))</f>
        <v>1.671703928371859E-2</v>
      </c>
      <c r="L8" s="306">
        <f>+IF($H8=L$2,VLOOKUP($G8,Depreciation!$A$14:$L$18,10,FALSE)/2,IF($H8&lt;L$2,VLOOKUP($G8,Depreciation!$A$14:$L$18,10,FALSE),0))</f>
        <v>3.343407856743718E-2</v>
      </c>
      <c r="M8" s="306">
        <f>+IF($H8=M$2,VLOOKUP($G8,Depreciation!$A$14:$L$18,11,FALSE)/2,IF($H8&lt;M$2,VLOOKUP($G8,Depreciation!$A$14:$L$18,11,FALSE),0))</f>
        <v>3.343407856743718E-2</v>
      </c>
      <c r="N8" s="306">
        <f>+IF($H8=N$2,VLOOKUP($G8,Depreciation!$A$14:$L$18,12,FALSE)/2,IF($H8&lt;N$2,VLOOKUP($G8,Depreciation!$A$14:$L$18,12,FALSE),0))</f>
        <v>3.343407856743718E-2</v>
      </c>
      <c r="O8" s="307">
        <f t="shared" si="2"/>
        <v>0</v>
      </c>
      <c r="P8" s="732">
        <f>'Func Future Subs 2015'!P8</f>
        <v>0</v>
      </c>
      <c r="Q8" s="732">
        <f>'Func Future Subs 2015'!Q8</f>
        <v>0</v>
      </c>
      <c r="R8" s="732">
        <f>'Func Future Subs 2015'!R8</f>
        <v>1</v>
      </c>
      <c r="S8" s="735">
        <f t="shared" si="3"/>
        <v>0</v>
      </c>
      <c r="T8" s="735">
        <f t="shared" si="4"/>
        <v>0</v>
      </c>
      <c r="U8" s="735">
        <f t="shared" si="5"/>
        <v>0</v>
      </c>
      <c r="V8" s="736">
        <f t="shared" si="6"/>
        <v>0</v>
      </c>
      <c r="W8" s="735">
        <f t="shared" si="7"/>
        <v>0</v>
      </c>
      <c r="X8" s="737">
        <f t="shared" si="8"/>
        <v>0</v>
      </c>
      <c r="Y8" s="738">
        <f t="shared" si="9"/>
        <v>0</v>
      </c>
      <c r="AA8" s="1014" t="s">
        <v>147</v>
      </c>
      <c r="AB8" s="1014"/>
      <c r="AC8" s="1014"/>
      <c r="AD8" s="1014"/>
    </row>
    <row r="9" spans="1:30">
      <c r="A9" s="754" t="str">
        <f>'Func Future Subs 2015'!A9</f>
        <v>Medicine Hat 41S</v>
      </c>
      <c r="B9" s="754">
        <f>'Func Future Subs 2015'!B9</f>
        <v>513</v>
      </c>
      <c r="C9" s="754">
        <f>'Func Future Subs 2015'!C9</f>
        <v>240</v>
      </c>
      <c r="D9" s="754">
        <f>'Func Future Subs 2015'!D9</f>
        <v>69</v>
      </c>
      <c r="E9" s="754" t="str">
        <f>'Func Future Subs 2015'!E9</f>
        <v>41S</v>
      </c>
      <c r="F9" s="754">
        <f>'Func Future Subs 2015'!F9</f>
        <v>338720.60206961393</v>
      </c>
      <c r="G9" s="754" t="str">
        <f>'Func Future Subs 2015'!G9</f>
        <v>AltaLink</v>
      </c>
      <c r="H9" s="754">
        <f>'Func Future Subs 2015'!H9</f>
        <v>2017</v>
      </c>
      <c r="I9" s="306">
        <f>+IF($H9=I$2,VLOOKUP($G9,Depreciation!$A$14:$L$18,7,FALSE)/2,IF($H9&lt;I$2,VLOOKUP($G9,Depreciation!$A$14:$L$18,7,FALSE),0))</f>
        <v>0</v>
      </c>
      <c r="J9" s="306">
        <f>+IF($H9=J$2,VLOOKUP($G9,Depreciation!$A$14:$L$18,8,FALSE)/2,IF($H9&lt;J$2,VLOOKUP($G9,Depreciation!$A$14:$L$18,8,FALSE),0))</f>
        <v>0</v>
      </c>
      <c r="K9" s="306">
        <f>+IF($H9=K$2,VLOOKUP($G9,Depreciation!$A$14:$L$18,9,FALSE)/2,IF($H9&lt;K$2,VLOOKUP($G9,Depreciation!$A$14:$L$18,9,FALSE),0))</f>
        <v>1.671703928371859E-2</v>
      </c>
      <c r="L9" s="306">
        <f>+IF($H9=L$2,VLOOKUP($G9,Depreciation!$A$14:$L$18,10,FALSE)/2,IF($H9&lt;L$2,VLOOKUP($G9,Depreciation!$A$14:$L$18,10,FALSE),0))</f>
        <v>3.343407856743718E-2</v>
      </c>
      <c r="M9" s="306">
        <f>+IF($H9=M$2,VLOOKUP($G9,Depreciation!$A$14:$L$18,11,FALSE)/2,IF($H9&lt;M$2,VLOOKUP($G9,Depreciation!$A$14:$L$18,11,FALSE),0))</f>
        <v>3.343407856743718E-2</v>
      </c>
      <c r="N9" s="306">
        <f>+IF($H9=N$2,VLOOKUP($G9,Depreciation!$A$14:$L$18,12,FALSE)/2,IF($H9&lt;N$2,VLOOKUP($G9,Depreciation!$A$14:$L$18,12,FALSE),0))</f>
        <v>3.343407856743718E-2</v>
      </c>
      <c r="O9" s="307">
        <f t="shared" si="2"/>
        <v>0</v>
      </c>
      <c r="P9" s="732">
        <f>'Func Future Subs 2015'!P9</f>
        <v>0.796875</v>
      </c>
      <c r="Q9" s="732">
        <f>'Func Future Subs 2015'!Q9</f>
        <v>0.203125</v>
      </c>
      <c r="R9" s="732">
        <f>'Func Future Subs 2015'!R9</f>
        <v>0</v>
      </c>
      <c r="S9" s="735">
        <f t="shared" si="3"/>
        <v>0</v>
      </c>
      <c r="T9" s="735">
        <f t="shared" si="4"/>
        <v>0</v>
      </c>
      <c r="U9" s="735">
        <f t="shared" si="5"/>
        <v>0</v>
      </c>
      <c r="V9" s="736">
        <f t="shared" si="6"/>
        <v>0</v>
      </c>
      <c r="W9" s="735">
        <f t="shared" si="7"/>
        <v>0</v>
      </c>
      <c r="X9" s="737">
        <f t="shared" si="8"/>
        <v>0</v>
      </c>
      <c r="Y9" s="738">
        <f t="shared" si="9"/>
        <v>0</v>
      </c>
      <c r="AA9" s="305"/>
      <c r="AB9" s="305" t="s">
        <v>49</v>
      </c>
      <c r="AC9" s="305" t="s">
        <v>74</v>
      </c>
      <c r="AD9" s="305" t="s">
        <v>146</v>
      </c>
    </row>
    <row r="10" spans="1:30">
      <c r="A10" s="754" t="str">
        <f>'Func Future Subs 2015'!A10</f>
        <v>Taber 83S</v>
      </c>
      <c r="B10" s="754">
        <f>'Func Future Subs 2015'!B10</f>
        <v>513</v>
      </c>
      <c r="C10" s="754">
        <f>'Func Future Subs 2015'!C10</f>
        <v>240</v>
      </c>
      <c r="D10" s="754">
        <f>'Func Future Subs 2015'!D10</f>
        <v>25</v>
      </c>
      <c r="E10" s="754" t="str">
        <f>'Func Future Subs 2015'!E10</f>
        <v>83S</v>
      </c>
      <c r="F10" s="754">
        <f>'Func Future Subs 2015'!F10</f>
        <v>282267.16839134495</v>
      </c>
      <c r="G10" s="754" t="str">
        <f>'Func Future Subs 2015'!G10</f>
        <v>AltaLink</v>
      </c>
      <c r="H10" s="754">
        <f>'Func Future Subs 2015'!H10</f>
        <v>2017</v>
      </c>
      <c r="I10" s="306">
        <f>+IF($H10=I$2,VLOOKUP($G10,Depreciation!$A$14:$L$18,7,FALSE)/2,IF($H10&lt;I$2,VLOOKUP($G10,Depreciation!$A$14:$L$18,7,FALSE),0))</f>
        <v>0</v>
      </c>
      <c r="J10" s="306">
        <f>+IF($H10=J$2,VLOOKUP($G10,Depreciation!$A$14:$L$18,8,FALSE)/2,IF($H10&lt;J$2,VLOOKUP($G10,Depreciation!$A$14:$L$18,8,FALSE),0))</f>
        <v>0</v>
      </c>
      <c r="K10" s="306">
        <f>+IF($H10=K$2,VLOOKUP($G10,Depreciation!$A$14:$L$18,9,FALSE)/2,IF($H10&lt;K$2,VLOOKUP($G10,Depreciation!$A$14:$L$18,9,FALSE),0))</f>
        <v>1.671703928371859E-2</v>
      </c>
      <c r="L10" s="306">
        <f>+IF($H10=L$2,VLOOKUP($G10,Depreciation!$A$14:$L$18,10,FALSE)/2,IF($H10&lt;L$2,VLOOKUP($G10,Depreciation!$A$14:$L$18,10,FALSE),0))</f>
        <v>3.343407856743718E-2</v>
      </c>
      <c r="M10" s="306">
        <f>+IF($H10=M$2,VLOOKUP($G10,Depreciation!$A$14:$L$18,11,FALSE)/2,IF($H10&lt;M$2,VLOOKUP($G10,Depreciation!$A$14:$L$18,11,FALSE),0))</f>
        <v>3.343407856743718E-2</v>
      </c>
      <c r="N10" s="306">
        <f>+IF($H10=N$2,VLOOKUP($G10,Depreciation!$A$14:$L$18,12,FALSE)/2,IF($H10&lt;N$2,VLOOKUP($G10,Depreciation!$A$14:$L$18,12,FALSE),0))</f>
        <v>3.343407856743718E-2</v>
      </c>
      <c r="O10" s="307">
        <f t="shared" si="2"/>
        <v>0</v>
      </c>
      <c r="P10" s="732">
        <f>'Func Future Subs 2015'!P10</f>
        <v>0</v>
      </c>
      <c r="Q10" s="732">
        <f>'Func Future Subs 2015'!Q10</f>
        <v>1</v>
      </c>
      <c r="R10" s="732">
        <f>'Func Future Subs 2015'!R10</f>
        <v>0</v>
      </c>
      <c r="S10" s="735">
        <f t="shared" si="3"/>
        <v>0</v>
      </c>
      <c r="T10" s="735">
        <f t="shared" si="4"/>
        <v>0</v>
      </c>
      <c r="U10" s="735">
        <f t="shared" si="5"/>
        <v>0</v>
      </c>
      <c r="V10" s="736">
        <f t="shared" si="6"/>
        <v>0</v>
      </c>
      <c r="W10" s="735">
        <f t="shared" si="7"/>
        <v>0</v>
      </c>
      <c r="X10" s="737">
        <f t="shared" si="8"/>
        <v>0</v>
      </c>
      <c r="Y10" s="738">
        <f t="shared" si="9"/>
        <v>0</v>
      </c>
      <c r="AA10" s="313" t="s">
        <v>1681</v>
      </c>
      <c r="AB10" s="314">
        <f>AB4*$AB$6</f>
        <v>1520629393.1660876</v>
      </c>
      <c r="AC10" s="314">
        <f>AC4*$AB$6</f>
        <v>354050462.42340094</v>
      </c>
      <c r="AD10" s="314">
        <f>AD4*$AB$6</f>
        <v>426154337.3230108</v>
      </c>
    </row>
    <row r="11" spans="1:30">
      <c r="A11" s="754" t="str">
        <f>'Func Future Subs 2015'!A11</f>
        <v>Tothill 219S</v>
      </c>
      <c r="B11" s="754">
        <f>'Func Future Subs 2015'!B11</f>
        <v>513</v>
      </c>
      <c r="C11" s="754">
        <f>'Func Future Subs 2015'!C11</f>
        <v>138</v>
      </c>
      <c r="D11" s="754">
        <f>'Func Future Subs 2015'!D11</f>
        <v>0</v>
      </c>
      <c r="E11" s="754" t="str">
        <f>'Func Future Subs 2015'!E11</f>
        <v>219S</v>
      </c>
      <c r="F11" s="754">
        <f>'Func Future Subs 2015'!F11</f>
        <v>597742.23894637753</v>
      </c>
      <c r="G11" s="754" t="str">
        <f>'Func Future Subs 2015'!G11</f>
        <v>AltaLink</v>
      </c>
      <c r="H11" s="754">
        <f>'Func Future Subs 2015'!H11</f>
        <v>2017</v>
      </c>
      <c r="I11" s="306">
        <f>+IF($H11=I$2,VLOOKUP($G11,Depreciation!$A$14:$L$18,7,FALSE)/2,IF($H11&lt;I$2,VLOOKUP($G11,Depreciation!$A$14:$L$18,7,FALSE),0))</f>
        <v>0</v>
      </c>
      <c r="J11" s="306">
        <f>+IF($H11=J$2,VLOOKUP($G11,Depreciation!$A$14:$L$18,8,FALSE)/2,IF($H11&lt;J$2,VLOOKUP($G11,Depreciation!$A$14:$L$18,8,FALSE),0))</f>
        <v>0</v>
      </c>
      <c r="K11" s="306">
        <f>+IF($H11=K$2,VLOOKUP($G11,Depreciation!$A$14:$L$18,9,FALSE)/2,IF($H11&lt;K$2,VLOOKUP($G11,Depreciation!$A$14:$L$18,9,FALSE),0))</f>
        <v>1.671703928371859E-2</v>
      </c>
      <c r="L11" s="306">
        <f>+IF($H11=L$2,VLOOKUP($G11,Depreciation!$A$14:$L$18,10,FALSE)/2,IF($H11&lt;L$2,VLOOKUP($G11,Depreciation!$A$14:$L$18,10,FALSE),0))</f>
        <v>3.343407856743718E-2</v>
      </c>
      <c r="M11" s="306">
        <f>+IF($H11=M$2,VLOOKUP($G11,Depreciation!$A$14:$L$18,11,FALSE)/2,IF($H11&lt;M$2,VLOOKUP($G11,Depreciation!$A$14:$L$18,11,FALSE),0))</f>
        <v>3.343407856743718E-2</v>
      </c>
      <c r="N11" s="306">
        <f>+IF($H11=N$2,VLOOKUP($G11,Depreciation!$A$14:$L$18,12,FALSE)/2,IF($H11&lt;N$2,VLOOKUP($G11,Depreciation!$A$14:$L$18,12,FALSE),0))</f>
        <v>3.343407856743718E-2</v>
      </c>
      <c r="O11" s="307">
        <f t="shared" si="2"/>
        <v>0</v>
      </c>
      <c r="P11" s="732">
        <f>'Func Future Subs 2015'!P11</f>
        <v>0</v>
      </c>
      <c r="Q11" s="732">
        <f>'Func Future Subs 2015'!Q11</f>
        <v>0</v>
      </c>
      <c r="R11" s="732">
        <f>'Func Future Subs 2015'!R11</f>
        <v>1</v>
      </c>
      <c r="S11" s="735">
        <f t="shared" si="3"/>
        <v>0</v>
      </c>
      <c r="T11" s="735">
        <f t="shared" si="4"/>
        <v>0</v>
      </c>
      <c r="U11" s="735">
        <f t="shared" si="5"/>
        <v>0</v>
      </c>
      <c r="V11" s="736">
        <f t="shared" si="6"/>
        <v>0</v>
      </c>
      <c r="W11" s="735">
        <f t="shared" si="7"/>
        <v>0</v>
      </c>
      <c r="X11" s="737">
        <f t="shared" si="8"/>
        <v>0</v>
      </c>
      <c r="Y11" s="738">
        <f t="shared" si="9"/>
        <v>0</v>
      </c>
    </row>
    <row r="12" spans="1:30">
      <c r="A12" s="754" t="str">
        <f>'Func Future Subs 2015'!A12</f>
        <v>Castle Rock Ridge 205S Substation</v>
      </c>
      <c r="B12" s="754">
        <f>'Func Future Subs 2015'!B12</f>
        <v>524</v>
      </c>
      <c r="C12" s="754">
        <f>'Func Future Subs 2015'!C12</f>
        <v>240</v>
      </c>
      <c r="D12" s="754">
        <f>'Func Future Subs 2015'!D12</f>
        <v>25</v>
      </c>
      <c r="E12" s="754" t="str">
        <f>'Func Future Subs 2015'!E12</f>
        <v>205S</v>
      </c>
      <c r="F12" s="754">
        <f>'Func Future Subs 2015'!F12</f>
        <v>3365840.0000000009</v>
      </c>
      <c r="G12" s="754" t="str">
        <f>'Func Future Subs 2015'!G12</f>
        <v>AltaLink</v>
      </c>
      <c r="H12" s="754">
        <f>'Func Future Subs 2015'!H12</f>
        <v>2017</v>
      </c>
      <c r="I12" s="306">
        <f>+IF($H12=I$2,VLOOKUP($G12,Depreciation!$A$14:$L$18,7,FALSE)/2,IF($H12&lt;I$2,VLOOKUP($G12,Depreciation!$A$14:$L$18,7,FALSE),0))</f>
        <v>0</v>
      </c>
      <c r="J12" s="306">
        <f>+IF($H12=J$2,VLOOKUP($G12,Depreciation!$A$14:$L$18,8,FALSE)/2,IF($H12&lt;J$2,VLOOKUP($G12,Depreciation!$A$14:$L$18,8,FALSE),0))</f>
        <v>0</v>
      </c>
      <c r="K12" s="306">
        <f>+IF($H12=K$2,VLOOKUP($G12,Depreciation!$A$14:$L$18,9,FALSE)/2,IF($H12&lt;K$2,VLOOKUP($G12,Depreciation!$A$14:$L$18,9,FALSE),0))</f>
        <v>1.671703928371859E-2</v>
      </c>
      <c r="L12" s="306">
        <f>+IF($H12=L$2,VLOOKUP($G12,Depreciation!$A$14:$L$18,10,FALSE)/2,IF($H12&lt;L$2,VLOOKUP($G12,Depreciation!$A$14:$L$18,10,FALSE),0))</f>
        <v>3.343407856743718E-2</v>
      </c>
      <c r="M12" s="306">
        <f>+IF($H12=M$2,VLOOKUP($G12,Depreciation!$A$14:$L$18,11,FALSE)/2,IF($H12&lt;M$2,VLOOKUP($G12,Depreciation!$A$14:$L$18,11,FALSE),0))</f>
        <v>3.343407856743718E-2</v>
      </c>
      <c r="N12" s="306">
        <f>+IF($H12=N$2,VLOOKUP($G12,Depreciation!$A$14:$L$18,12,FALSE)/2,IF($H12&lt;N$2,VLOOKUP($G12,Depreciation!$A$14:$L$18,12,FALSE),0))</f>
        <v>3.343407856743718E-2</v>
      </c>
      <c r="O12" s="307">
        <f t="shared" si="2"/>
        <v>0</v>
      </c>
      <c r="P12" s="732">
        <f>'Func Future Subs 2015'!P12</f>
        <v>0.99826388888888884</v>
      </c>
      <c r="Q12" s="732">
        <f>'Func Future Subs 2015'!Q12</f>
        <v>1.7361111111111112E-3</v>
      </c>
      <c r="R12" s="732">
        <f>'Func Future Subs 2015'!R12</f>
        <v>4.9222778630841901E-17</v>
      </c>
      <c r="S12" s="735">
        <f t="shared" si="3"/>
        <v>0</v>
      </c>
      <c r="T12" s="735">
        <f t="shared" si="4"/>
        <v>0</v>
      </c>
      <c r="U12" s="735">
        <f t="shared" si="5"/>
        <v>0</v>
      </c>
      <c r="V12" s="736">
        <f t="shared" si="6"/>
        <v>0</v>
      </c>
      <c r="W12" s="735">
        <f t="shared" si="7"/>
        <v>0</v>
      </c>
      <c r="X12" s="737">
        <f t="shared" si="8"/>
        <v>0</v>
      </c>
      <c r="Y12" s="738">
        <f t="shared" si="9"/>
        <v>0</v>
      </c>
    </row>
    <row r="13" spans="1:30">
      <c r="A13" s="754" t="str">
        <f>'Func Future Subs 2015'!A13</f>
        <v>Bannerman 681S</v>
      </c>
      <c r="B13" s="754">
        <f>'Func Future Subs 2015'!B13</f>
        <v>559</v>
      </c>
      <c r="C13" s="754">
        <f>'Func Future Subs 2015'!C13</f>
        <v>240</v>
      </c>
      <c r="D13" s="754">
        <f>'Func Future Subs 2015'!D13</f>
        <v>25</v>
      </c>
      <c r="E13" s="754" t="str">
        <f>'Func Future Subs 2015'!E13</f>
        <v>681S</v>
      </c>
      <c r="F13" s="754">
        <f>'Func Future Subs 2015'!F13</f>
        <v>40330685.047325686</v>
      </c>
      <c r="G13" s="754" t="str">
        <f>'Func Future Subs 2015'!G13</f>
        <v>AltaLink</v>
      </c>
      <c r="H13" s="754">
        <f>'Func Future Subs 2015'!H13</f>
        <v>2015</v>
      </c>
      <c r="I13" s="306">
        <f>+IF($H13=I$2,VLOOKUP($G13,Depreciation!$A$14:$L$18,7,FALSE)/2,IF($H13&lt;I$2,VLOOKUP($G13,Depreciation!$A$14:$L$18,7,FALSE),0))</f>
        <v>1.7228380322441735E-2</v>
      </c>
      <c r="J13" s="306">
        <f>+IF($H13=J$2,VLOOKUP($G13,Depreciation!$A$14:$L$18,8,FALSE)/2,IF($H13&lt;J$2,VLOOKUP($G13,Depreciation!$A$14:$L$18,8,FALSE),0))</f>
        <v>3.343407856743718E-2</v>
      </c>
      <c r="K13" s="306">
        <f>+IF($H13=K$2,VLOOKUP($G13,Depreciation!$A$14:$L$18,9,FALSE)/2,IF($H13&lt;K$2,VLOOKUP($G13,Depreciation!$A$14:$L$18,9,FALSE),0))</f>
        <v>3.343407856743718E-2</v>
      </c>
      <c r="L13" s="306">
        <f>+IF($H13=L$2,VLOOKUP($G13,Depreciation!$A$14:$L$18,10,FALSE)/2,IF($H13&lt;L$2,VLOOKUP($G13,Depreciation!$A$14:$L$18,10,FALSE),0))</f>
        <v>3.343407856743718E-2</v>
      </c>
      <c r="M13" s="306">
        <f>+IF($H13=M$2,VLOOKUP($G13,Depreciation!$A$14:$L$18,11,FALSE)/2,IF($H13&lt;M$2,VLOOKUP($G13,Depreciation!$A$14:$L$18,11,FALSE),0))</f>
        <v>3.343407856743718E-2</v>
      </c>
      <c r="N13" s="306">
        <f>+IF($H13=N$2,VLOOKUP($G13,Depreciation!$A$14:$L$18,12,FALSE)/2,IF($H13&lt;N$2,VLOOKUP($G13,Depreciation!$A$14:$L$18,12,FALSE),0))</f>
        <v>3.343407856743718E-2</v>
      </c>
      <c r="O13" s="307">
        <f t="shared" si="2"/>
        <v>38310664.454521075</v>
      </c>
      <c r="P13" s="732">
        <f>'Func Future Subs 2015'!P13</f>
        <v>0</v>
      </c>
      <c r="Q13" s="732">
        <f>'Func Future Subs 2015'!Q13</f>
        <v>1</v>
      </c>
      <c r="R13" s="732">
        <f>'Func Future Subs 2015'!R13</f>
        <v>0</v>
      </c>
      <c r="S13" s="735">
        <f t="shared" si="3"/>
        <v>0</v>
      </c>
      <c r="T13" s="735">
        <f t="shared" si="4"/>
        <v>38310664.454521075</v>
      </c>
      <c r="U13" s="735">
        <f t="shared" si="5"/>
        <v>0</v>
      </c>
      <c r="V13" s="736">
        <f t="shared" si="6"/>
        <v>0</v>
      </c>
      <c r="W13" s="735">
        <f t="shared" si="7"/>
        <v>0</v>
      </c>
      <c r="X13" s="737">
        <f t="shared" si="8"/>
        <v>0</v>
      </c>
      <c r="Y13" s="738">
        <f t="shared" si="9"/>
        <v>38310664.454521075</v>
      </c>
    </row>
    <row r="14" spans="1:30">
      <c r="A14" s="754" t="str">
        <f>'Func Future Subs 2015'!A14</f>
        <v>Deerland 013S</v>
      </c>
      <c r="B14" s="754">
        <f>'Func Future Subs 2015'!B14</f>
        <v>559</v>
      </c>
      <c r="C14" s="754">
        <f>'Func Future Subs 2015'!C14</f>
        <v>240</v>
      </c>
      <c r="D14" s="754">
        <f>'Func Future Subs 2015'!D14</f>
        <v>138</v>
      </c>
      <c r="E14" s="754" t="str">
        <f>'Func Future Subs 2015'!E14</f>
        <v>13S</v>
      </c>
      <c r="F14" s="754">
        <f>'Func Future Subs 2015'!F14</f>
        <v>5142.2812693605028</v>
      </c>
      <c r="G14" s="754" t="str">
        <f>'Func Future Subs 2015'!G14</f>
        <v>AltaLink</v>
      </c>
      <c r="H14" s="754">
        <f>'Func Future Subs 2015'!H14</f>
        <v>2015</v>
      </c>
      <c r="I14" s="306">
        <f>+IF($H14=I$2,VLOOKUP($G14,Depreciation!$A$14:$L$18,7,FALSE)/2,IF($H14&lt;I$2,VLOOKUP($G14,Depreciation!$A$14:$L$18,7,FALSE),0))</f>
        <v>1.7228380322441735E-2</v>
      </c>
      <c r="J14" s="306">
        <f>+IF($H14=J$2,VLOOKUP($G14,Depreciation!$A$14:$L$18,8,FALSE)/2,IF($H14&lt;J$2,VLOOKUP($G14,Depreciation!$A$14:$L$18,8,FALSE),0))</f>
        <v>3.343407856743718E-2</v>
      </c>
      <c r="K14" s="306">
        <f>+IF($H14=K$2,VLOOKUP($G14,Depreciation!$A$14:$L$18,9,FALSE)/2,IF($H14&lt;K$2,VLOOKUP($G14,Depreciation!$A$14:$L$18,9,FALSE),0))</f>
        <v>3.343407856743718E-2</v>
      </c>
      <c r="L14" s="306">
        <f>+IF($H14=L$2,VLOOKUP($G14,Depreciation!$A$14:$L$18,10,FALSE)/2,IF($H14&lt;L$2,VLOOKUP($G14,Depreciation!$A$14:$L$18,10,FALSE),0))</f>
        <v>3.343407856743718E-2</v>
      </c>
      <c r="M14" s="306">
        <f>+IF($H14=M$2,VLOOKUP($G14,Depreciation!$A$14:$L$18,11,FALSE)/2,IF($H14&lt;M$2,VLOOKUP($G14,Depreciation!$A$14:$L$18,11,FALSE),0))</f>
        <v>3.343407856743718E-2</v>
      </c>
      <c r="N14" s="306">
        <f>+IF($H14=N$2,VLOOKUP($G14,Depreciation!$A$14:$L$18,12,FALSE)/2,IF($H14&lt;N$2,VLOOKUP($G14,Depreciation!$A$14:$L$18,12,FALSE),0))</f>
        <v>3.343407856743718E-2</v>
      </c>
      <c r="O14" s="307">
        <f t="shared" si="2"/>
        <v>4884.7226872061829</v>
      </c>
      <c r="P14" s="732">
        <f>'Func Future Subs 2015'!P14</f>
        <v>0</v>
      </c>
      <c r="Q14" s="732">
        <f>'Func Future Subs 2015'!Q14</f>
        <v>0</v>
      </c>
      <c r="R14" s="732">
        <f>'Func Future Subs 2015'!R14</f>
        <v>1</v>
      </c>
      <c r="S14" s="735">
        <f t="shared" si="3"/>
        <v>0</v>
      </c>
      <c r="T14" s="735">
        <f t="shared" si="4"/>
        <v>0</v>
      </c>
      <c r="U14" s="735">
        <f t="shared" si="5"/>
        <v>4884.7226872061829</v>
      </c>
      <c r="V14" s="736">
        <f t="shared" si="6"/>
        <v>0</v>
      </c>
      <c r="W14" s="735">
        <f t="shared" si="7"/>
        <v>0</v>
      </c>
      <c r="X14" s="737">
        <f t="shared" si="8"/>
        <v>4884.7226872061829</v>
      </c>
      <c r="Y14" s="738">
        <f t="shared" si="9"/>
        <v>0</v>
      </c>
    </row>
    <row r="15" spans="1:30">
      <c r="A15" s="754" t="str">
        <f>'Func Future Subs 2015'!A15</f>
        <v>Lamoureux 071S</v>
      </c>
      <c r="B15" s="754">
        <f>'Func Future Subs 2015'!B15</f>
        <v>559</v>
      </c>
      <c r="C15" s="754">
        <f>'Func Future Subs 2015'!C15</f>
        <v>240</v>
      </c>
      <c r="D15" s="754">
        <f>'Func Future Subs 2015'!D15</f>
        <v>138</v>
      </c>
      <c r="E15" s="754" t="str">
        <f>'Func Future Subs 2015'!E15</f>
        <v>71S</v>
      </c>
      <c r="F15" s="754">
        <f>'Func Future Subs 2015'!F15</f>
        <v>80730.150925862225</v>
      </c>
      <c r="G15" s="754" t="str">
        <f>'Func Future Subs 2015'!G15</f>
        <v>AltaLink</v>
      </c>
      <c r="H15" s="754">
        <f>'Func Future Subs 2015'!H15</f>
        <v>2015</v>
      </c>
      <c r="I15" s="306">
        <f>+IF($H15=I$2,VLOOKUP($G15,Depreciation!$A$14:$L$18,7,FALSE)/2,IF($H15&lt;I$2,VLOOKUP($G15,Depreciation!$A$14:$L$18,7,FALSE),0))</f>
        <v>1.7228380322441735E-2</v>
      </c>
      <c r="J15" s="306">
        <f>+IF($H15=J$2,VLOOKUP($G15,Depreciation!$A$14:$L$18,8,FALSE)/2,IF($H15&lt;J$2,VLOOKUP($G15,Depreciation!$A$14:$L$18,8,FALSE),0))</f>
        <v>3.343407856743718E-2</v>
      </c>
      <c r="K15" s="306">
        <f>+IF($H15=K$2,VLOOKUP($G15,Depreciation!$A$14:$L$18,9,FALSE)/2,IF($H15&lt;K$2,VLOOKUP($G15,Depreciation!$A$14:$L$18,9,FALSE),0))</f>
        <v>3.343407856743718E-2</v>
      </c>
      <c r="L15" s="306">
        <f>+IF($H15=L$2,VLOOKUP($G15,Depreciation!$A$14:$L$18,10,FALSE)/2,IF($H15&lt;L$2,VLOOKUP($G15,Depreciation!$A$14:$L$18,10,FALSE),0))</f>
        <v>3.343407856743718E-2</v>
      </c>
      <c r="M15" s="306">
        <f>+IF($H15=M$2,VLOOKUP($G15,Depreciation!$A$14:$L$18,11,FALSE)/2,IF($H15&lt;M$2,VLOOKUP($G15,Depreciation!$A$14:$L$18,11,FALSE),0))</f>
        <v>3.343407856743718E-2</v>
      </c>
      <c r="N15" s="306">
        <f>+IF($H15=N$2,VLOOKUP($G15,Depreciation!$A$14:$L$18,12,FALSE)/2,IF($H15&lt;N$2,VLOOKUP($G15,Depreciation!$A$14:$L$18,12,FALSE),0))</f>
        <v>3.343407856743718E-2</v>
      </c>
      <c r="O15" s="307">
        <f t="shared" si="2"/>
        <v>76686.664753011326</v>
      </c>
      <c r="P15" s="732">
        <f>'Func Future Subs 2015'!P15</f>
        <v>0</v>
      </c>
      <c r="Q15" s="732">
        <f>'Func Future Subs 2015'!Q15</f>
        <v>0</v>
      </c>
      <c r="R15" s="732">
        <f>'Func Future Subs 2015'!R15</f>
        <v>1</v>
      </c>
      <c r="S15" s="735">
        <f t="shared" si="3"/>
        <v>0</v>
      </c>
      <c r="T15" s="735">
        <f t="shared" si="4"/>
        <v>0</v>
      </c>
      <c r="U15" s="735">
        <f t="shared" si="5"/>
        <v>76686.664753011326</v>
      </c>
      <c r="V15" s="736">
        <f t="shared" si="6"/>
        <v>0</v>
      </c>
      <c r="W15" s="735">
        <f t="shared" si="7"/>
        <v>0</v>
      </c>
      <c r="X15" s="737">
        <f t="shared" si="8"/>
        <v>76686.664753011326</v>
      </c>
      <c r="Y15" s="738">
        <f t="shared" si="9"/>
        <v>0</v>
      </c>
    </row>
    <row r="16" spans="1:30">
      <c r="A16" s="754" t="str">
        <f>'Func Future Subs 2015'!A16</f>
        <v>Bannerman 681S</v>
      </c>
      <c r="B16" s="754">
        <f>'Func Future Subs 2015'!B16</f>
        <v>629</v>
      </c>
      <c r="C16" s="754">
        <f>'Func Future Subs 2015'!C16</f>
        <v>240</v>
      </c>
      <c r="D16" s="754">
        <f>'Func Future Subs 2015'!D16</f>
        <v>25</v>
      </c>
      <c r="E16" s="754" t="str">
        <f>'Func Future Subs 2015'!E16</f>
        <v>681S</v>
      </c>
      <c r="F16" s="754">
        <f>'Func Future Subs 2015'!F16</f>
        <v>10135.432206033322</v>
      </c>
      <c r="G16" s="754" t="str">
        <f>'Func Future Subs 2015'!G16</f>
        <v>AltaLink</v>
      </c>
      <c r="H16" s="754">
        <f>'Func Future Subs 2015'!H16</f>
        <v>2015</v>
      </c>
      <c r="I16" s="306">
        <f>+IF($H16=I$2,VLOOKUP($G16,Depreciation!$A$14:$L$18,7,FALSE)/2,IF($H16&lt;I$2,VLOOKUP($G16,Depreciation!$A$14:$L$18,7,FALSE),0))</f>
        <v>1.7228380322441735E-2</v>
      </c>
      <c r="J16" s="306">
        <f>+IF($H16=J$2,VLOOKUP($G16,Depreciation!$A$14:$L$18,8,FALSE)/2,IF($H16&lt;J$2,VLOOKUP($G16,Depreciation!$A$14:$L$18,8,FALSE),0))</f>
        <v>3.343407856743718E-2</v>
      </c>
      <c r="K16" s="306">
        <f>+IF($H16=K$2,VLOOKUP($G16,Depreciation!$A$14:$L$18,9,FALSE)/2,IF($H16&lt;K$2,VLOOKUP($G16,Depreciation!$A$14:$L$18,9,FALSE),0))</f>
        <v>3.343407856743718E-2</v>
      </c>
      <c r="L16" s="306">
        <f>+IF($H16=L$2,VLOOKUP($G16,Depreciation!$A$14:$L$18,10,FALSE)/2,IF($H16&lt;L$2,VLOOKUP($G16,Depreciation!$A$14:$L$18,10,FALSE),0))</f>
        <v>3.343407856743718E-2</v>
      </c>
      <c r="M16" s="306">
        <f>+IF($H16=M$2,VLOOKUP($G16,Depreciation!$A$14:$L$18,11,FALSE)/2,IF($H16&lt;M$2,VLOOKUP($G16,Depreciation!$A$14:$L$18,11,FALSE),0))</f>
        <v>3.343407856743718E-2</v>
      </c>
      <c r="N16" s="306">
        <f>+IF($H16=N$2,VLOOKUP($G16,Depreciation!$A$14:$L$18,12,FALSE)/2,IF($H16&lt;N$2,VLOOKUP($G16,Depreciation!$A$14:$L$18,12,FALSE),0))</f>
        <v>3.343407856743718E-2</v>
      </c>
      <c r="O16" s="307">
        <f t="shared" si="2"/>
        <v>9627.7844497619462</v>
      </c>
      <c r="P16" s="732">
        <f>'Func Future Subs 2015'!P16</f>
        <v>0</v>
      </c>
      <c r="Q16" s="732">
        <f>'Func Future Subs 2015'!Q16</f>
        <v>1</v>
      </c>
      <c r="R16" s="732">
        <f>'Func Future Subs 2015'!R16</f>
        <v>0</v>
      </c>
      <c r="S16" s="735">
        <f t="shared" si="3"/>
        <v>0</v>
      </c>
      <c r="T16" s="735">
        <f t="shared" si="4"/>
        <v>9627.7844497619462</v>
      </c>
      <c r="U16" s="735">
        <f t="shared" si="5"/>
        <v>0</v>
      </c>
      <c r="V16" s="736">
        <f t="shared" si="6"/>
        <v>0</v>
      </c>
      <c r="W16" s="735">
        <f t="shared" si="7"/>
        <v>0</v>
      </c>
      <c r="X16" s="737">
        <f t="shared" si="8"/>
        <v>0</v>
      </c>
      <c r="Y16" s="738">
        <f t="shared" si="9"/>
        <v>9627.7844497619462</v>
      </c>
    </row>
    <row r="17" spans="1:25">
      <c r="A17" s="754" t="str">
        <f>'Func Future Subs 2015'!A17</f>
        <v>Deerland 013S</v>
      </c>
      <c r="B17" s="754">
        <f>'Func Future Subs 2015'!B17</f>
        <v>629</v>
      </c>
      <c r="C17" s="754">
        <f>'Func Future Subs 2015'!C17</f>
        <v>240</v>
      </c>
      <c r="D17" s="754">
        <f>'Func Future Subs 2015'!D17</f>
        <v>138</v>
      </c>
      <c r="E17" s="754" t="str">
        <f>'Func Future Subs 2015'!E17</f>
        <v>13S</v>
      </c>
      <c r="F17" s="754">
        <f>'Func Future Subs 2015'!F17</f>
        <v>516260.4179627226</v>
      </c>
      <c r="G17" s="754" t="str">
        <f>'Func Future Subs 2015'!G17</f>
        <v>AltaLink</v>
      </c>
      <c r="H17" s="754">
        <f>'Func Future Subs 2015'!H17</f>
        <v>2015</v>
      </c>
      <c r="I17" s="306">
        <f>+IF($H17=I$2,VLOOKUP($G17,Depreciation!$A$14:$L$18,7,FALSE)/2,IF($H17&lt;I$2,VLOOKUP($G17,Depreciation!$A$14:$L$18,7,FALSE),0))</f>
        <v>1.7228380322441735E-2</v>
      </c>
      <c r="J17" s="306">
        <f>+IF($H17=J$2,VLOOKUP($G17,Depreciation!$A$14:$L$18,8,FALSE)/2,IF($H17&lt;J$2,VLOOKUP($G17,Depreciation!$A$14:$L$18,8,FALSE),0))</f>
        <v>3.343407856743718E-2</v>
      </c>
      <c r="K17" s="306">
        <f>+IF($H17=K$2,VLOOKUP($G17,Depreciation!$A$14:$L$18,9,FALSE)/2,IF($H17&lt;K$2,VLOOKUP($G17,Depreciation!$A$14:$L$18,9,FALSE),0))</f>
        <v>3.343407856743718E-2</v>
      </c>
      <c r="L17" s="306">
        <f>+IF($H17=L$2,VLOOKUP($G17,Depreciation!$A$14:$L$18,10,FALSE)/2,IF($H17&lt;L$2,VLOOKUP($G17,Depreciation!$A$14:$L$18,10,FALSE),0))</f>
        <v>3.343407856743718E-2</v>
      </c>
      <c r="M17" s="306">
        <f>+IF($H17=M$2,VLOOKUP($G17,Depreciation!$A$14:$L$18,11,FALSE)/2,IF($H17&lt;M$2,VLOOKUP($G17,Depreciation!$A$14:$L$18,11,FALSE),0))</f>
        <v>3.343407856743718E-2</v>
      </c>
      <c r="N17" s="306">
        <f>+IF($H17=N$2,VLOOKUP($G17,Depreciation!$A$14:$L$18,12,FALSE)/2,IF($H17&lt;N$2,VLOOKUP($G17,Depreciation!$A$14:$L$18,12,FALSE),0))</f>
        <v>3.343407856743718E-2</v>
      </c>
      <c r="O17" s="307">
        <f t="shared" si="2"/>
        <v>490402.76951685851</v>
      </c>
      <c r="P17" s="732">
        <f>'Func Future Subs 2015'!P17</f>
        <v>0</v>
      </c>
      <c r="Q17" s="732">
        <f>'Func Future Subs 2015'!Q17</f>
        <v>0</v>
      </c>
      <c r="R17" s="732">
        <f>'Func Future Subs 2015'!R17</f>
        <v>1</v>
      </c>
      <c r="S17" s="735">
        <f t="shared" si="3"/>
        <v>0</v>
      </c>
      <c r="T17" s="735">
        <f t="shared" si="4"/>
        <v>0</v>
      </c>
      <c r="U17" s="735">
        <f t="shared" si="5"/>
        <v>490402.76951685851</v>
      </c>
      <c r="V17" s="736">
        <f t="shared" si="6"/>
        <v>0</v>
      </c>
      <c r="W17" s="735">
        <f t="shared" si="7"/>
        <v>0</v>
      </c>
      <c r="X17" s="737">
        <f t="shared" si="8"/>
        <v>490402.76951685851</v>
      </c>
      <c r="Y17" s="738">
        <f t="shared" si="9"/>
        <v>0</v>
      </c>
    </row>
    <row r="18" spans="1:25">
      <c r="A18" s="754" t="str">
        <f>'Func Future Subs 2015'!A18</f>
        <v>Ellerslie 089S</v>
      </c>
      <c r="B18" s="754">
        <f>'Func Future Subs 2015'!B18</f>
        <v>629</v>
      </c>
      <c r="C18" s="754">
        <f>'Func Future Subs 2015'!C18</f>
        <v>500</v>
      </c>
      <c r="D18" s="754">
        <f>'Func Future Subs 2015'!D18</f>
        <v>240</v>
      </c>
      <c r="E18" s="754" t="str">
        <f>'Func Future Subs 2015'!E18</f>
        <v>89S</v>
      </c>
      <c r="F18" s="754">
        <f>'Func Future Subs 2015'!F18</f>
        <v>23778913.961869717</v>
      </c>
      <c r="G18" s="754" t="str">
        <f>'Func Future Subs 2015'!G18</f>
        <v>AltaLink</v>
      </c>
      <c r="H18" s="754">
        <f>'Func Future Subs 2015'!H18</f>
        <v>2015</v>
      </c>
      <c r="I18" s="306">
        <f>+IF($H18=I$2,VLOOKUP($G18,Depreciation!$A$14:$L$18,7,FALSE)/2,IF($H18&lt;I$2,VLOOKUP($G18,Depreciation!$A$14:$L$18,7,FALSE),0))</f>
        <v>1.7228380322441735E-2</v>
      </c>
      <c r="J18" s="306">
        <f>+IF($H18=J$2,VLOOKUP($G18,Depreciation!$A$14:$L$18,8,FALSE)/2,IF($H18&lt;J$2,VLOOKUP($G18,Depreciation!$A$14:$L$18,8,FALSE),0))</f>
        <v>3.343407856743718E-2</v>
      </c>
      <c r="K18" s="306">
        <f>+IF($H18=K$2,VLOOKUP($G18,Depreciation!$A$14:$L$18,9,FALSE)/2,IF($H18&lt;K$2,VLOOKUP($G18,Depreciation!$A$14:$L$18,9,FALSE),0))</f>
        <v>3.343407856743718E-2</v>
      </c>
      <c r="L18" s="306">
        <f>+IF($H18=L$2,VLOOKUP($G18,Depreciation!$A$14:$L$18,10,FALSE)/2,IF($H18&lt;L$2,VLOOKUP($G18,Depreciation!$A$14:$L$18,10,FALSE),0))</f>
        <v>3.343407856743718E-2</v>
      </c>
      <c r="M18" s="306">
        <f>+IF($H18=M$2,VLOOKUP($G18,Depreciation!$A$14:$L$18,11,FALSE)/2,IF($H18&lt;M$2,VLOOKUP($G18,Depreciation!$A$14:$L$18,11,FALSE),0))</f>
        <v>3.343407856743718E-2</v>
      </c>
      <c r="N18" s="306">
        <f>+IF($H18=N$2,VLOOKUP($G18,Depreciation!$A$14:$L$18,12,FALSE)/2,IF($H18&lt;N$2,VLOOKUP($G18,Depreciation!$A$14:$L$18,12,FALSE),0))</f>
        <v>3.343407856743718E-2</v>
      </c>
      <c r="O18" s="307">
        <f t="shared" si="2"/>
        <v>22587912.722462527</v>
      </c>
      <c r="P18" s="732">
        <f>'Func Future Subs 2015'!P18</f>
        <v>0</v>
      </c>
      <c r="Q18" s="732">
        <f>'Func Future Subs 2015'!Q18</f>
        <v>0</v>
      </c>
      <c r="R18" s="732">
        <f>'Func Future Subs 2015'!R18</f>
        <v>1</v>
      </c>
      <c r="S18" s="735">
        <f t="shared" si="3"/>
        <v>0</v>
      </c>
      <c r="T18" s="735">
        <f t="shared" si="4"/>
        <v>0</v>
      </c>
      <c r="U18" s="735">
        <f t="shared" si="5"/>
        <v>22587912.722462527</v>
      </c>
      <c r="V18" s="736">
        <f t="shared" si="6"/>
        <v>0</v>
      </c>
      <c r="W18" s="735">
        <f t="shared" si="7"/>
        <v>22587912.722462527</v>
      </c>
      <c r="X18" s="737">
        <f t="shared" si="8"/>
        <v>0</v>
      </c>
      <c r="Y18" s="738">
        <f t="shared" si="9"/>
        <v>0</v>
      </c>
    </row>
    <row r="19" spans="1:25">
      <c r="A19" s="754" t="str">
        <f>'Func Future Subs 2015'!A19</f>
        <v>Heartland 012S_(v199)</v>
      </c>
      <c r="B19" s="754">
        <f>'Func Future Subs 2015'!B19</f>
        <v>629</v>
      </c>
      <c r="C19" s="754">
        <f>'Func Future Subs 2015'!C19</f>
        <v>500</v>
      </c>
      <c r="D19" s="754">
        <f>'Func Future Subs 2015'!D19</f>
        <v>240</v>
      </c>
      <c r="E19" s="754" t="str">
        <f>'Func Future Subs 2015'!E19</f>
        <v>12S</v>
      </c>
      <c r="F19" s="754">
        <f>'Func Future Subs 2015'!F19</f>
        <v>66671500.436580472</v>
      </c>
      <c r="G19" s="754" t="str">
        <f>'Func Future Subs 2015'!G19</f>
        <v>AltaLink</v>
      </c>
      <c r="H19" s="754">
        <f>'Func Future Subs 2015'!H19</f>
        <v>2015</v>
      </c>
      <c r="I19" s="306">
        <f>+IF($H19=I$2,VLOOKUP($G19,Depreciation!$A$14:$L$18,7,FALSE)/2,IF($H19&lt;I$2,VLOOKUP($G19,Depreciation!$A$14:$L$18,7,FALSE),0))</f>
        <v>1.7228380322441735E-2</v>
      </c>
      <c r="J19" s="306">
        <f>+IF($H19=J$2,VLOOKUP($G19,Depreciation!$A$14:$L$18,8,FALSE)/2,IF($H19&lt;J$2,VLOOKUP($G19,Depreciation!$A$14:$L$18,8,FALSE),0))</f>
        <v>3.343407856743718E-2</v>
      </c>
      <c r="K19" s="306">
        <f>+IF($H19=K$2,VLOOKUP($G19,Depreciation!$A$14:$L$18,9,FALSE)/2,IF($H19&lt;K$2,VLOOKUP($G19,Depreciation!$A$14:$L$18,9,FALSE),0))</f>
        <v>3.343407856743718E-2</v>
      </c>
      <c r="L19" s="306">
        <f>+IF($H19=L$2,VLOOKUP($G19,Depreciation!$A$14:$L$18,10,FALSE)/2,IF($H19&lt;L$2,VLOOKUP($G19,Depreciation!$A$14:$L$18,10,FALSE),0))</f>
        <v>3.343407856743718E-2</v>
      </c>
      <c r="M19" s="306">
        <f>+IF($H19=M$2,VLOOKUP($G19,Depreciation!$A$14:$L$18,11,FALSE)/2,IF($H19&lt;M$2,VLOOKUP($G19,Depreciation!$A$14:$L$18,11,FALSE),0))</f>
        <v>3.343407856743718E-2</v>
      </c>
      <c r="N19" s="306">
        <f>+IF($H19=N$2,VLOOKUP($G19,Depreciation!$A$14:$L$18,12,FALSE)/2,IF($H19&lt;N$2,VLOOKUP($G19,Depreciation!$A$14:$L$18,12,FALSE),0))</f>
        <v>3.343407856743718E-2</v>
      </c>
      <c r="O19" s="307">
        <f t="shared" si="2"/>
        <v>63332162.072329096</v>
      </c>
      <c r="P19" s="732">
        <f>'Func Future Subs 2015'!P19</f>
        <v>0</v>
      </c>
      <c r="Q19" s="732">
        <f>'Func Future Subs 2015'!Q19</f>
        <v>0</v>
      </c>
      <c r="R19" s="732">
        <f>'Func Future Subs 2015'!R19</f>
        <v>1</v>
      </c>
      <c r="S19" s="735">
        <f t="shared" si="3"/>
        <v>0</v>
      </c>
      <c r="T19" s="735">
        <f t="shared" si="4"/>
        <v>0</v>
      </c>
      <c r="U19" s="735">
        <f t="shared" si="5"/>
        <v>63332162.072329096</v>
      </c>
      <c r="V19" s="736">
        <f t="shared" si="6"/>
        <v>0</v>
      </c>
      <c r="W19" s="735">
        <f t="shared" si="7"/>
        <v>63332162.072329096</v>
      </c>
      <c r="X19" s="737">
        <f t="shared" si="8"/>
        <v>0</v>
      </c>
      <c r="Y19" s="738">
        <f t="shared" si="9"/>
        <v>0</v>
      </c>
    </row>
    <row r="20" spans="1:25">
      <c r="A20" s="754" t="str">
        <f>'Func Future Subs 2015'!A20</f>
        <v>Lamoureux 071S_(v199)</v>
      </c>
      <c r="B20" s="754">
        <f>'Func Future Subs 2015'!B20</f>
        <v>629</v>
      </c>
      <c r="C20" s="754">
        <f>'Func Future Subs 2015'!C20</f>
        <v>240</v>
      </c>
      <c r="D20" s="754">
        <f>'Func Future Subs 2015'!D20</f>
        <v>138</v>
      </c>
      <c r="E20" s="754" t="str">
        <f>'Func Future Subs 2015'!E20</f>
        <v>71S</v>
      </c>
      <c r="F20" s="754">
        <f>'Func Future Subs 2015'!F20</f>
        <v>706122.92894576001</v>
      </c>
      <c r="G20" s="754" t="str">
        <f>'Func Future Subs 2015'!G20</f>
        <v>AltaLink</v>
      </c>
      <c r="H20" s="754">
        <f>'Func Future Subs 2015'!H20</f>
        <v>2015</v>
      </c>
      <c r="I20" s="306">
        <f>+IF($H20=I$2,VLOOKUP($G20,Depreciation!$A$14:$L$18,7,FALSE)/2,IF($H20&lt;I$2,VLOOKUP($G20,Depreciation!$A$14:$L$18,7,FALSE),0))</f>
        <v>1.7228380322441735E-2</v>
      </c>
      <c r="J20" s="306">
        <f>+IF($H20=J$2,VLOOKUP($G20,Depreciation!$A$14:$L$18,8,FALSE)/2,IF($H20&lt;J$2,VLOOKUP($G20,Depreciation!$A$14:$L$18,8,FALSE),0))</f>
        <v>3.343407856743718E-2</v>
      </c>
      <c r="K20" s="306">
        <f>+IF($H20=K$2,VLOOKUP($G20,Depreciation!$A$14:$L$18,9,FALSE)/2,IF($H20&lt;K$2,VLOOKUP($G20,Depreciation!$A$14:$L$18,9,FALSE),0))</f>
        <v>3.343407856743718E-2</v>
      </c>
      <c r="L20" s="306">
        <f>+IF($H20=L$2,VLOOKUP($G20,Depreciation!$A$14:$L$18,10,FALSE)/2,IF($H20&lt;L$2,VLOOKUP($G20,Depreciation!$A$14:$L$18,10,FALSE),0))</f>
        <v>3.343407856743718E-2</v>
      </c>
      <c r="M20" s="306">
        <f>+IF($H20=M$2,VLOOKUP($G20,Depreciation!$A$14:$L$18,11,FALSE)/2,IF($H20&lt;M$2,VLOOKUP($G20,Depreciation!$A$14:$L$18,11,FALSE),0))</f>
        <v>3.343407856743718E-2</v>
      </c>
      <c r="N20" s="306">
        <f>+IF($H20=N$2,VLOOKUP($G20,Depreciation!$A$14:$L$18,12,FALSE)/2,IF($H20&lt;N$2,VLOOKUP($G20,Depreciation!$A$14:$L$18,12,FALSE),0))</f>
        <v>3.343407856743718E-2</v>
      </c>
      <c r="O20" s="307">
        <f t="shared" si="2"/>
        <v>670755.7425007947</v>
      </c>
      <c r="P20" s="732">
        <f>'Func Future Subs 2015'!P20</f>
        <v>0</v>
      </c>
      <c r="Q20" s="732">
        <f>'Func Future Subs 2015'!Q20</f>
        <v>0</v>
      </c>
      <c r="R20" s="732">
        <f>'Func Future Subs 2015'!R20</f>
        <v>1</v>
      </c>
      <c r="S20" s="735">
        <f t="shared" si="3"/>
        <v>0</v>
      </c>
      <c r="T20" s="735">
        <f t="shared" si="4"/>
        <v>0</v>
      </c>
      <c r="U20" s="735">
        <f t="shared" si="5"/>
        <v>670755.7425007947</v>
      </c>
      <c r="V20" s="736">
        <f t="shared" si="6"/>
        <v>0</v>
      </c>
      <c r="W20" s="735">
        <f t="shared" si="7"/>
        <v>0</v>
      </c>
      <c r="X20" s="737">
        <f t="shared" si="8"/>
        <v>670755.7425007947</v>
      </c>
      <c r="Y20" s="738">
        <f t="shared" si="9"/>
        <v>0</v>
      </c>
    </row>
    <row r="21" spans="1:25">
      <c r="A21" s="754" t="str">
        <f>'Func Future Subs 2015'!A21</f>
        <v>Mother Moutain 2055S Switching Substation</v>
      </c>
      <c r="B21" s="754">
        <f>'Func Future Subs 2015'!B21</f>
        <v>635</v>
      </c>
      <c r="C21" s="754">
        <f>'Func Future Subs 2015'!C21</f>
        <v>240</v>
      </c>
      <c r="D21" s="754">
        <f>'Func Future Subs 2015'!D21</f>
        <v>240</v>
      </c>
      <c r="E21" s="754" t="str">
        <f>'Func Future Subs 2015'!E21</f>
        <v>2055S</v>
      </c>
      <c r="F21" s="754">
        <f>'Func Future Subs 2015'!F21</f>
        <v>17584069.1948951</v>
      </c>
      <c r="G21" s="754" t="str">
        <f>'Func Future Subs 2015'!G21</f>
        <v>ATCO</v>
      </c>
      <c r="H21" s="754">
        <f>'Func Future Subs 2015'!H21</f>
        <v>2019</v>
      </c>
      <c r="I21" s="306">
        <f>+IF($H21=I$2,VLOOKUP($G21,Depreciation!$A$14:$L$18,7,FALSE)/2,IF($H21&lt;I$2,VLOOKUP($G21,Depreciation!$A$14:$L$18,7,FALSE),0))</f>
        <v>0</v>
      </c>
      <c r="J21" s="306">
        <f>+IF($H21=J$2,VLOOKUP($G21,Depreciation!$A$14:$L$18,8,FALSE)/2,IF($H21&lt;J$2,VLOOKUP($G21,Depreciation!$A$14:$L$18,8,FALSE),0))</f>
        <v>0</v>
      </c>
      <c r="K21" s="306">
        <f>+IF($H21=K$2,VLOOKUP($G21,Depreciation!$A$14:$L$18,9,FALSE)/2,IF($H21&lt;K$2,VLOOKUP($G21,Depreciation!$A$14:$L$18,9,FALSE),0))</f>
        <v>0</v>
      </c>
      <c r="L21" s="306">
        <f>+IF($H21=L$2,VLOOKUP($G21,Depreciation!$A$14:$L$18,10,FALSE)/2,IF($H21&lt;L$2,VLOOKUP($G21,Depreciation!$A$14:$L$18,10,FALSE),0))</f>
        <v>0</v>
      </c>
      <c r="M21" s="306">
        <f>+IF($H21=M$2,VLOOKUP($G21,Depreciation!$A$14:$L$18,11,FALSE)/2,IF($H21&lt;M$2,VLOOKUP($G21,Depreciation!$A$14:$L$18,11,FALSE),0))</f>
        <v>1.2175768213899416E-2</v>
      </c>
      <c r="N21" s="306">
        <f>+IF($H21=N$2,VLOOKUP($G21,Depreciation!$A$14:$L$18,12,FALSE)/2,IF($H21&lt;N$2,VLOOKUP($G21,Depreciation!$A$14:$L$18,12,FALSE),0))</f>
        <v>2.4351536427798831E-2</v>
      </c>
      <c r="O21" s="307">
        <f t="shared" si="2"/>
        <v>0</v>
      </c>
      <c r="P21" s="732">
        <f>'Func Future Subs 2015'!P21</f>
        <v>0</v>
      </c>
      <c r="Q21" s="732">
        <f>'Func Future Subs 2015'!Q21</f>
        <v>0</v>
      </c>
      <c r="R21" s="732">
        <f>'Func Future Subs 2015'!R21</f>
        <v>1</v>
      </c>
      <c r="S21" s="735">
        <f t="shared" si="3"/>
        <v>0</v>
      </c>
      <c r="T21" s="735">
        <f t="shared" si="4"/>
        <v>0</v>
      </c>
      <c r="U21" s="735">
        <f t="shared" si="5"/>
        <v>0</v>
      </c>
      <c r="V21" s="736">
        <f t="shared" si="6"/>
        <v>0</v>
      </c>
      <c r="W21" s="735">
        <f t="shared" si="7"/>
        <v>0</v>
      </c>
      <c r="X21" s="737">
        <f t="shared" si="8"/>
        <v>0</v>
      </c>
      <c r="Y21" s="738">
        <f t="shared" si="9"/>
        <v>0</v>
      </c>
    </row>
    <row r="22" spans="1:25">
      <c r="A22" s="754" t="str">
        <f>'Func Future Subs 2015'!A22</f>
        <v>Coyote Lake 963S version 2</v>
      </c>
      <c r="B22" s="754">
        <f>'Func Future Subs 2015'!B22</f>
        <v>678</v>
      </c>
      <c r="C22" s="754">
        <f>'Func Future Subs 2015'!C22</f>
        <v>240</v>
      </c>
      <c r="D22" s="754">
        <f>'Func Future Subs 2015'!D22</f>
        <v>138</v>
      </c>
      <c r="E22" s="754" t="str">
        <f>'Func Future Subs 2015'!E22</f>
        <v>963S</v>
      </c>
      <c r="F22" s="754">
        <f>'Func Future Subs 2015'!F22</f>
        <v>5823406.5519853365</v>
      </c>
      <c r="G22" s="754" t="str">
        <f>'Func Future Subs 2015'!G22</f>
        <v>ATCO</v>
      </c>
      <c r="H22" s="754">
        <f>'Func Future Subs 2015'!H22</f>
        <v>2018</v>
      </c>
      <c r="I22" s="306">
        <f>+IF($H22=I$2,VLOOKUP($G22,Depreciation!$A$14:$L$18,7,FALSE)/2,IF($H22&lt;I$2,VLOOKUP($G22,Depreciation!$A$14:$L$18,7,FALSE),0))</f>
        <v>0</v>
      </c>
      <c r="J22" s="306">
        <f>+IF($H22=J$2,VLOOKUP($G22,Depreciation!$A$14:$L$18,8,FALSE)/2,IF($H22&lt;J$2,VLOOKUP($G22,Depreciation!$A$14:$L$18,8,FALSE),0))</f>
        <v>0</v>
      </c>
      <c r="K22" s="306">
        <f>+IF($H22=K$2,VLOOKUP($G22,Depreciation!$A$14:$L$18,9,FALSE)/2,IF($H22&lt;K$2,VLOOKUP($G22,Depreciation!$A$14:$L$18,9,FALSE),0))</f>
        <v>0</v>
      </c>
      <c r="L22" s="306">
        <f>+IF($H22=L$2,VLOOKUP($G22,Depreciation!$A$14:$L$18,10,FALSE)/2,IF($H22&lt;L$2,VLOOKUP($G22,Depreciation!$A$14:$L$18,10,FALSE),0))</f>
        <v>1.2175768213899416E-2</v>
      </c>
      <c r="M22" s="306">
        <f>+IF($H22=M$2,VLOOKUP($G22,Depreciation!$A$14:$L$18,11,FALSE)/2,IF($H22&lt;M$2,VLOOKUP($G22,Depreciation!$A$14:$L$18,11,FALSE),0))</f>
        <v>2.4351536427798831E-2</v>
      </c>
      <c r="N22" s="306">
        <f>+IF($H22=N$2,VLOOKUP($G22,Depreciation!$A$14:$L$18,12,FALSE)/2,IF($H22&lt;N$2,VLOOKUP($G22,Depreciation!$A$14:$L$18,12,FALSE),0))</f>
        <v>2.4351536427798831E-2</v>
      </c>
      <c r="O22" s="307">
        <f t="shared" si="2"/>
        <v>0</v>
      </c>
      <c r="P22" s="732">
        <f>'Func Future Subs 2015'!P22</f>
        <v>0</v>
      </c>
      <c r="Q22" s="732">
        <f>'Func Future Subs 2015'!Q22</f>
        <v>0</v>
      </c>
      <c r="R22" s="732">
        <f>'Func Future Subs 2015'!R22</f>
        <v>1</v>
      </c>
      <c r="S22" s="735">
        <f t="shared" si="3"/>
        <v>0</v>
      </c>
      <c r="T22" s="735">
        <f t="shared" si="4"/>
        <v>0</v>
      </c>
      <c r="U22" s="735">
        <f t="shared" si="5"/>
        <v>0</v>
      </c>
      <c r="V22" s="736">
        <f t="shared" si="6"/>
        <v>0</v>
      </c>
      <c r="W22" s="735">
        <f t="shared" si="7"/>
        <v>0</v>
      </c>
      <c r="X22" s="737">
        <f t="shared" si="8"/>
        <v>0</v>
      </c>
      <c r="Y22" s="738">
        <f t="shared" si="9"/>
        <v>0</v>
      </c>
    </row>
    <row r="23" spans="1:25">
      <c r="A23" s="754" t="str">
        <f>'Func Future Subs 2015'!A23</f>
        <v>Cassils 324S_(v1)</v>
      </c>
      <c r="B23" s="754">
        <f>'Func Future Subs 2015'!B23</f>
        <v>693</v>
      </c>
      <c r="C23" s="754">
        <f>'Func Future Subs 2015'!C23</f>
        <v>240</v>
      </c>
      <c r="D23" s="754">
        <f>'Func Future Subs 2015'!D23</f>
        <v>240</v>
      </c>
      <c r="E23" s="754" t="str">
        <f>'Func Future Subs 2015'!E23</f>
        <v>324S</v>
      </c>
      <c r="F23" s="754">
        <f>'Func Future Subs 2015'!F23</f>
        <v>113408.37728544539</v>
      </c>
      <c r="G23" s="754" t="str">
        <f>'Func Future Subs 2015'!G23</f>
        <v>AltaLink</v>
      </c>
      <c r="H23" s="754">
        <f>'Func Future Subs 2015'!H23</f>
        <v>2019</v>
      </c>
      <c r="I23" s="306">
        <f>+IF($H23=I$2,VLOOKUP($G23,Depreciation!$A$14:$L$18,7,FALSE)/2,IF($H23&lt;I$2,VLOOKUP($G23,Depreciation!$A$14:$L$18,7,FALSE),0))</f>
        <v>0</v>
      </c>
      <c r="J23" s="306">
        <f>+IF($H23=J$2,VLOOKUP($G23,Depreciation!$A$14:$L$18,8,FALSE)/2,IF($H23&lt;J$2,VLOOKUP($G23,Depreciation!$A$14:$L$18,8,FALSE),0))</f>
        <v>0</v>
      </c>
      <c r="K23" s="306">
        <f>+IF($H23=K$2,VLOOKUP($G23,Depreciation!$A$14:$L$18,9,FALSE)/2,IF($H23&lt;K$2,VLOOKUP($G23,Depreciation!$A$14:$L$18,9,FALSE),0))</f>
        <v>0</v>
      </c>
      <c r="L23" s="306">
        <f>+IF($H23=L$2,VLOOKUP($G23,Depreciation!$A$14:$L$18,10,FALSE)/2,IF($H23&lt;L$2,VLOOKUP($G23,Depreciation!$A$14:$L$18,10,FALSE),0))</f>
        <v>0</v>
      </c>
      <c r="M23" s="306">
        <f>+IF($H23=M$2,VLOOKUP($G23,Depreciation!$A$14:$L$18,11,FALSE)/2,IF($H23&lt;M$2,VLOOKUP($G23,Depreciation!$A$14:$L$18,11,FALSE),0))</f>
        <v>1.671703928371859E-2</v>
      </c>
      <c r="N23" s="306">
        <f>+IF($H23=N$2,VLOOKUP($G23,Depreciation!$A$14:$L$18,12,FALSE)/2,IF($H23&lt;N$2,VLOOKUP($G23,Depreciation!$A$14:$L$18,12,FALSE),0))</f>
        <v>3.343407856743718E-2</v>
      </c>
      <c r="O23" s="307">
        <f t="shared" si="2"/>
        <v>0</v>
      </c>
      <c r="P23" s="732">
        <f>'Func Future Subs 2015'!P23</f>
        <v>0</v>
      </c>
      <c r="Q23" s="732">
        <f>'Func Future Subs 2015'!Q23</f>
        <v>0</v>
      </c>
      <c r="R23" s="732">
        <f>'Func Future Subs 2015'!R23</f>
        <v>1</v>
      </c>
      <c r="S23" s="735">
        <f t="shared" si="3"/>
        <v>0</v>
      </c>
      <c r="T23" s="735">
        <f t="shared" si="4"/>
        <v>0</v>
      </c>
      <c r="U23" s="735">
        <f t="shared" si="5"/>
        <v>0</v>
      </c>
      <c r="V23" s="736">
        <f t="shared" si="6"/>
        <v>0</v>
      </c>
      <c r="W23" s="735">
        <f t="shared" si="7"/>
        <v>0</v>
      </c>
      <c r="X23" s="737">
        <f t="shared" si="8"/>
        <v>0</v>
      </c>
      <c r="Y23" s="738">
        <f t="shared" si="9"/>
        <v>0</v>
      </c>
    </row>
    <row r="24" spans="1:25">
      <c r="A24" s="754" t="str">
        <f>'Func Future Subs 2015'!A24</f>
        <v>Eagle Buttle 274S_(v1)</v>
      </c>
      <c r="B24" s="754">
        <f>'Func Future Subs 2015'!B24</f>
        <v>693</v>
      </c>
      <c r="C24" s="754">
        <f>'Func Future Subs 2015'!C24</f>
        <v>240</v>
      </c>
      <c r="D24" s="754">
        <f>'Func Future Subs 2015'!D24</f>
        <v>240</v>
      </c>
      <c r="E24" s="754" t="str">
        <f>'Func Future Subs 2015'!E24</f>
        <v>274S</v>
      </c>
      <c r="F24" s="754">
        <f>'Func Future Subs 2015'!F24</f>
        <v>201366.13092386365</v>
      </c>
      <c r="G24" s="754" t="str">
        <f>'Func Future Subs 2015'!G24</f>
        <v>AltaLink</v>
      </c>
      <c r="H24" s="754">
        <f>'Func Future Subs 2015'!H24</f>
        <v>2019</v>
      </c>
      <c r="I24" s="306">
        <f>+IF($H24=I$2,VLOOKUP($G24,Depreciation!$A$14:$L$18,7,FALSE)/2,IF($H24&lt;I$2,VLOOKUP($G24,Depreciation!$A$14:$L$18,7,FALSE),0))</f>
        <v>0</v>
      </c>
      <c r="J24" s="306">
        <f>+IF($H24=J$2,VLOOKUP($G24,Depreciation!$A$14:$L$18,8,FALSE)/2,IF($H24&lt;J$2,VLOOKUP($G24,Depreciation!$A$14:$L$18,8,FALSE),0))</f>
        <v>0</v>
      </c>
      <c r="K24" s="306">
        <f>+IF($H24=K$2,VLOOKUP($G24,Depreciation!$A$14:$L$18,9,FALSE)/2,IF($H24&lt;K$2,VLOOKUP($G24,Depreciation!$A$14:$L$18,9,FALSE),0))</f>
        <v>0</v>
      </c>
      <c r="L24" s="306">
        <f>+IF($H24=L$2,VLOOKUP($G24,Depreciation!$A$14:$L$18,10,FALSE)/2,IF($H24&lt;L$2,VLOOKUP($G24,Depreciation!$A$14:$L$18,10,FALSE),0))</f>
        <v>0</v>
      </c>
      <c r="M24" s="306">
        <f>+IF($H24=M$2,VLOOKUP($G24,Depreciation!$A$14:$L$18,11,FALSE)/2,IF($H24&lt;M$2,VLOOKUP($G24,Depreciation!$A$14:$L$18,11,FALSE),0))</f>
        <v>1.671703928371859E-2</v>
      </c>
      <c r="N24" s="306">
        <f>+IF($H24=N$2,VLOOKUP($G24,Depreciation!$A$14:$L$18,12,FALSE)/2,IF($H24&lt;N$2,VLOOKUP($G24,Depreciation!$A$14:$L$18,12,FALSE),0))</f>
        <v>3.343407856743718E-2</v>
      </c>
      <c r="O24" s="307">
        <f t="shared" si="2"/>
        <v>0</v>
      </c>
      <c r="P24" s="732">
        <f>'Func Future Subs 2015'!P24</f>
        <v>0</v>
      </c>
      <c r="Q24" s="732">
        <f>'Func Future Subs 2015'!Q24</f>
        <v>0</v>
      </c>
      <c r="R24" s="732">
        <f>'Func Future Subs 2015'!R24</f>
        <v>1</v>
      </c>
      <c r="S24" s="735">
        <f t="shared" si="3"/>
        <v>0</v>
      </c>
      <c r="T24" s="735">
        <f t="shared" si="4"/>
        <v>0</v>
      </c>
      <c r="U24" s="735">
        <f t="shared" si="5"/>
        <v>0</v>
      </c>
      <c r="V24" s="736">
        <f t="shared" si="6"/>
        <v>0</v>
      </c>
      <c r="W24" s="735">
        <f t="shared" si="7"/>
        <v>0</v>
      </c>
      <c r="X24" s="737">
        <f t="shared" si="8"/>
        <v>0</v>
      </c>
      <c r="Y24" s="738">
        <f t="shared" si="9"/>
        <v>0</v>
      </c>
    </row>
    <row r="25" spans="1:25">
      <c r="A25" s="754" t="str">
        <f>'Func Future Subs 2015'!A25</f>
        <v>Elkwater 264S_(v1)</v>
      </c>
      <c r="B25" s="754">
        <f>'Func Future Subs 2015'!B25</f>
        <v>693</v>
      </c>
      <c r="C25" s="754">
        <f>'Func Future Subs 2015'!C25</f>
        <v>240</v>
      </c>
      <c r="D25" s="754">
        <f>'Func Future Subs 2015'!D25</f>
        <v>240</v>
      </c>
      <c r="E25" s="754" t="str">
        <f>'Func Future Subs 2015'!E25</f>
        <v>264S</v>
      </c>
      <c r="F25" s="754">
        <f>'Func Future Subs 2015'!F25</f>
        <v>15828490.515206028</v>
      </c>
      <c r="G25" s="754" t="str">
        <f>'Func Future Subs 2015'!G25</f>
        <v>AltaLink</v>
      </c>
      <c r="H25" s="754">
        <f>'Func Future Subs 2015'!H25</f>
        <v>2019</v>
      </c>
      <c r="I25" s="306">
        <f>+IF($H25=I$2,VLOOKUP($G25,Depreciation!$A$14:$L$18,7,FALSE)/2,IF($H25&lt;I$2,VLOOKUP($G25,Depreciation!$A$14:$L$18,7,FALSE),0))</f>
        <v>0</v>
      </c>
      <c r="J25" s="306">
        <f>+IF($H25=J$2,VLOOKUP($G25,Depreciation!$A$14:$L$18,8,FALSE)/2,IF($H25&lt;J$2,VLOOKUP($G25,Depreciation!$A$14:$L$18,8,FALSE),0))</f>
        <v>0</v>
      </c>
      <c r="K25" s="306">
        <f>+IF($H25=K$2,VLOOKUP($G25,Depreciation!$A$14:$L$18,9,FALSE)/2,IF($H25&lt;K$2,VLOOKUP($G25,Depreciation!$A$14:$L$18,9,FALSE),0))</f>
        <v>0</v>
      </c>
      <c r="L25" s="306">
        <f>+IF($H25=L$2,VLOOKUP($G25,Depreciation!$A$14:$L$18,10,FALSE)/2,IF($H25&lt;L$2,VLOOKUP($G25,Depreciation!$A$14:$L$18,10,FALSE),0))</f>
        <v>0</v>
      </c>
      <c r="M25" s="306">
        <f>+IF($H25=M$2,VLOOKUP($G25,Depreciation!$A$14:$L$18,11,FALSE)/2,IF($H25&lt;M$2,VLOOKUP($G25,Depreciation!$A$14:$L$18,11,FALSE),0))</f>
        <v>1.671703928371859E-2</v>
      </c>
      <c r="N25" s="306">
        <f>+IF($H25=N$2,VLOOKUP($G25,Depreciation!$A$14:$L$18,12,FALSE)/2,IF($H25&lt;N$2,VLOOKUP($G25,Depreciation!$A$14:$L$18,12,FALSE),0))</f>
        <v>3.343407856743718E-2</v>
      </c>
      <c r="O25" s="307">
        <f t="shared" si="2"/>
        <v>0</v>
      </c>
      <c r="P25" s="732">
        <f>'Func Future Subs 2015'!P25</f>
        <v>0</v>
      </c>
      <c r="Q25" s="732">
        <f>'Func Future Subs 2015'!Q25</f>
        <v>0</v>
      </c>
      <c r="R25" s="732">
        <f>'Func Future Subs 2015'!R25</f>
        <v>1</v>
      </c>
      <c r="S25" s="735">
        <f t="shared" si="3"/>
        <v>0</v>
      </c>
      <c r="T25" s="735">
        <f t="shared" si="4"/>
        <v>0</v>
      </c>
      <c r="U25" s="735">
        <f t="shared" si="5"/>
        <v>0</v>
      </c>
      <c r="V25" s="736">
        <f t="shared" si="6"/>
        <v>0</v>
      </c>
      <c r="W25" s="735">
        <f t="shared" si="7"/>
        <v>0</v>
      </c>
      <c r="X25" s="737">
        <f t="shared" si="8"/>
        <v>0</v>
      </c>
      <c r="Y25" s="738">
        <f t="shared" si="9"/>
        <v>0</v>
      </c>
    </row>
    <row r="26" spans="1:25">
      <c r="A26" s="754" t="str">
        <f>'Func Future Subs 2015'!A26</f>
        <v>Whitla 251S_(v1)</v>
      </c>
      <c r="B26" s="754">
        <f>'Func Future Subs 2015'!B26</f>
        <v>693</v>
      </c>
      <c r="C26" s="754">
        <f>'Func Future Subs 2015'!C26</f>
        <v>240</v>
      </c>
      <c r="D26" s="754">
        <f>'Func Future Subs 2015'!D26</f>
        <v>240</v>
      </c>
      <c r="E26" s="754" t="str">
        <f>'Func Future Subs 2015'!E26</f>
        <v>251S</v>
      </c>
      <c r="F26" s="754">
        <f>'Func Future Subs 2015'!F26</f>
        <v>169902.62110316977</v>
      </c>
      <c r="G26" s="754" t="str">
        <f>'Func Future Subs 2015'!G26</f>
        <v>AltaLink</v>
      </c>
      <c r="H26" s="754">
        <f>'Func Future Subs 2015'!H26</f>
        <v>2019</v>
      </c>
      <c r="I26" s="306">
        <f>+IF($H26=I$2,VLOOKUP($G26,Depreciation!$A$14:$L$18,7,FALSE)/2,IF($H26&lt;I$2,VLOOKUP($G26,Depreciation!$A$14:$L$18,7,FALSE),0))</f>
        <v>0</v>
      </c>
      <c r="J26" s="306">
        <f>+IF($H26=J$2,VLOOKUP($G26,Depreciation!$A$14:$L$18,8,FALSE)/2,IF($H26&lt;J$2,VLOOKUP($G26,Depreciation!$A$14:$L$18,8,FALSE),0))</f>
        <v>0</v>
      </c>
      <c r="K26" s="306">
        <f>+IF($H26=K$2,VLOOKUP($G26,Depreciation!$A$14:$L$18,9,FALSE)/2,IF($H26&lt;K$2,VLOOKUP($G26,Depreciation!$A$14:$L$18,9,FALSE),0))</f>
        <v>0</v>
      </c>
      <c r="L26" s="306">
        <f>+IF($H26=L$2,VLOOKUP($G26,Depreciation!$A$14:$L$18,10,FALSE)/2,IF($H26&lt;L$2,VLOOKUP($G26,Depreciation!$A$14:$L$18,10,FALSE),0))</f>
        <v>0</v>
      </c>
      <c r="M26" s="306">
        <f>+IF($H26=M$2,VLOOKUP($G26,Depreciation!$A$14:$L$18,11,FALSE)/2,IF($H26&lt;M$2,VLOOKUP($G26,Depreciation!$A$14:$L$18,11,FALSE),0))</f>
        <v>1.671703928371859E-2</v>
      </c>
      <c r="N26" s="306">
        <f>+IF($H26=N$2,VLOOKUP($G26,Depreciation!$A$14:$L$18,12,FALSE)/2,IF($H26&lt;N$2,VLOOKUP($G26,Depreciation!$A$14:$L$18,12,FALSE),0))</f>
        <v>3.343407856743718E-2</v>
      </c>
      <c r="O26" s="307">
        <f t="shared" si="2"/>
        <v>0</v>
      </c>
      <c r="P26" s="732">
        <f>'Func Future Subs 2015'!P26</f>
        <v>0</v>
      </c>
      <c r="Q26" s="732">
        <f>'Func Future Subs 2015'!Q26</f>
        <v>0</v>
      </c>
      <c r="R26" s="732">
        <f>'Func Future Subs 2015'!R26</f>
        <v>1</v>
      </c>
      <c r="S26" s="735">
        <f t="shared" si="3"/>
        <v>0</v>
      </c>
      <c r="T26" s="735">
        <f t="shared" si="4"/>
        <v>0</v>
      </c>
      <c r="U26" s="735">
        <f t="shared" si="5"/>
        <v>0</v>
      </c>
      <c r="V26" s="736">
        <f t="shared" si="6"/>
        <v>0</v>
      </c>
      <c r="W26" s="735">
        <f t="shared" si="7"/>
        <v>0</v>
      </c>
      <c r="X26" s="737">
        <f t="shared" si="8"/>
        <v>0</v>
      </c>
      <c r="Y26" s="738">
        <f t="shared" si="9"/>
        <v>0</v>
      </c>
    </row>
    <row r="27" spans="1:25">
      <c r="A27" s="754" t="str">
        <f>'Func Future Subs 2015'!A27</f>
        <v>East Calgary 5S</v>
      </c>
      <c r="B27" s="754">
        <f>'Func Future Subs 2015'!B27</f>
        <v>719</v>
      </c>
      <c r="C27" s="754">
        <f>'Func Future Subs 2015'!C27</f>
        <v>240</v>
      </c>
      <c r="D27" s="754">
        <f>'Func Future Subs 2015'!D27</f>
        <v>240</v>
      </c>
      <c r="E27" s="754" t="str">
        <f>'Func Future Subs 2015'!E27</f>
        <v>5S</v>
      </c>
      <c r="F27" s="754">
        <f>'Func Future Subs 2015'!F27</f>
        <v>33632105.5811226</v>
      </c>
      <c r="G27" s="754" t="str">
        <f>'Func Future Subs 2015'!G27</f>
        <v>AltaLink</v>
      </c>
      <c r="H27" s="754">
        <f>'Func Future Subs 2015'!H27</f>
        <v>2015</v>
      </c>
      <c r="I27" s="306">
        <f>+IF($H27=I$2,VLOOKUP($G27,Depreciation!$A$14:$L$18,7,FALSE)/2,IF($H27&lt;I$2,VLOOKUP($G27,Depreciation!$A$14:$L$18,7,FALSE),0))</f>
        <v>1.7228380322441735E-2</v>
      </c>
      <c r="J27" s="306">
        <f>+IF($H27=J$2,VLOOKUP($G27,Depreciation!$A$14:$L$18,8,FALSE)/2,IF($H27&lt;J$2,VLOOKUP($G27,Depreciation!$A$14:$L$18,8,FALSE),0))</f>
        <v>3.343407856743718E-2</v>
      </c>
      <c r="K27" s="306">
        <f>+IF($H27=K$2,VLOOKUP($G27,Depreciation!$A$14:$L$18,9,FALSE)/2,IF($H27&lt;K$2,VLOOKUP($G27,Depreciation!$A$14:$L$18,9,FALSE),0))</f>
        <v>3.343407856743718E-2</v>
      </c>
      <c r="L27" s="306">
        <f>+IF($H27=L$2,VLOOKUP($G27,Depreciation!$A$14:$L$18,10,FALSE)/2,IF($H27&lt;L$2,VLOOKUP($G27,Depreciation!$A$14:$L$18,10,FALSE),0))</f>
        <v>3.343407856743718E-2</v>
      </c>
      <c r="M27" s="306">
        <f>+IF($H27=M$2,VLOOKUP($G27,Depreciation!$A$14:$L$18,11,FALSE)/2,IF($H27&lt;M$2,VLOOKUP($G27,Depreciation!$A$14:$L$18,11,FALSE),0))</f>
        <v>3.343407856743718E-2</v>
      </c>
      <c r="N27" s="306">
        <f>+IF($H27=N$2,VLOOKUP($G27,Depreciation!$A$14:$L$18,12,FALSE)/2,IF($H27&lt;N$2,VLOOKUP($G27,Depreciation!$A$14:$L$18,12,FALSE),0))</f>
        <v>3.343407856743718E-2</v>
      </c>
      <c r="O27" s="307">
        <f t="shared" si="2"/>
        <v>31947593.012751251</v>
      </c>
      <c r="P27" s="732">
        <f>'Func Future Subs 2015'!P27</f>
        <v>0</v>
      </c>
      <c r="Q27" s="732">
        <f>'Func Future Subs 2015'!Q27</f>
        <v>0</v>
      </c>
      <c r="R27" s="732">
        <f>'Func Future Subs 2015'!R27</f>
        <v>1</v>
      </c>
      <c r="S27" s="735">
        <f t="shared" si="3"/>
        <v>0</v>
      </c>
      <c r="T27" s="735">
        <f t="shared" si="4"/>
        <v>0</v>
      </c>
      <c r="U27" s="735">
        <f t="shared" si="5"/>
        <v>31947593.012751251</v>
      </c>
      <c r="V27" s="736">
        <f t="shared" si="6"/>
        <v>0</v>
      </c>
      <c r="W27" s="735">
        <f t="shared" si="7"/>
        <v>31947593.012751251</v>
      </c>
      <c r="X27" s="737">
        <f t="shared" si="8"/>
        <v>0</v>
      </c>
      <c r="Y27" s="738">
        <f t="shared" si="9"/>
        <v>0</v>
      </c>
    </row>
    <row r="28" spans="1:25">
      <c r="A28" s="754" t="str">
        <f>'Func Future Subs 2015'!A28</f>
        <v>Enmax No. 2</v>
      </c>
      <c r="B28" s="754">
        <f>'Func Future Subs 2015'!B28</f>
        <v>719</v>
      </c>
      <c r="C28" s="754">
        <f>'Func Future Subs 2015'!C28</f>
        <v>138</v>
      </c>
      <c r="D28" s="754">
        <f>'Func Future Subs 2015'!D28</f>
        <v>25</v>
      </c>
      <c r="E28" s="754" t="str">
        <f>'Func Future Subs 2015'!E28</f>
        <v>SS-2</v>
      </c>
      <c r="F28" s="754">
        <f>'Func Future Subs 2015'!F28</f>
        <v>37801368.20335371</v>
      </c>
      <c r="G28" s="754" t="str">
        <f>'Func Future Subs 2015'!G28</f>
        <v>ENMAX</v>
      </c>
      <c r="H28" s="754">
        <f>'Func Future Subs 2015'!H28</f>
        <v>2015</v>
      </c>
      <c r="I28" s="306">
        <f>+IF($H28=I$2,VLOOKUP($G28,Depreciation!$A$14:$L$18,7,FALSE)/2,IF($H28&lt;I$2,VLOOKUP($G28,Depreciation!$A$14:$L$18,7,FALSE),0))</f>
        <v>1.3928409269726289E-2</v>
      </c>
      <c r="J28" s="306">
        <f>+IF($H28=J$2,VLOOKUP($G28,Depreciation!$A$14:$L$18,8,FALSE)/2,IF($H28&lt;J$2,VLOOKUP($G28,Depreciation!$A$14:$L$18,8,FALSE),0))</f>
        <v>2.7856818539452578E-2</v>
      </c>
      <c r="K28" s="306">
        <f>+IF($H28=K$2,VLOOKUP($G28,Depreciation!$A$14:$L$18,9,FALSE)/2,IF($H28&lt;K$2,VLOOKUP($G28,Depreciation!$A$14:$L$18,9,FALSE),0))</f>
        <v>2.7856818539452578E-2</v>
      </c>
      <c r="L28" s="306">
        <f>+IF($H28=L$2,VLOOKUP($G28,Depreciation!$A$14:$L$18,10,FALSE)/2,IF($H28&lt;L$2,VLOOKUP($G28,Depreciation!$A$14:$L$18,10,FALSE),0))</f>
        <v>2.7856818539452578E-2</v>
      </c>
      <c r="M28" s="306">
        <f>+IF($H28=M$2,VLOOKUP($G28,Depreciation!$A$14:$L$18,11,FALSE)/2,IF($H28&lt;M$2,VLOOKUP($G28,Depreciation!$A$14:$L$18,11,FALSE),0))</f>
        <v>2.7856818539452578E-2</v>
      </c>
      <c r="N28" s="306">
        <f>+IF($H28=N$2,VLOOKUP($G28,Depreciation!$A$14:$L$18,12,FALSE)/2,IF($H28&lt;N$2,VLOOKUP($G28,Depreciation!$A$14:$L$18,12,FALSE),0))</f>
        <v>2.7856818539452578E-2</v>
      </c>
      <c r="O28" s="307">
        <f t="shared" si="2"/>
        <v>36236496.396552175</v>
      </c>
      <c r="P28" s="732">
        <f>'Func Future Subs 2015'!P28</f>
        <v>0</v>
      </c>
      <c r="Q28" s="732">
        <f>'Func Future Subs 2015'!Q28</f>
        <v>1</v>
      </c>
      <c r="R28" s="732">
        <f>'Func Future Subs 2015'!R28</f>
        <v>0</v>
      </c>
      <c r="S28" s="735">
        <f t="shared" si="3"/>
        <v>0</v>
      </c>
      <c r="T28" s="735">
        <f t="shared" si="4"/>
        <v>36236496.396552175</v>
      </c>
      <c r="U28" s="735">
        <f t="shared" si="5"/>
        <v>0</v>
      </c>
      <c r="V28" s="736">
        <f t="shared" si="6"/>
        <v>0</v>
      </c>
      <c r="W28" s="735">
        <f t="shared" si="7"/>
        <v>0</v>
      </c>
      <c r="X28" s="737">
        <f t="shared" si="8"/>
        <v>0</v>
      </c>
      <c r="Y28" s="738">
        <f t="shared" si="9"/>
        <v>36236496.396552175</v>
      </c>
    </row>
    <row r="29" spans="1:25">
      <c r="A29" s="754" t="str">
        <f>'Func Future Subs 2015'!A29</f>
        <v>Enmax No. 23</v>
      </c>
      <c r="B29" s="754">
        <f>'Func Future Subs 2015'!B29</f>
        <v>719</v>
      </c>
      <c r="C29" s="754">
        <f>'Func Future Subs 2015'!C29</f>
        <v>138</v>
      </c>
      <c r="D29" s="754">
        <f>'Func Future Subs 2015'!D29</f>
        <v>25</v>
      </c>
      <c r="E29" s="754" t="str">
        <f>'Func Future Subs 2015'!E29</f>
        <v>SS-23</v>
      </c>
      <c r="F29" s="754">
        <f>'Func Future Subs 2015'!F29</f>
        <v>822893.43442026142</v>
      </c>
      <c r="G29" s="754" t="str">
        <f>'Func Future Subs 2015'!G29</f>
        <v>ENMAX</v>
      </c>
      <c r="H29" s="754">
        <f>'Func Future Subs 2015'!H29</f>
        <v>2015</v>
      </c>
      <c r="I29" s="306">
        <f>+IF($H29=I$2,VLOOKUP($G29,Depreciation!$A$14:$L$18,7,FALSE)/2,IF($H29&lt;I$2,VLOOKUP($G29,Depreciation!$A$14:$L$18,7,FALSE),0))</f>
        <v>1.3928409269726289E-2</v>
      </c>
      <c r="J29" s="306">
        <f>+IF($H29=J$2,VLOOKUP($G29,Depreciation!$A$14:$L$18,8,FALSE)/2,IF($H29&lt;J$2,VLOOKUP($G29,Depreciation!$A$14:$L$18,8,FALSE),0))</f>
        <v>2.7856818539452578E-2</v>
      </c>
      <c r="K29" s="306">
        <f>+IF($H29=K$2,VLOOKUP($G29,Depreciation!$A$14:$L$18,9,FALSE)/2,IF($H29&lt;K$2,VLOOKUP($G29,Depreciation!$A$14:$L$18,9,FALSE),0))</f>
        <v>2.7856818539452578E-2</v>
      </c>
      <c r="L29" s="306">
        <f>+IF($H29=L$2,VLOOKUP($G29,Depreciation!$A$14:$L$18,10,FALSE)/2,IF($H29&lt;L$2,VLOOKUP($G29,Depreciation!$A$14:$L$18,10,FALSE),0))</f>
        <v>2.7856818539452578E-2</v>
      </c>
      <c r="M29" s="306">
        <f>+IF($H29=M$2,VLOOKUP($G29,Depreciation!$A$14:$L$18,11,FALSE)/2,IF($H29&lt;M$2,VLOOKUP($G29,Depreciation!$A$14:$L$18,11,FALSE),0))</f>
        <v>2.7856818539452578E-2</v>
      </c>
      <c r="N29" s="306">
        <f>+IF($H29=N$2,VLOOKUP($G29,Depreciation!$A$14:$L$18,12,FALSE)/2,IF($H29&lt;N$2,VLOOKUP($G29,Depreciation!$A$14:$L$18,12,FALSE),0))</f>
        <v>2.7856818539452578E-2</v>
      </c>
      <c r="O29" s="307">
        <f t="shared" si="2"/>
        <v>788827.92841531977</v>
      </c>
      <c r="P29" s="732">
        <f>'Func Future Subs 2015'!P29</f>
        <v>0</v>
      </c>
      <c r="Q29" s="732">
        <f>'Func Future Subs 2015'!Q29</f>
        <v>1</v>
      </c>
      <c r="R29" s="732">
        <f>'Func Future Subs 2015'!R29</f>
        <v>0</v>
      </c>
      <c r="S29" s="735">
        <f t="shared" si="3"/>
        <v>0</v>
      </c>
      <c r="T29" s="735">
        <f t="shared" si="4"/>
        <v>788827.92841531977</v>
      </c>
      <c r="U29" s="735">
        <f t="shared" si="5"/>
        <v>0</v>
      </c>
      <c r="V29" s="736">
        <f t="shared" si="6"/>
        <v>0</v>
      </c>
      <c r="W29" s="735">
        <f t="shared" si="7"/>
        <v>0</v>
      </c>
      <c r="X29" s="737">
        <f t="shared" si="8"/>
        <v>0</v>
      </c>
      <c r="Y29" s="738">
        <f t="shared" si="9"/>
        <v>788827.92841531977</v>
      </c>
    </row>
    <row r="30" spans="1:25">
      <c r="A30" s="754" t="str">
        <f>'Func Future Subs 2015'!A30</f>
        <v>Enmax No. 25</v>
      </c>
      <c r="B30" s="754">
        <f>'Func Future Subs 2015'!B30</f>
        <v>719</v>
      </c>
      <c r="C30" s="754">
        <f>'Func Future Subs 2015'!C30</f>
        <v>240</v>
      </c>
      <c r="D30" s="754">
        <f>'Func Future Subs 2015'!D30</f>
        <v>25</v>
      </c>
      <c r="E30" s="754" t="str">
        <f>'Func Future Subs 2015'!E30</f>
        <v>SS-25</v>
      </c>
      <c r="F30" s="754">
        <f>'Func Future Subs 2015'!F30</f>
        <v>17323675</v>
      </c>
      <c r="G30" s="754" t="str">
        <f>'Func Future Subs 2015'!G30</f>
        <v>ENMAX</v>
      </c>
      <c r="H30" s="754">
        <f>'Func Future Subs 2015'!H30</f>
        <v>2015</v>
      </c>
      <c r="I30" s="306">
        <f>+IF($H30=I$2,VLOOKUP($G30,Depreciation!$A$14:$L$18,7,FALSE)/2,IF($H30&lt;I$2,VLOOKUP($G30,Depreciation!$A$14:$L$18,7,FALSE),0))</f>
        <v>1.3928409269726289E-2</v>
      </c>
      <c r="J30" s="306">
        <f>+IF($H30=J$2,VLOOKUP($G30,Depreciation!$A$14:$L$18,8,FALSE)/2,IF($H30&lt;J$2,VLOOKUP($G30,Depreciation!$A$14:$L$18,8,FALSE),0))</f>
        <v>2.7856818539452578E-2</v>
      </c>
      <c r="K30" s="306">
        <f>+IF($H30=K$2,VLOOKUP($G30,Depreciation!$A$14:$L$18,9,FALSE)/2,IF($H30&lt;K$2,VLOOKUP($G30,Depreciation!$A$14:$L$18,9,FALSE),0))</f>
        <v>2.7856818539452578E-2</v>
      </c>
      <c r="L30" s="306">
        <f>+IF($H30=L$2,VLOOKUP($G30,Depreciation!$A$14:$L$18,10,FALSE)/2,IF($H30&lt;L$2,VLOOKUP($G30,Depreciation!$A$14:$L$18,10,FALSE),0))</f>
        <v>2.7856818539452578E-2</v>
      </c>
      <c r="M30" s="306">
        <f>+IF($H30=M$2,VLOOKUP($G30,Depreciation!$A$14:$L$18,11,FALSE)/2,IF($H30&lt;M$2,VLOOKUP($G30,Depreciation!$A$14:$L$18,11,FALSE),0))</f>
        <v>2.7856818539452578E-2</v>
      </c>
      <c r="N30" s="306">
        <f>+IF($H30=N$2,VLOOKUP($G30,Depreciation!$A$14:$L$18,12,FALSE)/2,IF($H30&lt;N$2,VLOOKUP($G30,Depreciation!$A$14:$L$18,12,FALSE),0))</f>
        <v>2.7856818539452578E-2</v>
      </c>
      <c r="O30" s="307">
        <f t="shared" si="2"/>
        <v>16606522.899794074</v>
      </c>
      <c r="P30" s="732">
        <f>'Func Future Subs 2015'!P30</f>
        <v>0.9759174311926605</v>
      </c>
      <c r="Q30" s="732">
        <f>'Func Future Subs 2015'!Q30</f>
        <v>2.4082568807339451E-2</v>
      </c>
      <c r="R30" s="732">
        <f>'Func Future Subs 2015'!R30</f>
        <v>4.8572257327350599E-17</v>
      </c>
      <c r="S30" s="735">
        <f t="shared" si="3"/>
        <v>16206595.169409124</v>
      </c>
      <c r="T30" s="735">
        <f t="shared" si="4"/>
        <v>399927.73038494907</v>
      </c>
      <c r="U30" s="735">
        <f t="shared" si="5"/>
        <v>8.0661630360133822E-10</v>
      </c>
      <c r="V30" s="736">
        <f t="shared" si="6"/>
        <v>0</v>
      </c>
      <c r="W30" s="735">
        <f t="shared" si="7"/>
        <v>16206595.169409124</v>
      </c>
      <c r="X30" s="737">
        <f t="shared" si="8"/>
        <v>0</v>
      </c>
      <c r="Y30" s="738">
        <f t="shared" si="9"/>
        <v>399927.73038494989</v>
      </c>
    </row>
    <row r="31" spans="1:25">
      <c r="A31" s="754" t="str">
        <f>'Func Future Subs 2015'!A31</f>
        <v>Janet 74S</v>
      </c>
      <c r="B31" s="754">
        <f>'Func Future Subs 2015'!B31</f>
        <v>719</v>
      </c>
      <c r="C31" s="754">
        <f>'Func Future Subs 2015'!C31</f>
        <v>240</v>
      </c>
      <c r="D31" s="754">
        <f>'Func Future Subs 2015'!D31</f>
        <v>138</v>
      </c>
      <c r="E31" s="754" t="str">
        <f>'Func Future Subs 2015'!E31</f>
        <v>74S</v>
      </c>
      <c r="F31" s="754">
        <f>'Func Future Subs 2015'!F31</f>
        <v>1242846.8878267198</v>
      </c>
      <c r="G31" s="754" t="str">
        <f>'Func Future Subs 2015'!G31</f>
        <v>AltaLink</v>
      </c>
      <c r="H31" s="754">
        <f>'Func Future Subs 2015'!H31</f>
        <v>2015</v>
      </c>
      <c r="I31" s="306">
        <f>+IF($H31=I$2,VLOOKUP($G31,Depreciation!$A$14:$L$18,7,FALSE)/2,IF($H31&lt;I$2,VLOOKUP($G31,Depreciation!$A$14:$L$18,7,FALSE),0))</f>
        <v>1.7228380322441735E-2</v>
      </c>
      <c r="J31" s="306">
        <f>+IF($H31=J$2,VLOOKUP($G31,Depreciation!$A$14:$L$18,8,FALSE)/2,IF($H31&lt;J$2,VLOOKUP($G31,Depreciation!$A$14:$L$18,8,FALSE),0))</f>
        <v>3.343407856743718E-2</v>
      </c>
      <c r="K31" s="306">
        <f>+IF($H31=K$2,VLOOKUP($G31,Depreciation!$A$14:$L$18,9,FALSE)/2,IF($H31&lt;K$2,VLOOKUP($G31,Depreciation!$A$14:$L$18,9,FALSE),0))</f>
        <v>3.343407856743718E-2</v>
      </c>
      <c r="L31" s="306">
        <f>+IF($H31=L$2,VLOOKUP($G31,Depreciation!$A$14:$L$18,10,FALSE)/2,IF($H31&lt;L$2,VLOOKUP($G31,Depreciation!$A$14:$L$18,10,FALSE),0))</f>
        <v>3.343407856743718E-2</v>
      </c>
      <c r="M31" s="306">
        <f>+IF($H31=M$2,VLOOKUP($G31,Depreciation!$A$14:$L$18,11,FALSE)/2,IF($H31&lt;M$2,VLOOKUP($G31,Depreciation!$A$14:$L$18,11,FALSE),0))</f>
        <v>3.343407856743718E-2</v>
      </c>
      <c r="N31" s="306">
        <f>+IF($H31=N$2,VLOOKUP($G31,Depreciation!$A$14:$L$18,12,FALSE)/2,IF($H31&lt;N$2,VLOOKUP($G31,Depreciation!$A$14:$L$18,12,FALSE),0))</f>
        <v>3.343407856743718E-2</v>
      </c>
      <c r="O31" s="307">
        <f t="shared" si="2"/>
        <v>1180597.1069423365</v>
      </c>
      <c r="P31" s="732">
        <f>'Func Future Subs 2015'!P31</f>
        <v>0</v>
      </c>
      <c r="Q31" s="732">
        <f>'Func Future Subs 2015'!Q31</f>
        <v>0</v>
      </c>
      <c r="R31" s="732">
        <f>'Func Future Subs 2015'!R31</f>
        <v>1</v>
      </c>
      <c r="S31" s="735">
        <f t="shared" si="3"/>
        <v>0</v>
      </c>
      <c r="T31" s="735">
        <f t="shared" si="4"/>
        <v>0</v>
      </c>
      <c r="U31" s="735">
        <f t="shared" si="5"/>
        <v>1180597.1069423365</v>
      </c>
      <c r="V31" s="736">
        <f t="shared" si="6"/>
        <v>0</v>
      </c>
      <c r="W31" s="735">
        <f t="shared" si="7"/>
        <v>0</v>
      </c>
      <c r="X31" s="737">
        <f t="shared" si="8"/>
        <v>1180597.1069423365</v>
      </c>
      <c r="Y31" s="738">
        <f t="shared" si="9"/>
        <v>0</v>
      </c>
    </row>
    <row r="32" spans="1:25">
      <c r="A32" s="754" t="str">
        <f>'Func Future Subs 2015'!A32</f>
        <v>Langdon 102S substation</v>
      </c>
      <c r="B32" s="754">
        <f>'Func Future Subs 2015'!B32</f>
        <v>719</v>
      </c>
      <c r="C32" s="754">
        <f>'Func Future Subs 2015'!C32</f>
        <v>240</v>
      </c>
      <c r="D32" s="754">
        <f>'Func Future Subs 2015'!D32</f>
        <v>240</v>
      </c>
      <c r="E32" s="754" t="str">
        <f>'Func Future Subs 2015'!E32</f>
        <v>102S</v>
      </c>
      <c r="F32" s="754">
        <f>'Func Future Subs 2015'!F32</f>
        <v>11146.608859432465</v>
      </c>
      <c r="G32" s="754" t="str">
        <f>'Func Future Subs 2015'!G32</f>
        <v>AltaLink</v>
      </c>
      <c r="H32" s="754">
        <f>'Func Future Subs 2015'!H32</f>
        <v>2015</v>
      </c>
      <c r="I32" s="306">
        <f>+IF($H32=I$2,VLOOKUP($G32,Depreciation!$A$14:$L$18,7,FALSE)/2,IF($H32&lt;I$2,VLOOKUP($G32,Depreciation!$A$14:$L$18,7,FALSE),0))</f>
        <v>1.7228380322441735E-2</v>
      </c>
      <c r="J32" s="306">
        <f>+IF($H32=J$2,VLOOKUP($G32,Depreciation!$A$14:$L$18,8,FALSE)/2,IF($H32&lt;J$2,VLOOKUP($G32,Depreciation!$A$14:$L$18,8,FALSE),0))</f>
        <v>3.343407856743718E-2</v>
      </c>
      <c r="K32" s="306">
        <f>+IF($H32=K$2,VLOOKUP($G32,Depreciation!$A$14:$L$18,9,FALSE)/2,IF($H32&lt;K$2,VLOOKUP($G32,Depreciation!$A$14:$L$18,9,FALSE),0))</f>
        <v>3.343407856743718E-2</v>
      </c>
      <c r="L32" s="306">
        <f>+IF($H32=L$2,VLOOKUP($G32,Depreciation!$A$14:$L$18,10,FALSE)/2,IF($H32&lt;L$2,VLOOKUP($G32,Depreciation!$A$14:$L$18,10,FALSE),0))</f>
        <v>3.343407856743718E-2</v>
      </c>
      <c r="M32" s="306">
        <f>+IF($H32=M$2,VLOOKUP($G32,Depreciation!$A$14:$L$18,11,FALSE)/2,IF($H32&lt;M$2,VLOOKUP($G32,Depreciation!$A$14:$L$18,11,FALSE),0))</f>
        <v>3.343407856743718E-2</v>
      </c>
      <c r="N32" s="306">
        <f>+IF($H32=N$2,VLOOKUP($G32,Depreciation!$A$14:$L$18,12,FALSE)/2,IF($H32&lt;N$2,VLOOKUP($G32,Depreciation!$A$14:$L$18,12,FALSE),0))</f>
        <v>3.343407856743718E-2</v>
      </c>
      <c r="O32" s="307">
        <f t="shared" si="2"/>
        <v>10588.314860469387</v>
      </c>
      <c r="P32" s="732">
        <f>'Func Future Subs 2015'!P32</f>
        <v>0</v>
      </c>
      <c r="Q32" s="732">
        <f>'Func Future Subs 2015'!Q32</f>
        <v>0</v>
      </c>
      <c r="R32" s="732">
        <f>'Func Future Subs 2015'!R32</f>
        <v>1</v>
      </c>
      <c r="S32" s="735">
        <f t="shared" si="3"/>
        <v>0</v>
      </c>
      <c r="T32" s="735">
        <f t="shared" si="4"/>
        <v>0</v>
      </c>
      <c r="U32" s="735">
        <f t="shared" si="5"/>
        <v>10588.314860469387</v>
      </c>
      <c r="V32" s="736">
        <f t="shared" si="6"/>
        <v>0</v>
      </c>
      <c r="W32" s="735">
        <f t="shared" si="7"/>
        <v>10588.314860469387</v>
      </c>
      <c r="X32" s="737">
        <f t="shared" si="8"/>
        <v>0</v>
      </c>
      <c r="Y32" s="738">
        <f t="shared" si="9"/>
        <v>0</v>
      </c>
    </row>
    <row r="33" spans="1:25">
      <c r="A33" s="754" t="str">
        <f>'Func Future Subs 2015'!A33</f>
        <v>Peigan 59S substation</v>
      </c>
      <c r="B33" s="754">
        <f>'Func Future Subs 2015'!B33</f>
        <v>719</v>
      </c>
      <c r="C33" s="754">
        <f>'Func Future Subs 2015'!C33</f>
        <v>240</v>
      </c>
      <c r="D33" s="754">
        <f>'Func Future Subs 2015'!D33</f>
        <v>138</v>
      </c>
      <c r="E33" s="754" t="str">
        <f>'Func Future Subs 2015'!E33</f>
        <v>59S</v>
      </c>
      <c r="F33" s="754">
        <f>'Func Future Subs 2015'!F33</f>
        <v>13933.26107429058</v>
      </c>
      <c r="G33" s="754" t="str">
        <f>'Func Future Subs 2015'!G33</f>
        <v>AltaLink</v>
      </c>
      <c r="H33" s="754">
        <f>'Func Future Subs 2015'!H33</f>
        <v>2015</v>
      </c>
      <c r="I33" s="306">
        <f>+IF($H33=I$2,VLOOKUP($G33,Depreciation!$A$14:$L$18,7,FALSE)/2,IF($H33&lt;I$2,VLOOKUP($G33,Depreciation!$A$14:$L$18,7,FALSE),0))</f>
        <v>1.7228380322441735E-2</v>
      </c>
      <c r="J33" s="306">
        <f>+IF($H33=J$2,VLOOKUP($G33,Depreciation!$A$14:$L$18,8,FALSE)/2,IF($H33&lt;J$2,VLOOKUP($G33,Depreciation!$A$14:$L$18,8,FALSE),0))</f>
        <v>3.343407856743718E-2</v>
      </c>
      <c r="K33" s="306">
        <f>+IF($H33=K$2,VLOOKUP($G33,Depreciation!$A$14:$L$18,9,FALSE)/2,IF($H33&lt;K$2,VLOOKUP($G33,Depreciation!$A$14:$L$18,9,FALSE),0))</f>
        <v>3.343407856743718E-2</v>
      </c>
      <c r="L33" s="306">
        <f>+IF($H33=L$2,VLOOKUP($G33,Depreciation!$A$14:$L$18,10,FALSE)/2,IF($H33&lt;L$2,VLOOKUP($G33,Depreciation!$A$14:$L$18,10,FALSE),0))</f>
        <v>3.343407856743718E-2</v>
      </c>
      <c r="M33" s="306">
        <f>+IF($H33=M$2,VLOOKUP($G33,Depreciation!$A$14:$L$18,11,FALSE)/2,IF($H33&lt;M$2,VLOOKUP($G33,Depreciation!$A$14:$L$18,11,FALSE),0))</f>
        <v>3.343407856743718E-2</v>
      </c>
      <c r="N33" s="306">
        <f>+IF($H33=N$2,VLOOKUP($G33,Depreciation!$A$14:$L$18,12,FALSE)/2,IF($H33&lt;N$2,VLOOKUP($G33,Depreciation!$A$14:$L$18,12,FALSE),0))</f>
        <v>3.343407856743718E-2</v>
      </c>
      <c r="O33" s="307">
        <f t="shared" si="2"/>
        <v>13235.393575586731</v>
      </c>
      <c r="P33" s="732">
        <f>'Func Future Subs 2015'!P33</f>
        <v>0</v>
      </c>
      <c r="Q33" s="732">
        <f>'Func Future Subs 2015'!Q33</f>
        <v>0</v>
      </c>
      <c r="R33" s="732">
        <f>'Func Future Subs 2015'!R33</f>
        <v>1</v>
      </c>
      <c r="S33" s="735">
        <f t="shared" si="3"/>
        <v>0</v>
      </c>
      <c r="T33" s="735">
        <f t="shared" si="4"/>
        <v>0</v>
      </c>
      <c r="U33" s="735">
        <f t="shared" si="5"/>
        <v>13235.393575586731</v>
      </c>
      <c r="V33" s="736">
        <f t="shared" si="6"/>
        <v>0</v>
      </c>
      <c r="W33" s="735">
        <f t="shared" si="7"/>
        <v>0</v>
      </c>
      <c r="X33" s="737">
        <f t="shared" si="8"/>
        <v>13235.393575586731</v>
      </c>
      <c r="Y33" s="738">
        <f t="shared" si="9"/>
        <v>0</v>
      </c>
    </row>
    <row r="34" spans="1:25">
      <c r="A34" s="754" t="str">
        <f>'Func Future Subs 2015'!A34</f>
        <v>S.42S</v>
      </c>
      <c r="B34" s="754">
        <f>'Func Future Subs 2015'!B34</f>
        <v>719</v>
      </c>
      <c r="C34" s="754">
        <f>'Func Future Subs 2015'!C34</f>
        <v>240</v>
      </c>
      <c r="D34" s="754">
        <f>'Func Future Subs 2015'!D34</f>
        <v>138</v>
      </c>
      <c r="E34" s="754" t="str">
        <f>'Func Future Subs 2015'!E34</f>
        <v>42S</v>
      </c>
      <c r="F34" s="754">
        <f>'Func Future Subs 2015'!F34</f>
        <v>128186.00188347333</v>
      </c>
      <c r="G34" s="754" t="str">
        <f>'Func Future Subs 2015'!G34</f>
        <v>AltaLink</v>
      </c>
      <c r="H34" s="754">
        <f>'Func Future Subs 2015'!H34</f>
        <v>2015</v>
      </c>
      <c r="I34" s="306">
        <f>+IF($H34=I$2,VLOOKUP($G34,Depreciation!$A$14:$L$18,7,FALSE)/2,IF($H34&lt;I$2,VLOOKUP($G34,Depreciation!$A$14:$L$18,7,FALSE),0))</f>
        <v>1.7228380322441735E-2</v>
      </c>
      <c r="J34" s="306">
        <f>+IF($H34=J$2,VLOOKUP($G34,Depreciation!$A$14:$L$18,8,FALSE)/2,IF($H34&lt;J$2,VLOOKUP($G34,Depreciation!$A$14:$L$18,8,FALSE),0))</f>
        <v>3.343407856743718E-2</v>
      </c>
      <c r="K34" s="306">
        <f>+IF($H34=K$2,VLOOKUP($G34,Depreciation!$A$14:$L$18,9,FALSE)/2,IF($H34&lt;K$2,VLOOKUP($G34,Depreciation!$A$14:$L$18,9,FALSE),0))</f>
        <v>3.343407856743718E-2</v>
      </c>
      <c r="L34" s="306">
        <f>+IF($H34=L$2,VLOOKUP($G34,Depreciation!$A$14:$L$18,10,FALSE)/2,IF($H34&lt;L$2,VLOOKUP($G34,Depreciation!$A$14:$L$18,10,FALSE),0))</f>
        <v>3.343407856743718E-2</v>
      </c>
      <c r="M34" s="306">
        <f>+IF($H34=M$2,VLOOKUP($G34,Depreciation!$A$14:$L$18,11,FALSE)/2,IF($H34&lt;M$2,VLOOKUP($G34,Depreciation!$A$14:$L$18,11,FALSE),0))</f>
        <v>3.343407856743718E-2</v>
      </c>
      <c r="N34" s="306">
        <f>+IF($H34=N$2,VLOOKUP($G34,Depreciation!$A$14:$L$18,12,FALSE)/2,IF($H34&lt;N$2,VLOOKUP($G34,Depreciation!$A$14:$L$18,12,FALSE),0))</f>
        <v>3.343407856743718E-2</v>
      </c>
      <c r="O34" s="307">
        <f t="shared" si="2"/>
        <v>121765.62089539794</v>
      </c>
      <c r="P34" s="732">
        <f>'Func Future Subs 2015'!P34</f>
        <v>0</v>
      </c>
      <c r="Q34" s="732">
        <f>'Func Future Subs 2015'!Q34</f>
        <v>0</v>
      </c>
      <c r="R34" s="732">
        <f>'Func Future Subs 2015'!R34</f>
        <v>1</v>
      </c>
      <c r="S34" s="735">
        <f t="shared" si="3"/>
        <v>0</v>
      </c>
      <c r="T34" s="735">
        <f t="shared" si="4"/>
        <v>0</v>
      </c>
      <c r="U34" s="735">
        <f t="shared" si="5"/>
        <v>121765.62089539794</v>
      </c>
      <c r="V34" s="736">
        <f t="shared" si="6"/>
        <v>0</v>
      </c>
      <c r="W34" s="735">
        <f t="shared" si="7"/>
        <v>0</v>
      </c>
      <c r="X34" s="737">
        <f t="shared" si="8"/>
        <v>121765.62089539794</v>
      </c>
      <c r="Y34" s="738">
        <f t="shared" si="9"/>
        <v>0</v>
      </c>
    </row>
    <row r="35" spans="1:25">
      <c r="A35" s="754" t="str">
        <f>'Func Future Subs 2015'!A35</f>
        <v>805S Jasper Sub</v>
      </c>
      <c r="B35" s="754">
        <f>'Func Future Subs 2015'!B35</f>
        <v>786</v>
      </c>
      <c r="C35" s="754">
        <f>'Func Future Subs 2015'!C35</f>
        <v>240</v>
      </c>
      <c r="D35" s="754">
        <f>'Func Future Subs 2015'!D35</f>
        <v>0</v>
      </c>
      <c r="E35" s="754" t="str">
        <f>'Func Future Subs 2015'!E35</f>
        <v>805S</v>
      </c>
      <c r="F35" s="754">
        <f>'Func Future Subs 2015'!F35</f>
        <v>977096.32405747706</v>
      </c>
      <c r="G35" s="754" t="str">
        <f>'Func Future Subs 2015'!G35</f>
        <v>EPCOR</v>
      </c>
      <c r="H35" s="754">
        <f>'Func Future Subs 2015'!H35</f>
        <v>2016</v>
      </c>
      <c r="I35" s="306">
        <f>+IF($H35=I$2,VLOOKUP($G35,Depreciation!$A$14:$L$18,7,FALSE)/2,IF($H35&lt;I$2,VLOOKUP($G35,Depreciation!$A$14:$L$18,7,FALSE),0))</f>
        <v>0</v>
      </c>
      <c r="J35" s="306">
        <f>+IF($H35=J$2,VLOOKUP($G35,Depreciation!$A$14:$L$18,8,FALSE)/2,IF($H35&lt;J$2,VLOOKUP($G35,Depreciation!$A$14:$L$18,8,FALSE),0))</f>
        <v>2.0800027799922457E-2</v>
      </c>
      <c r="K35" s="306">
        <f>+IF($H35=K$2,VLOOKUP($G35,Depreciation!$A$14:$L$18,9,FALSE)/2,IF($H35&lt;K$2,VLOOKUP($G35,Depreciation!$A$14:$L$18,9,FALSE),0))</f>
        <v>4.1145263498658789E-2</v>
      </c>
      <c r="L35" s="306">
        <f>+IF($H35=L$2,VLOOKUP($G35,Depreciation!$A$14:$L$18,10,FALSE)/2,IF($H35&lt;L$2,VLOOKUP($G35,Depreciation!$A$14:$L$18,10,FALSE),0))</f>
        <v>4.1145263498658789E-2</v>
      </c>
      <c r="M35" s="306">
        <f>+IF($H35=M$2,VLOOKUP($G35,Depreciation!$A$14:$L$18,11,FALSE)/2,IF($H35&lt;M$2,VLOOKUP($G35,Depreciation!$A$14:$L$18,11,FALSE),0))</f>
        <v>4.1145263498658789E-2</v>
      </c>
      <c r="N35" s="306">
        <f>+IF($H35=N$2,VLOOKUP($G35,Depreciation!$A$14:$L$18,12,FALSE)/2,IF($H35&lt;N$2,VLOOKUP($G35,Depreciation!$A$14:$L$18,12,FALSE),0))</f>
        <v>4.1145263498658789E-2</v>
      </c>
      <c r="O35" s="307">
        <f t="shared" si="2"/>
        <v>956772.6933538795</v>
      </c>
      <c r="P35" s="732">
        <f>'Func Future Subs 2015'!P35</f>
        <v>0</v>
      </c>
      <c r="Q35" s="732">
        <f>'Func Future Subs 2015'!Q35</f>
        <v>0</v>
      </c>
      <c r="R35" s="732">
        <f>'Func Future Subs 2015'!R35</f>
        <v>1</v>
      </c>
      <c r="S35" s="735">
        <f t="shared" si="3"/>
        <v>0</v>
      </c>
      <c r="T35" s="735">
        <f t="shared" si="4"/>
        <v>0</v>
      </c>
      <c r="U35" s="735">
        <f t="shared" si="5"/>
        <v>956772.6933538795</v>
      </c>
      <c r="V35" s="736">
        <f t="shared" si="6"/>
        <v>956772.6933538795</v>
      </c>
      <c r="W35" s="735">
        <f t="shared" si="7"/>
        <v>0</v>
      </c>
      <c r="X35" s="737">
        <f t="shared" si="8"/>
        <v>0</v>
      </c>
      <c r="Y35" s="738">
        <f t="shared" si="9"/>
        <v>0</v>
      </c>
    </row>
    <row r="36" spans="1:25">
      <c r="A36" s="754" t="str">
        <f>'Func Future Subs 2015'!A36</f>
        <v>816S Petrolia Sub</v>
      </c>
      <c r="B36" s="754">
        <f>'Func Future Subs 2015'!B36</f>
        <v>786</v>
      </c>
      <c r="C36" s="754">
        <f>'Func Future Subs 2015'!C36</f>
        <v>240</v>
      </c>
      <c r="D36" s="754">
        <f>'Func Future Subs 2015'!D36</f>
        <v>25</v>
      </c>
      <c r="E36" s="754" t="str">
        <f>'Func Future Subs 2015'!E36</f>
        <v>816S</v>
      </c>
      <c r="F36" s="754">
        <f>'Func Future Subs 2015'!F36</f>
        <v>1459886.8313876344</v>
      </c>
      <c r="G36" s="754" t="str">
        <f>'Func Future Subs 2015'!G36</f>
        <v>EPCOR</v>
      </c>
      <c r="H36" s="754">
        <f>'Func Future Subs 2015'!H36</f>
        <v>2016</v>
      </c>
      <c r="I36" s="306">
        <f>+IF($H36=I$2,VLOOKUP($G36,Depreciation!$A$14:$L$18,7,FALSE)/2,IF($H36&lt;I$2,VLOOKUP($G36,Depreciation!$A$14:$L$18,7,FALSE),0))</f>
        <v>0</v>
      </c>
      <c r="J36" s="306">
        <f>+IF($H36=J$2,VLOOKUP($G36,Depreciation!$A$14:$L$18,8,FALSE)/2,IF($H36&lt;J$2,VLOOKUP($G36,Depreciation!$A$14:$L$18,8,FALSE),0))</f>
        <v>2.0800027799922457E-2</v>
      </c>
      <c r="K36" s="306">
        <f>+IF($H36=K$2,VLOOKUP($G36,Depreciation!$A$14:$L$18,9,FALSE)/2,IF($H36&lt;K$2,VLOOKUP($G36,Depreciation!$A$14:$L$18,9,FALSE),0))</f>
        <v>4.1145263498658789E-2</v>
      </c>
      <c r="L36" s="306">
        <f>+IF($H36=L$2,VLOOKUP($G36,Depreciation!$A$14:$L$18,10,FALSE)/2,IF($H36&lt;L$2,VLOOKUP($G36,Depreciation!$A$14:$L$18,10,FALSE),0))</f>
        <v>4.1145263498658789E-2</v>
      </c>
      <c r="M36" s="306">
        <f>+IF($H36=M$2,VLOOKUP($G36,Depreciation!$A$14:$L$18,11,FALSE)/2,IF($H36&lt;M$2,VLOOKUP($G36,Depreciation!$A$14:$L$18,11,FALSE),0))</f>
        <v>4.1145263498658789E-2</v>
      </c>
      <c r="N36" s="306">
        <f>+IF($H36=N$2,VLOOKUP($G36,Depreciation!$A$14:$L$18,12,FALSE)/2,IF($H36&lt;N$2,VLOOKUP($G36,Depreciation!$A$14:$L$18,12,FALSE),0))</f>
        <v>4.1145263498658789E-2</v>
      </c>
      <c r="O36" s="307">
        <f t="shared" si="2"/>
        <v>1429521.1447100309</v>
      </c>
      <c r="P36" s="732">
        <f>'Func Future Subs 2015'!P36</f>
        <v>0</v>
      </c>
      <c r="Q36" s="732">
        <f>'Func Future Subs 2015'!Q36</f>
        <v>0</v>
      </c>
      <c r="R36" s="732">
        <f>'Func Future Subs 2015'!R36</f>
        <v>1</v>
      </c>
      <c r="S36" s="735">
        <f t="shared" si="3"/>
        <v>0</v>
      </c>
      <c r="T36" s="735">
        <f t="shared" si="4"/>
        <v>0</v>
      </c>
      <c r="U36" s="735">
        <f t="shared" si="5"/>
        <v>1429521.1447100309</v>
      </c>
      <c r="V36" s="736">
        <f t="shared" si="6"/>
        <v>0</v>
      </c>
      <c r="W36" s="735">
        <f t="shared" si="7"/>
        <v>0</v>
      </c>
      <c r="X36" s="737">
        <f t="shared" si="8"/>
        <v>0</v>
      </c>
      <c r="Y36" s="738">
        <f t="shared" si="9"/>
        <v>1429521.1447100309</v>
      </c>
    </row>
    <row r="37" spans="1:25">
      <c r="A37" s="754" t="str">
        <f>'Func Future Subs 2015'!A37</f>
        <v>Bellamy 814S</v>
      </c>
      <c r="B37" s="754">
        <f>'Func Future Subs 2015'!B37</f>
        <v>786</v>
      </c>
      <c r="C37" s="754">
        <f>'Func Future Subs 2015'!C37</f>
        <v>240</v>
      </c>
      <c r="D37" s="754">
        <f>'Func Future Subs 2015'!D37</f>
        <v>0</v>
      </c>
      <c r="E37" s="754" t="str">
        <f>'Func Future Subs 2015'!E37</f>
        <v>814S</v>
      </c>
      <c r="F37" s="754">
        <f>'Func Future Subs 2015'!F37</f>
        <v>700514.65499403654</v>
      </c>
      <c r="G37" s="754" t="str">
        <f>'Func Future Subs 2015'!G37</f>
        <v>EPCOR</v>
      </c>
      <c r="H37" s="754">
        <f>'Func Future Subs 2015'!H37</f>
        <v>2016</v>
      </c>
      <c r="I37" s="306">
        <f>+IF($H37=I$2,VLOOKUP($G37,Depreciation!$A$14:$L$18,7,FALSE)/2,IF($H37&lt;I$2,VLOOKUP($G37,Depreciation!$A$14:$L$18,7,FALSE),0))</f>
        <v>0</v>
      </c>
      <c r="J37" s="306">
        <f>+IF($H37=J$2,VLOOKUP($G37,Depreciation!$A$14:$L$18,8,FALSE)/2,IF($H37&lt;J$2,VLOOKUP($G37,Depreciation!$A$14:$L$18,8,FALSE),0))</f>
        <v>2.0800027799922457E-2</v>
      </c>
      <c r="K37" s="306">
        <f>+IF($H37=K$2,VLOOKUP($G37,Depreciation!$A$14:$L$18,9,FALSE)/2,IF($H37&lt;K$2,VLOOKUP($G37,Depreciation!$A$14:$L$18,9,FALSE),0))</f>
        <v>4.1145263498658789E-2</v>
      </c>
      <c r="L37" s="306">
        <f>+IF($H37=L$2,VLOOKUP($G37,Depreciation!$A$14:$L$18,10,FALSE)/2,IF($H37&lt;L$2,VLOOKUP($G37,Depreciation!$A$14:$L$18,10,FALSE),0))</f>
        <v>4.1145263498658789E-2</v>
      </c>
      <c r="M37" s="306">
        <f>+IF($H37=M$2,VLOOKUP($G37,Depreciation!$A$14:$L$18,11,FALSE)/2,IF($H37&lt;M$2,VLOOKUP($G37,Depreciation!$A$14:$L$18,11,FALSE),0))</f>
        <v>4.1145263498658789E-2</v>
      </c>
      <c r="N37" s="306">
        <f>+IF($H37=N$2,VLOOKUP($G37,Depreciation!$A$14:$L$18,12,FALSE)/2,IF($H37&lt;N$2,VLOOKUP($G37,Depreciation!$A$14:$L$18,12,FALSE),0))</f>
        <v>4.1145263498658789E-2</v>
      </c>
      <c r="O37" s="307">
        <f t="shared" si="2"/>
        <v>685943.93069590756</v>
      </c>
      <c r="P37" s="732">
        <f>'Func Future Subs 2015'!P37</f>
        <v>0</v>
      </c>
      <c r="Q37" s="732">
        <f>'Func Future Subs 2015'!Q37</f>
        <v>0</v>
      </c>
      <c r="R37" s="732">
        <f>'Func Future Subs 2015'!R37</f>
        <v>1</v>
      </c>
      <c r="S37" s="735">
        <f t="shared" si="3"/>
        <v>0</v>
      </c>
      <c r="T37" s="735">
        <f t="shared" si="4"/>
        <v>0</v>
      </c>
      <c r="U37" s="735">
        <f t="shared" si="5"/>
        <v>685943.93069590756</v>
      </c>
      <c r="V37" s="736">
        <f t="shared" si="6"/>
        <v>685943.93069590756</v>
      </c>
      <c r="W37" s="735">
        <f t="shared" si="7"/>
        <v>0</v>
      </c>
      <c r="X37" s="737">
        <f t="shared" si="8"/>
        <v>0</v>
      </c>
      <c r="Y37" s="738">
        <f t="shared" si="9"/>
        <v>0</v>
      </c>
    </row>
    <row r="38" spans="1:25">
      <c r="A38" s="754" t="str">
        <f>'Func Future Subs 2015'!A38</f>
        <v>Dome 665S</v>
      </c>
      <c r="B38" s="754">
        <f>'Func Future Subs 2015'!B38</f>
        <v>786</v>
      </c>
      <c r="C38" s="754">
        <f>'Func Future Subs 2015'!C38</f>
        <v>240</v>
      </c>
      <c r="D38" s="754">
        <f>'Func Future Subs 2015'!D38</f>
        <v>0</v>
      </c>
      <c r="E38" s="754" t="str">
        <f>'Func Future Subs 2015'!E38</f>
        <v>665S</v>
      </c>
      <c r="F38" s="754">
        <f>'Func Future Subs 2015'!F38</f>
        <v>616310.21693290537</v>
      </c>
      <c r="G38" s="754" t="str">
        <f>'Func Future Subs 2015'!G38</f>
        <v>EPCOR</v>
      </c>
      <c r="H38" s="754">
        <f>'Func Future Subs 2015'!H38</f>
        <v>2016</v>
      </c>
      <c r="I38" s="306">
        <f>+IF($H38=I$2,VLOOKUP($G38,Depreciation!$A$14:$L$18,7,FALSE)/2,IF($H38&lt;I$2,VLOOKUP($G38,Depreciation!$A$14:$L$18,7,FALSE),0))</f>
        <v>0</v>
      </c>
      <c r="J38" s="306">
        <f>+IF($H38=J$2,VLOOKUP($G38,Depreciation!$A$14:$L$18,8,FALSE)/2,IF($H38&lt;J$2,VLOOKUP($G38,Depreciation!$A$14:$L$18,8,FALSE),0))</f>
        <v>2.0800027799922457E-2</v>
      </c>
      <c r="K38" s="306">
        <f>+IF($H38=K$2,VLOOKUP($G38,Depreciation!$A$14:$L$18,9,FALSE)/2,IF($H38&lt;K$2,VLOOKUP($G38,Depreciation!$A$14:$L$18,9,FALSE),0))</f>
        <v>4.1145263498658789E-2</v>
      </c>
      <c r="L38" s="306">
        <f>+IF($H38=L$2,VLOOKUP($G38,Depreciation!$A$14:$L$18,10,FALSE)/2,IF($H38&lt;L$2,VLOOKUP($G38,Depreciation!$A$14:$L$18,10,FALSE),0))</f>
        <v>4.1145263498658789E-2</v>
      </c>
      <c r="M38" s="306">
        <f>+IF($H38=M$2,VLOOKUP($G38,Depreciation!$A$14:$L$18,11,FALSE)/2,IF($H38&lt;M$2,VLOOKUP($G38,Depreciation!$A$14:$L$18,11,FALSE),0))</f>
        <v>4.1145263498658789E-2</v>
      </c>
      <c r="N38" s="306">
        <f>+IF($H38=N$2,VLOOKUP($G38,Depreciation!$A$14:$L$18,12,FALSE)/2,IF($H38&lt;N$2,VLOOKUP($G38,Depreciation!$A$14:$L$18,12,FALSE),0))</f>
        <v>4.1145263498658789E-2</v>
      </c>
      <c r="O38" s="307">
        <f t="shared" si="2"/>
        <v>603490.9472873247</v>
      </c>
      <c r="P38" s="732">
        <f>'Func Future Subs 2015'!P38</f>
        <v>0</v>
      </c>
      <c r="Q38" s="732">
        <f>'Func Future Subs 2015'!Q38</f>
        <v>0</v>
      </c>
      <c r="R38" s="732">
        <f>'Func Future Subs 2015'!R38</f>
        <v>1</v>
      </c>
      <c r="S38" s="735">
        <f t="shared" si="3"/>
        <v>0</v>
      </c>
      <c r="T38" s="735">
        <f t="shared" si="4"/>
        <v>0</v>
      </c>
      <c r="U38" s="735">
        <f t="shared" si="5"/>
        <v>603490.9472873247</v>
      </c>
      <c r="V38" s="736">
        <f t="shared" si="6"/>
        <v>603490.9472873247</v>
      </c>
      <c r="W38" s="735">
        <f t="shared" si="7"/>
        <v>0</v>
      </c>
      <c r="X38" s="737">
        <f t="shared" si="8"/>
        <v>0</v>
      </c>
      <c r="Y38" s="738">
        <f t="shared" si="9"/>
        <v>0</v>
      </c>
    </row>
    <row r="39" spans="1:25">
      <c r="A39" s="754" t="str">
        <f>'Func Future Subs 2015'!A39</f>
        <v>Genesee 330P</v>
      </c>
      <c r="B39" s="754">
        <f>'Func Future Subs 2015'!B39</f>
        <v>786</v>
      </c>
      <c r="C39" s="754">
        <f>'Func Future Subs 2015'!C39</f>
        <v>500</v>
      </c>
      <c r="D39" s="754">
        <f>'Func Future Subs 2015'!D39</f>
        <v>240</v>
      </c>
      <c r="E39" s="754" t="str">
        <f>'Func Future Subs 2015'!E39</f>
        <v>330P</v>
      </c>
      <c r="F39" s="754">
        <f>'Func Future Subs 2015'!F39</f>
        <v>112557.4943276488</v>
      </c>
      <c r="G39" s="754" t="str">
        <f>'Func Future Subs 2015'!G39</f>
        <v>EPCOR</v>
      </c>
      <c r="H39" s="754">
        <f>'Func Future Subs 2015'!H39</f>
        <v>2016</v>
      </c>
      <c r="I39" s="306">
        <f>+IF($H39=I$2,VLOOKUP($G39,Depreciation!$A$14:$L$18,7,FALSE)/2,IF($H39&lt;I$2,VLOOKUP($G39,Depreciation!$A$14:$L$18,7,FALSE),0))</f>
        <v>0</v>
      </c>
      <c r="J39" s="306">
        <f>+IF($H39=J$2,VLOOKUP($G39,Depreciation!$A$14:$L$18,8,FALSE)/2,IF($H39&lt;J$2,VLOOKUP($G39,Depreciation!$A$14:$L$18,8,FALSE),0))</f>
        <v>2.0800027799922457E-2</v>
      </c>
      <c r="K39" s="306">
        <f>+IF($H39=K$2,VLOOKUP($G39,Depreciation!$A$14:$L$18,9,FALSE)/2,IF($H39&lt;K$2,VLOOKUP($G39,Depreciation!$A$14:$L$18,9,FALSE),0))</f>
        <v>4.1145263498658789E-2</v>
      </c>
      <c r="L39" s="306">
        <f>+IF($H39=L$2,VLOOKUP($G39,Depreciation!$A$14:$L$18,10,FALSE)/2,IF($H39&lt;L$2,VLOOKUP($G39,Depreciation!$A$14:$L$18,10,FALSE),0))</f>
        <v>4.1145263498658789E-2</v>
      </c>
      <c r="M39" s="306">
        <f>+IF($H39=M$2,VLOOKUP($G39,Depreciation!$A$14:$L$18,11,FALSE)/2,IF($H39&lt;M$2,VLOOKUP($G39,Depreciation!$A$14:$L$18,11,FALSE),0))</f>
        <v>4.1145263498658789E-2</v>
      </c>
      <c r="N39" s="306">
        <f>+IF($H39=N$2,VLOOKUP($G39,Depreciation!$A$14:$L$18,12,FALSE)/2,IF($H39&lt;N$2,VLOOKUP($G39,Depreciation!$A$14:$L$18,12,FALSE),0))</f>
        <v>4.1145263498658789E-2</v>
      </c>
      <c r="O39" s="307">
        <f t="shared" si="2"/>
        <v>110216.2953165441</v>
      </c>
      <c r="P39" s="732">
        <f>'Func Future Subs 2015'!P39</f>
        <v>0</v>
      </c>
      <c r="Q39" s="732">
        <f>'Func Future Subs 2015'!Q39</f>
        <v>0</v>
      </c>
      <c r="R39" s="732">
        <f>'Func Future Subs 2015'!R39</f>
        <v>1</v>
      </c>
      <c r="S39" s="735">
        <f t="shared" si="3"/>
        <v>0</v>
      </c>
      <c r="T39" s="735">
        <f t="shared" si="4"/>
        <v>0</v>
      </c>
      <c r="U39" s="735">
        <f t="shared" si="5"/>
        <v>110216.2953165441</v>
      </c>
      <c r="V39" s="736">
        <f t="shared" si="6"/>
        <v>0</v>
      </c>
      <c r="W39" s="735">
        <f t="shared" si="7"/>
        <v>110216.2953165441</v>
      </c>
      <c r="X39" s="737">
        <f t="shared" si="8"/>
        <v>0</v>
      </c>
      <c r="Y39" s="738">
        <f t="shared" si="9"/>
        <v>0</v>
      </c>
    </row>
    <row r="40" spans="1:25">
      <c r="A40" s="754" t="str">
        <f>'Func Future Subs 2015'!A40</f>
        <v>Keephills 320P</v>
      </c>
      <c r="B40" s="754">
        <f>'Func Future Subs 2015'!B40</f>
        <v>786</v>
      </c>
      <c r="C40" s="754">
        <f>'Func Future Subs 2015'!C40</f>
        <v>240</v>
      </c>
      <c r="D40" s="754">
        <f>'Func Future Subs 2015'!D40</f>
        <v>25</v>
      </c>
      <c r="E40" s="754" t="str">
        <f>'Func Future Subs 2015'!E40</f>
        <v>320P</v>
      </c>
      <c r="F40" s="754">
        <f>'Func Future Subs 2015'!F40</f>
        <v>5431229.6126103988</v>
      </c>
      <c r="G40" s="754" t="str">
        <f>'Func Future Subs 2015'!G40</f>
        <v>AltaLink</v>
      </c>
      <c r="H40" s="754">
        <f>'Func Future Subs 2015'!H40</f>
        <v>2016</v>
      </c>
      <c r="I40" s="306">
        <f>+IF($H40=I$2,VLOOKUP($G40,Depreciation!$A$14:$L$18,7,FALSE)/2,IF($H40&lt;I$2,VLOOKUP($G40,Depreciation!$A$14:$L$18,7,FALSE),0))</f>
        <v>0</v>
      </c>
      <c r="J40" s="306">
        <f>+IF($H40=J$2,VLOOKUP($G40,Depreciation!$A$14:$L$18,8,FALSE)/2,IF($H40&lt;J$2,VLOOKUP($G40,Depreciation!$A$14:$L$18,8,FALSE),0))</f>
        <v>1.671703928371859E-2</v>
      </c>
      <c r="K40" s="306">
        <f>+IF($H40=K$2,VLOOKUP($G40,Depreciation!$A$14:$L$18,9,FALSE)/2,IF($H40&lt;K$2,VLOOKUP($G40,Depreciation!$A$14:$L$18,9,FALSE),0))</f>
        <v>3.343407856743718E-2</v>
      </c>
      <c r="L40" s="306">
        <f>+IF($H40=L$2,VLOOKUP($G40,Depreciation!$A$14:$L$18,10,FALSE)/2,IF($H40&lt;L$2,VLOOKUP($G40,Depreciation!$A$14:$L$18,10,FALSE),0))</f>
        <v>3.343407856743718E-2</v>
      </c>
      <c r="M40" s="306">
        <f>+IF($H40=M$2,VLOOKUP($G40,Depreciation!$A$14:$L$18,11,FALSE)/2,IF($H40&lt;M$2,VLOOKUP($G40,Depreciation!$A$14:$L$18,11,FALSE),0))</f>
        <v>3.343407856743718E-2</v>
      </c>
      <c r="N40" s="306">
        <f>+IF($H40=N$2,VLOOKUP($G40,Depreciation!$A$14:$L$18,12,FALSE)/2,IF($H40&lt;N$2,VLOOKUP($G40,Depreciation!$A$14:$L$18,12,FALSE),0))</f>
        <v>3.343407856743718E-2</v>
      </c>
      <c r="O40" s="307">
        <f t="shared" si="2"/>
        <v>5340435.5338174952</v>
      </c>
      <c r="P40" s="732">
        <f>'Func Future Subs 2015'!P40</f>
        <v>0.96203522504892369</v>
      </c>
      <c r="Q40" s="732">
        <f>'Func Future Subs 2015'!Q40</f>
        <v>3.7964774951076322E-2</v>
      </c>
      <c r="R40" s="732">
        <f>'Func Future Subs 2015'!R40</f>
        <v>0</v>
      </c>
      <c r="S40" s="735">
        <f t="shared" si="3"/>
        <v>5137687.1006353833</v>
      </c>
      <c r="T40" s="735">
        <f t="shared" si="4"/>
        <v>202748.43318211235</v>
      </c>
      <c r="U40" s="735">
        <f t="shared" si="5"/>
        <v>0</v>
      </c>
      <c r="V40" s="736">
        <f t="shared" si="6"/>
        <v>0</v>
      </c>
      <c r="W40" s="735">
        <f t="shared" si="7"/>
        <v>5137687.1006353833</v>
      </c>
      <c r="X40" s="737">
        <f t="shared" si="8"/>
        <v>0</v>
      </c>
      <c r="Y40" s="738">
        <f t="shared" si="9"/>
        <v>202748.43318211235</v>
      </c>
    </row>
    <row r="41" spans="1:25">
      <c r="A41" s="754" t="str">
        <f>'Func Future Subs 2015'!A41</f>
        <v>lambton E803S</v>
      </c>
      <c r="B41" s="754">
        <f>'Func Future Subs 2015'!B41</f>
        <v>786</v>
      </c>
      <c r="C41" s="754">
        <f>'Func Future Subs 2015'!C41</f>
        <v>240</v>
      </c>
      <c r="D41" s="754">
        <f>'Func Future Subs 2015'!D41</f>
        <v>25</v>
      </c>
      <c r="E41" s="754" t="str">
        <f>'Func Future Subs 2015'!E41</f>
        <v>803S</v>
      </c>
      <c r="F41" s="754">
        <f>'Func Future Subs 2015'!F41</f>
        <v>681829.47830029717</v>
      </c>
      <c r="G41" s="754" t="str">
        <f>'Func Future Subs 2015'!G41</f>
        <v>EPCOR</v>
      </c>
      <c r="H41" s="754">
        <f>'Func Future Subs 2015'!H41</f>
        <v>2016</v>
      </c>
      <c r="I41" s="306">
        <f>+IF($H41=I$2,VLOOKUP($G41,Depreciation!$A$14:$L$18,7,FALSE)/2,IF($H41&lt;I$2,VLOOKUP($G41,Depreciation!$A$14:$L$18,7,FALSE),0))</f>
        <v>0</v>
      </c>
      <c r="J41" s="306">
        <f>+IF($H41=J$2,VLOOKUP($G41,Depreciation!$A$14:$L$18,8,FALSE)/2,IF($H41&lt;J$2,VLOOKUP($G41,Depreciation!$A$14:$L$18,8,FALSE),0))</f>
        <v>2.0800027799922457E-2</v>
      </c>
      <c r="K41" s="306">
        <f>+IF($H41=K$2,VLOOKUP($G41,Depreciation!$A$14:$L$18,9,FALSE)/2,IF($H41&lt;K$2,VLOOKUP($G41,Depreciation!$A$14:$L$18,9,FALSE),0))</f>
        <v>4.1145263498658789E-2</v>
      </c>
      <c r="L41" s="306">
        <f>+IF($H41=L$2,VLOOKUP($G41,Depreciation!$A$14:$L$18,10,FALSE)/2,IF($H41&lt;L$2,VLOOKUP($G41,Depreciation!$A$14:$L$18,10,FALSE),0))</f>
        <v>4.1145263498658789E-2</v>
      </c>
      <c r="M41" s="306">
        <f>+IF($H41=M$2,VLOOKUP($G41,Depreciation!$A$14:$L$18,11,FALSE)/2,IF($H41&lt;M$2,VLOOKUP($G41,Depreciation!$A$14:$L$18,11,FALSE),0))</f>
        <v>4.1145263498658789E-2</v>
      </c>
      <c r="N41" s="306">
        <f>+IF($H41=N$2,VLOOKUP($G41,Depreciation!$A$14:$L$18,12,FALSE)/2,IF($H41&lt;N$2,VLOOKUP($G41,Depreciation!$A$14:$L$18,12,FALSE),0))</f>
        <v>4.1145263498658789E-2</v>
      </c>
      <c r="O41" s="307">
        <f t="shared" si="2"/>
        <v>667647.40619684441</v>
      </c>
      <c r="P41" s="732">
        <f>'Func Future Subs 2015'!P41</f>
        <v>0</v>
      </c>
      <c r="Q41" s="732">
        <f>'Func Future Subs 2015'!Q41</f>
        <v>1</v>
      </c>
      <c r="R41" s="732">
        <f>'Func Future Subs 2015'!R41</f>
        <v>0</v>
      </c>
      <c r="S41" s="735">
        <f t="shared" si="3"/>
        <v>0</v>
      </c>
      <c r="T41" s="735">
        <f t="shared" si="4"/>
        <v>667647.40619684441</v>
      </c>
      <c r="U41" s="735">
        <f t="shared" si="5"/>
        <v>0</v>
      </c>
      <c r="V41" s="736">
        <f t="shared" si="6"/>
        <v>0</v>
      </c>
      <c r="W41" s="735">
        <f t="shared" si="7"/>
        <v>0</v>
      </c>
      <c r="X41" s="737">
        <f t="shared" si="8"/>
        <v>0</v>
      </c>
      <c r="Y41" s="738">
        <f t="shared" si="9"/>
        <v>667647.40619684441</v>
      </c>
    </row>
    <row r="42" spans="1:25">
      <c r="A42" s="754" t="str">
        <f>'Func Future Subs 2015'!A42</f>
        <v>Livock PST</v>
      </c>
      <c r="B42" s="754">
        <f>'Func Future Subs 2015'!B42</f>
        <v>786</v>
      </c>
      <c r="C42" s="754">
        <f>'Func Future Subs 2015'!C42</f>
        <v>240</v>
      </c>
      <c r="D42" s="754">
        <f>'Func Future Subs 2015'!D42</f>
        <v>0</v>
      </c>
      <c r="E42" s="754">
        <f>'Func Future Subs 2015'!E42</f>
        <v>0</v>
      </c>
      <c r="F42" s="754">
        <f>'Func Future Subs 2015'!F42</f>
        <v>31168613.741793498</v>
      </c>
      <c r="G42" s="754" t="str">
        <f>'Func Future Subs 2015'!G42</f>
        <v>ATCO</v>
      </c>
      <c r="H42" s="754">
        <f>'Func Future Subs 2015'!H42</f>
        <v>2016</v>
      </c>
      <c r="I42" s="306">
        <f>+IF($H42=I$2,VLOOKUP($G42,Depreciation!$A$14:$L$18,7,FALSE)/2,IF($H42&lt;I$2,VLOOKUP($G42,Depreciation!$A$14:$L$18,7,FALSE),0))</f>
        <v>0</v>
      </c>
      <c r="J42" s="306">
        <f>+IF($H42=J$2,VLOOKUP($G42,Depreciation!$A$14:$L$18,8,FALSE)/2,IF($H42&lt;J$2,VLOOKUP($G42,Depreciation!$A$14:$L$18,8,FALSE),0))</f>
        <v>1.231622525054236E-2</v>
      </c>
      <c r="K42" s="306">
        <f>+IF($H42=K$2,VLOOKUP($G42,Depreciation!$A$14:$L$18,9,FALSE)/2,IF($H42&lt;K$2,VLOOKUP($G42,Depreciation!$A$14:$L$18,9,FALSE),0))</f>
        <v>2.4351536427798831E-2</v>
      </c>
      <c r="L42" s="306">
        <f>+IF($H42=L$2,VLOOKUP($G42,Depreciation!$A$14:$L$18,10,FALSE)/2,IF($H42&lt;L$2,VLOOKUP($G42,Depreciation!$A$14:$L$18,10,FALSE),0))</f>
        <v>2.4351536427798831E-2</v>
      </c>
      <c r="M42" s="306">
        <f>+IF($H42=M$2,VLOOKUP($G42,Depreciation!$A$14:$L$18,11,FALSE)/2,IF($H42&lt;M$2,VLOOKUP($G42,Depreciation!$A$14:$L$18,11,FALSE),0))</f>
        <v>2.4351536427798831E-2</v>
      </c>
      <c r="N42" s="306">
        <f>+IF($H42=N$2,VLOOKUP($G42,Depreciation!$A$14:$L$18,12,FALSE)/2,IF($H42&lt;N$2,VLOOKUP($G42,Depreciation!$A$14:$L$18,12,FALSE),0))</f>
        <v>2.4351536427798831E-2</v>
      </c>
      <c r="O42" s="307">
        <f t="shared" si="2"/>
        <v>30784734.074202422</v>
      </c>
      <c r="P42" s="732">
        <f>'Func Future Subs 2015'!P42</f>
        <v>0</v>
      </c>
      <c r="Q42" s="732">
        <f>'Func Future Subs 2015'!Q42</f>
        <v>0</v>
      </c>
      <c r="R42" s="732">
        <f>'Func Future Subs 2015'!R42</f>
        <v>1</v>
      </c>
      <c r="S42" s="735">
        <f t="shared" si="3"/>
        <v>0</v>
      </c>
      <c r="T42" s="735">
        <f t="shared" si="4"/>
        <v>0</v>
      </c>
      <c r="U42" s="735">
        <f t="shared" si="5"/>
        <v>30784734.074202422</v>
      </c>
      <c r="V42" s="736">
        <f t="shared" si="6"/>
        <v>30784734.074202422</v>
      </c>
      <c r="W42" s="735">
        <f t="shared" si="7"/>
        <v>0</v>
      </c>
      <c r="X42" s="737">
        <f t="shared" si="8"/>
        <v>0</v>
      </c>
      <c r="Y42" s="738">
        <f t="shared" si="9"/>
        <v>0</v>
      </c>
    </row>
    <row r="43" spans="1:25">
      <c r="A43" s="754" t="str">
        <f>'Func Future Subs 2015'!A43</f>
        <v>Sundance 310P</v>
      </c>
      <c r="B43" s="754">
        <f>'Func Future Subs 2015'!B43</f>
        <v>786</v>
      </c>
      <c r="C43" s="754">
        <f>'Func Future Subs 2015'!C43</f>
        <v>240</v>
      </c>
      <c r="D43" s="754">
        <f>'Func Future Subs 2015'!D43</f>
        <v>25</v>
      </c>
      <c r="E43" s="754" t="str">
        <f>'Func Future Subs 2015'!E43</f>
        <v>310P</v>
      </c>
      <c r="F43" s="754">
        <f>'Func Future Subs 2015'!F43</f>
        <v>314796.88531681657</v>
      </c>
      <c r="G43" s="754" t="str">
        <f>'Func Future Subs 2015'!G43</f>
        <v>AltaLink</v>
      </c>
      <c r="H43" s="754">
        <f>'Func Future Subs 2015'!H43</f>
        <v>2016</v>
      </c>
      <c r="I43" s="306">
        <f>+IF($H43=I$2,VLOOKUP($G43,Depreciation!$A$14:$L$18,7,FALSE)/2,IF($H43&lt;I$2,VLOOKUP($G43,Depreciation!$A$14:$L$18,7,FALSE),0))</f>
        <v>0</v>
      </c>
      <c r="J43" s="306">
        <f>+IF($H43=J$2,VLOOKUP($G43,Depreciation!$A$14:$L$18,8,FALSE)/2,IF($H43&lt;J$2,VLOOKUP($G43,Depreciation!$A$14:$L$18,8,FALSE),0))</f>
        <v>1.671703928371859E-2</v>
      </c>
      <c r="K43" s="306">
        <f>+IF($H43=K$2,VLOOKUP($G43,Depreciation!$A$14:$L$18,9,FALSE)/2,IF($H43&lt;K$2,VLOOKUP($G43,Depreciation!$A$14:$L$18,9,FALSE),0))</f>
        <v>3.343407856743718E-2</v>
      </c>
      <c r="L43" s="306">
        <f>+IF($H43=L$2,VLOOKUP($G43,Depreciation!$A$14:$L$18,10,FALSE)/2,IF($H43&lt;L$2,VLOOKUP($G43,Depreciation!$A$14:$L$18,10,FALSE),0))</f>
        <v>3.343407856743718E-2</v>
      </c>
      <c r="M43" s="306">
        <f>+IF($H43=M$2,VLOOKUP($G43,Depreciation!$A$14:$L$18,11,FALSE)/2,IF($H43&lt;M$2,VLOOKUP($G43,Depreciation!$A$14:$L$18,11,FALSE),0))</f>
        <v>3.343407856743718E-2</v>
      </c>
      <c r="N43" s="306">
        <f>+IF($H43=N$2,VLOOKUP($G43,Depreciation!$A$14:$L$18,12,FALSE)/2,IF($H43&lt;N$2,VLOOKUP($G43,Depreciation!$A$14:$L$18,12,FALSE),0))</f>
        <v>3.343407856743718E-2</v>
      </c>
      <c r="O43" s="307">
        <f t="shared" si="2"/>
        <v>309534.41341858311</v>
      </c>
      <c r="P43" s="732">
        <f>'Func Future Subs 2015'!P43</f>
        <v>1</v>
      </c>
      <c r="Q43" s="732">
        <f>'Func Future Subs 2015'!Q43</f>
        <v>0</v>
      </c>
      <c r="R43" s="732">
        <f>'Func Future Subs 2015'!R43</f>
        <v>0</v>
      </c>
      <c r="S43" s="735">
        <f t="shared" si="3"/>
        <v>309534.41341858311</v>
      </c>
      <c r="T43" s="735">
        <f t="shared" si="4"/>
        <v>0</v>
      </c>
      <c r="U43" s="735">
        <f t="shared" si="5"/>
        <v>0</v>
      </c>
      <c r="V43" s="736">
        <f t="shared" si="6"/>
        <v>0</v>
      </c>
      <c r="W43" s="735">
        <f t="shared" si="7"/>
        <v>309534.41341858311</v>
      </c>
      <c r="X43" s="737">
        <f t="shared" si="8"/>
        <v>0</v>
      </c>
      <c r="Y43" s="738">
        <f t="shared" si="9"/>
        <v>0</v>
      </c>
    </row>
    <row r="44" spans="1:25">
      <c r="A44" s="754" t="str">
        <f>'Func Future Subs 2015'!A44</f>
        <v>Wabamun 19S</v>
      </c>
      <c r="B44" s="754">
        <f>'Func Future Subs 2015'!B44</f>
        <v>786</v>
      </c>
      <c r="C44" s="754">
        <f>'Func Future Subs 2015'!C44</f>
        <v>240</v>
      </c>
      <c r="D44" s="754">
        <f>'Func Future Subs 2015'!D44</f>
        <v>138</v>
      </c>
      <c r="E44" s="754" t="str">
        <f>'Func Future Subs 2015'!E44</f>
        <v>19S</v>
      </c>
      <c r="F44" s="754">
        <f>'Func Future Subs 2015'!F44</f>
        <v>314793.33534968545</v>
      </c>
      <c r="G44" s="754" t="str">
        <f>'Func Future Subs 2015'!G44</f>
        <v>AltaLink</v>
      </c>
      <c r="H44" s="754">
        <f>'Func Future Subs 2015'!H44</f>
        <v>2016</v>
      </c>
      <c r="I44" s="306">
        <f>+IF($H44=I$2,VLOOKUP($G44,Depreciation!$A$14:$L$18,7,FALSE)/2,IF($H44&lt;I$2,VLOOKUP($G44,Depreciation!$A$14:$L$18,7,FALSE),0))</f>
        <v>0</v>
      </c>
      <c r="J44" s="306">
        <f>+IF($H44=J$2,VLOOKUP($G44,Depreciation!$A$14:$L$18,8,FALSE)/2,IF($H44&lt;J$2,VLOOKUP($G44,Depreciation!$A$14:$L$18,8,FALSE),0))</f>
        <v>1.671703928371859E-2</v>
      </c>
      <c r="K44" s="306">
        <f>+IF($H44=K$2,VLOOKUP($G44,Depreciation!$A$14:$L$18,9,FALSE)/2,IF($H44&lt;K$2,VLOOKUP($G44,Depreciation!$A$14:$L$18,9,FALSE),0))</f>
        <v>3.343407856743718E-2</v>
      </c>
      <c r="L44" s="306">
        <f>+IF($H44=L$2,VLOOKUP($G44,Depreciation!$A$14:$L$18,10,FALSE)/2,IF($H44&lt;L$2,VLOOKUP($G44,Depreciation!$A$14:$L$18,10,FALSE),0))</f>
        <v>3.343407856743718E-2</v>
      </c>
      <c r="M44" s="306">
        <f>+IF($H44=M$2,VLOOKUP($G44,Depreciation!$A$14:$L$18,11,FALSE)/2,IF($H44&lt;M$2,VLOOKUP($G44,Depreciation!$A$14:$L$18,11,FALSE),0))</f>
        <v>3.343407856743718E-2</v>
      </c>
      <c r="N44" s="306">
        <f>+IF($H44=N$2,VLOOKUP($G44,Depreciation!$A$14:$L$18,12,FALSE)/2,IF($H44&lt;N$2,VLOOKUP($G44,Depreciation!$A$14:$L$18,12,FALSE),0))</f>
        <v>3.343407856743718E-2</v>
      </c>
      <c r="O44" s="307">
        <f t="shared" si="2"/>
        <v>309530.92279639194</v>
      </c>
      <c r="P44" s="732">
        <f>'Func Future Subs 2015'!P44</f>
        <v>0</v>
      </c>
      <c r="Q44" s="732">
        <f>'Func Future Subs 2015'!Q44</f>
        <v>0</v>
      </c>
      <c r="R44" s="732">
        <f>'Func Future Subs 2015'!R44</f>
        <v>1</v>
      </c>
      <c r="S44" s="735">
        <f t="shared" si="3"/>
        <v>0</v>
      </c>
      <c r="T44" s="735">
        <f t="shared" si="4"/>
        <v>0</v>
      </c>
      <c r="U44" s="735">
        <f t="shared" si="5"/>
        <v>309530.92279639194</v>
      </c>
      <c r="V44" s="736">
        <f t="shared" si="6"/>
        <v>0</v>
      </c>
      <c r="W44" s="735">
        <f t="shared" si="7"/>
        <v>0</v>
      </c>
      <c r="X44" s="737">
        <f t="shared" si="8"/>
        <v>309530.92279639194</v>
      </c>
      <c r="Y44" s="738">
        <f t="shared" si="9"/>
        <v>0</v>
      </c>
    </row>
    <row r="45" spans="1:25">
      <c r="A45" s="754" t="str">
        <f>'Func Future Subs 2015'!A45</f>
        <v>Arcenciel 930S</v>
      </c>
      <c r="B45" s="754">
        <f>'Func Future Subs 2015'!B45</f>
        <v>803</v>
      </c>
      <c r="C45" s="754">
        <f>'Func Future Subs 2015'!C45</f>
        <v>138</v>
      </c>
      <c r="D45" s="754">
        <f>'Func Future Subs 2015'!D45</f>
        <v>138</v>
      </c>
      <c r="E45" s="754" t="str">
        <f>'Func Future Subs 2015'!E45</f>
        <v>930S</v>
      </c>
      <c r="F45" s="754">
        <f>'Func Future Subs 2015'!F45</f>
        <v>119288.54647463236</v>
      </c>
      <c r="G45" s="754" t="str">
        <f>'Func Future Subs 2015'!G45</f>
        <v>ATCO</v>
      </c>
      <c r="H45" s="754">
        <f>'Func Future Subs 2015'!H45</f>
        <v>2017</v>
      </c>
      <c r="I45" s="306">
        <f>+IF($H45=I$2,VLOOKUP($G45,Depreciation!$A$14:$L$18,7,FALSE)/2,IF($H45&lt;I$2,VLOOKUP($G45,Depreciation!$A$14:$L$18,7,FALSE),0))</f>
        <v>0</v>
      </c>
      <c r="J45" s="306">
        <f>+IF($H45=J$2,VLOOKUP($G45,Depreciation!$A$14:$L$18,8,FALSE)/2,IF($H45&lt;J$2,VLOOKUP($G45,Depreciation!$A$14:$L$18,8,FALSE),0))</f>
        <v>0</v>
      </c>
      <c r="K45" s="306">
        <f>+IF($H45=K$2,VLOOKUP($G45,Depreciation!$A$14:$L$18,9,FALSE)/2,IF($H45&lt;K$2,VLOOKUP($G45,Depreciation!$A$14:$L$18,9,FALSE),0))</f>
        <v>1.2175768213899416E-2</v>
      </c>
      <c r="L45" s="306">
        <f>+IF($H45=L$2,VLOOKUP($G45,Depreciation!$A$14:$L$18,10,FALSE)/2,IF($H45&lt;L$2,VLOOKUP($G45,Depreciation!$A$14:$L$18,10,FALSE),0))</f>
        <v>2.4351536427798831E-2</v>
      </c>
      <c r="M45" s="306">
        <f>+IF($H45=M$2,VLOOKUP($G45,Depreciation!$A$14:$L$18,11,FALSE)/2,IF($H45&lt;M$2,VLOOKUP($G45,Depreciation!$A$14:$L$18,11,FALSE),0))</f>
        <v>2.4351536427798831E-2</v>
      </c>
      <c r="N45" s="306">
        <f>+IF($H45=N$2,VLOOKUP($G45,Depreciation!$A$14:$L$18,12,FALSE)/2,IF($H45&lt;N$2,VLOOKUP($G45,Depreciation!$A$14:$L$18,12,FALSE),0))</f>
        <v>2.4351536427798831E-2</v>
      </c>
      <c r="O45" s="307">
        <f t="shared" si="2"/>
        <v>0</v>
      </c>
      <c r="P45" s="732">
        <f>'Func Future Subs 2015'!P45</f>
        <v>0</v>
      </c>
      <c r="Q45" s="732">
        <f>'Func Future Subs 2015'!Q45</f>
        <v>0</v>
      </c>
      <c r="R45" s="732">
        <f>'Func Future Subs 2015'!R45</f>
        <v>1</v>
      </c>
      <c r="S45" s="735">
        <f t="shared" si="3"/>
        <v>0</v>
      </c>
      <c r="T45" s="735">
        <f t="shared" si="4"/>
        <v>0</v>
      </c>
      <c r="U45" s="735">
        <f t="shared" si="5"/>
        <v>0</v>
      </c>
      <c r="V45" s="736">
        <f t="shared" si="6"/>
        <v>0</v>
      </c>
      <c r="W45" s="735">
        <f t="shared" si="7"/>
        <v>0</v>
      </c>
      <c r="X45" s="737">
        <f t="shared" si="8"/>
        <v>0</v>
      </c>
      <c r="Y45" s="738">
        <f t="shared" si="9"/>
        <v>0</v>
      </c>
    </row>
    <row r="46" spans="1:25">
      <c r="A46" s="754" t="str">
        <f>'Func Future Subs 2015'!A46</f>
        <v>Blumenort substation 832S</v>
      </c>
      <c r="B46" s="754">
        <f>'Func Future Subs 2015'!B46</f>
        <v>803</v>
      </c>
      <c r="C46" s="754">
        <f>'Func Future Subs 2015'!C46</f>
        <v>138</v>
      </c>
      <c r="D46" s="754">
        <f>'Func Future Subs 2015'!D46</f>
        <v>25</v>
      </c>
      <c r="E46" s="754" t="str">
        <f>'Func Future Subs 2015'!E46</f>
        <v>832S</v>
      </c>
      <c r="F46" s="754">
        <f>'Func Future Subs 2015'!F46</f>
        <v>3476988.1419072561</v>
      </c>
      <c r="G46" s="754" t="str">
        <f>'Func Future Subs 2015'!G46</f>
        <v>ATCO</v>
      </c>
      <c r="H46" s="754">
        <f>'Func Future Subs 2015'!H46</f>
        <v>2017</v>
      </c>
      <c r="I46" s="306">
        <f>+IF($H46=I$2,VLOOKUP($G46,Depreciation!$A$14:$L$18,7,FALSE)/2,IF($H46&lt;I$2,VLOOKUP($G46,Depreciation!$A$14:$L$18,7,FALSE),0))</f>
        <v>0</v>
      </c>
      <c r="J46" s="306">
        <f>+IF($H46=J$2,VLOOKUP($G46,Depreciation!$A$14:$L$18,8,FALSE)/2,IF($H46&lt;J$2,VLOOKUP($G46,Depreciation!$A$14:$L$18,8,FALSE),0))</f>
        <v>0</v>
      </c>
      <c r="K46" s="306">
        <f>+IF($H46=K$2,VLOOKUP($G46,Depreciation!$A$14:$L$18,9,FALSE)/2,IF($H46&lt;K$2,VLOOKUP($G46,Depreciation!$A$14:$L$18,9,FALSE),0))</f>
        <v>1.2175768213899416E-2</v>
      </c>
      <c r="L46" s="306">
        <f>+IF($H46=L$2,VLOOKUP($G46,Depreciation!$A$14:$L$18,10,FALSE)/2,IF($H46&lt;L$2,VLOOKUP($G46,Depreciation!$A$14:$L$18,10,FALSE),0))</f>
        <v>2.4351536427798831E-2</v>
      </c>
      <c r="M46" s="306">
        <f>+IF($H46=M$2,VLOOKUP($G46,Depreciation!$A$14:$L$18,11,FALSE)/2,IF($H46&lt;M$2,VLOOKUP($G46,Depreciation!$A$14:$L$18,11,FALSE),0))</f>
        <v>2.4351536427798831E-2</v>
      </c>
      <c r="N46" s="306">
        <f>+IF($H46=N$2,VLOOKUP($G46,Depreciation!$A$14:$L$18,12,FALSE)/2,IF($H46&lt;N$2,VLOOKUP($G46,Depreciation!$A$14:$L$18,12,FALSE),0))</f>
        <v>2.4351536427798831E-2</v>
      </c>
      <c r="O46" s="307">
        <f t="shared" si="2"/>
        <v>0</v>
      </c>
      <c r="P46" s="732">
        <f>'Func Future Subs 2015'!P46</f>
        <v>0</v>
      </c>
      <c r="Q46" s="732">
        <f>'Func Future Subs 2015'!Q46</f>
        <v>1</v>
      </c>
      <c r="R46" s="732">
        <f>'Func Future Subs 2015'!R46</f>
        <v>0</v>
      </c>
      <c r="S46" s="735">
        <f t="shared" si="3"/>
        <v>0</v>
      </c>
      <c r="T46" s="735">
        <f t="shared" si="4"/>
        <v>0</v>
      </c>
      <c r="U46" s="735">
        <f t="shared" si="5"/>
        <v>0</v>
      </c>
      <c r="V46" s="736">
        <f t="shared" si="6"/>
        <v>0</v>
      </c>
      <c r="W46" s="735">
        <f t="shared" si="7"/>
        <v>0</v>
      </c>
      <c r="X46" s="737">
        <f t="shared" si="8"/>
        <v>0</v>
      </c>
      <c r="Y46" s="738">
        <f t="shared" si="9"/>
        <v>0</v>
      </c>
    </row>
    <row r="47" spans="1:25">
      <c r="A47" s="754" t="str">
        <f>'Func Future Subs 2015'!A47</f>
        <v>High Level substation</v>
      </c>
      <c r="B47" s="754">
        <f>'Func Future Subs 2015'!B47</f>
        <v>803</v>
      </c>
      <c r="C47" s="754">
        <f>'Func Future Subs 2015'!C47</f>
        <v>138</v>
      </c>
      <c r="D47" s="754">
        <f>'Func Future Subs 2015'!D47</f>
        <v>0</v>
      </c>
      <c r="E47" s="754">
        <f>'Func Future Subs 2015'!E47</f>
        <v>0</v>
      </c>
      <c r="F47" s="754">
        <f>'Func Future Subs 2015'!F47</f>
        <v>660698.13426418137</v>
      </c>
      <c r="G47" s="754" t="str">
        <f>'Func Future Subs 2015'!G47</f>
        <v>ATCO</v>
      </c>
      <c r="H47" s="754">
        <f>'Func Future Subs 2015'!H47</f>
        <v>2017</v>
      </c>
      <c r="I47" s="306">
        <f>+IF($H47=I$2,VLOOKUP($G47,Depreciation!$A$14:$L$18,7,FALSE)/2,IF($H47&lt;I$2,VLOOKUP($G47,Depreciation!$A$14:$L$18,7,FALSE),0))</f>
        <v>0</v>
      </c>
      <c r="J47" s="306">
        <f>+IF($H47=J$2,VLOOKUP($G47,Depreciation!$A$14:$L$18,8,FALSE)/2,IF($H47&lt;J$2,VLOOKUP($G47,Depreciation!$A$14:$L$18,8,FALSE),0))</f>
        <v>0</v>
      </c>
      <c r="K47" s="306">
        <f>+IF($H47=K$2,VLOOKUP($G47,Depreciation!$A$14:$L$18,9,FALSE)/2,IF($H47&lt;K$2,VLOOKUP($G47,Depreciation!$A$14:$L$18,9,FALSE),0))</f>
        <v>1.2175768213899416E-2</v>
      </c>
      <c r="L47" s="306">
        <f>+IF($H47=L$2,VLOOKUP($G47,Depreciation!$A$14:$L$18,10,FALSE)/2,IF($H47&lt;L$2,VLOOKUP($G47,Depreciation!$A$14:$L$18,10,FALSE),0))</f>
        <v>2.4351536427798831E-2</v>
      </c>
      <c r="M47" s="306">
        <f>+IF($H47=M$2,VLOOKUP($G47,Depreciation!$A$14:$L$18,11,FALSE)/2,IF($H47&lt;M$2,VLOOKUP($G47,Depreciation!$A$14:$L$18,11,FALSE),0))</f>
        <v>2.4351536427798831E-2</v>
      </c>
      <c r="N47" s="306">
        <f>+IF($H47=N$2,VLOOKUP($G47,Depreciation!$A$14:$L$18,12,FALSE)/2,IF($H47&lt;N$2,VLOOKUP($G47,Depreciation!$A$14:$L$18,12,FALSE),0))</f>
        <v>2.4351536427798831E-2</v>
      </c>
      <c r="O47" s="307">
        <f t="shared" si="2"/>
        <v>0</v>
      </c>
      <c r="P47" s="732">
        <f>'Func Future Subs 2015'!P47</f>
        <v>0</v>
      </c>
      <c r="Q47" s="732">
        <f>'Func Future Subs 2015'!Q47</f>
        <v>0</v>
      </c>
      <c r="R47" s="732">
        <f>'Func Future Subs 2015'!R47</f>
        <v>1</v>
      </c>
      <c r="S47" s="735">
        <f t="shared" si="3"/>
        <v>0</v>
      </c>
      <c r="T47" s="735">
        <f t="shared" si="4"/>
        <v>0</v>
      </c>
      <c r="U47" s="735">
        <f t="shared" si="5"/>
        <v>0</v>
      </c>
      <c r="V47" s="736">
        <f t="shared" si="6"/>
        <v>0</v>
      </c>
      <c r="W47" s="735">
        <f t="shared" si="7"/>
        <v>0</v>
      </c>
      <c r="X47" s="737">
        <f t="shared" si="8"/>
        <v>0</v>
      </c>
      <c r="Y47" s="738">
        <f t="shared" si="9"/>
        <v>0</v>
      </c>
    </row>
    <row r="48" spans="1:25">
      <c r="A48" s="754" t="str">
        <f>'Func Future Subs 2015'!A48</f>
        <v>Keg River 789S</v>
      </c>
      <c r="B48" s="754">
        <f>'Func Future Subs 2015'!B48</f>
        <v>803</v>
      </c>
      <c r="C48" s="754">
        <f>'Func Future Subs 2015'!C48</f>
        <v>138</v>
      </c>
      <c r="D48" s="754">
        <f>'Func Future Subs 2015'!D48</f>
        <v>138</v>
      </c>
      <c r="E48" s="754" t="str">
        <f>'Func Future Subs 2015'!E48</f>
        <v>789S</v>
      </c>
      <c r="F48" s="754">
        <f>'Func Future Subs 2015'!F48</f>
        <v>242204.41402375777</v>
      </c>
      <c r="G48" s="754" t="str">
        <f>'Func Future Subs 2015'!G48</f>
        <v>ATCO</v>
      </c>
      <c r="H48" s="754">
        <f>'Func Future Subs 2015'!H48</f>
        <v>2017</v>
      </c>
      <c r="I48" s="306">
        <f>+IF($H48=I$2,VLOOKUP($G48,Depreciation!$A$14:$L$18,7,FALSE)/2,IF($H48&lt;I$2,VLOOKUP($G48,Depreciation!$A$14:$L$18,7,FALSE),0))</f>
        <v>0</v>
      </c>
      <c r="J48" s="306">
        <f>+IF($H48=J$2,VLOOKUP($G48,Depreciation!$A$14:$L$18,8,FALSE)/2,IF($H48&lt;J$2,VLOOKUP($G48,Depreciation!$A$14:$L$18,8,FALSE),0))</f>
        <v>0</v>
      </c>
      <c r="K48" s="306">
        <f>+IF($H48=K$2,VLOOKUP($G48,Depreciation!$A$14:$L$18,9,FALSE)/2,IF($H48&lt;K$2,VLOOKUP($G48,Depreciation!$A$14:$L$18,9,FALSE),0))</f>
        <v>1.2175768213899416E-2</v>
      </c>
      <c r="L48" s="306">
        <f>+IF($H48=L$2,VLOOKUP($G48,Depreciation!$A$14:$L$18,10,FALSE)/2,IF($H48&lt;L$2,VLOOKUP($G48,Depreciation!$A$14:$L$18,10,FALSE),0))</f>
        <v>2.4351536427798831E-2</v>
      </c>
      <c r="M48" s="306">
        <f>+IF($H48=M$2,VLOOKUP($G48,Depreciation!$A$14:$L$18,11,FALSE)/2,IF($H48&lt;M$2,VLOOKUP($G48,Depreciation!$A$14:$L$18,11,FALSE),0))</f>
        <v>2.4351536427798831E-2</v>
      </c>
      <c r="N48" s="306">
        <f>+IF($H48=N$2,VLOOKUP($G48,Depreciation!$A$14:$L$18,12,FALSE)/2,IF($H48&lt;N$2,VLOOKUP($G48,Depreciation!$A$14:$L$18,12,FALSE),0))</f>
        <v>2.4351536427798831E-2</v>
      </c>
      <c r="O48" s="307">
        <f t="shared" si="2"/>
        <v>0</v>
      </c>
      <c r="P48" s="732">
        <f>'Func Future Subs 2015'!P48</f>
        <v>0</v>
      </c>
      <c r="Q48" s="732">
        <f>'Func Future Subs 2015'!Q48</f>
        <v>0</v>
      </c>
      <c r="R48" s="732">
        <f>'Func Future Subs 2015'!R48</f>
        <v>1</v>
      </c>
      <c r="S48" s="735">
        <f t="shared" si="3"/>
        <v>0</v>
      </c>
      <c r="T48" s="735">
        <f t="shared" si="4"/>
        <v>0</v>
      </c>
      <c r="U48" s="735">
        <f t="shared" si="5"/>
        <v>0</v>
      </c>
      <c r="V48" s="736">
        <f t="shared" si="6"/>
        <v>0</v>
      </c>
      <c r="W48" s="735">
        <f t="shared" si="7"/>
        <v>0</v>
      </c>
      <c r="X48" s="737">
        <f t="shared" si="8"/>
        <v>0</v>
      </c>
      <c r="Y48" s="738">
        <f t="shared" si="9"/>
        <v>0</v>
      </c>
    </row>
    <row r="49" spans="1:27">
      <c r="A49" s="754" t="str">
        <f>'Func Future Subs 2015'!A49</f>
        <v>Ring Creek 853S</v>
      </c>
      <c r="B49" s="754">
        <f>'Func Future Subs 2015'!B49</f>
        <v>803</v>
      </c>
      <c r="C49" s="754">
        <f>'Func Future Subs 2015'!C49</f>
        <v>138</v>
      </c>
      <c r="D49" s="754">
        <f>'Func Future Subs 2015'!D49</f>
        <v>25</v>
      </c>
      <c r="E49" s="754" t="str">
        <f>'Func Future Subs 2015'!E49</f>
        <v>853S</v>
      </c>
      <c r="F49" s="754">
        <f>'Func Future Subs 2015'!F49</f>
        <v>85463.58970544675</v>
      </c>
      <c r="G49" s="754" t="str">
        <f>'Func Future Subs 2015'!G49</f>
        <v>ATCO</v>
      </c>
      <c r="H49" s="754">
        <f>'Func Future Subs 2015'!H49</f>
        <v>2017</v>
      </c>
      <c r="I49" s="306">
        <f>+IF($H49=I$2,VLOOKUP($G49,Depreciation!$A$14:$L$18,7,FALSE)/2,IF($H49&lt;I$2,VLOOKUP($G49,Depreciation!$A$14:$L$18,7,FALSE),0))</f>
        <v>0</v>
      </c>
      <c r="J49" s="306">
        <f>+IF($H49=J$2,VLOOKUP($G49,Depreciation!$A$14:$L$18,8,FALSE)/2,IF($H49&lt;J$2,VLOOKUP($G49,Depreciation!$A$14:$L$18,8,FALSE),0))</f>
        <v>0</v>
      </c>
      <c r="K49" s="306">
        <f>+IF($H49=K$2,VLOOKUP($G49,Depreciation!$A$14:$L$18,9,FALSE)/2,IF($H49&lt;K$2,VLOOKUP($G49,Depreciation!$A$14:$L$18,9,FALSE),0))</f>
        <v>1.2175768213899416E-2</v>
      </c>
      <c r="L49" s="306">
        <f>+IF($H49=L$2,VLOOKUP($G49,Depreciation!$A$14:$L$18,10,FALSE)/2,IF($H49&lt;L$2,VLOOKUP($G49,Depreciation!$A$14:$L$18,10,FALSE),0))</f>
        <v>2.4351536427798831E-2</v>
      </c>
      <c r="M49" s="306">
        <f>+IF($H49=M$2,VLOOKUP($G49,Depreciation!$A$14:$L$18,11,FALSE)/2,IF($H49&lt;M$2,VLOOKUP($G49,Depreciation!$A$14:$L$18,11,FALSE),0))</f>
        <v>2.4351536427798831E-2</v>
      </c>
      <c r="N49" s="306">
        <f>+IF($H49=N$2,VLOOKUP($G49,Depreciation!$A$14:$L$18,12,FALSE)/2,IF($H49&lt;N$2,VLOOKUP($G49,Depreciation!$A$14:$L$18,12,FALSE),0))</f>
        <v>2.4351536427798831E-2</v>
      </c>
      <c r="O49" s="307">
        <f t="shared" si="2"/>
        <v>0</v>
      </c>
      <c r="P49" s="732">
        <f>'Func Future Subs 2015'!P49</f>
        <v>0</v>
      </c>
      <c r="Q49" s="732">
        <f>'Func Future Subs 2015'!Q49</f>
        <v>1</v>
      </c>
      <c r="R49" s="732">
        <f>'Func Future Subs 2015'!R49</f>
        <v>0</v>
      </c>
      <c r="S49" s="735">
        <f t="shared" si="3"/>
        <v>0</v>
      </c>
      <c r="T49" s="735">
        <f t="shared" si="4"/>
        <v>0</v>
      </c>
      <c r="U49" s="735">
        <f t="shared" si="5"/>
        <v>0</v>
      </c>
      <c r="V49" s="736">
        <f t="shared" si="6"/>
        <v>0</v>
      </c>
      <c r="W49" s="735">
        <f t="shared" si="7"/>
        <v>0</v>
      </c>
      <c r="X49" s="737">
        <f t="shared" si="8"/>
        <v>0</v>
      </c>
      <c r="Y49" s="738">
        <f t="shared" si="9"/>
        <v>0</v>
      </c>
    </row>
    <row r="50" spans="1:27">
      <c r="A50" s="754" t="str">
        <f>'Func Future Subs 2015'!A50</f>
        <v>Sulphur Point 828S</v>
      </c>
      <c r="B50" s="754">
        <f>'Func Future Subs 2015'!B50</f>
        <v>803</v>
      </c>
      <c r="C50" s="754">
        <f>'Func Future Subs 2015'!C50</f>
        <v>138</v>
      </c>
      <c r="D50" s="754">
        <f>'Func Future Subs 2015'!D50</f>
        <v>25</v>
      </c>
      <c r="E50" s="754" t="str">
        <f>'Func Future Subs 2015'!E50</f>
        <v>828S</v>
      </c>
      <c r="F50" s="754">
        <f>'Func Future Subs 2015'!F50</f>
        <v>66376.971670614337</v>
      </c>
      <c r="G50" s="754" t="str">
        <f>'Func Future Subs 2015'!G50</f>
        <v>ATCO</v>
      </c>
      <c r="H50" s="754">
        <f>'Func Future Subs 2015'!H50</f>
        <v>2017</v>
      </c>
      <c r="I50" s="306">
        <f>+IF($H50=I$2,VLOOKUP($G50,Depreciation!$A$14:$L$18,7,FALSE)/2,IF($H50&lt;I$2,VLOOKUP($G50,Depreciation!$A$14:$L$18,7,FALSE),0))</f>
        <v>0</v>
      </c>
      <c r="J50" s="306">
        <f>+IF($H50=J$2,VLOOKUP($G50,Depreciation!$A$14:$L$18,8,FALSE)/2,IF($H50&lt;J$2,VLOOKUP($G50,Depreciation!$A$14:$L$18,8,FALSE),0))</f>
        <v>0</v>
      </c>
      <c r="K50" s="306">
        <f>+IF($H50=K$2,VLOOKUP($G50,Depreciation!$A$14:$L$18,9,FALSE)/2,IF($H50&lt;K$2,VLOOKUP($G50,Depreciation!$A$14:$L$18,9,FALSE),0))</f>
        <v>1.2175768213899416E-2</v>
      </c>
      <c r="L50" s="306">
        <f>+IF($H50=L$2,VLOOKUP($G50,Depreciation!$A$14:$L$18,10,FALSE)/2,IF($H50&lt;L$2,VLOOKUP($G50,Depreciation!$A$14:$L$18,10,FALSE),0))</f>
        <v>2.4351536427798831E-2</v>
      </c>
      <c r="M50" s="306">
        <f>+IF($H50=M$2,VLOOKUP($G50,Depreciation!$A$14:$L$18,11,FALSE)/2,IF($H50&lt;M$2,VLOOKUP($G50,Depreciation!$A$14:$L$18,11,FALSE),0))</f>
        <v>2.4351536427798831E-2</v>
      </c>
      <c r="N50" s="306">
        <f>+IF($H50=N$2,VLOOKUP($G50,Depreciation!$A$14:$L$18,12,FALSE)/2,IF($H50&lt;N$2,VLOOKUP($G50,Depreciation!$A$14:$L$18,12,FALSE),0))</f>
        <v>2.4351536427798831E-2</v>
      </c>
      <c r="O50" s="307">
        <f t="shared" si="2"/>
        <v>0</v>
      </c>
      <c r="P50" s="732">
        <f>'Func Future Subs 2015'!P50</f>
        <v>0</v>
      </c>
      <c r="Q50" s="732">
        <f>'Func Future Subs 2015'!Q50</f>
        <v>1</v>
      </c>
      <c r="R50" s="732">
        <f>'Func Future Subs 2015'!R50</f>
        <v>0</v>
      </c>
      <c r="S50" s="735">
        <f t="shared" si="3"/>
        <v>0</v>
      </c>
      <c r="T50" s="735">
        <f t="shared" si="4"/>
        <v>0</v>
      </c>
      <c r="U50" s="735">
        <f t="shared" si="5"/>
        <v>0</v>
      </c>
      <c r="V50" s="736">
        <f t="shared" si="6"/>
        <v>0</v>
      </c>
      <c r="W50" s="735">
        <f t="shared" si="7"/>
        <v>0</v>
      </c>
      <c r="X50" s="737">
        <f t="shared" si="8"/>
        <v>0</v>
      </c>
      <c r="Y50" s="738">
        <f t="shared" si="9"/>
        <v>0</v>
      </c>
    </row>
    <row r="51" spans="1:27">
      <c r="A51" s="754" t="str">
        <f>'Func Future Subs 2015'!A51</f>
        <v>Bourque 970S(180)</v>
      </c>
      <c r="B51" s="754">
        <f>'Func Future Subs 2015'!B51</f>
        <v>811</v>
      </c>
      <c r="C51" s="754">
        <f>'Func Future Subs 2015'!C51</f>
        <v>144</v>
      </c>
      <c r="D51" s="754">
        <f>'Func Future Subs 2015'!D51</f>
        <v>144</v>
      </c>
      <c r="E51" s="754" t="str">
        <f>'Func Future Subs 2015'!E51</f>
        <v>970S</v>
      </c>
      <c r="F51" s="754">
        <f>'Func Future Subs 2015'!F51</f>
        <v>20557692.682692483</v>
      </c>
      <c r="G51" s="754" t="str">
        <f>'Func Future Subs 2015'!G51</f>
        <v>ATCO</v>
      </c>
      <c r="H51" s="754">
        <f>'Func Future Subs 2015'!H51</f>
        <v>2017</v>
      </c>
      <c r="I51" s="306">
        <f>+IF($H51=I$2,VLOOKUP($G51,Depreciation!$A$14:$L$18,7,FALSE)/2,IF($H51&lt;I$2,VLOOKUP($G51,Depreciation!$A$14:$L$18,7,FALSE),0))</f>
        <v>0</v>
      </c>
      <c r="J51" s="306">
        <f>+IF($H51=J$2,VLOOKUP($G51,Depreciation!$A$14:$L$18,8,FALSE)/2,IF($H51&lt;J$2,VLOOKUP($G51,Depreciation!$A$14:$L$18,8,FALSE),0))</f>
        <v>0</v>
      </c>
      <c r="K51" s="306">
        <f>+IF($H51=K$2,VLOOKUP($G51,Depreciation!$A$14:$L$18,9,FALSE)/2,IF($H51&lt;K$2,VLOOKUP($G51,Depreciation!$A$14:$L$18,9,FALSE),0))</f>
        <v>1.2175768213899416E-2</v>
      </c>
      <c r="L51" s="306">
        <f>+IF($H51=L$2,VLOOKUP($G51,Depreciation!$A$14:$L$18,10,FALSE)/2,IF($H51&lt;L$2,VLOOKUP($G51,Depreciation!$A$14:$L$18,10,FALSE),0))</f>
        <v>2.4351536427798831E-2</v>
      </c>
      <c r="M51" s="306">
        <f>+IF($H51=M$2,VLOOKUP($G51,Depreciation!$A$14:$L$18,11,FALSE)/2,IF($H51&lt;M$2,VLOOKUP($G51,Depreciation!$A$14:$L$18,11,FALSE),0))</f>
        <v>2.4351536427798831E-2</v>
      </c>
      <c r="N51" s="306">
        <f>+IF($H51=N$2,VLOOKUP($G51,Depreciation!$A$14:$L$18,12,FALSE)/2,IF($H51&lt;N$2,VLOOKUP($G51,Depreciation!$A$14:$L$18,12,FALSE),0))</f>
        <v>2.4351536427798831E-2</v>
      </c>
      <c r="O51" s="307">
        <f t="shared" si="2"/>
        <v>0</v>
      </c>
      <c r="P51" s="732">
        <f>'Func Future Subs 2015'!P51</f>
        <v>0</v>
      </c>
      <c r="Q51" s="732">
        <f>'Func Future Subs 2015'!Q51</f>
        <v>0</v>
      </c>
      <c r="R51" s="732">
        <f>'Func Future Subs 2015'!R51</f>
        <v>1</v>
      </c>
      <c r="S51" s="735">
        <f t="shared" si="3"/>
        <v>0</v>
      </c>
      <c r="T51" s="735">
        <f t="shared" si="4"/>
        <v>0</v>
      </c>
      <c r="U51" s="735">
        <f t="shared" si="5"/>
        <v>0</v>
      </c>
      <c r="V51" s="736">
        <f t="shared" si="6"/>
        <v>0</v>
      </c>
      <c r="W51" s="735">
        <f t="shared" si="7"/>
        <v>0</v>
      </c>
      <c r="X51" s="737">
        <f t="shared" si="8"/>
        <v>0</v>
      </c>
      <c r="Y51" s="738">
        <f t="shared" si="9"/>
        <v>0</v>
      </c>
    </row>
    <row r="52" spans="1:27">
      <c r="A52" s="754" t="str">
        <f>'Func Future Subs 2015'!A52</f>
        <v>Heisler 764S180</v>
      </c>
      <c r="B52" s="754">
        <f>'Func Future Subs 2015'!B52</f>
        <v>811</v>
      </c>
      <c r="C52" s="754">
        <f>'Func Future Subs 2015'!C52</f>
        <v>144</v>
      </c>
      <c r="D52" s="754">
        <f>'Func Future Subs 2015'!D52</f>
        <v>25</v>
      </c>
      <c r="E52" s="754" t="str">
        <f>'Func Future Subs 2015'!E52</f>
        <v>764S</v>
      </c>
      <c r="F52" s="754">
        <f>'Func Future Subs 2015'!F52</f>
        <v>14655875.320036264</v>
      </c>
      <c r="G52" s="754" t="str">
        <f>'Func Future Subs 2015'!G52</f>
        <v>ATCO</v>
      </c>
      <c r="H52" s="754">
        <f>'Func Future Subs 2015'!H52</f>
        <v>2017</v>
      </c>
      <c r="I52" s="306">
        <f>+IF($H52=I$2,VLOOKUP($G52,Depreciation!$A$14:$L$18,7,FALSE)/2,IF($H52&lt;I$2,VLOOKUP($G52,Depreciation!$A$14:$L$18,7,FALSE),0))</f>
        <v>0</v>
      </c>
      <c r="J52" s="306">
        <f>+IF($H52=J$2,VLOOKUP($G52,Depreciation!$A$14:$L$18,8,FALSE)/2,IF($H52&lt;J$2,VLOOKUP($G52,Depreciation!$A$14:$L$18,8,FALSE),0))</f>
        <v>0</v>
      </c>
      <c r="K52" s="306">
        <f>+IF($H52=K$2,VLOOKUP($G52,Depreciation!$A$14:$L$18,9,FALSE)/2,IF($H52&lt;K$2,VLOOKUP($G52,Depreciation!$A$14:$L$18,9,FALSE),0))</f>
        <v>1.2175768213899416E-2</v>
      </c>
      <c r="L52" s="306">
        <f>+IF($H52=L$2,VLOOKUP($G52,Depreciation!$A$14:$L$18,10,FALSE)/2,IF($H52&lt;L$2,VLOOKUP($G52,Depreciation!$A$14:$L$18,10,FALSE),0))</f>
        <v>2.4351536427798831E-2</v>
      </c>
      <c r="M52" s="306">
        <f>+IF($H52=M$2,VLOOKUP($G52,Depreciation!$A$14:$L$18,11,FALSE)/2,IF($H52&lt;M$2,VLOOKUP($G52,Depreciation!$A$14:$L$18,11,FALSE),0))</f>
        <v>2.4351536427798831E-2</v>
      </c>
      <c r="N52" s="306">
        <f>+IF($H52=N$2,VLOOKUP($G52,Depreciation!$A$14:$L$18,12,FALSE)/2,IF($H52&lt;N$2,VLOOKUP($G52,Depreciation!$A$14:$L$18,12,FALSE),0))</f>
        <v>2.4351536427798831E-2</v>
      </c>
      <c r="O52" s="307">
        <f t="shared" si="2"/>
        <v>0</v>
      </c>
      <c r="P52" s="732">
        <f>'Func Future Subs 2015'!P52</f>
        <v>0</v>
      </c>
      <c r="Q52" s="732">
        <f>'Func Future Subs 2015'!Q52</f>
        <v>1</v>
      </c>
      <c r="R52" s="732">
        <f>'Func Future Subs 2015'!R52</f>
        <v>0</v>
      </c>
      <c r="S52" s="735">
        <f t="shared" si="3"/>
        <v>0</v>
      </c>
      <c r="T52" s="735">
        <f t="shared" si="4"/>
        <v>0</v>
      </c>
      <c r="U52" s="735">
        <f t="shared" si="5"/>
        <v>0</v>
      </c>
      <c r="V52" s="736">
        <f t="shared" si="6"/>
        <v>0</v>
      </c>
      <c r="W52" s="735">
        <f t="shared" si="7"/>
        <v>0</v>
      </c>
      <c r="X52" s="737">
        <f t="shared" si="8"/>
        <v>0</v>
      </c>
      <c r="Y52" s="738">
        <f t="shared" si="9"/>
        <v>0</v>
      </c>
    </row>
    <row r="53" spans="1:27">
      <c r="A53" s="754" t="str">
        <f>'Func Future Subs 2015'!A53</f>
        <v>Kitscoty 705S180</v>
      </c>
      <c r="B53" s="754">
        <f>'Func Future Subs 2015'!B53</f>
        <v>811</v>
      </c>
      <c r="C53" s="754">
        <f>'Func Future Subs 2015'!C53</f>
        <v>144</v>
      </c>
      <c r="D53" s="754">
        <f>'Func Future Subs 2015'!D53</f>
        <v>25</v>
      </c>
      <c r="E53" s="754" t="str">
        <f>'Func Future Subs 2015'!E53</f>
        <v>705S</v>
      </c>
      <c r="F53" s="754">
        <f>'Func Future Subs 2015'!F53</f>
        <v>13565760.579394037</v>
      </c>
      <c r="G53" s="754" t="str">
        <f>'Func Future Subs 2015'!G53</f>
        <v>ATCO</v>
      </c>
      <c r="H53" s="754">
        <f>'Func Future Subs 2015'!H53</f>
        <v>2017</v>
      </c>
      <c r="I53" s="306">
        <f>+IF($H53=I$2,VLOOKUP($G53,Depreciation!$A$14:$L$18,7,FALSE)/2,IF($H53&lt;I$2,VLOOKUP($G53,Depreciation!$A$14:$L$18,7,FALSE),0))</f>
        <v>0</v>
      </c>
      <c r="J53" s="306">
        <f>+IF($H53=J$2,VLOOKUP($G53,Depreciation!$A$14:$L$18,8,FALSE)/2,IF($H53&lt;J$2,VLOOKUP($G53,Depreciation!$A$14:$L$18,8,FALSE),0))</f>
        <v>0</v>
      </c>
      <c r="K53" s="306">
        <f>+IF($H53=K$2,VLOOKUP($G53,Depreciation!$A$14:$L$18,9,FALSE)/2,IF($H53&lt;K$2,VLOOKUP($G53,Depreciation!$A$14:$L$18,9,FALSE),0))</f>
        <v>1.2175768213899416E-2</v>
      </c>
      <c r="L53" s="306">
        <f>+IF($H53=L$2,VLOOKUP($G53,Depreciation!$A$14:$L$18,10,FALSE)/2,IF($H53&lt;L$2,VLOOKUP($G53,Depreciation!$A$14:$L$18,10,FALSE),0))</f>
        <v>2.4351536427798831E-2</v>
      </c>
      <c r="M53" s="306">
        <f>+IF($H53=M$2,VLOOKUP($G53,Depreciation!$A$14:$L$18,11,FALSE)/2,IF($H53&lt;M$2,VLOOKUP($G53,Depreciation!$A$14:$L$18,11,FALSE),0))</f>
        <v>2.4351536427798831E-2</v>
      </c>
      <c r="N53" s="306">
        <f>+IF($H53=N$2,VLOOKUP($G53,Depreciation!$A$14:$L$18,12,FALSE)/2,IF($H53&lt;N$2,VLOOKUP($G53,Depreciation!$A$14:$L$18,12,FALSE),0))</f>
        <v>2.4351536427798831E-2</v>
      </c>
      <c r="O53" s="307">
        <f t="shared" si="2"/>
        <v>0</v>
      </c>
      <c r="P53" s="732">
        <f>'Func Future Subs 2015'!P53</f>
        <v>0</v>
      </c>
      <c r="Q53" s="732">
        <f>'Func Future Subs 2015'!Q53</f>
        <v>1</v>
      </c>
      <c r="R53" s="732">
        <f>'Func Future Subs 2015'!R53</f>
        <v>0</v>
      </c>
      <c r="S53" s="735">
        <f t="shared" si="3"/>
        <v>0</v>
      </c>
      <c r="T53" s="735">
        <f t="shared" si="4"/>
        <v>0</v>
      </c>
      <c r="U53" s="735">
        <f t="shared" si="5"/>
        <v>0</v>
      </c>
      <c r="V53" s="736">
        <f t="shared" si="6"/>
        <v>0</v>
      </c>
      <c r="W53" s="735">
        <f t="shared" si="7"/>
        <v>0</v>
      </c>
      <c r="X53" s="737">
        <f t="shared" si="8"/>
        <v>0</v>
      </c>
      <c r="Y53" s="738">
        <f t="shared" si="9"/>
        <v>0</v>
      </c>
    </row>
    <row r="54" spans="1:27">
      <c r="A54" s="754" t="str">
        <f>'Func Future Subs 2015'!A54</f>
        <v>Leming Lake 715S(180)</v>
      </c>
      <c r="B54" s="754">
        <f>'Func Future Subs 2015'!B54</f>
        <v>811</v>
      </c>
      <c r="C54" s="754">
        <f>'Func Future Subs 2015'!C54</f>
        <v>144</v>
      </c>
      <c r="D54" s="754">
        <f>'Func Future Subs 2015'!D54</f>
        <v>25</v>
      </c>
      <c r="E54" s="754" t="str">
        <f>'Func Future Subs 2015'!E54</f>
        <v>715S</v>
      </c>
      <c r="F54" s="754">
        <f>'Func Future Subs 2015'!F54</f>
        <v>267528.16210213065</v>
      </c>
      <c r="G54" s="754" t="str">
        <f>'Func Future Subs 2015'!G54</f>
        <v>ATCO</v>
      </c>
      <c r="H54" s="754">
        <f>'Func Future Subs 2015'!H54</f>
        <v>2017</v>
      </c>
      <c r="I54" s="306">
        <f>+IF($H54=I$2,VLOOKUP($G54,Depreciation!$A$14:$L$18,7,FALSE)/2,IF($H54&lt;I$2,VLOOKUP($G54,Depreciation!$A$14:$L$18,7,FALSE),0))</f>
        <v>0</v>
      </c>
      <c r="J54" s="306">
        <f>+IF($H54=J$2,VLOOKUP($G54,Depreciation!$A$14:$L$18,8,FALSE)/2,IF($H54&lt;J$2,VLOOKUP($G54,Depreciation!$A$14:$L$18,8,FALSE),0))</f>
        <v>0</v>
      </c>
      <c r="K54" s="306">
        <f>+IF($H54=K$2,VLOOKUP($G54,Depreciation!$A$14:$L$18,9,FALSE)/2,IF($H54&lt;K$2,VLOOKUP($G54,Depreciation!$A$14:$L$18,9,FALSE),0))</f>
        <v>1.2175768213899416E-2</v>
      </c>
      <c r="L54" s="306">
        <f>+IF($H54=L$2,VLOOKUP($G54,Depreciation!$A$14:$L$18,10,FALSE)/2,IF($H54&lt;L$2,VLOOKUP($G54,Depreciation!$A$14:$L$18,10,FALSE),0))</f>
        <v>2.4351536427798831E-2</v>
      </c>
      <c r="M54" s="306">
        <f>+IF($H54=M$2,VLOOKUP($G54,Depreciation!$A$14:$L$18,11,FALSE)/2,IF($H54&lt;M$2,VLOOKUP($G54,Depreciation!$A$14:$L$18,11,FALSE),0))</f>
        <v>2.4351536427798831E-2</v>
      </c>
      <c r="N54" s="306">
        <f>+IF($H54=N$2,VLOOKUP($G54,Depreciation!$A$14:$L$18,12,FALSE)/2,IF($H54&lt;N$2,VLOOKUP($G54,Depreciation!$A$14:$L$18,12,FALSE),0))</f>
        <v>2.4351536427798831E-2</v>
      </c>
      <c r="O54" s="307">
        <f t="shared" si="2"/>
        <v>0</v>
      </c>
      <c r="P54" s="732">
        <f>'Func Future Subs 2015'!P54</f>
        <v>0</v>
      </c>
      <c r="Q54" s="732">
        <f>'Func Future Subs 2015'!Q54</f>
        <v>1</v>
      </c>
      <c r="R54" s="732">
        <f>'Func Future Subs 2015'!R54</f>
        <v>0</v>
      </c>
      <c r="S54" s="735">
        <f t="shared" si="3"/>
        <v>0</v>
      </c>
      <c r="T54" s="735">
        <f t="shared" si="4"/>
        <v>0</v>
      </c>
      <c r="U54" s="735">
        <f t="shared" si="5"/>
        <v>0</v>
      </c>
      <c r="V54" s="736">
        <f t="shared" si="6"/>
        <v>0</v>
      </c>
      <c r="W54" s="735">
        <f t="shared" si="7"/>
        <v>0</v>
      </c>
      <c r="X54" s="737">
        <f t="shared" si="8"/>
        <v>0</v>
      </c>
      <c r="Y54" s="738">
        <f t="shared" si="9"/>
        <v>0</v>
      </c>
      <c r="AA54" s="317"/>
    </row>
    <row r="55" spans="1:27">
      <c r="A55" s="754" t="str">
        <f>'Func Future Subs 2015'!A55</f>
        <v>Mahihkan 837S(180)</v>
      </c>
      <c r="B55" s="754">
        <f>'Func Future Subs 2015'!B55</f>
        <v>811</v>
      </c>
      <c r="C55" s="754">
        <f>'Func Future Subs 2015'!C55</f>
        <v>144</v>
      </c>
      <c r="D55" s="754">
        <f>'Func Future Subs 2015'!D55</f>
        <v>25</v>
      </c>
      <c r="E55" s="754" t="str">
        <f>'Func Future Subs 2015'!E55</f>
        <v>837S</v>
      </c>
      <c r="F55" s="754">
        <f>'Func Future Subs 2015'!F55</f>
        <v>1431346.4418924579</v>
      </c>
      <c r="G55" s="754" t="str">
        <f>'Func Future Subs 2015'!G55</f>
        <v>ATCO</v>
      </c>
      <c r="H55" s="754">
        <f>'Func Future Subs 2015'!H55</f>
        <v>2017</v>
      </c>
      <c r="I55" s="306">
        <f>+IF($H55=I$2,VLOOKUP($G55,Depreciation!$A$14:$L$18,7,FALSE)/2,IF($H55&lt;I$2,VLOOKUP($G55,Depreciation!$A$14:$L$18,7,FALSE),0))</f>
        <v>0</v>
      </c>
      <c r="J55" s="306">
        <f>+IF($H55=J$2,VLOOKUP($G55,Depreciation!$A$14:$L$18,8,FALSE)/2,IF($H55&lt;J$2,VLOOKUP($G55,Depreciation!$A$14:$L$18,8,FALSE),0))</f>
        <v>0</v>
      </c>
      <c r="K55" s="306">
        <f>+IF($H55=K$2,VLOOKUP($G55,Depreciation!$A$14:$L$18,9,FALSE)/2,IF($H55&lt;K$2,VLOOKUP($G55,Depreciation!$A$14:$L$18,9,FALSE),0))</f>
        <v>1.2175768213899416E-2</v>
      </c>
      <c r="L55" s="306">
        <f>+IF($H55=L$2,VLOOKUP($G55,Depreciation!$A$14:$L$18,10,FALSE)/2,IF($H55&lt;L$2,VLOOKUP($G55,Depreciation!$A$14:$L$18,10,FALSE),0))</f>
        <v>2.4351536427798831E-2</v>
      </c>
      <c r="M55" s="306">
        <f>+IF($H55=M$2,VLOOKUP($G55,Depreciation!$A$14:$L$18,11,FALSE)/2,IF($H55&lt;M$2,VLOOKUP($G55,Depreciation!$A$14:$L$18,11,FALSE),0))</f>
        <v>2.4351536427798831E-2</v>
      </c>
      <c r="N55" s="306">
        <f>+IF($H55=N$2,VLOOKUP($G55,Depreciation!$A$14:$L$18,12,FALSE)/2,IF($H55&lt;N$2,VLOOKUP($G55,Depreciation!$A$14:$L$18,12,FALSE),0))</f>
        <v>2.4351536427798831E-2</v>
      </c>
      <c r="O55" s="307">
        <f t="shared" si="2"/>
        <v>0</v>
      </c>
      <c r="P55" s="732">
        <f>'Func Future Subs 2015'!P55</f>
        <v>0</v>
      </c>
      <c r="Q55" s="732">
        <f>'Func Future Subs 2015'!Q55</f>
        <v>1</v>
      </c>
      <c r="R55" s="732">
        <f>'Func Future Subs 2015'!R55</f>
        <v>0</v>
      </c>
      <c r="S55" s="735">
        <f t="shared" si="3"/>
        <v>0</v>
      </c>
      <c r="T55" s="735">
        <f t="shared" si="4"/>
        <v>0</v>
      </c>
      <c r="U55" s="735">
        <f t="shared" si="5"/>
        <v>0</v>
      </c>
      <c r="V55" s="736">
        <f t="shared" si="6"/>
        <v>0</v>
      </c>
      <c r="W55" s="735">
        <f t="shared" si="7"/>
        <v>0</v>
      </c>
      <c r="X55" s="737">
        <f t="shared" si="8"/>
        <v>0</v>
      </c>
      <c r="Y55" s="738">
        <f t="shared" si="9"/>
        <v>0</v>
      </c>
    </row>
    <row r="56" spans="1:27">
      <c r="A56" s="754" t="str">
        <f>'Func Future Subs 2015'!A56</f>
        <v>Marguerite Lake 826S(180)</v>
      </c>
      <c r="B56" s="754">
        <f>'Func Future Subs 2015'!B56</f>
        <v>811</v>
      </c>
      <c r="C56" s="754">
        <f>'Func Future Subs 2015'!C56</f>
        <v>144</v>
      </c>
      <c r="D56" s="754">
        <f>'Func Future Subs 2015'!D56</f>
        <v>138</v>
      </c>
      <c r="E56" s="754" t="str">
        <f>'Func Future Subs 2015'!E56</f>
        <v>826S</v>
      </c>
      <c r="F56" s="754">
        <f>'Func Future Subs 2015'!F56</f>
        <v>688730.2425556964</v>
      </c>
      <c r="G56" s="754" t="str">
        <f>'Func Future Subs 2015'!G56</f>
        <v>ATCO</v>
      </c>
      <c r="H56" s="754">
        <f>'Func Future Subs 2015'!H56</f>
        <v>2017</v>
      </c>
      <c r="I56" s="306">
        <f>+IF($H56=I$2,VLOOKUP($G56,Depreciation!$A$14:$L$18,7,FALSE)/2,IF($H56&lt;I$2,VLOOKUP($G56,Depreciation!$A$14:$L$18,7,FALSE),0))</f>
        <v>0</v>
      </c>
      <c r="J56" s="306">
        <f>+IF($H56=J$2,VLOOKUP($G56,Depreciation!$A$14:$L$18,8,FALSE)/2,IF($H56&lt;J$2,VLOOKUP($G56,Depreciation!$A$14:$L$18,8,FALSE),0))</f>
        <v>0</v>
      </c>
      <c r="K56" s="306">
        <f>+IF($H56=K$2,VLOOKUP($G56,Depreciation!$A$14:$L$18,9,FALSE)/2,IF($H56&lt;K$2,VLOOKUP($G56,Depreciation!$A$14:$L$18,9,FALSE),0))</f>
        <v>1.2175768213899416E-2</v>
      </c>
      <c r="L56" s="306">
        <f>+IF($H56=L$2,VLOOKUP($G56,Depreciation!$A$14:$L$18,10,FALSE)/2,IF($H56&lt;L$2,VLOOKUP($G56,Depreciation!$A$14:$L$18,10,FALSE),0))</f>
        <v>2.4351536427798831E-2</v>
      </c>
      <c r="M56" s="306">
        <f>+IF($H56=M$2,VLOOKUP($G56,Depreciation!$A$14:$L$18,11,FALSE)/2,IF($H56&lt;M$2,VLOOKUP($G56,Depreciation!$A$14:$L$18,11,FALSE),0))</f>
        <v>2.4351536427798831E-2</v>
      </c>
      <c r="N56" s="306">
        <f>+IF($H56=N$2,VLOOKUP($G56,Depreciation!$A$14:$L$18,12,FALSE)/2,IF($H56&lt;N$2,VLOOKUP($G56,Depreciation!$A$14:$L$18,12,FALSE),0))</f>
        <v>2.4351536427798831E-2</v>
      </c>
      <c r="O56" s="307">
        <f t="shared" si="2"/>
        <v>0</v>
      </c>
      <c r="P56" s="732">
        <f>'Func Future Subs 2015'!P56</f>
        <v>0</v>
      </c>
      <c r="Q56" s="732">
        <f>'Func Future Subs 2015'!Q56</f>
        <v>0</v>
      </c>
      <c r="R56" s="732">
        <f>'Func Future Subs 2015'!R56</f>
        <v>1</v>
      </c>
      <c r="S56" s="735">
        <f t="shared" si="3"/>
        <v>0</v>
      </c>
      <c r="T56" s="735">
        <f t="shared" si="4"/>
        <v>0</v>
      </c>
      <c r="U56" s="735">
        <f t="shared" si="5"/>
        <v>0</v>
      </c>
      <c r="V56" s="736">
        <f t="shared" si="6"/>
        <v>0</v>
      </c>
      <c r="W56" s="735">
        <f t="shared" si="7"/>
        <v>0</v>
      </c>
      <c r="X56" s="737">
        <f t="shared" si="8"/>
        <v>0</v>
      </c>
      <c r="Y56" s="738">
        <f t="shared" si="9"/>
        <v>0</v>
      </c>
    </row>
    <row r="57" spans="1:27">
      <c r="A57" s="754" t="str">
        <f>'Func Future Subs 2015'!A57</f>
        <v>unknown sub St.Paul</v>
      </c>
      <c r="B57" s="754">
        <f>'Func Future Subs 2015'!B57</f>
        <v>811</v>
      </c>
      <c r="C57" s="754">
        <f>'Func Future Subs 2015'!C57</f>
        <v>0</v>
      </c>
      <c r="D57" s="754">
        <f>'Func Future Subs 2015'!D57</f>
        <v>0</v>
      </c>
      <c r="E57" s="754">
        <f>'Func Future Subs 2015'!E57</f>
        <v>0</v>
      </c>
      <c r="F57" s="754">
        <f>'Func Future Subs 2015'!F57</f>
        <v>33228963.973278571</v>
      </c>
      <c r="G57" s="754" t="str">
        <f>'Func Future Subs 2015'!G57</f>
        <v>ATCO</v>
      </c>
      <c r="H57" s="754">
        <f>'Func Future Subs 2015'!H57</f>
        <v>2017</v>
      </c>
      <c r="I57" s="306">
        <f>+IF($H57=I$2,VLOOKUP($G57,Depreciation!$A$14:$L$18,7,FALSE)/2,IF($H57&lt;I$2,VLOOKUP($G57,Depreciation!$A$14:$L$18,7,FALSE),0))</f>
        <v>0</v>
      </c>
      <c r="J57" s="306">
        <f>+IF($H57=J$2,VLOOKUP($G57,Depreciation!$A$14:$L$18,8,FALSE)/2,IF($H57&lt;J$2,VLOOKUP($G57,Depreciation!$A$14:$L$18,8,FALSE),0))</f>
        <v>0</v>
      </c>
      <c r="K57" s="306">
        <f>+IF($H57=K$2,VLOOKUP($G57,Depreciation!$A$14:$L$18,9,FALSE)/2,IF($H57&lt;K$2,VLOOKUP($G57,Depreciation!$A$14:$L$18,9,FALSE),0))</f>
        <v>1.2175768213899416E-2</v>
      </c>
      <c r="L57" s="306">
        <f>+IF($H57=L$2,VLOOKUP($G57,Depreciation!$A$14:$L$18,10,FALSE)/2,IF($H57&lt;L$2,VLOOKUP($G57,Depreciation!$A$14:$L$18,10,FALSE),0))</f>
        <v>2.4351536427798831E-2</v>
      </c>
      <c r="M57" s="306">
        <f>+IF($H57=M$2,VLOOKUP($G57,Depreciation!$A$14:$L$18,11,FALSE)/2,IF($H57&lt;M$2,VLOOKUP($G57,Depreciation!$A$14:$L$18,11,FALSE),0))</f>
        <v>2.4351536427798831E-2</v>
      </c>
      <c r="N57" s="306">
        <f>+IF($H57=N$2,VLOOKUP($G57,Depreciation!$A$14:$L$18,12,FALSE)/2,IF($H57&lt;N$2,VLOOKUP($G57,Depreciation!$A$14:$L$18,12,FALSE),0))</f>
        <v>2.4351536427798831E-2</v>
      </c>
      <c r="O57" s="307">
        <f t="shared" si="2"/>
        <v>0</v>
      </c>
      <c r="P57" s="732">
        <f>'Func Future Subs 2015'!P57</f>
        <v>0</v>
      </c>
      <c r="Q57" s="732">
        <f>'Func Future Subs 2015'!Q57</f>
        <v>0</v>
      </c>
      <c r="R57" s="732">
        <f>'Func Future Subs 2015'!R57</f>
        <v>1</v>
      </c>
      <c r="S57" s="735">
        <f t="shared" si="3"/>
        <v>0</v>
      </c>
      <c r="T57" s="735">
        <f t="shared" si="4"/>
        <v>0</v>
      </c>
      <c r="U57" s="735">
        <f t="shared" si="5"/>
        <v>0</v>
      </c>
      <c r="V57" s="736">
        <f t="shared" si="6"/>
        <v>0</v>
      </c>
      <c r="W57" s="735">
        <f t="shared" si="7"/>
        <v>0</v>
      </c>
      <c r="X57" s="737">
        <f t="shared" si="8"/>
        <v>0</v>
      </c>
      <c r="Y57" s="738">
        <f t="shared" si="9"/>
        <v>0</v>
      </c>
    </row>
    <row r="58" spans="1:27">
      <c r="A58" s="754" t="str">
        <f>'Func Future Subs 2015'!A58</f>
        <v>unknown sub Vermilion 710S</v>
      </c>
      <c r="B58" s="754">
        <f>'Func Future Subs 2015'!B58</f>
        <v>811</v>
      </c>
      <c r="C58" s="754">
        <f>'Func Future Subs 2015'!C58</f>
        <v>0</v>
      </c>
      <c r="D58" s="754">
        <f>'Func Future Subs 2015'!D58</f>
        <v>25</v>
      </c>
      <c r="E58" s="754" t="str">
        <f>'Func Future Subs 2015'!E58</f>
        <v>710S</v>
      </c>
      <c r="F58" s="754">
        <f>'Func Future Subs 2015'!F58</f>
        <v>8709690</v>
      </c>
      <c r="G58" s="754" t="str">
        <f>'Func Future Subs 2015'!G58</f>
        <v>ATCO</v>
      </c>
      <c r="H58" s="754">
        <f>'Func Future Subs 2015'!H58</f>
        <v>2017</v>
      </c>
      <c r="I58" s="306">
        <f>+IF($H58=I$2,VLOOKUP($G58,Depreciation!$A$14:$L$18,7,FALSE)/2,IF($H58&lt;I$2,VLOOKUP($G58,Depreciation!$A$14:$L$18,7,FALSE),0))</f>
        <v>0</v>
      </c>
      <c r="J58" s="306">
        <f>+IF($H58=J$2,VLOOKUP($G58,Depreciation!$A$14:$L$18,8,FALSE)/2,IF($H58&lt;J$2,VLOOKUP($G58,Depreciation!$A$14:$L$18,8,FALSE),0))</f>
        <v>0</v>
      </c>
      <c r="K58" s="306">
        <f>+IF($H58=K$2,VLOOKUP($G58,Depreciation!$A$14:$L$18,9,FALSE)/2,IF($H58&lt;K$2,VLOOKUP($G58,Depreciation!$A$14:$L$18,9,FALSE),0))</f>
        <v>1.2175768213899416E-2</v>
      </c>
      <c r="L58" s="306">
        <f>+IF($H58=L$2,VLOOKUP($G58,Depreciation!$A$14:$L$18,10,FALSE)/2,IF($H58&lt;L$2,VLOOKUP($G58,Depreciation!$A$14:$L$18,10,FALSE),0))</f>
        <v>2.4351536427798831E-2</v>
      </c>
      <c r="M58" s="306">
        <f>+IF($H58=M$2,VLOOKUP($G58,Depreciation!$A$14:$L$18,11,FALSE)/2,IF($H58&lt;M$2,VLOOKUP($G58,Depreciation!$A$14:$L$18,11,FALSE),0))</f>
        <v>2.4351536427798831E-2</v>
      </c>
      <c r="N58" s="306">
        <f>+IF($H58=N$2,VLOOKUP($G58,Depreciation!$A$14:$L$18,12,FALSE)/2,IF($H58&lt;N$2,VLOOKUP($G58,Depreciation!$A$14:$L$18,12,FALSE),0))</f>
        <v>2.4351536427798831E-2</v>
      </c>
      <c r="O58" s="307">
        <f t="shared" si="2"/>
        <v>0</v>
      </c>
      <c r="P58" s="732">
        <f>'Func Future Subs 2015'!P58</f>
        <v>0</v>
      </c>
      <c r="Q58" s="732">
        <f>'Func Future Subs 2015'!Q58</f>
        <v>1</v>
      </c>
      <c r="R58" s="732">
        <f>'Func Future Subs 2015'!R58</f>
        <v>0</v>
      </c>
      <c r="S58" s="735">
        <f t="shared" si="3"/>
        <v>0</v>
      </c>
      <c r="T58" s="735">
        <f t="shared" si="4"/>
        <v>0</v>
      </c>
      <c r="U58" s="735">
        <f t="shared" si="5"/>
        <v>0</v>
      </c>
      <c r="V58" s="736">
        <f t="shared" si="6"/>
        <v>0</v>
      </c>
      <c r="W58" s="735">
        <f t="shared" si="7"/>
        <v>0</v>
      </c>
      <c r="X58" s="737">
        <f t="shared" si="8"/>
        <v>0</v>
      </c>
      <c r="Y58" s="738">
        <f t="shared" si="9"/>
        <v>0</v>
      </c>
    </row>
    <row r="59" spans="1:27">
      <c r="A59" s="754" t="str">
        <f>'Func Future Subs 2015'!A59</f>
        <v>Wolf Lake 822S(180)</v>
      </c>
      <c r="B59" s="754">
        <f>'Func Future Subs 2015'!B59</f>
        <v>811</v>
      </c>
      <c r="C59" s="754">
        <f>'Func Future Subs 2015'!C59</f>
        <v>144</v>
      </c>
      <c r="D59" s="754">
        <f>'Func Future Subs 2015'!D59</f>
        <v>25</v>
      </c>
      <c r="E59" s="754" t="str">
        <f>'Func Future Subs 2015'!E59</f>
        <v>822S</v>
      </c>
      <c r="F59" s="754">
        <f>'Func Future Subs 2015'!F59</f>
        <v>1030247.2205012403</v>
      </c>
      <c r="G59" s="754" t="str">
        <f>'Func Future Subs 2015'!G59</f>
        <v>ATCO</v>
      </c>
      <c r="H59" s="754">
        <f>'Func Future Subs 2015'!H59</f>
        <v>2017</v>
      </c>
      <c r="I59" s="306">
        <f>+IF($H59=I$2,VLOOKUP($G59,Depreciation!$A$14:$L$18,7,FALSE)/2,IF($H59&lt;I$2,VLOOKUP($G59,Depreciation!$A$14:$L$18,7,FALSE),0))</f>
        <v>0</v>
      </c>
      <c r="J59" s="306">
        <f>+IF($H59=J$2,VLOOKUP($G59,Depreciation!$A$14:$L$18,8,FALSE)/2,IF($H59&lt;J$2,VLOOKUP($G59,Depreciation!$A$14:$L$18,8,FALSE),0))</f>
        <v>0</v>
      </c>
      <c r="K59" s="306">
        <f>+IF($H59=K$2,VLOOKUP($G59,Depreciation!$A$14:$L$18,9,FALSE)/2,IF($H59&lt;K$2,VLOOKUP($G59,Depreciation!$A$14:$L$18,9,FALSE),0))</f>
        <v>1.2175768213899416E-2</v>
      </c>
      <c r="L59" s="306">
        <f>+IF($H59=L$2,VLOOKUP($G59,Depreciation!$A$14:$L$18,10,FALSE)/2,IF($H59&lt;L$2,VLOOKUP($G59,Depreciation!$A$14:$L$18,10,FALSE),0))</f>
        <v>2.4351536427798831E-2</v>
      </c>
      <c r="M59" s="306">
        <f>+IF($H59=M$2,VLOOKUP($G59,Depreciation!$A$14:$L$18,11,FALSE)/2,IF($H59&lt;M$2,VLOOKUP($G59,Depreciation!$A$14:$L$18,11,FALSE),0))</f>
        <v>2.4351536427798831E-2</v>
      </c>
      <c r="N59" s="306">
        <f>+IF($H59=N$2,VLOOKUP($G59,Depreciation!$A$14:$L$18,12,FALSE)/2,IF($H59&lt;N$2,VLOOKUP($G59,Depreciation!$A$14:$L$18,12,FALSE),0))</f>
        <v>2.4351536427798831E-2</v>
      </c>
      <c r="O59" s="307">
        <f t="shared" si="2"/>
        <v>0</v>
      </c>
      <c r="P59" s="732">
        <f>'Func Future Subs 2015'!P59</f>
        <v>0</v>
      </c>
      <c r="Q59" s="732">
        <f>'Func Future Subs 2015'!Q59</f>
        <v>1</v>
      </c>
      <c r="R59" s="732">
        <f>'Func Future Subs 2015'!R59</f>
        <v>0</v>
      </c>
      <c r="S59" s="735">
        <f t="shared" si="3"/>
        <v>0</v>
      </c>
      <c r="T59" s="735">
        <f t="shared" si="4"/>
        <v>0</v>
      </c>
      <c r="U59" s="735">
        <f t="shared" si="5"/>
        <v>0</v>
      </c>
      <c r="V59" s="736">
        <f t="shared" si="6"/>
        <v>0</v>
      </c>
      <c r="W59" s="735">
        <f t="shared" si="7"/>
        <v>0</v>
      </c>
      <c r="X59" s="737">
        <f t="shared" si="8"/>
        <v>0</v>
      </c>
      <c r="Y59" s="738">
        <f t="shared" si="9"/>
        <v>0</v>
      </c>
    </row>
    <row r="60" spans="1:27">
      <c r="A60" s="754" t="str">
        <f>'Func Future Subs 2015'!A60</f>
        <v>74S</v>
      </c>
      <c r="B60" s="754">
        <f>'Func Future Subs 2015'!B60</f>
        <v>813</v>
      </c>
      <c r="C60" s="754">
        <f>'Func Future Subs 2015'!C60</f>
        <v>240</v>
      </c>
      <c r="D60" s="754">
        <f>'Func Future Subs 2015'!D60</f>
        <v>138</v>
      </c>
      <c r="E60" s="754" t="str">
        <f>'Func Future Subs 2015'!E60</f>
        <v>74S</v>
      </c>
      <c r="F60" s="754">
        <f>'Func Future Subs 2015'!F60</f>
        <v>395882.33037640859</v>
      </c>
      <c r="G60" s="754" t="str">
        <f>'Func Future Subs 2015'!G60</f>
        <v>AltaLink</v>
      </c>
      <c r="H60" s="754">
        <f>'Func Future Subs 2015'!H60</f>
        <v>2017</v>
      </c>
      <c r="I60" s="306">
        <f>+IF($H60=I$2,VLOOKUP($G60,Depreciation!$A$14:$L$18,7,FALSE)/2,IF($H60&lt;I$2,VLOOKUP($G60,Depreciation!$A$14:$L$18,7,FALSE),0))</f>
        <v>0</v>
      </c>
      <c r="J60" s="306">
        <f>+IF($H60=J$2,VLOOKUP($G60,Depreciation!$A$14:$L$18,8,FALSE)/2,IF($H60&lt;J$2,VLOOKUP($G60,Depreciation!$A$14:$L$18,8,FALSE),0))</f>
        <v>0</v>
      </c>
      <c r="K60" s="306">
        <f>+IF($H60=K$2,VLOOKUP($G60,Depreciation!$A$14:$L$18,9,FALSE)/2,IF($H60&lt;K$2,VLOOKUP($G60,Depreciation!$A$14:$L$18,9,FALSE),0))</f>
        <v>1.671703928371859E-2</v>
      </c>
      <c r="L60" s="306">
        <f>+IF($H60=L$2,VLOOKUP($G60,Depreciation!$A$14:$L$18,10,FALSE)/2,IF($H60&lt;L$2,VLOOKUP($G60,Depreciation!$A$14:$L$18,10,FALSE),0))</f>
        <v>3.343407856743718E-2</v>
      </c>
      <c r="M60" s="306">
        <f>+IF($H60=M$2,VLOOKUP($G60,Depreciation!$A$14:$L$18,11,FALSE)/2,IF($H60&lt;M$2,VLOOKUP($G60,Depreciation!$A$14:$L$18,11,FALSE),0))</f>
        <v>3.343407856743718E-2</v>
      </c>
      <c r="N60" s="306">
        <f>+IF($H60=N$2,VLOOKUP($G60,Depreciation!$A$14:$L$18,12,FALSE)/2,IF($H60&lt;N$2,VLOOKUP($G60,Depreciation!$A$14:$L$18,12,FALSE),0))</f>
        <v>3.343407856743718E-2</v>
      </c>
      <c r="O60" s="307">
        <f t="shared" si="2"/>
        <v>0</v>
      </c>
      <c r="P60" s="732">
        <f>'Func Future Subs 2015'!P60</f>
        <v>0</v>
      </c>
      <c r="Q60" s="732">
        <f>'Func Future Subs 2015'!Q60</f>
        <v>0</v>
      </c>
      <c r="R60" s="732">
        <f>'Func Future Subs 2015'!R60</f>
        <v>1</v>
      </c>
      <c r="S60" s="735">
        <f t="shared" si="3"/>
        <v>0</v>
      </c>
      <c r="T60" s="735">
        <f t="shared" si="4"/>
        <v>0</v>
      </c>
      <c r="U60" s="735">
        <f t="shared" si="5"/>
        <v>0</v>
      </c>
      <c r="V60" s="736">
        <f t="shared" si="6"/>
        <v>0</v>
      </c>
      <c r="W60" s="735">
        <f t="shared" si="7"/>
        <v>0</v>
      </c>
      <c r="X60" s="737">
        <f t="shared" si="8"/>
        <v>0</v>
      </c>
      <c r="Y60" s="738">
        <f t="shared" si="9"/>
        <v>0</v>
      </c>
    </row>
    <row r="61" spans="1:27">
      <c r="A61" s="754" t="str">
        <f>'Func Future Subs 2015'!A61</f>
        <v>Beddington 162S</v>
      </c>
      <c r="B61" s="754">
        <f>'Func Future Subs 2015'!B61</f>
        <v>813</v>
      </c>
      <c r="C61" s="754">
        <f>'Func Future Subs 2015'!C61</f>
        <v>240</v>
      </c>
      <c r="D61" s="754">
        <f>'Func Future Subs 2015'!D61</f>
        <v>25</v>
      </c>
      <c r="E61" s="754" t="str">
        <f>'Func Future Subs 2015'!E61</f>
        <v>162S</v>
      </c>
      <c r="F61" s="754">
        <f>'Func Future Subs 2015'!F61</f>
        <v>39588.233037640857</v>
      </c>
      <c r="G61" s="754" t="str">
        <f>'Func Future Subs 2015'!G61</f>
        <v>AltaLink</v>
      </c>
      <c r="H61" s="754">
        <f>'Func Future Subs 2015'!H61</f>
        <v>2017</v>
      </c>
      <c r="I61" s="306">
        <f>+IF($H61=I$2,VLOOKUP($G61,Depreciation!$A$14:$L$18,7,FALSE)/2,IF($H61&lt;I$2,VLOOKUP($G61,Depreciation!$A$14:$L$18,7,FALSE),0))</f>
        <v>0</v>
      </c>
      <c r="J61" s="306">
        <f>+IF($H61=J$2,VLOOKUP($G61,Depreciation!$A$14:$L$18,8,FALSE)/2,IF($H61&lt;J$2,VLOOKUP($G61,Depreciation!$A$14:$L$18,8,FALSE),0))</f>
        <v>0</v>
      </c>
      <c r="K61" s="306">
        <f>+IF($H61=K$2,VLOOKUP($G61,Depreciation!$A$14:$L$18,9,FALSE)/2,IF($H61&lt;K$2,VLOOKUP($G61,Depreciation!$A$14:$L$18,9,FALSE),0))</f>
        <v>1.671703928371859E-2</v>
      </c>
      <c r="L61" s="306">
        <f>+IF($H61=L$2,VLOOKUP($G61,Depreciation!$A$14:$L$18,10,FALSE)/2,IF($H61&lt;L$2,VLOOKUP($G61,Depreciation!$A$14:$L$18,10,FALSE),0))</f>
        <v>3.343407856743718E-2</v>
      </c>
      <c r="M61" s="306">
        <f>+IF($H61=M$2,VLOOKUP($G61,Depreciation!$A$14:$L$18,11,FALSE)/2,IF($H61&lt;M$2,VLOOKUP($G61,Depreciation!$A$14:$L$18,11,FALSE),0))</f>
        <v>3.343407856743718E-2</v>
      </c>
      <c r="N61" s="306">
        <f>+IF($H61=N$2,VLOOKUP($G61,Depreciation!$A$14:$L$18,12,FALSE)/2,IF($H61&lt;N$2,VLOOKUP($G61,Depreciation!$A$14:$L$18,12,FALSE),0))</f>
        <v>3.343407856743718E-2</v>
      </c>
      <c r="O61" s="307">
        <f t="shared" si="2"/>
        <v>0</v>
      </c>
      <c r="P61" s="732">
        <f>'Func Future Subs 2015'!P61</f>
        <v>0.9116809116809117</v>
      </c>
      <c r="Q61" s="732">
        <f>'Func Future Subs 2015'!Q61</f>
        <v>8.8319088319088315E-2</v>
      </c>
      <c r="R61" s="732">
        <f>'Func Future Subs 2015'!R61</f>
        <v>0</v>
      </c>
      <c r="S61" s="735">
        <f t="shared" si="3"/>
        <v>0</v>
      </c>
      <c r="T61" s="735">
        <f t="shared" si="4"/>
        <v>0</v>
      </c>
      <c r="U61" s="735">
        <f t="shared" si="5"/>
        <v>0</v>
      </c>
      <c r="V61" s="736">
        <f t="shared" si="6"/>
        <v>0</v>
      </c>
      <c r="W61" s="735">
        <f t="shared" si="7"/>
        <v>0</v>
      </c>
      <c r="X61" s="737">
        <f t="shared" si="8"/>
        <v>0</v>
      </c>
      <c r="Y61" s="738">
        <f t="shared" si="9"/>
        <v>0</v>
      </c>
    </row>
    <row r="62" spans="1:27">
      <c r="A62" s="754" t="str">
        <f>'Func Future Subs 2015'!A62</f>
        <v>Benalto 17S</v>
      </c>
      <c r="B62" s="754">
        <f>'Func Future Subs 2015'!B62</f>
        <v>813</v>
      </c>
      <c r="C62" s="754">
        <f>'Func Future Subs 2015'!C62</f>
        <v>240</v>
      </c>
      <c r="D62" s="754">
        <f>'Func Future Subs 2015'!D62</f>
        <v>25</v>
      </c>
      <c r="E62" s="754" t="str">
        <f>'Func Future Subs 2015'!E62</f>
        <v>17S</v>
      </c>
      <c r="F62" s="754">
        <f>'Func Future Subs 2015'!F62</f>
        <v>8444000.0000000019</v>
      </c>
      <c r="G62" s="754" t="str">
        <f>'Func Future Subs 2015'!G62</f>
        <v>AltaLink</v>
      </c>
      <c r="H62" s="754">
        <f>'Func Future Subs 2015'!H62</f>
        <v>2017</v>
      </c>
      <c r="I62" s="306">
        <f>+IF($H62=I$2,VLOOKUP($G62,Depreciation!$A$14:$L$18,7,FALSE)/2,IF($H62&lt;I$2,VLOOKUP($G62,Depreciation!$A$14:$L$18,7,FALSE),0))</f>
        <v>0</v>
      </c>
      <c r="J62" s="306">
        <f>+IF($H62=J$2,VLOOKUP($G62,Depreciation!$A$14:$L$18,8,FALSE)/2,IF($H62&lt;J$2,VLOOKUP($G62,Depreciation!$A$14:$L$18,8,FALSE),0))</f>
        <v>0</v>
      </c>
      <c r="K62" s="306">
        <f>+IF($H62=K$2,VLOOKUP($G62,Depreciation!$A$14:$L$18,9,FALSE)/2,IF($H62&lt;K$2,VLOOKUP($G62,Depreciation!$A$14:$L$18,9,FALSE),0))</f>
        <v>1.671703928371859E-2</v>
      </c>
      <c r="L62" s="306">
        <f>+IF($H62=L$2,VLOOKUP($G62,Depreciation!$A$14:$L$18,10,FALSE)/2,IF($H62&lt;L$2,VLOOKUP($G62,Depreciation!$A$14:$L$18,10,FALSE),0))</f>
        <v>3.343407856743718E-2</v>
      </c>
      <c r="M62" s="306">
        <f>+IF($H62=M$2,VLOOKUP($G62,Depreciation!$A$14:$L$18,11,FALSE)/2,IF($H62&lt;M$2,VLOOKUP($G62,Depreciation!$A$14:$L$18,11,FALSE),0))</f>
        <v>3.343407856743718E-2</v>
      </c>
      <c r="N62" s="306">
        <f>+IF($H62=N$2,VLOOKUP($G62,Depreciation!$A$14:$L$18,12,FALSE)/2,IF($H62&lt;N$2,VLOOKUP($G62,Depreciation!$A$14:$L$18,12,FALSE),0))</f>
        <v>3.343407856743718E-2</v>
      </c>
      <c r="O62" s="307">
        <f t="shared" si="2"/>
        <v>0</v>
      </c>
      <c r="P62" s="732">
        <f>'Func Future Subs 2015'!P62</f>
        <v>0</v>
      </c>
      <c r="Q62" s="732">
        <f>'Func Future Subs 2015'!Q62</f>
        <v>1</v>
      </c>
      <c r="R62" s="732">
        <f>'Func Future Subs 2015'!R62</f>
        <v>0</v>
      </c>
      <c r="S62" s="735">
        <f t="shared" si="3"/>
        <v>0</v>
      </c>
      <c r="T62" s="735">
        <f t="shared" si="4"/>
        <v>0</v>
      </c>
      <c r="U62" s="735">
        <f t="shared" si="5"/>
        <v>0</v>
      </c>
      <c r="V62" s="736">
        <f t="shared" si="6"/>
        <v>0</v>
      </c>
      <c r="W62" s="735">
        <f t="shared" si="7"/>
        <v>0</v>
      </c>
      <c r="X62" s="737">
        <f t="shared" si="8"/>
        <v>0</v>
      </c>
      <c r="Y62" s="738">
        <f t="shared" si="9"/>
        <v>0</v>
      </c>
    </row>
    <row r="63" spans="1:27">
      <c r="A63" s="754" t="str">
        <f>'Func Future Subs 2015'!A63</f>
        <v>Benalto 17S (GD - Johnson)</v>
      </c>
      <c r="B63" s="754">
        <f>'Func Future Subs 2015'!B63</f>
        <v>813</v>
      </c>
      <c r="C63" s="754">
        <f>'Func Future Subs 2015'!C63</f>
        <v>240</v>
      </c>
      <c r="D63" s="754">
        <f>'Func Future Subs 2015'!D63</f>
        <v>25</v>
      </c>
      <c r="E63" s="754" t="str">
        <f>'Func Future Subs 2015'!E63</f>
        <v>17S</v>
      </c>
      <c r="F63" s="754">
        <f>'Func Future Subs 2015'!F63</f>
        <v>134255.74682330378</v>
      </c>
      <c r="G63" s="754" t="str">
        <f>'Func Future Subs 2015'!G63</f>
        <v>AltaLink</v>
      </c>
      <c r="H63" s="754">
        <f>'Func Future Subs 2015'!H63</f>
        <v>2017</v>
      </c>
      <c r="I63" s="306">
        <f>+IF($H63=I$2,VLOOKUP($G63,Depreciation!$A$14:$L$18,7,FALSE)/2,IF($H63&lt;I$2,VLOOKUP($G63,Depreciation!$A$14:$L$18,7,FALSE),0))</f>
        <v>0</v>
      </c>
      <c r="J63" s="306">
        <f>+IF($H63=J$2,VLOOKUP($G63,Depreciation!$A$14:$L$18,8,FALSE)/2,IF($H63&lt;J$2,VLOOKUP($G63,Depreciation!$A$14:$L$18,8,FALSE),0))</f>
        <v>0</v>
      </c>
      <c r="K63" s="306">
        <f>+IF($H63=K$2,VLOOKUP($G63,Depreciation!$A$14:$L$18,9,FALSE)/2,IF($H63&lt;K$2,VLOOKUP($G63,Depreciation!$A$14:$L$18,9,FALSE),0))</f>
        <v>1.671703928371859E-2</v>
      </c>
      <c r="L63" s="306">
        <f>+IF($H63=L$2,VLOOKUP($G63,Depreciation!$A$14:$L$18,10,FALSE)/2,IF($H63&lt;L$2,VLOOKUP($G63,Depreciation!$A$14:$L$18,10,FALSE),0))</f>
        <v>3.343407856743718E-2</v>
      </c>
      <c r="M63" s="306">
        <f>+IF($H63=M$2,VLOOKUP($G63,Depreciation!$A$14:$L$18,11,FALSE)/2,IF($H63&lt;M$2,VLOOKUP($G63,Depreciation!$A$14:$L$18,11,FALSE),0))</f>
        <v>3.343407856743718E-2</v>
      </c>
      <c r="N63" s="306">
        <f>+IF($H63=N$2,VLOOKUP($G63,Depreciation!$A$14:$L$18,12,FALSE)/2,IF($H63&lt;N$2,VLOOKUP($G63,Depreciation!$A$14:$L$18,12,FALSE),0))</f>
        <v>3.343407856743718E-2</v>
      </c>
      <c r="O63" s="307">
        <f t="shared" si="2"/>
        <v>0</v>
      </c>
      <c r="P63" s="732">
        <f>'Func Future Subs 2015'!P63</f>
        <v>0</v>
      </c>
      <c r="Q63" s="732">
        <f>'Func Future Subs 2015'!Q63</f>
        <v>1</v>
      </c>
      <c r="R63" s="732">
        <f>'Func Future Subs 2015'!R63</f>
        <v>0</v>
      </c>
      <c r="S63" s="735">
        <f t="shared" si="3"/>
        <v>0</v>
      </c>
      <c r="T63" s="735">
        <f t="shared" si="4"/>
        <v>0</v>
      </c>
      <c r="U63" s="735">
        <f t="shared" si="5"/>
        <v>0</v>
      </c>
      <c r="V63" s="736">
        <f t="shared" si="6"/>
        <v>0</v>
      </c>
      <c r="W63" s="735">
        <f t="shared" si="7"/>
        <v>0</v>
      </c>
      <c r="X63" s="737">
        <f t="shared" si="8"/>
        <v>0</v>
      </c>
      <c r="Y63" s="738">
        <f t="shared" si="9"/>
        <v>0</v>
      </c>
    </row>
    <row r="64" spans="1:27">
      <c r="A64" s="754" t="str">
        <f>'Func Future Subs 2015'!A64</f>
        <v>Benalto 17S (GD Hazel)</v>
      </c>
      <c r="B64" s="754">
        <f>'Func Future Subs 2015'!B64</f>
        <v>813</v>
      </c>
      <c r="C64" s="754">
        <f>'Func Future Subs 2015'!C64</f>
        <v>240</v>
      </c>
      <c r="D64" s="754">
        <f>'Func Future Subs 2015'!D64</f>
        <v>25</v>
      </c>
      <c r="E64" s="754" t="str">
        <f>'Func Future Subs 2015'!E64</f>
        <v>17S</v>
      </c>
      <c r="F64" s="754">
        <f>'Func Future Subs 2015'!F64</f>
        <v>20654.730280508273</v>
      </c>
      <c r="G64" s="754" t="str">
        <f>'Func Future Subs 2015'!G64</f>
        <v>AltaLink</v>
      </c>
      <c r="H64" s="754">
        <f>'Func Future Subs 2015'!H64</f>
        <v>2017</v>
      </c>
      <c r="I64" s="306">
        <f>+IF($H64=I$2,VLOOKUP($G64,Depreciation!$A$14:$L$18,7,FALSE)/2,IF($H64&lt;I$2,VLOOKUP($G64,Depreciation!$A$14:$L$18,7,FALSE),0))</f>
        <v>0</v>
      </c>
      <c r="J64" s="306">
        <f>+IF($H64=J$2,VLOOKUP($G64,Depreciation!$A$14:$L$18,8,FALSE)/2,IF($H64&lt;J$2,VLOOKUP($G64,Depreciation!$A$14:$L$18,8,FALSE),0))</f>
        <v>0</v>
      </c>
      <c r="K64" s="306">
        <f>+IF($H64=K$2,VLOOKUP($G64,Depreciation!$A$14:$L$18,9,FALSE)/2,IF($H64&lt;K$2,VLOOKUP($G64,Depreciation!$A$14:$L$18,9,FALSE),0))</f>
        <v>1.671703928371859E-2</v>
      </c>
      <c r="L64" s="306">
        <f>+IF($H64=L$2,VLOOKUP($G64,Depreciation!$A$14:$L$18,10,FALSE)/2,IF($H64&lt;L$2,VLOOKUP($G64,Depreciation!$A$14:$L$18,10,FALSE),0))</f>
        <v>3.343407856743718E-2</v>
      </c>
      <c r="M64" s="306">
        <f>+IF($H64=M$2,VLOOKUP($G64,Depreciation!$A$14:$L$18,11,FALSE)/2,IF($H64&lt;M$2,VLOOKUP($G64,Depreciation!$A$14:$L$18,11,FALSE),0))</f>
        <v>3.343407856743718E-2</v>
      </c>
      <c r="N64" s="306">
        <f>+IF($H64=N$2,VLOOKUP($G64,Depreciation!$A$14:$L$18,12,FALSE)/2,IF($H64&lt;N$2,VLOOKUP($G64,Depreciation!$A$14:$L$18,12,FALSE),0))</f>
        <v>3.343407856743718E-2</v>
      </c>
      <c r="O64" s="307">
        <f t="shared" si="2"/>
        <v>0</v>
      </c>
      <c r="P64" s="732">
        <f>'Func Future Subs 2015'!P64</f>
        <v>0</v>
      </c>
      <c r="Q64" s="732">
        <f>'Func Future Subs 2015'!Q64</f>
        <v>1</v>
      </c>
      <c r="R64" s="732">
        <f>'Func Future Subs 2015'!R64</f>
        <v>0</v>
      </c>
      <c r="S64" s="735">
        <f t="shared" si="3"/>
        <v>0</v>
      </c>
      <c r="T64" s="735">
        <f t="shared" si="4"/>
        <v>0</v>
      </c>
      <c r="U64" s="735">
        <f t="shared" si="5"/>
        <v>0</v>
      </c>
      <c r="V64" s="736">
        <f t="shared" si="6"/>
        <v>0</v>
      </c>
      <c r="W64" s="735">
        <f t="shared" si="7"/>
        <v>0</v>
      </c>
      <c r="X64" s="737">
        <f t="shared" si="8"/>
        <v>0</v>
      </c>
      <c r="Y64" s="738">
        <f t="shared" si="9"/>
        <v>0</v>
      </c>
    </row>
    <row r="65" spans="1:25">
      <c r="A65" s="754" t="str">
        <f>'Func Future Subs 2015'!A65</f>
        <v>Benalto 17S (LR)</v>
      </c>
      <c r="B65" s="754">
        <f>'Func Future Subs 2015'!B65</f>
        <v>813</v>
      </c>
      <c r="C65" s="754">
        <f>'Func Future Subs 2015'!C65</f>
        <v>138</v>
      </c>
      <c r="D65" s="754">
        <f>'Func Future Subs 2015'!D65</f>
        <v>25</v>
      </c>
      <c r="E65" s="754" t="str">
        <f>'Func Future Subs 2015'!E65</f>
        <v>17S</v>
      </c>
      <c r="F65" s="754">
        <f>'Func Future Subs 2015'!F65</f>
        <v>655703.2937070569</v>
      </c>
      <c r="G65" s="754" t="str">
        <f>'Func Future Subs 2015'!G65</f>
        <v>AltaLink</v>
      </c>
      <c r="H65" s="754">
        <f>'Func Future Subs 2015'!H65</f>
        <v>2017</v>
      </c>
      <c r="I65" s="306">
        <f>+IF($H65=I$2,VLOOKUP($G65,Depreciation!$A$14:$L$18,7,FALSE)/2,IF($H65&lt;I$2,VLOOKUP($G65,Depreciation!$A$14:$L$18,7,FALSE),0))</f>
        <v>0</v>
      </c>
      <c r="J65" s="306">
        <f>+IF($H65=J$2,VLOOKUP($G65,Depreciation!$A$14:$L$18,8,FALSE)/2,IF($H65&lt;J$2,VLOOKUP($G65,Depreciation!$A$14:$L$18,8,FALSE),0))</f>
        <v>0</v>
      </c>
      <c r="K65" s="306">
        <f>+IF($H65=K$2,VLOOKUP($G65,Depreciation!$A$14:$L$18,9,FALSE)/2,IF($H65&lt;K$2,VLOOKUP($G65,Depreciation!$A$14:$L$18,9,FALSE),0))</f>
        <v>1.671703928371859E-2</v>
      </c>
      <c r="L65" s="306">
        <f>+IF($H65=L$2,VLOOKUP($G65,Depreciation!$A$14:$L$18,10,FALSE)/2,IF($H65&lt;L$2,VLOOKUP($G65,Depreciation!$A$14:$L$18,10,FALSE),0))</f>
        <v>3.343407856743718E-2</v>
      </c>
      <c r="M65" s="306">
        <f>+IF($H65=M$2,VLOOKUP($G65,Depreciation!$A$14:$L$18,11,FALSE)/2,IF($H65&lt;M$2,VLOOKUP($G65,Depreciation!$A$14:$L$18,11,FALSE),0))</f>
        <v>3.343407856743718E-2</v>
      </c>
      <c r="N65" s="306">
        <f>+IF($H65=N$2,VLOOKUP($G65,Depreciation!$A$14:$L$18,12,FALSE)/2,IF($H65&lt;N$2,VLOOKUP($G65,Depreciation!$A$14:$L$18,12,FALSE),0))</f>
        <v>3.343407856743718E-2</v>
      </c>
      <c r="O65" s="307">
        <f t="shared" si="2"/>
        <v>0</v>
      </c>
      <c r="P65" s="732">
        <f>'Func Future Subs 2015'!P65</f>
        <v>0</v>
      </c>
      <c r="Q65" s="732">
        <f>'Func Future Subs 2015'!Q65</f>
        <v>1</v>
      </c>
      <c r="R65" s="732">
        <f>'Func Future Subs 2015'!R65</f>
        <v>0</v>
      </c>
      <c r="S65" s="735">
        <f t="shared" si="3"/>
        <v>0</v>
      </c>
      <c r="T65" s="735">
        <f t="shared" si="4"/>
        <v>0</v>
      </c>
      <c r="U65" s="735">
        <f t="shared" si="5"/>
        <v>0</v>
      </c>
      <c r="V65" s="736">
        <f t="shared" si="6"/>
        <v>0</v>
      </c>
      <c r="W65" s="735">
        <f t="shared" si="7"/>
        <v>0</v>
      </c>
      <c r="X65" s="737">
        <f t="shared" si="8"/>
        <v>0</v>
      </c>
      <c r="Y65" s="738">
        <f t="shared" si="9"/>
        <v>0</v>
      </c>
    </row>
    <row r="66" spans="1:25">
      <c r="A66" s="754" t="str">
        <f>'Func Future Subs 2015'!A66</f>
        <v>Capacitor Bank at Joffre 535S</v>
      </c>
      <c r="B66" s="754">
        <f>'Func Future Subs 2015'!B66</f>
        <v>813</v>
      </c>
      <c r="C66" s="754">
        <f>'Func Future Subs 2015'!C66</f>
        <v>138</v>
      </c>
      <c r="D66" s="754">
        <f>'Func Future Subs 2015'!D66</f>
        <v>25</v>
      </c>
      <c r="E66" s="754" t="str">
        <f>'Func Future Subs 2015'!E66</f>
        <v>535S</v>
      </c>
      <c r="F66" s="754">
        <f>'Func Future Subs 2015'!F66</f>
        <v>2796588.4995215004</v>
      </c>
      <c r="G66" s="754" t="str">
        <f>'Func Future Subs 2015'!G66</f>
        <v>AltaLink</v>
      </c>
      <c r="H66" s="754">
        <f>'Func Future Subs 2015'!H66</f>
        <v>2017</v>
      </c>
      <c r="I66" s="306">
        <f>+IF($H66=I$2,VLOOKUP($G66,Depreciation!$A$14:$L$18,7,FALSE)/2,IF($H66&lt;I$2,VLOOKUP($G66,Depreciation!$A$14:$L$18,7,FALSE),0))</f>
        <v>0</v>
      </c>
      <c r="J66" s="306">
        <f>+IF($H66=J$2,VLOOKUP($G66,Depreciation!$A$14:$L$18,8,FALSE)/2,IF($H66&lt;J$2,VLOOKUP($G66,Depreciation!$A$14:$L$18,8,FALSE),0))</f>
        <v>0</v>
      </c>
      <c r="K66" s="306">
        <f>+IF($H66=K$2,VLOOKUP($G66,Depreciation!$A$14:$L$18,9,FALSE)/2,IF($H66&lt;K$2,VLOOKUP($G66,Depreciation!$A$14:$L$18,9,FALSE),0))</f>
        <v>1.671703928371859E-2</v>
      </c>
      <c r="L66" s="306">
        <f>+IF($H66=L$2,VLOOKUP($G66,Depreciation!$A$14:$L$18,10,FALSE)/2,IF($H66&lt;L$2,VLOOKUP($G66,Depreciation!$A$14:$L$18,10,FALSE),0))</f>
        <v>3.343407856743718E-2</v>
      </c>
      <c r="M66" s="306">
        <f>+IF($H66=M$2,VLOOKUP($G66,Depreciation!$A$14:$L$18,11,FALSE)/2,IF($H66&lt;M$2,VLOOKUP($G66,Depreciation!$A$14:$L$18,11,FALSE),0))</f>
        <v>3.343407856743718E-2</v>
      </c>
      <c r="N66" s="306">
        <f>+IF($H66=N$2,VLOOKUP($G66,Depreciation!$A$14:$L$18,12,FALSE)/2,IF($H66&lt;N$2,VLOOKUP($G66,Depreciation!$A$14:$L$18,12,FALSE),0))</f>
        <v>3.343407856743718E-2</v>
      </c>
      <c r="O66" s="307">
        <f t="shared" si="2"/>
        <v>0</v>
      </c>
      <c r="P66" s="732">
        <f>'Func Future Subs 2015'!P66</f>
        <v>0.7403207006269098</v>
      </c>
      <c r="Q66" s="732">
        <f>'Func Future Subs 2015'!Q66</f>
        <v>0.25967929937309009</v>
      </c>
      <c r="R66" s="732">
        <f>'Func Future Subs 2015'!R66</f>
        <v>0</v>
      </c>
      <c r="S66" s="735">
        <f t="shared" si="3"/>
        <v>0</v>
      </c>
      <c r="T66" s="735">
        <f t="shared" si="4"/>
        <v>0</v>
      </c>
      <c r="U66" s="735">
        <f t="shared" si="5"/>
        <v>0</v>
      </c>
      <c r="V66" s="736">
        <f t="shared" si="6"/>
        <v>0</v>
      </c>
      <c r="W66" s="735">
        <f t="shared" si="7"/>
        <v>0</v>
      </c>
      <c r="X66" s="737">
        <f t="shared" si="8"/>
        <v>0</v>
      </c>
      <c r="Y66" s="738">
        <f t="shared" si="9"/>
        <v>0</v>
      </c>
    </row>
    <row r="67" spans="1:25">
      <c r="A67" s="754" t="str">
        <f>'Func Future Subs 2015'!A67</f>
        <v>Capacitor Bank at Joffre 535S (dev12)</v>
      </c>
      <c r="B67" s="754">
        <f>'Func Future Subs 2015'!B67</f>
        <v>813</v>
      </c>
      <c r="C67" s="754">
        <f>'Func Future Subs 2015'!C67</f>
        <v>138</v>
      </c>
      <c r="D67" s="754">
        <f>'Func Future Subs 2015'!D67</f>
        <v>25</v>
      </c>
      <c r="E67" s="754" t="str">
        <f>'Func Future Subs 2015'!E67</f>
        <v>535S</v>
      </c>
      <c r="F67" s="754">
        <f>'Func Future Subs 2015'!F67</f>
        <v>323419.86019997793</v>
      </c>
      <c r="G67" s="754" t="str">
        <f>'Func Future Subs 2015'!G67</f>
        <v>AltaLink</v>
      </c>
      <c r="H67" s="754">
        <f>'Func Future Subs 2015'!H67</f>
        <v>2017</v>
      </c>
      <c r="I67" s="306">
        <f>+IF($H67=I$2,VLOOKUP($G67,Depreciation!$A$14:$L$18,7,FALSE)/2,IF($H67&lt;I$2,VLOOKUP($G67,Depreciation!$A$14:$L$18,7,FALSE),0))</f>
        <v>0</v>
      </c>
      <c r="J67" s="306">
        <f>+IF($H67=J$2,VLOOKUP($G67,Depreciation!$A$14:$L$18,8,FALSE)/2,IF($H67&lt;J$2,VLOOKUP($G67,Depreciation!$A$14:$L$18,8,FALSE),0))</f>
        <v>0</v>
      </c>
      <c r="K67" s="306">
        <f>+IF($H67=K$2,VLOOKUP($G67,Depreciation!$A$14:$L$18,9,FALSE)/2,IF($H67&lt;K$2,VLOOKUP($G67,Depreciation!$A$14:$L$18,9,FALSE),0))</f>
        <v>1.671703928371859E-2</v>
      </c>
      <c r="L67" s="306">
        <f>+IF($H67=L$2,VLOOKUP($G67,Depreciation!$A$14:$L$18,10,FALSE)/2,IF($H67&lt;L$2,VLOOKUP($G67,Depreciation!$A$14:$L$18,10,FALSE),0))</f>
        <v>3.343407856743718E-2</v>
      </c>
      <c r="M67" s="306">
        <f>+IF($H67=M$2,VLOOKUP($G67,Depreciation!$A$14:$L$18,11,FALSE)/2,IF($H67&lt;M$2,VLOOKUP($G67,Depreciation!$A$14:$L$18,11,FALSE),0))</f>
        <v>3.343407856743718E-2</v>
      </c>
      <c r="N67" s="306">
        <f>+IF($H67=N$2,VLOOKUP($G67,Depreciation!$A$14:$L$18,12,FALSE)/2,IF($H67&lt;N$2,VLOOKUP($G67,Depreciation!$A$14:$L$18,12,FALSE),0))</f>
        <v>3.343407856743718E-2</v>
      </c>
      <c r="O67" s="307">
        <f t="shared" si="2"/>
        <v>0</v>
      </c>
      <c r="P67" s="732">
        <f>'Func Future Subs 2015'!P67</f>
        <v>0.7403207006269098</v>
      </c>
      <c r="Q67" s="732">
        <f>'Func Future Subs 2015'!Q67</f>
        <v>0.25967929937309009</v>
      </c>
      <c r="R67" s="732">
        <f>'Func Future Subs 2015'!R67</f>
        <v>0</v>
      </c>
      <c r="S67" s="735">
        <f t="shared" si="3"/>
        <v>0</v>
      </c>
      <c r="T67" s="735">
        <f t="shared" si="4"/>
        <v>0</v>
      </c>
      <c r="U67" s="735">
        <f t="shared" si="5"/>
        <v>0</v>
      </c>
      <c r="V67" s="736">
        <f t="shared" si="6"/>
        <v>0</v>
      </c>
      <c r="W67" s="735">
        <f t="shared" si="7"/>
        <v>0</v>
      </c>
      <c r="X67" s="737">
        <f t="shared" si="8"/>
        <v>0</v>
      </c>
      <c r="Y67" s="738">
        <f t="shared" si="9"/>
        <v>0</v>
      </c>
    </row>
    <row r="68" spans="1:25">
      <c r="A68" s="754" t="str">
        <f>'Func Future Subs 2015'!A68</f>
        <v>Development at Beddington 162S</v>
      </c>
      <c r="B68" s="754">
        <f>'Func Future Subs 2015'!B68</f>
        <v>813</v>
      </c>
      <c r="C68" s="754">
        <f>'Func Future Subs 2015'!C68</f>
        <v>240</v>
      </c>
      <c r="D68" s="754">
        <f>'Func Future Subs 2015'!D68</f>
        <v>25</v>
      </c>
      <c r="E68" s="754" t="str">
        <f>'Func Future Subs 2015'!E68</f>
        <v>162S</v>
      </c>
      <c r="F68" s="754">
        <f>'Func Future Subs 2015'!F68</f>
        <v>36791.145939886468</v>
      </c>
      <c r="G68" s="754" t="str">
        <f>'Func Future Subs 2015'!G68</f>
        <v>AltaLink</v>
      </c>
      <c r="H68" s="754">
        <f>'Func Future Subs 2015'!H68</f>
        <v>2017</v>
      </c>
      <c r="I68" s="306">
        <f>+IF($H68=I$2,VLOOKUP($G68,Depreciation!$A$14:$L$18,7,FALSE)/2,IF($H68&lt;I$2,VLOOKUP($G68,Depreciation!$A$14:$L$18,7,FALSE),0))</f>
        <v>0</v>
      </c>
      <c r="J68" s="306">
        <f>+IF($H68=J$2,VLOOKUP($G68,Depreciation!$A$14:$L$18,8,FALSE)/2,IF($H68&lt;J$2,VLOOKUP($G68,Depreciation!$A$14:$L$18,8,FALSE),0))</f>
        <v>0</v>
      </c>
      <c r="K68" s="306">
        <f>+IF($H68=K$2,VLOOKUP($G68,Depreciation!$A$14:$L$18,9,FALSE)/2,IF($H68&lt;K$2,VLOOKUP($G68,Depreciation!$A$14:$L$18,9,FALSE),0))</f>
        <v>1.671703928371859E-2</v>
      </c>
      <c r="L68" s="306">
        <f>+IF($H68=L$2,VLOOKUP($G68,Depreciation!$A$14:$L$18,10,FALSE)/2,IF($H68&lt;L$2,VLOOKUP($G68,Depreciation!$A$14:$L$18,10,FALSE),0))</f>
        <v>3.343407856743718E-2</v>
      </c>
      <c r="M68" s="306">
        <f>+IF($H68=M$2,VLOOKUP($G68,Depreciation!$A$14:$L$18,11,FALSE)/2,IF($H68&lt;M$2,VLOOKUP($G68,Depreciation!$A$14:$L$18,11,FALSE),0))</f>
        <v>3.343407856743718E-2</v>
      </c>
      <c r="N68" s="306">
        <f>+IF($H68=N$2,VLOOKUP($G68,Depreciation!$A$14:$L$18,12,FALSE)/2,IF($H68&lt;N$2,VLOOKUP($G68,Depreciation!$A$14:$L$18,12,FALSE),0))</f>
        <v>3.343407856743718E-2</v>
      </c>
      <c r="O68" s="307">
        <f t="shared" ref="O68:O131" si="10">IF(H68&lt;=2016,F68*(1-I68)*(1-J68),0)</f>
        <v>0</v>
      </c>
      <c r="P68" s="732">
        <f>'Func Future Subs 2015'!P68</f>
        <v>0.9116809116809117</v>
      </c>
      <c r="Q68" s="732">
        <f>'Func Future Subs 2015'!Q68</f>
        <v>8.8319088319088315E-2</v>
      </c>
      <c r="R68" s="732">
        <f>'Func Future Subs 2015'!R68</f>
        <v>0</v>
      </c>
      <c r="S68" s="735">
        <f t="shared" ref="S68:S131" si="11">+P68*$O68</f>
        <v>0</v>
      </c>
      <c r="T68" s="735">
        <f t="shared" ref="T68:T131" si="12">+Q68*$O68</f>
        <v>0</v>
      </c>
      <c r="U68" s="735">
        <f t="shared" ref="U68:U131" si="13">+R68*$O68</f>
        <v>0</v>
      </c>
      <c r="V68" s="736">
        <f t="shared" ref="V68:V131" si="14">IF(AND(R68=1,D68=0),O68,0)</f>
        <v>0</v>
      </c>
      <c r="W68" s="735">
        <f t="shared" ref="W68:W131" si="15">S68+IF(D68&gt;144,U68,0)</f>
        <v>0</v>
      </c>
      <c r="X68" s="737">
        <f t="shared" ref="X68:X131" si="16">IF(AND(D68&lt;=144,D68&gt;=69),U68,0)</f>
        <v>0</v>
      </c>
      <c r="Y68" s="738">
        <f t="shared" ref="Y68:Y131" si="17">T68+IF(AND(D68&lt;69,D68&gt;0),U68,0)</f>
        <v>0</v>
      </c>
    </row>
    <row r="69" spans="1:25">
      <c r="A69" s="754" t="str">
        <f>'Func Future Subs 2015'!A69</f>
        <v>Development at Benalto 17S</v>
      </c>
      <c r="B69" s="754">
        <f>'Func Future Subs 2015'!B69</f>
        <v>813</v>
      </c>
      <c r="C69" s="754">
        <f>'Func Future Subs 2015'!C69</f>
        <v>240</v>
      </c>
      <c r="D69" s="754">
        <f>'Func Future Subs 2015'!D69</f>
        <v>25</v>
      </c>
      <c r="E69" s="754" t="str">
        <f>'Func Future Subs 2015'!E69</f>
        <v>17S</v>
      </c>
      <c r="F69" s="754">
        <f>'Func Future Subs 2015'!F69</f>
        <v>5892088.7617147239</v>
      </c>
      <c r="G69" s="754" t="str">
        <f>'Func Future Subs 2015'!G69</f>
        <v>AltaLink</v>
      </c>
      <c r="H69" s="754">
        <f>'Func Future Subs 2015'!H69</f>
        <v>2017</v>
      </c>
      <c r="I69" s="306">
        <f>+IF($H69=I$2,VLOOKUP($G69,Depreciation!$A$14:$L$18,7,FALSE)/2,IF($H69&lt;I$2,VLOOKUP($G69,Depreciation!$A$14:$L$18,7,FALSE),0))</f>
        <v>0</v>
      </c>
      <c r="J69" s="306">
        <f>+IF($H69=J$2,VLOOKUP($G69,Depreciation!$A$14:$L$18,8,FALSE)/2,IF($H69&lt;J$2,VLOOKUP($G69,Depreciation!$A$14:$L$18,8,FALSE),0))</f>
        <v>0</v>
      </c>
      <c r="K69" s="306">
        <f>+IF($H69=K$2,VLOOKUP($G69,Depreciation!$A$14:$L$18,9,FALSE)/2,IF($H69&lt;K$2,VLOOKUP($G69,Depreciation!$A$14:$L$18,9,FALSE),0))</f>
        <v>1.671703928371859E-2</v>
      </c>
      <c r="L69" s="306">
        <f>+IF($H69=L$2,VLOOKUP($G69,Depreciation!$A$14:$L$18,10,FALSE)/2,IF($H69&lt;L$2,VLOOKUP($G69,Depreciation!$A$14:$L$18,10,FALSE),0))</f>
        <v>3.343407856743718E-2</v>
      </c>
      <c r="M69" s="306">
        <f>+IF($H69=M$2,VLOOKUP($G69,Depreciation!$A$14:$L$18,11,FALSE)/2,IF($H69&lt;M$2,VLOOKUP($G69,Depreciation!$A$14:$L$18,11,FALSE),0))</f>
        <v>3.343407856743718E-2</v>
      </c>
      <c r="N69" s="306">
        <f>+IF($H69=N$2,VLOOKUP($G69,Depreciation!$A$14:$L$18,12,FALSE)/2,IF($H69&lt;N$2,VLOOKUP($G69,Depreciation!$A$14:$L$18,12,FALSE),0))</f>
        <v>3.343407856743718E-2</v>
      </c>
      <c r="O69" s="307">
        <f t="shared" si="10"/>
        <v>0</v>
      </c>
      <c r="P69" s="732">
        <f>'Func Future Subs 2015'!P69</f>
        <v>0</v>
      </c>
      <c r="Q69" s="732">
        <f>'Func Future Subs 2015'!Q69</f>
        <v>1</v>
      </c>
      <c r="R69" s="732">
        <f>'Func Future Subs 2015'!R69</f>
        <v>0</v>
      </c>
      <c r="S69" s="735">
        <f t="shared" si="11"/>
        <v>0</v>
      </c>
      <c r="T69" s="735">
        <f t="shared" si="12"/>
        <v>0</v>
      </c>
      <c r="U69" s="735">
        <f t="shared" si="13"/>
        <v>0</v>
      </c>
      <c r="V69" s="736">
        <f t="shared" si="14"/>
        <v>0</v>
      </c>
      <c r="W69" s="735">
        <f t="shared" si="15"/>
        <v>0</v>
      </c>
      <c r="X69" s="737">
        <f t="shared" si="16"/>
        <v>0</v>
      </c>
      <c r="Y69" s="738">
        <f t="shared" si="17"/>
        <v>0</v>
      </c>
    </row>
    <row r="70" spans="1:25">
      <c r="A70" s="754" t="str">
        <f>'Func Future Subs 2015'!A70</f>
        <v>Development at Benalto 17S (dev2)</v>
      </c>
      <c r="B70" s="754">
        <f>'Func Future Subs 2015'!B70</f>
        <v>813</v>
      </c>
      <c r="C70" s="754">
        <f>'Func Future Subs 2015'!C70</f>
        <v>240</v>
      </c>
      <c r="D70" s="754">
        <f>'Func Future Subs 2015'!D70</f>
        <v>25</v>
      </c>
      <c r="E70" s="754" t="str">
        <f>'Func Future Subs 2015'!E70</f>
        <v>17S</v>
      </c>
      <c r="F70" s="754">
        <f>'Func Future Subs 2015'!F70</f>
        <v>36791.145939886468</v>
      </c>
      <c r="G70" s="754" t="str">
        <f>'Func Future Subs 2015'!G70</f>
        <v>AltaLink</v>
      </c>
      <c r="H70" s="754">
        <f>'Func Future Subs 2015'!H70</f>
        <v>2017</v>
      </c>
      <c r="I70" s="306">
        <f>+IF($H70=I$2,VLOOKUP($G70,Depreciation!$A$14:$L$18,7,FALSE)/2,IF($H70&lt;I$2,VLOOKUP($G70,Depreciation!$A$14:$L$18,7,FALSE),0))</f>
        <v>0</v>
      </c>
      <c r="J70" s="306">
        <f>+IF($H70=J$2,VLOOKUP($G70,Depreciation!$A$14:$L$18,8,FALSE)/2,IF($H70&lt;J$2,VLOOKUP($G70,Depreciation!$A$14:$L$18,8,FALSE),0))</f>
        <v>0</v>
      </c>
      <c r="K70" s="306">
        <f>+IF($H70=K$2,VLOOKUP($G70,Depreciation!$A$14:$L$18,9,FALSE)/2,IF($H70&lt;K$2,VLOOKUP($G70,Depreciation!$A$14:$L$18,9,FALSE),0))</f>
        <v>1.671703928371859E-2</v>
      </c>
      <c r="L70" s="306">
        <f>+IF($H70=L$2,VLOOKUP($G70,Depreciation!$A$14:$L$18,10,FALSE)/2,IF($H70&lt;L$2,VLOOKUP($G70,Depreciation!$A$14:$L$18,10,FALSE),0))</f>
        <v>3.343407856743718E-2</v>
      </c>
      <c r="M70" s="306">
        <f>+IF($H70=M$2,VLOOKUP($G70,Depreciation!$A$14:$L$18,11,FALSE)/2,IF($H70&lt;M$2,VLOOKUP($G70,Depreciation!$A$14:$L$18,11,FALSE),0))</f>
        <v>3.343407856743718E-2</v>
      </c>
      <c r="N70" s="306">
        <f>+IF($H70=N$2,VLOOKUP($G70,Depreciation!$A$14:$L$18,12,FALSE)/2,IF($H70&lt;N$2,VLOOKUP($G70,Depreciation!$A$14:$L$18,12,FALSE),0))</f>
        <v>3.343407856743718E-2</v>
      </c>
      <c r="O70" s="307">
        <f t="shared" si="10"/>
        <v>0</v>
      </c>
      <c r="P70" s="732">
        <f>'Func Future Subs 2015'!P70</f>
        <v>0</v>
      </c>
      <c r="Q70" s="732">
        <f>'Func Future Subs 2015'!Q70</f>
        <v>1</v>
      </c>
      <c r="R70" s="732">
        <f>'Func Future Subs 2015'!R70</f>
        <v>0</v>
      </c>
      <c r="S70" s="735">
        <f t="shared" si="11"/>
        <v>0</v>
      </c>
      <c r="T70" s="735">
        <f t="shared" si="12"/>
        <v>0</v>
      </c>
      <c r="U70" s="735">
        <f t="shared" si="13"/>
        <v>0</v>
      </c>
      <c r="V70" s="736">
        <f t="shared" si="14"/>
        <v>0</v>
      </c>
      <c r="W70" s="735">
        <f t="shared" si="15"/>
        <v>0</v>
      </c>
      <c r="X70" s="737">
        <f t="shared" si="16"/>
        <v>0</v>
      </c>
      <c r="Y70" s="738">
        <f t="shared" si="17"/>
        <v>0</v>
      </c>
    </row>
    <row r="71" spans="1:25">
      <c r="A71" s="754" t="str">
        <f>'Func Future Subs 2015'!A71</f>
        <v>Development at Benalto 17S (dev21)</v>
      </c>
      <c r="B71" s="754">
        <f>'Func Future Subs 2015'!B71</f>
        <v>813</v>
      </c>
      <c r="C71" s="754">
        <f>'Func Future Subs 2015'!C71</f>
        <v>240</v>
      </c>
      <c r="D71" s="754">
        <f>'Func Future Subs 2015'!D71</f>
        <v>25</v>
      </c>
      <c r="E71" s="754" t="str">
        <f>'Func Future Subs 2015'!E71</f>
        <v>17S</v>
      </c>
      <c r="F71" s="754">
        <f>'Func Future Subs 2015'!F71</f>
        <v>350767.67769415543</v>
      </c>
      <c r="G71" s="754" t="str">
        <f>'Func Future Subs 2015'!G71</f>
        <v>AltaLink</v>
      </c>
      <c r="H71" s="754">
        <f>'Func Future Subs 2015'!H71</f>
        <v>2017</v>
      </c>
      <c r="I71" s="306">
        <f>+IF($H71=I$2,VLOOKUP($G71,Depreciation!$A$14:$L$18,7,FALSE)/2,IF($H71&lt;I$2,VLOOKUP($G71,Depreciation!$A$14:$L$18,7,FALSE),0))</f>
        <v>0</v>
      </c>
      <c r="J71" s="306">
        <f>+IF($H71=J$2,VLOOKUP($G71,Depreciation!$A$14:$L$18,8,FALSE)/2,IF($H71&lt;J$2,VLOOKUP($G71,Depreciation!$A$14:$L$18,8,FALSE),0))</f>
        <v>0</v>
      </c>
      <c r="K71" s="306">
        <f>+IF($H71=K$2,VLOOKUP($G71,Depreciation!$A$14:$L$18,9,FALSE)/2,IF($H71&lt;K$2,VLOOKUP($G71,Depreciation!$A$14:$L$18,9,FALSE),0))</f>
        <v>1.671703928371859E-2</v>
      </c>
      <c r="L71" s="306">
        <f>+IF($H71=L$2,VLOOKUP($G71,Depreciation!$A$14:$L$18,10,FALSE)/2,IF($H71&lt;L$2,VLOOKUP($G71,Depreciation!$A$14:$L$18,10,FALSE),0))</f>
        <v>3.343407856743718E-2</v>
      </c>
      <c r="M71" s="306">
        <f>+IF($H71=M$2,VLOOKUP($G71,Depreciation!$A$14:$L$18,11,FALSE)/2,IF($H71&lt;M$2,VLOOKUP($G71,Depreciation!$A$14:$L$18,11,FALSE),0))</f>
        <v>3.343407856743718E-2</v>
      </c>
      <c r="N71" s="306">
        <f>+IF($H71=N$2,VLOOKUP($G71,Depreciation!$A$14:$L$18,12,FALSE)/2,IF($H71&lt;N$2,VLOOKUP($G71,Depreciation!$A$14:$L$18,12,FALSE),0))</f>
        <v>3.343407856743718E-2</v>
      </c>
      <c r="O71" s="307">
        <f t="shared" si="10"/>
        <v>0</v>
      </c>
      <c r="P71" s="732">
        <f>'Func Future Subs 2015'!P71</f>
        <v>0</v>
      </c>
      <c r="Q71" s="732">
        <f>'Func Future Subs 2015'!Q71</f>
        <v>1</v>
      </c>
      <c r="R71" s="732">
        <f>'Func Future Subs 2015'!R71</f>
        <v>0</v>
      </c>
      <c r="S71" s="735">
        <f t="shared" si="11"/>
        <v>0</v>
      </c>
      <c r="T71" s="735">
        <f t="shared" si="12"/>
        <v>0</v>
      </c>
      <c r="U71" s="735">
        <f t="shared" si="13"/>
        <v>0</v>
      </c>
      <c r="V71" s="736">
        <f t="shared" si="14"/>
        <v>0</v>
      </c>
      <c r="W71" s="735">
        <f t="shared" si="15"/>
        <v>0</v>
      </c>
      <c r="X71" s="737">
        <f t="shared" si="16"/>
        <v>0</v>
      </c>
      <c r="Y71" s="738">
        <f t="shared" si="17"/>
        <v>0</v>
      </c>
    </row>
    <row r="72" spans="1:25">
      <c r="A72" s="754" t="str">
        <f>'Func Future Subs 2015'!A72</f>
        <v>Development at Didsbury 152S</v>
      </c>
      <c r="B72" s="754">
        <f>'Func Future Subs 2015'!B72</f>
        <v>813</v>
      </c>
      <c r="C72" s="754">
        <f>'Func Future Subs 2015'!C72</f>
        <v>240</v>
      </c>
      <c r="D72" s="754">
        <f>'Func Future Subs 2015'!D72</f>
        <v>0</v>
      </c>
      <c r="E72" s="754" t="str">
        <f>'Func Future Subs 2015'!E72</f>
        <v>152S</v>
      </c>
      <c r="F72" s="754">
        <f>'Func Future Subs 2015'!F72</f>
        <v>447651.4772203879</v>
      </c>
      <c r="G72" s="754" t="str">
        <f>'Func Future Subs 2015'!G72</f>
        <v>AltaLink</v>
      </c>
      <c r="H72" s="754">
        <f>'Func Future Subs 2015'!H72</f>
        <v>2017</v>
      </c>
      <c r="I72" s="306">
        <f>+IF($H72=I$2,VLOOKUP($G72,Depreciation!$A$14:$L$18,7,FALSE)/2,IF($H72&lt;I$2,VLOOKUP($G72,Depreciation!$A$14:$L$18,7,FALSE),0))</f>
        <v>0</v>
      </c>
      <c r="J72" s="306">
        <f>+IF($H72=J$2,VLOOKUP($G72,Depreciation!$A$14:$L$18,8,FALSE)/2,IF($H72&lt;J$2,VLOOKUP($G72,Depreciation!$A$14:$L$18,8,FALSE),0))</f>
        <v>0</v>
      </c>
      <c r="K72" s="306">
        <f>+IF($H72=K$2,VLOOKUP($G72,Depreciation!$A$14:$L$18,9,FALSE)/2,IF($H72&lt;K$2,VLOOKUP($G72,Depreciation!$A$14:$L$18,9,FALSE),0))</f>
        <v>1.671703928371859E-2</v>
      </c>
      <c r="L72" s="306">
        <f>+IF($H72=L$2,VLOOKUP($G72,Depreciation!$A$14:$L$18,10,FALSE)/2,IF($H72&lt;L$2,VLOOKUP($G72,Depreciation!$A$14:$L$18,10,FALSE),0))</f>
        <v>3.343407856743718E-2</v>
      </c>
      <c r="M72" s="306">
        <f>+IF($H72=M$2,VLOOKUP($G72,Depreciation!$A$14:$L$18,11,FALSE)/2,IF($H72&lt;M$2,VLOOKUP($G72,Depreciation!$A$14:$L$18,11,FALSE),0))</f>
        <v>3.343407856743718E-2</v>
      </c>
      <c r="N72" s="306">
        <f>+IF($H72=N$2,VLOOKUP($G72,Depreciation!$A$14:$L$18,12,FALSE)/2,IF($H72&lt;N$2,VLOOKUP($G72,Depreciation!$A$14:$L$18,12,FALSE),0))</f>
        <v>3.343407856743718E-2</v>
      </c>
      <c r="O72" s="307">
        <f t="shared" si="10"/>
        <v>0</v>
      </c>
      <c r="P72" s="732">
        <f>'Func Future Subs 2015'!P72</f>
        <v>0</v>
      </c>
      <c r="Q72" s="732">
        <f>'Func Future Subs 2015'!Q72</f>
        <v>0</v>
      </c>
      <c r="R72" s="732">
        <f>'Func Future Subs 2015'!R72</f>
        <v>1</v>
      </c>
      <c r="S72" s="735">
        <f t="shared" si="11"/>
        <v>0</v>
      </c>
      <c r="T72" s="735">
        <f t="shared" si="12"/>
        <v>0</v>
      </c>
      <c r="U72" s="735">
        <f t="shared" si="13"/>
        <v>0</v>
      </c>
      <c r="V72" s="736">
        <f t="shared" si="14"/>
        <v>0</v>
      </c>
      <c r="W72" s="735">
        <f t="shared" si="15"/>
        <v>0</v>
      </c>
      <c r="X72" s="737">
        <f t="shared" si="16"/>
        <v>0</v>
      </c>
      <c r="Y72" s="738">
        <f t="shared" si="17"/>
        <v>0</v>
      </c>
    </row>
    <row r="73" spans="1:25">
      <c r="A73" s="754" t="str">
        <f>'Func Future Subs 2015'!A73</f>
        <v>Development at Ellis 332S</v>
      </c>
      <c r="B73" s="754">
        <f>'Func Future Subs 2015'!B73</f>
        <v>813</v>
      </c>
      <c r="C73" s="754">
        <f>'Func Future Subs 2015'!C73</f>
        <v>138</v>
      </c>
      <c r="D73" s="754">
        <f>'Func Future Subs 2015'!D73</f>
        <v>25</v>
      </c>
      <c r="E73" s="754" t="str">
        <f>'Func Future Subs 2015'!E73</f>
        <v>332S</v>
      </c>
      <c r="F73" s="754">
        <f>'Func Future Subs 2015'!F73</f>
        <v>3030739.6252496969</v>
      </c>
      <c r="G73" s="754" t="str">
        <f>'Func Future Subs 2015'!G73</f>
        <v>AltaLink</v>
      </c>
      <c r="H73" s="754">
        <f>'Func Future Subs 2015'!H73</f>
        <v>2017</v>
      </c>
      <c r="I73" s="306">
        <f>+IF($H73=I$2,VLOOKUP($G73,Depreciation!$A$14:$L$18,7,FALSE)/2,IF($H73&lt;I$2,VLOOKUP($G73,Depreciation!$A$14:$L$18,7,FALSE),0))</f>
        <v>0</v>
      </c>
      <c r="J73" s="306">
        <f>+IF($H73=J$2,VLOOKUP($G73,Depreciation!$A$14:$L$18,8,FALSE)/2,IF($H73&lt;J$2,VLOOKUP($G73,Depreciation!$A$14:$L$18,8,FALSE),0))</f>
        <v>0</v>
      </c>
      <c r="K73" s="306">
        <f>+IF($H73=K$2,VLOOKUP($G73,Depreciation!$A$14:$L$18,9,FALSE)/2,IF($H73&lt;K$2,VLOOKUP($G73,Depreciation!$A$14:$L$18,9,FALSE),0))</f>
        <v>1.671703928371859E-2</v>
      </c>
      <c r="L73" s="306">
        <f>+IF($H73=L$2,VLOOKUP($G73,Depreciation!$A$14:$L$18,10,FALSE)/2,IF($H73&lt;L$2,VLOOKUP($G73,Depreciation!$A$14:$L$18,10,FALSE),0))</f>
        <v>3.343407856743718E-2</v>
      </c>
      <c r="M73" s="306">
        <f>+IF($H73=M$2,VLOOKUP($G73,Depreciation!$A$14:$L$18,11,FALSE)/2,IF($H73&lt;M$2,VLOOKUP($G73,Depreciation!$A$14:$L$18,11,FALSE),0))</f>
        <v>3.343407856743718E-2</v>
      </c>
      <c r="N73" s="306">
        <f>+IF($H73=N$2,VLOOKUP($G73,Depreciation!$A$14:$L$18,12,FALSE)/2,IF($H73&lt;N$2,VLOOKUP($G73,Depreciation!$A$14:$L$18,12,FALSE),0))</f>
        <v>3.343407856743718E-2</v>
      </c>
      <c r="O73" s="307">
        <f t="shared" si="10"/>
        <v>0</v>
      </c>
      <c r="P73" s="732">
        <f>'Func Future Subs 2015'!P73</f>
        <v>0</v>
      </c>
      <c r="Q73" s="732">
        <f>'Func Future Subs 2015'!Q73</f>
        <v>1</v>
      </c>
      <c r="R73" s="732">
        <f>'Func Future Subs 2015'!R73</f>
        <v>0</v>
      </c>
      <c r="S73" s="735">
        <f t="shared" si="11"/>
        <v>0</v>
      </c>
      <c r="T73" s="735">
        <f t="shared" si="12"/>
        <v>0</v>
      </c>
      <c r="U73" s="735">
        <f t="shared" si="13"/>
        <v>0</v>
      </c>
      <c r="V73" s="736">
        <f t="shared" si="14"/>
        <v>0</v>
      </c>
      <c r="W73" s="735">
        <f t="shared" si="15"/>
        <v>0</v>
      </c>
      <c r="X73" s="737">
        <f t="shared" si="16"/>
        <v>0</v>
      </c>
      <c r="Y73" s="738">
        <f t="shared" si="17"/>
        <v>0</v>
      </c>
    </row>
    <row r="74" spans="1:25">
      <c r="A74" s="754" t="str">
        <f>'Func Future Subs 2015'!A74</f>
        <v>Development at Ellis 332S (dev3)</v>
      </c>
      <c r="B74" s="754">
        <f>'Func Future Subs 2015'!B74</f>
        <v>813</v>
      </c>
      <c r="C74" s="754">
        <f>'Func Future Subs 2015'!C74</f>
        <v>138</v>
      </c>
      <c r="D74" s="754">
        <f>'Func Future Subs 2015'!D74</f>
        <v>25</v>
      </c>
      <c r="E74" s="754" t="str">
        <f>'Func Future Subs 2015'!E74</f>
        <v>332S</v>
      </c>
      <c r="F74" s="754">
        <f>'Func Future Subs 2015'!F74</f>
        <v>2498374.023488957</v>
      </c>
      <c r="G74" s="754" t="str">
        <f>'Func Future Subs 2015'!G74</f>
        <v>AltaLink</v>
      </c>
      <c r="H74" s="754">
        <f>'Func Future Subs 2015'!H74</f>
        <v>2017</v>
      </c>
      <c r="I74" s="306">
        <f>+IF($H74=I$2,VLOOKUP($G74,Depreciation!$A$14:$L$18,7,FALSE)/2,IF($H74&lt;I$2,VLOOKUP($G74,Depreciation!$A$14:$L$18,7,FALSE),0))</f>
        <v>0</v>
      </c>
      <c r="J74" s="306">
        <f>+IF($H74=J$2,VLOOKUP($G74,Depreciation!$A$14:$L$18,8,FALSE)/2,IF($H74&lt;J$2,VLOOKUP($G74,Depreciation!$A$14:$L$18,8,FALSE),0))</f>
        <v>0</v>
      </c>
      <c r="K74" s="306">
        <f>+IF($H74=K$2,VLOOKUP($G74,Depreciation!$A$14:$L$18,9,FALSE)/2,IF($H74&lt;K$2,VLOOKUP($G74,Depreciation!$A$14:$L$18,9,FALSE),0))</f>
        <v>1.671703928371859E-2</v>
      </c>
      <c r="L74" s="306">
        <f>+IF($H74=L$2,VLOOKUP($G74,Depreciation!$A$14:$L$18,10,FALSE)/2,IF($H74&lt;L$2,VLOOKUP($G74,Depreciation!$A$14:$L$18,10,FALSE),0))</f>
        <v>3.343407856743718E-2</v>
      </c>
      <c r="M74" s="306">
        <f>+IF($H74=M$2,VLOOKUP($G74,Depreciation!$A$14:$L$18,11,FALSE)/2,IF($H74&lt;M$2,VLOOKUP($G74,Depreciation!$A$14:$L$18,11,FALSE),0))</f>
        <v>3.343407856743718E-2</v>
      </c>
      <c r="N74" s="306">
        <f>+IF($H74=N$2,VLOOKUP($G74,Depreciation!$A$14:$L$18,12,FALSE)/2,IF($H74&lt;N$2,VLOOKUP($G74,Depreciation!$A$14:$L$18,12,FALSE),0))</f>
        <v>3.343407856743718E-2</v>
      </c>
      <c r="O74" s="307">
        <f t="shared" si="10"/>
        <v>0</v>
      </c>
      <c r="P74" s="732">
        <f>'Func Future Subs 2015'!P74</f>
        <v>0</v>
      </c>
      <c r="Q74" s="732">
        <f>'Func Future Subs 2015'!Q74</f>
        <v>1</v>
      </c>
      <c r="R74" s="732">
        <f>'Func Future Subs 2015'!R74</f>
        <v>0</v>
      </c>
      <c r="S74" s="735">
        <f t="shared" si="11"/>
        <v>0</v>
      </c>
      <c r="T74" s="735">
        <f t="shared" si="12"/>
        <v>0</v>
      </c>
      <c r="U74" s="735">
        <f t="shared" si="13"/>
        <v>0</v>
      </c>
      <c r="V74" s="736">
        <f t="shared" si="14"/>
        <v>0</v>
      </c>
      <c r="W74" s="735">
        <f t="shared" si="15"/>
        <v>0</v>
      </c>
      <c r="X74" s="737">
        <f t="shared" si="16"/>
        <v>0</v>
      </c>
      <c r="Y74" s="738">
        <f t="shared" si="17"/>
        <v>0</v>
      </c>
    </row>
    <row r="75" spans="1:25">
      <c r="A75" s="754" t="str">
        <f>'Func Future Subs 2015'!A75</f>
        <v>Development at Harmattan 256S</v>
      </c>
      <c r="B75" s="754">
        <f>'Func Future Subs 2015'!B75</f>
        <v>813</v>
      </c>
      <c r="C75" s="754">
        <f>'Func Future Subs 2015'!C75</f>
        <v>138</v>
      </c>
      <c r="D75" s="754">
        <f>'Func Future Subs 2015'!D75</f>
        <v>25</v>
      </c>
      <c r="E75" s="754" t="str">
        <f>'Func Future Subs 2015'!E75</f>
        <v>256S</v>
      </c>
      <c r="F75" s="754">
        <f>'Func Future Subs 2015'!F75</f>
        <v>446170.86016879894</v>
      </c>
      <c r="G75" s="754" t="str">
        <f>'Func Future Subs 2015'!G75</f>
        <v>AltaLink</v>
      </c>
      <c r="H75" s="754">
        <f>'Func Future Subs 2015'!H75</f>
        <v>2017</v>
      </c>
      <c r="I75" s="306">
        <f>+IF($H75=I$2,VLOOKUP($G75,Depreciation!$A$14:$L$18,7,FALSE)/2,IF($H75&lt;I$2,VLOOKUP($G75,Depreciation!$A$14:$L$18,7,FALSE),0))</f>
        <v>0</v>
      </c>
      <c r="J75" s="306">
        <f>+IF($H75=J$2,VLOOKUP($G75,Depreciation!$A$14:$L$18,8,FALSE)/2,IF($H75&lt;J$2,VLOOKUP($G75,Depreciation!$A$14:$L$18,8,FALSE),0))</f>
        <v>0</v>
      </c>
      <c r="K75" s="306">
        <f>+IF($H75=K$2,VLOOKUP($G75,Depreciation!$A$14:$L$18,9,FALSE)/2,IF($H75&lt;K$2,VLOOKUP($G75,Depreciation!$A$14:$L$18,9,FALSE),0))</f>
        <v>1.671703928371859E-2</v>
      </c>
      <c r="L75" s="306">
        <f>+IF($H75=L$2,VLOOKUP($G75,Depreciation!$A$14:$L$18,10,FALSE)/2,IF($H75&lt;L$2,VLOOKUP($G75,Depreciation!$A$14:$L$18,10,FALSE),0))</f>
        <v>3.343407856743718E-2</v>
      </c>
      <c r="M75" s="306">
        <f>+IF($H75=M$2,VLOOKUP($G75,Depreciation!$A$14:$L$18,11,FALSE)/2,IF($H75&lt;M$2,VLOOKUP($G75,Depreciation!$A$14:$L$18,11,FALSE),0))</f>
        <v>3.343407856743718E-2</v>
      </c>
      <c r="N75" s="306">
        <f>+IF($H75=N$2,VLOOKUP($G75,Depreciation!$A$14:$L$18,12,FALSE)/2,IF($H75&lt;N$2,VLOOKUP($G75,Depreciation!$A$14:$L$18,12,FALSE),0))</f>
        <v>3.343407856743718E-2</v>
      </c>
      <c r="O75" s="307">
        <f t="shared" si="10"/>
        <v>0</v>
      </c>
      <c r="P75" s="732">
        <f>'Func Future Subs 2015'!P75</f>
        <v>0.54510993176648981</v>
      </c>
      <c r="Q75" s="732">
        <f>'Func Future Subs 2015'!Q75</f>
        <v>0.45489006823351025</v>
      </c>
      <c r="R75" s="732">
        <f>'Func Future Subs 2015'!R75</f>
        <v>0</v>
      </c>
      <c r="S75" s="735">
        <f t="shared" si="11"/>
        <v>0</v>
      </c>
      <c r="T75" s="735">
        <f t="shared" si="12"/>
        <v>0</v>
      </c>
      <c r="U75" s="735">
        <f t="shared" si="13"/>
        <v>0</v>
      </c>
      <c r="V75" s="736">
        <f t="shared" si="14"/>
        <v>0</v>
      </c>
      <c r="W75" s="735">
        <f t="shared" si="15"/>
        <v>0</v>
      </c>
      <c r="X75" s="737">
        <f t="shared" si="16"/>
        <v>0</v>
      </c>
      <c r="Y75" s="738">
        <f t="shared" si="17"/>
        <v>0</v>
      </c>
    </row>
    <row r="76" spans="1:25">
      <c r="A76" s="754" t="str">
        <f>'Func Future Subs 2015'!A76</f>
        <v>Development at Innisfail 214S</v>
      </c>
      <c r="B76" s="754">
        <f>'Func Future Subs 2015'!B76</f>
        <v>813</v>
      </c>
      <c r="C76" s="754">
        <f>'Func Future Subs 2015'!C76</f>
        <v>240</v>
      </c>
      <c r="D76" s="754">
        <f>'Func Future Subs 2015'!D76</f>
        <v>25</v>
      </c>
      <c r="E76" s="754" t="str">
        <f>'Func Future Subs 2015'!E76</f>
        <v>214S</v>
      </c>
      <c r="F76" s="754">
        <f>'Func Future Subs 2015'!F76</f>
        <v>3173918.3394682109</v>
      </c>
      <c r="G76" s="754" t="str">
        <f>'Func Future Subs 2015'!G76</f>
        <v>AltaLink</v>
      </c>
      <c r="H76" s="754">
        <f>'Func Future Subs 2015'!H76</f>
        <v>2017</v>
      </c>
      <c r="I76" s="306">
        <f>+IF($H76=I$2,VLOOKUP($G76,Depreciation!$A$14:$L$18,7,FALSE)/2,IF($H76&lt;I$2,VLOOKUP($G76,Depreciation!$A$14:$L$18,7,FALSE),0))</f>
        <v>0</v>
      </c>
      <c r="J76" s="306">
        <f>+IF($H76=J$2,VLOOKUP($G76,Depreciation!$A$14:$L$18,8,FALSE)/2,IF($H76&lt;J$2,VLOOKUP($G76,Depreciation!$A$14:$L$18,8,FALSE),0))</f>
        <v>0</v>
      </c>
      <c r="K76" s="306">
        <f>+IF($H76=K$2,VLOOKUP($G76,Depreciation!$A$14:$L$18,9,FALSE)/2,IF($H76&lt;K$2,VLOOKUP($G76,Depreciation!$A$14:$L$18,9,FALSE),0))</f>
        <v>1.671703928371859E-2</v>
      </c>
      <c r="L76" s="306">
        <f>+IF($H76=L$2,VLOOKUP($G76,Depreciation!$A$14:$L$18,10,FALSE)/2,IF($H76&lt;L$2,VLOOKUP($G76,Depreciation!$A$14:$L$18,10,FALSE),0))</f>
        <v>3.343407856743718E-2</v>
      </c>
      <c r="M76" s="306">
        <f>+IF($H76=M$2,VLOOKUP($G76,Depreciation!$A$14:$L$18,11,FALSE)/2,IF($H76&lt;M$2,VLOOKUP($G76,Depreciation!$A$14:$L$18,11,FALSE),0))</f>
        <v>3.343407856743718E-2</v>
      </c>
      <c r="N76" s="306">
        <f>+IF($H76=N$2,VLOOKUP($G76,Depreciation!$A$14:$L$18,12,FALSE)/2,IF($H76&lt;N$2,VLOOKUP($G76,Depreciation!$A$14:$L$18,12,FALSE),0))</f>
        <v>3.343407856743718E-2</v>
      </c>
      <c r="O76" s="307">
        <f t="shared" si="10"/>
        <v>0</v>
      </c>
      <c r="P76" s="732">
        <f>'Func Future Subs 2015'!P76</f>
        <v>0</v>
      </c>
      <c r="Q76" s="732">
        <f>'Func Future Subs 2015'!Q76</f>
        <v>1</v>
      </c>
      <c r="R76" s="732">
        <f>'Func Future Subs 2015'!R76</f>
        <v>0</v>
      </c>
      <c r="S76" s="735">
        <f t="shared" si="11"/>
        <v>0</v>
      </c>
      <c r="T76" s="735">
        <f t="shared" si="12"/>
        <v>0</v>
      </c>
      <c r="U76" s="735">
        <f t="shared" si="13"/>
        <v>0</v>
      </c>
      <c r="V76" s="736">
        <f t="shared" si="14"/>
        <v>0</v>
      </c>
      <c r="W76" s="735">
        <f t="shared" si="15"/>
        <v>0</v>
      </c>
      <c r="X76" s="737">
        <f t="shared" si="16"/>
        <v>0</v>
      </c>
      <c r="Y76" s="738">
        <f t="shared" si="17"/>
        <v>0</v>
      </c>
    </row>
    <row r="77" spans="1:25">
      <c r="A77" s="754" t="str">
        <f>'Func Future Subs 2015'!A77</f>
        <v>Development at Piper Creek 247S</v>
      </c>
      <c r="B77" s="754">
        <f>'Func Future Subs 2015'!B77</f>
        <v>813</v>
      </c>
      <c r="C77" s="754">
        <f>'Func Future Subs 2015'!C77</f>
        <v>138</v>
      </c>
      <c r="D77" s="754">
        <f>'Func Future Subs 2015'!D77</f>
        <v>138</v>
      </c>
      <c r="E77" s="754" t="str">
        <f>'Func Future Subs 2015'!E77</f>
        <v>247S</v>
      </c>
      <c r="F77" s="754">
        <f>'Func Future Subs 2015'!F77</f>
        <v>624990.21387200279</v>
      </c>
      <c r="G77" s="754" t="str">
        <f>'Func Future Subs 2015'!G77</f>
        <v>AltaLink</v>
      </c>
      <c r="H77" s="754">
        <f>'Func Future Subs 2015'!H77</f>
        <v>2017</v>
      </c>
      <c r="I77" s="306">
        <f>+IF($H77=I$2,VLOOKUP($G77,Depreciation!$A$14:$L$18,7,FALSE)/2,IF($H77&lt;I$2,VLOOKUP($G77,Depreciation!$A$14:$L$18,7,FALSE),0))</f>
        <v>0</v>
      </c>
      <c r="J77" s="306">
        <f>+IF($H77=J$2,VLOOKUP($G77,Depreciation!$A$14:$L$18,8,FALSE)/2,IF($H77&lt;J$2,VLOOKUP($G77,Depreciation!$A$14:$L$18,8,FALSE),0))</f>
        <v>0</v>
      </c>
      <c r="K77" s="306">
        <f>+IF($H77=K$2,VLOOKUP($G77,Depreciation!$A$14:$L$18,9,FALSE)/2,IF($H77&lt;K$2,VLOOKUP($G77,Depreciation!$A$14:$L$18,9,FALSE),0))</f>
        <v>1.671703928371859E-2</v>
      </c>
      <c r="L77" s="306">
        <f>+IF($H77=L$2,VLOOKUP($G77,Depreciation!$A$14:$L$18,10,FALSE)/2,IF($H77&lt;L$2,VLOOKUP($G77,Depreciation!$A$14:$L$18,10,FALSE),0))</f>
        <v>3.343407856743718E-2</v>
      </c>
      <c r="M77" s="306">
        <f>+IF($H77=M$2,VLOOKUP($G77,Depreciation!$A$14:$L$18,11,FALSE)/2,IF($H77&lt;M$2,VLOOKUP($G77,Depreciation!$A$14:$L$18,11,FALSE),0))</f>
        <v>3.343407856743718E-2</v>
      </c>
      <c r="N77" s="306">
        <f>+IF($H77=N$2,VLOOKUP($G77,Depreciation!$A$14:$L$18,12,FALSE)/2,IF($H77&lt;N$2,VLOOKUP($G77,Depreciation!$A$14:$L$18,12,FALSE),0))</f>
        <v>3.343407856743718E-2</v>
      </c>
      <c r="O77" s="307">
        <f t="shared" si="10"/>
        <v>0</v>
      </c>
      <c r="P77" s="732">
        <f>'Func Future Subs 2015'!P77</f>
        <v>0</v>
      </c>
      <c r="Q77" s="732">
        <f>'Func Future Subs 2015'!Q77</f>
        <v>0</v>
      </c>
      <c r="R77" s="732">
        <f>'Func Future Subs 2015'!R77</f>
        <v>1</v>
      </c>
      <c r="S77" s="735">
        <f t="shared" si="11"/>
        <v>0</v>
      </c>
      <c r="T77" s="735">
        <f t="shared" si="12"/>
        <v>0</v>
      </c>
      <c r="U77" s="735">
        <f t="shared" si="13"/>
        <v>0</v>
      </c>
      <c r="V77" s="736">
        <f t="shared" si="14"/>
        <v>0</v>
      </c>
      <c r="W77" s="735">
        <f t="shared" si="15"/>
        <v>0</v>
      </c>
      <c r="X77" s="737">
        <f t="shared" si="16"/>
        <v>0</v>
      </c>
      <c r="Y77" s="738">
        <f t="shared" si="17"/>
        <v>0</v>
      </c>
    </row>
    <row r="78" spans="1:25">
      <c r="A78" s="754" t="str">
        <f>'Func Future Subs 2015'!A78</f>
        <v>Development at Ponoka 331S</v>
      </c>
      <c r="B78" s="754">
        <f>'Func Future Subs 2015'!B78</f>
        <v>813</v>
      </c>
      <c r="C78" s="754">
        <f>'Func Future Subs 2015'!C78</f>
        <v>138</v>
      </c>
      <c r="D78" s="754">
        <f>'Func Future Subs 2015'!D78</f>
        <v>25</v>
      </c>
      <c r="E78" s="754" t="str">
        <f>'Func Future Subs 2015'!E78</f>
        <v>331S</v>
      </c>
      <c r="F78" s="754">
        <f>'Func Future Subs 2015'!F78</f>
        <v>3065380.5529317935</v>
      </c>
      <c r="G78" s="754" t="str">
        <f>'Func Future Subs 2015'!G78</f>
        <v>AltaLink</v>
      </c>
      <c r="H78" s="754">
        <f>'Func Future Subs 2015'!H78</f>
        <v>2017</v>
      </c>
      <c r="I78" s="306">
        <f>+IF($H78=I$2,VLOOKUP($G78,Depreciation!$A$14:$L$18,7,FALSE)/2,IF($H78&lt;I$2,VLOOKUP($G78,Depreciation!$A$14:$L$18,7,FALSE),0))</f>
        <v>0</v>
      </c>
      <c r="J78" s="306">
        <f>+IF($H78=J$2,VLOOKUP($G78,Depreciation!$A$14:$L$18,8,FALSE)/2,IF($H78&lt;J$2,VLOOKUP($G78,Depreciation!$A$14:$L$18,8,FALSE),0))</f>
        <v>0</v>
      </c>
      <c r="K78" s="306">
        <f>+IF($H78=K$2,VLOOKUP($G78,Depreciation!$A$14:$L$18,9,FALSE)/2,IF($H78&lt;K$2,VLOOKUP($G78,Depreciation!$A$14:$L$18,9,FALSE),0))</f>
        <v>1.671703928371859E-2</v>
      </c>
      <c r="L78" s="306">
        <f>+IF($H78=L$2,VLOOKUP($G78,Depreciation!$A$14:$L$18,10,FALSE)/2,IF($H78&lt;L$2,VLOOKUP($G78,Depreciation!$A$14:$L$18,10,FALSE),0))</f>
        <v>3.343407856743718E-2</v>
      </c>
      <c r="M78" s="306">
        <f>+IF($H78=M$2,VLOOKUP($G78,Depreciation!$A$14:$L$18,11,FALSE)/2,IF($H78&lt;M$2,VLOOKUP($G78,Depreciation!$A$14:$L$18,11,FALSE),0))</f>
        <v>3.343407856743718E-2</v>
      </c>
      <c r="N78" s="306">
        <f>+IF($H78=N$2,VLOOKUP($G78,Depreciation!$A$14:$L$18,12,FALSE)/2,IF($H78&lt;N$2,VLOOKUP($G78,Depreciation!$A$14:$L$18,12,FALSE),0))</f>
        <v>3.343407856743718E-2</v>
      </c>
      <c r="O78" s="307">
        <f t="shared" si="10"/>
        <v>0</v>
      </c>
      <c r="P78" s="732">
        <f>'Func Future Subs 2015'!P78</f>
        <v>0</v>
      </c>
      <c r="Q78" s="732">
        <f>'Func Future Subs 2015'!Q78</f>
        <v>1</v>
      </c>
      <c r="R78" s="732">
        <f>'Func Future Subs 2015'!R78</f>
        <v>0</v>
      </c>
      <c r="S78" s="735">
        <f t="shared" si="11"/>
        <v>0</v>
      </c>
      <c r="T78" s="735">
        <f t="shared" si="12"/>
        <v>0</v>
      </c>
      <c r="U78" s="735">
        <f t="shared" si="13"/>
        <v>0</v>
      </c>
      <c r="V78" s="736">
        <f t="shared" si="14"/>
        <v>0</v>
      </c>
      <c r="W78" s="735">
        <f t="shared" si="15"/>
        <v>0</v>
      </c>
      <c r="X78" s="737">
        <f t="shared" si="16"/>
        <v>0</v>
      </c>
      <c r="Y78" s="738">
        <f t="shared" si="17"/>
        <v>0</v>
      </c>
    </row>
    <row r="79" spans="1:25">
      <c r="A79" s="754" t="str">
        <f>'Func Future Subs 2015'!A79</f>
        <v>Development at Prentiss 276S</v>
      </c>
      <c r="B79" s="754">
        <f>'Func Future Subs 2015'!B79</f>
        <v>813</v>
      </c>
      <c r="C79" s="754">
        <f>'Func Future Subs 2015'!C79</f>
        <v>138</v>
      </c>
      <c r="D79" s="754">
        <f>'Func Future Subs 2015'!D79</f>
        <v>25</v>
      </c>
      <c r="E79" s="754" t="str">
        <f>'Func Future Subs 2015'!E79</f>
        <v>276S</v>
      </c>
      <c r="F79" s="754">
        <f>'Func Future Subs 2015'!F79</f>
        <v>3186555.949000001</v>
      </c>
      <c r="G79" s="754" t="str">
        <f>'Func Future Subs 2015'!G79</f>
        <v>AltaLink</v>
      </c>
      <c r="H79" s="754">
        <f>'Func Future Subs 2015'!H79</f>
        <v>2017</v>
      </c>
      <c r="I79" s="306">
        <f>+IF($H79=I$2,VLOOKUP($G79,Depreciation!$A$14:$L$18,7,FALSE)/2,IF($H79&lt;I$2,VLOOKUP($G79,Depreciation!$A$14:$L$18,7,FALSE),0))</f>
        <v>0</v>
      </c>
      <c r="J79" s="306">
        <f>+IF($H79=J$2,VLOOKUP($G79,Depreciation!$A$14:$L$18,8,FALSE)/2,IF($H79&lt;J$2,VLOOKUP($G79,Depreciation!$A$14:$L$18,8,FALSE),0))</f>
        <v>0</v>
      </c>
      <c r="K79" s="306">
        <f>+IF($H79=K$2,VLOOKUP($G79,Depreciation!$A$14:$L$18,9,FALSE)/2,IF($H79&lt;K$2,VLOOKUP($G79,Depreciation!$A$14:$L$18,9,FALSE),0))</f>
        <v>1.671703928371859E-2</v>
      </c>
      <c r="L79" s="306">
        <f>+IF($H79=L$2,VLOOKUP($G79,Depreciation!$A$14:$L$18,10,FALSE)/2,IF($H79&lt;L$2,VLOOKUP($G79,Depreciation!$A$14:$L$18,10,FALSE),0))</f>
        <v>3.343407856743718E-2</v>
      </c>
      <c r="M79" s="306">
        <f>+IF($H79=M$2,VLOOKUP($G79,Depreciation!$A$14:$L$18,11,FALSE)/2,IF($H79&lt;M$2,VLOOKUP($G79,Depreciation!$A$14:$L$18,11,FALSE),0))</f>
        <v>3.343407856743718E-2</v>
      </c>
      <c r="N79" s="306">
        <f>+IF($H79=N$2,VLOOKUP($G79,Depreciation!$A$14:$L$18,12,FALSE)/2,IF($H79&lt;N$2,VLOOKUP($G79,Depreciation!$A$14:$L$18,12,FALSE),0))</f>
        <v>3.343407856743718E-2</v>
      </c>
      <c r="O79" s="307">
        <f t="shared" si="10"/>
        <v>0</v>
      </c>
      <c r="P79" s="732">
        <f>'Func Future Subs 2015'!P79</f>
        <v>0</v>
      </c>
      <c r="Q79" s="732">
        <f>'Func Future Subs 2015'!Q79</f>
        <v>0</v>
      </c>
      <c r="R79" s="732">
        <f>'Func Future Subs 2015'!R79</f>
        <v>1</v>
      </c>
      <c r="S79" s="735">
        <f t="shared" si="11"/>
        <v>0</v>
      </c>
      <c r="T79" s="735">
        <f t="shared" si="12"/>
        <v>0</v>
      </c>
      <c r="U79" s="735">
        <f t="shared" si="13"/>
        <v>0</v>
      </c>
      <c r="V79" s="736">
        <f t="shared" si="14"/>
        <v>0</v>
      </c>
      <c r="W79" s="735">
        <f t="shared" si="15"/>
        <v>0</v>
      </c>
      <c r="X79" s="737">
        <f t="shared" si="16"/>
        <v>0</v>
      </c>
      <c r="Y79" s="738">
        <f t="shared" si="17"/>
        <v>0</v>
      </c>
    </row>
    <row r="80" spans="1:25">
      <c r="A80" s="754" t="str">
        <f>'Func Future Subs 2015'!A80</f>
        <v>Development at Red Deer 63S</v>
      </c>
      <c r="B80" s="754">
        <f>'Func Future Subs 2015'!B80</f>
        <v>813</v>
      </c>
      <c r="C80" s="754">
        <f>'Func Future Subs 2015'!C80</f>
        <v>240</v>
      </c>
      <c r="D80" s="754">
        <f>'Func Future Subs 2015'!D80</f>
        <v>25</v>
      </c>
      <c r="E80" s="754" t="str">
        <f>'Func Future Subs 2015'!E80</f>
        <v>63S</v>
      </c>
      <c r="F80" s="754">
        <f>'Func Future Subs 2015'!F80</f>
        <v>1318872.5453853337</v>
      </c>
      <c r="G80" s="754" t="str">
        <f>'Func Future Subs 2015'!G80</f>
        <v>AltaLink</v>
      </c>
      <c r="H80" s="754">
        <f>'Func Future Subs 2015'!H80</f>
        <v>2017</v>
      </c>
      <c r="I80" s="306">
        <f>+IF($H80=I$2,VLOOKUP($G80,Depreciation!$A$14:$L$18,7,FALSE)/2,IF($H80&lt;I$2,VLOOKUP($G80,Depreciation!$A$14:$L$18,7,FALSE),0))</f>
        <v>0</v>
      </c>
      <c r="J80" s="306">
        <f>+IF($H80=J$2,VLOOKUP($G80,Depreciation!$A$14:$L$18,8,FALSE)/2,IF($H80&lt;J$2,VLOOKUP($G80,Depreciation!$A$14:$L$18,8,FALSE),0))</f>
        <v>0</v>
      </c>
      <c r="K80" s="306">
        <f>+IF($H80=K$2,VLOOKUP($G80,Depreciation!$A$14:$L$18,9,FALSE)/2,IF($H80&lt;K$2,VLOOKUP($G80,Depreciation!$A$14:$L$18,9,FALSE),0))</f>
        <v>1.671703928371859E-2</v>
      </c>
      <c r="L80" s="306">
        <f>+IF($H80=L$2,VLOOKUP($G80,Depreciation!$A$14:$L$18,10,FALSE)/2,IF($H80&lt;L$2,VLOOKUP($G80,Depreciation!$A$14:$L$18,10,FALSE),0))</f>
        <v>3.343407856743718E-2</v>
      </c>
      <c r="M80" s="306">
        <f>+IF($H80=M$2,VLOOKUP($G80,Depreciation!$A$14:$L$18,11,FALSE)/2,IF($H80&lt;M$2,VLOOKUP($G80,Depreciation!$A$14:$L$18,11,FALSE),0))</f>
        <v>3.343407856743718E-2</v>
      </c>
      <c r="N80" s="306">
        <f>+IF($H80=N$2,VLOOKUP($G80,Depreciation!$A$14:$L$18,12,FALSE)/2,IF($H80&lt;N$2,VLOOKUP($G80,Depreciation!$A$14:$L$18,12,FALSE),0))</f>
        <v>3.343407856743718E-2</v>
      </c>
      <c r="O80" s="307">
        <f t="shared" si="10"/>
        <v>0</v>
      </c>
      <c r="P80" s="732">
        <f>'Func Future Subs 2015'!P80</f>
        <v>0</v>
      </c>
      <c r="Q80" s="732">
        <f>'Func Future Subs 2015'!Q80</f>
        <v>1</v>
      </c>
      <c r="R80" s="732">
        <f>'Func Future Subs 2015'!R80</f>
        <v>0</v>
      </c>
      <c r="S80" s="735">
        <f t="shared" si="11"/>
        <v>0</v>
      </c>
      <c r="T80" s="735">
        <f t="shared" si="12"/>
        <v>0</v>
      </c>
      <c r="U80" s="735">
        <f t="shared" si="13"/>
        <v>0</v>
      </c>
      <c r="V80" s="736">
        <f t="shared" si="14"/>
        <v>0</v>
      </c>
      <c r="W80" s="735">
        <f t="shared" si="15"/>
        <v>0</v>
      </c>
      <c r="X80" s="737">
        <f t="shared" si="16"/>
        <v>0</v>
      </c>
      <c r="Y80" s="738">
        <f t="shared" si="17"/>
        <v>0</v>
      </c>
    </row>
    <row r="81" spans="1:25">
      <c r="A81" s="754" t="str">
        <f>'Func Future Subs 2015'!A81</f>
        <v>Development at Red Deer 63S (dev12)</v>
      </c>
      <c r="B81" s="754">
        <f>'Func Future Subs 2015'!B81</f>
        <v>813</v>
      </c>
      <c r="C81" s="754">
        <f>'Func Future Subs 2015'!C81</f>
        <v>240</v>
      </c>
      <c r="D81" s="754">
        <f>'Func Future Subs 2015'!D81</f>
        <v>25</v>
      </c>
      <c r="E81" s="754" t="str">
        <f>'Func Future Subs 2015'!E81</f>
        <v>63S</v>
      </c>
      <c r="F81" s="754">
        <f>'Func Future Subs 2015'!F81</f>
        <v>437105.37992401363</v>
      </c>
      <c r="G81" s="754" t="str">
        <f>'Func Future Subs 2015'!G81</f>
        <v>AltaLink</v>
      </c>
      <c r="H81" s="754">
        <f>'Func Future Subs 2015'!H81</f>
        <v>2017</v>
      </c>
      <c r="I81" s="306">
        <f>+IF($H81=I$2,VLOOKUP($G81,Depreciation!$A$14:$L$18,7,FALSE)/2,IF($H81&lt;I$2,VLOOKUP($G81,Depreciation!$A$14:$L$18,7,FALSE),0))</f>
        <v>0</v>
      </c>
      <c r="J81" s="306">
        <f>+IF($H81=J$2,VLOOKUP($G81,Depreciation!$A$14:$L$18,8,FALSE)/2,IF($H81&lt;J$2,VLOOKUP($G81,Depreciation!$A$14:$L$18,8,FALSE),0))</f>
        <v>0</v>
      </c>
      <c r="K81" s="306">
        <f>+IF($H81=K$2,VLOOKUP($G81,Depreciation!$A$14:$L$18,9,FALSE)/2,IF($H81&lt;K$2,VLOOKUP($G81,Depreciation!$A$14:$L$18,9,FALSE),0))</f>
        <v>1.671703928371859E-2</v>
      </c>
      <c r="L81" s="306">
        <f>+IF($H81=L$2,VLOOKUP($G81,Depreciation!$A$14:$L$18,10,FALSE)/2,IF($H81&lt;L$2,VLOOKUP($G81,Depreciation!$A$14:$L$18,10,FALSE),0))</f>
        <v>3.343407856743718E-2</v>
      </c>
      <c r="M81" s="306">
        <f>+IF($H81=M$2,VLOOKUP($G81,Depreciation!$A$14:$L$18,11,FALSE)/2,IF($H81&lt;M$2,VLOOKUP($G81,Depreciation!$A$14:$L$18,11,FALSE),0))</f>
        <v>3.343407856743718E-2</v>
      </c>
      <c r="N81" s="306">
        <f>+IF($H81=N$2,VLOOKUP($G81,Depreciation!$A$14:$L$18,12,FALSE)/2,IF($H81&lt;N$2,VLOOKUP($G81,Depreciation!$A$14:$L$18,12,FALSE),0))</f>
        <v>3.343407856743718E-2</v>
      </c>
      <c r="O81" s="307">
        <f t="shared" si="10"/>
        <v>0</v>
      </c>
      <c r="P81" s="732">
        <f>'Func Future Subs 2015'!P81</f>
        <v>0</v>
      </c>
      <c r="Q81" s="732">
        <f>'Func Future Subs 2015'!Q81</f>
        <v>1</v>
      </c>
      <c r="R81" s="732">
        <f>'Func Future Subs 2015'!R81</f>
        <v>0</v>
      </c>
      <c r="S81" s="735">
        <f t="shared" si="11"/>
        <v>0</v>
      </c>
      <c r="T81" s="735">
        <f t="shared" si="12"/>
        <v>0</v>
      </c>
      <c r="U81" s="735">
        <f t="shared" si="13"/>
        <v>0</v>
      </c>
      <c r="V81" s="736">
        <f t="shared" si="14"/>
        <v>0</v>
      </c>
      <c r="W81" s="735">
        <f t="shared" si="15"/>
        <v>0</v>
      </c>
      <c r="X81" s="737">
        <f t="shared" si="16"/>
        <v>0</v>
      </c>
      <c r="Y81" s="738">
        <f t="shared" si="17"/>
        <v>0</v>
      </c>
    </row>
    <row r="82" spans="1:25">
      <c r="A82" s="754" t="str">
        <f>'Func Future Subs 2015'!A82</f>
        <v>Development at Red Deer 63S (dev21)</v>
      </c>
      <c r="B82" s="754">
        <f>'Func Future Subs 2015'!B82</f>
        <v>813</v>
      </c>
      <c r="C82" s="754">
        <f>'Func Future Subs 2015'!C82</f>
        <v>240</v>
      </c>
      <c r="D82" s="754">
        <f>'Func Future Subs 2015'!D82</f>
        <v>25</v>
      </c>
      <c r="E82" s="754" t="str">
        <f>'Func Future Subs 2015'!E82</f>
        <v>63S</v>
      </c>
      <c r="F82" s="754">
        <f>'Func Future Subs 2015'!F82</f>
        <v>335873.21742754214</v>
      </c>
      <c r="G82" s="754" t="str">
        <f>'Func Future Subs 2015'!G82</f>
        <v>AltaLink</v>
      </c>
      <c r="H82" s="754">
        <f>'Func Future Subs 2015'!H82</f>
        <v>2017</v>
      </c>
      <c r="I82" s="306">
        <f>+IF($H82=I$2,VLOOKUP($G82,Depreciation!$A$14:$L$18,7,FALSE)/2,IF($H82&lt;I$2,VLOOKUP($G82,Depreciation!$A$14:$L$18,7,FALSE),0))</f>
        <v>0</v>
      </c>
      <c r="J82" s="306">
        <f>+IF($H82=J$2,VLOOKUP($G82,Depreciation!$A$14:$L$18,8,FALSE)/2,IF($H82&lt;J$2,VLOOKUP($G82,Depreciation!$A$14:$L$18,8,FALSE),0))</f>
        <v>0</v>
      </c>
      <c r="K82" s="306">
        <f>+IF($H82=K$2,VLOOKUP($G82,Depreciation!$A$14:$L$18,9,FALSE)/2,IF($H82&lt;K$2,VLOOKUP($G82,Depreciation!$A$14:$L$18,9,FALSE),0))</f>
        <v>1.671703928371859E-2</v>
      </c>
      <c r="L82" s="306">
        <f>+IF($H82=L$2,VLOOKUP($G82,Depreciation!$A$14:$L$18,10,FALSE)/2,IF($H82&lt;L$2,VLOOKUP($G82,Depreciation!$A$14:$L$18,10,FALSE),0))</f>
        <v>3.343407856743718E-2</v>
      </c>
      <c r="M82" s="306">
        <f>+IF($H82=M$2,VLOOKUP($G82,Depreciation!$A$14:$L$18,11,FALSE)/2,IF($H82&lt;M$2,VLOOKUP($G82,Depreciation!$A$14:$L$18,11,FALSE),0))</f>
        <v>3.343407856743718E-2</v>
      </c>
      <c r="N82" s="306">
        <f>+IF($H82=N$2,VLOOKUP($G82,Depreciation!$A$14:$L$18,12,FALSE)/2,IF($H82&lt;N$2,VLOOKUP($G82,Depreciation!$A$14:$L$18,12,FALSE),0))</f>
        <v>3.343407856743718E-2</v>
      </c>
      <c r="O82" s="307">
        <f t="shared" si="10"/>
        <v>0</v>
      </c>
      <c r="P82" s="732">
        <f>'Func Future Subs 2015'!P82</f>
        <v>0</v>
      </c>
      <c r="Q82" s="732">
        <f>'Func Future Subs 2015'!Q82</f>
        <v>1</v>
      </c>
      <c r="R82" s="732">
        <f>'Func Future Subs 2015'!R82</f>
        <v>0</v>
      </c>
      <c r="S82" s="735">
        <f t="shared" si="11"/>
        <v>0</v>
      </c>
      <c r="T82" s="735">
        <f t="shared" si="12"/>
        <v>0</v>
      </c>
      <c r="U82" s="735">
        <f t="shared" si="13"/>
        <v>0</v>
      </c>
      <c r="V82" s="736">
        <f t="shared" si="14"/>
        <v>0</v>
      </c>
      <c r="W82" s="735">
        <f t="shared" si="15"/>
        <v>0</v>
      </c>
      <c r="X82" s="737">
        <f t="shared" si="16"/>
        <v>0</v>
      </c>
      <c r="Y82" s="738">
        <f t="shared" si="17"/>
        <v>0</v>
      </c>
    </row>
    <row r="83" spans="1:25">
      <c r="A83" s="754" t="str">
        <f>'Func Future Subs 2015'!A83</f>
        <v>Development at South Red Deer 194S</v>
      </c>
      <c r="B83" s="754">
        <f>'Func Future Subs 2015'!B83</f>
        <v>813</v>
      </c>
      <c r="C83" s="754">
        <f>'Func Future Subs 2015'!C83</f>
        <v>138</v>
      </c>
      <c r="D83" s="754">
        <f>'Func Future Subs 2015'!D83</f>
        <v>138</v>
      </c>
      <c r="E83" s="754" t="str">
        <f>'Func Future Subs 2015'!E83</f>
        <v>194S</v>
      </c>
      <c r="F83" s="754">
        <f>'Func Future Subs 2015'!F83</f>
        <v>1494037.1072305865</v>
      </c>
      <c r="G83" s="754" t="str">
        <f>'Func Future Subs 2015'!G83</f>
        <v>AltaLink</v>
      </c>
      <c r="H83" s="754">
        <f>'Func Future Subs 2015'!H83</f>
        <v>2017</v>
      </c>
      <c r="I83" s="306">
        <f>+IF($H83=I$2,VLOOKUP($G83,Depreciation!$A$14:$L$18,7,FALSE)/2,IF($H83&lt;I$2,VLOOKUP($G83,Depreciation!$A$14:$L$18,7,FALSE),0))</f>
        <v>0</v>
      </c>
      <c r="J83" s="306">
        <f>+IF($H83=J$2,VLOOKUP($G83,Depreciation!$A$14:$L$18,8,FALSE)/2,IF($H83&lt;J$2,VLOOKUP($G83,Depreciation!$A$14:$L$18,8,FALSE),0))</f>
        <v>0</v>
      </c>
      <c r="K83" s="306">
        <f>+IF($H83=K$2,VLOOKUP($G83,Depreciation!$A$14:$L$18,9,FALSE)/2,IF($H83&lt;K$2,VLOOKUP($G83,Depreciation!$A$14:$L$18,9,FALSE),0))</f>
        <v>1.671703928371859E-2</v>
      </c>
      <c r="L83" s="306">
        <f>+IF($H83=L$2,VLOOKUP($G83,Depreciation!$A$14:$L$18,10,FALSE)/2,IF($H83&lt;L$2,VLOOKUP($G83,Depreciation!$A$14:$L$18,10,FALSE),0))</f>
        <v>3.343407856743718E-2</v>
      </c>
      <c r="M83" s="306">
        <f>+IF($H83=M$2,VLOOKUP($G83,Depreciation!$A$14:$L$18,11,FALSE)/2,IF($H83&lt;M$2,VLOOKUP($G83,Depreciation!$A$14:$L$18,11,FALSE),0))</f>
        <v>3.343407856743718E-2</v>
      </c>
      <c r="N83" s="306">
        <f>+IF($H83=N$2,VLOOKUP($G83,Depreciation!$A$14:$L$18,12,FALSE)/2,IF($H83&lt;N$2,VLOOKUP($G83,Depreciation!$A$14:$L$18,12,FALSE),0))</f>
        <v>3.343407856743718E-2</v>
      </c>
      <c r="O83" s="307">
        <f t="shared" si="10"/>
        <v>0</v>
      </c>
      <c r="P83" s="732">
        <f>'Func Future Subs 2015'!P83</f>
        <v>0</v>
      </c>
      <c r="Q83" s="732">
        <f>'Func Future Subs 2015'!Q83</f>
        <v>0</v>
      </c>
      <c r="R83" s="732">
        <f>'Func Future Subs 2015'!R83</f>
        <v>1</v>
      </c>
      <c r="S83" s="735">
        <f t="shared" si="11"/>
        <v>0</v>
      </c>
      <c r="T83" s="735">
        <f t="shared" si="12"/>
        <v>0</v>
      </c>
      <c r="U83" s="735">
        <f t="shared" si="13"/>
        <v>0</v>
      </c>
      <c r="V83" s="736">
        <f t="shared" si="14"/>
        <v>0</v>
      </c>
      <c r="W83" s="735">
        <f t="shared" si="15"/>
        <v>0</v>
      </c>
      <c r="X83" s="737">
        <f t="shared" si="16"/>
        <v>0</v>
      </c>
      <c r="Y83" s="738">
        <f t="shared" si="17"/>
        <v>0</v>
      </c>
    </row>
    <row r="84" spans="1:25">
      <c r="A84" s="754" t="str">
        <f>'Func Future Subs 2015'!A84</f>
        <v>Development at South Red Deer 194S (dev11)</v>
      </c>
      <c r="B84" s="754">
        <f>'Func Future Subs 2015'!B84</f>
        <v>813</v>
      </c>
      <c r="C84" s="754">
        <f>'Func Future Subs 2015'!C84</f>
        <v>138</v>
      </c>
      <c r="D84" s="754">
        <f>'Func Future Subs 2015'!D84</f>
        <v>138</v>
      </c>
      <c r="E84" s="754" t="str">
        <f>'Func Future Subs 2015'!E84</f>
        <v>194S</v>
      </c>
      <c r="F84" s="754">
        <f>'Func Future Subs 2015'!F84</f>
        <v>1533469.4238101142</v>
      </c>
      <c r="G84" s="754" t="str">
        <f>'Func Future Subs 2015'!G84</f>
        <v>AltaLink</v>
      </c>
      <c r="H84" s="754">
        <f>'Func Future Subs 2015'!H84</f>
        <v>2017</v>
      </c>
      <c r="I84" s="306">
        <f>+IF($H84=I$2,VLOOKUP($G84,Depreciation!$A$14:$L$18,7,FALSE)/2,IF($H84&lt;I$2,VLOOKUP($G84,Depreciation!$A$14:$L$18,7,FALSE),0))</f>
        <v>0</v>
      </c>
      <c r="J84" s="306">
        <f>+IF($H84=J$2,VLOOKUP($G84,Depreciation!$A$14:$L$18,8,FALSE)/2,IF($H84&lt;J$2,VLOOKUP($G84,Depreciation!$A$14:$L$18,8,FALSE),0))</f>
        <v>0</v>
      </c>
      <c r="K84" s="306">
        <f>+IF($H84=K$2,VLOOKUP($G84,Depreciation!$A$14:$L$18,9,FALSE)/2,IF($H84&lt;K$2,VLOOKUP($G84,Depreciation!$A$14:$L$18,9,FALSE),0))</f>
        <v>1.671703928371859E-2</v>
      </c>
      <c r="L84" s="306">
        <f>+IF($H84=L$2,VLOOKUP($G84,Depreciation!$A$14:$L$18,10,FALSE)/2,IF($H84&lt;L$2,VLOOKUP($G84,Depreciation!$A$14:$L$18,10,FALSE),0))</f>
        <v>3.343407856743718E-2</v>
      </c>
      <c r="M84" s="306">
        <f>+IF($H84=M$2,VLOOKUP($G84,Depreciation!$A$14:$L$18,11,FALSE)/2,IF($H84&lt;M$2,VLOOKUP($G84,Depreciation!$A$14:$L$18,11,FALSE),0))</f>
        <v>3.343407856743718E-2</v>
      </c>
      <c r="N84" s="306">
        <f>+IF($H84=N$2,VLOOKUP($G84,Depreciation!$A$14:$L$18,12,FALSE)/2,IF($H84&lt;N$2,VLOOKUP($G84,Depreciation!$A$14:$L$18,12,FALSE),0))</f>
        <v>3.343407856743718E-2</v>
      </c>
      <c r="O84" s="307">
        <f t="shared" si="10"/>
        <v>0</v>
      </c>
      <c r="P84" s="732">
        <f>'Func Future Subs 2015'!P84</f>
        <v>0</v>
      </c>
      <c r="Q84" s="732">
        <f>'Func Future Subs 2015'!Q84</f>
        <v>0</v>
      </c>
      <c r="R84" s="732">
        <f>'Func Future Subs 2015'!R84</f>
        <v>1</v>
      </c>
      <c r="S84" s="735">
        <f t="shared" si="11"/>
        <v>0</v>
      </c>
      <c r="T84" s="735">
        <f t="shared" si="12"/>
        <v>0</v>
      </c>
      <c r="U84" s="735">
        <f t="shared" si="13"/>
        <v>0</v>
      </c>
      <c r="V84" s="736">
        <f t="shared" si="14"/>
        <v>0</v>
      </c>
      <c r="W84" s="735">
        <f t="shared" si="15"/>
        <v>0</v>
      </c>
      <c r="X84" s="737">
        <f t="shared" si="16"/>
        <v>0</v>
      </c>
      <c r="Y84" s="738">
        <f t="shared" si="17"/>
        <v>0</v>
      </c>
    </row>
    <row r="85" spans="1:25">
      <c r="A85" s="754" t="str">
        <f>'Func Future Subs 2015'!A85</f>
        <v>Development at Sylvan Lake 580S</v>
      </c>
      <c r="B85" s="754">
        <f>'Func Future Subs 2015'!B85</f>
        <v>813</v>
      </c>
      <c r="C85" s="754">
        <f>'Func Future Subs 2015'!C85</f>
        <v>138</v>
      </c>
      <c r="D85" s="754">
        <f>'Func Future Subs 2015'!D85</f>
        <v>25</v>
      </c>
      <c r="E85" s="754" t="str">
        <f>'Func Future Subs 2015'!E85</f>
        <v>580S</v>
      </c>
      <c r="F85" s="754">
        <f>'Func Future Subs 2015'!F85</f>
        <v>517837.0121000802</v>
      </c>
      <c r="G85" s="754" t="str">
        <f>'Func Future Subs 2015'!G85</f>
        <v>AltaLink</v>
      </c>
      <c r="H85" s="754">
        <f>'Func Future Subs 2015'!H85</f>
        <v>2017</v>
      </c>
      <c r="I85" s="306">
        <f>+IF($H85=I$2,VLOOKUP($G85,Depreciation!$A$14:$L$18,7,FALSE)/2,IF($H85&lt;I$2,VLOOKUP($G85,Depreciation!$A$14:$L$18,7,FALSE),0))</f>
        <v>0</v>
      </c>
      <c r="J85" s="306">
        <f>+IF($H85=J$2,VLOOKUP($G85,Depreciation!$A$14:$L$18,8,FALSE)/2,IF($H85&lt;J$2,VLOOKUP($G85,Depreciation!$A$14:$L$18,8,FALSE),0))</f>
        <v>0</v>
      </c>
      <c r="K85" s="306">
        <f>+IF($H85=K$2,VLOOKUP($G85,Depreciation!$A$14:$L$18,9,FALSE)/2,IF($H85&lt;K$2,VLOOKUP($G85,Depreciation!$A$14:$L$18,9,FALSE),0))</f>
        <v>1.671703928371859E-2</v>
      </c>
      <c r="L85" s="306">
        <f>+IF($H85=L$2,VLOOKUP($G85,Depreciation!$A$14:$L$18,10,FALSE)/2,IF($H85&lt;L$2,VLOOKUP($G85,Depreciation!$A$14:$L$18,10,FALSE),0))</f>
        <v>3.343407856743718E-2</v>
      </c>
      <c r="M85" s="306">
        <f>+IF($H85=M$2,VLOOKUP($G85,Depreciation!$A$14:$L$18,11,FALSE)/2,IF($H85&lt;M$2,VLOOKUP($G85,Depreciation!$A$14:$L$18,11,FALSE),0))</f>
        <v>3.343407856743718E-2</v>
      </c>
      <c r="N85" s="306">
        <f>+IF($H85=N$2,VLOOKUP($G85,Depreciation!$A$14:$L$18,12,FALSE)/2,IF($H85&lt;N$2,VLOOKUP($G85,Depreciation!$A$14:$L$18,12,FALSE),0))</f>
        <v>3.343407856743718E-2</v>
      </c>
      <c r="O85" s="307">
        <f t="shared" si="10"/>
        <v>0</v>
      </c>
      <c r="P85" s="732">
        <f>'Func Future Subs 2015'!P85</f>
        <v>0</v>
      </c>
      <c r="Q85" s="732">
        <f>'Func Future Subs 2015'!Q85</f>
        <v>1</v>
      </c>
      <c r="R85" s="732">
        <f>'Func Future Subs 2015'!R85</f>
        <v>0</v>
      </c>
      <c r="S85" s="735">
        <f t="shared" si="11"/>
        <v>0</v>
      </c>
      <c r="T85" s="735">
        <f t="shared" si="12"/>
        <v>0</v>
      </c>
      <c r="U85" s="735">
        <f t="shared" si="13"/>
        <v>0</v>
      </c>
      <c r="V85" s="736">
        <f t="shared" si="14"/>
        <v>0</v>
      </c>
      <c r="W85" s="735">
        <f t="shared" si="15"/>
        <v>0</v>
      </c>
      <c r="X85" s="737">
        <f t="shared" si="16"/>
        <v>0</v>
      </c>
      <c r="Y85" s="738">
        <f t="shared" si="17"/>
        <v>0</v>
      </c>
    </row>
    <row r="86" spans="1:25">
      <c r="A86" s="754" t="str">
        <f>'Func Future Subs 2015'!A86</f>
        <v>Didsbury 152S</v>
      </c>
      <c r="B86" s="754">
        <f>'Func Future Subs 2015'!B86</f>
        <v>813</v>
      </c>
      <c r="C86" s="754">
        <f>'Func Future Subs 2015'!C86</f>
        <v>240</v>
      </c>
      <c r="D86" s="754">
        <f>'Func Future Subs 2015'!D86</f>
        <v>0</v>
      </c>
      <c r="E86" s="754" t="str">
        <f>'Func Future Subs 2015'!E86</f>
        <v>152S</v>
      </c>
      <c r="F86" s="754">
        <f>'Func Future Subs 2015'!F86</f>
        <v>89503.831215535858</v>
      </c>
      <c r="G86" s="754" t="str">
        <f>'Func Future Subs 2015'!G86</f>
        <v>AltaLink</v>
      </c>
      <c r="H86" s="754">
        <f>'Func Future Subs 2015'!H86</f>
        <v>2017</v>
      </c>
      <c r="I86" s="306">
        <f>+IF($H86=I$2,VLOOKUP($G86,Depreciation!$A$14:$L$18,7,FALSE)/2,IF($H86&lt;I$2,VLOOKUP($G86,Depreciation!$A$14:$L$18,7,FALSE),0))</f>
        <v>0</v>
      </c>
      <c r="J86" s="306">
        <f>+IF($H86=J$2,VLOOKUP($G86,Depreciation!$A$14:$L$18,8,FALSE)/2,IF($H86&lt;J$2,VLOOKUP($G86,Depreciation!$A$14:$L$18,8,FALSE),0))</f>
        <v>0</v>
      </c>
      <c r="K86" s="306">
        <f>+IF($H86=K$2,VLOOKUP($G86,Depreciation!$A$14:$L$18,9,FALSE)/2,IF($H86&lt;K$2,VLOOKUP($G86,Depreciation!$A$14:$L$18,9,FALSE),0))</f>
        <v>1.671703928371859E-2</v>
      </c>
      <c r="L86" s="306">
        <f>+IF($H86=L$2,VLOOKUP($G86,Depreciation!$A$14:$L$18,10,FALSE)/2,IF($H86&lt;L$2,VLOOKUP($G86,Depreciation!$A$14:$L$18,10,FALSE),0))</f>
        <v>3.343407856743718E-2</v>
      </c>
      <c r="M86" s="306">
        <f>+IF($H86=M$2,VLOOKUP($G86,Depreciation!$A$14:$L$18,11,FALSE)/2,IF($H86&lt;M$2,VLOOKUP($G86,Depreciation!$A$14:$L$18,11,FALSE),0))</f>
        <v>3.343407856743718E-2</v>
      </c>
      <c r="N86" s="306">
        <f>+IF($H86=N$2,VLOOKUP($G86,Depreciation!$A$14:$L$18,12,FALSE)/2,IF($H86&lt;N$2,VLOOKUP($G86,Depreciation!$A$14:$L$18,12,FALSE),0))</f>
        <v>3.343407856743718E-2</v>
      </c>
      <c r="O86" s="307">
        <f t="shared" si="10"/>
        <v>0</v>
      </c>
      <c r="P86" s="732">
        <f>'Func Future Subs 2015'!P86</f>
        <v>0</v>
      </c>
      <c r="Q86" s="732">
        <f>'Func Future Subs 2015'!Q86</f>
        <v>0</v>
      </c>
      <c r="R86" s="732">
        <f>'Func Future Subs 2015'!R86</f>
        <v>1</v>
      </c>
      <c r="S86" s="735">
        <f t="shared" si="11"/>
        <v>0</v>
      </c>
      <c r="T86" s="735">
        <f t="shared" si="12"/>
        <v>0</v>
      </c>
      <c r="U86" s="735">
        <f t="shared" si="13"/>
        <v>0</v>
      </c>
      <c r="V86" s="736">
        <f t="shared" si="14"/>
        <v>0</v>
      </c>
      <c r="W86" s="735">
        <f t="shared" si="15"/>
        <v>0</v>
      </c>
      <c r="X86" s="737">
        <f t="shared" si="16"/>
        <v>0</v>
      </c>
      <c r="Y86" s="738">
        <f t="shared" si="17"/>
        <v>0</v>
      </c>
    </row>
    <row r="87" spans="1:25">
      <c r="A87" s="754" t="str">
        <f>'Func Future Subs 2015'!A87</f>
        <v>Eagle Hill 9433R (GD Hazel)</v>
      </c>
      <c r="B87" s="754">
        <f>'Func Future Subs 2015'!B87</f>
        <v>813</v>
      </c>
      <c r="C87" s="754">
        <f>'Func Future Subs 2015'!C87</f>
        <v>240</v>
      </c>
      <c r="D87" s="754">
        <f>'Func Future Subs 2015'!D87</f>
        <v>0</v>
      </c>
      <c r="E87" s="754">
        <f>'Func Future Subs 2015'!E87</f>
        <v>0</v>
      </c>
      <c r="F87" s="754">
        <f>'Func Future Subs 2015'!F87</f>
        <v>554235.26252697199</v>
      </c>
      <c r="G87" s="754" t="str">
        <f>'Func Future Subs 2015'!G87</f>
        <v>AltaLink</v>
      </c>
      <c r="H87" s="754">
        <f>'Func Future Subs 2015'!H87</f>
        <v>2017</v>
      </c>
      <c r="I87" s="306">
        <f>+IF($H87=I$2,VLOOKUP($G87,Depreciation!$A$14:$L$18,7,FALSE)/2,IF($H87&lt;I$2,VLOOKUP($G87,Depreciation!$A$14:$L$18,7,FALSE),0))</f>
        <v>0</v>
      </c>
      <c r="J87" s="306">
        <f>+IF($H87=J$2,VLOOKUP($G87,Depreciation!$A$14:$L$18,8,FALSE)/2,IF($H87&lt;J$2,VLOOKUP($G87,Depreciation!$A$14:$L$18,8,FALSE),0))</f>
        <v>0</v>
      </c>
      <c r="K87" s="306">
        <f>+IF($H87=K$2,VLOOKUP($G87,Depreciation!$A$14:$L$18,9,FALSE)/2,IF($H87&lt;K$2,VLOOKUP($G87,Depreciation!$A$14:$L$18,9,FALSE),0))</f>
        <v>1.671703928371859E-2</v>
      </c>
      <c r="L87" s="306">
        <f>+IF($H87=L$2,VLOOKUP($G87,Depreciation!$A$14:$L$18,10,FALSE)/2,IF($H87&lt;L$2,VLOOKUP($G87,Depreciation!$A$14:$L$18,10,FALSE),0))</f>
        <v>3.343407856743718E-2</v>
      </c>
      <c r="M87" s="306">
        <f>+IF($H87=M$2,VLOOKUP($G87,Depreciation!$A$14:$L$18,11,FALSE)/2,IF($H87&lt;M$2,VLOOKUP($G87,Depreciation!$A$14:$L$18,11,FALSE),0))</f>
        <v>3.343407856743718E-2</v>
      </c>
      <c r="N87" s="306">
        <f>+IF($H87=N$2,VLOOKUP($G87,Depreciation!$A$14:$L$18,12,FALSE)/2,IF($H87&lt;N$2,VLOOKUP($G87,Depreciation!$A$14:$L$18,12,FALSE),0))</f>
        <v>3.343407856743718E-2</v>
      </c>
      <c r="O87" s="307">
        <f t="shared" si="10"/>
        <v>0</v>
      </c>
      <c r="P87" s="732">
        <f>'Func Future Subs 2015'!P87</f>
        <v>0</v>
      </c>
      <c r="Q87" s="732">
        <f>'Func Future Subs 2015'!Q87</f>
        <v>0</v>
      </c>
      <c r="R87" s="732">
        <f>'Func Future Subs 2015'!R87</f>
        <v>1</v>
      </c>
      <c r="S87" s="735">
        <f t="shared" si="11"/>
        <v>0</v>
      </c>
      <c r="T87" s="735">
        <f t="shared" si="12"/>
        <v>0</v>
      </c>
      <c r="U87" s="735">
        <f t="shared" si="13"/>
        <v>0</v>
      </c>
      <c r="V87" s="736">
        <f t="shared" si="14"/>
        <v>0</v>
      </c>
      <c r="W87" s="735">
        <f t="shared" si="15"/>
        <v>0</v>
      </c>
      <c r="X87" s="737">
        <f t="shared" si="16"/>
        <v>0</v>
      </c>
      <c r="Y87" s="738">
        <f t="shared" si="17"/>
        <v>0</v>
      </c>
    </row>
    <row r="88" spans="1:25">
      <c r="A88" s="754" t="str">
        <f>'Func Future Subs 2015'!A88</f>
        <v>Ellerslie 89S</v>
      </c>
      <c r="B88" s="754">
        <f>'Func Future Subs 2015'!B88</f>
        <v>813</v>
      </c>
      <c r="C88" s="754">
        <f>'Func Future Subs 2015'!C88</f>
        <v>240</v>
      </c>
      <c r="D88" s="754">
        <f>'Func Future Subs 2015'!D88</f>
        <v>240</v>
      </c>
      <c r="E88" s="754" t="str">
        <f>'Func Future Subs 2015'!E88</f>
        <v>89S</v>
      </c>
      <c r="F88" s="754">
        <f>'Func Future Subs 2015'!F88</f>
        <v>117043.47158954688</v>
      </c>
      <c r="G88" s="754" t="str">
        <f>'Func Future Subs 2015'!G88</f>
        <v>AltaLink</v>
      </c>
      <c r="H88" s="754">
        <f>'Func Future Subs 2015'!H88</f>
        <v>2017</v>
      </c>
      <c r="I88" s="306">
        <f>+IF($H88=I$2,VLOOKUP($G88,Depreciation!$A$14:$L$18,7,FALSE)/2,IF($H88&lt;I$2,VLOOKUP($G88,Depreciation!$A$14:$L$18,7,FALSE),0))</f>
        <v>0</v>
      </c>
      <c r="J88" s="306">
        <f>+IF($H88=J$2,VLOOKUP($G88,Depreciation!$A$14:$L$18,8,FALSE)/2,IF($H88&lt;J$2,VLOOKUP($G88,Depreciation!$A$14:$L$18,8,FALSE),0))</f>
        <v>0</v>
      </c>
      <c r="K88" s="306">
        <f>+IF($H88=K$2,VLOOKUP($G88,Depreciation!$A$14:$L$18,9,FALSE)/2,IF($H88&lt;K$2,VLOOKUP($G88,Depreciation!$A$14:$L$18,9,FALSE),0))</f>
        <v>1.671703928371859E-2</v>
      </c>
      <c r="L88" s="306">
        <f>+IF($H88=L$2,VLOOKUP($G88,Depreciation!$A$14:$L$18,10,FALSE)/2,IF($H88&lt;L$2,VLOOKUP($G88,Depreciation!$A$14:$L$18,10,FALSE),0))</f>
        <v>3.343407856743718E-2</v>
      </c>
      <c r="M88" s="306">
        <f>+IF($H88=M$2,VLOOKUP($G88,Depreciation!$A$14:$L$18,11,FALSE)/2,IF($H88&lt;M$2,VLOOKUP($G88,Depreciation!$A$14:$L$18,11,FALSE),0))</f>
        <v>3.343407856743718E-2</v>
      </c>
      <c r="N88" s="306">
        <f>+IF($H88=N$2,VLOOKUP($G88,Depreciation!$A$14:$L$18,12,FALSE)/2,IF($H88&lt;N$2,VLOOKUP($G88,Depreciation!$A$14:$L$18,12,FALSE),0))</f>
        <v>3.343407856743718E-2</v>
      </c>
      <c r="O88" s="307">
        <f t="shared" si="10"/>
        <v>0</v>
      </c>
      <c r="P88" s="732">
        <f>'Func Future Subs 2015'!P88</f>
        <v>0</v>
      </c>
      <c r="Q88" s="732">
        <f>'Func Future Subs 2015'!Q88</f>
        <v>0</v>
      </c>
      <c r="R88" s="732">
        <f>'Func Future Subs 2015'!R88</f>
        <v>1</v>
      </c>
      <c r="S88" s="735">
        <f t="shared" si="11"/>
        <v>0</v>
      </c>
      <c r="T88" s="735">
        <f t="shared" si="12"/>
        <v>0</v>
      </c>
      <c r="U88" s="735">
        <f t="shared" si="13"/>
        <v>0</v>
      </c>
      <c r="V88" s="736">
        <f t="shared" si="14"/>
        <v>0</v>
      </c>
      <c r="W88" s="735">
        <f t="shared" si="15"/>
        <v>0</v>
      </c>
      <c r="X88" s="737">
        <f t="shared" si="16"/>
        <v>0</v>
      </c>
      <c r="Y88" s="738">
        <f t="shared" si="17"/>
        <v>0</v>
      </c>
    </row>
    <row r="89" spans="1:25">
      <c r="A89" s="754" t="str">
        <f>'Func Future Subs 2015'!A89</f>
        <v>Ellis 332S</v>
      </c>
      <c r="B89" s="754">
        <f>'Func Future Subs 2015'!B89</f>
        <v>813</v>
      </c>
      <c r="C89" s="754">
        <f>'Func Future Subs 2015'!C89</f>
        <v>138</v>
      </c>
      <c r="D89" s="754">
        <f>'Func Future Subs 2015'!D89</f>
        <v>25</v>
      </c>
      <c r="E89" s="754" t="str">
        <f>'Func Future Subs 2015'!E89</f>
        <v>332S</v>
      </c>
      <c r="F89" s="754">
        <f>'Func Future Subs 2015'!F89</f>
        <v>4802999.9999999981</v>
      </c>
      <c r="G89" s="754" t="str">
        <f>'Func Future Subs 2015'!G89</f>
        <v>AltaLink</v>
      </c>
      <c r="H89" s="754">
        <f>'Func Future Subs 2015'!H89</f>
        <v>2017</v>
      </c>
      <c r="I89" s="306">
        <f>+IF($H89=I$2,VLOOKUP($G89,Depreciation!$A$14:$L$18,7,FALSE)/2,IF($H89&lt;I$2,VLOOKUP($G89,Depreciation!$A$14:$L$18,7,FALSE),0))</f>
        <v>0</v>
      </c>
      <c r="J89" s="306">
        <f>+IF($H89=J$2,VLOOKUP($G89,Depreciation!$A$14:$L$18,8,FALSE)/2,IF($H89&lt;J$2,VLOOKUP($G89,Depreciation!$A$14:$L$18,8,FALSE),0))</f>
        <v>0</v>
      </c>
      <c r="K89" s="306">
        <f>+IF($H89=K$2,VLOOKUP($G89,Depreciation!$A$14:$L$18,9,FALSE)/2,IF($H89&lt;K$2,VLOOKUP($G89,Depreciation!$A$14:$L$18,9,FALSE),0))</f>
        <v>1.671703928371859E-2</v>
      </c>
      <c r="L89" s="306">
        <f>+IF($H89=L$2,VLOOKUP($G89,Depreciation!$A$14:$L$18,10,FALSE)/2,IF($H89&lt;L$2,VLOOKUP($G89,Depreciation!$A$14:$L$18,10,FALSE),0))</f>
        <v>3.343407856743718E-2</v>
      </c>
      <c r="M89" s="306">
        <f>+IF($H89=M$2,VLOOKUP($G89,Depreciation!$A$14:$L$18,11,FALSE)/2,IF($H89&lt;M$2,VLOOKUP($G89,Depreciation!$A$14:$L$18,11,FALSE),0))</f>
        <v>3.343407856743718E-2</v>
      </c>
      <c r="N89" s="306">
        <f>+IF($H89=N$2,VLOOKUP($G89,Depreciation!$A$14:$L$18,12,FALSE)/2,IF($H89&lt;N$2,VLOOKUP($G89,Depreciation!$A$14:$L$18,12,FALSE),0))</f>
        <v>3.343407856743718E-2</v>
      </c>
      <c r="O89" s="307">
        <f t="shared" si="10"/>
        <v>0</v>
      </c>
      <c r="P89" s="732">
        <f>'Func Future Subs 2015'!P89</f>
        <v>0</v>
      </c>
      <c r="Q89" s="732">
        <f>'Func Future Subs 2015'!Q89</f>
        <v>1</v>
      </c>
      <c r="R89" s="732">
        <f>'Func Future Subs 2015'!R89</f>
        <v>0</v>
      </c>
      <c r="S89" s="735">
        <f t="shared" si="11"/>
        <v>0</v>
      </c>
      <c r="T89" s="735">
        <f t="shared" si="12"/>
        <v>0</v>
      </c>
      <c r="U89" s="735">
        <f t="shared" si="13"/>
        <v>0</v>
      </c>
      <c r="V89" s="736">
        <f t="shared" si="14"/>
        <v>0</v>
      </c>
      <c r="W89" s="735">
        <f t="shared" si="15"/>
        <v>0</v>
      </c>
      <c r="X89" s="737">
        <f t="shared" si="16"/>
        <v>0</v>
      </c>
      <c r="Y89" s="738">
        <f t="shared" si="17"/>
        <v>0</v>
      </c>
    </row>
    <row r="90" spans="1:25">
      <c r="A90" s="754" t="str">
        <f>'Func Future Subs 2015'!A90</f>
        <v>Ellis 332S (GD)</v>
      </c>
      <c r="B90" s="754">
        <f>'Func Future Subs 2015'!B90</f>
        <v>813</v>
      </c>
      <c r="C90" s="754">
        <f>'Func Future Subs 2015'!C90</f>
        <v>138</v>
      </c>
      <c r="D90" s="754">
        <f>'Func Future Subs 2015'!D90</f>
        <v>25</v>
      </c>
      <c r="E90" s="754" t="str">
        <f>'Func Future Subs 2015'!E90</f>
        <v>332S</v>
      </c>
      <c r="F90" s="754">
        <f>'Func Future Subs 2015'!F90</f>
        <v>1561153.3637017503</v>
      </c>
      <c r="G90" s="754" t="str">
        <f>'Func Future Subs 2015'!G90</f>
        <v>AltaLink</v>
      </c>
      <c r="H90" s="754">
        <f>'Func Future Subs 2015'!H90</f>
        <v>2017</v>
      </c>
      <c r="I90" s="306">
        <f>+IF($H90=I$2,VLOOKUP($G90,Depreciation!$A$14:$L$18,7,FALSE)/2,IF($H90&lt;I$2,VLOOKUP($G90,Depreciation!$A$14:$L$18,7,FALSE),0))</f>
        <v>0</v>
      </c>
      <c r="J90" s="306">
        <f>+IF($H90=J$2,VLOOKUP($G90,Depreciation!$A$14:$L$18,8,FALSE)/2,IF($H90&lt;J$2,VLOOKUP($G90,Depreciation!$A$14:$L$18,8,FALSE),0))</f>
        <v>0</v>
      </c>
      <c r="K90" s="306">
        <f>+IF($H90=K$2,VLOOKUP($G90,Depreciation!$A$14:$L$18,9,FALSE)/2,IF($H90&lt;K$2,VLOOKUP($G90,Depreciation!$A$14:$L$18,9,FALSE),0))</f>
        <v>1.671703928371859E-2</v>
      </c>
      <c r="L90" s="306">
        <f>+IF($H90=L$2,VLOOKUP($G90,Depreciation!$A$14:$L$18,10,FALSE)/2,IF($H90&lt;L$2,VLOOKUP($G90,Depreciation!$A$14:$L$18,10,FALSE),0))</f>
        <v>3.343407856743718E-2</v>
      </c>
      <c r="M90" s="306">
        <f>+IF($H90=M$2,VLOOKUP($G90,Depreciation!$A$14:$L$18,11,FALSE)/2,IF($H90&lt;M$2,VLOOKUP($G90,Depreciation!$A$14:$L$18,11,FALSE),0))</f>
        <v>3.343407856743718E-2</v>
      </c>
      <c r="N90" s="306">
        <f>+IF($H90=N$2,VLOOKUP($G90,Depreciation!$A$14:$L$18,12,FALSE)/2,IF($H90&lt;N$2,VLOOKUP($G90,Depreciation!$A$14:$L$18,12,FALSE),0))</f>
        <v>3.343407856743718E-2</v>
      </c>
      <c r="O90" s="307">
        <f t="shared" si="10"/>
        <v>0</v>
      </c>
      <c r="P90" s="732">
        <f>'Func Future Subs 2015'!P90</f>
        <v>0</v>
      </c>
      <c r="Q90" s="732">
        <f>'Func Future Subs 2015'!Q90</f>
        <v>1</v>
      </c>
      <c r="R90" s="732">
        <f>'Func Future Subs 2015'!R90</f>
        <v>0</v>
      </c>
      <c r="S90" s="735">
        <f t="shared" si="11"/>
        <v>0</v>
      </c>
      <c r="T90" s="735">
        <f t="shared" si="12"/>
        <v>0</v>
      </c>
      <c r="U90" s="735">
        <f t="shared" si="13"/>
        <v>0</v>
      </c>
      <c r="V90" s="736">
        <f t="shared" si="14"/>
        <v>0</v>
      </c>
      <c r="W90" s="735">
        <f t="shared" si="15"/>
        <v>0</v>
      </c>
      <c r="X90" s="737">
        <f t="shared" si="16"/>
        <v>0</v>
      </c>
      <c r="Y90" s="738">
        <f t="shared" si="17"/>
        <v>0</v>
      </c>
    </row>
    <row r="91" spans="1:25">
      <c r="A91" s="754" t="str">
        <f>'Func Future Subs 2015'!A91</f>
        <v>Gaetz 87S</v>
      </c>
      <c r="B91" s="754">
        <f>'Func Future Subs 2015'!B91</f>
        <v>813</v>
      </c>
      <c r="C91" s="754">
        <f>'Func Future Subs 2015'!C91</f>
        <v>240</v>
      </c>
      <c r="D91" s="754">
        <f>'Func Future Subs 2015'!D91</f>
        <v>138</v>
      </c>
      <c r="E91" s="754" t="str">
        <f>'Func Future Subs 2015'!E91</f>
        <v>87S</v>
      </c>
      <c r="F91" s="754">
        <f>'Func Future Subs 2015'!F91</f>
        <v>3058127.6636590497</v>
      </c>
      <c r="G91" s="754" t="str">
        <f>'Func Future Subs 2015'!G91</f>
        <v>AltaLink</v>
      </c>
      <c r="H91" s="754">
        <f>'Func Future Subs 2015'!H91</f>
        <v>2017</v>
      </c>
      <c r="I91" s="306">
        <f>+IF($H91=I$2,VLOOKUP($G91,Depreciation!$A$14:$L$18,7,FALSE)/2,IF($H91&lt;I$2,VLOOKUP($G91,Depreciation!$A$14:$L$18,7,FALSE),0))</f>
        <v>0</v>
      </c>
      <c r="J91" s="306">
        <f>+IF($H91=J$2,VLOOKUP($G91,Depreciation!$A$14:$L$18,8,FALSE)/2,IF($H91&lt;J$2,VLOOKUP($G91,Depreciation!$A$14:$L$18,8,FALSE),0))</f>
        <v>0</v>
      </c>
      <c r="K91" s="306">
        <f>+IF($H91=K$2,VLOOKUP($G91,Depreciation!$A$14:$L$18,9,FALSE)/2,IF($H91&lt;K$2,VLOOKUP($G91,Depreciation!$A$14:$L$18,9,FALSE),0))</f>
        <v>1.671703928371859E-2</v>
      </c>
      <c r="L91" s="306">
        <f>+IF($H91=L$2,VLOOKUP($G91,Depreciation!$A$14:$L$18,10,FALSE)/2,IF($H91&lt;L$2,VLOOKUP($G91,Depreciation!$A$14:$L$18,10,FALSE),0))</f>
        <v>3.343407856743718E-2</v>
      </c>
      <c r="M91" s="306">
        <f>+IF($H91=M$2,VLOOKUP($G91,Depreciation!$A$14:$L$18,11,FALSE)/2,IF($H91&lt;M$2,VLOOKUP($G91,Depreciation!$A$14:$L$18,11,FALSE),0))</f>
        <v>3.343407856743718E-2</v>
      </c>
      <c r="N91" s="306">
        <f>+IF($H91=N$2,VLOOKUP($G91,Depreciation!$A$14:$L$18,12,FALSE)/2,IF($H91&lt;N$2,VLOOKUP($G91,Depreciation!$A$14:$L$18,12,FALSE),0))</f>
        <v>3.343407856743718E-2</v>
      </c>
      <c r="O91" s="307">
        <f t="shared" si="10"/>
        <v>0</v>
      </c>
      <c r="P91" s="732">
        <f>'Func Future Subs 2015'!P91</f>
        <v>0</v>
      </c>
      <c r="Q91" s="732">
        <f>'Func Future Subs 2015'!Q91</f>
        <v>0</v>
      </c>
      <c r="R91" s="732">
        <f>'Func Future Subs 2015'!R91</f>
        <v>1</v>
      </c>
      <c r="S91" s="735">
        <f t="shared" si="11"/>
        <v>0</v>
      </c>
      <c r="T91" s="735">
        <f t="shared" si="12"/>
        <v>0</v>
      </c>
      <c r="U91" s="735">
        <f t="shared" si="13"/>
        <v>0</v>
      </c>
      <c r="V91" s="736">
        <f t="shared" si="14"/>
        <v>0</v>
      </c>
      <c r="W91" s="735">
        <f t="shared" si="15"/>
        <v>0</v>
      </c>
      <c r="X91" s="737">
        <f t="shared" si="16"/>
        <v>0</v>
      </c>
      <c r="Y91" s="738">
        <f t="shared" si="17"/>
        <v>0</v>
      </c>
    </row>
    <row r="92" spans="1:25">
      <c r="A92" s="754" t="str">
        <f>'Func Future Subs 2015'!A92</f>
        <v>Harmattan 256S</v>
      </c>
      <c r="B92" s="754">
        <f>'Func Future Subs 2015'!B92</f>
        <v>813</v>
      </c>
      <c r="C92" s="754">
        <f>'Func Future Subs 2015'!C92</f>
        <v>240</v>
      </c>
      <c r="D92" s="754">
        <f>'Func Future Subs 2015'!D92</f>
        <v>25</v>
      </c>
      <c r="E92" s="754" t="str">
        <f>'Func Future Subs 2015'!E92</f>
        <v>256S</v>
      </c>
      <c r="F92" s="754">
        <f>'Func Future Subs 2015'!F92</f>
        <v>185892.57252457447</v>
      </c>
      <c r="G92" s="754" t="str">
        <f>'Func Future Subs 2015'!G92</f>
        <v>AltaLink</v>
      </c>
      <c r="H92" s="754">
        <f>'Func Future Subs 2015'!H92</f>
        <v>2017</v>
      </c>
      <c r="I92" s="306">
        <f>+IF($H92=I$2,VLOOKUP($G92,Depreciation!$A$14:$L$18,7,FALSE)/2,IF($H92&lt;I$2,VLOOKUP($G92,Depreciation!$A$14:$L$18,7,FALSE),0))</f>
        <v>0</v>
      </c>
      <c r="J92" s="306">
        <f>+IF($H92=J$2,VLOOKUP($G92,Depreciation!$A$14:$L$18,8,FALSE)/2,IF($H92&lt;J$2,VLOOKUP($G92,Depreciation!$A$14:$L$18,8,FALSE),0))</f>
        <v>0</v>
      </c>
      <c r="K92" s="306">
        <f>+IF($H92=K$2,VLOOKUP($G92,Depreciation!$A$14:$L$18,9,FALSE)/2,IF($H92&lt;K$2,VLOOKUP($G92,Depreciation!$A$14:$L$18,9,FALSE),0))</f>
        <v>1.671703928371859E-2</v>
      </c>
      <c r="L92" s="306">
        <f>+IF($H92=L$2,VLOOKUP($G92,Depreciation!$A$14:$L$18,10,FALSE)/2,IF($H92&lt;L$2,VLOOKUP($G92,Depreciation!$A$14:$L$18,10,FALSE),0))</f>
        <v>3.343407856743718E-2</v>
      </c>
      <c r="M92" s="306">
        <f>+IF($H92=M$2,VLOOKUP($G92,Depreciation!$A$14:$L$18,11,FALSE)/2,IF($H92&lt;M$2,VLOOKUP($G92,Depreciation!$A$14:$L$18,11,FALSE),0))</f>
        <v>3.343407856743718E-2</v>
      </c>
      <c r="N92" s="306">
        <f>+IF($H92=N$2,VLOOKUP($G92,Depreciation!$A$14:$L$18,12,FALSE)/2,IF($H92&lt;N$2,VLOOKUP($G92,Depreciation!$A$14:$L$18,12,FALSE),0))</f>
        <v>3.343407856743718E-2</v>
      </c>
      <c r="O92" s="307">
        <f t="shared" si="10"/>
        <v>0</v>
      </c>
      <c r="P92" s="732">
        <f>'Func Future Subs 2015'!P92</f>
        <v>0.54510993176648981</v>
      </c>
      <c r="Q92" s="732">
        <f>'Func Future Subs 2015'!Q92</f>
        <v>0.45489006823351025</v>
      </c>
      <c r="R92" s="732">
        <f>'Func Future Subs 2015'!R92</f>
        <v>0</v>
      </c>
      <c r="S92" s="735">
        <f t="shared" si="11"/>
        <v>0</v>
      </c>
      <c r="T92" s="735">
        <f t="shared" si="12"/>
        <v>0</v>
      </c>
      <c r="U92" s="735">
        <f t="shared" si="13"/>
        <v>0</v>
      </c>
      <c r="V92" s="736">
        <f t="shared" si="14"/>
        <v>0</v>
      </c>
      <c r="W92" s="735">
        <f t="shared" si="15"/>
        <v>0</v>
      </c>
      <c r="X92" s="737">
        <f t="shared" si="16"/>
        <v>0</v>
      </c>
      <c r="Y92" s="738">
        <f t="shared" si="17"/>
        <v>0</v>
      </c>
    </row>
    <row r="93" spans="1:25">
      <c r="A93" s="754" t="str">
        <f>'Func Future Subs 2015'!A93</f>
        <v>Hazelwood 287S</v>
      </c>
      <c r="B93" s="754">
        <f>'Func Future Subs 2015'!B93</f>
        <v>813</v>
      </c>
      <c r="C93" s="754">
        <f>'Func Future Subs 2015'!C93</f>
        <v>240</v>
      </c>
      <c r="D93" s="754">
        <f>'Func Future Subs 2015'!D93</f>
        <v>0</v>
      </c>
      <c r="E93" s="754" t="str">
        <f>'Func Future Subs 2015'!E93</f>
        <v>287S</v>
      </c>
      <c r="F93" s="754">
        <f>'Func Future Subs 2015'!F93</f>
        <v>24486182.74754256</v>
      </c>
      <c r="G93" s="754" t="str">
        <f>'Func Future Subs 2015'!G93</f>
        <v>AltaLink</v>
      </c>
      <c r="H93" s="754">
        <f>'Func Future Subs 2015'!H93</f>
        <v>2017</v>
      </c>
      <c r="I93" s="306">
        <f>+IF($H93=I$2,VLOOKUP($G93,Depreciation!$A$14:$L$18,7,FALSE)/2,IF($H93&lt;I$2,VLOOKUP($G93,Depreciation!$A$14:$L$18,7,FALSE),0))</f>
        <v>0</v>
      </c>
      <c r="J93" s="306">
        <f>+IF($H93=J$2,VLOOKUP($G93,Depreciation!$A$14:$L$18,8,FALSE)/2,IF($H93&lt;J$2,VLOOKUP($G93,Depreciation!$A$14:$L$18,8,FALSE),0))</f>
        <v>0</v>
      </c>
      <c r="K93" s="306">
        <f>+IF($H93=K$2,VLOOKUP($G93,Depreciation!$A$14:$L$18,9,FALSE)/2,IF($H93&lt;K$2,VLOOKUP($G93,Depreciation!$A$14:$L$18,9,FALSE),0))</f>
        <v>1.671703928371859E-2</v>
      </c>
      <c r="L93" s="306">
        <f>+IF($H93=L$2,VLOOKUP($G93,Depreciation!$A$14:$L$18,10,FALSE)/2,IF($H93&lt;L$2,VLOOKUP($G93,Depreciation!$A$14:$L$18,10,FALSE),0))</f>
        <v>3.343407856743718E-2</v>
      </c>
      <c r="M93" s="306">
        <f>+IF($H93=M$2,VLOOKUP($G93,Depreciation!$A$14:$L$18,11,FALSE)/2,IF($H93&lt;M$2,VLOOKUP($G93,Depreciation!$A$14:$L$18,11,FALSE),0))</f>
        <v>3.343407856743718E-2</v>
      </c>
      <c r="N93" s="306">
        <f>+IF($H93=N$2,VLOOKUP($G93,Depreciation!$A$14:$L$18,12,FALSE)/2,IF($H93&lt;N$2,VLOOKUP($G93,Depreciation!$A$14:$L$18,12,FALSE),0))</f>
        <v>3.343407856743718E-2</v>
      </c>
      <c r="O93" s="307">
        <f t="shared" si="10"/>
        <v>0</v>
      </c>
      <c r="P93" s="732">
        <f>'Func Future Subs 2015'!P93</f>
        <v>0</v>
      </c>
      <c r="Q93" s="732">
        <f>'Func Future Subs 2015'!Q93</f>
        <v>0</v>
      </c>
      <c r="R93" s="732">
        <f>'Func Future Subs 2015'!R93</f>
        <v>1</v>
      </c>
      <c r="S93" s="735">
        <f t="shared" si="11"/>
        <v>0</v>
      </c>
      <c r="T93" s="735">
        <f t="shared" si="12"/>
        <v>0</v>
      </c>
      <c r="U93" s="735">
        <f t="shared" si="13"/>
        <v>0</v>
      </c>
      <c r="V93" s="736">
        <f t="shared" si="14"/>
        <v>0</v>
      </c>
      <c r="W93" s="735">
        <f t="shared" si="15"/>
        <v>0</v>
      </c>
      <c r="X93" s="737">
        <f t="shared" si="16"/>
        <v>0</v>
      </c>
      <c r="Y93" s="738">
        <f t="shared" si="17"/>
        <v>0</v>
      </c>
    </row>
    <row r="94" spans="1:25">
      <c r="A94" s="754" t="str">
        <f>'Func Future Subs 2015'!A94</f>
        <v>Innisfail 214S</v>
      </c>
      <c r="B94" s="754">
        <f>'Func Future Subs 2015'!B94</f>
        <v>813</v>
      </c>
      <c r="C94" s="754">
        <f>'Func Future Subs 2015'!C94</f>
        <v>138</v>
      </c>
      <c r="D94" s="754">
        <f>'Func Future Subs 2015'!D94</f>
        <v>25</v>
      </c>
      <c r="E94" s="754" t="str">
        <f>'Func Future Subs 2015'!E94</f>
        <v>214S</v>
      </c>
      <c r="F94" s="754">
        <f>'Func Future Subs 2015'!F94</f>
        <v>4439045.7827859037</v>
      </c>
      <c r="G94" s="754" t="str">
        <f>'Func Future Subs 2015'!G94</f>
        <v>AltaLink</v>
      </c>
      <c r="H94" s="754">
        <f>'Func Future Subs 2015'!H94</f>
        <v>2017</v>
      </c>
      <c r="I94" s="306">
        <f>+IF($H94=I$2,VLOOKUP($G94,Depreciation!$A$14:$L$18,7,FALSE)/2,IF($H94&lt;I$2,VLOOKUP($G94,Depreciation!$A$14:$L$18,7,FALSE),0))</f>
        <v>0</v>
      </c>
      <c r="J94" s="306">
        <f>+IF($H94=J$2,VLOOKUP($G94,Depreciation!$A$14:$L$18,8,FALSE)/2,IF($H94&lt;J$2,VLOOKUP($G94,Depreciation!$A$14:$L$18,8,FALSE),0))</f>
        <v>0</v>
      </c>
      <c r="K94" s="306">
        <f>+IF($H94=K$2,VLOOKUP($G94,Depreciation!$A$14:$L$18,9,FALSE)/2,IF($H94&lt;K$2,VLOOKUP($G94,Depreciation!$A$14:$L$18,9,FALSE),0))</f>
        <v>1.671703928371859E-2</v>
      </c>
      <c r="L94" s="306">
        <f>+IF($H94=L$2,VLOOKUP($G94,Depreciation!$A$14:$L$18,10,FALSE)/2,IF($H94&lt;L$2,VLOOKUP($G94,Depreciation!$A$14:$L$18,10,FALSE),0))</f>
        <v>3.343407856743718E-2</v>
      </c>
      <c r="M94" s="306">
        <f>+IF($H94=M$2,VLOOKUP($G94,Depreciation!$A$14:$L$18,11,FALSE)/2,IF($H94&lt;M$2,VLOOKUP($G94,Depreciation!$A$14:$L$18,11,FALSE),0))</f>
        <v>3.343407856743718E-2</v>
      </c>
      <c r="N94" s="306">
        <f>+IF($H94=N$2,VLOOKUP($G94,Depreciation!$A$14:$L$18,12,FALSE)/2,IF($H94&lt;N$2,VLOOKUP($G94,Depreciation!$A$14:$L$18,12,FALSE),0))</f>
        <v>3.343407856743718E-2</v>
      </c>
      <c r="O94" s="307">
        <f t="shared" si="10"/>
        <v>0</v>
      </c>
      <c r="P94" s="732">
        <f>'Func Future Subs 2015'!P94</f>
        <v>0</v>
      </c>
      <c r="Q94" s="732">
        <f>'Func Future Subs 2015'!Q94</f>
        <v>1</v>
      </c>
      <c r="R94" s="732">
        <f>'Func Future Subs 2015'!R94</f>
        <v>0</v>
      </c>
      <c r="S94" s="735">
        <f t="shared" si="11"/>
        <v>0</v>
      </c>
      <c r="T94" s="735">
        <f t="shared" si="12"/>
        <v>0</v>
      </c>
      <c r="U94" s="735">
        <f t="shared" si="13"/>
        <v>0</v>
      </c>
      <c r="V94" s="736">
        <f t="shared" si="14"/>
        <v>0</v>
      </c>
      <c r="W94" s="735">
        <f t="shared" si="15"/>
        <v>0</v>
      </c>
      <c r="X94" s="737">
        <f t="shared" si="16"/>
        <v>0</v>
      </c>
      <c r="Y94" s="738">
        <f t="shared" si="17"/>
        <v>0</v>
      </c>
    </row>
    <row r="95" spans="1:25">
      <c r="A95" s="754" t="str">
        <f>'Func Future Subs 2015'!A95</f>
        <v>Joffre 535S</v>
      </c>
      <c r="B95" s="754">
        <f>'Func Future Subs 2015'!B95</f>
        <v>813</v>
      </c>
      <c r="C95" s="754">
        <f>'Func Future Subs 2015'!C95</f>
        <v>138</v>
      </c>
      <c r="D95" s="754">
        <f>'Func Future Subs 2015'!D95</f>
        <v>25</v>
      </c>
      <c r="E95" s="754" t="str">
        <f>'Func Future Subs 2015'!E95</f>
        <v>535S</v>
      </c>
      <c r="F95" s="754">
        <f>'Func Future Subs 2015'!F95</f>
        <v>5110999.9999999963</v>
      </c>
      <c r="G95" s="754" t="str">
        <f>'Func Future Subs 2015'!G95</f>
        <v>AltaLink</v>
      </c>
      <c r="H95" s="754">
        <f>'Func Future Subs 2015'!H95</f>
        <v>2017</v>
      </c>
      <c r="I95" s="306">
        <f>+IF($H95=I$2,VLOOKUP($G95,Depreciation!$A$14:$L$18,7,FALSE)/2,IF($H95&lt;I$2,VLOOKUP($G95,Depreciation!$A$14:$L$18,7,FALSE),0))</f>
        <v>0</v>
      </c>
      <c r="J95" s="306">
        <f>+IF($H95=J$2,VLOOKUP($G95,Depreciation!$A$14:$L$18,8,FALSE)/2,IF($H95&lt;J$2,VLOOKUP($G95,Depreciation!$A$14:$L$18,8,FALSE),0))</f>
        <v>0</v>
      </c>
      <c r="K95" s="306">
        <f>+IF($H95=K$2,VLOOKUP($G95,Depreciation!$A$14:$L$18,9,FALSE)/2,IF($H95&lt;K$2,VLOOKUP($G95,Depreciation!$A$14:$L$18,9,FALSE),0))</f>
        <v>1.671703928371859E-2</v>
      </c>
      <c r="L95" s="306">
        <f>+IF($H95=L$2,VLOOKUP($G95,Depreciation!$A$14:$L$18,10,FALSE)/2,IF($H95&lt;L$2,VLOOKUP($G95,Depreciation!$A$14:$L$18,10,FALSE),0))</f>
        <v>3.343407856743718E-2</v>
      </c>
      <c r="M95" s="306">
        <f>+IF($H95=M$2,VLOOKUP($G95,Depreciation!$A$14:$L$18,11,FALSE)/2,IF($H95&lt;M$2,VLOOKUP($G95,Depreciation!$A$14:$L$18,11,FALSE),0))</f>
        <v>3.343407856743718E-2</v>
      </c>
      <c r="N95" s="306">
        <f>+IF($H95=N$2,VLOOKUP($G95,Depreciation!$A$14:$L$18,12,FALSE)/2,IF($H95&lt;N$2,VLOOKUP($G95,Depreciation!$A$14:$L$18,12,FALSE),0))</f>
        <v>3.343407856743718E-2</v>
      </c>
      <c r="O95" s="307">
        <f t="shared" si="10"/>
        <v>0</v>
      </c>
      <c r="P95" s="732">
        <f>'Func Future Subs 2015'!P95</f>
        <v>0.7403207006269098</v>
      </c>
      <c r="Q95" s="732">
        <f>'Func Future Subs 2015'!Q95</f>
        <v>0.25967929937309009</v>
      </c>
      <c r="R95" s="732">
        <f>'Func Future Subs 2015'!R95</f>
        <v>0</v>
      </c>
      <c r="S95" s="735">
        <f t="shared" si="11"/>
        <v>0</v>
      </c>
      <c r="T95" s="735">
        <f t="shared" si="12"/>
        <v>0</v>
      </c>
      <c r="U95" s="735">
        <f t="shared" si="13"/>
        <v>0</v>
      </c>
      <c r="V95" s="736">
        <f t="shared" si="14"/>
        <v>0</v>
      </c>
      <c r="W95" s="735">
        <f t="shared" si="15"/>
        <v>0</v>
      </c>
      <c r="X95" s="737">
        <f t="shared" si="16"/>
        <v>0</v>
      </c>
      <c r="Y95" s="738">
        <f t="shared" si="17"/>
        <v>0</v>
      </c>
    </row>
    <row r="96" spans="1:25">
      <c r="A96" s="754" t="str">
        <f>'Func Future Subs 2015'!A96</f>
        <v xml:space="preserve">Joffre 535S  </v>
      </c>
      <c r="B96" s="754">
        <f>'Func Future Subs 2015'!B96</f>
        <v>813</v>
      </c>
      <c r="C96" s="754">
        <f>'Func Future Subs 2015'!C96</f>
        <v>138</v>
      </c>
      <c r="D96" s="754">
        <f>'Func Future Subs 2015'!D96</f>
        <v>25</v>
      </c>
      <c r="E96" s="754" t="str">
        <f>'Func Future Subs 2015'!E96</f>
        <v>535S</v>
      </c>
      <c r="F96" s="754">
        <f>'Func Future Subs 2015'!F96</f>
        <v>974788.85374631989</v>
      </c>
      <c r="G96" s="754" t="str">
        <f>'Func Future Subs 2015'!G96</f>
        <v>AltaLink</v>
      </c>
      <c r="H96" s="754">
        <f>'Func Future Subs 2015'!H96</f>
        <v>2017</v>
      </c>
      <c r="I96" s="306">
        <f>+IF($H96=I$2,VLOOKUP($G96,Depreciation!$A$14:$L$18,7,FALSE)/2,IF($H96&lt;I$2,VLOOKUP($G96,Depreciation!$A$14:$L$18,7,FALSE),0))</f>
        <v>0</v>
      </c>
      <c r="J96" s="306">
        <f>+IF($H96=J$2,VLOOKUP($G96,Depreciation!$A$14:$L$18,8,FALSE)/2,IF($H96&lt;J$2,VLOOKUP($G96,Depreciation!$A$14:$L$18,8,FALSE),0))</f>
        <v>0</v>
      </c>
      <c r="K96" s="306">
        <f>+IF($H96=K$2,VLOOKUP($G96,Depreciation!$A$14:$L$18,9,FALSE)/2,IF($H96&lt;K$2,VLOOKUP($G96,Depreciation!$A$14:$L$18,9,FALSE),0))</f>
        <v>1.671703928371859E-2</v>
      </c>
      <c r="L96" s="306">
        <f>+IF($H96=L$2,VLOOKUP($G96,Depreciation!$A$14:$L$18,10,FALSE)/2,IF($H96&lt;L$2,VLOOKUP($G96,Depreciation!$A$14:$L$18,10,FALSE),0))</f>
        <v>3.343407856743718E-2</v>
      </c>
      <c r="M96" s="306">
        <f>+IF($H96=M$2,VLOOKUP($G96,Depreciation!$A$14:$L$18,11,FALSE)/2,IF($H96&lt;M$2,VLOOKUP($G96,Depreciation!$A$14:$L$18,11,FALSE),0))</f>
        <v>3.343407856743718E-2</v>
      </c>
      <c r="N96" s="306">
        <f>+IF($H96=N$2,VLOOKUP($G96,Depreciation!$A$14:$L$18,12,FALSE)/2,IF($H96&lt;N$2,VLOOKUP($G96,Depreciation!$A$14:$L$18,12,FALSE),0))</f>
        <v>3.343407856743718E-2</v>
      </c>
      <c r="O96" s="307">
        <f t="shared" si="10"/>
        <v>0</v>
      </c>
      <c r="P96" s="732">
        <f>'Func Future Subs 2015'!P96</f>
        <v>0.7403207006269098</v>
      </c>
      <c r="Q96" s="732">
        <f>'Func Future Subs 2015'!Q96</f>
        <v>0.25967929937309009</v>
      </c>
      <c r="R96" s="732">
        <f>'Func Future Subs 2015'!R96</f>
        <v>0</v>
      </c>
      <c r="S96" s="735">
        <f t="shared" si="11"/>
        <v>0</v>
      </c>
      <c r="T96" s="735">
        <f t="shared" si="12"/>
        <v>0</v>
      </c>
      <c r="U96" s="735">
        <f t="shared" si="13"/>
        <v>0</v>
      </c>
      <c r="V96" s="736">
        <f t="shared" si="14"/>
        <v>0</v>
      </c>
      <c r="W96" s="735">
        <f t="shared" si="15"/>
        <v>0</v>
      </c>
      <c r="X96" s="737">
        <f t="shared" si="16"/>
        <v>0</v>
      </c>
      <c r="Y96" s="738">
        <f t="shared" si="17"/>
        <v>0</v>
      </c>
    </row>
    <row r="97" spans="1:25">
      <c r="A97" s="754" t="str">
        <f>'Func Future Subs 2015'!A97</f>
        <v>Johnson 281S</v>
      </c>
      <c r="B97" s="754">
        <f>'Func Future Subs 2015'!B97</f>
        <v>813</v>
      </c>
      <c r="C97" s="754">
        <f>'Func Future Subs 2015'!C97</f>
        <v>240</v>
      </c>
      <c r="D97" s="754">
        <f>'Func Future Subs 2015'!D97</f>
        <v>138</v>
      </c>
      <c r="E97" s="754" t="str">
        <f>'Func Future Subs 2015'!E97</f>
        <v>281S</v>
      </c>
      <c r="F97" s="754">
        <f>'Func Future Subs 2015'!F97</f>
        <v>27577507.379525296</v>
      </c>
      <c r="G97" s="754" t="str">
        <f>'Func Future Subs 2015'!G97</f>
        <v>AltaLink</v>
      </c>
      <c r="H97" s="754">
        <f>'Func Future Subs 2015'!H97</f>
        <v>2017</v>
      </c>
      <c r="I97" s="306">
        <f>+IF($H97=I$2,VLOOKUP($G97,Depreciation!$A$14:$L$18,7,FALSE)/2,IF($H97&lt;I$2,VLOOKUP($G97,Depreciation!$A$14:$L$18,7,FALSE),0))</f>
        <v>0</v>
      </c>
      <c r="J97" s="306">
        <f>+IF($H97=J$2,VLOOKUP($G97,Depreciation!$A$14:$L$18,8,FALSE)/2,IF($H97&lt;J$2,VLOOKUP($G97,Depreciation!$A$14:$L$18,8,FALSE),0))</f>
        <v>0</v>
      </c>
      <c r="K97" s="306">
        <f>+IF($H97=K$2,VLOOKUP($G97,Depreciation!$A$14:$L$18,9,FALSE)/2,IF($H97&lt;K$2,VLOOKUP($G97,Depreciation!$A$14:$L$18,9,FALSE),0))</f>
        <v>1.671703928371859E-2</v>
      </c>
      <c r="L97" s="306">
        <f>+IF($H97=L$2,VLOOKUP($G97,Depreciation!$A$14:$L$18,10,FALSE)/2,IF($H97&lt;L$2,VLOOKUP($G97,Depreciation!$A$14:$L$18,10,FALSE),0))</f>
        <v>3.343407856743718E-2</v>
      </c>
      <c r="M97" s="306">
        <f>+IF($H97=M$2,VLOOKUP($G97,Depreciation!$A$14:$L$18,11,FALSE)/2,IF($H97&lt;M$2,VLOOKUP($G97,Depreciation!$A$14:$L$18,11,FALSE),0))</f>
        <v>3.343407856743718E-2</v>
      </c>
      <c r="N97" s="306">
        <f>+IF($H97=N$2,VLOOKUP($G97,Depreciation!$A$14:$L$18,12,FALSE)/2,IF($H97&lt;N$2,VLOOKUP($G97,Depreciation!$A$14:$L$18,12,FALSE),0))</f>
        <v>3.343407856743718E-2</v>
      </c>
      <c r="O97" s="307">
        <f t="shared" si="10"/>
        <v>0</v>
      </c>
      <c r="P97" s="732">
        <f>'Func Future Subs 2015'!P97</f>
        <v>0</v>
      </c>
      <c r="Q97" s="732">
        <f>'Func Future Subs 2015'!Q97</f>
        <v>0</v>
      </c>
      <c r="R97" s="732">
        <f>'Func Future Subs 2015'!R97</f>
        <v>1</v>
      </c>
      <c r="S97" s="735">
        <f t="shared" si="11"/>
        <v>0</v>
      </c>
      <c r="T97" s="735">
        <f t="shared" si="12"/>
        <v>0</v>
      </c>
      <c r="U97" s="735">
        <f t="shared" si="13"/>
        <v>0</v>
      </c>
      <c r="V97" s="736">
        <f t="shared" si="14"/>
        <v>0</v>
      </c>
      <c r="W97" s="735">
        <f t="shared" si="15"/>
        <v>0</v>
      </c>
      <c r="X97" s="737">
        <f t="shared" si="16"/>
        <v>0</v>
      </c>
      <c r="Y97" s="738">
        <f t="shared" si="17"/>
        <v>0</v>
      </c>
    </row>
    <row r="98" spans="1:25">
      <c r="A98" s="754" t="str">
        <f>'Func Future Subs 2015'!A98</f>
        <v>N.E. Lacombe 212S</v>
      </c>
      <c r="B98" s="754">
        <f>'Func Future Subs 2015'!B98</f>
        <v>813</v>
      </c>
      <c r="C98" s="754">
        <f>'Func Future Subs 2015'!C98</f>
        <v>138</v>
      </c>
      <c r="D98" s="754">
        <f>'Func Future Subs 2015'!D98</f>
        <v>25</v>
      </c>
      <c r="E98" s="754" t="str">
        <f>'Func Future Subs 2015'!E98</f>
        <v>212S</v>
      </c>
      <c r="F98" s="754">
        <f>'Func Future Subs 2015'!F98</f>
        <v>5363344.9628386488</v>
      </c>
      <c r="G98" s="754" t="str">
        <f>'Func Future Subs 2015'!G98</f>
        <v>AltaLink</v>
      </c>
      <c r="H98" s="754">
        <f>'Func Future Subs 2015'!H98</f>
        <v>2017</v>
      </c>
      <c r="I98" s="306">
        <f>+IF($H98=I$2,VLOOKUP($G98,Depreciation!$A$14:$L$18,7,FALSE)/2,IF($H98&lt;I$2,VLOOKUP($G98,Depreciation!$A$14:$L$18,7,FALSE),0))</f>
        <v>0</v>
      </c>
      <c r="J98" s="306">
        <f>+IF($H98=J$2,VLOOKUP($G98,Depreciation!$A$14:$L$18,8,FALSE)/2,IF($H98&lt;J$2,VLOOKUP($G98,Depreciation!$A$14:$L$18,8,FALSE),0))</f>
        <v>0</v>
      </c>
      <c r="K98" s="306">
        <f>+IF($H98=K$2,VLOOKUP($G98,Depreciation!$A$14:$L$18,9,FALSE)/2,IF($H98&lt;K$2,VLOOKUP($G98,Depreciation!$A$14:$L$18,9,FALSE),0))</f>
        <v>1.671703928371859E-2</v>
      </c>
      <c r="L98" s="306">
        <f>+IF($H98=L$2,VLOOKUP($G98,Depreciation!$A$14:$L$18,10,FALSE)/2,IF($H98&lt;L$2,VLOOKUP($G98,Depreciation!$A$14:$L$18,10,FALSE),0))</f>
        <v>3.343407856743718E-2</v>
      </c>
      <c r="M98" s="306">
        <f>+IF($H98=M$2,VLOOKUP($G98,Depreciation!$A$14:$L$18,11,FALSE)/2,IF($H98&lt;M$2,VLOOKUP($G98,Depreciation!$A$14:$L$18,11,FALSE),0))</f>
        <v>3.343407856743718E-2</v>
      </c>
      <c r="N98" s="306">
        <f>+IF($H98=N$2,VLOOKUP($G98,Depreciation!$A$14:$L$18,12,FALSE)/2,IF($H98&lt;N$2,VLOOKUP($G98,Depreciation!$A$14:$L$18,12,FALSE),0))</f>
        <v>3.343407856743718E-2</v>
      </c>
      <c r="O98" s="307">
        <f t="shared" si="10"/>
        <v>0</v>
      </c>
      <c r="P98" s="732">
        <f>'Func Future Subs 2015'!P98</f>
        <v>0</v>
      </c>
      <c r="Q98" s="732">
        <f>'Func Future Subs 2015'!Q98</f>
        <v>1</v>
      </c>
      <c r="R98" s="732">
        <f>'Func Future Subs 2015'!R98</f>
        <v>0</v>
      </c>
      <c r="S98" s="735">
        <f t="shared" si="11"/>
        <v>0</v>
      </c>
      <c r="T98" s="735">
        <f t="shared" si="12"/>
        <v>0</v>
      </c>
      <c r="U98" s="735">
        <f t="shared" si="13"/>
        <v>0</v>
      </c>
      <c r="V98" s="736">
        <f t="shared" si="14"/>
        <v>0</v>
      </c>
      <c r="W98" s="735">
        <f t="shared" si="15"/>
        <v>0</v>
      </c>
      <c r="X98" s="737">
        <f t="shared" si="16"/>
        <v>0</v>
      </c>
      <c r="Y98" s="738">
        <f t="shared" si="17"/>
        <v>0</v>
      </c>
    </row>
    <row r="99" spans="1:25">
      <c r="A99" s="754" t="str">
        <f>'Func Future Subs 2015'!A99</f>
        <v>New 240/138kV Substation Hazelwood 287S</v>
      </c>
      <c r="B99" s="754">
        <f>'Func Future Subs 2015'!B99</f>
        <v>813</v>
      </c>
      <c r="C99" s="754">
        <f>'Func Future Subs 2015'!C99</f>
        <v>240</v>
      </c>
      <c r="D99" s="754">
        <f>'Func Future Subs 2015'!D99</f>
        <v>0</v>
      </c>
      <c r="E99" s="754" t="str">
        <f>'Func Future Subs 2015'!E99</f>
        <v>287S</v>
      </c>
      <c r="F99" s="754">
        <f>'Func Future Subs 2015'!F99</f>
        <v>19156315.519322906</v>
      </c>
      <c r="G99" s="754" t="str">
        <f>'Func Future Subs 2015'!G99</f>
        <v>AltaLink</v>
      </c>
      <c r="H99" s="754">
        <f>'Func Future Subs 2015'!H99</f>
        <v>2017</v>
      </c>
      <c r="I99" s="306">
        <f>+IF($H99=I$2,VLOOKUP($G99,Depreciation!$A$14:$L$18,7,FALSE)/2,IF($H99&lt;I$2,VLOOKUP($G99,Depreciation!$A$14:$L$18,7,FALSE),0))</f>
        <v>0</v>
      </c>
      <c r="J99" s="306">
        <f>+IF($H99=J$2,VLOOKUP($G99,Depreciation!$A$14:$L$18,8,FALSE)/2,IF($H99&lt;J$2,VLOOKUP($G99,Depreciation!$A$14:$L$18,8,FALSE),0))</f>
        <v>0</v>
      </c>
      <c r="K99" s="306">
        <f>+IF($H99=K$2,VLOOKUP($G99,Depreciation!$A$14:$L$18,9,FALSE)/2,IF($H99&lt;K$2,VLOOKUP($G99,Depreciation!$A$14:$L$18,9,FALSE),0))</f>
        <v>1.671703928371859E-2</v>
      </c>
      <c r="L99" s="306">
        <f>+IF($H99=L$2,VLOOKUP($G99,Depreciation!$A$14:$L$18,10,FALSE)/2,IF($H99&lt;L$2,VLOOKUP($G99,Depreciation!$A$14:$L$18,10,FALSE),0))</f>
        <v>3.343407856743718E-2</v>
      </c>
      <c r="M99" s="306">
        <f>+IF($H99=M$2,VLOOKUP($G99,Depreciation!$A$14:$L$18,11,FALSE)/2,IF($H99&lt;M$2,VLOOKUP($G99,Depreciation!$A$14:$L$18,11,FALSE),0))</f>
        <v>3.343407856743718E-2</v>
      </c>
      <c r="N99" s="306">
        <f>+IF($H99=N$2,VLOOKUP($G99,Depreciation!$A$14:$L$18,12,FALSE)/2,IF($H99&lt;N$2,VLOOKUP($G99,Depreciation!$A$14:$L$18,12,FALSE),0))</f>
        <v>3.343407856743718E-2</v>
      </c>
      <c r="O99" s="307">
        <f t="shared" si="10"/>
        <v>0</v>
      </c>
      <c r="P99" s="732">
        <f>'Func Future Subs 2015'!P99</f>
        <v>0</v>
      </c>
      <c r="Q99" s="732">
        <f>'Func Future Subs 2015'!Q99</f>
        <v>0</v>
      </c>
      <c r="R99" s="732">
        <f>'Func Future Subs 2015'!R99</f>
        <v>1</v>
      </c>
      <c r="S99" s="735">
        <f t="shared" si="11"/>
        <v>0</v>
      </c>
      <c r="T99" s="735">
        <f t="shared" si="12"/>
        <v>0</v>
      </c>
      <c r="U99" s="735">
        <f t="shared" si="13"/>
        <v>0</v>
      </c>
      <c r="V99" s="736">
        <f t="shared" si="14"/>
        <v>0</v>
      </c>
      <c r="W99" s="735">
        <f t="shared" si="15"/>
        <v>0</v>
      </c>
      <c r="X99" s="737">
        <f t="shared" si="16"/>
        <v>0</v>
      </c>
      <c r="Y99" s="738">
        <f t="shared" si="17"/>
        <v>0</v>
      </c>
    </row>
    <row r="100" spans="1:25">
      <c r="A100" s="754" t="str">
        <f>'Func Future Subs 2015'!A100</f>
        <v>New 240/138kV Substation Johnson 281S</v>
      </c>
      <c r="B100" s="754">
        <f>'Func Future Subs 2015'!B100</f>
        <v>813</v>
      </c>
      <c r="C100" s="754">
        <f>'Func Future Subs 2015'!C100</f>
        <v>240</v>
      </c>
      <c r="D100" s="754">
        <f>'Func Future Subs 2015'!D100</f>
        <v>138</v>
      </c>
      <c r="E100" s="754" t="str">
        <f>'Func Future Subs 2015'!E100</f>
        <v>281S</v>
      </c>
      <c r="F100" s="754">
        <f>'Func Future Subs 2015'!F100</f>
        <v>20096056.343237866</v>
      </c>
      <c r="G100" s="754" t="str">
        <f>'Func Future Subs 2015'!G100</f>
        <v>AltaLink</v>
      </c>
      <c r="H100" s="754">
        <f>'Func Future Subs 2015'!H100</f>
        <v>2017</v>
      </c>
      <c r="I100" s="306">
        <f>+IF($H100=I$2,VLOOKUP($G100,Depreciation!$A$14:$L$18,7,FALSE)/2,IF($H100&lt;I$2,VLOOKUP($G100,Depreciation!$A$14:$L$18,7,FALSE),0))</f>
        <v>0</v>
      </c>
      <c r="J100" s="306">
        <f>+IF($H100=J$2,VLOOKUP($G100,Depreciation!$A$14:$L$18,8,FALSE)/2,IF($H100&lt;J$2,VLOOKUP($G100,Depreciation!$A$14:$L$18,8,FALSE),0))</f>
        <v>0</v>
      </c>
      <c r="K100" s="306">
        <f>+IF($H100=K$2,VLOOKUP($G100,Depreciation!$A$14:$L$18,9,FALSE)/2,IF($H100&lt;K$2,VLOOKUP($G100,Depreciation!$A$14:$L$18,9,FALSE),0))</f>
        <v>1.671703928371859E-2</v>
      </c>
      <c r="L100" s="306">
        <f>+IF($H100=L$2,VLOOKUP($G100,Depreciation!$A$14:$L$18,10,FALSE)/2,IF($H100&lt;L$2,VLOOKUP($G100,Depreciation!$A$14:$L$18,10,FALSE),0))</f>
        <v>3.343407856743718E-2</v>
      </c>
      <c r="M100" s="306">
        <f>+IF($H100=M$2,VLOOKUP($G100,Depreciation!$A$14:$L$18,11,FALSE)/2,IF($H100&lt;M$2,VLOOKUP($G100,Depreciation!$A$14:$L$18,11,FALSE),0))</f>
        <v>3.343407856743718E-2</v>
      </c>
      <c r="N100" s="306">
        <f>+IF($H100=N$2,VLOOKUP($G100,Depreciation!$A$14:$L$18,12,FALSE)/2,IF($H100&lt;N$2,VLOOKUP($G100,Depreciation!$A$14:$L$18,12,FALSE),0))</f>
        <v>3.343407856743718E-2</v>
      </c>
      <c r="O100" s="307">
        <f t="shared" si="10"/>
        <v>0</v>
      </c>
      <c r="P100" s="732">
        <f>'Func Future Subs 2015'!P100</f>
        <v>0</v>
      </c>
      <c r="Q100" s="732">
        <f>'Func Future Subs 2015'!Q100</f>
        <v>0</v>
      </c>
      <c r="R100" s="732">
        <f>'Func Future Subs 2015'!R100</f>
        <v>1</v>
      </c>
      <c r="S100" s="735">
        <f t="shared" si="11"/>
        <v>0</v>
      </c>
      <c r="T100" s="735">
        <f t="shared" si="12"/>
        <v>0</v>
      </c>
      <c r="U100" s="735">
        <f t="shared" si="13"/>
        <v>0</v>
      </c>
      <c r="V100" s="736">
        <f t="shared" si="14"/>
        <v>0</v>
      </c>
      <c r="W100" s="735">
        <f t="shared" si="15"/>
        <v>0</v>
      </c>
      <c r="X100" s="737">
        <f t="shared" si="16"/>
        <v>0</v>
      </c>
      <c r="Y100" s="738">
        <f t="shared" si="17"/>
        <v>0</v>
      </c>
    </row>
    <row r="101" spans="1:25">
      <c r="A101" s="754" t="str">
        <f>'Func Future Subs 2015'!A101</f>
        <v>New 240/138kV Substation Wolf Creek 288S</v>
      </c>
      <c r="B101" s="754">
        <f>'Func Future Subs 2015'!B101</f>
        <v>813</v>
      </c>
      <c r="C101" s="754">
        <f>'Func Future Subs 2015'!C101</f>
        <v>240</v>
      </c>
      <c r="D101" s="754">
        <f>'Func Future Subs 2015'!D101</f>
        <v>138</v>
      </c>
      <c r="E101" s="754" t="str">
        <f>'Func Future Subs 2015'!E101</f>
        <v>288S</v>
      </c>
      <c r="F101" s="754">
        <f>'Func Future Subs 2015'!F101</f>
        <v>16806672.487195268</v>
      </c>
      <c r="G101" s="754" t="str">
        <f>'Func Future Subs 2015'!G101</f>
        <v>AltaLink</v>
      </c>
      <c r="H101" s="754">
        <f>'Func Future Subs 2015'!H101</f>
        <v>2017</v>
      </c>
      <c r="I101" s="306">
        <f>+IF($H101=I$2,VLOOKUP($G101,Depreciation!$A$14:$L$18,7,FALSE)/2,IF($H101&lt;I$2,VLOOKUP($G101,Depreciation!$A$14:$L$18,7,FALSE),0))</f>
        <v>0</v>
      </c>
      <c r="J101" s="306">
        <f>+IF($H101=J$2,VLOOKUP($G101,Depreciation!$A$14:$L$18,8,FALSE)/2,IF($H101&lt;J$2,VLOOKUP($G101,Depreciation!$A$14:$L$18,8,FALSE),0))</f>
        <v>0</v>
      </c>
      <c r="K101" s="306">
        <f>+IF($H101=K$2,VLOOKUP($G101,Depreciation!$A$14:$L$18,9,FALSE)/2,IF($H101&lt;K$2,VLOOKUP($G101,Depreciation!$A$14:$L$18,9,FALSE),0))</f>
        <v>1.671703928371859E-2</v>
      </c>
      <c r="L101" s="306">
        <f>+IF($H101=L$2,VLOOKUP($G101,Depreciation!$A$14:$L$18,10,FALSE)/2,IF($H101&lt;L$2,VLOOKUP($G101,Depreciation!$A$14:$L$18,10,FALSE),0))</f>
        <v>3.343407856743718E-2</v>
      </c>
      <c r="M101" s="306">
        <f>+IF($H101=M$2,VLOOKUP($G101,Depreciation!$A$14:$L$18,11,FALSE)/2,IF($H101&lt;M$2,VLOOKUP($G101,Depreciation!$A$14:$L$18,11,FALSE),0))</f>
        <v>3.343407856743718E-2</v>
      </c>
      <c r="N101" s="306">
        <f>+IF($H101=N$2,VLOOKUP($G101,Depreciation!$A$14:$L$18,12,FALSE)/2,IF($H101&lt;N$2,VLOOKUP($G101,Depreciation!$A$14:$L$18,12,FALSE),0))</f>
        <v>3.343407856743718E-2</v>
      </c>
      <c r="O101" s="307">
        <f t="shared" si="10"/>
        <v>0</v>
      </c>
      <c r="P101" s="732">
        <f>'Func Future Subs 2015'!P101</f>
        <v>0</v>
      </c>
      <c r="Q101" s="732">
        <f>'Func Future Subs 2015'!Q101</f>
        <v>0</v>
      </c>
      <c r="R101" s="732">
        <f>'Func Future Subs 2015'!R101</f>
        <v>1</v>
      </c>
      <c r="S101" s="735">
        <f t="shared" si="11"/>
        <v>0</v>
      </c>
      <c r="T101" s="735">
        <f t="shared" si="12"/>
        <v>0</v>
      </c>
      <c r="U101" s="735">
        <f t="shared" si="13"/>
        <v>0</v>
      </c>
      <c r="V101" s="736">
        <f t="shared" si="14"/>
        <v>0</v>
      </c>
      <c r="W101" s="735">
        <f t="shared" si="15"/>
        <v>0</v>
      </c>
      <c r="X101" s="737">
        <f t="shared" si="16"/>
        <v>0</v>
      </c>
      <c r="Y101" s="738">
        <f t="shared" si="17"/>
        <v>0</v>
      </c>
    </row>
    <row r="102" spans="1:25">
      <c r="A102" s="754" t="str">
        <f>'Func Future Subs 2015'!A102</f>
        <v>New additions at Gaetz 87S</v>
      </c>
      <c r="B102" s="754">
        <f>'Func Future Subs 2015'!B102</f>
        <v>813</v>
      </c>
      <c r="C102" s="754">
        <f>'Func Future Subs 2015'!C102</f>
        <v>240</v>
      </c>
      <c r="D102" s="754">
        <f>'Func Future Subs 2015'!D102</f>
        <v>138</v>
      </c>
      <c r="E102" s="754" t="str">
        <f>'Func Future Subs 2015'!E102</f>
        <v>87S</v>
      </c>
      <c r="F102" s="754">
        <f>'Func Future Subs 2015'!F102</f>
        <v>2595668.490111751</v>
      </c>
      <c r="G102" s="754" t="str">
        <f>'Func Future Subs 2015'!G102</f>
        <v>AltaLink</v>
      </c>
      <c r="H102" s="754">
        <f>'Func Future Subs 2015'!H102</f>
        <v>2017</v>
      </c>
      <c r="I102" s="306">
        <f>+IF($H102=I$2,VLOOKUP($G102,Depreciation!$A$14:$L$18,7,FALSE)/2,IF($H102&lt;I$2,VLOOKUP($G102,Depreciation!$A$14:$L$18,7,FALSE),0))</f>
        <v>0</v>
      </c>
      <c r="J102" s="306">
        <f>+IF($H102=J$2,VLOOKUP($G102,Depreciation!$A$14:$L$18,8,FALSE)/2,IF($H102&lt;J$2,VLOOKUP($G102,Depreciation!$A$14:$L$18,8,FALSE),0))</f>
        <v>0</v>
      </c>
      <c r="K102" s="306">
        <f>+IF($H102=K$2,VLOOKUP($G102,Depreciation!$A$14:$L$18,9,FALSE)/2,IF($H102&lt;K$2,VLOOKUP($G102,Depreciation!$A$14:$L$18,9,FALSE),0))</f>
        <v>1.671703928371859E-2</v>
      </c>
      <c r="L102" s="306">
        <f>+IF($H102=L$2,VLOOKUP($G102,Depreciation!$A$14:$L$18,10,FALSE)/2,IF($H102&lt;L$2,VLOOKUP($G102,Depreciation!$A$14:$L$18,10,FALSE),0))</f>
        <v>3.343407856743718E-2</v>
      </c>
      <c r="M102" s="306">
        <f>+IF($H102=M$2,VLOOKUP($G102,Depreciation!$A$14:$L$18,11,FALSE)/2,IF($H102&lt;M$2,VLOOKUP($G102,Depreciation!$A$14:$L$18,11,FALSE),0))</f>
        <v>3.343407856743718E-2</v>
      </c>
      <c r="N102" s="306">
        <f>+IF($H102=N$2,VLOOKUP($G102,Depreciation!$A$14:$L$18,12,FALSE)/2,IF($H102&lt;N$2,VLOOKUP($G102,Depreciation!$A$14:$L$18,12,FALSE),0))</f>
        <v>3.343407856743718E-2</v>
      </c>
      <c r="O102" s="307">
        <f t="shared" si="10"/>
        <v>0</v>
      </c>
      <c r="P102" s="732">
        <f>'Func Future Subs 2015'!P102</f>
        <v>0</v>
      </c>
      <c r="Q102" s="732">
        <f>'Func Future Subs 2015'!Q102</f>
        <v>0</v>
      </c>
      <c r="R102" s="732">
        <f>'Func Future Subs 2015'!R102</f>
        <v>1</v>
      </c>
      <c r="S102" s="735">
        <f t="shared" si="11"/>
        <v>0</v>
      </c>
      <c r="T102" s="735">
        <f t="shared" si="12"/>
        <v>0</v>
      </c>
      <c r="U102" s="735">
        <f t="shared" si="13"/>
        <v>0</v>
      </c>
      <c r="V102" s="736">
        <f t="shared" si="14"/>
        <v>0</v>
      </c>
      <c r="W102" s="735">
        <f t="shared" si="15"/>
        <v>0</v>
      </c>
      <c r="X102" s="737">
        <f t="shared" si="16"/>
        <v>0</v>
      </c>
      <c r="Y102" s="738">
        <f t="shared" si="17"/>
        <v>0</v>
      </c>
    </row>
    <row r="103" spans="1:25">
      <c r="A103" s="754" t="str">
        <f>'Func Future Subs 2015'!A103</f>
        <v>New additions at N.E Lacombe 212S</v>
      </c>
      <c r="B103" s="754">
        <f>'Func Future Subs 2015'!B103</f>
        <v>813</v>
      </c>
      <c r="C103" s="754">
        <f>'Func Future Subs 2015'!C103</f>
        <v>138</v>
      </c>
      <c r="D103" s="754">
        <f>'Func Future Subs 2015'!D103</f>
        <v>25</v>
      </c>
      <c r="E103" s="754" t="str">
        <f>'Func Future Subs 2015'!E103</f>
        <v>212S</v>
      </c>
      <c r="F103" s="754">
        <f>'Func Future Subs 2015'!F103</f>
        <v>3773036.0916385679</v>
      </c>
      <c r="G103" s="754" t="str">
        <f>'Func Future Subs 2015'!G103</f>
        <v>AltaLink</v>
      </c>
      <c r="H103" s="754">
        <f>'Func Future Subs 2015'!H103</f>
        <v>2017</v>
      </c>
      <c r="I103" s="306">
        <f>+IF($H103=I$2,VLOOKUP($G103,Depreciation!$A$14:$L$18,7,FALSE)/2,IF($H103&lt;I$2,VLOOKUP($G103,Depreciation!$A$14:$L$18,7,FALSE),0))</f>
        <v>0</v>
      </c>
      <c r="J103" s="306">
        <f>+IF($H103=J$2,VLOOKUP($G103,Depreciation!$A$14:$L$18,8,FALSE)/2,IF($H103&lt;J$2,VLOOKUP($G103,Depreciation!$A$14:$L$18,8,FALSE),0))</f>
        <v>0</v>
      </c>
      <c r="K103" s="306">
        <f>+IF($H103=K$2,VLOOKUP($G103,Depreciation!$A$14:$L$18,9,FALSE)/2,IF($H103&lt;K$2,VLOOKUP($G103,Depreciation!$A$14:$L$18,9,FALSE),0))</f>
        <v>1.671703928371859E-2</v>
      </c>
      <c r="L103" s="306">
        <f>+IF($H103=L$2,VLOOKUP($G103,Depreciation!$A$14:$L$18,10,FALSE)/2,IF($H103&lt;L$2,VLOOKUP($G103,Depreciation!$A$14:$L$18,10,FALSE),0))</f>
        <v>3.343407856743718E-2</v>
      </c>
      <c r="M103" s="306">
        <f>+IF($H103=M$2,VLOOKUP($G103,Depreciation!$A$14:$L$18,11,FALSE)/2,IF($H103&lt;M$2,VLOOKUP($G103,Depreciation!$A$14:$L$18,11,FALSE),0))</f>
        <v>3.343407856743718E-2</v>
      </c>
      <c r="N103" s="306">
        <f>+IF($H103=N$2,VLOOKUP($G103,Depreciation!$A$14:$L$18,12,FALSE)/2,IF($H103&lt;N$2,VLOOKUP($G103,Depreciation!$A$14:$L$18,12,FALSE),0))</f>
        <v>3.343407856743718E-2</v>
      </c>
      <c r="O103" s="307">
        <f t="shared" si="10"/>
        <v>0</v>
      </c>
      <c r="P103" s="732">
        <f>'Func Future Subs 2015'!P103</f>
        <v>0</v>
      </c>
      <c r="Q103" s="732">
        <f>'Func Future Subs 2015'!Q103</f>
        <v>1</v>
      </c>
      <c r="R103" s="732">
        <f>'Func Future Subs 2015'!R103</f>
        <v>0</v>
      </c>
      <c r="S103" s="735">
        <f t="shared" si="11"/>
        <v>0</v>
      </c>
      <c r="T103" s="735">
        <f t="shared" si="12"/>
        <v>0</v>
      </c>
      <c r="U103" s="735">
        <f t="shared" si="13"/>
        <v>0</v>
      </c>
      <c r="V103" s="736">
        <f t="shared" si="14"/>
        <v>0</v>
      </c>
      <c r="W103" s="735">
        <f t="shared" si="15"/>
        <v>0</v>
      </c>
      <c r="X103" s="737">
        <f t="shared" si="16"/>
        <v>0</v>
      </c>
      <c r="Y103" s="738">
        <f t="shared" si="17"/>
        <v>0</v>
      </c>
    </row>
    <row r="104" spans="1:25">
      <c r="A104" s="754" t="str">
        <f>'Func Future Subs 2015'!A104</f>
        <v>New Additions at North Red Deer 217S</v>
      </c>
      <c r="B104" s="754">
        <f>'Func Future Subs 2015'!B104</f>
        <v>813</v>
      </c>
      <c r="C104" s="754">
        <f>'Func Future Subs 2015'!C104</f>
        <v>138</v>
      </c>
      <c r="D104" s="754">
        <f>'Func Future Subs 2015'!D104</f>
        <v>25</v>
      </c>
      <c r="E104" s="754" t="str">
        <f>'Func Future Subs 2015'!E104</f>
        <v>217S</v>
      </c>
      <c r="F104" s="754">
        <f>'Func Future Subs 2015'!F104</f>
        <v>1453039.2523468195</v>
      </c>
      <c r="G104" s="754" t="str">
        <f>'Func Future Subs 2015'!G104</f>
        <v>AltaLink</v>
      </c>
      <c r="H104" s="754">
        <f>'Func Future Subs 2015'!H104</f>
        <v>2017</v>
      </c>
      <c r="I104" s="306">
        <f>+IF($H104=I$2,VLOOKUP($G104,Depreciation!$A$14:$L$18,7,FALSE)/2,IF($H104&lt;I$2,VLOOKUP($G104,Depreciation!$A$14:$L$18,7,FALSE),0))</f>
        <v>0</v>
      </c>
      <c r="J104" s="306">
        <f>+IF($H104=J$2,VLOOKUP($G104,Depreciation!$A$14:$L$18,8,FALSE)/2,IF($H104&lt;J$2,VLOOKUP($G104,Depreciation!$A$14:$L$18,8,FALSE),0))</f>
        <v>0</v>
      </c>
      <c r="K104" s="306">
        <f>+IF($H104=K$2,VLOOKUP($G104,Depreciation!$A$14:$L$18,9,FALSE)/2,IF($H104&lt;K$2,VLOOKUP($G104,Depreciation!$A$14:$L$18,9,FALSE),0))</f>
        <v>1.671703928371859E-2</v>
      </c>
      <c r="L104" s="306">
        <f>+IF($H104=L$2,VLOOKUP($G104,Depreciation!$A$14:$L$18,10,FALSE)/2,IF($H104&lt;L$2,VLOOKUP($G104,Depreciation!$A$14:$L$18,10,FALSE),0))</f>
        <v>3.343407856743718E-2</v>
      </c>
      <c r="M104" s="306">
        <f>+IF($H104=M$2,VLOOKUP($G104,Depreciation!$A$14:$L$18,11,FALSE)/2,IF($H104&lt;M$2,VLOOKUP($G104,Depreciation!$A$14:$L$18,11,FALSE),0))</f>
        <v>3.343407856743718E-2</v>
      </c>
      <c r="N104" s="306">
        <f>+IF($H104=N$2,VLOOKUP($G104,Depreciation!$A$14:$L$18,12,FALSE)/2,IF($H104&lt;N$2,VLOOKUP($G104,Depreciation!$A$14:$L$18,12,FALSE),0))</f>
        <v>3.343407856743718E-2</v>
      </c>
      <c r="O104" s="307">
        <f t="shared" si="10"/>
        <v>0</v>
      </c>
      <c r="P104" s="732">
        <f>'Func Future Subs 2015'!P104</f>
        <v>0</v>
      </c>
      <c r="Q104" s="732">
        <f>'Func Future Subs 2015'!Q104</f>
        <v>1</v>
      </c>
      <c r="R104" s="732">
        <f>'Func Future Subs 2015'!R104</f>
        <v>0</v>
      </c>
      <c r="S104" s="735">
        <f t="shared" si="11"/>
        <v>0</v>
      </c>
      <c r="T104" s="735">
        <f t="shared" si="12"/>
        <v>0</v>
      </c>
      <c r="U104" s="735">
        <f t="shared" si="13"/>
        <v>0</v>
      </c>
      <c r="V104" s="736">
        <f t="shared" si="14"/>
        <v>0</v>
      </c>
      <c r="W104" s="735">
        <f t="shared" si="15"/>
        <v>0</v>
      </c>
      <c r="X104" s="737">
        <f t="shared" si="16"/>
        <v>0</v>
      </c>
      <c r="Y104" s="738">
        <f t="shared" si="17"/>
        <v>0</v>
      </c>
    </row>
    <row r="105" spans="1:25">
      <c r="A105" s="754" t="str">
        <f>'Func Future Subs 2015'!A105</f>
        <v>New Additions at North Red Deer 217S (dev10)</v>
      </c>
      <c r="B105" s="754">
        <f>'Func Future Subs 2015'!B105</f>
        <v>813</v>
      </c>
      <c r="C105" s="754">
        <f>'Func Future Subs 2015'!C105</f>
        <v>138</v>
      </c>
      <c r="D105" s="754">
        <f>'Func Future Subs 2015'!D105</f>
        <v>25</v>
      </c>
      <c r="E105" s="754" t="str">
        <f>'Func Future Subs 2015'!E105</f>
        <v>217S</v>
      </c>
      <c r="F105" s="754">
        <f>'Func Future Subs 2015'!F105</f>
        <v>1479296.8070426565</v>
      </c>
      <c r="G105" s="754" t="str">
        <f>'Func Future Subs 2015'!G105</f>
        <v>AltaLink</v>
      </c>
      <c r="H105" s="754">
        <f>'Func Future Subs 2015'!H105</f>
        <v>2017</v>
      </c>
      <c r="I105" s="306">
        <f>+IF($H105=I$2,VLOOKUP($G105,Depreciation!$A$14:$L$18,7,FALSE)/2,IF($H105&lt;I$2,VLOOKUP($G105,Depreciation!$A$14:$L$18,7,FALSE),0))</f>
        <v>0</v>
      </c>
      <c r="J105" s="306">
        <f>+IF($H105=J$2,VLOOKUP($G105,Depreciation!$A$14:$L$18,8,FALSE)/2,IF($H105&lt;J$2,VLOOKUP($G105,Depreciation!$A$14:$L$18,8,FALSE),0))</f>
        <v>0</v>
      </c>
      <c r="K105" s="306">
        <f>+IF($H105=K$2,VLOOKUP($G105,Depreciation!$A$14:$L$18,9,FALSE)/2,IF($H105&lt;K$2,VLOOKUP($G105,Depreciation!$A$14:$L$18,9,FALSE),0))</f>
        <v>1.671703928371859E-2</v>
      </c>
      <c r="L105" s="306">
        <f>+IF($H105=L$2,VLOOKUP($G105,Depreciation!$A$14:$L$18,10,FALSE)/2,IF($H105&lt;L$2,VLOOKUP($G105,Depreciation!$A$14:$L$18,10,FALSE),0))</f>
        <v>3.343407856743718E-2</v>
      </c>
      <c r="M105" s="306">
        <f>+IF($H105=M$2,VLOOKUP($G105,Depreciation!$A$14:$L$18,11,FALSE)/2,IF($H105&lt;M$2,VLOOKUP($G105,Depreciation!$A$14:$L$18,11,FALSE),0))</f>
        <v>3.343407856743718E-2</v>
      </c>
      <c r="N105" s="306">
        <f>+IF($H105=N$2,VLOOKUP($G105,Depreciation!$A$14:$L$18,12,FALSE)/2,IF($H105&lt;N$2,VLOOKUP($G105,Depreciation!$A$14:$L$18,12,FALSE),0))</f>
        <v>3.343407856743718E-2</v>
      </c>
      <c r="O105" s="307">
        <f t="shared" si="10"/>
        <v>0</v>
      </c>
      <c r="P105" s="732">
        <f>'Func Future Subs 2015'!P105</f>
        <v>0</v>
      </c>
      <c r="Q105" s="732">
        <f>'Func Future Subs 2015'!Q105</f>
        <v>1</v>
      </c>
      <c r="R105" s="732">
        <f>'Func Future Subs 2015'!R105</f>
        <v>0</v>
      </c>
      <c r="S105" s="735">
        <f t="shared" si="11"/>
        <v>0</v>
      </c>
      <c r="T105" s="735">
        <f t="shared" si="12"/>
        <v>0</v>
      </c>
      <c r="U105" s="735">
        <f t="shared" si="13"/>
        <v>0</v>
      </c>
      <c r="V105" s="736">
        <f t="shared" si="14"/>
        <v>0</v>
      </c>
      <c r="W105" s="735">
        <f t="shared" si="15"/>
        <v>0</v>
      </c>
      <c r="X105" s="737">
        <f t="shared" si="16"/>
        <v>0</v>
      </c>
      <c r="Y105" s="738">
        <f t="shared" si="17"/>
        <v>0</v>
      </c>
    </row>
    <row r="106" spans="1:25">
      <c r="A106" s="754" t="str">
        <f>'Func Future Subs 2015'!A106</f>
        <v>North Red Deer 217S</v>
      </c>
      <c r="B106" s="754">
        <f>'Func Future Subs 2015'!B106</f>
        <v>813</v>
      </c>
      <c r="C106" s="754">
        <f>'Func Future Subs 2015'!C106</f>
        <v>138</v>
      </c>
      <c r="D106" s="754">
        <f>'Func Future Subs 2015'!D106</f>
        <v>25</v>
      </c>
      <c r="E106" s="754" t="str">
        <f>'Func Future Subs 2015'!E106</f>
        <v>217S</v>
      </c>
      <c r="F106" s="754">
        <f>'Func Future Subs 2015'!F106</f>
        <v>187594.25782528098</v>
      </c>
      <c r="G106" s="754" t="str">
        <f>'Func Future Subs 2015'!G106</f>
        <v>AltaLink</v>
      </c>
      <c r="H106" s="754">
        <f>'Func Future Subs 2015'!H106</f>
        <v>2017</v>
      </c>
      <c r="I106" s="306">
        <f>+IF($H106=I$2,VLOOKUP($G106,Depreciation!$A$14:$L$18,7,FALSE)/2,IF($H106&lt;I$2,VLOOKUP($G106,Depreciation!$A$14:$L$18,7,FALSE),0))</f>
        <v>0</v>
      </c>
      <c r="J106" s="306">
        <f>+IF($H106=J$2,VLOOKUP($G106,Depreciation!$A$14:$L$18,8,FALSE)/2,IF($H106&lt;J$2,VLOOKUP($G106,Depreciation!$A$14:$L$18,8,FALSE),0))</f>
        <v>0</v>
      </c>
      <c r="K106" s="306">
        <f>+IF($H106=K$2,VLOOKUP($G106,Depreciation!$A$14:$L$18,9,FALSE)/2,IF($H106&lt;K$2,VLOOKUP($G106,Depreciation!$A$14:$L$18,9,FALSE),0))</f>
        <v>1.671703928371859E-2</v>
      </c>
      <c r="L106" s="306">
        <f>+IF($H106=L$2,VLOOKUP($G106,Depreciation!$A$14:$L$18,10,FALSE)/2,IF($H106&lt;L$2,VLOOKUP($G106,Depreciation!$A$14:$L$18,10,FALSE),0))</f>
        <v>3.343407856743718E-2</v>
      </c>
      <c r="M106" s="306">
        <f>+IF($H106=M$2,VLOOKUP($G106,Depreciation!$A$14:$L$18,11,FALSE)/2,IF($H106&lt;M$2,VLOOKUP($G106,Depreciation!$A$14:$L$18,11,FALSE),0))</f>
        <v>3.343407856743718E-2</v>
      </c>
      <c r="N106" s="306">
        <f>+IF($H106=N$2,VLOOKUP($G106,Depreciation!$A$14:$L$18,12,FALSE)/2,IF($H106&lt;N$2,VLOOKUP($G106,Depreciation!$A$14:$L$18,12,FALSE),0))</f>
        <v>3.343407856743718E-2</v>
      </c>
      <c r="O106" s="307">
        <f t="shared" si="10"/>
        <v>0</v>
      </c>
      <c r="P106" s="732">
        <f>'Func Future Subs 2015'!P106</f>
        <v>0</v>
      </c>
      <c r="Q106" s="732">
        <f>'Func Future Subs 2015'!Q106</f>
        <v>1</v>
      </c>
      <c r="R106" s="732">
        <f>'Func Future Subs 2015'!R106</f>
        <v>0</v>
      </c>
      <c r="S106" s="735">
        <f t="shared" si="11"/>
        <v>0</v>
      </c>
      <c r="T106" s="735">
        <f t="shared" si="12"/>
        <v>0</v>
      </c>
      <c r="U106" s="735">
        <f t="shared" si="13"/>
        <v>0</v>
      </c>
      <c r="V106" s="736">
        <f t="shared" si="14"/>
        <v>0</v>
      </c>
      <c r="W106" s="735">
        <f t="shared" si="15"/>
        <v>0</v>
      </c>
      <c r="X106" s="737">
        <f t="shared" si="16"/>
        <v>0</v>
      </c>
      <c r="Y106" s="738">
        <f t="shared" si="17"/>
        <v>0</v>
      </c>
    </row>
    <row r="107" spans="1:25">
      <c r="A107" s="754" t="str">
        <f>'Func Future Subs 2015'!A107</f>
        <v>Olds 55S (GD Hazel)</v>
      </c>
      <c r="B107" s="754">
        <f>'Func Future Subs 2015'!B107</f>
        <v>813</v>
      </c>
      <c r="C107" s="754">
        <f>'Func Future Subs 2015'!C107</f>
        <v>138</v>
      </c>
      <c r="D107" s="754">
        <f>'Func Future Subs 2015'!D107</f>
        <v>25</v>
      </c>
      <c r="E107" s="754" t="str">
        <f>'Func Future Subs 2015'!E107</f>
        <v>55S</v>
      </c>
      <c r="F107" s="754">
        <f>'Func Future Subs 2015'!F107</f>
        <v>98109.968832414306</v>
      </c>
      <c r="G107" s="754" t="str">
        <f>'Func Future Subs 2015'!G107</f>
        <v>AltaLink</v>
      </c>
      <c r="H107" s="754">
        <f>'Func Future Subs 2015'!H107</f>
        <v>2017</v>
      </c>
      <c r="I107" s="306">
        <f>+IF($H107=I$2,VLOOKUP($G107,Depreciation!$A$14:$L$18,7,FALSE)/2,IF($H107&lt;I$2,VLOOKUP($G107,Depreciation!$A$14:$L$18,7,FALSE),0))</f>
        <v>0</v>
      </c>
      <c r="J107" s="306">
        <f>+IF($H107=J$2,VLOOKUP($G107,Depreciation!$A$14:$L$18,8,FALSE)/2,IF($H107&lt;J$2,VLOOKUP($G107,Depreciation!$A$14:$L$18,8,FALSE),0))</f>
        <v>0</v>
      </c>
      <c r="K107" s="306">
        <f>+IF($H107=K$2,VLOOKUP($G107,Depreciation!$A$14:$L$18,9,FALSE)/2,IF($H107&lt;K$2,VLOOKUP($G107,Depreciation!$A$14:$L$18,9,FALSE),0))</f>
        <v>1.671703928371859E-2</v>
      </c>
      <c r="L107" s="306">
        <f>+IF($H107=L$2,VLOOKUP($G107,Depreciation!$A$14:$L$18,10,FALSE)/2,IF($H107&lt;L$2,VLOOKUP($G107,Depreciation!$A$14:$L$18,10,FALSE),0))</f>
        <v>3.343407856743718E-2</v>
      </c>
      <c r="M107" s="306">
        <f>+IF($H107=M$2,VLOOKUP($G107,Depreciation!$A$14:$L$18,11,FALSE)/2,IF($H107&lt;M$2,VLOOKUP($G107,Depreciation!$A$14:$L$18,11,FALSE),0))</f>
        <v>3.343407856743718E-2</v>
      </c>
      <c r="N107" s="306">
        <f>+IF($H107=N$2,VLOOKUP($G107,Depreciation!$A$14:$L$18,12,FALSE)/2,IF($H107&lt;N$2,VLOOKUP($G107,Depreciation!$A$14:$L$18,12,FALSE),0))</f>
        <v>3.343407856743718E-2</v>
      </c>
      <c r="O107" s="307">
        <f t="shared" si="10"/>
        <v>0</v>
      </c>
      <c r="P107" s="732">
        <f>'Func Future Subs 2015'!P107</f>
        <v>0</v>
      </c>
      <c r="Q107" s="732">
        <f>'Func Future Subs 2015'!Q107</f>
        <v>1</v>
      </c>
      <c r="R107" s="732">
        <f>'Func Future Subs 2015'!R107</f>
        <v>0</v>
      </c>
      <c r="S107" s="735">
        <f t="shared" si="11"/>
        <v>0</v>
      </c>
      <c r="T107" s="735">
        <f t="shared" si="12"/>
        <v>0</v>
      </c>
      <c r="U107" s="735">
        <f t="shared" si="13"/>
        <v>0</v>
      </c>
      <c r="V107" s="736">
        <f t="shared" si="14"/>
        <v>0</v>
      </c>
      <c r="W107" s="735">
        <f t="shared" si="15"/>
        <v>0</v>
      </c>
      <c r="X107" s="737">
        <f t="shared" si="16"/>
        <v>0</v>
      </c>
      <c r="Y107" s="738">
        <f t="shared" si="17"/>
        <v>0</v>
      </c>
    </row>
    <row r="108" spans="1:25">
      <c r="A108" s="754" t="str">
        <f>'Func Future Subs 2015'!A108</f>
        <v>Olds 55S (GD Johnson)</v>
      </c>
      <c r="B108" s="754">
        <f>'Func Future Subs 2015'!B108</f>
        <v>813</v>
      </c>
      <c r="C108" s="754">
        <f>'Func Future Subs 2015'!C108</f>
        <v>240</v>
      </c>
      <c r="D108" s="754">
        <f>'Func Future Subs 2015'!D108</f>
        <v>25</v>
      </c>
      <c r="E108" s="754" t="str">
        <f>'Func Future Subs 2015'!E108</f>
        <v>55S</v>
      </c>
      <c r="F108" s="754">
        <f>'Func Future Subs 2015'!F108</f>
        <v>390718.64780628151</v>
      </c>
      <c r="G108" s="754" t="str">
        <f>'Func Future Subs 2015'!G108</f>
        <v>AltaLink</v>
      </c>
      <c r="H108" s="754">
        <f>'Func Future Subs 2015'!H108</f>
        <v>2017</v>
      </c>
      <c r="I108" s="306">
        <f>+IF($H108=I$2,VLOOKUP($G108,Depreciation!$A$14:$L$18,7,FALSE)/2,IF($H108&lt;I$2,VLOOKUP($G108,Depreciation!$A$14:$L$18,7,FALSE),0))</f>
        <v>0</v>
      </c>
      <c r="J108" s="306">
        <f>+IF($H108=J$2,VLOOKUP($G108,Depreciation!$A$14:$L$18,8,FALSE)/2,IF($H108&lt;J$2,VLOOKUP($G108,Depreciation!$A$14:$L$18,8,FALSE),0))</f>
        <v>0</v>
      </c>
      <c r="K108" s="306">
        <f>+IF($H108=K$2,VLOOKUP($G108,Depreciation!$A$14:$L$18,9,FALSE)/2,IF($H108&lt;K$2,VLOOKUP($G108,Depreciation!$A$14:$L$18,9,FALSE),0))</f>
        <v>1.671703928371859E-2</v>
      </c>
      <c r="L108" s="306">
        <f>+IF($H108=L$2,VLOOKUP($G108,Depreciation!$A$14:$L$18,10,FALSE)/2,IF($H108&lt;L$2,VLOOKUP($G108,Depreciation!$A$14:$L$18,10,FALSE),0))</f>
        <v>3.343407856743718E-2</v>
      </c>
      <c r="M108" s="306">
        <f>+IF($H108=M$2,VLOOKUP($G108,Depreciation!$A$14:$L$18,11,FALSE)/2,IF($H108&lt;M$2,VLOOKUP($G108,Depreciation!$A$14:$L$18,11,FALSE),0))</f>
        <v>3.343407856743718E-2</v>
      </c>
      <c r="N108" s="306">
        <f>+IF($H108=N$2,VLOOKUP($G108,Depreciation!$A$14:$L$18,12,FALSE)/2,IF($H108&lt;N$2,VLOOKUP($G108,Depreciation!$A$14:$L$18,12,FALSE),0))</f>
        <v>3.343407856743718E-2</v>
      </c>
      <c r="O108" s="307">
        <f t="shared" si="10"/>
        <v>0</v>
      </c>
      <c r="P108" s="732">
        <f>'Func Future Subs 2015'!P108</f>
        <v>0</v>
      </c>
      <c r="Q108" s="732">
        <f>'Func Future Subs 2015'!Q108</f>
        <v>1</v>
      </c>
      <c r="R108" s="732">
        <f>'Func Future Subs 2015'!R108</f>
        <v>0</v>
      </c>
      <c r="S108" s="735">
        <f t="shared" si="11"/>
        <v>0</v>
      </c>
      <c r="T108" s="735">
        <f t="shared" si="12"/>
        <v>0</v>
      </c>
      <c r="U108" s="735">
        <f t="shared" si="13"/>
        <v>0</v>
      </c>
      <c r="V108" s="736">
        <f t="shared" si="14"/>
        <v>0</v>
      </c>
      <c r="W108" s="735">
        <f t="shared" si="15"/>
        <v>0</v>
      </c>
      <c r="X108" s="737">
        <f t="shared" si="16"/>
        <v>0</v>
      </c>
      <c r="Y108" s="738">
        <f t="shared" si="17"/>
        <v>0</v>
      </c>
    </row>
    <row r="109" spans="1:25">
      <c r="A109" s="754" t="str">
        <f>'Func Future Subs 2015'!A109</f>
        <v>Piper Creek 247S</v>
      </c>
      <c r="B109" s="754">
        <f>'Func Future Subs 2015'!B109</f>
        <v>813</v>
      </c>
      <c r="C109" s="754">
        <f>'Func Future Subs 2015'!C109</f>
        <v>138</v>
      </c>
      <c r="D109" s="754">
        <f>'Func Future Subs 2015'!D109</f>
        <v>138</v>
      </c>
      <c r="E109" s="754" t="str">
        <f>'Func Future Subs 2015'!E109</f>
        <v>247S</v>
      </c>
      <c r="F109" s="754">
        <f>'Func Future Subs 2015'!F109</f>
        <v>1998667.7936525263</v>
      </c>
      <c r="G109" s="754" t="str">
        <f>'Func Future Subs 2015'!G109</f>
        <v>AltaLink</v>
      </c>
      <c r="H109" s="754">
        <f>'Func Future Subs 2015'!H109</f>
        <v>2017</v>
      </c>
      <c r="I109" s="306">
        <f>+IF($H109=I$2,VLOOKUP($G109,Depreciation!$A$14:$L$18,7,FALSE)/2,IF($H109&lt;I$2,VLOOKUP($G109,Depreciation!$A$14:$L$18,7,FALSE),0))</f>
        <v>0</v>
      </c>
      <c r="J109" s="306">
        <f>+IF($H109=J$2,VLOOKUP($G109,Depreciation!$A$14:$L$18,8,FALSE)/2,IF($H109&lt;J$2,VLOOKUP($G109,Depreciation!$A$14:$L$18,8,FALSE),0))</f>
        <v>0</v>
      </c>
      <c r="K109" s="306">
        <f>+IF($H109=K$2,VLOOKUP($G109,Depreciation!$A$14:$L$18,9,FALSE)/2,IF($H109&lt;K$2,VLOOKUP($G109,Depreciation!$A$14:$L$18,9,FALSE),0))</f>
        <v>1.671703928371859E-2</v>
      </c>
      <c r="L109" s="306">
        <f>+IF($H109=L$2,VLOOKUP($G109,Depreciation!$A$14:$L$18,10,FALSE)/2,IF($H109&lt;L$2,VLOOKUP($G109,Depreciation!$A$14:$L$18,10,FALSE),0))</f>
        <v>3.343407856743718E-2</v>
      </c>
      <c r="M109" s="306">
        <f>+IF($H109=M$2,VLOOKUP($G109,Depreciation!$A$14:$L$18,11,FALSE)/2,IF($H109&lt;M$2,VLOOKUP($G109,Depreciation!$A$14:$L$18,11,FALSE),0))</f>
        <v>3.343407856743718E-2</v>
      </c>
      <c r="N109" s="306">
        <f>+IF($H109=N$2,VLOOKUP($G109,Depreciation!$A$14:$L$18,12,FALSE)/2,IF($H109&lt;N$2,VLOOKUP($G109,Depreciation!$A$14:$L$18,12,FALSE),0))</f>
        <v>3.343407856743718E-2</v>
      </c>
      <c r="O109" s="307">
        <f t="shared" si="10"/>
        <v>0</v>
      </c>
      <c r="P109" s="732">
        <f>'Func Future Subs 2015'!P109</f>
        <v>0</v>
      </c>
      <c r="Q109" s="732">
        <f>'Func Future Subs 2015'!Q109</f>
        <v>0</v>
      </c>
      <c r="R109" s="732">
        <f>'Func Future Subs 2015'!R109</f>
        <v>1</v>
      </c>
      <c r="S109" s="735">
        <f t="shared" si="11"/>
        <v>0</v>
      </c>
      <c r="T109" s="735">
        <f t="shared" si="12"/>
        <v>0</v>
      </c>
      <c r="U109" s="735">
        <f t="shared" si="13"/>
        <v>0</v>
      </c>
      <c r="V109" s="736">
        <f t="shared" si="14"/>
        <v>0</v>
      </c>
      <c r="W109" s="735">
        <f t="shared" si="15"/>
        <v>0</v>
      </c>
      <c r="X109" s="737">
        <f t="shared" si="16"/>
        <v>0</v>
      </c>
      <c r="Y109" s="738">
        <f t="shared" si="17"/>
        <v>0</v>
      </c>
    </row>
    <row r="110" spans="1:25">
      <c r="A110" s="754" t="str">
        <f>'Func Future Subs 2015'!A110</f>
        <v>Ponoka 331S</v>
      </c>
      <c r="B110" s="754">
        <f>'Func Future Subs 2015'!B110</f>
        <v>813</v>
      </c>
      <c r="C110" s="754">
        <f>'Func Future Subs 2015'!C110</f>
        <v>138</v>
      </c>
      <c r="D110" s="754">
        <f>'Func Future Subs 2015'!D110</f>
        <v>25</v>
      </c>
      <c r="E110" s="754" t="str">
        <f>'Func Future Subs 2015'!E110</f>
        <v>331S</v>
      </c>
      <c r="F110" s="754">
        <f>'Func Future Subs 2015'!F110</f>
        <v>3179107.2356748986</v>
      </c>
      <c r="G110" s="754" t="str">
        <f>'Func Future Subs 2015'!G110</f>
        <v>AltaLink</v>
      </c>
      <c r="H110" s="754">
        <f>'Func Future Subs 2015'!H110</f>
        <v>2017</v>
      </c>
      <c r="I110" s="306">
        <f>+IF($H110=I$2,VLOOKUP($G110,Depreciation!$A$14:$L$18,7,FALSE)/2,IF($H110&lt;I$2,VLOOKUP($G110,Depreciation!$A$14:$L$18,7,FALSE),0))</f>
        <v>0</v>
      </c>
      <c r="J110" s="306">
        <f>+IF($H110=J$2,VLOOKUP($G110,Depreciation!$A$14:$L$18,8,FALSE)/2,IF($H110&lt;J$2,VLOOKUP($G110,Depreciation!$A$14:$L$18,8,FALSE),0))</f>
        <v>0</v>
      </c>
      <c r="K110" s="306">
        <f>+IF($H110=K$2,VLOOKUP($G110,Depreciation!$A$14:$L$18,9,FALSE)/2,IF($H110&lt;K$2,VLOOKUP($G110,Depreciation!$A$14:$L$18,9,FALSE),0))</f>
        <v>1.671703928371859E-2</v>
      </c>
      <c r="L110" s="306">
        <f>+IF($H110=L$2,VLOOKUP($G110,Depreciation!$A$14:$L$18,10,FALSE)/2,IF($H110&lt;L$2,VLOOKUP($G110,Depreciation!$A$14:$L$18,10,FALSE),0))</f>
        <v>3.343407856743718E-2</v>
      </c>
      <c r="M110" s="306">
        <f>+IF($H110=M$2,VLOOKUP($G110,Depreciation!$A$14:$L$18,11,FALSE)/2,IF($H110&lt;M$2,VLOOKUP($G110,Depreciation!$A$14:$L$18,11,FALSE),0))</f>
        <v>3.343407856743718E-2</v>
      </c>
      <c r="N110" s="306">
        <f>+IF($H110=N$2,VLOOKUP($G110,Depreciation!$A$14:$L$18,12,FALSE)/2,IF($H110&lt;N$2,VLOOKUP($G110,Depreciation!$A$14:$L$18,12,FALSE),0))</f>
        <v>3.343407856743718E-2</v>
      </c>
      <c r="O110" s="307">
        <f t="shared" si="10"/>
        <v>0</v>
      </c>
      <c r="P110" s="732">
        <f>'Func Future Subs 2015'!P110</f>
        <v>0</v>
      </c>
      <c r="Q110" s="732">
        <f>'Func Future Subs 2015'!Q110</f>
        <v>1</v>
      </c>
      <c r="R110" s="732">
        <f>'Func Future Subs 2015'!R110</f>
        <v>0</v>
      </c>
      <c r="S110" s="735">
        <f t="shared" si="11"/>
        <v>0</v>
      </c>
      <c r="T110" s="735">
        <f t="shared" si="12"/>
        <v>0</v>
      </c>
      <c r="U110" s="735">
        <f t="shared" si="13"/>
        <v>0</v>
      </c>
      <c r="V110" s="736">
        <f t="shared" si="14"/>
        <v>0</v>
      </c>
      <c r="W110" s="735">
        <f t="shared" si="15"/>
        <v>0</v>
      </c>
      <c r="X110" s="737">
        <f t="shared" si="16"/>
        <v>0</v>
      </c>
      <c r="Y110" s="738">
        <f t="shared" si="17"/>
        <v>0</v>
      </c>
    </row>
    <row r="111" spans="1:25">
      <c r="A111" s="754" t="str">
        <f>'Func Future Subs 2015'!A111</f>
        <v>Prentiss 276S</v>
      </c>
      <c r="B111" s="754">
        <f>'Func Future Subs 2015'!B111</f>
        <v>813</v>
      </c>
      <c r="C111" s="754">
        <f>'Func Future Subs 2015'!C111</f>
        <v>138</v>
      </c>
      <c r="D111" s="754">
        <f>'Func Future Subs 2015'!D111</f>
        <v>25</v>
      </c>
      <c r="E111" s="754" t="str">
        <f>'Func Future Subs 2015'!E111</f>
        <v>276S</v>
      </c>
      <c r="F111" s="754">
        <f>'Func Future Subs 2015'!F111</f>
        <v>4288175.2445767764</v>
      </c>
      <c r="G111" s="754" t="str">
        <f>'Func Future Subs 2015'!G111</f>
        <v>AltaLink</v>
      </c>
      <c r="H111" s="754">
        <f>'Func Future Subs 2015'!H111</f>
        <v>2017</v>
      </c>
      <c r="I111" s="306">
        <f>+IF($H111=I$2,VLOOKUP($G111,Depreciation!$A$14:$L$18,7,FALSE)/2,IF($H111&lt;I$2,VLOOKUP($G111,Depreciation!$A$14:$L$18,7,FALSE),0))</f>
        <v>0</v>
      </c>
      <c r="J111" s="306">
        <f>+IF($H111=J$2,VLOOKUP($G111,Depreciation!$A$14:$L$18,8,FALSE)/2,IF($H111&lt;J$2,VLOOKUP($G111,Depreciation!$A$14:$L$18,8,FALSE),0))</f>
        <v>0</v>
      </c>
      <c r="K111" s="306">
        <f>+IF($H111=K$2,VLOOKUP($G111,Depreciation!$A$14:$L$18,9,FALSE)/2,IF($H111&lt;K$2,VLOOKUP($G111,Depreciation!$A$14:$L$18,9,FALSE),0))</f>
        <v>1.671703928371859E-2</v>
      </c>
      <c r="L111" s="306">
        <f>+IF($H111=L$2,VLOOKUP($G111,Depreciation!$A$14:$L$18,10,FALSE)/2,IF($H111&lt;L$2,VLOOKUP($G111,Depreciation!$A$14:$L$18,10,FALSE),0))</f>
        <v>3.343407856743718E-2</v>
      </c>
      <c r="M111" s="306">
        <f>+IF($H111=M$2,VLOOKUP($G111,Depreciation!$A$14:$L$18,11,FALSE)/2,IF($H111&lt;M$2,VLOOKUP($G111,Depreciation!$A$14:$L$18,11,FALSE),0))</f>
        <v>3.343407856743718E-2</v>
      </c>
      <c r="N111" s="306">
        <f>+IF($H111=N$2,VLOOKUP($G111,Depreciation!$A$14:$L$18,12,FALSE)/2,IF($H111&lt;N$2,VLOOKUP($G111,Depreciation!$A$14:$L$18,12,FALSE),0))</f>
        <v>3.343407856743718E-2</v>
      </c>
      <c r="O111" s="307">
        <f t="shared" si="10"/>
        <v>0</v>
      </c>
      <c r="P111" s="732">
        <f>'Func Future Subs 2015'!P111</f>
        <v>0</v>
      </c>
      <c r="Q111" s="732">
        <f>'Func Future Subs 2015'!Q111</f>
        <v>0</v>
      </c>
      <c r="R111" s="732">
        <f>'Func Future Subs 2015'!R111</f>
        <v>1</v>
      </c>
      <c r="S111" s="735">
        <f t="shared" si="11"/>
        <v>0</v>
      </c>
      <c r="T111" s="735">
        <f t="shared" si="12"/>
        <v>0</v>
      </c>
      <c r="U111" s="735">
        <f t="shared" si="13"/>
        <v>0</v>
      </c>
      <c r="V111" s="736">
        <f t="shared" si="14"/>
        <v>0</v>
      </c>
      <c r="W111" s="735">
        <f t="shared" si="15"/>
        <v>0</v>
      </c>
      <c r="X111" s="737">
        <f t="shared" si="16"/>
        <v>0</v>
      </c>
      <c r="Y111" s="738">
        <f t="shared" si="17"/>
        <v>0</v>
      </c>
    </row>
    <row r="112" spans="1:25">
      <c r="A112" s="754" t="str">
        <f>'Func Future Subs 2015'!A112</f>
        <v>RAS in 256S_(v2)</v>
      </c>
      <c r="B112" s="754">
        <f>'Func Future Subs 2015'!B112</f>
        <v>813</v>
      </c>
      <c r="C112" s="754">
        <f>'Func Future Subs 2015'!C112</f>
        <v>138</v>
      </c>
      <c r="D112" s="754">
        <f>'Func Future Subs 2015'!D112</f>
        <v>25</v>
      </c>
      <c r="E112" s="754" t="str">
        <f>'Func Future Subs 2015'!E112</f>
        <v>256S</v>
      </c>
      <c r="F112" s="754">
        <f>'Func Future Subs 2015'!F112</f>
        <v>140996.12247626696</v>
      </c>
      <c r="G112" s="754" t="str">
        <f>'Func Future Subs 2015'!G112</f>
        <v>AltaLink</v>
      </c>
      <c r="H112" s="754">
        <f>'Func Future Subs 2015'!H112</f>
        <v>2017</v>
      </c>
      <c r="I112" s="306">
        <f>+IF($H112=I$2,VLOOKUP($G112,Depreciation!$A$14:$L$18,7,FALSE)/2,IF($H112&lt;I$2,VLOOKUP($G112,Depreciation!$A$14:$L$18,7,FALSE),0))</f>
        <v>0</v>
      </c>
      <c r="J112" s="306">
        <f>+IF($H112=J$2,VLOOKUP($G112,Depreciation!$A$14:$L$18,8,FALSE)/2,IF($H112&lt;J$2,VLOOKUP($G112,Depreciation!$A$14:$L$18,8,FALSE),0))</f>
        <v>0</v>
      </c>
      <c r="K112" s="306">
        <f>+IF($H112=K$2,VLOOKUP($G112,Depreciation!$A$14:$L$18,9,FALSE)/2,IF($H112&lt;K$2,VLOOKUP($G112,Depreciation!$A$14:$L$18,9,FALSE),0))</f>
        <v>1.671703928371859E-2</v>
      </c>
      <c r="L112" s="306">
        <f>+IF($H112=L$2,VLOOKUP($G112,Depreciation!$A$14:$L$18,10,FALSE)/2,IF($H112&lt;L$2,VLOOKUP($G112,Depreciation!$A$14:$L$18,10,FALSE),0))</f>
        <v>3.343407856743718E-2</v>
      </c>
      <c r="M112" s="306">
        <f>+IF($H112=M$2,VLOOKUP($G112,Depreciation!$A$14:$L$18,11,FALSE)/2,IF($H112&lt;M$2,VLOOKUP($G112,Depreciation!$A$14:$L$18,11,FALSE),0))</f>
        <v>3.343407856743718E-2</v>
      </c>
      <c r="N112" s="306">
        <f>+IF($H112=N$2,VLOOKUP($G112,Depreciation!$A$14:$L$18,12,FALSE)/2,IF($H112&lt;N$2,VLOOKUP($G112,Depreciation!$A$14:$L$18,12,FALSE),0))</f>
        <v>3.343407856743718E-2</v>
      </c>
      <c r="O112" s="307">
        <f t="shared" si="10"/>
        <v>0</v>
      </c>
      <c r="P112" s="732">
        <f>'Func Future Subs 2015'!P112</f>
        <v>0.54510993176648981</v>
      </c>
      <c r="Q112" s="732">
        <f>'Func Future Subs 2015'!Q112</f>
        <v>0.45489006823351025</v>
      </c>
      <c r="R112" s="732">
        <f>'Func Future Subs 2015'!R112</f>
        <v>0</v>
      </c>
      <c r="S112" s="735">
        <f t="shared" si="11"/>
        <v>0</v>
      </c>
      <c r="T112" s="735">
        <f t="shared" si="12"/>
        <v>0</v>
      </c>
      <c r="U112" s="735">
        <f t="shared" si="13"/>
        <v>0</v>
      </c>
      <c r="V112" s="736">
        <f t="shared" si="14"/>
        <v>0</v>
      </c>
      <c r="W112" s="735">
        <f t="shared" si="15"/>
        <v>0</v>
      </c>
      <c r="X112" s="737">
        <f t="shared" si="16"/>
        <v>0</v>
      </c>
      <c r="Y112" s="738">
        <f t="shared" si="17"/>
        <v>0</v>
      </c>
    </row>
    <row r="113" spans="1:25">
      <c r="A113" s="754" t="str">
        <f>'Func Future Subs 2015'!A113</f>
        <v>Red Deer 217S</v>
      </c>
      <c r="B113" s="754">
        <f>'Func Future Subs 2015'!B113</f>
        <v>813</v>
      </c>
      <c r="C113" s="754">
        <f>'Func Future Subs 2015'!C113</f>
        <v>138</v>
      </c>
      <c r="D113" s="754">
        <f>'Func Future Subs 2015'!D113</f>
        <v>25</v>
      </c>
      <c r="E113" s="754" t="str">
        <f>'Func Future Subs 2015'!E113</f>
        <v>217S</v>
      </c>
      <c r="F113" s="754">
        <f>'Func Future Subs 2015'!F113</f>
        <v>2898997.8882702999</v>
      </c>
      <c r="G113" s="754" t="str">
        <f>'Func Future Subs 2015'!G113</f>
        <v>AltaLink</v>
      </c>
      <c r="H113" s="754">
        <f>'Func Future Subs 2015'!H113</f>
        <v>2017</v>
      </c>
      <c r="I113" s="306">
        <f>+IF($H113=I$2,VLOOKUP($G113,Depreciation!$A$14:$L$18,7,FALSE)/2,IF($H113&lt;I$2,VLOOKUP($G113,Depreciation!$A$14:$L$18,7,FALSE),0))</f>
        <v>0</v>
      </c>
      <c r="J113" s="306">
        <f>+IF($H113=J$2,VLOOKUP($G113,Depreciation!$A$14:$L$18,8,FALSE)/2,IF($H113&lt;J$2,VLOOKUP($G113,Depreciation!$A$14:$L$18,8,FALSE),0))</f>
        <v>0</v>
      </c>
      <c r="K113" s="306">
        <f>+IF($H113=K$2,VLOOKUP($G113,Depreciation!$A$14:$L$18,9,FALSE)/2,IF($H113&lt;K$2,VLOOKUP($G113,Depreciation!$A$14:$L$18,9,FALSE),0))</f>
        <v>1.671703928371859E-2</v>
      </c>
      <c r="L113" s="306">
        <f>+IF($H113=L$2,VLOOKUP($G113,Depreciation!$A$14:$L$18,10,FALSE)/2,IF($H113&lt;L$2,VLOOKUP($G113,Depreciation!$A$14:$L$18,10,FALSE),0))</f>
        <v>3.343407856743718E-2</v>
      </c>
      <c r="M113" s="306">
        <f>+IF($H113=M$2,VLOOKUP($G113,Depreciation!$A$14:$L$18,11,FALSE)/2,IF($H113&lt;M$2,VLOOKUP($G113,Depreciation!$A$14:$L$18,11,FALSE),0))</f>
        <v>3.343407856743718E-2</v>
      </c>
      <c r="N113" s="306">
        <f>+IF($H113=N$2,VLOOKUP($G113,Depreciation!$A$14:$L$18,12,FALSE)/2,IF($H113&lt;N$2,VLOOKUP($G113,Depreciation!$A$14:$L$18,12,FALSE),0))</f>
        <v>3.343407856743718E-2</v>
      </c>
      <c r="O113" s="307">
        <f t="shared" si="10"/>
        <v>0</v>
      </c>
      <c r="P113" s="732">
        <f>'Func Future Subs 2015'!P113</f>
        <v>0</v>
      </c>
      <c r="Q113" s="732">
        <f>'Func Future Subs 2015'!Q113</f>
        <v>1</v>
      </c>
      <c r="R113" s="732">
        <f>'Func Future Subs 2015'!R113</f>
        <v>0</v>
      </c>
      <c r="S113" s="735">
        <f t="shared" si="11"/>
        <v>0</v>
      </c>
      <c r="T113" s="735">
        <f t="shared" si="12"/>
        <v>0</v>
      </c>
      <c r="U113" s="735">
        <f t="shared" si="13"/>
        <v>0</v>
      </c>
      <c r="V113" s="736">
        <f t="shared" si="14"/>
        <v>0</v>
      </c>
      <c r="W113" s="735">
        <f t="shared" si="15"/>
        <v>0</v>
      </c>
      <c r="X113" s="737">
        <f t="shared" si="16"/>
        <v>0</v>
      </c>
      <c r="Y113" s="738">
        <f t="shared" si="17"/>
        <v>0</v>
      </c>
    </row>
    <row r="114" spans="1:25">
      <c r="A114" s="754" t="str">
        <f>'Func Future Subs 2015'!A114</f>
        <v>Red Deer 63S (648L)</v>
      </c>
      <c r="B114" s="754">
        <f>'Func Future Subs 2015'!B114</f>
        <v>813</v>
      </c>
      <c r="C114" s="754">
        <f>'Func Future Subs 2015'!C114</f>
        <v>138</v>
      </c>
      <c r="D114" s="754">
        <f>'Func Future Subs 2015'!D114</f>
        <v>25</v>
      </c>
      <c r="E114" s="754" t="str">
        <f>'Func Future Subs 2015'!E114</f>
        <v>63S</v>
      </c>
      <c r="F114" s="754">
        <f>'Func Future Subs 2015'!F114</f>
        <v>759143.11811538937</v>
      </c>
      <c r="G114" s="754" t="str">
        <f>'Func Future Subs 2015'!G114</f>
        <v>AltaLink</v>
      </c>
      <c r="H114" s="754">
        <f>'Func Future Subs 2015'!H114</f>
        <v>2017</v>
      </c>
      <c r="I114" s="306">
        <f>+IF($H114=I$2,VLOOKUP($G114,Depreciation!$A$14:$L$18,7,FALSE)/2,IF($H114&lt;I$2,VLOOKUP($G114,Depreciation!$A$14:$L$18,7,FALSE),0))</f>
        <v>0</v>
      </c>
      <c r="J114" s="306">
        <f>+IF($H114=J$2,VLOOKUP($G114,Depreciation!$A$14:$L$18,8,FALSE)/2,IF($H114&lt;J$2,VLOOKUP($G114,Depreciation!$A$14:$L$18,8,FALSE),0))</f>
        <v>0</v>
      </c>
      <c r="K114" s="306">
        <f>+IF($H114=K$2,VLOOKUP($G114,Depreciation!$A$14:$L$18,9,FALSE)/2,IF($H114&lt;K$2,VLOOKUP($G114,Depreciation!$A$14:$L$18,9,FALSE),0))</f>
        <v>1.671703928371859E-2</v>
      </c>
      <c r="L114" s="306">
        <f>+IF($H114=L$2,VLOOKUP($G114,Depreciation!$A$14:$L$18,10,FALSE)/2,IF($H114&lt;L$2,VLOOKUP($G114,Depreciation!$A$14:$L$18,10,FALSE),0))</f>
        <v>3.343407856743718E-2</v>
      </c>
      <c r="M114" s="306">
        <f>+IF($H114=M$2,VLOOKUP($G114,Depreciation!$A$14:$L$18,11,FALSE)/2,IF($H114&lt;M$2,VLOOKUP($G114,Depreciation!$A$14:$L$18,11,FALSE),0))</f>
        <v>3.343407856743718E-2</v>
      </c>
      <c r="N114" s="306">
        <f>+IF($H114=N$2,VLOOKUP($G114,Depreciation!$A$14:$L$18,12,FALSE)/2,IF($H114&lt;N$2,VLOOKUP($G114,Depreciation!$A$14:$L$18,12,FALSE),0))</f>
        <v>3.343407856743718E-2</v>
      </c>
      <c r="O114" s="307">
        <f t="shared" si="10"/>
        <v>0</v>
      </c>
      <c r="P114" s="732">
        <f>'Func Future Subs 2015'!P114</f>
        <v>0</v>
      </c>
      <c r="Q114" s="732">
        <f>'Func Future Subs 2015'!Q114</f>
        <v>1</v>
      </c>
      <c r="R114" s="732">
        <f>'Func Future Subs 2015'!R114</f>
        <v>0</v>
      </c>
      <c r="S114" s="735">
        <f t="shared" si="11"/>
        <v>0</v>
      </c>
      <c r="T114" s="735">
        <f t="shared" si="12"/>
        <v>0</v>
      </c>
      <c r="U114" s="735">
        <f t="shared" si="13"/>
        <v>0</v>
      </c>
      <c r="V114" s="736">
        <f t="shared" si="14"/>
        <v>0</v>
      </c>
      <c r="W114" s="735">
        <f t="shared" si="15"/>
        <v>0</v>
      </c>
      <c r="X114" s="737">
        <f t="shared" si="16"/>
        <v>0</v>
      </c>
      <c r="Y114" s="738">
        <f t="shared" si="17"/>
        <v>0</v>
      </c>
    </row>
    <row r="115" spans="1:25">
      <c r="A115" s="754" t="str">
        <f>'Func Future Subs 2015'!A115</f>
        <v>Red Deer 63S (755/427L)</v>
      </c>
      <c r="B115" s="754">
        <f>'Func Future Subs 2015'!B115</f>
        <v>813</v>
      </c>
      <c r="C115" s="754">
        <f>'Func Future Subs 2015'!C115</f>
        <v>138</v>
      </c>
      <c r="D115" s="754">
        <f>'Func Future Subs 2015'!D115</f>
        <v>25</v>
      </c>
      <c r="E115" s="754" t="str">
        <f>'Func Future Subs 2015'!E115</f>
        <v>63S</v>
      </c>
      <c r="F115" s="754">
        <f>'Func Future Subs 2015'!F115</f>
        <v>682001.5541498533</v>
      </c>
      <c r="G115" s="754" t="str">
        <f>'Func Future Subs 2015'!G115</f>
        <v>AltaLink</v>
      </c>
      <c r="H115" s="754">
        <f>'Func Future Subs 2015'!H115</f>
        <v>2017</v>
      </c>
      <c r="I115" s="306">
        <f>+IF($H115=I$2,VLOOKUP($G115,Depreciation!$A$14:$L$18,7,FALSE)/2,IF($H115&lt;I$2,VLOOKUP($G115,Depreciation!$A$14:$L$18,7,FALSE),0))</f>
        <v>0</v>
      </c>
      <c r="J115" s="306">
        <f>+IF($H115=J$2,VLOOKUP($G115,Depreciation!$A$14:$L$18,8,FALSE)/2,IF($H115&lt;J$2,VLOOKUP($G115,Depreciation!$A$14:$L$18,8,FALSE),0))</f>
        <v>0</v>
      </c>
      <c r="K115" s="306">
        <f>+IF($H115=K$2,VLOOKUP($G115,Depreciation!$A$14:$L$18,9,FALSE)/2,IF($H115&lt;K$2,VLOOKUP($G115,Depreciation!$A$14:$L$18,9,FALSE),0))</f>
        <v>1.671703928371859E-2</v>
      </c>
      <c r="L115" s="306">
        <f>+IF($H115=L$2,VLOOKUP($G115,Depreciation!$A$14:$L$18,10,FALSE)/2,IF($H115&lt;L$2,VLOOKUP($G115,Depreciation!$A$14:$L$18,10,FALSE),0))</f>
        <v>3.343407856743718E-2</v>
      </c>
      <c r="M115" s="306">
        <f>+IF($H115=M$2,VLOOKUP($G115,Depreciation!$A$14:$L$18,11,FALSE)/2,IF($H115&lt;M$2,VLOOKUP($G115,Depreciation!$A$14:$L$18,11,FALSE),0))</f>
        <v>3.343407856743718E-2</v>
      </c>
      <c r="N115" s="306">
        <f>+IF($H115=N$2,VLOOKUP($G115,Depreciation!$A$14:$L$18,12,FALSE)/2,IF($H115&lt;N$2,VLOOKUP($G115,Depreciation!$A$14:$L$18,12,FALSE),0))</f>
        <v>3.343407856743718E-2</v>
      </c>
      <c r="O115" s="307">
        <f t="shared" si="10"/>
        <v>0</v>
      </c>
      <c r="P115" s="732">
        <f>'Func Future Subs 2015'!P115</f>
        <v>0</v>
      </c>
      <c r="Q115" s="732">
        <f>'Func Future Subs 2015'!Q115</f>
        <v>1</v>
      </c>
      <c r="R115" s="732">
        <f>'Func Future Subs 2015'!R115</f>
        <v>0</v>
      </c>
      <c r="S115" s="735">
        <f t="shared" si="11"/>
        <v>0</v>
      </c>
      <c r="T115" s="735">
        <f t="shared" si="12"/>
        <v>0</v>
      </c>
      <c r="U115" s="735">
        <f t="shared" si="13"/>
        <v>0</v>
      </c>
      <c r="V115" s="736">
        <f t="shared" si="14"/>
        <v>0</v>
      </c>
      <c r="W115" s="735">
        <f t="shared" si="15"/>
        <v>0</v>
      </c>
      <c r="X115" s="737">
        <f t="shared" si="16"/>
        <v>0</v>
      </c>
      <c r="Y115" s="738">
        <f t="shared" si="17"/>
        <v>0</v>
      </c>
    </row>
    <row r="116" spans="1:25">
      <c r="A116" s="754" t="str">
        <f>'Func Future Subs 2015'!A116</f>
        <v>Red Deer 63S (80/426L)</v>
      </c>
      <c r="B116" s="754">
        <f>'Func Future Subs 2015'!B116</f>
        <v>813</v>
      </c>
      <c r="C116" s="754">
        <f>'Func Future Subs 2015'!C116</f>
        <v>138</v>
      </c>
      <c r="D116" s="754">
        <f>'Func Future Subs 2015'!D116</f>
        <v>25</v>
      </c>
      <c r="E116" s="754" t="str">
        <f>'Func Future Subs 2015'!E116</f>
        <v>63S</v>
      </c>
      <c r="F116" s="754">
        <f>'Func Future Subs 2015'!F116</f>
        <v>1044917.5482604436</v>
      </c>
      <c r="G116" s="754" t="str">
        <f>'Func Future Subs 2015'!G116</f>
        <v>AltaLink</v>
      </c>
      <c r="H116" s="754">
        <f>'Func Future Subs 2015'!H116</f>
        <v>2017</v>
      </c>
      <c r="I116" s="306">
        <f>+IF($H116=I$2,VLOOKUP($G116,Depreciation!$A$14:$L$18,7,FALSE)/2,IF($H116&lt;I$2,VLOOKUP($G116,Depreciation!$A$14:$L$18,7,FALSE),0))</f>
        <v>0</v>
      </c>
      <c r="J116" s="306">
        <f>+IF($H116=J$2,VLOOKUP($G116,Depreciation!$A$14:$L$18,8,FALSE)/2,IF($H116&lt;J$2,VLOOKUP($G116,Depreciation!$A$14:$L$18,8,FALSE),0))</f>
        <v>0</v>
      </c>
      <c r="K116" s="306">
        <f>+IF($H116=K$2,VLOOKUP($G116,Depreciation!$A$14:$L$18,9,FALSE)/2,IF($H116&lt;K$2,VLOOKUP($G116,Depreciation!$A$14:$L$18,9,FALSE),0))</f>
        <v>1.671703928371859E-2</v>
      </c>
      <c r="L116" s="306">
        <f>+IF($H116=L$2,VLOOKUP($G116,Depreciation!$A$14:$L$18,10,FALSE)/2,IF($H116&lt;L$2,VLOOKUP($G116,Depreciation!$A$14:$L$18,10,FALSE),0))</f>
        <v>3.343407856743718E-2</v>
      </c>
      <c r="M116" s="306">
        <f>+IF($H116=M$2,VLOOKUP($G116,Depreciation!$A$14:$L$18,11,FALSE)/2,IF($H116&lt;M$2,VLOOKUP($G116,Depreciation!$A$14:$L$18,11,FALSE),0))</f>
        <v>3.343407856743718E-2</v>
      </c>
      <c r="N116" s="306">
        <f>+IF($H116=N$2,VLOOKUP($G116,Depreciation!$A$14:$L$18,12,FALSE)/2,IF($H116&lt;N$2,VLOOKUP($G116,Depreciation!$A$14:$L$18,12,FALSE),0))</f>
        <v>3.343407856743718E-2</v>
      </c>
      <c r="O116" s="307">
        <f t="shared" si="10"/>
        <v>0</v>
      </c>
      <c r="P116" s="732">
        <f>'Func Future Subs 2015'!P116</f>
        <v>0</v>
      </c>
      <c r="Q116" s="732">
        <f>'Func Future Subs 2015'!Q116</f>
        <v>1</v>
      </c>
      <c r="R116" s="732">
        <f>'Func Future Subs 2015'!R116</f>
        <v>0</v>
      </c>
      <c r="S116" s="735">
        <f t="shared" si="11"/>
        <v>0</v>
      </c>
      <c r="T116" s="735">
        <f t="shared" si="12"/>
        <v>0</v>
      </c>
      <c r="U116" s="735">
        <f t="shared" si="13"/>
        <v>0</v>
      </c>
      <c r="V116" s="736">
        <f t="shared" si="14"/>
        <v>0</v>
      </c>
      <c r="W116" s="735">
        <f t="shared" si="15"/>
        <v>0</v>
      </c>
      <c r="X116" s="737">
        <f t="shared" si="16"/>
        <v>0</v>
      </c>
      <c r="Y116" s="738">
        <f t="shared" si="17"/>
        <v>0</v>
      </c>
    </row>
    <row r="117" spans="1:25">
      <c r="A117" s="754" t="str">
        <f>'Func Future Subs 2015'!A117</f>
        <v>Red Deer 63S (GD Hazel)</v>
      </c>
      <c r="B117" s="754">
        <f>'Func Future Subs 2015'!B117</f>
        <v>813</v>
      </c>
      <c r="C117" s="754">
        <f>'Func Future Subs 2015'!C117</f>
        <v>240</v>
      </c>
      <c r="D117" s="754">
        <f>'Func Future Subs 2015'!D117</f>
        <v>25</v>
      </c>
      <c r="E117" s="754" t="str">
        <f>'Func Future Subs 2015'!E117</f>
        <v>63S</v>
      </c>
      <c r="F117" s="754">
        <f>'Func Future Subs 2015'!F117</f>
        <v>406209.69551666273</v>
      </c>
      <c r="G117" s="754" t="str">
        <f>'Func Future Subs 2015'!G117</f>
        <v>AltaLink</v>
      </c>
      <c r="H117" s="754">
        <f>'Func Future Subs 2015'!H117</f>
        <v>2017</v>
      </c>
      <c r="I117" s="306">
        <f>+IF($H117=I$2,VLOOKUP($G117,Depreciation!$A$14:$L$18,7,FALSE)/2,IF($H117&lt;I$2,VLOOKUP($G117,Depreciation!$A$14:$L$18,7,FALSE),0))</f>
        <v>0</v>
      </c>
      <c r="J117" s="306">
        <f>+IF($H117=J$2,VLOOKUP($G117,Depreciation!$A$14:$L$18,8,FALSE)/2,IF($H117&lt;J$2,VLOOKUP($G117,Depreciation!$A$14:$L$18,8,FALSE),0))</f>
        <v>0</v>
      </c>
      <c r="K117" s="306">
        <f>+IF($H117=K$2,VLOOKUP($G117,Depreciation!$A$14:$L$18,9,FALSE)/2,IF($H117&lt;K$2,VLOOKUP($G117,Depreciation!$A$14:$L$18,9,FALSE),0))</f>
        <v>1.671703928371859E-2</v>
      </c>
      <c r="L117" s="306">
        <f>+IF($H117=L$2,VLOOKUP($G117,Depreciation!$A$14:$L$18,10,FALSE)/2,IF($H117&lt;L$2,VLOOKUP($G117,Depreciation!$A$14:$L$18,10,FALSE),0))</f>
        <v>3.343407856743718E-2</v>
      </c>
      <c r="M117" s="306">
        <f>+IF($H117=M$2,VLOOKUP($G117,Depreciation!$A$14:$L$18,11,FALSE)/2,IF($H117&lt;M$2,VLOOKUP($G117,Depreciation!$A$14:$L$18,11,FALSE),0))</f>
        <v>3.343407856743718E-2</v>
      </c>
      <c r="N117" s="306">
        <f>+IF($H117=N$2,VLOOKUP($G117,Depreciation!$A$14:$L$18,12,FALSE)/2,IF($H117&lt;N$2,VLOOKUP($G117,Depreciation!$A$14:$L$18,12,FALSE),0))</f>
        <v>3.343407856743718E-2</v>
      </c>
      <c r="O117" s="307">
        <f t="shared" si="10"/>
        <v>0</v>
      </c>
      <c r="P117" s="732">
        <f>'Func Future Subs 2015'!P117</f>
        <v>0</v>
      </c>
      <c r="Q117" s="732">
        <f>'Func Future Subs 2015'!Q117</f>
        <v>1</v>
      </c>
      <c r="R117" s="732">
        <f>'Func Future Subs 2015'!R117</f>
        <v>0</v>
      </c>
      <c r="S117" s="735">
        <f t="shared" si="11"/>
        <v>0</v>
      </c>
      <c r="T117" s="735">
        <f t="shared" si="12"/>
        <v>0</v>
      </c>
      <c r="U117" s="735">
        <f t="shared" si="13"/>
        <v>0</v>
      </c>
      <c r="V117" s="736">
        <f t="shared" si="14"/>
        <v>0</v>
      </c>
      <c r="W117" s="735">
        <f t="shared" si="15"/>
        <v>0</v>
      </c>
      <c r="X117" s="737">
        <f t="shared" si="16"/>
        <v>0</v>
      </c>
      <c r="Y117" s="738">
        <f t="shared" si="17"/>
        <v>0</v>
      </c>
    </row>
    <row r="118" spans="1:25">
      <c r="A118" s="754" t="str">
        <f>'Func Future Subs 2015'!A118</f>
        <v>Red Deer 63S (GD Wolf)</v>
      </c>
      <c r="B118" s="754">
        <f>'Func Future Subs 2015'!B118</f>
        <v>813</v>
      </c>
      <c r="C118" s="754">
        <f>'Func Future Subs 2015'!C118</f>
        <v>240</v>
      </c>
      <c r="D118" s="754">
        <f>'Func Future Subs 2015'!D118</f>
        <v>25</v>
      </c>
      <c r="E118" s="754" t="str">
        <f>'Func Future Subs 2015'!E118</f>
        <v>63S</v>
      </c>
      <c r="F118" s="754">
        <f>'Func Future Subs 2015'!F118</f>
        <v>89503.831215535858</v>
      </c>
      <c r="G118" s="754" t="str">
        <f>'Func Future Subs 2015'!G118</f>
        <v>AltaLink</v>
      </c>
      <c r="H118" s="754">
        <f>'Func Future Subs 2015'!H118</f>
        <v>2017</v>
      </c>
      <c r="I118" s="306">
        <f>+IF($H118=I$2,VLOOKUP($G118,Depreciation!$A$14:$L$18,7,FALSE)/2,IF($H118&lt;I$2,VLOOKUP($G118,Depreciation!$A$14:$L$18,7,FALSE),0))</f>
        <v>0</v>
      </c>
      <c r="J118" s="306">
        <f>+IF($H118=J$2,VLOOKUP($G118,Depreciation!$A$14:$L$18,8,FALSE)/2,IF($H118&lt;J$2,VLOOKUP($G118,Depreciation!$A$14:$L$18,8,FALSE),0))</f>
        <v>0</v>
      </c>
      <c r="K118" s="306">
        <f>+IF($H118=K$2,VLOOKUP($G118,Depreciation!$A$14:$L$18,9,FALSE)/2,IF($H118&lt;K$2,VLOOKUP($G118,Depreciation!$A$14:$L$18,9,FALSE),0))</f>
        <v>1.671703928371859E-2</v>
      </c>
      <c r="L118" s="306">
        <f>+IF($H118=L$2,VLOOKUP($G118,Depreciation!$A$14:$L$18,10,FALSE)/2,IF($H118&lt;L$2,VLOOKUP($G118,Depreciation!$A$14:$L$18,10,FALSE),0))</f>
        <v>3.343407856743718E-2</v>
      </c>
      <c r="M118" s="306">
        <f>+IF($H118=M$2,VLOOKUP($G118,Depreciation!$A$14:$L$18,11,FALSE)/2,IF($H118&lt;M$2,VLOOKUP($G118,Depreciation!$A$14:$L$18,11,FALSE),0))</f>
        <v>3.343407856743718E-2</v>
      </c>
      <c r="N118" s="306">
        <f>+IF($H118=N$2,VLOOKUP($G118,Depreciation!$A$14:$L$18,12,FALSE)/2,IF($H118&lt;N$2,VLOOKUP($G118,Depreciation!$A$14:$L$18,12,FALSE),0))</f>
        <v>3.343407856743718E-2</v>
      </c>
      <c r="O118" s="307">
        <f t="shared" si="10"/>
        <v>0</v>
      </c>
      <c r="P118" s="732">
        <f>'Func Future Subs 2015'!P118</f>
        <v>0</v>
      </c>
      <c r="Q118" s="732">
        <f>'Func Future Subs 2015'!Q118</f>
        <v>1</v>
      </c>
      <c r="R118" s="732">
        <f>'Func Future Subs 2015'!R118</f>
        <v>0</v>
      </c>
      <c r="S118" s="735">
        <f t="shared" si="11"/>
        <v>0</v>
      </c>
      <c r="T118" s="735">
        <f t="shared" si="12"/>
        <v>0</v>
      </c>
      <c r="U118" s="735">
        <f t="shared" si="13"/>
        <v>0</v>
      </c>
      <c r="V118" s="736">
        <f t="shared" si="14"/>
        <v>0</v>
      </c>
      <c r="W118" s="735">
        <f t="shared" si="15"/>
        <v>0</v>
      </c>
      <c r="X118" s="737">
        <f t="shared" si="16"/>
        <v>0</v>
      </c>
      <c r="Y118" s="738">
        <f t="shared" si="17"/>
        <v>0</v>
      </c>
    </row>
    <row r="119" spans="1:25">
      <c r="A119" s="754" t="str">
        <f>'Func Future Subs 2015'!A119</f>
        <v>Shell Caroline 378S RAS_(v2)</v>
      </c>
      <c r="B119" s="754">
        <f>'Func Future Subs 2015'!B119</f>
        <v>813</v>
      </c>
      <c r="C119" s="754">
        <f>'Func Future Subs 2015'!C119</f>
        <v>138</v>
      </c>
      <c r="D119" s="754">
        <f>'Func Future Subs 2015'!D119</f>
        <v>25</v>
      </c>
      <c r="E119" s="754" t="str">
        <f>'Func Future Subs 2015'!E119</f>
        <v>378S</v>
      </c>
      <c r="F119" s="754">
        <f>'Func Future Subs 2015'!F119</f>
        <v>107820.56424655707</v>
      </c>
      <c r="G119" s="754" t="str">
        <f>'Func Future Subs 2015'!G119</f>
        <v>AltaLink</v>
      </c>
      <c r="H119" s="754">
        <f>'Func Future Subs 2015'!H119</f>
        <v>2017</v>
      </c>
      <c r="I119" s="306">
        <f>+IF($H119=I$2,VLOOKUP($G119,Depreciation!$A$14:$L$18,7,FALSE)/2,IF($H119&lt;I$2,VLOOKUP($G119,Depreciation!$A$14:$L$18,7,FALSE),0))</f>
        <v>0</v>
      </c>
      <c r="J119" s="306">
        <f>+IF($H119=J$2,VLOOKUP($G119,Depreciation!$A$14:$L$18,8,FALSE)/2,IF($H119&lt;J$2,VLOOKUP($G119,Depreciation!$A$14:$L$18,8,FALSE),0))</f>
        <v>0</v>
      </c>
      <c r="K119" s="306">
        <f>+IF($H119=K$2,VLOOKUP($G119,Depreciation!$A$14:$L$18,9,FALSE)/2,IF($H119&lt;K$2,VLOOKUP($G119,Depreciation!$A$14:$L$18,9,FALSE),0))</f>
        <v>1.671703928371859E-2</v>
      </c>
      <c r="L119" s="306">
        <f>+IF($H119=L$2,VLOOKUP($G119,Depreciation!$A$14:$L$18,10,FALSE)/2,IF($H119&lt;L$2,VLOOKUP($G119,Depreciation!$A$14:$L$18,10,FALSE),0))</f>
        <v>3.343407856743718E-2</v>
      </c>
      <c r="M119" s="306">
        <f>+IF($H119=M$2,VLOOKUP($G119,Depreciation!$A$14:$L$18,11,FALSE)/2,IF($H119&lt;M$2,VLOOKUP($G119,Depreciation!$A$14:$L$18,11,FALSE),0))</f>
        <v>3.343407856743718E-2</v>
      </c>
      <c r="N119" s="306">
        <f>+IF($H119=N$2,VLOOKUP($G119,Depreciation!$A$14:$L$18,12,FALSE)/2,IF($H119&lt;N$2,VLOOKUP($G119,Depreciation!$A$14:$L$18,12,FALSE),0))</f>
        <v>3.343407856743718E-2</v>
      </c>
      <c r="O119" s="307">
        <f t="shared" si="10"/>
        <v>0</v>
      </c>
      <c r="P119" s="732">
        <f>'Func Future Subs 2015'!P119</f>
        <v>0.31207004377736086</v>
      </c>
      <c r="Q119" s="732">
        <f>'Func Future Subs 2015'!Q119</f>
        <v>0.68792995622263919</v>
      </c>
      <c r="R119" s="732">
        <f>'Func Future Subs 2015'!R119</f>
        <v>0</v>
      </c>
      <c r="S119" s="735">
        <f t="shared" si="11"/>
        <v>0</v>
      </c>
      <c r="T119" s="735">
        <f t="shared" si="12"/>
        <v>0</v>
      </c>
      <c r="U119" s="735">
        <f t="shared" si="13"/>
        <v>0</v>
      </c>
      <c r="V119" s="736">
        <f t="shared" si="14"/>
        <v>0</v>
      </c>
      <c r="W119" s="735">
        <f t="shared" si="15"/>
        <v>0</v>
      </c>
      <c r="X119" s="737">
        <f t="shared" si="16"/>
        <v>0</v>
      </c>
      <c r="Y119" s="738">
        <f t="shared" si="17"/>
        <v>0</v>
      </c>
    </row>
    <row r="120" spans="1:25">
      <c r="A120" s="754" t="str">
        <f>'Func Future Subs 2015'!A120</f>
        <v>South Red Deer 194S (80/425L)</v>
      </c>
      <c r="B120" s="754">
        <f>'Func Future Subs 2015'!B120</f>
        <v>813</v>
      </c>
      <c r="C120" s="754">
        <f>'Func Future Subs 2015'!C120</f>
        <v>138</v>
      </c>
      <c r="D120" s="754">
        <f>'Func Future Subs 2015'!D120</f>
        <v>138</v>
      </c>
      <c r="E120" s="754" t="str">
        <f>'Func Future Subs 2015'!E120</f>
        <v>194S</v>
      </c>
      <c r="F120" s="754">
        <f>'Func Future Subs 2015'!F120</f>
        <v>1236018.2408114308</v>
      </c>
      <c r="G120" s="754" t="str">
        <f>'Func Future Subs 2015'!G120</f>
        <v>AltaLink</v>
      </c>
      <c r="H120" s="754">
        <f>'Func Future Subs 2015'!H120</f>
        <v>2017</v>
      </c>
      <c r="I120" s="306">
        <f>+IF($H120=I$2,VLOOKUP($G120,Depreciation!$A$14:$L$18,7,FALSE)/2,IF($H120&lt;I$2,VLOOKUP($G120,Depreciation!$A$14:$L$18,7,FALSE),0))</f>
        <v>0</v>
      </c>
      <c r="J120" s="306">
        <f>+IF($H120=J$2,VLOOKUP($G120,Depreciation!$A$14:$L$18,8,FALSE)/2,IF($H120&lt;J$2,VLOOKUP($G120,Depreciation!$A$14:$L$18,8,FALSE),0))</f>
        <v>0</v>
      </c>
      <c r="K120" s="306">
        <f>+IF($H120=K$2,VLOOKUP($G120,Depreciation!$A$14:$L$18,9,FALSE)/2,IF($H120&lt;K$2,VLOOKUP($G120,Depreciation!$A$14:$L$18,9,FALSE),0))</f>
        <v>1.671703928371859E-2</v>
      </c>
      <c r="L120" s="306">
        <f>+IF($H120=L$2,VLOOKUP($G120,Depreciation!$A$14:$L$18,10,FALSE)/2,IF($H120&lt;L$2,VLOOKUP($G120,Depreciation!$A$14:$L$18,10,FALSE),0))</f>
        <v>3.343407856743718E-2</v>
      </c>
      <c r="M120" s="306">
        <f>+IF($H120=M$2,VLOOKUP($G120,Depreciation!$A$14:$L$18,11,FALSE)/2,IF($H120&lt;M$2,VLOOKUP($G120,Depreciation!$A$14:$L$18,11,FALSE),0))</f>
        <v>3.343407856743718E-2</v>
      </c>
      <c r="N120" s="306">
        <f>+IF($H120=N$2,VLOOKUP($G120,Depreciation!$A$14:$L$18,12,FALSE)/2,IF($H120&lt;N$2,VLOOKUP($G120,Depreciation!$A$14:$L$18,12,FALSE),0))</f>
        <v>3.343407856743718E-2</v>
      </c>
      <c r="O120" s="307">
        <f t="shared" si="10"/>
        <v>0</v>
      </c>
      <c r="P120" s="732">
        <f>'Func Future Subs 2015'!P120</f>
        <v>0</v>
      </c>
      <c r="Q120" s="732">
        <f>'Func Future Subs 2015'!Q120</f>
        <v>0</v>
      </c>
      <c r="R120" s="732">
        <f>'Func Future Subs 2015'!R120</f>
        <v>1</v>
      </c>
      <c r="S120" s="735">
        <f t="shared" si="11"/>
        <v>0</v>
      </c>
      <c r="T120" s="735">
        <f t="shared" si="12"/>
        <v>0</v>
      </c>
      <c r="U120" s="735">
        <f t="shared" si="13"/>
        <v>0</v>
      </c>
      <c r="V120" s="736">
        <f t="shared" si="14"/>
        <v>0</v>
      </c>
      <c r="W120" s="735">
        <f t="shared" si="15"/>
        <v>0</v>
      </c>
      <c r="X120" s="737">
        <f t="shared" si="16"/>
        <v>0</v>
      </c>
      <c r="Y120" s="738">
        <f t="shared" si="17"/>
        <v>0</v>
      </c>
    </row>
    <row r="121" spans="1:25">
      <c r="A121" s="754" t="str">
        <f>'Func Future Subs 2015'!A121</f>
        <v>South Red Deer 194S (80/426L)</v>
      </c>
      <c r="B121" s="754">
        <f>'Func Future Subs 2015'!B121</f>
        <v>813</v>
      </c>
      <c r="C121" s="754">
        <f>'Func Future Subs 2015'!C121</f>
        <v>138</v>
      </c>
      <c r="D121" s="754">
        <f>'Func Future Subs 2015'!D121</f>
        <v>138</v>
      </c>
      <c r="E121" s="754" t="str">
        <f>'Func Future Subs 2015'!E121</f>
        <v>194S</v>
      </c>
      <c r="F121" s="754">
        <f>'Func Future Subs 2015'!F121</f>
        <v>1628738.9300905238</v>
      </c>
      <c r="G121" s="754" t="str">
        <f>'Func Future Subs 2015'!G121</f>
        <v>AltaLink</v>
      </c>
      <c r="H121" s="754">
        <f>'Func Future Subs 2015'!H121</f>
        <v>2017</v>
      </c>
      <c r="I121" s="306">
        <f>+IF($H121=I$2,VLOOKUP($G121,Depreciation!$A$14:$L$18,7,FALSE)/2,IF($H121&lt;I$2,VLOOKUP($G121,Depreciation!$A$14:$L$18,7,FALSE),0))</f>
        <v>0</v>
      </c>
      <c r="J121" s="306">
        <f>+IF($H121=J$2,VLOOKUP($G121,Depreciation!$A$14:$L$18,8,FALSE)/2,IF($H121&lt;J$2,VLOOKUP($G121,Depreciation!$A$14:$L$18,8,FALSE),0))</f>
        <v>0</v>
      </c>
      <c r="K121" s="306">
        <f>+IF($H121=K$2,VLOOKUP($G121,Depreciation!$A$14:$L$18,9,FALSE)/2,IF($H121&lt;K$2,VLOOKUP($G121,Depreciation!$A$14:$L$18,9,FALSE),0))</f>
        <v>1.671703928371859E-2</v>
      </c>
      <c r="L121" s="306">
        <f>+IF($H121=L$2,VLOOKUP($G121,Depreciation!$A$14:$L$18,10,FALSE)/2,IF($H121&lt;L$2,VLOOKUP($G121,Depreciation!$A$14:$L$18,10,FALSE),0))</f>
        <v>3.343407856743718E-2</v>
      </c>
      <c r="M121" s="306">
        <f>+IF($H121=M$2,VLOOKUP($G121,Depreciation!$A$14:$L$18,11,FALSE)/2,IF($H121&lt;M$2,VLOOKUP($G121,Depreciation!$A$14:$L$18,11,FALSE),0))</f>
        <v>3.343407856743718E-2</v>
      </c>
      <c r="N121" s="306">
        <f>+IF($H121=N$2,VLOOKUP($G121,Depreciation!$A$14:$L$18,12,FALSE)/2,IF($H121&lt;N$2,VLOOKUP($G121,Depreciation!$A$14:$L$18,12,FALSE),0))</f>
        <v>3.343407856743718E-2</v>
      </c>
      <c r="O121" s="307">
        <f t="shared" si="10"/>
        <v>0</v>
      </c>
      <c r="P121" s="732">
        <f>'Func Future Subs 2015'!P121</f>
        <v>0</v>
      </c>
      <c r="Q121" s="732">
        <f>'Func Future Subs 2015'!Q121</f>
        <v>0</v>
      </c>
      <c r="R121" s="732">
        <f>'Func Future Subs 2015'!R121</f>
        <v>1</v>
      </c>
      <c r="S121" s="735">
        <f t="shared" si="11"/>
        <v>0</v>
      </c>
      <c r="T121" s="735">
        <f t="shared" si="12"/>
        <v>0</v>
      </c>
      <c r="U121" s="735">
        <f t="shared" si="13"/>
        <v>0</v>
      </c>
      <c r="V121" s="736">
        <f t="shared" si="14"/>
        <v>0</v>
      </c>
      <c r="W121" s="735">
        <f t="shared" si="15"/>
        <v>0</v>
      </c>
      <c r="X121" s="737">
        <f t="shared" si="16"/>
        <v>0</v>
      </c>
      <c r="Y121" s="738">
        <f t="shared" si="17"/>
        <v>0</v>
      </c>
    </row>
    <row r="122" spans="1:25">
      <c r="A122" s="754" t="str">
        <f>'Func Future Subs 2015'!A122</f>
        <v>Substation Harmattan 256S_(v2)</v>
      </c>
      <c r="B122" s="754">
        <f>'Func Future Subs 2015'!B122</f>
        <v>813</v>
      </c>
      <c r="C122" s="754">
        <f>'Func Future Subs 2015'!C122</f>
        <v>138</v>
      </c>
      <c r="D122" s="754">
        <f>'Func Future Subs 2015'!D122</f>
        <v>25</v>
      </c>
      <c r="E122" s="754" t="str">
        <f>'Func Future Subs 2015'!E122</f>
        <v>256S</v>
      </c>
      <c r="F122" s="754">
        <f>'Func Future Subs 2015'!F122</f>
        <v>5094521.6606498221</v>
      </c>
      <c r="G122" s="754" t="str">
        <f>'Func Future Subs 2015'!G122</f>
        <v>AltaLink</v>
      </c>
      <c r="H122" s="754">
        <f>'Func Future Subs 2015'!H122</f>
        <v>2017</v>
      </c>
      <c r="I122" s="306">
        <f>+IF($H122=I$2,VLOOKUP($G122,Depreciation!$A$14:$L$18,7,FALSE)/2,IF($H122&lt;I$2,VLOOKUP($G122,Depreciation!$A$14:$L$18,7,FALSE),0))</f>
        <v>0</v>
      </c>
      <c r="J122" s="306">
        <f>+IF($H122=J$2,VLOOKUP($G122,Depreciation!$A$14:$L$18,8,FALSE)/2,IF($H122&lt;J$2,VLOOKUP($G122,Depreciation!$A$14:$L$18,8,FALSE),0))</f>
        <v>0</v>
      </c>
      <c r="K122" s="306">
        <f>+IF($H122=K$2,VLOOKUP($G122,Depreciation!$A$14:$L$18,9,FALSE)/2,IF($H122&lt;K$2,VLOOKUP($G122,Depreciation!$A$14:$L$18,9,FALSE),0))</f>
        <v>1.671703928371859E-2</v>
      </c>
      <c r="L122" s="306">
        <f>+IF($H122=L$2,VLOOKUP($G122,Depreciation!$A$14:$L$18,10,FALSE)/2,IF($H122&lt;L$2,VLOOKUP($G122,Depreciation!$A$14:$L$18,10,FALSE),0))</f>
        <v>3.343407856743718E-2</v>
      </c>
      <c r="M122" s="306">
        <f>+IF($H122=M$2,VLOOKUP($G122,Depreciation!$A$14:$L$18,11,FALSE)/2,IF($H122&lt;M$2,VLOOKUP($G122,Depreciation!$A$14:$L$18,11,FALSE),0))</f>
        <v>3.343407856743718E-2</v>
      </c>
      <c r="N122" s="306">
        <f>+IF($H122=N$2,VLOOKUP($G122,Depreciation!$A$14:$L$18,12,FALSE)/2,IF($H122&lt;N$2,VLOOKUP($G122,Depreciation!$A$14:$L$18,12,FALSE),0))</f>
        <v>3.343407856743718E-2</v>
      </c>
      <c r="O122" s="307">
        <f t="shared" si="10"/>
        <v>0</v>
      </c>
      <c r="P122" s="732">
        <f>'Func Future Subs 2015'!P122</f>
        <v>0.54510993176648981</v>
      </c>
      <c r="Q122" s="732">
        <f>'Func Future Subs 2015'!Q122</f>
        <v>0.45489006823351025</v>
      </c>
      <c r="R122" s="732">
        <f>'Func Future Subs 2015'!R122</f>
        <v>0</v>
      </c>
      <c r="S122" s="735">
        <f t="shared" si="11"/>
        <v>0</v>
      </c>
      <c r="T122" s="735">
        <f t="shared" si="12"/>
        <v>0</v>
      </c>
      <c r="U122" s="735">
        <f t="shared" si="13"/>
        <v>0</v>
      </c>
      <c r="V122" s="736">
        <f t="shared" si="14"/>
        <v>0</v>
      </c>
      <c r="W122" s="735">
        <f t="shared" si="15"/>
        <v>0</v>
      </c>
      <c r="X122" s="737">
        <f t="shared" si="16"/>
        <v>0</v>
      </c>
      <c r="Y122" s="738">
        <f t="shared" si="17"/>
        <v>0</v>
      </c>
    </row>
    <row r="123" spans="1:25">
      <c r="A123" s="754" t="str">
        <f>'Func Future Subs 2015'!A123</f>
        <v>Substation Johnson 281S_(v2)</v>
      </c>
      <c r="B123" s="754">
        <f>'Func Future Subs 2015'!B123</f>
        <v>813</v>
      </c>
      <c r="C123" s="754">
        <f>'Func Future Subs 2015'!C123</f>
        <v>240</v>
      </c>
      <c r="D123" s="754">
        <f>'Func Future Subs 2015'!D123</f>
        <v>138</v>
      </c>
      <c r="E123" s="754" t="str">
        <f>'Func Future Subs 2015'!E123</f>
        <v>281S</v>
      </c>
      <c r="F123" s="754">
        <f>'Func Future Subs 2015'!F123</f>
        <v>841829.79007888795</v>
      </c>
      <c r="G123" s="754" t="str">
        <f>'Func Future Subs 2015'!G123</f>
        <v>AltaLink</v>
      </c>
      <c r="H123" s="754">
        <f>'Func Future Subs 2015'!H123</f>
        <v>2017</v>
      </c>
      <c r="I123" s="306">
        <f>+IF($H123=I$2,VLOOKUP($G123,Depreciation!$A$14:$L$18,7,FALSE)/2,IF($H123&lt;I$2,VLOOKUP($G123,Depreciation!$A$14:$L$18,7,FALSE),0))</f>
        <v>0</v>
      </c>
      <c r="J123" s="306">
        <f>+IF($H123=J$2,VLOOKUP($G123,Depreciation!$A$14:$L$18,8,FALSE)/2,IF($H123&lt;J$2,VLOOKUP($G123,Depreciation!$A$14:$L$18,8,FALSE),0))</f>
        <v>0</v>
      </c>
      <c r="K123" s="306">
        <f>+IF($H123=K$2,VLOOKUP($G123,Depreciation!$A$14:$L$18,9,FALSE)/2,IF($H123&lt;K$2,VLOOKUP($G123,Depreciation!$A$14:$L$18,9,FALSE),0))</f>
        <v>1.671703928371859E-2</v>
      </c>
      <c r="L123" s="306">
        <f>+IF($H123=L$2,VLOOKUP($G123,Depreciation!$A$14:$L$18,10,FALSE)/2,IF($H123&lt;L$2,VLOOKUP($G123,Depreciation!$A$14:$L$18,10,FALSE),0))</f>
        <v>3.343407856743718E-2</v>
      </c>
      <c r="M123" s="306">
        <f>+IF($H123=M$2,VLOOKUP($G123,Depreciation!$A$14:$L$18,11,FALSE)/2,IF($H123&lt;M$2,VLOOKUP($G123,Depreciation!$A$14:$L$18,11,FALSE),0))</f>
        <v>3.343407856743718E-2</v>
      </c>
      <c r="N123" s="306">
        <f>+IF($H123=N$2,VLOOKUP($G123,Depreciation!$A$14:$L$18,12,FALSE)/2,IF($H123&lt;N$2,VLOOKUP($G123,Depreciation!$A$14:$L$18,12,FALSE),0))</f>
        <v>3.343407856743718E-2</v>
      </c>
      <c r="O123" s="307">
        <f t="shared" si="10"/>
        <v>0</v>
      </c>
      <c r="P123" s="732">
        <f>'Func Future Subs 2015'!P123</f>
        <v>0</v>
      </c>
      <c r="Q123" s="732">
        <f>'Func Future Subs 2015'!Q123</f>
        <v>0</v>
      </c>
      <c r="R123" s="732">
        <f>'Func Future Subs 2015'!R123</f>
        <v>1</v>
      </c>
      <c r="S123" s="735">
        <f t="shared" si="11"/>
        <v>0</v>
      </c>
      <c r="T123" s="735">
        <f t="shared" si="12"/>
        <v>0</v>
      </c>
      <c r="U123" s="735">
        <f t="shared" si="13"/>
        <v>0</v>
      </c>
      <c r="V123" s="736">
        <f t="shared" si="14"/>
        <v>0</v>
      </c>
      <c r="W123" s="735">
        <f t="shared" si="15"/>
        <v>0</v>
      </c>
      <c r="X123" s="737">
        <f t="shared" si="16"/>
        <v>0</v>
      </c>
      <c r="Y123" s="738">
        <f t="shared" si="17"/>
        <v>0</v>
      </c>
    </row>
    <row r="124" spans="1:25">
      <c r="A124" s="754" t="str">
        <f>'Func Future Subs 2015'!A124</f>
        <v>Sundre 575S RAS_(v2)</v>
      </c>
      <c r="B124" s="754">
        <f>'Func Future Subs 2015'!B124</f>
        <v>813</v>
      </c>
      <c r="C124" s="754">
        <f>'Func Future Subs 2015'!C124</f>
        <v>138</v>
      </c>
      <c r="D124" s="754">
        <f>'Func Future Subs 2015'!D124</f>
        <v>25</v>
      </c>
      <c r="E124" s="754" t="str">
        <f>'Func Future Subs 2015'!E124</f>
        <v>575S</v>
      </c>
      <c r="F124" s="754">
        <f>'Func Future Subs 2015'!F124</f>
        <v>109894.03663591394</v>
      </c>
      <c r="G124" s="754" t="str">
        <f>'Func Future Subs 2015'!G124</f>
        <v>AltaLink</v>
      </c>
      <c r="H124" s="754">
        <f>'Func Future Subs 2015'!H124</f>
        <v>2017</v>
      </c>
      <c r="I124" s="306">
        <f>+IF($H124=I$2,VLOOKUP($G124,Depreciation!$A$14:$L$18,7,FALSE)/2,IF($H124&lt;I$2,VLOOKUP($G124,Depreciation!$A$14:$L$18,7,FALSE),0))</f>
        <v>0</v>
      </c>
      <c r="J124" s="306">
        <f>+IF($H124=J$2,VLOOKUP($G124,Depreciation!$A$14:$L$18,8,FALSE)/2,IF($H124&lt;J$2,VLOOKUP($G124,Depreciation!$A$14:$L$18,8,FALSE),0))</f>
        <v>0</v>
      </c>
      <c r="K124" s="306">
        <f>+IF($H124=K$2,VLOOKUP($G124,Depreciation!$A$14:$L$18,9,FALSE)/2,IF($H124&lt;K$2,VLOOKUP($G124,Depreciation!$A$14:$L$18,9,FALSE),0))</f>
        <v>1.671703928371859E-2</v>
      </c>
      <c r="L124" s="306">
        <f>+IF($H124=L$2,VLOOKUP($G124,Depreciation!$A$14:$L$18,10,FALSE)/2,IF($H124&lt;L$2,VLOOKUP($G124,Depreciation!$A$14:$L$18,10,FALSE),0))</f>
        <v>3.343407856743718E-2</v>
      </c>
      <c r="M124" s="306">
        <f>+IF($H124=M$2,VLOOKUP($G124,Depreciation!$A$14:$L$18,11,FALSE)/2,IF($H124&lt;M$2,VLOOKUP($G124,Depreciation!$A$14:$L$18,11,FALSE),0))</f>
        <v>3.343407856743718E-2</v>
      </c>
      <c r="N124" s="306">
        <f>+IF($H124=N$2,VLOOKUP($G124,Depreciation!$A$14:$L$18,12,FALSE)/2,IF($H124&lt;N$2,VLOOKUP($G124,Depreciation!$A$14:$L$18,12,FALSE),0))</f>
        <v>3.343407856743718E-2</v>
      </c>
      <c r="O124" s="307">
        <f t="shared" si="10"/>
        <v>0</v>
      </c>
      <c r="P124" s="732">
        <f>'Func Future Subs 2015'!P124</f>
        <v>0</v>
      </c>
      <c r="Q124" s="732">
        <f>'Func Future Subs 2015'!Q124</f>
        <v>1</v>
      </c>
      <c r="R124" s="732">
        <f>'Func Future Subs 2015'!R124</f>
        <v>0</v>
      </c>
      <c r="S124" s="735">
        <f t="shared" si="11"/>
        <v>0</v>
      </c>
      <c r="T124" s="735">
        <f t="shared" si="12"/>
        <v>0</v>
      </c>
      <c r="U124" s="735">
        <f t="shared" si="13"/>
        <v>0</v>
      </c>
      <c r="V124" s="736">
        <f t="shared" si="14"/>
        <v>0</v>
      </c>
      <c r="W124" s="735">
        <f t="shared" si="15"/>
        <v>0</v>
      </c>
      <c r="X124" s="737">
        <f t="shared" si="16"/>
        <v>0</v>
      </c>
      <c r="Y124" s="738">
        <f t="shared" si="17"/>
        <v>0</v>
      </c>
    </row>
    <row r="125" spans="1:25">
      <c r="A125" s="754" t="str">
        <f>'Func Future Subs 2015'!A125</f>
        <v>Sylvan Lake 580S</v>
      </c>
      <c r="B125" s="754">
        <f>'Func Future Subs 2015'!B125</f>
        <v>813</v>
      </c>
      <c r="C125" s="754">
        <f>'Func Future Subs 2015'!C125</f>
        <v>138</v>
      </c>
      <c r="D125" s="754">
        <f>'Func Future Subs 2015'!D125</f>
        <v>25</v>
      </c>
      <c r="E125" s="754" t="str">
        <f>'Func Future Subs 2015'!E125</f>
        <v>580S</v>
      </c>
      <c r="F125" s="754">
        <f>'Func Future Subs 2015'!F125</f>
        <v>932711.63703784568</v>
      </c>
      <c r="G125" s="754" t="str">
        <f>'Func Future Subs 2015'!G125</f>
        <v>AltaLink</v>
      </c>
      <c r="H125" s="754">
        <f>'Func Future Subs 2015'!H125</f>
        <v>2017</v>
      </c>
      <c r="I125" s="306">
        <f>+IF($H125=I$2,VLOOKUP($G125,Depreciation!$A$14:$L$18,7,FALSE)/2,IF($H125&lt;I$2,VLOOKUP($G125,Depreciation!$A$14:$L$18,7,FALSE),0))</f>
        <v>0</v>
      </c>
      <c r="J125" s="306">
        <f>+IF($H125=J$2,VLOOKUP($G125,Depreciation!$A$14:$L$18,8,FALSE)/2,IF($H125&lt;J$2,VLOOKUP($G125,Depreciation!$A$14:$L$18,8,FALSE),0))</f>
        <v>0</v>
      </c>
      <c r="K125" s="306">
        <f>+IF($H125=K$2,VLOOKUP($G125,Depreciation!$A$14:$L$18,9,FALSE)/2,IF($H125&lt;K$2,VLOOKUP($G125,Depreciation!$A$14:$L$18,9,FALSE),0))</f>
        <v>1.671703928371859E-2</v>
      </c>
      <c r="L125" s="306">
        <f>+IF($H125=L$2,VLOOKUP($G125,Depreciation!$A$14:$L$18,10,FALSE)/2,IF($H125&lt;L$2,VLOOKUP($G125,Depreciation!$A$14:$L$18,10,FALSE),0))</f>
        <v>3.343407856743718E-2</v>
      </c>
      <c r="M125" s="306">
        <f>+IF($H125=M$2,VLOOKUP($G125,Depreciation!$A$14:$L$18,11,FALSE)/2,IF($H125&lt;M$2,VLOOKUP($G125,Depreciation!$A$14:$L$18,11,FALSE),0))</f>
        <v>3.343407856743718E-2</v>
      </c>
      <c r="N125" s="306">
        <f>+IF($H125=N$2,VLOOKUP($G125,Depreciation!$A$14:$L$18,12,FALSE)/2,IF($H125&lt;N$2,VLOOKUP($G125,Depreciation!$A$14:$L$18,12,FALSE),0))</f>
        <v>3.343407856743718E-2</v>
      </c>
      <c r="O125" s="307">
        <f t="shared" si="10"/>
        <v>0</v>
      </c>
      <c r="P125" s="732">
        <f>'Func Future Subs 2015'!P125</f>
        <v>0</v>
      </c>
      <c r="Q125" s="732">
        <f>'Func Future Subs 2015'!Q125</f>
        <v>1</v>
      </c>
      <c r="R125" s="732">
        <f>'Func Future Subs 2015'!R125</f>
        <v>0</v>
      </c>
      <c r="S125" s="735">
        <f t="shared" si="11"/>
        <v>0</v>
      </c>
      <c r="T125" s="735">
        <f t="shared" si="12"/>
        <v>0</v>
      </c>
      <c r="U125" s="735">
        <f t="shared" si="13"/>
        <v>0</v>
      </c>
      <c r="V125" s="736">
        <f t="shared" si="14"/>
        <v>0</v>
      </c>
      <c r="W125" s="735">
        <f t="shared" si="15"/>
        <v>0</v>
      </c>
      <c r="X125" s="737">
        <f t="shared" si="16"/>
        <v>0</v>
      </c>
      <c r="Y125" s="738">
        <f t="shared" si="17"/>
        <v>0</v>
      </c>
    </row>
    <row r="126" spans="1:25">
      <c r="A126" s="754" t="str">
        <f>'Func Future Subs 2015'!A126</f>
        <v>Waiparous 639S</v>
      </c>
      <c r="B126" s="754">
        <f>'Func Future Subs 2015'!B126</f>
        <v>813</v>
      </c>
      <c r="C126" s="754">
        <f>'Func Future Subs 2015'!C126</f>
        <v>240</v>
      </c>
      <c r="D126" s="754">
        <f>'Func Future Subs 2015'!D126</f>
        <v>0</v>
      </c>
      <c r="E126" s="754" t="str">
        <f>'Func Future Subs 2015'!E126</f>
        <v>639S</v>
      </c>
      <c r="F126" s="754">
        <f>'Func Future Subs 2015'!F126</f>
        <v>957002.50299688336</v>
      </c>
      <c r="G126" s="754" t="str">
        <f>'Func Future Subs 2015'!G126</f>
        <v>AltaLink</v>
      </c>
      <c r="H126" s="754">
        <f>'Func Future Subs 2015'!H126</f>
        <v>2017</v>
      </c>
      <c r="I126" s="306">
        <f>+IF($H126=I$2,VLOOKUP($G126,Depreciation!$A$14:$L$18,7,FALSE)/2,IF($H126&lt;I$2,VLOOKUP($G126,Depreciation!$A$14:$L$18,7,FALSE),0))</f>
        <v>0</v>
      </c>
      <c r="J126" s="306">
        <f>+IF($H126=J$2,VLOOKUP($G126,Depreciation!$A$14:$L$18,8,FALSE)/2,IF($H126&lt;J$2,VLOOKUP($G126,Depreciation!$A$14:$L$18,8,FALSE),0))</f>
        <v>0</v>
      </c>
      <c r="K126" s="306">
        <f>+IF($H126=K$2,VLOOKUP($G126,Depreciation!$A$14:$L$18,9,FALSE)/2,IF($H126&lt;K$2,VLOOKUP($G126,Depreciation!$A$14:$L$18,9,FALSE),0))</f>
        <v>1.671703928371859E-2</v>
      </c>
      <c r="L126" s="306">
        <f>+IF($H126=L$2,VLOOKUP($G126,Depreciation!$A$14:$L$18,10,FALSE)/2,IF($H126&lt;L$2,VLOOKUP($G126,Depreciation!$A$14:$L$18,10,FALSE),0))</f>
        <v>3.343407856743718E-2</v>
      </c>
      <c r="M126" s="306">
        <f>+IF($H126=M$2,VLOOKUP($G126,Depreciation!$A$14:$L$18,11,FALSE)/2,IF($H126&lt;M$2,VLOOKUP($G126,Depreciation!$A$14:$L$18,11,FALSE),0))</f>
        <v>3.343407856743718E-2</v>
      </c>
      <c r="N126" s="306">
        <f>+IF($H126=N$2,VLOOKUP($G126,Depreciation!$A$14:$L$18,12,FALSE)/2,IF($H126&lt;N$2,VLOOKUP($G126,Depreciation!$A$14:$L$18,12,FALSE),0))</f>
        <v>3.343407856743718E-2</v>
      </c>
      <c r="O126" s="307">
        <f t="shared" si="10"/>
        <v>0</v>
      </c>
      <c r="P126" s="732">
        <f>'Func Future Subs 2015'!P126</f>
        <v>0</v>
      </c>
      <c r="Q126" s="732">
        <f>'Func Future Subs 2015'!Q126</f>
        <v>0</v>
      </c>
      <c r="R126" s="732">
        <f>'Func Future Subs 2015'!R126</f>
        <v>1</v>
      </c>
      <c r="S126" s="735">
        <f t="shared" si="11"/>
        <v>0</v>
      </c>
      <c r="T126" s="735">
        <f t="shared" si="12"/>
        <v>0</v>
      </c>
      <c r="U126" s="735">
        <f t="shared" si="13"/>
        <v>0</v>
      </c>
      <c r="V126" s="736">
        <f t="shared" si="14"/>
        <v>0</v>
      </c>
      <c r="W126" s="735">
        <f t="shared" si="15"/>
        <v>0</v>
      </c>
      <c r="X126" s="737">
        <f t="shared" si="16"/>
        <v>0</v>
      </c>
      <c r="Y126" s="738">
        <f t="shared" si="17"/>
        <v>0</v>
      </c>
    </row>
    <row r="127" spans="1:25">
      <c r="A127" s="754" t="str">
        <f>'Func Future Subs 2015'!A127</f>
        <v>Wolf Creek 288S</v>
      </c>
      <c r="B127" s="754">
        <f>'Func Future Subs 2015'!B127</f>
        <v>813</v>
      </c>
      <c r="C127" s="754">
        <f>'Func Future Subs 2015'!C127</f>
        <v>240</v>
      </c>
      <c r="D127" s="754">
        <f>'Func Future Subs 2015'!D127</f>
        <v>138</v>
      </c>
      <c r="E127" s="754" t="str">
        <f>'Func Future Subs 2015'!E127</f>
        <v>288S</v>
      </c>
      <c r="F127" s="754">
        <f>'Func Future Subs 2015'!F127</f>
        <v>35639737.099017024</v>
      </c>
      <c r="G127" s="754" t="str">
        <f>'Func Future Subs 2015'!G127</f>
        <v>AltaLink</v>
      </c>
      <c r="H127" s="754">
        <f>'Func Future Subs 2015'!H127</f>
        <v>2017</v>
      </c>
      <c r="I127" s="306">
        <f>+IF($H127=I$2,VLOOKUP($G127,Depreciation!$A$14:$L$18,7,FALSE)/2,IF($H127&lt;I$2,VLOOKUP($G127,Depreciation!$A$14:$L$18,7,FALSE),0))</f>
        <v>0</v>
      </c>
      <c r="J127" s="306">
        <f>+IF($H127=J$2,VLOOKUP($G127,Depreciation!$A$14:$L$18,8,FALSE)/2,IF($H127&lt;J$2,VLOOKUP($G127,Depreciation!$A$14:$L$18,8,FALSE),0))</f>
        <v>0</v>
      </c>
      <c r="K127" s="306">
        <f>+IF($H127=K$2,VLOOKUP($G127,Depreciation!$A$14:$L$18,9,FALSE)/2,IF($H127&lt;K$2,VLOOKUP($G127,Depreciation!$A$14:$L$18,9,FALSE),0))</f>
        <v>1.671703928371859E-2</v>
      </c>
      <c r="L127" s="306">
        <f>+IF($H127=L$2,VLOOKUP($G127,Depreciation!$A$14:$L$18,10,FALSE)/2,IF($H127&lt;L$2,VLOOKUP($G127,Depreciation!$A$14:$L$18,10,FALSE),0))</f>
        <v>3.343407856743718E-2</v>
      </c>
      <c r="M127" s="306">
        <f>+IF($H127=M$2,VLOOKUP($G127,Depreciation!$A$14:$L$18,11,FALSE)/2,IF($H127&lt;M$2,VLOOKUP($G127,Depreciation!$A$14:$L$18,11,FALSE),0))</f>
        <v>3.343407856743718E-2</v>
      </c>
      <c r="N127" s="306">
        <f>+IF($H127=N$2,VLOOKUP($G127,Depreciation!$A$14:$L$18,12,FALSE)/2,IF($H127&lt;N$2,VLOOKUP($G127,Depreciation!$A$14:$L$18,12,FALSE),0))</f>
        <v>3.343407856743718E-2</v>
      </c>
      <c r="O127" s="307">
        <f t="shared" si="10"/>
        <v>0</v>
      </c>
      <c r="P127" s="732">
        <f>'Func Future Subs 2015'!P127</f>
        <v>0</v>
      </c>
      <c r="Q127" s="732">
        <f>'Func Future Subs 2015'!Q127</f>
        <v>0</v>
      </c>
      <c r="R127" s="732">
        <f>'Func Future Subs 2015'!R127</f>
        <v>1</v>
      </c>
      <c r="S127" s="735">
        <f t="shared" si="11"/>
        <v>0</v>
      </c>
      <c r="T127" s="735">
        <f t="shared" si="12"/>
        <v>0</v>
      </c>
      <c r="U127" s="735">
        <f t="shared" si="13"/>
        <v>0</v>
      </c>
      <c r="V127" s="736">
        <f t="shared" si="14"/>
        <v>0</v>
      </c>
      <c r="W127" s="735">
        <f t="shared" si="15"/>
        <v>0</v>
      </c>
      <c r="X127" s="737">
        <f t="shared" si="16"/>
        <v>0</v>
      </c>
      <c r="Y127" s="738">
        <f t="shared" si="17"/>
        <v>0</v>
      </c>
    </row>
    <row r="128" spans="1:25">
      <c r="A128" s="754" t="str">
        <f>'Func Future Subs 2015'!A128</f>
        <v>Acheson 305S</v>
      </c>
      <c r="B128" s="754">
        <f>'Func Future Subs 2015'!B128</f>
        <v>850</v>
      </c>
      <c r="C128" s="754">
        <f>'Func Future Subs 2015'!C128</f>
        <v>138</v>
      </c>
      <c r="D128" s="754">
        <f>'Func Future Subs 2015'!D128</f>
        <v>25</v>
      </c>
      <c r="E128" s="754" t="str">
        <f>'Func Future Subs 2015'!E128</f>
        <v>305S</v>
      </c>
      <c r="F128" s="754">
        <f>'Func Future Subs 2015'!F128</f>
        <v>8772223.6609183215</v>
      </c>
      <c r="G128" s="754" t="str">
        <f>'Func Future Subs 2015'!G128</f>
        <v>AltaLink</v>
      </c>
      <c r="H128" s="754">
        <f>'Func Future Subs 2015'!H128</f>
        <v>2017</v>
      </c>
      <c r="I128" s="306">
        <f>+IF($H128=I$2,VLOOKUP($G128,Depreciation!$A$14:$L$18,7,FALSE)/2,IF($H128&lt;I$2,VLOOKUP($G128,Depreciation!$A$14:$L$18,7,FALSE),0))</f>
        <v>0</v>
      </c>
      <c r="J128" s="306">
        <f>+IF($H128=J$2,VLOOKUP($G128,Depreciation!$A$14:$L$18,8,FALSE)/2,IF($H128&lt;J$2,VLOOKUP($G128,Depreciation!$A$14:$L$18,8,FALSE),0))</f>
        <v>0</v>
      </c>
      <c r="K128" s="306">
        <f>+IF($H128=K$2,VLOOKUP($G128,Depreciation!$A$14:$L$18,9,FALSE)/2,IF($H128&lt;K$2,VLOOKUP($G128,Depreciation!$A$14:$L$18,9,FALSE),0))</f>
        <v>1.671703928371859E-2</v>
      </c>
      <c r="L128" s="306">
        <f>+IF($H128=L$2,VLOOKUP($G128,Depreciation!$A$14:$L$18,10,FALSE)/2,IF($H128&lt;L$2,VLOOKUP($G128,Depreciation!$A$14:$L$18,10,FALSE),0))</f>
        <v>3.343407856743718E-2</v>
      </c>
      <c r="M128" s="306">
        <f>+IF($H128=M$2,VLOOKUP($G128,Depreciation!$A$14:$L$18,11,FALSE)/2,IF($H128&lt;M$2,VLOOKUP($G128,Depreciation!$A$14:$L$18,11,FALSE),0))</f>
        <v>3.343407856743718E-2</v>
      </c>
      <c r="N128" s="306">
        <f>+IF($H128=N$2,VLOOKUP($G128,Depreciation!$A$14:$L$18,12,FALSE)/2,IF($H128&lt;N$2,VLOOKUP($G128,Depreciation!$A$14:$L$18,12,FALSE),0))</f>
        <v>3.343407856743718E-2</v>
      </c>
      <c r="O128" s="307">
        <f t="shared" si="10"/>
        <v>0</v>
      </c>
      <c r="P128" s="732">
        <f>'Func Future Subs 2015'!P128</f>
        <v>0</v>
      </c>
      <c r="Q128" s="732">
        <f>'Func Future Subs 2015'!Q128</f>
        <v>1</v>
      </c>
      <c r="R128" s="732">
        <f>'Func Future Subs 2015'!R128</f>
        <v>0</v>
      </c>
      <c r="S128" s="735">
        <f t="shared" si="11"/>
        <v>0</v>
      </c>
      <c r="T128" s="735">
        <f t="shared" si="12"/>
        <v>0</v>
      </c>
      <c r="U128" s="735">
        <f t="shared" si="13"/>
        <v>0</v>
      </c>
      <c r="V128" s="736">
        <f t="shared" si="14"/>
        <v>0</v>
      </c>
      <c r="W128" s="735">
        <f t="shared" si="15"/>
        <v>0</v>
      </c>
      <c r="X128" s="737">
        <f t="shared" si="16"/>
        <v>0</v>
      </c>
      <c r="Y128" s="738">
        <f t="shared" si="17"/>
        <v>0</v>
      </c>
    </row>
    <row r="129" spans="1:25">
      <c r="A129" s="754" t="str">
        <f>'Func Future Subs 2015'!A129</f>
        <v xml:space="preserve">Bardo 197S </v>
      </c>
      <c r="B129" s="754">
        <f>'Func Future Subs 2015'!B129</f>
        <v>850</v>
      </c>
      <c r="C129" s="754">
        <f>'Func Future Subs 2015'!C129</f>
        <v>138</v>
      </c>
      <c r="D129" s="754">
        <f>'Func Future Subs 2015'!D129</f>
        <v>138</v>
      </c>
      <c r="E129" s="754" t="str">
        <f>'Func Future Subs 2015'!E129</f>
        <v>197S</v>
      </c>
      <c r="F129" s="754">
        <f>'Func Future Subs 2015'!F129</f>
        <v>1637012.1502390178</v>
      </c>
      <c r="G129" s="754" t="str">
        <f>'Func Future Subs 2015'!G129</f>
        <v>AltaLink</v>
      </c>
      <c r="H129" s="754">
        <f>'Func Future Subs 2015'!H129</f>
        <v>2017</v>
      </c>
      <c r="I129" s="306">
        <f>+IF($H129=I$2,VLOOKUP($G129,Depreciation!$A$14:$L$18,7,FALSE)/2,IF($H129&lt;I$2,VLOOKUP($G129,Depreciation!$A$14:$L$18,7,FALSE),0))</f>
        <v>0</v>
      </c>
      <c r="J129" s="306">
        <f>+IF($H129=J$2,VLOOKUP($G129,Depreciation!$A$14:$L$18,8,FALSE)/2,IF($H129&lt;J$2,VLOOKUP($G129,Depreciation!$A$14:$L$18,8,FALSE),0))</f>
        <v>0</v>
      </c>
      <c r="K129" s="306">
        <f>+IF($H129=K$2,VLOOKUP($G129,Depreciation!$A$14:$L$18,9,FALSE)/2,IF($H129&lt;K$2,VLOOKUP($G129,Depreciation!$A$14:$L$18,9,FALSE),0))</f>
        <v>1.671703928371859E-2</v>
      </c>
      <c r="L129" s="306">
        <f>+IF($H129=L$2,VLOOKUP($G129,Depreciation!$A$14:$L$18,10,FALSE)/2,IF($H129&lt;L$2,VLOOKUP($G129,Depreciation!$A$14:$L$18,10,FALSE),0))</f>
        <v>3.343407856743718E-2</v>
      </c>
      <c r="M129" s="306">
        <f>+IF($H129=M$2,VLOOKUP($G129,Depreciation!$A$14:$L$18,11,FALSE)/2,IF($H129&lt;M$2,VLOOKUP($G129,Depreciation!$A$14:$L$18,11,FALSE),0))</f>
        <v>3.343407856743718E-2</v>
      </c>
      <c r="N129" s="306">
        <f>+IF($H129=N$2,VLOOKUP($G129,Depreciation!$A$14:$L$18,12,FALSE)/2,IF($H129&lt;N$2,VLOOKUP($G129,Depreciation!$A$14:$L$18,12,FALSE),0))</f>
        <v>3.343407856743718E-2</v>
      </c>
      <c r="O129" s="307">
        <f t="shared" si="10"/>
        <v>0</v>
      </c>
      <c r="P129" s="732">
        <f>'Func Future Subs 2015'!P129</f>
        <v>0</v>
      </c>
      <c r="Q129" s="732">
        <f>'Func Future Subs 2015'!Q129</f>
        <v>0</v>
      </c>
      <c r="R129" s="732">
        <f>'Func Future Subs 2015'!R129</f>
        <v>1</v>
      </c>
      <c r="S129" s="735">
        <f t="shared" si="11"/>
        <v>0</v>
      </c>
      <c r="T129" s="735">
        <f t="shared" si="12"/>
        <v>0</v>
      </c>
      <c r="U129" s="735">
        <f t="shared" si="13"/>
        <v>0</v>
      </c>
      <c r="V129" s="736">
        <f t="shared" si="14"/>
        <v>0</v>
      </c>
      <c r="W129" s="735">
        <f t="shared" si="15"/>
        <v>0</v>
      </c>
      <c r="X129" s="737">
        <f t="shared" si="16"/>
        <v>0</v>
      </c>
      <c r="Y129" s="738">
        <f t="shared" si="17"/>
        <v>0</v>
      </c>
    </row>
    <row r="130" spans="1:25">
      <c r="A130" s="754" t="str">
        <f>'Func Future Subs 2015'!A130</f>
        <v>Bigstone 86S</v>
      </c>
      <c r="B130" s="754">
        <f>'Func Future Subs 2015'!B130</f>
        <v>850</v>
      </c>
      <c r="C130" s="754">
        <f>'Func Future Subs 2015'!C130</f>
        <v>240</v>
      </c>
      <c r="D130" s="754">
        <f>'Func Future Subs 2015'!D130</f>
        <v>138</v>
      </c>
      <c r="E130" s="754" t="str">
        <f>'Func Future Subs 2015'!E130</f>
        <v>86S</v>
      </c>
      <c r="F130" s="754">
        <f>'Func Future Subs 2015'!F130</f>
        <v>413798.77575694869</v>
      </c>
      <c r="G130" s="754" t="str">
        <f>'Func Future Subs 2015'!G130</f>
        <v>AltaLink</v>
      </c>
      <c r="H130" s="754">
        <f>'Func Future Subs 2015'!H130</f>
        <v>2017</v>
      </c>
      <c r="I130" s="306">
        <f>+IF($H130=I$2,VLOOKUP($G130,Depreciation!$A$14:$L$18,7,FALSE)/2,IF($H130&lt;I$2,VLOOKUP($G130,Depreciation!$A$14:$L$18,7,FALSE),0))</f>
        <v>0</v>
      </c>
      <c r="J130" s="306">
        <f>+IF($H130=J$2,VLOOKUP($G130,Depreciation!$A$14:$L$18,8,FALSE)/2,IF($H130&lt;J$2,VLOOKUP($G130,Depreciation!$A$14:$L$18,8,FALSE),0))</f>
        <v>0</v>
      </c>
      <c r="K130" s="306">
        <f>+IF($H130=K$2,VLOOKUP($G130,Depreciation!$A$14:$L$18,9,FALSE)/2,IF($H130&lt;K$2,VLOOKUP($G130,Depreciation!$A$14:$L$18,9,FALSE),0))</f>
        <v>1.671703928371859E-2</v>
      </c>
      <c r="L130" s="306">
        <f>+IF($H130=L$2,VLOOKUP($G130,Depreciation!$A$14:$L$18,10,FALSE)/2,IF($H130&lt;L$2,VLOOKUP($G130,Depreciation!$A$14:$L$18,10,FALSE),0))</f>
        <v>3.343407856743718E-2</v>
      </c>
      <c r="M130" s="306">
        <f>+IF($H130=M$2,VLOOKUP($G130,Depreciation!$A$14:$L$18,11,FALSE)/2,IF($H130&lt;M$2,VLOOKUP($G130,Depreciation!$A$14:$L$18,11,FALSE),0))</f>
        <v>3.343407856743718E-2</v>
      </c>
      <c r="N130" s="306">
        <f>+IF($H130=N$2,VLOOKUP($G130,Depreciation!$A$14:$L$18,12,FALSE)/2,IF($H130&lt;N$2,VLOOKUP($G130,Depreciation!$A$14:$L$18,12,FALSE),0))</f>
        <v>3.343407856743718E-2</v>
      </c>
      <c r="O130" s="307">
        <f t="shared" si="10"/>
        <v>0</v>
      </c>
      <c r="P130" s="732">
        <f>'Func Future Subs 2015'!P130</f>
        <v>0</v>
      </c>
      <c r="Q130" s="732">
        <f>'Func Future Subs 2015'!Q130</f>
        <v>0</v>
      </c>
      <c r="R130" s="732">
        <f>'Func Future Subs 2015'!R130</f>
        <v>1</v>
      </c>
      <c r="S130" s="735">
        <f t="shared" si="11"/>
        <v>0</v>
      </c>
      <c r="T130" s="735">
        <f t="shared" si="12"/>
        <v>0</v>
      </c>
      <c r="U130" s="735">
        <f t="shared" si="13"/>
        <v>0</v>
      </c>
      <c r="V130" s="736">
        <f t="shared" si="14"/>
        <v>0</v>
      </c>
      <c r="W130" s="735">
        <f t="shared" si="15"/>
        <v>0</v>
      </c>
      <c r="X130" s="737">
        <f t="shared" si="16"/>
        <v>0</v>
      </c>
      <c r="Y130" s="738">
        <f t="shared" si="17"/>
        <v>0</v>
      </c>
    </row>
    <row r="131" spans="1:25">
      <c r="A131" s="754" t="str">
        <f>'Func Future Subs 2015'!A131</f>
        <v>Bilby 105S</v>
      </c>
      <c r="B131" s="754">
        <f>'Func Future Subs 2015'!B131</f>
        <v>850</v>
      </c>
      <c r="C131" s="754">
        <f>'Func Future Subs 2015'!C131</f>
        <v>138</v>
      </c>
      <c r="D131" s="754">
        <f>'Func Future Subs 2015'!D131</f>
        <v>25</v>
      </c>
      <c r="E131" s="754" t="str">
        <f>'Func Future Subs 2015'!E131</f>
        <v>105S</v>
      </c>
      <c r="F131" s="754">
        <f>'Func Future Subs 2015'!F131</f>
        <v>109864.19345706432</v>
      </c>
      <c r="G131" s="754" t="str">
        <f>'Func Future Subs 2015'!G131</f>
        <v>AltaLink</v>
      </c>
      <c r="H131" s="754">
        <f>'Func Future Subs 2015'!H131</f>
        <v>2017</v>
      </c>
      <c r="I131" s="306">
        <f>+IF($H131=I$2,VLOOKUP($G131,Depreciation!$A$14:$L$18,7,FALSE)/2,IF($H131&lt;I$2,VLOOKUP($G131,Depreciation!$A$14:$L$18,7,FALSE),0))</f>
        <v>0</v>
      </c>
      <c r="J131" s="306">
        <f>+IF($H131=J$2,VLOOKUP($G131,Depreciation!$A$14:$L$18,8,FALSE)/2,IF($H131&lt;J$2,VLOOKUP($G131,Depreciation!$A$14:$L$18,8,FALSE),0))</f>
        <v>0</v>
      </c>
      <c r="K131" s="306">
        <f>+IF($H131=K$2,VLOOKUP($G131,Depreciation!$A$14:$L$18,9,FALSE)/2,IF($H131&lt;K$2,VLOOKUP($G131,Depreciation!$A$14:$L$18,9,FALSE),0))</f>
        <v>1.671703928371859E-2</v>
      </c>
      <c r="L131" s="306">
        <f>+IF($H131=L$2,VLOOKUP($G131,Depreciation!$A$14:$L$18,10,FALSE)/2,IF($H131&lt;L$2,VLOOKUP($G131,Depreciation!$A$14:$L$18,10,FALSE),0))</f>
        <v>3.343407856743718E-2</v>
      </c>
      <c r="M131" s="306">
        <f>+IF($H131=M$2,VLOOKUP($G131,Depreciation!$A$14:$L$18,11,FALSE)/2,IF($H131&lt;M$2,VLOOKUP($G131,Depreciation!$A$14:$L$18,11,FALSE),0))</f>
        <v>3.343407856743718E-2</v>
      </c>
      <c r="N131" s="306">
        <f>+IF($H131=N$2,VLOOKUP($G131,Depreciation!$A$14:$L$18,12,FALSE)/2,IF($H131&lt;N$2,VLOOKUP($G131,Depreciation!$A$14:$L$18,12,FALSE),0))</f>
        <v>3.343407856743718E-2</v>
      </c>
      <c r="O131" s="307">
        <f t="shared" si="10"/>
        <v>0</v>
      </c>
      <c r="P131" s="732">
        <f>'Func Future Subs 2015'!P131</f>
        <v>0</v>
      </c>
      <c r="Q131" s="732">
        <f>'Func Future Subs 2015'!Q131</f>
        <v>1</v>
      </c>
      <c r="R131" s="732">
        <f>'Func Future Subs 2015'!R131</f>
        <v>0</v>
      </c>
      <c r="S131" s="735">
        <f t="shared" si="11"/>
        <v>0</v>
      </c>
      <c r="T131" s="735">
        <f t="shared" si="12"/>
        <v>0</v>
      </c>
      <c r="U131" s="735">
        <f t="shared" si="13"/>
        <v>0</v>
      </c>
      <c r="V131" s="736">
        <f t="shared" si="14"/>
        <v>0</v>
      </c>
      <c r="W131" s="735">
        <f t="shared" si="15"/>
        <v>0</v>
      </c>
      <c r="X131" s="737">
        <f t="shared" si="16"/>
        <v>0</v>
      </c>
      <c r="Y131" s="738">
        <f t="shared" si="17"/>
        <v>0</v>
      </c>
    </row>
    <row r="132" spans="1:25">
      <c r="A132" s="754" t="str">
        <f>'Func Future Subs 2015'!A132</f>
        <v>Bretona 45S</v>
      </c>
      <c r="B132" s="754">
        <f>'Func Future Subs 2015'!B132</f>
        <v>850</v>
      </c>
      <c r="C132" s="754">
        <f>'Func Future Subs 2015'!C132</f>
        <v>138</v>
      </c>
      <c r="D132" s="754">
        <f>'Func Future Subs 2015'!D132</f>
        <v>25</v>
      </c>
      <c r="E132" s="754" t="str">
        <f>'Func Future Subs 2015'!E132</f>
        <v>45S</v>
      </c>
      <c r="F132" s="754">
        <f>'Func Future Subs 2015'!F132</f>
        <v>22946.871241679786</v>
      </c>
      <c r="G132" s="754" t="str">
        <f>'Func Future Subs 2015'!G132</f>
        <v>AltaLink</v>
      </c>
      <c r="H132" s="754">
        <f>'Func Future Subs 2015'!H132</f>
        <v>2017</v>
      </c>
      <c r="I132" s="306">
        <f>+IF($H132=I$2,VLOOKUP($G132,Depreciation!$A$14:$L$18,7,FALSE)/2,IF($H132&lt;I$2,VLOOKUP($G132,Depreciation!$A$14:$L$18,7,FALSE),0))</f>
        <v>0</v>
      </c>
      <c r="J132" s="306">
        <f>+IF($H132=J$2,VLOOKUP($G132,Depreciation!$A$14:$L$18,8,FALSE)/2,IF($H132&lt;J$2,VLOOKUP($G132,Depreciation!$A$14:$L$18,8,FALSE),0))</f>
        <v>0</v>
      </c>
      <c r="K132" s="306">
        <f>+IF($H132=K$2,VLOOKUP($G132,Depreciation!$A$14:$L$18,9,FALSE)/2,IF($H132&lt;K$2,VLOOKUP($G132,Depreciation!$A$14:$L$18,9,FALSE),0))</f>
        <v>1.671703928371859E-2</v>
      </c>
      <c r="L132" s="306">
        <f>+IF($H132=L$2,VLOOKUP($G132,Depreciation!$A$14:$L$18,10,FALSE)/2,IF($H132&lt;L$2,VLOOKUP($G132,Depreciation!$A$14:$L$18,10,FALSE),0))</f>
        <v>3.343407856743718E-2</v>
      </c>
      <c r="M132" s="306">
        <f>+IF($H132=M$2,VLOOKUP($G132,Depreciation!$A$14:$L$18,11,FALSE)/2,IF($H132&lt;M$2,VLOOKUP($G132,Depreciation!$A$14:$L$18,11,FALSE),0))</f>
        <v>3.343407856743718E-2</v>
      </c>
      <c r="N132" s="306">
        <f>+IF($H132=N$2,VLOOKUP($G132,Depreciation!$A$14:$L$18,12,FALSE)/2,IF($H132&lt;N$2,VLOOKUP($G132,Depreciation!$A$14:$L$18,12,FALSE),0))</f>
        <v>3.343407856743718E-2</v>
      </c>
      <c r="O132" s="307">
        <f t="shared" ref="O132:O195" si="18">IF(H132&lt;=2016,F132*(1-I132)*(1-J132),0)</f>
        <v>0</v>
      </c>
      <c r="P132" s="732">
        <f>'Func Future Subs 2015'!P132</f>
        <v>0</v>
      </c>
      <c r="Q132" s="732">
        <f>'Func Future Subs 2015'!Q132</f>
        <v>1</v>
      </c>
      <c r="R132" s="732">
        <f>'Func Future Subs 2015'!R132</f>
        <v>0</v>
      </c>
      <c r="S132" s="735">
        <f t="shared" ref="S132:S195" si="19">+P132*$O132</f>
        <v>0</v>
      </c>
      <c r="T132" s="735">
        <f t="shared" ref="T132:T195" si="20">+Q132*$O132</f>
        <v>0</v>
      </c>
      <c r="U132" s="735">
        <f t="shared" ref="U132:U195" si="21">+R132*$O132</f>
        <v>0</v>
      </c>
      <c r="V132" s="736">
        <f t="shared" ref="V132:V195" si="22">IF(AND(R132=1,D132=0),O132,0)</f>
        <v>0</v>
      </c>
      <c r="W132" s="735">
        <f t="shared" ref="W132:W195" si="23">S132+IF(D132&gt;144,U132,0)</f>
        <v>0</v>
      </c>
      <c r="X132" s="737">
        <f t="shared" ref="X132:X195" si="24">IF(AND(D132&lt;=144,D132&gt;=69),U132,0)</f>
        <v>0</v>
      </c>
      <c r="Y132" s="738">
        <f t="shared" ref="Y132:Y195" si="25">T132+IF(AND(D132&lt;69,D132&gt;0),U132,0)</f>
        <v>0</v>
      </c>
    </row>
    <row r="133" spans="1:25">
      <c r="A133" s="754" t="str">
        <f>'Func Future Subs 2015'!A133</f>
        <v>Carvel 432S</v>
      </c>
      <c r="B133" s="754">
        <f>'Func Future Subs 2015'!B133</f>
        <v>850</v>
      </c>
      <c r="C133" s="754">
        <f>'Func Future Subs 2015'!C133</f>
        <v>138</v>
      </c>
      <c r="D133" s="754">
        <f>'Func Future Subs 2015'!D133</f>
        <v>25</v>
      </c>
      <c r="E133" s="754" t="str">
        <f>'Func Future Subs 2015'!E133</f>
        <v>432S</v>
      </c>
      <c r="F133" s="754">
        <f>'Func Future Subs 2015'!F133</f>
        <v>125476.41366771194</v>
      </c>
      <c r="G133" s="754" t="str">
        <f>'Func Future Subs 2015'!G133</f>
        <v>AltaLink</v>
      </c>
      <c r="H133" s="754">
        <f>'Func Future Subs 2015'!H133</f>
        <v>2017</v>
      </c>
      <c r="I133" s="306">
        <f>+IF($H133=I$2,VLOOKUP($G133,Depreciation!$A$14:$L$18,7,FALSE)/2,IF($H133&lt;I$2,VLOOKUP($G133,Depreciation!$A$14:$L$18,7,FALSE),0))</f>
        <v>0</v>
      </c>
      <c r="J133" s="306">
        <f>+IF($H133=J$2,VLOOKUP($G133,Depreciation!$A$14:$L$18,8,FALSE)/2,IF($H133&lt;J$2,VLOOKUP($G133,Depreciation!$A$14:$L$18,8,FALSE),0))</f>
        <v>0</v>
      </c>
      <c r="K133" s="306">
        <f>+IF($H133=K$2,VLOOKUP($G133,Depreciation!$A$14:$L$18,9,FALSE)/2,IF($H133&lt;K$2,VLOOKUP($G133,Depreciation!$A$14:$L$18,9,FALSE),0))</f>
        <v>1.671703928371859E-2</v>
      </c>
      <c r="L133" s="306">
        <f>+IF($H133=L$2,VLOOKUP($G133,Depreciation!$A$14:$L$18,10,FALSE)/2,IF($H133&lt;L$2,VLOOKUP($G133,Depreciation!$A$14:$L$18,10,FALSE),0))</f>
        <v>3.343407856743718E-2</v>
      </c>
      <c r="M133" s="306">
        <f>+IF($H133=M$2,VLOOKUP($G133,Depreciation!$A$14:$L$18,11,FALSE)/2,IF($H133&lt;M$2,VLOOKUP($G133,Depreciation!$A$14:$L$18,11,FALSE),0))</f>
        <v>3.343407856743718E-2</v>
      </c>
      <c r="N133" s="306">
        <f>+IF($H133=N$2,VLOOKUP($G133,Depreciation!$A$14:$L$18,12,FALSE)/2,IF($H133&lt;N$2,VLOOKUP($G133,Depreciation!$A$14:$L$18,12,FALSE),0))</f>
        <v>3.343407856743718E-2</v>
      </c>
      <c r="O133" s="307">
        <f t="shared" si="18"/>
        <v>0</v>
      </c>
      <c r="P133" s="732">
        <f>'Func Future Subs 2015'!P133</f>
        <v>0</v>
      </c>
      <c r="Q133" s="732">
        <f>'Func Future Subs 2015'!Q133</f>
        <v>1</v>
      </c>
      <c r="R133" s="732">
        <f>'Func Future Subs 2015'!R133</f>
        <v>0</v>
      </c>
      <c r="S133" s="735">
        <f t="shared" si="19"/>
        <v>0</v>
      </c>
      <c r="T133" s="735">
        <f t="shared" si="20"/>
        <v>0</v>
      </c>
      <c r="U133" s="735">
        <f t="shared" si="21"/>
        <v>0</v>
      </c>
      <c r="V133" s="736">
        <f t="shared" si="22"/>
        <v>0</v>
      </c>
      <c r="W133" s="735">
        <f t="shared" si="23"/>
        <v>0</v>
      </c>
      <c r="X133" s="737">
        <f t="shared" si="24"/>
        <v>0</v>
      </c>
      <c r="Y133" s="738">
        <f t="shared" si="25"/>
        <v>0</v>
      </c>
    </row>
    <row r="134" spans="1:25">
      <c r="A134" s="754" t="str">
        <f>'Func Future Subs 2015'!A134</f>
        <v>Cooking Lake 522S</v>
      </c>
      <c r="B134" s="754">
        <f>'Func Future Subs 2015'!B134</f>
        <v>850</v>
      </c>
      <c r="C134" s="754">
        <f>'Func Future Subs 2015'!C134</f>
        <v>138</v>
      </c>
      <c r="D134" s="754">
        <f>'Func Future Subs 2015'!D134</f>
        <v>25</v>
      </c>
      <c r="E134" s="754" t="str">
        <f>'Func Future Subs 2015'!E134</f>
        <v>522S</v>
      </c>
      <c r="F134" s="754">
        <f>'Func Future Subs 2015'!F134</f>
        <v>6420665.4815754285</v>
      </c>
      <c r="G134" s="754" t="str">
        <f>'Func Future Subs 2015'!G134</f>
        <v>AltaLink</v>
      </c>
      <c r="H134" s="754">
        <f>'Func Future Subs 2015'!H134</f>
        <v>2017</v>
      </c>
      <c r="I134" s="306">
        <f>+IF($H134=I$2,VLOOKUP($G134,Depreciation!$A$14:$L$18,7,FALSE)/2,IF($H134&lt;I$2,VLOOKUP($G134,Depreciation!$A$14:$L$18,7,FALSE),0))</f>
        <v>0</v>
      </c>
      <c r="J134" s="306">
        <f>+IF($H134=J$2,VLOOKUP($G134,Depreciation!$A$14:$L$18,8,FALSE)/2,IF($H134&lt;J$2,VLOOKUP($G134,Depreciation!$A$14:$L$18,8,FALSE),0))</f>
        <v>0</v>
      </c>
      <c r="K134" s="306">
        <f>+IF($H134=K$2,VLOOKUP($G134,Depreciation!$A$14:$L$18,9,FALSE)/2,IF($H134&lt;K$2,VLOOKUP($G134,Depreciation!$A$14:$L$18,9,FALSE),0))</f>
        <v>1.671703928371859E-2</v>
      </c>
      <c r="L134" s="306">
        <f>+IF($H134=L$2,VLOOKUP($G134,Depreciation!$A$14:$L$18,10,FALSE)/2,IF($H134&lt;L$2,VLOOKUP($G134,Depreciation!$A$14:$L$18,10,FALSE),0))</f>
        <v>3.343407856743718E-2</v>
      </c>
      <c r="M134" s="306">
        <f>+IF($H134=M$2,VLOOKUP($G134,Depreciation!$A$14:$L$18,11,FALSE)/2,IF($H134&lt;M$2,VLOOKUP($G134,Depreciation!$A$14:$L$18,11,FALSE),0))</f>
        <v>3.343407856743718E-2</v>
      </c>
      <c r="N134" s="306">
        <f>+IF($H134=N$2,VLOOKUP($G134,Depreciation!$A$14:$L$18,12,FALSE)/2,IF($H134&lt;N$2,VLOOKUP($G134,Depreciation!$A$14:$L$18,12,FALSE),0))</f>
        <v>3.343407856743718E-2</v>
      </c>
      <c r="O134" s="307">
        <f t="shared" si="18"/>
        <v>0</v>
      </c>
      <c r="P134" s="732">
        <f>'Func Future Subs 2015'!P134</f>
        <v>0</v>
      </c>
      <c r="Q134" s="732">
        <f>'Func Future Subs 2015'!Q134</f>
        <v>1</v>
      </c>
      <c r="R134" s="732">
        <f>'Func Future Subs 2015'!R134</f>
        <v>0</v>
      </c>
      <c r="S134" s="735">
        <f t="shared" si="19"/>
        <v>0</v>
      </c>
      <c r="T134" s="735">
        <f t="shared" si="20"/>
        <v>0</v>
      </c>
      <c r="U134" s="735">
        <f t="shared" si="21"/>
        <v>0</v>
      </c>
      <c r="V134" s="736">
        <f t="shared" si="22"/>
        <v>0</v>
      </c>
      <c r="W134" s="735">
        <f t="shared" si="23"/>
        <v>0</v>
      </c>
      <c r="X134" s="737">
        <f t="shared" si="24"/>
        <v>0</v>
      </c>
      <c r="Y134" s="738">
        <f t="shared" si="25"/>
        <v>0</v>
      </c>
    </row>
    <row r="135" spans="1:25">
      <c r="A135" s="754" t="str">
        <f>'Func Future Subs 2015'!A135</f>
        <v>East Camrose 285S</v>
      </c>
      <c r="B135" s="754">
        <f>'Func Future Subs 2015'!B135</f>
        <v>850</v>
      </c>
      <c r="C135" s="754">
        <f>'Func Future Subs 2015'!C135</f>
        <v>138</v>
      </c>
      <c r="D135" s="754">
        <f>'Func Future Subs 2015'!D135</f>
        <v>25</v>
      </c>
      <c r="E135" s="754" t="str">
        <f>'Func Future Subs 2015'!E135</f>
        <v>285S</v>
      </c>
      <c r="F135" s="754">
        <f>'Func Future Subs 2015'!F135</f>
        <v>22946.871241679786</v>
      </c>
      <c r="G135" s="754" t="str">
        <f>'Func Future Subs 2015'!G135</f>
        <v>AltaLink</v>
      </c>
      <c r="H135" s="754">
        <f>'Func Future Subs 2015'!H135</f>
        <v>2017</v>
      </c>
      <c r="I135" s="306">
        <f>+IF($H135=I$2,VLOOKUP($G135,Depreciation!$A$14:$L$18,7,FALSE)/2,IF($H135&lt;I$2,VLOOKUP($G135,Depreciation!$A$14:$L$18,7,FALSE),0))</f>
        <v>0</v>
      </c>
      <c r="J135" s="306">
        <f>+IF($H135=J$2,VLOOKUP($G135,Depreciation!$A$14:$L$18,8,FALSE)/2,IF($H135&lt;J$2,VLOOKUP($G135,Depreciation!$A$14:$L$18,8,FALSE),0))</f>
        <v>0</v>
      </c>
      <c r="K135" s="306">
        <f>+IF($H135=K$2,VLOOKUP($G135,Depreciation!$A$14:$L$18,9,FALSE)/2,IF($H135&lt;K$2,VLOOKUP($G135,Depreciation!$A$14:$L$18,9,FALSE),0))</f>
        <v>1.671703928371859E-2</v>
      </c>
      <c r="L135" s="306">
        <f>+IF($H135=L$2,VLOOKUP($G135,Depreciation!$A$14:$L$18,10,FALSE)/2,IF($H135&lt;L$2,VLOOKUP($G135,Depreciation!$A$14:$L$18,10,FALSE),0))</f>
        <v>3.343407856743718E-2</v>
      </c>
      <c r="M135" s="306">
        <f>+IF($H135=M$2,VLOOKUP($G135,Depreciation!$A$14:$L$18,11,FALSE)/2,IF($H135&lt;M$2,VLOOKUP($G135,Depreciation!$A$14:$L$18,11,FALSE),0))</f>
        <v>3.343407856743718E-2</v>
      </c>
      <c r="N135" s="306">
        <f>+IF($H135=N$2,VLOOKUP($G135,Depreciation!$A$14:$L$18,12,FALSE)/2,IF($H135&lt;N$2,VLOOKUP($G135,Depreciation!$A$14:$L$18,12,FALSE),0))</f>
        <v>3.343407856743718E-2</v>
      </c>
      <c r="O135" s="307">
        <f t="shared" si="18"/>
        <v>0</v>
      </c>
      <c r="P135" s="732">
        <f>'Func Future Subs 2015'!P135</f>
        <v>0</v>
      </c>
      <c r="Q135" s="732">
        <f>'Func Future Subs 2015'!Q135</f>
        <v>1</v>
      </c>
      <c r="R135" s="732">
        <f>'Func Future Subs 2015'!R135</f>
        <v>0</v>
      </c>
      <c r="S135" s="735">
        <f t="shared" si="19"/>
        <v>0</v>
      </c>
      <c r="T135" s="735">
        <f t="shared" si="20"/>
        <v>0</v>
      </c>
      <c r="U135" s="735">
        <f t="shared" si="21"/>
        <v>0</v>
      </c>
      <c r="V135" s="736">
        <f t="shared" si="22"/>
        <v>0</v>
      </c>
      <c r="W135" s="735">
        <f t="shared" si="23"/>
        <v>0</v>
      </c>
      <c r="X135" s="737">
        <f t="shared" si="24"/>
        <v>0</v>
      </c>
      <c r="Y135" s="738">
        <f t="shared" si="25"/>
        <v>0</v>
      </c>
    </row>
    <row r="136" spans="1:25">
      <c r="A136" s="754" t="str">
        <f>'Func Future Subs 2015'!A136</f>
        <v>East Edmonton 38S</v>
      </c>
      <c r="B136" s="754">
        <f>'Func Future Subs 2015'!B136</f>
        <v>850</v>
      </c>
      <c r="C136" s="754">
        <f>'Func Future Subs 2015'!C136</f>
        <v>240</v>
      </c>
      <c r="D136" s="754">
        <f>'Func Future Subs 2015'!D136</f>
        <v>25</v>
      </c>
      <c r="E136" s="754" t="str">
        <f>'Func Future Subs 2015'!E136</f>
        <v>38S</v>
      </c>
      <c r="F136" s="754">
        <f>'Func Future Subs 2015'!F136</f>
        <v>101645.43808550939</v>
      </c>
      <c r="G136" s="754" t="str">
        <f>'Func Future Subs 2015'!G136</f>
        <v>AltaLink</v>
      </c>
      <c r="H136" s="754">
        <f>'Func Future Subs 2015'!H136</f>
        <v>2017</v>
      </c>
      <c r="I136" s="306">
        <f>+IF($H136=I$2,VLOOKUP($G136,Depreciation!$A$14:$L$18,7,FALSE)/2,IF($H136&lt;I$2,VLOOKUP($G136,Depreciation!$A$14:$L$18,7,FALSE),0))</f>
        <v>0</v>
      </c>
      <c r="J136" s="306">
        <f>+IF($H136=J$2,VLOOKUP($G136,Depreciation!$A$14:$L$18,8,FALSE)/2,IF($H136&lt;J$2,VLOOKUP($G136,Depreciation!$A$14:$L$18,8,FALSE),0))</f>
        <v>0</v>
      </c>
      <c r="K136" s="306">
        <f>+IF($H136=K$2,VLOOKUP($G136,Depreciation!$A$14:$L$18,9,FALSE)/2,IF($H136&lt;K$2,VLOOKUP($G136,Depreciation!$A$14:$L$18,9,FALSE),0))</f>
        <v>1.671703928371859E-2</v>
      </c>
      <c r="L136" s="306">
        <f>+IF($H136=L$2,VLOOKUP($G136,Depreciation!$A$14:$L$18,10,FALSE)/2,IF($H136&lt;L$2,VLOOKUP($G136,Depreciation!$A$14:$L$18,10,FALSE),0))</f>
        <v>3.343407856743718E-2</v>
      </c>
      <c r="M136" s="306">
        <f>+IF($H136=M$2,VLOOKUP($G136,Depreciation!$A$14:$L$18,11,FALSE)/2,IF($H136&lt;M$2,VLOOKUP($G136,Depreciation!$A$14:$L$18,11,FALSE),0))</f>
        <v>3.343407856743718E-2</v>
      </c>
      <c r="N136" s="306">
        <f>+IF($H136=N$2,VLOOKUP($G136,Depreciation!$A$14:$L$18,12,FALSE)/2,IF($H136&lt;N$2,VLOOKUP($G136,Depreciation!$A$14:$L$18,12,FALSE),0))</f>
        <v>3.343407856743718E-2</v>
      </c>
      <c r="O136" s="307">
        <f t="shared" si="18"/>
        <v>0</v>
      </c>
      <c r="P136" s="732">
        <f>'Func Future Subs 2015'!P136</f>
        <v>0</v>
      </c>
      <c r="Q136" s="732">
        <f>'Func Future Subs 2015'!Q136</f>
        <v>1</v>
      </c>
      <c r="R136" s="732">
        <f>'Func Future Subs 2015'!R136</f>
        <v>0</v>
      </c>
      <c r="S136" s="735">
        <f t="shared" si="19"/>
        <v>0</v>
      </c>
      <c r="T136" s="735">
        <f t="shared" si="20"/>
        <v>0</v>
      </c>
      <c r="U136" s="735">
        <f t="shared" si="21"/>
        <v>0</v>
      </c>
      <c r="V136" s="736">
        <f t="shared" si="22"/>
        <v>0</v>
      </c>
      <c r="W136" s="735">
        <f t="shared" si="23"/>
        <v>0</v>
      </c>
      <c r="X136" s="737">
        <f t="shared" si="24"/>
        <v>0</v>
      </c>
      <c r="Y136" s="738">
        <f t="shared" si="25"/>
        <v>0</v>
      </c>
    </row>
    <row r="137" spans="1:25">
      <c r="A137" s="754" t="str">
        <f>'Func Future Subs 2015'!A137</f>
        <v>East Edmonton 38S dev3</v>
      </c>
      <c r="B137" s="754">
        <f>'Func Future Subs 2015'!B137</f>
        <v>850</v>
      </c>
      <c r="C137" s="754">
        <f>'Func Future Subs 2015'!C137</f>
        <v>240</v>
      </c>
      <c r="D137" s="754">
        <f>'Func Future Subs 2015'!D137</f>
        <v>25</v>
      </c>
      <c r="E137" s="754" t="str">
        <f>'Func Future Subs 2015'!E137</f>
        <v>38S</v>
      </c>
      <c r="F137" s="754">
        <f>'Func Future Subs 2015'!F137</f>
        <v>98365.145371423874</v>
      </c>
      <c r="G137" s="754" t="str">
        <f>'Func Future Subs 2015'!G137</f>
        <v>AltaLink</v>
      </c>
      <c r="H137" s="754">
        <f>'Func Future Subs 2015'!H137</f>
        <v>2017</v>
      </c>
      <c r="I137" s="306">
        <f>+IF($H137=I$2,VLOOKUP($G137,Depreciation!$A$14:$L$18,7,FALSE)/2,IF($H137&lt;I$2,VLOOKUP($G137,Depreciation!$A$14:$L$18,7,FALSE),0))</f>
        <v>0</v>
      </c>
      <c r="J137" s="306">
        <f>+IF($H137=J$2,VLOOKUP($G137,Depreciation!$A$14:$L$18,8,FALSE)/2,IF($H137&lt;J$2,VLOOKUP($G137,Depreciation!$A$14:$L$18,8,FALSE),0))</f>
        <v>0</v>
      </c>
      <c r="K137" s="306">
        <f>+IF($H137=K$2,VLOOKUP($G137,Depreciation!$A$14:$L$18,9,FALSE)/2,IF($H137&lt;K$2,VLOOKUP($G137,Depreciation!$A$14:$L$18,9,FALSE),0))</f>
        <v>1.671703928371859E-2</v>
      </c>
      <c r="L137" s="306">
        <f>+IF($H137=L$2,VLOOKUP($G137,Depreciation!$A$14:$L$18,10,FALSE)/2,IF($H137&lt;L$2,VLOOKUP($G137,Depreciation!$A$14:$L$18,10,FALSE),0))</f>
        <v>3.343407856743718E-2</v>
      </c>
      <c r="M137" s="306">
        <f>+IF($H137=M$2,VLOOKUP($G137,Depreciation!$A$14:$L$18,11,FALSE)/2,IF($H137&lt;M$2,VLOOKUP($G137,Depreciation!$A$14:$L$18,11,FALSE),0))</f>
        <v>3.343407856743718E-2</v>
      </c>
      <c r="N137" s="306">
        <f>+IF($H137=N$2,VLOOKUP($G137,Depreciation!$A$14:$L$18,12,FALSE)/2,IF($H137&lt;N$2,VLOOKUP($G137,Depreciation!$A$14:$L$18,12,FALSE),0))</f>
        <v>3.343407856743718E-2</v>
      </c>
      <c r="O137" s="307">
        <f t="shared" si="18"/>
        <v>0</v>
      </c>
      <c r="P137" s="732">
        <f>'Func Future Subs 2015'!P137</f>
        <v>0</v>
      </c>
      <c r="Q137" s="732">
        <f>'Func Future Subs 2015'!Q137</f>
        <v>1</v>
      </c>
      <c r="R137" s="732">
        <f>'Func Future Subs 2015'!R137</f>
        <v>0</v>
      </c>
      <c r="S137" s="735">
        <f t="shared" si="19"/>
        <v>0</v>
      </c>
      <c r="T137" s="735">
        <f t="shared" si="20"/>
        <v>0</v>
      </c>
      <c r="U137" s="735">
        <f t="shared" si="21"/>
        <v>0</v>
      </c>
      <c r="V137" s="736">
        <f t="shared" si="22"/>
        <v>0</v>
      </c>
      <c r="W137" s="735">
        <f t="shared" si="23"/>
        <v>0</v>
      </c>
      <c r="X137" s="737">
        <f t="shared" si="24"/>
        <v>0</v>
      </c>
      <c r="Y137" s="738">
        <f t="shared" si="25"/>
        <v>0</v>
      </c>
    </row>
    <row r="138" spans="1:25">
      <c r="A138" s="754" t="str">
        <f>'Func Future Subs 2015'!A138</f>
        <v>Ellerslie 89S</v>
      </c>
      <c r="B138" s="754">
        <f>'Func Future Subs 2015'!B138</f>
        <v>850</v>
      </c>
      <c r="C138" s="754">
        <f>'Func Future Subs 2015'!C138</f>
        <v>500</v>
      </c>
      <c r="D138" s="754">
        <f>'Func Future Subs 2015'!D138</f>
        <v>240</v>
      </c>
      <c r="E138" s="754" t="str">
        <f>'Func Future Subs 2015'!E138</f>
        <v>89S</v>
      </c>
      <c r="F138" s="754">
        <f>'Func Future Subs 2015'!F138</f>
        <v>655238.94394348608</v>
      </c>
      <c r="G138" s="754" t="str">
        <f>'Func Future Subs 2015'!G138</f>
        <v>AltaLink</v>
      </c>
      <c r="H138" s="754">
        <f>'Func Future Subs 2015'!H138</f>
        <v>2017</v>
      </c>
      <c r="I138" s="306">
        <f>+IF($H138=I$2,VLOOKUP($G138,Depreciation!$A$14:$L$18,7,FALSE)/2,IF($H138&lt;I$2,VLOOKUP($G138,Depreciation!$A$14:$L$18,7,FALSE),0))</f>
        <v>0</v>
      </c>
      <c r="J138" s="306">
        <f>+IF($H138=J$2,VLOOKUP($G138,Depreciation!$A$14:$L$18,8,FALSE)/2,IF($H138&lt;J$2,VLOOKUP($G138,Depreciation!$A$14:$L$18,8,FALSE),0))</f>
        <v>0</v>
      </c>
      <c r="K138" s="306">
        <f>+IF($H138=K$2,VLOOKUP($G138,Depreciation!$A$14:$L$18,9,FALSE)/2,IF($H138&lt;K$2,VLOOKUP($G138,Depreciation!$A$14:$L$18,9,FALSE),0))</f>
        <v>1.671703928371859E-2</v>
      </c>
      <c r="L138" s="306">
        <f>+IF($H138=L$2,VLOOKUP($G138,Depreciation!$A$14:$L$18,10,FALSE)/2,IF($H138&lt;L$2,VLOOKUP($G138,Depreciation!$A$14:$L$18,10,FALSE),0))</f>
        <v>3.343407856743718E-2</v>
      </c>
      <c r="M138" s="306">
        <f>+IF($H138=M$2,VLOOKUP($G138,Depreciation!$A$14:$L$18,11,FALSE)/2,IF($H138&lt;M$2,VLOOKUP($G138,Depreciation!$A$14:$L$18,11,FALSE),0))</f>
        <v>3.343407856743718E-2</v>
      </c>
      <c r="N138" s="306">
        <f>+IF($H138=N$2,VLOOKUP($G138,Depreciation!$A$14:$L$18,12,FALSE)/2,IF($H138&lt;N$2,VLOOKUP($G138,Depreciation!$A$14:$L$18,12,FALSE),0))</f>
        <v>3.343407856743718E-2</v>
      </c>
      <c r="O138" s="307">
        <f t="shared" si="18"/>
        <v>0</v>
      </c>
      <c r="P138" s="732">
        <f>'Func Future Subs 2015'!P138</f>
        <v>0</v>
      </c>
      <c r="Q138" s="732">
        <f>'Func Future Subs 2015'!Q138</f>
        <v>0</v>
      </c>
      <c r="R138" s="732">
        <f>'Func Future Subs 2015'!R138</f>
        <v>1</v>
      </c>
      <c r="S138" s="735">
        <f t="shared" si="19"/>
        <v>0</v>
      </c>
      <c r="T138" s="735">
        <f t="shared" si="20"/>
        <v>0</v>
      </c>
      <c r="U138" s="735">
        <f t="shared" si="21"/>
        <v>0</v>
      </c>
      <c r="V138" s="736">
        <f t="shared" si="22"/>
        <v>0</v>
      </c>
      <c r="W138" s="735">
        <f t="shared" si="23"/>
        <v>0</v>
      </c>
      <c r="X138" s="737">
        <f t="shared" si="24"/>
        <v>0</v>
      </c>
      <c r="Y138" s="738">
        <f t="shared" si="25"/>
        <v>0</v>
      </c>
    </row>
    <row r="139" spans="1:25">
      <c r="A139" s="754" t="str">
        <f>'Func Future Subs 2015'!A139</f>
        <v>Harry smith 376S</v>
      </c>
      <c r="B139" s="754">
        <f>'Func Future Subs 2015'!B139</f>
        <v>850</v>
      </c>
      <c r="C139" s="754">
        <f>'Func Future Subs 2015'!C139</f>
        <v>240</v>
      </c>
      <c r="D139" s="754">
        <f>'Func Future Subs 2015'!D139</f>
        <v>138</v>
      </c>
      <c r="E139" s="754" t="str">
        <f>'Func Future Subs 2015'!E139</f>
        <v>376S</v>
      </c>
      <c r="F139" s="754">
        <f>'Func Future Subs 2015'!F139</f>
        <v>55595620.830533721</v>
      </c>
      <c r="G139" s="754" t="str">
        <f>'Func Future Subs 2015'!G139</f>
        <v>AltaLink</v>
      </c>
      <c r="H139" s="754">
        <f>'Func Future Subs 2015'!H139</f>
        <v>2017</v>
      </c>
      <c r="I139" s="306">
        <f>+IF($H139=I$2,VLOOKUP($G139,Depreciation!$A$14:$L$18,7,FALSE)/2,IF($H139&lt;I$2,VLOOKUP($G139,Depreciation!$A$14:$L$18,7,FALSE),0))</f>
        <v>0</v>
      </c>
      <c r="J139" s="306">
        <f>+IF($H139=J$2,VLOOKUP($G139,Depreciation!$A$14:$L$18,8,FALSE)/2,IF($H139&lt;J$2,VLOOKUP($G139,Depreciation!$A$14:$L$18,8,FALSE),0))</f>
        <v>0</v>
      </c>
      <c r="K139" s="306">
        <f>+IF($H139=K$2,VLOOKUP($G139,Depreciation!$A$14:$L$18,9,FALSE)/2,IF($H139&lt;K$2,VLOOKUP($G139,Depreciation!$A$14:$L$18,9,FALSE),0))</f>
        <v>1.671703928371859E-2</v>
      </c>
      <c r="L139" s="306">
        <f>+IF($H139=L$2,VLOOKUP($G139,Depreciation!$A$14:$L$18,10,FALSE)/2,IF($H139&lt;L$2,VLOOKUP($G139,Depreciation!$A$14:$L$18,10,FALSE),0))</f>
        <v>3.343407856743718E-2</v>
      </c>
      <c r="M139" s="306">
        <f>+IF($H139=M$2,VLOOKUP($G139,Depreciation!$A$14:$L$18,11,FALSE)/2,IF($H139&lt;M$2,VLOOKUP($G139,Depreciation!$A$14:$L$18,11,FALSE),0))</f>
        <v>3.343407856743718E-2</v>
      </c>
      <c r="N139" s="306">
        <f>+IF($H139=N$2,VLOOKUP($G139,Depreciation!$A$14:$L$18,12,FALSE)/2,IF($H139&lt;N$2,VLOOKUP($G139,Depreciation!$A$14:$L$18,12,FALSE),0))</f>
        <v>3.343407856743718E-2</v>
      </c>
      <c r="O139" s="307">
        <f t="shared" si="18"/>
        <v>0</v>
      </c>
      <c r="P139" s="732">
        <f>'Func Future Subs 2015'!P139</f>
        <v>0</v>
      </c>
      <c r="Q139" s="732">
        <f>'Func Future Subs 2015'!Q139</f>
        <v>0</v>
      </c>
      <c r="R139" s="732">
        <f>'Func Future Subs 2015'!R139</f>
        <v>1</v>
      </c>
      <c r="S139" s="735">
        <f t="shared" si="19"/>
        <v>0</v>
      </c>
      <c r="T139" s="735">
        <f t="shared" si="20"/>
        <v>0</v>
      </c>
      <c r="U139" s="735">
        <f t="shared" si="21"/>
        <v>0</v>
      </c>
      <c r="V139" s="736">
        <f t="shared" si="22"/>
        <v>0</v>
      </c>
      <c r="W139" s="735">
        <f t="shared" si="23"/>
        <v>0</v>
      </c>
      <c r="X139" s="737">
        <f t="shared" si="24"/>
        <v>0</v>
      </c>
      <c r="Y139" s="738">
        <f t="shared" si="25"/>
        <v>0</v>
      </c>
    </row>
    <row r="140" spans="1:25">
      <c r="A140" s="754" t="str">
        <f>'Func Future Subs 2015'!A140</f>
        <v>Keephills 320P</v>
      </c>
      <c r="B140" s="754">
        <f>'Func Future Subs 2015'!B140</f>
        <v>850</v>
      </c>
      <c r="C140" s="754">
        <f>'Func Future Subs 2015'!C140</f>
        <v>500</v>
      </c>
      <c r="D140" s="754">
        <f>'Func Future Subs 2015'!D140</f>
        <v>25</v>
      </c>
      <c r="E140" s="754" t="str">
        <f>'Func Future Subs 2015'!E140</f>
        <v>320P</v>
      </c>
      <c r="F140" s="754">
        <f>'Func Future Subs 2015'!F140</f>
        <v>507255.81398474087</v>
      </c>
      <c r="G140" s="754" t="str">
        <f>'Func Future Subs 2015'!G140</f>
        <v>AltaLink</v>
      </c>
      <c r="H140" s="754">
        <f>'Func Future Subs 2015'!H140</f>
        <v>2017</v>
      </c>
      <c r="I140" s="306">
        <f>+IF($H140=I$2,VLOOKUP($G140,Depreciation!$A$14:$L$18,7,FALSE)/2,IF($H140&lt;I$2,VLOOKUP($G140,Depreciation!$A$14:$L$18,7,FALSE),0))</f>
        <v>0</v>
      </c>
      <c r="J140" s="306">
        <f>+IF($H140=J$2,VLOOKUP($G140,Depreciation!$A$14:$L$18,8,FALSE)/2,IF($H140&lt;J$2,VLOOKUP($G140,Depreciation!$A$14:$L$18,8,FALSE),0))</f>
        <v>0</v>
      </c>
      <c r="K140" s="306">
        <f>+IF($H140=K$2,VLOOKUP($G140,Depreciation!$A$14:$L$18,9,FALSE)/2,IF($H140&lt;K$2,VLOOKUP($G140,Depreciation!$A$14:$L$18,9,FALSE),0))</f>
        <v>1.671703928371859E-2</v>
      </c>
      <c r="L140" s="306">
        <f>+IF($H140=L$2,VLOOKUP($G140,Depreciation!$A$14:$L$18,10,FALSE)/2,IF($H140&lt;L$2,VLOOKUP($G140,Depreciation!$A$14:$L$18,10,FALSE),0))</f>
        <v>3.343407856743718E-2</v>
      </c>
      <c r="M140" s="306">
        <f>+IF($H140=M$2,VLOOKUP($G140,Depreciation!$A$14:$L$18,11,FALSE)/2,IF($H140&lt;M$2,VLOOKUP($G140,Depreciation!$A$14:$L$18,11,FALSE),0))</f>
        <v>3.343407856743718E-2</v>
      </c>
      <c r="N140" s="306">
        <f>+IF($H140=N$2,VLOOKUP($G140,Depreciation!$A$14:$L$18,12,FALSE)/2,IF($H140&lt;N$2,VLOOKUP($G140,Depreciation!$A$14:$L$18,12,FALSE),0))</f>
        <v>3.343407856743718E-2</v>
      </c>
      <c r="O140" s="307">
        <f t="shared" si="18"/>
        <v>0</v>
      </c>
      <c r="P140" s="732">
        <f>'Func Future Subs 2015'!P140</f>
        <v>0.96203522504892369</v>
      </c>
      <c r="Q140" s="732">
        <f>'Func Future Subs 2015'!Q140</f>
        <v>3.7964774951076322E-2</v>
      </c>
      <c r="R140" s="732">
        <f>'Func Future Subs 2015'!R140</f>
        <v>0</v>
      </c>
      <c r="S140" s="735">
        <f t="shared" si="19"/>
        <v>0</v>
      </c>
      <c r="T140" s="735">
        <f t="shared" si="20"/>
        <v>0</v>
      </c>
      <c r="U140" s="735">
        <f t="shared" si="21"/>
        <v>0</v>
      </c>
      <c r="V140" s="736">
        <f t="shared" si="22"/>
        <v>0</v>
      </c>
      <c r="W140" s="735">
        <f t="shared" si="23"/>
        <v>0</v>
      </c>
      <c r="X140" s="737">
        <f t="shared" si="24"/>
        <v>0</v>
      </c>
      <c r="Y140" s="738">
        <f t="shared" si="25"/>
        <v>0</v>
      </c>
    </row>
    <row r="141" spans="1:25">
      <c r="A141" s="754" t="str">
        <f>'Func Future Subs 2015'!A141</f>
        <v>Keephills 320P</v>
      </c>
      <c r="B141" s="754">
        <f>'Func Future Subs 2015'!B141</f>
        <v>850</v>
      </c>
      <c r="C141" s="754">
        <f>'Func Future Subs 2015'!C141</f>
        <v>500</v>
      </c>
      <c r="D141" s="754">
        <f>'Func Future Subs 2015'!D141</f>
        <v>25</v>
      </c>
      <c r="E141" s="754" t="str">
        <f>'Func Future Subs 2015'!E141</f>
        <v>320P</v>
      </c>
      <c r="F141" s="754">
        <f>'Func Future Subs 2015'!F141</f>
        <v>507255.81398474087</v>
      </c>
      <c r="G141" s="754" t="str">
        <f>'Func Future Subs 2015'!G141</f>
        <v>AltaLink</v>
      </c>
      <c r="H141" s="754">
        <f>'Func Future Subs 2015'!H141</f>
        <v>2017</v>
      </c>
      <c r="I141" s="306">
        <f>+IF($H141=I$2,VLOOKUP($G141,Depreciation!$A$14:$L$18,7,FALSE)/2,IF($H141&lt;I$2,VLOOKUP($G141,Depreciation!$A$14:$L$18,7,FALSE),0))</f>
        <v>0</v>
      </c>
      <c r="J141" s="306">
        <f>+IF($H141=J$2,VLOOKUP($G141,Depreciation!$A$14:$L$18,8,FALSE)/2,IF($H141&lt;J$2,VLOOKUP($G141,Depreciation!$A$14:$L$18,8,FALSE),0))</f>
        <v>0</v>
      </c>
      <c r="K141" s="306">
        <f>+IF($H141=K$2,VLOOKUP($G141,Depreciation!$A$14:$L$18,9,FALSE)/2,IF($H141&lt;K$2,VLOOKUP($G141,Depreciation!$A$14:$L$18,9,FALSE),0))</f>
        <v>1.671703928371859E-2</v>
      </c>
      <c r="L141" s="306">
        <f>+IF($H141=L$2,VLOOKUP($G141,Depreciation!$A$14:$L$18,10,FALSE)/2,IF($H141&lt;L$2,VLOOKUP($G141,Depreciation!$A$14:$L$18,10,FALSE),0))</f>
        <v>3.343407856743718E-2</v>
      </c>
      <c r="M141" s="306">
        <f>+IF($H141=M$2,VLOOKUP($G141,Depreciation!$A$14:$L$18,11,FALSE)/2,IF($H141&lt;M$2,VLOOKUP($G141,Depreciation!$A$14:$L$18,11,FALSE),0))</f>
        <v>3.343407856743718E-2</v>
      </c>
      <c r="N141" s="306">
        <f>+IF($H141=N$2,VLOOKUP($G141,Depreciation!$A$14:$L$18,12,FALSE)/2,IF($H141&lt;N$2,VLOOKUP($G141,Depreciation!$A$14:$L$18,12,FALSE),0))</f>
        <v>3.343407856743718E-2</v>
      </c>
      <c r="O141" s="307">
        <f t="shared" si="18"/>
        <v>0</v>
      </c>
      <c r="P141" s="732">
        <f>'Func Future Subs 2015'!P141</f>
        <v>0.96203522504892369</v>
      </c>
      <c r="Q141" s="732">
        <f>'Func Future Subs 2015'!Q141</f>
        <v>3.7964774951076322E-2</v>
      </c>
      <c r="R141" s="732">
        <f>'Func Future Subs 2015'!R141</f>
        <v>0</v>
      </c>
      <c r="S141" s="735">
        <f t="shared" si="19"/>
        <v>0</v>
      </c>
      <c r="T141" s="735">
        <f t="shared" si="20"/>
        <v>0</v>
      </c>
      <c r="U141" s="735">
        <f t="shared" si="21"/>
        <v>0</v>
      </c>
      <c r="V141" s="736">
        <f t="shared" si="22"/>
        <v>0</v>
      </c>
      <c r="W141" s="735">
        <f t="shared" si="23"/>
        <v>0</v>
      </c>
      <c r="X141" s="737">
        <f t="shared" si="24"/>
        <v>0</v>
      </c>
      <c r="Y141" s="738">
        <f t="shared" si="25"/>
        <v>0</v>
      </c>
    </row>
    <row r="142" spans="1:25">
      <c r="A142" s="754" t="str">
        <f>'Func Future Subs 2015'!A142</f>
        <v>Leduc 325S</v>
      </c>
      <c r="B142" s="754">
        <f>'Func Future Subs 2015'!B142</f>
        <v>850</v>
      </c>
      <c r="C142" s="754">
        <f>'Func Future Subs 2015'!C142</f>
        <v>138</v>
      </c>
      <c r="D142" s="754">
        <f>'Func Future Subs 2015'!D142</f>
        <v>25</v>
      </c>
      <c r="E142" s="754" t="str">
        <f>'Func Future Subs 2015'!E142</f>
        <v>325S</v>
      </c>
      <c r="F142" s="754">
        <f>'Func Future Subs 2015'!F142</f>
        <v>3055561.3590470157</v>
      </c>
      <c r="G142" s="754" t="str">
        <f>'Func Future Subs 2015'!G142</f>
        <v>AltaLink</v>
      </c>
      <c r="H142" s="754">
        <f>'Func Future Subs 2015'!H142</f>
        <v>2017</v>
      </c>
      <c r="I142" s="306">
        <f>+IF($H142=I$2,VLOOKUP($G142,Depreciation!$A$14:$L$18,7,FALSE)/2,IF($H142&lt;I$2,VLOOKUP($G142,Depreciation!$A$14:$L$18,7,FALSE),0))</f>
        <v>0</v>
      </c>
      <c r="J142" s="306">
        <f>+IF($H142=J$2,VLOOKUP($G142,Depreciation!$A$14:$L$18,8,FALSE)/2,IF($H142&lt;J$2,VLOOKUP($G142,Depreciation!$A$14:$L$18,8,FALSE),0))</f>
        <v>0</v>
      </c>
      <c r="K142" s="306">
        <f>+IF($H142=K$2,VLOOKUP($G142,Depreciation!$A$14:$L$18,9,FALSE)/2,IF($H142&lt;K$2,VLOOKUP($G142,Depreciation!$A$14:$L$18,9,FALSE),0))</f>
        <v>1.671703928371859E-2</v>
      </c>
      <c r="L142" s="306">
        <f>+IF($H142=L$2,VLOOKUP($G142,Depreciation!$A$14:$L$18,10,FALSE)/2,IF($H142&lt;L$2,VLOOKUP($G142,Depreciation!$A$14:$L$18,10,FALSE),0))</f>
        <v>3.343407856743718E-2</v>
      </c>
      <c r="M142" s="306">
        <f>+IF($H142=M$2,VLOOKUP($G142,Depreciation!$A$14:$L$18,11,FALSE)/2,IF($H142&lt;M$2,VLOOKUP($G142,Depreciation!$A$14:$L$18,11,FALSE),0))</f>
        <v>3.343407856743718E-2</v>
      </c>
      <c r="N142" s="306">
        <f>+IF($H142=N$2,VLOOKUP($G142,Depreciation!$A$14:$L$18,12,FALSE)/2,IF($H142&lt;N$2,VLOOKUP($G142,Depreciation!$A$14:$L$18,12,FALSE),0))</f>
        <v>3.343407856743718E-2</v>
      </c>
      <c r="O142" s="307">
        <f t="shared" si="18"/>
        <v>0</v>
      </c>
      <c r="P142" s="732">
        <f>'Func Future Subs 2015'!P142</f>
        <v>0</v>
      </c>
      <c r="Q142" s="732">
        <f>'Func Future Subs 2015'!Q142</f>
        <v>1</v>
      </c>
      <c r="R142" s="732">
        <f>'Func Future Subs 2015'!R142</f>
        <v>0</v>
      </c>
      <c r="S142" s="735">
        <f t="shared" si="19"/>
        <v>0</v>
      </c>
      <c r="T142" s="735">
        <f t="shared" si="20"/>
        <v>0</v>
      </c>
      <c r="U142" s="735">
        <f t="shared" si="21"/>
        <v>0</v>
      </c>
      <c r="V142" s="736">
        <f t="shared" si="22"/>
        <v>0</v>
      </c>
      <c r="W142" s="735">
        <f t="shared" si="23"/>
        <v>0</v>
      </c>
      <c r="X142" s="737">
        <f t="shared" si="24"/>
        <v>0</v>
      </c>
      <c r="Y142" s="738">
        <f t="shared" si="25"/>
        <v>0</v>
      </c>
    </row>
    <row r="143" spans="1:25">
      <c r="A143" s="754" t="str">
        <f>'Func Future Subs 2015'!A143</f>
        <v>Nisku 149S</v>
      </c>
      <c r="B143" s="754">
        <f>'Func Future Subs 2015'!B143</f>
        <v>850</v>
      </c>
      <c r="C143" s="754">
        <f>'Func Future Subs 2015'!C143</f>
        <v>138</v>
      </c>
      <c r="D143" s="754">
        <f>'Func Future Subs 2015'!D143</f>
        <v>25</v>
      </c>
      <c r="E143" s="754" t="str">
        <f>'Func Future Subs 2015'!E143</f>
        <v>149S</v>
      </c>
      <c r="F143" s="754">
        <f>'Func Future Subs 2015'!F143</f>
        <v>4164342.0352394478</v>
      </c>
      <c r="G143" s="754" t="str">
        <f>'Func Future Subs 2015'!G143</f>
        <v>AltaLink</v>
      </c>
      <c r="H143" s="754">
        <f>'Func Future Subs 2015'!H143</f>
        <v>2017</v>
      </c>
      <c r="I143" s="306">
        <f>+IF($H143=I$2,VLOOKUP($G143,Depreciation!$A$14:$L$18,7,FALSE)/2,IF($H143&lt;I$2,VLOOKUP($G143,Depreciation!$A$14:$L$18,7,FALSE),0))</f>
        <v>0</v>
      </c>
      <c r="J143" s="306">
        <f>+IF($H143=J$2,VLOOKUP($G143,Depreciation!$A$14:$L$18,8,FALSE)/2,IF($H143&lt;J$2,VLOOKUP($G143,Depreciation!$A$14:$L$18,8,FALSE),0))</f>
        <v>0</v>
      </c>
      <c r="K143" s="306">
        <f>+IF($H143=K$2,VLOOKUP($G143,Depreciation!$A$14:$L$18,9,FALSE)/2,IF($H143&lt;K$2,VLOOKUP($G143,Depreciation!$A$14:$L$18,9,FALSE),0))</f>
        <v>1.671703928371859E-2</v>
      </c>
      <c r="L143" s="306">
        <f>+IF($H143=L$2,VLOOKUP($G143,Depreciation!$A$14:$L$18,10,FALSE)/2,IF($H143&lt;L$2,VLOOKUP($G143,Depreciation!$A$14:$L$18,10,FALSE),0))</f>
        <v>3.343407856743718E-2</v>
      </c>
      <c r="M143" s="306">
        <f>+IF($H143=M$2,VLOOKUP($G143,Depreciation!$A$14:$L$18,11,FALSE)/2,IF($H143&lt;M$2,VLOOKUP($G143,Depreciation!$A$14:$L$18,11,FALSE),0))</f>
        <v>3.343407856743718E-2</v>
      </c>
      <c r="N143" s="306">
        <f>+IF($H143=N$2,VLOOKUP($G143,Depreciation!$A$14:$L$18,12,FALSE)/2,IF($H143&lt;N$2,VLOOKUP($G143,Depreciation!$A$14:$L$18,12,FALSE),0))</f>
        <v>3.343407856743718E-2</v>
      </c>
      <c r="O143" s="307">
        <f t="shared" si="18"/>
        <v>0</v>
      </c>
      <c r="P143" s="732">
        <f>'Func Future Subs 2015'!P143</f>
        <v>0</v>
      </c>
      <c r="Q143" s="732">
        <f>'Func Future Subs 2015'!Q143</f>
        <v>1</v>
      </c>
      <c r="R143" s="732">
        <f>'Func Future Subs 2015'!R143</f>
        <v>0</v>
      </c>
      <c r="S143" s="735">
        <f t="shared" si="19"/>
        <v>0</v>
      </c>
      <c r="T143" s="735">
        <f t="shared" si="20"/>
        <v>0</v>
      </c>
      <c r="U143" s="735">
        <f t="shared" si="21"/>
        <v>0</v>
      </c>
      <c r="V143" s="736">
        <f t="shared" si="22"/>
        <v>0</v>
      </c>
      <c r="W143" s="735">
        <f t="shared" si="23"/>
        <v>0</v>
      </c>
      <c r="X143" s="737">
        <f t="shared" si="24"/>
        <v>0</v>
      </c>
      <c r="Y143" s="738">
        <f t="shared" si="25"/>
        <v>0</v>
      </c>
    </row>
    <row r="144" spans="1:25">
      <c r="A144" s="754" t="str">
        <f>'Func Future Subs 2015'!A144</f>
        <v>Petrolia 816S</v>
      </c>
      <c r="B144" s="754">
        <f>'Func Future Subs 2015'!B144</f>
        <v>850</v>
      </c>
      <c r="C144" s="754">
        <f>'Func Future Subs 2015'!C144</f>
        <v>240</v>
      </c>
      <c r="D144" s="754">
        <f>'Func Future Subs 2015'!D144</f>
        <v>25</v>
      </c>
      <c r="E144" s="754" t="str">
        <f>'Func Future Subs 2015'!E144</f>
        <v>816S</v>
      </c>
      <c r="F144" s="754">
        <f>'Func Future Subs 2015'!F144</f>
        <v>171568.00000000006</v>
      </c>
      <c r="G144" s="754" t="str">
        <f>'Func Future Subs 2015'!G144</f>
        <v>EPCOR</v>
      </c>
      <c r="H144" s="754">
        <f>'Func Future Subs 2015'!H144</f>
        <v>2017</v>
      </c>
      <c r="I144" s="306">
        <f>+IF($H144=I$2,VLOOKUP($G144,Depreciation!$A$14:$L$18,7,FALSE)/2,IF($H144&lt;I$2,VLOOKUP($G144,Depreciation!$A$14:$L$18,7,FALSE),0))</f>
        <v>0</v>
      </c>
      <c r="J144" s="306">
        <f>+IF($H144=J$2,VLOOKUP($G144,Depreciation!$A$14:$L$18,8,FALSE)/2,IF($H144&lt;J$2,VLOOKUP($G144,Depreciation!$A$14:$L$18,8,FALSE),0))</f>
        <v>0</v>
      </c>
      <c r="K144" s="306">
        <f>+IF($H144=K$2,VLOOKUP($G144,Depreciation!$A$14:$L$18,9,FALSE)/2,IF($H144&lt;K$2,VLOOKUP($G144,Depreciation!$A$14:$L$18,9,FALSE),0))</f>
        <v>2.0572631749329395E-2</v>
      </c>
      <c r="L144" s="306">
        <f>+IF($H144=L$2,VLOOKUP($G144,Depreciation!$A$14:$L$18,10,FALSE)/2,IF($H144&lt;L$2,VLOOKUP($G144,Depreciation!$A$14:$L$18,10,FALSE),0))</f>
        <v>4.1145263498658789E-2</v>
      </c>
      <c r="M144" s="306">
        <f>+IF($H144=M$2,VLOOKUP($G144,Depreciation!$A$14:$L$18,11,FALSE)/2,IF($H144&lt;M$2,VLOOKUP($G144,Depreciation!$A$14:$L$18,11,FALSE),0))</f>
        <v>4.1145263498658789E-2</v>
      </c>
      <c r="N144" s="306">
        <f>+IF($H144=N$2,VLOOKUP($G144,Depreciation!$A$14:$L$18,12,FALSE)/2,IF($H144&lt;N$2,VLOOKUP($G144,Depreciation!$A$14:$L$18,12,FALSE),0))</f>
        <v>4.1145263498658789E-2</v>
      </c>
      <c r="O144" s="307">
        <f t="shared" si="18"/>
        <v>0</v>
      </c>
      <c r="P144" s="732">
        <f>'Func Future Subs 2015'!P144</f>
        <v>0</v>
      </c>
      <c r="Q144" s="732">
        <f>'Func Future Subs 2015'!Q144</f>
        <v>0</v>
      </c>
      <c r="R144" s="732">
        <f>'Func Future Subs 2015'!R144</f>
        <v>1</v>
      </c>
      <c r="S144" s="735">
        <f t="shared" si="19"/>
        <v>0</v>
      </c>
      <c r="T144" s="735">
        <f t="shared" si="20"/>
        <v>0</v>
      </c>
      <c r="U144" s="735">
        <f t="shared" si="21"/>
        <v>0</v>
      </c>
      <c r="V144" s="736">
        <f t="shared" si="22"/>
        <v>0</v>
      </c>
      <c r="W144" s="735">
        <f t="shared" si="23"/>
        <v>0</v>
      </c>
      <c r="X144" s="737">
        <f t="shared" si="24"/>
        <v>0</v>
      </c>
      <c r="Y144" s="738">
        <f t="shared" si="25"/>
        <v>0</v>
      </c>
    </row>
    <row r="145" spans="1:25">
      <c r="A145" s="754" t="str">
        <f>'Func Future Subs 2015'!A145</f>
        <v>Saunders Lake 289S</v>
      </c>
      <c r="B145" s="754">
        <f>'Func Future Subs 2015'!B145</f>
        <v>850</v>
      </c>
      <c r="C145" s="754">
        <f>'Func Future Subs 2015'!C145</f>
        <v>240</v>
      </c>
      <c r="D145" s="754">
        <f>'Func Future Subs 2015'!D145</f>
        <v>138</v>
      </c>
      <c r="E145" s="754" t="str">
        <f>'Func Future Subs 2015'!E145</f>
        <v>289S</v>
      </c>
      <c r="F145" s="754">
        <f>'Func Future Subs 2015'!F145</f>
        <v>59647159.879132695</v>
      </c>
      <c r="G145" s="754" t="str">
        <f>'Func Future Subs 2015'!G145</f>
        <v>AltaLink</v>
      </c>
      <c r="H145" s="754">
        <f>'Func Future Subs 2015'!H145</f>
        <v>2017</v>
      </c>
      <c r="I145" s="306">
        <f>+IF($H145=I$2,VLOOKUP($G145,Depreciation!$A$14:$L$18,7,FALSE)/2,IF($H145&lt;I$2,VLOOKUP($G145,Depreciation!$A$14:$L$18,7,FALSE),0))</f>
        <v>0</v>
      </c>
      <c r="J145" s="306">
        <f>+IF($H145=J$2,VLOOKUP($G145,Depreciation!$A$14:$L$18,8,FALSE)/2,IF($H145&lt;J$2,VLOOKUP($G145,Depreciation!$A$14:$L$18,8,FALSE),0))</f>
        <v>0</v>
      </c>
      <c r="K145" s="306">
        <f>+IF($H145=K$2,VLOOKUP($G145,Depreciation!$A$14:$L$18,9,FALSE)/2,IF($H145&lt;K$2,VLOOKUP($G145,Depreciation!$A$14:$L$18,9,FALSE),0))</f>
        <v>1.671703928371859E-2</v>
      </c>
      <c r="L145" s="306">
        <f>+IF($H145=L$2,VLOOKUP($G145,Depreciation!$A$14:$L$18,10,FALSE)/2,IF($H145&lt;L$2,VLOOKUP($G145,Depreciation!$A$14:$L$18,10,FALSE),0))</f>
        <v>3.343407856743718E-2</v>
      </c>
      <c r="M145" s="306">
        <f>+IF($H145=M$2,VLOOKUP($G145,Depreciation!$A$14:$L$18,11,FALSE)/2,IF($H145&lt;M$2,VLOOKUP($G145,Depreciation!$A$14:$L$18,11,FALSE),0))</f>
        <v>3.343407856743718E-2</v>
      </c>
      <c r="N145" s="306">
        <f>+IF($H145=N$2,VLOOKUP($G145,Depreciation!$A$14:$L$18,12,FALSE)/2,IF($H145&lt;N$2,VLOOKUP($G145,Depreciation!$A$14:$L$18,12,FALSE),0))</f>
        <v>3.343407856743718E-2</v>
      </c>
      <c r="O145" s="307">
        <f t="shared" si="18"/>
        <v>0</v>
      </c>
      <c r="P145" s="732">
        <f>'Func Future Subs 2015'!P145</f>
        <v>0</v>
      </c>
      <c r="Q145" s="732">
        <f>'Func Future Subs 2015'!Q145</f>
        <v>0</v>
      </c>
      <c r="R145" s="732">
        <f>'Func Future Subs 2015'!R145</f>
        <v>1</v>
      </c>
      <c r="S145" s="735">
        <f t="shared" si="19"/>
        <v>0</v>
      </c>
      <c r="T145" s="735">
        <f t="shared" si="20"/>
        <v>0</v>
      </c>
      <c r="U145" s="735">
        <f t="shared" si="21"/>
        <v>0</v>
      </c>
      <c r="V145" s="736">
        <f t="shared" si="22"/>
        <v>0</v>
      </c>
      <c r="W145" s="735">
        <f t="shared" si="23"/>
        <v>0</v>
      </c>
      <c r="X145" s="737">
        <f t="shared" si="24"/>
        <v>0</v>
      </c>
      <c r="Y145" s="738">
        <f t="shared" si="25"/>
        <v>0</v>
      </c>
    </row>
    <row r="146" spans="1:25">
      <c r="A146" s="754" t="str">
        <f>'Func Future Subs 2015'!A146</f>
        <v>Spruce Grove 595S</v>
      </c>
      <c r="B146" s="754">
        <f>'Func Future Subs 2015'!B146</f>
        <v>850</v>
      </c>
      <c r="C146" s="754">
        <f>'Func Future Subs 2015'!C146</f>
        <v>138</v>
      </c>
      <c r="D146" s="754">
        <f>'Func Future Subs 2015'!D146</f>
        <v>25</v>
      </c>
      <c r="E146" s="754" t="str">
        <f>'Func Future Subs 2015'!E146</f>
        <v>595S</v>
      </c>
      <c r="F146" s="754">
        <f>'Func Future Subs 2015'!F146</f>
        <v>83551.654618630506</v>
      </c>
      <c r="G146" s="754" t="str">
        <f>'Func Future Subs 2015'!G146</f>
        <v>AltaLink</v>
      </c>
      <c r="H146" s="754">
        <f>'Func Future Subs 2015'!H146</f>
        <v>2017</v>
      </c>
      <c r="I146" s="306">
        <f>+IF($H146=I$2,VLOOKUP($G146,Depreciation!$A$14:$L$18,7,FALSE)/2,IF($H146&lt;I$2,VLOOKUP($G146,Depreciation!$A$14:$L$18,7,FALSE),0))</f>
        <v>0</v>
      </c>
      <c r="J146" s="306">
        <f>+IF($H146=J$2,VLOOKUP($G146,Depreciation!$A$14:$L$18,8,FALSE)/2,IF($H146&lt;J$2,VLOOKUP($G146,Depreciation!$A$14:$L$18,8,FALSE),0))</f>
        <v>0</v>
      </c>
      <c r="K146" s="306">
        <f>+IF($H146=K$2,VLOOKUP($G146,Depreciation!$A$14:$L$18,9,FALSE)/2,IF($H146&lt;K$2,VLOOKUP($G146,Depreciation!$A$14:$L$18,9,FALSE),0))</f>
        <v>1.671703928371859E-2</v>
      </c>
      <c r="L146" s="306">
        <f>+IF($H146=L$2,VLOOKUP($G146,Depreciation!$A$14:$L$18,10,FALSE)/2,IF($H146&lt;L$2,VLOOKUP($G146,Depreciation!$A$14:$L$18,10,FALSE),0))</f>
        <v>3.343407856743718E-2</v>
      </c>
      <c r="M146" s="306">
        <f>+IF($H146=M$2,VLOOKUP($G146,Depreciation!$A$14:$L$18,11,FALSE)/2,IF($H146&lt;M$2,VLOOKUP($G146,Depreciation!$A$14:$L$18,11,FALSE),0))</f>
        <v>3.343407856743718E-2</v>
      </c>
      <c r="N146" s="306">
        <f>+IF($H146=N$2,VLOOKUP($G146,Depreciation!$A$14:$L$18,12,FALSE)/2,IF($H146&lt;N$2,VLOOKUP($G146,Depreciation!$A$14:$L$18,12,FALSE),0))</f>
        <v>3.343407856743718E-2</v>
      </c>
      <c r="O146" s="307">
        <f t="shared" si="18"/>
        <v>0</v>
      </c>
      <c r="P146" s="732">
        <f>'Func Future Subs 2015'!P146</f>
        <v>0</v>
      </c>
      <c r="Q146" s="732">
        <f>'Func Future Subs 2015'!Q146</f>
        <v>1</v>
      </c>
      <c r="R146" s="732">
        <f>'Func Future Subs 2015'!R146</f>
        <v>0</v>
      </c>
      <c r="S146" s="735">
        <f t="shared" si="19"/>
        <v>0</v>
      </c>
      <c r="T146" s="735">
        <f t="shared" si="20"/>
        <v>0</v>
      </c>
      <c r="U146" s="735">
        <f t="shared" si="21"/>
        <v>0</v>
      </c>
      <c r="V146" s="736">
        <f t="shared" si="22"/>
        <v>0</v>
      </c>
      <c r="W146" s="735">
        <f t="shared" si="23"/>
        <v>0</v>
      </c>
      <c r="X146" s="737">
        <f t="shared" si="24"/>
        <v>0</v>
      </c>
      <c r="Y146" s="738">
        <f t="shared" si="25"/>
        <v>0</v>
      </c>
    </row>
    <row r="147" spans="1:25">
      <c r="A147" s="754" t="str">
        <f>'Func Future Subs 2015'!A147</f>
        <v>Stony Plain 434S</v>
      </c>
      <c r="B147" s="754">
        <f>'Func Future Subs 2015'!B147</f>
        <v>850</v>
      </c>
      <c r="C147" s="754">
        <f>'Func Future Subs 2015'!C147</f>
        <v>138</v>
      </c>
      <c r="D147" s="754">
        <f>'Func Future Subs 2015'!D147</f>
        <v>25</v>
      </c>
      <c r="E147" s="754" t="str">
        <f>'Func Future Subs 2015'!E147</f>
        <v>434S</v>
      </c>
      <c r="F147" s="754">
        <f>'Func Future Subs 2015'!F147</f>
        <v>1277016.625539762</v>
      </c>
      <c r="G147" s="754" t="str">
        <f>'Func Future Subs 2015'!G147</f>
        <v>AltaLink</v>
      </c>
      <c r="H147" s="754">
        <f>'Func Future Subs 2015'!H147</f>
        <v>2017</v>
      </c>
      <c r="I147" s="306">
        <f>+IF($H147=I$2,VLOOKUP($G147,Depreciation!$A$14:$L$18,7,FALSE)/2,IF($H147&lt;I$2,VLOOKUP($G147,Depreciation!$A$14:$L$18,7,FALSE),0))</f>
        <v>0</v>
      </c>
      <c r="J147" s="306">
        <f>+IF($H147=J$2,VLOOKUP($G147,Depreciation!$A$14:$L$18,8,FALSE)/2,IF($H147&lt;J$2,VLOOKUP($G147,Depreciation!$A$14:$L$18,8,FALSE),0))</f>
        <v>0</v>
      </c>
      <c r="K147" s="306">
        <f>+IF($H147=K$2,VLOOKUP($G147,Depreciation!$A$14:$L$18,9,FALSE)/2,IF($H147&lt;K$2,VLOOKUP($G147,Depreciation!$A$14:$L$18,9,FALSE),0))</f>
        <v>1.671703928371859E-2</v>
      </c>
      <c r="L147" s="306">
        <f>+IF($H147=L$2,VLOOKUP($G147,Depreciation!$A$14:$L$18,10,FALSE)/2,IF($H147&lt;L$2,VLOOKUP($G147,Depreciation!$A$14:$L$18,10,FALSE),0))</f>
        <v>3.343407856743718E-2</v>
      </c>
      <c r="M147" s="306">
        <f>+IF($H147=M$2,VLOOKUP($G147,Depreciation!$A$14:$L$18,11,FALSE)/2,IF($H147&lt;M$2,VLOOKUP($G147,Depreciation!$A$14:$L$18,11,FALSE),0))</f>
        <v>3.343407856743718E-2</v>
      </c>
      <c r="N147" s="306">
        <f>+IF($H147=N$2,VLOOKUP($G147,Depreciation!$A$14:$L$18,12,FALSE)/2,IF($H147&lt;N$2,VLOOKUP($G147,Depreciation!$A$14:$L$18,12,FALSE),0))</f>
        <v>3.343407856743718E-2</v>
      </c>
      <c r="O147" s="307">
        <f t="shared" si="18"/>
        <v>0</v>
      </c>
      <c r="P147" s="732">
        <f>'Func Future Subs 2015'!P147</f>
        <v>0</v>
      </c>
      <c r="Q147" s="732">
        <f>'Func Future Subs 2015'!Q147</f>
        <v>1</v>
      </c>
      <c r="R147" s="732">
        <f>'Func Future Subs 2015'!R147</f>
        <v>0</v>
      </c>
      <c r="S147" s="735">
        <f t="shared" si="19"/>
        <v>0</v>
      </c>
      <c r="T147" s="735">
        <f t="shared" si="20"/>
        <v>0</v>
      </c>
      <c r="U147" s="735">
        <f t="shared" si="21"/>
        <v>0</v>
      </c>
      <c r="V147" s="736">
        <f t="shared" si="22"/>
        <v>0</v>
      </c>
      <c r="W147" s="735">
        <f t="shared" si="23"/>
        <v>0</v>
      </c>
      <c r="X147" s="737">
        <f t="shared" si="24"/>
        <v>0</v>
      </c>
      <c r="Y147" s="738">
        <f t="shared" si="25"/>
        <v>0</v>
      </c>
    </row>
    <row r="148" spans="1:25">
      <c r="A148" s="754" t="str">
        <f>'Func Future Subs 2015'!A148</f>
        <v>Viscount 92S</v>
      </c>
      <c r="B148" s="754">
        <f>'Func Future Subs 2015'!B148</f>
        <v>850</v>
      </c>
      <c r="C148" s="754">
        <f>'Func Future Subs 2015'!C148</f>
        <v>138</v>
      </c>
      <c r="D148" s="754">
        <f>'Func Future Subs 2015'!D148</f>
        <v>25</v>
      </c>
      <c r="E148" s="754" t="str">
        <f>'Func Future Subs 2015'!E148</f>
        <v>92S</v>
      </c>
      <c r="F148" s="754">
        <f>'Func Future Subs 2015'!F148</f>
        <v>84454.731155301823</v>
      </c>
      <c r="G148" s="754" t="str">
        <f>'Func Future Subs 2015'!G148</f>
        <v>AltaLink</v>
      </c>
      <c r="H148" s="754">
        <f>'Func Future Subs 2015'!H148</f>
        <v>2017</v>
      </c>
      <c r="I148" s="306">
        <f>+IF($H148=I$2,VLOOKUP($G148,Depreciation!$A$14:$L$18,7,FALSE)/2,IF($H148&lt;I$2,VLOOKUP($G148,Depreciation!$A$14:$L$18,7,FALSE),0))</f>
        <v>0</v>
      </c>
      <c r="J148" s="306">
        <f>+IF($H148=J$2,VLOOKUP($G148,Depreciation!$A$14:$L$18,8,FALSE)/2,IF($H148&lt;J$2,VLOOKUP($G148,Depreciation!$A$14:$L$18,8,FALSE),0))</f>
        <v>0</v>
      </c>
      <c r="K148" s="306">
        <f>+IF($H148=K$2,VLOOKUP($G148,Depreciation!$A$14:$L$18,9,FALSE)/2,IF($H148&lt;K$2,VLOOKUP($G148,Depreciation!$A$14:$L$18,9,FALSE),0))</f>
        <v>1.671703928371859E-2</v>
      </c>
      <c r="L148" s="306">
        <f>+IF($H148=L$2,VLOOKUP($G148,Depreciation!$A$14:$L$18,10,FALSE)/2,IF($H148&lt;L$2,VLOOKUP($G148,Depreciation!$A$14:$L$18,10,FALSE),0))</f>
        <v>3.343407856743718E-2</v>
      </c>
      <c r="M148" s="306">
        <f>+IF($H148=M$2,VLOOKUP($G148,Depreciation!$A$14:$L$18,11,FALSE)/2,IF($H148&lt;M$2,VLOOKUP($G148,Depreciation!$A$14:$L$18,11,FALSE),0))</f>
        <v>3.343407856743718E-2</v>
      </c>
      <c r="N148" s="306">
        <f>+IF($H148=N$2,VLOOKUP($G148,Depreciation!$A$14:$L$18,12,FALSE)/2,IF($H148&lt;N$2,VLOOKUP($G148,Depreciation!$A$14:$L$18,12,FALSE),0))</f>
        <v>3.343407856743718E-2</v>
      </c>
      <c r="O148" s="307">
        <f t="shared" si="18"/>
        <v>0</v>
      </c>
      <c r="P148" s="732">
        <f>'Func Future Subs 2015'!P148</f>
        <v>0</v>
      </c>
      <c r="Q148" s="732">
        <f>'Func Future Subs 2015'!Q148</f>
        <v>1</v>
      </c>
      <c r="R148" s="732">
        <f>'Func Future Subs 2015'!R148</f>
        <v>0</v>
      </c>
      <c r="S148" s="735">
        <f t="shared" si="19"/>
        <v>0</v>
      </c>
      <c r="T148" s="735">
        <f t="shared" si="20"/>
        <v>0</v>
      </c>
      <c r="U148" s="735">
        <f t="shared" si="21"/>
        <v>0</v>
      </c>
      <c r="V148" s="736">
        <f t="shared" si="22"/>
        <v>0</v>
      </c>
      <c r="W148" s="735">
        <f t="shared" si="23"/>
        <v>0</v>
      </c>
      <c r="X148" s="737">
        <f t="shared" si="24"/>
        <v>0</v>
      </c>
      <c r="Y148" s="738">
        <f t="shared" si="25"/>
        <v>0</v>
      </c>
    </row>
    <row r="149" spans="1:25">
      <c r="A149" s="754" t="str">
        <f>'Func Future Subs 2015'!A149</f>
        <v>Wetaskiwin 40S</v>
      </c>
      <c r="B149" s="754">
        <f>'Func Future Subs 2015'!B149</f>
        <v>850</v>
      </c>
      <c r="C149" s="754">
        <f>'Func Future Subs 2015'!C149</f>
        <v>138</v>
      </c>
      <c r="D149" s="754">
        <f>'Func Future Subs 2015'!D149</f>
        <v>25</v>
      </c>
      <c r="E149" s="754" t="str">
        <f>'Func Future Subs 2015'!E149</f>
        <v>40S</v>
      </c>
      <c r="F149" s="754">
        <f>'Func Future Subs 2015'!F149</f>
        <v>1153188.8957173596</v>
      </c>
      <c r="G149" s="754" t="str">
        <f>'Func Future Subs 2015'!G149</f>
        <v>AltaLink</v>
      </c>
      <c r="H149" s="754">
        <f>'Func Future Subs 2015'!H149</f>
        <v>2017</v>
      </c>
      <c r="I149" s="306">
        <f>+IF($H149=I$2,VLOOKUP($G149,Depreciation!$A$14:$L$18,7,FALSE)/2,IF($H149&lt;I$2,VLOOKUP($G149,Depreciation!$A$14:$L$18,7,FALSE),0))</f>
        <v>0</v>
      </c>
      <c r="J149" s="306">
        <f>+IF($H149=J$2,VLOOKUP($G149,Depreciation!$A$14:$L$18,8,FALSE)/2,IF($H149&lt;J$2,VLOOKUP($G149,Depreciation!$A$14:$L$18,8,FALSE),0))</f>
        <v>0</v>
      </c>
      <c r="K149" s="306">
        <f>+IF($H149=K$2,VLOOKUP($G149,Depreciation!$A$14:$L$18,9,FALSE)/2,IF($H149&lt;K$2,VLOOKUP($G149,Depreciation!$A$14:$L$18,9,FALSE),0))</f>
        <v>1.671703928371859E-2</v>
      </c>
      <c r="L149" s="306">
        <f>+IF($H149=L$2,VLOOKUP($G149,Depreciation!$A$14:$L$18,10,FALSE)/2,IF($H149&lt;L$2,VLOOKUP($G149,Depreciation!$A$14:$L$18,10,FALSE),0))</f>
        <v>3.343407856743718E-2</v>
      </c>
      <c r="M149" s="306">
        <f>+IF($H149=M$2,VLOOKUP($G149,Depreciation!$A$14:$L$18,11,FALSE)/2,IF($H149&lt;M$2,VLOOKUP($G149,Depreciation!$A$14:$L$18,11,FALSE),0))</f>
        <v>3.343407856743718E-2</v>
      </c>
      <c r="N149" s="306">
        <f>+IF($H149=N$2,VLOOKUP($G149,Depreciation!$A$14:$L$18,12,FALSE)/2,IF($H149&lt;N$2,VLOOKUP($G149,Depreciation!$A$14:$L$18,12,FALSE),0))</f>
        <v>3.343407856743718E-2</v>
      </c>
      <c r="O149" s="307">
        <f t="shared" si="18"/>
        <v>0</v>
      </c>
      <c r="P149" s="732">
        <f>'Func Future Subs 2015'!P149</f>
        <v>0</v>
      </c>
      <c r="Q149" s="732">
        <f>'Func Future Subs 2015'!Q149</f>
        <v>1</v>
      </c>
      <c r="R149" s="732">
        <f>'Func Future Subs 2015'!R149</f>
        <v>0</v>
      </c>
      <c r="S149" s="735">
        <f t="shared" si="19"/>
        <v>0</v>
      </c>
      <c r="T149" s="735">
        <f t="shared" si="20"/>
        <v>0</v>
      </c>
      <c r="U149" s="735">
        <f t="shared" si="21"/>
        <v>0</v>
      </c>
      <c r="V149" s="736">
        <f t="shared" si="22"/>
        <v>0</v>
      </c>
      <c r="W149" s="735">
        <f t="shared" si="23"/>
        <v>0</v>
      </c>
      <c r="X149" s="737">
        <f t="shared" si="24"/>
        <v>0</v>
      </c>
      <c r="Y149" s="738">
        <f t="shared" si="25"/>
        <v>0</v>
      </c>
    </row>
    <row r="150" spans="1:25">
      <c r="A150" s="754" t="str">
        <f>'Func Future Subs 2015'!A150</f>
        <v>Wolf Creek 288S</v>
      </c>
      <c r="B150" s="754">
        <f>'Func Future Subs 2015'!B150</f>
        <v>850</v>
      </c>
      <c r="C150" s="754">
        <f>'Func Future Subs 2015'!C150</f>
        <v>240</v>
      </c>
      <c r="D150" s="754">
        <f>'Func Future Subs 2015'!D150</f>
        <v>138</v>
      </c>
      <c r="E150" s="754" t="str">
        <f>'Func Future Subs 2015'!E150</f>
        <v>288S</v>
      </c>
      <c r="F150" s="754">
        <f>'Func Future Subs 2015'!F150</f>
        <v>475507.74094974546</v>
      </c>
      <c r="G150" s="754" t="str">
        <f>'Func Future Subs 2015'!G150</f>
        <v>AltaLink</v>
      </c>
      <c r="H150" s="754">
        <f>'Func Future Subs 2015'!H150</f>
        <v>2017</v>
      </c>
      <c r="I150" s="306">
        <f>+IF($H150=I$2,VLOOKUP($G150,Depreciation!$A$14:$L$18,7,FALSE)/2,IF($H150&lt;I$2,VLOOKUP($G150,Depreciation!$A$14:$L$18,7,FALSE),0))</f>
        <v>0</v>
      </c>
      <c r="J150" s="306">
        <f>+IF($H150=J$2,VLOOKUP($G150,Depreciation!$A$14:$L$18,8,FALSE)/2,IF($H150&lt;J$2,VLOOKUP($G150,Depreciation!$A$14:$L$18,8,FALSE),0))</f>
        <v>0</v>
      </c>
      <c r="K150" s="306">
        <f>+IF($H150=K$2,VLOOKUP($G150,Depreciation!$A$14:$L$18,9,FALSE)/2,IF($H150&lt;K$2,VLOOKUP($G150,Depreciation!$A$14:$L$18,9,FALSE),0))</f>
        <v>1.671703928371859E-2</v>
      </c>
      <c r="L150" s="306">
        <f>+IF($H150=L$2,VLOOKUP($G150,Depreciation!$A$14:$L$18,10,FALSE)/2,IF($H150&lt;L$2,VLOOKUP($G150,Depreciation!$A$14:$L$18,10,FALSE),0))</f>
        <v>3.343407856743718E-2</v>
      </c>
      <c r="M150" s="306">
        <f>+IF($H150=M$2,VLOOKUP($G150,Depreciation!$A$14:$L$18,11,FALSE)/2,IF($H150&lt;M$2,VLOOKUP($G150,Depreciation!$A$14:$L$18,11,FALSE),0))</f>
        <v>3.343407856743718E-2</v>
      </c>
      <c r="N150" s="306">
        <f>+IF($H150=N$2,VLOOKUP($G150,Depreciation!$A$14:$L$18,12,FALSE)/2,IF($H150&lt;N$2,VLOOKUP($G150,Depreciation!$A$14:$L$18,12,FALSE),0))</f>
        <v>3.343407856743718E-2</v>
      </c>
      <c r="O150" s="307">
        <f t="shared" si="18"/>
        <v>0</v>
      </c>
      <c r="P150" s="732">
        <f>'Func Future Subs 2015'!P150</f>
        <v>0</v>
      </c>
      <c r="Q150" s="732">
        <f>'Func Future Subs 2015'!Q150</f>
        <v>0</v>
      </c>
      <c r="R150" s="732">
        <f>'Func Future Subs 2015'!R150</f>
        <v>1</v>
      </c>
      <c r="S150" s="735">
        <f t="shared" si="19"/>
        <v>0</v>
      </c>
      <c r="T150" s="735">
        <f t="shared" si="20"/>
        <v>0</v>
      </c>
      <c r="U150" s="735">
        <f t="shared" si="21"/>
        <v>0</v>
      </c>
      <c r="V150" s="736">
        <f t="shared" si="22"/>
        <v>0</v>
      </c>
      <c r="W150" s="735">
        <f t="shared" si="23"/>
        <v>0</v>
      </c>
      <c r="X150" s="737">
        <f t="shared" si="24"/>
        <v>0</v>
      </c>
      <c r="Y150" s="738">
        <f t="shared" si="25"/>
        <v>0</v>
      </c>
    </row>
    <row r="151" spans="1:25">
      <c r="A151" s="754" t="str">
        <f>'Func Future Subs 2015'!A151</f>
        <v>Enmax No. 5</v>
      </c>
      <c r="B151" s="754">
        <f>'Func Future Subs 2015'!B151</f>
        <v>859</v>
      </c>
      <c r="C151" s="754">
        <f>'Func Future Subs 2015'!C151</f>
        <v>138</v>
      </c>
      <c r="D151" s="754">
        <f>'Func Future Subs 2015'!D151</f>
        <v>25</v>
      </c>
      <c r="E151" s="754" t="str">
        <f>'Func Future Subs 2015'!E151</f>
        <v>SS-5</v>
      </c>
      <c r="F151" s="754">
        <f>'Func Future Subs 2015'!F151</f>
        <v>37991871.591546685</v>
      </c>
      <c r="G151" s="754" t="str">
        <f>'Func Future Subs 2015'!G151</f>
        <v>ENMAX</v>
      </c>
      <c r="H151" s="754">
        <f>'Func Future Subs 2015'!H151</f>
        <v>2015</v>
      </c>
      <c r="I151" s="306">
        <f>+IF($H151=I$2,VLOOKUP($G151,Depreciation!$A$14:$L$18,7,FALSE)/2,IF($H151&lt;I$2,VLOOKUP($G151,Depreciation!$A$14:$L$18,7,FALSE),0))</f>
        <v>1.3928409269726289E-2</v>
      </c>
      <c r="J151" s="306">
        <f>+IF($H151=J$2,VLOOKUP($G151,Depreciation!$A$14:$L$18,8,FALSE)/2,IF($H151&lt;J$2,VLOOKUP($G151,Depreciation!$A$14:$L$18,8,FALSE),0))</f>
        <v>2.7856818539452578E-2</v>
      </c>
      <c r="K151" s="306">
        <f>+IF($H151=K$2,VLOOKUP($G151,Depreciation!$A$14:$L$18,9,FALSE)/2,IF($H151&lt;K$2,VLOOKUP($G151,Depreciation!$A$14:$L$18,9,FALSE),0))</f>
        <v>2.7856818539452578E-2</v>
      </c>
      <c r="L151" s="306">
        <f>+IF($H151=L$2,VLOOKUP($G151,Depreciation!$A$14:$L$18,10,FALSE)/2,IF($H151&lt;L$2,VLOOKUP($G151,Depreciation!$A$14:$L$18,10,FALSE),0))</f>
        <v>2.7856818539452578E-2</v>
      </c>
      <c r="M151" s="306">
        <f>+IF($H151=M$2,VLOOKUP($G151,Depreciation!$A$14:$L$18,11,FALSE)/2,IF($H151&lt;M$2,VLOOKUP($G151,Depreciation!$A$14:$L$18,11,FALSE),0))</f>
        <v>2.7856818539452578E-2</v>
      </c>
      <c r="N151" s="306">
        <f>+IF($H151=N$2,VLOOKUP($G151,Depreciation!$A$14:$L$18,12,FALSE)/2,IF($H151&lt;N$2,VLOOKUP($G151,Depreciation!$A$14:$L$18,12,FALSE),0))</f>
        <v>2.7856818539452578E-2</v>
      </c>
      <c r="O151" s="307">
        <f t="shared" si="18"/>
        <v>36419113.47280851</v>
      </c>
      <c r="P151" s="732">
        <f>'Func Future Subs 2015'!P151</f>
        <v>0</v>
      </c>
      <c r="Q151" s="732">
        <f>'Func Future Subs 2015'!Q151</f>
        <v>1</v>
      </c>
      <c r="R151" s="732">
        <f>'Func Future Subs 2015'!R151</f>
        <v>0</v>
      </c>
      <c r="S151" s="735">
        <f t="shared" si="19"/>
        <v>0</v>
      </c>
      <c r="T151" s="735">
        <f t="shared" si="20"/>
        <v>36419113.47280851</v>
      </c>
      <c r="U151" s="735">
        <f t="shared" si="21"/>
        <v>0</v>
      </c>
      <c r="V151" s="736">
        <f t="shared" si="22"/>
        <v>0</v>
      </c>
      <c r="W151" s="735">
        <f t="shared" si="23"/>
        <v>0</v>
      </c>
      <c r="X151" s="737">
        <f t="shared" si="24"/>
        <v>0</v>
      </c>
      <c r="Y151" s="738">
        <f t="shared" si="25"/>
        <v>36419113.47280851</v>
      </c>
    </row>
    <row r="152" spans="1:25">
      <c r="A152" s="754" t="str">
        <f>'Func Future Subs 2015'!A152</f>
        <v>Foothills 237S</v>
      </c>
      <c r="B152" s="754">
        <f>'Func Future Subs 2015'!B152</f>
        <v>882</v>
      </c>
      <c r="C152" s="754">
        <f>'Func Future Subs 2015'!C152</f>
        <v>240</v>
      </c>
      <c r="D152" s="754">
        <f>'Func Future Subs 2015'!D152</f>
        <v>138</v>
      </c>
      <c r="E152" s="754" t="str">
        <f>'Func Future Subs 2015'!E152</f>
        <v>237S</v>
      </c>
      <c r="F152" s="754">
        <f>'Func Future Subs 2015'!F152</f>
        <v>358753.33155285398</v>
      </c>
      <c r="G152" s="754" t="str">
        <f>'Func Future Subs 2015'!G152</f>
        <v>AltaLink</v>
      </c>
      <c r="H152" s="754">
        <f>'Func Future Subs 2015'!H152</f>
        <v>2015</v>
      </c>
      <c r="I152" s="306">
        <f>+IF($H152=I$2,VLOOKUP($G152,Depreciation!$A$14:$L$18,7,FALSE)/2,IF($H152&lt;I$2,VLOOKUP($G152,Depreciation!$A$14:$L$18,7,FALSE),0))</f>
        <v>1.7228380322441735E-2</v>
      </c>
      <c r="J152" s="306">
        <f>+IF($H152=J$2,VLOOKUP($G152,Depreciation!$A$14:$L$18,8,FALSE)/2,IF($H152&lt;J$2,VLOOKUP($G152,Depreciation!$A$14:$L$18,8,FALSE),0))</f>
        <v>3.343407856743718E-2</v>
      </c>
      <c r="K152" s="306">
        <f>+IF($H152=K$2,VLOOKUP($G152,Depreciation!$A$14:$L$18,9,FALSE)/2,IF($H152&lt;K$2,VLOOKUP($G152,Depreciation!$A$14:$L$18,9,FALSE),0))</f>
        <v>3.343407856743718E-2</v>
      </c>
      <c r="L152" s="306">
        <f>+IF($H152=L$2,VLOOKUP($G152,Depreciation!$A$14:$L$18,10,FALSE)/2,IF($H152&lt;L$2,VLOOKUP($G152,Depreciation!$A$14:$L$18,10,FALSE),0))</f>
        <v>3.343407856743718E-2</v>
      </c>
      <c r="M152" s="306">
        <f>+IF($H152=M$2,VLOOKUP($G152,Depreciation!$A$14:$L$18,11,FALSE)/2,IF($H152&lt;M$2,VLOOKUP($G152,Depreciation!$A$14:$L$18,11,FALSE),0))</f>
        <v>3.343407856743718E-2</v>
      </c>
      <c r="N152" s="306">
        <f>+IF($H152=N$2,VLOOKUP($G152,Depreciation!$A$14:$L$18,12,FALSE)/2,IF($H152&lt;N$2,VLOOKUP($G152,Depreciation!$A$14:$L$18,12,FALSE),0))</f>
        <v>3.343407856743718E-2</v>
      </c>
      <c r="O152" s="307">
        <f t="shared" si="18"/>
        <v>340784.65294936276</v>
      </c>
      <c r="P152" s="732">
        <f>'Func Future Subs 2015'!P152</f>
        <v>0</v>
      </c>
      <c r="Q152" s="732">
        <f>'Func Future Subs 2015'!Q152</f>
        <v>0</v>
      </c>
      <c r="R152" s="732">
        <f>'Func Future Subs 2015'!R152</f>
        <v>1</v>
      </c>
      <c r="S152" s="735">
        <f t="shared" si="19"/>
        <v>0</v>
      </c>
      <c r="T152" s="735">
        <f t="shared" si="20"/>
        <v>0</v>
      </c>
      <c r="U152" s="735">
        <f t="shared" si="21"/>
        <v>340784.65294936276</v>
      </c>
      <c r="V152" s="736">
        <f t="shared" si="22"/>
        <v>0</v>
      </c>
      <c r="W152" s="735">
        <f t="shared" si="23"/>
        <v>0</v>
      </c>
      <c r="X152" s="737">
        <f t="shared" si="24"/>
        <v>340784.65294936276</v>
      </c>
      <c r="Y152" s="738">
        <f t="shared" si="25"/>
        <v>0</v>
      </c>
    </row>
    <row r="153" spans="1:25">
      <c r="A153" s="754" t="str">
        <f>'Func Future Subs 2015'!A153</f>
        <v>Peigan 59S</v>
      </c>
      <c r="B153" s="754">
        <f>'Func Future Subs 2015'!B153</f>
        <v>882</v>
      </c>
      <c r="C153" s="754">
        <f>'Func Future Subs 2015'!C153</f>
        <v>240</v>
      </c>
      <c r="D153" s="754">
        <f>'Func Future Subs 2015'!D153</f>
        <v>138</v>
      </c>
      <c r="E153" s="754" t="str">
        <f>'Func Future Subs 2015'!E153</f>
        <v>59S</v>
      </c>
      <c r="F153" s="754">
        <f>'Func Future Subs 2015'!F153</f>
        <v>309435.01757324504</v>
      </c>
      <c r="G153" s="754" t="str">
        <f>'Func Future Subs 2015'!G153</f>
        <v>AltaLink</v>
      </c>
      <c r="H153" s="754">
        <f>'Func Future Subs 2015'!H153</f>
        <v>2015</v>
      </c>
      <c r="I153" s="306">
        <f>+IF($H153=I$2,VLOOKUP($G153,Depreciation!$A$14:$L$18,7,FALSE)/2,IF($H153&lt;I$2,VLOOKUP($G153,Depreciation!$A$14:$L$18,7,FALSE),0))</f>
        <v>1.7228380322441735E-2</v>
      </c>
      <c r="J153" s="306">
        <f>+IF($H153=J$2,VLOOKUP($G153,Depreciation!$A$14:$L$18,8,FALSE)/2,IF($H153&lt;J$2,VLOOKUP($G153,Depreciation!$A$14:$L$18,8,FALSE),0))</f>
        <v>3.343407856743718E-2</v>
      </c>
      <c r="K153" s="306">
        <f>+IF($H153=K$2,VLOOKUP($G153,Depreciation!$A$14:$L$18,9,FALSE)/2,IF($H153&lt;K$2,VLOOKUP($G153,Depreciation!$A$14:$L$18,9,FALSE),0))</f>
        <v>3.343407856743718E-2</v>
      </c>
      <c r="L153" s="306">
        <f>+IF($H153=L$2,VLOOKUP($G153,Depreciation!$A$14:$L$18,10,FALSE)/2,IF($H153&lt;L$2,VLOOKUP($G153,Depreciation!$A$14:$L$18,10,FALSE),0))</f>
        <v>3.343407856743718E-2</v>
      </c>
      <c r="M153" s="306">
        <f>+IF($H153=M$2,VLOOKUP($G153,Depreciation!$A$14:$L$18,11,FALSE)/2,IF($H153&lt;M$2,VLOOKUP($G153,Depreciation!$A$14:$L$18,11,FALSE),0))</f>
        <v>3.343407856743718E-2</v>
      </c>
      <c r="N153" s="306">
        <f>+IF($H153=N$2,VLOOKUP($G153,Depreciation!$A$14:$L$18,12,FALSE)/2,IF($H153&lt;N$2,VLOOKUP($G153,Depreciation!$A$14:$L$18,12,FALSE),0))</f>
        <v>3.343407856743718E-2</v>
      </c>
      <c r="O153" s="307">
        <f t="shared" si="18"/>
        <v>293936.51793458697</v>
      </c>
      <c r="P153" s="732">
        <f>'Func Future Subs 2015'!P153</f>
        <v>0</v>
      </c>
      <c r="Q153" s="732">
        <f>'Func Future Subs 2015'!Q153</f>
        <v>0</v>
      </c>
      <c r="R153" s="732">
        <f>'Func Future Subs 2015'!R153</f>
        <v>1</v>
      </c>
      <c r="S153" s="735">
        <f t="shared" si="19"/>
        <v>0</v>
      </c>
      <c r="T153" s="735">
        <f t="shared" si="20"/>
        <v>0</v>
      </c>
      <c r="U153" s="735">
        <f t="shared" si="21"/>
        <v>293936.51793458697</v>
      </c>
      <c r="V153" s="736">
        <f t="shared" si="22"/>
        <v>0</v>
      </c>
      <c r="W153" s="735">
        <f t="shared" si="23"/>
        <v>0</v>
      </c>
      <c r="X153" s="737">
        <f t="shared" si="24"/>
        <v>293936.51793458697</v>
      </c>
      <c r="Y153" s="738">
        <f t="shared" si="25"/>
        <v>0</v>
      </c>
    </row>
    <row r="154" spans="1:25">
      <c r="A154" s="754" t="str">
        <f>'Func Future Subs 2015'!A154</f>
        <v>Station - Stavely Series Capacitor SC1 266S</v>
      </c>
      <c r="B154" s="754">
        <f>'Func Future Subs 2015'!B154</f>
        <v>882</v>
      </c>
      <c r="C154" s="754">
        <f>'Func Future Subs 2015'!C154</f>
        <v>240</v>
      </c>
      <c r="D154" s="754">
        <f>'Func Future Subs 2015'!D154</f>
        <v>240</v>
      </c>
      <c r="E154" s="754" t="str">
        <f>'Func Future Subs 2015'!E154</f>
        <v>266S</v>
      </c>
      <c r="F154" s="754">
        <f>'Func Future Subs 2015'!F154</f>
        <v>42547759.969354637</v>
      </c>
      <c r="G154" s="754" t="str">
        <f>'Func Future Subs 2015'!G154</f>
        <v>AltaLink</v>
      </c>
      <c r="H154" s="754">
        <f>'Func Future Subs 2015'!H154</f>
        <v>2015</v>
      </c>
      <c r="I154" s="306">
        <f>+IF($H154=I$2,VLOOKUP($G154,Depreciation!$A$14:$L$18,7,FALSE)/2,IF($H154&lt;I$2,VLOOKUP($G154,Depreciation!$A$14:$L$18,7,FALSE),0))</f>
        <v>1.7228380322441735E-2</v>
      </c>
      <c r="J154" s="306">
        <f>+IF($H154=J$2,VLOOKUP($G154,Depreciation!$A$14:$L$18,8,FALSE)/2,IF($H154&lt;J$2,VLOOKUP($G154,Depreciation!$A$14:$L$18,8,FALSE),0))</f>
        <v>3.343407856743718E-2</v>
      </c>
      <c r="K154" s="306">
        <f>+IF($H154=K$2,VLOOKUP($G154,Depreciation!$A$14:$L$18,9,FALSE)/2,IF($H154&lt;K$2,VLOOKUP($G154,Depreciation!$A$14:$L$18,9,FALSE),0))</f>
        <v>3.343407856743718E-2</v>
      </c>
      <c r="L154" s="306">
        <f>+IF($H154=L$2,VLOOKUP($G154,Depreciation!$A$14:$L$18,10,FALSE)/2,IF($H154&lt;L$2,VLOOKUP($G154,Depreciation!$A$14:$L$18,10,FALSE),0))</f>
        <v>3.343407856743718E-2</v>
      </c>
      <c r="M154" s="306">
        <f>+IF($H154=M$2,VLOOKUP($G154,Depreciation!$A$14:$L$18,11,FALSE)/2,IF($H154&lt;M$2,VLOOKUP($G154,Depreciation!$A$14:$L$18,11,FALSE),0))</f>
        <v>3.343407856743718E-2</v>
      </c>
      <c r="N154" s="306">
        <f>+IF($H154=N$2,VLOOKUP($G154,Depreciation!$A$14:$L$18,12,FALSE)/2,IF($H154&lt;N$2,VLOOKUP($G154,Depreciation!$A$14:$L$18,12,FALSE),0))</f>
        <v>3.343407856743718E-2</v>
      </c>
      <c r="O154" s="307">
        <f t="shared" si="18"/>
        <v>40416693.977915369</v>
      </c>
      <c r="P154" s="732">
        <f>'Func Future Subs 2015'!P154</f>
        <v>0</v>
      </c>
      <c r="Q154" s="732">
        <f>'Func Future Subs 2015'!Q154</f>
        <v>0</v>
      </c>
      <c r="R154" s="732">
        <f>'Func Future Subs 2015'!R154</f>
        <v>1</v>
      </c>
      <c r="S154" s="735">
        <f t="shared" si="19"/>
        <v>0</v>
      </c>
      <c r="T154" s="735">
        <f t="shared" si="20"/>
        <v>0</v>
      </c>
      <c r="U154" s="735">
        <f t="shared" si="21"/>
        <v>40416693.977915369</v>
      </c>
      <c r="V154" s="736">
        <f t="shared" si="22"/>
        <v>0</v>
      </c>
      <c r="W154" s="735">
        <f t="shared" si="23"/>
        <v>40416693.977915369</v>
      </c>
      <c r="X154" s="737">
        <f t="shared" si="24"/>
        <v>0</v>
      </c>
      <c r="Y154" s="738">
        <f t="shared" si="25"/>
        <v>0</v>
      </c>
    </row>
    <row r="155" spans="1:25">
      <c r="A155" s="754" t="str">
        <f>'Func Future Subs 2015'!A155</f>
        <v>Windy Flats 138S</v>
      </c>
      <c r="B155" s="754">
        <f>'Func Future Subs 2015'!B155</f>
        <v>882</v>
      </c>
      <c r="C155" s="754">
        <f>'Func Future Subs 2015'!C155</f>
        <v>240</v>
      </c>
      <c r="D155" s="754">
        <f>'Func Future Subs 2015'!D155</f>
        <v>138</v>
      </c>
      <c r="E155" s="754" t="str">
        <f>'Func Future Subs 2015'!E155</f>
        <v>138S</v>
      </c>
      <c r="F155" s="754">
        <f>'Func Future Subs 2015'!F155</f>
        <v>73372187.647627547</v>
      </c>
      <c r="G155" s="754" t="str">
        <f>'Func Future Subs 2015'!G155</f>
        <v>AltaLink</v>
      </c>
      <c r="H155" s="754">
        <f>'Func Future Subs 2015'!H155</f>
        <v>2015</v>
      </c>
      <c r="I155" s="306">
        <f>+IF($H155=I$2,VLOOKUP($G155,Depreciation!$A$14:$L$18,7,FALSE)/2,IF($H155&lt;I$2,VLOOKUP($G155,Depreciation!$A$14:$L$18,7,FALSE),0))</f>
        <v>1.7228380322441735E-2</v>
      </c>
      <c r="J155" s="306">
        <f>+IF($H155=J$2,VLOOKUP($G155,Depreciation!$A$14:$L$18,8,FALSE)/2,IF($H155&lt;J$2,VLOOKUP($G155,Depreciation!$A$14:$L$18,8,FALSE),0))</f>
        <v>3.343407856743718E-2</v>
      </c>
      <c r="K155" s="306">
        <f>+IF($H155=K$2,VLOOKUP($G155,Depreciation!$A$14:$L$18,9,FALSE)/2,IF($H155&lt;K$2,VLOOKUP($G155,Depreciation!$A$14:$L$18,9,FALSE),0))</f>
        <v>3.343407856743718E-2</v>
      </c>
      <c r="L155" s="306">
        <f>+IF($H155=L$2,VLOOKUP($G155,Depreciation!$A$14:$L$18,10,FALSE)/2,IF($H155&lt;L$2,VLOOKUP($G155,Depreciation!$A$14:$L$18,10,FALSE),0))</f>
        <v>3.343407856743718E-2</v>
      </c>
      <c r="M155" s="306">
        <f>+IF($H155=M$2,VLOOKUP($G155,Depreciation!$A$14:$L$18,11,FALSE)/2,IF($H155&lt;M$2,VLOOKUP($G155,Depreciation!$A$14:$L$18,11,FALSE),0))</f>
        <v>3.343407856743718E-2</v>
      </c>
      <c r="N155" s="306">
        <f>+IF($H155=N$2,VLOOKUP($G155,Depreciation!$A$14:$L$18,12,FALSE)/2,IF($H155&lt;N$2,VLOOKUP($G155,Depreciation!$A$14:$L$18,12,FALSE),0))</f>
        <v>3.343407856743718E-2</v>
      </c>
      <c r="O155" s="307">
        <f t="shared" si="18"/>
        <v>69697235.689499095</v>
      </c>
      <c r="P155" s="732">
        <f>'Func Future Subs 2015'!P155</f>
        <v>0</v>
      </c>
      <c r="Q155" s="732">
        <f>'Func Future Subs 2015'!Q155</f>
        <v>0</v>
      </c>
      <c r="R155" s="732">
        <f>'Func Future Subs 2015'!R155</f>
        <v>1</v>
      </c>
      <c r="S155" s="735">
        <f t="shared" si="19"/>
        <v>0</v>
      </c>
      <c r="T155" s="735">
        <f t="shared" si="20"/>
        <v>0</v>
      </c>
      <c r="U155" s="735">
        <f t="shared" si="21"/>
        <v>69697235.689499095</v>
      </c>
      <c r="V155" s="736">
        <f t="shared" si="22"/>
        <v>0</v>
      </c>
      <c r="W155" s="735">
        <f t="shared" si="23"/>
        <v>0</v>
      </c>
      <c r="X155" s="737">
        <f t="shared" si="24"/>
        <v>69697235.689499095</v>
      </c>
      <c r="Y155" s="738">
        <f t="shared" si="25"/>
        <v>0</v>
      </c>
    </row>
    <row r="156" spans="1:25">
      <c r="A156" s="754" t="str">
        <f>'Func Future Subs 2015'!A156</f>
        <v>Bowmanton 244S 138kV</v>
      </c>
      <c r="B156" s="754">
        <f>'Func Future Subs 2015'!B156</f>
        <v>888</v>
      </c>
      <c r="C156" s="754">
        <f>'Func Future Subs 2015'!C156</f>
        <v>240</v>
      </c>
      <c r="D156" s="754">
        <f>'Func Future Subs 2015'!D156</f>
        <v>138</v>
      </c>
      <c r="E156" s="754" t="str">
        <f>'Func Future Subs 2015'!E156</f>
        <v>244S</v>
      </c>
      <c r="F156" s="754">
        <f>'Func Future Subs 2015'!F156</f>
        <v>31598804.467574589</v>
      </c>
      <c r="G156" s="754" t="str">
        <f>'Func Future Subs 2015'!G156</f>
        <v>AltaLink</v>
      </c>
      <c r="H156" s="754">
        <f>'Func Future Subs 2015'!H156</f>
        <v>2016</v>
      </c>
      <c r="I156" s="306">
        <f>+IF($H156=I$2,VLOOKUP($G156,Depreciation!$A$14:$L$18,7,FALSE)/2,IF($H156&lt;I$2,VLOOKUP($G156,Depreciation!$A$14:$L$18,7,FALSE),0))</f>
        <v>0</v>
      </c>
      <c r="J156" s="306">
        <f>+IF($H156=J$2,VLOOKUP($G156,Depreciation!$A$14:$L$18,8,FALSE)/2,IF($H156&lt;J$2,VLOOKUP($G156,Depreciation!$A$14:$L$18,8,FALSE),0))</f>
        <v>1.671703928371859E-2</v>
      </c>
      <c r="K156" s="306">
        <f>+IF($H156=K$2,VLOOKUP($G156,Depreciation!$A$14:$L$18,9,FALSE)/2,IF($H156&lt;K$2,VLOOKUP($G156,Depreciation!$A$14:$L$18,9,FALSE),0))</f>
        <v>3.343407856743718E-2</v>
      </c>
      <c r="L156" s="306">
        <f>+IF($H156=L$2,VLOOKUP($G156,Depreciation!$A$14:$L$18,10,FALSE)/2,IF($H156&lt;L$2,VLOOKUP($G156,Depreciation!$A$14:$L$18,10,FALSE),0))</f>
        <v>3.343407856743718E-2</v>
      </c>
      <c r="M156" s="306">
        <f>+IF($H156=M$2,VLOOKUP($G156,Depreciation!$A$14:$L$18,11,FALSE)/2,IF($H156&lt;M$2,VLOOKUP($G156,Depreciation!$A$14:$L$18,11,FALSE),0))</f>
        <v>3.343407856743718E-2</v>
      </c>
      <c r="N156" s="306">
        <f>+IF($H156=N$2,VLOOKUP($G156,Depreciation!$A$14:$L$18,12,FALSE)/2,IF($H156&lt;N$2,VLOOKUP($G156,Depreciation!$A$14:$L$18,12,FALSE),0))</f>
        <v>3.343407856743718E-2</v>
      </c>
      <c r="O156" s="307">
        <f t="shared" si="18"/>
        <v>31070566.0119716</v>
      </c>
      <c r="P156" s="732">
        <f>'Func Future Subs 2015'!P156</f>
        <v>0</v>
      </c>
      <c r="Q156" s="732">
        <f>'Func Future Subs 2015'!Q156</f>
        <v>0</v>
      </c>
      <c r="R156" s="732">
        <f>'Func Future Subs 2015'!R156</f>
        <v>1</v>
      </c>
      <c r="S156" s="735">
        <f t="shared" si="19"/>
        <v>0</v>
      </c>
      <c r="T156" s="735">
        <f t="shared" si="20"/>
        <v>0</v>
      </c>
      <c r="U156" s="735">
        <f t="shared" si="21"/>
        <v>31070566.0119716</v>
      </c>
      <c r="V156" s="736">
        <f t="shared" si="22"/>
        <v>0</v>
      </c>
      <c r="W156" s="735">
        <f t="shared" si="23"/>
        <v>0</v>
      </c>
      <c r="X156" s="737">
        <f t="shared" si="24"/>
        <v>31070566.0119716</v>
      </c>
      <c r="Y156" s="738">
        <f t="shared" si="25"/>
        <v>0</v>
      </c>
    </row>
    <row r="157" spans="1:25">
      <c r="A157" s="754" t="str">
        <f>'Func Future Subs 2015'!A157</f>
        <v>Bullshead 523S</v>
      </c>
      <c r="B157" s="754">
        <f>'Func Future Subs 2015'!B157</f>
        <v>888</v>
      </c>
      <c r="C157" s="754">
        <f>'Func Future Subs 2015'!C157</f>
        <v>240</v>
      </c>
      <c r="D157" s="754">
        <f>'Func Future Subs 2015'!D157</f>
        <v>25</v>
      </c>
      <c r="E157" s="754" t="str">
        <f>'Func Future Subs 2015'!E157</f>
        <v>523S</v>
      </c>
      <c r="F157" s="754">
        <f>'Func Future Subs 2015'!F157</f>
        <v>1075414.0279138924</v>
      </c>
      <c r="G157" s="754" t="str">
        <f>'Func Future Subs 2015'!G157</f>
        <v>AltaLink</v>
      </c>
      <c r="H157" s="754">
        <f>'Func Future Subs 2015'!H157</f>
        <v>2016</v>
      </c>
      <c r="I157" s="306">
        <f>+IF($H157=I$2,VLOOKUP($G157,Depreciation!$A$14:$L$18,7,FALSE)/2,IF($H157&lt;I$2,VLOOKUP($G157,Depreciation!$A$14:$L$18,7,FALSE),0))</f>
        <v>0</v>
      </c>
      <c r="J157" s="306">
        <f>+IF($H157=J$2,VLOOKUP($G157,Depreciation!$A$14:$L$18,8,FALSE)/2,IF($H157&lt;J$2,VLOOKUP($G157,Depreciation!$A$14:$L$18,8,FALSE),0))</f>
        <v>1.671703928371859E-2</v>
      </c>
      <c r="K157" s="306">
        <f>+IF($H157=K$2,VLOOKUP($G157,Depreciation!$A$14:$L$18,9,FALSE)/2,IF($H157&lt;K$2,VLOOKUP($G157,Depreciation!$A$14:$L$18,9,FALSE),0))</f>
        <v>3.343407856743718E-2</v>
      </c>
      <c r="L157" s="306">
        <f>+IF($H157=L$2,VLOOKUP($G157,Depreciation!$A$14:$L$18,10,FALSE)/2,IF($H157&lt;L$2,VLOOKUP($G157,Depreciation!$A$14:$L$18,10,FALSE),0))</f>
        <v>3.343407856743718E-2</v>
      </c>
      <c r="M157" s="306">
        <f>+IF($H157=M$2,VLOOKUP($G157,Depreciation!$A$14:$L$18,11,FALSE)/2,IF($H157&lt;M$2,VLOOKUP($G157,Depreciation!$A$14:$L$18,11,FALSE),0))</f>
        <v>3.343407856743718E-2</v>
      </c>
      <c r="N157" s="306">
        <f>+IF($H157=N$2,VLOOKUP($G157,Depreciation!$A$14:$L$18,12,FALSE)/2,IF($H157&lt;N$2,VLOOKUP($G157,Depreciation!$A$14:$L$18,12,FALSE),0))</f>
        <v>3.343407856743718E-2</v>
      </c>
      <c r="O157" s="307">
        <f t="shared" si="18"/>
        <v>1057436.2893629938</v>
      </c>
      <c r="P157" s="732">
        <f>'Func Future Subs 2015'!P157</f>
        <v>0</v>
      </c>
      <c r="Q157" s="732">
        <f>'Func Future Subs 2015'!Q157</f>
        <v>1</v>
      </c>
      <c r="R157" s="732">
        <f>'Func Future Subs 2015'!R157</f>
        <v>0</v>
      </c>
      <c r="S157" s="735">
        <f t="shared" si="19"/>
        <v>0</v>
      </c>
      <c r="T157" s="735">
        <f t="shared" si="20"/>
        <v>1057436.2893629938</v>
      </c>
      <c r="U157" s="735">
        <f t="shared" si="21"/>
        <v>0</v>
      </c>
      <c r="V157" s="736">
        <f t="shared" si="22"/>
        <v>0</v>
      </c>
      <c r="W157" s="735">
        <f t="shared" si="23"/>
        <v>0</v>
      </c>
      <c r="X157" s="737">
        <f t="shared" si="24"/>
        <v>0</v>
      </c>
      <c r="Y157" s="738">
        <f t="shared" si="25"/>
        <v>1057436.2893629938</v>
      </c>
    </row>
    <row r="158" spans="1:25">
      <c r="A158" s="754" t="str">
        <f>'Func Future Subs 2015'!A158</f>
        <v>Burdett 368S line protection</v>
      </c>
      <c r="B158" s="754">
        <f>'Func Future Subs 2015'!B158</f>
        <v>888</v>
      </c>
      <c r="C158" s="754">
        <f>'Func Future Subs 2015'!C158</f>
        <v>138</v>
      </c>
      <c r="D158" s="754">
        <f>'Func Future Subs 2015'!D158</f>
        <v>25</v>
      </c>
      <c r="E158" s="754" t="str">
        <f>'Func Future Subs 2015'!E158</f>
        <v>368S</v>
      </c>
      <c r="F158" s="754">
        <f>'Func Future Subs 2015'!F158</f>
        <v>300701.16758473852</v>
      </c>
      <c r="G158" s="754" t="str">
        <f>'Func Future Subs 2015'!G158</f>
        <v>AltaLink</v>
      </c>
      <c r="H158" s="754">
        <f>'Func Future Subs 2015'!H158</f>
        <v>2016</v>
      </c>
      <c r="I158" s="306">
        <f>+IF($H158=I$2,VLOOKUP($G158,Depreciation!$A$14:$L$18,7,FALSE)/2,IF($H158&lt;I$2,VLOOKUP($G158,Depreciation!$A$14:$L$18,7,FALSE),0))</f>
        <v>0</v>
      </c>
      <c r="J158" s="306">
        <f>+IF($H158=J$2,VLOOKUP($G158,Depreciation!$A$14:$L$18,8,FALSE)/2,IF($H158&lt;J$2,VLOOKUP($G158,Depreciation!$A$14:$L$18,8,FALSE),0))</f>
        <v>1.671703928371859E-2</v>
      </c>
      <c r="K158" s="306">
        <f>+IF($H158=K$2,VLOOKUP($G158,Depreciation!$A$14:$L$18,9,FALSE)/2,IF($H158&lt;K$2,VLOOKUP($G158,Depreciation!$A$14:$L$18,9,FALSE),0))</f>
        <v>3.343407856743718E-2</v>
      </c>
      <c r="L158" s="306">
        <f>+IF($H158=L$2,VLOOKUP($G158,Depreciation!$A$14:$L$18,10,FALSE)/2,IF($H158&lt;L$2,VLOOKUP($G158,Depreciation!$A$14:$L$18,10,FALSE),0))</f>
        <v>3.343407856743718E-2</v>
      </c>
      <c r="M158" s="306">
        <f>+IF($H158=M$2,VLOOKUP($G158,Depreciation!$A$14:$L$18,11,FALSE)/2,IF($H158&lt;M$2,VLOOKUP($G158,Depreciation!$A$14:$L$18,11,FALSE),0))</f>
        <v>3.343407856743718E-2</v>
      </c>
      <c r="N158" s="306">
        <f>+IF($H158=N$2,VLOOKUP($G158,Depreciation!$A$14:$L$18,12,FALSE)/2,IF($H158&lt;N$2,VLOOKUP($G158,Depreciation!$A$14:$L$18,12,FALSE),0))</f>
        <v>3.343407856743718E-2</v>
      </c>
      <c r="O158" s="307">
        <f t="shared" si="18"/>
        <v>295674.33435356442</v>
      </c>
      <c r="P158" s="732">
        <f>'Func Future Subs 2015'!P158</f>
        <v>0</v>
      </c>
      <c r="Q158" s="732">
        <f>'Func Future Subs 2015'!Q158</f>
        <v>1</v>
      </c>
      <c r="R158" s="732">
        <f>'Func Future Subs 2015'!R158</f>
        <v>0</v>
      </c>
      <c r="S158" s="735">
        <f t="shared" si="19"/>
        <v>0</v>
      </c>
      <c r="T158" s="735">
        <f t="shared" si="20"/>
        <v>295674.33435356442</v>
      </c>
      <c r="U158" s="735">
        <f t="shared" si="21"/>
        <v>0</v>
      </c>
      <c r="V158" s="736">
        <f t="shared" si="22"/>
        <v>0</v>
      </c>
      <c r="W158" s="735">
        <f t="shared" si="23"/>
        <v>0</v>
      </c>
      <c r="X158" s="737">
        <f t="shared" si="24"/>
        <v>0</v>
      </c>
      <c r="Y158" s="738">
        <f t="shared" si="25"/>
        <v>295674.33435356442</v>
      </c>
    </row>
    <row r="159" spans="1:25">
      <c r="A159" s="754" t="str">
        <f>'Func Future Subs 2015'!A159</f>
        <v>Chappice Lake 649S</v>
      </c>
      <c r="B159" s="754">
        <f>'Func Future Subs 2015'!B159</f>
        <v>888</v>
      </c>
      <c r="C159" s="754">
        <f>'Func Future Subs 2015'!C159</f>
        <v>138</v>
      </c>
      <c r="D159" s="754">
        <f>'Func Future Subs 2015'!D159</f>
        <v>25</v>
      </c>
      <c r="E159" s="754" t="str">
        <f>'Func Future Subs 2015'!E159</f>
        <v>649S</v>
      </c>
      <c r="F159" s="754">
        <f>'Func Future Subs 2015'!F159</f>
        <v>51845.028893920433</v>
      </c>
      <c r="G159" s="754" t="str">
        <f>'Func Future Subs 2015'!G159</f>
        <v>AltaLink</v>
      </c>
      <c r="H159" s="754">
        <f>'Func Future Subs 2015'!H159</f>
        <v>2016</v>
      </c>
      <c r="I159" s="306">
        <f>+IF($H159=I$2,VLOOKUP($G159,Depreciation!$A$14:$L$18,7,FALSE)/2,IF($H159&lt;I$2,VLOOKUP($G159,Depreciation!$A$14:$L$18,7,FALSE),0))</f>
        <v>0</v>
      </c>
      <c r="J159" s="306">
        <f>+IF($H159=J$2,VLOOKUP($G159,Depreciation!$A$14:$L$18,8,FALSE)/2,IF($H159&lt;J$2,VLOOKUP($G159,Depreciation!$A$14:$L$18,8,FALSE),0))</f>
        <v>1.671703928371859E-2</v>
      </c>
      <c r="K159" s="306">
        <f>+IF($H159=K$2,VLOOKUP($G159,Depreciation!$A$14:$L$18,9,FALSE)/2,IF($H159&lt;K$2,VLOOKUP($G159,Depreciation!$A$14:$L$18,9,FALSE),0))</f>
        <v>3.343407856743718E-2</v>
      </c>
      <c r="L159" s="306">
        <f>+IF($H159=L$2,VLOOKUP($G159,Depreciation!$A$14:$L$18,10,FALSE)/2,IF($H159&lt;L$2,VLOOKUP($G159,Depreciation!$A$14:$L$18,10,FALSE),0))</f>
        <v>3.343407856743718E-2</v>
      </c>
      <c r="M159" s="306">
        <f>+IF($H159=M$2,VLOOKUP($G159,Depreciation!$A$14:$L$18,11,FALSE)/2,IF($H159&lt;M$2,VLOOKUP($G159,Depreciation!$A$14:$L$18,11,FALSE),0))</f>
        <v>3.343407856743718E-2</v>
      </c>
      <c r="N159" s="306">
        <f>+IF($H159=N$2,VLOOKUP($G159,Depreciation!$A$14:$L$18,12,FALSE)/2,IF($H159&lt;N$2,VLOOKUP($G159,Depreciation!$A$14:$L$18,12,FALSE),0))</f>
        <v>3.343407856743718E-2</v>
      </c>
      <c r="O159" s="307">
        <f t="shared" si="18"/>
        <v>50978.333509235243</v>
      </c>
      <c r="P159" s="732">
        <f>'Func Future Subs 2015'!P159</f>
        <v>0</v>
      </c>
      <c r="Q159" s="732">
        <f>'Func Future Subs 2015'!Q159</f>
        <v>1</v>
      </c>
      <c r="R159" s="732">
        <f>'Func Future Subs 2015'!R159</f>
        <v>0</v>
      </c>
      <c r="S159" s="735">
        <f t="shared" si="19"/>
        <v>0</v>
      </c>
      <c r="T159" s="735">
        <f t="shared" si="20"/>
        <v>50978.333509235243</v>
      </c>
      <c r="U159" s="735">
        <f t="shared" si="21"/>
        <v>0</v>
      </c>
      <c r="V159" s="736">
        <f t="shared" si="22"/>
        <v>0</v>
      </c>
      <c r="W159" s="735">
        <f t="shared" si="23"/>
        <v>0</v>
      </c>
      <c r="X159" s="737">
        <f t="shared" si="24"/>
        <v>0</v>
      </c>
      <c r="Y159" s="738">
        <f t="shared" si="25"/>
        <v>50978.333509235243</v>
      </c>
    </row>
    <row r="160" spans="1:25">
      <c r="A160" s="754" t="str">
        <f>'Func Future Subs 2015'!A160</f>
        <v>Cypress 562S line protection</v>
      </c>
      <c r="B160" s="754">
        <f>'Func Future Subs 2015'!B160</f>
        <v>888</v>
      </c>
      <c r="C160" s="754">
        <f>'Func Future Subs 2015'!C160</f>
        <v>240</v>
      </c>
      <c r="D160" s="754">
        <f>'Func Future Subs 2015'!D160</f>
        <v>138</v>
      </c>
      <c r="E160" s="754" t="str">
        <f>'Func Future Subs 2015'!E160</f>
        <v>562S</v>
      </c>
      <c r="F160" s="754">
        <f>'Func Future Subs 2015'!F160</f>
        <v>142203.50782332462</v>
      </c>
      <c r="G160" s="754" t="str">
        <f>'Func Future Subs 2015'!G160</f>
        <v>AltaLink</v>
      </c>
      <c r="H160" s="754">
        <f>'Func Future Subs 2015'!H160</f>
        <v>2016</v>
      </c>
      <c r="I160" s="306">
        <f>+IF($H160=I$2,VLOOKUP($G160,Depreciation!$A$14:$L$18,7,FALSE)/2,IF($H160&lt;I$2,VLOOKUP($G160,Depreciation!$A$14:$L$18,7,FALSE),0))</f>
        <v>0</v>
      </c>
      <c r="J160" s="306">
        <f>+IF($H160=J$2,VLOOKUP($G160,Depreciation!$A$14:$L$18,8,FALSE)/2,IF($H160&lt;J$2,VLOOKUP($G160,Depreciation!$A$14:$L$18,8,FALSE),0))</f>
        <v>1.671703928371859E-2</v>
      </c>
      <c r="K160" s="306">
        <f>+IF($H160=K$2,VLOOKUP($G160,Depreciation!$A$14:$L$18,9,FALSE)/2,IF($H160&lt;K$2,VLOOKUP($G160,Depreciation!$A$14:$L$18,9,FALSE),0))</f>
        <v>3.343407856743718E-2</v>
      </c>
      <c r="L160" s="306">
        <f>+IF($H160=L$2,VLOOKUP($G160,Depreciation!$A$14:$L$18,10,FALSE)/2,IF($H160&lt;L$2,VLOOKUP($G160,Depreciation!$A$14:$L$18,10,FALSE),0))</f>
        <v>3.343407856743718E-2</v>
      </c>
      <c r="M160" s="306">
        <f>+IF($H160=M$2,VLOOKUP($G160,Depreciation!$A$14:$L$18,11,FALSE)/2,IF($H160&lt;M$2,VLOOKUP($G160,Depreciation!$A$14:$L$18,11,FALSE),0))</f>
        <v>3.343407856743718E-2</v>
      </c>
      <c r="N160" s="306">
        <f>+IF($H160=N$2,VLOOKUP($G160,Depreciation!$A$14:$L$18,12,FALSE)/2,IF($H160&lt;N$2,VLOOKUP($G160,Depreciation!$A$14:$L$18,12,FALSE),0))</f>
        <v>3.343407856743718E-2</v>
      </c>
      <c r="O160" s="307">
        <f t="shared" si="18"/>
        <v>139826.28619675952</v>
      </c>
      <c r="P160" s="732">
        <f>'Func Future Subs 2015'!P160</f>
        <v>0</v>
      </c>
      <c r="Q160" s="732">
        <f>'Func Future Subs 2015'!Q160</f>
        <v>0</v>
      </c>
      <c r="R160" s="732">
        <f>'Func Future Subs 2015'!R160</f>
        <v>1</v>
      </c>
      <c r="S160" s="735">
        <f t="shared" si="19"/>
        <v>0</v>
      </c>
      <c r="T160" s="735">
        <f t="shared" si="20"/>
        <v>0</v>
      </c>
      <c r="U160" s="735">
        <f t="shared" si="21"/>
        <v>139826.28619675952</v>
      </c>
      <c r="V160" s="736">
        <f t="shared" si="22"/>
        <v>0</v>
      </c>
      <c r="W160" s="735">
        <f t="shared" si="23"/>
        <v>0</v>
      </c>
      <c r="X160" s="737">
        <f t="shared" si="24"/>
        <v>139826.28619675952</v>
      </c>
      <c r="Y160" s="738">
        <f t="shared" si="25"/>
        <v>0</v>
      </c>
    </row>
    <row r="161" spans="1:25">
      <c r="A161" s="754" t="str">
        <f>'Func Future Subs 2015'!A161</f>
        <v>Medicine Hat 41S</v>
      </c>
      <c r="B161" s="754">
        <f>'Func Future Subs 2015'!B161</f>
        <v>888</v>
      </c>
      <c r="C161" s="754">
        <f>'Func Future Subs 2015'!C161</f>
        <v>138</v>
      </c>
      <c r="D161" s="754">
        <f>'Func Future Subs 2015'!D161</f>
        <v>69</v>
      </c>
      <c r="E161" s="754" t="str">
        <f>'Func Future Subs 2015'!E161</f>
        <v>41S</v>
      </c>
      <c r="F161" s="754">
        <f>'Func Future Subs 2015'!F161</f>
        <v>1193916.9510999962</v>
      </c>
      <c r="G161" s="754" t="str">
        <f>'Func Future Subs 2015'!G161</f>
        <v>AltaLink</v>
      </c>
      <c r="H161" s="754">
        <f>'Func Future Subs 2015'!H161</f>
        <v>2016</v>
      </c>
      <c r="I161" s="306">
        <f>+IF($H161=I$2,VLOOKUP($G161,Depreciation!$A$14:$L$18,7,FALSE)/2,IF($H161&lt;I$2,VLOOKUP($G161,Depreciation!$A$14:$L$18,7,FALSE),0))</f>
        <v>0</v>
      </c>
      <c r="J161" s="306">
        <f>+IF($H161=J$2,VLOOKUP($G161,Depreciation!$A$14:$L$18,8,FALSE)/2,IF($H161&lt;J$2,VLOOKUP($G161,Depreciation!$A$14:$L$18,8,FALSE),0))</f>
        <v>1.671703928371859E-2</v>
      </c>
      <c r="K161" s="306">
        <f>+IF($H161=K$2,VLOOKUP($G161,Depreciation!$A$14:$L$18,9,FALSE)/2,IF($H161&lt;K$2,VLOOKUP($G161,Depreciation!$A$14:$L$18,9,FALSE),0))</f>
        <v>3.343407856743718E-2</v>
      </c>
      <c r="L161" s="306">
        <f>+IF($H161=L$2,VLOOKUP($G161,Depreciation!$A$14:$L$18,10,FALSE)/2,IF($H161&lt;L$2,VLOOKUP($G161,Depreciation!$A$14:$L$18,10,FALSE),0))</f>
        <v>3.343407856743718E-2</v>
      </c>
      <c r="M161" s="306">
        <f>+IF($H161=M$2,VLOOKUP($G161,Depreciation!$A$14:$L$18,11,FALSE)/2,IF($H161&lt;M$2,VLOOKUP($G161,Depreciation!$A$14:$L$18,11,FALSE),0))</f>
        <v>3.343407856743718E-2</v>
      </c>
      <c r="N161" s="306">
        <f>+IF($H161=N$2,VLOOKUP($G161,Depreciation!$A$14:$L$18,12,FALSE)/2,IF($H161&lt;N$2,VLOOKUP($G161,Depreciation!$A$14:$L$18,12,FALSE),0))</f>
        <v>3.343407856743718E-2</v>
      </c>
      <c r="O161" s="307">
        <f t="shared" si="18"/>
        <v>1173958.1945269601</v>
      </c>
      <c r="P161" s="732">
        <f>'Func Future Subs 2015'!P161</f>
        <v>0.796875</v>
      </c>
      <c r="Q161" s="732">
        <f>'Func Future Subs 2015'!Q161</f>
        <v>0.203125</v>
      </c>
      <c r="R161" s="732">
        <f>'Func Future Subs 2015'!R161</f>
        <v>0</v>
      </c>
      <c r="S161" s="735">
        <f t="shared" si="19"/>
        <v>935497.93626367138</v>
      </c>
      <c r="T161" s="735">
        <f t="shared" si="20"/>
        <v>238460.25826328876</v>
      </c>
      <c r="U161" s="735">
        <f t="shared" si="21"/>
        <v>0</v>
      </c>
      <c r="V161" s="736">
        <f t="shared" si="22"/>
        <v>0</v>
      </c>
      <c r="W161" s="735">
        <f t="shared" si="23"/>
        <v>935497.93626367138</v>
      </c>
      <c r="X161" s="737">
        <f t="shared" si="24"/>
        <v>0</v>
      </c>
      <c r="Y161" s="738">
        <f t="shared" si="25"/>
        <v>238460.25826328876</v>
      </c>
    </row>
    <row r="162" spans="1:25">
      <c r="A162" s="754" t="str">
        <f>'Func Future Subs 2015'!A162</f>
        <v>Suffield 895S line protection</v>
      </c>
      <c r="B162" s="754">
        <f>'Func Future Subs 2015'!B162</f>
        <v>888</v>
      </c>
      <c r="C162" s="754">
        <f>'Func Future Subs 2015'!C162</f>
        <v>138</v>
      </c>
      <c r="D162" s="754">
        <f>'Func Future Subs 2015'!D162</f>
        <v>25</v>
      </c>
      <c r="E162" s="754" t="str">
        <f>'Func Future Subs 2015'!E162</f>
        <v>895S</v>
      </c>
      <c r="F162" s="754">
        <f>'Func Future Subs 2015'!F162</f>
        <v>103690.05778784087</v>
      </c>
      <c r="G162" s="754" t="str">
        <f>'Func Future Subs 2015'!G162</f>
        <v>AltaLink</v>
      </c>
      <c r="H162" s="754">
        <f>'Func Future Subs 2015'!H162</f>
        <v>2016</v>
      </c>
      <c r="I162" s="306">
        <f>+IF($H162=I$2,VLOOKUP($G162,Depreciation!$A$14:$L$18,7,FALSE)/2,IF($H162&lt;I$2,VLOOKUP($G162,Depreciation!$A$14:$L$18,7,FALSE),0))</f>
        <v>0</v>
      </c>
      <c r="J162" s="306">
        <f>+IF($H162=J$2,VLOOKUP($G162,Depreciation!$A$14:$L$18,8,FALSE)/2,IF($H162&lt;J$2,VLOOKUP($G162,Depreciation!$A$14:$L$18,8,FALSE),0))</f>
        <v>1.671703928371859E-2</v>
      </c>
      <c r="K162" s="306">
        <f>+IF($H162=K$2,VLOOKUP($G162,Depreciation!$A$14:$L$18,9,FALSE)/2,IF($H162&lt;K$2,VLOOKUP($G162,Depreciation!$A$14:$L$18,9,FALSE),0))</f>
        <v>3.343407856743718E-2</v>
      </c>
      <c r="L162" s="306">
        <f>+IF($H162=L$2,VLOOKUP($G162,Depreciation!$A$14:$L$18,10,FALSE)/2,IF($H162&lt;L$2,VLOOKUP($G162,Depreciation!$A$14:$L$18,10,FALSE),0))</f>
        <v>3.343407856743718E-2</v>
      </c>
      <c r="M162" s="306">
        <f>+IF($H162=M$2,VLOOKUP($G162,Depreciation!$A$14:$L$18,11,FALSE)/2,IF($H162&lt;M$2,VLOOKUP($G162,Depreciation!$A$14:$L$18,11,FALSE),0))</f>
        <v>3.343407856743718E-2</v>
      </c>
      <c r="N162" s="306">
        <f>+IF($H162=N$2,VLOOKUP($G162,Depreciation!$A$14:$L$18,12,FALSE)/2,IF($H162&lt;N$2,VLOOKUP($G162,Depreciation!$A$14:$L$18,12,FALSE),0))</f>
        <v>3.343407856743718E-2</v>
      </c>
      <c r="O162" s="307">
        <f t="shared" si="18"/>
        <v>101956.66701847049</v>
      </c>
      <c r="P162" s="732">
        <f>'Func Future Subs 2015'!P162</f>
        <v>0.23378141437755698</v>
      </c>
      <c r="Q162" s="732">
        <f>'Func Future Subs 2015'!Q162</f>
        <v>0.76621858562244305</v>
      </c>
      <c r="R162" s="732">
        <f>'Func Future Subs 2015'!R162</f>
        <v>0</v>
      </c>
      <c r="S162" s="735">
        <f t="shared" si="19"/>
        <v>23835.573820799644</v>
      </c>
      <c r="T162" s="735">
        <f t="shared" si="20"/>
        <v>78121.093197670838</v>
      </c>
      <c r="U162" s="735">
        <f t="shared" si="21"/>
        <v>0</v>
      </c>
      <c r="V162" s="736">
        <f t="shared" si="22"/>
        <v>0</v>
      </c>
      <c r="W162" s="735">
        <f t="shared" si="23"/>
        <v>23835.573820799644</v>
      </c>
      <c r="X162" s="737">
        <f t="shared" si="24"/>
        <v>0</v>
      </c>
      <c r="Y162" s="738">
        <f t="shared" si="25"/>
        <v>78121.093197670838</v>
      </c>
    </row>
    <row r="163" spans="1:25">
      <c r="A163" s="754" t="str">
        <f>'Func Future Subs 2015'!A163</f>
        <v>Birchwood Creek 960S</v>
      </c>
      <c r="B163" s="754">
        <f>'Func Future Subs 2015'!B163</f>
        <v>948</v>
      </c>
      <c r="C163" s="754">
        <f>'Func Future Subs 2015'!C163</f>
        <v>240</v>
      </c>
      <c r="D163" s="754">
        <f>'Func Future Subs 2015'!D163</f>
        <v>240</v>
      </c>
      <c r="E163" s="754" t="str">
        <f>'Func Future Subs 2015'!E163</f>
        <v>960S</v>
      </c>
      <c r="F163" s="754">
        <f>'Func Future Subs 2015'!F163</f>
        <v>13129855.568043312</v>
      </c>
      <c r="G163" s="754" t="str">
        <f>'Func Future Subs 2015'!G163</f>
        <v>ATCO</v>
      </c>
      <c r="H163" s="754">
        <f>'Func Future Subs 2015'!H163</f>
        <v>2015</v>
      </c>
      <c r="I163" s="306">
        <f>+IF($H163=I$2,VLOOKUP($G163,Depreciation!$A$14:$L$18,7,FALSE)/2,IF($H163&lt;I$2,VLOOKUP($G163,Depreciation!$A$14:$L$18,7,FALSE),0))</f>
        <v>1.221703683566912E-2</v>
      </c>
      <c r="J163" s="306">
        <f>+IF($H163=J$2,VLOOKUP($G163,Depreciation!$A$14:$L$18,8,FALSE)/2,IF($H163&lt;J$2,VLOOKUP($G163,Depreciation!$A$14:$L$18,8,FALSE),0))</f>
        <v>2.4632450501084719E-2</v>
      </c>
      <c r="K163" s="306">
        <f>+IF($H163=K$2,VLOOKUP($G163,Depreciation!$A$14:$L$18,9,FALSE)/2,IF($H163&lt;K$2,VLOOKUP($G163,Depreciation!$A$14:$L$18,9,FALSE),0))</f>
        <v>2.4351536427798831E-2</v>
      </c>
      <c r="L163" s="306">
        <f>+IF($H163=L$2,VLOOKUP($G163,Depreciation!$A$14:$L$18,10,FALSE)/2,IF($H163&lt;L$2,VLOOKUP($G163,Depreciation!$A$14:$L$18,10,FALSE),0))</f>
        <v>2.4351536427798831E-2</v>
      </c>
      <c r="M163" s="306">
        <f>+IF($H163=M$2,VLOOKUP($G163,Depreciation!$A$14:$L$18,11,FALSE)/2,IF($H163&lt;M$2,VLOOKUP($G163,Depreciation!$A$14:$L$18,11,FALSE),0))</f>
        <v>2.4351536427798831E-2</v>
      </c>
      <c r="N163" s="306">
        <f>+IF($H163=N$2,VLOOKUP($G163,Depreciation!$A$14:$L$18,12,FALSE)/2,IF($H163&lt;N$2,VLOOKUP($G163,Depreciation!$A$14:$L$18,12,FALSE),0))</f>
        <v>2.4351536427798831E-2</v>
      </c>
      <c r="O163" s="307">
        <f t="shared" si="18"/>
        <v>12649978.361929368</v>
      </c>
      <c r="P163" s="732">
        <f>'Func Future Subs 2015'!P163</f>
        <v>0</v>
      </c>
      <c r="Q163" s="732">
        <f>'Func Future Subs 2015'!Q163</f>
        <v>0</v>
      </c>
      <c r="R163" s="732">
        <f>'Func Future Subs 2015'!R163</f>
        <v>1</v>
      </c>
      <c r="S163" s="735">
        <f t="shared" si="19"/>
        <v>0</v>
      </c>
      <c r="T163" s="735">
        <f t="shared" si="20"/>
        <v>0</v>
      </c>
      <c r="U163" s="735">
        <f t="shared" si="21"/>
        <v>12649978.361929368</v>
      </c>
      <c r="V163" s="736">
        <f t="shared" si="22"/>
        <v>0</v>
      </c>
      <c r="W163" s="735">
        <f t="shared" si="23"/>
        <v>12649978.361929368</v>
      </c>
      <c r="X163" s="737">
        <f t="shared" si="24"/>
        <v>0</v>
      </c>
      <c r="Y163" s="738">
        <f t="shared" si="25"/>
        <v>0</v>
      </c>
    </row>
    <row r="164" spans="1:25">
      <c r="A164" s="754" t="str">
        <f>'Func Future Subs 2015'!A164</f>
        <v>0244S Bowmanton180</v>
      </c>
      <c r="B164" s="754">
        <f>'Func Future Subs 2015'!B164</f>
        <v>737</v>
      </c>
      <c r="C164" s="754">
        <f>'Func Future Subs 2015'!C164</f>
        <v>240</v>
      </c>
      <c r="D164" s="754">
        <f>'Func Future Subs 2015'!D164</f>
        <v>138</v>
      </c>
      <c r="E164" s="754" t="str">
        <f>'Func Future Subs 2015'!E164</f>
        <v>244S</v>
      </c>
      <c r="F164" s="754">
        <f>'Func Future Subs 2015'!F164</f>
        <v>598925.20531495858</v>
      </c>
      <c r="G164" s="754" t="str">
        <f>'Func Future Subs 2015'!G164</f>
        <v>AltaLink</v>
      </c>
      <c r="H164" s="754">
        <f>'Func Future Subs 2015'!H164</f>
        <v>2015</v>
      </c>
      <c r="I164" s="306">
        <f>+IF($H164=I$2,VLOOKUP($G164,Depreciation!$A$14:$L$18,7,FALSE)/2,IF($H164&lt;I$2,VLOOKUP($G164,Depreciation!$A$14:$L$18,7,FALSE),0))</f>
        <v>1.7228380322441735E-2</v>
      </c>
      <c r="J164" s="306">
        <f>+IF($H164=J$2,VLOOKUP($G164,Depreciation!$A$14:$L$18,8,FALSE)/2,IF($H164&lt;J$2,VLOOKUP($G164,Depreciation!$A$14:$L$18,8,FALSE),0))</f>
        <v>3.343407856743718E-2</v>
      </c>
      <c r="K164" s="306">
        <f>+IF($H164=K$2,VLOOKUP($G164,Depreciation!$A$14:$L$18,9,FALSE)/2,IF($H164&lt;K$2,VLOOKUP($G164,Depreciation!$A$14:$L$18,9,FALSE),0))</f>
        <v>3.343407856743718E-2</v>
      </c>
      <c r="L164" s="306">
        <f>+IF($H164=L$2,VLOOKUP($G164,Depreciation!$A$14:$L$18,10,FALSE)/2,IF($H164&lt;L$2,VLOOKUP($G164,Depreciation!$A$14:$L$18,10,FALSE),0))</f>
        <v>3.343407856743718E-2</v>
      </c>
      <c r="M164" s="306">
        <f>+IF($H164=M$2,VLOOKUP($G164,Depreciation!$A$14:$L$18,11,FALSE)/2,IF($H164&lt;M$2,VLOOKUP($G164,Depreciation!$A$14:$L$18,11,FALSE),0))</f>
        <v>3.343407856743718E-2</v>
      </c>
      <c r="N164" s="306">
        <f>+IF($H164=N$2,VLOOKUP($G164,Depreciation!$A$14:$L$18,12,FALSE)/2,IF($H164&lt;N$2,VLOOKUP($G164,Depreciation!$A$14:$L$18,12,FALSE),0))</f>
        <v>3.343407856743718E-2</v>
      </c>
      <c r="O164" s="307">
        <f t="shared" si="18"/>
        <v>568927.17163746792</v>
      </c>
      <c r="P164" s="732">
        <f>'Func Future Subs 2015'!P164</f>
        <v>0</v>
      </c>
      <c r="Q164" s="732">
        <f>'Func Future Subs 2015'!Q164</f>
        <v>0</v>
      </c>
      <c r="R164" s="732">
        <f>'Func Future Subs 2015'!R164</f>
        <v>1</v>
      </c>
      <c r="S164" s="735">
        <f t="shared" si="19"/>
        <v>0</v>
      </c>
      <c r="T164" s="735">
        <f t="shared" si="20"/>
        <v>0</v>
      </c>
      <c r="U164" s="735">
        <f t="shared" si="21"/>
        <v>568927.17163746792</v>
      </c>
      <c r="V164" s="736">
        <f t="shared" si="22"/>
        <v>0</v>
      </c>
      <c r="W164" s="735">
        <f t="shared" si="23"/>
        <v>0</v>
      </c>
      <c r="X164" s="737">
        <f t="shared" si="24"/>
        <v>568927.17163746792</v>
      </c>
      <c r="Y164" s="738">
        <f t="shared" si="25"/>
        <v>0</v>
      </c>
    </row>
    <row r="165" spans="1:25">
      <c r="A165" s="754" t="str">
        <f>'Func Future Subs 2015'!A165</f>
        <v>089S Ellerslie180</v>
      </c>
      <c r="B165" s="754">
        <f>'Func Future Subs 2015'!B165</f>
        <v>737</v>
      </c>
      <c r="C165" s="754">
        <f>'Func Future Subs 2015'!C165</f>
        <v>240</v>
      </c>
      <c r="D165" s="754">
        <f>'Func Future Subs 2015'!D165</f>
        <v>240</v>
      </c>
      <c r="E165" s="754" t="str">
        <f>'Func Future Subs 2015'!E165</f>
        <v>89S</v>
      </c>
      <c r="F165" s="754">
        <f>'Func Future Subs 2015'!F165</f>
        <v>701881.13162263809</v>
      </c>
      <c r="G165" s="754" t="str">
        <f>'Func Future Subs 2015'!G165</f>
        <v>AltaLink</v>
      </c>
      <c r="H165" s="754">
        <f>'Func Future Subs 2015'!H165</f>
        <v>2015</v>
      </c>
      <c r="I165" s="306">
        <f>+IF($H165=I$2,VLOOKUP($G165,Depreciation!$A$14:$L$18,7,FALSE)/2,IF($H165&lt;I$2,VLOOKUP($G165,Depreciation!$A$14:$L$18,7,FALSE),0))</f>
        <v>1.7228380322441735E-2</v>
      </c>
      <c r="J165" s="306">
        <f>+IF($H165=J$2,VLOOKUP($G165,Depreciation!$A$14:$L$18,8,FALSE)/2,IF($H165&lt;J$2,VLOOKUP($G165,Depreciation!$A$14:$L$18,8,FALSE),0))</f>
        <v>3.343407856743718E-2</v>
      </c>
      <c r="K165" s="306">
        <f>+IF($H165=K$2,VLOOKUP($G165,Depreciation!$A$14:$L$18,9,FALSE)/2,IF($H165&lt;K$2,VLOOKUP($G165,Depreciation!$A$14:$L$18,9,FALSE),0))</f>
        <v>3.343407856743718E-2</v>
      </c>
      <c r="L165" s="306">
        <f>+IF($H165=L$2,VLOOKUP($G165,Depreciation!$A$14:$L$18,10,FALSE)/2,IF($H165&lt;L$2,VLOOKUP($G165,Depreciation!$A$14:$L$18,10,FALSE),0))</f>
        <v>3.343407856743718E-2</v>
      </c>
      <c r="M165" s="306">
        <f>+IF($H165=M$2,VLOOKUP($G165,Depreciation!$A$14:$L$18,11,FALSE)/2,IF($H165&lt;M$2,VLOOKUP($G165,Depreciation!$A$14:$L$18,11,FALSE),0))</f>
        <v>3.343407856743718E-2</v>
      </c>
      <c r="N165" s="306">
        <f>+IF($H165=N$2,VLOOKUP($G165,Depreciation!$A$14:$L$18,12,FALSE)/2,IF($H165&lt;N$2,VLOOKUP($G165,Depreciation!$A$14:$L$18,12,FALSE),0))</f>
        <v>3.343407856743718E-2</v>
      </c>
      <c r="O165" s="307">
        <f t="shared" si="18"/>
        <v>666726.40172119928</v>
      </c>
      <c r="P165" s="732">
        <f>'Func Future Subs 2015'!P165</f>
        <v>0</v>
      </c>
      <c r="Q165" s="732">
        <f>'Func Future Subs 2015'!Q165</f>
        <v>0</v>
      </c>
      <c r="R165" s="732">
        <f>'Func Future Subs 2015'!R165</f>
        <v>1</v>
      </c>
      <c r="S165" s="735">
        <f t="shared" si="19"/>
        <v>0</v>
      </c>
      <c r="T165" s="735">
        <f t="shared" si="20"/>
        <v>0</v>
      </c>
      <c r="U165" s="735">
        <f t="shared" si="21"/>
        <v>666726.40172119928</v>
      </c>
      <c r="V165" s="736">
        <f t="shared" si="22"/>
        <v>0</v>
      </c>
      <c r="W165" s="735">
        <f t="shared" si="23"/>
        <v>666726.40172119928</v>
      </c>
      <c r="X165" s="737">
        <f t="shared" si="24"/>
        <v>0</v>
      </c>
      <c r="Y165" s="738">
        <f t="shared" si="25"/>
        <v>0</v>
      </c>
    </row>
    <row r="166" spans="1:25">
      <c r="A166" s="754" t="str">
        <f>'Func Future Subs 2015'!A166</f>
        <v>320P Keephills180</v>
      </c>
      <c r="B166" s="754">
        <f>'Func Future Subs 2015'!B166</f>
        <v>737</v>
      </c>
      <c r="C166" s="754">
        <f>'Func Future Subs 2015'!C166</f>
        <v>240</v>
      </c>
      <c r="D166" s="754">
        <f>'Func Future Subs 2015'!D166</f>
        <v>25</v>
      </c>
      <c r="E166" s="754" t="str">
        <f>'Func Future Subs 2015'!E166</f>
        <v>320P</v>
      </c>
      <c r="F166" s="754">
        <f>'Func Future Subs 2015'!F166</f>
        <v>314443.89048852649</v>
      </c>
      <c r="G166" s="754" t="str">
        <f>'Func Future Subs 2015'!G166</f>
        <v>AltaLink</v>
      </c>
      <c r="H166" s="754">
        <f>'Func Future Subs 2015'!H166</f>
        <v>2015</v>
      </c>
      <c r="I166" s="306">
        <f>+IF($H166=I$2,VLOOKUP($G166,Depreciation!$A$14:$L$18,7,FALSE)/2,IF($H166&lt;I$2,VLOOKUP($G166,Depreciation!$A$14:$L$18,7,FALSE),0))</f>
        <v>1.7228380322441735E-2</v>
      </c>
      <c r="J166" s="306">
        <f>+IF($H166=J$2,VLOOKUP($G166,Depreciation!$A$14:$L$18,8,FALSE)/2,IF($H166&lt;J$2,VLOOKUP($G166,Depreciation!$A$14:$L$18,8,FALSE),0))</f>
        <v>3.343407856743718E-2</v>
      </c>
      <c r="K166" s="306">
        <f>+IF($H166=K$2,VLOOKUP($G166,Depreciation!$A$14:$L$18,9,FALSE)/2,IF($H166&lt;K$2,VLOOKUP($G166,Depreciation!$A$14:$L$18,9,FALSE),0))</f>
        <v>3.343407856743718E-2</v>
      </c>
      <c r="L166" s="306">
        <f>+IF($H166=L$2,VLOOKUP($G166,Depreciation!$A$14:$L$18,10,FALSE)/2,IF($H166&lt;L$2,VLOOKUP($G166,Depreciation!$A$14:$L$18,10,FALSE),0))</f>
        <v>3.343407856743718E-2</v>
      </c>
      <c r="M166" s="306">
        <f>+IF($H166=M$2,VLOOKUP($G166,Depreciation!$A$14:$L$18,11,FALSE)/2,IF($H166&lt;M$2,VLOOKUP($G166,Depreciation!$A$14:$L$18,11,FALSE),0))</f>
        <v>3.343407856743718E-2</v>
      </c>
      <c r="N166" s="306">
        <f>+IF($H166=N$2,VLOOKUP($G166,Depreciation!$A$14:$L$18,12,FALSE)/2,IF($H166&lt;N$2,VLOOKUP($G166,Depreciation!$A$14:$L$18,12,FALSE),0))</f>
        <v>3.343407856743718E-2</v>
      </c>
      <c r="O166" s="307">
        <f t="shared" si="18"/>
        <v>298694.51421775226</v>
      </c>
      <c r="P166" s="732">
        <f>'Func Future Subs 2015'!P166</f>
        <v>0.96203522504892369</v>
      </c>
      <c r="Q166" s="732">
        <f>'Func Future Subs 2015'!Q166</f>
        <v>3.7964774951076322E-2</v>
      </c>
      <c r="R166" s="732">
        <f>'Func Future Subs 2015'!R166</f>
        <v>0</v>
      </c>
      <c r="S166" s="735">
        <f t="shared" si="19"/>
        <v>287354.64420635422</v>
      </c>
      <c r="T166" s="735">
        <f t="shared" si="20"/>
        <v>11339.870011398032</v>
      </c>
      <c r="U166" s="735">
        <f t="shared" si="21"/>
        <v>0</v>
      </c>
      <c r="V166" s="736">
        <f t="shared" si="22"/>
        <v>0</v>
      </c>
      <c r="W166" s="735">
        <f t="shared" si="23"/>
        <v>287354.64420635422</v>
      </c>
      <c r="X166" s="737">
        <f t="shared" si="24"/>
        <v>0</v>
      </c>
      <c r="Y166" s="738">
        <f t="shared" si="25"/>
        <v>11339.870011398032</v>
      </c>
    </row>
    <row r="167" spans="1:25">
      <c r="A167" s="754" t="str">
        <f>'Func Future Subs 2015'!A167</f>
        <v>324S Cassils180</v>
      </c>
      <c r="B167" s="754">
        <f>'Func Future Subs 2015'!B167</f>
        <v>737</v>
      </c>
      <c r="C167" s="754">
        <f>'Func Future Subs 2015'!C167</f>
        <v>240</v>
      </c>
      <c r="D167" s="754">
        <f>'Func Future Subs 2015'!D167</f>
        <v>240</v>
      </c>
      <c r="E167" s="754" t="str">
        <f>'Func Future Subs 2015'!E167</f>
        <v>324S</v>
      </c>
      <c r="F167" s="754">
        <f>'Func Future Subs 2015'!F167</f>
        <v>1228267.7960131739</v>
      </c>
      <c r="G167" s="754" t="str">
        <f>'Func Future Subs 2015'!G167</f>
        <v>AltaLink</v>
      </c>
      <c r="H167" s="754">
        <f>'Func Future Subs 2015'!H167</f>
        <v>2015</v>
      </c>
      <c r="I167" s="306">
        <f>+IF($H167=I$2,VLOOKUP($G167,Depreciation!$A$14:$L$18,7,FALSE)/2,IF($H167&lt;I$2,VLOOKUP($G167,Depreciation!$A$14:$L$18,7,FALSE),0))</f>
        <v>1.7228380322441735E-2</v>
      </c>
      <c r="J167" s="306">
        <f>+IF($H167=J$2,VLOOKUP($G167,Depreciation!$A$14:$L$18,8,FALSE)/2,IF($H167&lt;J$2,VLOOKUP($G167,Depreciation!$A$14:$L$18,8,FALSE),0))</f>
        <v>3.343407856743718E-2</v>
      </c>
      <c r="K167" s="306">
        <f>+IF($H167=K$2,VLOOKUP($G167,Depreciation!$A$14:$L$18,9,FALSE)/2,IF($H167&lt;K$2,VLOOKUP($G167,Depreciation!$A$14:$L$18,9,FALSE),0))</f>
        <v>3.343407856743718E-2</v>
      </c>
      <c r="L167" s="306">
        <f>+IF($H167=L$2,VLOOKUP($G167,Depreciation!$A$14:$L$18,10,FALSE)/2,IF($H167&lt;L$2,VLOOKUP($G167,Depreciation!$A$14:$L$18,10,FALSE),0))</f>
        <v>3.343407856743718E-2</v>
      </c>
      <c r="M167" s="306">
        <f>+IF($H167=M$2,VLOOKUP($G167,Depreciation!$A$14:$L$18,11,FALSE)/2,IF($H167&lt;M$2,VLOOKUP($G167,Depreciation!$A$14:$L$18,11,FALSE),0))</f>
        <v>3.343407856743718E-2</v>
      </c>
      <c r="N167" s="306">
        <f>+IF($H167=N$2,VLOOKUP($G167,Depreciation!$A$14:$L$18,12,FALSE)/2,IF($H167&lt;N$2,VLOOKUP($G167,Depreciation!$A$14:$L$18,12,FALSE),0))</f>
        <v>3.343407856743718E-2</v>
      </c>
      <c r="O167" s="307">
        <f t="shared" si="18"/>
        <v>1166748.229992565</v>
      </c>
      <c r="P167" s="732">
        <f>'Func Future Subs 2015'!P167</f>
        <v>0</v>
      </c>
      <c r="Q167" s="732">
        <f>'Func Future Subs 2015'!Q167</f>
        <v>0</v>
      </c>
      <c r="R167" s="732">
        <f>'Func Future Subs 2015'!R167</f>
        <v>1</v>
      </c>
      <c r="S167" s="735">
        <f t="shared" si="19"/>
        <v>0</v>
      </c>
      <c r="T167" s="735">
        <f t="shared" si="20"/>
        <v>0</v>
      </c>
      <c r="U167" s="735">
        <f t="shared" si="21"/>
        <v>1166748.229992565</v>
      </c>
      <c r="V167" s="736">
        <f t="shared" si="22"/>
        <v>0</v>
      </c>
      <c r="W167" s="735">
        <f t="shared" si="23"/>
        <v>1166748.229992565</v>
      </c>
      <c r="X167" s="737">
        <f t="shared" si="24"/>
        <v>0</v>
      </c>
      <c r="Y167" s="738">
        <f t="shared" si="25"/>
        <v>0</v>
      </c>
    </row>
    <row r="168" spans="1:25">
      <c r="A168" s="754" t="str">
        <f>'Func Future Subs 2015'!A168</f>
        <v>356S Milo180</v>
      </c>
      <c r="B168" s="754">
        <f>'Func Future Subs 2015'!B168</f>
        <v>737</v>
      </c>
      <c r="C168" s="754">
        <f>'Func Future Subs 2015'!C168</f>
        <v>240</v>
      </c>
      <c r="D168" s="754">
        <f>'Func Future Subs 2015'!D168</f>
        <v>240</v>
      </c>
      <c r="E168" s="754" t="str">
        <f>'Func Future Subs 2015'!E168</f>
        <v>356S</v>
      </c>
      <c r="F168" s="754">
        <f>'Func Future Subs 2015'!F168</f>
        <v>509558.70470753126</v>
      </c>
      <c r="G168" s="754" t="str">
        <f>'Func Future Subs 2015'!G168</f>
        <v>AltaLink</v>
      </c>
      <c r="H168" s="754">
        <f>'Func Future Subs 2015'!H168</f>
        <v>2015</v>
      </c>
      <c r="I168" s="306">
        <f>+IF($H168=I$2,VLOOKUP($G168,Depreciation!$A$14:$L$18,7,FALSE)/2,IF($H168&lt;I$2,VLOOKUP($G168,Depreciation!$A$14:$L$18,7,FALSE),0))</f>
        <v>1.7228380322441735E-2</v>
      </c>
      <c r="J168" s="306">
        <f>+IF($H168=J$2,VLOOKUP($G168,Depreciation!$A$14:$L$18,8,FALSE)/2,IF($H168&lt;J$2,VLOOKUP($G168,Depreciation!$A$14:$L$18,8,FALSE),0))</f>
        <v>3.343407856743718E-2</v>
      </c>
      <c r="K168" s="306">
        <f>+IF($H168=K$2,VLOOKUP($G168,Depreciation!$A$14:$L$18,9,FALSE)/2,IF($H168&lt;K$2,VLOOKUP($G168,Depreciation!$A$14:$L$18,9,FALSE),0))</f>
        <v>3.343407856743718E-2</v>
      </c>
      <c r="L168" s="306">
        <f>+IF($H168=L$2,VLOOKUP($G168,Depreciation!$A$14:$L$18,10,FALSE)/2,IF($H168&lt;L$2,VLOOKUP($G168,Depreciation!$A$14:$L$18,10,FALSE),0))</f>
        <v>3.343407856743718E-2</v>
      </c>
      <c r="M168" s="306">
        <f>+IF($H168=M$2,VLOOKUP($G168,Depreciation!$A$14:$L$18,11,FALSE)/2,IF($H168&lt;M$2,VLOOKUP($G168,Depreciation!$A$14:$L$18,11,FALSE),0))</f>
        <v>3.343407856743718E-2</v>
      </c>
      <c r="N168" s="306">
        <f>+IF($H168=N$2,VLOOKUP($G168,Depreciation!$A$14:$L$18,12,FALSE)/2,IF($H168&lt;N$2,VLOOKUP($G168,Depreciation!$A$14:$L$18,12,FALSE),0))</f>
        <v>3.343407856743718E-2</v>
      </c>
      <c r="O168" s="307">
        <f t="shared" si="18"/>
        <v>484036.72124644672</v>
      </c>
      <c r="P168" s="732">
        <f>'Func Future Subs 2015'!P168</f>
        <v>0</v>
      </c>
      <c r="Q168" s="732">
        <f>'Func Future Subs 2015'!Q168</f>
        <v>0</v>
      </c>
      <c r="R168" s="732">
        <f>'Func Future Subs 2015'!R168</f>
        <v>1</v>
      </c>
      <c r="S168" s="735">
        <f t="shared" si="19"/>
        <v>0</v>
      </c>
      <c r="T168" s="735">
        <f t="shared" si="20"/>
        <v>0</v>
      </c>
      <c r="U168" s="735">
        <f t="shared" si="21"/>
        <v>484036.72124644672</v>
      </c>
      <c r="V168" s="736">
        <f t="shared" si="22"/>
        <v>0</v>
      </c>
      <c r="W168" s="735">
        <f t="shared" si="23"/>
        <v>484036.72124644672</v>
      </c>
      <c r="X168" s="737">
        <f t="shared" si="24"/>
        <v>0</v>
      </c>
      <c r="Y168" s="738">
        <f t="shared" si="25"/>
        <v>0</v>
      </c>
    </row>
    <row r="169" spans="1:25">
      <c r="A169" s="754" t="str">
        <f>'Func Future Subs 2015'!A169</f>
        <v>Converter Station (Heathfield 2029S)180</v>
      </c>
      <c r="B169" s="754">
        <f>'Func Future Subs 2015'!B169</f>
        <v>737</v>
      </c>
      <c r="C169" s="754">
        <f>'Func Future Subs 2015'!C169</f>
        <v>500</v>
      </c>
      <c r="D169" s="754">
        <f>'Func Future Subs 2015'!D169</f>
        <v>500</v>
      </c>
      <c r="E169" s="754" t="str">
        <f>'Func Future Subs 2015'!E169</f>
        <v>2029S</v>
      </c>
      <c r="F169" s="754">
        <f>'Func Future Subs 2015'!F169</f>
        <v>532569282.5</v>
      </c>
      <c r="G169" s="754" t="str">
        <f>'Func Future Subs 2015'!G169</f>
        <v>ATCO</v>
      </c>
      <c r="H169" s="754">
        <f>'Func Future Subs 2015'!H169</f>
        <v>2015</v>
      </c>
      <c r="I169" s="306">
        <f>+IF($H169=I$2,VLOOKUP($G169,Depreciation!$A$14:$L$18,7,FALSE)/2,IF($H169&lt;I$2,VLOOKUP($G169,Depreciation!$A$14:$L$18,7,FALSE),0))</f>
        <v>1.221703683566912E-2</v>
      </c>
      <c r="J169" s="306">
        <f>+IF($H169=J$2,VLOOKUP($G169,Depreciation!$A$14:$L$18,8,FALSE)/2,IF($H169&lt;J$2,VLOOKUP($G169,Depreciation!$A$14:$L$18,8,FALSE),0))</f>
        <v>2.4632450501084719E-2</v>
      </c>
      <c r="K169" s="306">
        <f>+IF($H169=K$2,VLOOKUP($G169,Depreciation!$A$14:$L$18,9,FALSE)/2,IF($H169&lt;K$2,VLOOKUP($G169,Depreciation!$A$14:$L$18,9,FALSE),0))</f>
        <v>2.4351536427798831E-2</v>
      </c>
      <c r="L169" s="306">
        <f>+IF($H169=L$2,VLOOKUP($G169,Depreciation!$A$14:$L$18,10,FALSE)/2,IF($H169&lt;L$2,VLOOKUP($G169,Depreciation!$A$14:$L$18,10,FALSE),0))</f>
        <v>2.4351536427798831E-2</v>
      </c>
      <c r="M169" s="306">
        <f>+IF($H169=M$2,VLOOKUP($G169,Depreciation!$A$14:$L$18,11,FALSE)/2,IF($H169&lt;M$2,VLOOKUP($G169,Depreciation!$A$14:$L$18,11,FALSE),0))</f>
        <v>2.4351536427798831E-2</v>
      </c>
      <c r="N169" s="306">
        <f>+IF($H169=N$2,VLOOKUP($G169,Depreciation!$A$14:$L$18,12,FALSE)/2,IF($H169&lt;N$2,VLOOKUP($G169,Depreciation!$A$14:$L$18,12,FALSE),0))</f>
        <v>2.4351536427798831E-2</v>
      </c>
      <c r="O169" s="307">
        <f t="shared" si="18"/>
        <v>513104646.50124359</v>
      </c>
      <c r="P169" s="732">
        <f>'Func Future Subs 2015'!P169</f>
        <v>0</v>
      </c>
      <c r="Q169" s="732">
        <f>'Func Future Subs 2015'!Q169</f>
        <v>0</v>
      </c>
      <c r="R169" s="732">
        <f>'Func Future Subs 2015'!R169</f>
        <v>1</v>
      </c>
      <c r="S169" s="735">
        <f t="shared" si="19"/>
        <v>0</v>
      </c>
      <c r="T169" s="735">
        <f t="shared" si="20"/>
        <v>0</v>
      </c>
      <c r="U169" s="735">
        <f t="shared" si="21"/>
        <v>513104646.50124359</v>
      </c>
      <c r="V169" s="736">
        <f t="shared" si="22"/>
        <v>0</v>
      </c>
      <c r="W169" s="735">
        <f t="shared" si="23"/>
        <v>513104646.50124359</v>
      </c>
      <c r="X169" s="737">
        <f t="shared" si="24"/>
        <v>0</v>
      </c>
      <c r="Y169" s="738">
        <f t="shared" si="25"/>
        <v>0</v>
      </c>
    </row>
    <row r="170" spans="1:25">
      <c r="A170" s="754" t="str">
        <f>'Func Future Subs 2015'!A170</f>
        <v>Genesee 330P 961</v>
      </c>
      <c r="B170" s="754">
        <f>'Func Future Subs 2015'!B170</f>
        <v>737</v>
      </c>
      <c r="C170" s="754">
        <f>'Func Future Subs 2015'!C170</f>
        <v>500</v>
      </c>
      <c r="D170" s="754">
        <f>'Func Future Subs 2015'!D170</f>
        <v>240</v>
      </c>
      <c r="E170" s="754" t="str">
        <f>'Func Future Subs 2015'!E170</f>
        <v>330P</v>
      </c>
      <c r="F170" s="754">
        <f>'Func Future Subs 2015'!F170</f>
        <v>107206.28193058976</v>
      </c>
      <c r="G170" s="754" t="str">
        <f>'Func Future Subs 2015'!G170</f>
        <v>EPCOR</v>
      </c>
      <c r="H170" s="754">
        <f>'Func Future Subs 2015'!H170</f>
        <v>2015</v>
      </c>
      <c r="I170" s="306">
        <f>+IF($H170=I$2,VLOOKUP($G170,Depreciation!$A$14:$L$18,7,FALSE)/2,IF($H170&lt;I$2,VLOOKUP($G170,Depreciation!$A$14:$L$18,7,FALSE),0))</f>
        <v>2.0607513622398654E-2</v>
      </c>
      <c r="J170" s="306">
        <f>+IF($H170=J$2,VLOOKUP($G170,Depreciation!$A$14:$L$18,8,FALSE)/2,IF($H170&lt;J$2,VLOOKUP($G170,Depreciation!$A$14:$L$18,8,FALSE),0))</f>
        <v>4.1600055599844914E-2</v>
      </c>
      <c r="K170" s="306">
        <f>+IF($H170=K$2,VLOOKUP($G170,Depreciation!$A$14:$L$18,9,FALSE)/2,IF($H170&lt;K$2,VLOOKUP($G170,Depreciation!$A$14:$L$18,9,FALSE),0))</f>
        <v>4.1145263498658789E-2</v>
      </c>
      <c r="L170" s="306">
        <f>+IF($H170=L$2,VLOOKUP($G170,Depreciation!$A$14:$L$18,10,FALSE)/2,IF($H170&lt;L$2,VLOOKUP($G170,Depreciation!$A$14:$L$18,10,FALSE),0))</f>
        <v>4.1145263498658789E-2</v>
      </c>
      <c r="M170" s="306">
        <f>+IF($H170=M$2,VLOOKUP($G170,Depreciation!$A$14:$L$18,11,FALSE)/2,IF($H170&lt;M$2,VLOOKUP($G170,Depreciation!$A$14:$L$18,11,FALSE),0))</f>
        <v>4.1145263498658789E-2</v>
      </c>
      <c r="N170" s="306">
        <f>+IF($H170=N$2,VLOOKUP($G170,Depreciation!$A$14:$L$18,12,FALSE)/2,IF($H170&lt;N$2,VLOOKUP($G170,Depreciation!$A$14:$L$18,12,FALSE),0))</f>
        <v>4.1145263498658789E-2</v>
      </c>
      <c r="O170" s="307">
        <f t="shared" si="18"/>
        <v>100629.14485364358</v>
      </c>
      <c r="P170" s="732">
        <f>'Func Future Subs 2015'!P170</f>
        <v>0</v>
      </c>
      <c r="Q170" s="732">
        <f>'Func Future Subs 2015'!Q170</f>
        <v>0</v>
      </c>
      <c r="R170" s="732">
        <f>'Func Future Subs 2015'!R170</f>
        <v>1</v>
      </c>
      <c r="S170" s="735">
        <f t="shared" si="19"/>
        <v>0</v>
      </c>
      <c r="T170" s="735">
        <f t="shared" si="20"/>
        <v>0</v>
      </c>
      <c r="U170" s="735">
        <f t="shared" si="21"/>
        <v>100629.14485364358</v>
      </c>
      <c r="V170" s="736">
        <f t="shared" si="22"/>
        <v>0</v>
      </c>
      <c r="W170" s="735">
        <f t="shared" si="23"/>
        <v>100629.14485364358</v>
      </c>
      <c r="X170" s="737">
        <f t="shared" si="24"/>
        <v>0</v>
      </c>
      <c r="Y170" s="738">
        <f t="shared" si="25"/>
        <v>0</v>
      </c>
    </row>
    <row r="171" spans="1:25">
      <c r="A171" s="754" t="str">
        <f>'Func Future Subs 2015'!A171</f>
        <v>Heartland 12S180</v>
      </c>
      <c r="B171" s="754">
        <f>'Func Future Subs 2015'!B171</f>
        <v>737</v>
      </c>
      <c r="C171" s="754">
        <f>'Func Future Subs 2015'!C171</f>
        <v>500</v>
      </c>
      <c r="D171" s="754">
        <f>'Func Future Subs 2015'!D171</f>
        <v>240</v>
      </c>
      <c r="E171" s="754" t="str">
        <f>'Func Future Subs 2015'!E171</f>
        <v>12S</v>
      </c>
      <c r="F171" s="754">
        <f>'Func Future Subs 2015'!F171</f>
        <v>33005662.747339312</v>
      </c>
      <c r="G171" s="754" t="str">
        <f>'Func Future Subs 2015'!G171</f>
        <v>AltaLink</v>
      </c>
      <c r="H171" s="754">
        <f>'Func Future Subs 2015'!H171</f>
        <v>2015</v>
      </c>
      <c r="I171" s="306">
        <f>+IF($H171=I$2,VLOOKUP($G171,Depreciation!$A$14:$L$18,7,FALSE)/2,IF($H171&lt;I$2,VLOOKUP($G171,Depreciation!$A$14:$L$18,7,FALSE),0))</f>
        <v>1.7228380322441735E-2</v>
      </c>
      <c r="J171" s="306">
        <f>+IF($H171=J$2,VLOOKUP($G171,Depreciation!$A$14:$L$18,8,FALSE)/2,IF($H171&lt;J$2,VLOOKUP($G171,Depreciation!$A$14:$L$18,8,FALSE),0))</f>
        <v>3.343407856743718E-2</v>
      </c>
      <c r="K171" s="306">
        <f>+IF($H171=K$2,VLOOKUP($G171,Depreciation!$A$14:$L$18,9,FALSE)/2,IF($H171&lt;K$2,VLOOKUP($G171,Depreciation!$A$14:$L$18,9,FALSE),0))</f>
        <v>3.343407856743718E-2</v>
      </c>
      <c r="L171" s="306">
        <f>+IF($H171=L$2,VLOOKUP($G171,Depreciation!$A$14:$L$18,10,FALSE)/2,IF($H171&lt;L$2,VLOOKUP($G171,Depreciation!$A$14:$L$18,10,FALSE),0))</f>
        <v>3.343407856743718E-2</v>
      </c>
      <c r="M171" s="306">
        <f>+IF($H171=M$2,VLOOKUP($G171,Depreciation!$A$14:$L$18,11,FALSE)/2,IF($H171&lt;M$2,VLOOKUP($G171,Depreciation!$A$14:$L$18,11,FALSE),0))</f>
        <v>3.343407856743718E-2</v>
      </c>
      <c r="N171" s="306">
        <f>+IF($H171=N$2,VLOOKUP($G171,Depreciation!$A$14:$L$18,12,FALSE)/2,IF($H171&lt;N$2,VLOOKUP($G171,Depreciation!$A$14:$L$18,12,FALSE),0))</f>
        <v>3.343407856743718E-2</v>
      </c>
      <c r="O171" s="307">
        <f t="shared" si="18"/>
        <v>31352526.47279913</v>
      </c>
      <c r="P171" s="732">
        <f>'Func Future Subs 2015'!P171</f>
        <v>0</v>
      </c>
      <c r="Q171" s="732">
        <f>'Func Future Subs 2015'!Q171</f>
        <v>0</v>
      </c>
      <c r="R171" s="732">
        <f>'Func Future Subs 2015'!R171</f>
        <v>1</v>
      </c>
      <c r="S171" s="735">
        <f t="shared" si="19"/>
        <v>0</v>
      </c>
      <c r="T171" s="735">
        <f t="shared" si="20"/>
        <v>0</v>
      </c>
      <c r="U171" s="735">
        <f t="shared" si="21"/>
        <v>31352526.47279913</v>
      </c>
      <c r="V171" s="736">
        <f t="shared" si="22"/>
        <v>0</v>
      </c>
      <c r="W171" s="735">
        <f t="shared" si="23"/>
        <v>31352526.47279913</v>
      </c>
      <c r="X171" s="737">
        <f t="shared" si="24"/>
        <v>0</v>
      </c>
      <c r="Y171" s="738">
        <f t="shared" si="25"/>
        <v>0</v>
      </c>
    </row>
    <row r="172" spans="1:25">
      <c r="A172" s="754" t="str">
        <f>'Func Future Subs 2015'!A172</f>
        <v>320P[2]_180</v>
      </c>
      <c r="B172" s="754">
        <f>'Func Future Subs 2015'!B172</f>
        <v>737</v>
      </c>
      <c r="C172" s="754">
        <f>'Func Future Subs 2015'!C172</f>
        <v>240</v>
      </c>
      <c r="D172" s="754">
        <f>'Func Future Subs 2015'!D172</f>
        <v>25</v>
      </c>
      <c r="E172" s="754" t="str">
        <f>'Func Future Subs 2015'!E172</f>
        <v>320P</v>
      </c>
      <c r="F172" s="754">
        <f>'Func Future Subs 2015'!F172</f>
        <v>551841.87584074528</v>
      </c>
      <c r="G172" s="754" t="str">
        <f>'Func Future Subs 2015'!G172</f>
        <v>AltaLink</v>
      </c>
      <c r="H172" s="754">
        <f>'Func Future Subs 2015'!H172</f>
        <v>2015</v>
      </c>
      <c r="I172" s="306">
        <f>+IF($H172=I$2,VLOOKUP($G172,Depreciation!$A$14:$L$18,7,FALSE)/2,IF($H172&lt;I$2,VLOOKUP($G172,Depreciation!$A$14:$L$18,7,FALSE),0))</f>
        <v>1.7228380322441735E-2</v>
      </c>
      <c r="J172" s="306">
        <f>+IF($H172=J$2,VLOOKUP($G172,Depreciation!$A$14:$L$18,8,FALSE)/2,IF($H172&lt;J$2,VLOOKUP($G172,Depreciation!$A$14:$L$18,8,FALSE),0))</f>
        <v>3.343407856743718E-2</v>
      </c>
      <c r="K172" s="306">
        <f>+IF($H172=K$2,VLOOKUP($G172,Depreciation!$A$14:$L$18,9,FALSE)/2,IF($H172&lt;K$2,VLOOKUP($G172,Depreciation!$A$14:$L$18,9,FALSE),0))</f>
        <v>3.343407856743718E-2</v>
      </c>
      <c r="L172" s="306">
        <f>+IF($H172=L$2,VLOOKUP($G172,Depreciation!$A$14:$L$18,10,FALSE)/2,IF($H172&lt;L$2,VLOOKUP($G172,Depreciation!$A$14:$L$18,10,FALSE),0))</f>
        <v>3.343407856743718E-2</v>
      </c>
      <c r="M172" s="306">
        <f>+IF($H172=M$2,VLOOKUP($G172,Depreciation!$A$14:$L$18,11,FALSE)/2,IF($H172&lt;M$2,VLOOKUP($G172,Depreciation!$A$14:$L$18,11,FALSE),0))</f>
        <v>3.343407856743718E-2</v>
      </c>
      <c r="N172" s="306">
        <f>+IF($H172=N$2,VLOOKUP($G172,Depreciation!$A$14:$L$18,12,FALSE)/2,IF($H172&lt;N$2,VLOOKUP($G172,Depreciation!$A$14:$L$18,12,FALSE),0))</f>
        <v>3.343407856743718E-2</v>
      </c>
      <c r="O172" s="307">
        <f t="shared" si="18"/>
        <v>524202.07870211103</v>
      </c>
      <c r="P172" s="732">
        <f>'Func Future Subs 2015'!P172</f>
        <v>0.96203522504892369</v>
      </c>
      <c r="Q172" s="732">
        <f>'Func Future Subs 2015'!Q172</f>
        <v>3.7964774951076322E-2</v>
      </c>
      <c r="R172" s="732">
        <f>'Func Future Subs 2015'!R172</f>
        <v>0</v>
      </c>
      <c r="S172" s="735">
        <f t="shared" si="19"/>
        <v>504300.864755299</v>
      </c>
      <c r="T172" s="735">
        <f t="shared" si="20"/>
        <v>19901.213946812044</v>
      </c>
      <c r="U172" s="735">
        <f t="shared" si="21"/>
        <v>0</v>
      </c>
      <c r="V172" s="736">
        <f t="shared" si="22"/>
        <v>0</v>
      </c>
      <c r="W172" s="735">
        <f t="shared" si="23"/>
        <v>504300.864755299</v>
      </c>
      <c r="X172" s="737">
        <f t="shared" si="24"/>
        <v>0</v>
      </c>
      <c r="Y172" s="738">
        <f t="shared" si="25"/>
        <v>19901.213946812044</v>
      </c>
    </row>
    <row r="173" spans="1:25">
      <c r="A173" s="754" t="str">
        <f>'Func Future Subs 2015'!A173</f>
        <v>330P_180</v>
      </c>
      <c r="B173" s="754">
        <f>'Func Future Subs 2015'!B173</f>
        <v>737</v>
      </c>
      <c r="C173" s="754">
        <f>'Func Future Subs 2015'!C173</f>
        <v>240</v>
      </c>
      <c r="D173" s="754">
        <f>'Func Future Subs 2015'!D173</f>
        <v>240</v>
      </c>
      <c r="E173" s="754" t="str">
        <f>'Func Future Subs 2015'!E173</f>
        <v>330P</v>
      </c>
      <c r="F173" s="754">
        <f>'Func Future Subs 2015'!F173</f>
        <v>223583.15265230645</v>
      </c>
      <c r="G173" s="754" t="str">
        <f>'Func Future Subs 2015'!G173</f>
        <v>AltaLink</v>
      </c>
      <c r="H173" s="754">
        <f>'Func Future Subs 2015'!H173</f>
        <v>2015</v>
      </c>
      <c r="I173" s="306">
        <f>+IF($H173=I$2,VLOOKUP($G173,Depreciation!$A$14:$L$18,7,FALSE)/2,IF($H173&lt;I$2,VLOOKUP($G173,Depreciation!$A$14:$L$18,7,FALSE),0))</f>
        <v>1.7228380322441735E-2</v>
      </c>
      <c r="J173" s="306">
        <f>+IF($H173=J$2,VLOOKUP($G173,Depreciation!$A$14:$L$18,8,FALSE)/2,IF($H173&lt;J$2,VLOOKUP($G173,Depreciation!$A$14:$L$18,8,FALSE),0))</f>
        <v>3.343407856743718E-2</v>
      </c>
      <c r="K173" s="306">
        <f>+IF($H173=K$2,VLOOKUP($G173,Depreciation!$A$14:$L$18,9,FALSE)/2,IF($H173&lt;K$2,VLOOKUP($G173,Depreciation!$A$14:$L$18,9,FALSE),0))</f>
        <v>3.343407856743718E-2</v>
      </c>
      <c r="L173" s="306">
        <f>+IF($H173=L$2,VLOOKUP($G173,Depreciation!$A$14:$L$18,10,FALSE)/2,IF($H173&lt;L$2,VLOOKUP($G173,Depreciation!$A$14:$L$18,10,FALSE),0))</f>
        <v>3.343407856743718E-2</v>
      </c>
      <c r="M173" s="306">
        <f>+IF($H173=M$2,VLOOKUP($G173,Depreciation!$A$14:$L$18,11,FALSE)/2,IF($H173&lt;M$2,VLOOKUP($G173,Depreciation!$A$14:$L$18,11,FALSE),0))</f>
        <v>3.343407856743718E-2</v>
      </c>
      <c r="N173" s="306">
        <f>+IF($H173=N$2,VLOOKUP($G173,Depreciation!$A$14:$L$18,12,FALSE)/2,IF($H173&lt;N$2,VLOOKUP($G173,Depreciation!$A$14:$L$18,12,FALSE),0))</f>
        <v>3.343407856743718E-2</v>
      </c>
      <c r="O173" s="307">
        <f t="shared" si="18"/>
        <v>212384.66762702461</v>
      </c>
      <c r="P173" s="732">
        <f>'Func Future Subs 2015'!P173</f>
        <v>0</v>
      </c>
      <c r="Q173" s="732">
        <f>'Func Future Subs 2015'!Q173</f>
        <v>0</v>
      </c>
      <c r="R173" s="732">
        <f>'Func Future Subs 2015'!R173</f>
        <v>1</v>
      </c>
      <c r="S173" s="735">
        <f t="shared" si="19"/>
        <v>0</v>
      </c>
      <c r="T173" s="735">
        <f t="shared" si="20"/>
        <v>0</v>
      </c>
      <c r="U173" s="735">
        <f t="shared" si="21"/>
        <v>212384.66762702461</v>
      </c>
      <c r="V173" s="736">
        <f t="shared" si="22"/>
        <v>0</v>
      </c>
      <c r="W173" s="735">
        <f t="shared" si="23"/>
        <v>212384.66762702461</v>
      </c>
      <c r="X173" s="737">
        <f t="shared" si="24"/>
        <v>0</v>
      </c>
      <c r="Y173" s="738">
        <f t="shared" si="25"/>
        <v>0</v>
      </c>
    </row>
    <row r="174" spans="1:25">
      <c r="A174" s="754" t="str">
        <f>'Func Future Subs 2015'!A174</f>
        <v>74S_180</v>
      </c>
      <c r="B174" s="754">
        <f>'Func Future Subs 2015'!B174</f>
        <v>737</v>
      </c>
      <c r="C174" s="754">
        <f>'Func Future Subs 2015'!C174</f>
        <v>240</v>
      </c>
      <c r="D174" s="754">
        <f>'Func Future Subs 2015'!D174</f>
        <v>138</v>
      </c>
      <c r="E174" s="754" t="str">
        <f>'Func Future Subs 2015'!E174</f>
        <v>74S</v>
      </c>
      <c r="F174" s="754">
        <f>'Func Future Subs 2015'!F174</f>
        <v>315408.50917802192</v>
      </c>
      <c r="G174" s="754" t="str">
        <f>'Func Future Subs 2015'!G174</f>
        <v>AltaLink</v>
      </c>
      <c r="H174" s="754">
        <f>'Func Future Subs 2015'!H174</f>
        <v>2015</v>
      </c>
      <c r="I174" s="306">
        <f>+IF($H174=I$2,VLOOKUP($G174,Depreciation!$A$14:$L$18,7,FALSE)/2,IF($H174&lt;I$2,VLOOKUP($G174,Depreciation!$A$14:$L$18,7,FALSE),0))</f>
        <v>1.7228380322441735E-2</v>
      </c>
      <c r="J174" s="306">
        <f>+IF($H174=J$2,VLOOKUP($G174,Depreciation!$A$14:$L$18,8,FALSE)/2,IF($H174&lt;J$2,VLOOKUP($G174,Depreciation!$A$14:$L$18,8,FALSE),0))</f>
        <v>3.343407856743718E-2</v>
      </c>
      <c r="K174" s="306">
        <f>+IF($H174=K$2,VLOOKUP($G174,Depreciation!$A$14:$L$18,9,FALSE)/2,IF($H174&lt;K$2,VLOOKUP($G174,Depreciation!$A$14:$L$18,9,FALSE),0))</f>
        <v>3.343407856743718E-2</v>
      </c>
      <c r="L174" s="306">
        <f>+IF($H174=L$2,VLOOKUP($G174,Depreciation!$A$14:$L$18,10,FALSE)/2,IF($H174&lt;L$2,VLOOKUP($G174,Depreciation!$A$14:$L$18,10,FALSE),0))</f>
        <v>3.343407856743718E-2</v>
      </c>
      <c r="M174" s="306">
        <f>+IF($H174=M$2,VLOOKUP($G174,Depreciation!$A$14:$L$18,11,FALSE)/2,IF($H174&lt;M$2,VLOOKUP($G174,Depreciation!$A$14:$L$18,11,FALSE),0))</f>
        <v>3.343407856743718E-2</v>
      </c>
      <c r="N174" s="306">
        <f>+IF($H174=N$2,VLOOKUP($G174,Depreciation!$A$14:$L$18,12,FALSE)/2,IF($H174&lt;N$2,VLOOKUP($G174,Depreciation!$A$14:$L$18,12,FALSE),0))</f>
        <v>3.343407856743718E-2</v>
      </c>
      <c r="O174" s="307">
        <f t="shared" si="18"/>
        <v>299610.81858740171</v>
      </c>
      <c r="P174" s="732">
        <f>'Func Future Subs 2015'!P174</f>
        <v>0</v>
      </c>
      <c r="Q174" s="732">
        <f>'Func Future Subs 2015'!Q174</f>
        <v>0</v>
      </c>
      <c r="R174" s="732">
        <f>'Func Future Subs 2015'!R174</f>
        <v>1</v>
      </c>
      <c r="S174" s="735">
        <f t="shared" si="19"/>
        <v>0</v>
      </c>
      <c r="T174" s="735">
        <f t="shared" si="20"/>
        <v>0</v>
      </c>
      <c r="U174" s="735">
        <f t="shared" si="21"/>
        <v>299610.81858740171</v>
      </c>
      <c r="V174" s="736">
        <f t="shared" si="22"/>
        <v>0</v>
      </c>
      <c r="W174" s="735">
        <f t="shared" si="23"/>
        <v>0</v>
      </c>
      <c r="X174" s="737">
        <f t="shared" si="24"/>
        <v>299610.81858740171</v>
      </c>
      <c r="Y174" s="738">
        <f t="shared" si="25"/>
        <v>0</v>
      </c>
    </row>
    <row r="175" spans="1:25">
      <c r="A175" s="754" t="str">
        <f>'Func Future Subs 2015'!A175</f>
        <v>89S_180</v>
      </c>
      <c r="B175" s="754">
        <f>'Func Future Subs 2015'!B175</f>
        <v>737</v>
      </c>
      <c r="C175" s="754">
        <f>'Func Future Subs 2015'!C175</f>
        <v>240</v>
      </c>
      <c r="D175" s="754">
        <f>'Func Future Subs 2015'!D175</f>
        <v>240</v>
      </c>
      <c r="E175" s="754" t="str">
        <f>'Func Future Subs 2015'!E175</f>
        <v>89S</v>
      </c>
      <c r="F175" s="754">
        <f>'Func Future Subs 2015'!F175</f>
        <v>273015.76516128465</v>
      </c>
      <c r="G175" s="754" t="str">
        <f>'Func Future Subs 2015'!G175</f>
        <v>AltaLink</v>
      </c>
      <c r="H175" s="754">
        <f>'Func Future Subs 2015'!H175</f>
        <v>2015</v>
      </c>
      <c r="I175" s="306">
        <f>+IF($H175=I$2,VLOOKUP($G175,Depreciation!$A$14:$L$18,7,FALSE)/2,IF($H175&lt;I$2,VLOOKUP($G175,Depreciation!$A$14:$L$18,7,FALSE),0))</f>
        <v>1.7228380322441735E-2</v>
      </c>
      <c r="J175" s="306">
        <f>+IF($H175=J$2,VLOOKUP($G175,Depreciation!$A$14:$L$18,8,FALSE)/2,IF($H175&lt;J$2,VLOOKUP($G175,Depreciation!$A$14:$L$18,8,FALSE),0))</f>
        <v>3.343407856743718E-2</v>
      </c>
      <c r="K175" s="306">
        <f>+IF($H175=K$2,VLOOKUP($G175,Depreciation!$A$14:$L$18,9,FALSE)/2,IF($H175&lt;K$2,VLOOKUP($G175,Depreciation!$A$14:$L$18,9,FALSE),0))</f>
        <v>3.343407856743718E-2</v>
      </c>
      <c r="L175" s="306">
        <f>+IF($H175=L$2,VLOOKUP($G175,Depreciation!$A$14:$L$18,10,FALSE)/2,IF($H175&lt;L$2,VLOOKUP($G175,Depreciation!$A$14:$L$18,10,FALSE),0))</f>
        <v>3.343407856743718E-2</v>
      </c>
      <c r="M175" s="306">
        <f>+IF($H175=M$2,VLOOKUP($G175,Depreciation!$A$14:$L$18,11,FALSE)/2,IF($H175&lt;M$2,VLOOKUP($G175,Depreciation!$A$14:$L$18,11,FALSE),0))</f>
        <v>3.343407856743718E-2</v>
      </c>
      <c r="N175" s="306">
        <f>+IF($H175=N$2,VLOOKUP($G175,Depreciation!$A$14:$L$18,12,FALSE)/2,IF($H175&lt;N$2,VLOOKUP($G175,Depreciation!$A$14:$L$18,12,FALSE),0))</f>
        <v>3.343407856743718E-2</v>
      </c>
      <c r="O175" s="307">
        <f t="shared" si="18"/>
        <v>259341.37636429415</v>
      </c>
      <c r="P175" s="732">
        <f>'Func Future Subs 2015'!P175</f>
        <v>0</v>
      </c>
      <c r="Q175" s="732">
        <f>'Func Future Subs 2015'!Q175</f>
        <v>0</v>
      </c>
      <c r="R175" s="732">
        <f>'Func Future Subs 2015'!R175</f>
        <v>1</v>
      </c>
      <c r="S175" s="735">
        <f t="shared" si="19"/>
        <v>0</v>
      </c>
      <c r="T175" s="735">
        <f t="shared" si="20"/>
        <v>0</v>
      </c>
      <c r="U175" s="735">
        <f t="shared" si="21"/>
        <v>259341.37636429415</v>
      </c>
      <c r="V175" s="736">
        <f t="shared" si="22"/>
        <v>0</v>
      </c>
      <c r="W175" s="735">
        <f t="shared" si="23"/>
        <v>259341.37636429415</v>
      </c>
      <c r="X175" s="737">
        <f t="shared" si="24"/>
        <v>0</v>
      </c>
      <c r="Y175" s="738">
        <f t="shared" si="25"/>
        <v>0</v>
      </c>
    </row>
    <row r="176" spans="1:25">
      <c r="A176" s="754" t="str">
        <f>'Func Future Subs 2015'!A176</f>
        <v>Bennett 503S Substation</v>
      </c>
      <c r="B176" s="754">
        <f>'Func Future Subs 2015'!B176</f>
        <v>737</v>
      </c>
      <c r="C176" s="754">
        <f>'Func Future Subs 2015'!C176</f>
        <v>500</v>
      </c>
      <c r="D176" s="754">
        <f>'Func Future Subs 2015'!D176</f>
        <v>0</v>
      </c>
      <c r="E176" s="754" t="str">
        <f>'Func Future Subs 2015'!E176</f>
        <v>503S</v>
      </c>
      <c r="F176" s="754">
        <f>'Func Future Subs 2015'!F176</f>
        <v>59049851.860905387</v>
      </c>
      <c r="G176" s="754" t="str">
        <f>'Func Future Subs 2015'!G176</f>
        <v>AltaLink</v>
      </c>
      <c r="H176" s="754">
        <f>'Func Future Subs 2015'!H176</f>
        <v>2015</v>
      </c>
      <c r="I176" s="306">
        <f>+IF($H176=I$2,VLOOKUP($G176,Depreciation!$A$14:$L$18,7,FALSE)/2,IF($H176&lt;I$2,VLOOKUP($G176,Depreciation!$A$14:$L$18,7,FALSE),0))</f>
        <v>1.7228380322441735E-2</v>
      </c>
      <c r="J176" s="306">
        <f>+IF($H176=J$2,VLOOKUP($G176,Depreciation!$A$14:$L$18,8,FALSE)/2,IF($H176&lt;J$2,VLOOKUP($G176,Depreciation!$A$14:$L$18,8,FALSE),0))</f>
        <v>3.343407856743718E-2</v>
      </c>
      <c r="K176" s="306">
        <f>+IF($H176=K$2,VLOOKUP($G176,Depreciation!$A$14:$L$18,9,FALSE)/2,IF($H176&lt;K$2,VLOOKUP($G176,Depreciation!$A$14:$L$18,9,FALSE),0))</f>
        <v>3.343407856743718E-2</v>
      </c>
      <c r="L176" s="306">
        <f>+IF($H176=L$2,VLOOKUP($G176,Depreciation!$A$14:$L$18,10,FALSE)/2,IF($H176&lt;L$2,VLOOKUP($G176,Depreciation!$A$14:$L$18,10,FALSE),0))</f>
        <v>3.343407856743718E-2</v>
      </c>
      <c r="M176" s="306">
        <f>+IF($H176=M$2,VLOOKUP($G176,Depreciation!$A$14:$L$18,11,FALSE)/2,IF($H176&lt;M$2,VLOOKUP($G176,Depreciation!$A$14:$L$18,11,FALSE),0))</f>
        <v>3.343407856743718E-2</v>
      </c>
      <c r="N176" s="306">
        <f>+IF($H176=N$2,VLOOKUP($G176,Depreciation!$A$14:$L$18,12,FALSE)/2,IF($H176&lt;N$2,VLOOKUP($G176,Depreciation!$A$14:$L$18,12,FALSE),0))</f>
        <v>3.343407856743718E-2</v>
      </c>
      <c r="O176" s="307">
        <f t="shared" si="18"/>
        <v>56092254.770225666</v>
      </c>
      <c r="P176" s="732">
        <f>'Func Future Subs 2015'!P176</f>
        <v>0</v>
      </c>
      <c r="Q176" s="732">
        <f>'Func Future Subs 2015'!Q176</f>
        <v>0</v>
      </c>
      <c r="R176" s="732">
        <f>'Func Future Subs 2015'!R176</f>
        <v>1</v>
      </c>
      <c r="S176" s="735">
        <f t="shared" si="19"/>
        <v>0</v>
      </c>
      <c r="T176" s="735">
        <f t="shared" si="20"/>
        <v>0</v>
      </c>
      <c r="U176" s="735">
        <f t="shared" si="21"/>
        <v>56092254.770225666</v>
      </c>
      <c r="V176" s="736">
        <f t="shared" si="22"/>
        <v>56092254.770225666</v>
      </c>
      <c r="W176" s="735">
        <f t="shared" si="23"/>
        <v>0</v>
      </c>
      <c r="X176" s="737">
        <f t="shared" si="24"/>
        <v>0</v>
      </c>
      <c r="Y176" s="738">
        <f t="shared" si="25"/>
        <v>0</v>
      </c>
    </row>
    <row r="177" spans="1:25">
      <c r="A177" s="754" t="str">
        <f>'Func Future Subs 2015'!A177</f>
        <v>Crossings 511S Substation</v>
      </c>
      <c r="B177" s="754">
        <f>'Func Future Subs 2015'!B177</f>
        <v>737</v>
      </c>
      <c r="C177" s="754">
        <f>'Func Future Subs 2015'!C177</f>
        <v>500</v>
      </c>
      <c r="D177" s="754">
        <f>'Func Future Subs 2015'!D177</f>
        <v>240</v>
      </c>
      <c r="E177" s="754" t="str">
        <f>'Func Future Subs 2015'!E177</f>
        <v>511S</v>
      </c>
      <c r="F177" s="754">
        <f>'Func Future Subs 2015'!F177</f>
        <v>248522285.09999999</v>
      </c>
      <c r="G177" s="754" t="str">
        <f>'Func Future Subs 2015'!G177</f>
        <v>AltaLink</v>
      </c>
      <c r="H177" s="754">
        <f>'Func Future Subs 2015'!H177</f>
        <v>2015</v>
      </c>
      <c r="I177" s="306">
        <f>+IF($H177=I$2,VLOOKUP($G177,Depreciation!$A$14:$L$18,7,FALSE)/2,IF($H177&lt;I$2,VLOOKUP($G177,Depreciation!$A$14:$L$18,7,FALSE),0))</f>
        <v>1.7228380322441735E-2</v>
      </c>
      <c r="J177" s="306">
        <f>+IF($H177=J$2,VLOOKUP($G177,Depreciation!$A$14:$L$18,8,FALSE)/2,IF($H177&lt;J$2,VLOOKUP($G177,Depreciation!$A$14:$L$18,8,FALSE),0))</f>
        <v>3.343407856743718E-2</v>
      </c>
      <c r="K177" s="306">
        <f>+IF($H177=K$2,VLOOKUP($G177,Depreciation!$A$14:$L$18,9,FALSE)/2,IF($H177&lt;K$2,VLOOKUP($G177,Depreciation!$A$14:$L$18,9,FALSE),0))</f>
        <v>3.343407856743718E-2</v>
      </c>
      <c r="L177" s="306">
        <f>+IF($H177=L$2,VLOOKUP($G177,Depreciation!$A$14:$L$18,10,FALSE)/2,IF($H177&lt;L$2,VLOOKUP($G177,Depreciation!$A$14:$L$18,10,FALSE),0))</f>
        <v>3.343407856743718E-2</v>
      </c>
      <c r="M177" s="306">
        <f>+IF($H177=M$2,VLOOKUP($G177,Depreciation!$A$14:$L$18,11,FALSE)/2,IF($H177&lt;M$2,VLOOKUP($G177,Depreciation!$A$14:$L$18,11,FALSE),0))</f>
        <v>3.343407856743718E-2</v>
      </c>
      <c r="N177" s="306">
        <f>+IF($H177=N$2,VLOOKUP($G177,Depreciation!$A$14:$L$18,12,FALSE)/2,IF($H177&lt;N$2,VLOOKUP($G177,Depreciation!$A$14:$L$18,12,FALSE),0))</f>
        <v>3.343407856743718E-2</v>
      </c>
      <c r="O177" s="307">
        <f t="shared" si="18"/>
        <v>236074687.61724544</v>
      </c>
      <c r="P177" s="732">
        <f>'Func Future Subs 2015'!P177</f>
        <v>0</v>
      </c>
      <c r="Q177" s="732">
        <f>'Func Future Subs 2015'!Q177</f>
        <v>0</v>
      </c>
      <c r="R177" s="732">
        <f>'Func Future Subs 2015'!R177</f>
        <v>1</v>
      </c>
      <c r="S177" s="735">
        <f t="shared" si="19"/>
        <v>0</v>
      </c>
      <c r="T177" s="735">
        <f t="shared" si="20"/>
        <v>0</v>
      </c>
      <c r="U177" s="735">
        <f t="shared" si="21"/>
        <v>236074687.61724544</v>
      </c>
      <c r="V177" s="736">
        <f t="shared" si="22"/>
        <v>0</v>
      </c>
      <c r="W177" s="735">
        <f t="shared" si="23"/>
        <v>236074687.61724544</v>
      </c>
      <c r="X177" s="737">
        <f t="shared" si="24"/>
        <v>0</v>
      </c>
      <c r="Y177" s="738">
        <f t="shared" si="25"/>
        <v>0</v>
      </c>
    </row>
    <row r="178" spans="1:25">
      <c r="A178" s="754" t="str">
        <f>'Func Future Subs 2015'!A178</f>
        <v>Genesee 330P 962</v>
      </c>
      <c r="B178" s="754">
        <f>'Func Future Subs 2015'!B178</f>
        <v>737</v>
      </c>
      <c r="C178" s="754">
        <f>'Func Future Subs 2015'!C178</f>
        <v>500</v>
      </c>
      <c r="D178" s="754">
        <f>'Func Future Subs 2015'!D178</f>
        <v>240</v>
      </c>
      <c r="E178" s="754" t="str">
        <f>'Func Future Subs 2015'!E178</f>
        <v>330P</v>
      </c>
      <c r="F178" s="754">
        <f>'Func Future Subs 2015'!F178</f>
        <v>418379.53308123141</v>
      </c>
      <c r="G178" s="754" t="str">
        <f>'Func Future Subs 2015'!G178</f>
        <v>EPCOR</v>
      </c>
      <c r="H178" s="754">
        <f>'Func Future Subs 2015'!H178</f>
        <v>2015</v>
      </c>
      <c r="I178" s="306">
        <f>+IF($H178=I$2,VLOOKUP($G178,Depreciation!$A$14:$L$18,7,FALSE)/2,IF($H178&lt;I$2,VLOOKUP($G178,Depreciation!$A$14:$L$18,7,FALSE),0))</f>
        <v>2.0607513622398654E-2</v>
      </c>
      <c r="J178" s="306">
        <f>+IF($H178=J$2,VLOOKUP($G178,Depreciation!$A$14:$L$18,8,FALSE)/2,IF($H178&lt;J$2,VLOOKUP($G178,Depreciation!$A$14:$L$18,8,FALSE),0))</f>
        <v>4.1600055599844914E-2</v>
      </c>
      <c r="K178" s="306">
        <f>+IF($H178=K$2,VLOOKUP($G178,Depreciation!$A$14:$L$18,9,FALSE)/2,IF($H178&lt;K$2,VLOOKUP($G178,Depreciation!$A$14:$L$18,9,FALSE),0))</f>
        <v>4.1145263498658789E-2</v>
      </c>
      <c r="L178" s="306">
        <f>+IF($H178=L$2,VLOOKUP($G178,Depreciation!$A$14:$L$18,10,FALSE)/2,IF($H178&lt;L$2,VLOOKUP($G178,Depreciation!$A$14:$L$18,10,FALSE),0))</f>
        <v>4.1145263498658789E-2</v>
      </c>
      <c r="M178" s="306">
        <f>+IF($H178=M$2,VLOOKUP($G178,Depreciation!$A$14:$L$18,11,FALSE)/2,IF($H178&lt;M$2,VLOOKUP($G178,Depreciation!$A$14:$L$18,11,FALSE),0))</f>
        <v>4.1145263498658789E-2</v>
      </c>
      <c r="N178" s="306">
        <f>+IF($H178=N$2,VLOOKUP($G178,Depreciation!$A$14:$L$18,12,FALSE)/2,IF($H178&lt;N$2,VLOOKUP($G178,Depreciation!$A$14:$L$18,12,FALSE),0))</f>
        <v>4.1145263498658789E-2</v>
      </c>
      <c r="O178" s="307">
        <f t="shared" si="18"/>
        <v>392711.82509145525</v>
      </c>
      <c r="P178" s="732">
        <f>'Func Future Subs 2015'!P178</f>
        <v>0</v>
      </c>
      <c r="Q178" s="732">
        <f>'Func Future Subs 2015'!Q178</f>
        <v>0</v>
      </c>
      <c r="R178" s="732">
        <f>'Func Future Subs 2015'!R178</f>
        <v>1</v>
      </c>
      <c r="S178" s="735">
        <f t="shared" si="19"/>
        <v>0</v>
      </c>
      <c r="T178" s="735">
        <f t="shared" si="20"/>
        <v>0</v>
      </c>
      <c r="U178" s="735">
        <f t="shared" si="21"/>
        <v>392711.82509145525</v>
      </c>
      <c r="V178" s="736">
        <f t="shared" si="22"/>
        <v>0</v>
      </c>
      <c r="W178" s="735">
        <f t="shared" si="23"/>
        <v>392711.82509145525</v>
      </c>
      <c r="X178" s="737">
        <f t="shared" si="24"/>
        <v>0</v>
      </c>
      <c r="Y178" s="738">
        <f t="shared" si="25"/>
        <v>0</v>
      </c>
    </row>
    <row r="179" spans="1:25">
      <c r="A179" s="754" t="str">
        <f>'Func Future Subs 2015'!A179</f>
        <v>Langdon 102S Substation</v>
      </c>
      <c r="B179" s="754">
        <f>'Func Future Subs 2015'!B179</f>
        <v>737</v>
      </c>
      <c r="C179" s="754">
        <f>'Func Future Subs 2015'!C179</f>
        <v>240</v>
      </c>
      <c r="D179" s="754">
        <f>'Func Future Subs 2015'!D179</f>
        <v>240</v>
      </c>
      <c r="E179" s="754" t="str">
        <f>'Func Future Subs 2015'!E179</f>
        <v>102S</v>
      </c>
      <c r="F179" s="754">
        <f>'Func Future Subs 2015'!F179</f>
        <v>61400098.23974175</v>
      </c>
      <c r="G179" s="754" t="str">
        <f>'Func Future Subs 2015'!G179</f>
        <v>AltaLink</v>
      </c>
      <c r="H179" s="754">
        <f>'Func Future Subs 2015'!H179</f>
        <v>2015</v>
      </c>
      <c r="I179" s="306">
        <f>+IF($H179=I$2,VLOOKUP($G179,Depreciation!$A$14:$L$18,7,FALSE)/2,IF($H179&lt;I$2,VLOOKUP($G179,Depreciation!$A$14:$L$18,7,FALSE),0))</f>
        <v>1.7228380322441735E-2</v>
      </c>
      <c r="J179" s="306">
        <f>+IF($H179=J$2,VLOOKUP($G179,Depreciation!$A$14:$L$18,8,FALSE)/2,IF($H179&lt;J$2,VLOOKUP($G179,Depreciation!$A$14:$L$18,8,FALSE),0))</f>
        <v>3.343407856743718E-2</v>
      </c>
      <c r="K179" s="306">
        <f>+IF($H179=K$2,VLOOKUP($G179,Depreciation!$A$14:$L$18,9,FALSE)/2,IF($H179&lt;K$2,VLOOKUP($G179,Depreciation!$A$14:$L$18,9,FALSE),0))</f>
        <v>3.343407856743718E-2</v>
      </c>
      <c r="L179" s="306">
        <f>+IF($H179=L$2,VLOOKUP($G179,Depreciation!$A$14:$L$18,10,FALSE)/2,IF($H179&lt;L$2,VLOOKUP($G179,Depreciation!$A$14:$L$18,10,FALSE),0))</f>
        <v>3.343407856743718E-2</v>
      </c>
      <c r="M179" s="306">
        <f>+IF($H179=M$2,VLOOKUP($G179,Depreciation!$A$14:$L$18,11,FALSE)/2,IF($H179&lt;M$2,VLOOKUP($G179,Depreciation!$A$14:$L$18,11,FALSE),0))</f>
        <v>3.343407856743718E-2</v>
      </c>
      <c r="N179" s="306">
        <f>+IF($H179=N$2,VLOOKUP($G179,Depreciation!$A$14:$L$18,12,FALSE)/2,IF($H179&lt;N$2,VLOOKUP($G179,Depreciation!$A$14:$L$18,12,FALSE),0))</f>
        <v>3.343407856743718E-2</v>
      </c>
      <c r="O179" s="307">
        <f t="shared" si="18"/>
        <v>58324785.665731087</v>
      </c>
      <c r="P179" s="732">
        <f>'Func Future Subs 2015'!P179</f>
        <v>0</v>
      </c>
      <c r="Q179" s="732">
        <f>'Func Future Subs 2015'!Q179</f>
        <v>0</v>
      </c>
      <c r="R179" s="732">
        <f>'Func Future Subs 2015'!R179</f>
        <v>1</v>
      </c>
      <c r="S179" s="735">
        <f t="shared" si="19"/>
        <v>0</v>
      </c>
      <c r="T179" s="735">
        <f t="shared" si="20"/>
        <v>0</v>
      </c>
      <c r="U179" s="735">
        <f t="shared" si="21"/>
        <v>58324785.665731087</v>
      </c>
      <c r="V179" s="736">
        <f t="shared" si="22"/>
        <v>0</v>
      </c>
      <c r="W179" s="735">
        <f t="shared" si="23"/>
        <v>58324785.665731087</v>
      </c>
      <c r="X179" s="737">
        <f t="shared" si="24"/>
        <v>0</v>
      </c>
      <c r="Y179" s="738">
        <f t="shared" si="25"/>
        <v>0</v>
      </c>
    </row>
    <row r="180" spans="1:25">
      <c r="A180" s="754" t="str">
        <f>'Func Future Subs 2015'!A180</f>
        <v>Milo 356S_180</v>
      </c>
      <c r="B180" s="754">
        <f>'Func Future Subs 2015'!B180</f>
        <v>737</v>
      </c>
      <c r="C180" s="754">
        <f>'Func Future Subs 2015'!C180</f>
        <v>240</v>
      </c>
      <c r="D180" s="754">
        <f>'Func Future Subs 2015'!D180</f>
        <v>240</v>
      </c>
      <c r="E180" s="754" t="str">
        <f>'Func Future Subs 2015'!E180</f>
        <v>356S</v>
      </c>
      <c r="F180" s="754">
        <f>'Func Future Subs 2015'!F180</f>
        <v>403965.62500399671</v>
      </c>
      <c r="G180" s="754" t="str">
        <f>'Func Future Subs 2015'!G180</f>
        <v>AltaLink</v>
      </c>
      <c r="H180" s="754">
        <f>'Func Future Subs 2015'!H180</f>
        <v>2015</v>
      </c>
      <c r="I180" s="306">
        <f>+IF($H180=I$2,VLOOKUP($G180,Depreciation!$A$14:$L$18,7,FALSE)/2,IF($H180&lt;I$2,VLOOKUP($G180,Depreciation!$A$14:$L$18,7,FALSE),0))</f>
        <v>1.7228380322441735E-2</v>
      </c>
      <c r="J180" s="306">
        <f>+IF($H180=J$2,VLOOKUP($G180,Depreciation!$A$14:$L$18,8,FALSE)/2,IF($H180&lt;J$2,VLOOKUP($G180,Depreciation!$A$14:$L$18,8,FALSE),0))</f>
        <v>3.343407856743718E-2</v>
      </c>
      <c r="K180" s="306">
        <f>+IF($H180=K$2,VLOOKUP($G180,Depreciation!$A$14:$L$18,9,FALSE)/2,IF($H180&lt;K$2,VLOOKUP($G180,Depreciation!$A$14:$L$18,9,FALSE),0))</f>
        <v>3.343407856743718E-2</v>
      </c>
      <c r="L180" s="306">
        <f>+IF($H180=L$2,VLOOKUP($G180,Depreciation!$A$14:$L$18,10,FALSE)/2,IF($H180&lt;L$2,VLOOKUP($G180,Depreciation!$A$14:$L$18,10,FALSE),0))</f>
        <v>3.343407856743718E-2</v>
      </c>
      <c r="M180" s="306">
        <f>+IF($H180=M$2,VLOOKUP($G180,Depreciation!$A$14:$L$18,11,FALSE)/2,IF($H180&lt;M$2,VLOOKUP($G180,Depreciation!$A$14:$L$18,11,FALSE),0))</f>
        <v>3.343407856743718E-2</v>
      </c>
      <c r="N180" s="306">
        <f>+IF($H180=N$2,VLOOKUP($G180,Depreciation!$A$14:$L$18,12,FALSE)/2,IF($H180&lt;N$2,VLOOKUP($G180,Depreciation!$A$14:$L$18,12,FALSE),0))</f>
        <v>3.343407856743718E-2</v>
      </c>
      <c r="O180" s="307">
        <f t="shared" si="18"/>
        <v>383732.42340239469</v>
      </c>
      <c r="P180" s="732">
        <f>'Func Future Subs 2015'!P180</f>
        <v>0</v>
      </c>
      <c r="Q180" s="732">
        <f>'Func Future Subs 2015'!Q180</f>
        <v>0</v>
      </c>
      <c r="R180" s="732">
        <f>'Func Future Subs 2015'!R180</f>
        <v>1</v>
      </c>
      <c r="S180" s="735">
        <f t="shared" si="19"/>
        <v>0</v>
      </c>
      <c r="T180" s="735">
        <f t="shared" si="20"/>
        <v>0</v>
      </c>
      <c r="U180" s="735">
        <f t="shared" si="21"/>
        <v>383732.42340239469</v>
      </c>
      <c r="V180" s="736">
        <f t="shared" si="22"/>
        <v>0</v>
      </c>
      <c r="W180" s="735">
        <f t="shared" si="23"/>
        <v>383732.42340239469</v>
      </c>
      <c r="X180" s="737">
        <f t="shared" si="24"/>
        <v>0</v>
      </c>
      <c r="Y180" s="738">
        <f t="shared" si="25"/>
        <v>0</v>
      </c>
    </row>
    <row r="181" spans="1:25">
      <c r="A181" s="754" t="str">
        <f>'Func Future Subs 2015'!A181</f>
        <v>RPT1 17S_180</v>
      </c>
      <c r="B181" s="754">
        <f>'Func Future Subs 2015'!B181</f>
        <v>737</v>
      </c>
      <c r="C181" s="754">
        <f>'Func Future Subs 2015'!C181</f>
        <v>240</v>
      </c>
      <c r="D181" s="754">
        <f>'Func Future Subs 2015'!D181</f>
        <v>25</v>
      </c>
      <c r="E181" s="754" t="str">
        <f>'Func Future Subs 2015'!E181</f>
        <v>17S</v>
      </c>
      <c r="F181" s="754">
        <f>'Func Future Subs 2015'!F181</f>
        <v>748276.10411280254</v>
      </c>
      <c r="G181" s="754" t="str">
        <f>'Func Future Subs 2015'!G181</f>
        <v>AltaLink</v>
      </c>
      <c r="H181" s="754">
        <f>'Func Future Subs 2015'!H181</f>
        <v>2015</v>
      </c>
      <c r="I181" s="306">
        <f>+IF($H181=I$2,VLOOKUP($G181,Depreciation!$A$14:$L$18,7,FALSE)/2,IF($H181&lt;I$2,VLOOKUP($G181,Depreciation!$A$14:$L$18,7,FALSE),0))</f>
        <v>1.7228380322441735E-2</v>
      </c>
      <c r="J181" s="306">
        <f>+IF($H181=J$2,VLOOKUP($G181,Depreciation!$A$14:$L$18,8,FALSE)/2,IF($H181&lt;J$2,VLOOKUP($G181,Depreciation!$A$14:$L$18,8,FALSE),0))</f>
        <v>3.343407856743718E-2</v>
      </c>
      <c r="K181" s="306">
        <f>+IF($H181=K$2,VLOOKUP($G181,Depreciation!$A$14:$L$18,9,FALSE)/2,IF($H181&lt;K$2,VLOOKUP($G181,Depreciation!$A$14:$L$18,9,FALSE),0))</f>
        <v>3.343407856743718E-2</v>
      </c>
      <c r="L181" s="306">
        <f>+IF($H181=L$2,VLOOKUP($G181,Depreciation!$A$14:$L$18,10,FALSE)/2,IF($H181&lt;L$2,VLOOKUP($G181,Depreciation!$A$14:$L$18,10,FALSE),0))</f>
        <v>3.343407856743718E-2</v>
      </c>
      <c r="M181" s="306">
        <f>+IF($H181=M$2,VLOOKUP($G181,Depreciation!$A$14:$L$18,11,FALSE)/2,IF($H181&lt;M$2,VLOOKUP($G181,Depreciation!$A$14:$L$18,11,FALSE),0))</f>
        <v>3.343407856743718E-2</v>
      </c>
      <c r="N181" s="306">
        <f>+IF($H181=N$2,VLOOKUP($G181,Depreciation!$A$14:$L$18,12,FALSE)/2,IF($H181&lt;N$2,VLOOKUP($G181,Depreciation!$A$14:$L$18,12,FALSE),0))</f>
        <v>3.343407856743718E-2</v>
      </c>
      <c r="O181" s="307">
        <f t="shared" si="18"/>
        <v>710797.61502595036</v>
      </c>
      <c r="P181" s="732">
        <f>'Func Future Subs 2015'!P181</f>
        <v>0</v>
      </c>
      <c r="Q181" s="732">
        <f>'Func Future Subs 2015'!Q181</f>
        <v>1</v>
      </c>
      <c r="R181" s="732">
        <f>'Func Future Subs 2015'!R181</f>
        <v>0</v>
      </c>
      <c r="S181" s="735">
        <f t="shared" si="19"/>
        <v>0</v>
      </c>
      <c r="T181" s="735">
        <f t="shared" si="20"/>
        <v>710797.61502595036</v>
      </c>
      <c r="U181" s="735">
        <f t="shared" si="21"/>
        <v>0</v>
      </c>
      <c r="V181" s="736">
        <f t="shared" si="22"/>
        <v>0</v>
      </c>
      <c r="W181" s="735">
        <f t="shared" si="23"/>
        <v>0</v>
      </c>
      <c r="X181" s="737">
        <f t="shared" si="24"/>
        <v>0</v>
      </c>
      <c r="Y181" s="738">
        <f t="shared" si="25"/>
        <v>710797.61502595036</v>
      </c>
    </row>
    <row r="182" spans="1:25">
      <c r="A182" s="754" t="str">
        <f>'Func Future Subs 2015'!A182</f>
        <v>RPT2- Jackville_180</v>
      </c>
      <c r="B182" s="754">
        <f>'Func Future Subs 2015'!B182</f>
        <v>737</v>
      </c>
      <c r="C182" s="754">
        <f>'Func Future Subs 2015'!C182</f>
        <v>240</v>
      </c>
      <c r="D182" s="754">
        <f>'Func Future Subs 2015'!D182</f>
        <v>0</v>
      </c>
      <c r="E182" s="754">
        <f>'Func Future Subs 2015'!E182</f>
        <v>0</v>
      </c>
      <c r="F182" s="754">
        <f>'Func Future Subs 2015'!F182</f>
        <v>440477.54930957168</v>
      </c>
      <c r="G182" s="754" t="str">
        <f>'Func Future Subs 2015'!G182</f>
        <v>AltaLink</v>
      </c>
      <c r="H182" s="754">
        <f>'Func Future Subs 2015'!H182</f>
        <v>2015</v>
      </c>
      <c r="I182" s="306">
        <f>+IF($H182=I$2,VLOOKUP($G182,Depreciation!$A$14:$L$18,7,FALSE)/2,IF($H182&lt;I$2,VLOOKUP($G182,Depreciation!$A$14:$L$18,7,FALSE),0))</f>
        <v>1.7228380322441735E-2</v>
      </c>
      <c r="J182" s="306">
        <f>+IF($H182=J$2,VLOOKUP($G182,Depreciation!$A$14:$L$18,8,FALSE)/2,IF($H182&lt;J$2,VLOOKUP($G182,Depreciation!$A$14:$L$18,8,FALSE),0))</f>
        <v>3.343407856743718E-2</v>
      </c>
      <c r="K182" s="306">
        <f>+IF($H182=K$2,VLOOKUP($G182,Depreciation!$A$14:$L$18,9,FALSE)/2,IF($H182&lt;K$2,VLOOKUP($G182,Depreciation!$A$14:$L$18,9,FALSE),0))</f>
        <v>3.343407856743718E-2</v>
      </c>
      <c r="L182" s="306">
        <f>+IF($H182=L$2,VLOOKUP($G182,Depreciation!$A$14:$L$18,10,FALSE)/2,IF($H182&lt;L$2,VLOOKUP($G182,Depreciation!$A$14:$L$18,10,FALSE),0))</f>
        <v>3.343407856743718E-2</v>
      </c>
      <c r="M182" s="306">
        <f>+IF($H182=M$2,VLOOKUP($G182,Depreciation!$A$14:$L$18,11,FALSE)/2,IF($H182&lt;M$2,VLOOKUP($G182,Depreciation!$A$14:$L$18,11,FALSE),0))</f>
        <v>3.343407856743718E-2</v>
      </c>
      <c r="N182" s="306">
        <f>+IF($H182=N$2,VLOOKUP($G182,Depreciation!$A$14:$L$18,12,FALSE)/2,IF($H182&lt;N$2,VLOOKUP($G182,Depreciation!$A$14:$L$18,12,FALSE),0))</f>
        <v>3.343407856743718E-2</v>
      </c>
      <c r="O182" s="307">
        <f t="shared" si="18"/>
        <v>418415.59526070429</v>
      </c>
      <c r="P182" s="732">
        <f>'Func Future Subs 2015'!P182</f>
        <v>0</v>
      </c>
      <c r="Q182" s="732">
        <f>'Func Future Subs 2015'!Q182</f>
        <v>0</v>
      </c>
      <c r="R182" s="732">
        <f>'Func Future Subs 2015'!R182</f>
        <v>1</v>
      </c>
      <c r="S182" s="735">
        <f t="shared" si="19"/>
        <v>0</v>
      </c>
      <c r="T182" s="735">
        <f t="shared" si="20"/>
        <v>0</v>
      </c>
      <c r="U182" s="735">
        <f t="shared" si="21"/>
        <v>418415.59526070429</v>
      </c>
      <c r="V182" s="736">
        <f t="shared" si="22"/>
        <v>418415.59526070429</v>
      </c>
      <c r="W182" s="735">
        <f t="shared" si="23"/>
        <v>0</v>
      </c>
      <c r="X182" s="737">
        <f t="shared" si="24"/>
        <v>0</v>
      </c>
      <c r="Y182" s="738">
        <f t="shared" si="25"/>
        <v>0</v>
      </c>
    </row>
    <row r="183" spans="1:25">
      <c r="A183" s="754" t="str">
        <f>'Func Future Subs 2015'!A183</f>
        <v>RPT3- Knob Hill_180</v>
      </c>
      <c r="B183" s="754">
        <f>'Func Future Subs 2015'!B183</f>
        <v>737</v>
      </c>
      <c r="C183" s="754">
        <f>'Func Future Subs 2015'!C183</f>
        <v>240</v>
      </c>
      <c r="D183" s="754">
        <f>'Func Future Subs 2015'!D183</f>
        <v>0</v>
      </c>
      <c r="E183" s="754">
        <f>'Func Future Subs 2015'!E183</f>
        <v>0</v>
      </c>
      <c r="F183" s="754">
        <f>'Func Future Subs 2015'!F183</f>
        <v>413456.98863797617</v>
      </c>
      <c r="G183" s="754" t="str">
        <f>'Func Future Subs 2015'!G183</f>
        <v>AltaLink</v>
      </c>
      <c r="H183" s="754">
        <f>'Func Future Subs 2015'!H183</f>
        <v>2015</v>
      </c>
      <c r="I183" s="306">
        <f>+IF($H183=I$2,VLOOKUP($G183,Depreciation!$A$14:$L$18,7,FALSE)/2,IF($H183&lt;I$2,VLOOKUP($G183,Depreciation!$A$14:$L$18,7,FALSE),0))</f>
        <v>1.7228380322441735E-2</v>
      </c>
      <c r="J183" s="306">
        <f>+IF($H183=J$2,VLOOKUP($G183,Depreciation!$A$14:$L$18,8,FALSE)/2,IF($H183&lt;J$2,VLOOKUP($G183,Depreciation!$A$14:$L$18,8,FALSE),0))</f>
        <v>3.343407856743718E-2</v>
      </c>
      <c r="K183" s="306">
        <f>+IF($H183=K$2,VLOOKUP($G183,Depreciation!$A$14:$L$18,9,FALSE)/2,IF($H183&lt;K$2,VLOOKUP($G183,Depreciation!$A$14:$L$18,9,FALSE),0))</f>
        <v>3.343407856743718E-2</v>
      </c>
      <c r="L183" s="306">
        <f>+IF($H183=L$2,VLOOKUP($G183,Depreciation!$A$14:$L$18,10,FALSE)/2,IF($H183&lt;L$2,VLOOKUP($G183,Depreciation!$A$14:$L$18,10,FALSE),0))</f>
        <v>3.343407856743718E-2</v>
      </c>
      <c r="M183" s="306">
        <f>+IF($H183=M$2,VLOOKUP($G183,Depreciation!$A$14:$L$18,11,FALSE)/2,IF($H183&lt;M$2,VLOOKUP($G183,Depreciation!$A$14:$L$18,11,FALSE),0))</f>
        <v>3.343407856743718E-2</v>
      </c>
      <c r="N183" s="306">
        <f>+IF($H183=N$2,VLOOKUP($G183,Depreciation!$A$14:$L$18,12,FALSE)/2,IF($H183&lt;N$2,VLOOKUP($G183,Depreciation!$A$14:$L$18,12,FALSE),0))</f>
        <v>3.343407856743718E-2</v>
      </c>
      <c r="O183" s="307">
        <f t="shared" si="18"/>
        <v>392748.39838448446</v>
      </c>
      <c r="P183" s="732">
        <f>'Func Future Subs 2015'!P183</f>
        <v>0</v>
      </c>
      <c r="Q183" s="732">
        <f>'Func Future Subs 2015'!Q183</f>
        <v>0</v>
      </c>
      <c r="R183" s="732">
        <f>'Func Future Subs 2015'!R183</f>
        <v>1</v>
      </c>
      <c r="S183" s="735">
        <f t="shared" si="19"/>
        <v>0</v>
      </c>
      <c r="T183" s="735">
        <f t="shared" si="20"/>
        <v>0</v>
      </c>
      <c r="U183" s="735">
        <f t="shared" si="21"/>
        <v>392748.39838448446</v>
      </c>
      <c r="V183" s="736">
        <f t="shared" si="22"/>
        <v>392748.39838448446</v>
      </c>
      <c r="W183" s="735">
        <f t="shared" si="23"/>
        <v>0</v>
      </c>
      <c r="X183" s="737">
        <f t="shared" si="24"/>
        <v>0</v>
      </c>
      <c r="Y183" s="738">
        <f t="shared" si="25"/>
        <v>0</v>
      </c>
    </row>
    <row r="184" spans="1:25">
      <c r="A184" s="754" t="str">
        <f>'Func Future Subs 2015'!A184</f>
        <v>Sunnybrook 510S Substation</v>
      </c>
      <c r="B184" s="754">
        <f>'Func Future Subs 2015'!B184</f>
        <v>737</v>
      </c>
      <c r="C184" s="754">
        <f>'Func Future Subs 2015'!C184</f>
        <v>500</v>
      </c>
      <c r="D184" s="754">
        <f>'Func Future Subs 2015'!D184</f>
        <v>500</v>
      </c>
      <c r="E184" s="754" t="str">
        <f>'Func Future Subs 2015'!E184</f>
        <v>510S</v>
      </c>
      <c r="F184" s="754">
        <f>'Func Future Subs 2015'!F184</f>
        <v>355813227.30000001</v>
      </c>
      <c r="G184" s="754" t="str">
        <f>'Func Future Subs 2015'!G184</f>
        <v>AltaLink</v>
      </c>
      <c r="H184" s="754">
        <f>'Func Future Subs 2015'!H184</f>
        <v>2015</v>
      </c>
      <c r="I184" s="306">
        <f>+IF($H184=I$2,VLOOKUP($G184,Depreciation!$A$14:$L$18,7,FALSE)/2,IF($H184&lt;I$2,VLOOKUP($G184,Depreciation!$A$14:$L$18,7,FALSE),0))</f>
        <v>1.7228380322441735E-2</v>
      </c>
      <c r="J184" s="306">
        <f>+IF($H184=J$2,VLOOKUP($G184,Depreciation!$A$14:$L$18,8,FALSE)/2,IF($H184&lt;J$2,VLOOKUP($G184,Depreciation!$A$14:$L$18,8,FALSE),0))</f>
        <v>3.343407856743718E-2</v>
      </c>
      <c r="K184" s="306">
        <f>+IF($H184=K$2,VLOOKUP($G184,Depreciation!$A$14:$L$18,9,FALSE)/2,IF($H184&lt;K$2,VLOOKUP($G184,Depreciation!$A$14:$L$18,9,FALSE),0))</f>
        <v>3.343407856743718E-2</v>
      </c>
      <c r="L184" s="306">
        <f>+IF($H184=L$2,VLOOKUP($G184,Depreciation!$A$14:$L$18,10,FALSE)/2,IF($H184&lt;L$2,VLOOKUP($G184,Depreciation!$A$14:$L$18,10,FALSE),0))</f>
        <v>3.343407856743718E-2</v>
      </c>
      <c r="M184" s="306">
        <f>+IF($H184=M$2,VLOOKUP($G184,Depreciation!$A$14:$L$18,11,FALSE)/2,IF($H184&lt;M$2,VLOOKUP($G184,Depreciation!$A$14:$L$18,11,FALSE),0))</f>
        <v>3.343407856743718E-2</v>
      </c>
      <c r="N184" s="306">
        <f>+IF($H184=N$2,VLOOKUP($G184,Depreciation!$A$14:$L$18,12,FALSE)/2,IF($H184&lt;N$2,VLOOKUP($G184,Depreciation!$A$14:$L$18,12,FALSE),0))</f>
        <v>3.343407856743718E-2</v>
      </c>
      <c r="O184" s="307">
        <f t="shared" si="18"/>
        <v>337991808.06313711</v>
      </c>
      <c r="P184" s="732">
        <f>'Func Future Subs 2015'!P184</f>
        <v>0</v>
      </c>
      <c r="Q184" s="732">
        <f>'Func Future Subs 2015'!Q184</f>
        <v>0</v>
      </c>
      <c r="R184" s="732">
        <f>'Func Future Subs 2015'!R184</f>
        <v>1</v>
      </c>
      <c r="S184" s="735">
        <f t="shared" si="19"/>
        <v>0</v>
      </c>
      <c r="T184" s="735">
        <f t="shared" si="20"/>
        <v>0</v>
      </c>
      <c r="U184" s="735">
        <f t="shared" si="21"/>
        <v>337991808.06313711</v>
      </c>
      <c r="V184" s="736">
        <f t="shared" si="22"/>
        <v>0</v>
      </c>
      <c r="W184" s="735">
        <f t="shared" si="23"/>
        <v>337991808.06313711</v>
      </c>
      <c r="X184" s="737">
        <f t="shared" si="24"/>
        <v>0</v>
      </c>
      <c r="Y184" s="738">
        <f t="shared" si="25"/>
        <v>0</v>
      </c>
    </row>
    <row r="185" spans="1:25">
      <c r="A185" s="754" t="str">
        <f>'Func Future Subs 2015'!A185</f>
        <v>825S Whitefish Lake_v181</v>
      </c>
      <c r="B185" s="754">
        <f>'Func Future Subs 2015'!B185</f>
        <v>1101</v>
      </c>
      <c r="C185" s="754">
        <f>'Func Future Subs 2015'!C185</f>
        <v>240</v>
      </c>
      <c r="D185" s="754">
        <f>'Func Future Subs 2015'!D185</f>
        <v>240</v>
      </c>
      <c r="E185" s="754" t="str">
        <f>'Func Future Subs 2015'!E185</f>
        <v>825S</v>
      </c>
      <c r="F185" s="754">
        <f>'Func Future Subs 2015'!F185</f>
        <v>53066.077171378703</v>
      </c>
      <c r="G185" s="754" t="str">
        <f>'Func Future Subs 2015'!G185</f>
        <v>ATCO</v>
      </c>
      <c r="H185" s="754">
        <f>'Func Future Subs 2015'!H185</f>
        <v>2016</v>
      </c>
      <c r="I185" s="306">
        <f>+IF($H185=I$2,VLOOKUP($G185,Depreciation!$A$14:$L$18,7,FALSE)/2,IF($H185&lt;I$2,VLOOKUP($G185,Depreciation!$A$14:$L$18,7,FALSE),0))</f>
        <v>0</v>
      </c>
      <c r="J185" s="306">
        <f>+IF($H185=J$2,VLOOKUP($G185,Depreciation!$A$14:$L$18,8,FALSE)/2,IF($H185&lt;J$2,VLOOKUP($G185,Depreciation!$A$14:$L$18,8,FALSE),0))</f>
        <v>1.231622525054236E-2</v>
      </c>
      <c r="K185" s="306">
        <f>+IF($H185=K$2,VLOOKUP($G185,Depreciation!$A$14:$L$18,9,FALSE)/2,IF($H185&lt;K$2,VLOOKUP($G185,Depreciation!$A$14:$L$18,9,FALSE),0))</f>
        <v>2.4351536427798831E-2</v>
      </c>
      <c r="L185" s="306">
        <f>+IF($H185=L$2,VLOOKUP($G185,Depreciation!$A$14:$L$18,10,FALSE)/2,IF($H185&lt;L$2,VLOOKUP($G185,Depreciation!$A$14:$L$18,10,FALSE),0))</f>
        <v>2.4351536427798831E-2</v>
      </c>
      <c r="M185" s="306">
        <f>+IF($H185=M$2,VLOOKUP($G185,Depreciation!$A$14:$L$18,11,FALSE)/2,IF($H185&lt;M$2,VLOOKUP($G185,Depreciation!$A$14:$L$18,11,FALSE),0))</f>
        <v>2.4351536427798831E-2</v>
      </c>
      <c r="N185" s="306">
        <f>+IF($H185=N$2,VLOOKUP($G185,Depreciation!$A$14:$L$18,12,FALSE)/2,IF($H185&lt;N$2,VLOOKUP($G185,Depreciation!$A$14:$L$18,12,FALSE),0))</f>
        <v>2.4351536427798831E-2</v>
      </c>
      <c r="O185" s="307">
        <f t="shared" si="18"/>
        <v>52412.503411773345</v>
      </c>
      <c r="P185" s="732">
        <f>'Func Future Subs 2015'!P185</f>
        <v>0</v>
      </c>
      <c r="Q185" s="732">
        <f>'Func Future Subs 2015'!Q185</f>
        <v>0</v>
      </c>
      <c r="R185" s="732">
        <f>'Func Future Subs 2015'!R185</f>
        <v>1</v>
      </c>
      <c r="S185" s="735">
        <f t="shared" si="19"/>
        <v>0</v>
      </c>
      <c r="T185" s="735">
        <f t="shared" si="20"/>
        <v>0</v>
      </c>
      <c r="U185" s="735">
        <f t="shared" si="21"/>
        <v>52412.503411773345</v>
      </c>
      <c r="V185" s="736">
        <f t="shared" si="22"/>
        <v>0</v>
      </c>
      <c r="W185" s="735">
        <f t="shared" si="23"/>
        <v>52412.503411773345</v>
      </c>
      <c r="X185" s="737">
        <f t="shared" si="24"/>
        <v>0</v>
      </c>
      <c r="Y185" s="738">
        <f t="shared" si="25"/>
        <v>0</v>
      </c>
    </row>
    <row r="186" spans="1:25">
      <c r="A186" s="754" t="str">
        <f>'Func Future Subs 2015'!A186</f>
        <v>898S Heart Lake_v181</v>
      </c>
      <c r="B186" s="754">
        <f>'Func Future Subs 2015'!B186</f>
        <v>1101</v>
      </c>
      <c r="C186" s="754">
        <f>'Func Future Subs 2015'!C186</f>
        <v>240</v>
      </c>
      <c r="D186" s="754">
        <f>'Func Future Subs 2015'!D186</f>
        <v>144</v>
      </c>
      <c r="E186" s="754" t="str">
        <f>'Func Future Subs 2015'!E186</f>
        <v>898S</v>
      </c>
      <c r="F186" s="754">
        <f>'Func Future Subs 2015'!F186</f>
        <v>16501631.680569168</v>
      </c>
      <c r="G186" s="754" t="str">
        <f>'Func Future Subs 2015'!G186</f>
        <v>ATCO</v>
      </c>
      <c r="H186" s="754">
        <f>'Func Future Subs 2015'!H186</f>
        <v>2016</v>
      </c>
      <c r="I186" s="306">
        <f>+IF($H186=I$2,VLOOKUP($G186,Depreciation!$A$14:$L$18,7,FALSE)/2,IF($H186&lt;I$2,VLOOKUP($G186,Depreciation!$A$14:$L$18,7,FALSE),0))</f>
        <v>0</v>
      </c>
      <c r="J186" s="306">
        <f>+IF($H186=J$2,VLOOKUP($G186,Depreciation!$A$14:$L$18,8,FALSE)/2,IF($H186&lt;J$2,VLOOKUP($G186,Depreciation!$A$14:$L$18,8,FALSE),0))</f>
        <v>1.231622525054236E-2</v>
      </c>
      <c r="K186" s="306">
        <f>+IF($H186=K$2,VLOOKUP($G186,Depreciation!$A$14:$L$18,9,FALSE)/2,IF($H186&lt;K$2,VLOOKUP($G186,Depreciation!$A$14:$L$18,9,FALSE),0))</f>
        <v>2.4351536427798831E-2</v>
      </c>
      <c r="L186" s="306">
        <f>+IF($H186=L$2,VLOOKUP($G186,Depreciation!$A$14:$L$18,10,FALSE)/2,IF($H186&lt;L$2,VLOOKUP($G186,Depreciation!$A$14:$L$18,10,FALSE),0))</f>
        <v>2.4351536427798831E-2</v>
      </c>
      <c r="M186" s="306">
        <f>+IF($H186=M$2,VLOOKUP($G186,Depreciation!$A$14:$L$18,11,FALSE)/2,IF($H186&lt;M$2,VLOOKUP($G186,Depreciation!$A$14:$L$18,11,FALSE),0))</f>
        <v>2.4351536427798831E-2</v>
      </c>
      <c r="N186" s="306">
        <f>+IF($H186=N$2,VLOOKUP($G186,Depreciation!$A$14:$L$18,12,FALSE)/2,IF($H186&lt;N$2,VLOOKUP($G186,Depreciation!$A$14:$L$18,12,FALSE),0))</f>
        <v>2.4351536427798831E-2</v>
      </c>
      <c r="O186" s="307">
        <f t="shared" si="18"/>
        <v>16298393.867789794</v>
      </c>
      <c r="P186" s="732">
        <f>'Func Future Subs 2015'!P186</f>
        <v>0</v>
      </c>
      <c r="Q186" s="732">
        <f>'Func Future Subs 2015'!Q186</f>
        <v>0</v>
      </c>
      <c r="R186" s="732">
        <f>'Func Future Subs 2015'!R186</f>
        <v>1</v>
      </c>
      <c r="S186" s="735">
        <f t="shared" si="19"/>
        <v>0</v>
      </c>
      <c r="T186" s="735">
        <f t="shared" si="20"/>
        <v>0</v>
      </c>
      <c r="U186" s="735">
        <f t="shared" si="21"/>
        <v>16298393.867789794</v>
      </c>
      <c r="V186" s="736">
        <f t="shared" si="22"/>
        <v>0</v>
      </c>
      <c r="W186" s="735">
        <f t="shared" si="23"/>
        <v>0</v>
      </c>
      <c r="X186" s="737">
        <f t="shared" si="24"/>
        <v>16298393.867789794</v>
      </c>
      <c r="Y186" s="738">
        <f t="shared" si="25"/>
        <v>0</v>
      </c>
    </row>
    <row r="187" spans="1:25">
      <c r="A187" s="754" t="str">
        <f>'Func Future Subs 2015'!A187</f>
        <v>Black Spruce 154S mod 180</v>
      </c>
      <c r="B187" s="754">
        <f>'Func Future Subs 2015'!B187</f>
        <v>1101</v>
      </c>
      <c r="C187" s="754">
        <f>'Func Future Subs 2015'!C187</f>
        <v>240</v>
      </c>
      <c r="D187" s="754">
        <f>'Func Future Subs 2015'!D187</f>
        <v>240</v>
      </c>
      <c r="E187" s="754" t="str">
        <f>'Func Future Subs 2015'!E187</f>
        <v>154S</v>
      </c>
      <c r="F187" s="754">
        <f>'Func Future Subs 2015'!F187</f>
        <v>412500.85892165155</v>
      </c>
      <c r="G187" s="754" t="str">
        <f>'Func Future Subs 2015'!G187</f>
        <v>AltaLink</v>
      </c>
      <c r="H187" s="754">
        <f>'Func Future Subs 2015'!H187</f>
        <v>2016</v>
      </c>
      <c r="I187" s="306">
        <f>+IF($H187=I$2,VLOOKUP($G187,Depreciation!$A$14:$L$18,7,FALSE)/2,IF($H187&lt;I$2,VLOOKUP($G187,Depreciation!$A$14:$L$18,7,FALSE),0))</f>
        <v>0</v>
      </c>
      <c r="J187" s="306">
        <f>+IF($H187=J$2,VLOOKUP($G187,Depreciation!$A$14:$L$18,8,FALSE)/2,IF($H187&lt;J$2,VLOOKUP($G187,Depreciation!$A$14:$L$18,8,FALSE),0))</f>
        <v>1.671703928371859E-2</v>
      </c>
      <c r="K187" s="306">
        <f>+IF($H187=K$2,VLOOKUP($G187,Depreciation!$A$14:$L$18,9,FALSE)/2,IF($H187&lt;K$2,VLOOKUP($G187,Depreciation!$A$14:$L$18,9,FALSE),0))</f>
        <v>3.343407856743718E-2</v>
      </c>
      <c r="L187" s="306">
        <f>+IF($H187=L$2,VLOOKUP($G187,Depreciation!$A$14:$L$18,10,FALSE)/2,IF($H187&lt;L$2,VLOOKUP($G187,Depreciation!$A$14:$L$18,10,FALSE),0))</f>
        <v>3.343407856743718E-2</v>
      </c>
      <c r="M187" s="306">
        <f>+IF($H187=M$2,VLOOKUP($G187,Depreciation!$A$14:$L$18,11,FALSE)/2,IF($H187&lt;M$2,VLOOKUP($G187,Depreciation!$A$14:$L$18,11,FALSE),0))</f>
        <v>3.343407856743718E-2</v>
      </c>
      <c r="N187" s="306">
        <f>+IF($H187=N$2,VLOOKUP($G187,Depreciation!$A$14:$L$18,12,FALSE)/2,IF($H187&lt;N$2,VLOOKUP($G187,Depreciation!$A$14:$L$18,12,FALSE),0))</f>
        <v>3.343407856743718E-2</v>
      </c>
      <c r="O187" s="307">
        <f t="shared" si="18"/>
        <v>405605.06585849065</v>
      </c>
      <c r="P187" s="732">
        <f>'Func Future Subs 2015'!P187</f>
        <v>0</v>
      </c>
      <c r="Q187" s="732">
        <f>'Func Future Subs 2015'!Q187</f>
        <v>0</v>
      </c>
      <c r="R187" s="732">
        <f>'Func Future Subs 2015'!R187</f>
        <v>1</v>
      </c>
      <c r="S187" s="735">
        <f t="shared" si="19"/>
        <v>0</v>
      </c>
      <c r="T187" s="735">
        <f t="shared" si="20"/>
        <v>0</v>
      </c>
      <c r="U187" s="735">
        <f t="shared" si="21"/>
        <v>405605.06585849065</v>
      </c>
      <c r="V187" s="736">
        <f t="shared" si="22"/>
        <v>0</v>
      </c>
      <c r="W187" s="735">
        <f t="shared" si="23"/>
        <v>405605.06585849065</v>
      </c>
      <c r="X187" s="737">
        <f t="shared" si="24"/>
        <v>0</v>
      </c>
      <c r="Y187" s="738">
        <f t="shared" si="25"/>
        <v>0</v>
      </c>
    </row>
    <row r="188" spans="1:25">
      <c r="A188" s="754" t="str">
        <f>'Func Future Subs 2015'!A188</f>
        <v>Black spruce substation 154S180</v>
      </c>
      <c r="B188" s="754">
        <f>'Func Future Subs 2015'!B188</f>
        <v>1101</v>
      </c>
      <c r="C188" s="754">
        <f>'Func Future Subs 2015'!C188</f>
        <v>240</v>
      </c>
      <c r="D188" s="754">
        <f>'Func Future Subs 2015'!D188</f>
        <v>240</v>
      </c>
      <c r="E188" s="754" t="str">
        <f>'Func Future Subs 2015'!E188</f>
        <v>154S</v>
      </c>
      <c r="F188" s="754">
        <f>'Func Future Subs 2015'!F188</f>
        <v>26377454.74440499</v>
      </c>
      <c r="G188" s="754" t="str">
        <f>'Func Future Subs 2015'!G188</f>
        <v>AltaLink</v>
      </c>
      <c r="H188" s="754">
        <f>'Func Future Subs 2015'!H188</f>
        <v>2016</v>
      </c>
      <c r="I188" s="306">
        <f>+IF($H188=I$2,VLOOKUP($G188,Depreciation!$A$14:$L$18,7,FALSE)/2,IF($H188&lt;I$2,VLOOKUP($G188,Depreciation!$A$14:$L$18,7,FALSE),0))</f>
        <v>0</v>
      </c>
      <c r="J188" s="306">
        <f>+IF($H188=J$2,VLOOKUP($G188,Depreciation!$A$14:$L$18,8,FALSE)/2,IF($H188&lt;J$2,VLOOKUP($G188,Depreciation!$A$14:$L$18,8,FALSE),0))</f>
        <v>1.671703928371859E-2</v>
      </c>
      <c r="K188" s="306">
        <f>+IF($H188=K$2,VLOOKUP($G188,Depreciation!$A$14:$L$18,9,FALSE)/2,IF($H188&lt;K$2,VLOOKUP($G188,Depreciation!$A$14:$L$18,9,FALSE),0))</f>
        <v>3.343407856743718E-2</v>
      </c>
      <c r="L188" s="306">
        <f>+IF($H188=L$2,VLOOKUP($G188,Depreciation!$A$14:$L$18,10,FALSE)/2,IF($H188&lt;L$2,VLOOKUP($G188,Depreciation!$A$14:$L$18,10,FALSE),0))</f>
        <v>3.343407856743718E-2</v>
      </c>
      <c r="M188" s="306">
        <f>+IF($H188=M$2,VLOOKUP($G188,Depreciation!$A$14:$L$18,11,FALSE)/2,IF($H188&lt;M$2,VLOOKUP($G188,Depreciation!$A$14:$L$18,11,FALSE),0))</f>
        <v>3.343407856743718E-2</v>
      </c>
      <c r="N188" s="306">
        <f>+IF($H188=N$2,VLOOKUP($G188,Depreciation!$A$14:$L$18,12,FALSE)/2,IF($H188&lt;N$2,VLOOKUP($G188,Depreciation!$A$14:$L$18,12,FALSE),0))</f>
        <v>3.343407856743718E-2</v>
      </c>
      <c r="O188" s="307">
        <f t="shared" si="18"/>
        <v>25936501.797238264</v>
      </c>
      <c r="P188" s="732">
        <f>'Func Future Subs 2015'!P188</f>
        <v>0</v>
      </c>
      <c r="Q188" s="732">
        <f>'Func Future Subs 2015'!Q188</f>
        <v>0</v>
      </c>
      <c r="R188" s="732">
        <f>'Func Future Subs 2015'!R188</f>
        <v>1</v>
      </c>
      <c r="S188" s="735">
        <f t="shared" si="19"/>
        <v>0</v>
      </c>
      <c r="T188" s="735">
        <f t="shared" si="20"/>
        <v>0</v>
      </c>
      <c r="U188" s="735">
        <f t="shared" si="21"/>
        <v>25936501.797238264</v>
      </c>
      <c r="V188" s="736">
        <f t="shared" si="22"/>
        <v>0</v>
      </c>
      <c r="W188" s="735">
        <f t="shared" si="23"/>
        <v>25936501.797238264</v>
      </c>
      <c r="X188" s="737">
        <f t="shared" si="24"/>
        <v>0</v>
      </c>
      <c r="Y188" s="738">
        <f t="shared" si="25"/>
        <v>0</v>
      </c>
    </row>
    <row r="189" spans="1:25">
      <c r="A189" s="754" t="str">
        <f>'Func Future Subs 2015'!A189</f>
        <v>Christina Lake 723S upg 180</v>
      </c>
      <c r="B189" s="754">
        <f>'Func Future Subs 2015'!B189</f>
        <v>1101</v>
      </c>
      <c r="C189" s="754">
        <f>'Func Future Subs 2015'!C189</f>
        <v>240</v>
      </c>
      <c r="D189" s="754">
        <f>'Func Future Subs 2015'!D189</f>
        <v>25</v>
      </c>
      <c r="E189" s="754" t="str">
        <f>'Func Future Subs 2015'!E189</f>
        <v>723S</v>
      </c>
      <c r="F189" s="754">
        <f>'Func Future Subs 2015'!F189</f>
        <v>3002680.4093360943</v>
      </c>
      <c r="G189" s="754" t="str">
        <f>'Func Future Subs 2015'!G189</f>
        <v>AltaLink</v>
      </c>
      <c r="H189" s="754">
        <f>'Func Future Subs 2015'!H189</f>
        <v>2016</v>
      </c>
      <c r="I189" s="306">
        <f>+IF($H189=I$2,VLOOKUP($G189,Depreciation!$A$14:$L$18,7,FALSE)/2,IF($H189&lt;I$2,VLOOKUP($G189,Depreciation!$A$14:$L$18,7,FALSE),0))</f>
        <v>0</v>
      </c>
      <c r="J189" s="306">
        <f>+IF($H189=J$2,VLOOKUP($G189,Depreciation!$A$14:$L$18,8,FALSE)/2,IF($H189&lt;J$2,VLOOKUP($G189,Depreciation!$A$14:$L$18,8,FALSE),0))</f>
        <v>1.671703928371859E-2</v>
      </c>
      <c r="K189" s="306">
        <f>+IF($H189=K$2,VLOOKUP($G189,Depreciation!$A$14:$L$18,9,FALSE)/2,IF($H189&lt;K$2,VLOOKUP($G189,Depreciation!$A$14:$L$18,9,FALSE),0))</f>
        <v>3.343407856743718E-2</v>
      </c>
      <c r="L189" s="306">
        <f>+IF($H189=L$2,VLOOKUP($G189,Depreciation!$A$14:$L$18,10,FALSE)/2,IF($H189&lt;L$2,VLOOKUP($G189,Depreciation!$A$14:$L$18,10,FALSE),0))</f>
        <v>3.343407856743718E-2</v>
      </c>
      <c r="M189" s="306">
        <f>+IF($H189=M$2,VLOOKUP($G189,Depreciation!$A$14:$L$18,11,FALSE)/2,IF($H189&lt;M$2,VLOOKUP($G189,Depreciation!$A$14:$L$18,11,FALSE),0))</f>
        <v>3.343407856743718E-2</v>
      </c>
      <c r="N189" s="306">
        <f>+IF($H189=N$2,VLOOKUP($G189,Depreciation!$A$14:$L$18,12,FALSE)/2,IF($H189&lt;N$2,VLOOKUP($G189,Depreciation!$A$14:$L$18,12,FALSE),0))</f>
        <v>3.343407856743718E-2</v>
      </c>
      <c r="O189" s="307">
        <f t="shared" si="18"/>
        <v>2952484.4829767705</v>
      </c>
      <c r="P189" s="732">
        <f>'Func Future Subs 2015'!P189</f>
        <v>0</v>
      </c>
      <c r="Q189" s="732">
        <f>'Func Future Subs 2015'!Q189</f>
        <v>1</v>
      </c>
      <c r="R189" s="732">
        <f>'Func Future Subs 2015'!R189</f>
        <v>0</v>
      </c>
      <c r="S189" s="735">
        <f t="shared" si="19"/>
        <v>0</v>
      </c>
      <c r="T189" s="735">
        <f t="shared" si="20"/>
        <v>2952484.4829767705</v>
      </c>
      <c r="U189" s="735">
        <f t="shared" si="21"/>
        <v>0</v>
      </c>
      <c r="V189" s="736">
        <f t="shared" si="22"/>
        <v>0</v>
      </c>
      <c r="W189" s="735">
        <f t="shared" si="23"/>
        <v>0</v>
      </c>
      <c r="X189" s="737">
        <f t="shared" si="24"/>
        <v>0</v>
      </c>
      <c r="Y189" s="738">
        <f t="shared" si="25"/>
        <v>2952484.4829767705</v>
      </c>
    </row>
    <row r="190" spans="1:25">
      <c r="A190" s="754" t="str">
        <f>'Func Future Subs 2015'!A190</f>
        <v>Conklin 762S180</v>
      </c>
      <c r="B190" s="754">
        <f>'Func Future Subs 2015'!B190</f>
        <v>1101</v>
      </c>
      <c r="C190" s="754">
        <f>'Func Future Subs 2015'!C190</f>
        <v>240</v>
      </c>
      <c r="D190" s="754">
        <f>'Func Future Subs 2015'!D190</f>
        <v>25</v>
      </c>
      <c r="E190" s="754" t="str">
        <f>'Func Future Subs 2015'!E190</f>
        <v>762S</v>
      </c>
      <c r="F190" s="754">
        <f>'Func Future Subs 2015'!F190</f>
        <v>17282.930052027419</v>
      </c>
      <c r="G190" s="754" t="str">
        <f>'Func Future Subs 2015'!G190</f>
        <v>AltaLink</v>
      </c>
      <c r="H190" s="754">
        <f>'Func Future Subs 2015'!H190</f>
        <v>2016</v>
      </c>
      <c r="I190" s="306">
        <f>+IF($H190=I$2,VLOOKUP($G190,Depreciation!$A$14:$L$18,7,FALSE)/2,IF($H190&lt;I$2,VLOOKUP($G190,Depreciation!$A$14:$L$18,7,FALSE),0))</f>
        <v>0</v>
      </c>
      <c r="J190" s="306">
        <f>+IF($H190=J$2,VLOOKUP($G190,Depreciation!$A$14:$L$18,8,FALSE)/2,IF($H190&lt;J$2,VLOOKUP($G190,Depreciation!$A$14:$L$18,8,FALSE),0))</f>
        <v>1.671703928371859E-2</v>
      </c>
      <c r="K190" s="306">
        <f>+IF($H190=K$2,VLOOKUP($G190,Depreciation!$A$14:$L$18,9,FALSE)/2,IF($H190&lt;K$2,VLOOKUP($G190,Depreciation!$A$14:$L$18,9,FALSE),0))</f>
        <v>3.343407856743718E-2</v>
      </c>
      <c r="L190" s="306">
        <f>+IF($H190=L$2,VLOOKUP($G190,Depreciation!$A$14:$L$18,10,FALSE)/2,IF($H190&lt;L$2,VLOOKUP($G190,Depreciation!$A$14:$L$18,10,FALSE),0))</f>
        <v>3.343407856743718E-2</v>
      </c>
      <c r="M190" s="306">
        <f>+IF($H190=M$2,VLOOKUP($G190,Depreciation!$A$14:$L$18,11,FALSE)/2,IF($H190&lt;M$2,VLOOKUP($G190,Depreciation!$A$14:$L$18,11,FALSE),0))</f>
        <v>3.343407856743718E-2</v>
      </c>
      <c r="N190" s="306">
        <f>+IF($H190=N$2,VLOOKUP($G190,Depreciation!$A$14:$L$18,12,FALSE)/2,IF($H190&lt;N$2,VLOOKUP($G190,Depreciation!$A$14:$L$18,12,FALSE),0))</f>
        <v>3.343407856743718E-2</v>
      </c>
      <c r="O190" s="307">
        <f t="shared" si="18"/>
        <v>16994.010631409918</v>
      </c>
      <c r="P190" s="732">
        <f>'Func Future Subs 2015'!P190</f>
        <v>0.92307692307692313</v>
      </c>
      <c r="Q190" s="732">
        <f>'Func Future Subs 2015'!Q190</f>
        <v>7.6923076923076927E-2</v>
      </c>
      <c r="R190" s="732">
        <f>'Func Future Subs 2015'!R190</f>
        <v>0</v>
      </c>
      <c r="S190" s="735">
        <f t="shared" si="19"/>
        <v>15686.779044378387</v>
      </c>
      <c r="T190" s="735">
        <f t="shared" si="20"/>
        <v>1307.2315870315322</v>
      </c>
      <c r="U190" s="735">
        <f t="shared" si="21"/>
        <v>0</v>
      </c>
      <c r="V190" s="736">
        <f t="shared" si="22"/>
        <v>0</v>
      </c>
      <c r="W190" s="735">
        <f t="shared" si="23"/>
        <v>15686.779044378387</v>
      </c>
      <c r="X190" s="737">
        <f t="shared" si="24"/>
        <v>0</v>
      </c>
      <c r="Y190" s="738">
        <f t="shared" si="25"/>
        <v>1307.2315870315322</v>
      </c>
    </row>
    <row r="191" spans="1:25">
      <c r="A191" s="754" t="str">
        <f>'Func Future Subs 2015'!A191</f>
        <v>Ipiatik 167S 180</v>
      </c>
      <c r="B191" s="754">
        <f>'Func Future Subs 2015'!B191</f>
        <v>1101</v>
      </c>
      <c r="C191" s="754">
        <f>'Func Future Subs 2015'!C191</f>
        <v>240</v>
      </c>
      <c r="D191" s="754">
        <f>'Func Future Subs 2015'!D191</f>
        <v>138</v>
      </c>
      <c r="E191" s="754" t="str">
        <f>'Func Future Subs 2015'!E191</f>
        <v>167S</v>
      </c>
      <c r="F191" s="754">
        <f>'Func Future Subs 2015'!F191</f>
        <v>51249492.017830744</v>
      </c>
      <c r="G191" s="754" t="str">
        <f>'Func Future Subs 2015'!G191</f>
        <v>AltaLink</v>
      </c>
      <c r="H191" s="754">
        <f>'Func Future Subs 2015'!H191</f>
        <v>2016</v>
      </c>
      <c r="I191" s="306">
        <f>+IF($H191=I$2,VLOOKUP($G191,Depreciation!$A$14:$L$18,7,FALSE)/2,IF($H191&lt;I$2,VLOOKUP($G191,Depreciation!$A$14:$L$18,7,FALSE),0))</f>
        <v>0</v>
      </c>
      <c r="J191" s="306">
        <f>+IF($H191=J$2,VLOOKUP($G191,Depreciation!$A$14:$L$18,8,FALSE)/2,IF($H191&lt;J$2,VLOOKUP($G191,Depreciation!$A$14:$L$18,8,FALSE),0))</f>
        <v>1.671703928371859E-2</v>
      </c>
      <c r="K191" s="306">
        <f>+IF($H191=K$2,VLOOKUP($G191,Depreciation!$A$14:$L$18,9,FALSE)/2,IF($H191&lt;K$2,VLOOKUP($G191,Depreciation!$A$14:$L$18,9,FALSE),0))</f>
        <v>3.343407856743718E-2</v>
      </c>
      <c r="L191" s="306">
        <f>+IF($H191=L$2,VLOOKUP($G191,Depreciation!$A$14:$L$18,10,FALSE)/2,IF($H191&lt;L$2,VLOOKUP($G191,Depreciation!$A$14:$L$18,10,FALSE),0))</f>
        <v>3.343407856743718E-2</v>
      </c>
      <c r="M191" s="306">
        <f>+IF($H191=M$2,VLOOKUP($G191,Depreciation!$A$14:$L$18,11,FALSE)/2,IF($H191&lt;M$2,VLOOKUP($G191,Depreciation!$A$14:$L$18,11,FALSE),0))</f>
        <v>3.343407856743718E-2</v>
      </c>
      <c r="N191" s="306">
        <f>+IF($H191=N$2,VLOOKUP($G191,Depreciation!$A$14:$L$18,12,FALSE)/2,IF($H191&lt;N$2,VLOOKUP($G191,Depreciation!$A$14:$L$18,12,FALSE),0))</f>
        <v>3.343407856743718E-2</v>
      </c>
      <c r="O191" s="307">
        <f t="shared" si="18"/>
        <v>50392752.246498048</v>
      </c>
      <c r="P191" s="732">
        <f>'Func Future Subs 2015'!P191</f>
        <v>0</v>
      </c>
      <c r="Q191" s="732">
        <f>'Func Future Subs 2015'!Q191</f>
        <v>0</v>
      </c>
      <c r="R191" s="732">
        <f>'Func Future Subs 2015'!R191</f>
        <v>1</v>
      </c>
      <c r="S191" s="735">
        <f t="shared" si="19"/>
        <v>0</v>
      </c>
      <c r="T191" s="735">
        <f t="shared" si="20"/>
        <v>0</v>
      </c>
      <c r="U191" s="735">
        <f t="shared" si="21"/>
        <v>50392752.246498048</v>
      </c>
      <c r="V191" s="736">
        <f t="shared" si="22"/>
        <v>0</v>
      </c>
      <c r="W191" s="735">
        <f t="shared" si="23"/>
        <v>0</v>
      </c>
      <c r="X191" s="737">
        <f t="shared" si="24"/>
        <v>50392752.246498048</v>
      </c>
      <c r="Y191" s="738">
        <f t="shared" si="25"/>
        <v>0</v>
      </c>
    </row>
    <row r="192" spans="1:25">
      <c r="A192" s="754" t="str">
        <f>'Func Future Subs 2015'!A192</f>
        <v>Jackfish 698S mod 180</v>
      </c>
      <c r="B192" s="754">
        <f>'Func Future Subs 2015'!B192</f>
        <v>1101</v>
      </c>
      <c r="C192" s="754">
        <f>'Func Future Subs 2015'!C192</f>
        <v>240</v>
      </c>
      <c r="D192" s="754">
        <f>'Func Future Subs 2015'!D192</f>
        <v>25</v>
      </c>
      <c r="E192" s="754" t="str">
        <f>'Func Future Subs 2015'!E192</f>
        <v>698S</v>
      </c>
      <c r="F192" s="754">
        <f>'Func Future Subs 2015'!F192</f>
        <v>485910.49572502839</v>
      </c>
      <c r="G192" s="754" t="str">
        <f>'Func Future Subs 2015'!G192</f>
        <v>AltaLink</v>
      </c>
      <c r="H192" s="754">
        <f>'Func Future Subs 2015'!H192</f>
        <v>2016</v>
      </c>
      <c r="I192" s="306">
        <f>+IF($H192=I$2,VLOOKUP($G192,Depreciation!$A$14:$L$18,7,FALSE)/2,IF($H192&lt;I$2,VLOOKUP($G192,Depreciation!$A$14:$L$18,7,FALSE),0))</f>
        <v>0</v>
      </c>
      <c r="J192" s="306">
        <f>+IF($H192=J$2,VLOOKUP($G192,Depreciation!$A$14:$L$18,8,FALSE)/2,IF($H192&lt;J$2,VLOOKUP($G192,Depreciation!$A$14:$L$18,8,FALSE),0))</f>
        <v>1.671703928371859E-2</v>
      </c>
      <c r="K192" s="306">
        <f>+IF($H192=K$2,VLOOKUP($G192,Depreciation!$A$14:$L$18,9,FALSE)/2,IF($H192&lt;K$2,VLOOKUP($G192,Depreciation!$A$14:$L$18,9,FALSE),0))</f>
        <v>3.343407856743718E-2</v>
      </c>
      <c r="L192" s="306">
        <f>+IF($H192=L$2,VLOOKUP($G192,Depreciation!$A$14:$L$18,10,FALSE)/2,IF($H192&lt;L$2,VLOOKUP($G192,Depreciation!$A$14:$L$18,10,FALSE),0))</f>
        <v>3.343407856743718E-2</v>
      </c>
      <c r="M192" s="306">
        <f>+IF($H192=M$2,VLOOKUP($G192,Depreciation!$A$14:$L$18,11,FALSE)/2,IF($H192&lt;M$2,VLOOKUP($G192,Depreciation!$A$14:$L$18,11,FALSE),0))</f>
        <v>3.343407856743718E-2</v>
      </c>
      <c r="N192" s="306">
        <f>+IF($H192=N$2,VLOOKUP($G192,Depreciation!$A$14:$L$18,12,FALSE)/2,IF($H192&lt;N$2,VLOOKUP($G192,Depreciation!$A$14:$L$18,12,FALSE),0))</f>
        <v>3.343407856743718E-2</v>
      </c>
      <c r="O192" s="307">
        <f t="shared" si="18"/>
        <v>477787.5108796219</v>
      </c>
      <c r="P192" s="732">
        <f>'Func Future Subs 2015'!P192</f>
        <v>0</v>
      </c>
      <c r="Q192" s="732">
        <f>'Func Future Subs 2015'!Q192</f>
        <v>0</v>
      </c>
      <c r="R192" s="732">
        <f>'Func Future Subs 2015'!R192</f>
        <v>1</v>
      </c>
      <c r="S192" s="735">
        <f t="shared" si="19"/>
        <v>0</v>
      </c>
      <c r="T192" s="735">
        <f t="shared" si="20"/>
        <v>0</v>
      </c>
      <c r="U192" s="735">
        <f t="shared" si="21"/>
        <v>477787.5108796219</v>
      </c>
      <c r="V192" s="736">
        <f t="shared" si="22"/>
        <v>0</v>
      </c>
      <c r="W192" s="735">
        <f t="shared" si="23"/>
        <v>0</v>
      </c>
      <c r="X192" s="737">
        <f t="shared" si="24"/>
        <v>0</v>
      </c>
      <c r="Y192" s="738">
        <f t="shared" si="25"/>
        <v>477787.5108796219</v>
      </c>
    </row>
    <row r="193" spans="1:25">
      <c r="A193" s="754" t="str">
        <f>'Func Future Subs 2015'!A193</f>
        <v>Jackfish 698S180</v>
      </c>
      <c r="B193" s="754">
        <f>'Func Future Subs 2015'!B193</f>
        <v>1101</v>
      </c>
      <c r="C193" s="754">
        <f>'Func Future Subs 2015'!C193</f>
        <v>240</v>
      </c>
      <c r="D193" s="754">
        <f>'Func Future Subs 2015'!D193</f>
        <v>25</v>
      </c>
      <c r="E193" s="754" t="str">
        <f>'Func Future Subs 2015'!E193</f>
        <v>698S</v>
      </c>
      <c r="F193" s="754">
        <f>'Func Future Subs 2015'!F193</f>
        <v>17282.930052027419</v>
      </c>
      <c r="G193" s="754" t="str">
        <f>'Func Future Subs 2015'!G193</f>
        <v>AltaLink</v>
      </c>
      <c r="H193" s="754">
        <f>'Func Future Subs 2015'!H193</f>
        <v>2016</v>
      </c>
      <c r="I193" s="306">
        <f>+IF($H193=I$2,VLOOKUP($G193,Depreciation!$A$14:$L$18,7,FALSE)/2,IF($H193&lt;I$2,VLOOKUP($G193,Depreciation!$A$14:$L$18,7,FALSE),0))</f>
        <v>0</v>
      </c>
      <c r="J193" s="306">
        <f>+IF($H193=J$2,VLOOKUP($G193,Depreciation!$A$14:$L$18,8,FALSE)/2,IF($H193&lt;J$2,VLOOKUP($G193,Depreciation!$A$14:$L$18,8,FALSE),0))</f>
        <v>1.671703928371859E-2</v>
      </c>
      <c r="K193" s="306">
        <f>+IF($H193=K$2,VLOOKUP($G193,Depreciation!$A$14:$L$18,9,FALSE)/2,IF($H193&lt;K$2,VLOOKUP($G193,Depreciation!$A$14:$L$18,9,FALSE),0))</f>
        <v>3.343407856743718E-2</v>
      </c>
      <c r="L193" s="306">
        <f>+IF($H193=L$2,VLOOKUP($G193,Depreciation!$A$14:$L$18,10,FALSE)/2,IF($H193&lt;L$2,VLOOKUP($G193,Depreciation!$A$14:$L$18,10,FALSE),0))</f>
        <v>3.343407856743718E-2</v>
      </c>
      <c r="M193" s="306">
        <f>+IF($H193=M$2,VLOOKUP($G193,Depreciation!$A$14:$L$18,11,FALSE)/2,IF($H193&lt;M$2,VLOOKUP($G193,Depreciation!$A$14:$L$18,11,FALSE),0))</f>
        <v>3.343407856743718E-2</v>
      </c>
      <c r="N193" s="306">
        <f>+IF($H193=N$2,VLOOKUP($G193,Depreciation!$A$14:$L$18,12,FALSE)/2,IF($H193&lt;N$2,VLOOKUP($G193,Depreciation!$A$14:$L$18,12,FALSE),0))</f>
        <v>3.343407856743718E-2</v>
      </c>
      <c r="O193" s="307">
        <f t="shared" si="18"/>
        <v>16994.010631409918</v>
      </c>
      <c r="P193" s="732">
        <f>'Func Future Subs 2015'!P193</f>
        <v>0</v>
      </c>
      <c r="Q193" s="732">
        <f>'Func Future Subs 2015'!Q193</f>
        <v>0</v>
      </c>
      <c r="R193" s="732">
        <f>'Func Future Subs 2015'!R193</f>
        <v>1</v>
      </c>
      <c r="S193" s="735">
        <f t="shared" si="19"/>
        <v>0</v>
      </c>
      <c r="T193" s="735">
        <f t="shared" si="20"/>
        <v>0</v>
      </c>
      <c r="U193" s="735">
        <f t="shared" si="21"/>
        <v>16994.010631409918</v>
      </c>
      <c r="V193" s="736">
        <f t="shared" si="22"/>
        <v>0</v>
      </c>
      <c r="W193" s="735">
        <f t="shared" si="23"/>
        <v>0</v>
      </c>
      <c r="X193" s="737">
        <f t="shared" si="24"/>
        <v>0</v>
      </c>
      <c r="Y193" s="738">
        <f t="shared" si="25"/>
        <v>16994.010631409918</v>
      </c>
    </row>
    <row r="194" spans="1:25">
      <c r="A194" s="754" t="str">
        <f>'Func Future Subs 2015'!A194</f>
        <v>Pike 170S mod 180</v>
      </c>
      <c r="B194" s="754">
        <f>'Func Future Subs 2015'!B194</f>
        <v>1101</v>
      </c>
      <c r="C194" s="754">
        <f>'Func Future Subs 2015'!C194</f>
        <v>240</v>
      </c>
      <c r="D194" s="754">
        <f>'Func Future Subs 2015'!D194</f>
        <v>138</v>
      </c>
      <c r="E194" s="754" t="str">
        <f>'Func Future Subs 2015'!E194</f>
        <v>170S</v>
      </c>
      <c r="F194" s="754">
        <f>'Func Future Subs 2015'!F194</f>
        <v>31472.735128396711</v>
      </c>
      <c r="G194" s="754" t="str">
        <f>'Func Future Subs 2015'!G194</f>
        <v>AltaLink</v>
      </c>
      <c r="H194" s="754">
        <f>'Func Future Subs 2015'!H194</f>
        <v>2016</v>
      </c>
      <c r="I194" s="306">
        <f>+IF($H194=I$2,VLOOKUP($G194,Depreciation!$A$14:$L$18,7,FALSE)/2,IF($H194&lt;I$2,VLOOKUP($G194,Depreciation!$A$14:$L$18,7,FALSE),0))</f>
        <v>0</v>
      </c>
      <c r="J194" s="306">
        <f>+IF($H194=J$2,VLOOKUP($G194,Depreciation!$A$14:$L$18,8,FALSE)/2,IF($H194&lt;J$2,VLOOKUP($G194,Depreciation!$A$14:$L$18,8,FALSE),0))</f>
        <v>1.671703928371859E-2</v>
      </c>
      <c r="K194" s="306">
        <f>+IF($H194=K$2,VLOOKUP($G194,Depreciation!$A$14:$L$18,9,FALSE)/2,IF($H194&lt;K$2,VLOOKUP($G194,Depreciation!$A$14:$L$18,9,FALSE),0))</f>
        <v>3.343407856743718E-2</v>
      </c>
      <c r="L194" s="306">
        <f>+IF($H194=L$2,VLOOKUP($G194,Depreciation!$A$14:$L$18,10,FALSE)/2,IF($H194&lt;L$2,VLOOKUP($G194,Depreciation!$A$14:$L$18,10,FALSE),0))</f>
        <v>3.343407856743718E-2</v>
      </c>
      <c r="M194" s="306">
        <f>+IF($H194=M$2,VLOOKUP($G194,Depreciation!$A$14:$L$18,11,FALSE)/2,IF($H194&lt;M$2,VLOOKUP($G194,Depreciation!$A$14:$L$18,11,FALSE),0))</f>
        <v>3.343407856743718E-2</v>
      </c>
      <c r="N194" s="306">
        <f>+IF($H194=N$2,VLOOKUP($G194,Depreciation!$A$14:$L$18,12,FALSE)/2,IF($H194&lt;N$2,VLOOKUP($G194,Depreciation!$A$14:$L$18,12,FALSE),0))</f>
        <v>3.343407856743718E-2</v>
      </c>
      <c r="O194" s="307">
        <f t="shared" si="18"/>
        <v>30946.604178889233</v>
      </c>
      <c r="P194" s="732">
        <f>'Func Future Subs 2015'!P194</f>
        <v>0</v>
      </c>
      <c r="Q194" s="732">
        <f>'Func Future Subs 2015'!Q194</f>
        <v>0</v>
      </c>
      <c r="R194" s="732">
        <f>'Func Future Subs 2015'!R194</f>
        <v>1</v>
      </c>
      <c r="S194" s="735">
        <f t="shared" si="19"/>
        <v>0</v>
      </c>
      <c r="T194" s="735">
        <f t="shared" si="20"/>
        <v>0</v>
      </c>
      <c r="U194" s="735">
        <f t="shared" si="21"/>
        <v>30946.604178889233</v>
      </c>
      <c r="V194" s="736">
        <f t="shared" si="22"/>
        <v>0</v>
      </c>
      <c r="W194" s="735">
        <f t="shared" si="23"/>
        <v>0</v>
      </c>
      <c r="X194" s="737">
        <f t="shared" si="24"/>
        <v>30946.604178889233</v>
      </c>
      <c r="Y194" s="738">
        <f t="shared" si="25"/>
        <v>0</v>
      </c>
    </row>
    <row r="195" spans="1:25">
      <c r="A195" s="754" t="str">
        <f>'Func Future Subs 2015'!A195</f>
        <v>Pike 170S180</v>
      </c>
      <c r="B195" s="754">
        <f>'Func Future Subs 2015'!B195</f>
        <v>1101</v>
      </c>
      <c r="C195" s="754">
        <f>'Func Future Subs 2015'!C195</f>
        <v>240</v>
      </c>
      <c r="D195" s="754">
        <f>'Func Future Subs 2015'!D195</f>
        <v>138</v>
      </c>
      <c r="E195" s="754" t="str">
        <f>'Func Future Subs 2015'!E195</f>
        <v>170S</v>
      </c>
      <c r="F195" s="754">
        <f>'Func Future Subs 2015'!F195</f>
        <v>49648445.339725867</v>
      </c>
      <c r="G195" s="754" t="str">
        <f>'Func Future Subs 2015'!G195</f>
        <v>AltaLink</v>
      </c>
      <c r="H195" s="754">
        <f>'Func Future Subs 2015'!H195</f>
        <v>2016</v>
      </c>
      <c r="I195" s="306">
        <f>+IF($H195=I$2,VLOOKUP($G195,Depreciation!$A$14:$L$18,7,FALSE)/2,IF($H195&lt;I$2,VLOOKUP($G195,Depreciation!$A$14:$L$18,7,FALSE),0))</f>
        <v>0</v>
      </c>
      <c r="J195" s="306">
        <f>+IF($H195=J$2,VLOOKUP($G195,Depreciation!$A$14:$L$18,8,FALSE)/2,IF($H195&lt;J$2,VLOOKUP($G195,Depreciation!$A$14:$L$18,8,FALSE),0))</f>
        <v>1.671703928371859E-2</v>
      </c>
      <c r="K195" s="306">
        <f>+IF($H195=K$2,VLOOKUP($G195,Depreciation!$A$14:$L$18,9,FALSE)/2,IF($H195&lt;K$2,VLOOKUP($G195,Depreciation!$A$14:$L$18,9,FALSE),0))</f>
        <v>3.343407856743718E-2</v>
      </c>
      <c r="L195" s="306">
        <f>+IF($H195=L$2,VLOOKUP($G195,Depreciation!$A$14:$L$18,10,FALSE)/2,IF($H195&lt;L$2,VLOOKUP($G195,Depreciation!$A$14:$L$18,10,FALSE),0))</f>
        <v>3.343407856743718E-2</v>
      </c>
      <c r="M195" s="306">
        <f>+IF($H195=M$2,VLOOKUP($G195,Depreciation!$A$14:$L$18,11,FALSE)/2,IF($H195&lt;M$2,VLOOKUP($G195,Depreciation!$A$14:$L$18,11,FALSE),0))</f>
        <v>3.343407856743718E-2</v>
      </c>
      <c r="N195" s="306">
        <f>+IF($H195=N$2,VLOOKUP($G195,Depreciation!$A$14:$L$18,12,FALSE)/2,IF($H195&lt;N$2,VLOOKUP($G195,Depreciation!$A$14:$L$18,12,FALSE),0))</f>
        <v>3.343407856743718E-2</v>
      </c>
      <c r="O195" s="307">
        <f t="shared" si="18"/>
        <v>48818470.328606114</v>
      </c>
      <c r="P195" s="732">
        <f>'Func Future Subs 2015'!P195</f>
        <v>0</v>
      </c>
      <c r="Q195" s="732">
        <f>'Func Future Subs 2015'!Q195</f>
        <v>0</v>
      </c>
      <c r="R195" s="732">
        <f>'Func Future Subs 2015'!R195</f>
        <v>1</v>
      </c>
      <c r="S195" s="735">
        <f t="shared" si="19"/>
        <v>0</v>
      </c>
      <c r="T195" s="735">
        <f t="shared" si="20"/>
        <v>0</v>
      </c>
      <c r="U195" s="735">
        <f t="shared" si="21"/>
        <v>48818470.328606114</v>
      </c>
      <c r="V195" s="736">
        <f t="shared" si="22"/>
        <v>0</v>
      </c>
      <c r="W195" s="735">
        <f t="shared" si="23"/>
        <v>0</v>
      </c>
      <c r="X195" s="737">
        <f t="shared" si="24"/>
        <v>48818470.328606114</v>
      </c>
      <c r="Y195" s="738">
        <f t="shared" si="25"/>
        <v>0</v>
      </c>
    </row>
    <row r="196" spans="1:25">
      <c r="A196" s="754" t="str">
        <f>'Func Future Subs 2015'!A196</f>
        <v>Winefred 818S mod 180</v>
      </c>
      <c r="B196" s="754">
        <f>'Func Future Subs 2015'!B196</f>
        <v>1101</v>
      </c>
      <c r="C196" s="754">
        <f>'Func Future Subs 2015'!C196</f>
        <v>240</v>
      </c>
      <c r="D196" s="754">
        <f>'Func Future Subs 2015'!D196</f>
        <v>25</v>
      </c>
      <c r="E196" s="754" t="str">
        <f>'Func Future Subs 2015'!E196</f>
        <v>818S</v>
      </c>
      <c r="F196" s="754">
        <f>'Func Future Subs 2015'!F196</f>
        <v>467632.85141133214</v>
      </c>
      <c r="G196" s="754" t="str">
        <f>'Func Future Subs 2015'!G196</f>
        <v>AltaLink</v>
      </c>
      <c r="H196" s="754">
        <f>'Func Future Subs 2015'!H196</f>
        <v>2016</v>
      </c>
      <c r="I196" s="306">
        <f>+IF($H196=I$2,VLOOKUP($G196,Depreciation!$A$14:$L$18,7,FALSE)/2,IF($H196&lt;I$2,VLOOKUP($G196,Depreciation!$A$14:$L$18,7,FALSE),0))</f>
        <v>0</v>
      </c>
      <c r="J196" s="306">
        <f>+IF($H196=J$2,VLOOKUP($G196,Depreciation!$A$14:$L$18,8,FALSE)/2,IF($H196&lt;J$2,VLOOKUP($G196,Depreciation!$A$14:$L$18,8,FALSE),0))</f>
        <v>1.671703928371859E-2</v>
      </c>
      <c r="K196" s="306">
        <f>+IF($H196=K$2,VLOOKUP($G196,Depreciation!$A$14:$L$18,9,FALSE)/2,IF($H196&lt;K$2,VLOOKUP($G196,Depreciation!$A$14:$L$18,9,FALSE),0))</f>
        <v>3.343407856743718E-2</v>
      </c>
      <c r="L196" s="306">
        <f>+IF($H196=L$2,VLOOKUP($G196,Depreciation!$A$14:$L$18,10,FALSE)/2,IF($H196&lt;L$2,VLOOKUP($G196,Depreciation!$A$14:$L$18,10,FALSE),0))</f>
        <v>3.343407856743718E-2</v>
      </c>
      <c r="M196" s="306">
        <f>+IF($H196=M$2,VLOOKUP($G196,Depreciation!$A$14:$L$18,11,FALSE)/2,IF($H196&lt;M$2,VLOOKUP($G196,Depreciation!$A$14:$L$18,11,FALSE),0))</f>
        <v>3.343407856743718E-2</v>
      </c>
      <c r="N196" s="306">
        <f>+IF($H196=N$2,VLOOKUP($G196,Depreciation!$A$14:$L$18,12,FALSE)/2,IF($H196&lt;N$2,VLOOKUP($G196,Depreciation!$A$14:$L$18,12,FALSE),0))</f>
        <v>3.343407856743718E-2</v>
      </c>
      <c r="O196" s="307">
        <f t="shared" ref="O196:O259" si="26">IF(H196&lt;=2016,F196*(1-I196)*(1-J196),0)</f>
        <v>459815.41466393159</v>
      </c>
      <c r="P196" s="732">
        <f>'Func Future Subs 2015'!P196</f>
        <v>0</v>
      </c>
      <c r="Q196" s="732">
        <f>'Func Future Subs 2015'!Q196</f>
        <v>1</v>
      </c>
      <c r="R196" s="732">
        <f>'Func Future Subs 2015'!R196</f>
        <v>0</v>
      </c>
      <c r="S196" s="735">
        <f t="shared" ref="S196:S259" si="27">+P196*$O196</f>
        <v>0</v>
      </c>
      <c r="T196" s="735">
        <f t="shared" ref="T196:T259" si="28">+Q196*$O196</f>
        <v>459815.41466393159</v>
      </c>
      <c r="U196" s="735">
        <f t="shared" ref="U196:U259" si="29">+R196*$O196</f>
        <v>0</v>
      </c>
      <c r="V196" s="736">
        <f t="shared" ref="V196:V259" si="30">IF(AND(R196=1,D196=0),O196,0)</f>
        <v>0</v>
      </c>
      <c r="W196" s="735">
        <f t="shared" ref="W196:W259" si="31">S196+IF(D196&gt;144,U196,0)</f>
        <v>0</v>
      </c>
      <c r="X196" s="737">
        <f t="shared" ref="X196:X259" si="32">IF(AND(D196&lt;=144,D196&gt;=69),U196,0)</f>
        <v>0</v>
      </c>
      <c r="Y196" s="738">
        <f t="shared" ref="Y196:Y259" si="33">T196+IF(AND(D196&lt;69,D196&gt;0),U196,0)</f>
        <v>459815.41466393159</v>
      </c>
    </row>
    <row r="197" spans="1:25">
      <c r="A197" s="754" t="str">
        <f>'Func Future Subs 2015'!A197</f>
        <v>ENMAX No. 47</v>
      </c>
      <c r="B197" s="754">
        <f>'Func Future Subs 2015'!B197</f>
        <v>1107</v>
      </c>
      <c r="C197" s="754">
        <f>'Func Future Subs 2015'!C197</f>
        <v>138</v>
      </c>
      <c r="D197" s="754">
        <f>'Func Future Subs 2015'!D197</f>
        <v>25</v>
      </c>
      <c r="E197" s="754" t="str">
        <f>'Func Future Subs 2015'!E197</f>
        <v>SS-47</v>
      </c>
      <c r="F197" s="754">
        <f>'Func Future Subs 2015'!F197</f>
        <v>9408587.9999999944</v>
      </c>
      <c r="G197" s="754" t="str">
        <f>'Func Future Subs 2015'!G197</f>
        <v>AltaLink</v>
      </c>
      <c r="H197" s="754">
        <f>'Func Future Subs 2015'!H197</f>
        <v>2015</v>
      </c>
      <c r="I197" s="306">
        <f>+IF($H197=I$2,VLOOKUP($G197,Depreciation!$A$14:$L$18,7,FALSE)/2,IF($H197&lt;I$2,VLOOKUP($G197,Depreciation!$A$14:$L$18,7,FALSE),0))</f>
        <v>1.7228380322441735E-2</v>
      </c>
      <c r="J197" s="306">
        <f>+IF($H197=J$2,VLOOKUP($G197,Depreciation!$A$14:$L$18,8,FALSE)/2,IF($H197&lt;J$2,VLOOKUP($G197,Depreciation!$A$14:$L$18,8,FALSE),0))</f>
        <v>3.343407856743718E-2</v>
      </c>
      <c r="K197" s="306">
        <f>+IF($H197=K$2,VLOOKUP($G197,Depreciation!$A$14:$L$18,9,FALSE)/2,IF($H197&lt;K$2,VLOOKUP($G197,Depreciation!$A$14:$L$18,9,FALSE),0))</f>
        <v>3.343407856743718E-2</v>
      </c>
      <c r="L197" s="306">
        <f>+IF($H197=L$2,VLOOKUP($G197,Depreciation!$A$14:$L$18,10,FALSE)/2,IF($H197&lt;L$2,VLOOKUP($G197,Depreciation!$A$14:$L$18,10,FALSE),0))</f>
        <v>3.343407856743718E-2</v>
      </c>
      <c r="M197" s="306">
        <f>+IF($H197=M$2,VLOOKUP($G197,Depreciation!$A$14:$L$18,11,FALSE)/2,IF($H197&lt;M$2,VLOOKUP($G197,Depreciation!$A$14:$L$18,11,FALSE),0))</f>
        <v>3.343407856743718E-2</v>
      </c>
      <c r="N197" s="306">
        <f>+IF($H197=N$2,VLOOKUP($G197,Depreciation!$A$14:$L$18,12,FALSE)/2,IF($H197&lt;N$2,VLOOKUP($G197,Depreciation!$A$14:$L$18,12,FALSE),0))</f>
        <v>3.343407856743718E-2</v>
      </c>
      <c r="O197" s="307">
        <f t="shared" si="26"/>
        <v>8937345.2852553166</v>
      </c>
      <c r="P197" s="732">
        <f>'Func Future Subs 2015'!P197</f>
        <v>0</v>
      </c>
      <c r="Q197" s="732">
        <f>'Func Future Subs 2015'!Q197</f>
        <v>0</v>
      </c>
      <c r="R197" s="732">
        <f>'Func Future Subs 2015'!R197</f>
        <v>1</v>
      </c>
      <c r="S197" s="735">
        <f t="shared" si="27"/>
        <v>0</v>
      </c>
      <c r="T197" s="735">
        <f t="shared" si="28"/>
        <v>0</v>
      </c>
      <c r="U197" s="735">
        <f t="shared" si="29"/>
        <v>8937345.2852553166</v>
      </c>
      <c r="V197" s="736">
        <f t="shared" si="30"/>
        <v>0</v>
      </c>
      <c r="W197" s="735">
        <f t="shared" si="31"/>
        <v>0</v>
      </c>
      <c r="X197" s="737">
        <f t="shared" si="32"/>
        <v>0</v>
      </c>
      <c r="Y197" s="738">
        <f t="shared" si="33"/>
        <v>8937345.2852553166</v>
      </c>
    </row>
    <row r="198" spans="1:25">
      <c r="A198" s="754" t="str">
        <f>'Func Future Subs 2015'!A198</f>
        <v>Carseland 525S_180</v>
      </c>
      <c r="B198" s="754">
        <f>'Func Future Subs 2015'!B198</f>
        <v>1117</v>
      </c>
      <c r="C198" s="754">
        <f>'Func Future Subs 2015'!C198</f>
        <v>138</v>
      </c>
      <c r="D198" s="754">
        <f>'Func Future Subs 2015'!D198</f>
        <v>25</v>
      </c>
      <c r="E198" s="754" t="str">
        <f>'Func Future Subs 2015'!E198</f>
        <v>525S</v>
      </c>
      <c r="F198" s="754">
        <f>'Func Future Subs 2015'!F198</f>
        <v>179071.02078100035</v>
      </c>
      <c r="G198" s="754" t="str">
        <f>'Func Future Subs 2015'!G198</f>
        <v>AltaLink</v>
      </c>
      <c r="H198" s="754">
        <f>'Func Future Subs 2015'!H198</f>
        <v>2015</v>
      </c>
      <c r="I198" s="306">
        <f>+IF($H198=I$2,VLOOKUP($G198,Depreciation!$A$14:$L$18,7,FALSE)/2,IF($H198&lt;I$2,VLOOKUP($G198,Depreciation!$A$14:$L$18,7,FALSE),0))</f>
        <v>1.7228380322441735E-2</v>
      </c>
      <c r="J198" s="306">
        <f>+IF($H198=J$2,VLOOKUP($G198,Depreciation!$A$14:$L$18,8,FALSE)/2,IF($H198&lt;J$2,VLOOKUP($G198,Depreciation!$A$14:$L$18,8,FALSE),0))</f>
        <v>3.343407856743718E-2</v>
      </c>
      <c r="K198" s="306">
        <f>+IF($H198=K$2,VLOOKUP($G198,Depreciation!$A$14:$L$18,9,FALSE)/2,IF($H198&lt;K$2,VLOOKUP($G198,Depreciation!$A$14:$L$18,9,FALSE),0))</f>
        <v>3.343407856743718E-2</v>
      </c>
      <c r="L198" s="306">
        <f>+IF($H198=L$2,VLOOKUP($G198,Depreciation!$A$14:$L$18,10,FALSE)/2,IF($H198&lt;L$2,VLOOKUP($G198,Depreciation!$A$14:$L$18,10,FALSE),0))</f>
        <v>3.343407856743718E-2</v>
      </c>
      <c r="M198" s="306">
        <f>+IF($H198=M$2,VLOOKUP($G198,Depreciation!$A$14:$L$18,11,FALSE)/2,IF($H198&lt;M$2,VLOOKUP($G198,Depreciation!$A$14:$L$18,11,FALSE),0))</f>
        <v>3.343407856743718E-2</v>
      </c>
      <c r="N198" s="306">
        <f>+IF($H198=N$2,VLOOKUP($G198,Depreciation!$A$14:$L$18,12,FALSE)/2,IF($H198&lt;N$2,VLOOKUP($G198,Depreciation!$A$14:$L$18,12,FALSE),0))</f>
        <v>3.343407856743718E-2</v>
      </c>
      <c r="O198" s="307">
        <f t="shared" si="26"/>
        <v>170101.9901501619</v>
      </c>
      <c r="P198" s="732">
        <f>'Func Future Subs 2015'!P198</f>
        <v>0.7346189164370982</v>
      </c>
      <c r="Q198" s="732">
        <f>'Func Future Subs 2015'!Q198</f>
        <v>0.26538108356290174</v>
      </c>
      <c r="R198" s="732">
        <f>'Func Future Subs 2015'!R198</f>
        <v>0</v>
      </c>
      <c r="S198" s="735">
        <f t="shared" si="27"/>
        <v>124960.13968790589</v>
      </c>
      <c r="T198" s="735">
        <f t="shared" si="28"/>
        <v>45141.850462256007</v>
      </c>
      <c r="U198" s="735">
        <f t="shared" si="29"/>
        <v>0</v>
      </c>
      <c r="V198" s="736">
        <f t="shared" si="30"/>
        <v>0</v>
      </c>
      <c r="W198" s="735">
        <f t="shared" si="31"/>
        <v>124960.13968790589</v>
      </c>
      <c r="X198" s="737">
        <f t="shared" si="32"/>
        <v>0</v>
      </c>
      <c r="Y198" s="738">
        <f t="shared" si="33"/>
        <v>45141.850462256007</v>
      </c>
    </row>
    <row r="199" spans="1:25">
      <c r="A199" s="754" t="str">
        <f>'Func Future Subs 2015'!A199</f>
        <v>Enmax No. 25_v180</v>
      </c>
      <c r="B199" s="754">
        <f>'Func Future Subs 2015'!B199</f>
        <v>1117</v>
      </c>
      <c r="C199" s="754">
        <f>'Func Future Subs 2015'!C199</f>
        <v>240</v>
      </c>
      <c r="D199" s="754">
        <f>'Func Future Subs 2015'!D199</f>
        <v>25</v>
      </c>
      <c r="E199" s="754" t="str">
        <f>'Func Future Subs 2015'!E199</f>
        <v>SS-25</v>
      </c>
      <c r="F199" s="754">
        <f>'Func Future Subs 2015'!F199</f>
        <v>712675.2914213459</v>
      </c>
      <c r="G199" s="754" t="str">
        <f>'Func Future Subs 2015'!G199</f>
        <v>ENMAX</v>
      </c>
      <c r="H199" s="754">
        <f>'Func Future Subs 2015'!H199</f>
        <v>2015</v>
      </c>
      <c r="I199" s="306">
        <f>+IF($H199=I$2,VLOOKUP($G199,Depreciation!$A$14:$L$18,7,FALSE)/2,IF($H199&lt;I$2,VLOOKUP($G199,Depreciation!$A$14:$L$18,7,FALSE),0))</f>
        <v>1.3928409269726289E-2</v>
      </c>
      <c r="J199" s="306">
        <f>+IF($H199=J$2,VLOOKUP($G199,Depreciation!$A$14:$L$18,8,FALSE)/2,IF($H199&lt;J$2,VLOOKUP($G199,Depreciation!$A$14:$L$18,8,FALSE),0))</f>
        <v>2.7856818539452578E-2</v>
      </c>
      <c r="K199" s="306">
        <f>+IF($H199=K$2,VLOOKUP($G199,Depreciation!$A$14:$L$18,9,FALSE)/2,IF($H199&lt;K$2,VLOOKUP($G199,Depreciation!$A$14:$L$18,9,FALSE),0))</f>
        <v>2.7856818539452578E-2</v>
      </c>
      <c r="L199" s="306">
        <f>+IF($H199=L$2,VLOOKUP($G199,Depreciation!$A$14:$L$18,10,FALSE)/2,IF($H199&lt;L$2,VLOOKUP($G199,Depreciation!$A$14:$L$18,10,FALSE),0))</f>
        <v>2.7856818539452578E-2</v>
      </c>
      <c r="M199" s="306">
        <f>+IF($H199=M$2,VLOOKUP($G199,Depreciation!$A$14:$L$18,11,FALSE)/2,IF($H199&lt;M$2,VLOOKUP($G199,Depreciation!$A$14:$L$18,11,FALSE),0))</f>
        <v>2.7856818539452578E-2</v>
      </c>
      <c r="N199" s="306">
        <f>+IF($H199=N$2,VLOOKUP($G199,Depreciation!$A$14:$L$18,12,FALSE)/2,IF($H199&lt;N$2,VLOOKUP($G199,Depreciation!$A$14:$L$18,12,FALSE),0))</f>
        <v>2.7856818539452578E-2</v>
      </c>
      <c r="O199" s="307">
        <f t="shared" si="26"/>
        <v>683172.51086192718</v>
      </c>
      <c r="P199" s="732">
        <f>'Func Future Subs 2015'!P199</f>
        <v>0.9759174311926605</v>
      </c>
      <c r="Q199" s="732">
        <f>'Func Future Subs 2015'!Q199</f>
        <v>2.4082568807339451E-2</v>
      </c>
      <c r="R199" s="732">
        <f>'Func Future Subs 2015'!R199</f>
        <v>4.8572257327350599E-17</v>
      </c>
      <c r="S199" s="735">
        <f t="shared" si="27"/>
        <v>666719.96186181193</v>
      </c>
      <c r="T199" s="735">
        <f t="shared" si="28"/>
        <v>16452.549000115221</v>
      </c>
      <c r="U199" s="735">
        <f t="shared" si="29"/>
        <v>3.3183230996557746E-11</v>
      </c>
      <c r="V199" s="736">
        <f t="shared" si="30"/>
        <v>0</v>
      </c>
      <c r="W199" s="735">
        <f t="shared" si="31"/>
        <v>666719.96186181193</v>
      </c>
      <c r="X199" s="737">
        <f t="shared" si="32"/>
        <v>0</v>
      </c>
      <c r="Y199" s="738">
        <f t="shared" si="33"/>
        <v>16452.549000115254</v>
      </c>
    </row>
    <row r="200" spans="1:25">
      <c r="A200" s="754" t="str">
        <f>'Func Future Subs 2015'!A200</f>
        <v>Enmax No. 65_v180</v>
      </c>
      <c r="B200" s="754">
        <f>'Func Future Subs 2015'!B200</f>
        <v>1117</v>
      </c>
      <c r="C200" s="754">
        <f>'Func Future Subs 2015'!C200</f>
        <v>240</v>
      </c>
      <c r="D200" s="754">
        <f>'Func Future Subs 2015'!D200</f>
        <v>138</v>
      </c>
      <c r="E200" s="754" t="str">
        <f>'Func Future Subs 2015'!E200</f>
        <v>SS-65</v>
      </c>
      <c r="F200" s="754">
        <f>'Func Future Subs 2015'!F200</f>
        <v>3684124.7085786541</v>
      </c>
      <c r="G200" s="754" t="str">
        <f>'Func Future Subs 2015'!G200</f>
        <v>ENMAX</v>
      </c>
      <c r="H200" s="754">
        <f>'Func Future Subs 2015'!H200</f>
        <v>2015</v>
      </c>
      <c r="I200" s="306">
        <f>+IF($H200=I$2,VLOOKUP($G200,Depreciation!$A$14:$L$18,7,FALSE)/2,IF($H200&lt;I$2,VLOOKUP($G200,Depreciation!$A$14:$L$18,7,FALSE),0))</f>
        <v>1.3928409269726289E-2</v>
      </c>
      <c r="J200" s="306">
        <f>+IF($H200=J$2,VLOOKUP($G200,Depreciation!$A$14:$L$18,8,FALSE)/2,IF($H200&lt;J$2,VLOOKUP($G200,Depreciation!$A$14:$L$18,8,FALSE),0))</f>
        <v>2.7856818539452578E-2</v>
      </c>
      <c r="K200" s="306">
        <f>+IF($H200=K$2,VLOOKUP($G200,Depreciation!$A$14:$L$18,9,FALSE)/2,IF($H200&lt;K$2,VLOOKUP($G200,Depreciation!$A$14:$L$18,9,FALSE),0))</f>
        <v>2.7856818539452578E-2</v>
      </c>
      <c r="L200" s="306">
        <f>+IF($H200=L$2,VLOOKUP($G200,Depreciation!$A$14:$L$18,10,FALSE)/2,IF($H200&lt;L$2,VLOOKUP($G200,Depreciation!$A$14:$L$18,10,FALSE),0))</f>
        <v>2.7856818539452578E-2</v>
      </c>
      <c r="M200" s="306">
        <f>+IF($H200=M$2,VLOOKUP($G200,Depreciation!$A$14:$L$18,11,FALSE)/2,IF($H200&lt;M$2,VLOOKUP($G200,Depreciation!$A$14:$L$18,11,FALSE),0))</f>
        <v>2.7856818539452578E-2</v>
      </c>
      <c r="N200" s="306">
        <f>+IF($H200=N$2,VLOOKUP($G200,Depreciation!$A$14:$L$18,12,FALSE)/2,IF($H200&lt;N$2,VLOOKUP($G200,Depreciation!$A$14:$L$18,12,FALSE),0))</f>
        <v>2.7856818539452578E-2</v>
      </c>
      <c r="O200" s="307">
        <f t="shared" si="26"/>
        <v>3531612.1630490408</v>
      </c>
      <c r="P200" s="732">
        <f>'Func Future Subs 2015'!P200</f>
        <v>0</v>
      </c>
      <c r="Q200" s="732">
        <f>'Func Future Subs 2015'!Q200</f>
        <v>0</v>
      </c>
      <c r="R200" s="732">
        <f>'Func Future Subs 2015'!R200</f>
        <v>1</v>
      </c>
      <c r="S200" s="735">
        <f t="shared" si="27"/>
        <v>0</v>
      </c>
      <c r="T200" s="735">
        <f t="shared" si="28"/>
        <v>0</v>
      </c>
      <c r="U200" s="735">
        <f t="shared" si="29"/>
        <v>3531612.1630490408</v>
      </c>
      <c r="V200" s="736">
        <f t="shared" si="30"/>
        <v>0</v>
      </c>
      <c r="W200" s="735">
        <f t="shared" si="31"/>
        <v>0</v>
      </c>
      <c r="X200" s="737">
        <f t="shared" si="32"/>
        <v>3531612.1630490408</v>
      </c>
      <c r="Y200" s="738">
        <f t="shared" si="33"/>
        <v>0</v>
      </c>
    </row>
    <row r="201" spans="1:25">
      <c r="A201" s="754" t="str">
        <f>'Func Future Subs 2015'!A201</f>
        <v>Foothills 237S 138kV_180</v>
      </c>
      <c r="B201" s="754">
        <f>'Func Future Subs 2015'!B201</f>
        <v>1117</v>
      </c>
      <c r="C201" s="754">
        <f>'Func Future Subs 2015'!C201</f>
        <v>240</v>
      </c>
      <c r="D201" s="754">
        <f>'Func Future Subs 2015'!D201</f>
        <v>138</v>
      </c>
      <c r="E201" s="754" t="str">
        <f>'Func Future Subs 2015'!E201</f>
        <v>237S</v>
      </c>
      <c r="F201" s="754">
        <f>'Func Future Subs 2015'!F201</f>
        <v>50320527.637888998</v>
      </c>
      <c r="G201" s="754" t="str">
        <f>'Func Future Subs 2015'!G201</f>
        <v>AltaLink</v>
      </c>
      <c r="H201" s="754">
        <f>'Func Future Subs 2015'!H201</f>
        <v>2015</v>
      </c>
      <c r="I201" s="306">
        <f>+IF($H201=I$2,VLOOKUP($G201,Depreciation!$A$14:$L$18,7,FALSE)/2,IF($H201&lt;I$2,VLOOKUP($G201,Depreciation!$A$14:$L$18,7,FALSE),0))</f>
        <v>1.7228380322441735E-2</v>
      </c>
      <c r="J201" s="306">
        <f>+IF($H201=J$2,VLOOKUP($G201,Depreciation!$A$14:$L$18,8,FALSE)/2,IF($H201&lt;J$2,VLOOKUP($G201,Depreciation!$A$14:$L$18,8,FALSE),0))</f>
        <v>3.343407856743718E-2</v>
      </c>
      <c r="K201" s="306">
        <f>+IF($H201=K$2,VLOOKUP($G201,Depreciation!$A$14:$L$18,9,FALSE)/2,IF($H201&lt;K$2,VLOOKUP($G201,Depreciation!$A$14:$L$18,9,FALSE),0))</f>
        <v>3.343407856743718E-2</v>
      </c>
      <c r="L201" s="306">
        <f>+IF($H201=L$2,VLOOKUP($G201,Depreciation!$A$14:$L$18,10,FALSE)/2,IF($H201&lt;L$2,VLOOKUP($G201,Depreciation!$A$14:$L$18,10,FALSE),0))</f>
        <v>3.343407856743718E-2</v>
      </c>
      <c r="M201" s="306">
        <f>+IF($H201=M$2,VLOOKUP($G201,Depreciation!$A$14:$L$18,11,FALSE)/2,IF($H201&lt;M$2,VLOOKUP($G201,Depreciation!$A$14:$L$18,11,FALSE),0))</f>
        <v>3.343407856743718E-2</v>
      </c>
      <c r="N201" s="306">
        <f>+IF($H201=N$2,VLOOKUP($G201,Depreciation!$A$14:$L$18,12,FALSE)/2,IF($H201&lt;N$2,VLOOKUP($G201,Depreciation!$A$14:$L$18,12,FALSE),0))</f>
        <v>3.343407856743718E-2</v>
      </c>
      <c r="O201" s="307">
        <f t="shared" si="26"/>
        <v>47800151.354916103</v>
      </c>
      <c r="P201" s="732">
        <f>'Func Future Subs 2015'!P201</f>
        <v>0</v>
      </c>
      <c r="Q201" s="732">
        <f>'Func Future Subs 2015'!Q201</f>
        <v>0</v>
      </c>
      <c r="R201" s="732">
        <f>'Func Future Subs 2015'!R201</f>
        <v>1</v>
      </c>
      <c r="S201" s="735">
        <f t="shared" si="27"/>
        <v>0</v>
      </c>
      <c r="T201" s="735">
        <f t="shared" si="28"/>
        <v>0</v>
      </c>
      <c r="U201" s="735">
        <f t="shared" si="29"/>
        <v>47800151.354916103</v>
      </c>
      <c r="V201" s="736">
        <f t="shared" si="30"/>
        <v>0</v>
      </c>
      <c r="W201" s="735">
        <f t="shared" si="31"/>
        <v>0</v>
      </c>
      <c r="X201" s="737">
        <f t="shared" si="32"/>
        <v>47800151.354916103</v>
      </c>
      <c r="Y201" s="738">
        <f t="shared" si="33"/>
        <v>0</v>
      </c>
    </row>
    <row r="202" spans="1:25">
      <c r="A202" s="754" t="str">
        <f>'Func Future Subs 2015'!A202</f>
        <v>Foothills 237S_180</v>
      </c>
      <c r="B202" s="754">
        <f>'Func Future Subs 2015'!B202</f>
        <v>1117</v>
      </c>
      <c r="C202" s="754">
        <f>'Func Future Subs 2015'!C202</f>
        <v>240</v>
      </c>
      <c r="D202" s="754">
        <f>'Func Future Subs 2015'!D202</f>
        <v>138</v>
      </c>
      <c r="E202" s="754" t="str">
        <f>'Func Future Subs 2015'!E202</f>
        <v>237S</v>
      </c>
      <c r="F202" s="754">
        <f>'Func Future Subs 2015'!F202</f>
        <v>7942848.7389275823</v>
      </c>
      <c r="G202" s="754" t="str">
        <f>'Func Future Subs 2015'!G202</f>
        <v>AltaLink</v>
      </c>
      <c r="H202" s="754">
        <f>'Func Future Subs 2015'!H202</f>
        <v>2015</v>
      </c>
      <c r="I202" s="306">
        <f>+IF($H202=I$2,VLOOKUP($G202,Depreciation!$A$14:$L$18,7,FALSE)/2,IF($H202&lt;I$2,VLOOKUP($G202,Depreciation!$A$14:$L$18,7,FALSE),0))</f>
        <v>1.7228380322441735E-2</v>
      </c>
      <c r="J202" s="306">
        <f>+IF($H202=J$2,VLOOKUP($G202,Depreciation!$A$14:$L$18,8,FALSE)/2,IF($H202&lt;J$2,VLOOKUP($G202,Depreciation!$A$14:$L$18,8,FALSE),0))</f>
        <v>3.343407856743718E-2</v>
      </c>
      <c r="K202" s="306">
        <f>+IF($H202=K$2,VLOOKUP($G202,Depreciation!$A$14:$L$18,9,FALSE)/2,IF($H202&lt;K$2,VLOOKUP($G202,Depreciation!$A$14:$L$18,9,FALSE),0))</f>
        <v>3.343407856743718E-2</v>
      </c>
      <c r="L202" s="306">
        <f>+IF($H202=L$2,VLOOKUP($G202,Depreciation!$A$14:$L$18,10,FALSE)/2,IF($H202&lt;L$2,VLOOKUP($G202,Depreciation!$A$14:$L$18,10,FALSE),0))</f>
        <v>3.343407856743718E-2</v>
      </c>
      <c r="M202" s="306">
        <f>+IF($H202=M$2,VLOOKUP($G202,Depreciation!$A$14:$L$18,11,FALSE)/2,IF($H202&lt;M$2,VLOOKUP($G202,Depreciation!$A$14:$L$18,11,FALSE),0))</f>
        <v>3.343407856743718E-2</v>
      </c>
      <c r="N202" s="306">
        <f>+IF($H202=N$2,VLOOKUP($G202,Depreciation!$A$14:$L$18,12,FALSE)/2,IF($H202&lt;N$2,VLOOKUP($G202,Depreciation!$A$14:$L$18,12,FALSE),0))</f>
        <v>3.343407856743718E-2</v>
      </c>
      <c r="O202" s="307">
        <f t="shared" si="26"/>
        <v>7545019.6914085951</v>
      </c>
      <c r="P202" s="732">
        <f>'Func Future Subs 2015'!P202</f>
        <v>0</v>
      </c>
      <c r="Q202" s="732">
        <f>'Func Future Subs 2015'!Q202</f>
        <v>0</v>
      </c>
      <c r="R202" s="732">
        <f>'Func Future Subs 2015'!R202</f>
        <v>1</v>
      </c>
      <c r="S202" s="735">
        <f t="shared" si="27"/>
        <v>0</v>
      </c>
      <c r="T202" s="735">
        <f t="shared" si="28"/>
        <v>0</v>
      </c>
      <c r="U202" s="735">
        <f t="shared" si="29"/>
        <v>7545019.6914085951</v>
      </c>
      <c r="V202" s="736">
        <f t="shared" si="30"/>
        <v>0</v>
      </c>
      <c r="W202" s="735">
        <f t="shared" si="31"/>
        <v>0</v>
      </c>
      <c r="X202" s="737">
        <f t="shared" si="32"/>
        <v>7545019.6914085951</v>
      </c>
      <c r="Y202" s="738">
        <f t="shared" si="33"/>
        <v>0</v>
      </c>
    </row>
    <row r="203" spans="1:25">
      <c r="A203" s="754" t="str">
        <f>'Func Future Subs 2015'!A203</f>
        <v>High River 65S_180</v>
      </c>
      <c r="B203" s="754">
        <f>'Func Future Subs 2015'!B203</f>
        <v>1117</v>
      </c>
      <c r="C203" s="754">
        <f>'Func Future Subs 2015'!C203</f>
        <v>138</v>
      </c>
      <c r="D203" s="754">
        <f>'Func Future Subs 2015'!D203</f>
        <v>25</v>
      </c>
      <c r="E203" s="754" t="str">
        <f>'Func Future Subs 2015'!E203</f>
        <v>65S</v>
      </c>
      <c r="F203" s="754">
        <f>'Func Future Subs 2015'!F203</f>
        <v>7010473.3837333731</v>
      </c>
      <c r="G203" s="754" t="str">
        <f>'Func Future Subs 2015'!G203</f>
        <v>AltaLink</v>
      </c>
      <c r="H203" s="754">
        <f>'Func Future Subs 2015'!H203</f>
        <v>2015</v>
      </c>
      <c r="I203" s="306">
        <f>+IF($H203=I$2,VLOOKUP($G203,Depreciation!$A$14:$L$18,7,FALSE)/2,IF($H203&lt;I$2,VLOOKUP($G203,Depreciation!$A$14:$L$18,7,FALSE),0))</f>
        <v>1.7228380322441735E-2</v>
      </c>
      <c r="J203" s="306">
        <f>+IF($H203=J$2,VLOOKUP($G203,Depreciation!$A$14:$L$18,8,FALSE)/2,IF($H203&lt;J$2,VLOOKUP($G203,Depreciation!$A$14:$L$18,8,FALSE),0))</f>
        <v>3.343407856743718E-2</v>
      </c>
      <c r="K203" s="306">
        <f>+IF($H203=K$2,VLOOKUP($G203,Depreciation!$A$14:$L$18,9,FALSE)/2,IF($H203&lt;K$2,VLOOKUP($G203,Depreciation!$A$14:$L$18,9,FALSE),0))</f>
        <v>3.343407856743718E-2</v>
      </c>
      <c r="L203" s="306">
        <f>+IF($H203=L$2,VLOOKUP($G203,Depreciation!$A$14:$L$18,10,FALSE)/2,IF($H203&lt;L$2,VLOOKUP($G203,Depreciation!$A$14:$L$18,10,FALSE),0))</f>
        <v>3.343407856743718E-2</v>
      </c>
      <c r="M203" s="306">
        <f>+IF($H203=M$2,VLOOKUP($G203,Depreciation!$A$14:$L$18,11,FALSE)/2,IF($H203&lt;M$2,VLOOKUP($G203,Depreciation!$A$14:$L$18,11,FALSE),0))</f>
        <v>3.343407856743718E-2</v>
      </c>
      <c r="N203" s="306">
        <f>+IF($H203=N$2,VLOOKUP($G203,Depreciation!$A$14:$L$18,12,FALSE)/2,IF($H203&lt;N$2,VLOOKUP($G203,Depreciation!$A$14:$L$18,12,FALSE),0))</f>
        <v>3.343407856743718E-2</v>
      </c>
      <c r="O203" s="307">
        <f t="shared" si="26"/>
        <v>6659343.7021067757</v>
      </c>
      <c r="P203" s="732">
        <f>'Func Future Subs 2015'!P203</f>
        <v>0</v>
      </c>
      <c r="Q203" s="732">
        <f>'Func Future Subs 2015'!Q203</f>
        <v>1</v>
      </c>
      <c r="R203" s="732">
        <f>'Func Future Subs 2015'!R203</f>
        <v>0</v>
      </c>
      <c r="S203" s="735">
        <f t="shared" si="27"/>
        <v>0</v>
      </c>
      <c r="T203" s="735">
        <f t="shared" si="28"/>
        <v>6659343.7021067757</v>
      </c>
      <c r="U203" s="735">
        <f t="shared" si="29"/>
        <v>0</v>
      </c>
      <c r="V203" s="736">
        <f t="shared" si="30"/>
        <v>0</v>
      </c>
      <c r="W203" s="735">
        <f t="shared" si="31"/>
        <v>0</v>
      </c>
      <c r="X203" s="737">
        <f t="shared" si="32"/>
        <v>0</v>
      </c>
      <c r="Y203" s="738">
        <f t="shared" si="33"/>
        <v>6659343.7021067757</v>
      </c>
    </row>
    <row r="204" spans="1:25">
      <c r="A204" s="754" t="str">
        <f>'Func Future Subs 2015'!A204</f>
        <v>Janet 74S expansion_(v180)</v>
      </c>
      <c r="B204" s="754">
        <f>'Func Future Subs 2015'!B204</f>
        <v>1117</v>
      </c>
      <c r="C204" s="754">
        <f>'Func Future Subs 2015'!C204</f>
        <v>240</v>
      </c>
      <c r="D204" s="754">
        <f>'Func Future Subs 2015'!D204</f>
        <v>138</v>
      </c>
      <c r="E204" s="754" t="str">
        <f>'Func Future Subs 2015'!E204</f>
        <v>74S</v>
      </c>
      <c r="F204" s="754">
        <f>'Func Future Subs 2015'!F204</f>
        <v>26955252.769418996</v>
      </c>
      <c r="G204" s="754" t="str">
        <f>'Func Future Subs 2015'!G204</f>
        <v>AltaLink</v>
      </c>
      <c r="H204" s="754">
        <f>'Func Future Subs 2015'!H204</f>
        <v>2015</v>
      </c>
      <c r="I204" s="306">
        <f>+IF($H204=I$2,VLOOKUP($G204,Depreciation!$A$14:$L$18,7,FALSE)/2,IF($H204&lt;I$2,VLOOKUP($G204,Depreciation!$A$14:$L$18,7,FALSE),0))</f>
        <v>1.7228380322441735E-2</v>
      </c>
      <c r="J204" s="306">
        <f>+IF($H204=J$2,VLOOKUP($G204,Depreciation!$A$14:$L$18,8,FALSE)/2,IF($H204&lt;J$2,VLOOKUP($G204,Depreciation!$A$14:$L$18,8,FALSE),0))</f>
        <v>3.343407856743718E-2</v>
      </c>
      <c r="K204" s="306">
        <f>+IF($H204=K$2,VLOOKUP($G204,Depreciation!$A$14:$L$18,9,FALSE)/2,IF($H204&lt;K$2,VLOOKUP($G204,Depreciation!$A$14:$L$18,9,FALSE),0))</f>
        <v>3.343407856743718E-2</v>
      </c>
      <c r="L204" s="306">
        <f>+IF($H204=L$2,VLOOKUP($G204,Depreciation!$A$14:$L$18,10,FALSE)/2,IF($H204&lt;L$2,VLOOKUP($G204,Depreciation!$A$14:$L$18,10,FALSE),0))</f>
        <v>3.343407856743718E-2</v>
      </c>
      <c r="M204" s="306">
        <f>+IF($H204=M$2,VLOOKUP($G204,Depreciation!$A$14:$L$18,11,FALSE)/2,IF($H204&lt;M$2,VLOOKUP($G204,Depreciation!$A$14:$L$18,11,FALSE),0))</f>
        <v>3.343407856743718E-2</v>
      </c>
      <c r="N204" s="306">
        <f>+IF($H204=N$2,VLOOKUP($G204,Depreciation!$A$14:$L$18,12,FALSE)/2,IF($H204&lt;N$2,VLOOKUP($G204,Depreciation!$A$14:$L$18,12,FALSE),0))</f>
        <v>3.343407856743718E-2</v>
      </c>
      <c r="O204" s="307">
        <f t="shared" si="26"/>
        <v>25605160.014619868</v>
      </c>
      <c r="P204" s="732">
        <f>'Func Future Subs 2015'!P204</f>
        <v>0</v>
      </c>
      <c r="Q204" s="732">
        <f>'Func Future Subs 2015'!Q204</f>
        <v>0</v>
      </c>
      <c r="R204" s="732">
        <f>'Func Future Subs 2015'!R204</f>
        <v>1</v>
      </c>
      <c r="S204" s="735">
        <f t="shared" si="27"/>
        <v>0</v>
      </c>
      <c r="T204" s="735">
        <f t="shared" si="28"/>
        <v>0</v>
      </c>
      <c r="U204" s="735">
        <f t="shared" si="29"/>
        <v>25605160.014619868</v>
      </c>
      <c r="V204" s="736">
        <f t="shared" si="30"/>
        <v>0</v>
      </c>
      <c r="W204" s="735">
        <f t="shared" si="31"/>
        <v>0</v>
      </c>
      <c r="X204" s="737">
        <f t="shared" si="32"/>
        <v>25605160.014619868</v>
      </c>
      <c r="Y204" s="738">
        <f t="shared" si="33"/>
        <v>0</v>
      </c>
    </row>
    <row r="205" spans="1:25">
      <c r="A205" s="754" t="str">
        <f>'Func Future Subs 2015'!A205</f>
        <v>Langdon 102S_(v180)</v>
      </c>
      <c r="B205" s="754">
        <f>'Func Future Subs 2015'!B205</f>
        <v>1117</v>
      </c>
      <c r="C205" s="754">
        <f>'Func Future Subs 2015'!C205</f>
        <v>500</v>
      </c>
      <c r="D205" s="754">
        <f>'Func Future Subs 2015'!D205</f>
        <v>240</v>
      </c>
      <c r="E205" s="754" t="str">
        <f>'Func Future Subs 2015'!E205</f>
        <v>102S</v>
      </c>
      <c r="F205" s="754">
        <f>'Func Future Subs 2015'!F205</f>
        <v>26111161.304189671</v>
      </c>
      <c r="G205" s="754" t="str">
        <f>'Func Future Subs 2015'!G205</f>
        <v>AltaLink</v>
      </c>
      <c r="H205" s="754">
        <f>'Func Future Subs 2015'!H205</f>
        <v>2015</v>
      </c>
      <c r="I205" s="306">
        <f>+IF($H205=I$2,VLOOKUP($G205,Depreciation!$A$14:$L$18,7,FALSE)/2,IF($H205&lt;I$2,VLOOKUP($G205,Depreciation!$A$14:$L$18,7,FALSE),0))</f>
        <v>1.7228380322441735E-2</v>
      </c>
      <c r="J205" s="306">
        <f>+IF($H205=J$2,VLOOKUP($G205,Depreciation!$A$14:$L$18,8,FALSE)/2,IF($H205&lt;J$2,VLOOKUP($G205,Depreciation!$A$14:$L$18,8,FALSE),0))</f>
        <v>3.343407856743718E-2</v>
      </c>
      <c r="K205" s="306">
        <f>+IF($H205=K$2,VLOOKUP($G205,Depreciation!$A$14:$L$18,9,FALSE)/2,IF($H205&lt;K$2,VLOOKUP($G205,Depreciation!$A$14:$L$18,9,FALSE),0))</f>
        <v>3.343407856743718E-2</v>
      </c>
      <c r="L205" s="306">
        <f>+IF($H205=L$2,VLOOKUP($G205,Depreciation!$A$14:$L$18,10,FALSE)/2,IF($H205&lt;L$2,VLOOKUP($G205,Depreciation!$A$14:$L$18,10,FALSE),0))</f>
        <v>3.343407856743718E-2</v>
      </c>
      <c r="M205" s="306">
        <f>+IF($H205=M$2,VLOOKUP($G205,Depreciation!$A$14:$L$18,11,FALSE)/2,IF($H205&lt;M$2,VLOOKUP($G205,Depreciation!$A$14:$L$18,11,FALSE),0))</f>
        <v>3.343407856743718E-2</v>
      </c>
      <c r="N205" s="306">
        <f>+IF($H205=N$2,VLOOKUP($G205,Depreciation!$A$14:$L$18,12,FALSE)/2,IF($H205&lt;N$2,VLOOKUP($G205,Depreciation!$A$14:$L$18,12,FALSE),0))</f>
        <v>3.343407856743718E-2</v>
      </c>
      <c r="O205" s="307">
        <f t="shared" si="26"/>
        <v>24803346.089183707</v>
      </c>
      <c r="P205" s="732">
        <f>'Func Future Subs 2015'!P205</f>
        <v>0</v>
      </c>
      <c r="Q205" s="732">
        <f>'Func Future Subs 2015'!Q205</f>
        <v>0</v>
      </c>
      <c r="R205" s="732">
        <f>'Func Future Subs 2015'!R205</f>
        <v>1</v>
      </c>
      <c r="S205" s="735">
        <f t="shared" si="27"/>
        <v>0</v>
      </c>
      <c r="T205" s="735">
        <f t="shared" si="28"/>
        <v>0</v>
      </c>
      <c r="U205" s="735">
        <f t="shared" si="29"/>
        <v>24803346.089183707</v>
      </c>
      <c r="V205" s="736">
        <f t="shared" si="30"/>
        <v>0</v>
      </c>
      <c r="W205" s="735">
        <f t="shared" si="31"/>
        <v>24803346.089183707</v>
      </c>
      <c r="X205" s="737">
        <f t="shared" si="32"/>
        <v>0</v>
      </c>
      <c r="Y205" s="738">
        <f t="shared" si="33"/>
        <v>0</v>
      </c>
    </row>
    <row r="206" spans="1:25">
      <c r="A206" s="754" t="str">
        <f>'Func Future Subs 2015'!A206</f>
        <v>Okotok 678S_180</v>
      </c>
      <c r="B206" s="754">
        <f>'Func Future Subs 2015'!B206</f>
        <v>1117</v>
      </c>
      <c r="C206" s="754">
        <f>'Func Future Subs 2015'!C206</f>
        <v>138</v>
      </c>
      <c r="D206" s="754">
        <f>'Func Future Subs 2015'!D206</f>
        <v>25</v>
      </c>
      <c r="E206" s="754" t="str">
        <f>'Func Future Subs 2015'!E206</f>
        <v>678S</v>
      </c>
      <c r="F206" s="754">
        <f>'Func Future Subs 2015'!F206</f>
        <v>5976888.018172862</v>
      </c>
      <c r="G206" s="754" t="str">
        <f>'Func Future Subs 2015'!G206</f>
        <v>AltaLink</v>
      </c>
      <c r="H206" s="754">
        <f>'Func Future Subs 2015'!H206</f>
        <v>2015</v>
      </c>
      <c r="I206" s="306">
        <f>+IF($H206=I$2,VLOOKUP($G206,Depreciation!$A$14:$L$18,7,FALSE)/2,IF($H206&lt;I$2,VLOOKUP($G206,Depreciation!$A$14:$L$18,7,FALSE),0))</f>
        <v>1.7228380322441735E-2</v>
      </c>
      <c r="J206" s="306">
        <f>+IF($H206=J$2,VLOOKUP($G206,Depreciation!$A$14:$L$18,8,FALSE)/2,IF($H206&lt;J$2,VLOOKUP($G206,Depreciation!$A$14:$L$18,8,FALSE),0))</f>
        <v>3.343407856743718E-2</v>
      </c>
      <c r="K206" s="306">
        <f>+IF($H206=K$2,VLOOKUP($G206,Depreciation!$A$14:$L$18,9,FALSE)/2,IF($H206&lt;K$2,VLOOKUP($G206,Depreciation!$A$14:$L$18,9,FALSE),0))</f>
        <v>3.343407856743718E-2</v>
      </c>
      <c r="L206" s="306">
        <f>+IF($H206=L$2,VLOOKUP($G206,Depreciation!$A$14:$L$18,10,FALSE)/2,IF($H206&lt;L$2,VLOOKUP($G206,Depreciation!$A$14:$L$18,10,FALSE),0))</f>
        <v>3.343407856743718E-2</v>
      </c>
      <c r="M206" s="306">
        <f>+IF($H206=M$2,VLOOKUP($G206,Depreciation!$A$14:$L$18,11,FALSE)/2,IF($H206&lt;M$2,VLOOKUP($G206,Depreciation!$A$14:$L$18,11,FALSE),0))</f>
        <v>3.343407856743718E-2</v>
      </c>
      <c r="N206" s="306">
        <f>+IF($H206=N$2,VLOOKUP($G206,Depreciation!$A$14:$L$18,12,FALSE)/2,IF($H206&lt;N$2,VLOOKUP($G206,Depreciation!$A$14:$L$18,12,FALSE),0))</f>
        <v>3.343407856743718E-2</v>
      </c>
      <c r="O206" s="307">
        <f t="shared" si="26"/>
        <v>5677526.9519418059</v>
      </c>
      <c r="P206" s="732">
        <f>'Func Future Subs 2015'!P206</f>
        <v>0</v>
      </c>
      <c r="Q206" s="732">
        <f>'Func Future Subs 2015'!Q206</f>
        <v>1</v>
      </c>
      <c r="R206" s="732">
        <f>'Func Future Subs 2015'!R206</f>
        <v>0</v>
      </c>
      <c r="S206" s="735">
        <f t="shared" si="27"/>
        <v>0</v>
      </c>
      <c r="T206" s="735">
        <f t="shared" si="28"/>
        <v>5677526.9519418059</v>
      </c>
      <c r="U206" s="735">
        <f t="shared" si="29"/>
        <v>0</v>
      </c>
      <c r="V206" s="736">
        <f t="shared" si="30"/>
        <v>0</v>
      </c>
      <c r="W206" s="735">
        <f t="shared" si="31"/>
        <v>0</v>
      </c>
      <c r="X206" s="737">
        <f t="shared" si="32"/>
        <v>0</v>
      </c>
      <c r="Y206" s="738">
        <f t="shared" si="33"/>
        <v>5677526.9519418059</v>
      </c>
    </row>
    <row r="207" spans="1:25">
      <c r="A207" s="754" t="str">
        <f>'Func Future Subs 2015'!A207</f>
        <v>2060S Engstrom Substation</v>
      </c>
      <c r="B207" s="754">
        <f>'Func Future Subs 2015'!B207</f>
        <v>1128</v>
      </c>
      <c r="C207" s="754">
        <f>'Func Future Subs 2015'!C207</f>
        <v>144</v>
      </c>
      <c r="D207" s="754">
        <f>'Func Future Subs 2015'!D207</f>
        <v>25</v>
      </c>
      <c r="E207" s="754" t="str">
        <f>'Func Future Subs 2015'!E207</f>
        <v>2060S</v>
      </c>
      <c r="F207" s="754">
        <f>'Func Future Subs 2015'!F207</f>
        <v>3013835.5296935784</v>
      </c>
      <c r="G207" s="754" t="str">
        <f>'Func Future Subs 2015'!G207</f>
        <v>ATCO</v>
      </c>
      <c r="H207" s="754">
        <f>'Func Future Subs 2015'!H207</f>
        <v>2015</v>
      </c>
      <c r="I207" s="306">
        <f>+IF($H207=I$2,VLOOKUP($G207,Depreciation!$A$14:$L$18,7,FALSE)/2,IF($H207&lt;I$2,VLOOKUP($G207,Depreciation!$A$14:$L$18,7,FALSE),0))</f>
        <v>1.221703683566912E-2</v>
      </c>
      <c r="J207" s="306">
        <f>+IF($H207=J$2,VLOOKUP($G207,Depreciation!$A$14:$L$18,8,FALSE)/2,IF($H207&lt;J$2,VLOOKUP($G207,Depreciation!$A$14:$L$18,8,FALSE),0))</f>
        <v>2.4632450501084719E-2</v>
      </c>
      <c r="K207" s="306">
        <f>+IF($H207=K$2,VLOOKUP($G207,Depreciation!$A$14:$L$18,9,FALSE)/2,IF($H207&lt;K$2,VLOOKUP($G207,Depreciation!$A$14:$L$18,9,FALSE),0))</f>
        <v>2.4351536427798831E-2</v>
      </c>
      <c r="L207" s="306">
        <f>+IF($H207=L$2,VLOOKUP($G207,Depreciation!$A$14:$L$18,10,FALSE)/2,IF($H207&lt;L$2,VLOOKUP($G207,Depreciation!$A$14:$L$18,10,FALSE),0))</f>
        <v>2.4351536427798831E-2</v>
      </c>
      <c r="M207" s="306">
        <f>+IF($H207=M$2,VLOOKUP($G207,Depreciation!$A$14:$L$18,11,FALSE)/2,IF($H207&lt;M$2,VLOOKUP($G207,Depreciation!$A$14:$L$18,11,FALSE),0))</f>
        <v>2.4351536427798831E-2</v>
      </c>
      <c r="N207" s="306">
        <f>+IF($H207=N$2,VLOOKUP($G207,Depreciation!$A$14:$L$18,12,FALSE)/2,IF($H207&lt;N$2,VLOOKUP($G207,Depreciation!$A$14:$L$18,12,FALSE),0))</f>
        <v>2.4351536427798831E-2</v>
      </c>
      <c r="O207" s="307">
        <f t="shared" si="26"/>
        <v>2903684.2057752586</v>
      </c>
      <c r="P207" s="732">
        <f>'Func Future Subs 2015'!P207</f>
        <v>0</v>
      </c>
      <c r="Q207" s="732">
        <f>'Func Future Subs 2015'!Q207</f>
        <v>1</v>
      </c>
      <c r="R207" s="732">
        <f>'Func Future Subs 2015'!R207</f>
        <v>0</v>
      </c>
      <c r="S207" s="735">
        <f t="shared" si="27"/>
        <v>0</v>
      </c>
      <c r="T207" s="735">
        <f t="shared" si="28"/>
        <v>2903684.2057752586</v>
      </c>
      <c r="U207" s="735">
        <f t="shared" si="29"/>
        <v>0</v>
      </c>
      <c r="V207" s="736">
        <f t="shared" si="30"/>
        <v>0</v>
      </c>
      <c r="W207" s="735">
        <f t="shared" si="31"/>
        <v>0</v>
      </c>
      <c r="X207" s="737">
        <f t="shared" si="32"/>
        <v>0</v>
      </c>
      <c r="Y207" s="738">
        <f t="shared" si="33"/>
        <v>2903684.2057752586</v>
      </c>
    </row>
    <row r="208" spans="1:25">
      <c r="A208" s="754" t="str">
        <f>'Func Future Subs 2015'!A208</f>
        <v>856S Kinosis Substation</v>
      </c>
      <c r="B208" s="754">
        <f>'Func Future Subs 2015'!B208</f>
        <v>1128</v>
      </c>
      <c r="C208" s="754">
        <f>'Func Future Subs 2015'!C208</f>
        <v>240</v>
      </c>
      <c r="D208" s="754">
        <f>'Func Future Subs 2015'!D208</f>
        <v>25</v>
      </c>
      <c r="E208" s="754" t="str">
        <f>'Func Future Subs 2015'!E208</f>
        <v>856S</v>
      </c>
      <c r="F208" s="754">
        <f>'Func Future Subs 2015'!F208</f>
        <v>26494192.572163552</v>
      </c>
      <c r="G208" s="754" t="str">
        <f>'Func Future Subs 2015'!G208</f>
        <v>ATCO</v>
      </c>
      <c r="H208" s="754">
        <f>'Func Future Subs 2015'!H208</f>
        <v>2015</v>
      </c>
      <c r="I208" s="306">
        <f>+IF($H208=I$2,VLOOKUP($G208,Depreciation!$A$14:$L$18,7,FALSE)/2,IF($H208&lt;I$2,VLOOKUP($G208,Depreciation!$A$14:$L$18,7,FALSE),0))</f>
        <v>1.221703683566912E-2</v>
      </c>
      <c r="J208" s="306">
        <f>+IF($H208=J$2,VLOOKUP($G208,Depreciation!$A$14:$L$18,8,FALSE)/2,IF($H208&lt;J$2,VLOOKUP($G208,Depreciation!$A$14:$L$18,8,FALSE),0))</f>
        <v>2.4632450501084719E-2</v>
      </c>
      <c r="K208" s="306">
        <f>+IF($H208=K$2,VLOOKUP($G208,Depreciation!$A$14:$L$18,9,FALSE)/2,IF($H208&lt;K$2,VLOOKUP($G208,Depreciation!$A$14:$L$18,9,FALSE),0))</f>
        <v>2.4351536427798831E-2</v>
      </c>
      <c r="L208" s="306">
        <f>+IF($H208=L$2,VLOOKUP($G208,Depreciation!$A$14:$L$18,10,FALSE)/2,IF($H208&lt;L$2,VLOOKUP($G208,Depreciation!$A$14:$L$18,10,FALSE),0))</f>
        <v>2.4351536427798831E-2</v>
      </c>
      <c r="M208" s="306">
        <f>+IF($H208=M$2,VLOOKUP($G208,Depreciation!$A$14:$L$18,11,FALSE)/2,IF($H208&lt;M$2,VLOOKUP($G208,Depreciation!$A$14:$L$18,11,FALSE),0))</f>
        <v>2.4351536427798831E-2</v>
      </c>
      <c r="N208" s="306">
        <f>+IF($H208=N$2,VLOOKUP($G208,Depreciation!$A$14:$L$18,12,FALSE)/2,IF($H208&lt;N$2,VLOOKUP($G208,Depreciation!$A$14:$L$18,12,FALSE),0))</f>
        <v>2.4351536427798831E-2</v>
      </c>
      <c r="O208" s="307">
        <f t="shared" si="26"/>
        <v>25525868.203027371</v>
      </c>
      <c r="P208" s="732">
        <f>'Func Future Subs 2015'!P208</f>
        <v>0</v>
      </c>
      <c r="Q208" s="732">
        <f>'Func Future Subs 2015'!Q208</f>
        <v>1</v>
      </c>
      <c r="R208" s="732">
        <f>'Func Future Subs 2015'!R208</f>
        <v>0</v>
      </c>
      <c r="S208" s="735">
        <f t="shared" si="27"/>
        <v>0</v>
      </c>
      <c r="T208" s="735">
        <f t="shared" si="28"/>
        <v>25525868.203027371</v>
      </c>
      <c r="U208" s="735">
        <f t="shared" si="29"/>
        <v>0</v>
      </c>
      <c r="V208" s="736">
        <f t="shared" si="30"/>
        <v>0</v>
      </c>
      <c r="W208" s="735">
        <f t="shared" si="31"/>
        <v>0</v>
      </c>
      <c r="X208" s="737">
        <f t="shared" si="32"/>
        <v>0</v>
      </c>
      <c r="Y208" s="738">
        <f t="shared" si="33"/>
        <v>25525868.203027371</v>
      </c>
    </row>
    <row r="209" spans="1:25">
      <c r="A209" s="754" t="str">
        <f>'Func Future Subs 2015'!A209</f>
        <v>989S Quigley substation</v>
      </c>
      <c r="B209" s="754">
        <f>'Func Future Subs 2015'!B209</f>
        <v>1128</v>
      </c>
      <c r="C209" s="754">
        <f>'Func Future Subs 2015'!C209</f>
        <v>144</v>
      </c>
      <c r="D209" s="754">
        <f>'Func Future Subs 2015'!D209</f>
        <v>25</v>
      </c>
      <c r="E209" s="754" t="str">
        <f>'Func Future Subs 2015'!E209</f>
        <v>989S</v>
      </c>
      <c r="F209" s="754">
        <f>'Func Future Subs 2015'!F209</f>
        <v>2933649.2335773744</v>
      </c>
      <c r="G209" s="754" t="str">
        <f>'Func Future Subs 2015'!G209</f>
        <v>ATCO</v>
      </c>
      <c r="H209" s="754">
        <f>'Func Future Subs 2015'!H209</f>
        <v>2015</v>
      </c>
      <c r="I209" s="306">
        <f>+IF($H209=I$2,VLOOKUP($G209,Depreciation!$A$14:$L$18,7,FALSE)/2,IF($H209&lt;I$2,VLOOKUP($G209,Depreciation!$A$14:$L$18,7,FALSE),0))</f>
        <v>1.221703683566912E-2</v>
      </c>
      <c r="J209" s="306">
        <f>+IF($H209=J$2,VLOOKUP($G209,Depreciation!$A$14:$L$18,8,FALSE)/2,IF($H209&lt;J$2,VLOOKUP($G209,Depreciation!$A$14:$L$18,8,FALSE),0))</f>
        <v>2.4632450501084719E-2</v>
      </c>
      <c r="K209" s="306">
        <f>+IF($H209=K$2,VLOOKUP($G209,Depreciation!$A$14:$L$18,9,FALSE)/2,IF($H209&lt;K$2,VLOOKUP($G209,Depreciation!$A$14:$L$18,9,FALSE),0))</f>
        <v>2.4351536427798831E-2</v>
      </c>
      <c r="L209" s="306">
        <f>+IF($H209=L$2,VLOOKUP($G209,Depreciation!$A$14:$L$18,10,FALSE)/2,IF($H209&lt;L$2,VLOOKUP($G209,Depreciation!$A$14:$L$18,10,FALSE),0))</f>
        <v>2.4351536427798831E-2</v>
      </c>
      <c r="M209" s="306">
        <f>+IF($H209=M$2,VLOOKUP($G209,Depreciation!$A$14:$L$18,11,FALSE)/2,IF($H209&lt;M$2,VLOOKUP($G209,Depreciation!$A$14:$L$18,11,FALSE),0))</f>
        <v>2.4351536427798831E-2</v>
      </c>
      <c r="N209" s="306">
        <f>+IF($H209=N$2,VLOOKUP($G209,Depreciation!$A$14:$L$18,12,FALSE)/2,IF($H209&lt;N$2,VLOOKUP($G209,Depreciation!$A$14:$L$18,12,FALSE),0))</f>
        <v>2.4351536427798831E-2</v>
      </c>
      <c r="O209" s="307">
        <f t="shared" si="26"/>
        <v>2826428.6026548347</v>
      </c>
      <c r="P209" s="732">
        <f>'Func Future Subs 2015'!P209</f>
        <v>0</v>
      </c>
      <c r="Q209" s="732">
        <f>'Func Future Subs 2015'!Q209</f>
        <v>1</v>
      </c>
      <c r="R209" s="732">
        <f>'Func Future Subs 2015'!R209</f>
        <v>0</v>
      </c>
      <c r="S209" s="735">
        <f t="shared" si="27"/>
        <v>0</v>
      </c>
      <c r="T209" s="735">
        <f t="shared" si="28"/>
        <v>2826428.6026548347</v>
      </c>
      <c r="U209" s="735">
        <f t="shared" si="29"/>
        <v>0</v>
      </c>
      <c r="V209" s="736">
        <f t="shared" si="30"/>
        <v>0</v>
      </c>
      <c r="W209" s="735">
        <f t="shared" si="31"/>
        <v>0</v>
      </c>
      <c r="X209" s="737">
        <f t="shared" si="32"/>
        <v>0</v>
      </c>
      <c r="Y209" s="738">
        <f t="shared" si="33"/>
        <v>2826428.6026548347</v>
      </c>
    </row>
    <row r="210" spans="1:25">
      <c r="A210" s="754" t="str">
        <f>'Func Future Subs 2015'!A210</f>
        <v>Engstorm 2060S substation</v>
      </c>
      <c r="B210" s="754">
        <f>'Func Future Subs 2015'!B210</f>
        <v>1128</v>
      </c>
      <c r="C210" s="754">
        <f>'Func Future Subs 2015'!C210</f>
        <v>144</v>
      </c>
      <c r="D210" s="754">
        <f>'Func Future Subs 2015'!D210</f>
        <v>25</v>
      </c>
      <c r="E210" s="754" t="str">
        <f>'Func Future Subs 2015'!E210</f>
        <v>2060S</v>
      </c>
      <c r="F210" s="754">
        <f>'Func Future Subs 2015'!F210</f>
        <v>25809473.341965247</v>
      </c>
      <c r="G210" s="754" t="str">
        <f>'Func Future Subs 2015'!G210</f>
        <v>ATCO</v>
      </c>
      <c r="H210" s="754">
        <f>'Func Future Subs 2015'!H210</f>
        <v>2015</v>
      </c>
      <c r="I210" s="306">
        <f>+IF($H210=I$2,VLOOKUP($G210,Depreciation!$A$14:$L$18,7,FALSE)/2,IF($H210&lt;I$2,VLOOKUP($G210,Depreciation!$A$14:$L$18,7,FALSE),0))</f>
        <v>1.221703683566912E-2</v>
      </c>
      <c r="J210" s="306">
        <f>+IF($H210=J$2,VLOOKUP($G210,Depreciation!$A$14:$L$18,8,FALSE)/2,IF($H210&lt;J$2,VLOOKUP($G210,Depreciation!$A$14:$L$18,8,FALSE),0))</f>
        <v>2.4632450501084719E-2</v>
      </c>
      <c r="K210" s="306">
        <f>+IF($H210=K$2,VLOOKUP($G210,Depreciation!$A$14:$L$18,9,FALSE)/2,IF($H210&lt;K$2,VLOOKUP($G210,Depreciation!$A$14:$L$18,9,FALSE),0))</f>
        <v>2.4351536427798831E-2</v>
      </c>
      <c r="L210" s="306">
        <f>+IF($H210=L$2,VLOOKUP($G210,Depreciation!$A$14:$L$18,10,FALSE)/2,IF($H210&lt;L$2,VLOOKUP($G210,Depreciation!$A$14:$L$18,10,FALSE),0))</f>
        <v>2.4351536427798831E-2</v>
      </c>
      <c r="M210" s="306">
        <f>+IF($H210=M$2,VLOOKUP($G210,Depreciation!$A$14:$L$18,11,FALSE)/2,IF($H210&lt;M$2,VLOOKUP($G210,Depreciation!$A$14:$L$18,11,FALSE),0))</f>
        <v>2.4351536427798831E-2</v>
      </c>
      <c r="N210" s="306">
        <f>+IF($H210=N$2,VLOOKUP($G210,Depreciation!$A$14:$L$18,12,FALSE)/2,IF($H210&lt;N$2,VLOOKUP($G210,Depreciation!$A$14:$L$18,12,FALSE),0))</f>
        <v>2.4351536427798831E-2</v>
      </c>
      <c r="O210" s="307">
        <f t="shared" si="26"/>
        <v>24866174.46906985</v>
      </c>
      <c r="P210" s="732">
        <f>'Func Future Subs 2015'!P210</f>
        <v>0</v>
      </c>
      <c r="Q210" s="732">
        <f>'Func Future Subs 2015'!Q210</f>
        <v>1</v>
      </c>
      <c r="R210" s="732">
        <f>'Func Future Subs 2015'!R210</f>
        <v>0</v>
      </c>
      <c r="S210" s="735">
        <f t="shared" si="27"/>
        <v>0</v>
      </c>
      <c r="T210" s="735">
        <f t="shared" si="28"/>
        <v>24866174.46906985</v>
      </c>
      <c r="U210" s="735">
        <f t="shared" si="29"/>
        <v>0</v>
      </c>
      <c r="V210" s="736">
        <f t="shared" si="30"/>
        <v>0</v>
      </c>
      <c r="W210" s="735">
        <f t="shared" si="31"/>
        <v>0</v>
      </c>
      <c r="X210" s="737">
        <f t="shared" si="32"/>
        <v>0</v>
      </c>
      <c r="Y210" s="738">
        <f t="shared" si="33"/>
        <v>24866174.46906985</v>
      </c>
    </row>
    <row r="211" spans="1:25">
      <c r="A211" s="754" t="str">
        <f>'Func Future Subs 2015'!A211</f>
        <v>Construction of a new switching station, Birchwood Creek 2060S 180day</v>
      </c>
      <c r="B211" s="754">
        <f>'Func Future Subs 2015'!B211</f>
        <v>1180</v>
      </c>
      <c r="C211" s="754">
        <f>'Func Future Subs 2015'!C211</f>
        <v>240</v>
      </c>
      <c r="D211" s="754">
        <f>'Func Future Subs 2015'!D211</f>
        <v>25</v>
      </c>
      <c r="E211" s="754" t="str">
        <f>'Func Future Subs 2015'!E211</f>
        <v>2060S</v>
      </c>
      <c r="F211" s="754">
        <f>'Func Future Subs 2015'!F211</f>
        <v>0</v>
      </c>
      <c r="G211" s="754" t="str">
        <f>'Func Future Subs 2015'!G211</f>
        <v>ATCO</v>
      </c>
      <c r="H211" s="754">
        <f>'Func Future Subs 2015'!H211</f>
        <v>2100</v>
      </c>
      <c r="I211" s="306">
        <f>+IF($H211=I$2,VLOOKUP($G211,Depreciation!$A$14:$L$18,7,FALSE)/2,IF($H211&lt;I$2,VLOOKUP($G211,Depreciation!$A$14:$L$18,7,FALSE),0))</f>
        <v>0</v>
      </c>
      <c r="J211" s="306">
        <f>+IF($H211=J$2,VLOOKUP($G211,Depreciation!$A$14:$L$18,8,FALSE)/2,IF($H211&lt;J$2,VLOOKUP($G211,Depreciation!$A$14:$L$18,8,FALSE),0))</f>
        <v>0</v>
      </c>
      <c r="K211" s="306">
        <f>+IF($H211=K$2,VLOOKUP($G211,Depreciation!$A$14:$L$18,9,FALSE)/2,IF($H211&lt;K$2,VLOOKUP($G211,Depreciation!$A$14:$L$18,9,FALSE),0))</f>
        <v>0</v>
      </c>
      <c r="L211" s="306">
        <f>+IF($H211=L$2,VLOOKUP($G211,Depreciation!$A$14:$L$18,10,FALSE)/2,IF($H211&lt;L$2,VLOOKUP($G211,Depreciation!$A$14:$L$18,10,FALSE),0))</f>
        <v>0</v>
      </c>
      <c r="M211" s="306">
        <f>+IF($H211=M$2,VLOOKUP($G211,Depreciation!$A$14:$L$18,11,FALSE)/2,IF($H211&lt;M$2,VLOOKUP($G211,Depreciation!$A$14:$L$18,11,FALSE),0))</f>
        <v>0</v>
      </c>
      <c r="N211" s="306">
        <f>+IF($H211=N$2,VLOOKUP($G211,Depreciation!$A$14:$L$18,12,FALSE)/2,IF($H211&lt;N$2,VLOOKUP($G211,Depreciation!$A$14:$L$18,12,FALSE),0))</f>
        <v>0</v>
      </c>
      <c r="O211" s="307">
        <f t="shared" si="26"/>
        <v>0</v>
      </c>
      <c r="P211" s="732">
        <f>'Func Future Subs 2015'!P211</f>
        <v>0</v>
      </c>
      <c r="Q211" s="732">
        <f>'Func Future Subs 2015'!Q211</f>
        <v>1</v>
      </c>
      <c r="R211" s="732">
        <f>'Func Future Subs 2015'!R211</f>
        <v>0</v>
      </c>
      <c r="S211" s="735">
        <f t="shared" si="27"/>
        <v>0</v>
      </c>
      <c r="T211" s="735">
        <f t="shared" si="28"/>
        <v>0</v>
      </c>
      <c r="U211" s="735">
        <f t="shared" si="29"/>
        <v>0</v>
      </c>
      <c r="V211" s="736">
        <f t="shared" si="30"/>
        <v>0</v>
      </c>
      <c r="W211" s="735">
        <f t="shared" si="31"/>
        <v>0</v>
      </c>
      <c r="X211" s="737">
        <f t="shared" si="32"/>
        <v>0</v>
      </c>
      <c r="Y211" s="738">
        <f t="shared" si="33"/>
        <v>0</v>
      </c>
    </row>
    <row r="212" spans="1:25">
      <c r="A212" s="754" t="str">
        <f>'Func Future Subs 2015'!A212</f>
        <v>Ells River 2079S</v>
      </c>
      <c r="B212" s="754">
        <f>'Func Future Subs 2015'!B212</f>
        <v>1180</v>
      </c>
      <c r="C212" s="754">
        <f>'Func Future Subs 2015'!C212</f>
        <v>240</v>
      </c>
      <c r="D212" s="754">
        <f>'Func Future Subs 2015'!D212</f>
        <v>240</v>
      </c>
      <c r="E212" s="754" t="str">
        <f>'Func Future Subs 2015'!E212</f>
        <v>2079S</v>
      </c>
      <c r="F212" s="754">
        <f>'Func Future Subs 2015'!F212</f>
        <v>0</v>
      </c>
      <c r="G212" s="754" t="str">
        <f>'Func Future Subs 2015'!G212</f>
        <v>ATCO</v>
      </c>
      <c r="H212" s="754">
        <f>'Func Future Subs 2015'!H212</f>
        <v>2100</v>
      </c>
      <c r="I212" s="306">
        <f>+IF($H212=I$2,VLOOKUP($G212,Depreciation!$A$14:$L$18,7,FALSE)/2,IF($H212&lt;I$2,VLOOKUP($G212,Depreciation!$A$14:$L$18,7,FALSE),0))</f>
        <v>0</v>
      </c>
      <c r="J212" s="306">
        <f>+IF($H212=J$2,VLOOKUP($G212,Depreciation!$A$14:$L$18,8,FALSE)/2,IF($H212&lt;J$2,VLOOKUP($G212,Depreciation!$A$14:$L$18,8,FALSE),0))</f>
        <v>0</v>
      </c>
      <c r="K212" s="306">
        <f>+IF($H212=K$2,VLOOKUP($G212,Depreciation!$A$14:$L$18,9,FALSE)/2,IF($H212&lt;K$2,VLOOKUP($G212,Depreciation!$A$14:$L$18,9,FALSE),0))</f>
        <v>0</v>
      </c>
      <c r="L212" s="306">
        <f>+IF($H212=L$2,VLOOKUP($G212,Depreciation!$A$14:$L$18,10,FALSE)/2,IF($H212&lt;L$2,VLOOKUP($G212,Depreciation!$A$14:$L$18,10,FALSE),0))</f>
        <v>0</v>
      </c>
      <c r="M212" s="306">
        <f>+IF($H212=M$2,VLOOKUP($G212,Depreciation!$A$14:$L$18,11,FALSE)/2,IF($H212&lt;M$2,VLOOKUP($G212,Depreciation!$A$14:$L$18,11,FALSE),0))</f>
        <v>0</v>
      </c>
      <c r="N212" s="306">
        <f>+IF($H212=N$2,VLOOKUP($G212,Depreciation!$A$14:$L$18,12,FALSE)/2,IF($H212&lt;N$2,VLOOKUP($G212,Depreciation!$A$14:$L$18,12,FALSE),0))</f>
        <v>0</v>
      </c>
      <c r="O212" s="307">
        <f t="shared" si="26"/>
        <v>0</v>
      </c>
      <c r="P212" s="732">
        <f>'Func Future Subs 2015'!P212</f>
        <v>0</v>
      </c>
      <c r="Q212" s="732">
        <f>'Func Future Subs 2015'!Q212</f>
        <v>0</v>
      </c>
      <c r="R212" s="732">
        <f>'Func Future Subs 2015'!R212</f>
        <v>1</v>
      </c>
      <c r="S212" s="735">
        <f t="shared" si="27"/>
        <v>0</v>
      </c>
      <c r="T212" s="735">
        <f t="shared" si="28"/>
        <v>0</v>
      </c>
      <c r="U212" s="735">
        <f t="shared" si="29"/>
        <v>0</v>
      </c>
      <c r="V212" s="736">
        <f t="shared" si="30"/>
        <v>0</v>
      </c>
      <c r="W212" s="735">
        <f t="shared" si="31"/>
        <v>0</v>
      </c>
      <c r="X212" s="737">
        <f t="shared" si="32"/>
        <v>0</v>
      </c>
      <c r="Y212" s="738">
        <f t="shared" si="33"/>
        <v>0</v>
      </c>
    </row>
    <row r="213" spans="1:25">
      <c r="A213" s="754" t="str">
        <f>'Func Future Subs 2015'!A213</f>
        <v>Modify Dover 888S substation</v>
      </c>
      <c r="B213" s="754">
        <f>'Func Future Subs 2015'!B213</f>
        <v>1180</v>
      </c>
      <c r="C213" s="754">
        <f>'Func Future Subs 2015'!C213</f>
        <v>240</v>
      </c>
      <c r="D213" s="754">
        <f>'Func Future Subs 2015'!D213</f>
        <v>240</v>
      </c>
      <c r="E213" s="754" t="str">
        <f>'Func Future Subs 2015'!E213</f>
        <v>888S</v>
      </c>
      <c r="F213" s="754">
        <f>'Func Future Subs 2015'!F213</f>
        <v>0</v>
      </c>
      <c r="G213" s="754" t="str">
        <f>'Func Future Subs 2015'!G213</f>
        <v>ATCO</v>
      </c>
      <c r="H213" s="754">
        <f>'Func Future Subs 2015'!H213</f>
        <v>2100</v>
      </c>
      <c r="I213" s="306">
        <f>+IF($H213=I$2,VLOOKUP($G213,Depreciation!$A$14:$L$18,7,FALSE)/2,IF($H213&lt;I$2,VLOOKUP($G213,Depreciation!$A$14:$L$18,7,FALSE),0))</f>
        <v>0</v>
      </c>
      <c r="J213" s="306">
        <f>+IF($H213=J$2,VLOOKUP($G213,Depreciation!$A$14:$L$18,8,FALSE)/2,IF($H213&lt;J$2,VLOOKUP($G213,Depreciation!$A$14:$L$18,8,FALSE),0))</f>
        <v>0</v>
      </c>
      <c r="K213" s="306">
        <f>+IF($H213=K$2,VLOOKUP($G213,Depreciation!$A$14:$L$18,9,FALSE)/2,IF($H213&lt;K$2,VLOOKUP($G213,Depreciation!$A$14:$L$18,9,FALSE),0))</f>
        <v>0</v>
      </c>
      <c r="L213" s="306">
        <f>+IF($H213=L$2,VLOOKUP($G213,Depreciation!$A$14:$L$18,10,FALSE)/2,IF($H213&lt;L$2,VLOOKUP($G213,Depreciation!$A$14:$L$18,10,FALSE),0))</f>
        <v>0</v>
      </c>
      <c r="M213" s="306">
        <f>+IF($H213=M$2,VLOOKUP($G213,Depreciation!$A$14:$L$18,11,FALSE)/2,IF($H213&lt;M$2,VLOOKUP($G213,Depreciation!$A$14:$L$18,11,FALSE),0))</f>
        <v>0</v>
      </c>
      <c r="N213" s="306">
        <f>+IF($H213=N$2,VLOOKUP($G213,Depreciation!$A$14:$L$18,12,FALSE)/2,IF($H213&lt;N$2,VLOOKUP($G213,Depreciation!$A$14:$L$18,12,FALSE),0))</f>
        <v>0</v>
      </c>
      <c r="O213" s="307">
        <f t="shared" si="26"/>
        <v>0</v>
      </c>
      <c r="P213" s="732">
        <f>'Func Future Subs 2015'!P213</f>
        <v>0</v>
      </c>
      <c r="Q213" s="732">
        <f>'Func Future Subs 2015'!Q213</f>
        <v>0</v>
      </c>
      <c r="R213" s="732">
        <f>'Func Future Subs 2015'!R213</f>
        <v>1</v>
      </c>
      <c r="S213" s="735">
        <f t="shared" si="27"/>
        <v>0</v>
      </c>
      <c r="T213" s="735">
        <f t="shared" si="28"/>
        <v>0</v>
      </c>
      <c r="U213" s="735">
        <f t="shared" si="29"/>
        <v>0</v>
      </c>
      <c r="V213" s="736">
        <f t="shared" si="30"/>
        <v>0</v>
      </c>
      <c r="W213" s="735">
        <f t="shared" si="31"/>
        <v>0</v>
      </c>
      <c r="X213" s="737">
        <f t="shared" si="32"/>
        <v>0</v>
      </c>
      <c r="Y213" s="738">
        <f t="shared" si="33"/>
        <v>0</v>
      </c>
    </row>
    <row r="214" spans="1:25">
      <c r="A214" s="754" t="str">
        <f>'Func Future Subs 2015'!A214</f>
        <v>Modify Joslyn 849S substation</v>
      </c>
      <c r="B214" s="754">
        <f>'Func Future Subs 2015'!B214</f>
        <v>1180</v>
      </c>
      <c r="C214" s="754">
        <f>'Func Future Subs 2015'!C214</f>
        <v>240</v>
      </c>
      <c r="D214" s="754">
        <f>'Func Future Subs 2015'!D214</f>
        <v>25</v>
      </c>
      <c r="E214" s="754" t="str">
        <f>'Func Future Subs 2015'!E214</f>
        <v>849S</v>
      </c>
      <c r="F214" s="754">
        <f>'Func Future Subs 2015'!F214</f>
        <v>0</v>
      </c>
      <c r="G214" s="754" t="str">
        <f>'Func Future Subs 2015'!G214</f>
        <v>ATCO</v>
      </c>
      <c r="H214" s="754">
        <f>'Func Future Subs 2015'!H214</f>
        <v>2100</v>
      </c>
      <c r="I214" s="306">
        <f>+IF($H214=I$2,VLOOKUP($G214,Depreciation!$A$14:$L$18,7,FALSE)/2,IF($H214&lt;I$2,VLOOKUP($G214,Depreciation!$A$14:$L$18,7,FALSE),0))</f>
        <v>0</v>
      </c>
      <c r="J214" s="306">
        <f>+IF($H214=J$2,VLOOKUP($G214,Depreciation!$A$14:$L$18,8,FALSE)/2,IF($H214&lt;J$2,VLOOKUP($G214,Depreciation!$A$14:$L$18,8,FALSE),0))</f>
        <v>0</v>
      </c>
      <c r="K214" s="306">
        <f>+IF($H214=K$2,VLOOKUP($G214,Depreciation!$A$14:$L$18,9,FALSE)/2,IF($H214&lt;K$2,VLOOKUP($G214,Depreciation!$A$14:$L$18,9,FALSE),0))</f>
        <v>0</v>
      </c>
      <c r="L214" s="306">
        <f>+IF($H214=L$2,VLOOKUP($G214,Depreciation!$A$14:$L$18,10,FALSE)/2,IF($H214&lt;L$2,VLOOKUP($G214,Depreciation!$A$14:$L$18,10,FALSE),0))</f>
        <v>0</v>
      </c>
      <c r="M214" s="306">
        <f>+IF($H214=M$2,VLOOKUP($G214,Depreciation!$A$14:$L$18,11,FALSE)/2,IF($H214&lt;M$2,VLOOKUP($G214,Depreciation!$A$14:$L$18,11,FALSE),0))</f>
        <v>0</v>
      </c>
      <c r="N214" s="306">
        <f>+IF($H214=N$2,VLOOKUP($G214,Depreciation!$A$14:$L$18,12,FALSE)/2,IF($H214&lt;N$2,VLOOKUP($G214,Depreciation!$A$14:$L$18,12,FALSE),0))</f>
        <v>0</v>
      </c>
      <c r="O214" s="307">
        <f t="shared" si="26"/>
        <v>0</v>
      </c>
      <c r="P214" s="732">
        <f>'Func Future Subs 2015'!P214</f>
        <v>0</v>
      </c>
      <c r="Q214" s="732">
        <f>'Func Future Subs 2015'!Q214</f>
        <v>1</v>
      </c>
      <c r="R214" s="732">
        <f>'Func Future Subs 2015'!R214</f>
        <v>0</v>
      </c>
      <c r="S214" s="735">
        <f t="shared" si="27"/>
        <v>0</v>
      </c>
      <c r="T214" s="735">
        <f t="shared" si="28"/>
        <v>0</v>
      </c>
      <c r="U214" s="735">
        <f t="shared" si="29"/>
        <v>0</v>
      </c>
      <c r="V214" s="736">
        <f t="shared" si="30"/>
        <v>0</v>
      </c>
      <c r="W214" s="735">
        <f t="shared" si="31"/>
        <v>0</v>
      </c>
      <c r="X214" s="737">
        <f t="shared" si="32"/>
        <v>0</v>
      </c>
      <c r="Y214" s="738">
        <f t="shared" si="33"/>
        <v>0</v>
      </c>
    </row>
    <row r="215" spans="1:25">
      <c r="A215" s="754" t="str">
        <f>'Func Future Subs 2015'!A215</f>
        <v>New Ells River 2079S switching station</v>
      </c>
      <c r="B215" s="754">
        <f>'Func Future Subs 2015'!B215</f>
        <v>1180</v>
      </c>
      <c r="C215" s="754">
        <f>'Func Future Subs 2015'!C215</f>
        <v>240</v>
      </c>
      <c r="D215" s="754">
        <f>'Func Future Subs 2015'!D215</f>
        <v>240</v>
      </c>
      <c r="E215" s="754" t="str">
        <f>'Func Future Subs 2015'!E215</f>
        <v>2079S</v>
      </c>
      <c r="F215" s="754">
        <f>'Func Future Subs 2015'!F215</f>
        <v>0</v>
      </c>
      <c r="G215" s="754" t="str">
        <f>'Func Future Subs 2015'!G215</f>
        <v>ATCO</v>
      </c>
      <c r="H215" s="754">
        <f>'Func Future Subs 2015'!H215</f>
        <v>2100</v>
      </c>
      <c r="I215" s="306">
        <f>+IF($H215=I$2,VLOOKUP($G215,Depreciation!$A$14:$L$18,7,FALSE)/2,IF($H215&lt;I$2,VLOOKUP($G215,Depreciation!$A$14:$L$18,7,FALSE),0))</f>
        <v>0</v>
      </c>
      <c r="J215" s="306">
        <f>+IF($H215=J$2,VLOOKUP($G215,Depreciation!$A$14:$L$18,8,FALSE)/2,IF($H215&lt;J$2,VLOOKUP($G215,Depreciation!$A$14:$L$18,8,FALSE),0))</f>
        <v>0</v>
      </c>
      <c r="K215" s="306">
        <f>+IF($H215=K$2,VLOOKUP($G215,Depreciation!$A$14:$L$18,9,FALSE)/2,IF($H215&lt;K$2,VLOOKUP($G215,Depreciation!$A$14:$L$18,9,FALSE),0))</f>
        <v>0</v>
      </c>
      <c r="L215" s="306">
        <f>+IF($H215=L$2,VLOOKUP($G215,Depreciation!$A$14:$L$18,10,FALSE)/2,IF($H215&lt;L$2,VLOOKUP($G215,Depreciation!$A$14:$L$18,10,FALSE),0))</f>
        <v>0</v>
      </c>
      <c r="M215" s="306">
        <f>+IF($H215=M$2,VLOOKUP($G215,Depreciation!$A$14:$L$18,11,FALSE)/2,IF($H215&lt;M$2,VLOOKUP($G215,Depreciation!$A$14:$L$18,11,FALSE),0))</f>
        <v>0</v>
      </c>
      <c r="N215" s="306">
        <f>+IF($H215=N$2,VLOOKUP($G215,Depreciation!$A$14:$L$18,12,FALSE)/2,IF($H215&lt;N$2,VLOOKUP($G215,Depreciation!$A$14:$L$18,12,FALSE),0))</f>
        <v>0</v>
      </c>
      <c r="O215" s="307">
        <f t="shared" si="26"/>
        <v>0</v>
      </c>
      <c r="P215" s="732">
        <f>'Func Future Subs 2015'!P215</f>
        <v>0</v>
      </c>
      <c r="Q215" s="732">
        <f>'Func Future Subs 2015'!Q215</f>
        <v>0</v>
      </c>
      <c r="R215" s="732">
        <f>'Func Future Subs 2015'!R215</f>
        <v>1</v>
      </c>
      <c r="S215" s="735">
        <f t="shared" si="27"/>
        <v>0</v>
      </c>
      <c r="T215" s="735">
        <f t="shared" si="28"/>
        <v>0</v>
      </c>
      <c r="U215" s="735">
        <f t="shared" si="29"/>
        <v>0</v>
      </c>
      <c r="V215" s="736">
        <f t="shared" si="30"/>
        <v>0</v>
      </c>
      <c r="W215" s="735">
        <f t="shared" si="31"/>
        <v>0</v>
      </c>
      <c r="X215" s="737">
        <f t="shared" si="32"/>
        <v>0</v>
      </c>
      <c r="Y215" s="738">
        <f t="shared" si="33"/>
        <v>0</v>
      </c>
    </row>
    <row r="216" spans="1:25">
      <c r="A216" s="754" t="str">
        <f>'Func Future Subs 2015'!A216</f>
        <v>Dawes</v>
      </c>
      <c r="B216" s="754">
        <f>'Func Future Subs 2015'!B216</f>
        <v>1186</v>
      </c>
      <c r="C216" s="754">
        <f>'Func Future Subs 2015'!C216</f>
        <v>240</v>
      </c>
      <c r="D216" s="754">
        <f>'Func Future Subs 2015'!D216</f>
        <v>0</v>
      </c>
      <c r="E216" s="754">
        <f>'Func Future Subs 2015'!E216</f>
        <v>0</v>
      </c>
      <c r="F216" s="754">
        <f>'Func Future Subs 2015'!F216</f>
        <v>75896.276001329621</v>
      </c>
      <c r="G216" s="754" t="str">
        <f>'Func Future Subs 2015'!G216</f>
        <v>ATCO</v>
      </c>
      <c r="H216" s="754">
        <f>'Func Future Subs 2015'!H216</f>
        <v>2018</v>
      </c>
      <c r="I216" s="306">
        <f>+IF($H216=I$2,VLOOKUP($G216,Depreciation!$A$14:$L$18,7,FALSE)/2,IF($H216&lt;I$2,VLOOKUP($G216,Depreciation!$A$14:$L$18,7,FALSE),0))</f>
        <v>0</v>
      </c>
      <c r="J216" s="306">
        <f>+IF($H216=J$2,VLOOKUP($G216,Depreciation!$A$14:$L$18,8,FALSE)/2,IF($H216&lt;J$2,VLOOKUP($G216,Depreciation!$A$14:$L$18,8,FALSE),0))</f>
        <v>0</v>
      </c>
      <c r="K216" s="306">
        <f>+IF($H216=K$2,VLOOKUP($G216,Depreciation!$A$14:$L$18,9,FALSE)/2,IF($H216&lt;K$2,VLOOKUP($G216,Depreciation!$A$14:$L$18,9,FALSE),0))</f>
        <v>0</v>
      </c>
      <c r="L216" s="306">
        <f>+IF($H216=L$2,VLOOKUP($G216,Depreciation!$A$14:$L$18,10,FALSE)/2,IF($H216&lt;L$2,VLOOKUP($G216,Depreciation!$A$14:$L$18,10,FALSE),0))</f>
        <v>1.2175768213899416E-2</v>
      </c>
      <c r="M216" s="306">
        <f>+IF($H216=M$2,VLOOKUP($G216,Depreciation!$A$14:$L$18,11,FALSE)/2,IF($H216&lt;M$2,VLOOKUP($G216,Depreciation!$A$14:$L$18,11,FALSE),0))</f>
        <v>2.4351536427798831E-2</v>
      </c>
      <c r="N216" s="306">
        <f>+IF($H216=N$2,VLOOKUP($G216,Depreciation!$A$14:$L$18,12,FALSE)/2,IF($H216&lt;N$2,VLOOKUP($G216,Depreciation!$A$14:$L$18,12,FALSE),0))</f>
        <v>2.4351536427798831E-2</v>
      </c>
      <c r="O216" s="307">
        <f t="shared" si="26"/>
        <v>0</v>
      </c>
      <c r="P216" s="732">
        <f>'Func Future Subs 2015'!P216</f>
        <v>0</v>
      </c>
      <c r="Q216" s="732">
        <f>'Func Future Subs 2015'!Q216</f>
        <v>0</v>
      </c>
      <c r="R216" s="732">
        <f>'Func Future Subs 2015'!R216</f>
        <v>1</v>
      </c>
      <c r="S216" s="735">
        <f t="shared" si="27"/>
        <v>0</v>
      </c>
      <c r="T216" s="735">
        <f t="shared" si="28"/>
        <v>0</v>
      </c>
      <c r="U216" s="735">
        <f t="shared" si="29"/>
        <v>0</v>
      </c>
      <c r="V216" s="736">
        <f t="shared" si="30"/>
        <v>0</v>
      </c>
      <c r="W216" s="735">
        <f t="shared" si="31"/>
        <v>0</v>
      </c>
      <c r="X216" s="737">
        <f t="shared" si="32"/>
        <v>0</v>
      </c>
      <c r="Y216" s="738">
        <f t="shared" si="33"/>
        <v>0</v>
      </c>
    </row>
    <row r="217" spans="1:25">
      <c r="A217" s="754" t="str">
        <f>'Func Future Subs 2015'!A217</f>
        <v>Dover</v>
      </c>
      <c r="B217" s="754">
        <f>'Func Future Subs 2015'!B217</f>
        <v>1186</v>
      </c>
      <c r="C217" s="754">
        <f>'Func Future Subs 2015'!C217</f>
        <v>240</v>
      </c>
      <c r="D217" s="754">
        <f>'Func Future Subs 2015'!D217</f>
        <v>0</v>
      </c>
      <c r="E217" s="754">
        <f>'Func Future Subs 2015'!E217</f>
        <v>0</v>
      </c>
      <c r="F217" s="754">
        <f>'Func Future Subs 2015'!F217</f>
        <v>107010.66953091667</v>
      </c>
      <c r="G217" s="754" t="str">
        <f>'Func Future Subs 2015'!G217</f>
        <v>ATCO</v>
      </c>
      <c r="H217" s="754">
        <f>'Func Future Subs 2015'!H217</f>
        <v>2018</v>
      </c>
      <c r="I217" s="306">
        <f>+IF($H217=I$2,VLOOKUP($G217,Depreciation!$A$14:$L$18,7,FALSE)/2,IF($H217&lt;I$2,VLOOKUP($G217,Depreciation!$A$14:$L$18,7,FALSE),0))</f>
        <v>0</v>
      </c>
      <c r="J217" s="306">
        <f>+IF($H217=J$2,VLOOKUP($G217,Depreciation!$A$14:$L$18,8,FALSE)/2,IF($H217&lt;J$2,VLOOKUP($G217,Depreciation!$A$14:$L$18,8,FALSE),0))</f>
        <v>0</v>
      </c>
      <c r="K217" s="306">
        <f>+IF($H217=K$2,VLOOKUP($G217,Depreciation!$A$14:$L$18,9,FALSE)/2,IF($H217&lt;K$2,VLOOKUP($G217,Depreciation!$A$14:$L$18,9,FALSE),0))</f>
        <v>0</v>
      </c>
      <c r="L217" s="306">
        <f>+IF($H217=L$2,VLOOKUP($G217,Depreciation!$A$14:$L$18,10,FALSE)/2,IF($H217&lt;L$2,VLOOKUP($G217,Depreciation!$A$14:$L$18,10,FALSE),0))</f>
        <v>1.2175768213899416E-2</v>
      </c>
      <c r="M217" s="306">
        <f>+IF($H217=M$2,VLOOKUP($G217,Depreciation!$A$14:$L$18,11,FALSE)/2,IF($H217&lt;M$2,VLOOKUP($G217,Depreciation!$A$14:$L$18,11,FALSE),0))</f>
        <v>2.4351536427798831E-2</v>
      </c>
      <c r="N217" s="306">
        <f>+IF($H217=N$2,VLOOKUP($G217,Depreciation!$A$14:$L$18,12,FALSE)/2,IF($H217&lt;N$2,VLOOKUP($G217,Depreciation!$A$14:$L$18,12,FALSE),0))</f>
        <v>2.4351536427798831E-2</v>
      </c>
      <c r="O217" s="307">
        <f t="shared" si="26"/>
        <v>0</v>
      </c>
      <c r="P217" s="732">
        <f>'Func Future Subs 2015'!P217</f>
        <v>0</v>
      </c>
      <c r="Q217" s="732">
        <f>'Func Future Subs 2015'!Q217</f>
        <v>0</v>
      </c>
      <c r="R217" s="732">
        <f>'Func Future Subs 2015'!R217</f>
        <v>1</v>
      </c>
      <c r="S217" s="735">
        <f t="shared" si="27"/>
        <v>0</v>
      </c>
      <c r="T217" s="735">
        <f t="shared" si="28"/>
        <v>0</v>
      </c>
      <c r="U217" s="735">
        <f t="shared" si="29"/>
        <v>0</v>
      </c>
      <c r="V217" s="736">
        <f t="shared" si="30"/>
        <v>0</v>
      </c>
      <c r="W217" s="735">
        <f t="shared" si="31"/>
        <v>0</v>
      </c>
      <c r="X217" s="737">
        <f t="shared" si="32"/>
        <v>0</v>
      </c>
      <c r="Y217" s="738">
        <f t="shared" si="33"/>
        <v>0</v>
      </c>
    </row>
    <row r="218" spans="1:25">
      <c r="A218" s="754" t="str">
        <f>'Func Future Subs 2015'!A218</f>
        <v>Ruth Lake sub</v>
      </c>
      <c r="B218" s="754">
        <f>'Func Future Subs 2015'!B218</f>
        <v>1186</v>
      </c>
      <c r="C218" s="754">
        <f>'Func Future Subs 2015'!C218</f>
        <v>240</v>
      </c>
      <c r="D218" s="754">
        <f>'Func Future Subs 2015'!D218</f>
        <v>0</v>
      </c>
      <c r="E218" s="754">
        <f>'Func Future Subs 2015'!E218</f>
        <v>0</v>
      </c>
      <c r="F218" s="754">
        <f>'Func Future Subs 2015'!F218</f>
        <v>75646.146350743249</v>
      </c>
      <c r="G218" s="754" t="str">
        <f>'Func Future Subs 2015'!G218</f>
        <v>ATCO</v>
      </c>
      <c r="H218" s="754">
        <f>'Func Future Subs 2015'!H218</f>
        <v>2018</v>
      </c>
      <c r="I218" s="306">
        <f>+IF($H218=I$2,VLOOKUP($G218,Depreciation!$A$14:$L$18,7,FALSE)/2,IF($H218&lt;I$2,VLOOKUP($G218,Depreciation!$A$14:$L$18,7,FALSE),0))</f>
        <v>0</v>
      </c>
      <c r="J218" s="306">
        <f>+IF($H218=J$2,VLOOKUP($G218,Depreciation!$A$14:$L$18,8,FALSE)/2,IF($H218&lt;J$2,VLOOKUP($G218,Depreciation!$A$14:$L$18,8,FALSE),0))</f>
        <v>0</v>
      </c>
      <c r="K218" s="306">
        <f>+IF($H218=K$2,VLOOKUP($G218,Depreciation!$A$14:$L$18,9,FALSE)/2,IF($H218&lt;K$2,VLOOKUP($G218,Depreciation!$A$14:$L$18,9,FALSE),0))</f>
        <v>0</v>
      </c>
      <c r="L218" s="306">
        <f>+IF($H218=L$2,VLOOKUP($G218,Depreciation!$A$14:$L$18,10,FALSE)/2,IF($H218&lt;L$2,VLOOKUP($G218,Depreciation!$A$14:$L$18,10,FALSE),0))</f>
        <v>1.2175768213899416E-2</v>
      </c>
      <c r="M218" s="306">
        <f>+IF($H218=M$2,VLOOKUP($G218,Depreciation!$A$14:$L$18,11,FALSE)/2,IF($H218&lt;M$2,VLOOKUP($G218,Depreciation!$A$14:$L$18,11,FALSE),0))</f>
        <v>2.4351536427798831E-2</v>
      </c>
      <c r="N218" s="306">
        <f>+IF($H218=N$2,VLOOKUP($G218,Depreciation!$A$14:$L$18,12,FALSE)/2,IF($H218&lt;N$2,VLOOKUP($G218,Depreciation!$A$14:$L$18,12,FALSE),0))</f>
        <v>2.4351536427798831E-2</v>
      </c>
      <c r="O218" s="307">
        <f t="shared" si="26"/>
        <v>0</v>
      </c>
      <c r="P218" s="732">
        <f>'Func Future Subs 2015'!P218</f>
        <v>0</v>
      </c>
      <c r="Q218" s="732">
        <f>'Func Future Subs 2015'!Q218</f>
        <v>0</v>
      </c>
      <c r="R218" s="732">
        <f>'Func Future Subs 2015'!R218</f>
        <v>1</v>
      </c>
      <c r="S218" s="735">
        <f t="shared" si="27"/>
        <v>0</v>
      </c>
      <c r="T218" s="735">
        <f t="shared" si="28"/>
        <v>0</v>
      </c>
      <c r="U218" s="735">
        <f t="shared" si="29"/>
        <v>0</v>
      </c>
      <c r="V218" s="736">
        <f t="shared" si="30"/>
        <v>0</v>
      </c>
      <c r="W218" s="735">
        <f t="shared" si="31"/>
        <v>0</v>
      </c>
      <c r="X218" s="737">
        <f t="shared" si="32"/>
        <v>0</v>
      </c>
      <c r="Y218" s="738">
        <f t="shared" si="33"/>
        <v>0</v>
      </c>
    </row>
    <row r="219" spans="1:25">
      <c r="A219" s="754" t="str">
        <f>'Func Future Subs 2015'!A219</f>
        <v>Thickwood Hills 951S substation</v>
      </c>
      <c r="B219" s="754">
        <f>'Func Future Subs 2015'!B219</f>
        <v>1186</v>
      </c>
      <c r="C219" s="754">
        <f>'Func Future Subs 2015'!C219</f>
        <v>240</v>
      </c>
      <c r="D219" s="754">
        <f>'Func Future Subs 2015'!D219</f>
        <v>240</v>
      </c>
      <c r="E219" s="754" t="str">
        <f>'Func Future Subs 2015'!E219</f>
        <v>951S</v>
      </c>
      <c r="F219" s="754">
        <f>'Func Future Subs 2015'!F219</f>
        <v>36719404.285963841</v>
      </c>
      <c r="G219" s="754" t="str">
        <f>'Func Future Subs 2015'!G219</f>
        <v>ATCO</v>
      </c>
      <c r="H219" s="754">
        <f>'Func Future Subs 2015'!H219</f>
        <v>2018</v>
      </c>
      <c r="I219" s="306">
        <f>+IF($H219=I$2,VLOOKUP($G219,Depreciation!$A$14:$L$18,7,FALSE)/2,IF($H219&lt;I$2,VLOOKUP($G219,Depreciation!$A$14:$L$18,7,FALSE),0))</f>
        <v>0</v>
      </c>
      <c r="J219" s="306">
        <f>+IF($H219=J$2,VLOOKUP($G219,Depreciation!$A$14:$L$18,8,FALSE)/2,IF($H219&lt;J$2,VLOOKUP($G219,Depreciation!$A$14:$L$18,8,FALSE),0))</f>
        <v>0</v>
      </c>
      <c r="K219" s="306">
        <f>+IF($H219=K$2,VLOOKUP($G219,Depreciation!$A$14:$L$18,9,FALSE)/2,IF($H219&lt;K$2,VLOOKUP($G219,Depreciation!$A$14:$L$18,9,FALSE),0))</f>
        <v>0</v>
      </c>
      <c r="L219" s="306">
        <f>+IF($H219=L$2,VLOOKUP($G219,Depreciation!$A$14:$L$18,10,FALSE)/2,IF($H219&lt;L$2,VLOOKUP($G219,Depreciation!$A$14:$L$18,10,FALSE),0))</f>
        <v>1.2175768213899416E-2</v>
      </c>
      <c r="M219" s="306">
        <f>+IF($H219=M$2,VLOOKUP($G219,Depreciation!$A$14:$L$18,11,FALSE)/2,IF($H219&lt;M$2,VLOOKUP($G219,Depreciation!$A$14:$L$18,11,FALSE),0))</f>
        <v>2.4351536427798831E-2</v>
      </c>
      <c r="N219" s="306">
        <f>+IF($H219=N$2,VLOOKUP($G219,Depreciation!$A$14:$L$18,12,FALSE)/2,IF($H219&lt;N$2,VLOOKUP($G219,Depreciation!$A$14:$L$18,12,FALSE),0))</f>
        <v>2.4351536427798831E-2</v>
      </c>
      <c r="O219" s="307">
        <f t="shared" si="26"/>
        <v>0</v>
      </c>
      <c r="P219" s="732">
        <f>'Func Future Subs 2015'!P219</f>
        <v>0</v>
      </c>
      <c r="Q219" s="732">
        <f>'Func Future Subs 2015'!Q219</f>
        <v>0</v>
      </c>
      <c r="R219" s="732">
        <f>'Func Future Subs 2015'!R219</f>
        <v>1</v>
      </c>
      <c r="S219" s="735">
        <f t="shared" si="27"/>
        <v>0</v>
      </c>
      <c r="T219" s="735">
        <f t="shared" si="28"/>
        <v>0</v>
      </c>
      <c r="U219" s="735">
        <f t="shared" si="29"/>
        <v>0</v>
      </c>
      <c r="V219" s="736">
        <f t="shared" si="30"/>
        <v>0</v>
      </c>
      <c r="W219" s="735">
        <f t="shared" si="31"/>
        <v>0</v>
      </c>
      <c r="X219" s="737">
        <f t="shared" si="32"/>
        <v>0</v>
      </c>
      <c r="Y219" s="738">
        <f t="shared" si="33"/>
        <v>0</v>
      </c>
    </row>
    <row r="220" spans="1:25">
      <c r="A220" s="754" t="str">
        <f>'Func Future Subs 2015'!A220</f>
        <v>Thickwood Hills 951S substation_SVS</v>
      </c>
      <c r="B220" s="754">
        <f>'Func Future Subs 2015'!B220</f>
        <v>1186</v>
      </c>
      <c r="C220" s="754">
        <f>'Func Future Subs 2015'!C220</f>
        <v>240</v>
      </c>
      <c r="D220" s="754">
        <f>'Func Future Subs 2015'!D220</f>
        <v>240</v>
      </c>
      <c r="E220" s="754" t="str">
        <f>'Func Future Subs 2015'!E220</f>
        <v>951S</v>
      </c>
      <c r="F220" s="754">
        <f>'Func Future Subs 2015'!F220</f>
        <v>35229814.262423903</v>
      </c>
      <c r="G220" s="754" t="str">
        <f>'Func Future Subs 2015'!G220</f>
        <v>ATCO</v>
      </c>
      <c r="H220" s="754">
        <f>'Func Future Subs 2015'!H220</f>
        <v>2018</v>
      </c>
      <c r="I220" s="306">
        <f>+IF($H220=I$2,VLOOKUP($G220,Depreciation!$A$14:$L$18,7,FALSE)/2,IF($H220&lt;I$2,VLOOKUP($G220,Depreciation!$A$14:$L$18,7,FALSE),0))</f>
        <v>0</v>
      </c>
      <c r="J220" s="306">
        <f>+IF($H220=J$2,VLOOKUP($G220,Depreciation!$A$14:$L$18,8,FALSE)/2,IF($H220&lt;J$2,VLOOKUP($G220,Depreciation!$A$14:$L$18,8,FALSE),0))</f>
        <v>0</v>
      </c>
      <c r="K220" s="306">
        <f>+IF($H220=K$2,VLOOKUP($G220,Depreciation!$A$14:$L$18,9,FALSE)/2,IF($H220&lt;K$2,VLOOKUP($G220,Depreciation!$A$14:$L$18,9,FALSE),0))</f>
        <v>0</v>
      </c>
      <c r="L220" s="306">
        <f>+IF($H220=L$2,VLOOKUP($G220,Depreciation!$A$14:$L$18,10,FALSE)/2,IF($H220&lt;L$2,VLOOKUP($G220,Depreciation!$A$14:$L$18,10,FALSE),0))</f>
        <v>1.2175768213899416E-2</v>
      </c>
      <c r="M220" s="306">
        <f>+IF($H220=M$2,VLOOKUP($G220,Depreciation!$A$14:$L$18,11,FALSE)/2,IF($H220&lt;M$2,VLOOKUP($G220,Depreciation!$A$14:$L$18,11,FALSE),0))</f>
        <v>2.4351536427798831E-2</v>
      </c>
      <c r="N220" s="306">
        <f>+IF($H220=N$2,VLOOKUP($G220,Depreciation!$A$14:$L$18,12,FALSE)/2,IF($H220&lt;N$2,VLOOKUP($G220,Depreciation!$A$14:$L$18,12,FALSE),0))</f>
        <v>2.4351536427798831E-2</v>
      </c>
      <c r="O220" s="307">
        <f t="shared" si="26"/>
        <v>0</v>
      </c>
      <c r="P220" s="732">
        <f>'Func Future Subs 2015'!P220</f>
        <v>0</v>
      </c>
      <c r="Q220" s="732">
        <f>'Func Future Subs 2015'!Q220</f>
        <v>0</v>
      </c>
      <c r="R220" s="732">
        <f>'Func Future Subs 2015'!R220</f>
        <v>1</v>
      </c>
      <c r="S220" s="735">
        <f t="shared" si="27"/>
        <v>0</v>
      </c>
      <c r="T220" s="735">
        <f t="shared" si="28"/>
        <v>0</v>
      </c>
      <c r="U220" s="735">
        <f t="shared" si="29"/>
        <v>0</v>
      </c>
      <c r="V220" s="736">
        <f t="shared" si="30"/>
        <v>0</v>
      </c>
      <c r="W220" s="735">
        <f t="shared" si="31"/>
        <v>0</v>
      </c>
      <c r="X220" s="737">
        <f t="shared" si="32"/>
        <v>0</v>
      </c>
      <c r="Y220" s="738">
        <f t="shared" si="33"/>
        <v>0</v>
      </c>
    </row>
    <row r="221" spans="1:25">
      <c r="A221" s="754" t="str">
        <f>'Func Future Subs 2015'!A221</f>
        <v>Steele 2016S</v>
      </c>
      <c r="B221" s="754">
        <f>'Func Future Subs 2015'!B221</f>
        <v>1250</v>
      </c>
      <c r="C221" s="754">
        <f>'Func Future Subs 2015'!C221</f>
        <v>144</v>
      </c>
      <c r="D221" s="754">
        <f>'Func Future Subs 2015'!D221</f>
        <v>144</v>
      </c>
      <c r="E221" s="754" t="str">
        <f>'Func Future Subs 2015'!E221</f>
        <v>2016S</v>
      </c>
      <c r="F221" s="754">
        <f>'Func Future Subs 2015'!F221</f>
        <v>7531332.8673087647</v>
      </c>
      <c r="G221" s="754" t="str">
        <f>'Func Future Subs 2015'!G221</f>
        <v>ATCO</v>
      </c>
      <c r="H221" s="754">
        <f>'Func Future Subs 2015'!H221</f>
        <v>2017</v>
      </c>
      <c r="I221" s="306">
        <f>+IF($H221=I$2,VLOOKUP($G221,Depreciation!$A$14:$L$18,7,FALSE)/2,IF($H221&lt;I$2,VLOOKUP($G221,Depreciation!$A$14:$L$18,7,FALSE),0))</f>
        <v>0</v>
      </c>
      <c r="J221" s="306">
        <f>+IF($H221=J$2,VLOOKUP($G221,Depreciation!$A$14:$L$18,8,FALSE)/2,IF($H221&lt;J$2,VLOOKUP($G221,Depreciation!$A$14:$L$18,8,FALSE),0))</f>
        <v>0</v>
      </c>
      <c r="K221" s="306">
        <f>+IF($H221=K$2,VLOOKUP($G221,Depreciation!$A$14:$L$18,9,FALSE)/2,IF($H221&lt;K$2,VLOOKUP($G221,Depreciation!$A$14:$L$18,9,FALSE),0))</f>
        <v>1.2175768213899416E-2</v>
      </c>
      <c r="L221" s="306">
        <f>+IF($H221=L$2,VLOOKUP($G221,Depreciation!$A$14:$L$18,10,FALSE)/2,IF($H221&lt;L$2,VLOOKUP($G221,Depreciation!$A$14:$L$18,10,FALSE),0))</f>
        <v>2.4351536427798831E-2</v>
      </c>
      <c r="M221" s="306">
        <f>+IF($H221=M$2,VLOOKUP($G221,Depreciation!$A$14:$L$18,11,FALSE)/2,IF($H221&lt;M$2,VLOOKUP($G221,Depreciation!$A$14:$L$18,11,FALSE),0))</f>
        <v>2.4351536427798831E-2</v>
      </c>
      <c r="N221" s="306">
        <f>+IF($H221=N$2,VLOOKUP($G221,Depreciation!$A$14:$L$18,12,FALSE)/2,IF($H221&lt;N$2,VLOOKUP($G221,Depreciation!$A$14:$L$18,12,FALSE),0))</f>
        <v>2.4351536427798831E-2</v>
      </c>
      <c r="O221" s="307">
        <f t="shared" si="26"/>
        <v>0</v>
      </c>
      <c r="P221" s="732">
        <f>'Func Future Subs 2015'!P221</f>
        <v>0</v>
      </c>
      <c r="Q221" s="732">
        <f>'Func Future Subs 2015'!Q221</f>
        <v>0</v>
      </c>
      <c r="R221" s="732">
        <f>'Func Future Subs 2015'!R221</f>
        <v>1</v>
      </c>
      <c r="S221" s="735">
        <f t="shared" si="27"/>
        <v>0</v>
      </c>
      <c r="T221" s="735">
        <f t="shared" si="28"/>
        <v>0</v>
      </c>
      <c r="U221" s="735">
        <f t="shared" si="29"/>
        <v>0</v>
      </c>
      <c r="V221" s="736">
        <f t="shared" si="30"/>
        <v>0</v>
      </c>
      <c r="W221" s="735">
        <f t="shared" si="31"/>
        <v>0</v>
      </c>
      <c r="X221" s="737">
        <f t="shared" si="32"/>
        <v>0</v>
      </c>
      <c r="Y221" s="738">
        <f t="shared" si="33"/>
        <v>0</v>
      </c>
    </row>
    <row r="222" spans="1:25">
      <c r="A222" s="754" t="str">
        <f>'Func Future Subs 2015'!A222</f>
        <v>Vegreville 709S</v>
      </c>
      <c r="B222" s="754">
        <f>'Func Future Subs 2015'!B222</f>
        <v>1250</v>
      </c>
      <c r="C222" s="754">
        <f>'Func Future Subs 2015'!C222</f>
        <v>138</v>
      </c>
      <c r="D222" s="754">
        <f>'Func Future Subs 2015'!D222</f>
        <v>25</v>
      </c>
      <c r="E222" s="754" t="str">
        <f>'Func Future Subs 2015'!E222</f>
        <v>709S</v>
      </c>
      <c r="F222" s="754">
        <f>'Func Future Subs 2015'!F222</f>
        <v>153452.1754973343</v>
      </c>
      <c r="G222" s="754" t="str">
        <f>'Func Future Subs 2015'!G222</f>
        <v>ATCO</v>
      </c>
      <c r="H222" s="754">
        <f>'Func Future Subs 2015'!H222</f>
        <v>2017</v>
      </c>
      <c r="I222" s="306">
        <f>+IF($H222=I$2,VLOOKUP($G222,Depreciation!$A$14:$L$18,7,FALSE)/2,IF($H222&lt;I$2,VLOOKUP($G222,Depreciation!$A$14:$L$18,7,FALSE),0))</f>
        <v>0</v>
      </c>
      <c r="J222" s="306">
        <f>+IF($H222=J$2,VLOOKUP($G222,Depreciation!$A$14:$L$18,8,FALSE)/2,IF($H222&lt;J$2,VLOOKUP($G222,Depreciation!$A$14:$L$18,8,FALSE),0))</f>
        <v>0</v>
      </c>
      <c r="K222" s="306">
        <f>+IF($H222=K$2,VLOOKUP($G222,Depreciation!$A$14:$L$18,9,FALSE)/2,IF($H222&lt;K$2,VLOOKUP($G222,Depreciation!$A$14:$L$18,9,FALSE),0))</f>
        <v>1.2175768213899416E-2</v>
      </c>
      <c r="L222" s="306">
        <f>+IF($H222=L$2,VLOOKUP($G222,Depreciation!$A$14:$L$18,10,FALSE)/2,IF($H222&lt;L$2,VLOOKUP($G222,Depreciation!$A$14:$L$18,10,FALSE),0))</f>
        <v>2.4351536427798831E-2</v>
      </c>
      <c r="M222" s="306">
        <f>+IF($H222=M$2,VLOOKUP($G222,Depreciation!$A$14:$L$18,11,FALSE)/2,IF($H222&lt;M$2,VLOOKUP($G222,Depreciation!$A$14:$L$18,11,FALSE),0))</f>
        <v>2.4351536427798831E-2</v>
      </c>
      <c r="N222" s="306">
        <f>+IF($H222=N$2,VLOOKUP($G222,Depreciation!$A$14:$L$18,12,FALSE)/2,IF($H222&lt;N$2,VLOOKUP($G222,Depreciation!$A$14:$L$18,12,FALSE),0))</f>
        <v>2.4351536427798831E-2</v>
      </c>
      <c r="O222" s="307">
        <f t="shared" si="26"/>
        <v>0</v>
      </c>
      <c r="P222" s="732">
        <f>'Func Future Subs 2015'!P222</f>
        <v>0</v>
      </c>
      <c r="Q222" s="732">
        <f>'Func Future Subs 2015'!Q222</f>
        <v>1</v>
      </c>
      <c r="R222" s="732">
        <f>'Func Future Subs 2015'!R222</f>
        <v>0</v>
      </c>
      <c r="S222" s="735">
        <f t="shared" si="27"/>
        <v>0</v>
      </c>
      <c r="T222" s="735">
        <f t="shared" si="28"/>
        <v>0</v>
      </c>
      <c r="U222" s="735">
        <f t="shared" si="29"/>
        <v>0</v>
      </c>
      <c r="V222" s="736">
        <f t="shared" si="30"/>
        <v>0</v>
      </c>
      <c r="W222" s="735">
        <f t="shared" si="31"/>
        <v>0</v>
      </c>
      <c r="X222" s="737">
        <f t="shared" si="32"/>
        <v>0</v>
      </c>
      <c r="Y222" s="738">
        <f t="shared" si="33"/>
        <v>0</v>
      </c>
    </row>
    <row r="223" spans="1:25">
      <c r="A223" s="754" t="str">
        <f>'Func Future Subs 2015'!A223</f>
        <v>Vermillion 710S</v>
      </c>
      <c r="B223" s="754">
        <f>'Func Future Subs 2015'!B223</f>
        <v>1250</v>
      </c>
      <c r="C223" s="754">
        <f>'Func Future Subs 2015'!C223</f>
        <v>144</v>
      </c>
      <c r="D223" s="754">
        <f>'Func Future Subs 2015'!D223</f>
        <v>25</v>
      </c>
      <c r="E223" s="754" t="str">
        <f>'Func Future Subs 2015'!E223</f>
        <v>710S</v>
      </c>
      <c r="F223" s="754">
        <f>'Func Future Subs 2015'!F223</f>
        <v>796710.45575867116</v>
      </c>
      <c r="G223" s="754" t="str">
        <f>'Func Future Subs 2015'!G223</f>
        <v>ATCO</v>
      </c>
      <c r="H223" s="754">
        <f>'Func Future Subs 2015'!H223</f>
        <v>2017</v>
      </c>
      <c r="I223" s="306">
        <f>+IF($H223=I$2,VLOOKUP($G223,Depreciation!$A$14:$L$18,7,FALSE)/2,IF($H223&lt;I$2,VLOOKUP($G223,Depreciation!$A$14:$L$18,7,FALSE),0))</f>
        <v>0</v>
      </c>
      <c r="J223" s="306">
        <f>+IF($H223=J$2,VLOOKUP($G223,Depreciation!$A$14:$L$18,8,FALSE)/2,IF($H223&lt;J$2,VLOOKUP($G223,Depreciation!$A$14:$L$18,8,FALSE),0))</f>
        <v>0</v>
      </c>
      <c r="K223" s="306">
        <f>+IF($H223=K$2,VLOOKUP($G223,Depreciation!$A$14:$L$18,9,FALSE)/2,IF($H223&lt;K$2,VLOOKUP($G223,Depreciation!$A$14:$L$18,9,FALSE),0))</f>
        <v>1.2175768213899416E-2</v>
      </c>
      <c r="L223" s="306">
        <f>+IF($H223=L$2,VLOOKUP($G223,Depreciation!$A$14:$L$18,10,FALSE)/2,IF($H223&lt;L$2,VLOOKUP($G223,Depreciation!$A$14:$L$18,10,FALSE),0))</f>
        <v>2.4351536427798831E-2</v>
      </c>
      <c r="M223" s="306">
        <f>+IF($H223=M$2,VLOOKUP($G223,Depreciation!$A$14:$L$18,11,FALSE)/2,IF($H223&lt;M$2,VLOOKUP($G223,Depreciation!$A$14:$L$18,11,FALSE),0))</f>
        <v>2.4351536427798831E-2</v>
      </c>
      <c r="N223" s="306">
        <f>+IF($H223=N$2,VLOOKUP($G223,Depreciation!$A$14:$L$18,12,FALSE)/2,IF($H223&lt;N$2,VLOOKUP($G223,Depreciation!$A$14:$L$18,12,FALSE),0))</f>
        <v>2.4351536427798831E-2</v>
      </c>
      <c r="O223" s="307">
        <f t="shared" si="26"/>
        <v>0</v>
      </c>
      <c r="P223" s="732">
        <f>'Func Future Subs 2015'!P223</f>
        <v>0</v>
      </c>
      <c r="Q223" s="732">
        <f>'Func Future Subs 2015'!Q223</f>
        <v>1</v>
      </c>
      <c r="R223" s="732">
        <f>'Func Future Subs 2015'!R223</f>
        <v>0</v>
      </c>
      <c r="S223" s="735">
        <f t="shared" si="27"/>
        <v>0</v>
      </c>
      <c r="T223" s="735">
        <f t="shared" si="28"/>
        <v>0</v>
      </c>
      <c r="U223" s="735">
        <f t="shared" si="29"/>
        <v>0</v>
      </c>
      <c r="V223" s="736">
        <f t="shared" si="30"/>
        <v>0</v>
      </c>
      <c r="W223" s="735">
        <f t="shared" si="31"/>
        <v>0</v>
      </c>
      <c r="X223" s="737">
        <f t="shared" si="32"/>
        <v>0</v>
      </c>
      <c r="Y223" s="738">
        <f t="shared" si="33"/>
        <v>0</v>
      </c>
    </row>
    <row r="224" spans="1:25">
      <c r="A224" s="754" t="str">
        <f>'Func Future Subs 2015'!A224</f>
        <v>Vincent 2019S</v>
      </c>
      <c r="B224" s="754">
        <f>'Func Future Subs 2015'!B224</f>
        <v>1250</v>
      </c>
      <c r="C224" s="754">
        <f>'Func Future Subs 2015'!C224</f>
        <v>144</v>
      </c>
      <c r="D224" s="754">
        <f>'Func Future Subs 2015'!D224</f>
        <v>25</v>
      </c>
      <c r="E224" s="754" t="str">
        <f>'Func Future Subs 2015'!E224</f>
        <v>2019S</v>
      </c>
      <c r="F224" s="754">
        <f>'Func Future Subs 2015'!F224</f>
        <v>2371467.6461774474</v>
      </c>
      <c r="G224" s="754" t="str">
        <f>'Func Future Subs 2015'!G224</f>
        <v>ATCO</v>
      </c>
      <c r="H224" s="754">
        <f>'Func Future Subs 2015'!H224</f>
        <v>2017</v>
      </c>
      <c r="I224" s="306">
        <f>+IF($H224=I$2,VLOOKUP($G224,Depreciation!$A$14:$L$18,7,FALSE)/2,IF($H224&lt;I$2,VLOOKUP($G224,Depreciation!$A$14:$L$18,7,FALSE),0))</f>
        <v>0</v>
      </c>
      <c r="J224" s="306">
        <f>+IF($H224=J$2,VLOOKUP($G224,Depreciation!$A$14:$L$18,8,FALSE)/2,IF($H224&lt;J$2,VLOOKUP($G224,Depreciation!$A$14:$L$18,8,FALSE),0))</f>
        <v>0</v>
      </c>
      <c r="K224" s="306">
        <f>+IF($H224=K$2,VLOOKUP($G224,Depreciation!$A$14:$L$18,9,FALSE)/2,IF($H224&lt;K$2,VLOOKUP($G224,Depreciation!$A$14:$L$18,9,FALSE),0))</f>
        <v>1.2175768213899416E-2</v>
      </c>
      <c r="L224" s="306">
        <f>+IF($H224=L$2,VLOOKUP($G224,Depreciation!$A$14:$L$18,10,FALSE)/2,IF($H224&lt;L$2,VLOOKUP($G224,Depreciation!$A$14:$L$18,10,FALSE),0))</f>
        <v>2.4351536427798831E-2</v>
      </c>
      <c r="M224" s="306">
        <f>+IF($H224=M$2,VLOOKUP($G224,Depreciation!$A$14:$L$18,11,FALSE)/2,IF($H224&lt;M$2,VLOOKUP($G224,Depreciation!$A$14:$L$18,11,FALSE),0))</f>
        <v>2.4351536427798831E-2</v>
      </c>
      <c r="N224" s="306">
        <f>+IF($H224=N$2,VLOOKUP($G224,Depreciation!$A$14:$L$18,12,FALSE)/2,IF($H224&lt;N$2,VLOOKUP($G224,Depreciation!$A$14:$L$18,12,FALSE),0))</f>
        <v>2.4351536427798831E-2</v>
      </c>
      <c r="O224" s="307">
        <f t="shared" si="26"/>
        <v>0</v>
      </c>
      <c r="P224" s="732">
        <f>'Func Future Subs 2015'!P224</f>
        <v>0</v>
      </c>
      <c r="Q224" s="732">
        <f>'Func Future Subs 2015'!Q224</f>
        <v>0</v>
      </c>
      <c r="R224" s="732">
        <f>'Func Future Subs 2015'!R224</f>
        <v>1</v>
      </c>
      <c r="S224" s="735">
        <f t="shared" si="27"/>
        <v>0</v>
      </c>
      <c r="T224" s="735">
        <f t="shared" si="28"/>
        <v>0</v>
      </c>
      <c r="U224" s="735">
        <f t="shared" si="29"/>
        <v>0</v>
      </c>
      <c r="V224" s="736">
        <f t="shared" si="30"/>
        <v>0</v>
      </c>
      <c r="W224" s="735">
        <f t="shared" si="31"/>
        <v>0</v>
      </c>
      <c r="X224" s="737">
        <f t="shared" si="32"/>
        <v>0</v>
      </c>
      <c r="Y224" s="738">
        <f t="shared" si="33"/>
        <v>0</v>
      </c>
    </row>
    <row r="225" spans="1:25">
      <c r="A225" s="754" t="str">
        <f>'Func Future Subs 2015'!A225</f>
        <v>Grist Lake 190S Substation A</v>
      </c>
      <c r="B225" s="754">
        <f>'Func Future Subs 2015'!B225</f>
        <v>1258</v>
      </c>
      <c r="C225" s="754">
        <f>'Func Future Subs 2015'!C225</f>
        <v>138</v>
      </c>
      <c r="D225" s="754">
        <f>'Func Future Subs 2015'!D225</f>
        <v>25</v>
      </c>
      <c r="E225" s="754" t="str">
        <f>'Func Future Subs 2015'!E225</f>
        <v>190S</v>
      </c>
      <c r="F225" s="754">
        <f>'Func Future Subs 2015'!F225</f>
        <v>41252104.186539032</v>
      </c>
      <c r="G225" s="754" t="str">
        <f>'Func Future Subs 2015'!G225</f>
        <v>AltaLink</v>
      </c>
      <c r="H225" s="754">
        <f>'Func Future Subs 2015'!H225</f>
        <v>2019</v>
      </c>
      <c r="I225" s="306">
        <f>+IF($H225=I$2,VLOOKUP($G225,Depreciation!$A$14:$L$18,7,FALSE)/2,IF($H225&lt;I$2,VLOOKUP($G225,Depreciation!$A$14:$L$18,7,FALSE),0))</f>
        <v>0</v>
      </c>
      <c r="J225" s="306">
        <f>+IF($H225=J$2,VLOOKUP($G225,Depreciation!$A$14:$L$18,8,FALSE)/2,IF($H225&lt;J$2,VLOOKUP($G225,Depreciation!$A$14:$L$18,8,FALSE),0))</f>
        <v>0</v>
      </c>
      <c r="K225" s="306">
        <f>+IF($H225=K$2,VLOOKUP($G225,Depreciation!$A$14:$L$18,9,FALSE)/2,IF($H225&lt;K$2,VLOOKUP($G225,Depreciation!$A$14:$L$18,9,FALSE),0))</f>
        <v>0</v>
      </c>
      <c r="L225" s="306">
        <f>+IF($H225=L$2,VLOOKUP($G225,Depreciation!$A$14:$L$18,10,FALSE)/2,IF($H225&lt;L$2,VLOOKUP($G225,Depreciation!$A$14:$L$18,10,FALSE),0))</f>
        <v>0</v>
      </c>
      <c r="M225" s="306">
        <f>+IF($H225=M$2,VLOOKUP($G225,Depreciation!$A$14:$L$18,11,FALSE)/2,IF($H225&lt;M$2,VLOOKUP($G225,Depreciation!$A$14:$L$18,11,FALSE),0))</f>
        <v>1.671703928371859E-2</v>
      </c>
      <c r="N225" s="306">
        <f>+IF($H225=N$2,VLOOKUP($G225,Depreciation!$A$14:$L$18,12,FALSE)/2,IF($H225&lt;N$2,VLOOKUP($G225,Depreciation!$A$14:$L$18,12,FALSE),0))</f>
        <v>3.343407856743718E-2</v>
      </c>
      <c r="O225" s="307">
        <f t="shared" si="26"/>
        <v>0</v>
      </c>
      <c r="P225" s="732">
        <f>'Func Future Subs 2015'!P225</f>
        <v>0</v>
      </c>
      <c r="Q225" s="732">
        <f>'Func Future Subs 2015'!Q225</f>
        <v>0</v>
      </c>
      <c r="R225" s="732">
        <f>'Func Future Subs 2015'!R225</f>
        <v>1</v>
      </c>
      <c r="S225" s="735">
        <f t="shared" si="27"/>
        <v>0</v>
      </c>
      <c r="T225" s="735">
        <f t="shared" si="28"/>
        <v>0</v>
      </c>
      <c r="U225" s="735">
        <f t="shared" si="29"/>
        <v>0</v>
      </c>
      <c r="V225" s="736">
        <f t="shared" si="30"/>
        <v>0</v>
      </c>
      <c r="W225" s="735">
        <f t="shared" si="31"/>
        <v>0</v>
      </c>
      <c r="X225" s="737">
        <f t="shared" si="32"/>
        <v>0</v>
      </c>
      <c r="Y225" s="738">
        <f t="shared" si="33"/>
        <v>0</v>
      </c>
    </row>
    <row r="226" spans="1:25">
      <c r="A226" s="754" t="str">
        <f>'Func Future Subs 2015'!A226</f>
        <v>Pike 170S Substation A</v>
      </c>
      <c r="B226" s="754">
        <f>'Func Future Subs 2015'!B226</f>
        <v>1258</v>
      </c>
      <c r="C226" s="754">
        <f>'Func Future Subs 2015'!C226</f>
        <v>138</v>
      </c>
      <c r="D226" s="754">
        <f>'Func Future Subs 2015'!D226</f>
        <v>138</v>
      </c>
      <c r="E226" s="754" t="str">
        <f>'Func Future Subs 2015'!E226</f>
        <v>170S</v>
      </c>
      <c r="F226" s="754">
        <f>'Func Future Subs 2015'!F226</f>
        <v>4886932.8273881162</v>
      </c>
      <c r="G226" s="754" t="str">
        <f>'Func Future Subs 2015'!G226</f>
        <v>AltaLink</v>
      </c>
      <c r="H226" s="754">
        <f>'Func Future Subs 2015'!H226</f>
        <v>2019</v>
      </c>
      <c r="I226" s="306">
        <f>+IF($H226=I$2,VLOOKUP($G226,Depreciation!$A$14:$L$18,7,FALSE)/2,IF($H226&lt;I$2,VLOOKUP($G226,Depreciation!$A$14:$L$18,7,FALSE),0))</f>
        <v>0</v>
      </c>
      <c r="J226" s="306">
        <f>+IF($H226=J$2,VLOOKUP($G226,Depreciation!$A$14:$L$18,8,FALSE)/2,IF($H226&lt;J$2,VLOOKUP($G226,Depreciation!$A$14:$L$18,8,FALSE),0))</f>
        <v>0</v>
      </c>
      <c r="K226" s="306">
        <f>+IF($H226=K$2,VLOOKUP($G226,Depreciation!$A$14:$L$18,9,FALSE)/2,IF($H226&lt;K$2,VLOOKUP($G226,Depreciation!$A$14:$L$18,9,FALSE),0))</f>
        <v>0</v>
      </c>
      <c r="L226" s="306">
        <f>+IF($H226=L$2,VLOOKUP($G226,Depreciation!$A$14:$L$18,10,FALSE)/2,IF($H226&lt;L$2,VLOOKUP($G226,Depreciation!$A$14:$L$18,10,FALSE),0))</f>
        <v>0</v>
      </c>
      <c r="M226" s="306">
        <f>+IF($H226=M$2,VLOOKUP($G226,Depreciation!$A$14:$L$18,11,FALSE)/2,IF($H226&lt;M$2,VLOOKUP($G226,Depreciation!$A$14:$L$18,11,FALSE),0))</f>
        <v>1.671703928371859E-2</v>
      </c>
      <c r="N226" s="306">
        <f>+IF($H226=N$2,VLOOKUP($G226,Depreciation!$A$14:$L$18,12,FALSE)/2,IF($H226&lt;N$2,VLOOKUP($G226,Depreciation!$A$14:$L$18,12,FALSE),0))</f>
        <v>3.343407856743718E-2</v>
      </c>
      <c r="O226" s="307">
        <f t="shared" si="26"/>
        <v>0</v>
      </c>
      <c r="P226" s="732">
        <f>'Func Future Subs 2015'!P226</f>
        <v>0</v>
      </c>
      <c r="Q226" s="732">
        <f>'Func Future Subs 2015'!Q226</f>
        <v>0</v>
      </c>
      <c r="R226" s="732">
        <f>'Func Future Subs 2015'!R226</f>
        <v>1</v>
      </c>
      <c r="S226" s="735">
        <f t="shared" si="27"/>
        <v>0</v>
      </c>
      <c r="T226" s="735">
        <f t="shared" si="28"/>
        <v>0</v>
      </c>
      <c r="U226" s="735">
        <f t="shared" si="29"/>
        <v>0</v>
      </c>
      <c r="V226" s="736">
        <f t="shared" si="30"/>
        <v>0</v>
      </c>
      <c r="W226" s="735">
        <f t="shared" si="31"/>
        <v>0</v>
      </c>
      <c r="X226" s="737">
        <f t="shared" si="32"/>
        <v>0</v>
      </c>
      <c r="Y226" s="738">
        <f t="shared" si="33"/>
        <v>0</v>
      </c>
    </row>
    <row r="227" spans="1:25">
      <c r="A227" s="754" t="str">
        <f>'Func Future Subs 2015'!A227</f>
        <v>Chinook 181S substation[v180]</v>
      </c>
      <c r="B227" s="754">
        <f>'Func Future Subs 2015'!B227</f>
        <v>1260</v>
      </c>
      <c r="C227" s="754">
        <f>'Func Future Subs 2015'!C227</f>
        <v>240</v>
      </c>
      <c r="D227" s="754">
        <f>'Func Future Subs 2015'!D227</f>
        <v>25</v>
      </c>
      <c r="E227" s="754" t="str">
        <f>'Func Future Subs 2015'!E227</f>
        <v>181S</v>
      </c>
      <c r="F227" s="754">
        <f>'Func Future Subs 2015'!F227</f>
        <v>10887667.697433928</v>
      </c>
      <c r="G227" s="754" t="str">
        <f>'Func Future Subs 2015'!G227</f>
        <v>ENMAX</v>
      </c>
      <c r="H227" s="754">
        <f>'Func Future Subs 2015'!H227</f>
        <v>2016</v>
      </c>
      <c r="I227" s="306">
        <f>+IF($H227=I$2,VLOOKUP($G227,Depreciation!$A$14:$L$18,7,FALSE)/2,IF($H227&lt;I$2,VLOOKUP($G227,Depreciation!$A$14:$L$18,7,FALSE),0))</f>
        <v>0</v>
      </c>
      <c r="J227" s="306">
        <f>+IF($H227=J$2,VLOOKUP($G227,Depreciation!$A$14:$L$18,8,FALSE)/2,IF($H227&lt;J$2,VLOOKUP($G227,Depreciation!$A$14:$L$18,8,FALSE),0))</f>
        <v>1.3928409269726289E-2</v>
      </c>
      <c r="K227" s="306">
        <f>+IF($H227=K$2,VLOOKUP($G227,Depreciation!$A$14:$L$18,9,FALSE)/2,IF($H227&lt;K$2,VLOOKUP($G227,Depreciation!$A$14:$L$18,9,FALSE),0))</f>
        <v>2.7856818539452578E-2</v>
      </c>
      <c r="L227" s="306">
        <f>+IF($H227=L$2,VLOOKUP($G227,Depreciation!$A$14:$L$18,10,FALSE)/2,IF($H227&lt;L$2,VLOOKUP($G227,Depreciation!$A$14:$L$18,10,FALSE),0))</f>
        <v>2.7856818539452578E-2</v>
      </c>
      <c r="M227" s="306">
        <f>+IF($H227=M$2,VLOOKUP($G227,Depreciation!$A$14:$L$18,11,FALSE)/2,IF($H227&lt;M$2,VLOOKUP($G227,Depreciation!$A$14:$L$18,11,FALSE),0))</f>
        <v>2.7856818539452578E-2</v>
      </c>
      <c r="N227" s="306">
        <f>+IF($H227=N$2,VLOOKUP($G227,Depreciation!$A$14:$L$18,12,FALSE)/2,IF($H227&lt;N$2,VLOOKUP($G227,Depreciation!$A$14:$L$18,12,FALSE),0))</f>
        <v>2.7856818539452578E-2</v>
      </c>
      <c r="O227" s="307">
        <f t="shared" si="26"/>
        <v>10736019.80575129</v>
      </c>
      <c r="P227" s="732">
        <f>'Func Future Subs 2015'!P227</f>
        <v>0</v>
      </c>
      <c r="Q227" s="732">
        <f>'Func Future Subs 2015'!Q227</f>
        <v>0</v>
      </c>
      <c r="R227" s="732">
        <f>'Func Future Subs 2015'!R227</f>
        <v>1</v>
      </c>
      <c r="S227" s="735">
        <f t="shared" si="27"/>
        <v>0</v>
      </c>
      <c r="T227" s="735">
        <f t="shared" si="28"/>
        <v>0</v>
      </c>
      <c r="U227" s="735">
        <f t="shared" si="29"/>
        <v>10736019.80575129</v>
      </c>
      <c r="V227" s="736">
        <f t="shared" si="30"/>
        <v>0</v>
      </c>
      <c r="W227" s="735">
        <f t="shared" si="31"/>
        <v>0</v>
      </c>
      <c r="X227" s="737">
        <f t="shared" si="32"/>
        <v>0</v>
      </c>
      <c r="Y227" s="738">
        <f t="shared" si="33"/>
        <v>10736019.80575129</v>
      </c>
    </row>
    <row r="228" spans="1:25">
      <c r="A228" s="754" t="str">
        <f>'Func Future Subs 2015'!A228</f>
        <v>North Lethbridge 370s substation</v>
      </c>
      <c r="B228" s="754">
        <f>'Func Future Subs 2015'!B228</f>
        <v>1260</v>
      </c>
      <c r="C228" s="754">
        <f>'Func Future Subs 2015'!C228</f>
        <v>240</v>
      </c>
      <c r="D228" s="754">
        <f>'Func Future Subs 2015'!D228</f>
        <v>25</v>
      </c>
      <c r="E228" s="754" t="str">
        <f>'Func Future Subs 2015'!E228</f>
        <v>370S</v>
      </c>
      <c r="F228" s="754">
        <f>'Func Future Subs 2015'!F228</f>
        <v>484549.80832004856</v>
      </c>
      <c r="G228" s="754" t="str">
        <f>'Func Future Subs 2015'!G228</f>
        <v>AltaLink</v>
      </c>
      <c r="H228" s="754">
        <f>'Func Future Subs 2015'!H228</f>
        <v>2016</v>
      </c>
      <c r="I228" s="306">
        <f>+IF($H228=I$2,VLOOKUP($G228,Depreciation!$A$14:$L$18,7,FALSE)/2,IF($H228&lt;I$2,VLOOKUP($G228,Depreciation!$A$14:$L$18,7,FALSE),0))</f>
        <v>0</v>
      </c>
      <c r="J228" s="306">
        <f>+IF($H228=J$2,VLOOKUP($G228,Depreciation!$A$14:$L$18,8,FALSE)/2,IF($H228&lt;J$2,VLOOKUP($G228,Depreciation!$A$14:$L$18,8,FALSE),0))</f>
        <v>1.671703928371859E-2</v>
      </c>
      <c r="K228" s="306">
        <f>+IF($H228=K$2,VLOOKUP($G228,Depreciation!$A$14:$L$18,9,FALSE)/2,IF($H228&lt;K$2,VLOOKUP($G228,Depreciation!$A$14:$L$18,9,FALSE),0))</f>
        <v>3.343407856743718E-2</v>
      </c>
      <c r="L228" s="306">
        <f>+IF($H228=L$2,VLOOKUP($G228,Depreciation!$A$14:$L$18,10,FALSE)/2,IF($H228&lt;L$2,VLOOKUP($G228,Depreciation!$A$14:$L$18,10,FALSE),0))</f>
        <v>3.343407856743718E-2</v>
      </c>
      <c r="M228" s="306">
        <f>+IF($H228=M$2,VLOOKUP($G228,Depreciation!$A$14:$L$18,11,FALSE)/2,IF($H228&lt;M$2,VLOOKUP($G228,Depreciation!$A$14:$L$18,11,FALSE),0))</f>
        <v>3.343407856743718E-2</v>
      </c>
      <c r="N228" s="306">
        <f>+IF($H228=N$2,VLOOKUP($G228,Depreciation!$A$14:$L$18,12,FALSE)/2,IF($H228&lt;N$2,VLOOKUP($G228,Depreciation!$A$14:$L$18,12,FALSE),0))</f>
        <v>3.343407856743718E-2</v>
      </c>
      <c r="O228" s="307">
        <f t="shared" si="26"/>
        <v>476449.57013944397</v>
      </c>
      <c r="P228" s="732">
        <f>'Func Future Subs 2015'!P228</f>
        <v>0</v>
      </c>
      <c r="Q228" s="732">
        <f>'Func Future Subs 2015'!Q228</f>
        <v>1</v>
      </c>
      <c r="R228" s="732">
        <f>'Func Future Subs 2015'!R228</f>
        <v>0</v>
      </c>
      <c r="S228" s="735">
        <f t="shared" si="27"/>
        <v>0</v>
      </c>
      <c r="T228" s="735">
        <f t="shared" si="28"/>
        <v>476449.57013944397</v>
      </c>
      <c r="U228" s="735">
        <f t="shared" si="29"/>
        <v>0</v>
      </c>
      <c r="V228" s="736">
        <f t="shared" si="30"/>
        <v>0</v>
      </c>
      <c r="W228" s="735">
        <f t="shared" si="31"/>
        <v>0</v>
      </c>
      <c r="X228" s="737">
        <f t="shared" si="32"/>
        <v>0</v>
      </c>
      <c r="Y228" s="738">
        <f t="shared" si="33"/>
        <v>476449.57013944397</v>
      </c>
    </row>
    <row r="229" spans="1:25">
      <c r="A229" s="754" t="str">
        <f>'Func Future Subs 2015'!A229</f>
        <v>Gaetz 87S</v>
      </c>
      <c r="B229" s="754">
        <f>'Func Future Subs 2015'!B229</f>
        <v>1263</v>
      </c>
      <c r="C229" s="754">
        <f>'Func Future Subs 2015'!C229</f>
        <v>240</v>
      </c>
      <c r="D229" s="754">
        <f>'Func Future Subs 2015'!D229</f>
        <v>138</v>
      </c>
      <c r="E229" s="754" t="str">
        <f>'Func Future Subs 2015'!E229</f>
        <v>87S</v>
      </c>
      <c r="F229" s="754">
        <f>'Func Future Subs 2015'!F229</f>
        <v>452029.41176470619</v>
      </c>
      <c r="G229" s="754" t="str">
        <f>'Func Future Subs 2015'!G229</f>
        <v>AltaLink</v>
      </c>
      <c r="H229" s="754">
        <f>'Func Future Subs 2015'!H229</f>
        <v>2016</v>
      </c>
      <c r="I229" s="306">
        <f>+IF($H229=I$2,VLOOKUP($G229,Depreciation!$A$14:$L$18,7,FALSE)/2,IF($H229&lt;I$2,VLOOKUP($G229,Depreciation!$A$14:$L$18,7,FALSE),0))</f>
        <v>0</v>
      </c>
      <c r="J229" s="306">
        <f>+IF($H229=J$2,VLOOKUP($G229,Depreciation!$A$14:$L$18,8,FALSE)/2,IF($H229&lt;J$2,VLOOKUP($G229,Depreciation!$A$14:$L$18,8,FALSE),0))</f>
        <v>1.671703928371859E-2</v>
      </c>
      <c r="K229" s="306">
        <f>+IF($H229=K$2,VLOOKUP($G229,Depreciation!$A$14:$L$18,9,FALSE)/2,IF($H229&lt;K$2,VLOOKUP($G229,Depreciation!$A$14:$L$18,9,FALSE),0))</f>
        <v>3.343407856743718E-2</v>
      </c>
      <c r="L229" s="306">
        <f>+IF($H229=L$2,VLOOKUP($G229,Depreciation!$A$14:$L$18,10,FALSE)/2,IF($H229&lt;L$2,VLOOKUP($G229,Depreciation!$A$14:$L$18,10,FALSE),0))</f>
        <v>3.343407856743718E-2</v>
      </c>
      <c r="M229" s="306">
        <f>+IF($H229=M$2,VLOOKUP($G229,Depreciation!$A$14:$L$18,11,FALSE)/2,IF($H229&lt;M$2,VLOOKUP($G229,Depreciation!$A$14:$L$18,11,FALSE),0))</f>
        <v>3.343407856743718E-2</v>
      </c>
      <c r="N229" s="306">
        <f>+IF($H229=N$2,VLOOKUP($G229,Depreciation!$A$14:$L$18,12,FALSE)/2,IF($H229&lt;N$2,VLOOKUP($G229,Depreciation!$A$14:$L$18,12,FALSE),0))</f>
        <v>3.343407856743718E-2</v>
      </c>
      <c r="O229" s="307">
        <f t="shared" si="26"/>
        <v>444472.81833083939</v>
      </c>
      <c r="P229" s="732">
        <f>'Func Future Subs 2015'!P229</f>
        <v>0</v>
      </c>
      <c r="Q229" s="732">
        <f>'Func Future Subs 2015'!Q229</f>
        <v>0</v>
      </c>
      <c r="R229" s="732">
        <f>'Func Future Subs 2015'!R229</f>
        <v>1</v>
      </c>
      <c r="S229" s="735">
        <f t="shared" si="27"/>
        <v>0</v>
      </c>
      <c r="T229" s="735">
        <f t="shared" si="28"/>
        <v>0</v>
      </c>
      <c r="U229" s="735">
        <f t="shared" si="29"/>
        <v>444472.81833083939</v>
      </c>
      <c r="V229" s="736">
        <f t="shared" si="30"/>
        <v>0</v>
      </c>
      <c r="W229" s="735">
        <f t="shared" si="31"/>
        <v>0</v>
      </c>
      <c r="X229" s="737">
        <f t="shared" si="32"/>
        <v>444472.81833083939</v>
      </c>
      <c r="Y229" s="738">
        <f t="shared" si="33"/>
        <v>0</v>
      </c>
    </row>
    <row r="230" spans="1:25">
      <c r="A230" s="754" t="str">
        <f>'Func Future Subs 2015'!A230</f>
        <v>North Red Deer 217S</v>
      </c>
      <c r="B230" s="754">
        <f>'Func Future Subs 2015'!B230</f>
        <v>1263</v>
      </c>
      <c r="C230" s="754">
        <f>'Func Future Subs 2015'!C230</f>
        <v>138</v>
      </c>
      <c r="D230" s="754">
        <f>'Func Future Subs 2015'!D230</f>
        <v>25</v>
      </c>
      <c r="E230" s="754" t="str">
        <f>'Func Future Subs 2015'!E230</f>
        <v>217S</v>
      </c>
      <c r="F230" s="754">
        <f>'Func Future Subs 2015'!F230</f>
        <v>369088.23529411788</v>
      </c>
      <c r="G230" s="754" t="str">
        <f>'Func Future Subs 2015'!G230</f>
        <v>AltaLink</v>
      </c>
      <c r="H230" s="754">
        <f>'Func Future Subs 2015'!H230</f>
        <v>2016</v>
      </c>
      <c r="I230" s="306">
        <f>+IF($H230=I$2,VLOOKUP($G230,Depreciation!$A$14:$L$18,7,FALSE)/2,IF($H230&lt;I$2,VLOOKUP($G230,Depreciation!$A$14:$L$18,7,FALSE),0))</f>
        <v>0</v>
      </c>
      <c r="J230" s="306">
        <f>+IF($H230=J$2,VLOOKUP($G230,Depreciation!$A$14:$L$18,8,FALSE)/2,IF($H230&lt;J$2,VLOOKUP($G230,Depreciation!$A$14:$L$18,8,FALSE),0))</f>
        <v>1.671703928371859E-2</v>
      </c>
      <c r="K230" s="306">
        <f>+IF($H230=K$2,VLOOKUP($G230,Depreciation!$A$14:$L$18,9,FALSE)/2,IF($H230&lt;K$2,VLOOKUP($G230,Depreciation!$A$14:$L$18,9,FALSE),0))</f>
        <v>3.343407856743718E-2</v>
      </c>
      <c r="L230" s="306">
        <f>+IF($H230=L$2,VLOOKUP($G230,Depreciation!$A$14:$L$18,10,FALSE)/2,IF($H230&lt;L$2,VLOOKUP($G230,Depreciation!$A$14:$L$18,10,FALSE),0))</f>
        <v>3.343407856743718E-2</v>
      </c>
      <c r="M230" s="306">
        <f>+IF($H230=M$2,VLOOKUP($G230,Depreciation!$A$14:$L$18,11,FALSE)/2,IF($H230&lt;M$2,VLOOKUP($G230,Depreciation!$A$14:$L$18,11,FALSE),0))</f>
        <v>3.343407856743718E-2</v>
      </c>
      <c r="N230" s="306">
        <f>+IF($H230=N$2,VLOOKUP($G230,Depreciation!$A$14:$L$18,12,FALSE)/2,IF($H230&lt;N$2,VLOOKUP($G230,Depreciation!$A$14:$L$18,12,FALSE),0))</f>
        <v>3.343407856743718E-2</v>
      </c>
      <c r="O230" s="307">
        <f t="shared" si="26"/>
        <v>362918.17276554776</v>
      </c>
      <c r="P230" s="732">
        <f>'Func Future Subs 2015'!P230</f>
        <v>0</v>
      </c>
      <c r="Q230" s="732">
        <f>'Func Future Subs 2015'!Q230</f>
        <v>1</v>
      </c>
      <c r="R230" s="732">
        <f>'Func Future Subs 2015'!R230</f>
        <v>0</v>
      </c>
      <c r="S230" s="735">
        <f t="shared" si="27"/>
        <v>0</v>
      </c>
      <c r="T230" s="735">
        <f t="shared" si="28"/>
        <v>362918.17276554776</v>
      </c>
      <c r="U230" s="735">
        <f t="shared" si="29"/>
        <v>0</v>
      </c>
      <c r="V230" s="736">
        <f t="shared" si="30"/>
        <v>0</v>
      </c>
      <c r="W230" s="735">
        <f t="shared" si="31"/>
        <v>0</v>
      </c>
      <c r="X230" s="737">
        <f t="shared" si="32"/>
        <v>0</v>
      </c>
      <c r="Y230" s="738">
        <f t="shared" si="33"/>
        <v>362918.17276554776</v>
      </c>
    </row>
    <row r="231" spans="1:25">
      <c r="A231" s="754" t="str">
        <f>'Func Future Subs 2015'!A231</f>
        <v>Algar Substation 875S_180</v>
      </c>
      <c r="B231" s="754">
        <f>'Func Future Subs 2015'!B231</f>
        <v>1267</v>
      </c>
      <c r="C231" s="754">
        <f>'Func Future Subs 2015'!C231</f>
        <v>144</v>
      </c>
      <c r="D231" s="754">
        <f>'Func Future Subs 2015'!D231</f>
        <v>25</v>
      </c>
      <c r="E231" s="754" t="str">
        <f>'Func Future Subs 2015'!E231</f>
        <v>875S</v>
      </c>
      <c r="F231" s="754">
        <f>'Func Future Subs 2015'!F231</f>
        <v>3416800.4605387161</v>
      </c>
      <c r="G231" s="754" t="str">
        <f>'Func Future Subs 2015'!G231</f>
        <v>ATCO</v>
      </c>
      <c r="H231" s="754">
        <f>'Func Future Subs 2015'!H231</f>
        <v>2015</v>
      </c>
      <c r="I231" s="306">
        <f>+IF($H231=I$2,VLOOKUP($G231,Depreciation!$A$14:$L$18,7,FALSE)/2,IF($H231&lt;I$2,VLOOKUP($G231,Depreciation!$A$14:$L$18,7,FALSE),0))</f>
        <v>1.221703683566912E-2</v>
      </c>
      <c r="J231" s="306">
        <f>+IF($H231=J$2,VLOOKUP($G231,Depreciation!$A$14:$L$18,8,FALSE)/2,IF($H231&lt;J$2,VLOOKUP($G231,Depreciation!$A$14:$L$18,8,FALSE),0))</f>
        <v>2.4632450501084719E-2</v>
      </c>
      <c r="K231" s="306">
        <f>+IF($H231=K$2,VLOOKUP($G231,Depreciation!$A$14:$L$18,9,FALSE)/2,IF($H231&lt;K$2,VLOOKUP($G231,Depreciation!$A$14:$L$18,9,FALSE),0))</f>
        <v>2.4351536427798831E-2</v>
      </c>
      <c r="L231" s="306">
        <f>+IF($H231=L$2,VLOOKUP($G231,Depreciation!$A$14:$L$18,10,FALSE)/2,IF($H231&lt;L$2,VLOOKUP($G231,Depreciation!$A$14:$L$18,10,FALSE),0))</f>
        <v>2.4351536427798831E-2</v>
      </c>
      <c r="M231" s="306">
        <f>+IF($H231=M$2,VLOOKUP($G231,Depreciation!$A$14:$L$18,11,FALSE)/2,IF($H231&lt;M$2,VLOOKUP($G231,Depreciation!$A$14:$L$18,11,FALSE),0))</f>
        <v>2.4351536427798831E-2</v>
      </c>
      <c r="N231" s="306">
        <f>+IF($H231=N$2,VLOOKUP($G231,Depreciation!$A$14:$L$18,12,FALSE)/2,IF($H231&lt;N$2,VLOOKUP($G231,Depreciation!$A$14:$L$18,12,FALSE),0))</f>
        <v>2.4351536427798831E-2</v>
      </c>
      <c r="O231" s="307">
        <f t="shared" si="26"/>
        <v>3291921.3519792221</v>
      </c>
      <c r="P231" s="732">
        <f>'Func Future Subs 2015'!P231</f>
        <v>0</v>
      </c>
      <c r="Q231" s="732">
        <f>'Func Future Subs 2015'!Q231</f>
        <v>1</v>
      </c>
      <c r="R231" s="732">
        <f>'Func Future Subs 2015'!R231</f>
        <v>0</v>
      </c>
      <c r="S231" s="735">
        <f t="shared" si="27"/>
        <v>0</v>
      </c>
      <c r="T231" s="735">
        <f t="shared" si="28"/>
        <v>3291921.3519792221</v>
      </c>
      <c r="U231" s="735">
        <f t="shared" si="29"/>
        <v>0</v>
      </c>
      <c r="V231" s="736">
        <f t="shared" si="30"/>
        <v>0</v>
      </c>
      <c r="W231" s="735">
        <f t="shared" si="31"/>
        <v>0</v>
      </c>
      <c r="X231" s="737">
        <f t="shared" si="32"/>
        <v>0</v>
      </c>
      <c r="Y231" s="738">
        <f t="shared" si="33"/>
        <v>3291921.3519792221</v>
      </c>
    </row>
    <row r="232" spans="1:25">
      <c r="A232" s="754" t="str">
        <f>'Func Future Subs 2015'!A232</f>
        <v>Dawes Substation 2011S_180</v>
      </c>
      <c r="B232" s="754">
        <f>'Func Future Subs 2015'!B232</f>
        <v>1267</v>
      </c>
      <c r="C232" s="754">
        <f>'Func Future Subs 2015'!C232</f>
        <v>240</v>
      </c>
      <c r="D232" s="754">
        <f>'Func Future Subs 2015'!D232</f>
        <v>144</v>
      </c>
      <c r="E232" s="754" t="str">
        <f>'Func Future Subs 2015'!E232</f>
        <v>2011S</v>
      </c>
      <c r="F232" s="754">
        <f>'Func Future Subs 2015'!F232</f>
        <v>30016954.600294784</v>
      </c>
      <c r="G232" s="754" t="str">
        <f>'Func Future Subs 2015'!G232</f>
        <v>ATCO</v>
      </c>
      <c r="H232" s="754">
        <f>'Func Future Subs 2015'!H232</f>
        <v>2015</v>
      </c>
      <c r="I232" s="306">
        <f>+IF($H232=I$2,VLOOKUP($G232,Depreciation!$A$14:$L$18,7,FALSE)/2,IF($H232&lt;I$2,VLOOKUP($G232,Depreciation!$A$14:$L$18,7,FALSE),0))</f>
        <v>1.221703683566912E-2</v>
      </c>
      <c r="J232" s="306">
        <f>+IF($H232=J$2,VLOOKUP($G232,Depreciation!$A$14:$L$18,8,FALSE)/2,IF($H232&lt;J$2,VLOOKUP($G232,Depreciation!$A$14:$L$18,8,FALSE),0))</f>
        <v>2.4632450501084719E-2</v>
      </c>
      <c r="K232" s="306">
        <f>+IF($H232=K$2,VLOOKUP($G232,Depreciation!$A$14:$L$18,9,FALSE)/2,IF($H232&lt;K$2,VLOOKUP($G232,Depreciation!$A$14:$L$18,9,FALSE),0))</f>
        <v>2.4351536427798831E-2</v>
      </c>
      <c r="L232" s="306">
        <f>+IF($H232=L$2,VLOOKUP($G232,Depreciation!$A$14:$L$18,10,FALSE)/2,IF($H232&lt;L$2,VLOOKUP($G232,Depreciation!$A$14:$L$18,10,FALSE),0))</f>
        <v>2.4351536427798831E-2</v>
      </c>
      <c r="M232" s="306">
        <f>+IF($H232=M$2,VLOOKUP($G232,Depreciation!$A$14:$L$18,11,FALSE)/2,IF($H232&lt;M$2,VLOOKUP($G232,Depreciation!$A$14:$L$18,11,FALSE),0))</f>
        <v>2.4351536427798831E-2</v>
      </c>
      <c r="N232" s="306">
        <f>+IF($H232=N$2,VLOOKUP($G232,Depreciation!$A$14:$L$18,12,FALSE)/2,IF($H232&lt;N$2,VLOOKUP($G232,Depreciation!$A$14:$L$18,12,FALSE),0))</f>
        <v>2.4351536427798831E-2</v>
      </c>
      <c r="O232" s="307">
        <f t="shared" si="26"/>
        <v>28919878.380759094</v>
      </c>
      <c r="P232" s="732">
        <f>'Func Future Subs 2015'!P232</f>
        <v>0</v>
      </c>
      <c r="Q232" s="732">
        <f>'Func Future Subs 2015'!Q232</f>
        <v>0</v>
      </c>
      <c r="R232" s="732">
        <f>'Func Future Subs 2015'!R232</f>
        <v>1</v>
      </c>
      <c r="S232" s="735">
        <f t="shared" si="27"/>
        <v>0</v>
      </c>
      <c r="T232" s="735">
        <f t="shared" si="28"/>
        <v>0</v>
      </c>
      <c r="U232" s="735">
        <f t="shared" si="29"/>
        <v>28919878.380759094</v>
      </c>
      <c r="V232" s="736">
        <f t="shared" si="30"/>
        <v>0</v>
      </c>
      <c r="W232" s="735">
        <f t="shared" si="31"/>
        <v>0</v>
      </c>
      <c r="X232" s="737">
        <f t="shared" si="32"/>
        <v>28919878.380759094</v>
      </c>
      <c r="Y232" s="738">
        <f t="shared" si="33"/>
        <v>0</v>
      </c>
    </row>
    <row r="233" spans="1:25">
      <c r="A233" s="754" t="str">
        <f>'Func Future Subs 2015'!A233</f>
        <v>Dover Substation 888S_180</v>
      </c>
      <c r="B233" s="754">
        <f>'Func Future Subs 2015'!B233</f>
        <v>1267</v>
      </c>
      <c r="C233" s="754">
        <f>'Func Future Subs 2015'!C233</f>
        <v>240</v>
      </c>
      <c r="D233" s="754">
        <f>'Func Future Subs 2015'!D233</f>
        <v>240</v>
      </c>
      <c r="E233" s="754" t="str">
        <f>'Func Future Subs 2015'!E233</f>
        <v>888S</v>
      </c>
      <c r="F233" s="754">
        <f>'Func Future Subs 2015'!F233</f>
        <v>362081.23436601309</v>
      </c>
      <c r="G233" s="754" t="str">
        <f>'Func Future Subs 2015'!G233</f>
        <v>ATCO</v>
      </c>
      <c r="H233" s="754">
        <f>'Func Future Subs 2015'!H233</f>
        <v>2015</v>
      </c>
      <c r="I233" s="306">
        <f>+IF($H233=I$2,VLOOKUP($G233,Depreciation!$A$14:$L$18,7,FALSE)/2,IF($H233&lt;I$2,VLOOKUP($G233,Depreciation!$A$14:$L$18,7,FALSE),0))</f>
        <v>1.221703683566912E-2</v>
      </c>
      <c r="J233" s="306">
        <f>+IF($H233=J$2,VLOOKUP($G233,Depreciation!$A$14:$L$18,8,FALSE)/2,IF($H233&lt;J$2,VLOOKUP($G233,Depreciation!$A$14:$L$18,8,FALSE),0))</f>
        <v>2.4632450501084719E-2</v>
      </c>
      <c r="K233" s="306">
        <f>+IF($H233=K$2,VLOOKUP($G233,Depreciation!$A$14:$L$18,9,FALSE)/2,IF($H233&lt;K$2,VLOOKUP($G233,Depreciation!$A$14:$L$18,9,FALSE),0))</f>
        <v>2.4351536427798831E-2</v>
      </c>
      <c r="L233" s="306">
        <f>+IF($H233=L$2,VLOOKUP($G233,Depreciation!$A$14:$L$18,10,FALSE)/2,IF($H233&lt;L$2,VLOOKUP($G233,Depreciation!$A$14:$L$18,10,FALSE),0))</f>
        <v>2.4351536427798831E-2</v>
      </c>
      <c r="M233" s="306">
        <f>+IF($H233=M$2,VLOOKUP($G233,Depreciation!$A$14:$L$18,11,FALSE)/2,IF($H233&lt;M$2,VLOOKUP($G233,Depreciation!$A$14:$L$18,11,FALSE),0))</f>
        <v>2.4351536427798831E-2</v>
      </c>
      <c r="N233" s="306">
        <f>+IF($H233=N$2,VLOOKUP($G233,Depreciation!$A$14:$L$18,12,FALSE)/2,IF($H233&lt;N$2,VLOOKUP($G233,Depreciation!$A$14:$L$18,12,FALSE),0))</f>
        <v>2.4351536427798831E-2</v>
      </c>
      <c r="O233" s="307">
        <f t="shared" si="26"/>
        <v>348847.6896226306</v>
      </c>
      <c r="P233" s="732">
        <f>'Func Future Subs 2015'!P233</f>
        <v>0</v>
      </c>
      <c r="Q233" s="732">
        <f>'Func Future Subs 2015'!Q233</f>
        <v>0</v>
      </c>
      <c r="R233" s="732">
        <f>'Func Future Subs 2015'!R233</f>
        <v>1</v>
      </c>
      <c r="S233" s="735">
        <f t="shared" si="27"/>
        <v>0</v>
      </c>
      <c r="T233" s="735">
        <f t="shared" si="28"/>
        <v>0</v>
      </c>
      <c r="U233" s="735">
        <f t="shared" si="29"/>
        <v>348847.6896226306</v>
      </c>
      <c r="V233" s="736">
        <f t="shared" si="30"/>
        <v>0</v>
      </c>
      <c r="W233" s="735">
        <f t="shared" si="31"/>
        <v>348847.6896226306</v>
      </c>
      <c r="X233" s="737">
        <f t="shared" si="32"/>
        <v>0</v>
      </c>
      <c r="Y233" s="738">
        <f t="shared" si="33"/>
        <v>0</v>
      </c>
    </row>
    <row r="234" spans="1:25">
      <c r="A234" s="754" t="str">
        <f>'Func Future Subs 2015'!A234</f>
        <v>Gregoire Substation 883S_180</v>
      </c>
      <c r="B234" s="754">
        <f>'Func Future Subs 2015'!B234</f>
        <v>1267</v>
      </c>
      <c r="C234" s="754">
        <f>'Func Future Subs 2015'!C234</f>
        <v>138</v>
      </c>
      <c r="D234" s="754">
        <f>'Func Future Subs 2015'!D234</f>
        <v>25</v>
      </c>
      <c r="E234" s="754" t="str">
        <f>'Func Future Subs 2015'!E234</f>
        <v>883S</v>
      </c>
      <c r="F234" s="754">
        <f>'Func Future Subs 2015'!F234</f>
        <v>89644.273802190583</v>
      </c>
      <c r="G234" s="754" t="str">
        <f>'Func Future Subs 2015'!G234</f>
        <v>ATCO</v>
      </c>
      <c r="H234" s="754">
        <f>'Func Future Subs 2015'!H234</f>
        <v>2015</v>
      </c>
      <c r="I234" s="306">
        <f>+IF($H234=I$2,VLOOKUP($G234,Depreciation!$A$14:$L$18,7,FALSE)/2,IF($H234&lt;I$2,VLOOKUP($G234,Depreciation!$A$14:$L$18,7,FALSE),0))</f>
        <v>1.221703683566912E-2</v>
      </c>
      <c r="J234" s="306">
        <f>+IF($H234=J$2,VLOOKUP($G234,Depreciation!$A$14:$L$18,8,FALSE)/2,IF($H234&lt;J$2,VLOOKUP($G234,Depreciation!$A$14:$L$18,8,FALSE),0))</f>
        <v>2.4632450501084719E-2</v>
      </c>
      <c r="K234" s="306">
        <f>+IF($H234=K$2,VLOOKUP($G234,Depreciation!$A$14:$L$18,9,FALSE)/2,IF($H234&lt;K$2,VLOOKUP($G234,Depreciation!$A$14:$L$18,9,FALSE),0))</f>
        <v>2.4351536427798831E-2</v>
      </c>
      <c r="L234" s="306">
        <f>+IF($H234=L$2,VLOOKUP($G234,Depreciation!$A$14:$L$18,10,FALSE)/2,IF($H234&lt;L$2,VLOOKUP($G234,Depreciation!$A$14:$L$18,10,FALSE),0))</f>
        <v>2.4351536427798831E-2</v>
      </c>
      <c r="M234" s="306">
        <f>+IF($H234=M$2,VLOOKUP($G234,Depreciation!$A$14:$L$18,11,FALSE)/2,IF($H234&lt;M$2,VLOOKUP($G234,Depreciation!$A$14:$L$18,11,FALSE),0))</f>
        <v>2.4351536427798831E-2</v>
      </c>
      <c r="N234" s="306">
        <f>+IF($H234=N$2,VLOOKUP($G234,Depreciation!$A$14:$L$18,12,FALSE)/2,IF($H234&lt;N$2,VLOOKUP($G234,Depreciation!$A$14:$L$18,12,FALSE),0))</f>
        <v>2.4351536427798831E-2</v>
      </c>
      <c r="O234" s="307">
        <f t="shared" si="26"/>
        <v>86367.905419204661</v>
      </c>
      <c r="P234" s="732">
        <f>'Func Future Subs 2015'!P234</f>
        <v>0</v>
      </c>
      <c r="Q234" s="732">
        <f>'Func Future Subs 2015'!Q234</f>
        <v>1</v>
      </c>
      <c r="R234" s="732">
        <f>'Func Future Subs 2015'!R234</f>
        <v>0</v>
      </c>
      <c r="S234" s="735">
        <f t="shared" si="27"/>
        <v>0</v>
      </c>
      <c r="T234" s="735">
        <f t="shared" si="28"/>
        <v>86367.905419204661</v>
      </c>
      <c r="U234" s="735">
        <f t="shared" si="29"/>
        <v>0</v>
      </c>
      <c r="V234" s="736">
        <f t="shared" si="30"/>
        <v>0</v>
      </c>
      <c r="W234" s="735">
        <f t="shared" si="31"/>
        <v>0</v>
      </c>
      <c r="X234" s="737">
        <f t="shared" si="32"/>
        <v>0</v>
      </c>
      <c r="Y234" s="738">
        <f t="shared" si="33"/>
        <v>86367.905419204661</v>
      </c>
    </row>
    <row r="235" spans="1:25">
      <c r="A235" s="754" t="str">
        <f>'Func Future Subs 2015'!A235</f>
        <v>Hangingston Substation 820S_180</v>
      </c>
      <c r="B235" s="754">
        <f>'Func Future Subs 2015'!B235</f>
        <v>1267</v>
      </c>
      <c r="C235" s="754">
        <f>'Func Future Subs 2015'!C235</f>
        <v>138</v>
      </c>
      <c r="D235" s="754">
        <f>'Func Future Subs 2015'!D235</f>
        <v>25</v>
      </c>
      <c r="E235" s="754" t="str">
        <f>'Func Future Subs 2015'!E235</f>
        <v>820S</v>
      </c>
      <c r="F235" s="754">
        <f>'Func Future Subs 2015'!F235</f>
        <v>147566.79268526638</v>
      </c>
      <c r="G235" s="754" t="str">
        <f>'Func Future Subs 2015'!G235</f>
        <v>ATCO</v>
      </c>
      <c r="H235" s="754">
        <f>'Func Future Subs 2015'!H235</f>
        <v>2015</v>
      </c>
      <c r="I235" s="306">
        <f>+IF($H235=I$2,VLOOKUP($G235,Depreciation!$A$14:$L$18,7,FALSE)/2,IF($H235&lt;I$2,VLOOKUP($G235,Depreciation!$A$14:$L$18,7,FALSE),0))</f>
        <v>1.221703683566912E-2</v>
      </c>
      <c r="J235" s="306">
        <f>+IF($H235=J$2,VLOOKUP($G235,Depreciation!$A$14:$L$18,8,FALSE)/2,IF($H235&lt;J$2,VLOOKUP($G235,Depreciation!$A$14:$L$18,8,FALSE),0))</f>
        <v>2.4632450501084719E-2</v>
      </c>
      <c r="K235" s="306">
        <f>+IF($H235=K$2,VLOOKUP($G235,Depreciation!$A$14:$L$18,9,FALSE)/2,IF($H235&lt;K$2,VLOOKUP($G235,Depreciation!$A$14:$L$18,9,FALSE),0))</f>
        <v>2.4351536427798831E-2</v>
      </c>
      <c r="L235" s="306">
        <f>+IF($H235=L$2,VLOOKUP($G235,Depreciation!$A$14:$L$18,10,FALSE)/2,IF($H235&lt;L$2,VLOOKUP($G235,Depreciation!$A$14:$L$18,10,FALSE),0))</f>
        <v>2.4351536427798831E-2</v>
      </c>
      <c r="M235" s="306">
        <f>+IF($H235=M$2,VLOOKUP($G235,Depreciation!$A$14:$L$18,11,FALSE)/2,IF($H235&lt;M$2,VLOOKUP($G235,Depreciation!$A$14:$L$18,11,FALSE),0))</f>
        <v>2.4351536427798831E-2</v>
      </c>
      <c r="N235" s="306">
        <f>+IF($H235=N$2,VLOOKUP($G235,Depreciation!$A$14:$L$18,12,FALSE)/2,IF($H235&lt;N$2,VLOOKUP($G235,Depreciation!$A$14:$L$18,12,FALSE),0))</f>
        <v>2.4351536427798831E-2</v>
      </c>
      <c r="O235" s="307">
        <f t="shared" si="26"/>
        <v>142173.44012155998</v>
      </c>
      <c r="P235" s="732">
        <f>'Func Future Subs 2015'!P235</f>
        <v>0</v>
      </c>
      <c r="Q235" s="732">
        <f>'Func Future Subs 2015'!Q235</f>
        <v>1</v>
      </c>
      <c r="R235" s="732">
        <f>'Func Future Subs 2015'!R235</f>
        <v>0</v>
      </c>
      <c r="S235" s="735">
        <f t="shared" si="27"/>
        <v>0</v>
      </c>
      <c r="T235" s="735">
        <f t="shared" si="28"/>
        <v>142173.44012155998</v>
      </c>
      <c r="U235" s="735">
        <f t="shared" si="29"/>
        <v>0</v>
      </c>
      <c r="V235" s="736">
        <f t="shared" si="30"/>
        <v>0</v>
      </c>
      <c r="W235" s="735">
        <f t="shared" si="31"/>
        <v>0</v>
      </c>
      <c r="X235" s="737">
        <f t="shared" si="32"/>
        <v>0</v>
      </c>
      <c r="Y235" s="738">
        <f t="shared" si="33"/>
        <v>142173.44012155998</v>
      </c>
    </row>
    <row r="236" spans="1:25">
      <c r="A236" s="754" t="str">
        <f>'Func Future Subs 2015'!A236</f>
        <v>MacMillan Substation 885S_180</v>
      </c>
      <c r="B236" s="754">
        <f>'Func Future Subs 2015'!B236</f>
        <v>1267</v>
      </c>
      <c r="C236" s="754">
        <f>'Func Future Subs 2015'!C236</f>
        <v>240</v>
      </c>
      <c r="D236" s="754">
        <f>'Func Future Subs 2015'!D236</f>
        <v>144</v>
      </c>
      <c r="E236" s="754" t="str">
        <f>'Func Future Subs 2015'!E236</f>
        <v>885S</v>
      </c>
      <c r="F236" s="754">
        <f>'Func Future Subs 2015'!F236</f>
        <v>143610.55197275945</v>
      </c>
      <c r="G236" s="754" t="str">
        <f>'Func Future Subs 2015'!G236</f>
        <v>ATCO</v>
      </c>
      <c r="H236" s="754">
        <f>'Func Future Subs 2015'!H236</f>
        <v>2015</v>
      </c>
      <c r="I236" s="306">
        <f>+IF($H236=I$2,VLOOKUP($G236,Depreciation!$A$14:$L$18,7,FALSE)/2,IF($H236&lt;I$2,VLOOKUP($G236,Depreciation!$A$14:$L$18,7,FALSE),0))</f>
        <v>1.221703683566912E-2</v>
      </c>
      <c r="J236" s="306">
        <f>+IF($H236=J$2,VLOOKUP($G236,Depreciation!$A$14:$L$18,8,FALSE)/2,IF($H236&lt;J$2,VLOOKUP($G236,Depreciation!$A$14:$L$18,8,FALSE),0))</f>
        <v>2.4632450501084719E-2</v>
      </c>
      <c r="K236" s="306">
        <f>+IF($H236=K$2,VLOOKUP($G236,Depreciation!$A$14:$L$18,9,FALSE)/2,IF($H236&lt;K$2,VLOOKUP($G236,Depreciation!$A$14:$L$18,9,FALSE),0))</f>
        <v>2.4351536427798831E-2</v>
      </c>
      <c r="L236" s="306">
        <f>+IF($H236=L$2,VLOOKUP($G236,Depreciation!$A$14:$L$18,10,FALSE)/2,IF($H236&lt;L$2,VLOOKUP($G236,Depreciation!$A$14:$L$18,10,FALSE),0))</f>
        <v>2.4351536427798831E-2</v>
      </c>
      <c r="M236" s="306">
        <f>+IF($H236=M$2,VLOOKUP($G236,Depreciation!$A$14:$L$18,11,FALSE)/2,IF($H236&lt;M$2,VLOOKUP($G236,Depreciation!$A$14:$L$18,11,FALSE),0))</f>
        <v>2.4351536427798831E-2</v>
      </c>
      <c r="N236" s="306">
        <f>+IF($H236=N$2,VLOOKUP($G236,Depreciation!$A$14:$L$18,12,FALSE)/2,IF($H236&lt;N$2,VLOOKUP($G236,Depreciation!$A$14:$L$18,12,FALSE),0))</f>
        <v>2.4351536427798831E-2</v>
      </c>
      <c r="O236" s="307">
        <f t="shared" si="26"/>
        <v>138361.79427759469</v>
      </c>
      <c r="P236" s="732">
        <f>'Func Future Subs 2015'!P236</f>
        <v>0</v>
      </c>
      <c r="Q236" s="732">
        <f>'Func Future Subs 2015'!Q236</f>
        <v>0</v>
      </c>
      <c r="R236" s="732">
        <f>'Func Future Subs 2015'!R236</f>
        <v>1</v>
      </c>
      <c r="S236" s="735">
        <f t="shared" si="27"/>
        <v>0</v>
      </c>
      <c r="T236" s="735">
        <f t="shared" si="28"/>
        <v>0</v>
      </c>
      <c r="U236" s="735">
        <f t="shared" si="29"/>
        <v>138361.79427759469</v>
      </c>
      <c r="V236" s="736">
        <f t="shared" si="30"/>
        <v>0</v>
      </c>
      <c r="W236" s="735">
        <f t="shared" si="31"/>
        <v>0</v>
      </c>
      <c r="X236" s="737">
        <f t="shared" si="32"/>
        <v>138361.79427759469</v>
      </c>
      <c r="Y236" s="738">
        <f t="shared" si="33"/>
        <v>0</v>
      </c>
    </row>
    <row r="237" spans="1:25">
      <c r="A237" s="754" t="str">
        <f>'Func Future Subs 2015'!A237</f>
        <v>Edwards Lake 189S preferred</v>
      </c>
      <c r="B237" s="754">
        <f>'Func Future Subs 2015'!B237</f>
        <v>1287</v>
      </c>
      <c r="C237" s="754">
        <f>'Func Future Subs 2015'!C237</f>
        <v>240</v>
      </c>
      <c r="D237" s="754">
        <f>'Func Future Subs 2015'!D237</f>
        <v>25</v>
      </c>
      <c r="E237" s="754" t="str">
        <f>'Func Future Subs 2015'!E237</f>
        <v>189S</v>
      </c>
      <c r="F237" s="754">
        <f>'Func Future Subs 2015'!F237</f>
        <v>36842122.514386363</v>
      </c>
      <c r="G237" s="754" t="str">
        <f>'Func Future Subs 2015'!G237</f>
        <v>AltaLink</v>
      </c>
      <c r="H237" s="754">
        <f>'Func Future Subs 2015'!H237</f>
        <v>2019</v>
      </c>
      <c r="I237" s="306">
        <f>+IF($H237=I$2,VLOOKUP($G237,Depreciation!$A$14:$L$18,7,FALSE)/2,IF($H237&lt;I$2,VLOOKUP($G237,Depreciation!$A$14:$L$18,7,FALSE),0))</f>
        <v>0</v>
      </c>
      <c r="J237" s="306">
        <f>+IF($H237=J$2,VLOOKUP($G237,Depreciation!$A$14:$L$18,8,FALSE)/2,IF($H237&lt;J$2,VLOOKUP($G237,Depreciation!$A$14:$L$18,8,FALSE),0))</f>
        <v>0</v>
      </c>
      <c r="K237" s="306">
        <f>+IF($H237=K$2,VLOOKUP($G237,Depreciation!$A$14:$L$18,9,FALSE)/2,IF($H237&lt;K$2,VLOOKUP($G237,Depreciation!$A$14:$L$18,9,FALSE),0))</f>
        <v>0</v>
      </c>
      <c r="L237" s="306">
        <f>+IF($H237=L$2,VLOOKUP($G237,Depreciation!$A$14:$L$18,10,FALSE)/2,IF($H237&lt;L$2,VLOOKUP($G237,Depreciation!$A$14:$L$18,10,FALSE),0))</f>
        <v>0</v>
      </c>
      <c r="M237" s="306">
        <f>+IF($H237=M$2,VLOOKUP($G237,Depreciation!$A$14:$L$18,11,FALSE)/2,IF($H237&lt;M$2,VLOOKUP($G237,Depreciation!$A$14:$L$18,11,FALSE),0))</f>
        <v>1.671703928371859E-2</v>
      </c>
      <c r="N237" s="306">
        <f>+IF($H237=N$2,VLOOKUP($G237,Depreciation!$A$14:$L$18,12,FALSE)/2,IF($H237&lt;N$2,VLOOKUP($G237,Depreciation!$A$14:$L$18,12,FALSE),0))</f>
        <v>3.343407856743718E-2</v>
      </c>
      <c r="O237" s="307">
        <f t="shared" si="26"/>
        <v>0</v>
      </c>
      <c r="P237" s="732">
        <f>'Func Future Subs 2015'!P237</f>
        <v>0</v>
      </c>
      <c r="Q237" s="732">
        <f>'Func Future Subs 2015'!Q237</f>
        <v>0</v>
      </c>
      <c r="R237" s="732">
        <f>'Func Future Subs 2015'!R237</f>
        <v>1</v>
      </c>
      <c r="S237" s="735">
        <f t="shared" si="27"/>
        <v>0</v>
      </c>
      <c r="T237" s="735">
        <f t="shared" si="28"/>
        <v>0</v>
      </c>
      <c r="U237" s="735">
        <f t="shared" si="29"/>
        <v>0</v>
      </c>
      <c r="V237" s="736">
        <f t="shared" si="30"/>
        <v>0</v>
      </c>
      <c r="W237" s="735">
        <f t="shared" si="31"/>
        <v>0</v>
      </c>
      <c r="X237" s="737">
        <f t="shared" si="32"/>
        <v>0</v>
      </c>
      <c r="Y237" s="738">
        <f t="shared" si="33"/>
        <v>0</v>
      </c>
    </row>
    <row r="238" spans="1:25">
      <c r="A238" s="754" t="str">
        <f>'Func Future Subs 2015'!A238</f>
        <v>Heart Lake 898S</v>
      </c>
      <c r="B238" s="754">
        <f>'Func Future Subs 2015'!B238</f>
        <v>1287</v>
      </c>
      <c r="C238" s="754">
        <f>'Func Future Subs 2015'!C238</f>
        <v>240</v>
      </c>
      <c r="D238" s="754">
        <f>'Func Future Subs 2015'!D238</f>
        <v>144</v>
      </c>
      <c r="E238" s="754" t="str">
        <f>'Func Future Subs 2015'!E238</f>
        <v>898S</v>
      </c>
      <c r="F238" s="754">
        <f>'Func Future Subs 2015'!F238</f>
        <v>267302.36990519403</v>
      </c>
      <c r="G238" s="754" t="str">
        <f>'Func Future Subs 2015'!G238</f>
        <v>ATCO</v>
      </c>
      <c r="H238" s="754">
        <f>'Func Future Subs 2015'!H238</f>
        <v>2019</v>
      </c>
      <c r="I238" s="306">
        <f>+IF($H238=I$2,VLOOKUP($G238,Depreciation!$A$14:$L$18,7,FALSE)/2,IF($H238&lt;I$2,VLOOKUP($G238,Depreciation!$A$14:$L$18,7,FALSE),0))</f>
        <v>0</v>
      </c>
      <c r="J238" s="306">
        <f>+IF($H238=J$2,VLOOKUP($G238,Depreciation!$A$14:$L$18,8,FALSE)/2,IF($H238&lt;J$2,VLOOKUP($G238,Depreciation!$A$14:$L$18,8,FALSE),0))</f>
        <v>0</v>
      </c>
      <c r="K238" s="306">
        <f>+IF($H238=K$2,VLOOKUP($G238,Depreciation!$A$14:$L$18,9,FALSE)/2,IF($H238&lt;K$2,VLOOKUP($G238,Depreciation!$A$14:$L$18,9,FALSE),0))</f>
        <v>0</v>
      </c>
      <c r="L238" s="306">
        <f>+IF($H238=L$2,VLOOKUP($G238,Depreciation!$A$14:$L$18,10,FALSE)/2,IF($H238&lt;L$2,VLOOKUP($G238,Depreciation!$A$14:$L$18,10,FALSE),0))</f>
        <v>0</v>
      </c>
      <c r="M238" s="306">
        <f>+IF($H238=M$2,VLOOKUP($G238,Depreciation!$A$14:$L$18,11,FALSE)/2,IF($H238&lt;M$2,VLOOKUP($G238,Depreciation!$A$14:$L$18,11,FALSE),0))</f>
        <v>1.2175768213899416E-2</v>
      </c>
      <c r="N238" s="306">
        <f>+IF($H238=N$2,VLOOKUP($G238,Depreciation!$A$14:$L$18,12,FALSE)/2,IF($H238&lt;N$2,VLOOKUP($G238,Depreciation!$A$14:$L$18,12,FALSE),0))</f>
        <v>2.4351536427798831E-2</v>
      </c>
      <c r="O238" s="307">
        <f t="shared" si="26"/>
        <v>0</v>
      </c>
      <c r="P238" s="732">
        <f>'Func Future Subs 2015'!P238</f>
        <v>0</v>
      </c>
      <c r="Q238" s="732">
        <f>'Func Future Subs 2015'!Q238</f>
        <v>0</v>
      </c>
      <c r="R238" s="732">
        <f>'Func Future Subs 2015'!R238</f>
        <v>1</v>
      </c>
      <c r="S238" s="735">
        <f t="shared" si="27"/>
        <v>0</v>
      </c>
      <c r="T238" s="735">
        <f t="shared" si="28"/>
        <v>0</v>
      </c>
      <c r="U238" s="735">
        <f t="shared" si="29"/>
        <v>0</v>
      </c>
      <c r="V238" s="736">
        <f t="shared" si="30"/>
        <v>0</v>
      </c>
      <c r="W238" s="735">
        <f t="shared" si="31"/>
        <v>0</v>
      </c>
      <c r="X238" s="737">
        <f t="shared" si="32"/>
        <v>0</v>
      </c>
      <c r="Y238" s="738">
        <f t="shared" si="33"/>
        <v>0</v>
      </c>
    </row>
    <row r="239" spans="1:25">
      <c r="A239" s="754" t="str">
        <f>'Func Future Subs 2015'!A239</f>
        <v>Deerland 13S substation</v>
      </c>
      <c r="B239" s="754">
        <f>'Func Future Subs 2015'!B239</f>
        <v>1289</v>
      </c>
      <c r="C239" s="754">
        <f>'Func Future Subs 2015'!C239</f>
        <v>138</v>
      </c>
      <c r="D239" s="754">
        <f>'Func Future Subs 2015'!D239</f>
        <v>138</v>
      </c>
      <c r="E239" s="754" t="str">
        <f>'Func Future Subs 2015'!E239</f>
        <v>13S</v>
      </c>
      <c r="F239" s="754">
        <f>'Func Future Subs 2015'!F239</f>
        <v>3106833.197389883</v>
      </c>
      <c r="G239" s="754" t="str">
        <f>'Func Future Subs 2015'!G239</f>
        <v>AltaLink</v>
      </c>
      <c r="H239" s="754">
        <f>'Func Future Subs 2015'!H239</f>
        <v>2017</v>
      </c>
      <c r="I239" s="306">
        <f>+IF($H239=I$2,VLOOKUP($G239,Depreciation!$A$14:$L$18,7,FALSE)/2,IF($H239&lt;I$2,VLOOKUP($G239,Depreciation!$A$14:$L$18,7,FALSE),0))</f>
        <v>0</v>
      </c>
      <c r="J239" s="306">
        <f>+IF($H239=J$2,VLOOKUP($G239,Depreciation!$A$14:$L$18,8,FALSE)/2,IF($H239&lt;J$2,VLOOKUP($G239,Depreciation!$A$14:$L$18,8,FALSE),0))</f>
        <v>0</v>
      </c>
      <c r="K239" s="306">
        <f>+IF($H239=K$2,VLOOKUP($G239,Depreciation!$A$14:$L$18,9,FALSE)/2,IF($H239&lt;K$2,VLOOKUP($G239,Depreciation!$A$14:$L$18,9,FALSE),0))</f>
        <v>1.671703928371859E-2</v>
      </c>
      <c r="L239" s="306">
        <f>+IF($H239=L$2,VLOOKUP($G239,Depreciation!$A$14:$L$18,10,FALSE)/2,IF($H239&lt;L$2,VLOOKUP($G239,Depreciation!$A$14:$L$18,10,FALSE),0))</f>
        <v>3.343407856743718E-2</v>
      </c>
      <c r="M239" s="306">
        <f>+IF($H239=M$2,VLOOKUP($G239,Depreciation!$A$14:$L$18,11,FALSE)/2,IF($H239&lt;M$2,VLOOKUP($G239,Depreciation!$A$14:$L$18,11,FALSE),0))</f>
        <v>3.343407856743718E-2</v>
      </c>
      <c r="N239" s="306">
        <f>+IF($H239=N$2,VLOOKUP($G239,Depreciation!$A$14:$L$18,12,FALSE)/2,IF($H239&lt;N$2,VLOOKUP($G239,Depreciation!$A$14:$L$18,12,FALSE),0))</f>
        <v>3.343407856743718E-2</v>
      </c>
      <c r="O239" s="307">
        <f t="shared" si="26"/>
        <v>0</v>
      </c>
      <c r="P239" s="732">
        <f>'Func Future Subs 2015'!P239</f>
        <v>0</v>
      </c>
      <c r="Q239" s="732">
        <f>'Func Future Subs 2015'!Q239</f>
        <v>0</v>
      </c>
      <c r="R239" s="732">
        <f>'Func Future Subs 2015'!R239</f>
        <v>1</v>
      </c>
      <c r="S239" s="735">
        <f t="shared" si="27"/>
        <v>0</v>
      </c>
      <c r="T239" s="735">
        <f t="shared" si="28"/>
        <v>0</v>
      </c>
      <c r="U239" s="735">
        <f t="shared" si="29"/>
        <v>0</v>
      </c>
      <c r="V239" s="736">
        <f t="shared" si="30"/>
        <v>0</v>
      </c>
      <c r="W239" s="735">
        <f t="shared" si="31"/>
        <v>0</v>
      </c>
      <c r="X239" s="737">
        <f t="shared" si="32"/>
        <v>0</v>
      </c>
      <c r="Y239" s="738">
        <f t="shared" si="33"/>
        <v>0</v>
      </c>
    </row>
    <row r="240" spans="1:25">
      <c r="A240" s="754" t="str">
        <f>'Func Future Subs 2015'!A240</f>
        <v>New Whitetail Peaking Station 976S(part of scope)</v>
      </c>
      <c r="B240" s="754">
        <f>'Func Future Subs 2015'!B240</f>
        <v>1290</v>
      </c>
      <c r="C240" s="754">
        <f>'Func Future Subs 2015'!C240</f>
        <v>144</v>
      </c>
      <c r="D240" s="754">
        <f>'Func Future Subs 2015'!D240</f>
        <v>144</v>
      </c>
      <c r="E240" s="754" t="str">
        <f>'Func Future Subs 2015'!E240</f>
        <v>976S</v>
      </c>
      <c r="F240" s="754">
        <f>'Func Future Subs 2015'!F240</f>
        <v>561275.46753523592</v>
      </c>
      <c r="G240" s="754" t="str">
        <f>'Func Future Subs 2015'!G240</f>
        <v>ATCO</v>
      </c>
      <c r="H240" s="754">
        <f>'Func Future Subs 2015'!H240</f>
        <v>2018</v>
      </c>
      <c r="I240" s="306">
        <f>+IF($H240=I$2,VLOOKUP($G240,Depreciation!$A$14:$L$18,7,FALSE)/2,IF($H240&lt;I$2,VLOOKUP($G240,Depreciation!$A$14:$L$18,7,FALSE),0))</f>
        <v>0</v>
      </c>
      <c r="J240" s="306">
        <f>+IF($H240=J$2,VLOOKUP($G240,Depreciation!$A$14:$L$18,8,FALSE)/2,IF($H240&lt;J$2,VLOOKUP($G240,Depreciation!$A$14:$L$18,8,FALSE),0))</f>
        <v>0</v>
      </c>
      <c r="K240" s="306">
        <f>+IF($H240=K$2,VLOOKUP($G240,Depreciation!$A$14:$L$18,9,FALSE)/2,IF($H240&lt;K$2,VLOOKUP($G240,Depreciation!$A$14:$L$18,9,FALSE),0))</f>
        <v>0</v>
      </c>
      <c r="L240" s="306">
        <f>+IF($H240=L$2,VLOOKUP($G240,Depreciation!$A$14:$L$18,10,FALSE)/2,IF($H240&lt;L$2,VLOOKUP($G240,Depreciation!$A$14:$L$18,10,FALSE),0))</f>
        <v>1.2175768213899416E-2</v>
      </c>
      <c r="M240" s="306">
        <f>+IF($H240=M$2,VLOOKUP($G240,Depreciation!$A$14:$L$18,11,FALSE)/2,IF($H240&lt;M$2,VLOOKUP($G240,Depreciation!$A$14:$L$18,11,FALSE),0))</f>
        <v>2.4351536427798831E-2</v>
      </c>
      <c r="N240" s="306">
        <f>+IF($H240=N$2,VLOOKUP($G240,Depreciation!$A$14:$L$18,12,FALSE)/2,IF($H240&lt;N$2,VLOOKUP($G240,Depreciation!$A$14:$L$18,12,FALSE),0))</f>
        <v>2.4351536427798831E-2</v>
      </c>
      <c r="O240" s="307">
        <f t="shared" si="26"/>
        <v>0</v>
      </c>
      <c r="P240" s="732">
        <f>'Func Future Subs 2015'!P240</f>
        <v>0</v>
      </c>
      <c r="Q240" s="732">
        <f>'Func Future Subs 2015'!Q240</f>
        <v>0</v>
      </c>
      <c r="R240" s="732">
        <f>'Func Future Subs 2015'!R240</f>
        <v>1</v>
      </c>
      <c r="S240" s="735">
        <f t="shared" si="27"/>
        <v>0</v>
      </c>
      <c r="T240" s="735">
        <f t="shared" si="28"/>
        <v>0</v>
      </c>
      <c r="U240" s="735">
        <f t="shared" si="29"/>
        <v>0</v>
      </c>
      <c r="V240" s="736">
        <f t="shared" si="30"/>
        <v>0</v>
      </c>
      <c r="W240" s="735">
        <f t="shared" si="31"/>
        <v>0</v>
      </c>
      <c r="X240" s="737">
        <f t="shared" si="32"/>
        <v>0</v>
      </c>
      <c r="Y240" s="738">
        <f t="shared" si="33"/>
        <v>0</v>
      </c>
    </row>
    <row r="241" spans="1:25">
      <c r="A241" s="754" t="str">
        <f>'Func Future Subs 2015'!A241</f>
        <v>[Final]659S substation</v>
      </c>
      <c r="B241" s="754">
        <f>'Func Future Subs 2015'!B241</f>
        <v>1294</v>
      </c>
      <c r="C241" s="754">
        <f>'Func Future Subs 2015'!C241</f>
        <v>69</v>
      </c>
      <c r="D241" s="754">
        <f>'Func Future Subs 2015'!D241</f>
        <v>25</v>
      </c>
      <c r="E241" s="754" t="str">
        <f>'Func Future Subs 2015'!E241</f>
        <v>659S</v>
      </c>
      <c r="F241" s="754">
        <f>'Func Future Subs 2015'!F241</f>
        <v>4433924</v>
      </c>
      <c r="G241" s="754" t="str">
        <f>'Func Future Subs 2015'!G241</f>
        <v>AltaLink</v>
      </c>
      <c r="H241" s="754">
        <f>'Func Future Subs 2015'!H241</f>
        <v>2015</v>
      </c>
      <c r="I241" s="306">
        <f>+IF($H241=I$2,VLOOKUP($G241,Depreciation!$A$14:$L$18,7,FALSE)/2,IF($H241&lt;I$2,VLOOKUP($G241,Depreciation!$A$14:$L$18,7,FALSE),0))</f>
        <v>1.7228380322441735E-2</v>
      </c>
      <c r="J241" s="306">
        <f>+IF($H241=J$2,VLOOKUP($G241,Depreciation!$A$14:$L$18,8,FALSE)/2,IF($H241&lt;J$2,VLOOKUP($G241,Depreciation!$A$14:$L$18,8,FALSE),0))</f>
        <v>3.343407856743718E-2</v>
      </c>
      <c r="K241" s="306">
        <f>+IF($H241=K$2,VLOOKUP($G241,Depreciation!$A$14:$L$18,9,FALSE)/2,IF($H241&lt;K$2,VLOOKUP($G241,Depreciation!$A$14:$L$18,9,FALSE),0))</f>
        <v>3.343407856743718E-2</v>
      </c>
      <c r="L241" s="306">
        <f>+IF($H241=L$2,VLOOKUP($G241,Depreciation!$A$14:$L$18,10,FALSE)/2,IF($H241&lt;L$2,VLOOKUP($G241,Depreciation!$A$14:$L$18,10,FALSE),0))</f>
        <v>3.343407856743718E-2</v>
      </c>
      <c r="M241" s="306">
        <f>+IF($H241=M$2,VLOOKUP($G241,Depreciation!$A$14:$L$18,11,FALSE)/2,IF($H241&lt;M$2,VLOOKUP($G241,Depreciation!$A$14:$L$18,11,FALSE),0))</f>
        <v>3.343407856743718E-2</v>
      </c>
      <c r="N241" s="306">
        <f>+IF($H241=N$2,VLOOKUP($G241,Depreciation!$A$14:$L$18,12,FALSE)/2,IF($H241&lt;N$2,VLOOKUP($G241,Depreciation!$A$14:$L$18,12,FALSE),0))</f>
        <v>3.343407856743718E-2</v>
      </c>
      <c r="O241" s="307">
        <f t="shared" si="26"/>
        <v>4211844.5144564109</v>
      </c>
      <c r="P241" s="732">
        <f>'Func Future Subs 2015'!P241</f>
        <v>0.54090909090909089</v>
      </c>
      <c r="Q241" s="732">
        <f>'Func Future Subs 2015'!Q241</f>
        <v>0.45909090909090905</v>
      </c>
      <c r="R241" s="732">
        <f>'Func Future Subs 2015'!R241</f>
        <v>0</v>
      </c>
      <c r="S241" s="735">
        <f t="shared" si="27"/>
        <v>2278224.9873650586</v>
      </c>
      <c r="T241" s="735">
        <f t="shared" si="28"/>
        <v>1933619.527091352</v>
      </c>
      <c r="U241" s="735">
        <f t="shared" si="29"/>
        <v>0</v>
      </c>
      <c r="V241" s="736">
        <f t="shared" si="30"/>
        <v>0</v>
      </c>
      <c r="W241" s="735">
        <f t="shared" si="31"/>
        <v>2278224.9873650586</v>
      </c>
      <c r="X241" s="737">
        <f t="shared" si="32"/>
        <v>0</v>
      </c>
      <c r="Y241" s="738">
        <f t="shared" si="33"/>
        <v>1933619.527091352</v>
      </c>
    </row>
    <row r="242" spans="1:25">
      <c r="A242" s="754" t="str">
        <f>'Func Future Subs 2015'!A242</f>
        <v>659S substation</v>
      </c>
      <c r="B242" s="754">
        <f>'Func Future Subs 2015'!B242</f>
        <v>1294</v>
      </c>
      <c r="C242" s="754">
        <f>'Func Future Subs 2015'!C242</f>
        <v>69</v>
      </c>
      <c r="D242" s="754">
        <f>'Func Future Subs 2015'!D242</f>
        <v>25</v>
      </c>
      <c r="E242" s="754" t="str">
        <f>'Func Future Subs 2015'!E242</f>
        <v>659S</v>
      </c>
      <c r="F242" s="754">
        <f>'Func Future Subs 2015'!F242</f>
        <v>5633000.0000000028</v>
      </c>
      <c r="G242" s="754" t="str">
        <f>'Func Future Subs 2015'!G242</f>
        <v>AltaLink</v>
      </c>
      <c r="H242" s="754">
        <f>'Func Future Subs 2015'!H242</f>
        <v>2015</v>
      </c>
      <c r="I242" s="306">
        <f>+IF($H242=I$2,VLOOKUP($G242,Depreciation!$A$14:$L$18,7,FALSE)/2,IF($H242&lt;I$2,VLOOKUP($G242,Depreciation!$A$14:$L$18,7,FALSE),0))</f>
        <v>1.7228380322441735E-2</v>
      </c>
      <c r="J242" s="306">
        <f>+IF($H242=J$2,VLOOKUP($G242,Depreciation!$A$14:$L$18,8,FALSE)/2,IF($H242&lt;J$2,VLOOKUP($G242,Depreciation!$A$14:$L$18,8,FALSE),0))</f>
        <v>3.343407856743718E-2</v>
      </c>
      <c r="K242" s="306">
        <f>+IF($H242=K$2,VLOOKUP($G242,Depreciation!$A$14:$L$18,9,FALSE)/2,IF($H242&lt;K$2,VLOOKUP($G242,Depreciation!$A$14:$L$18,9,FALSE),0))</f>
        <v>3.343407856743718E-2</v>
      </c>
      <c r="L242" s="306">
        <f>+IF($H242=L$2,VLOOKUP($G242,Depreciation!$A$14:$L$18,10,FALSE)/2,IF($H242&lt;L$2,VLOOKUP($G242,Depreciation!$A$14:$L$18,10,FALSE),0))</f>
        <v>3.343407856743718E-2</v>
      </c>
      <c r="M242" s="306">
        <f>+IF($H242=M$2,VLOOKUP($G242,Depreciation!$A$14:$L$18,11,FALSE)/2,IF($H242&lt;M$2,VLOOKUP($G242,Depreciation!$A$14:$L$18,11,FALSE),0))</f>
        <v>3.343407856743718E-2</v>
      </c>
      <c r="N242" s="306">
        <f>+IF($H242=N$2,VLOOKUP($G242,Depreciation!$A$14:$L$18,12,FALSE)/2,IF($H242&lt;N$2,VLOOKUP($G242,Depreciation!$A$14:$L$18,12,FALSE),0))</f>
        <v>3.343407856743718E-2</v>
      </c>
      <c r="O242" s="307">
        <f t="shared" si="26"/>
        <v>5350863.0616882425</v>
      </c>
      <c r="P242" s="732">
        <f>'Func Future Subs 2015'!P242</f>
        <v>0.54090909090909089</v>
      </c>
      <c r="Q242" s="732">
        <f>'Func Future Subs 2015'!Q242</f>
        <v>0.45909090909090905</v>
      </c>
      <c r="R242" s="732">
        <f>'Func Future Subs 2015'!R242</f>
        <v>0</v>
      </c>
      <c r="S242" s="735">
        <f t="shared" si="27"/>
        <v>2894330.4742768221</v>
      </c>
      <c r="T242" s="735">
        <f t="shared" si="28"/>
        <v>2456532.5874114204</v>
      </c>
      <c r="U242" s="735">
        <f t="shared" si="29"/>
        <v>0</v>
      </c>
      <c r="V242" s="736">
        <f t="shared" si="30"/>
        <v>0</v>
      </c>
      <c r="W242" s="735">
        <f t="shared" si="31"/>
        <v>2894330.4742768221</v>
      </c>
      <c r="X242" s="737">
        <f t="shared" si="32"/>
        <v>0</v>
      </c>
      <c r="Y242" s="738">
        <f t="shared" si="33"/>
        <v>2456532.5874114204</v>
      </c>
    </row>
    <row r="243" spans="1:25">
      <c r="A243" s="754" t="str">
        <f>'Func Future Subs 2015'!A243</f>
        <v>162SS</v>
      </c>
      <c r="B243" s="754">
        <f>'Func Future Subs 2015'!B243</f>
        <v>1314</v>
      </c>
      <c r="C243" s="754">
        <f>'Func Future Subs 2015'!C243</f>
        <v>138</v>
      </c>
      <c r="D243" s="754">
        <f>'Func Future Subs 2015'!D243</f>
        <v>0</v>
      </c>
      <c r="E243" s="754" t="str">
        <f>'Func Future Subs 2015'!E243</f>
        <v>162SS</v>
      </c>
      <c r="F243" s="754">
        <f>'Func Future Subs 2015'!F243</f>
        <v>16742409.726119097</v>
      </c>
      <c r="G243" s="754" t="str">
        <f>'Func Future Subs 2015'!G243</f>
        <v>ENMAX</v>
      </c>
      <c r="H243" s="754">
        <f>'Func Future Subs 2015'!H243</f>
        <v>2015</v>
      </c>
      <c r="I243" s="306">
        <f>+IF($H243=I$2,VLOOKUP($G243,Depreciation!$A$14:$L$18,7,FALSE)/2,IF($H243&lt;I$2,VLOOKUP($G243,Depreciation!$A$14:$L$18,7,FALSE),0))</f>
        <v>1.3928409269726289E-2</v>
      </c>
      <c r="J243" s="306">
        <f>+IF($H243=J$2,VLOOKUP($G243,Depreciation!$A$14:$L$18,8,FALSE)/2,IF($H243&lt;J$2,VLOOKUP($G243,Depreciation!$A$14:$L$18,8,FALSE),0))</f>
        <v>2.7856818539452578E-2</v>
      </c>
      <c r="K243" s="306">
        <f>+IF($H243=K$2,VLOOKUP($G243,Depreciation!$A$14:$L$18,9,FALSE)/2,IF($H243&lt;K$2,VLOOKUP($G243,Depreciation!$A$14:$L$18,9,FALSE),0))</f>
        <v>2.7856818539452578E-2</v>
      </c>
      <c r="L243" s="306">
        <f>+IF($H243=L$2,VLOOKUP($G243,Depreciation!$A$14:$L$18,10,FALSE)/2,IF($H243&lt;L$2,VLOOKUP($G243,Depreciation!$A$14:$L$18,10,FALSE),0))</f>
        <v>2.7856818539452578E-2</v>
      </c>
      <c r="M243" s="306">
        <f>+IF($H243=M$2,VLOOKUP($G243,Depreciation!$A$14:$L$18,11,FALSE)/2,IF($H243&lt;M$2,VLOOKUP($G243,Depreciation!$A$14:$L$18,11,FALSE),0))</f>
        <v>2.7856818539452578E-2</v>
      </c>
      <c r="N243" s="306">
        <f>+IF($H243=N$2,VLOOKUP($G243,Depreciation!$A$14:$L$18,12,FALSE)/2,IF($H243&lt;N$2,VLOOKUP($G243,Depreciation!$A$14:$L$18,12,FALSE),0))</f>
        <v>2.7856818539452578E-2</v>
      </c>
      <c r="O243" s="307">
        <f t="shared" si="26"/>
        <v>16049320.396193754</v>
      </c>
      <c r="P243" s="732">
        <f>'Func Future Subs 2015'!P243</f>
        <v>0</v>
      </c>
      <c r="Q243" s="732">
        <f>'Func Future Subs 2015'!Q243</f>
        <v>0</v>
      </c>
      <c r="R243" s="732">
        <f>'Func Future Subs 2015'!R243</f>
        <v>1</v>
      </c>
      <c r="S243" s="735">
        <f t="shared" si="27"/>
        <v>0</v>
      </c>
      <c r="T243" s="735">
        <f t="shared" si="28"/>
        <v>0</v>
      </c>
      <c r="U243" s="735">
        <f t="shared" si="29"/>
        <v>16049320.396193754</v>
      </c>
      <c r="V243" s="736">
        <f t="shared" si="30"/>
        <v>16049320.396193754</v>
      </c>
      <c r="W243" s="735">
        <f t="shared" si="31"/>
        <v>0</v>
      </c>
      <c r="X243" s="737">
        <f t="shared" si="32"/>
        <v>0</v>
      </c>
      <c r="Y243" s="738">
        <f t="shared" si="33"/>
        <v>0</v>
      </c>
    </row>
    <row r="244" spans="1:25">
      <c r="A244" s="754" t="str">
        <f>'Func Future Subs 2015'!A244</f>
        <v>Monitor 774S</v>
      </c>
      <c r="B244" s="754">
        <f>'Func Future Subs 2015'!B244</f>
        <v>1319</v>
      </c>
      <c r="C244" s="754">
        <f>'Func Future Subs 2015'!C244</f>
        <v>138</v>
      </c>
      <c r="D244" s="754">
        <f>'Func Future Subs 2015'!D244</f>
        <v>25</v>
      </c>
      <c r="E244" s="754" t="str">
        <f>'Func Future Subs 2015'!E244</f>
        <v>774S</v>
      </c>
      <c r="F244" s="754">
        <f>'Func Future Subs 2015'!F244</f>
        <v>3798763.0000000009</v>
      </c>
      <c r="G244" s="754" t="str">
        <f>'Func Future Subs 2015'!G244</f>
        <v>ATCO</v>
      </c>
      <c r="H244" s="754">
        <f>'Func Future Subs 2015'!H244</f>
        <v>2015</v>
      </c>
      <c r="I244" s="306">
        <f>+IF($H244=I$2,VLOOKUP($G244,Depreciation!$A$14:$L$18,7,FALSE)/2,IF($H244&lt;I$2,VLOOKUP($G244,Depreciation!$A$14:$L$18,7,FALSE),0))</f>
        <v>1.221703683566912E-2</v>
      </c>
      <c r="J244" s="306">
        <f>+IF($H244=J$2,VLOOKUP($G244,Depreciation!$A$14:$L$18,8,FALSE)/2,IF($H244&lt;J$2,VLOOKUP($G244,Depreciation!$A$14:$L$18,8,FALSE),0))</f>
        <v>2.4632450501084719E-2</v>
      </c>
      <c r="K244" s="306">
        <f>+IF($H244=K$2,VLOOKUP($G244,Depreciation!$A$14:$L$18,9,FALSE)/2,IF($H244&lt;K$2,VLOOKUP($G244,Depreciation!$A$14:$L$18,9,FALSE),0))</f>
        <v>2.4351536427798831E-2</v>
      </c>
      <c r="L244" s="306">
        <f>+IF($H244=L$2,VLOOKUP($G244,Depreciation!$A$14:$L$18,10,FALSE)/2,IF($H244&lt;L$2,VLOOKUP($G244,Depreciation!$A$14:$L$18,10,FALSE),0))</f>
        <v>2.4351536427798831E-2</v>
      </c>
      <c r="M244" s="306">
        <f>+IF($H244=M$2,VLOOKUP($G244,Depreciation!$A$14:$L$18,11,FALSE)/2,IF($H244&lt;M$2,VLOOKUP($G244,Depreciation!$A$14:$L$18,11,FALSE),0))</f>
        <v>2.4351536427798831E-2</v>
      </c>
      <c r="N244" s="306">
        <f>+IF($H244=N$2,VLOOKUP($G244,Depreciation!$A$14:$L$18,12,FALSE)/2,IF($H244&lt;N$2,VLOOKUP($G244,Depreciation!$A$14:$L$18,12,FALSE),0))</f>
        <v>2.4351536427798831E-2</v>
      </c>
      <c r="O244" s="307">
        <f t="shared" si="26"/>
        <v>3659923.7137883632</v>
      </c>
      <c r="P244" s="732">
        <f>'Func Future Subs 2015'!P244</f>
        <v>0</v>
      </c>
      <c r="Q244" s="732">
        <f>'Func Future Subs 2015'!Q244</f>
        <v>1</v>
      </c>
      <c r="R244" s="732">
        <f>'Func Future Subs 2015'!R244</f>
        <v>0</v>
      </c>
      <c r="S244" s="735">
        <f t="shared" si="27"/>
        <v>0</v>
      </c>
      <c r="T244" s="735">
        <f t="shared" si="28"/>
        <v>3659923.7137883632</v>
      </c>
      <c r="U244" s="735">
        <f t="shared" si="29"/>
        <v>0</v>
      </c>
      <c r="V244" s="736">
        <f t="shared" si="30"/>
        <v>0</v>
      </c>
      <c r="W244" s="735">
        <f t="shared" si="31"/>
        <v>0</v>
      </c>
      <c r="X244" s="737">
        <f t="shared" si="32"/>
        <v>0</v>
      </c>
      <c r="Y244" s="738">
        <f t="shared" si="33"/>
        <v>3659923.7137883632</v>
      </c>
    </row>
    <row r="245" spans="1:25">
      <c r="A245" s="754" t="str">
        <f>'Func Future Subs 2015'!A245</f>
        <v>Brintnell</v>
      </c>
      <c r="B245" s="754">
        <f>'Func Future Subs 2015'!B245</f>
        <v>1321</v>
      </c>
      <c r="C245" s="754">
        <f>'Func Future Subs 2015'!C245</f>
        <v>138</v>
      </c>
      <c r="D245" s="754">
        <f>'Func Future Subs 2015'!D245</f>
        <v>0</v>
      </c>
      <c r="E245" s="754">
        <f>'Func Future Subs 2015'!E245</f>
        <v>0</v>
      </c>
      <c r="F245" s="754">
        <f>'Func Future Subs 2015'!F245</f>
        <v>51372.123717071459</v>
      </c>
      <c r="G245" s="754" t="str">
        <f>'Func Future Subs 2015'!G245</f>
        <v>ATCO</v>
      </c>
      <c r="H245" s="754">
        <f>'Func Future Subs 2015'!H245</f>
        <v>2017</v>
      </c>
      <c r="I245" s="306">
        <f>+IF($H245=I$2,VLOOKUP($G245,Depreciation!$A$14:$L$18,7,FALSE)/2,IF($H245&lt;I$2,VLOOKUP($G245,Depreciation!$A$14:$L$18,7,FALSE),0))</f>
        <v>0</v>
      </c>
      <c r="J245" s="306">
        <f>+IF($H245=J$2,VLOOKUP($G245,Depreciation!$A$14:$L$18,8,FALSE)/2,IF($H245&lt;J$2,VLOOKUP($G245,Depreciation!$A$14:$L$18,8,FALSE),0))</f>
        <v>0</v>
      </c>
      <c r="K245" s="306">
        <f>+IF($H245=K$2,VLOOKUP($G245,Depreciation!$A$14:$L$18,9,FALSE)/2,IF($H245&lt;K$2,VLOOKUP($G245,Depreciation!$A$14:$L$18,9,FALSE),0))</f>
        <v>1.2175768213899416E-2</v>
      </c>
      <c r="L245" s="306">
        <f>+IF($H245=L$2,VLOOKUP($G245,Depreciation!$A$14:$L$18,10,FALSE)/2,IF($H245&lt;L$2,VLOOKUP($G245,Depreciation!$A$14:$L$18,10,FALSE),0))</f>
        <v>2.4351536427798831E-2</v>
      </c>
      <c r="M245" s="306">
        <f>+IF($H245=M$2,VLOOKUP($G245,Depreciation!$A$14:$L$18,11,FALSE)/2,IF($H245&lt;M$2,VLOOKUP($G245,Depreciation!$A$14:$L$18,11,FALSE),0))</f>
        <v>2.4351536427798831E-2</v>
      </c>
      <c r="N245" s="306">
        <f>+IF($H245=N$2,VLOOKUP($G245,Depreciation!$A$14:$L$18,12,FALSE)/2,IF($H245&lt;N$2,VLOOKUP($G245,Depreciation!$A$14:$L$18,12,FALSE),0))</f>
        <v>2.4351536427798831E-2</v>
      </c>
      <c r="O245" s="307">
        <f t="shared" si="26"/>
        <v>0</v>
      </c>
      <c r="P245" s="732">
        <f>'Func Future Subs 2015'!P245</f>
        <v>0</v>
      </c>
      <c r="Q245" s="732">
        <f>'Func Future Subs 2015'!Q245</f>
        <v>0</v>
      </c>
      <c r="R245" s="732">
        <f>'Func Future Subs 2015'!R245</f>
        <v>1</v>
      </c>
      <c r="S245" s="735">
        <f t="shared" si="27"/>
        <v>0</v>
      </c>
      <c r="T245" s="735">
        <f t="shared" si="28"/>
        <v>0</v>
      </c>
      <c r="U245" s="735">
        <f t="shared" si="29"/>
        <v>0</v>
      </c>
      <c r="V245" s="736">
        <f t="shared" si="30"/>
        <v>0</v>
      </c>
      <c r="W245" s="735">
        <f t="shared" si="31"/>
        <v>0</v>
      </c>
      <c r="X245" s="737">
        <f t="shared" si="32"/>
        <v>0</v>
      </c>
      <c r="Y245" s="738">
        <f t="shared" si="33"/>
        <v>0</v>
      </c>
    </row>
    <row r="246" spans="1:25">
      <c r="A246" s="754" t="str">
        <f>'Func Future Subs 2015'!A246</f>
        <v>Little Smoky 813S</v>
      </c>
      <c r="B246" s="754">
        <f>'Func Future Subs 2015'!B246</f>
        <v>1321</v>
      </c>
      <c r="C246" s="754">
        <f>'Func Future Subs 2015'!C246</f>
        <v>240</v>
      </c>
      <c r="D246" s="754">
        <f>'Func Future Subs 2015'!D246</f>
        <v>138</v>
      </c>
      <c r="E246" s="754" t="str">
        <f>'Func Future Subs 2015'!E246</f>
        <v>813S</v>
      </c>
      <c r="F246" s="754">
        <f>'Func Future Subs 2015'!F246</f>
        <v>71234.874916216097</v>
      </c>
      <c r="G246" s="754" t="str">
        <f>'Func Future Subs 2015'!G246</f>
        <v>ATCO</v>
      </c>
      <c r="H246" s="754">
        <f>'Func Future Subs 2015'!H246</f>
        <v>2017</v>
      </c>
      <c r="I246" s="306">
        <f>+IF($H246=I$2,VLOOKUP($G246,Depreciation!$A$14:$L$18,7,FALSE)/2,IF($H246&lt;I$2,VLOOKUP($G246,Depreciation!$A$14:$L$18,7,FALSE),0))</f>
        <v>0</v>
      </c>
      <c r="J246" s="306">
        <f>+IF($H246=J$2,VLOOKUP($G246,Depreciation!$A$14:$L$18,8,FALSE)/2,IF($H246&lt;J$2,VLOOKUP($G246,Depreciation!$A$14:$L$18,8,FALSE),0))</f>
        <v>0</v>
      </c>
      <c r="K246" s="306">
        <f>+IF($H246=K$2,VLOOKUP($G246,Depreciation!$A$14:$L$18,9,FALSE)/2,IF($H246&lt;K$2,VLOOKUP($G246,Depreciation!$A$14:$L$18,9,FALSE),0))</f>
        <v>1.2175768213899416E-2</v>
      </c>
      <c r="L246" s="306">
        <f>+IF($H246=L$2,VLOOKUP($G246,Depreciation!$A$14:$L$18,10,FALSE)/2,IF($H246&lt;L$2,VLOOKUP($G246,Depreciation!$A$14:$L$18,10,FALSE),0))</f>
        <v>2.4351536427798831E-2</v>
      </c>
      <c r="M246" s="306">
        <f>+IF($H246=M$2,VLOOKUP($G246,Depreciation!$A$14:$L$18,11,FALSE)/2,IF($H246&lt;M$2,VLOOKUP($G246,Depreciation!$A$14:$L$18,11,FALSE),0))</f>
        <v>2.4351536427798831E-2</v>
      </c>
      <c r="N246" s="306">
        <f>+IF($H246=N$2,VLOOKUP($G246,Depreciation!$A$14:$L$18,12,FALSE)/2,IF($H246&lt;N$2,VLOOKUP($G246,Depreciation!$A$14:$L$18,12,FALSE),0))</f>
        <v>2.4351536427798831E-2</v>
      </c>
      <c r="O246" s="307">
        <f t="shared" si="26"/>
        <v>0</v>
      </c>
      <c r="P246" s="732">
        <f>'Func Future Subs 2015'!P246</f>
        <v>0</v>
      </c>
      <c r="Q246" s="732">
        <f>'Func Future Subs 2015'!Q246</f>
        <v>0</v>
      </c>
      <c r="R246" s="732">
        <f>'Func Future Subs 2015'!R246</f>
        <v>1</v>
      </c>
      <c r="S246" s="735">
        <f t="shared" si="27"/>
        <v>0</v>
      </c>
      <c r="T246" s="735">
        <f t="shared" si="28"/>
        <v>0</v>
      </c>
      <c r="U246" s="735">
        <f t="shared" si="29"/>
        <v>0</v>
      </c>
      <c r="V246" s="736">
        <f t="shared" si="30"/>
        <v>0</v>
      </c>
      <c r="W246" s="735">
        <f t="shared" si="31"/>
        <v>0</v>
      </c>
      <c r="X246" s="737">
        <f t="shared" si="32"/>
        <v>0</v>
      </c>
      <c r="Y246" s="738">
        <f t="shared" si="33"/>
        <v>0</v>
      </c>
    </row>
    <row r="247" spans="1:25">
      <c r="A247" s="754" t="str">
        <f>'Func Future Subs 2015'!A247</f>
        <v>Louise Creek 809S</v>
      </c>
      <c r="B247" s="754">
        <f>'Func Future Subs 2015'!B247</f>
        <v>1321</v>
      </c>
      <c r="C247" s="754">
        <f>'Func Future Subs 2015'!C247</f>
        <v>240</v>
      </c>
      <c r="D247" s="754">
        <f>'Func Future Subs 2015'!D247</f>
        <v>144</v>
      </c>
      <c r="E247" s="754" t="str">
        <f>'Func Future Subs 2015'!E247</f>
        <v>809S</v>
      </c>
      <c r="F247" s="754">
        <f>'Func Future Subs 2015'!F247</f>
        <v>67376.674391001157</v>
      </c>
      <c r="G247" s="754" t="str">
        <f>'Func Future Subs 2015'!G247</f>
        <v>ATCO</v>
      </c>
      <c r="H247" s="754">
        <f>'Func Future Subs 2015'!H247</f>
        <v>2017</v>
      </c>
      <c r="I247" s="306">
        <f>+IF($H247=I$2,VLOOKUP($G247,Depreciation!$A$14:$L$18,7,FALSE)/2,IF($H247&lt;I$2,VLOOKUP($G247,Depreciation!$A$14:$L$18,7,FALSE),0))</f>
        <v>0</v>
      </c>
      <c r="J247" s="306">
        <f>+IF($H247=J$2,VLOOKUP($G247,Depreciation!$A$14:$L$18,8,FALSE)/2,IF($H247&lt;J$2,VLOOKUP($G247,Depreciation!$A$14:$L$18,8,FALSE),0))</f>
        <v>0</v>
      </c>
      <c r="K247" s="306">
        <f>+IF($H247=K$2,VLOOKUP($G247,Depreciation!$A$14:$L$18,9,FALSE)/2,IF($H247&lt;K$2,VLOOKUP($G247,Depreciation!$A$14:$L$18,9,FALSE),0))</f>
        <v>1.2175768213899416E-2</v>
      </c>
      <c r="L247" s="306">
        <f>+IF($H247=L$2,VLOOKUP($G247,Depreciation!$A$14:$L$18,10,FALSE)/2,IF($H247&lt;L$2,VLOOKUP($G247,Depreciation!$A$14:$L$18,10,FALSE),0))</f>
        <v>2.4351536427798831E-2</v>
      </c>
      <c r="M247" s="306">
        <f>+IF($H247=M$2,VLOOKUP($G247,Depreciation!$A$14:$L$18,11,FALSE)/2,IF($H247&lt;M$2,VLOOKUP($G247,Depreciation!$A$14:$L$18,11,FALSE),0))</f>
        <v>2.4351536427798831E-2</v>
      </c>
      <c r="N247" s="306">
        <f>+IF($H247=N$2,VLOOKUP($G247,Depreciation!$A$14:$L$18,12,FALSE)/2,IF($H247&lt;N$2,VLOOKUP($G247,Depreciation!$A$14:$L$18,12,FALSE),0))</f>
        <v>2.4351536427798831E-2</v>
      </c>
      <c r="O247" s="307">
        <f t="shared" si="26"/>
        <v>0</v>
      </c>
      <c r="P247" s="732">
        <f>'Func Future Subs 2015'!P247</f>
        <v>0</v>
      </c>
      <c r="Q247" s="732">
        <f>'Func Future Subs 2015'!Q247</f>
        <v>0</v>
      </c>
      <c r="R247" s="732">
        <f>'Func Future Subs 2015'!R247</f>
        <v>1</v>
      </c>
      <c r="S247" s="735">
        <f t="shared" si="27"/>
        <v>0</v>
      </c>
      <c r="T247" s="735">
        <f t="shared" si="28"/>
        <v>0</v>
      </c>
      <c r="U247" s="735">
        <f t="shared" si="29"/>
        <v>0</v>
      </c>
      <c r="V247" s="736">
        <f t="shared" si="30"/>
        <v>0</v>
      </c>
      <c r="W247" s="735">
        <f t="shared" si="31"/>
        <v>0</v>
      </c>
      <c r="X247" s="737">
        <f t="shared" si="32"/>
        <v>0</v>
      </c>
      <c r="Y247" s="738">
        <f t="shared" si="33"/>
        <v>0</v>
      </c>
    </row>
    <row r="248" spans="1:25">
      <c r="A248" s="754" t="str">
        <f>'Func Future Subs 2015'!A248</f>
        <v>Wesley 834S Substation</v>
      </c>
      <c r="B248" s="754">
        <f>'Func Future Subs 2015'!B248</f>
        <v>1321</v>
      </c>
      <c r="C248" s="754">
        <f>'Func Future Subs 2015'!C248</f>
        <v>240</v>
      </c>
      <c r="D248" s="754">
        <f>'Func Future Subs 2015'!D248</f>
        <v>144</v>
      </c>
      <c r="E248" s="754" t="str">
        <f>'Func Future Subs 2015'!E248</f>
        <v>834S</v>
      </c>
      <c r="F248" s="754">
        <f>'Func Future Subs 2015'!F248</f>
        <v>6851820.2017634856</v>
      </c>
      <c r="G248" s="754" t="str">
        <f>'Func Future Subs 2015'!G248</f>
        <v>ATCO</v>
      </c>
      <c r="H248" s="754">
        <f>'Func Future Subs 2015'!H248</f>
        <v>2017</v>
      </c>
      <c r="I248" s="306">
        <f>+IF($H248=I$2,VLOOKUP($G248,Depreciation!$A$14:$L$18,7,FALSE)/2,IF($H248&lt;I$2,VLOOKUP($G248,Depreciation!$A$14:$L$18,7,FALSE),0))</f>
        <v>0</v>
      </c>
      <c r="J248" s="306">
        <f>+IF($H248=J$2,VLOOKUP($G248,Depreciation!$A$14:$L$18,8,FALSE)/2,IF($H248&lt;J$2,VLOOKUP($G248,Depreciation!$A$14:$L$18,8,FALSE),0))</f>
        <v>0</v>
      </c>
      <c r="K248" s="306">
        <f>+IF($H248=K$2,VLOOKUP($G248,Depreciation!$A$14:$L$18,9,FALSE)/2,IF($H248&lt;K$2,VLOOKUP($G248,Depreciation!$A$14:$L$18,9,FALSE),0))</f>
        <v>1.2175768213899416E-2</v>
      </c>
      <c r="L248" s="306">
        <f>+IF($H248=L$2,VLOOKUP($G248,Depreciation!$A$14:$L$18,10,FALSE)/2,IF($H248&lt;L$2,VLOOKUP($G248,Depreciation!$A$14:$L$18,10,FALSE),0))</f>
        <v>2.4351536427798831E-2</v>
      </c>
      <c r="M248" s="306">
        <f>+IF($H248=M$2,VLOOKUP($G248,Depreciation!$A$14:$L$18,11,FALSE)/2,IF($H248&lt;M$2,VLOOKUP($G248,Depreciation!$A$14:$L$18,11,FALSE),0))</f>
        <v>2.4351536427798831E-2</v>
      </c>
      <c r="N248" s="306">
        <f>+IF($H248=N$2,VLOOKUP($G248,Depreciation!$A$14:$L$18,12,FALSE)/2,IF($H248&lt;N$2,VLOOKUP($G248,Depreciation!$A$14:$L$18,12,FALSE),0))</f>
        <v>2.4351536427798831E-2</v>
      </c>
      <c r="O248" s="307">
        <f t="shared" si="26"/>
        <v>0</v>
      </c>
      <c r="P248" s="732">
        <f>'Func Future Subs 2015'!P248</f>
        <v>0</v>
      </c>
      <c r="Q248" s="732">
        <f>'Func Future Subs 2015'!Q248</f>
        <v>0</v>
      </c>
      <c r="R248" s="732">
        <f>'Func Future Subs 2015'!R248</f>
        <v>1</v>
      </c>
      <c r="S248" s="735">
        <f t="shared" si="27"/>
        <v>0</v>
      </c>
      <c r="T248" s="735">
        <f t="shared" si="28"/>
        <v>0</v>
      </c>
      <c r="U248" s="735">
        <f t="shared" si="29"/>
        <v>0</v>
      </c>
      <c r="V248" s="736">
        <f t="shared" si="30"/>
        <v>0</v>
      </c>
      <c r="W248" s="735">
        <f t="shared" si="31"/>
        <v>0</v>
      </c>
      <c r="X248" s="737">
        <f t="shared" si="32"/>
        <v>0</v>
      </c>
      <c r="Y248" s="738">
        <f t="shared" si="33"/>
        <v>0</v>
      </c>
    </row>
    <row r="249" spans="1:25">
      <c r="A249" s="754" t="str">
        <f>'Func Future Subs 2015'!A249</f>
        <v>West Pease A793S</v>
      </c>
      <c r="B249" s="754">
        <f>'Func Future Subs 2015'!B249</f>
        <v>1321</v>
      </c>
      <c r="C249" s="754">
        <f>'Func Future Subs 2015'!C249</f>
        <v>138</v>
      </c>
      <c r="D249" s="754">
        <f>'Func Future Subs 2015'!D249</f>
        <v>25</v>
      </c>
      <c r="E249" s="754" t="str">
        <f>'Func Future Subs 2015'!E249</f>
        <v>A793S</v>
      </c>
      <c r="F249" s="754">
        <f>'Func Future Subs 2015'!F249</f>
        <v>43376.462438149829</v>
      </c>
      <c r="G249" s="754" t="str">
        <f>'Func Future Subs 2015'!G249</f>
        <v>ATCO</v>
      </c>
      <c r="H249" s="754">
        <f>'Func Future Subs 2015'!H249</f>
        <v>2017</v>
      </c>
      <c r="I249" s="306">
        <f>+IF($H249=I$2,VLOOKUP($G249,Depreciation!$A$14:$L$18,7,FALSE)/2,IF($H249&lt;I$2,VLOOKUP($G249,Depreciation!$A$14:$L$18,7,FALSE),0))</f>
        <v>0</v>
      </c>
      <c r="J249" s="306">
        <f>+IF($H249=J$2,VLOOKUP($G249,Depreciation!$A$14:$L$18,8,FALSE)/2,IF($H249&lt;J$2,VLOOKUP($G249,Depreciation!$A$14:$L$18,8,FALSE),0))</f>
        <v>0</v>
      </c>
      <c r="K249" s="306">
        <f>+IF($H249=K$2,VLOOKUP($G249,Depreciation!$A$14:$L$18,9,FALSE)/2,IF($H249&lt;K$2,VLOOKUP($G249,Depreciation!$A$14:$L$18,9,FALSE),0))</f>
        <v>1.2175768213899416E-2</v>
      </c>
      <c r="L249" s="306">
        <f>+IF($H249=L$2,VLOOKUP($G249,Depreciation!$A$14:$L$18,10,FALSE)/2,IF($H249&lt;L$2,VLOOKUP($G249,Depreciation!$A$14:$L$18,10,FALSE),0))</f>
        <v>2.4351536427798831E-2</v>
      </c>
      <c r="M249" s="306">
        <f>+IF($H249=M$2,VLOOKUP($G249,Depreciation!$A$14:$L$18,11,FALSE)/2,IF($H249&lt;M$2,VLOOKUP($G249,Depreciation!$A$14:$L$18,11,FALSE),0))</f>
        <v>2.4351536427798831E-2</v>
      </c>
      <c r="N249" s="306">
        <f>+IF($H249=N$2,VLOOKUP($G249,Depreciation!$A$14:$L$18,12,FALSE)/2,IF($H249&lt;N$2,VLOOKUP($G249,Depreciation!$A$14:$L$18,12,FALSE),0))</f>
        <v>2.4351536427798831E-2</v>
      </c>
      <c r="O249" s="307">
        <f t="shared" si="26"/>
        <v>0</v>
      </c>
      <c r="P249" s="732">
        <f>'Func Future Subs 2015'!P249</f>
        <v>0</v>
      </c>
      <c r="Q249" s="732">
        <f>'Func Future Subs 2015'!Q249</f>
        <v>1</v>
      </c>
      <c r="R249" s="732">
        <f>'Func Future Subs 2015'!R249</f>
        <v>0</v>
      </c>
      <c r="S249" s="735">
        <f t="shared" si="27"/>
        <v>0</v>
      </c>
      <c r="T249" s="735">
        <f t="shared" si="28"/>
        <v>0</v>
      </c>
      <c r="U249" s="735">
        <f t="shared" si="29"/>
        <v>0</v>
      </c>
      <c r="V249" s="736">
        <f t="shared" si="30"/>
        <v>0</v>
      </c>
      <c r="W249" s="735">
        <f t="shared" si="31"/>
        <v>0</v>
      </c>
      <c r="X249" s="737">
        <f t="shared" si="32"/>
        <v>0</v>
      </c>
      <c r="Y249" s="738">
        <f t="shared" si="33"/>
        <v>0</v>
      </c>
    </row>
    <row r="250" spans="1:25">
      <c r="A250" s="754" t="str">
        <f>'Func Future Subs 2015'!A250</f>
        <v>Al Rothbauer 321S</v>
      </c>
      <c r="B250" s="754">
        <f>'Func Future Subs 2015'!B250</f>
        <v>1326</v>
      </c>
      <c r="C250" s="754">
        <f>'Func Future Subs 2015'!C250</f>
        <v>138</v>
      </c>
      <c r="D250" s="754">
        <f>'Func Future Subs 2015'!D250</f>
        <v>138</v>
      </c>
      <c r="E250" s="754" t="str">
        <f>'Func Future Subs 2015'!E250</f>
        <v>321S</v>
      </c>
      <c r="F250" s="754">
        <f>'Func Future Subs 2015'!F250</f>
        <v>6469865.2231551046</v>
      </c>
      <c r="G250" s="754" t="str">
        <f>'Func Future Subs 2015'!G250</f>
        <v>AltaLink</v>
      </c>
      <c r="H250" s="754">
        <f>'Func Future Subs 2015'!H250</f>
        <v>2017</v>
      </c>
      <c r="I250" s="306">
        <f>+IF($H250=I$2,VLOOKUP($G250,Depreciation!$A$14:$L$18,7,FALSE)/2,IF($H250&lt;I$2,VLOOKUP($G250,Depreciation!$A$14:$L$18,7,FALSE),0))</f>
        <v>0</v>
      </c>
      <c r="J250" s="306">
        <f>+IF($H250=J$2,VLOOKUP($G250,Depreciation!$A$14:$L$18,8,FALSE)/2,IF($H250&lt;J$2,VLOOKUP($G250,Depreciation!$A$14:$L$18,8,FALSE),0))</f>
        <v>0</v>
      </c>
      <c r="K250" s="306">
        <f>+IF($H250=K$2,VLOOKUP($G250,Depreciation!$A$14:$L$18,9,FALSE)/2,IF($H250&lt;K$2,VLOOKUP($G250,Depreciation!$A$14:$L$18,9,FALSE),0))</f>
        <v>1.671703928371859E-2</v>
      </c>
      <c r="L250" s="306">
        <f>+IF($H250=L$2,VLOOKUP($G250,Depreciation!$A$14:$L$18,10,FALSE)/2,IF($H250&lt;L$2,VLOOKUP($G250,Depreciation!$A$14:$L$18,10,FALSE),0))</f>
        <v>3.343407856743718E-2</v>
      </c>
      <c r="M250" s="306">
        <f>+IF($H250=M$2,VLOOKUP($G250,Depreciation!$A$14:$L$18,11,FALSE)/2,IF($H250&lt;M$2,VLOOKUP($G250,Depreciation!$A$14:$L$18,11,FALSE),0))</f>
        <v>3.343407856743718E-2</v>
      </c>
      <c r="N250" s="306">
        <f>+IF($H250=N$2,VLOOKUP($G250,Depreciation!$A$14:$L$18,12,FALSE)/2,IF($H250&lt;N$2,VLOOKUP($G250,Depreciation!$A$14:$L$18,12,FALSE),0))</f>
        <v>3.343407856743718E-2</v>
      </c>
      <c r="O250" s="307">
        <f t="shared" si="26"/>
        <v>0</v>
      </c>
      <c r="P250" s="732">
        <f>'Func Future Subs 2015'!P250</f>
        <v>0</v>
      </c>
      <c r="Q250" s="732">
        <f>'Func Future Subs 2015'!Q250</f>
        <v>0</v>
      </c>
      <c r="R250" s="732">
        <f>'Func Future Subs 2015'!R250</f>
        <v>1</v>
      </c>
      <c r="S250" s="735">
        <f t="shared" si="27"/>
        <v>0</v>
      </c>
      <c r="T250" s="735">
        <f t="shared" si="28"/>
        <v>0</v>
      </c>
      <c r="U250" s="735">
        <f t="shared" si="29"/>
        <v>0</v>
      </c>
      <c r="V250" s="736">
        <f t="shared" si="30"/>
        <v>0</v>
      </c>
      <c r="W250" s="735">
        <f t="shared" si="31"/>
        <v>0</v>
      </c>
      <c r="X250" s="737">
        <f t="shared" si="32"/>
        <v>0</v>
      </c>
      <c r="Y250" s="738">
        <f t="shared" si="33"/>
        <v>0</v>
      </c>
    </row>
    <row r="251" spans="1:25">
      <c r="A251" s="754" t="str">
        <f>'Func Future Subs 2015'!A251</f>
        <v>Bowmanton 244S</v>
      </c>
      <c r="B251" s="754">
        <f>'Func Future Subs 2015'!B251</f>
        <v>1326</v>
      </c>
      <c r="C251" s="754">
        <f>'Func Future Subs 2015'!C251</f>
        <v>240</v>
      </c>
      <c r="D251" s="754">
        <f>'Func Future Subs 2015'!D251</f>
        <v>138</v>
      </c>
      <c r="E251" s="754" t="str">
        <f>'Func Future Subs 2015'!E251</f>
        <v>244S</v>
      </c>
      <c r="F251" s="754">
        <f>'Func Future Subs 2015'!F251</f>
        <v>14949.624392399472</v>
      </c>
      <c r="G251" s="754" t="str">
        <f>'Func Future Subs 2015'!G251</f>
        <v>AltaLink</v>
      </c>
      <c r="H251" s="754">
        <f>'Func Future Subs 2015'!H251</f>
        <v>2017</v>
      </c>
      <c r="I251" s="306">
        <f>+IF($H251=I$2,VLOOKUP($G251,Depreciation!$A$14:$L$18,7,FALSE)/2,IF($H251&lt;I$2,VLOOKUP($G251,Depreciation!$A$14:$L$18,7,FALSE),0))</f>
        <v>0</v>
      </c>
      <c r="J251" s="306">
        <f>+IF($H251=J$2,VLOOKUP($G251,Depreciation!$A$14:$L$18,8,FALSE)/2,IF($H251&lt;J$2,VLOOKUP($G251,Depreciation!$A$14:$L$18,8,FALSE),0))</f>
        <v>0</v>
      </c>
      <c r="K251" s="306">
        <f>+IF($H251=K$2,VLOOKUP($G251,Depreciation!$A$14:$L$18,9,FALSE)/2,IF($H251&lt;K$2,VLOOKUP($G251,Depreciation!$A$14:$L$18,9,FALSE),0))</f>
        <v>1.671703928371859E-2</v>
      </c>
      <c r="L251" s="306">
        <f>+IF($H251=L$2,VLOOKUP($G251,Depreciation!$A$14:$L$18,10,FALSE)/2,IF($H251&lt;L$2,VLOOKUP($G251,Depreciation!$A$14:$L$18,10,FALSE),0))</f>
        <v>3.343407856743718E-2</v>
      </c>
      <c r="M251" s="306">
        <f>+IF($H251=M$2,VLOOKUP($G251,Depreciation!$A$14:$L$18,11,FALSE)/2,IF($H251&lt;M$2,VLOOKUP($G251,Depreciation!$A$14:$L$18,11,FALSE),0))</f>
        <v>3.343407856743718E-2</v>
      </c>
      <c r="N251" s="306">
        <f>+IF($H251=N$2,VLOOKUP($G251,Depreciation!$A$14:$L$18,12,FALSE)/2,IF($H251&lt;N$2,VLOOKUP($G251,Depreciation!$A$14:$L$18,12,FALSE),0))</f>
        <v>3.343407856743718E-2</v>
      </c>
      <c r="O251" s="307">
        <f t="shared" si="26"/>
        <v>0</v>
      </c>
      <c r="P251" s="732">
        <f>'Func Future Subs 2015'!P251</f>
        <v>0</v>
      </c>
      <c r="Q251" s="732">
        <f>'Func Future Subs 2015'!Q251</f>
        <v>0</v>
      </c>
      <c r="R251" s="732">
        <f>'Func Future Subs 2015'!R251</f>
        <v>1</v>
      </c>
      <c r="S251" s="735">
        <f t="shared" si="27"/>
        <v>0</v>
      </c>
      <c r="T251" s="735">
        <f t="shared" si="28"/>
        <v>0</v>
      </c>
      <c r="U251" s="735">
        <f t="shared" si="29"/>
        <v>0</v>
      </c>
      <c r="V251" s="736">
        <f t="shared" si="30"/>
        <v>0</v>
      </c>
      <c r="W251" s="735">
        <f t="shared" si="31"/>
        <v>0</v>
      </c>
      <c r="X251" s="737">
        <f t="shared" si="32"/>
        <v>0</v>
      </c>
      <c r="Y251" s="738">
        <f t="shared" si="33"/>
        <v>0</v>
      </c>
    </row>
    <row r="252" spans="1:25">
      <c r="A252" s="754" t="str">
        <f>'Func Future Subs 2015'!A252</f>
        <v>Bullhead 523S</v>
      </c>
      <c r="B252" s="754">
        <f>'Func Future Subs 2015'!B252</f>
        <v>1326</v>
      </c>
      <c r="C252" s="754">
        <f>'Func Future Subs 2015'!C252</f>
        <v>240</v>
      </c>
      <c r="D252" s="754">
        <f>'Func Future Subs 2015'!D252</f>
        <v>25</v>
      </c>
      <c r="E252" s="754" t="str">
        <f>'Func Future Subs 2015'!E252</f>
        <v>523S</v>
      </c>
      <c r="F252" s="754">
        <f>'Func Future Subs 2015'!F252</f>
        <v>116274.85638532921</v>
      </c>
      <c r="G252" s="754" t="str">
        <f>'Func Future Subs 2015'!G252</f>
        <v>AltaLink</v>
      </c>
      <c r="H252" s="754">
        <f>'Func Future Subs 2015'!H252</f>
        <v>2017</v>
      </c>
      <c r="I252" s="306">
        <f>+IF($H252=I$2,VLOOKUP($G252,Depreciation!$A$14:$L$18,7,FALSE)/2,IF($H252&lt;I$2,VLOOKUP($G252,Depreciation!$A$14:$L$18,7,FALSE),0))</f>
        <v>0</v>
      </c>
      <c r="J252" s="306">
        <f>+IF($H252=J$2,VLOOKUP($G252,Depreciation!$A$14:$L$18,8,FALSE)/2,IF($H252&lt;J$2,VLOOKUP($G252,Depreciation!$A$14:$L$18,8,FALSE),0))</f>
        <v>0</v>
      </c>
      <c r="K252" s="306">
        <f>+IF($H252=K$2,VLOOKUP($G252,Depreciation!$A$14:$L$18,9,FALSE)/2,IF($H252&lt;K$2,VLOOKUP($G252,Depreciation!$A$14:$L$18,9,FALSE),0))</f>
        <v>1.671703928371859E-2</v>
      </c>
      <c r="L252" s="306">
        <f>+IF($H252=L$2,VLOOKUP($G252,Depreciation!$A$14:$L$18,10,FALSE)/2,IF($H252&lt;L$2,VLOOKUP($G252,Depreciation!$A$14:$L$18,10,FALSE),0))</f>
        <v>3.343407856743718E-2</v>
      </c>
      <c r="M252" s="306">
        <f>+IF($H252=M$2,VLOOKUP($G252,Depreciation!$A$14:$L$18,11,FALSE)/2,IF($H252&lt;M$2,VLOOKUP($G252,Depreciation!$A$14:$L$18,11,FALSE),0))</f>
        <v>3.343407856743718E-2</v>
      </c>
      <c r="N252" s="306">
        <f>+IF($H252=N$2,VLOOKUP($G252,Depreciation!$A$14:$L$18,12,FALSE)/2,IF($H252&lt;N$2,VLOOKUP($G252,Depreciation!$A$14:$L$18,12,FALSE),0))</f>
        <v>3.343407856743718E-2</v>
      </c>
      <c r="O252" s="307">
        <f t="shared" si="26"/>
        <v>0</v>
      </c>
      <c r="P252" s="732">
        <f>'Func Future Subs 2015'!P252</f>
        <v>0</v>
      </c>
      <c r="Q252" s="732">
        <f>'Func Future Subs 2015'!Q252</f>
        <v>1</v>
      </c>
      <c r="R252" s="732">
        <f>'Func Future Subs 2015'!R252</f>
        <v>0</v>
      </c>
      <c r="S252" s="735">
        <f t="shared" si="27"/>
        <v>0</v>
      </c>
      <c r="T252" s="735">
        <f t="shared" si="28"/>
        <v>0</v>
      </c>
      <c r="U252" s="735">
        <f t="shared" si="29"/>
        <v>0</v>
      </c>
      <c r="V252" s="736">
        <f t="shared" si="30"/>
        <v>0</v>
      </c>
      <c r="W252" s="735">
        <f t="shared" si="31"/>
        <v>0</v>
      </c>
      <c r="X252" s="737">
        <f t="shared" si="32"/>
        <v>0</v>
      </c>
      <c r="Y252" s="738">
        <f t="shared" si="33"/>
        <v>0</v>
      </c>
    </row>
    <row r="253" spans="1:25">
      <c r="A253" s="754" t="str">
        <f>'Func Future Subs 2015'!A253</f>
        <v>Fort Macleod 15S_(v1)</v>
      </c>
      <c r="B253" s="754">
        <f>'Func Future Subs 2015'!B253</f>
        <v>1336</v>
      </c>
      <c r="C253" s="754">
        <f>'Func Future Subs 2015'!C253</f>
        <v>138</v>
      </c>
      <c r="D253" s="754">
        <f>'Func Future Subs 2015'!D253</f>
        <v>25</v>
      </c>
      <c r="E253" s="754" t="str">
        <f>'Func Future Subs 2015'!E253</f>
        <v>15S</v>
      </c>
      <c r="F253" s="754">
        <f>'Func Future Subs 2015'!F253</f>
        <v>267677.39372268558</v>
      </c>
      <c r="G253" s="754" t="str">
        <f>'Func Future Subs 2015'!G253</f>
        <v>AltaLink</v>
      </c>
      <c r="H253" s="754">
        <f>'Func Future Subs 2015'!H253</f>
        <v>2018</v>
      </c>
      <c r="I253" s="306">
        <f>+IF($H253=I$2,VLOOKUP($G253,Depreciation!$A$14:$L$18,7,FALSE)/2,IF($H253&lt;I$2,VLOOKUP($G253,Depreciation!$A$14:$L$18,7,FALSE),0))</f>
        <v>0</v>
      </c>
      <c r="J253" s="306">
        <f>+IF($H253=J$2,VLOOKUP($G253,Depreciation!$A$14:$L$18,8,FALSE)/2,IF($H253&lt;J$2,VLOOKUP($G253,Depreciation!$A$14:$L$18,8,FALSE),0))</f>
        <v>0</v>
      </c>
      <c r="K253" s="306">
        <f>+IF($H253=K$2,VLOOKUP($G253,Depreciation!$A$14:$L$18,9,FALSE)/2,IF($H253&lt;K$2,VLOOKUP($G253,Depreciation!$A$14:$L$18,9,FALSE),0))</f>
        <v>0</v>
      </c>
      <c r="L253" s="306">
        <f>+IF($H253=L$2,VLOOKUP($G253,Depreciation!$A$14:$L$18,10,FALSE)/2,IF($H253&lt;L$2,VLOOKUP($G253,Depreciation!$A$14:$L$18,10,FALSE),0))</f>
        <v>1.671703928371859E-2</v>
      </c>
      <c r="M253" s="306">
        <f>+IF($H253=M$2,VLOOKUP($G253,Depreciation!$A$14:$L$18,11,FALSE)/2,IF($H253&lt;M$2,VLOOKUP($G253,Depreciation!$A$14:$L$18,11,FALSE),0))</f>
        <v>3.343407856743718E-2</v>
      </c>
      <c r="N253" s="306">
        <f>+IF($H253=N$2,VLOOKUP($G253,Depreciation!$A$14:$L$18,12,FALSE)/2,IF($H253&lt;N$2,VLOOKUP($G253,Depreciation!$A$14:$L$18,12,FALSE),0))</f>
        <v>3.343407856743718E-2</v>
      </c>
      <c r="O253" s="307">
        <f t="shared" si="26"/>
        <v>0</v>
      </c>
      <c r="P253" s="732">
        <f>'Func Future Subs 2015'!P253</f>
        <v>0.16326530612244897</v>
      </c>
      <c r="Q253" s="732">
        <f>'Func Future Subs 2015'!Q253</f>
        <v>0.83673469387755106</v>
      </c>
      <c r="R253" s="732">
        <f>'Func Future Subs 2015'!R253</f>
        <v>0</v>
      </c>
      <c r="S253" s="735">
        <f t="shared" si="27"/>
        <v>0</v>
      </c>
      <c r="T253" s="735">
        <f t="shared" si="28"/>
        <v>0</v>
      </c>
      <c r="U253" s="735">
        <f t="shared" si="29"/>
        <v>0</v>
      </c>
      <c r="V253" s="736">
        <f t="shared" si="30"/>
        <v>0</v>
      </c>
      <c r="W253" s="735">
        <f t="shared" si="31"/>
        <v>0</v>
      </c>
      <c r="X253" s="737">
        <f t="shared" si="32"/>
        <v>0</v>
      </c>
      <c r="Y253" s="738">
        <f t="shared" si="33"/>
        <v>0</v>
      </c>
    </row>
    <row r="254" spans="1:25">
      <c r="A254" s="754" t="str">
        <f>'Func Future Subs 2015'!A254</f>
        <v>McGregor Lake 200S_(v1)</v>
      </c>
      <c r="B254" s="754">
        <f>'Func Future Subs 2015'!B254</f>
        <v>1336</v>
      </c>
      <c r="C254" s="754">
        <f>'Func Future Subs 2015'!C254</f>
        <v>138</v>
      </c>
      <c r="D254" s="754">
        <f>'Func Future Subs 2015'!D254</f>
        <v>138</v>
      </c>
      <c r="E254" s="754" t="str">
        <f>'Func Future Subs 2015'!E254</f>
        <v>200S</v>
      </c>
      <c r="F254" s="754">
        <f>'Func Future Subs 2015'!F254</f>
        <v>732176.40047675755</v>
      </c>
      <c r="G254" s="754" t="str">
        <f>'Func Future Subs 2015'!G254</f>
        <v>AltaLink</v>
      </c>
      <c r="H254" s="754">
        <f>'Func Future Subs 2015'!H254</f>
        <v>2018</v>
      </c>
      <c r="I254" s="306">
        <f>+IF($H254=I$2,VLOOKUP($G254,Depreciation!$A$14:$L$18,7,FALSE)/2,IF($H254&lt;I$2,VLOOKUP($G254,Depreciation!$A$14:$L$18,7,FALSE),0))</f>
        <v>0</v>
      </c>
      <c r="J254" s="306">
        <f>+IF($H254=J$2,VLOOKUP($G254,Depreciation!$A$14:$L$18,8,FALSE)/2,IF($H254&lt;J$2,VLOOKUP($G254,Depreciation!$A$14:$L$18,8,FALSE),0))</f>
        <v>0</v>
      </c>
      <c r="K254" s="306">
        <f>+IF($H254=K$2,VLOOKUP($G254,Depreciation!$A$14:$L$18,9,FALSE)/2,IF($H254&lt;K$2,VLOOKUP($G254,Depreciation!$A$14:$L$18,9,FALSE),0))</f>
        <v>0</v>
      </c>
      <c r="L254" s="306">
        <f>+IF($H254=L$2,VLOOKUP($G254,Depreciation!$A$14:$L$18,10,FALSE)/2,IF($H254&lt;L$2,VLOOKUP($G254,Depreciation!$A$14:$L$18,10,FALSE),0))</f>
        <v>1.671703928371859E-2</v>
      </c>
      <c r="M254" s="306">
        <f>+IF($H254=M$2,VLOOKUP($G254,Depreciation!$A$14:$L$18,11,FALSE)/2,IF($H254&lt;M$2,VLOOKUP($G254,Depreciation!$A$14:$L$18,11,FALSE),0))</f>
        <v>3.343407856743718E-2</v>
      </c>
      <c r="N254" s="306">
        <f>+IF($H254=N$2,VLOOKUP($G254,Depreciation!$A$14:$L$18,12,FALSE)/2,IF($H254&lt;N$2,VLOOKUP($G254,Depreciation!$A$14:$L$18,12,FALSE),0))</f>
        <v>3.343407856743718E-2</v>
      </c>
      <c r="O254" s="307">
        <f t="shared" si="26"/>
        <v>0</v>
      </c>
      <c r="P254" s="732">
        <f>'Func Future Subs 2015'!P254</f>
        <v>0</v>
      </c>
      <c r="Q254" s="732">
        <f>'Func Future Subs 2015'!Q254</f>
        <v>0</v>
      </c>
      <c r="R254" s="732">
        <f>'Func Future Subs 2015'!R254</f>
        <v>1</v>
      </c>
      <c r="S254" s="735">
        <f t="shared" si="27"/>
        <v>0</v>
      </c>
      <c r="T254" s="735">
        <f t="shared" si="28"/>
        <v>0</v>
      </c>
      <c r="U254" s="735">
        <f t="shared" si="29"/>
        <v>0</v>
      </c>
      <c r="V254" s="736">
        <f t="shared" si="30"/>
        <v>0</v>
      </c>
      <c r="W254" s="735">
        <f t="shared" si="31"/>
        <v>0</v>
      </c>
      <c r="X254" s="737">
        <f t="shared" si="32"/>
        <v>0</v>
      </c>
      <c r="Y254" s="738">
        <f t="shared" si="33"/>
        <v>0</v>
      </c>
    </row>
    <row r="255" spans="1:25">
      <c r="A255" s="754" t="str">
        <f>'Func Future Subs 2015'!A255</f>
        <v>Queenstown 504S_(v1)</v>
      </c>
      <c r="B255" s="754">
        <f>'Func Future Subs 2015'!B255</f>
        <v>1336</v>
      </c>
      <c r="C255" s="754">
        <f>'Func Future Subs 2015'!C255</f>
        <v>138</v>
      </c>
      <c r="D255" s="754">
        <f>'Func Future Subs 2015'!D255</f>
        <v>138</v>
      </c>
      <c r="E255" s="754" t="str">
        <f>'Func Future Subs 2015'!E255</f>
        <v>504S</v>
      </c>
      <c r="F255" s="754">
        <f>'Func Future Subs 2015'!F255</f>
        <v>2125673.4207389737</v>
      </c>
      <c r="G255" s="754" t="str">
        <f>'Func Future Subs 2015'!G255</f>
        <v>AltaLink</v>
      </c>
      <c r="H255" s="754">
        <f>'Func Future Subs 2015'!H255</f>
        <v>2018</v>
      </c>
      <c r="I255" s="306">
        <f>+IF($H255=I$2,VLOOKUP($G255,Depreciation!$A$14:$L$18,7,FALSE)/2,IF($H255&lt;I$2,VLOOKUP($G255,Depreciation!$A$14:$L$18,7,FALSE),0))</f>
        <v>0</v>
      </c>
      <c r="J255" s="306">
        <f>+IF($H255=J$2,VLOOKUP($G255,Depreciation!$A$14:$L$18,8,FALSE)/2,IF($H255&lt;J$2,VLOOKUP($G255,Depreciation!$A$14:$L$18,8,FALSE),0))</f>
        <v>0</v>
      </c>
      <c r="K255" s="306">
        <f>+IF($H255=K$2,VLOOKUP($G255,Depreciation!$A$14:$L$18,9,FALSE)/2,IF($H255&lt;K$2,VLOOKUP($G255,Depreciation!$A$14:$L$18,9,FALSE),0))</f>
        <v>0</v>
      </c>
      <c r="L255" s="306">
        <f>+IF($H255=L$2,VLOOKUP($G255,Depreciation!$A$14:$L$18,10,FALSE)/2,IF($H255&lt;L$2,VLOOKUP($G255,Depreciation!$A$14:$L$18,10,FALSE),0))</f>
        <v>1.671703928371859E-2</v>
      </c>
      <c r="M255" s="306">
        <f>+IF($H255=M$2,VLOOKUP($G255,Depreciation!$A$14:$L$18,11,FALSE)/2,IF($H255&lt;M$2,VLOOKUP($G255,Depreciation!$A$14:$L$18,11,FALSE),0))</f>
        <v>3.343407856743718E-2</v>
      </c>
      <c r="N255" s="306">
        <f>+IF($H255=N$2,VLOOKUP($G255,Depreciation!$A$14:$L$18,12,FALSE)/2,IF($H255&lt;N$2,VLOOKUP($G255,Depreciation!$A$14:$L$18,12,FALSE),0))</f>
        <v>3.343407856743718E-2</v>
      </c>
      <c r="O255" s="307">
        <f t="shared" si="26"/>
        <v>0</v>
      </c>
      <c r="P255" s="732">
        <f>'Func Future Subs 2015'!P255</f>
        <v>0</v>
      </c>
      <c r="Q255" s="732">
        <f>'Func Future Subs 2015'!Q255</f>
        <v>0</v>
      </c>
      <c r="R255" s="732">
        <f>'Func Future Subs 2015'!R255</f>
        <v>1</v>
      </c>
      <c r="S255" s="735">
        <f t="shared" si="27"/>
        <v>0</v>
      </c>
      <c r="T255" s="735">
        <f t="shared" si="28"/>
        <v>0</v>
      </c>
      <c r="U255" s="735">
        <f t="shared" si="29"/>
        <v>0</v>
      </c>
      <c r="V255" s="736">
        <f t="shared" si="30"/>
        <v>0</v>
      </c>
      <c r="W255" s="735">
        <f t="shared" si="31"/>
        <v>0</v>
      </c>
      <c r="X255" s="737">
        <f t="shared" si="32"/>
        <v>0</v>
      </c>
      <c r="Y255" s="738">
        <f t="shared" si="33"/>
        <v>0</v>
      </c>
    </row>
    <row r="256" spans="1:25">
      <c r="A256" s="754" t="str">
        <f>'Func Future Subs 2015'!A256</f>
        <v>Vulcan 255S_(v1)</v>
      </c>
      <c r="B256" s="754">
        <f>'Func Future Subs 2015'!B256</f>
        <v>1336</v>
      </c>
      <c r="C256" s="754">
        <f>'Func Future Subs 2015'!C256</f>
        <v>240</v>
      </c>
      <c r="D256" s="754">
        <f>'Func Future Subs 2015'!D256</f>
        <v>25</v>
      </c>
      <c r="E256" s="754" t="str">
        <f>'Func Future Subs 2015'!E256</f>
        <v>255S</v>
      </c>
      <c r="F256" s="754">
        <f>'Func Future Subs 2015'!F256</f>
        <v>799095.74890742893</v>
      </c>
      <c r="G256" s="754" t="str">
        <f>'Func Future Subs 2015'!G256</f>
        <v>AltaLink</v>
      </c>
      <c r="H256" s="754">
        <f>'Func Future Subs 2015'!H256</f>
        <v>2018</v>
      </c>
      <c r="I256" s="306">
        <f>+IF($H256=I$2,VLOOKUP($G256,Depreciation!$A$14:$L$18,7,FALSE)/2,IF($H256&lt;I$2,VLOOKUP($G256,Depreciation!$A$14:$L$18,7,FALSE),0))</f>
        <v>0</v>
      </c>
      <c r="J256" s="306">
        <f>+IF($H256=J$2,VLOOKUP($G256,Depreciation!$A$14:$L$18,8,FALSE)/2,IF($H256&lt;J$2,VLOOKUP($G256,Depreciation!$A$14:$L$18,8,FALSE),0))</f>
        <v>0</v>
      </c>
      <c r="K256" s="306">
        <f>+IF($H256=K$2,VLOOKUP($G256,Depreciation!$A$14:$L$18,9,FALSE)/2,IF($H256&lt;K$2,VLOOKUP($G256,Depreciation!$A$14:$L$18,9,FALSE),0))</f>
        <v>0</v>
      </c>
      <c r="L256" s="306">
        <f>+IF($H256=L$2,VLOOKUP($G256,Depreciation!$A$14:$L$18,10,FALSE)/2,IF($H256&lt;L$2,VLOOKUP($G256,Depreciation!$A$14:$L$18,10,FALSE),0))</f>
        <v>1.671703928371859E-2</v>
      </c>
      <c r="M256" s="306">
        <f>+IF($H256=M$2,VLOOKUP($G256,Depreciation!$A$14:$L$18,11,FALSE)/2,IF($H256&lt;M$2,VLOOKUP($G256,Depreciation!$A$14:$L$18,11,FALSE),0))</f>
        <v>3.343407856743718E-2</v>
      </c>
      <c r="N256" s="306">
        <f>+IF($H256=N$2,VLOOKUP($G256,Depreciation!$A$14:$L$18,12,FALSE)/2,IF($H256&lt;N$2,VLOOKUP($G256,Depreciation!$A$14:$L$18,12,FALSE),0))</f>
        <v>3.343407856743718E-2</v>
      </c>
      <c r="O256" s="307">
        <f t="shared" si="26"/>
        <v>0</v>
      </c>
      <c r="P256" s="732">
        <f>'Func Future Subs 2015'!P256</f>
        <v>0</v>
      </c>
      <c r="Q256" s="732">
        <f>'Func Future Subs 2015'!Q256</f>
        <v>1</v>
      </c>
      <c r="R256" s="732">
        <f>'Func Future Subs 2015'!R256</f>
        <v>0</v>
      </c>
      <c r="S256" s="735">
        <f t="shared" si="27"/>
        <v>0</v>
      </c>
      <c r="T256" s="735">
        <f t="shared" si="28"/>
        <v>0</v>
      </c>
      <c r="U256" s="735">
        <f t="shared" si="29"/>
        <v>0</v>
      </c>
      <c r="V256" s="736">
        <f t="shared" si="30"/>
        <v>0</v>
      </c>
      <c r="W256" s="735">
        <f t="shared" si="31"/>
        <v>0</v>
      </c>
      <c r="X256" s="737">
        <f t="shared" si="32"/>
        <v>0</v>
      </c>
      <c r="Y256" s="738">
        <f t="shared" si="33"/>
        <v>0</v>
      </c>
    </row>
    <row r="257" spans="1:25">
      <c r="A257" s="754" t="str">
        <f>'Func Future Subs 2015'!A257</f>
        <v>West Brooks 28S_(v1)</v>
      </c>
      <c r="B257" s="754">
        <f>'Func Future Subs 2015'!B257</f>
        <v>1336</v>
      </c>
      <c r="C257" s="754">
        <f>'Func Future Subs 2015'!C257</f>
        <v>240</v>
      </c>
      <c r="D257" s="754">
        <f>'Func Future Subs 2015'!D257</f>
        <v>25</v>
      </c>
      <c r="E257" s="754" t="str">
        <f>'Func Future Subs 2015'!E257</f>
        <v>28S</v>
      </c>
      <c r="F257" s="754">
        <f>'Func Future Subs 2015'!F257</f>
        <v>407420.73897496995</v>
      </c>
      <c r="G257" s="754" t="str">
        <f>'Func Future Subs 2015'!G257</f>
        <v>AltaLink</v>
      </c>
      <c r="H257" s="754">
        <f>'Func Future Subs 2015'!H257</f>
        <v>2018</v>
      </c>
      <c r="I257" s="306">
        <f>+IF($H257=I$2,VLOOKUP($G257,Depreciation!$A$14:$L$18,7,FALSE)/2,IF($H257&lt;I$2,VLOOKUP($G257,Depreciation!$A$14:$L$18,7,FALSE),0))</f>
        <v>0</v>
      </c>
      <c r="J257" s="306">
        <f>+IF($H257=J$2,VLOOKUP($G257,Depreciation!$A$14:$L$18,8,FALSE)/2,IF($H257&lt;J$2,VLOOKUP($G257,Depreciation!$A$14:$L$18,8,FALSE),0))</f>
        <v>0</v>
      </c>
      <c r="K257" s="306">
        <f>+IF($H257=K$2,VLOOKUP($G257,Depreciation!$A$14:$L$18,9,FALSE)/2,IF($H257&lt;K$2,VLOOKUP($G257,Depreciation!$A$14:$L$18,9,FALSE),0))</f>
        <v>0</v>
      </c>
      <c r="L257" s="306">
        <f>+IF($H257=L$2,VLOOKUP($G257,Depreciation!$A$14:$L$18,10,FALSE)/2,IF($H257&lt;L$2,VLOOKUP($G257,Depreciation!$A$14:$L$18,10,FALSE),0))</f>
        <v>1.671703928371859E-2</v>
      </c>
      <c r="M257" s="306">
        <f>+IF($H257=M$2,VLOOKUP($G257,Depreciation!$A$14:$L$18,11,FALSE)/2,IF($H257&lt;M$2,VLOOKUP($G257,Depreciation!$A$14:$L$18,11,FALSE),0))</f>
        <v>3.343407856743718E-2</v>
      </c>
      <c r="N257" s="306">
        <f>+IF($H257=N$2,VLOOKUP($G257,Depreciation!$A$14:$L$18,12,FALSE)/2,IF($H257&lt;N$2,VLOOKUP($G257,Depreciation!$A$14:$L$18,12,FALSE),0))</f>
        <v>3.343407856743718E-2</v>
      </c>
      <c r="O257" s="307">
        <f t="shared" si="26"/>
        <v>0</v>
      </c>
      <c r="P257" s="732">
        <f>'Func Future Subs 2015'!P257</f>
        <v>0</v>
      </c>
      <c r="Q257" s="732">
        <f>'Func Future Subs 2015'!Q257</f>
        <v>1</v>
      </c>
      <c r="R257" s="732">
        <f>'Func Future Subs 2015'!R257</f>
        <v>0</v>
      </c>
      <c r="S257" s="735">
        <f t="shared" si="27"/>
        <v>0</v>
      </c>
      <c r="T257" s="735">
        <f t="shared" si="28"/>
        <v>0</v>
      </c>
      <c r="U257" s="735">
        <f t="shared" si="29"/>
        <v>0</v>
      </c>
      <c r="V257" s="736">
        <f t="shared" si="30"/>
        <v>0</v>
      </c>
      <c r="W257" s="735">
        <f t="shared" si="31"/>
        <v>0</v>
      </c>
      <c r="X257" s="737">
        <f t="shared" si="32"/>
        <v>0</v>
      </c>
      <c r="Y257" s="738">
        <f t="shared" si="33"/>
        <v>0</v>
      </c>
    </row>
    <row r="258" spans="1:25">
      <c r="A258" s="754" t="str">
        <f>'Func Future Subs 2015'!A258</f>
        <v>Castle Rock Ridge 205S</v>
      </c>
      <c r="B258" s="754">
        <f>'Func Future Subs 2015'!B258</f>
        <v>1343</v>
      </c>
      <c r="C258" s="754">
        <f>'Func Future Subs 2015'!C258</f>
        <v>240</v>
      </c>
      <c r="D258" s="754">
        <f>'Func Future Subs 2015'!D258</f>
        <v>25</v>
      </c>
      <c r="E258" s="754" t="str">
        <f>'Func Future Subs 2015'!E258</f>
        <v>205S</v>
      </c>
      <c r="F258" s="754">
        <f>'Func Future Subs 2015'!F258</f>
        <v>296511.62301019125</v>
      </c>
      <c r="G258" s="754" t="str">
        <f>'Func Future Subs 2015'!G258</f>
        <v>AltaLink</v>
      </c>
      <c r="H258" s="754">
        <f>'Func Future Subs 2015'!H258</f>
        <v>2015</v>
      </c>
      <c r="I258" s="306">
        <f>+IF($H258=I$2,VLOOKUP($G258,Depreciation!$A$14:$L$18,7,FALSE)/2,IF($H258&lt;I$2,VLOOKUP($G258,Depreciation!$A$14:$L$18,7,FALSE),0))</f>
        <v>1.7228380322441735E-2</v>
      </c>
      <c r="J258" s="306">
        <f>+IF($H258=J$2,VLOOKUP($G258,Depreciation!$A$14:$L$18,8,FALSE)/2,IF($H258&lt;J$2,VLOOKUP($G258,Depreciation!$A$14:$L$18,8,FALSE),0))</f>
        <v>3.343407856743718E-2</v>
      </c>
      <c r="K258" s="306">
        <f>+IF($H258=K$2,VLOOKUP($G258,Depreciation!$A$14:$L$18,9,FALSE)/2,IF($H258&lt;K$2,VLOOKUP($G258,Depreciation!$A$14:$L$18,9,FALSE),0))</f>
        <v>3.343407856743718E-2</v>
      </c>
      <c r="L258" s="306">
        <f>+IF($H258=L$2,VLOOKUP($G258,Depreciation!$A$14:$L$18,10,FALSE)/2,IF($H258&lt;L$2,VLOOKUP($G258,Depreciation!$A$14:$L$18,10,FALSE),0))</f>
        <v>3.343407856743718E-2</v>
      </c>
      <c r="M258" s="306">
        <f>+IF($H258=M$2,VLOOKUP($G258,Depreciation!$A$14:$L$18,11,FALSE)/2,IF($H258&lt;M$2,VLOOKUP($G258,Depreciation!$A$14:$L$18,11,FALSE),0))</f>
        <v>3.343407856743718E-2</v>
      </c>
      <c r="N258" s="306">
        <f>+IF($H258=N$2,VLOOKUP($G258,Depreciation!$A$14:$L$18,12,FALSE)/2,IF($H258&lt;N$2,VLOOKUP($G258,Depreciation!$A$14:$L$18,12,FALSE),0))</f>
        <v>3.343407856743718E-2</v>
      </c>
      <c r="O258" s="307">
        <f t="shared" si="26"/>
        <v>281660.41024790716</v>
      </c>
      <c r="P258" s="732">
        <f>'Func Future Subs 2015'!P258</f>
        <v>0.99826388888888884</v>
      </c>
      <c r="Q258" s="732">
        <f>'Func Future Subs 2015'!Q258</f>
        <v>1.7361111111111112E-3</v>
      </c>
      <c r="R258" s="732">
        <f>'Func Future Subs 2015'!R258</f>
        <v>4.9222778630841901E-17</v>
      </c>
      <c r="S258" s="735">
        <f t="shared" si="27"/>
        <v>281171.41648011561</v>
      </c>
      <c r="T258" s="735">
        <f t="shared" si="28"/>
        <v>488.99376779150549</v>
      </c>
      <c r="U258" s="735">
        <f t="shared" si="29"/>
        <v>1.3864108022704849E-11</v>
      </c>
      <c r="V258" s="736">
        <f t="shared" si="30"/>
        <v>0</v>
      </c>
      <c r="W258" s="735">
        <f t="shared" si="31"/>
        <v>281171.41648011561</v>
      </c>
      <c r="X258" s="737">
        <f t="shared" si="32"/>
        <v>0</v>
      </c>
      <c r="Y258" s="738">
        <f t="shared" si="33"/>
        <v>488.99376779151936</v>
      </c>
    </row>
    <row r="259" spans="1:25">
      <c r="A259" s="754" t="str">
        <f>'Func Future Subs 2015'!A259</f>
        <v>Fidler 312S Stage 1</v>
      </c>
      <c r="B259" s="754">
        <f>'Func Future Subs 2015'!B259</f>
        <v>1343</v>
      </c>
      <c r="C259" s="754">
        <f>'Func Future Subs 2015'!C259</f>
        <v>240</v>
      </c>
      <c r="D259" s="754">
        <f>'Func Future Subs 2015'!D259</f>
        <v>138</v>
      </c>
      <c r="E259" s="754" t="str">
        <f>'Func Future Subs 2015'!E259</f>
        <v>312S</v>
      </c>
      <c r="F259" s="754">
        <f>'Func Future Subs 2015'!F259</f>
        <v>31755235.281731669</v>
      </c>
      <c r="G259" s="754" t="str">
        <f>'Func Future Subs 2015'!G259</f>
        <v>AltaLink</v>
      </c>
      <c r="H259" s="754">
        <f>'Func Future Subs 2015'!H259</f>
        <v>2019</v>
      </c>
      <c r="I259" s="306">
        <f>+IF($H259=I$2,VLOOKUP($G259,Depreciation!$A$14:$L$18,7,FALSE)/2,IF($H259&lt;I$2,VLOOKUP($G259,Depreciation!$A$14:$L$18,7,FALSE),0))</f>
        <v>0</v>
      </c>
      <c r="J259" s="306">
        <f>+IF($H259=J$2,VLOOKUP($G259,Depreciation!$A$14:$L$18,8,FALSE)/2,IF($H259&lt;J$2,VLOOKUP($G259,Depreciation!$A$14:$L$18,8,FALSE),0))</f>
        <v>0</v>
      </c>
      <c r="K259" s="306">
        <f>+IF($H259=K$2,VLOOKUP($G259,Depreciation!$A$14:$L$18,9,FALSE)/2,IF($H259&lt;K$2,VLOOKUP($G259,Depreciation!$A$14:$L$18,9,FALSE),0))</f>
        <v>0</v>
      </c>
      <c r="L259" s="306">
        <f>+IF($H259=L$2,VLOOKUP($G259,Depreciation!$A$14:$L$18,10,FALSE)/2,IF($H259&lt;L$2,VLOOKUP($G259,Depreciation!$A$14:$L$18,10,FALSE),0))</f>
        <v>0</v>
      </c>
      <c r="M259" s="306">
        <f>+IF($H259=M$2,VLOOKUP($G259,Depreciation!$A$14:$L$18,11,FALSE)/2,IF($H259&lt;M$2,VLOOKUP($G259,Depreciation!$A$14:$L$18,11,FALSE),0))</f>
        <v>1.671703928371859E-2</v>
      </c>
      <c r="N259" s="306">
        <f>+IF($H259=N$2,VLOOKUP($G259,Depreciation!$A$14:$L$18,12,FALSE)/2,IF($H259&lt;N$2,VLOOKUP($G259,Depreciation!$A$14:$L$18,12,FALSE),0))</f>
        <v>3.343407856743718E-2</v>
      </c>
      <c r="O259" s="307">
        <f t="shared" si="26"/>
        <v>0</v>
      </c>
      <c r="P259" s="732">
        <f>'Func Future Subs 2015'!P259</f>
        <v>0</v>
      </c>
      <c r="Q259" s="732">
        <f>'Func Future Subs 2015'!Q259</f>
        <v>0</v>
      </c>
      <c r="R259" s="732">
        <f>'Func Future Subs 2015'!R259</f>
        <v>1</v>
      </c>
      <c r="S259" s="735">
        <f t="shared" si="27"/>
        <v>0</v>
      </c>
      <c r="T259" s="735">
        <f t="shared" si="28"/>
        <v>0</v>
      </c>
      <c r="U259" s="735">
        <f t="shared" si="29"/>
        <v>0</v>
      </c>
      <c r="V259" s="736">
        <f t="shared" si="30"/>
        <v>0</v>
      </c>
      <c r="W259" s="735">
        <f t="shared" si="31"/>
        <v>0</v>
      </c>
      <c r="X259" s="737">
        <f t="shared" si="32"/>
        <v>0</v>
      </c>
      <c r="Y259" s="738">
        <f t="shared" si="33"/>
        <v>0</v>
      </c>
    </row>
    <row r="260" spans="1:25">
      <c r="A260" s="754" t="str">
        <f>'Func Future Subs 2015'!A260</f>
        <v>Fidler 312S stage 2</v>
      </c>
      <c r="B260" s="754">
        <f>'Func Future Subs 2015'!B260</f>
        <v>1343</v>
      </c>
      <c r="C260" s="754">
        <f>'Func Future Subs 2015'!C260</f>
        <v>240</v>
      </c>
      <c r="D260" s="754">
        <f>'Func Future Subs 2015'!D260</f>
        <v>138</v>
      </c>
      <c r="E260" s="754" t="str">
        <f>'Func Future Subs 2015'!E260</f>
        <v>312S</v>
      </c>
      <c r="F260" s="754">
        <f>'Func Future Subs 2015'!F260</f>
        <v>9276667.4068498276</v>
      </c>
      <c r="G260" s="754" t="str">
        <f>'Func Future Subs 2015'!G260</f>
        <v>AltaLink</v>
      </c>
      <c r="H260" s="754">
        <f>'Func Future Subs 2015'!H260</f>
        <v>2019</v>
      </c>
      <c r="I260" s="306">
        <f>+IF($H260=I$2,VLOOKUP($G260,Depreciation!$A$14:$L$18,7,FALSE)/2,IF($H260&lt;I$2,VLOOKUP($G260,Depreciation!$A$14:$L$18,7,FALSE),0))</f>
        <v>0</v>
      </c>
      <c r="J260" s="306">
        <f>+IF($H260=J$2,VLOOKUP($G260,Depreciation!$A$14:$L$18,8,FALSE)/2,IF($H260&lt;J$2,VLOOKUP($G260,Depreciation!$A$14:$L$18,8,FALSE),0))</f>
        <v>0</v>
      </c>
      <c r="K260" s="306">
        <f>+IF($H260=K$2,VLOOKUP($G260,Depreciation!$A$14:$L$18,9,FALSE)/2,IF($H260&lt;K$2,VLOOKUP($G260,Depreciation!$A$14:$L$18,9,FALSE),0))</f>
        <v>0</v>
      </c>
      <c r="L260" s="306">
        <f>+IF($H260=L$2,VLOOKUP($G260,Depreciation!$A$14:$L$18,10,FALSE)/2,IF($H260&lt;L$2,VLOOKUP($G260,Depreciation!$A$14:$L$18,10,FALSE),0))</f>
        <v>0</v>
      </c>
      <c r="M260" s="306">
        <f>+IF($H260=M$2,VLOOKUP($G260,Depreciation!$A$14:$L$18,11,FALSE)/2,IF($H260&lt;M$2,VLOOKUP($G260,Depreciation!$A$14:$L$18,11,FALSE),0))</f>
        <v>1.671703928371859E-2</v>
      </c>
      <c r="N260" s="306">
        <f>+IF($H260=N$2,VLOOKUP($G260,Depreciation!$A$14:$L$18,12,FALSE)/2,IF($H260&lt;N$2,VLOOKUP($G260,Depreciation!$A$14:$L$18,12,FALSE),0))</f>
        <v>3.343407856743718E-2</v>
      </c>
      <c r="O260" s="307">
        <f t="shared" ref="O260:O323" si="34">IF(H260&lt;=2016,F260*(1-I260)*(1-J260),0)</f>
        <v>0</v>
      </c>
      <c r="P260" s="732">
        <f>'Func Future Subs 2015'!P260</f>
        <v>0</v>
      </c>
      <c r="Q260" s="732">
        <f>'Func Future Subs 2015'!Q260</f>
        <v>0</v>
      </c>
      <c r="R260" s="732">
        <f>'Func Future Subs 2015'!R260</f>
        <v>1</v>
      </c>
      <c r="S260" s="735">
        <f t="shared" ref="S260:S323" si="35">+P260*$O260</f>
        <v>0</v>
      </c>
      <c r="T260" s="735">
        <f t="shared" ref="T260:T323" si="36">+Q260*$O260</f>
        <v>0</v>
      </c>
      <c r="U260" s="735">
        <f t="shared" ref="U260:U323" si="37">+R260*$O260</f>
        <v>0</v>
      </c>
      <c r="V260" s="736">
        <f t="shared" ref="V260:V323" si="38">IF(AND(R260=1,D260=0),O260,0)</f>
        <v>0</v>
      </c>
      <c r="W260" s="735">
        <f t="shared" ref="W260:W323" si="39">S260+IF(D260&gt;144,U260,0)</f>
        <v>0</v>
      </c>
      <c r="X260" s="737">
        <f t="shared" ref="X260:X323" si="40">IF(AND(D260&lt;=144,D260&gt;=69),U260,0)</f>
        <v>0</v>
      </c>
      <c r="Y260" s="738">
        <f t="shared" ref="Y260:Y323" si="41">T260+IF(AND(D260&lt;69,D260&gt;0),U260,0)</f>
        <v>0</v>
      </c>
    </row>
    <row r="261" spans="1:25">
      <c r="A261" s="754" t="str">
        <f>'Func Future Subs 2015'!A261</f>
        <v>Goose Lake 103S stage 1</v>
      </c>
      <c r="B261" s="754">
        <f>'Func Future Subs 2015'!B261</f>
        <v>1343</v>
      </c>
      <c r="C261" s="754">
        <f>'Func Future Subs 2015'!C261</f>
        <v>240</v>
      </c>
      <c r="D261" s="754">
        <f>'Func Future Subs 2015'!D261</f>
        <v>138</v>
      </c>
      <c r="E261" s="754" t="str">
        <f>'Func Future Subs 2015'!E261</f>
        <v>103S</v>
      </c>
      <c r="F261" s="754">
        <f>'Func Future Subs 2015'!F261</f>
        <v>296511.62301019125</v>
      </c>
      <c r="G261" s="754" t="str">
        <f>'Func Future Subs 2015'!G261</f>
        <v>AltaLink</v>
      </c>
      <c r="H261" s="754">
        <f>'Func Future Subs 2015'!H261</f>
        <v>2019</v>
      </c>
      <c r="I261" s="306">
        <f>+IF($H261=I$2,VLOOKUP($G261,Depreciation!$A$14:$L$18,7,FALSE)/2,IF($H261&lt;I$2,VLOOKUP($G261,Depreciation!$A$14:$L$18,7,FALSE),0))</f>
        <v>0</v>
      </c>
      <c r="J261" s="306">
        <f>+IF($H261=J$2,VLOOKUP($G261,Depreciation!$A$14:$L$18,8,FALSE)/2,IF($H261&lt;J$2,VLOOKUP($G261,Depreciation!$A$14:$L$18,8,FALSE),0))</f>
        <v>0</v>
      </c>
      <c r="K261" s="306">
        <f>+IF($H261=K$2,VLOOKUP($G261,Depreciation!$A$14:$L$18,9,FALSE)/2,IF($H261&lt;K$2,VLOOKUP($G261,Depreciation!$A$14:$L$18,9,FALSE),0))</f>
        <v>0</v>
      </c>
      <c r="L261" s="306">
        <f>+IF($H261=L$2,VLOOKUP($G261,Depreciation!$A$14:$L$18,10,FALSE)/2,IF($H261&lt;L$2,VLOOKUP($G261,Depreciation!$A$14:$L$18,10,FALSE),0))</f>
        <v>0</v>
      </c>
      <c r="M261" s="306">
        <f>+IF($H261=M$2,VLOOKUP($G261,Depreciation!$A$14:$L$18,11,FALSE)/2,IF($H261&lt;M$2,VLOOKUP($G261,Depreciation!$A$14:$L$18,11,FALSE),0))</f>
        <v>1.671703928371859E-2</v>
      </c>
      <c r="N261" s="306">
        <f>+IF($H261=N$2,VLOOKUP($G261,Depreciation!$A$14:$L$18,12,FALSE)/2,IF($H261&lt;N$2,VLOOKUP($G261,Depreciation!$A$14:$L$18,12,FALSE),0))</f>
        <v>3.343407856743718E-2</v>
      </c>
      <c r="O261" s="307">
        <f t="shared" si="34"/>
        <v>0</v>
      </c>
      <c r="P261" s="732">
        <f>'Func Future Subs 2015'!P261</f>
        <v>0</v>
      </c>
      <c r="Q261" s="732">
        <f>'Func Future Subs 2015'!Q261</f>
        <v>0</v>
      </c>
      <c r="R261" s="732">
        <f>'Func Future Subs 2015'!R261</f>
        <v>1</v>
      </c>
      <c r="S261" s="735">
        <f t="shared" si="35"/>
        <v>0</v>
      </c>
      <c r="T261" s="735">
        <f t="shared" si="36"/>
        <v>0</v>
      </c>
      <c r="U261" s="735">
        <f t="shared" si="37"/>
        <v>0</v>
      </c>
      <c r="V261" s="736">
        <f t="shared" si="38"/>
        <v>0</v>
      </c>
      <c r="W261" s="735">
        <f t="shared" si="39"/>
        <v>0</v>
      </c>
      <c r="X261" s="737">
        <f t="shared" si="40"/>
        <v>0</v>
      </c>
      <c r="Y261" s="738">
        <f t="shared" si="41"/>
        <v>0</v>
      </c>
    </row>
    <row r="262" spans="1:25">
      <c r="A262" s="754" t="str">
        <f>'Func Future Subs 2015'!A262</f>
        <v>Goose Lake stage 2</v>
      </c>
      <c r="B262" s="754">
        <f>'Func Future Subs 2015'!B262</f>
        <v>1343</v>
      </c>
      <c r="C262" s="754">
        <f>'Func Future Subs 2015'!C262</f>
        <v>240</v>
      </c>
      <c r="D262" s="754">
        <f>'Func Future Subs 2015'!D262</f>
        <v>0</v>
      </c>
      <c r="E262" s="754">
        <f>'Func Future Subs 2015'!E262</f>
        <v>0</v>
      </c>
      <c r="F262" s="754">
        <f>'Func Future Subs 2015'!F262</f>
        <v>198194.95671810306</v>
      </c>
      <c r="G262" s="754" t="str">
        <f>'Func Future Subs 2015'!G262</f>
        <v>AltaLink</v>
      </c>
      <c r="H262" s="754">
        <f>'Func Future Subs 2015'!H262</f>
        <v>2019</v>
      </c>
      <c r="I262" s="306">
        <f>+IF($H262=I$2,VLOOKUP($G262,Depreciation!$A$14:$L$18,7,FALSE)/2,IF($H262&lt;I$2,VLOOKUP($G262,Depreciation!$A$14:$L$18,7,FALSE),0))</f>
        <v>0</v>
      </c>
      <c r="J262" s="306">
        <f>+IF($H262=J$2,VLOOKUP($G262,Depreciation!$A$14:$L$18,8,FALSE)/2,IF($H262&lt;J$2,VLOOKUP($G262,Depreciation!$A$14:$L$18,8,FALSE),0))</f>
        <v>0</v>
      </c>
      <c r="K262" s="306">
        <f>+IF($H262=K$2,VLOOKUP($G262,Depreciation!$A$14:$L$18,9,FALSE)/2,IF($H262&lt;K$2,VLOOKUP($G262,Depreciation!$A$14:$L$18,9,FALSE),0))</f>
        <v>0</v>
      </c>
      <c r="L262" s="306">
        <f>+IF($H262=L$2,VLOOKUP($G262,Depreciation!$A$14:$L$18,10,FALSE)/2,IF($H262&lt;L$2,VLOOKUP($G262,Depreciation!$A$14:$L$18,10,FALSE),0))</f>
        <v>0</v>
      </c>
      <c r="M262" s="306">
        <f>+IF($H262=M$2,VLOOKUP($G262,Depreciation!$A$14:$L$18,11,FALSE)/2,IF($H262&lt;M$2,VLOOKUP($G262,Depreciation!$A$14:$L$18,11,FALSE),0))</f>
        <v>1.671703928371859E-2</v>
      </c>
      <c r="N262" s="306">
        <f>+IF($H262=N$2,VLOOKUP($G262,Depreciation!$A$14:$L$18,12,FALSE)/2,IF($H262&lt;N$2,VLOOKUP($G262,Depreciation!$A$14:$L$18,12,FALSE),0))</f>
        <v>3.343407856743718E-2</v>
      </c>
      <c r="O262" s="307">
        <f t="shared" si="34"/>
        <v>0</v>
      </c>
      <c r="P262" s="732">
        <f>'Func Future Subs 2015'!P262</f>
        <v>0</v>
      </c>
      <c r="Q262" s="732">
        <f>'Func Future Subs 2015'!Q262</f>
        <v>0</v>
      </c>
      <c r="R262" s="732">
        <f>'Func Future Subs 2015'!R262</f>
        <v>1</v>
      </c>
      <c r="S262" s="735">
        <f t="shared" si="35"/>
        <v>0</v>
      </c>
      <c r="T262" s="735">
        <f t="shared" si="36"/>
        <v>0</v>
      </c>
      <c r="U262" s="735">
        <f t="shared" si="37"/>
        <v>0</v>
      </c>
      <c r="V262" s="736">
        <f t="shared" si="38"/>
        <v>0</v>
      </c>
      <c r="W262" s="735">
        <f t="shared" si="39"/>
        <v>0</v>
      </c>
      <c r="X262" s="737">
        <f t="shared" si="40"/>
        <v>0</v>
      </c>
      <c r="Y262" s="738">
        <f t="shared" si="41"/>
        <v>0</v>
      </c>
    </row>
    <row r="263" spans="1:25">
      <c r="A263" s="754" t="str">
        <f>'Func Future Subs 2015'!A263</f>
        <v>Oldman River 806S stage 2</v>
      </c>
      <c r="B263" s="754">
        <f>'Func Future Subs 2015'!B263</f>
        <v>1343</v>
      </c>
      <c r="C263" s="754">
        <f>'Func Future Subs 2015'!C263</f>
        <v>138</v>
      </c>
      <c r="D263" s="754">
        <f>'Func Future Subs 2015'!D263</f>
        <v>25</v>
      </c>
      <c r="E263" s="754" t="str">
        <f>'Func Future Subs 2015'!E263</f>
        <v>806S</v>
      </c>
      <c r="F263" s="754">
        <f>'Func Future Subs 2015'!F263</f>
        <v>198194.95671810306</v>
      </c>
      <c r="G263" s="754" t="str">
        <f>'Func Future Subs 2015'!G263</f>
        <v>AltaLink</v>
      </c>
      <c r="H263" s="754">
        <f>'Func Future Subs 2015'!H263</f>
        <v>2015</v>
      </c>
      <c r="I263" s="306">
        <f>+IF($H263=I$2,VLOOKUP($G263,Depreciation!$A$14:$L$18,7,FALSE)/2,IF($H263&lt;I$2,VLOOKUP($G263,Depreciation!$A$14:$L$18,7,FALSE),0))</f>
        <v>1.7228380322441735E-2</v>
      </c>
      <c r="J263" s="306">
        <f>+IF($H263=J$2,VLOOKUP($G263,Depreciation!$A$14:$L$18,8,FALSE)/2,IF($H263&lt;J$2,VLOOKUP($G263,Depreciation!$A$14:$L$18,8,FALSE),0))</f>
        <v>3.343407856743718E-2</v>
      </c>
      <c r="K263" s="306">
        <f>+IF($H263=K$2,VLOOKUP($G263,Depreciation!$A$14:$L$18,9,FALSE)/2,IF($H263&lt;K$2,VLOOKUP($G263,Depreciation!$A$14:$L$18,9,FALSE),0))</f>
        <v>3.343407856743718E-2</v>
      </c>
      <c r="L263" s="306">
        <f>+IF($H263=L$2,VLOOKUP($G263,Depreciation!$A$14:$L$18,10,FALSE)/2,IF($H263&lt;L$2,VLOOKUP($G263,Depreciation!$A$14:$L$18,10,FALSE),0))</f>
        <v>3.343407856743718E-2</v>
      </c>
      <c r="M263" s="306">
        <f>+IF($H263=M$2,VLOOKUP($G263,Depreciation!$A$14:$L$18,11,FALSE)/2,IF($H263&lt;M$2,VLOOKUP($G263,Depreciation!$A$14:$L$18,11,FALSE),0))</f>
        <v>3.343407856743718E-2</v>
      </c>
      <c r="N263" s="306">
        <f>+IF($H263=N$2,VLOOKUP($G263,Depreciation!$A$14:$L$18,12,FALSE)/2,IF($H263&lt;N$2,VLOOKUP($G263,Depreciation!$A$14:$L$18,12,FALSE),0))</f>
        <v>3.343407856743718E-2</v>
      </c>
      <c r="O263" s="307">
        <f t="shared" si="34"/>
        <v>188268.07614340441</v>
      </c>
      <c r="P263" s="732">
        <f>'Func Future Subs 2015'!P263</f>
        <v>0.96969696969696972</v>
      </c>
      <c r="Q263" s="732">
        <f>'Func Future Subs 2015'!Q263</f>
        <v>3.0303030303030304E-2</v>
      </c>
      <c r="R263" s="732">
        <f>'Func Future Subs 2015'!R263</f>
        <v>-2.7755575615628914E-17</v>
      </c>
      <c r="S263" s="735">
        <f t="shared" si="35"/>
        <v>182562.98292693761</v>
      </c>
      <c r="T263" s="735">
        <f t="shared" si="36"/>
        <v>5705.0932164668002</v>
      </c>
      <c r="U263" s="735">
        <f t="shared" si="37"/>
        <v>-5.225488823407243E-12</v>
      </c>
      <c r="V263" s="736">
        <f t="shared" si="38"/>
        <v>0</v>
      </c>
      <c r="W263" s="735">
        <f t="shared" si="39"/>
        <v>182562.98292693761</v>
      </c>
      <c r="X263" s="737">
        <f t="shared" si="40"/>
        <v>0</v>
      </c>
      <c r="Y263" s="738">
        <f t="shared" si="41"/>
        <v>5705.0932164667947</v>
      </c>
    </row>
    <row r="264" spans="1:25">
      <c r="A264" s="754" t="str">
        <f>'Func Future Subs 2015'!A264</f>
        <v>Oldman River Dam 806S stage 1</v>
      </c>
      <c r="B264" s="754">
        <f>'Func Future Subs 2015'!B264</f>
        <v>1343</v>
      </c>
      <c r="C264" s="754">
        <f>'Func Future Subs 2015'!C264</f>
        <v>138</v>
      </c>
      <c r="D264" s="754">
        <f>'Func Future Subs 2015'!D264</f>
        <v>25</v>
      </c>
      <c r="E264" s="754" t="str">
        <f>'Func Future Subs 2015'!E264</f>
        <v>806S</v>
      </c>
      <c r="F264" s="754">
        <f>'Func Future Subs 2015'!F264</f>
        <v>160679.48286027124</v>
      </c>
      <c r="G264" s="754" t="str">
        <f>'Func Future Subs 2015'!G264</f>
        <v>AltaLink</v>
      </c>
      <c r="H264" s="754">
        <f>'Func Future Subs 2015'!H264</f>
        <v>2015</v>
      </c>
      <c r="I264" s="306">
        <f>+IF($H264=I$2,VLOOKUP($G264,Depreciation!$A$14:$L$18,7,FALSE)/2,IF($H264&lt;I$2,VLOOKUP($G264,Depreciation!$A$14:$L$18,7,FALSE),0))</f>
        <v>1.7228380322441735E-2</v>
      </c>
      <c r="J264" s="306">
        <f>+IF($H264=J$2,VLOOKUP($G264,Depreciation!$A$14:$L$18,8,FALSE)/2,IF($H264&lt;J$2,VLOOKUP($G264,Depreciation!$A$14:$L$18,8,FALSE),0))</f>
        <v>3.343407856743718E-2</v>
      </c>
      <c r="K264" s="306">
        <f>+IF($H264=K$2,VLOOKUP($G264,Depreciation!$A$14:$L$18,9,FALSE)/2,IF($H264&lt;K$2,VLOOKUP($G264,Depreciation!$A$14:$L$18,9,FALSE),0))</f>
        <v>3.343407856743718E-2</v>
      </c>
      <c r="L264" s="306">
        <f>+IF($H264=L$2,VLOOKUP($G264,Depreciation!$A$14:$L$18,10,FALSE)/2,IF($H264&lt;L$2,VLOOKUP($G264,Depreciation!$A$14:$L$18,10,FALSE),0))</f>
        <v>3.343407856743718E-2</v>
      </c>
      <c r="M264" s="306">
        <f>+IF($H264=M$2,VLOOKUP($G264,Depreciation!$A$14:$L$18,11,FALSE)/2,IF($H264&lt;M$2,VLOOKUP($G264,Depreciation!$A$14:$L$18,11,FALSE),0))</f>
        <v>3.343407856743718E-2</v>
      </c>
      <c r="N264" s="306">
        <f>+IF($H264=N$2,VLOOKUP($G264,Depreciation!$A$14:$L$18,12,FALSE)/2,IF($H264&lt;N$2,VLOOKUP($G264,Depreciation!$A$14:$L$18,12,FALSE),0))</f>
        <v>3.343407856743718E-2</v>
      </c>
      <c r="O264" s="307">
        <f t="shared" si="34"/>
        <v>152631.6189611564</v>
      </c>
      <c r="P264" s="732">
        <f>'Func Future Subs 2015'!P264</f>
        <v>0.96969696969696972</v>
      </c>
      <c r="Q264" s="732">
        <f>'Func Future Subs 2015'!Q264</f>
        <v>3.0303030303030304E-2</v>
      </c>
      <c r="R264" s="732">
        <f>'Func Future Subs 2015'!R264</f>
        <v>-2.7755575615628914E-17</v>
      </c>
      <c r="S264" s="735">
        <f t="shared" si="35"/>
        <v>148006.41838657591</v>
      </c>
      <c r="T264" s="735">
        <f t="shared" si="36"/>
        <v>4625.2005745804972</v>
      </c>
      <c r="U264" s="735">
        <f t="shared" si="37"/>
        <v>-4.2363784414122364E-12</v>
      </c>
      <c r="V264" s="736">
        <f t="shared" si="38"/>
        <v>0</v>
      </c>
      <c r="W264" s="735">
        <f t="shared" si="39"/>
        <v>148006.41838657591</v>
      </c>
      <c r="X264" s="737">
        <f t="shared" si="40"/>
        <v>0</v>
      </c>
      <c r="Y264" s="738">
        <f t="shared" si="41"/>
        <v>4625.2005745804927</v>
      </c>
    </row>
    <row r="265" spans="1:25">
      <c r="A265" s="754" t="str">
        <f>'Func Future Subs 2015'!A265</f>
        <v>Summerview 354S stage 2</v>
      </c>
      <c r="B265" s="754">
        <f>'Func Future Subs 2015'!B265</f>
        <v>1343</v>
      </c>
      <c r="C265" s="754">
        <f>'Func Future Subs 2015'!C265</f>
        <v>138</v>
      </c>
      <c r="D265" s="754">
        <f>'Func Future Subs 2015'!D265</f>
        <v>25</v>
      </c>
      <c r="E265" s="754" t="str">
        <f>'Func Future Subs 2015'!E265</f>
        <v>354S</v>
      </c>
      <c r="F265" s="754">
        <f>'Func Future Subs 2015'!F265</f>
        <v>198194.95671810306</v>
      </c>
      <c r="G265" s="754" t="str">
        <f>'Func Future Subs 2015'!G265</f>
        <v>AltaLink</v>
      </c>
      <c r="H265" s="754">
        <f>'Func Future Subs 2015'!H265</f>
        <v>2015</v>
      </c>
      <c r="I265" s="306">
        <f>+IF($H265=I$2,VLOOKUP($G265,Depreciation!$A$14:$L$18,7,FALSE)/2,IF($H265&lt;I$2,VLOOKUP($G265,Depreciation!$A$14:$L$18,7,FALSE),0))</f>
        <v>1.7228380322441735E-2</v>
      </c>
      <c r="J265" s="306">
        <f>+IF($H265=J$2,VLOOKUP($G265,Depreciation!$A$14:$L$18,8,FALSE)/2,IF($H265&lt;J$2,VLOOKUP($G265,Depreciation!$A$14:$L$18,8,FALSE),0))</f>
        <v>3.343407856743718E-2</v>
      </c>
      <c r="K265" s="306">
        <f>+IF($H265=K$2,VLOOKUP($G265,Depreciation!$A$14:$L$18,9,FALSE)/2,IF($H265&lt;K$2,VLOOKUP($G265,Depreciation!$A$14:$L$18,9,FALSE),0))</f>
        <v>3.343407856743718E-2</v>
      </c>
      <c r="L265" s="306">
        <f>+IF($H265=L$2,VLOOKUP($G265,Depreciation!$A$14:$L$18,10,FALSE)/2,IF($H265&lt;L$2,VLOOKUP($G265,Depreciation!$A$14:$L$18,10,FALSE),0))</f>
        <v>3.343407856743718E-2</v>
      </c>
      <c r="M265" s="306">
        <f>+IF($H265=M$2,VLOOKUP($G265,Depreciation!$A$14:$L$18,11,FALSE)/2,IF($H265&lt;M$2,VLOOKUP($G265,Depreciation!$A$14:$L$18,11,FALSE),0))</f>
        <v>3.343407856743718E-2</v>
      </c>
      <c r="N265" s="306">
        <f>+IF($H265=N$2,VLOOKUP($G265,Depreciation!$A$14:$L$18,12,FALSE)/2,IF($H265&lt;N$2,VLOOKUP($G265,Depreciation!$A$14:$L$18,12,FALSE),0))</f>
        <v>3.343407856743718E-2</v>
      </c>
      <c r="O265" s="307">
        <f t="shared" si="34"/>
        <v>188268.07614340441</v>
      </c>
      <c r="P265" s="732">
        <f>'Func Future Subs 2015'!P265</f>
        <v>0.9882352941176471</v>
      </c>
      <c r="Q265" s="732">
        <f>'Func Future Subs 2015'!Q265</f>
        <v>1.1764705882352941E-2</v>
      </c>
      <c r="R265" s="732">
        <f>'Func Future Subs 2015'!R265</f>
        <v>-4.163336342344337E-17</v>
      </c>
      <c r="S265" s="735">
        <f t="shared" si="35"/>
        <v>186053.15760054084</v>
      </c>
      <c r="T265" s="735">
        <f t="shared" si="36"/>
        <v>2214.9185428635815</v>
      </c>
      <c r="U265" s="735">
        <f t="shared" si="37"/>
        <v>-7.8382332351108638E-12</v>
      </c>
      <c r="V265" s="736">
        <f t="shared" si="38"/>
        <v>0</v>
      </c>
      <c r="W265" s="735">
        <f t="shared" si="39"/>
        <v>186053.15760054084</v>
      </c>
      <c r="X265" s="737">
        <f t="shared" si="40"/>
        <v>0</v>
      </c>
      <c r="Y265" s="738">
        <f t="shared" si="41"/>
        <v>2214.9185428635737</v>
      </c>
    </row>
    <row r="266" spans="1:25">
      <c r="A266" s="754" t="str">
        <f>'Func Future Subs 2015'!A266</f>
        <v>Summerview 806S stage 1</v>
      </c>
      <c r="B266" s="754">
        <f>'Func Future Subs 2015'!B266</f>
        <v>1343</v>
      </c>
      <c r="C266" s="754">
        <f>'Func Future Subs 2015'!C266</f>
        <v>138</v>
      </c>
      <c r="D266" s="754">
        <f>'Func Future Subs 2015'!D266</f>
        <v>25</v>
      </c>
      <c r="E266" s="754" t="str">
        <f>'Func Future Subs 2015'!E266</f>
        <v>806S</v>
      </c>
      <c r="F266" s="754">
        <f>'Func Future Subs 2015'!F266</f>
        <v>183870.33605659907</v>
      </c>
      <c r="G266" s="754" t="str">
        <f>'Func Future Subs 2015'!G266</f>
        <v>AltaLink</v>
      </c>
      <c r="H266" s="754">
        <f>'Func Future Subs 2015'!H266</f>
        <v>2015</v>
      </c>
      <c r="I266" s="306">
        <f>+IF($H266=I$2,VLOOKUP($G266,Depreciation!$A$14:$L$18,7,FALSE)/2,IF($H266&lt;I$2,VLOOKUP($G266,Depreciation!$A$14:$L$18,7,FALSE),0))</f>
        <v>1.7228380322441735E-2</v>
      </c>
      <c r="J266" s="306">
        <f>+IF($H266=J$2,VLOOKUP($G266,Depreciation!$A$14:$L$18,8,FALSE)/2,IF($H266&lt;J$2,VLOOKUP($G266,Depreciation!$A$14:$L$18,8,FALSE),0))</f>
        <v>3.343407856743718E-2</v>
      </c>
      <c r="K266" s="306">
        <f>+IF($H266=K$2,VLOOKUP($G266,Depreciation!$A$14:$L$18,9,FALSE)/2,IF($H266&lt;K$2,VLOOKUP($G266,Depreciation!$A$14:$L$18,9,FALSE),0))</f>
        <v>3.343407856743718E-2</v>
      </c>
      <c r="L266" s="306">
        <f>+IF($H266=L$2,VLOOKUP($G266,Depreciation!$A$14:$L$18,10,FALSE)/2,IF($H266&lt;L$2,VLOOKUP($G266,Depreciation!$A$14:$L$18,10,FALSE),0))</f>
        <v>3.343407856743718E-2</v>
      </c>
      <c r="M266" s="306">
        <f>+IF($H266=M$2,VLOOKUP($G266,Depreciation!$A$14:$L$18,11,FALSE)/2,IF($H266&lt;M$2,VLOOKUP($G266,Depreciation!$A$14:$L$18,11,FALSE),0))</f>
        <v>3.343407856743718E-2</v>
      </c>
      <c r="N266" s="306">
        <f>+IF($H266=N$2,VLOOKUP($G266,Depreciation!$A$14:$L$18,12,FALSE)/2,IF($H266&lt;N$2,VLOOKUP($G266,Depreciation!$A$14:$L$18,12,FALSE),0))</f>
        <v>3.343407856743718E-2</v>
      </c>
      <c r="O266" s="307">
        <f t="shared" si="34"/>
        <v>174660.92479060165</v>
      </c>
      <c r="P266" s="732">
        <f>'Func Future Subs 2015'!P266</f>
        <v>0.96969696969696972</v>
      </c>
      <c r="Q266" s="732">
        <f>'Func Future Subs 2015'!Q266</f>
        <v>3.0303030303030304E-2</v>
      </c>
      <c r="R266" s="732">
        <f>'Func Future Subs 2015'!R266</f>
        <v>-2.7755575615628914E-17</v>
      </c>
      <c r="S266" s="735">
        <f t="shared" si="35"/>
        <v>169368.16949391676</v>
      </c>
      <c r="T266" s="735">
        <f t="shared" si="36"/>
        <v>5292.7552966848989</v>
      </c>
      <c r="U266" s="735">
        <f t="shared" si="37"/>
        <v>-4.8478145051212189E-12</v>
      </c>
      <c r="V266" s="736">
        <f t="shared" si="38"/>
        <v>0</v>
      </c>
      <c r="W266" s="735">
        <f t="shared" si="39"/>
        <v>169368.16949391676</v>
      </c>
      <c r="X266" s="737">
        <f t="shared" si="40"/>
        <v>0</v>
      </c>
      <c r="Y266" s="738">
        <f t="shared" si="41"/>
        <v>5292.7552966848943</v>
      </c>
    </row>
    <row r="267" spans="1:25">
      <c r="A267" s="754" t="str">
        <f>'Func Future Subs 2015'!A267</f>
        <v>Windy Point 112S stage 1</v>
      </c>
      <c r="B267" s="754">
        <f>'Func Future Subs 2015'!B267</f>
        <v>1343</v>
      </c>
      <c r="C267" s="754">
        <f>'Func Future Subs 2015'!C267</f>
        <v>138</v>
      </c>
      <c r="D267" s="754">
        <f>'Func Future Subs 2015'!D267</f>
        <v>25</v>
      </c>
      <c r="E267" s="754" t="str">
        <f>'Func Future Subs 2015'!E267</f>
        <v>112S</v>
      </c>
      <c r="F267" s="754">
        <f>'Func Future Subs 2015'!F267</f>
        <v>160679.48286027124</v>
      </c>
      <c r="G267" s="754" t="str">
        <f>'Func Future Subs 2015'!G267</f>
        <v>AltaLink</v>
      </c>
      <c r="H267" s="754">
        <f>'Func Future Subs 2015'!H267</f>
        <v>2015</v>
      </c>
      <c r="I267" s="306">
        <f>+IF($H267=I$2,VLOOKUP($G267,Depreciation!$A$14:$L$18,7,FALSE)/2,IF($H267&lt;I$2,VLOOKUP($G267,Depreciation!$A$14:$L$18,7,FALSE),0))</f>
        <v>1.7228380322441735E-2</v>
      </c>
      <c r="J267" s="306">
        <f>+IF($H267=J$2,VLOOKUP($G267,Depreciation!$A$14:$L$18,8,FALSE)/2,IF($H267&lt;J$2,VLOOKUP($G267,Depreciation!$A$14:$L$18,8,FALSE),0))</f>
        <v>3.343407856743718E-2</v>
      </c>
      <c r="K267" s="306">
        <f>+IF($H267=K$2,VLOOKUP($G267,Depreciation!$A$14:$L$18,9,FALSE)/2,IF($H267&lt;K$2,VLOOKUP($G267,Depreciation!$A$14:$L$18,9,FALSE),0))</f>
        <v>3.343407856743718E-2</v>
      </c>
      <c r="L267" s="306">
        <f>+IF($H267=L$2,VLOOKUP($G267,Depreciation!$A$14:$L$18,10,FALSE)/2,IF($H267&lt;L$2,VLOOKUP($G267,Depreciation!$A$14:$L$18,10,FALSE),0))</f>
        <v>3.343407856743718E-2</v>
      </c>
      <c r="M267" s="306">
        <f>+IF($H267=M$2,VLOOKUP($G267,Depreciation!$A$14:$L$18,11,FALSE)/2,IF($H267&lt;M$2,VLOOKUP($G267,Depreciation!$A$14:$L$18,11,FALSE),0))</f>
        <v>3.343407856743718E-2</v>
      </c>
      <c r="N267" s="306">
        <f>+IF($H267=N$2,VLOOKUP($G267,Depreciation!$A$14:$L$18,12,FALSE)/2,IF($H267&lt;N$2,VLOOKUP($G267,Depreciation!$A$14:$L$18,12,FALSE),0))</f>
        <v>3.343407856743718E-2</v>
      </c>
      <c r="O267" s="307">
        <f t="shared" si="34"/>
        <v>152631.6189611564</v>
      </c>
      <c r="P267" s="732">
        <f>'Func Future Subs 2015'!P267</f>
        <v>0.98712446351931327</v>
      </c>
      <c r="Q267" s="732">
        <f>'Func Future Subs 2015'!Q267</f>
        <v>1.2875536480686695E-2</v>
      </c>
      <c r="R267" s="732">
        <f>'Func Future Subs 2015'!R267</f>
        <v>3.8163916471489756E-17</v>
      </c>
      <c r="S267" s="735">
        <f t="shared" si="35"/>
        <v>150666.40498311576</v>
      </c>
      <c r="T267" s="735">
        <f t="shared" si="36"/>
        <v>1965.2139780406403</v>
      </c>
      <c r="U267" s="735">
        <f t="shared" si="37"/>
        <v>5.8250203569418253E-12</v>
      </c>
      <c r="V267" s="736">
        <f t="shared" si="38"/>
        <v>0</v>
      </c>
      <c r="W267" s="735">
        <f t="shared" si="39"/>
        <v>150666.40498311576</v>
      </c>
      <c r="X267" s="737">
        <f t="shared" si="40"/>
        <v>0</v>
      </c>
      <c r="Y267" s="738">
        <f t="shared" si="41"/>
        <v>1965.2139780406462</v>
      </c>
    </row>
    <row r="268" spans="1:25">
      <c r="A268" s="754" t="str">
        <f>'Func Future Subs 2015'!A268</f>
        <v>Windy Point 112S stage 2</v>
      </c>
      <c r="B268" s="754">
        <f>'Func Future Subs 2015'!B268</f>
        <v>1343</v>
      </c>
      <c r="C268" s="754">
        <f>'Func Future Subs 2015'!C268</f>
        <v>138</v>
      </c>
      <c r="D268" s="754">
        <f>'Func Future Subs 2015'!D268</f>
        <v>25</v>
      </c>
      <c r="E268" s="754" t="str">
        <f>'Func Future Subs 2015'!E268</f>
        <v>112S</v>
      </c>
      <c r="F268" s="754">
        <f>'Func Future Subs 2015'!F268</f>
        <v>198194.95671810306</v>
      </c>
      <c r="G268" s="754" t="str">
        <f>'Func Future Subs 2015'!G268</f>
        <v>AltaLink</v>
      </c>
      <c r="H268" s="754">
        <f>'Func Future Subs 2015'!H268</f>
        <v>2015</v>
      </c>
      <c r="I268" s="306">
        <f>+IF($H268=I$2,VLOOKUP($G268,Depreciation!$A$14:$L$18,7,FALSE)/2,IF($H268&lt;I$2,VLOOKUP($G268,Depreciation!$A$14:$L$18,7,FALSE),0))</f>
        <v>1.7228380322441735E-2</v>
      </c>
      <c r="J268" s="306">
        <f>+IF($H268=J$2,VLOOKUP($G268,Depreciation!$A$14:$L$18,8,FALSE)/2,IF($H268&lt;J$2,VLOOKUP($G268,Depreciation!$A$14:$L$18,8,FALSE),0))</f>
        <v>3.343407856743718E-2</v>
      </c>
      <c r="K268" s="306">
        <f>+IF($H268=K$2,VLOOKUP($G268,Depreciation!$A$14:$L$18,9,FALSE)/2,IF($H268&lt;K$2,VLOOKUP($G268,Depreciation!$A$14:$L$18,9,FALSE),0))</f>
        <v>3.343407856743718E-2</v>
      </c>
      <c r="L268" s="306">
        <f>+IF($H268=L$2,VLOOKUP($G268,Depreciation!$A$14:$L$18,10,FALSE)/2,IF($H268&lt;L$2,VLOOKUP($G268,Depreciation!$A$14:$L$18,10,FALSE),0))</f>
        <v>3.343407856743718E-2</v>
      </c>
      <c r="M268" s="306">
        <f>+IF($H268=M$2,VLOOKUP($G268,Depreciation!$A$14:$L$18,11,FALSE)/2,IF($H268&lt;M$2,VLOOKUP($G268,Depreciation!$A$14:$L$18,11,FALSE),0))</f>
        <v>3.343407856743718E-2</v>
      </c>
      <c r="N268" s="306">
        <f>+IF($H268=N$2,VLOOKUP($G268,Depreciation!$A$14:$L$18,12,FALSE)/2,IF($H268&lt;N$2,VLOOKUP($G268,Depreciation!$A$14:$L$18,12,FALSE),0))</f>
        <v>3.343407856743718E-2</v>
      </c>
      <c r="O268" s="307">
        <f t="shared" si="34"/>
        <v>188268.07614340441</v>
      </c>
      <c r="P268" s="732">
        <f>'Func Future Subs 2015'!P268</f>
        <v>0.98712446351931327</v>
      </c>
      <c r="Q268" s="732">
        <f>'Func Future Subs 2015'!Q268</f>
        <v>1.2875536480686695E-2</v>
      </c>
      <c r="R268" s="732">
        <f>'Func Future Subs 2015'!R268</f>
        <v>3.8163916471489756E-17</v>
      </c>
      <c r="S268" s="735">
        <f t="shared" si="35"/>
        <v>185844.02366087129</v>
      </c>
      <c r="T268" s="735">
        <f t="shared" si="36"/>
        <v>2424.052482533104</v>
      </c>
      <c r="U268" s="735">
        <f t="shared" si="37"/>
        <v>7.185047132184959E-12</v>
      </c>
      <c r="V268" s="736">
        <f t="shared" si="38"/>
        <v>0</v>
      </c>
      <c r="W268" s="735">
        <f t="shared" si="39"/>
        <v>185844.02366087129</v>
      </c>
      <c r="X268" s="737">
        <f t="shared" si="40"/>
        <v>0</v>
      </c>
      <c r="Y268" s="738">
        <f t="shared" si="41"/>
        <v>2424.0524825331113</v>
      </c>
    </row>
    <row r="269" spans="1:25">
      <c r="A269" s="754" t="str">
        <f>'Func Future Subs 2015'!A269</f>
        <v>Secord 2005S</v>
      </c>
      <c r="B269" s="754">
        <f>'Func Future Subs 2015'!B269</f>
        <v>1348</v>
      </c>
      <c r="C269" s="754">
        <f>'Func Future Subs 2015'!C269</f>
        <v>240</v>
      </c>
      <c r="D269" s="754">
        <f>'Func Future Subs 2015'!D269</f>
        <v>25</v>
      </c>
      <c r="E269" s="754" t="str">
        <f>'Func Future Subs 2015'!E269</f>
        <v>2005S</v>
      </c>
      <c r="F269" s="754">
        <f>'Func Future Subs 2015'!F269</f>
        <v>19212616.594896249</v>
      </c>
      <c r="G269" s="754" t="str">
        <f>'Func Future Subs 2015'!G269</f>
        <v>ATCO</v>
      </c>
      <c r="H269" s="754">
        <f>'Func Future Subs 2015'!H269</f>
        <v>2016</v>
      </c>
      <c r="I269" s="306">
        <f>+IF($H269=I$2,VLOOKUP($G269,Depreciation!$A$14:$L$18,7,FALSE)/2,IF($H269&lt;I$2,VLOOKUP($G269,Depreciation!$A$14:$L$18,7,FALSE),0))</f>
        <v>0</v>
      </c>
      <c r="J269" s="306">
        <f>+IF($H269=J$2,VLOOKUP($G269,Depreciation!$A$14:$L$18,8,FALSE)/2,IF($H269&lt;J$2,VLOOKUP($G269,Depreciation!$A$14:$L$18,8,FALSE),0))</f>
        <v>1.231622525054236E-2</v>
      </c>
      <c r="K269" s="306">
        <f>+IF($H269=K$2,VLOOKUP($G269,Depreciation!$A$14:$L$18,9,FALSE)/2,IF($H269&lt;K$2,VLOOKUP($G269,Depreciation!$A$14:$L$18,9,FALSE),0))</f>
        <v>2.4351536427798831E-2</v>
      </c>
      <c r="L269" s="306">
        <f>+IF($H269=L$2,VLOOKUP($G269,Depreciation!$A$14:$L$18,10,FALSE)/2,IF($H269&lt;L$2,VLOOKUP($G269,Depreciation!$A$14:$L$18,10,FALSE),0))</f>
        <v>2.4351536427798831E-2</v>
      </c>
      <c r="M269" s="306">
        <f>+IF($H269=M$2,VLOOKUP($G269,Depreciation!$A$14:$L$18,11,FALSE)/2,IF($H269&lt;M$2,VLOOKUP($G269,Depreciation!$A$14:$L$18,11,FALSE),0))</f>
        <v>2.4351536427798831E-2</v>
      </c>
      <c r="N269" s="306">
        <f>+IF($H269=N$2,VLOOKUP($G269,Depreciation!$A$14:$L$18,12,FALSE)/2,IF($H269&lt;N$2,VLOOKUP($G269,Depreciation!$A$14:$L$18,12,FALSE),0))</f>
        <v>2.4351536427798831E-2</v>
      </c>
      <c r="O269" s="307">
        <f t="shared" si="34"/>
        <v>18975989.6812612</v>
      </c>
      <c r="P269" s="732">
        <f>'Func Future Subs 2015'!P269</f>
        <v>0</v>
      </c>
      <c r="Q269" s="732">
        <f>'Func Future Subs 2015'!Q269</f>
        <v>1</v>
      </c>
      <c r="R269" s="732">
        <f>'Func Future Subs 2015'!R269</f>
        <v>0</v>
      </c>
      <c r="S269" s="735">
        <f t="shared" si="35"/>
        <v>0</v>
      </c>
      <c r="T269" s="735">
        <f t="shared" si="36"/>
        <v>18975989.6812612</v>
      </c>
      <c r="U269" s="735">
        <f t="shared" si="37"/>
        <v>0</v>
      </c>
      <c r="V269" s="736">
        <f t="shared" si="38"/>
        <v>0</v>
      </c>
      <c r="W269" s="735">
        <f t="shared" si="39"/>
        <v>0</v>
      </c>
      <c r="X269" s="737">
        <f t="shared" si="40"/>
        <v>0</v>
      </c>
      <c r="Y269" s="738">
        <f t="shared" si="41"/>
        <v>18975989.6812612</v>
      </c>
    </row>
    <row r="270" spans="1:25">
      <c r="A270" s="754" t="str">
        <f>'Func Future Subs 2015'!A270</f>
        <v>Substation Joslyn 849S</v>
      </c>
      <c r="B270" s="754">
        <f>'Func Future Subs 2015'!B270</f>
        <v>1348</v>
      </c>
      <c r="C270" s="754">
        <f>'Func Future Subs 2015'!C270</f>
        <v>240</v>
      </c>
      <c r="D270" s="754">
        <f>'Func Future Subs 2015'!D270</f>
        <v>25</v>
      </c>
      <c r="E270" s="754" t="str">
        <f>'Func Future Subs 2015'!E270</f>
        <v>849S</v>
      </c>
      <c r="F270" s="754">
        <f>'Func Future Subs 2015'!F270</f>
        <v>60415.913503386022</v>
      </c>
      <c r="G270" s="754" t="str">
        <f>'Func Future Subs 2015'!G270</f>
        <v>ATCO</v>
      </c>
      <c r="H270" s="754">
        <f>'Func Future Subs 2015'!H270</f>
        <v>2016</v>
      </c>
      <c r="I270" s="306">
        <f>+IF($H270=I$2,VLOOKUP($G270,Depreciation!$A$14:$L$18,7,FALSE)/2,IF($H270&lt;I$2,VLOOKUP($G270,Depreciation!$A$14:$L$18,7,FALSE),0))</f>
        <v>0</v>
      </c>
      <c r="J270" s="306">
        <f>+IF($H270=J$2,VLOOKUP($G270,Depreciation!$A$14:$L$18,8,FALSE)/2,IF($H270&lt;J$2,VLOOKUP($G270,Depreciation!$A$14:$L$18,8,FALSE),0))</f>
        <v>1.231622525054236E-2</v>
      </c>
      <c r="K270" s="306">
        <f>+IF($H270=K$2,VLOOKUP($G270,Depreciation!$A$14:$L$18,9,FALSE)/2,IF($H270&lt;K$2,VLOOKUP($G270,Depreciation!$A$14:$L$18,9,FALSE),0))</f>
        <v>2.4351536427798831E-2</v>
      </c>
      <c r="L270" s="306">
        <f>+IF($H270=L$2,VLOOKUP($G270,Depreciation!$A$14:$L$18,10,FALSE)/2,IF($H270&lt;L$2,VLOOKUP($G270,Depreciation!$A$14:$L$18,10,FALSE),0))</f>
        <v>2.4351536427798831E-2</v>
      </c>
      <c r="M270" s="306">
        <f>+IF($H270=M$2,VLOOKUP($G270,Depreciation!$A$14:$L$18,11,FALSE)/2,IF($H270&lt;M$2,VLOOKUP($G270,Depreciation!$A$14:$L$18,11,FALSE),0))</f>
        <v>2.4351536427798831E-2</v>
      </c>
      <c r="N270" s="306">
        <f>+IF($H270=N$2,VLOOKUP($G270,Depreciation!$A$14:$L$18,12,FALSE)/2,IF($H270&lt;N$2,VLOOKUP($G270,Depreciation!$A$14:$L$18,12,FALSE),0))</f>
        <v>2.4351536427798831E-2</v>
      </c>
      <c r="O270" s="307">
        <f t="shared" si="34"/>
        <v>59671.817503961036</v>
      </c>
      <c r="P270" s="732">
        <f>'Func Future Subs 2015'!P270</f>
        <v>0</v>
      </c>
      <c r="Q270" s="732">
        <f>'Func Future Subs 2015'!Q270</f>
        <v>1</v>
      </c>
      <c r="R270" s="732">
        <f>'Func Future Subs 2015'!R270</f>
        <v>0</v>
      </c>
      <c r="S270" s="735">
        <f t="shared" si="35"/>
        <v>0</v>
      </c>
      <c r="T270" s="735">
        <f t="shared" si="36"/>
        <v>59671.817503961036</v>
      </c>
      <c r="U270" s="735">
        <f t="shared" si="37"/>
        <v>0</v>
      </c>
      <c r="V270" s="736">
        <f t="shared" si="38"/>
        <v>0</v>
      </c>
      <c r="W270" s="735">
        <f t="shared" si="39"/>
        <v>0</v>
      </c>
      <c r="X270" s="737">
        <f t="shared" si="40"/>
        <v>0</v>
      </c>
      <c r="Y270" s="738">
        <f t="shared" si="41"/>
        <v>59671.817503961036</v>
      </c>
    </row>
    <row r="271" spans="1:25">
      <c r="A271" s="754" t="str">
        <f>'Func Future Subs 2015'!A271</f>
        <v>Substation McClelland 957S</v>
      </c>
      <c r="B271" s="754">
        <f>'Func Future Subs 2015'!B271</f>
        <v>1348</v>
      </c>
      <c r="C271" s="754">
        <f>'Func Future Subs 2015'!C271</f>
        <v>240</v>
      </c>
      <c r="D271" s="754">
        <f>'Func Future Subs 2015'!D271</f>
        <v>25</v>
      </c>
      <c r="E271" s="754" t="str">
        <f>'Func Future Subs 2015'!E271</f>
        <v>957S</v>
      </c>
      <c r="F271" s="754">
        <f>'Func Future Subs 2015'!F271</f>
        <v>68295.591211377177</v>
      </c>
      <c r="G271" s="754" t="str">
        <f>'Func Future Subs 2015'!G271</f>
        <v>ATCO</v>
      </c>
      <c r="H271" s="754">
        <f>'Func Future Subs 2015'!H271</f>
        <v>2016</v>
      </c>
      <c r="I271" s="306">
        <f>+IF($H271=I$2,VLOOKUP($G271,Depreciation!$A$14:$L$18,7,FALSE)/2,IF($H271&lt;I$2,VLOOKUP($G271,Depreciation!$A$14:$L$18,7,FALSE),0))</f>
        <v>0</v>
      </c>
      <c r="J271" s="306">
        <f>+IF($H271=J$2,VLOOKUP($G271,Depreciation!$A$14:$L$18,8,FALSE)/2,IF($H271&lt;J$2,VLOOKUP($G271,Depreciation!$A$14:$L$18,8,FALSE),0))</f>
        <v>1.231622525054236E-2</v>
      </c>
      <c r="K271" s="306">
        <f>+IF($H271=K$2,VLOOKUP($G271,Depreciation!$A$14:$L$18,9,FALSE)/2,IF($H271&lt;K$2,VLOOKUP($G271,Depreciation!$A$14:$L$18,9,FALSE),0))</f>
        <v>2.4351536427798831E-2</v>
      </c>
      <c r="L271" s="306">
        <f>+IF($H271=L$2,VLOOKUP($G271,Depreciation!$A$14:$L$18,10,FALSE)/2,IF($H271&lt;L$2,VLOOKUP($G271,Depreciation!$A$14:$L$18,10,FALSE),0))</f>
        <v>2.4351536427798831E-2</v>
      </c>
      <c r="M271" s="306">
        <f>+IF($H271=M$2,VLOOKUP($G271,Depreciation!$A$14:$L$18,11,FALSE)/2,IF($H271&lt;M$2,VLOOKUP($G271,Depreciation!$A$14:$L$18,11,FALSE),0))</f>
        <v>2.4351536427798831E-2</v>
      </c>
      <c r="N271" s="306">
        <f>+IF($H271=N$2,VLOOKUP($G271,Depreciation!$A$14:$L$18,12,FALSE)/2,IF($H271&lt;N$2,VLOOKUP($G271,Depreciation!$A$14:$L$18,12,FALSE),0))</f>
        <v>2.4351536427798831E-2</v>
      </c>
      <c r="O271" s="307">
        <f t="shared" si="34"/>
        <v>67454.447326398891</v>
      </c>
      <c r="P271" s="732">
        <f>'Func Future Subs 2015'!P271</f>
        <v>0</v>
      </c>
      <c r="Q271" s="732">
        <f>'Func Future Subs 2015'!Q271</f>
        <v>1</v>
      </c>
      <c r="R271" s="732">
        <f>'Func Future Subs 2015'!R271</f>
        <v>0</v>
      </c>
      <c r="S271" s="735">
        <f t="shared" si="35"/>
        <v>0</v>
      </c>
      <c r="T271" s="735">
        <f t="shared" si="36"/>
        <v>67454.447326398891</v>
      </c>
      <c r="U271" s="735">
        <f t="shared" si="37"/>
        <v>0</v>
      </c>
      <c r="V271" s="736">
        <f t="shared" si="38"/>
        <v>0</v>
      </c>
      <c r="W271" s="735">
        <f t="shared" si="39"/>
        <v>0</v>
      </c>
      <c r="X271" s="737">
        <f t="shared" si="40"/>
        <v>0</v>
      </c>
      <c r="Y271" s="738">
        <f t="shared" si="41"/>
        <v>67454.447326398891</v>
      </c>
    </row>
    <row r="272" spans="1:25">
      <c r="A272" s="754" t="str">
        <f>'Func Future Subs 2015'!A272</f>
        <v>Queensland 301S</v>
      </c>
      <c r="B272" s="754">
        <f>'Func Future Subs 2015'!B272</f>
        <v>1349</v>
      </c>
      <c r="C272" s="754">
        <f>'Func Future Subs 2015'!C272</f>
        <v>138</v>
      </c>
      <c r="D272" s="754">
        <f>'Func Future Subs 2015'!D272</f>
        <v>25</v>
      </c>
      <c r="E272" s="754" t="str">
        <f>'Func Future Subs 2015'!E272</f>
        <v>301S</v>
      </c>
      <c r="F272" s="754">
        <f>'Func Future Subs 2015'!F272</f>
        <v>9656869.9129486643</v>
      </c>
      <c r="G272" s="754" t="str">
        <f>'Func Future Subs 2015'!G272</f>
        <v>AltaLink</v>
      </c>
      <c r="H272" s="754">
        <f>'Func Future Subs 2015'!H272</f>
        <v>2015</v>
      </c>
      <c r="I272" s="306">
        <f>+IF($H272=I$2,VLOOKUP($G272,Depreciation!$A$14:$L$18,7,FALSE)/2,IF($H272&lt;I$2,VLOOKUP($G272,Depreciation!$A$14:$L$18,7,FALSE),0))</f>
        <v>1.7228380322441735E-2</v>
      </c>
      <c r="J272" s="306">
        <f>+IF($H272=J$2,VLOOKUP($G272,Depreciation!$A$14:$L$18,8,FALSE)/2,IF($H272&lt;J$2,VLOOKUP($G272,Depreciation!$A$14:$L$18,8,FALSE),0))</f>
        <v>3.343407856743718E-2</v>
      </c>
      <c r="K272" s="306">
        <f>+IF($H272=K$2,VLOOKUP($G272,Depreciation!$A$14:$L$18,9,FALSE)/2,IF($H272&lt;K$2,VLOOKUP($G272,Depreciation!$A$14:$L$18,9,FALSE),0))</f>
        <v>3.343407856743718E-2</v>
      </c>
      <c r="L272" s="306">
        <f>+IF($H272=L$2,VLOOKUP($G272,Depreciation!$A$14:$L$18,10,FALSE)/2,IF($H272&lt;L$2,VLOOKUP($G272,Depreciation!$A$14:$L$18,10,FALSE),0))</f>
        <v>3.343407856743718E-2</v>
      </c>
      <c r="M272" s="306">
        <f>+IF($H272=M$2,VLOOKUP($G272,Depreciation!$A$14:$L$18,11,FALSE)/2,IF($H272&lt;M$2,VLOOKUP($G272,Depreciation!$A$14:$L$18,11,FALSE),0))</f>
        <v>3.343407856743718E-2</v>
      </c>
      <c r="N272" s="306">
        <f>+IF($H272=N$2,VLOOKUP($G272,Depreciation!$A$14:$L$18,12,FALSE)/2,IF($H272&lt;N$2,VLOOKUP($G272,Depreciation!$A$14:$L$18,12,FALSE),0))</f>
        <v>3.343407856743718E-2</v>
      </c>
      <c r="O272" s="307">
        <f t="shared" si="34"/>
        <v>9173191.6401074976</v>
      </c>
      <c r="P272" s="732">
        <f>'Func Future Subs 2015'!P272</f>
        <v>0</v>
      </c>
      <c r="Q272" s="732">
        <f>'Func Future Subs 2015'!Q272</f>
        <v>0</v>
      </c>
      <c r="R272" s="732">
        <f>'Func Future Subs 2015'!R272</f>
        <v>1</v>
      </c>
      <c r="S272" s="735">
        <f t="shared" si="35"/>
        <v>0</v>
      </c>
      <c r="T272" s="735">
        <f t="shared" si="36"/>
        <v>0</v>
      </c>
      <c r="U272" s="735">
        <f t="shared" si="37"/>
        <v>9173191.6401074976</v>
      </c>
      <c r="V272" s="736">
        <f t="shared" si="38"/>
        <v>0</v>
      </c>
      <c r="W272" s="735">
        <f t="shared" si="39"/>
        <v>0</v>
      </c>
      <c r="X272" s="737">
        <f t="shared" si="40"/>
        <v>0</v>
      </c>
      <c r="Y272" s="738">
        <f t="shared" si="41"/>
        <v>9173191.6401074976</v>
      </c>
    </row>
    <row r="273" spans="1:25">
      <c r="A273" s="754" t="str">
        <f>'Func Future Subs 2015'!A273</f>
        <v>Strome 223S</v>
      </c>
      <c r="B273" s="754">
        <f>'Func Future Subs 2015'!B273</f>
        <v>1350</v>
      </c>
      <c r="C273" s="754">
        <f>'Func Future Subs 2015'!C273</f>
        <v>138</v>
      </c>
      <c r="D273" s="754">
        <f>'Func Future Subs 2015'!D273</f>
        <v>25</v>
      </c>
      <c r="E273" s="754" t="str">
        <f>'Func Future Subs 2015'!E273</f>
        <v>223S</v>
      </c>
      <c r="F273" s="754">
        <f>'Func Future Subs 2015'!F273</f>
        <v>6530874.9999999981</v>
      </c>
      <c r="G273" s="754" t="str">
        <f>'Func Future Subs 2015'!G273</f>
        <v>AltaLink</v>
      </c>
      <c r="H273" s="754">
        <f>'Func Future Subs 2015'!H273</f>
        <v>2015</v>
      </c>
      <c r="I273" s="306">
        <f>+IF($H273=I$2,VLOOKUP($G273,Depreciation!$A$14:$L$18,7,FALSE)/2,IF($H273&lt;I$2,VLOOKUP($G273,Depreciation!$A$14:$L$18,7,FALSE),0))</f>
        <v>1.7228380322441735E-2</v>
      </c>
      <c r="J273" s="306">
        <f>+IF($H273=J$2,VLOOKUP($G273,Depreciation!$A$14:$L$18,8,FALSE)/2,IF($H273&lt;J$2,VLOOKUP($G273,Depreciation!$A$14:$L$18,8,FALSE),0))</f>
        <v>3.343407856743718E-2</v>
      </c>
      <c r="K273" s="306">
        <f>+IF($H273=K$2,VLOOKUP($G273,Depreciation!$A$14:$L$18,9,FALSE)/2,IF($H273&lt;K$2,VLOOKUP($G273,Depreciation!$A$14:$L$18,9,FALSE),0))</f>
        <v>3.343407856743718E-2</v>
      </c>
      <c r="L273" s="306">
        <f>+IF($H273=L$2,VLOOKUP($G273,Depreciation!$A$14:$L$18,10,FALSE)/2,IF($H273&lt;L$2,VLOOKUP($G273,Depreciation!$A$14:$L$18,10,FALSE),0))</f>
        <v>3.343407856743718E-2</v>
      </c>
      <c r="M273" s="306">
        <f>+IF($H273=M$2,VLOOKUP($G273,Depreciation!$A$14:$L$18,11,FALSE)/2,IF($H273&lt;M$2,VLOOKUP($G273,Depreciation!$A$14:$L$18,11,FALSE),0))</f>
        <v>3.343407856743718E-2</v>
      </c>
      <c r="N273" s="306">
        <f>+IF($H273=N$2,VLOOKUP($G273,Depreciation!$A$14:$L$18,12,FALSE)/2,IF($H273&lt;N$2,VLOOKUP($G273,Depreciation!$A$14:$L$18,12,FALSE),0))</f>
        <v>3.343407856743718E-2</v>
      </c>
      <c r="O273" s="307">
        <f t="shared" si="34"/>
        <v>6203766.6958997287</v>
      </c>
      <c r="P273" s="732">
        <f>'Func Future Subs 2015'!P273</f>
        <v>0</v>
      </c>
      <c r="Q273" s="732">
        <f>'Func Future Subs 2015'!Q273</f>
        <v>1</v>
      </c>
      <c r="R273" s="732">
        <f>'Func Future Subs 2015'!R273</f>
        <v>0</v>
      </c>
      <c r="S273" s="735">
        <f t="shared" si="35"/>
        <v>0</v>
      </c>
      <c r="T273" s="735">
        <f t="shared" si="36"/>
        <v>6203766.6958997287</v>
      </c>
      <c r="U273" s="735">
        <f t="shared" si="37"/>
        <v>0</v>
      </c>
      <c r="V273" s="736">
        <f t="shared" si="38"/>
        <v>0</v>
      </c>
      <c r="W273" s="735">
        <f t="shared" si="39"/>
        <v>0</v>
      </c>
      <c r="X273" s="737">
        <f t="shared" si="40"/>
        <v>0</v>
      </c>
      <c r="Y273" s="738">
        <f t="shared" si="41"/>
        <v>6203766.6958997287</v>
      </c>
    </row>
    <row r="274" spans="1:25">
      <c r="A274" s="754" t="str">
        <f>'Func Future Subs 2015'!A274</f>
        <v>Substation No.26</v>
      </c>
      <c r="B274" s="754">
        <f>'Func Future Subs 2015'!B274</f>
        <v>1354</v>
      </c>
      <c r="C274" s="754">
        <f>'Func Future Subs 2015'!C274</f>
        <v>138</v>
      </c>
      <c r="D274" s="754">
        <f>'Func Future Subs 2015'!D274</f>
        <v>25</v>
      </c>
      <c r="E274" s="754" t="str">
        <f>'Func Future Subs 2015'!E274</f>
        <v>SS-26</v>
      </c>
      <c r="F274" s="754">
        <f>'Func Future Subs 2015'!F274</f>
        <v>114690.57505760195</v>
      </c>
      <c r="G274" s="754" t="str">
        <f>'Func Future Subs 2015'!G274</f>
        <v>ENMAX</v>
      </c>
      <c r="H274" s="754">
        <f>'Func Future Subs 2015'!H274</f>
        <v>2017</v>
      </c>
      <c r="I274" s="306">
        <f>+IF($H274=I$2,VLOOKUP($G274,Depreciation!$A$14:$L$18,7,FALSE)/2,IF($H274&lt;I$2,VLOOKUP($G274,Depreciation!$A$14:$L$18,7,FALSE),0))</f>
        <v>0</v>
      </c>
      <c r="J274" s="306">
        <f>+IF($H274=J$2,VLOOKUP($G274,Depreciation!$A$14:$L$18,8,FALSE)/2,IF($H274&lt;J$2,VLOOKUP($G274,Depreciation!$A$14:$L$18,8,FALSE),0))</f>
        <v>0</v>
      </c>
      <c r="K274" s="306">
        <f>+IF($H274=K$2,VLOOKUP($G274,Depreciation!$A$14:$L$18,9,FALSE)/2,IF($H274&lt;K$2,VLOOKUP($G274,Depreciation!$A$14:$L$18,9,FALSE),0))</f>
        <v>1.3928409269726289E-2</v>
      </c>
      <c r="L274" s="306">
        <f>+IF($H274=L$2,VLOOKUP($G274,Depreciation!$A$14:$L$18,10,FALSE)/2,IF($H274&lt;L$2,VLOOKUP($G274,Depreciation!$A$14:$L$18,10,FALSE),0))</f>
        <v>2.7856818539452578E-2</v>
      </c>
      <c r="M274" s="306">
        <f>+IF($H274=M$2,VLOOKUP($G274,Depreciation!$A$14:$L$18,11,FALSE)/2,IF($H274&lt;M$2,VLOOKUP($G274,Depreciation!$A$14:$L$18,11,FALSE),0))</f>
        <v>2.7856818539452578E-2</v>
      </c>
      <c r="N274" s="306">
        <f>+IF($H274=N$2,VLOOKUP($G274,Depreciation!$A$14:$L$18,12,FALSE)/2,IF($H274&lt;N$2,VLOOKUP($G274,Depreciation!$A$14:$L$18,12,FALSE),0))</f>
        <v>2.7856818539452578E-2</v>
      </c>
      <c r="O274" s="307">
        <f t="shared" si="34"/>
        <v>0</v>
      </c>
      <c r="P274" s="732">
        <f>'Func Future Subs 2015'!P274</f>
        <v>0</v>
      </c>
      <c r="Q274" s="732">
        <f>'Func Future Subs 2015'!Q274</f>
        <v>0</v>
      </c>
      <c r="R274" s="732">
        <f>'Func Future Subs 2015'!R274</f>
        <v>1</v>
      </c>
      <c r="S274" s="735">
        <f t="shared" si="35"/>
        <v>0</v>
      </c>
      <c r="T274" s="735">
        <f t="shared" si="36"/>
        <v>0</v>
      </c>
      <c r="U274" s="735">
        <f t="shared" si="37"/>
        <v>0</v>
      </c>
      <c r="V274" s="736">
        <f t="shared" si="38"/>
        <v>0</v>
      </c>
      <c r="W274" s="735">
        <f t="shared" si="39"/>
        <v>0</v>
      </c>
      <c r="X274" s="737">
        <f t="shared" si="40"/>
        <v>0</v>
      </c>
      <c r="Y274" s="738">
        <f t="shared" si="41"/>
        <v>0</v>
      </c>
    </row>
    <row r="275" spans="1:25">
      <c r="A275" s="754" t="str">
        <f>'Func Future Subs 2015'!A275</f>
        <v>Substation No.32</v>
      </c>
      <c r="B275" s="754">
        <f>'Func Future Subs 2015'!B275</f>
        <v>1354</v>
      </c>
      <c r="C275" s="754">
        <f>'Func Future Subs 2015'!C275</f>
        <v>138</v>
      </c>
      <c r="D275" s="754">
        <f>'Func Future Subs 2015'!D275</f>
        <v>25</v>
      </c>
      <c r="E275" s="754" t="str">
        <f>'Func Future Subs 2015'!E275</f>
        <v>SS-32</v>
      </c>
      <c r="F275" s="754">
        <f>'Func Future Subs 2015'!F275</f>
        <v>114690.57505760195</v>
      </c>
      <c r="G275" s="754" t="str">
        <f>'Func Future Subs 2015'!G275</f>
        <v>ENMAX</v>
      </c>
      <c r="H275" s="754">
        <f>'Func Future Subs 2015'!H275</f>
        <v>2017</v>
      </c>
      <c r="I275" s="306">
        <f>+IF($H275=I$2,VLOOKUP($G275,Depreciation!$A$14:$L$18,7,FALSE)/2,IF($H275&lt;I$2,VLOOKUP($G275,Depreciation!$A$14:$L$18,7,FALSE),0))</f>
        <v>0</v>
      </c>
      <c r="J275" s="306">
        <f>+IF($H275=J$2,VLOOKUP($G275,Depreciation!$A$14:$L$18,8,FALSE)/2,IF($H275&lt;J$2,VLOOKUP($G275,Depreciation!$A$14:$L$18,8,FALSE),0))</f>
        <v>0</v>
      </c>
      <c r="K275" s="306">
        <f>+IF($H275=K$2,VLOOKUP($G275,Depreciation!$A$14:$L$18,9,FALSE)/2,IF($H275&lt;K$2,VLOOKUP($G275,Depreciation!$A$14:$L$18,9,FALSE),0))</f>
        <v>1.3928409269726289E-2</v>
      </c>
      <c r="L275" s="306">
        <f>+IF($H275=L$2,VLOOKUP($G275,Depreciation!$A$14:$L$18,10,FALSE)/2,IF($H275&lt;L$2,VLOOKUP($G275,Depreciation!$A$14:$L$18,10,FALSE),0))</f>
        <v>2.7856818539452578E-2</v>
      </c>
      <c r="M275" s="306">
        <f>+IF($H275=M$2,VLOOKUP($G275,Depreciation!$A$14:$L$18,11,FALSE)/2,IF($H275&lt;M$2,VLOOKUP($G275,Depreciation!$A$14:$L$18,11,FALSE),0))</f>
        <v>2.7856818539452578E-2</v>
      </c>
      <c r="N275" s="306">
        <f>+IF($H275=N$2,VLOOKUP($G275,Depreciation!$A$14:$L$18,12,FALSE)/2,IF($H275&lt;N$2,VLOOKUP($G275,Depreciation!$A$14:$L$18,12,FALSE),0))</f>
        <v>2.7856818539452578E-2</v>
      </c>
      <c r="O275" s="307">
        <f t="shared" si="34"/>
        <v>0</v>
      </c>
      <c r="P275" s="732">
        <f>'Func Future Subs 2015'!P275</f>
        <v>0</v>
      </c>
      <c r="Q275" s="732">
        <f>'Func Future Subs 2015'!Q275</f>
        <v>1</v>
      </c>
      <c r="R275" s="732">
        <f>'Func Future Subs 2015'!R275</f>
        <v>0</v>
      </c>
      <c r="S275" s="735">
        <f t="shared" si="35"/>
        <v>0</v>
      </c>
      <c r="T275" s="735">
        <f t="shared" si="36"/>
        <v>0</v>
      </c>
      <c r="U275" s="735">
        <f t="shared" si="37"/>
        <v>0</v>
      </c>
      <c r="V275" s="736">
        <f t="shared" si="38"/>
        <v>0</v>
      </c>
      <c r="W275" s="735">
        <f t="shared" si="39"/>
        <v>0</v>
      </c>
      <c r="X275" s="737">
        <f t="shared" si="40"/>
        <v>0</v>
      </c>
      <c r="Y275" s="738">
        <f t="shared" si="41"/>
        <v>0</v>
      </c>
    </row>
    <row r="276" spans="1:25">
      <c r="A276" s="754" t="str">
        <f>'Func Future Subs 2015'!A276</f>
        <v>Substation No.41</v>
      </c>
      <c r="B276" s="754">
        <f>'Func Future Subs 2015'!B276</f>
        <v>1354</v>
      </c>
      <c r="C276" s="754">
        <f>'Func Future Subs 2015'!C276</f>
        <v>138</v>
      </c>
      <c r="D276" s="754">
        <f>'Func Future Subs 2015'!D276</f>
        <v>25</v>
      </c>
      <c r="E276" s="754" t="str">
        <f>'Func Future Subs 2015'!E276</f>
        <v>SS-41</v>
      </c>
      <c r="F276" s="754">
        <f>'Func Future Subs 2015'!F276</f>
        <v>2523427.6016106843</v>
      </c>
      <c r="G276" s="754" t="str">
        <f>'Func Future Subs 2015'!G276</f>
        <v>ENMAX</v>
      </c>
      <c r="H276" s="754">
        <f>'Func Future Subs 2015'!H276</f>
        <v>2017</v>
      </c>
      <c r="I276" s="306">
        <f>+IF($H276=I$2,VLOOKUP($G276,Depreciation!$A$14:$L$18,7,FALSE)/2,IF($H276&lt;I$2,VLOOKUP($G276,Depreciation!$A$14:$L$18,7,FALSE),0))</f>
        <v>0</v>
      </c>
      <c r="J276" s="306">
        <f>+IF($H276=J$2,VLOOKUP($G276,Depreciation!$A$14:$L$18,8,FALSE)/2,IF($H276&lt;J$2,VLOOKUP($G276,Depreciation!$A$14:$L$18,8,FALSE),0))</f>
        <v>0</v>
      </c>
      <c r="K276" s="306">
        <f>+IF($H276=K$2,VLOOKUP($G276,Depreciation!$A$14:$L$18,9,FALSE)/2,IF($H276&lt;K$2,VLOOKUP($G276,Depreciation!$A$14:$L$18,9,FALSE),0))</f>
        <v>1.3928409269726289E-2</v>
      </c>
      <c r="L276" s="306">
        <f>+IF($H276=L$2,VLOOKUP($G276,Depreciation!$A$14:$L$18,10,FALSE)/2,IF($H276&lt;L$2,VLOOKUP($G276,Depreciation!$A$14:$L$18,10,FALSE),0))</f>
        <v>2.7856818539452578E-2</v>
      </c>
      <c r="M276" s="306">
        <f>+IF($H276=M$2,VLOOKUP($G276,Depreciation!$A$14:$L$18,11,FALSE)/2,IF($H276&lt;M$2,VLOOKUP($G276,Depreciation!$A$14:$L$18,11,FALSE),0))</f>
        <v>2.7856818539452578E-2</v>
      </c>
      <c r="N276" s="306">
        <f>+IF($H276=N$2,VLOOKUP($G276,Depreciation!$A$14:$L$18,12,FALSE)/2,IF($H276&lt;N$2,VLOOKUP($G276,Depreciation!$A$14:$L$18,12,FALSE),0))</f>
        <v>2.7856818539452578E-2</v>
      </c>
      <c r="O276" s="307">
        <f t="shared" si="34"/>
        <v>0</v>
      </c>
      <c r="P276" s="732">
        <f>'Func Future Subs 2015'!P276</f>
        <v>0</v>
      </c>
      <c r="Q276" s="732">
        <f>'Func Future Subs 2015'!Q276</f>
        <v>1</v>
      </c>
      <c r="R276" s="732">
        <f>'Func Future Subs 2015'!R276</f>
        <v>0</v>
      </c>
      <c r="S276" s="735">
        <f t="shared" si="35"/>
        <v>0</v>
      </c>
      <c r="T276" s="735">
        <f t="shared" si="36"/>
        <v>0</v>
      </c>
      <c r="U276" s="735">
        <f t="shared" si="37"/>
        <v>0</v>
      </c>
      <c r="V276" s="736">
        <f t="shared" si="38"/>
        <v>0</v>
      </c>
      <c r="W276" s="735">
        <f t="shared" si="39"/>
        <v>0</v>
      </c>
      <c r="X276" s="737">
        <f t="shared" si="40"/>
        <v>0</v>
      </c>
      <c r="Y276" s="738">
        <f t="shared" si="41"/>
        <v>0</v>
      </c>
    </row>
    <row r="277" spans="1:25">
      <c r="A277" s="754" t="str">
        <f>'Func Future Subs 2015'!A277</f>
        <v>Substation No.54</v>
      </c>
      <c r="B277" s="754">
        <f>'Func Future Subs 2015'!B277</f>
        <v>1354</v>
      </c>
      <c r="C277" s="754">
        <f>'Func Future Subs 2015'!C277</f>
        <v>138</v>
      </c>
      <c r="D277" s="754">
        <f>'Func Future Subs 2015'!D277</f>
        <v>25</v>
      </c>
      <c r="E277" s="754" t="str">
        <f>'Func Future Subs 2015'!E277</f>
        <v>SS-54</v>
      </c>
      <c r="F277" s="754">
        <f>'Func Future Subs 2015'!F277</f>
        <v>114690.57505760195</v>
      </c>
      <c r="G277" s="754" t="str">
        <f>'Func Future Subs 2015'!G277</f>
        <v>ENMAX</v>
      </c>
      <c r="H277" s="754">
        <f>'Func Future Subs 2015'!H277</f>
        <v>2017</v>
      </c>
      <c r="I277" s="306">
        <f>+IF($H277=I$2,VLOOKUP($G277,Depreciation!$A$14:$L$18,7,FALSE)/2,IF($H277&lt;I$2,VLOOKUP($G277,Depreciation!$A$14:$L$18,7,FALSE),0))</f>
        <v>0</v>
      </c>
      <c r="J277" s="306">
        <f>+IF($H277=J$2,VLOOKUP($G277,Depreciation!$A$14:$L$18,8,FALSE)/2,IF($H277&lt;J$2,VLOOKUP($G277,Depreciation!$A$14:$L$18,8,FALSE),0))</f>
        <v>0</v>
      </c>
      <c r="K277" s="306">
        <f>+IF($H277=K$2,VLOOKUP($G277,Depreciation!$A$14:$L$18,9,FALSE)/2,IF($H277&lt;K$2,VLOOKUP($G277,Depreciation!$A$14:$L$18,9,FALSE),0))</f>
        <v>1.3928409269726289E-2</v>
      </c>
      <c r="L277" s="306">
        <f>+IF($H277=L$2,VLOOKUP($G277,Depreciation!$A$14:$L$18,10,FALSE)/2,IF($H277&lt;L$2,VLOOKUP($G277,Depreciation!$A$14:$L$18,10,FALSE),0))</f>
        <v>2.7856818539452578E-2</v>
      </c>
      <c r="M277" s="306">
        <f>+IF($H277=M$2,VLOOKUP($G277,Depreciation!$A$14:$L$18,11,FALSE)/2,IF($H277&lt;M$2,VLOOKUP($G277,Depreciation!$A$14:$L$18,11,FALSE),0))</f>
        <v>2.7856818539452578E-2</v>
      </c>
      <c r="N277" s="306">
        <f>+IF($H277=N$2,VLOOKUP($G277,Depreciation!$A$14:$L$18,12,FALSE)/2,IF($H277&lt;N$2,VLOOKUP($G277,Depreciation!$A$14:$L$18,12,FALSE),0))</f>
        <v>2.7856818539452578E-2</v>
      </c>
      <c r="O277" s="307">
        <f t="shared" si="34"/>
        <v>0</v>
      </c>
      <c r="P277" s="732">
        <f>'Func Future Subs 2015'!P277</f>
        <v>0</v>
      </c>
      <c r="Q277" s="732">
        <f>'Func Future Subs 2015'!Q277</f>
        <v>0</v>
      </c>
      <c r="R277" s="732">
        <f>'Func Future Subs 2015'!R277</f>
        <v>1</v>
      </c>
      <c r="S277" s="735">
        <f t="shared" si="35"/>
        <v>0</v>
      </c>
      <c r="T277" s="735">
        <f t="shared" si="36"/>
        <v>0</v>
      </c>
      <c r="U277" s="735">
        <f t="shared" si="37"/>
        <v>0</v>
      </c>
      <c r="V277" s="736">
        <f t="shared" si="38"/>
        <v>0</v>
      </c>
      <c r="W277" s="735">
        <f t="shared" si="39"/>
        <v>0</v>
      </c>
      <c r="X277" s="737">
        <f t="shared" si="40"/>
        <v>0</v>
      </c>
      <c r="Y277" s="738">
        <f t="shared" si="41"/>
        <v>0</v>
      </c>
    </row>
    <row r="278" spans="1:25">
      <c r="A278" s="754" t="str">
        <f>'Func Future Subs 2015'!A278</f>
        <v>Substation No.65</v>
      </c>
      <c r="B278" s="754">
        <f>'Func Future Subs 2015'!B278</f>
        <v>1354</v>
      </c>
      <c r="C278" s="754">
        <f>'Func Future Subs 2015'!C278</f>
        <v>138</v>
      </c>
      <c r="D278" s="754">
        <f>'Func Future Subs 2015'!D278</f>
        <v>138</v>
      </c>
      <c r="E278" s="754" t="str">
        <f>'Func Future Subs 2015'!E278</f>
        <v>SS-65</v>
      </c>
      <c r="F278" s="754">
        <f>'Func Future Subs 2015'!F278</f>
        <v>1396717.4283952755</v>
      </c>
      <c r="G278" s="754" t="str">
        <f>'Func Future Subs 2015'!G278</f>
        <v>ENMAX</v>
      </c>
      <c r="H278" s="754">
        <f>'Func Future Subs 2015'!H278</f>
        <v>2017</v>
      </c>
      <c r="I278" s="306">
        <f>+IF($H278=I$2,VLOOKUP($G278,Depreciation!$A$14:$L$18,7,FALSE)/2,IF($H278&lt;I$2,VLOOKUP($G278,Depreciation!$A$14:$L$18,7,FALSE),0))</f>
        <v>0</v>
      </c>
      <c r="J278" s="306">
        <f>+IF($H278=J$2,VLOOKUP($G278,Depreciation!$A$14:$L$18,8,FALSE)/2,IF($H278&lt;J$2,VLOOKUP($G278,Depreciation!$A$14:$L$18,8,FALSE),0))</f>
        <v>0</v>
      </c>
      <c r="K278" s="306">
        <f>+IF($H278=K$2,VLOOKUP($G278,Depreciation!$A$14:$L$18,9,FALSE)/2,IF($H278&lt;K$2,VLOOKUP($G278,Depreciation!$A$14:$L$18,9,FALSE),0))</f>
        <v>1.3928409269726289E-2</v>
      </c>
      <c r="L278" s="306">
        <f>+IF($H278=L$2,VLOOKUP($G278,Depreciation!$A$14:$L$18,10,FALSE)/2,IF($H278&lt;L$2,VLOOKUP($G278,Depreciation!$A$14:$L$18,10,FALSE),0))</f>
        <v>2.7856818539452578E-2</v>
      </c>
      <c r="M278" s="306">
        <f>+IF($H278=M$2,VLOOKUP($G278,Depreciation!$A$14:$L$18,11,FALSE)/2,IF($H278&lt;M$2,VLOOKUP($G278,Depreciation!$A$14:$L$18,11,FALSE),0))</f>
        <v>2.7856818539452578E-2</v>
      </c>
      <c r="N278" s="306">
        <f>+IF($H278=N$2,VLOOKUP($G278,Depreciation!$A$14:$L$18,12,FALSE)/2,IF($H278&lt;N$2,VLOOKUP($G278,Depreciation!$A$14:$L$18,12,FALSE),0))</f>
        <v>2.7856818539452578E-2</v>
      </c>
      <c r="O278" s="307">
        <f t="shared" si="34"/>
        <v>0</v>
      </c>
      <c r="P278" s="732">
        <f>'Func Future Subs 2015'!P278</f>
        <v>0</v>
      </c>
      <c r="Q278" s="732">
        <f>'Func Future Subs 2015'!Q278</f>
        <v>0</v>
      </c>
      <c r="R278" s="732">
        <f>'Func Future Subs 2015'!R278</f>
        <v>1</v>
      </c>
      <c r="S278" s="735">
        <f t="shared" si="35"/>
        <v>0</v>
      </c>
      <c r="T278" s="735">
        <f t="shared" si="36"/>
        <v>0</v>
      </c>
      <c r="U278" s="735">
        <f t="shared" si="37"/>
        <v>0</v>
      </c>
      <c r="V278" s="736">
        <f t="shared" si="38"/>
        <v>0</v>
      </c>
      <c r="W278" s="735">
        <f t="shared" si="39"/>
        <v>0</v>
      </c>
      <c r="X278" s="737">
        <f t="shared" si="40"/>
        <v>0</v>
      </c>
      <c r="Y278" s="738">
        <f t="shared" si="41"/>
        <v>0</v>
      </c>
    </row>
    <row r="279" spans="1:25">
      <c r="A279" s="754" t="str">
        <f>'Func Future Subs 2015'!A279</f>
        <v>Bonnyville 700S</v>
      </c>
      <c r="B279" s="754">
        <f>'Func Future Subs 2015'!B279</f>
        <v>1364</v>
      </c>
      <c r="C279" s="754">
        <f>'Func Future Subs 2015'!C279</f>
        <v>138</v>
      </c>
      <c r="D279" s="754">
        <f>'Func Future Subs 2015'!D279</f>
        <v>25</v>
      </c>
      <c r="E279" s="754" t="str">
        <f>'Func Future Subs 2015'!E279</f>
        <v>700S</v>
      </c>
      <c r="F279" s="754">
        <f>'Func Future Subs 2015'!F279</f>
        <v>57289.359501696126</v>
      </c>
      <c r="G279" s="754" t="str">
        <f>'Func Future Subs 2015'!G279</f>
        <v>AltaLink</v>
      </c>
      <c r="H279" s="754">
        <f>'Func Future Subs 2015'!H279</f>
        <v>2015</v>
      </c>
      <c r="I279" s="306">
        <f>+IF($H279=I$2,VLOOKUP($G279,Depreciation!$A$14:$L$18,7,FALSE)/2,IF($H279&lt;I$2,VLOOKUP($G279,Depreciation!$A$14:$L$18,7,FALSE),0))</f>
        <v>1.7228380322441735E-2</v>
      </c>
      <c r="J279" s="306">
        <f>+IF($H279=J$2,VLOOKUP($G279,Depreciation!$A$14:$L$18,8,FALSE)/2,IF($H279&lt;J$2,VLOOKUP($G279,Depreciation!$A$14:$L$18,8,FALSE),0))</f>
        <v>3.343407856743718E-2</v>
      </c>
      <c r="K279" s="306">
        <f>+IF($H279=K$2,VLOOKUP($G279,Depreciation!$A$14:$L$18,9,FALSE)/2,IF($H279&lt;K$2,VLOOKUP($G279,Depreciation!$A$14:$L$18,9,FALSE),0))</f>
        <v>3.343407856743718E-2</v>
      </c>
      <c r="L279" s="306">
        <f>+IF($H279=L$2,VLOOKUP($G279,Depreciation!$A$14:$L$18,10,FALSE)/2,IF($H279&lt;L$2,VLOOKUP($G279,Depreciation!$A$14:$L$18,10,FALSE),0))</f>
        <v>3.343407856743718E-2</v>
      </c>
      <c r="M279" s="306">
        <f>+IF($H279=M$2,VLOOKUP($G279,Depreciation!$A$14:$L$18,11,FALSE)/2,IF($H279&lt;M$2,VLOOKUP($G279,Depreciation!$A$14:$L$18,11,FALSE),0))</f>
        <v>3.343407856743718E-2</v>
      </c>
      <c r="N279" s="306">
        <f>+IF($H279=N$2,VLOOKUP($G279,Depreciation!$A$14:$L$18,12,FALSE)/2,IF($H279&lt;N$2,VLOOKUP($G279,Depreciation!$A$14:$L$18,12,FALSE),0))</f>
        <v>3.343407856743718E-2</v>
      </c>
      <c r="O279" s="307">
        <f t="shared" si="34"/>
        <v>54419.93921274702</v>
      </c>
      <c r="P279" s="732">
        <f>'Func Future Subs 2015'!P279</f>
        <v>0</v>
      </c>
      <c r="Q279" s="732">
        <f>'Func Future Subs 2015'!Q279</f>
        <v>1</v>
      </c>
      <c r="R279" s="732">
        <f>'Func Future Subs 2015'!R279</f>
        <v>0</v>
      </c>
      <c r="S279" s="735">
        <f t="shared" si="35"/>
        <v>0</v>
      </c>
      <c r="T279" s="735">
        <f t="shared" si="36"/>
        <v>54419.93921274702</v>
      </c>
      <c r="U279" s="735">
        <f t="shared" si="37"/>
        <v>0</v>
      </c>
      <c r="V279" s="736">
        <f t="shared" si="38"/>
        <v>0</v>
      </c>
      <c r="W279" s="735">
        <f t="shared" si="39"/>
        <v>0</v>
      </c>
      <c r="X279" s="737">
        <f t="shared" si="40"/>
        <v>0</v>
      </c>
      <c r="Y279" s="738">
        <f t="shared" si="41"/>
        <v>54419.93921274702</v>
      </c>
    </row>
    <row r="280" spans="1:25">
      <c r="A280" s="754" t="str">
        <f>'Func Future Subs 2015'!A280</f>
        <v>La Corey 721S</v>
      </c>
      <c r="B280" s="754">
        <f>'Func Future Subs 2015'!B280</f>
        <v>1364</v>
      </c>
      <c r="C280" s="754">
        <f>'Func Future Subs 2015'!C280</f>
        <v>138</v>
      </c>
      <c r="D280" s="754">
        <f>'Func Future Subs 2015'!D280</f>
        <v>25</v>
      </c>
      <c r="E280" s="754" t="str">
        <f>'Func Future Subs 2015'!E280</f>
        <v>721S</v>
      </c>
      <c r="F280" s="754">
        <f>'Func Future Subs 2015'!F280</f>
        <v>8476582.5247856006</v>
      </c>
      <c r="G280" s="754" t="str">
        <f>'Func Future Subs 2015'!G280</f>
        <v>AltaLink</v>
      </c>
      <c r="H280" s="754">
        <f>'Func Future Subs 2015'!H280</f>
        <v>2015</v>
      </c>
      <c r="I280" s="306">
        <f>+IF($H280=I$2,VLOOKUP($G280,Depreciation!$A$14:$L$18,7,FALSE)/2,IF($H280&lt;I$2,VLOOKUP($G280,Depreciation!$A$14:$L$18,7,FALSE),0))</f>
        <v>1.7228380322441735E-2</v>
      </c>
      <c r="J280" s="306">
        <f>+IF($H280=J$2,VLOOKUP($G280,Depreciation!$A$14:$L$18,8,FALSE)/2,IF($H280&lt;J$2,VLOOKUP($G280,Depreciation!$A$14:$L$18,8,FALSE),0))</f>
        <v>3.343407856743718E-2</v>
      </c>
      <c r="K280" s="306">
        <f>+IF($H280=K$2,VLOOKUP($G280,Depreciation!$A$14:$L$18,9,FALSE)/2,IF($H280&lt;K$2,VLOOKUP($G280,Depreciation!$A$14:$L$18,9,FALSE),0))</f>
        <v>3.343407856743718E-2</v>
      </c>
      <c r="L280" s="306">
        <f>+IF($H280=L$2,VLOOKUP($G280,Depreciation!$A$14:$L$18,10,FALSE)/2,IF($H280&lt;L$2,VLOOKUP($G280,Depreciation!$A$14:$L$18,10,FALSE),0))</f>
        <v>3.343407856743718E-2</v>
      </c>
      <c r="M280" s="306">
        <f>+IF($H280=M$2,VLOOKUP($G280,Depreciation!$A$14:$L$18,11,FALSE)/2,IF($H280&lt;M$2,VLOOKUP($G280,Depreciation!$A$14:$L$18,11,FALSE),0))</f>
        <v>3.343407856743718E-2</v>
      </c>
      <c r="N280" s="306">
        <f>+IF($H280=N$2,VLOOKUP($G280,Depreciation!$A$14:$L$18,12,FALSE)/2,IF($H280&lt;N$2,VLOOKUP($G280,Depreciation!$A$14:$L$18,12,FALSE),0))</f>
        <v>3.343407856743718E-2</v>
      </c>
      <c r="O280" s="307">
        <f t="shared" si="34"/>
        <v>8052020.6499604667</v>
      </c>
      <c r="P280" s="732">
        <f>'Func Future Subs 2015'!P280</f>
        <v>0</v>
      </c>
      <c r="Q280" s="732">
        <f>'Func Future Subs 2015'!Q280</f>
        <v>1</v>
      </c>
      <c r="R280" s="732">
        <f>'Func Future Subs 2015'!R280</f>
        <v>0</v>
      </c>
      <c r="S280" s="735">
        <f t="shared" si="35"/>
        <v>0</v>
      </c>
      <c r="T280" s="735">
        <f t="shared" si="36"/>
        <v>8052020.6499604667</v>
      </c>
      <c r="U280" s="735">
        <f t="shared" si="37"/>
        <v>0</v>
      </c>
      <c r="V280" s="736">
        <f t="shared" si="38"/>
        <v>0</v>
      </c>
      <c r="W280" s="735">
        <f t="shared" si="39"/>
        <v>0</v>
      </c>
      <c r="X280" s="737">
        <f t="shared" si="40"/>
        <v>0</v>
      </c>
      <c r="Y280" s="738">
        <f t="shared" si="41"/>
        <v>8052020.6499604667</v>
      </c>
    </row>
    <row r="281" spans="1:25">
      <c r="A281" s="754" t="str">
        <f>'Func Future Subs 2015'!A281</f>
        <v>Marguerite Lake 826S</v>
      </c>
      <c r="B281" s="754">
        <f>'Func Future Subs 2015'!B281</f>
        <v>1364</v>
      </c>
      <c r="C281" s="754">
        <f>'Func Future Subs 2015'!C281</f>
        <v>240</v>
      </c>
      <c r="D281" s="754">
        <f>'Func Future Subs 2015'!D281</f>
        <v>138</v>
      </c>
      <c r="E281" s="754" t="str">
        <f>'Func Future Subs 2015'!E281</f>
        <v>826S</v>
      </c>
      <c r="F281" s="754">
        <f>'Func Future Subs 2015'!F281</f>
        <v>57289.359501696126</v>
      </c>
      <c r="G281" s="754" t="str">
        <f>'Func Future Subs 2015'!G281</f>
        <v>AltaLink</v>
      </c>
      <c r="H281" s="754">
        <f>'Func Future Subs 2015'!H281</f>
        <v>2015</v>
      </c>
      <c r="I281" s="306">
        <f>+IF($H281=I$2,VLOOKUP($G281,Depreciation!$A$14:$L$18,7,FALSE)/2,IF($H281&lt;I$2,VLOOKUP($G281,Depreciation!$A$14:$L$18,7,FALSE),0))</f>
        <v>1.7228380322441735E-2</v>
      </c>
      <c r="J281" s="306">
        <f>+IF($H281=J$2,VLOOKUP($G281,Depreciation!$A$14:$L$18,8,FALSE)/2,IF($H281&lt;J$2,VLOOKUP($G281,Depreciation!$A$14:$L$18,8,FALSE),0))</f>
        <v>3.343407856743718E-2</v>
      </c>
      <c r="K281" s="306">
        <f>+IF($H281=K$2,VLOOKUP($G281,Depreciation!$A$14:$L$18,9,FALSE)/2,IF($H281&lt;K$2,VLOOKUP($G281,Depreciation!$A$14:$L$18,9,FALSE),0))</f>
        <v>3.343407856743718E-2</v>
      </c>
      <c r="L281" s="306">
        <f>+IF($H281=L$2,VLOOKUP($G281,Depreciation!$A$14:$L$18,10,FALSE)/2,IF($H281&lt;L$2,VLOOKUP($G281,Depreciation!$A$14:$L$18,10,FALSE),0))</f>
        <v>3.343407856743718E-2</v>
      </c>
      <c r="M281" s="306">
        <f>+IF($H281=M$2,VLOOKUP($G281,Depreciation!$A$14:$L$18,11,FALSE)/2,IF($H281&lt;M$2,VLOOKUP($G281,Depreciation!$A$14:$L$18,11,FALSE),0))</f>
        <v>3.343407856743718E-2</v>
      </c>
      <c r="N281" s="306">
        <f>+IF($H281=N$2,VLOOKUP($G281,Depreciation!$A$14:$L$18,12,FALSE)/2,IF($H281&lt;N$2,VLOOKUP($G281,Depreciation!$A$14:$L$18,12,FALSE),0))</f>
        <v>3.343407856743718E-2</v>
      </c>
      <c r="O281" s="307">
        <f t="shared" si="34"/>
        <v>54419.93921274702</v>
      </c>
      <c r="P281" s="732">
        <f>'Func Future Subs 2015'!P281</f>
        <v>0</v>
      </c>
      <c r="Q281" s="732">
        <f>'Func Future Subs 2015'!Q281</f>
        <v>0</v>
      </c>
      <c r="R281" s="732">
        <f>'Func Future Subs 2015'!R281</f>
        <v>1</v>
      </c>
      <c r="S281" s="735">
        <f t="shared" si="35"/>
        <v>0</v>
      </c>
      <c r="T281" s="735">
        <f t="shared" si="36"/>
        <v>0</v>
      </c>
      <c r="U281" s="735">
        <f t="shared" si="37"/>
        <v>54419.93921274702</v>
      </c>
      <c r="V281" s="736">
        <f t="shared" si="38"/>
        <v>0</v>
      </c>
      <c r="W281" s="735">
        <f t="shared" si="39"/>
        <v>0</v>
      </c>
      <c r="X281" s="737">
        <f t="shared" si="40"/>
        <v>54419.93921274702</v>
      </c>
      <c r="Y281" s="738">
        <f t="shared" si="41"/>
        <v>0</v>
      </c>
    </row>
    <row r="282" spans="1:25">
      <c r="A282" s="754" t="str">
        <f>'Func Future Subs 2015'!A282</f>
        <v>Josephburg 410S upgrade_(Alt3)</v>
      </c>
      <c r="B282" s="754">
        <f>'Func Future Subs 2015'!B282</f>
        <v>1381</v>
      </c>
      <c r="C282" s="754">
        <f>'Func Future Subs 2015'!C282</f>
        <v>240</v>
      </c>
      <c r="D282" s="754">
        <f>'Func Future Subs 2015'!D282</f>
        <v>138</v>
      </c>
      <c r="E282" s="754" t="str">
        <f>'Func Future Subs 2015'!E282</f>
        <v>410S</v>
      </c>
      <c r="F282" s="754">
        <f>'Func Future Subs 2015'!F282</f>
        <v>5362918.7901881374</v>
      </c>
      <c r="G282" s="754" t="str">
        <f>'Func Future Subs 2015'!G282</f>
        <v>AltaLink</v>
      </c>
      <c r="H282" s="754">
        <f>'Func Future Subs 2015'!H282</f>
        <v>2019</v>
      </c>
      <c r="I282" s="306">
        <f>+IF($H282=I$2,VLOOKUP($G282,Depreciation!$A$14:$L$18,7,FALSE)/2,IF($H282&lt;I$2,VLOOKUP($G282,Depreciation!$A$14:$L$18,7,FALSE),0))</f>
        <v>0</v>
      </c>
      <c r="J282" s="306">
        <f>+IF($H282=J$2,VLOOKUP($G282,Depreciation!$A$14:$L$18,8,FALSE)/2,IF($H282&lt;J$2,VLOOKUP($G282,Depreciation!$A$14:$L$18,8,FALSE),0))</f>
        <v>0</v>
      </c>
      <c r="K282" s="306">
        <f>+IF($H282=K$2,VLOOKUP($G282,Depreciation!$A$14:$L$18,9,FALSE)/2,IF($H282&lt;K$2,VLOOKUP($G282,Depreciation!$A$14:$L$18,9,FALSE),0))</f>
        <v>0</v>
      </c>
      <c r="L282" s="306">
        <f>+IF($H282=L$2,VLOOKUP($G282,Depreciation!$A$14:$L$18,10,FALSE)/2,IF($H282&lt;L$2,VLOOKUP($G282,Depreciation!$A$14:$L$18,10,FALSE),0))</f>
        <v>0</v>
      </c>
      <c r="M282" s="306">
        <f>+IF($H282=M$2,VLOOKUP($G282,Depreciation!$A$14:$L$18,11,FALSE)/2,IF($H282&lt;M$2,VLOOKUP($G282,Depreciation!$A$14:$L$18,11,FALSE),0))</f>
        <v>1.671703928371859E-2</v>
      </c>
      <c r="N282" s="306">
        <f>+IF($H282=N$2,VLOOKUP($G282,Depreciation!$A$14:$L$18,12,FALSE)/2,IF($H282&lt;N$2,VLOOKUP($G282,Depreciation!$A$14:$L$18,12,FALSE),0))</f>
        <v>3.343407856743718E-2</v>
      </c>
      <c r="O282" s="307">
        <f t="shared" si="34"/>
        <v>0</v>
      </c>
      <c r="P282" s="732">
        <f>'Func Future Subs 2015'!P282</f>
        <v>0</v>
      </c>
      <c r="Q282" s="732">
        <f>'Func Future Subs 2015'!Q282</f>
        <v>0</v>
      </c>
      <c r="R282" s="732">
        <f>'Func Future Subs 2015'!R282</f>
        <v>1</v>
      </c>
      <c r="S282" s="735">
        <f t="shared" si="35"/>
        <v>0</v>
      </c>
      <c r="T282" s="735">
        <f t="shared" si="36"/>
        <v>0</v>
      </c>
      <c r="U282" s="735">
        <f t="shared" si="37"/>
        <v>0</v>
      </c>
      <c r="V282" s="736">
        <f t="shared" si="38"/>
        <v>0</v>
      </c>
      <c r="W282" s="735">
        <f t="shared" si="39"/>
        <v>0</v>
      </c>
      <c r="X282" s="737">
        <f t="shared" si="40"/>
        <v>0</v>
      </c>
      <c r="Y282" s="738">
        <f t="shared" si="41"/>
        <v>0</v>
      </c>
    </row>
    <row r="283" spans="1:25">
      <c r="A283" s="754" t="str">
        <f>'Func Future Subs 2015'!A283</f>
        <v>Red Deer 63S</v>
      </c>
      <c r="B283" s="754">
        <f>'Func Future Subs 2015'!B283</f>
        <v>1394</v>
      </c>
      <c r="C283" s="754">
        <f>'Func Future Subs 2015'!C283</f>
        <v>240</v>
      </c>
      <c r="D283" s="754">
        <f>'Func Future Subs 2015'!D283</f>
        <v>25</v>
      </c>
      <c r="E283" s="754" t="str">
        <f>'Func Future Subs 2015'!E283</f>
        <v>63S</v>
      </c>
      <c r="F283" s="754">
        <f>'Func Future Subs 2015'!F283</f>
        <v>5221999.9999999972</v>
      </c>
      <c r="G283" s="754" t="str">
        <f>'Func Future Subs 2015'!G283</f>
        <v>AltaLink</v>
      </c>
      <c r="H283" s="754">
        <f>'Func Future Subs 2015'!H283</f>
        <v>2015</v>
      </c>
      <c r="I283" s="306">
        <f>+IF($H283=I$2,VLOOKUP($G283,Depreciation!$A$14:$L$18,7,FALSE)/2,IF($H283&lt;I$2,VLOOKUP($G283,Depreciation!$A$14:$L$18,7,FALSE),0))</f>
        <v>1.7228380322441735E-2</v>
      </c>
      <c r="J283" s="306">
        <f>+IF($H283=J$2,VLOOKUP($G283,Depreciation!$A$14:$L$18,8,FALSE)/2,IF($H283&lt;J$2,VLOOKUP($G283,Depreciation!$A$14:$L$18,8,FALSE),0))</f>
        <v>3.343407856743718E-2</v>
      </c>
      <c r="K283" s="306">
        <f>+IF($H283=K$2,VLOOKUP($G283,Depreciation!$A$14:$L$18,9,FALSE)/2,IF($H283&lt;K$2,VLOOKUP($G283,Depreciation!$A$14:$L$18,9,FALSE),0))</f>
        <v>3.343407856743718E-2</v>
      </c>
      <c r="L283" s="306">
        <f>+IF($H283=L$2,VLOOKUP($G283,Depreciation!$A$14:$L$18,10,FALSE)/2,IF($H283&lt;L$2,VLOOKUP($G283,Depreciation!$A$14:$L$18,10,FALSE),0))</f>
        <v>3.343407856743718E-2</v>
      </c>
      <c r="M283" s="306">
        <f>+IF($H283=M$2,VLOOKUP($G283,Depreciation!$A$14:$L$18,11,FALSE)/2,IF($H283&lt;M$2,VLOOKUP($G283,Depreciation!$A$14:$L$18,11,FALSE),0))</f>
        <v>3.343407856743718E-2</v>
      </c>
      <c r="N283" s="306">
        <f>+IF($H283=N$2,VLOOKUP($G283,Depreciation!$A$14:$L$18,12,FALSE)/2,IF($H283&lt;N$2,VLOOKUP($G283,Depreciation!$A$14:$L$18,12,FALSE),0))</f>
        <v>3.343407856743718E-2</v>
      </c>
      <c r="O283" s="307">
        <f t="shared" si="34"/>
        <v>4960448.5901182266</v>
      </c>
      <c r="P283" s="732">
        <f>'Func Future Subs 2015'!P283</f>
        <v>0</v>
      </c>
      <c r="Q283" s="732">
        <f>'Func Future Subs 2015'!Q283</f>
        <v>1</v>
      </c>
      <c r="R283" s="732">
        <f>'Func Future Subs 2015'!R283</f>
        <v>0</v>
      </c>
      <c r="S283" s="735">
        <f t="shared" si="35"/>
        <v>0</v>
      </c>
      <c r="T283" s="735">
        <f t="shared" si="36"/>
        <v>4960448.5901182266</v>
      </c>
      <c r="U283" s="735">
        <f t="shared" si="37"/>
        <v>0</v>
      </c>
      <c r="V283" s="736">
        <f t="shared" si="38"/>
        <v>0</v>
      </c>
      <c r="W283" s="735">
        <f t="shared" si="39"/>
        <v>0</v>
      </c>
      <c r="X283" s="737">
        <f t="shared" si="40"/>
        <v>0</v>
      </c>
      <c r="Y283" s="738">
        <f t="shared" si="41"/>
        <v>4960448.5901182266</v>
      </c>
    </row>
    <row r="284" spans="1:25">
      <c r="A284" s="754" t="str">
        <f>'Func Future Subs 2015'!A284</f>
        <v>Black Spruce 154S</v>
      </c>
      <c r="B284" s="754">
        <f>'Func Future Subs 2015'!B284</f>
        <v>1404</v>
      </c>
      <c r="C284" s="754">
        <f>'Func Future Subs 2015'!C284</f>
        <v>240</v>
      </c>
      <c r="D284" s="754">
        <f>'Func Future Subs 2015'!D284</f>
        <v>240</v>
      </c>
      <c r="E284" s="754" t="str">
        <f>'Func Future Subs 2015'!E284</f>
        <v>154S</v>
      </c>
      <c r="F284" s="754">
        <f>'Func Future Subs 2015'!F284</f>
        <v>278684.58054174558</v>
      </c>
      <c r="G284" s="754" t="str">
        <f>'Func Future Subs 2015'!G284</f>
        <v>AltaLink</v>
      </c>
      <c r="H284" s="754">
        <f>'Func Future Subs 2015'!H284</f>
        <v>2017</v>
      </c>
      <c r="I284" s="306">
        <f>+IF($H284=I$2,VLOOKUP($G284,Depreciation!$A$14:$L$18,7,FALSE)/2,IF($H284&lt;I$2,VLOOKUP($G284,Depreciation!$A$14:$L$18,7,FALSE),0))</f>
        <v>0</v>
      </c>
      <c r="J284" s="306">
        <f>+IF($H284=J$2,VLOOKUP($G284,Depreciation!$A$14:$L$18,8,FALSE)/2,IF($H284&lt;J$2,VLOOKUP($G284,Depreciation!$A$14:$L$18,8,FALSE),0))</f>
        <v>0</v>
      </c>
      <c r="K284" s="306">
        <f>+IF($H284=K$2,VLOOKUP($G284,Depreciation!$A$14:$L$18,9,FALSE)/2,IF($H284&lt;K$2,VLOOKUP($G284,Depreciation!$A$14:$L$18,9,FALSE),0))</f>
        <v>1.671703928371859E-2</v>
      </c>
      <c r="L284" s="306">
        <f>+IF($H284=L$2,VLOOKUP($G284,Depreciation!$A$14:$L$18,10,FALSE)/2,IF($H284&lt;L$2,VLOOKUP($G284,Depreciation!$A$14:$L$18,10,FALSE),0))</f>
        <v>3.343407856743718E-2</v>
      </c>
      <c r="M284" s="306">
        <f>+IF($H284=M$2,VLOOKUP($G284,Depreciation!$A$14:$L$18,11,FALSE)/2,IF($H284&lt;M$2,VLOOKUP($G284,Depreciation!$A$14:$L$18,11,FALSE),0))</f>
        <v>3.343407856743718E-2</v>
      </c>
      <c r="N284" s="306">
        <f>+IF($H284=N$2,VLOOKUP($G284,Depreciation!$A$14:$L$18,12,FALSE)/2,IF($H284&lt;N$2,VLOOKUP($G284,Depreciation!$A$14:$L$18,12,FALSE),0))</f>
        <v>3.343407856743718E-2</v>
      </c>
      <c r="O284" s="307">
        <f t="shared" si="34"/>
        <v>0</v>
      </c>
      <c r="P284" s="732">
        <f>'Func Future Subs 2015'!P284</f>
        <v>0</v>
      </c>
      <c r="Q284" s="732">
        <f>'Func Future Subs 2015'!Q284</f>
        <v>0</v>
      </c>
      <c r="R284" s="732">
        <f>'Func Future Subs 2015'!R284</f>
        <v>1</v>
      </c>
      <c r="S284" s="735">
        <f t="shared" si="35"/>
        <v>0</v>
      </c>
      <c r="T284" s="735">
        <f t="shared" si="36"/>
        <v>0</v>
      </c>
      <c r="U284" s="735">
        <f t="shared" si="37"/>
        <v>0</v>
      </c>
      <c r="V284" s="736">
        <f t="shared" si="38"/>
        <v>0</v>
      </c>
      <c r="W284" s="735">
        <f t="shared" si="39"/>
        <v>0</v>
      </c>
      <c r="X284" s="737">
        <f t="shared" si="40"/>
        <v>0</v>
      </c>
      <c r="Y284" s="738">
        <f t="shared" si="41"/>
        <v>0</v>
      </c>
    </row>
    <row r="285" spans="1:25">
      <c r="A285" s="754" t="str">
        <f>'Func Future Subs 2015'!A285</f>
        <v>Boreal 193S</v>
      </c>
      <c r="B285" s="754">
        <f>'Func Future Subs 2015'!B285</f>
        <v>1404</v>
      </c>
      <c r="C285" s="754">
        <f>'Func Future Subs 2015'!C285</f>
        <v>240</v>
      </c>
      <c r="D285" s="754">
        <f>'Func Future Subs 2015'!D285</f>
        <v>25</v>
      </c>
      <c r="E285" s="754" t="str">
        <f>'Func Future Subs 2015'!E285</f>
        <v>193S</v>
      </c>
      <c r="F285" s="754">
        <f>'Func Future Subs 2015'!F285</f>
        <v>404849.17125705519</v>
      </c>
      <c r="G285" s="754" t="str">
        <f>'Func Future Subs 2015'!G285</f>
        <v>AltaLink</v>
      </c>
      <c r="H285" s="754">
        <f>'Func Future Subs 2015'!H285</f>
        <v>2017</v>
      </c>
      <c r="I285" s="306">
        <f>+IF($H285=I$2,VLOOKUP($G285,Depreciation!$A$14:$L$18,7,FALSE)/2,IF($H285&lt;I$2,VLOOKUP($G285,Depreciation!$A$14:$L$18,7,FALSE),0))</f>
        <v>0</v>
      </c>
      <c r="J285" s="306">
        <f>+IF($H285=J$2,VLOOKUP($G285,Depreciation!$A$14:$L$18,8,FALSE)/2,IF($H285&lt;J$2,VLOOKUP($G285,Depreciation!$A$14:$L$18,8,FALSE),0))</f>
        <v>0</v>
      </c>
      <c r="K285" s="306">
        <f>+IF($H285=K$2,VLOOKUP($G285,Depreciation!$A$14:$L$18,9,FALSE)/2,IF($H285&lt;K$2,VLOOKUP($G285,Depreciation!$A$14:$L$18,9,FALSE),0))</f>
        <v>1.671703928371859E-2</v>
      </c>
      <c r="L285" s="306">
        <f>+IF($H285=L$2,VLOOKUP($G285,Depreciation!$A$14:$L$18,10,FALSE)/2,IF($H285&lt;L$2,VLOOKUP($G285,Depreciation!$A$14:$L$18,10,FALSE),0))</f>
        <v>3.343407856743718E-2</v>
      </c>
      <c r="M285" s="306">
        <f>+IF($H285=M$2,VLOOKUP($G285,Depreciation!$A$14:$L$18,11,FALSE)/2,IF($H285&lt;M$2,VLOOKUP($G285,Depreciation!$A$14:$L$18,11,FALSE),0))</f>
        <v>3.343407856743718E-2</v>
      </c>
      <c r="N285" s="306">
        <f>+IF($H285=N$2,VLOOKUP($G285,Depreciation!$A$14:$L$18,12,FALSE)/2,IF($H285&lt;N$2,VLOOKUP($G285,Depreciation!$A$14:$L$18,12,FALSE),0))</f>
        <v>3.343407856743718E-2</v>
      </c>
      <c r="O285" s="307">
        <f t="shared" si="34"/>
        <v>0</v>
      </c>
      <c r="P285" s="732">
        <f>'Func Future Subs 2015'!P285</f>
        <v>0</v>
      </c>
      <c r="Q285" s="732">
        <f>'Func Future Subs 2015'!Q285</f>
        <v>0</v>
      </c>
      <c r="R285" s="732">
        <f>'Func Future Subs 2015'!R285</f>
        <v>1</v>
      </c>
      <c r="S285" s="735">
        <f t="shared" si="35"/>
        <v>0</v>
      </c>
      <c r="T285" s="735">
        <f t="shared" si="36"/>
        <v>0</v>
      </c>
      <c r="U285" s="735">
        <f t="shared" si="37"/>
        <v>0</v>
      </c>
      <c r="V285" s="736">
        <f t="shared" si="38"/>
        <v>0</v>
      </c>
      <c r="W285" s="735">
        <f t="shared" si="39"/>
        <v>0</v>
      </c>
      <c r="X285" s="737">
        <f t="shared" si="40"/>
        <v>0</v>
      </c>
      <c r="Y285" s="738">
        <f t="shared" si="41"/>
        <v>0</v>
      </c>
    </row>
    <row r="286" spans="1:25">
      <c r="A286" s="754" t="str">
        <f>'Func Future Subs 2015'!A286</f>
        <v>Conklin 762S</v>
      </c>
      <c r="B286" s="754">
        <f>'Func Future Subs 2015'!B286</f>
        <v>1404</v>
      </c>
      <c r="C286" s="754">
        <f>'Func Future Subs 2015'!C286</f>
        <v>240</v>
      </c>
      <c r="D286" s="754">
        <f>'Func Future Subs 2015'!D286</f>
        <v>25</v>
      </c>
      <c r="E286" s="754" t="str">
        <f>'Func Future Subs 2015'!E286</f>
        <v>762S</v>
      </c>
      <c r="F286" s="754">
        <f>'Func Future Subs 2015'!F286</f>
        <v>168402.5482694711</v>
      </c>
      <c r="G286" s="754" t="str">
        <f>'Func Future Subs 2015'!G286</f>
        <v>AltaLink</v>
      </c>
      <c r="H286" s="754">
        <f>'Func Future Subs 2015'!H286</f>
        <v>2017</v>
      </c>
      <c r="I286" s="306">
        <f>+IF($H286=I$2,VLOOKUP($G286,Depreciation!$A$14:$L$18,7,FALSE)/2,IF($H286&lt;I$2,VLOOKUP($G286,Depreciation!$A$14:$L$18,7,FALSE),0))</f>
        <v>0</v>
      </c>
      <c r="J286" s="306">
        <f>+IF($H286=J$2,VLOOKUP($G286,Depreciation!$A$14:$L$18,8,FALSE)/2,IF($H286&lt;J$2,VLOOKUP($G286,Depreciation!$A$14:$L$18,8,FALSE),0))</f>
        <v>0</v>
      </c>
      <c r="K286" s="306">
        <f>+IF($H286=K$2,VLOOKUP($G286,Depreciation!$A$14:$L$18,9,FALSE)/2,IF($H286&lt;K$2,VLOOKUP($G286,Depreciation!$A$14:$L$18,9,FALSE),0))</f>
        <v>1.671703928371859E-2</v>
      </c>
      <c r="L286" s="306">
        <f>+IF($H286=L$2,VLOOKUP($G286,Depreciation!$A$14:$L$18,10,FALSE)/2,IF($H286&lt;L$2,VLOOKUP($G286,Depreciation!$A$14:$L$18,10,FALSE),0))</f>
        <v>3.343407856743718E-2</v>
      </c>
      <c r="M286" s="306">
        <f>+IF($H286=M$2,VLOOKUP($G286,Depreciation!$A$14:$L$18,11,FALSE)/2,IF($H286&lt;M$2,VLOOKUP($G286,Depreciation!$A$14:$L$18,11,FALSE),0))</f>
        <v>3.343407856743718E-2</v>
      </c>
      <c r="N286" s="306">
        <f>+IF($H286=N$2,VLOOKUP($G286,Depreciation!$A$14:$L$18,12,FALSE)/2,IF($H286&lt;N$2,VLOOKUP($G286,Depreciation!$A$14:$L$18,12,FALSE),0))</f>
        <v>3.343407856743718E-2</v>
      </c>
      <c r="O286" s="307">
        <f t="shared" si="34"/>
        <v>0</v>
      </c>
      <c r="P286" s="732">
        <f>'Func Future Subs 2015'!P286</f>
        <v>0.92307692307692313</v>
      </c>
      <c r="Q286" s="732">
        <f>'Func Future Subs 2015'!Q286</f>
        <v>7.6923076923076927E-2</v>
      </c>
      <c r="R286" s="732">
        <f>'Func Future Subs 2015'!R286</f>
        <v>0</v>
      </c>
      <c r="S286" s="735">
        <f t="shared" si="35"/>
        <v>0</v>
      </c>
      <c r="T286" s="735">
        <f t="shared" si="36"/>
        <v>0</v>
      </c>
      <c r="U286" s="735">
        <f t="shared" si="37"/>
        <v>0</v>
      </c>
      <c r="V286" s="736">
        <f t="shared" si="38"/>
        <v>0</v>
      </c>
      <c r="W286" s="735">
        <f t="shared" si="39"/>
        <v>0</v>
      </c>
      <c r="X286" s="737">
        <f t="shared" si="40"/>
        <v>0</v>
      </c>
      <c r="Y286" s="738">
        <f t="shared" si="41"/>
        <v>0</v>
      </c>
    </row>
    <row r="287" spans="1:25">
      <c r="A287" s="754" t="str">
        <f>'Func Future Subs 2015'!A287</f>
        <v>Modify Vermillion 710S substation</v>
      </c>
      <c r="B287" s="754">
        <f>'Func Future Subs 2015'!B287</f>
        <v>1410</v>
      </c>
      <c r="C287" s="754">
        <f>'Func Future Subs 2015'!C287</f>
        <v>240</v>
      </c>
      <c r="D287" s="754">
        <f>'Func Future Subs 2015'!D287</f>
        <v>25</v>
      </c>
      <c r="E287" s="754" t="str">
        <f>'Func Future Subs 2015'!E287</f>
        <v>710S</v>
      </c>
      <c r="F287" s="754">
        <f>'Func Future Subs 2015'!F287</f>
        <v>15324.249757272422</v>
      </c>
      <c r="G287" s="754" t="str">
        <f>'Func Future Subs 2015'!G287</f>
        <v>ATCO</v>
      </c>
      <c r="H287" s="754">
        <f>'Func Future Subs 2015'!H287</f>
        <v>2017</v>
      </c>
      <c r="I287" s="306">
        <f>+IF($H287=I$2,VLOOKUP($G287,Depreciation!$A$14:$L$18,7,FALSE)/2,IF($H287&lt;I$2,VLOOKUP($G287,Depreciation!$A$14:$L$18,7,FALSE),0))</f>
        <v>0</v>
      </c>
      <c r="J287" s="306">
        <f>+IF($H287=J$2,VLOOKUP($G287,Depreciation!$A$14:$L$18,8,FALSE)/2,IF($H287&lt;J$2,VLOOKUP($G287,Depreciation!$A$14:$L$18,8,FALSE),0))</f>
        <v>0</v>
      </c>
      <c r="K287" s="306">
        <f>+IF($H287=K$2,VLOOKUP($G287,Depreciation!$A$14:$L$18,9,FALSE)/2,IF($H287&lt;K$2,VLOOKUP($G287,Depreciation!$A$14:$L$18,9,FALSE),0))</f>
        <v>1.2175768213899416E-2</v>
      </c>
      <c r="L287" s="306">
        <f>+IF($H287=L$2,VLOOKUP($G287,Depreciation!$A$14:$L$18,10,FALSE)/2,IF($H287&lt;L$2,VLOOKUP($G287,Depreciation!$A$14:$L$18,10,FALSE),0))</f>
        <v>2.4351536427798831E-2</v>
      </c>
      <c r="M287" s="306">
        <f>+IF($H287=M$2,VLOOKUP($G287,Depreciation!$A$14:$L$18,11,FALSE)/2,IF($H287&lt;M$2,VLOOKUP($G287,Depreciation!$A$14:$L$18,11,FALSE),0))</f>
        <v>2.4351536427798831E-2</v>
      </c>
      <c r="N287" s="306">
        <f>+IF($H287=N$2,VLOOKUP($G287,Depreciation!$A$14:$L$18,12,FALSE)/2,IF($H287&lt;N$2,VLOOKUP($G287,Depreciation!$A$14:$L$18,12,FALSE),0))</f>
        <v>2.4351536427798831E-2</v>
      </c>
      <c r="O287" s="307">
        <f t="shared" si="34"/>
        <v>0</v>
      </c>
      <c r="P287" s="732">
        <f>'Func Future Subs 2015'!P287</f>
        <v>0</v>
      </c>
      <c r="Q287" s="732">
        <f>'Func Future Subs 2015'!Q287</f>
        <v>1</v>
      </c>
      <c r="R287" s="732">
        <f>'Func Future Subs 2015'!R287</f>
        <v>0</v>
      </c>
      <c r="S287" s="735">
        <f t="shared" si="35"/>
        <v>0</v>
      </c>
      <c r="T287" s="735">
        <f t="shared" si="36"/>
        <v>0</v>
      </c>
      <c r="U287" s="735">
        <f t="shared" si="37"/>
        <v>0</v>
      </c>
      <c r="V287" s="736">
        <f t="shared" si="38"/>
        <v>0</v>
      </c>
      <c r="W287" s="735">
        <f t="shared" si="39"/>
        <v>0</v>
      </c>
      <c r="X287" s="737">
        <f t="shared" si="40"/>
        <v>0</v>
      </c>
      <c r="Y287" s="738">
        <f t="shared" si="41"/>
        <v>0</v>
      </c>
    </row>
    <row r="288" spans="1:25">
      <c r="A288" s="754" t="str">
        <f>'Func Future Subs 2015'!A288</f>
        <v>New Vincent 2019S POD substation</v>
      </c>
      <c r="B288" s="754">
        <f>'Func Future Subs 2015'!B288</f>
        <v>1410</v>
      </c>
      <c r="C288" s="754">
        <f>'Func Future Subs 2015'!C288</f>
        <v>144</v>
      </c>
      <c r="D288" s="754">
        <f>'Func Future Subs 2015'!D288</f>
        <v>25</v>
      </c>
      <c r="E288" s="754" t="str">
        <f>'Func Future Subs 2015'!E288</f>
        <v>2019S</v>
      </c>
      <c r="F288" s="754">
        <f>'Func Future Subs 2015'!F288</f>
        <v>8044760.2895575566</v>
      </c>
      <c r="G288" s="754" t="str">
        <f>'Func Future Subs 2015'!G288</f>
        <v>ATCO</v>
      </c>
      <c r="H288" s="754">
        <f>'Func Future Subs 2015'!H288</f>
        <v>2017</v>
      </c>
      <c r="I288" s="306">
        <f>+IF($H288=I$2,VLOOKUP($G288,Depreciation!$A$14:$L$18,7,FALSE)/2,IF($H288&lt;I$2,VLOOKUP($G288,Depreciation!$A$14:$L$18,7,FALSE),0))</f>
        <v>0</v>
      </c>
      <c r="J288" s="306">
        <f>+IF($H288=J$2,VLOOKUP($G288,Depreciation!$A$14:$L$18,8,FALSE)/2,IF($H288&lt;J$2,VLOOKUP($G288,Depreciation!$A$14:$L$18,8,FALSE),0))</f>
        <v>0</v>
      </c>
      <c r="K288" s="306">
        <f>+IF($H288=K$2,VLOOKUP($G288,Depreciation!$A$14:$L$18,9,FALSE)/2,IF($H288&lt;K$2,VLOOKUP($G288,Depreciation!$A$14:$L$18,9,FALSE),0))</f>
        <v>1.2175768213899416E-2</v>
      </c>
      <c r="L288" s="306">
        <f>+IF($H288=L$2,VLOOKUP($G288,Depreciation!$A$14:$L$18,10,FALSE)/2,IF($H288&lt;L$2,VLOOKUP($G288,Depreciation!$A$14:$L$18,10,FALSE),0))</f>
        <v>2.4351536427798831E-2</v>
      </c>
      <c r="M288" s="306">
        <f>+IF($H288=M$2,VLOOKUP($G288,Depreciation!$A$14:$L$18,11,FALSE)/2,IF($H288&lt;M$2,VLOOKUP($G288,Depreciation!$A$14:$L$18,11,FALSE),0))</f>
        <v>2.4351536427798831E-2</v>
      </c>
      <c r="N288" s="306">
        <f>+IF($H288=N$2,VLOOKUP($G288,Depreciation!$A$14:$L$18,12,FALSE)/2,IF($H288&lt;N$2,VLOOKUP($G288,Depreciation!$A$14:$L$18,12,FALSE),0))</f>
        <v>2.4351536427798831E-2</v>
      </c>
      <c r="O288" s="307">
        <f t="shared" si="34"/>
        <v>0</v>
      </c>
      <c r="P288" s="732">
        <f>'Func Future Subs 2015'!P288</f>
        <v>0</v>
      </c>
      <c r="Q288" s="732">
        <f>'Func Future Subs 2015'!Q288</f>
        <v>0</v>
      </c>
      <c r="R288" s="732">
        <f>'Func Future Subs 2015'!R288</f>
        <v>1</v>
      </c>
      <c r="S288" s="735">
        <f t="shared" si="35"/>
        <v>0</v>
      </c>
      <c r="T288" s="735">
        <f t="shared" si="36"/>
        <v>0</v>
      </c>
      <c r="U288" s="735">
        <f t="shared" si="37"/>
        <v>0</v>
      </c>
      <c r="V288" s="736">
        <f t="shared" si="38"/>
        <v>0</v>
      </c>
      <c r="W288" s="735">
        <f t="shared" si="39"/>
        <v>0</v>
      </c>
      <c r="X288" s="737">
        <f t="shared" si="40"/>
        <v>0</v>
      </c>
      <c r="Y288" s="738">
        <f t="shared" si="41"/>
        <v>0</v>
      </c>
    </row>
    <row r="289" spans="1:25">
      <c r="A289" s="754" t="str">
        <f>'Func Future Subs 2015'!A289</f>
        <v>Upgrade Irish Creek 706S substation</v>
      </c>
      <c r="B289" s="754">
        <f>'Func Future Subs 2015'!B289</f>
        <v>1410</v>
      </c>
      <c r="C289" s="754">
        <f>'Func Future Subs 2015'!C289</f>
        <v>144</v>
      </c>
      <c r="D289" s="754">
        <f>'Func Future Subs 2015'!D289</f>
        <v>25</v>
      </c>
      <c r="E289" s="754" t="str">
        <f>'Func Future Subs 2015'!E289</f>
        <v>706S</v>
      </c>
      <c r="F289" s="754">
        <f>'Func Future Subs 2015'!F289</f>
        <v>3971812.508863166</v>
      </c>
      <c r="G289" s="754" t="str">
        <f>'Func Future Subs 2015'!G289</f>
        <v>ATCO</v>
      </c>
      <c r="H289" s="754">
        <f>'Func Future Subs 2015'!H289</f>
        <v>2017</v>
      </c>
      <c r="I289" s="306">
        <f>+IF($H289=I$2,VLOOKUP($G289,Depreciation!$A$14:$L$18,7,FALSE)/2,IF($H289&lt;I$2,VLOOKUP($G289,Depreciation!$A$14:$L$18,7,FALSE),0))</f>
        <v>0</v>
      </c>
      <c r="J289" s="306">
        <f>+IF($H289=J$2,VLOOKUP($G289,Depreciation!$A$14:$L$18,8,FALSE)/2,IF($H289&lt;J$2,VLOOKUP($G289,Depreciation!$A$14:$L$18,8,FALSE),0))</f>
        <v>0</v>
      </c>
      <c r="K289" s="306">
        <f>+IF($H289=K$2,VLOOKUP($G289,Depreciation!$A$14:$L$18,9,FALSE)/2,IF($H289&lt;K$2,VLOOKUP($G289,Depreciation!$A$14:$L$18,9,FALSE),0))</f>
        <v>1.2175768213899416E-2</v>
      </c>
      <c r="L289" s="306">
        <f>+IF($H289=L$2,VLOOKUP($G289,Depreciation!$A$14:$L$18,10,FALSE)/2,IF($H289&lt;L$2,VLOOKUP($G289,Depreciation!$A$14:$L$18,10,FALSE),0))</f>
        <v>2.4351536427798831E-2</v>
      </c>
      <c r="M289" s="306">
        <f>+IF($H289=M$2,VLOOKUP($G289,Depreciation!$A$14:$L$18,11,FALSE)/2,IF($H289&lt;M$2,VLOOKUP($G289,Depreciation!$A$14:$L$18,11,FALSE),0))</f>
        <v>2.4351536427798831E-2</v>
      </c>
      <c r="N289" s="306">
        <f>+IF($H289=N$2,VLOOKUP($G289,Depreciation!$A$14:$L$18,12,FALSE)/2,IF($H289&lt;N$2,VLOOKUP($G289,Depreciation!$A$14:$L$18,12,FALSE),0))</f>
        <v>2.4351536427798831E-2</v>
      </c>
      <c r="O289" s="307">
        <f t="shared" si="34"/>
        <v>0</v>
      </c>
      <c r="P289" s="732">
        <f>'Func Future Subs 2015'!P289</f>
        <v>0</v>
      </c>
      <c r="Q289" s="732">
        <f>'Func Future Subs 2015'!Q289</f>
        <v>1</v>
      </c>
      <c r="R289" s="732">
        <f>'Func Future Subs 2015'!R289</f>
        <v>0</v>
      </c>
      <c r="S289" s="735">
        <f t="shared" si="35"/>
        <v>0</v>
      </c>
      <c r="T289" s="735">
        <f t="shared" si="36"/>
        <v>0</v>
      </c>
      <c r="U289" s="735">
        <f t="shared" si="37"/>
        <v>0</v>
      </c>
      <c r="V289" s="736">
        <f t="shared" si="38"/>
        <v>0</v>
      </c>
      <c r="W289" s="735">
        <f t="shared" si="39"/>
        <v>0</v>
      </c>
      <c r="X289" s="737">
        <f t="shared" si="40"/>
        <v>0</v>
      </c>
      <c r="Y289" s="738">
        <f t="shared" si="41"/>
        <v>0</v>
      </c>
    </row>
    <row r="290" spans="1:25">
      <c r="A290" s="754" t="str">
        <f>'Func Future Subs 2015'!A290</f>
        <v>Upgrade Vegreville 709S substation</v>
      </c>
      <c r="B290" s="754">
        <f>'Func Future Subs 2015'!B290</f>
        <v>1410</v>
      </c>
      <c r="C290" s="754">
        <f>'Func Future Subs 2015'!C290</f>
        <v>144</v>
      </c>
      <c r="D290" s="754">
        <f>'Func Future Subs 2015'!D290</f>
        <v>25</v>
      </c>
      <c r="E290" s="754" t="str">
        <f>'Func Future Subs 2015'!E290</f>
        <v>709S</v>
      </c>
      <c r="F290" s="754">
        <f>'Func Future Subs 2015'!F290</f>
        <v>775183.9038130251</v>
      </c>
      <c r="G290" s="754" t="str">
        <f>'Func Future Subs 2015'!G290</f>
        <v>ATCO</v>
      </c>
      <c r="H290" s="754">
        <f>'Func Future Subs 2015'!H290</f>
        <v>2017</v>
      </c>
      <c r="I290" s="306">
        <f>+IF($H290=I$2,VLOOKUP($G290,Depreciation!$A$14:$L$18,7,FALSE)/2,IF($H290&lt;I$2,VLOOKUP($G290,Depreciation!$A$14:$L$18,7,FALSE),0))</f>
        <v>0</v>
      </c>
      <c r="J290" s="306">
        <f>+IF($H290=J$2,VLOOKUP($G290,Depreciation!$A$14:$L$18,8,FALSE)/2,IF($H290&lt;J$2,VLOOKUP($G290,Depreciation!$A$14:$L$18,8,FALSE),0))</f>
        <v>0</v>
      </c>
      <c r="K290" s="306">
        <f>+IF($H290=K$2,VLOOKUP($G290,Depreciation!$A$14:$L$18,9,FALSE)/2,IF($H290&lt;K$2,VLOOKUP($G290,Depreciation!$A$14:$L$18,9,FALSE),0))</f>
        <v>1.2175768213899416E-2</v>
      </c>
      <c r="L290" s="306">
        <f>+IF($H290=L$2,VLOOKUP($G290,Depreciation!$A$14:$L$18,10,FALSE)/2,IF($H290&lt;L$2,VLOOKUP($G290,Depreciation!$A$14:$L$18,10,FALSE),0))</f>
        <v>2.4351536427798831E-2</v>
      </c>
      <c r="M290" s="306">
        <f>+IF($H290=M$2,VLOOKUP($G290,Depreciation!$A$14:$L$18,11,FALSE)/2,IF($H290&lt;M$2,VLOOKUP($G290,Depreciation!$A$14:$L$18,11,FALSE),0))</f>
        <v>2.4351536427798831E-2</v>
      </c>
      <c r="N290" s="306">
        <f>+IF($H290=N$2,VLOOKUP($G290,Depreciation!$A$14:$L$18,12,FALSE)/2,IF($H290&lt;N$2,VLOOKUP($G290,Depreciation!$A$14:$L$18,12,FALSE),0))</f>
        <v>2.4351536427798831E-2</v>
      </c>
      <c r="O290" s="307">
        <f t="shared" si="34"/>
        <v>0</v>
      </c>
      <c r="P290" s="732">
        <f>'Func Future Subs 2015'!P290</f>
        <v>0</v>
      </c>
      <c r="Q290" s="732">
        <f>'Func Future Subs 2015'!Q290</f>
        <v>1</v>
      </c>
      <c r="R290" s="732">
        <f>'Func Future Subs 2015'!R290</f>
        <v>0</v>
      </c>
      <c r="S290" s="735">
        <f t="shared" si="35"/>
        <v>0</v>
      </c>
      <c r="T290" s="735">
        <f t="shared" si="36"/>
        <v>0</v>
      </c>
      <c r="U290" s="735">
        <f t="shared" si="37"/>
        <v>0</v>
      </c>
      <c r="V290" s="736">
        <f t="shared" si="38"/>
        <v>0</v>
      </c>
      <c r="W290" s="735">
        <f t="shared" si="39"/>
        <v>0</v>
      </c>
      <c r="X290" s="737">
        <f t="shared" si="40"/>
        <v>0</v>
      </c>
      <c r="Y290" s="738">
        <f t="shared" si="41"/>
        <v>0</v>
      </c>
    </row>
    <row r="291" spans="1:25">
      <c r="A291" s="754" t="str">
        <f>'Func Future Subs 2015'!A291</f>
        <v>Gainford 165S</v>
      </c>
      <c r="B291" s="754">
        <f>'Func Future Subs 2015'!B291</f>
        <v>1412</v>
      </c>
      <c r="C291" s="754">
        <f>'Func Future Subs 2015'!C291</f>
        <v>138</v>
      </c>
      <c r="D291" s="754">
        <f>'Func Future Subs 2015'!D291</f>
        <v>25</v>
      </c>
      <c r="E291" s="754" t="str">
        <f>'Func Future Subs 2015'!E291</f>
        <v>165S</v>
      </c>
      <c r="F291" s="754">
        <f>'Func Future Subs 2015'!F291</f>
        <v>4938999.9999999953</v>
      </c>
      <c r="G291" s="754" t="str">
        <f>'Func Future Subs 2015'!G291</f>
        <v>AltaLink</v>
      </c>
      <c r="H291" s="754">
        <f>'Func Future Subs 2015'!H291</f>
        <v>2019</v>
      </c>
      <c r="I291" s="306">
        <f>+IF($H291=I$2,VLOOKUP($G291,Depreciation!$A$14:$L$18,7,FALSE)/2,IF($H291&lt;I$2,VLOOKUP($G291,Depreciation!$A$14:$L$18,7,FALSE),0))</f>
        <v>0</v>
      </c>
      <c r="J291" s="306">
        <f>+IF($H291=J$2,VLOOKUP($G291,Depreciation!$A$14:$L$18,8,FALSE)/2,IF($H291&lt;J$2,VLOOKUP($G291,Depreciation!$A$14:$L$18,8,FALSE),0))</f>
        <v>0</v>
      </c>
      <c r="K291" s="306">
        <f>+IF($H291=K$2,VLOOKUP($G291,Depreciation!$A$14:$L$18,9,FALSE)/2,IF($H291&lt;K$2,VLOOKUP($G291,Depreciation!$A$14:$L$18,9,FALSE),0))</f>
        <v>0</v>
      </c>
      <c r="L291" s="306">
        <f>+IF($H291=L$2,VLOOKUP($G291,Depreciation!$A$14:$L$18,10,FALSE)/2,IF($H291&lt;L$2,VLOOKUP($G291,Depreciation!$A$14:$L$18,10,FALSE),0))</f>
        <v>0</v>
      </c>
      <c r="M291" s="306">
        <f>+IF($H291=M$2,VLOOKUP($G291,Depreciation!$A$14:$L$18,11,FALSE)/2,IF($H291&lt;M$2,VLOOKUP($G291,Depreciation!$A$14:$L$18,11,FALSE),0))</f>
        <v>1.671703928371859E-2</v>
      </c>
      <c r="N291" s="306">
        <f>+IF($H291=N$2,VLOOKUP($G291,Depreciation!$A$14:$L$18,12,FALSE)/2,IF($H291&lt;N$2,VLOOKUP($G291,Depreciation!$A$14:$L$18,12,FALSE),0))</f>
        <v>3.343407856743718E-2</v>
      </c>
      <c r="O291" s="307">
        <f t="shared" si="34"/>
        <v>0</v>
      </c>
      <c r="P291" s="732">
        <f>'Func Future Subs 2015'!P291</f>
        <v>0</v>
      </c>
      <c r="Q291" s="732">
        <f>'Func Future Subs 2015'!Q291</f>
        <v>1</v>
      </c>
      <c r="R291" s="732">
        <f>'Func Future Subs 2015'!R291</f>
        <v>0</v>
      </c>
      <c r="S291" s="735">
        <f t="shared" si="35"/>
        <v>0</v>
      </c>
      <c r="T291" s="735">
        <f t="shared" si="36"/>
        <v>0</v>
      </c>
      <c r="U291" s="735">
        <f t="shared" si="37"/>
        <v>0</v>
      </c>
      <c r="V291" s="736">
        <f t="shared" si="38"/>
        <v>0</v>
      </c>
      <c r="W291" s="735">
        <f t="shared" si="39"/>
        <v>0</v>
      </c>
      <c r="X291" s="737">
        <f t="shared" si="40"/>
        <v>0</v>
      </c>
      <c r="Y291" s="738">
        <f t="shared" si="41"/>
        <v>0</v>
      </c>
    </row>
    <row r="292" spans="1:25">
      <c r="A292" s="754" t="str">
        <f>'Func Future Subs 2015'!A292</f>
        <v>mercer Hill 728S</v>
      </c>
      <c r="B292" s="754">
        <f>'Func Future Subs 2015'!B292</f>
        <v>1416</v>
      </c>
      <c r="C292" s="754">
        <f>'Func Future Subs 2015'!C292</f>
        <v>144</v>
      </c>
      <c r="D292" s="754">
        <f>'Func Future Subs 2015'!D292</f>
        <v>25</v>
      </c>
      <c r="E292" s="754" t="str">
        <f>'Func Future Subs 2015'!E292</f>
        <v>728S</v>
      </c>
      <c r="F292" s="754">
        <f>'Func Future Subs 2015'!F292</f>
        <v>1896908</v>
      </c>
      <c r="G292" s="754" t="str">
        <f>'Func Future Subs 2015'!G292</f>
        <v>ATCO</v>
      </c>
      <c r="H292" s="754">
        <f>'Func Future Subs 2015'!H292</f>
        <v>2015</v>
      </c>
      <c r="I292" s="306">
        <f>+IF($H292=I$2,VLOOKUP($G292,Depreciation!$A$14:$L$18,7,FALSE)/2,IF($H292&lt;I$2,VLOOKUP($G292,Depreciation!$A$14:$L$18,7,FALSE),0))</f>
        <v>1.221703683566912E-2</v>
      </c>
      <c r="J292" s="306">
        <f>+IF($H292=J$2,VLOOKUP($G292,Depreciation!$A$14:$L$18,8,FALSE)/2,IF($H292&lt;J$2,VLOOKUP($G292,Depreciation!$A$14:$L$18,8,FALSE),0))</f>
        <v>2.4632450501084719E-2</v>
      </c>
      <c r="K292" s="306">
        <f>+IF($H292=K$2,VLOOKUP($G292,Depreciation!$A$14:$L$18,9,FALSE)/2,IF($H292&lt;K$2,VLOOKUP($G292,Depreciation!$A$14:$L$18,9,FALSE),0))</f>
        <v>2.4351536427798831E-2</v>
      </c>
      <c r="L292" s="306">
        <f>+IF($H292=L$2,VLOOKUP($G292,Depreciation!$A$14:$L$18,10,FALSE)/2,IF($H292&lt;L$2,VLOOKUP($G292,Depreciation!$A$14:$L$18,10,FALSE),0))</f>
        <v>2.4351536427798831E-2</v>
      </c>
      <c r="M292" s="306">
        <f>+IF($H292=M$2,VLOOKUP($G292,Depreciation!$A$14:$L$18,11,FALSE)/2,IF($H292&lt;M$2,VLOOKUP($G292,Depreciation!$A$14:$L$18,11,FALSE),0))</f>
        <v>2.4351536427798831E-2</v>
      </c>
      <c r="N292" s="306">
        <f>+IF($H292=N$2,VLOOKUP($G292,Depreciation!$A$14:$L$18,12,FALSE)/2,IF($H292&lt;N$2,VLOOKUP($G292,Depreciation!$A$14:$L$18,12,FALSE),0))</f>
        <v>2.4351536427798831E-2</v>
      </c>
      <c r="O292" s="307">
        <f t="shared" si="34"/>
        <v>1827578.7597370131</v>
      </c>
      <c r="P292" s="732">
        <f>'Func Future Subs 2015'!P292</f>
        <v>0</v>
      </c>
      <c r="Q292" s="732">
        <f>'Func Future Subs 2015'!Q292</f>
        <v>1</v>
      </c>
      <c r="R292" s="732">
        <f>'Func Future Subs 2015'!R292</f>
        <v>0</v>
      </c>
      <c r="S292" s="735">
        <f t="shared" si="35"/>
        <v>0</v>
      </c>
      <c r="T292" s="735">
        <f t="shared" si="36"/>
        <v>1827578.7597370131</v>
      </c>
      <c r="U292" s="735">
        <f t="shared" si="37"/>
        <v>0</v>
      </c>
      <c r="V292" s="736">
        <f t="shared" si="38"/>
        <v>0</v>
      </c>
      <c r="W292" s="735">
        <f t="shared" si="39"/>
        <v>0</v>
      </c>
      <c r="X292" s="737">
        <f t="shared" si="40"/>
        <v>0</v>
      </c>
      <c r="Y292" s="738">
        <f t="shared" si="41"/>
        <v>1827578.7597370131</v>
      </c>
    </row>
    <row r="293" spans="1:25">
      <c r="A293" s="754" t="str">
        <f>'Func Future Subs 2015'!A293</f>
        <v>Lambton substation</v>
      </c>
      <c r="B293" s="754">
        <f>'Func Future Subs 2015'!B293</f>
        <v>1438</v>
      </c>
      <c r="C293" s="754">
        <f>'Func Future Subs 2015'!C293</f>
        <v>240</v>
      </c>
      <c r="D293" s="754">
        <f>'Func Future Subs 2015'!D293</f>
        <v>0</v>
      </c>
      <c r="E293" s="754">
        <f>'Func Future Subs 2015'!E293</f>
        <v>0</v>
      </c>
      <c r="F293" s="754">
        <f>'Func Future Subs 2015'!F293</f>
        <v>1059667.0000000005</v>
      </c>
      <c r="G293" s="754" t="str">
        <f>'Func Future Subs 2015'!G293</f>
        <v>EPCOR</v>
      </c>
      <c r="H293" s="754">
        <f>'Func Future Subs 2015'!H293</f>
        <v>2015</v>
      </c>
      <c r="I293" s="306">
        <f>+IF($H293=I$2,VLOOKUP($G293,Depreciation!$A$14:$L$18,7,FALSE)/2,IF($H293&lt;I$2,VLOOKUP($G293,Depreciation!$A$14:$L$18,7,FALSE),0))</f>
        <v>2.0607513622398654E-2</v>
      </c>
      <c r="J293" s="306">
        <f>+IF($H293=J$2,VLOOKUP($G293,Depreciation!$A$14:$L$18,8,FALSE)/2,IF($H293&lt;J$2,VLOOKUP($G293,Depreciation!$A$14:$L$18,8,FALSE),0))</f>
        <v>4.1600055599844914E-2</v>
      </c>
      <c r="K293" s="306">
        <f>+IF($H293=K$2,VLOOKUP($G293,Depreciation!$A$14:$L$18,9,FALSE)/2,IF($H293&lt;K$2,VLOOKUP($G293,Depreciation!$A$14:$L$18,9,FALSE),0))</f>
        <v>4.1145263498658789E-2</v>
      </c>
      <c r="L293" s="306">
        <f>+IF($H293=L$2,VLOOKUP($G293,Depreciation!$A$14:$L$18,10,FALSE)/2,IF($H293&lt;L$2,VLOOKUP($G293,Depreciation!$A$14:$L$18,10,FALSE),0))</f>
        <v>4.1145263498658789E-2</v>
      </c>
      <c r="M293" s="306">
        <f>+IF($H293=M$2,VLOOKUP($G293,Depreciation!$A$14:$L$18,11,FALSE)/2,IF($H293&lt;M$2,VLOOKUP($G293,Depreciation!$A$14:$L$18,11,FALSE),0))</f>
        <v>4.1145263498658789E-2</v>
      </c>
      <c r="N293" s="306">
        <f>+IF($H293=N$2,VLOOKUP($G293,Depreciation!$A$14:$L$18,12,FALSE)/2,IF($H293&lt;N$2,VLOOKUP($G293,Depreciation!$A$14:$L$18,12,FALSE),0))</f>
        <v>4.1145263498658789E-2</v>
      </c>
      <c r="O293" s="307">
        <f t="shared" si="34"/>
        <v>994656.11640804133</v>
      </c>
      <c r="P293" s="732">
        <f>'Func Future Subs 2015'!P293</f>
        <v>0</v>
      </c>
      <c r="Q293" s="732">
        <f>'Func Future Subs 2015'!Q293</f>
        <v>0</v>
      </c>
      <c r="R293" s="732">
        <f>'Func Future Subs 2015'!R293</f>
        <v>1</v>
      </c>
      <c r="S293" s="735">
        <f t="shared" si="35"/>
        <v>0</v>
      </c>
      <c r="T293" s="735">
        <f t="shared" si="36"/>
        <v>0</v>
      </c>
      <c r="U293" s="735">
        <f t="shared" si="37"/>
        <v>994656.11640804133</v>
      </c>
      <c r="V293" s="736">
        <f t="shared" si="38"/>
        <v>994656.11640804133</v>
      </c>
      <c r="W293" s="735">
        <f t="shared" si="39"/>
        <v>0</v>
      </c>
      <c r="X293" s="737">
        <f t="shared" si="40"/>
        <v>0</v>
      </c>
      <c r="Y293" s="738">
        <f t="shared" si="41"/>
        <v>0</v>
      </c>
    </row>
    <row r="294" spans="1:25">
      <c r="A294" s="754" t="str">
        <f>'Func Future Subs 2015'!A294</f>
        <v>Genesee 330S</v>
      </c>
      <c r="B294" s="754">
        <f>'Func Future Subs 2015'!B294</f>
        <v>1440</v>
      </c>
      <c r="C294" s="754">
        <f>'Func Future Subs 2015'!C294</f>
        <v>500</v>
      </c>
      <c r="D294" s="754">
        <f>'Func Future Subs 2015'!D294</f>
        <v>0</v>
      </c>
      <c r="E294" s="754" t="str">
        <f>'Func Future Subs 2015'!E294</f>
        <v>330S</v>
      </c>
      <c r="F294" s="754">
        <f>'Func Future Subs 2015'!F294</f>
        <v>36143375.999999993</v>
      </c>
      <c r="G294" s="754" t="str">
        <f>'Func Future Subs 2015'!G294</f>
        <v>EPCOR</v>
      </c>
      <c r="H294" s="754">
        <f>'Func Future Subs 2015'!H294</f>
        <v>2020</v>
      </c>
      <c r="I294" s="306">
        <f>+IF($H294=I$2,VLOOKUP($G294,Depreciation!$A$14:$L$18,7,FALSE)/2,IF($H294&lt;I$2,VLOOKUP($G294,Depreciation!$A$14:$L$18,7,FALSE),0))</f>
        <v>0</v>
      </c>
      <c r="J294" s="306">
        <f>+IF($H294=J$2,VLOOKUP($G294,Depreciation!$A$14:$L$18,8,FALSE)/2,IF($H294&lt;J$2,VLOOKUP($G294,Depreciation!$A$14:$L$18,8,FALSE),0))</f>
        <v>0</v>
      </c>
      <c r="K294" s="306">
        <f>+IF($H294=K$2,VLOOKUP($G294,Depreciation!$A$14:$L$18,9,FALSE)/2,IF($H294&lt;K$2,VLOOKUP($G294,Depreciation!$A$14:$L$18,9,FALSE),0))</f>
        <v>0</v>
      </c>
      <c r="L294" s="306">
        <f>+IF($H294=L$2,VLOOKUP($G294,Depreciation!$A$14:$L$18,10,FALSE)/2,IF($H294&lt;L$2,VLOOKUP($G294,Depreciation!$A$14:$L$18,10,FALSE),0))</f>
        <v>0</v>
      </c>
      <c r="M294" s="306">
        <f>+IF($H294=M$2,VLOOKUP($G294,Depreciation!$A$14:$L$18,11,FALSE)/2,IF($H294&lt;M$2,VLOOKUP($G294,Depreciation!$A$14:$L$18,11,FALSE),0))</f>
        <v>0</v>
      </c>
      <c r="N294" s="306">
        <f>+IF($H294=N$2,VLOOKUP($G294,Depreciation!$A$14:$L$18,12,FALSE)/2,IF($H294&lt;N$2,VLOOKUP($G294,Depreciation!$A$14:$L$18,12,FALSE),0))</f>
        <v>2.0572631749329395E-2</v>
      </c>
      <c r="O294" s="307">
        <f t="shared" si="34"/>
        <v>0</v>
      </c>
      <c r="P294" s="732">
        <f>'Func Future Subs 2015'!P294</f>
        <v>0.98836755406354904</v>
      </c>
      <c r="Q294" s="732">
        <f>'Func Future Subs 2015'!Q294</f>
        <v>1.1632445936450932E-2</v>
      </c>
      <c r="R294" s="732">
        <f>'Func Future Subs 2015'!R294</f>
        <v>3.1225022567582528E-17</v>
      </c>
      <c r="S294" s="735">
        <f t="shared" si="35"/>
        <v>0</v>
      </c>
      <c r="T294" s="735">
        <f t="shared" si="36"/>
        <v>0</v>
      </c>
      <c r="U294" s="735">
        <f t="shared" si="37"/>
        <v>0</v>
      </c>
      <c r="V294" s="736">
        <f t="shared" si="38"/>
        <v>0</v>
      </c>
      <c r="W294" s="735">
        <f t="shared" si="39"/>
        <v>0</v>
      </c>
      <c r="X294" s="737">
        <f t="shared" si="40"/>
        <v>0</v>
      </c>
      <c r="Y294" s="738">
        <f t="shared" si="41"/>
        <v>0</v>
      </c>
    </row>
    <row r="295" spans="1:25">
      <c r="A295" s="754" t="str">
        <f>'Func Future Subs 2015'!A295</f>
        <v>Anthony Henday 309S</v>
      </c>
      <c r="B295" s="754">
        <f>'Func Future Subs 2015'!B295</f>
        <v>1442</v>
      </c>
      <c r="C295" s="754">
        <f>'Func Future Subs 2015'!C295</f>
        <v>138</v>
      </c>
      <c r="D295" s="754">
        <f>'Func Future Subs 2015'!D295</f>
        <v>25</v>
      </c>
      <c r="E295" s="754" t="str">
        <f>'Func Future Subs 2015'!E295</f>
        <v>309S</v>
      </c>
      <c r="F295" s="754">
        <f>'Func Future Subs 2015'!F295</f>
        <v>7721658.7024087086</v>
      </c>
      <c r="G295" s="754" t="str">
        <f>'Func Future Subs 2015'!G295</f>
        <v>AltaLink</v>
      </c>
      <c r="H295" s="754">
        <f>'Func Future Subs 2015'!H295</f>
        <v>2019</v>
      </c>
      <c r="I295" s="306">
        <f>+IF($H295=I$2,VLOOKUP($G295,Depreciation!$A$14:$L$18,7,FALSE)/2,IF($H295&lt;I$2,VLOOKUP($G295,Depreciation!$A$14:$L$18,7,FALSE),0))</f>
        <v>0</v>
      </c>
      <c r="J295" s="306">
        <f>+IF($H295=J$2,VLOOKUP($G295,Depreciation!$A$14:$L$18,8,FALSE)/2,IF($H295&lt;J$2,VLOOKUP($G295,Depreciation!$A$14:$L$18,8,FALSE),0))</f>
        <v>0</v>
      </c>
      <c r="K295" s="306">
        <f>+IF($H295=K$2,VLOOKUP($G295,Depreciation!$A$14:$L$18,9,FALSE)/2,IF($H295&lt;K$2,VLOOKUP($G295,Depreciation!$A$14:$L$18,9,FALSE),0))</f>
        <v>0</v>
      </c>
      <c r="L295" s="306">
        <f>+IF($H295=L$2,VLOOKUP($G295,Depreciation!$A$14:$L$18,10,FALSE)/2,IF($H295&lt;L$2,VLOOKUP($G295,Depreciation!$A$14:$L$18,10,FALSE),0))</f>
        <v>0</v>
      </c>
      <c r="M295" s="306">
        <f>+IF($H295=M$2,VLOOKUP($G295,Depreciation!$A$14:$L$18,11,FALSE)/2,IF($H295&lt;M$2,VLOOKUP($G295,Depreciation!$A$14:$L$18,11,FALSE),0))</f>
        <v>1.671703928371859E-2</v>
      </c>
      <c r="N295" s="306">
        <f>+IF($H295=N$2,VLOOKUP($G295,Depreciation!$A$14:$L$18,12,FALSE)/2,IF($H295&lt;N$2,VLOOKUP($G295,Depreciation!$A$14:$L$18,12,FALSE),0))</f>
        <v>3.343407856743718E-2</v>
      </c>
      <c r="O295" s="307">
        <f t="shared" si="34"/>
        <v>0</v>
      </c>
      <c r="P295" s="732">
        <f>'Func Future Subs 2015'!P295</f>
        <v>0</v>
      </c>
      <c r="Q295" s="732">
        <f>'Func Future Subs 2015'!Q295</f>
        <v>0</v>
      </c>
      <c r="R295" s="732">
        <f>'Func Future Subs 2015'!R295</f>
        <v>1</v>
      </c>
      <c r="S295" s="735">
        <f t="shared" si="35"/>
        <v>0</v>
      </c>
      <c r="T295" s="735">
        <f t="shared" si="36"/>
        <v>0</v>
      </c>
      <c r="U295" s="735">
        <f t="shared" si="37"/>
        <v>0</v>
      </c>
      <c r="V295" s="736">
        <f t="shared" si="38"/>
        <v>0</v>
      </c>
      <c r="W295" s="735">
        <f t="shared" si="39"/>
        <v>0</v>
      </c>
      <c r="X295" s="737">
        <f t="shared" si="40"/>
        <v>0</v>
      </c>
      <c r="Y295" s="738">
        <f t="shared" si="41"/>
        <v>0</v>
      </c>
    </row>
    <row r="296" spans="1:25">
      <c r="A296" s="754" t="str">
        <f>'Func Future Subs 2015'!A296</f>
        <v>East Edmonton 38S</v>
      </c>
      <c r="B296" s="754">
        <f>'Func Future Subs 2015'!B296</f>
        <v>1442</v>
      </c>
      <c r="C296" s="754">
        <f>'Func Future Subs 2015'!C296</f>
        <v>240</v>
      </c>
      <c r="D296" s="754">
        <f>'Func Future Subs 2015'!D296</f>
        <v>25</v>
      </c>
      <c r="E296" s="754" t="str">
        <f>'Func Future Subs 2015'!E296</f>
        <v>38S</v>
      </c>
      <c r="F296" s="754">
        <f>'Func Future Subs 2015'!F296</f>
        <v>9142.3853923854003</v>
      </c>
      <c r="G296" s="754" t="str">
        <f>'Func Future Subs 2015'!G296</f>
        <v>AltaLink</v>
      </c>
      <c r="H296" s="754">
        <f>'Func Future Subs 2015'!H296</f>
        <v>2019</v>
      </c>
      <c r="I296" s="306">
        <f>+IF($H296=I$2,VLOOKUP($G296,Depreciation!$A$14:$L$18,7,FALSE)/2,IF($H296&lt;I$2,VLOOKUP($G296,Depreciation!$A$14:$L$18,7,FALSE),0))</f>
        <v>0</v>
      </c>
      <c r="J296" s="306">
        <f>+IF($H296=J$2,VLOOKUP($G296,Depreciation!$A$14:$L$18,8,FALSE)/2,IF($H296&lt;J$2,VLOOKUP($G296,Depreciation!$A$14:$L$18,8,FALSE),0))</f>
        <v>0</v>
      </c>
      <c r="K296" s="306">
        <f>+IF($H296=K$2,VLOOKUP($G296,Depreciation!$A$14:$L$18,9,FALSE)/2,IF($H296&lt;K$2,VLOOKUP($G296,Depreciation!$A$14:$L$18,9,FALSE),0))</f>
        <v>0</v>
      </c>
      <c r="L296" s="306">
        <f>+IF($H296=L$2,VLOOKUP($G296,Depreciation!$A$14:$L$18,10,FALSE)/2,IF($H296&lt;L$2,VLOOKUP($G296,Depreciation!$A$14:$L$18,10,FALSE),0))</f>
        <v>0</v>
      </c>
      <c r="M296" s="306">
        <f>+IF($H296=M$2,VLOOKUP($G296,Depreciation!$A$14:$L$18,11,FALSE)/2,IF($H296&lt;M$2,VLOOKUP($G296,Depreciation!$A$14:$L$18,11,FALSE),0))</f>
        <v>1.671703928371859E-2</v>
      </c>
      <c r="N296" s="306">
        <f>+IF($H296=N$2,VLOOKUP($G296,Depreciation!$A$14:$L$18,12,FALSE)/2,IF($H296&lt;N$2,VLOOKUP($G296,Depreciation!$A$14:$L$18,12,FALSE),0))</f>
        <v>3.343407856743718E-2</v>
      </c>
      <c r="O296" s="307">
        <f t="shared" si="34"/>
        <v>0</v>
      </c>
      <c r="P296" s="732">
        <f>'Func Future Subs 2015'!P296</f>
        <v>0</v>
      </c>
      <c r="Q296" s="732">
        <f>'Func Future Subs 2015'!Q296</f>
        <v>1</v>
      </c>
      <c r="R296" s="732">
        <f>'Func Future Subs 2015'!R296</f>
        <v>0</v>
      </c>
      <c r="S296" s="735">
        <f t="shared" si="35"/>
        <v>0</v>
      </c>
      <c r="T296" s="735">
        <f t="shared" si="36"/>
        <v>0</v>
      </c>
      <c r="U296" s="735">
        <f t="shared" si="37"/>
        <v>0</v>
      </c>
      <c r="V296" s="736">
        <f t="shared" si="38"/>
        <v>0</v>
      </c>
      <c r="W296" s="735">
        <f t="shared" si="39"/>
        <v>0</v>
      </c>
      <c r="X296" s="737">
        <f t="shared" si="40"/>
        <v>0</v>
      </c>
      <c r="Y296" s="738">
        <f t="shared" si="41"/>
        <v>0</v>
      </c>
    </row>
    <row r="297" spans="1:25">
      <c r="A297" s="754" t="str">
        <f>'Func Future Subs 2015'!A297</f>
        <v>Yassa 286S</v>
      </c>
      <c r="B297" s="754">
        <f>'Func Future Subs 2015'!B297</f>
        <v>1442</v>
      </c>
      <c r="C297" s="754">
        <f>'Func Future Subs 2015'!C297</f>
        <v>138</v>
      </c>
      <c r="D297" s="754">
        <f>'Func Future Subs 2015'!D297</f>
        <v>25</v>
      </c>
      <c r="E297" s="754" t="str">
        <f>'Func Future Subs 2015'!E297</f>
        <v>286S</v>
      </c>
      <c r="F297" s="754">
        <f>'Func Future Subs 2015'!F297</f>
        <v>20113.247863247878</v>
      </c>
      <c r="G297" s="754" t="str">
        <f>'Func Future Subs 2015'!G297</f>
        <v>AltaLink</v>
      </c>
      <c r="H297" s="754">
        <f>'Func Future Subs 2015'!H297</f>
        <v>2019</v>
      </c>
      <c r="I297" s="306">
        <f>+IF($H297=I$2,VLOOKUP($G297,Depreciation!$A$14:$L$18,7,FALSE)/2,IF($H297&lt;I$2,VLOOKUP($G297,Depreciation!$A$14:$L$18,7,FALSE),0))</f>
        <v>0</v>
      </c>
      <c r="J297" s="306">
        <f>+IF($H297=J$2,VLOOKUP($G297,Depreciation!$A$14:$L$18,8,FALSE)/2,IF($H297&lt;J$2,VLOOKUP($G297,Depreciation!$A$14:$L$18,8,FALSE),0))</f>
        <v>0</v>
      </c>
      <c r="K297" s="306">
        <f>+IF($H297=K$2,VLOOKUP($G297,Depreciation!$A$14:$L$18,9,FALSE)/2,IF($H297&lt;K$2,VLOOKUP($G297,Depreciation!$A$14:$L$18,9,FALSE),0))</f>
        <v>0</v>
      </c>
      <c r="L297" s="306">
        <f>+IF($H297=L$2,VLOOKUP($G297,Depreciation!$A$14:$L$18,10,FALSE)/2,IF($H297&lt;L$2,VLOOKUP($G297,Depreciation!$A$14:$L$18,10,FALSE),0))</f>
        <v>0</v>
      </c>
      <c r="M297" s="306">
        <f>+IF($H297=M$2,VLOOKUP($G297,Depreciation!$A$14:$L$18,11,FALSE)/2,IF($H297&lt;M$2,VLOOKUP($G297,Depreciation!$A$14:$L$18,11,FALSE),0))</f>
        <v>1.671703928371859E-2</v>
      </c>
      <c r="N297" s="306">
        <f>+IF($H297=N$2,VLOOKUP($G297,Depreciation!$A$14:$L$18,12,FALSE)/2,IF($H297&lt;N$2,VLOOKUP($G297,Depreciation!$A$14:$L$18,12,FALSE),0))</f>
        <v>3.343407856743718E-2</v>
      </c>
      <c r="O297" s="307">
        <f t="shared" si="34"/>
        <v>0</v>
      </c>
      <c r="P297" s="732">
        <f>'Func Future Subs 2015'!P297</f>
        <v>0</v>
      </c>
      <c r="Q297" s="732">
        <f>'Func Future Subs 2015'!Q297</f>
        <v>1</v>
      </c>
      <c r="R297" s="732">
        <f>'Func Future Subs 2015'!R297</f>
        <v>0</v>
      </c>
      <c r="S297" s="735">
        <f t="shared" si="35"/>
        <v>0</v>
      </c>
      <c r="T297" s="735">
        <f t="shared" si="36"/>
        <v>0</v>
      </c>
      <c r="U297" s="735">
        <f t="shared" si="37"/>
        <v>0</v>
      </c>
      <c r="V297" s="736">
        <f t="shared" si="38"/>
        <v>0</v>
      </c>
      <c r="W297" s="735">
        <f t="shared" si="39"/>
        <v>0</v>
      </c>
      <c r="X297" s="737">
        <f t="shared" si="40"/>
        <v>0</v>
      </c>
      <c r="Y297" s="738">
        <f t="shared" si="41"/>
        <v>0</v>
      </c>
    </row>
    <row r="298" spans="1:25">
      <c r="A298" s="754" t="str">
        <f>'Func Future Subs 2015'!A298</f>
        <v>Cochrane 291S upgrade</v>
      </c>
      <c r="B298" s="754">
        <f>'Func Future Subs 2015'!B298</f>
        <v>1450</v>
      </c>
      <c r="C298" s="754">
        <f>'Func Future Subs 2015'!C298</f>
        <v>138</v>
      </c>
      <c r="D298" s="754">
        <f>'Func Future Subs 2015'!D298</f>
        <v>25</v>
      </c>
      <c r="E298" s="754" t="str">
        <f>'Func Future Subs 2015'!E298</f>
        <v>291S</v>
      </c>
      <c r="F298" s="754">
        <f>'Func Future Subs 2015'!F298</f>
        <v>6190999.9999999963</v>
      </c>
      <c r="G298" s="754" t="str">
        <f>'Func Future Subs 2015'!G298</f>
        <v>AltaLink</v>
      </c>
      <c r="H298" s="754">
        <f>'Func Future Subs 2015'!H298</f>
        <v>2015</v>
      </c>
      <c r="I298" s="306">
        <f>+IF($H298=I$2,VLOOKUP($G298,Depreciation!$A$14:$L$18,7,FALSE)/2,IF($H298&lt;I$2,VLOOKUP($G298,Depreciation!$A$14:$L$18,7,FALSE),0))</f>
        <v>1.7228380322441735E-2</v>
      </c>
      <c r="J298" s="306">
        <f>+IF($H298=J$2,VLOOKUP($G298,Depreciation!$A$14:$L$18,8,FALSE)/2,IF($H298&lt;J$2,VLOOKUP($G298,Depreciation!$A$14:$L$18,8,FALSE),0))</f>
        <v>3.343407856743718E-2</v>
      </c>
      <c r="K298" s="306">
        <f>+IF($H298=K$2,VLOOKUP($G298,Depreciation!$A$14:$L$18,9,FALSE)/2,IF($H298&lt;K$2,VLOOKUP($G298,Depreciation!$A$14:$L$18,9,FALSE),0))</f>
        <v>3.343407856743718E-2</v>
      </c>
      <c r="L298" s="306">
        <f>+IF($H298=L$2,VLOOKUP($G298,Depreciation!$A$14:$L$18,10,FALSE)/2,IF($H298&lt;L$2,VLOOKUP($G298,Depreciation!$A$14:$L$18,10,FALSE),0))</f>
        <v>3.343407856743718E-2</v>
      </c>
      <c r="M298" s="306">
        <f>+IF($H298=M$2,VLOOKUP($G298,Depreciation!$A$14:$L$18,11,FALSE)/2,IF($H298&lt;M$2,VLOOKUP($G298,Depreciation!$A$14:$L$18,11,FALSE),0))</f>
        <v>3.343407856743718E-2</v>
      </c>
      <c r="N298" s="306">
        <f>+IF($H298=N$2,VLOOKUP($G298,Depreciation!$A$14:$L$18,12,FALSE)/2,IF($H298&lt;N$2,VLOOKUP($G298,Depreciation!$A$14:$L$18,12,FALSE),0))</f>
        <v>3.343407856743718E-2</v>
      </c>
      <c r="O298" s="307">
        <f t="shared" si="34"/>
        <v>5880914.8260095632</v>
      </c>
      <c r="P298" s="732">
        <f>'Func Future Subs 2015'!P298</f>
        <v>0</v>
      </c>
      <c r="Q298" s="732">
        <f>'Func Future Subs 2015'!Q298</f>
        <v>1</v>
      </c>
      <c r="R298" s="732">
        <f>'Func Future Subs 2015'!R298</f>
        <v>0</v>
      </c>
      <c r="S298" s="735">
        <f t="shared" si="35"/>
        <v>0</v>
      </c>
      <c r="T298" s="735">
        <f t="shared" si="36"/>
        <v>5880914.8260095632</v>
      </c>
      <c r="U298" s="735">
        <f t="shared" si="37"/>
        <v>0</v>
      </c>
      <c r="V298" s="736">
        <f t="shared" si="38"/>
        <v>0</v>
      </c>
      <c r="W298" s="735">
        <f t="shared" si="39"/>
        <v>0</v>
      </c>
      <c r="X298" s="737">
        <f t="shared" si="40"/>
        <v>0</v>
      </c>
      <c r="Y298" s="738">
        <f t="shared" si="41"/>
        <v>5880914.8260095632</v>
      </c>
    </row>
    <row r="299" spans="1:25">
      <c r="A299" s="754" t="str">
        <f>'Func Future Subs 2015'!A299</f>
        <v>Cold Creek 602S</v>
      </c>
      <c r="B299" s="754">
        <f>'Func Future Subs 2015'!B299</f>
        <v>1460</v>
      </c>
      <c r="C299" s="754">
        <f>'Func Future Subs 2015'!C299</f>
        <v>138</v>
      </c>
      <c r="D299" s="754">
        <f>'Func Future Subs 2015'!D299</f>
        <v>25</v>
      </c>
      <c r="E299" s="754" t="str">
        <f>'Func Future Subs 2015'!E299</f>
        <v>602S</v>
      </c>
      <c r="F299" s="754">
        <f>'Func Future Subs 2015'!F299</f>
        <v>68876.329787234063</v>
      </c>
      <c r="G299" s="754" t="str">
        <f>'Func Future Subs 2015'!G299</f>
        <v>AltaLink</v>
      </c>
      <c r="H299" s="754">
        <f>'Func Future Subs 2015'!H299</f>
        <v>2019</v>
      </c>
      <c r="I299" s="306">
        <f>+IF($H299=I$2,VLOOKUP($G299,Depreciation!$A$14:$L$18,7,FALSE)/2,IF($H299&lt;I$2,VLOOKUP($G299,Depreciation!$A$14:$L$18,7,FALSE),0))</f>
        <v>0</v>
      </c>
      <c r="J299" s="306">
        <f>+IF($H299=J$2,VLOOKUP($G299,Depreciation!$A$14:$L$18,8,FALSE)/2,IF($H299&lt;J$2,VLOOKUP($G299,Depreciation!$A$14:$L$18,8,FALSE),0))</f>
        <v>0</v>
      </c>
      <c r="K299" s="306">
        <f>+IF($H299=K$2,VLOOKUP($G299,Depreciation!$A$14:$L$18,9,FALSE)/2,IF($H299&lt;K$2,VLOOKUP($G299,Depreciation!$A$14:$L$18,9,FALSE),0))</f>
        <v>0</v>
      </c>
      <c r="L299" s="306">
        <f>+IF($H299=L$2,VLOOKUP($G299,Depreciation!$A$14:$L$18,10,FALSE)/2,IF($H299&lt;L$2,VLOOKUP($G299,Depreciation!$A$14:$L$18,10,FALSE),0))</f>
        <v>0</v>
      </c>
      <c r="M299" s="306">
        <f>+IF($H299=M$2,VLOOKUP($G299,Depreciation!$A$14:$L$18,11,FALSE)/2,IF($H299&lt;M$2,VLOOKUP($G299,Depreciation!$A$14:$L$18,11,FALSE),0))</f>
        <v>1.671703928371859E-2</v>
      </c>
      <c r="N299" s="306">
        <f>+IF($H299=N$2,VLOOKUP($G299,Depreciation!$A$14:$L$18,12,FALSE)/2,IF($H299&lt;N$2,VLOOKUP($G299,Depreciation!$A$14:$L$18,12,FALSE),0))</f>
        <v>3.343407856743718E-2</v>
      </c>
      <c r="O299" s="307">
        <f t="shared" si="34"/>
        <v>0</v>
      </c>
      <c r="P299" s="732">
        <f>'Func Future Subs 2015'!P299</f>
        <v>0</v>
      </c>
      <c r="Q299" s="732">
        <f>'Func Future Subs 2015'!Q299</f>
        <v>1</v>
      </c>
      <c r="R299" s="732">
        <f>'Func Future Subs 2015'!R299</f>
        <v>0</v>
      </c>
      <c r="S299" s="735">
        <f t="shared" si="35"/>
        <v>0</v>
      </c>
      <c r="T299" s="735">
        <f t="shared" si="36"/>
        <v>0</v>
      </c>
      <c r="U299" s="735">
        <f t="shared" si="37"/>
        <v>0</v>
      </c>
      <c r="V299" s="736">
        <f t="shared" si="38"/>
        <v>0</v>
      </c>
      <c r="W299" s="735">
        <f t="shared" si="39"/>
        <v>0</v>
      </c>
      <c r="X299" s="737">
        <f t="shared" si="40"/>
        <v>0</v>
      </c>
      <c r="Y299" s="738">
        <f t="shared" si="41"/>
        <v>0</v>
      </c>
    </row>
    <row r="300" spans="1:25">
      <c r="A300" s="754" t="str">
        <f>'Func Future Subs 2015'!A300</f>
        <v>Hornbeck 345S</v>
      </c>
      <c r="B300" s="754">
        <f>'Func Future Subs 2015'!B300</f>
        <v>1460</v>
      </c>
      <c r="C300" s="754">
        <f>'Func Future Subs 2015'!C300</f>
        <v>138</v>
      </c>
      <c r="D300" s="754">
        <f>'Func Future Subs 2015'!D300</f>
        <v>25</v>
      </c>
      <c r="E300" s="754" t="str">
        <f>'Func Future Subs 2015'!E300</f>
        <v>345S</v>
      </c>
      <c r="F300" s="754">
        <f>'Func Future Subs 2015'!F300</f>
        <v>8201448.9694148954</v>
      </c>
      <c r="G300" s="754" t="str">
        <f>'Func Future Subs 2015'!G300</f>
        <v>AltaLink</v>
      </c>
      <c r="H300" s="754">
        <f>'Func Future Subs 2015'!H300</f>
        <v>2019</v>
      </c>
      <c r="I300" s="306">
        <f>+IF($H300=I$2,VLOOKUP($G300,Depreciation!$A$14:$L$18,7,FALSE)/2,IF($H300&lt;I$2,VLOOKUP($G300,Depreciation!$A$14:$L$18,7,FALSE),0))</f>
        <v>0</v>
      </c>
      <c r="J300" s="306">
        <f>+IF($H300=J$2,VLOOKUP($G300,Depreciation!$A$14:$L$18,8,FALSE)/2,IF($H300&lt;J$2,VLOOKUP($G300,Depreciation!$A$14:$L$18,8,FALSE),0))</f>
        <v>0</v>
      </c>
      <c r="K300" s="306">
        <f>+IF($H300=K$2,VLOOKUP($G300,Depreciation!$A$14:$L$18,9,FALSE)/2,IF($H300&lt;K$2,VLOOKUP($G300,Depreciation!$A$14:$L$18,9,FALSE),0))</f>
        <v>0</v>
      </c>
      <c r="L300" s="306">
        <f>+IF($H300=L$2,VLOOKUP($G300,Depreciation!$A$14:$L$18,10,FALSE)/2,IF($H300&lt;L$2,VLOOKUP($G300,Depreciation!$A$14:$L$18,10,FALSE),0))</f>
        <v>0</v>
      </c>
      <c r="M300" s="306">
        <f>+IF($H300=M$2,VLOOKUP($G300,Depreciation!$A$14:$L$18,11,FALSE)/2,IF($H300&lt;M$2,VLOOKUP($G300,Depreciation!$A$14:$L$18,11,FALSE),0))</f>
        <v>1.671703928371859E-2</v>
      </c>
      <c r="N300" s="306">
        <f>+IF($H300=N$2,VLOOKUP($G300,Depreciation!$A$14:$L$18,12,FALSE)/2,IF($H300&lt;N$2,VLOOKUP($G300,Depreciation!$A$14:$L$18,12,FALSE),0))</f>
        <v>3.343407856743718E-2</v>
      </c>
      <c r="O300" s="307">
        <f t="shared" si="34"/>
        <v>0</v>
      </c>
      <c r="P300" s="732">
        <f>'Func Future Subs 2015'!P300</f>
        <v>0</v>
      </c>
      <c r="Q300" s="732">
        <f>'Func Future Subs 2015'!Q300</f>
        <v>0</v>
      </c>
      <c r="R300" s="732">
        <f>'Func Future Subs 2015'!R300</f>
        <v>1</v>
      </c>
      <c r="S300" s="735">
        <f t="shared" si="35"/>
        <v>0</v>
      </c>
      <c r="T300" s="735">
        <f t="shared" si="36"/>
        <v>0</v>
      </c>
      <c r="U300" s="735">
        <f t="shared" si="37"/>
        <v>0</v>
      </c>
      <c r="V300" s="736">
        <f t="shared" si="38"/>
        <v>0</v>
      </c>
      <c r="W300" s="735">
        <f t="shared" si="39"/>
        <v>0</v>
      </c>
      <c r="X300" s="737">
        <f t="shared" si="40"/>
        <v>0</v>
      </c>
      <c r="Y300" s="738">
        <f t="shared" si="41"/>
        <v>0</v>
      </c>
    </row>
    <row r="301" spans="1:25">
      <c r="A301" s="754" t="str">
        <f>'Func Future Subs 2015'!A301</f>
        <v>Norcen 812S substation upgrade</v>
      </c>
      <c r="B301" s="754">
        <f>'Func Future Subs 2015'!B301</f>
        <v>1466</v>
      </c>
      <c r="C301" s="754">
        <f>'Func Future Subs 2015'!C301</f>
        <v>138</v>
      </c>
      <c r="D301" s="754">
        <f>'Func Future Subs 2015'!D301</f>
        <v>25</v>
      </c>
      <c r="E301" s="754" t="str">
        <f>'Func Future Subs 2015'!E301</f>
        <v>812s</v>
      </c>
      <c r="F301" s="754">
        <f>'Func Future Subs 2015'!F301</f>
        <v>6820539.9999999963</v>
      </c>
      <c r="G301" s="754" t="str">
        <f>'Func Future Subs 2015'!G301</f>
        <v>ATCO</v>
      </c>
      <c r="H301" s="754">
        <f>'Func Future Subs 2015'!H301</f>
        <v>2016</v>
      </c>
      <c r="I301" s="306">
        <f>+IF($H301=I$2,VLOOKUP($G301,Depreciation!$A$14:$L$18,7,FALSE)/2,IF($H301&lt;I$2,VLOOKUP($G301,Depreciation!$A$14:$L$18,7,FALSE),0))</f>
        <v>0</v>
      </c>
      <c r="J301" s="306">
        <f>+IF($H301=J$2,VLOOKUP($G301,Depreciation!$A$14:$L$18,8,FALSE)/2,IF($H301&lt;J$2,VLOOKUP($G301,Depreciation!$A$14:$L$18,8,FALSE),0))</f>
        <v>1.231622525054236E-2</v>
      </c>
      <c r="K301" s="306">
        <f>+IF($H301=K$2,VLOOKUP($G301,Depreciation!$A$14:$L$18,9,FALSE)/2,IF($H301&lt;K$2,VLOOKUP($G301,Depreciation!$A$14:$L$18,9,FALSE),0))</f>
        <v>2.4351536427798831E-2</v>
      </c>
      <c r="L301" s="306">
        <f>+IF($H301=L$2,VLOOKUP($G301,Depreciation!$A$14:$L$18,10,FALSE)/2,IF($H301&lt;L$2,VLOOKUP($G301,Depreciation!$A$14:$L$18,10,FALSE),0))</f>
        <v>2.4351536427798831E-2</v>
      </c>
      <c r="M301" s="306">
        <f>+IF($H301=M$2,VLOOKUP($G301,Depreciation!$A$14:$L$18,11,FALSE)/2,IF($H301&lt;M$2,VLOOKUP($G301,Depreciation!$A$14:$L$18,11,FALSE),0))</f>
        <v>2.4351536427798831E-2</v>
      </c>
      <c r="N301" s="306">
        <f>+IF($H301=N$2,VLOOKUP($G301,Depreciation!$A$14:$L$18,12,FALSE)/2,IF($H301&lt;N$2,VLOOKUP($G301,Depreciation!$A$14:$L$18,12,FALSE),0))</f>
        <v>2.4351536427798831E-2</v>
      </c>
      <c r="O301" s="307">
        <f t="shared" si="34"/>
        <v>6736536.6930296626</v>
      </c>
      <c r="P301" s="732">
        <f>'Func Future Subs 2015'!P301</f>
        <v>0</v>
      </c>
      <c r="Q301" s="732">
        <f>'Func Future Subs 2015'!Q301</f>
        <v>1</v>
      </c>
      <c r="R301" s="732">
        <f>'Func Future Subs 2015'!R301</f>
        <v>0</v>
      </c>
      <c r="S301" s="735">
        <f t="shared" si="35"/>
        <v>0</v>
      </c>
      <c r="T301" s="735">
        <f t="shared" si="36"/>
        <v>6736536.6930296626</v>
      </c>
      <c r="U301" s="735">
        <f t="shared" si="37"/>
        <v>0</v>
      </c>
      <c r="V301" s="736">
        <f t="shared" si="38"/>
        <v>0</v>
      </c>
      <c r="W301" s="735">
        <f t="shared" si="39"/>
        <v>0</v>
      </c>
      <c r="X301" s="737">
        <f t="shared" si="40"/>
        <v>0</v>
      </c>
      <c r="Y301" s="738">
        <f t="shared" si="41"/>
        <v>6736536.6930296626</v>
      </c>
    </row>
    <row r="302" spans="1:25">
      <c r="A302" s="754" t="str">
        <f>'Func Future Subs 2015'!A302</f>
        <v>Enmax Sub11 modify</v>
      </c>
      <c r="B302" s="754">
        <f>'Func Future Subs 2015'!B302</f>
        <v>1480</v>
      </c>
      <c r="C302" s="754">
        <f>'Func Future Subs 2015'!C302</f>
        <v>25</v>
      </c>
      <c r="D302" s="754">
        <f>'Func Future Subs 2015'!D302</f>
        <v>25</v>
      </c>
      <c r="E302" s="754" t="str">
        <f>'Func Future Subs 2015'!E302</f>
        <v>SS-11</v>
      </c>
      <c r="F302" s="754">
        <f>'Func Future Subs 2015'!F302</f>
        <v>1181844.0000000002</v>
      </c>
      <c r="G302" s="754" t="str">
        <f>'Func Future Subs 2015'!G302</f>
        <v>ENMAX</v>
      </c>
      <c r="H302" s="754">
        <f>'Func Future Subs 2015'!H302</f>
        <v>2016</v>
      </c>
      <c r="I302" s="306">
        <f>+IF($H302=I$2,VLOOKUP($G302,Depreciation!$A$14:$L$18,7,FALSE)/2,IF($H302&lt;I$2,VLOOKUP($G302,Depreciation!$A$14:$L$18,7,FALSE),0))</f>
        <v>0</v>
      </c>
      <c r="J302" s="306">
        <f>+IF($H302=J$2,VLOOKUP($G302,Depreciation!$A$14:$L$18,8,FALSE)/2,IF($H302&lt;J$2,VLOOKUP($G302,Depreciation!$A$14:$L$18,8,FALSE),0))</f>
        <v>1.3928409269726289E-2</v>
      </c>
      <c r="K302" s="306">
        <f>+IF($H302=K$2,VLOOKUP($G302,Depreciation!$A$14:$L$18,9,FALSE)/2,IF($H302&lt;K$2,VLOOKUP($G302,Depreciation!$A$14:$L$18,9,FALSE),0))</f>
        <v>2.7856818539452578E-2</v>
      </c>
      <c r="L302" s="306">
        <f>+IF($H302=L$2,VLOOKUP($G302,Depreciation!$A$14:$L$18,10,FALSE)/2,IF($H302&lt;L$2,VLOOKUP($G302,Depreciation!$A$14:$L$18,10,FALSE),0))</f>
        <v>2.7856818539452578E-2</v>
      </c>
      <c r="M302" s="306">
        <f>+IF($H302=M$2,VLOOKUP($G302,Depreciation!$A$14:$L$18,11,FALSE)/2,IF($H302&lt;M$2,VLOOKUP($G302,Depreciation!$A$14:$L$18,11,FALSE),0))</f>
        <v>2.7856818539452578E-2</v>
      </c>
      <c r="N302" s="306">
        <f>+IF($H302=N$2,VLOOKUP($G302,Depreciation!$A$14:$L$18,12,FALSE)/2,IF($H302&lt;N$2,VLOOKUP($G302,Depreciation!$A$14:$L$18,12,FALSE),0))</f>
        <v>2.7856818539452578E-2</v>
      </c>
      <c r="O302" s="307">
        <f t="shared" si="34"/>
        <v>1165382.7930750297</v>
      </c>
      <c r="P302" s="732">
        <f>'Func Future Subs 2015'!P302</f>
        <v>0</v>
      </c>
      <c r="Q302" s="732">
        <f>'Func Future Subs 2015'!Q302</f>
        <v>1</v>
      </c>
      <c r="R302" s="732">
        <f>'Func Future Subs 2015'!R302</f>
        <v>0</v>
      </c>
      <c r="S302" s="735">
        <f t="shared" si="35"/>
        <v>0</v>
      </c>
      <c r="T302" s="735">
        <f t="shared" si="36"/>
        <v>1165382.7930750297</v>
      </c>
      <c r="U302" s="735">
        <f t="shared" si="37"/>
        <v>0</v>
      </c>
      <c r="V302" s="736">
        <f t="shared" si="38"/>
        <v>0</v>
      </c>
      <c r="W302" s="735">
        <f t="shared" si="39"/>
        <v>0</v>
      </c>
      <c r="X302" s="737">
        <f t="shared" si="40"/>
        <v>0</v>
      </c>
      <c r="Y302" s="738">
        <f t="shared" si="41"/>
        <v>1165382.7930750297</v>
      </c>
    </row>
    <row r="303" spans="1:25">
      <c r="A303" s="754" t="str">
        <f>'Func Future Subs 2015'!A303</f>
        <v>Amelia 108S substation</v>
      </c>
      <c r="B303" s="754">
        <f>'Func Future Subs 2015'!B303</f>
        <v>1481</v>
      </c>
      <c r="C303" s="754">
        <f>'Func Future Subs 2015'!C303</f>
        <v>240</v>
      </c>
      <c r="D303" s="754">
        <f>'Func Future Subs 2015'!D303</f>
        <v>25</v>
      </c>
      <c r="E303" s="754" t="str">
        <f>'Func Future Subs 2015'!E303</f>
        <v>108S</v>
      </c>
      <c r="F303" s="754">
        <f>'Func Future Subs 2015'!F303</f>
        <v>1115000</v>
      </c>
      <c r="G303" s="754" t="str">
        <f>'Func Future Subs 2015'!G303</f>
        <v>AltaLink</v>
      </c>
      <c r="H303" s="754">
        <f>'Func Future Subs 2015'!H303</f>
        <v>2015</v>
      </c>
      <c r="I303" s="306">
        <f>+IF($H303=I$2,VLOOKUP($G303,Depreciation!$A$14:$L$18,7,FALSE)/2,IF($H303&lt;I$2,VLOOKUP($G303,Depreciation!$A$14:$L$18,7,FALSE),0))</f>
        <v>1.7228380322441735E-2</v>
      </c>
      <c r="J303" s="306">
        <f>+IF($H303=J$2,VLOOKUP($G303,Depreciation!$A$14:$L$18,8,FALSE)/2,IF($H303&lt;J$2,VLOOKUP($G303,Depreciation!$A$14:$L$18,8,FALSE),0))</f>
        <v>3.343407856743718E-2</v>
      </c>
      <c r="K303" s="306">
        <f>+IF($H303=K$2,VLOOKUP($G303,Depreciation!$A$14:$L$18,9,FALSE)/2,IF($H303&lt;K$2,VLOOKUP($G303,Depreciation!$A$14:$L$18,9,FALSE),0))</f>
        <v>3.343407856743718E-2</v>
      </c>
      <c r="L303" s="306">
        <f>+IF($H303=L$2,VLOOKUP($G303,Depreciation!$A$14:$L$18,10,FALSE)/2,IF($H303&lt;L$2,VLOOKUP($G303,Depreciation!$A$14:$L$18,10,FALSE),0))</f>
        <v>3.343407856743718E-2</v>
      </c>
      <c r="M303" s="306">
        <f>+IF($H303=M$2,VLOOKUP($G303,Depreciation!$A$14:$L$18,11,FALSE)/2,IF($H303&lt;M$2,VLOOKUP($G303,Depreciation!$A$14:$L$18,11,FALSE),0))</f>
        <v>3.343407856743718E-2</v>
      </c>
      <c r="N303" s="306">
        <f>+IF($H303=N$2,VLOOKUP($G303,Depreciation!$A$14:$L$18,12,FALSE)/2,IF($H303&lt;N$2,VLOOKUP($G303,Depreciation!$A$14:$L$18,12,FALSE),0))</f>
        <v>3.343407856743718E-2</v>
      </c>
      <c r="O303" s="307">
        <f t="shared" si="34"/>
        <v>1059153.6150865236</v>
      </c>
      <c r="P303" s="732">
        <f>'Func Future Subs 2015'!P303</f>
        <v>0</v>
      </c>
      <c r="Q303" s="732">
        <f>'Func Future Subs 2015'!Q303</f>
        <v>1</v>
      </c>
      <c r="R303" s="732">
        <f>'Func Future Subs 2015'!R303</f>
        <v>0</v>
      </c>
      <c r="S303" s="735">
        <f t="shared" si="35"/>
        <v>0</v>
      </c>
      <c r="T303" s="735">
        <f t="shared" si="36"/>
        <v>1059153.6150865236</v>
      </c>
      <c r="U303" s="735">
        <f t="shared" si="37"/>
        <v>0</v>
      </c>
      <c r="V303" s="736">
        <f t="shared" si="38"/>
        <v>0</v>
      </c>
      <c r="W303" s="735">
        <f t="shared" si="39"/>
        <v>0</v>
      </c>
      <c r="X303" s="737">
        <f t="shared" si="40"/>
        <v>0</v>
      </c>
      <c r="Y303" s="738">
        <f t="shared" si="41"/>
        <v>1059153.6150865236</v>
      </c>
    </row>
    <row r="304" spans="1:25">
      <c r="A304" s="754" t="str">
        <f>'Func Future Subs 2015'!A304</f>
        <v>Birchwood creek substation</v>
      </c>
      <c r="B304" s="754">
        <f>'Func Future Subs 2015'!B304</f>
        <v>1482</v>
      </c>
      <c r="C304" s="754">
        <f>'Func Future Subs 2015'!C304</f>
        <v>240</v>
      </c>
      <c r="D304" s="754">
        <f>'Func Future Subs 2015'!D304</f>
        <v>0</v>
      </c>
      <c r="E304" s="754">
        <f>'Func Future Subs 2015'!E304</f>
        <v>0</v>
      </c>
      <c r="F304" s="754">
        <f>'Func Future Subs 2015'!F304</f>
        <v>2387527.4359669439</v>
      </c>
      <c r="G304" s="754" t="str">
        <f>'Func Future Subs 2015'!G304</f>
        <v>ATCO</v>
      </c>
      <c r="H304" s="754">
        <f>'Func Future Subs 2015'!H304</f>
        <v>2016</v>
      </c>
      <c r="I304" s="306">
        <f>+IF($H304=I$2,VLOOKUP($G304,Depreciation!$A$14:$L$18,7,FALSE)/2,IF($H304&lt;I$2,VLOOKUP($G304,Depreciation!$A$14:$L$18,7,FALSE),0))</f>
        <v>0</v>
      </c>
      <c r="J304" s="306">
        <f>+IF($H304=J$2,VLOOKUP($G304,Depreciation!$A$14:$L$18,8,FALSE)/2,IF($H304&lt;J$2,VLOOKUP($G304,Depreciation!$A$14:$L$18,8,FALSE),0))</f>
        <v>1.231622525054236E-2</v>
      </c>
      <c r="K304" s="306">
        <f>+IF($H304=K$2,VLOOKUP($G304,Depreciation!$A$14:$L$18,9,FALSE)/2,IF($H304&lt;K$2,VLOOKUP($G304,Depreciation!$A$14:$L$18,9,FALSE),0))</f>
        <v>2.4351536427798831E-2</v>
      </c>
      <c r="L304" s="306">
        <f>+IF($H304=L$2,VLOOKUP($G304,Depreciation!$A$14:$L$18,10,FALSE)/2,IF($H304&lt;L$2,VLOOKUP($G304,Depreciation!$A$14:$L$18,10,FALSE),0))</f>
        <v>2.4351536427798831E-2</v>
      </c>
      <c r="M304" s="306">
        <f>+IF($H304=M$2,VLOOKUP($G304,Depreciation!$A$14:$L$18,11,FALSE)/2,IF($H304&lt;M$2,VLOOKUP($G304,Depreciation!$A$14:$L$18,11,FALSE),0))</f>
        <v>2.4351536427798831E-2</v>
      </c>
      <c r="N304" s="306">
        <f>+IF($H304=N$2,VLOOKUP($G304,Depreciation!$A$14:$L$18,12,FALSE)/2,IF($H304&lt;N$2,VLOOKUP($G304,Depreciation!$A$14:$L$18,12,FALSE),0))</f>
        <v>2.4351536427798831E-2</v>
      </c>
      <c r="O304" s="307">
        <f t="shared" si="34"/>
        <v>2358122.1102737254</v>
      </c>
      <c r="P304" s="732">
        <f>'Func Future Subs 2015'!P304</f>
        <v>0</v>
      </c>
      <c r="Q304" s="732">
        <f>'Func Future Subs 2015'!Q304</f>
        <v>0</v>
      </c>
      <c r="R304" s="732">
        <f>'Func Future Subs 2015'!R304</f>
        <v>1</v>
      </c>
      <c r="S304" s="735">
        <f t="shared" si="35"/>
        <v>0</v>
      </c>
      <c r="T304" s="735">
        <f t="shared" si="36"/>
        <v>0</v>
      </c>
      <c r="U304" s="735">
        <f t="shared" si="37"/>
        <v>2358122.1102737254</v>
      </c>
      <c r="V304" s="736">
        <f t="shared" si="38"/>
        <v>2358122.1102737254</v>
      </c>
      <c r="W304" s="735">
        <f t="shared" si="39"/>
        <v>0</v>
      </c>
      <c r="X304" s="737">
        <f t="shared" si="40"/>
        <v>0</v>
      </c>
      <c r="Y304" s="738">
        <f t="shared" si="41"/>
        <v>0</v>
      </c>
    </row>
    <row r="305" spans="1:25">
      <c r="A305" s="754" t="str">
        <f>'Func Future Subs 2015'!A305</f>
        <v>Yeo substation</v>
      </c>
      <c r="B305" s="754">
        <f>'Func Future Subs 2015'!B305</f>
        <v>1482</v>
      </c>
      <c r="C305" s="754">
        <f>'Func Future Subs 2015'!C305</f>
        <v>240</v>
      </c>
      <c r="D305" s="754">
        <f>'Func Future Subs 2015'!D305</f>
        <v>0</v>
      </c>
      <c r="E305" s="754">
        <f>'Func Future Subs 2015'!E305</f>
        <v>0</v>
      </c>
      <c r="F305" s="754">
        <f>'Func Future Subs 2015'!F305</f>
        <v>15506138.00545691</v>
      </c>
      <c r="G305" s="754" t="str">
        <f>'Func Future Subs 2015'!G305</f>
        <v>ATCO</v>
      </c>
      <c r="H305" s="754">
        <f>'Func Future Subs 2015'!H305</f>
        <v>2016</v>
      </c>
      <c r="I305" s="306">
        <f>+IF($H305=I$2,VLOOKUP($G305,Depreciation!$A$14:$L$18,7,FALSE)/2,IF($H305&lt;I$2,VLOOKUP($G305,Depreciation!$A$14:$L$18,7,FALSE),0))</f>
        <v>0</v>
      </c>
      <c r="J305" s="306">
        <f>+IF($H305=J$2,VLOOKUP($G305,Depreciation!$A$14:$L$18,8,FALSE)/2,IF($H305&lt;J$2,VLOOKUP($G305,Depreciation!$A$14:$L$18,8,FALSE),0))</f>
        <v>1.231622525054236E-2</v>
      </c>
      <c r="K305" s="306">
        <f>+IF($H305=K$2,VLOOKUP($G305,Depreciation!$A$14:$L$18,9,FALSE)/2,IF($H305&lt;K$2,VLOOKUP($G305,Depreciation!$A$14:$L$18,9,FALSE),0))</f>
        <v>2.4351536427798831E-2</v>
      </c>
      <c r="L305" s="306">
        <f>+IF($H305=L$2,VLOOKUP($G305,Depreciation!$A$14:$L$18,10,FALSE)/2,IF($H305&lt;L$2,VLOOKUP($G305,Depreciation!$A$14:$L$18,10,FALSE),0))</f>
        <v>2.4351536427798831E-2</v>
      </c>
      <c r="M305" s="306">
        <f>+IF($H305=M$2,VLOOKUP($G305,Depreciation!$A$14:$L$18,11,FALSE)/2,IF($H305&lt;M$2,VLOOKUP($G305,Depreciation!$A$14:$L$18,11,FALSE),0))</f>
        <v>2.4351536427798831E-2</v>
      </c>
      <c r="N305" s="306">
        <f>+IF($H305=N$2,VLOOKUP($G305,Depreciation!$A$14:$L$18,12,FALSE)/2,IF($H305&lt;N$2,VLOOKUP($G305,Depreciation!$A$14:$L$18,12,FALSE),0))</f>
        <v>2.4351536427798831E-2</v>
      </c>
      <c r="O305" s="307">
        <f t="shared" si="34"/>
        <v>15315160.917015707</v>
      </c>
      <c r="P305" s="732">
        <f>'Func Future Subs 2015'!P305</f>
        <v>0</v>
      </c>
      <c r="Q305" s="732">
        <f>'Func Future Subs 2015'!Q305</f>
        <v>0</v>
      </c>
      <c r="R305" s="732">
        <f>'Func Future Subs 2015'!R305</f>
        <v>1</v>
      </c>
      <c r="S305" s="735">
        <f t="shared" si="35"/>
        <v>0</v>
      </c>
      <c r="T305" s="735">
        <f t="shared" si="36"/>
        <v>0</v>
      </c>
      <c r="U305" s="735">
        <f t="shared" si="37"/>
        <v>15315160.917015707</v>
      </c>
      <c r="V305" s="736">
        <f t="shared" si="38"/>
        <v>15315160.917015707</v>
      </c>
      <c r="W305" s="735">
        <f t="shared" si="39"/>
        <v>0</v>
      </c>
      <c r="X305" s="737">
        <f t="shared" si="40"/>
        <v>0</v>
      </c>
      <c r="Y305" s="738">
        <f t="shared" si="41"/>
        <v>0</v>
      </c>
    </row>
    <row r="306" spans="1:25">
      <c r="A306" s="754" t="str">
        <f>'Func Future Subs 2015'!A306</f>
        <v>Wabasca 720S</v>
      </c>
      <c r="B306" s="754">
        <f>'Func Future Subs 2015'!B306</f>
        <v>1491</v>
      </c>
      <c r="C306" s="754">
        <f>'Func Future Subs 2015'!C306</f>
        <v>240</v>
      </c>
      <c r="D306" s="754">
        <f>'Func Future Subs 2015'!D306</f>
        <v>25</v>
      </c>
      <c r="E306" s="754" t="str">
        <f>'Func Future Subs 2015'!E306</f>
        <v>720S</v>
      </c>
      <c r="F306" s="754">
        <f>'Func Future Subs 2015'!F306</f>
        <v>2147023.9999999977</v>
      </c>
      <c r="G306" s="754" t="str">
        <f>'Func Future Subs 2015'!G306</f>
        <v>ATCO</v>
      </c>
      <c r="H306" s="754">
        <f>'Func Future Subs 2015'!H306</f>
        <v>2018</v>
      </c>
      <c r="I306" s="306">
        <f>+IF($H306=I$2,VLOOKUP($G306,Depreciation!$A$14:$L$18,7,FALSE)/2,IF($H306&lt;I$2,VLOOKUP($G306,Depreciation!$A$14:$L$18,7,FALSE),0))</f>
        <v>0</v>
      </c>
      <c r="J306" s="306">
        <f>+IF($H306=J$2,VLOOKUP($G306,Depreciation!$A$14:$L$18,8,FALSE)/2,IF($H306&lt;J$2,VLOOKUP($G306,Depreciation!$A$14:$L$18,8,FALSE),0))</f>
        <v>0</v>
      </c>
      <c r="K306" s="306">
        <f>+IF($H306=K$2,VLOOKUP($G306,Depreciation!$A$14:$L$18,9,FALSE)/2,IF($H306&lt;K$2,VLOOKUP($G306,Depreciation!$A$14:$L$18,9,FALSE),0))</f>
        <v>0</v>
      </c>
      <c r="L306" s="306">
        <f>+IF($H306=L$2,VLOOKUP($G306,Depreciation!$A$14:$L$18,10,FALSE)/2,IF($H306&lt;L$2,VLOOKUP($G306,Depreciation!$A$14:$L$18,10,FALSE),0))</f>
        <v>1.2175768213899416E-2</v>
      </c>
      <c r="M306" s="306">
        <f>+IF($H306=M$2,VLOOKUP($G306,Depreciation!$A$14:$L$18,11,FALSE)/2,IF($H306&lt;M$2,VLOOKUP($G306,Depreciation!$A$14:$L$18,11,FALSE),0))</f>
        <v>2.4351536427798831E-2</v>
      </c>
      <c r="N306" s="306">
        <f>+IF($H306=N$2,VLOOKUP($G306,Depreciation!$A$14:$L$18,12,FALSE)/2,IF($H306&lt;N$2,VLOOKUP($G306,Depreciation!$A$14:$L$18,12,FALSE),0))</f>
        <v>2.4351536427798831E-2</v>
      </c>
      <c r="O306" s="307">
        <f t="shared" si="34"/>
        <v>0</v>
      </c>
      <c r="P306" s="732">
        <f>'Func Future Subs 2015'!P306</f>
        <v>0</v>
      </c>
      <c r="Q306" s="732">
        <f>'Func Future Subs 2015'!Q306</f>
        <v>1</v>
      </c>
      <c r="R306" s="732">
        <f>'Func Future Subs 2015'!R306</f>
        <v>0</v>
      </c>
      <c r="S306" s="735">
        <f t="shared" si="35"/>
        <v>0</v>
      </c>
      <c r="T306" s="735">
        <f t="shared" si="36"/>
        <v>0</v>
      </c>
      <c r="U306" s="735">
        <f t="shared" si="37"/>
        <v>0</v>
      </c>
      <c r="V306" s="736">
        <f t="shared" si="38"/>
        <v>0</v>
      </c>
      <c r="W306" s="735">
        <f t="shared" si="39"/>
        <v>0</v>
      </c>
      <c r="X306" s="737">
        <f t="shared" si="40"/>
        <v>0</v>
      </c>
      <c r="Y306" s="738">
        <f t="shared" si="41"/>
        <v>0</v>
      </c>
    </row>
    <row r="307" spans="1:25">
      <c r="A307" s="754" t="str">
        <f>'Func Future Subs 2015'!A307</f>
        <v xml:space="preserve">v180 - Fortis 263S substation upgrade </v>
      </c>
      <c r="B307" s="754">
        <f>'Func Future Subs 2015'!B307</f>
        <v>1494</v>
      </c>
      <c r="C307" s="754">
        <f>'Func Future Subs 2015'!C307</f>
        <v>138</v>
      </c>
      <c r="D307" s="754">
        <f>'Func Future Subs 2015'!D307</f>
        <v>25</v>
      </c>
      <c r="E307" s="754" t="str">
        <f>'Func Future Subs 2015'!E307</f>
        <v>263S</v>
      </c>
      <c r="F307" s="754">
        <f>'Func Future Subs 2015'!F307</f>
        <v>7308312.4068950815</v>
      </c>
      <c r="G307" s="754" t="str">
        <f>'Func Future Subs 2015'!G307</f>
        <v>AltaLink</v>
      </c>
      <c r="H307" s="754">
        <f>'Func Future Subs 2015'!H307</f>
        <v>2015</v>
      </c>
      <c r="I307" s="306">
        <f>+IF($H307=I$2,VLOOKUP($G307,Depreciation!$A$14:$L$18,7,FALSE)/2,IF($H307&lt;I$2,VLOOKUP($G307,Depreciation!$A$14:$L$18,7,FALSE),0))</f>
        <v>1.7228380322441735E-2</v>
      </c>
      <c r="J307" s="306">
        <f>+IF($H307=J$2,VLOOKUP($G307,Depreciation!$A$14:$L$18,8,FALSE)/2,IF($H307&lt;J$2,VLOOKUP($G307,Depreciation!$A$14:$L$18,8,FALSE),0))</f>
        <v>3.343407856743718E-2</v>
      </c>
      <c r="K307" s="306">
        <f>+IF($H307=K$2,VLOOKUP($G307,Depreciation!$A$14:$L$18,9,FALSE)/2,IF($H307&lt;K$2,VLOOKUP($G307,Depreciation!$A$14:$L$18,9,FALSE),0))</f>
        <v>3.343407856743718E-2</v>
      </c>
      <c r="L307" s="306">
        <f>+IF($H307=L$2,VLOOKUP($G307,Depreciation!$A$14:$L$18,10,FALSE)/2,IF($H307&lt;L$2,VLOOKUP($G307,Depreciation!$A$14:$L$18,10,FALSE),0))</f>
        <v>3.343407856743718E-2</v>
      </c>
      <c r="M307" s="306">
        <f>+IF($H307=M$2,VLOOKUP($G307,Depreciation!$A$14:$L$18,11,FALSE)/2,IF($H307&lt;M$2,VLOOKUP($G307,Depreciation!$A$14:$L$18,11,FALSE),0))</f>
        <v>3.343407856743718E-2</v>
      </c>
      <c r="N307" s="306">
        <f>+IF($H307=N$2,VLOOKUP($G307,Depreciation!$A$14:$L$18,12,FALSE)/2,IF($H307&lt;N$2,VLOOKUP($G307,Depreciation!$A$14:$L$18,12,FALSE),0))</f>
        <v>3.343407856743718E-2</v>
      </c>
      <c r="O307" s="307">
        <f t="shared" si="34"/>
        <v>6942265.0277530206</v>
      </c>
      <c r="P307" s="732">
        <f>'Func Future Subs 2015'!P307</f>
        <v>0</v>
      </c>
      <c r="Q307" s="732">
        <f>'Func Future Subs 2015'!Q307</f>
        <v>1</v>
      </c>
      <c r="R307" s="732">
        <f>'Func Future Subs 2015'!R307</f>
        <v>0</v>
      </c>
      <c r="S307" s="735">
        <f t="shared" si="35"/>
        <v>0</v>
      </c>
      <c r="T307" s="735">
        <f t="shared" si="36"/>
        <v>6942265.0277530206</v>
      </c>
      <c r="U307" s="735">
        <f t="shared" si="37"/>
        <v>0</v>
      </c>
      <c r="V307" s="736">
        <f t="shared" si="38"/>
        <v>0</v>
      </c>
      <c r="W307" s="735">
        <f t="shared" si="39"/>
        <v>0</v>
      </c>
      <c r="X307" s="737">
        <f t="shared" si="40"/>
        <v>0</v>
      </c>
      <c r="Y307" s="738">
        <f t="shared" si="41"/>
        <v>6942265.0277530206</v>
      </c>
    </row>
    <row r="308" spans="1:25">
      <c r="A308" s="754" t="str">
        <f>'Func Future Subs 2015'!A308</f>
        <v>[Final]Hayter 277s substation</v>
      </c>
      <c r="B308" s="754">
        <f>'Func Future Subs 2015'!B308</f>
        <v>1495</v>
      </c>
      <c r="C308" s="754">
        <f>'Func Future Subs 2015'!C308</f>
        <v>138</v>
      </c>
      <c r="D308" s="754">
        <f>'Func Future Subs 2015'!D308</f>
        <v>25</v>
      </c>
      <c r="E308" s="754" t="str">
        <f>'Func Future Subs 2015'!E308</f>
        <v>277S</v>
      </c>
      <c r="F308" s="754">
        <f>'Func Future Subs 2015'!F308</f>
        <v>4998436.9999999991</v>
      </c>
      <c r="G308" s="754" t="str">
        <f>'Func Future Subs 2015'!G308</f>
        <v>AltaLink</v>
      </c>
      <c r="H308" s="754">
        <f>'Func Future Subs 2015'!H308</f>
        <v>2015</v>
      </c>
      <c r="I308" s="306">
        <f>+IF($H308=I$2,VLOOKUP($G308,Depreciation!$A$14:$L$18,7,FALSE)/2,IF($H308&lt;I$2,VLOOKUP($G308,Depreciation!$A$14:$L$18,7,FALSE),0))</f>
        <v>1.7228380322441735E-2</v>
      </c>
      <c r="J308" s="306">
        <f>+IF($H308=J$2,VLOOKUP($G308,Depreciation!$A$14:$L$18,8,FALSE)/2,IF($H308&lt;J$2,VLOOKUP($G308,Depreciation!$A$14:$L$18,8,FALSE),0))</f>
        <v>3.343407856743718E-2</v>
      </c>
      <c r="K308" s="306">
        <f>+IF($H308=K$2,VLOOKUP($G308,Depreciation!$A$14:$L$18,9,FALSE)/2,IF($H308&lt;K$2,VLOOKUP($G308,Depreciation!$A$14:$L$18,9,FALSE),0))</f>
        <v>3.343407856743718E-2</v>
      </c>
      <c r="L308" s="306">
        <f>+IF($H308=L$2,VLOOKUP($G308,Depreciation!$A$14:$L$18,10,FALSE)/2,IF($H308&lt;L$2,VLOOKUP($G308,Depreciation!$A$14:$L$18,10,FALSE),0))</f>
        <v>3.343407856743718E-2</v>
      </c>
      <c r="M308" s="306">
        <f>+IF($H308=M$2,VLOOKUP($G308,Depreciation!$A$14:$L$18,11,FALSE)/2,IF($H308&lt;M$2,VLOOKUP($G308,Depreciation!$A$14:$L$18,11,FALSE),0))</f>
        <v>3.343407856743718E-2</v>
      </c>
      <c r="N308" s="306">
        <f>+IF($H308=N$2,VLOOKUP($G308,Depreciation!$A$14:$L$18,12,FALSE)/2,IF($H308&lt;N$2,VLOOKUP($G308,Depreciation!$A$14:$L$18,12,FALSE),0))</f>
        <v>3.343407856743718E-2</v>
      </c>
      <c r="O308" s="307">
        <f t="shared" si="34"/>
        <v>4748083.0657688221</v>
      </c>
      <c r="P308" s="732">
        <f>'Func Future Subs 2015'!P308</f>
        <v>0.2544529262086514</v>
      </c>
      <c r="Q308" s="732">
        <f>'Func Future Subs 2015'!Q308</f>
        <v>0.74554707379134866</v>
      </c>
      <c r="R308" s="732">
        <f>'Func Future Subs 2015'!R308</f>
        <v>0</v>
      </c>
      <c r="S308" s="735">
        <f t="shared" si="35"/>
        <v>1208163.6299666213</v>
      </c>
      <c r="T308" s="735">
        <f t="shared" si="36"/>
        <v>3539919.4358022008</v>
      </c>
      <c r="U308" s="735">
        <f t="shared" si="37"/>
        <v>0</v>
      </c>
      <c r="V308" s="736">
        <f t="shared" si="38"/>
        <v>0</v>
      </c>
      <c r="W308" s="735">
        <f t="shared" si="39"/>
        <v>1208163.6299666213</v>
      </c>
      <c r="X308" s="737">
        <f t="shared" si="40"/>
        <v>0</v>
      </c>
      <c r="Y308" s="738">
        <f t="shared" si="41"/>
        <v>3539919.4358022008</v>
      </c>
    </row>
    <row r="309" spans="1:25">
      <c r="A309" s="754" t="str">
        <f>'Func Future Subs 2015'!A309</f>
        <v>Hayter 277s substation</v>
      </c>
      <c r="B309" s="754">
        <f>'Func Future Subs 2015'!B309</f>
        <v>1495</v>
      </c>
      <c r="C309" s="754">
        <f>'Func Future Subs 2015'!C309</f>
        <v>138</v>
      </c>
      <c r="D309" s="754">
        <f>'Func Future Subs 2015'!D309</f>
        <v>25</v>
      </c>
      <c r="E309" s="754" t="str">
        <f>'Func Future Subs 2015'!E309</f>
        <v>277S</v>
      </c>
      <c r="F309" s="754">
        <f>'Func Future Subs 2015'!F309</f>
        <v>6860894.0285954578</v>
      </c>
      <c r="G309" s="754" t="str">
        <f>'Func Future Subs 2015'!G309</f>
        <v>AltaLink</v>
      </c>
      <c r="H309" s="754">
        <f>'Func Future Subs 2015'!H309</f>
        <v>2015</v>
      </c>
      <c r="I309" s="306">
        <f>+IF($H309=I$2,VLOOKUP($G309,Depreciation!$A$14:$L$18,7,FALSE)/2,IF($H309&lt;I$2,VLOOKUP($G309,Depreciation!$A$14:$L$18,7,FALSE),0))</f>
        <v>1.7228380322441735E-2</v>
      </c>
      <c r="J309" s="306">
        <f>+IF($H309=J$2,VLOOKUP($G309,Depreciation!$A$14:$L$18,8,FALSE)/2,IF($H309&lt;J$2,VLOOKUP($G309,Depreciation!$A$14:$L$18,8,FALSE),0))</f>
        <v>3.343407856743718E-2</v>
      </c>
      <c r="K309" s="306">
        <f>+IF($H309=K$2,VLOOKUP($G309,Depreciation!$A$14:$L$18,9,FALSE)/2,IF($H309&lt;K$2,VLOOKUP($G309,Depreciation!$A$14:$L$18,9,FALSE),0))</f>
        <v>3.343407856743718E-2</v>
      </c>
      <c r="L309" s="306">
        <f>+IF($H309=L$2,VLOOKUP($G309,Depreciation!$A$14:$L$18,10,FALSE)/2,IF($H309&lt;L$2,VLOOKUP($G309,Depreciation!$A$14:$L$18,10,FALSE),0))</f>
        <v>3.343407856743718E-2</v>
      </c>
      <c r="M309" s="306">
        <f>+IF($H309=M$2,VLOOKUP($G309,Depreciation!$A$14:$L$18,11,FALSE)/2,IF($H309&lt;M$2,VLOOKUP($G309,Depreciation!$A$14:$L$18,11,FALSE),0))</f>
        <v>3.343407856743718E-2</v>
      </c>
      <c r="N309" s="306">
        <f>+IF($H309=N$2,VLOOKUP($G309,Depreciation!$A$14:$L$18,12,FALSE)/2,IF($H309&lt;N$2,VLOOKUP($G309,Depreciation!$A$14:$L$18,12,FALSE),0))</f>
        <v>3.343407856743718E-2</v>
      </c>
      <c r="O309" s="307">
        <f t="shared" si="34"/>
        <v>6517256.2449438758</v>
      </c>
      <c r="P309" s="732">
        <f>'Func Future Subs 2015'!P309</f>
        <v>0.2544529262086514</v>
      </c>
      <c r="Q309" s="732">
        <f>'Func Future Subs 2015'!Q309</f>
        <v>0.74554707379134866</v>
      </c>
      <c r="R309" s="732">
        <f>'Func Future Subs 2015'!R309</f>
        <v>0</v>
      </c>
      <c r="S309" s="735">
        <f t="shared" si="35"/>
        <v>1658334.9223775766</v>
      </c>
      <c r="T309" s="735">
        <f t="shared" si="36"/>
        <v>4858921.3225662997</v>
      </c>
      <c r="U309" s="735">
        <f t="shared" si="37"/>
        <v>0</v>
      </c>
      <c r="V309" s="736">
        <f t="shared" si="38"/>
        <v>0</v>
      </c>
      <c r="W309" s="735">
        <f t="shared" si="39"/>
        <v>1658334.9223775766</v>
      </c>
      <c r="X309" s="737">
        <f t="shared" si="40"/>
        <v>0</v>
      </c>
      <c r="Y309" s="738">
        <f t="shared" si="41"/>
        <v>4858921.3225662997</v>
      </c>
    </row>
    <row r="310" spans="1:25">
      <c r="A310" s="754" t="str">
        <f>'Func Future Subs 2015'!A310</f>
        <v>Upgrade Scotford 409S substation</v>
      </c>
      <c r="B310" s="754">
        <f>'Func Future Subs 2015'!B310</f>
        <v>1503</v>
      </c>
      <c r="C310" s="754">
        <f>'Func Future Subs 2015'!C310</f>
        <v>240</v>
      </c>
      <c r="D310" s="754">
        <f>'Func Future Subs 2015'!D310</f>
        <v>25</v>
      </c>
      <c r="E310" s="754" t="str">
        <f>'Func Future Subs 2015'!E310</f>
        <v>409S</v>
      </c>
      <c r="F310" s="754">
        <f>'Func Future Subs 2015'!F310</f>
        <v>5335410.2564102598</v>
      </c>
      <c r="G310" s="754" t="str">
        <f>'Func Future Subs 2015'!G310</f>
        <v>AltaLink</v>
      </c>
      <c r="H310" s="754">
        <f>'Func Future Subs 2015'!H310</f>
        <v>2016</v>
      </c>
      <c r="I310" s="306">
        <f>+IF($H310=I$2,VLOOKUP($G310,Depreciation!$A$14:$L$18,7,FALSE)/2,IF($H310&lt;I$2,VLOOKUP($G310,Depreciation!$A$14:$L$18,7,FALSE),0))</f>
        <v>0</v>
      </c>
      <c r="J310" s="306">
        <f>+IF($H310=J$2,VLOOKUP($G310,Depreciation!$A$14:$L$18,8,FALSE)/2,IF($H310&lt;J$2,VLOOKUP($G310,Depreciation!$A$14:$L$18,8,FALSE),0))</f>
        <v>1.671703928371859E-2</v>
      </c>
      <c r="K310" s="306">
        <f>+IF($H310=K$2,VLOOKUP($G310,Depreciation!$A$14:$L$18,9,FALSE)/2,IF($H310&lt;K$2,VLOOKUP($G310,Depreciation!$A$14:$L$18,9,FALSE),0))</f>
        <v>3.343407856743718E-2</v>
      </c>
      <c r="L310" s="306">
        <f>+IF($H310=L$2,VLOOKUP($G310,Depreciation!$A$14:$L$18,10,FALSE)/2,IF($H310&lt;L$2,VLOOKUP($G310,Depreciation!$A$14:$L$18,10,FALSE),0))</f>
        <v>3.343407856743718E-2</v>
      </c>
      <c r="M310" s="306">
        <f>+IF($H310=M$2,VLOOKUP($G310,Depreciation!$A$14:$L$18,11,FALSE)/2,IF($H310&lt;M$2,VLOOKUP($G310,Depreciation!$A$14:$L$18,11,FALSE),0))</f>
        <v>3.343407856743718E-2</v>
      </c>
      <c r="N310" s="306">
        <f>+IF($H310=N$2,VLOOKUP($G310,Depreciation!$A$14:$L$18,12,FALSE)/2,IF($H310&lt;N$2,VLOOKUP($G310,Depreciation!$A$14:$L$18,12,FALSE),0))</f>
        <v>3.343407856743718E-2</v>
      </c>
      <c r="O310" s="307">
        <f t="shared" si="34"/>
        <v>5246217.9935590941</v>
      </c>
      <c r="P310" s="732">
        <f>'Func Future Subs 2015'!P310</f>
        <v>0.29078014184397161</v>
      </c>
      <c r="Q310" s="732">
        <f>'Func Future Subs 2015'!Q310</f>
        <v>0.70921985815602839</v>
      </c>
      <c r="R310" s="732">
        <f>'Func Future Subs 2015'!R310</f>
        <v>0</v>
      </c>
      <c r="S310" s="735">
        <f t="shared" si="35"/>
        <v>1525496.0123115096</v>
      </c>
      <c r="T310" s="735">
        <f t="shared" si="36"/>
        <v>3720721.9812475848</v>
      </c>
      <c r="U310" s="735">
        <f t="shared" si="37"/>
        <v>0</v>
      </c>
      <c r="V310" s="736">
        <f t="shared" si="38"/>
        <v>0</v>
      </c>
      <c r="W310" s="735">
        <f t="shared" si="39"/>
        <v>1525496.0123115096</v>
      </c>
      <c r="X310" s="737">
        <f t="shared" si="40"/>
        <v>0</v>
      </c>
      <c r="Y310" s="738">
        <f t="shared" si="41"/>
        <v>3720721.9812475848</v>
      </c>
    </row>
    <row r="311" spans="1:25">
      <c r="A311" s="754" t="str">
        <f>'Func Future Subs 2015'!A311</f>
        <v>North ST Albert 99S substation[180D]</v>
      </c>
      <c r="B311" s="754">
        <f>'Func Future Subs 2015'!B311</f>
        <v>1510</v>
      </c>
      <c r="C311" s="754">
        <f>'Func Future Subs 2015'!C311</f>
        <v>138</v>
      </c>
      <c r="D311" s="754">
        <f>'Func Future Subs 2015'!D311</f>
        <v>25</v>
      </c>
      <c r="E311" s="754" t="str">
        <f>'Func Future Subs 2015'!E311</f>
        <v>99S</v>
      </c>
      <c r="F311" s="754">
        <f>'Func Future Subs 2015'!F311</f>
        <v>968000.00000000012</v>
      </c>
      <c r="G311" s="754" t="str">
        <f>'Func Future Subs 2015'!G311</f>
        <v>AltaLink</v>
      </c>
      <c r="H311" s="754">
        <f>'Func Future Subs 2015'!H311</f>
        <v>2015</v>
      </c>
      <c r="I311" s="306">
        <f>+IF($H311=I$2,VLOOKUP($G311,Depreciation!$A$14:$L$18,7,FALSE)/2,IF($H311&lt;I$2,VLOOKUP($G311,Depreciation!$A$14:$L$18,7,FALSE),0))</f>
        <v>1.7228380322441735E-2</v>
      </c>
      <c r="J311" s="306">
        <f>+IF($H311=J$2,VLOOKUP($G311,Depreciation!$A$14:$L$18,8,FALSE)/2,IF($H311&lt;J$2,VLOOKUP($G311,Depreciation!$A$14:$L$18,8,FALSE),0))</f>
        <v>3.343407856743718E-2</v>
      </c>
      <c r="K311" s="306">
        <f>+IF($H311=K$2,VLOOKUP($G311,Depreciation!$A$14:$L$18,9,FALSE)/2,IF($H311&lt;K$2,VLOOKUP($G311,Depreciation!$A$14:$L$18,9,FALSE),0))</f>
        <v>3.343407856743718E-2</v>
      </c>
      <c r="L311" s="306">
        <f>+IF($H311=L$2,VLOOKUP($G311,Depreciation!$A$14:$L$18,10,FALSE)/2,IF($H311&lt;L$2,VLOOKUP($G311,Depreciation!$A$14:$L$18,10,FALSE),0))</f>
        <v>3.343407856743718E-2</v>
      </c>
      <c r="M311" s="306">
        <f>+IF($H311=M$2,VLOOKUP($G311,Depreciation!$A$14:$L$18,11,FALSE)/2,IF($H311&lt;M$2,VLOOKUP($G311,Depreciation!$A$14:$L$18,11,FALSE),0))</f>
        <v>3.343407856743718E-2</v>
      </c>
      <c r="N311" s="306">
        <f>+IF($H311=N$2,VLOOKUP($G311,Depreciation!$A$14:$L$18,12,FALSE)/2,IF($H311&lt;N$2,VLOOKUP($G311,Depreciation!$A$14:$L$18,12,FALSE),0))</f>
        <v>3.343407856743718E-2</v>
      </c>
      <c r="O311" s="307">
        <f t="shared" si="34"/>
        <v>919516.32233520621</v>
      </c>
      <c r="P311" s="732">
        <f>'Func Future Subs 2015'!P311</f>
        <v>0</v>
      </c>
      <c r="Q311" s="732">
        <f>'Func Future Subs 2015'!Q311</f>
        <v>1</v>
      </c>
      <c r="R311" s="732">
        <f>'Func Future Subs 2015'!R311</f>
        <v>0</v>
      </c>
      <c r="S311" s="735">
        <f t="shared" si="35"/>
        <v>0</v>
      </c>
      <c r="T311" s="735">
        <f t="shared" si="36"/>
        <v>919516.32233520621</v>
      </c>
      <c r="U311" s="735">
        <f t="shared" si="37"/>
        <v>0</v>
      </c>
      <c r="V311" s="736">
        <f t="shared" si="38"/>
        <v>0</v>
      </c>
      <c r="W311" s="735">
        <f t="shared" si="39"/>
        <v>0</v>
      </c>
      <c r="X311" s="737">
        <f t="shared" si="40"/>
        <v>0</v>
      </c>
      <c r="Y311" s="738">
        <f t="shared" si="41"/>
        <v>919516.32233520621</v>
      </c>
    </row>
    <row r="312" spans="1:25">
      <c r="A312" s="754" t="str">
        <f>'Func Future Subs 2015'!A312</f>
        <v>Modify P&amp;C at Benbow 397S</v>
      </c>
      <c r="B312" s="754">
        <f>'Func Future Subs 2015'!B312</f>
        <v>1515</v>
      </c>
      <c r="C312" s="754">
        <f>'Func Future Subs 2015'!C312</f>
        <v>138</v>
      </c>
      <c r="D312" s="754">
        <f>'Func Future Subs 2015'!D312</f>
        <v>25</v>
      </c>
      <c r="E312" s="754" t="str">
        <f>'Func Future Subs 2015'!E312</f>
        <v>397S</v>
      </c>
      <c r="F312" s="754">
        <f>'Func Future Subs 2015'!F312</f>
        <v>10972.383408553622</v>
      </c>
      <c r="G312" s="754" t="str">
        <f>'Func Future Subs 2015'!G312</f>
        <v>AltaLink</v>
      </c>
      <c r="H312" s="754">
        <f>'Func Future Subs 2015'!H312</f>
        <v>2016</v>
      </c>
      <c r="I312" s="306">
        <f>+IF($H312=I$2,VLOOKUP($G312,Depreciation!$A$14:$L$18,7,FALSE)/2,IF($H312&lt;I$2,VLOOKUP($G312,Depreciation!$A$14:$L$18,7,FALSE),0))</f>
        <v>0</v>
      </c>
      <c r="J312" s="306">
        <f>+IF($H312=J$2,VLOOKUP($G312,Depreciation!$A$14:$L$18,8,FALSE)/2,IF($H312&lt;J$2,VLOOKUP($G312,Depreciation!$A$14:$L$18,8,FALSE),0))</f>
        <v>1.671703928371859E-2</v>
      </c>
      <c r="K312" s="306">
        <f>+IF($H312=K$2,VLOOKUP($G312,Depreciation!$A$14:$L$18,9,FALSE)/2,IF($H312&lt;K$2,VLOOKUP($G312,Depreciation!$A$14:$L$18,9,FALSE),0))</f>
        <v>3.343407856743718E-2</v>
      </c>
      <c r="L312" s="306">
        <f>+IF($H312=L$2,VLOOKUP($G312,Depreciation!$A$14:$L$18,10,FALSE)/2,IF($H312&lt;L$2,VLOOKUP($G312,Depreciation!$A$14:$L$18,10,FALSE),0))</f>
        <v>3.343407856743718E-2</v>
      </c>
      <c r="M312" s="306">
        <f>+IF($H312=M$2,VLOOKUP($G312,Depreciation!$A$14:$L$18,11,FALSE)/2,IF($H312&lt;M$2,VLOOKUP($G312,Depreciation!$A$14:$L$18,11,FALSE),0))</f>
        <v>3.343407856743718E-2</v>
      </c>
      <c r="N312" s="306">
        <f>+IF($H312=N$2,VLOOKUP($G312,Depreciation!$A$14:$L$18,12,FALSE)/2,IF($H312&lt;N$2,VLOOKUP($G312,Depreciation!$A$14:$L$18,12,FALSE),0))</f>
        <v>3.343407856743718E-2</v>
      </c>
      <c r="O312" s="307">
        <f t="shared" si="34"/>
        <v>10788.957644076809</v>
      </c>
      <c r="P312" s="732">
        <f>'Func Future Subs 2015'!P312</f>
        <v>0</v>
      </c>
      <c r="Q312" s="732">
        <f>'Func Future Subs 2015'!Q312</f>
        <v>1</v>
      </c>
      <c r="R312" s="732">
        <f>'Func Future Subs 2015'!R312</f>
        <v>0</v>
      </c>
      <c r="S312" s="735">
        <f t="shared" si="35"/>
        <v>0</v>
      </c>
      <c r="T312" s="735">
        <f t="shared" si="36"/>
        <v>10788.957644076809</v>
      </c>
      <c r="U312" s="735">
        <f t="shared" si="37"/>
        <v>0</v>
      </c>
      <c r="V312" s="736">
        <f t="shared" si="38"/>
        <v>0</v>
      </c>
      <c r="W312" s="735">
        <f t="shared" si="39"/>
        <v>0</v>
      </c>
      <c r="X312" s="737">
        <f t="shared" si="40"/>
        <v>0</v>
      </c>
      <c r="Y312" s="738">
        <f t="shared" si="41"/>
        <v>10788.957644076809</v>
      </c>
    </row>
    <row r="313" spans="1:25">
      <c r="A313" s="754" t="str">
        <f>'Func Future Subs 2015'!A313</f>
        <v>Modify P&amp;C at Bickerdike 39S</v>
      </c>
      <c r="B313" s="754">
        <f>'Func Future Subs 2015'!B313</f>
        <v>1515</v>
      </c>
      <c r="C313" s="754">
        <f>'Func Future Subs 2015'!C313</f>
        <v>240</v>
      </c>
      <c r="D313" s="754">
        <f>'Func Future Subs 2015'!D313</f>
        <v>138</v>
      </c>
      <c r="E313" s="754" t="str">
        <f>'Func Future Subs 2015'!E313</f>
        <v>39S</v>
      </c>
      <c r="F313" s="754">
        <f>'Func Future Subs 2015'!F313</f>
        <v>10972.383408553622</v>
      </c>
      <c r="G313" s="754" t="str">
        <f>'Func Future Subs 2015'!G313</f>
        <v>AltaLink</v>
      </c>
      <c r="H313" s="754">
        <f>'Func Future Subs 2015'!H313</f>
        <v>2016</v>
      </c>
      <c r="I313" s="306">
        <f>+IF($H313=I$2,VLOOKUP($G313,Depreciation!$A$14:$L$18,7,FALSE)/2,IF($H313&lt;I$2,VLOOKUP($G313,Depreciation!$A$14:$L$18,7,FALSE),0))</f>
        <v>0</v>
      </c>
      <c r="J313" s="306">
        <f>+IF($H313=J$2,VLOOKUP($G313,Depreciation!$A$14:$L$18,8,FALSE)/2,IF($H313&lt;J$2,VLOOKUP($G313,Depreciation!$A$14:$L$18,8,FALSE),0))</f>
        <v>1.671703928371859E-2</v>
      </c>
      <c r="K313" s="306">
        <f>+IF($H313=K$2,VLOOKUP($G313,Depreciation!$A$14:$L$18,9,FALSE)/2,IF($H313&lt;K$2,VLOOKUP($G313,Depreciation!$A$14:$L$18,9,FALSE),0))</f>
        <v>3.343407856743718E-2</v>
      </c>
      <c r="L313" s="306">
        <f>+IF($H313=L$2,VLOOKUP($G313,Depreciation!$A$14:$L$18,10,FALSE)/2,IF($H313&lt;L$2,VLOOKUP($G313,Depreciation!$A$14:$L$18,10,FALSE),0))</f>
        <v>3.343407856743718E-2</v>
      </c>
      <c r="M313" s="306">
        <f>+IF($H313=M$2,VLOOKUP($G313,Depreciation!$A$14:$L$18,11,FALSE)/2,IF($H313&lt;M$2,VLOOKUP($G313,Depreciation!$A$14:$L$18,11,FALSE),0))</f>
        <v>3.343407856743718E-2</v>
      </c>
      <c r="N313" s="306">
        <f>+IF($H313=N$2,VLOOKUP($G313,Depreciation!$A$14:$L$18,12,FALSE)/2,IF($H313&lt;N$2,VLOOKUP($G313,Depreciation!$A$14:$L$18,12,FALSE),0))</f>
        <v>3.343407856743718E-2</v>
      </c>
      <c r="O313" s="307">
        <f t="shared" si="34"/>
        <v>10788.957644076809</v>
      </c>
      <c r="P313" s="732">
        <f>'Func Future Subs 2015'!P313</f>
        <v>0</v>
      </c>
      <c r="Q313" s="732">
        <f>'Func Future Subs 2015'!Q313</f>
        <v>0</v>
      </c>
      <c r="R313" s="732">
        <f>'Func Future Subs 2015'!R313</f>
        <v>1</v>
      </c>
      <c r="S313" s="735">
        <f t="shared" si="35"/>
        <v>0</v>
      </c>
      <c r="T313" s="735">
        <f t="shared" si="36"/>
        <v>0</v>
      </c>
      <c r="U313" s="735">
        <f t="shared" si="37"/>
        <v>10788.957644076809</v>
      </c>
      <c r="V313" s="736">
        <f t="shared" si="38"/>
        <v>0</v>
      </c>
      <c r="W313" s="735">
        <f t="shared" si="39"/>
        <v>0</v>
      </c>
      <c r="X313" s="737">
        <f t="shared" si="40"/>
        <v>10788.957644076809</v>
      </c>
      <c r="Y313" s="738">
        <f t="shared" si="41"/>
        <v>0</v>
      </c>
    </row>
    <row r="314" spans="1:25">
      <c r="A314" s="754" t="str">
        <f>'Func Future Subs 2015'!A314</f>
        <v>Modify P&amp;C at Marlboro 348S</v>
      </c>
      <c r="B314" s="754">
        <f>'Func Future Subs 2015'!B314</f>
        <v>1515</v>
      </c>
      <c r="C314" s="754">
        <f>'Func Future Subs 2015'!C314</f>
        <v>138</v>
      </c>
      <c r="D314" s="754">
        <f>'Func Future Subs 2015'!D314</f>
        <v>25</v>
      </c>
      <c r="E314" s="754" t="str">
        <f>'Func Future Subs 2015'!E314</f>
        <v>348S</v>
      </c>
      <c r="F314" s="754">
        <f>'Func Future Subs 2015'!F314</f>
        <v>6269.9333763163559</v>
      </c>
      <c r="G314" s="754" t="str">
        <f>'Func Future Subs 2015'!G314</f>
        <v>AltaLink</v>
      </c>
      <c r="H314" s="754">
        <f>'Func Future Subs 2015'!H314</f>
        <v>2016</v>
      </c>
      <c r="I314" s="306">
        <f>+IF($H314=I$2,VLOOKUP($G314,Depreciation!$A$14:$L$18,7,FALSE)/2,IF($H314&lt;I$2,VLOOKUP($G314,Depreciation!$A$14:$L$18,7,FALSE),0))</f>
        <v>0</v>
      </c>
      <c r="J314" s="306">
        <f>+IF($H314=J$2,VLOOKUP($G314,Depreciation!$A$14:$L$18,8,FALSE)/2,IF($H314&lt;J$2,VLOOKUP($G314,Depreciation!$A$14:$L$18,8,FALSE),0))</f>
        <v>1.671703928371859E-2</v>
      </c>
      <c r="K314" s="306">
        <f>+IF($H314=K$2,VLOOKUP($G314,Depreciation!$A$14:$L$18,9,FALSE)/2,IF($H314&lt;K$2,VLOOKUP($G314,Depreciation!$A$14:$L$18,9,FALSE),0))</f>
        <v>3.343407856743718E-2</v>
      </c>
      <c r="L314" s="306">
        <f>+IF($H314=L$2,VLOOKUP($G314,Depreciation!$A$14:$L$18,10,FALSE)/2,IF($H314&lt;L$2,VLOOKUP($G314,Depreciation!$A$14:$L$18,10,FALSE),0))</f>
        <v>3.343407856743718E-2</v>
      </c>
      <c r="M314" s="306">
        <f>+IF($H314=M$2,VLOOKUP($G314,Depreciation!$A$14:$L$18,11,FALSE)/2,IF($H314&lt;M$2,VLOOKUP($G314,Depreciation!$A$14:$L$18,11,FALSE),0))</f>
        <v>3.343407856743718E-2</v>
      </c>
      <c r="N314" s="306">
        <f>+IF($H314=N$2,VLOOKUP($G314,Depreciation!$A$14:$L$18,12,FALSE)/2,IF($H314&lt;N$2,VLOOKUP($G314,Depreciation!$A$14:$L$18,12,FALSE),0))</f>
        <v>3.343407856743718E-2</v>
      </c>
      <c r="O314" s="307">
        <f t="shared" si="34"/>
        <v>6165.1186537581771</v>
      </c>
      <c r="P314" s="732">
        <f>'Func Future Subs 2015'!P314</f>
        <v>0</v>
      </c>
      <c r="Q314" s="732">
        <f>'Func Future Subs 2015'!Q314</f>
        <v>1</v>
      </c>
      <c r="R314" s="732">
        <f>'Func Future Subs 2015'!R314</f>
        <v>0</v>
      </c>
      <c r="S314" s="735">
        <f t="shared" si="35"/>
        <v>0</v>
      </c>
      <c r="T314" s="735">
        <f t="shared" si="36"/>
        <v>6165.1186537581771</v>
      </c>
      <c r="U314" s="735">
        <f t="shared" si="37"/>
        <v>0</v>
      </c>
      <c r="V314" s="736">
        <f t="shared" si="38"/>
        <v>0</v>
      </c>
      <c r="W314" s="735">
        <f t="shared" si="39"/>
        <v>0</v>
      </c>
      <c r="X314" s="737">
        <f t="shared" si="40"/>
        <v>0</v>
      </c>
      <c r="Y314" s="738">
        <f t="shared" si="41"/>
        <v>6165.1186537581771</v>
      </c>
    </row>
    <row r="315" spans="1:25">
      <c r="A315" s="754" t="str">
        <f>'Func Future Subs 2015'!A315</f>
        <v>New Deerhill 1012S substation</v>
      </c>
      <c r="B315" s="754">
        <f>'Func Future Subs 2015'!B315</f>
        <v>1515</v>
      </c>
      <c r="C315" s="754">
        <f>'Func Future Subs 2015'!C315</f>
        <v>138</v>
      </c>
      <c r="D315" s="754">
        <f>'Func Future Subs 2015'!D315</f>
        <v>25</v>
      </c>
      <c r="E315" s="754" t="str">
        <f>'Func Future Subs 2015'!E315</f>
        <v>1012S</v>
      </c>
      <c r="F315" s="754">
        <f>'Func Future Subs 2015'!F315</f>
        <v>13162157.64023211</v>
      </c>
      <c r="G315" s="754" t="str">
        <f>'Func Future Subs 2015'!G315</f>
        <v>AltaLink</v>
      </c>
      <c r="H315" s="754">
        <f>'Func Future Subs 2015'!H315</f>
        <v>2016</v>
      </c>
      <c r="I315" s="306">
        <f>+IF($H315=I$2,VLOOKUP($G315,Depreciation!$A$14:$L$18,7,FALSE)/2,IF($H315&lt;I$2,VLOOKUP($G315,Depreciation!$A$14:$L$18,7,FALSE),0))</f>
        <v>0</v>
      </c>
      <c r="J315" s="306">
        <f>+IF($H315=J$2,VLOOKUP($G315,Depreciation!$A$14:$L$18,8,FALSE)/2,IF($H315&lt;J$2,VLOOKUP($G315,Depreciation!$A$14:$L$18,8,FALSE),0))</f>
        <v>1.671703928371859E-2</v>
      </c>
      <c r="K315" s="306">
        <f>+IF($H315=K$2,VLOOKUP($G315,Depreciation!$A$14:$L$18,9,FALSE)/2,IF($H315&lt;K$2,VLOOKUP($G315,Depreciation!$A$14:$L$18,9,FALSE),0))</f>
        <v>3.343407856743718E-2</v>
      </c>
      <c r="L315" s="306">
        <f>+IF($H315=L$2,VLOOKUP($G315,Depreciation!$A$14:$L$18,10,FALSE)/2,IF($H315&lt;L$2,VLOOKUP($G315,Depreciation!$A$14:$L$18,10,FALSE),0))</f>
        <v>3.343407856743718E-2</v>
      </c>
      <c r="M315" s="306">
        <f>+IF($H315=M$2,VLOOKUP($G315,Depreciation!$A$14:$L$18,11,FALSE)/2,IF($H315&lt;M$2,VLOOKUP($G315,Depreciation!$A$14:$L$18,11,FALSE),0))</f>
        <v>3.343407856743718E-2</v>
      </c>
      <c r="N315" s="306">
        <f>+IF($H315=N$2,VLOOKUP($G315,Depreciation!$A$14:$L$18,12,FALSE)/2,IF($H315&lt;N$2,VLOOKUP($G315,Depreciation!$A$14:$L$18,12,FALSE),0))</f>
        <v>3.343407856743718E-2</v>
      </c>
      <c r="O315" s="307">
        <f t="shared" si="34"/>
        <v>12942125.333901854</v>
      </c>
      <c r="P315" s="732">
        <f>'Func Future Subs 2015'!P315</f>
        <v>0</v>
      </c>
      <c r="Q315" s="732">
        <f>'Func Future Subs 2015'!Q315</f>
        <v>1</v>
      </c>
      <c r="R315" s="732">
        <f>'Func Future Subs 2015'!R315</f>
        <v>0</v>
      </c>
      <c r="S315" s="735">
        <f t="shared" si="35"/>
        <v>0</v>
      </c>
      <c r="T315" s="735">
        <f t="shared" si="36"/>
        <v>12942125.333901854</v>
      </c>
      <c r="U315" s="735">
        <f t="shared" si="37"/>
        <v>0</v>
      </c>
      <c r="V315" s="736">
        <f t="shared" si="38"/>
        <v>0</v>
      </c>
      <c r="W315" s="735">
        <f t="shared" si="39"/>
        <v>0</v>
      </c>
      <c r="X315" s="737">
        <f t="shared" si="40"/>
        <v>0</v>
      </c>
      <c r="Y315" s="738">
        <f t="shared" si="41"/>
        <v>12942125.333901854</v>
      </c>
    </row>
    <row r="316" spans="1:25">
      <c r="A316" s="754" t="str">
        <f>'Func Future Subs 2015'!A316</f>
        <v>Halsbury 306S</v>
      </c>
      <c r="B316" s="754">
        <f>'Func Future Subs 2015'!B316</f>
        <v>1533</v>
      </c>
      <c r="C316" s="754">
        <f>'Func Future Subs 2015'!C316</f>
        <v>34</v>
      </c>
      <c r="D316" s="754">
        <f>'Func Future Subs 2015'!D316</f>
        <v>240</v>
      </c>
      <c r="E316" s="754" t="str">
        <f>'Func Future Subs 2015'!E316</f>
        <v>306S</v>
      </c>
      <c r="F316" s="754">
        <f>'Func Future Subs 2015'!F316</f>
        <v>121881.13948919451</v>
      </c>
      <c r="G316" s="754" t="str">
        <f>'Func Future Subs 2015'!G316</f>
        <v>AltaLink</v>
      </c>
      <c r="H316" s="754">
        <f>'Func Future Subs 2015'!H316</f>
        <v>2017</v>
      </c>
      <c r="I316" s="306">
        <f>+IF($H316=I$2,VLOOKUP($G316,Depreciation!$A$14:$L$18,7,FALSE)/2,IF($H316&lt;I$2,VLOOKUP($G316,Depreciation!$A$14:$L$18,7,FALSE),0))</f>
        <v>0</v>
      </c>
      <c r="J316" s="306">
        <f>+IF($H316=J$2,VLOOKUP($G316,Depreciation!$A$14:$L$18,8,FALSE)/2,IF($H316&lt;J$2,VLOOKUP($G316,Depreciation!$A$14:$L$18,8,FALSE),0))</f>
        <v>0</v>
      </c>
      <c r="K316" s="306">
        <f>+IF($H316=K$2,VLOOKUP($G316,Depreciation!$A$14:$L$18,9,FALSE)/2,IF($H316&lt;K$2,VLOOKUP($G316,Depreciation!$A$14:$L$18,9,FALSE),0))</f>
        <v>1.671703928371859E-2</v>
      </c>
      <c r="L316" s="306">
        <f>+IF($H316=L$2,VLOOKUP($G316,Depreciation!$A$14:$L$18,10,FALSE)/2,IF($H316&lt;L$2,VLOOKUP($G316,Depreciation!$A$14:$L$18,10,FALSE),0))</f>
        <v>3.343407856743718E-2</v>
      </c>
      <c r="M316" s="306">
        <f>+IF($H316=M$2,VLOOKUP($G316,Depreciation!$A$14:$L$18,11,FALSE)/2,IF($H316&lt;M$2,VLOOKUP($G316,Depreciation!$A$14:$L$18,11,FALSE),0))</f>
        <v>3.343407856743718E-2</v>
      </c>
      <c r="N316" s="306">
        <f>+IF($H316=N$2,VLOOKUP($G316,Depreciation!$A$14:$L$18,12,FALSE)/2,IF($H316&lt;N$2,VLOOKUP($G316,Depreciation!$A$14:$L$18,12,FALSE),0))</f>
        <v>3.343407856743718E-2</v>
      </c>
      <c r="O316" s="307">
        <f t="shared" si="34"/>
        <v>0</v>
      </c>
      <c r="P316" s="732">
        <f>'Func Future Subs 2015'!P316</f>
        <v>0</v>
      </c>
      <c r="Q316" s="732">
        <f>'Func Future Subs 2015'!Q316</f>
        <v>0</v>
      </c>
      <c r="R316" s="732">
        <f>'Func Future Subs 2015'!R316</f>
        <v>1</v>
      </c>
      <c r="S316" s="735">
        <f t="shared" si="35"/>
        <v>0</v>
      </c>
      <c r="T316" s="735">
        <f t="shared" si="36"/>
        <v>0</v>
      </c>
      <c r="U316" s="735">
        <f t="shared" si="37"/>
        <v>0</v>
      </c>
      <c r="V316" s="736">
        <f t="shared" si="38"/>
        <v>0</v>
      </c>
      <c r="W316" s="735">
        <f t="shared" si="39"/>
        <v>0</v>
      </c>
      <c r="X316" s="737">
        <f t="shared" si="40"/>
        <v>0</v>
      </c>
      <c r="Y316" s="738">
        <f t="shared" si="41"/>
        <v>0</v>
      </c>
    </row>
    <row r="317" spans="1:25">
      <c r="A317" s="754" t="str">
        <f>'Func Future Subs 2015'!A317</f>
        <v>Jenner 275S</v>
      </c>
      <c r="B317" s="754">
        <f>'Func Future Subs 2015'!B317</f>
        <v>1533</v>
      </c>
      <c r="C317" s="754">
        <f>'Func Future Subs 2015'!C317</f>
        <v>240</v>
      </c>
      <c r="D317" s="754">
        <f>'Func Future Subs 2015'!D317</f>
        <v>25</v>
      </c>
      <c r="E317" s="754" t="str">
        <f>'Func Future Subs 2015'!E317</f>
        <v>275S</v>
      </c>
      <c r="F317" s="754">
        <f>'Func Future Subs 2015'!F317</f>
        <v>4711112.3117223317</v>
      </c>
      <c r="G317" s="754" t="str">
        <f>'Func Future Subs 2015'!G317</f>
        <v>AltaLink</v>
      </c>
      <c r="H317" s="754">
        <f>'Func Future Subs 2015'!H317</f>
        <v>2017</v>
      </c>
      <c r="I317" s="306">
        <f>+IF($H317=I$2,VLOOKUP($G317,Depreciation!$A$14:$L$18,7,FALSE)/2,IF($H317&lt;I$2,VLOOKUP($G317,Depreciation!$A$14:$L$18,7,FALSE),0))</f>
        <v>0</v>
      </c>
      <c r="J317" s="306">
        <f>+IF($H317=J$2,VLOOKUP($G317,Depreciation!$A$14:$L$18,8,FALSE)/2,IF($H317&lt;J$2,VLOOKUP($G317,Depreciation!$A$14:$L$18,8,FALSE),0))</f>
        <v>0</v>
      </c>
      <c r="K317" s="306">
        <f>+IF($H317=K$2,VLOOKUP($G317,Depreciation!$A$14:$L$18,9,FALSE)/2,IF($H317&lt;K$2,VLOOKUP($G317,Depreciation!$A$14:$L$18,9,FALSE),0))</f>
        <v>1.671703928371859E-2</v>
      </c>
      <c r="L317" s="306">
        <f>+IF($H317=L$2,VLOOKUP($G317,Depreciation!$A$14:$L$18,10,FALSE)/2,IF($H317&lt;L$2,VLOOKUP($G317,Depreciation!$A$14:$L$18,10,FALSE),0))</f>
        <v>3.343407856743718E-2</v>
      </c>
      <c r="M317" s="306">
        <f>+IF($H317=M$2,VLOOKUP($G317,Depreciation!$A$14:$L$18,11,FALSE)/2,IF($H317&lt;M$2,VLOOKUP($G317,Depreciation!$A$14:$L$18,11,FALSE),0))</f>
        <v>3.343407856743718E-2</v>
      </c>
      <c r="N317" s="306">
        <f>+IF($H317=N$2,VLOOKUP($G317,Depreciation!$A$14:$L$18,12,FALSE)/2,IF($H317&lt;N$2,VLOOKUP($G317,Depreciation!$A$14:$L$18,12,FALSE),0))</f>
        <v>3.343407856743718E-2</v>
      </c>
      <c r="O317" s="307">
        <f t="shared" si="34"/>
        <v>0</v>
      </c>
      <c r="P317" s="732">
        <f>'Func Future Subs 2015'!P317</f>
        <v>0</v>
      </c>
      <c r="Q317" s="732">
        <f>'Func Future Subs 2015'!Q317</f>
        <v>1</v>
      </c>
      <c r="R317" s="732">
        <f>'Func Future Subs 2015'!R317</f>
        <v>0</v>
      </c>
      <c r="S317" s="735">
        <f t="shared" si="35"/>
        <v>0</v>
      </c>
      <c r="T317" s="735">
        <f t="shared" si="36"/>
        <v>0</v>
      </c>
      <c r="U317" s="735">
        <f t="shared" si="37"/>
        <v>0</v>
      </c>
      <c r="V317" s="736">
        <f t="shared" si="38"/>
        <v>0</v>
      </c>
      <c r="W317" s="735">
        <f t="shared" si="39"/>
        <v>0</v>
      </c>
      <c r="X317" s="737">
        <f t="shared" si="40"/>
        <v>0</v>
      </c>
      <c r="Y317" s="738">
        <f t="shared" si="41"/>
        <v>0</v>
      </c>
    </row>
    <row r="318" spans="1:25">
      <c r="A318" s="754" t="str">
        <f>'Func Future Subs 2015'!A318</f>
        <v>Upgrade Bauer 918S substation</v>
      </c>
      <c r="B318" s="754">
        <f>'Func Future Subs 2015'!B318</f>
        <v>1554</v>
      </c>
      <c r="C318" s="754">
        <f>'Func Future Subs 2015'!C318</f>
        <v>144</v>
      </c>
      <c r="D318" s="754">
        <f>'Func Future Subs 2015'!D318</f>
        <v>25</v>
      </c>
      <c r="E318" s="754" t="str">
        <f>'Func Future Subs 2015'!E318</f>
        <v>918S</v>
      </c>
      <c r="F318" s="754">
        <f>'Func Future Subs 2015'!F318</f>
        <v>5879941.0000000009</v>
      </c>
      <c r="G318" s="754" t="str">
        <f>'Func Future Subs 2015'!G318</f>
        <v>ATCO</v>
      </c>
      <c r="H318" s="754">
        <f>'Func Future Subs 2015'!H318</f>
        <v>2016</v>
      </c>
      <c r="I318" s="306">
        <f>+IF($H318=I$2,VLOOKUP($G318,Depreciation!$A$14:$L$18,7,FALSE)/2,IF($H318&lt;I$2,VLOOKUP($G318,Depreciation!$A$14:$L$18,7,FALSE),0))</f>
        <v>0</v>
      </c>
      <c r="J318" s="306">
        <f>+IF($H318=J$2,VLOOKUP($G318,Depreciation!$A$14:$L$18,8,FALSE)/2,IF($H318&lt;J$2,VLOOKUP($G318,Depreciation!$A$14:$L$18,8,FALSE),0))</f>
        <v>1.231622525054236E-2</v>
      </c>
      <c r="K318" s="306">
        <f>+IF($H318=K$2,VLOOKUP($G318,Depreciation!$A$14:$L$18,9,FALSE)/2,IF($H318&lt;K$2,VLOOKUP($G318,Depreciation!$A$14:$L$18,9,FALSE),0))</f>
        <v>2.4351536427798831E-2</v>
      </c>
      <c r="L318" s="306">
        <f>+IF($H318=L$2,VLOOKUP($G318,Depreciation!$A$14:$L$18,10,FALSE)/2,IF($H318&lt;L$2,VLOOKUP($G318,Depreciation!$A$14:$L$18,10,FALSE),0))</f>
        <v>2.4351536427798831E-2</v>
      </c>
      <c r="M318" s="306">
        <f>+IF($H318=M$2,VLOOKUP($G318,Depreciation!$A$14:$L$18,11,FALSE)/2,IF($H318&lt;M$2,VLOOKUP($G318,Depreciation!$A$14:$L$18,11,FALSE),0))</f>
        <v>2.4351536427798831E-2</v>
      </c>
      <c r="N318" s="306">
        <f>+IF($H318=N$2,VLOOKUP($G318,Depreciation!$A$14:$L$18,12,FALSE)/2,IF($H318&lt;N$2,VLOOKUP($G318,Depreciation!$A$14:$L$18,12,FALSE),0))</f>
        <v>2.4351536427798831E-2</v>
      </c>
      <c r="O318" s="307">
        <f t="shared" si="34"/>
        <v>5807522.3221841017</v>
      </c>
      <c r="P318" s="732">
        <f>'Func Future Subs 2015'!P318</f>
        <v>0</v>
      </c>
      <c r="Q318" s="732">
        <f>'Func Future Subs 2015'!Q318</f>
        <v>1</v>
      </c>
      <c r="R318" s="732">
        <f>'Func Future Subs 2015'!R318</f>
        <v>0</v>
      </c>
      <c r="S318" s="735">
        <f t="shared" si="35"/>
        <v>0</v>
      </c>
      <c r="T318" s="735">
        <f t="shared" si="36"/>
        <v>5807522.3221841017</v>
      </c>
      <c r="U318" s="735">
        <f t="shared" si="37"/>
        <v>0</v>
      </c>
      <c r="V318" s="736">
        <f t="shared" si="38"/>
        <v>0</v>
      </c>
      <c r="W318" s="735">
        <f t="shared" si="39"/>
        <v>0</v>
      </c>
      <c r="X318" s="737">
        <f t="shared" si="40"/>
        <v>0</v>
      </c>
      <c r="Y318" s="738">
        <f t="shared" si="41"/>
        <v>5807522.3221841017</v>
      </c>
    </row>
    <row r="319" spans="1:25">
      <c r="A319" s="754" t="str">
        <f>'Func Future Subs 2015'!A319</f>
        <v>Hardisty 377S</v>
      </c>
      <c r="B319" s="754">
        <f>'Func Future Subs 2015'!B319</f>
        <v>1558</v>
      </c>
      <c r="C319" s="754">
        <f>'Func Future Subs 2015'!C319</f>
        <v>138</v>
      </c>
      <c r="D319" s="754">
        <f>'Func Future Subs 2015'!D319</f>
        <v>25</v>
      </c>
      <c r="E319" s="754" t="str">
        <f>'Func Future Subs 2015'!E319</f>
        <v>377S</v>
      </c>
      <c r="F319" s="754">
        <f>'Func Future Subs 2015'!F319</f>
        <v>40190.931633014516</v>
      </c>
      <c r="G319" s="754" t="str">
        <f>'Func Future Subs 2015'!G319</f>
        <v>AltaLink</v>
      </c>
      <c r="H319" s="754">
        <f>'Func Future Subs 2015'!H319</f>
        <v>2018</v>
      </c>
      <c r="I319" s="306">
        <f>+IF($H319=I$2,VLOOKUP($G319,Depreciation!$A$14:$L$18,7,FALSE)/2,IF($H319&lt;I$2,VLOOKUP($G319,Depreciation!$A$14:$L$18,7,FALSE),0))</f>
        <v>0</v>
      </c>
      <c r="J319" s="306">
        <f>+IF($H319=J$2,VLOOKUP($G319,Depreciation!$A$14:$L$18,8,FALSE)/2,IF($H319&lt;J$2,VLOOKUP($G319,Depreciation!$A$14:$L$18,8,FALSE),0))</f>
        <v>0</v>
      </c>
      <c r="K319" s="306">
        <f>+IF($H319=K$2,VLOOKUP($G319,Depreciation!$A$14:$L$18,9,FALSE)/2,IF($H319&lt;K$2,VLOOKUP($G319,Depreciation!$A$14:$L$18,9,FALSE),0))</f>
        <v>0</v>
      </c>
      <c r="L319" s="306">
        <f>+IF($H319=L$2,VLOOKUP($G319,Depreciation!$A$14:$L$18,10,FALSE)/2,IF($H319&lt;L$2,VLOOKUP($G319,Depreciation!$A$14:$L$18,10,FALSE),0))</f>
        <v>1.671703928371859E-2</v>
      </c>
      <c r="M319" s="306">
        <f>+IF($H319=M$2,VLOOKUP($G319,Depreciation!$A$14:$L$18,11,FALSE)/2,IF($H319&lt;M$2,VLOOKUP($G319,Depreciation!$A$14:$L$18,11,FALSE),0))</f>
        <v>3.343407856743718E-2</v>
      </c>
      <c r="N319" s="306">
        <f>+IF($H319=N$2,VLOOKUP($G319,Depreciation!$A$14:$L$18,12,FALSE)/2,IF($H319&lt;N$2,VLOOKUP($G319,Depreciation!$A$14:$L$18,12,FALSE),0))</f>
        <v>3.343407856743718E-2</v>
      </c>
      <c r="O319" s="307">
        <f t="shared" si="34"/>
        <v>0</v>
      </c>
      <c r="P319" s="732">
        <f>'Func Future Subs 2015'!P319</f>
        <v>0</v>
      </c>
      <c r="Q319" s="732">
        <f>'Func Future Subs 2015'!Q319</f>
        <v>1</v>
      </c>
      <c r="R319" s="732">
        <f>'Func Future Subs 2015'!R319</f>
        <v>0</v>
      </c>
      <c r="S319" s="735">
        <f t="shared" si="35"/>
        <v>0</v>
      </c>
      <c r="T319" s="735">
        <f t="shared" si="36"/>
        <v>0</v>
      </c>
      <c r="U319" s="735">
        <f t="shared" si="37"/>
        <v>0</v>
      </c>
      <c r="V319" s="736">
        <f t="shared" si="38"/>
        <v>0</v>
      </c>
      <c r="W319" s="735">
        <f t="shared" si="39"/>
        <v>0</v>
      </c>
      <c r="X319" s="737">
        <f t="shared" si="40"/>
        <v>0</v>
      </c>
      <c r="Y319" s="738">
        <f t="shared" si="41"/>
        <v>0</v>
      </c>
    </row>
    <row r="320" spans="1:25">
      <c r="A320" s="754" t="str">
        <f>'Func Future Subs 2015'!A320</f>
        <v>Rosyth 296S</v>
      </c>
      <c r="B320" s="754">
        <f>'Func Future Subs 2015'!B320</f>
        <v>1558</v>
      </c>
      <c r="C320" s="754">
        <f>'Func Future Subs 2015'!C320</f>
        <v>138</v>
      </c>
      <c r="D320" s="754">
        <f>'Func Future Subs 2015'!D320</f>
        <v>25</v>
      </c>
      <c r="E320" s="754" t="str">
        <f>'Func Future Subs 2015'!E320</f>
        <v>296S</v>
      </c>
      <c r="F320" s="754">
        <f>'Func Future Subs 2015'!F320</f>
        <v>1504538.7885228479</v>
      </c>
      <c r="G320" s="754" t="str">
        <f>'Func Future Subs 2015'!G320</f>
        <v>AltaLink</v>
      </c>
      <c r="H320" s="754">
        <f>'Func Future Subs 2015'!H320</f>
        <v>2018</v>
      </c>
      <c r="I320" s="306">
        <f>+IF($H320=I$2,VLOOKUP($G320,Depreciation!$A$14:$L$18,7,FALSE)/2,IF($H320&lt;I$2,VLOOKUP($G320,Depreciation!$A$14:$L$18,7,FALSE),0))</f>
        <v>0</v>
      </c>
      <c r="J320" s="306">
        <f>+IF($H320=J$2,VLOOKUP($G320,Depreciation!$A$14:$L$18,8,FALSE)/2,IF($H320&lt;J$2,VLOOKUP($G320,Depreciation!$A$14:$L$18,8,FALSE),0))</f>
        <v>0</v>
      </c>
      <c r="K320" s="306">
        <f>+IF($H320=K$2,VLOOKUP($G320,Depreciation!$A$14:$L$18,9,FALSE)/2,IF($H320&lt;K$2,VLOOKUP($G320,Depreciation!$A$14:$L$18,9,FALSE),0))</f>
        <v>0</v>
      </c>
      <c r="L320" s="306">
        <f>+IF($H320=L$2,VLOOKUP($G320,Depreciation!$A$14:$L$18,10,FALSE)/2,IF($H320&lt;L$2,VLOOKUP($G320,Depreciation!$A$14:$L$18,10,FALSE),0))</f>
        <v>1.671703928371859E-2</v>
      </c>
      <c r="M320" s="306">
        <f>+IF($H320=M$2,VLOOKUP($G320,Depreciation!$A$14:$L$18,11,FALSE)/2,IF($H320&lt;M$2,VLOOKUP($G320,Depreciation!$A$14:$L$18,11,FALSE),0))</f>
        <v>3.343407856743718E-2</v>
      </c>
      <c r="N320" s="306">
        <f>+IF($H320=N$2,VLOOKUP($G320,Depreciation!$A$14:$L$18,12,FALSE)/2,IF($H320&lt;N$2,VLOOKUP($G320,Depreciation!$A$14:$L$18,12,FALSE),0))</f>
        <v>3.343407856743718E-2</v>
      </c>
      <c r="O320" s="307">
        <f t="shared" si="34"/>
        <v>0</v>
      </c>
      <c r="P320" s="732">
        <f>'Func Future Subs 2015'!P320</f>
        <v>0</v>
      </c>
      <c r="Q320" s="732">
        <f>'Func Future Subs 2015'!Q320</f>
        <v>0</v>
      </c>
      <c r="R320" s="732">
        <f>'Func Future Subs 2015'!R320</f>
        <v>1</v>
      </c>
      <c r="S320" s="735">
        <f t="shared" si="35"/>
        <v>0</v>
      </c>
      <c r="T320" s="735">
        <f t="shared" si="36"/>
        <v>0</v>
      </c>
      <c r="U320" s="735">
        <f t="shared" si="37"/>
        <v>0</v>
      </c>
      <c r="V320" s="736">
        <f t="shared" si="38"/>
        <v>0</v>
      </c>
      <c r="W320" s="735">
        <f t="shared" si="39"/>
        <v>0</v>
      </c>
      <c r="X320" s="737">
        <f t="shared" si="40"/>
        <v>0</v>
      </c>
      <c r="Y320" s="738">
        <f t="shared" si="41"/>
        <v>0</v>
      </c>
    </row>
    <row r="321" spans="1:25">
      <c r="A321" s="754" t="str">
        <f>'Func Future Subs 2015'!A321</f>
        <v>Blackfalds 198S</v>
      </c>
      <c r="B321" s="754">
        <f>'Func Future Subs 2015'!B321</f>
        <v>1568</v>
      </c>
      <c r="C321" s="754">
        <f>'Func Future Subs 2015'!C321</f>
        <v>138</v>
      </c>
      <c r="D321" s="754">
        <f>'Func Future Subs 2015'!D321</f>
        <v>25</v>
      </c>
      <c r="E321" s="754" t="str">
        <f>'Func Future Subs 2015'!E321</f>
        <v>198S</v>
      </c>
      <c r="F321" s="754">
        <f>'Func Future Subs 2015'!F321</f>
        <v>6213000</v>
      </c>
      <c r="G321" s="754" t="str">
        <f>'Func Future Subs 2015'!G321</f>
        <v>AltaLink</v>
      </c>
      <c r="H321" s="754">
        <f>'Func Future Subs 2015'!H321</f>
        <v>2016</v>
      </c>
      <c r="I321" s="306">
        <f>+IF($H321=I$2,VLOOKUP($G321,Depreciation!$A$14:$L$18,7,FALSE)/2,IF($H321&lt;I$2,VLOOKUP($G321,Depreciation!$A$14:$L$18,7,FALSE),0))</f>
        <v>0</v>
      </c>
      <c r="J321" s="306">
        <f>+IF($H321=J$2,VLOOKUP($G321,Depreciation!$A$14:$L$18,8,FALSE)/2,IF($H321&lt;J$2,VLOOKUP($G321,Depreciation!$A$14:$L$18,8,FALSE),0))</f>
        <v>1.671703928371859E-2</v>
      </c>
      <c r="K321" s="306">
        <f>+IF($H321=K$2,VLOOKUP($G321,Depreciation!$A$14:$L$18,9,FALSE)/2,IF($H321&lt;K$2,VLOOKUP($G321,Depreciation!$A$14:$L$18,9,FALSE),0))</f>
        <v>3.343407856743718E-2</v>
      </c>
      <c r="L321" s="306">
        <f>+IF($H321=L$2,VLOOKUP($G321,Depreciation!$A$14:$L$18,10,FALSE)/2,IF($H321&lt;L$2,VLOOKUP($G321,Depreciation!$A$14:$L$18,10,FALSE),0))</f>
        <v>3.343407856743718E-2</v>
      </c>
      <c r="M321" s="306">
        <f>+IF($H321=M$2,VLOOKUP($G321,Depreciation!$A$14:$L$18,11,FALSE)/2,IF($H321&lt;M$2,VLOOKUP($G321,Depreciation!$A$14:$L$18,11,FALSE),0))</f>
        <v>3.343407856743718E-2</v>
      </c>
      <c r="N321" s="306">
        <f>+IF($H321=N$2,VLOOKUP($G321,Depreciation!$A$14:$L$18,12,FALSE)/2,IF($H321&lt;N$2,VLOOKUP($G321,Depreciation!$A$14:$L$18,12,FALSE),0))</f>
        <v>3.343407856743718E-2</v>
      </c>
      <c r="O321" s="307">
        <f t="shared" si="34"/>
        <v>6109137.0349302562</v>
      </c>
      <c r="P321" s="732">
        <f>'Func Future Subs 2015'!P321</f>
        <v>0</v>
      </c>
      <c r="Q321" s="732">
        <f>'Func Future Subs 2015'!Q321</f>
        <v>1</v>
      </c>
      <c r="R321" s="732">
        <f>'Func Future Subs 2015'!R321</f>
        <v>0</v>
      </c>
      <c r="S321" s="735">
        <f t="shared" si="35"/>
        <v>0</v>
      </c>
      <c r="T321" s="735">
        <f t="shared" si="36"/>
        <v>6109137.0349302562</v>
      </c>
      <c r="U321" s="735">
        <f t="shared" si="37"/>
        <v>0</v>
      </c>
      <c r="V321" s="736">
        <f t="shared" si="38"/>
        <v>0</v>
      </c>
      <c r="W321" s="735">
        <f t="shared" si="39"/>
        <v>0</v>
      </c>
      <c r="X321" s="737">
        <f t="shared" si="40"/>
        <v>0</v>
      </c>
      <c r="Y321" s="738">
        <f t="shared" si="41"/>
        <v>6109137.0349302562</v>
      </c>
    </row>
    <row r="322" spans="1:25">
      <c r="A322" s="754" t="str">
        <f>'Func Future Subs 2015'!A322</f>
        <v>Colinton 159S</v>
      </c>
      <c r="B322" s="754">
        <f>'Func Future Subs 2015'!B322</f>
        <v>1569</v>
      </c>
      <c r="C322" s="754">
        <f>'Func Future Subs 2015'!C322</f>
        <v>138</v>
      </c>
      <c r="D322" s="754">
        <f>'Func Future Subs 2015'!D322</f>
        <v>25</v>
      </c>
      <c r="E322" s="754" t="str">
        <f>'Func Future Subs 2015'!E322</f>
        <v>159S</v>
      </c>
      <c r="F322" s="754">
        <f>'Func Future Subs 2015'!F322</f>
        <v>5247000.0000000019</v>
      </c>
      <c r="G322" s="754" t="str">
        <f>'Func Future Subs 2015'!G322</f>
        <v>AltaLink</v>
      </c>
      <c r="H322" s="754">
        <f>'Func Future Subs 2015'!H322</f>
        <v>2016</v>
      </c>
      <c r="I322" s="306">
        <f>+IF($H322=I$2,VLOOKUP($G322,Depreciation!$A$14:$L$18,7,FALSE)/2,IF($H322&lt;I$2,VLOOKUP($G322,Depreciation!$A$14:$L$18,7,FALSE),0))</f>
        <v>0</v>
      </c>
      <c r="J322" s="306">
        <f>+IF($H322=J$2,VLOOKUP($G322,Depreciation!$A$14:$L$18,8,FALSE)/2,IF($H322&lt;J$2,VLOOKUP($G322,Depreciation!$A$14:$L$18,8,FALSE),0))</f>
        <v>1.671703928371859E-2</v>
      </c>
      <c r="K322" s="306">
        <f>+IF($H322=K$2,VLOOKUP($G322,Depreciation!$A$14:$L$18,9,FALSE)/2,IF($H322&lt;K$2,VLOOKUP($G322,Depreciation!$A$14:$L$18,9,FALSE),0))</f>
        <v>3.343407856743718E-2</v>
      </c>
      <c r="L322" s="306">
        <f>+IF($H322=L$2,VLOOKUP($G322,Depreciation!$A$14:$L$18,10,FALSE)/2,IF($H322&lt;L$2,VLOOKUP($G322,Depreciation!$A$14:$L$18,10,FALSE),0))</f>
        <v>3.343407856743718E-2</v>
      </c>
      <c r="M322" s="306">
        <f>+IF($H322=M$2,VLOOKUP($G322,Depreciation!$A$14:$L$18,11,FALSE)/2,IF($H322&lt;M$2,VLOOKUP($G322,Depreciation!$A$14:$L$18,11,FALSE),0))</f>
        <v>3.343407856743718E-2</v>
      </c>
      <c r="N322" s="306">
        <f>+IF($H322=N$2,VLOOKUP($G322,Depreciation!$A$14:$L$18,12,FALSE)/2,IF($H322&lt;N$2,VLOOKUP($G322,Depreciation!$A$14:$L$18,12,FALSE),0))</f>
        <v>3.343407856743718E-2</v>
      </c>
      <c r="O322" s="307">
        <f t="shared" si="34"/>
        <v>5159285.6948783305</v>
      </c>
      <c r="P322" s="732">
        <f>'Func Future Subs 2015'!P322</f>
        <v>0</v>
      </c>
      <c r="Q322" s="732">
        <f>'Func Future Subs 2015'!Q322</f>
        <v>1</v>
      </c>
      <c r="R322" s="732">
        <f>'Func Future Subs 2015'!R322</f>
        <v>0</v>
      </c>
      <c r="S322" s="735">
        <f t="shared" si="35"/>
        <v>0</v>
      </c>
      <c r="T322" s="735">
        <f t="shared" si="36"/>
        <v>5159285.6948783305</v>
      </c>
      <c r="U322" s="735">
        <f t="shared" si="37"/>
        <v>0</v>
      </c>
      <c r="V322" s="736">
        <f t="shared" si="38"/>
        <v>0</v>
      </c>
      <c r="W322" s="735">
        <f t="shared" si="39"/>
        <v>0</v>
      </c>
      <c r="X322" s="737">
        <f t="shared" si="40"/>
        <v>0</v>
      </c>
      <c r="Y322" s="738">
        <f t="shared" si="41"/>
        <v>5159285.6948783305</v>
      </c>
    </row>
    <row r="323" spans="1:25">
      <c r="A323" s="754" t="str">
        <f>'Func Future Subs 2015'!A323</f>
        <v>Bohn 931S</v>
      </c>
      <c r="B323" s="754">
        <f>'Func Future Subs 2015'!B323</f>
        <v>1570</v>
      </c>
      <c r="C323" s="754">
        <f>'Func Future Subs 2015'!C323</f>
        <v>240</v>
      </c>
      <c r="D323" s="754">
        <f>'Func Future Subs 2015'!D323</f>
        <v>25</v>
      </c>
      <c r="E323" s="754" t="str">
        <f>'Func Future Subs 2015'!E323</f>
        <v>931S</v>
      </c>
      <c r="F323" s="754">
        <f>'Func Future Subs 2015'!F323</f>
        <v>6197779.730344899</v>
      </c>
      <c r="G323" s="754" t="str">
        <f>'Func Future Subs 2015'!G323</f>
        <v>ATCO</v>
      </c>
      <c r="H323" s="754">
        <f>'Func Future Subs 2015'!H323</f>
        <v>2017</v>
      </c>
      <c r="I323" s="306">
        <f>+IF($H323=I$2,VLOOKUP($G323,Depreciation!$A$14:$L$18,7,FALSE)/2,IF($H323&lt;I$2,VLOOKUP($G323,Depreciation!$A$14:$L$18,7,FALSE),0))</f>
        <v>0</v>
      </c>
      <c r="J323" s="306">
        <f>+IF($H323=J$2,VLOOKUP($G323,Depreciation!$A$14:$L$18,8,FALSE)/2,IF($H323&lt;J$2,VLOOKUP($G323,Depreciation!$A$14:$L$18,8,FALSE),0))</f>
        <v>0</v>
      </c>
      <c r="K323" s="306">
        <f>+IF($H323=K$2,VLOOKUP($G323,Depreciation!$A$14:$L$18,9,FALSE)/2,IF($H323&lt;K$2,VLOOKUP($G323,Depreciation!$A$14:$L$18,9,FALSE),0))</f>
        <v>1.2175768213899416E-2</v>
      </c>
      <c r="L323" s="306">
        <f>+IF($H323=L$2,VLOOKUP($G323,Depreciation!$A$14:$L$18,10,FALSE)/2,IF($H323&lt;L$2,VLOOKUP($G323,Depreciation!$A$14:$L$18,10,FALSE),0))</f>
        <v>2.4351536427798831E-2</v>
      </c>
      <c r="M323" s="306">
        <f>+IF($H323=M$2,VLOOKUP($G323,Depreciation!$A$14:$L$18,11,FALSE)/2,IF($H323&lt;M$2,VLOOKUP($G323,Depreciation!$A$14:$L$18,11,FALSE),0))</f>
        <v>2.4351536427798831E-2</v>
      </c>
      <c r="N323" s="306">
        <f>+IF($H323=N$2,VLOOKUP($G323,Depreciation!$A$14:$L$18,12,FALSE)/2,IF($H323&lt;N$2,VLOOKUP($G323,Depreciation!$A$14:$L$18,12,FALSE),0))</f>
        <v>2.4351536427798831E-2</v>
      </c>
      <c r="O323" s="307">
        <f t="shared" si="34"/>
        <v>0</v>
      </c>
      <c r="P323" s="732">
        <f>'Func Future Subs 2015'!P323</f>
        <v>0</v>
      </c>
      <c r="Q323" s="732">
        <f>'Func Future Subs 2015'!Q323</f>
        <v>1</v>
      </c>
      <c r="R323" s="732">
        <f>'Func Future Subs 2015'!R323</f>
        <v>0</v>
      </c>
      <c r="S323" s="735">
        <f t="shared" si="35"/>
        <v>0</v>
      </c>
      <c r="T323" s="735">
        <f t="shared" si="36"/>
        <v>0</v>
      </c>
      <c r="U323" s="735">
        <f t="shared" si="37"/>
        <v>0</v>
      </c>
      <c r="V323" s="736">
        <f t="shared" si="38"/>
        <v>0</v>
      </c>
      <c r="W323" s="735">
        <f t="shared" si="39"/>
        <v>0</v>
      </c>
      <c r="X323" s="737">
        <f t="shared" si="40"/>
        <v>0</v>
      </c>
      <c r="Y323" s="738">
        <f t="shared" si="41"/>
        <v>0</v>
      </c>
    </row>
    <row r="324" spans="1:25">
      <c r="A324" s="754" t="str">
        <f>'Func Future Subs 2015'!A324</f>
        <v>Mahihkan 837S</v>
      </c>
      <c r="B324" s="754">
        <f>'Func Future Subs 2015'!B324</f>
        <v>1571</v>
      </c>
      <c r="C324" s="754">
        <f>'Func Future Subs 2015'!C324</f>
        <v>138</v>
      </c>
      <c r="D324" s="754">
        <f>'Func Future Subs 2015'!D324</f>
        <v>25</v>
      </c>
      <c r="E324" s="754" t="str">
        <f>'Func Future Subs 2015'!E324</f>
        <v>837S</v>
      </c>
      <c r="F324" s="754">
        <f>'Func Future Subs 2015'!F324</f>
        <v>1810761.9999999988</v>
      </c>
      <c r="G324" s="754" t="str">
        <f>'Func Future Subs 2015'!G324</f>
        <v>ATCO</v>
      </c>
      <c r="H324" s="754">
        <f>'Func Future Subs 2015'!H324</f>
        <v>2017</v>
      </c>
      <c r="I324" s="306">
        <f>+IF($H324=I$2,VLOOKUP($G324,Depreciation!$A$14:$L$18,7,FALSE)/2,IF($H324&lt;I$2,VLOOKUP($G324,Depreciation!$A$14:$L$18,7,FALSE),0))</f>
        <v>0</v>
      </c>
      <c r="J324" s="306">
        <f>+IF($H324=J$2,VLOOKUP($G324,Depreciation!$A$14:$L$18,8,FALSE)/2,IF($H324&lt;J$2,VLOOKUP($G324,Depreciation!$A$14:$L$18,8,FALSE),0))</f>
        <v>0</v>
      </c>
      <c r="K324" s="306">
        <f>+IF($H324=K$2,VLOOKUP($G324,Depreciation!$A$14:$L$18,9,FALSE)/2,IF($H324&lt;K$2,VLOOKUP($G324,Depreciation!$A$14:$L$18,9,FALSE),0))</f>
        <v>1.2175768213899416E-2</v>
      </c>
      <c r="L324" s="306">
        <f>+IF($H324=L$2,VLOOKUP($G324,Depreciation!$A$14:$L$18,10,FALSE)/2,IF($H324&lt;L$2,VLOOKUP($G324,Depreciation!$A$14:$L$18,10,FALSE),0))</f>
        <v>2.4351536427798831E-2</v>
      </c>
      <c r="M324" s="306">
        <f>+IF($H324=M$2,VLOOKUP($G324,Depreciation!$A$14:$L$18,11,FALSE)/2,IF($H324&lt;M$2,VLOOKUP($G324,Depreciation!$A$14:$L$18,11,FALSE),0))</f>
        <v>2.4351536427798831E-2</v>
      </c>
      <c r="N324" s="306">
        <f>+IF($H324=N$2,VLOOKUP($G324,Depreciation!$A$14:$L$18,12,FALSE)/2,IF($H324&lt;N$2,VLOOKUP($G324,Depreciation!$A$14:$L$18,12,FALSE),0))</f>
        <v>2.4351536427798831E-2</v>
      </c>
      <c r="O324" s="307">
        <f t="shared" ref="O324:O354" si="42">IF(H324&lt;=2016,F324*(1-I324)*(1-J324),0)</f>
        <v>0</v>
      </c>
      <c r="P324" s="732">
        <f>'Func Future Subs 2015'!P324</f>
        <v>0</v>
      </c>
      <c r="Q324" s="732">
        <f>'Func Future Subs 2015'!Q324</f>
        <v>1</v>
      </c>
      <c r="R324" s="732">
        <f>'Func Future Subs 2015'!R324</f>
        <v>0</v>
      </c>
      <c r="S324" s="735">
        <f t="shared" ref="S324:S354" si="43">+P324*$O324</f>
        <v>0</v>
      </c>
      <c r="T324" s="735">
        <f t="shared" ref="T324:T354" si="44">+Q324*$O324</f>
        <v>0</v>
      </c>
      <c r="U324" s="735">
        <f t="shared" ref="U324:U354" si="45">+R324*$O324</f>
        <v>0</v>
      </c>
      <c r="V324" s="736">
        <f t="shared" ref="V324:V354" si="46">IF(AND(R324=1,D324=0),O324,0)</f>
        <v>0</v>
      </c>
      <c r="W324" s="735">
        <f t="shared" ref="W324:W354" si="47">S324+IF(D324&gt;144,U324,0)</f>
        <v>0</v>
      </c>
      <c r="X324" s="737">
        <f t="shared" ref="X324:X354" si="48">IF(AND(D324&lt;=144,D324&gt;=69),U324,0)</f>
        <v>0</v>
      </c>
      <c r="Y324" s="738">
        <f t="shared" ref="Y324:Y354" si="49">T324+IF(AND(D324&lt;69,D324&gt;0),U324,0)</f>
        <v>0</v>
      </c>
    </row>
    <row r="325" spans="1:25">
      <c r="A325" s="754" t="str">
        <f>'Func Future Subs 2015'!A325</f>
        <v>Leduc 325S 180D</v>
      </c>
      <c r="B325" s="754">
        <f>'Func Future Subs 2015'!B325</f>
        <v>1574</v>
      </c>
      <c r="C325" s="754">
        <f>'Func Future Subs 2015'!C325</f>
        <v>138</v>
      </c>
      <c r="D325" s="754">
        <f>'Func Future Subs 2015'!D325</f>
        <v>25</v>
      </c>
      <c r="E325" s="754" t="str">
        <f>'Func Future Subs 2015'!E325</f>
        <v>325S</v>
      </c>
      <c r="F325" s="754">
        <f>'Func Future Subs 2015'!F325</f>
        <v>6315643.0000000047</v>
      </c>
      <c r="G325" s="754" t="str">
        <f>'Func Future Subs 2015'!G325</f>
        <v>AltaLink</v>
      </c>
      <c r="H325" s="754">
        <f>'Func Future Subs 2015'!H325</f>
        <v>2016</v>
      </c>
      <c r="I325" s="306">
        <f>+IF($H325=I$2,VLOOKUP($G325,Depreciation!$A$14:$L$18,7,FALSE)/2,IF($H325&lt;I$2,VLOOKUP($G325,Depreciation!$A$14:$L$18,7,FALSE),0))</f>
        <v>0</v>
      </c>
      <c r="J325" s="306">
        <f>+IF($H325=J$2,VLOOKUP($G325,Depreciation!$A$14:$L$18,8,FALSE)/2,IF($H325&lt;J$2,VLOOKUP($G325,Depreciation!$A$14:$L$18,8,FALSE),0))</f>
        <v>1.671703928371859E-2</v>
      </c>
      <c r="K325" s="306">
        <f>+IF($H325=K$2,VLOOKUP($G325,Depreciation!$A$14:$L$18,9,FALSE)/2,IF($H325&lt;K$2,VLOOKUP($G325,Depreciation!$A$14:$L$18,9,FALSE),0))</f>
        <v>3.343407856743718E-2</v>
      </c>
      <c r="L325" s="306">
        <f>+IF($H325=L$2,VLOOKUP($G325,Depreciation!$A$14:$L$18,10,FALSE)/2,IF($H325&lt;L$2,VLOOKUP($G325,Depreciation!$A$14:$L$18,10,FALSE),0))</f>
        <v>3.343407856743718E-2</v>
      </c>
      <c r="M325" s="306">
        <f>+IF($H325=M$2,VLOOKUP($G325,Depreciation!$A$14:$L$18,11,FALSE)/2,IF($H325&lt;M$2,VLOOKUP($G325,Depreciation!$A$14:$L$18,11,FALSE),0))</f>
        <v>3.343407856743718E-2</v>
      </c>
      <c r="N325" s="306">
        <f>+IF($H325=N$2,VLOOKUP($G325,Depreciation!$A$14:$L$18,12,FALSE)/2,IF($H325&lt;N$2,VLOOKUP($G325,Depreciation!$A$14:$L$18,12,FALSE),0))</f>
        <v>3.343407856743718E-2</v>
      </c>
      <c r="O325" s="307">
        <f t="shared" si="42"/>
        <v>6210064.1478670621</v>
      </c>
      <c r="P325" s="732">
        <f>'Func Future Subs 2015'!P325</f>
        <v>0</v>
      </c>
      <c r="Q325" s="732">
        <f>'Func Future Subs 2015'!Q325</f>
        <v>1</v>
      </c>
      <c r="R325" s="732">
        <f>'Func Future Subs 2015'!R325</f>
        <v>0</v>
      </c>
      <c r="S325" s="735">
        <f t="shared" si="43"/>
        <v>0</v>
      </c>
      <c r="T325" s="735">
        <f t="shared" si="44"/>
        <v>6210064.1478670621</v>
      </c>
      <c r="U325" s="735">
        <f t="shared" si="45"/>
        <v>0</v>
      </c>
      <c r="V325" s="736">
        <f t="shared" si="46"/>
        <v>0</v>
      </c>
      <c r="W325" s="735">
        <f t="shared" si="47"/>
        <v>0</v>
      </c>
      <c r="X325" s="737">
        <f t="shared" si="48"/>
        <v>0</v>
      </c>
      <c r="Y325" s="738">
        <f t="shared" si="49"/>
        <v>6210064.1478670621</v>
      </c>
    </row>
    <row r="326" spans="1:25">
      <c r="A326" s="754" t="str">
        <f>'Func Future Subs 2015'!A326</f>
        <v>Modify Vilna 777S</v>
      </c>
      <c r="B326" s="754">
        <f>'Func Future Subs 2015'!B326</f>
        <v>1579</v>
      </c>
      <c r="C326" s="754">
        <f>'Func Future Subs 2015'!C326</f>
        <v>138</v>
      </c>
      <c r="D326" s="754">
        <f>'Func Future Subs 2015'!D326</f>
        <v>25</v>
      </c>
      <c r="E326" s="754" t="str">
        <f>'Func Future Subs 2015'!E326</f>
        <v>777S</v>
      </c>
      <c r="F326" s="754">
        <f>'Func Future Subs 2015'!F326</f>
        <v>196941.99999999985</v>
      </c>
      <c r="G326" s="754" t="str">
        <f>'Func Future Subs 2015'!G326</f>
        <v>ATCO</v>
      </c>
      <c r="H326" s="754">
        <f>'Func Future Subs 2015'!H326</f>
        <v>2015</v>
      </c>
      <c r="I326" s="306">
        <f>+IF($H326=I$2,VLOOKUP($G326,Depreciation!$A$14:$L$18,7,FALSE)/2,IF($H326&lt;I$2,VLOOKUP($G326,Depreciation!$A$14:$L$18,7,FALSE),0))</f>
        <v>1.221703683566912E-2</v>
      </c>
      <c r="J326" s="306">
        <f>+IF($H326=J$2,VLOOKUP($G326,Depreciation!$A$14:$L$18,8,FALSE)/2,IF($H326&lt;J$2,VLOOKUP($G326,Depreciation!$A$14:$L$18,8,FALSE),0))</f>
        <v>2.4632450501084719E-2</v>
      </c>
      <c r="K326" s="306">
        <f>+IF($H326=K$2,VLOOKUP($G326,Depreciation!$A$14:$L$18,9,FALSE)/2,IF($H326&lt;K$2,VLOOKUP($G326,Depreciation!$A$14:$L$18,9,FALSE),0))</f>
        <v>2.4351536427798831E-2</v>
      </c>
      <c r="L326" s="306">
        <f>+IF($H326=L$2,VLOOKUP($G326,Depreciation!$A$14:$L$18,10,FALSE)/2,IF($H326&lt;L$2,VLOOKUP($G326,Depreciation!$A$14:$L$18,10,FALSE),0))</f>
        <v>2.4351536427798831E-2</v>
      </c>
      <c r="M326" s="306">
        <f>+IF($H326=M$2,VLOOKUP($G326,Depreciation!$A$14:$L$18,11,FALSE)/2,IF($H326&lt;M$2,VLOOKUP($G326,Depreciation!$A$14:$L$18,11,FALSE),0))</f>
        <v>2.4351536427798831E-2</v>
      </c>
      <c r="N326" s="306">
        <f>+IF($H326=N$2,VLOOKUP($G326,Depreciation!$A$14:$L$18,12,FALSE)/2,IF($H326&lt;N$2,VLOOKUP($G326,Depreciation!$A$14:$L$18,12,FALSE),0))</f>
        <v>2.4351536427798831E-2</v>
      </c>
      <c r="O326" s="307">
        <f t="shared" si="42"/>
        <v>189744.0551150222</v>
      </c>
      <c r="P326" s="732">
        <f>'Func Future Subs 2015'!P326</f>
        <v>0</v>
      </c>
      <c r="Q326" s="732">
        <f>'Func Future Subs 2015'!Q326</f>
        <v>1</v>
      </c>
      <c r="R326" s="732">
        <f>'Func Future Subs 2015'!R326</f>
        <v>0</v>
      </c>
      <c r="S326" s="735">
        <f t="shared" si="43"/>
        <v>0</v>
      </c>
      <c r="T326" s="735">
        <f t="shared" si="44"/>
        <v>189744.0551150222</v>
      </c>
      <c r="U326" s="735">
        <f t="shared" si="45"/>
        <v>0</v>
      </c>
      <c r="V326" s="736">
        <f t="shared" si="46"/>
        <v>0</v>
      </c>
      <c r="W326" s="735">
        <f t="shared" si="47"/>
        <v>0</v>
      </c>
      <c r="X326" s="737">
        <f t="shared" si="48"/>
        <v>0</v>
      </c>
      <c r="Y326" s="738">
        <f t="shared" si="49"/>
        <v>189744.0551150222</v>
      </c>
    </row>
    <row r="327" spans="1:25">
      <c r="A327" s="754" t="str">
        <f>'Func Future Subs 2015'!A327</f>
        <v>Upgrade Simonette 733S</v>
      </c>
      <c r="B327" s="754">
        <f>'Func Future Subs 2015'!B327</f>
        <v>1581</v>
      </c>
      <c r="C327" s="754">
        <f>'Func Future Subs 2015'!C327</f>
        <v>144</v>
      </c>
      <c r="D327" s="754">
        <f>'Func Future Subs 2015'!D327</f>
        <v>25</v>
      </c>
      <c r="E327" s="754" t="str">
        <f>'Func Future Subs 2015'!E327</f>
        <v>733S</v>
      </c>
      <c r="F327" s="754">
        <f>'Func Future Subs 2015'!F327</f>
        <v>6524690.9999999991</v>
      </c>
      <c r="G327" s="754" t="str">
        <f>'Func Future Subs 2015'!G327</f>
        <v>ATCO</v>
      </c>
      <c r="H327" s="754">
        <f>'Func Future Subs 2015'!H327</f>
        <v>2016</v>
      </c>
      <c r="I327" s="306">
        <f>+IF($H327=I$2,VLOOKUP($G327,Depreciation!$A$14:$L$18,7,FALSE)/2,IF($H327&lt;I$2,VLOOKUP($G327,Depreciation!$A$14:$L$18,7,FALSE),0))</f>
        <v>0</v>
      </c>
      <c r="J327" s="306">
        <f>+IF($H327=J$2,VLOOKUP($G327,Depreciation!$A$14:$L$18,8,FALSE)/2,IF($H327&lt;J$2,VLOOKUP($G327,Depreciation!$A$14:$L$18,8,FALSE),0))</f>
        <v>1.231622525054236E-2</v>
      </c>
      <c r="K327" s="306">
        <f>+IF($H327=K$2,VLOOKUP($G327,Depreciation!$A$14:$L$18,9,FALSE)/2,IF($H327&lt;K$2,VLOOKUP($G327,Depreciation!$A$14:$L$18,9,FALSE),0))</f>
        <v>2.4351536427798831E-2</v>
      </c>
      <c r="L327" s="306">
        <f>+IF($H327=L$2,VLOOKUP($G327,Depreciation!$A$14:$L$18,10,FALSE)/2,IF($H327&lt;L$2,VLOOKUP($G327,Depreciation!$A$14:$L$18,10,FALSE),0))</f>
        <v>2.4351536427798831E-2</v>
      </c>
      <c r="M327" s="306">
        <f>+IF($H327=M$2,VLOOKUP($G327,Depreciation!$A$14:$L$18,11,FALSE)/2,IF($H327&lt;M$2,VLOOKUP($G327,Depreciation!$A$14:$L$18,11,FALSE),0))</f>
        <v>2.4351536427798831E-2</v>
      </c>
      <c r="N327" s="306">
        <f>+IF($H327=N$2,VLOOKUP($G327,Depreciation!$A$14:$L$18,12,FALSE)/2,IF($H327&lt;N$2,VLOOKUP($G327,Depreciation!$A$14:$L$18,12,FALSE),0))</f>
        <v>2.4351536427798831E-2</v>
      </c>
      <c r="O327" s="307">
        <f t="shared" si="42"/>
        <v>6444331.4359538127</v>
      </c>
      <c r="P327" s="732">
        <f>'Func Future Subs 2015'!P327</f>
        <v>0</v>
      </c>
      <c r="Q327" s="732">
        <f>'Func Future Subs 2015'!Q327</f>
        <v>1</v>
      </c>
      <c r="R327" s="732">
        <f>'Func Future Subs 2015'!R327</f>
        <v>0</v>
      </c>
      <c r="S327" s="735">
        <f t="shared" si="43"/>
        <v>0</v>
      </c>
      <c r="T327" s="735">
        <f t="shared" si="44"/>
        <v>6444331.4359538127</v>
      </c>
      <c r="U327" s="735">
        <f t="shared" si="45"/>
        <v>0</v>
      </c>
      <c r="V327" s="736">
        <f t="shared" si="46"/>
        <v>0</v>
      </c>
      <c r="W327" s="735">
        <f t="shared" si="47"/>
        <v>0</v>
      </c>
      <c r="X327" s="737">
        <f t="shared" si="48"/>
        <v>0</v>
      </c>
      <c r="Y327" s="738">
        <f t="shared" si="49"/>
        <v>6444331.4359538127</v>
      </c>
    </row>
    <row r="328" spans="1:25">
      <c r="A328" s="754" t="str">
        <f>'Func Future Subs 2015'!A328</f>
        <v>Jarrow 252S</v>
      </c>
      <c r="B328" s="754">
        <f>'Func Future Subs 2015'!B328</f>
        <v>1594</v>
      </c>
      <c r="C328" s="754">
        <f>'Func Future Subs 2015'!C328</f>
        <v>138</v>
      </c>
      <c r="D328" s="754">
        <f>'Func Future Subs 2015'!D328</f>
        <v>25</v>
      </c>
      <c r="E328" s="754" t="str">
        <f>'Func Future Subs 2015'!E328</f>
        <v>252S</v>
      </c>
      <c r="F328" s="754">
        <f>'Func Future Subs 2015'!F328</f>
        <v>13928.712350388019</v>
      </c>
      <c r="G328" s="754" t="str">
        <f>'Func Future Subs 2015'!G328</f>
        <v>AltaLink</v>
      </c>
      <c r="H328" s="754">
        <f>'Func Future Subs 2015'!H328</f>
        <v>2018</v>
      </c>
      <c r="I328" s="306">
        <f>+IF($H328=I$2,VLOOKUP($G328,Depreciation!$A$14:$L$18,7,FALSE)/2,IF($H328&lt;I$2,VLOOKUP($G328,Depreciation!$A$14:$L$18,7,FALSE),0))</f>
        <v>0</v>
      </c>
      <c r="J328" s="306">
        <f>+IF($H328=J$2,VLOOKUP($G328,Depreciation!$A$14:$L$18,8,FALSE)/2,IF($H328&lt;J$2,VLOOKUP($G328,Depreciation!$A$14:$L$18,8,FALSE),0))</f>
        <v>0</v>
      </c>
      <c r="K328" s="306">
        <f>+IF($H328=K$2,VLOOKUP($G328,Depreciation!$A$14:$L$18,9,FALSE)/2,IF($H328&lt;K$2,VLOOKUP($G328,Depreciation!$A$14:$L$18,9,FALSE),0))</f>
        <v>0</v>
      </c>
      <c r="L328" s="306">
        <f>+IF($H328=L$2,VLOOKUP($G328,Depreciation!$A$14:$L$18,10,FALSE)/2,IF($H328&lt;L$2,VLOOKUP($G328,Depreciation!$A$14:$L$18,10,FALSE),0))</f>
        <v>1.671703928371859E-2</v>
      </c>
      <c r="M328" s="306">
        <f>+IF($H328=M$2,VLOOKUP($G328,Depreciation!$A$14:$L$18,11,FALSE)/2,IF($H328&lt;M$2,VLOOKUP($G328,Depreciation!$A$14:$L$18,11,FALSE),0))</f>
        <v>3.343407856743718E-2</v>
      </c>
      <c r="N328" s="306">
        <f>+IF($H328=N$2,VLOOKUP($G328,Depreciation!$A$14:$L$18,12,FALSE)/2,IF($H328&lt;N$2,VLOOKUP($G328,Depreciation!$A$14:$L$18,12,FALSE),0))</f>
        <v>3.343407856743718E-2</v>
      </c>
      <c r="O328" s="307">
        <f t="shared" si="42"/>
        <v>0</v>
      </c>
      <c r="P328" s="732">
        <f>'Func Future Subs 2015'!P328</f>
        <v>0</v>
      </c>
      <c r="Q328" s="732">
        <f>'Func Future Subs 2015'!Q328</f>
        <v>1</v>
      </c>
      <c r="R328" s="732">
        <f>'Func Future Subs 2015'!R328</f>
        <v>0</v>
      </c>
      <c r="S328" s="735">
        <f t="shared" si="43"/>
        <v>0</v>
      </c>
      <c r="T328" s="735">
        <f t="shared" si="44"/>
        <v>0</v>
      </c>
      <c r="U328" s="735">
        <f t="shared" si="45"/>
        <v>0</v>
      </c>
      <c r="V328" s="736">
        <f t="shared" si="46"/>
        <v>0</v>
      </c>
      <c r="W328" s="735">
        <f t="shared" si="47"/>
        <v>0</v>
      </c>
      <c r="X328" s="737">
        <f t="shared" si="48"/>
        <v>0</v>
      </c>
      <c r="Y328" s="738">
        <f t="shared" si="49"/>
        <v>0</v>
      </c>
    </row>
    <row r="329" spans="1:25">
      <c r="A329" s="754" t="str">
        <f>'Func Future Subs 2015'!A329</f>
        <v>Tucuman 478S</v>
      </c>
      <c r="B329" s="754">
        <f>'Func Future Subs 2015'!B329</f>
        <v>1594</v>
      </c>
      <c r="C329" s="754">
        <f>'Func Future Subs 2015'!C329</f>
        <v>138</v>
      </c>
      <c r="D329" s="754">
        <f>'Func Future Subs 2015'!D329</f>
        <v>25</v>
      </c>
      <c r="E329" s="754" t="str">
        <f>'Func Future Subs 2015'!E329</f>
        <v>478S</v>
      </c>
      <c r="F329" s="754">
        <f>'Func Future Subs 2015'!F329</f>
        <v>13928.712350388019</v>
      </c>
      <c r="G329" s="754" t="str">
        <f>'Func Future Subs 2015'!G329</f>
        <v>AltaLink</v>
      </c>
      <c r="H329" s="754">
        <f>'Func Future Subs 2015'!H329</f>
        <v>2018</v>
      </c>
      <c r="I329" s="306">
        <f>+IF($H329=I$2,VLOOKUP($G329,Depreciation!$A$14:$L$18,7,FALSE)/2,IF($H329&lt;I$2,VLOOKUP($G329,Depreciation!$A$14:$L$18,7,FALSE),0))</f>
        <v>0</v>
      </c>
      <c r="J329" s="306">
        <f>+IF($H329=J$2,VLOOKUP($G329,Depreciation!$A$14:$L$18,8,FALSE)/2,IF($H329&lt;J$2,VLOOKUP($G329,Depreciation!$A$14:$L$18,8,FALSE),0))</f>
        <v>0</v>
      </c>
      <c r="K329" s="306">
        <f>+IF($H329=K$2,VLOOKUP($G329,Depreciation!$A$14:$L$18,9,FALSE)/2,IF($H329&lt;K$2,VLOOKUP($G329,Depreciation!$A$14:$L$18,9,FALSE),0))</f>
        <v>0</v>
      </c>
      <c r="L329" s="306">
        <f>+IF($H329=L$2,VLOOKUP($G329,Depreciation!$A$14:$L$18,10,FALSE)/2,IF($H329&lt;L$2,VLOOKUP($G329,Depreciation!$A$14:$L$18,10,FALSE),0))</f>
        <v>1.671703928371859E-2</v>
      </c>
      <c r="M329" s="306">
        <f>+IF($H329=M$2,VLOOKUP($G329,Depreciation!$A$14:$L$18,11,FALSE)/2,IF($H329&lt;M$2,VLOOKUP($G329,Depreciation!$A$14:$L$18,11,FALSE),0))</f>
        <v>3.343407856743718E-2</v>
      </c>
      <c r="N329" s="306">
        <f>+IF($H329=N$2,VLOOKUP($G329,Depreciation!$A$14:$L$18,12,FALSE)/2,IF($H329&lt;N$2,VLOOKUP($G329,Depreciation!$A$14:$L$18,12,FALSE),0))</f>
        <v>3.343407856743718E-2</v>
      </c>
      <c r="O329" s="307">
        <f t="shared" si="42"/>
        <v>0</v>
      </c>
      <c r="P329" s="732">
        <f>'Func Future Subs 2015'!P329</f>
        <v>0</v>
      </c>
      <c r="Q329" s="732">
        <f>'Func Future Subs 2015'!Q329</f>
        <v>1</v>
      </c>
      <c r="R329" s="732">
        <f>'Func Future Subs 2015'!R329</f>
        <v>0</v>
      </c>
      <c r="S329" s="735">
        <f t="shared" si="43"/>
        <v>0</v>
      </c>
      <c r="T329" s="735">
        <f t="shared" si="44"/>
        <v>0</v>
      </c>
      <c r="U329" s="735">
        <f t="shared" si="45"/>
        <v>0</v>
      </c>
      <c r="V329" s="736">
        <f t="shared" si="46"/>
        <v>0</v>
      </c>
      <c r="W329" s="735">
        <f t="shared" si="47"/>
        <v>0</v>
      </c>
      <c r="X329" s="737">
        <f t="shared" si="48"/>
        <v>0</v>
      </c>
      <c r="Y329" s="738">
        <f t="shared" si="49"/>
        <v>0</v>
      </c>
    </row>
    <row r="330" spans="1:25">
      <c r="A330" s="754" t="str">
        <f>'Func Future Subs 2015'!A330</f>
        <v>Wainwright 51S</v>
      </c>
      <c r="B330" s="754">
        <f>'Func Future Subs 2015'!B330</f>
        <v>1594</v>
      </c>
      <c r="C330" s="754">
        <f>'Func Future Subs 2015'!C330</f>
        <v>138</v>
      </c>
      <c r="D330" s="754">
        <f>'Func Future Subs 2015'!D330</f>
        <v>25</v>
      </c>
      <c r="E330" s="754" t="str">
        <f>'Func Future Subs 2015'!E330</f>
        <v>51S</v>
      </c>
      <c r="F330" s="754">
        <f>'Func Future Subs 2015'!F330</f>
        <v>3535571.4849401587</v>
      </c>
      <c r="G330" s="754" t="str">
        <f>'Func Future Subs 2015'!G330</f>
        <v>AltaLink</v>
      </c>
      <c r="H330" s="754">
        <f>'Func Future Subs 2015'!H330</f>
        <v>2018</v>
      </c>
      <c r="I330" s="306">
        <f>+IF($H330=I$2,VLOOKUP($G330,Depreciation!$A$14:$L$18,7,FALSE)/2,IF($H330&lt;I$2,VLOOKUP($G330,Depreciation!$A$14:$L$18,7,FALSE),0))</f>
        <v>0</v>
      </c>
      <c r="J330" s="306">
        <f>+IF($H330=J$2,VLOOKUP($G330,Depreciation!$A$14:$L$18,8,FALSE)/2,IF($H330&lt;J$2,VLOOKUP($G330,Depreciation!$A$14:$L$18,8,FALSE),0))</f>
        <v>0</v>
      </c>
      <c r="K330" s="306">
        <f>+IF($H330=K$2,VLOOKUP($G330,Depreciation!$A$14:$L$18,9,FALSE)/2,IF($H330&lt;K$2,VLOOKUP($G330,Depreciation!$A$14:$L$18,9,FALSE),0))</f>
        <v>0</v>
      </c>
      <c r="L330" s="306">
        <f>+IF($H330=L$2,VLOOKUP($G330,Depreciation!$A$14:$L$18,10,FALSE)/2,IF($H330&lt;L$2,VLOOKUP($G330,Depreciation!$A$14:$L$18,10,FALSE),0))</f>
        <v>1.671703928371859E-2</v>
      </c>
      <c r="M330" s="306">
        <f>+IF($H330=M$2,VLOOKUP($G330,Depreciation!$A$14:$L$18,11,FALSE)/2,IF($H330&lt;M$2,VLOOKUP($G330,Depreciation!$A$14:$L$18,11,FALSE),0))</f>
        <v>3.343407856743718E-2</v>
      </c>
      <c r="N330" s="306">
        <f>+IF($H330=N$2,VLOOKUP($G330,Depreciation!$A$14:$L$18,12,FALSE)/2,IF($H330&lt;N$2,VLOOKUP($G330,Depreciation!$A$14:$L$18,12,FALSE),0))</f>
        <v>3.343407856743718E-2</v>
      </c>
      <c r="O330" s="307">
        <f t="shared" si="42"/>
        <v>0</v>
      </c>
      <c r="P330" s="732">
        <f>'Func Future Subs 2015'!P330</f>
        <v>0</v>
      </c>
      <c r="Q330" s="732">
        <f>'Func Future Subs 2015'!Q330</f>
        <v>1</v>
      </c>
      <c r="R330" s="732">
        <f>'Func Future Subs 2015'!R330</f>
        <v>0</v>
      </c>
      <c r="S330" s="735">
        <f t="shared" si="43"/>
        <v>0</v>
      </c>
      <c r="T330" s="735">
        <f t="shared" si="44"/>
        <v>0</v>
      </c>
      <c r="U330" s="735">
        <f t="shared" si="45"/>
        <v>0</v>
      </c>
      <c r="V330" s="736">
        <f t="shared" si="46"/>
        <v>0</v>
      </c>
      <c r="W330" s="735">
        <f t="shared" si="47"/>
        <v>0</v>
      </c>
      <c r="X330" s="737">
        <f t="shared" si="48"/>
        <v>0</v>
      </c>
      <c r="Y330" s="738">
        <f t="shared" si="49"/>
        <v>0</v>
      </c>
    </row>
    <row r="331" spans="1:25">
      <c r="A331" s="754" t="str">
        <f>'Func Future Subs 2015'!A331</f>
        <v>Fortis Broadmoor 420S</v>
      </c>
      <c r="B331" s="754">
        <f>'Func Future Subs 2015'!B331</f>
        <v>1597</v>
      </c>
      <c r="C331" s="754">
        <f>'Func Future Subs 2015'!C331</f>
        <v>138</v>
      </c>
      <c r="D331" s="754">
        <f>'Func Future Subs 2015'!D331</f>
        <v>25</v>
      </c>
      <c r="E331" s="754" t="str">
        <f>'Func Future Subs 2015'!E331</f>
        <v>420S</v>
      </c>
      <c r="F331" s="754">
        <f>'Func Future Subs 2015'!F331</f>
        <v>5892730</v>
      </c>
      <c r="G331" s="754" t="str">
        <f>'Func Future Subs 2015'!G331</f>
        <v>AltaLink</v>
      </c>
      <c r="H331" s="754">
        <f>'Func Future Subs 2015'!H331</f>
        <v>2016</v>
      </c>
      <c r="I331" s="306">
        <f>+IF($H331=I$2,VLOOKUP($G331,Depreciation!$A$14:$L$18,7,FALSE)/2,IF($H331&lt;I$2,VLOOKUP($G331,Depreciation!$A$14:$L$18,7,FALSE),0))</f>
        <v>0</v>
      </c>
      <c r="J331" s="306">
        <f>+IF($H331=J$2,VLOOKUP($G331,Depreciation!$A$14:$L$18,8,FALSE)/2,IF($H331&lt;J$2,VLOOKUP($G331,Depreciation!$A$14:$L$18,8,FALSE),0))</f>
        <v>1.671703928371859E-2</v>
      </c>
      <c r="K331" s="306">
        <f>+IF($H331=K$2,VLOOKUP($G331,Depreciation!$A$14:$L$18,9,FALSE)/2,IF($H331&lt;K$2,VLOOKUP($G331,Depreciation!$A$14:$L$18,9,FALSE),0))</f>
        <v>3.343407856743718E-2</v>
      </c>
      <c r="L331" s="306">
        <f>+IF($H331=L$2,VLOOKUP($G331,Depreciation!$A$14:$L$18,10,FALSE)/2,IF($H331&lt;L$2,VLOOKUP($G331,Depreciation!$A$14:$L$18,10,FALSE),0))</f>
        <v>3.343407856743718E-2</v>
      </c>
      <c r="M331" s="306">
        <f>+IF($H331=M$2,VLOOKUP($G331,Depreciation!$A$14:$L$18,11,FALSE)/2,IF($H331&lt;M$2,VLOOKUP($G331,Depreciation!$A$14:$L$18,11,FALSE),0))</f>
        <v>3.343407856743718E-2</v>
      </c>
      <c r="N331" s="306">
        <f>+IF($H331=N$2,VLOOKUP($G331,Depreciation!$A$14:$L$18,12,FALSE)/2,IF($H331&lt;N$2,VLOOKUP($G331,Depreciation!$A$14:$L$18,12,FALSE),0))</f>
        <v>3.343407856743718E-2</v>
      </c>
      <c r="O331" s="307">
        <f t="shared" si="42"/>
        <v>5794221.0011016531</v>
      </c>
      <c r="P331" s="732">
        <f>'Func Future Subs 2015'!P331</f>
        <v>0</v>
      </c>
      <c r="Q331" s="732">
        <f>'Func Future Subs 2015'!Q331</f>
        <v>1</v>
      </c>
      <c r="R331" s="732">
        <f>'Func Future Subs 2015'!R331</f>
        <v>0</v>
      </c>
      <c r="S331" s="735">
        <f t="shared" si="43"/>
        <v>0</v>
      </c>
      <c r="T331" s="735">
        <f t="shared" si="44"/>
        <v>5794221.0011016531</v>
      </c>
      <c r="U331" s="735">
        <f t="shared" si="45"/>
        <v>0</v>
      </c>
      <c r="V331" s="736">
        <f t="shared" si="46"/>
        <v>0</v>
      </c>
      <c r="W331" s="735">
        <f t="shared" si="47"/>
        <v>0</v>
      </c>
      <c r="X331" s="737">
        <f t="shared" si="48"/>
        <v>0</v>
      </c>
      <c r="Y331" s="738">
        <f t="shared" si="49"/>
        <v>5794221.0011016531</v>
      </c>
    </row>
    <row r="332" spans="1:25">
      <c r="A332" s="754" t="str">
        <f>'Func Future Subs 2015'!A332</f>
        <v>Upgrade Broadmoor 420S</v>
      </c>
      <c r="B332" s="754">
        <f>'Func Future Subs 2015'!B332</f>
        <v>1597</v>
      </c>
      <c r="C332" s="754">
        <f>'Func Future Subs 2015'!C332</f>
        <v>138</v>
      </c>
      <c r="D332" s="754">
        <f>'Func Future Subs 2015'!D332</f>
        <v>25</v>
      </c>
      <c r="E332" s="754" t="str">
        <f>'Func Future Subs 2015'!E332</f>
        <v>420S</v>
      </c>
      <c r="F332" s="754">
        <f>'Func Future Subs 2015'!F332</f>
        <v>4899999.9999999991</v>
      </c>
      <c r="G332" s="754" t="str">
        <f>'Func Future Subs 2015'!G332</f>
        <v>AltaLink</v>
      </c>
      <c r="H332" s="754">
        <f>'Func Future Subs 2015'!H332</f>
        <v>2016</v>
      </c>
      <c r="I332" s="306">
        <f>+IF($H332=I$2,VLOOKUP($G332,Depreciation!$A$14:$L$18,7,FALSE)/2,IF($H332&lt;I$2,VLOOKUP($G332,Depreciation!$A$14:$L$18,7,FALSE),0))</f>
        <v>0</v>
      </c>
      <c r="J332" s="306">
        <f>+IF($H332=J$2,VLOOKUP($G332,Depreciation!$A$14:$L$18,8,FALSE)/2,IF($H332&lt;J$2,VLOOKUP($G332,Depreciation!$A$14:$L$18,8,FALSE),0))</f>
        <v>1.671703928371859E-2</v>
      </c>
      <c r="K332" s="306">
        <f>+IF($H332=K$2,VLOOKUP($G332,Depreciation!$A$14:$L$18,9,FALSE)/2,IF($H332&lt;K$2,VLOOKUP($G332,Depreciation!$A$14:$L$18,9,FALSE),0))</f>
        <v>3.343407856743718E-2</v>
      </c>
      <c r="L332" s="306">
        <f>+IF($H332=L$2,VLOOKUP($G332,Depreciation!$A$14:$L$18,10,FALSE)/2,IF($H332&lt;L$2,VLOOKUP($G332,Depreciation!$A$14:$L$18,10,FALSE),0))</f>
        <v>3.343407856743718E-2</v>
      </c>
      <c r="M332" s="306">
        <f>+IF($H332=M$2,VLOOKUP($G332,Depreciation!$A$14:$L$18,11,FALSE)/2,IF($H332&lt;M$2,VLOOKUP($G332,Depreciation!$A$14:$L$18,11,FALSE),0))</f>
        <v>3.343407856743718E-2</v>
      </c>
      <c r="N332" s="306">
        <f>+IF($H332=N$2,VLOOKUP($G332,Depreciation!$A$14:$L$18,12,FALSE)/2,IF($H332&lt;N$2,VLOOKUP($G332,Depreciation!$A$14:$L$18,12,FALSE),0))</f>
        <v>3.343407856743718E-2</v>
      </c>
      <c r="O332" s="307">
        <f t="shared" si="42"/>
        <v>4818086.5075097783</v>
      </c>
      <c r="P332" s="732">
        <f>'Func Future Subs 2015'!P332</f>
        <v>0</v>
      </c>
      <c r="Q332" s="732">
        <f>'Func Future Subs 2015'!Q332</f>
        <v>1</v>
      </c>
      <c r="R332" s="732">
        <f>'Func Future Subs 2015'!R332</f>
        <v>0</v>
      </c>
      <c r="S332" s="735">
        <f t="shared" si="43"/>
        <v>0</v>
      </c>
      <c r="T332" s="735">
        <f t="shared" si="44"/>
        <v>4818086.5075097783</v>
      </c>
      <c r="U332" s="735">
        <f t="shared" si="45"/>
        <v>0</v>
      </c>
      <c r="V332" s="736">
        <f t="shared" si="46"/>
        <v>0</v>
      </c>
      <c r="W332" s="735">
        <f t="shared" si="47"/>
        <v>0</v>
      </c>
      <c r="X332" s="737">
        <f t="shared" si="48"/>
        <v>0</v>
      </c>
      <c r="Y332" s="738">
        <f t="shared" si="49"/>
        <v>4818086.5075097783</v>
      </c>
    </row>
    <row r="333" spans="1:25">
      <c r="A333" s="754" t="str">
        <f>'Func Future Subs 2015'!A333</f>
        <v>Fox Creek 741S</v>
      </c>
      <c r="B333" s="754">
        <f>'Func Future Subs 2015'!B333</f>
        <v>1616</v>
      </c>
      <c r="C333" s="754">
        <f>'Func Future Subs 2015'!C333</f>
        <v>138</v>
      </c>
      <c r="D333" s="754">
        <f>'Func Future Subs 2015'!D333</f>
        <v>25</v>
      </c>
      <c r="E333" s="754" t="str">
        <f>'Func Future Subs 2015'!E333</f>
        <v>741S</v>
      </c>
      <c r="F333" s="754">
        <f>'Func Future Subs 2015'!F333</f>
        <v>1395036.0000000014</v>
      </c>
      <c r="G333" s="754" t="str">
        <f>'Func Future Subs 2015'!G333</f>
        <v>ATCO</v>
      </c>
      <c r="H333" s="754">
        <f>'Func Future Subs 2015'!H333</f>
        <v>2016</v>
      </c>
      <c r="I333" s="306">
        <f>+IF($H333=I$2,VLOOKUP($G333,Depreciation!$A$14:$L$18,7,FALSE)/2,IF($H333&lt;I$2,VLOOKUP($G333,Depreciation!$A$14:$L$18,7,FALSE),0))</f>
        <v>0</v>
      </c>
      <c r="J333" s="306">
        <f>+IF($H333=J$2,VLOOKUP($G333,Depreciation!$A$14:$L$18,8,FALSE)/2,IF($H333&lt;J$2,VLOOKUP($G333,Depreciation!$A$14:$L$18,8,FALSE),0))</f>
        <v>1.231622525054236E-2</v>
      </c>
      <c r="K333" s="306">
        <f>+IF($H333=K$2,VLOOKUP($G333,Depreciation!$A$14:$L$18,9,FALSE)/2,IF($H333&lt;K$2,VLOOKUP($G333,Depreciation!$A$14:$L$18,9,FALSE),0))</f>
        <v>2.4351536427798831E-2</v>
      </c>
      <c r="L333" s="306">
        <f>+IF($H333=L$2,VLOOKUP($G333,Depreciation!$A$14:$L$18,10,FALSE)/2,IF($H333&lt;L$2,VLOOKUP($G333,Depreciation!$A$14:$L$18,10,FALSE),0))</f>
        <v>2.4351536427798831E-2</v>
      </c>
      <c r="M333" s="306">
        <f>+IF($H333=M$2,VLOOKUP($G333,Depreciation!$A$14:$L$18,11,FALSE)/2,IF($H333&lt;M$2,VLOOKUP($G333,Depreciation!$A$14:$L$18,11,FALSE),0))</f>
        <v>2.4351536427798831E-2</v>
      </c>
      <c r="N333" s="306">
        <f>+IF($H333=N$2,VLOOKUP($G333,Depreciation!$A$14:$L$18,12,FALSE)/2,IF($H333&lt;N$2,VLOOKUP($G333,Depreciation!$A$14:$L$18,12,FALSE),0))</f>
        <v>2.4351536427798831E-2</v>
      </c>
      <c r="O333" s="307">
        <f t="shared" si="42"/>
        <v>1377854.4223913858</v>
      </c>
      <c r="P333" s="732">
        <f>'Func Future Subs 2015'!P333</f>
        <v>0</v>
      </c>
      <c r="Q333" s="732">
        <f>'Func Future Subs 2015'!Q333</f>
        <v>1</v>
      </c>
      <c r="R333" s="732">
        <f>'Func Future Subs 2015'!R333</f>
        <v>0</v>
      </c>
      <c r="S333" s="735">
        <f t="shared" si="43"/>
        <v>0</v>
      </c>
      <c r="T333" s="735">
        <f t="shared" si="44"/>
        <v>1377854.4223913858</v>
      </c>
      <c r="U333" s="735">
        <f t="shared" si="45"/>
        <v>0</v>
      </c>
      <c r="V333" s="736">
        <f t="shared" si="46"/>
        <v>0</v>
      </c>
      <c r="W333" s="735">
        <f t="shared" si="47"/>
        <v>0</v>
      </c>
      <c r="X333" s="737">
        <f t="shared" si="48"/>
        <v>0</v>
      </c>
      <c r="Y333" s="738">
        <f t="shared" si="49"/>
        <v>1377854.4223913858</v>
      </c>
    </row>
    <row r="334" spans="1:25">
      <c r="A334" s="754" t="str">
        <f>'Func Future Subs 2015'!A334</f>
        <v>Clairmont Lake 811S</v>
      </c>
      <c r="B334" s="754">
        <f>'Func Future Subs 2015'!B334</f>
        <v>1618</v>
      </c>
      <c r="C334" s="754">
        <f>'Func Future Subs 2015'!C334</f>
        <v>138</v>
      </c>
      <c r="D334" s="754">
        <f>'Func Future Subs 2015'!D334</f>
        <v>138</v>
      </c>
      <c r="E334" s="754" t="str">
        <f>'Func Future Subs 2015'!E334</f>
        <v>811S</v>
      </c>
      <c r="F334" s="754">
        <f>'Func Future Subs 2015'!F334</f>
        <v>400830.59344754874</v>
      </c>
      <c r="G334" s="754" t="str">
        <f>'Func Future Subs 2015'!G334</f>
        <v>ATCO</v>
      </c>
      <c r="H334" s="754">
        <f>'Func Future Subs 2015'!H334</f>
        <v>2017</v>
      </c>
      <c r="I334" s="306">
        <f>+IF($H334=I$2,VLOOKUP($G334,Depreciation!$A$14:$L$18,7,FALSE)/2,IF($H334&lt;I$2,VLOOKUP($G334,Depreciation!$A$14:$L$18,7,FALSE),0))</f>
        <v>0</v>
      </c>
      <c r="J334" s="306">
        <f>+IF($H334=J$2,VLOOKUP($G334,Depreciation!$A$14:$L$18,8,FALSE)/2,IF($H334&lt;J$2,VLOOKUP($G334,Depreciation!$A$14:$L$18,8,FALSE),0))</f>
        <v>0</v>
      </c>
      <c r="K334" s="306">
        <f>+IF($H334=K$2,VLOOKUP($G334,Depreciation!$A$14:$L$18,9,FALSE)/2,IF($H334&lt;K$2,VLOOKUP($G334,Depreciation!$A$14:$L$18,9,FALSE),0))</f>
        <v>1.2175768213899416E-2</v>
      </c>
      <c r="L334" s="306">
        <f>+IF($H334=L$2,VLOOKUP($G334,Depreciation!$A$14:$L$18,10,FALSE)/2,IF($H334&lt;L$2,VLOOKUP($G334,Depreciation!$A$14:$L$18,10,FALSE),0))</f>
        <v>2.4351536427798831E-2</v>
      </c>
      <c r="M334" s="306">
        <f>+IF($H334=M$2,VLOOKUP($G334,Depreciation!$A$14:$L$18,11,FALSE)/2,IF($H334&lt;M$2,VLOOKUP($G334,Depreciation!$A$14:$L$18,11,FALSE),0))</f>
        <v>2.4351536427798831E-2</v>
      </c>
      <c r="N334" s="306">
        <f>+IF($H334=N$2,VLOOKUP($G334,Depreciation!$A$14:$L$18,12,FALSE)/2,IF($H334&lt;N$2,VLOOKUP($G334,Depreciation!$A$14:$L$18,12,FALSE),0))</f>
        <v>2.4351536427798831E-2</v>
      </c>
      <c r="O334" s="307">
        <f t="shared" si="42"/>
        <v>0</v>
      </c>
      <c r="P334" s="732">
        <f>'Func Future Subs 2015'!P334</f>
        <v>0</v>
      </c>
      <c r="Q334" s="732">
        <f>'Func Future Subs 2015'!Q334</f>
        <v>0</v>
      </c>
      <c r="R334" s="732">
        <f>'Func Future Subs 2015'!R334</f>
        <v>1</v>
      </c>
      <c r="S334" s="735">
        <f t="shared" si="43"/>
        <v>0</v>
      </c>
      <c r="T334" s="735">
        <f t="shared" si="44"/>
        <v>0</v>
      </c>
      <c r="U334" s="735">
        <f t="shared" si="45"/>
        <v>0</v>
      </c>
      <c r="V334" s="736">
        <f t="shared" si="46"/>
        <v>0</v>
      </c>
      <c r="W334" s="735">
        <f t="shared" si="47"/>
        <v>0</v>
      </c>
      <c r="X334" s="737">
        <f t="shared" si="48"/>
        <v>0</v>
      </c>
      <c r="Y334" s="738">
        <f t="shared" si="49"/>
        <v>0</v>
      </c>
    </row>
    <row r="335" spans="1:25">
      <c r="A335" s="754" t="str">
        <f>'Func Future Subs 2015'!A335</f>
        <v>Mowat 233S</v>
      </c>
      <c r="B335" s="754">
        <f>'Func Future Subs 2015'!B335</f>
        <v>1618</v>
      </c>
      <c r="C335" s="754">
        <f>'Func Future Subs 2015'!C335</f>
        <v>144</v>
      </c>
      <c r="D335" s="754">
        <f>'Func Future Subs 2015'!D335</f>
        <v>25</v>
      </c>
      <c r="E335" s="754" t="str">
        <f>'Func Future Subs 2015'!E335</f>
        <v>233S</v>
      </c>
      <c r="F335" s="754">
        <f>'Func Future Subs 2015'!F335</f>
        <v>13185051.811204772</v>
      </c>
      <c r="G335" s="754" t="str">
        <f>'Func Future Subs 2015'!G335</f>
        <v>ATCO</v>
      </c>
      <c r="H335" s="754">
        <f>'Func Future Subs 2015'!H335</f>
        <v>2017</v>
      </c>
      <c r="I335" s="306">
        <f>+IF($H335=I$2,VLOOKUP($G335,Depreciation!$A$14:$L$18,7,FALSE)/2,IF($H335&lt;I$2,VLOOKUP($G335,Depreciation!$A$14:$L$18,7,FALSE),0))</f>
        <v>0</v>
      </c>
      <c r="J335" s="306">
        <f>+IF($H335=J$2,VLOOKUP($G335,Depreciation!$A$14:$L$18,8,FALSE)/2,IF($H335&lt;J$2,VLOOKUP($G335,Depreciation!$A$14:$L$18,8,FALSE),0))</f>
        <v>0</v>
      </c>
      <c r="K335" s="306">
        <f>+IF($H335=K$2,VLOOKUP($G335,Depreciation!$A$14:$L$18,9,FALSE)/2,IF($H335&lt;K$2,VLOOKUP($G335,Depreciation!$A$14:$L$18,9,FALSE),0))</f>
        <v>1.2175768213899416E-2</v>
      </c>
      <c r="L335" s="306">
        <f>+IF($H335=L$2,VLOOKUP($G335,Depreciation!$A$14:$L$18,10,FALSE)/2,IF($H335&lt;L$2,VLOOKUP($G335,Depreciation!$A$14:$L$18,10,FALSE),0))</f>
        <v>2.4351536427798831E-2</v>
      </c>
      <c r="M335" s="306">
        <f>+IF($H335=M$2,VLOOKUP($G335,Depreciation!$A$14:$L$18,11,FALSE)/2,IF($H335&lt;M$2,VLOOKUP($G335,Depreciation!$A$14:$L$18,11,FALSE),0))</f>
        <v>2.4351536427798831E-2</v>
      </c>
      <c r="N335" s="306">
        <f>+IF($H335=N$2,VLOOKUP($G335,Depreciation!$A$14:$L$18,12,FALSE)/2,IF($H335&lt;N$2,VLOOKUP($G335,Depreciation!$A$14:$L$18,12,FALSE),0))</f>
        <v>2.4351536427798831E-2</v>
      </c>
      <c r="O335" s="307">
        <f t="shared" si="42"/>
        <v>0</v>
      </c>
      <c r="P335" s="732">
        <f>'Func Future Subs 2015'!P335</f>
        <v>0</v>
      </c>
      <c r="Q335" s="732">
        <f>'Func Future Subs 2015'!Q335</f>
        <v>1</v>
      </c>
      <c r="R335" s="732">
        <f>'Func Future Subs 2015'!R335</f>
        <v>0</v>
      </c>
      <c r="S335" s="735">
        <f t="shared" si="43"/>
        <v>0</v>
      </c>
      <c r="T335" s="735">
        <f t="shared" si="44"/>
        <v>0</v>
      </c>
      <c r="U335" s="735">
        <f t="shared" si="45"/>
        <v>0</v>
      </c>
      <c r="V335" s="736">
        <f t="shared" si="46"/>
        <v>0</v>
      </c>
      <c r="W335" s="735">
        <f t="shared" si="47"/>
        <v>0</v>
      </c>
      <c r="X335" s="737">
        <f t="shared" si="48"/>
        <v>0</v>
      </c>
      <c r="Y335" s="738">
        <f t="shared" si="49"/>
        <v>0</v>
      </c>
    </row>
    <row r="336" spans="1:25">
      <c r="A336" s="754" t="str">
        <f>'Func Future Subs 2015'!A336</f>
        <v xml:space="preserve">Rycroft 730S </v>
      </c>
      <c r="B336" s="754">
        <f>'Func Future Subs 2015'!B336</f>
        <v>1618</v>
      </c>
      <c r="C336" s="754">
        <f>'Func Future Subs 2015'!C336</f>
        <v>144</v>
      </c>
      <c r="D336" s="754">
        <f>'Func Future Subs 2015'!D336</f>
        <v>25</v>
      </c>
      <c r="E336" s="754" t="str">
        <f>'Func Future Subs 2015'!E336</f>
        <v>730S</v>
      </c>
      <c r="F336" s="754">
        <f>'Func Future Subs 2015'!F336</f>
        <v>1174290.4338164157</v>
      </c>
      <c r="G336" s="754" t="str">
        <f>'Func Future Subs 2015'!G336</f>
        <v>ATCO</v>
      </c>
      <c r="H336" s="754">
        <f>'Func Future Subs 2015'!H336</f>
        <v>2017</v>
      </c>
      <c r="I336" s="306">
        <f>+IF($H336=I$2,VLOOKUP($G336,Depreciation!$A$14:$L$18,7,FALSE)/2,IF($H336&lt;I$2,VLOOKUP($G336,Depreciation!$A$14:$L$18,7,FALSE),0))</f>
        <v>0</v>
      </c>
      <c r="J336" s="306">
        <f>+IF($H336=J$2,VLOOKUP($G336,Depreciation!$A$14:$L$18,8,FALSE)/2,IF($H336&lt;J$2,VLOOKUP($G336,Depreciation!$A$14:$L$18,8,FALSE),0))</f>
        <v>0</v>
      </c>
      <c r="K336" s="306">
        <f>+IF($H336=K$2,VLOOKUP($G336,Depreciation!$A$14:$L$18,9,FALSE)/2,IF($H336&lt;K$2,VLOOKUP($G336,Depreciation!$A$14:$L$18,9,FALSE),0))</f>
        <v>1.2175768213899416E-2</v>
      </c>
      <c r="L336" s="306">
        <f>+IF($H336=L$2,VLOOKUP($G336,Depreciation!$A$14:$L$18,10,FALSE)/2,IF($H336&lt;L$2,VLOOKUP($G336,Depreciation!$A$14:$L$18,10,FALSE),0))</f>
        <v>2.4351536427798831E-2</v>
      </c>
      <c r="M336" s="306">
        <f>+IF($H336=M$2,VLOOKUP($G336,Depreciation!$A$14:$L$18,11,FALSE)/2,IF($H336&lt;M$2,VLOOKUP($G336,Depreciation!$A$14:$L$18,11,FALSE),0))</f>
        <v>2.4351536427798831E-2</v>
      </c>
      <c r="N336" s="306">
        <f>+IF($H336=N$2,VLOOKUP($G336,Depreciation!$A$14:$L$18,12,FALSE)/2,IF($H336&lt;N$2,VLOOKUP($G336,Depreciation!$A$14:$L$18,12,FALSE),0))</f>
        <v>2.4351536427798831E-2</v>
      </c>
      <c r="O336" s="307">
        <f t="shared" si="42"/>
        <v>0</v>
      </c>
      <c r="P336" s="732">
        <f>'Func Future Subs 2015'!P336</f>
        <v>0</v>
      </c>
      <c r="Q336" s="732">
        <f>'Func Future Subs 2015'!Q336</f>
        <v>1</v>
      </c>
      <c r="R336" s="732">
        <f>'Func Future Subs 2015'!R336</f>
        <v>0</v>
      </c>
      <c r="S336" s="735">
        <f t="shared" si="43"/>
        <v>0</v>
      </c>
      <c r="T336" s="735">
        <f t="shared" si="44"/>
        <v>0</v>
      </c>
      <c r="U336" s="735">
        <f t="shared" si="45"/>
        <v>0</v>
      </c>
      <c r="V336" s="736">
        <f t="shared" si="46"/>
        <v>0</v>
      </c>
      <c r="W336" s="735">
        <f t="shared" si="47"/>
        <v>0</v>
      </c>
      <c r="X336" s="737">
        <f t="shared" si="48"/>
        <v>0</v>
      </c>
      <c r="Y336" s="738">
        <f t="shared" si="49"/>
        <v>0</v>
      </c>
    </row>
    <row r="337" spans="1:25">
      <c r="A337" s="754" t="str">
        <f>'Func Future Subs 2015'!A337</f>
        <v>Dome 810S_(v1)</v>
      </c>
      <c r="B337" s="754">
        <f>'Func Future Subs 2015'!B337</f>
        <v>1634</v>
      </c>
      <c r="C337" s="754">
        <f>'Func Future Subs 2015'!C337</f>
        <v>138</v>
      </c>
      <c r="D337" s="754">
        <f>'Func Future Subs 2015'!D337</f>
        <v>25</v>
      </c>
      <c r="E337" s="754" t="str">
        <f>'Func Future Subs 2015'!E337</f>
        <v>810S</v>
      </c>
      <c r="F337" s="754">
        <f>'Func Future Subs 2015'!F337</f>
        <v>39972.664599992102</v>
      </c>
      <c r="G337" s="754" t="str">
        <f>'Func Future Subs 2015'!G337</f>
        <v>ATCO</v>
      </c>
      <c r="H337" s="754">
        <f>'Func Future Subs 2015'!H337</f>
        <v>2016</v>
      </c>
      <c r="I337" s="306">
        <f>+IF($H337=I$2,VLOOKUP($G337,Depreciation!$A$14:$L$18,7,FALSE)/2,IF($H337&lt;I$2,VLOOKUP($G337,Depreciation!$A$14:$L$18,7,FALSE),0))</f>
        <v>0</v>
      </c>
      <c r="J337" s="306">
        <f>+IF($H337=J$2,VLOOKUP($G337,Depreciation!$A$14:$L$18,8,FALSE)/2,IF($H337&lt;J$2,VLOOKUP($G337,Depreciation!$A$14:$L$18,8,FALSE),0))</f>
        <v>1.231622525054236E-2</v>
      </c>
      <c r="K337" s="306">
        <f>+IF($H337=K$2,VLOOKUP($G337,Depreciation!$A$14:$L$18,9,FALSE)/2,IF($H337&lt;K$2,VLOOKUP($G337,Depreciation!$A$14:$L$18,9,FALSE),0))</f>
        <v>2.4351536427798831E-2</v>
      </c>
      <c r="L337" s="306">
        <f>+IF($H337=L$2,VLOOKUP($G337,Depreciation!$A$14:$L$18,10,FALSE)/2,IF($H337&lt;L$2,VLOOKUP($G337,Depreciation!$A$14:$L$18,10,FALSE),0))</f>
        <v>2.4351536427798831E-2</v>
      </c>
      <c r="M337" s="306">
        <f>+IF($H337=M$2,VLOOKUP($G337,Depreciation!$A$14:$L$18,11,FALSE)/2,IF($H337&lt;M$2,VLOOKUP($G337,Depreciation!$A$14:$L$18,11,FALSE),0))</f>
        <v>2.4351536427798831E-2</v>
      </c>
      <c r="N337" s="306">
        <f>+IF($H337=N$2,VLOOKUP($G337,Depreciation!$A$14:$L$18,12,FALSE)/2,IF($H337&lt;N$2,VLOOKUP($G337,Depreciation!$A$14:$L$18,12,FALSE),0))</f>
        <v>2.4351536427798831E-2</v>
      </c>
      <c r="O337" s="307">
        <f t="shared" si="42"/>
        <v>39480.352258914223</v>
      </c>
      <c r="P337" s="732">
        <f>'Func Future Subs 2015'!P337</f>
        <v>0</v>
      </c>
      <c r="Q337" s="732">
        <f>'Func Future Subs 2015'!Q337</f>
        <v>1</v>
      </c>
      <c r="R337" s="732">
        <f>'Func Future Subs 2015'!R337</f>
        <v>0</v>
      </c>
      <c r="S337" s="735">
        <f t="shared" si="43"/>
        <v>0</v>
      </c>
      <c r="T337" s="735">
        <f t="shared" si="44"/>
        <v>39480.352258914223</v>
      </c>
      <c r="U337" s="735">
        <f t="shared" si="45"/>
        <v>0</v>
      </c>
      <c r="V337" s="736">
        <f t="shared" si="46"/>
        <v>0</v>
      </c>
      <c r="W337" s="735">
        <f t="shared" si="47"/>
        <v>0</v>
      </c>
      <c r="X337" s="737">
        <f t="shared" si="48"/>
        <v>0</v>
      </c>
      <c r="Y337" s="738">
        <f t="shared" si="49"/>
        <v>39480.352258914223</v>
      </c>
    </row>
    <row r="338" spans="1:25">
      <c r="A338" s="754" t="str">
        <f>'Func Future Subs 2015'!A338</f>
        <v>HR Milner 740S_(v1)</v>
      </c>
      <c r="B338" s="754">
        <f>'Func Future Subs 2015'!B338</f>
        <v>1634</v>
      </c>
      <c r="C338" s="754">
        <f>'Func Future Subs 2015'!C338</f>
        <v>240</v>
      </c>
      <c r="D338" s="754">
        <f>'Func Future Subs 2015'!D338</f>
        <v>25</v>
      </c>
      <c r="E338" s="754" t="str">
        <f>'Func Future Subs 2015'!E338</f>
        <v>740S</v>
      </c>
      <c r="F338" s="754">
        <f>'Func Future Subs 2015'!F338</f>
        <v>56242.040999609831</v>
      </c>
      <c r="G338" s="754" t="str">
        <f>'Func Future Subs 2015'!G338</f>
        <v>ATCO</v>
      </c>
      <c r="H338" s="754">
        <f>'Func Future Subs 2015'!H338</f>
        <v>2016</v>
      </c>
      <c r="I338" s="306">
        <f>+IF($H338=I$2,VLOOKUP($G338,Depreciation!$A$14:$L$18,7,FALSE)/2,IF($H338&lt;I$2,VLOOKUP($G338,Depreciation!$A$14:$L$18,7,FALSE),0))</f>
        <v>0</v>
      </c>
      <c r="J338" s="306">
        <f>+IF($H338=J$2,VLOOKUP($G338,Depreciation!$A$14:$L$18,8,FALSE)/2,IF($H338&lt;J$2,VLOOKUP($G338,Depreciation!$A$14:$L$18,8,FALSE),0))</f>
        <v>1.231622525054236E-2</v>
      </c>
      <c r="K338" s="306">
        <f>+IF($H338=K$2,VLOOKUP($G338,Depreciation!$A$14:$L$18,9,FALSE)/2,IF($H338&lt;K$2,VLOOKUP($G338,Depreciation!$A$14:$L$18,9,FALSE),0))</f>
        <v>2.4351536427798831E-2</v>
      </c>
      <c r="L338" s="306">
        <f>+IF($H338=L$2,VLOOKUP($G338,Depreciation!$A$14:$L$18,10,FALSE)/2,IF($H338&lt;L$2,VLOOKUP($G338,Depreciation!$A$14:$L$18,10,FALSE),0))</f>
        <v>2.4351536427798831E-2</v>
      </c>
      <c r="M338" s="306">
        <f>+IF($H338=M$2,VLOOKUP($G338,Depreciation!$A$14:$L$18,11,FALSE)/2,IF($H338&lt;M$2,VLOOKUP($G338,Depreciation!$A$14:$L$18,11,FALSE),0))</f>
        <v>2.4351536427798831E-2</v>
      </c>
      <c r="N338" s="306">
        <f>+IF($H338=N$2,VLOOKUP($G338,Depreciation!$A$14:$L$18,12,FALSE)/2,IF($H338&lt;N$2,VLOOKUP($G338,Depreciation!$A$14:$L$18,12,FALSE),0))</f>
        <v>2.4351536427798831E-2</v>
      </c>
      <c r="O338" s="307">
        <f t="shared" si="42"/>
        <v>55549.351354108403</v>
      </c>
      <c r="P338" s="732">
        <f>'Func Future Subs 2015'!P338</f>
        <v>0.89437344274894326</v>
      </c>
      <c r="Q338" s="732">
        <f>'Func Future Subs 2015'!Q338</f>
        <v>0.10562655725105677</v>
      </c>
      <c r="R338" s="732">
        <f>'Func Future Subs 2015'!R338</f>
        <v>0</v>
      </c>
      <c r="S338" s="735">
        <f t="shared" si="43"/>
        <v>49681.864613044607</v>
      </c>
      <c r="T338" s="735">
        <f t="shared" si="44"/>
        <v>5867.4867410637989</v>
      </c>
      <c r="U338" s="735">
        <f t="shared" si="45"/>
        <v>0</v>
      </c>
      <c r="V338" s="736">
        <f t="shared" si="46"/>
        <v>0</v>
      </c>
      <c r="W338" s="735">
        <f t="shared" si="47"/>
        <v>49681.864613044607</v>
      </c>
      <c r="X338" s="737">
        <f t="shared" si="48"/>
        <v>0</v>
      </c>
      <c r="Y338" s="738">
        <f t="shared" si="49"/>
        <v>5867.4867410637989</v>
      </c>
    </row>
    <row r="339" spans="1:25">
      <c r="A339" s="754" t="str">
        <f>'Func Future Subs 2015'!A339</f>
        <v>Thorton POD 2091S_(v1)</v>
      </c>
      <c r="B339" s="754">
        <f>'Func Future Subs 2015'!B339</f>
        <v>1634</v>
      </c>
      <c r="C339" s="754">
        <f>'Func Future Subs 2015'!C339</f>
        <v>144</v>
      </c>
      <c r="D339" s="754">
        <f>'Func Future Subs 2015'!D339</f>
        <v>25</v>
      </c>
      <c r="E339" s="754" t="str">
        <f>'Func Future Subs 2015'!E339</f>
        <v>2091S</v>
      </c>
      <c r="F339" s="754">
        <f>'Func Future Subs 2015'!F339</f>
        <v>12550982.644961169</v>
      </c>
      <c r="G339" s="754" t="str">
        <f>'Func Future Subs 2015'!G339</f>
        <v>ATCO</v>
      </c>
      <c r="H339" s="754">
        <f>'Func Future Subs 2015'!H339</f>
        <v>2016</v>
      </c>
      <c r="I339" s="306">
        <f>+IF($H339=I$2,VLOOKUP($G339,Depreciation!$A$14:$L$18,7,FALSE)/2,IF($H339&lt;I$2,VLOOKUP($G339,Depreciation!$A$14:$L$18,7,FALSE),0))</f>
        <v>0</v>
      </c>
      <c r="J339" s="306">
        <f>+IF($H339=J$2,VLOOKUP($G339,Depreciation!$A$14:$L$18,8,FALSE)/2,IF($H339&lt;J$2,VLOOKUP($G339,Depreciation!$A$14:$L$18,8,FALSE),0))</f>
        <v>1.231622525054236E-2</v>
      </c>
      <c r="K339" s="306">
        <f>+IF($H339=K$2,VLOOKUP($G339,Depreciation!$A$14:$L$18,9,FALSE)/2,IF($H339&lt;K$2,VLOOKUP($G339,Depreciation!$A$14:$L$18,9,FALSE),0))</f>
        <v>2.4351536427798831E-2</v>
      </c>
      <c r="L339" s="306">
        <f>+IF($H339=L$2,VLOOKUP($G339,Depreciation!$A$14:$L$18,10,FALSE)/2,IF($H339&lt;L$2,VLOOKUP($G339,Depreciation!$A$14:$L$18,10,FALSE),0))</f>
        <v>2.4351536427798831E-2</v>
      </c>
      <c r="M339" s="306">
        <f>+IF($H339=M$2,VLOOKUP($G339,Depreciation!$A$14:$L$18,11,FALSE)/2,IF($H339&lt;M$2,VLOOKUP($G339,Depreciation!$A$14:$L$18,11,FALSE),0))</f>
        <v>2.4351536427798831E-2</v>
      </c>
      <c r="N339" s="306">
        <f>+IF($H339=N$2,VLOOKUP($G339,Depreciation!$A$14:$L$18,12,FALSE)/2,IF($H339&lt;N$2,VLOOKUP($G339,Depreciation!$A$14:$L$18,12,FALSE),0))</f>
        <v>2.4351536427798831E-2</v>
      </c>
      <c r="O339" s="307">
        <f t="shared" si="42"/>
        <v>12396401.91559018</v>
      </c>
      <c r="P339" s="732">
        <f>'Func Future Subs 2015'!P339</f>
        <v>0</v>
      </c>
      <c r="Q339" s="732">
        <f>'Func Future Subs 2015'!Q339</f>
        <v>0</v>
      </c>
      <c r="R339" s="732">
        <f>'Func Future Subs 2015'!R339</f>
        <v>1</v>
      </c>
      <c r="S339" s="735">
        <f t="shared" si="43"/>
        <v>0</v>
      </c>
      <c r="T339" s="735">
        <f t="shared" si="44"/>
        <v>0</v>
      </c>
      <c r="U339" s="735">
        <f t="shared" si="45"/>
        <v>12396401.91559018</v>
      </c>
      <c r="V339" s="736">
        <f t="shared" si="46"/>
        <v>0</v>
      </c>
      <c r="W339" s="735">
        <f t="shared" si="47"/>
        <v>0</v>
      </c>
      <c r="X339" s="737">
        <f t="shared" si="48"/>
        <v>0</v>
      </c>
      <c r="Y339" s="738">
        <f t="shared" si="49"/>
        <v>12396401.91559018</v>
      </c>
    </row>
    <row r="340" spans="1:25">
      <c r="A340" s="754" t="str">
        <f>'Func Future Subs 2015'!A340</f>
        <v>Boyle 56S substation</v>
      </c>
      <c r="B340" s="754">
        <f>'Func Future Subs 2015'!B340</f>
        <v>1636</v>
      </c>
      <c r="C340" s="754">
        <f>'Func Future Subs 2015'!C340</f>
        <v>138</v>
      </c>
      <c r="D340" s="754">
        <f>'Func Future Subs 2015'!D340</f>
        <v>25</v>
      </c>
      <c r="E340" s="754" t="str">
        <f>'Func Future Subs 2015'!E340</f>
        <v>56S</v>
      </c>
      <c r="F340" s="754">
        <f>'Func Future Subs 2015'!F340</f>
        <v>6332999.3866284983</v>
      </c>
      <c r="G340" s="754" t="str">
        <f>'Func Future Subs 2015'!G340</f>
        <v>AltaLink</v>
      </c>
      <c r="H340" s="754">
        <f>'Func Future Subs 2015'!H340</f>
        <v>2016</v>
      </c>
      <c r="I340" s="306">
        <f>+IF($H340=I$2,VLOOKUP($G340,Depreciation!$A$14:$L$18,7,FALSE)/2,IF($H340&lt;I$2,VLOOKUP($G340,Depreciation!$A$14:$L$18,7,FALSE),0))</f>
        <v>0</v>
      </c>
      <c r="J340" s="306">
        <f>+IF($H340=J$2,VLOOKUP($G340,Depreciation!$A$14:$L$18,8,FALSE)/2,IF($H340&lt;J$2,VLOOKUP($G340,Depreciation!$A$14:$L$18,8,FALSE),0))</f>
        <v>1.671703928371859E-2</v>
      </c>
      <c r="K340" s="306">
        <f>+IF($H340=K$2,VLOOKUP($G340,Depreciation!$A$14:$L$18,9,FALSE)/2,IF($H340&lt;K$2,VLOOKUP($G340,Depreciation!$A$14:$L$18,9,FALSE),0))</f>
        <v>3.343407856743718E-2</v>
      </c>
      <c r="L340" s="306">
        <f>+IF($H340=L$2,VLOOKUP($G340,Depreciation!$A$14:$L$18,10,FALSE)/2,IF($H340&lt;L$2,VLOOKUP($G340,Depreciation!$A$14:$L$18,10,FALSE),0))</f>
        <v>3.343407856743718E-2</v>
      </c>
      <c r="M340" s="306">
        <f>+IF($H340=M$2,VLOOKUP($G340,Depreciation!$A$14:$L$18,11,FALSE)/2,IF($H340&lt;M$2,VLOOKUP($G340,Depreciation!$A$14:$L$18,11,FALSE),0))</f>
        <v>3.343407856743718E-2</v>
      </c>
      <c r="N340" s="306">
        <f>+IF($H340=N$2,VLOOKUP($G340,Depreciation!$A$14:$L$18,12,FALSE)/2,IF($H340&lt;N$2,VLOOKUP($G340,Depreciation!$A$14:$L$18,12,FALSE),0))</f>
        <v>3.343407856743718E-2</v>
      </c>
      <c r="O340" s="307">
        <f t="shared" si="42"/>
        <v>6227130.3870984642</v>
      </c>
      <c r="P340" s="732">
        <f>'Func Future Subs 2015'!P340</f>
        <v>0</v>
      </c>
      <c r="Q340" s="732">
        <f>'Func Future Subs 2015'!Q340</f>
        <v>1</v>
      </c>
      <c r="R340" s="732">
        <f>'Func Future Subs 2015'!R340</f>
        <v>0</v>
      </c>
      <c r="S340" s="735">
        <f t="shared" si="43"/>
        <v>0</v>
      </c>
      <c r="T340" s="735">
        <f t="shared" si="44"/>
        <v>6227130.3870984642</v>
      </c>
      <c r="U340" s="735">
        <f t="shared" si="45"/>
        <v>0</v>
      </c>
      <c r="V340" s="736">
        <f t="shared" si="46"/>
        <v>0</v>
      </c>
      <c r="W340" s="735">
        <f t="shared" si="47"/>
        <v>0</v>
      </c>
      <c r="X340" s="737">
        <f t="shared" si="48"/>
        <v>0</v>
      </c>
      <c r="Y340" s="738">
        <f t="shared" si="49"/>
        <v>6227130.3870984642</v>
      </c>
    </row>
    <row r="341" spans="1:25">
      <c r="A341" s="754" t="str">
        <f>'Func Future Subs 2015'!A341</f>
        <v>Upgrade Benbow 397S</v>
      </c>
      <c r="B341" s="754">
        <f>'Func Future Subs 2015'!B341</f>
        <v>1638</v>
      </c>
      <c r="C341" s="754">
        <f>'Func Future Subs 2015'!C341</f>
        <v>138</v>
      </c>
      <c r="D341" s="754">
        <f>'Func Future Subs 2015'!D341</f>
        <v>25</v>
      </c>
      <c r="E341" s="754" t="str">
        <f>'Func Future Subs 2015'!E341</f>
        <v>397S</v>
      </c>
      <c r="F341" s="754">
        <f>'Func Future Subs 2015'!F341</f>
        <v>2192000.0000000009</v>
      </c>
      <c r="G341" s="754" t="str">
        <f>'Func Future Subs 2015'!G341</f>
        <v>AltaLink</v>
      </c>
      <c r="H341" s="754">
        <f>'Func Future Subs 2015'!H341</f>
        <v>2016</v>
      </c>
      <c r="I341" s="306">
        <f>+IF($H341=I$2,VLOOKUP($G341,Depreciation!$A$14:$L$18,7,FALSE)/2,IF($H341&lt;I$2,VLOOKUP($G341,Depreciation!$A$14:$L$18,7,FALSE),0))</f>
        <v>0</v>
      </c>
      <c r="J341" s="306">
        <f>+IF($H341=J$2,VLOOKUP($G341,Depreciation!$A$14:$L$18,8,FALSE)/2,IF($H341&lt;J$2,VLOOKUP($G341,Depreciation!$A$14:$L$18,8,FALSE),0))</f>
        <v>1.671703928371859E-2</v>
      </c>
      <c r="K341" s="306">
        <f>+IF($H341=K$2,VLOOKUP($G341,Depreciation!$A$14:$L$18,9,FALSE)/2,IF($H341&lt;K$2,VLOOKUP($G341,Depreciation!$A$14:$L$18,9,FALSE),0))</f>
        <v>3.343407856743718E-2</v>
      </c>
      <c r="L341" s="306">
        <f>+IF($H341=L$2,VLOOKUP($G341,Depreciation!$A$14:$L$18,10,FALSE)/2,IF($H341&lt;L$2,VLOOKUP($G341,Depreciation!$A$14:$L$18,10,FALSE),0))</f>
        <v>3.343407856743718E-2</v>
      </c>
      <c r="M341" s="306">
        <f>+IF($H341=M$2,VLOOKUP($G341,Depreciation!$A$14:$L$18,11,FALSE)/2,IF($H341&lt;M$2,VLOOKUP($G341,Depreciation!$A$14:$L$18,11,FALSE),0))</f>
        <v>3.343407856743718E-2</v>
      </c>
      <c r="N341" s="306">
        <f>+IF($H341=N$2,VLOOKUP($G341,Depreciation!$A$14:$L$18,12,FALSE)/2,IF($H341&lt;N$2,VLOOKUP($G341,Depreciation!$A$14:$L$18,12,FALSE),0))</f>
        <v>3.343407856743718E-2</v>
      </c>
      <c r="O341" s="307">
        <f t="shared" si="42"/>
        <v>2155356.24989009</v>
      </c>
      <c r="P341" s="732">
        <f>'Func Future Subs 2015'!P341</f>
        <v>0</v>
      </c>
      <c r="Q341" s="732">
        <f>'Func Future Subs 2015'!Q341</f>
        <v>1</v>
      </c>
      <c r="R341" s="732">
        <f>'Func Future Subs 2015'!R341</f>
        <v>0</v>
      </c>
      <c r="S341" s="735">
        <f t="shared" si="43"/>
        <v>0</v>
      </c>
      <c r="T341" s="735">
        <f t="shared" si="44"/>
        <v>2155356.24989009</v>
      </c>
      <c r="U341" s="735">
        <f t="shared" si="45"/>
        <v>0</v>
      </c>
      <c r="V341" s="736">
        <f t="shared" si="46"/>
        <v>0</v>
      </c>
      <c r="W341" s="735">
        <f t="shared" si="47"/>
        <v>0</v>
      </c>
      <c r="X341" s="737">
        <f t="shared" si="48"/>
        <v>0</v>
      </c>
      <c r="Y341" s="738">
        <f t="shared" si="49"/>
        <v>2155356.24989009</v>
      </c>
    </row>
    <row r="342" spans="1:25">
      <c r="A342" s="754" t="str">
        <f>'Func Future Subs 2015'!A342</f>
        <v>Plamondon 353S</v>
      </c>
      <c r="B342" s="754">
        <f>'Func Future Subs 2015'!B342</f>
        <v>1640</v>
      </c>
      <c r="C342" s="754">
        <f>'Func Future Subs 2015'!C342</f>
        <v>138</v>
      </c>
      <c r="D342" s="754">
        <f>'Func Future Subs 2015'!D342</f>
        <v>25</v>
      </c>
      <c r="E342" s="754" t="str">
        <f>'Func Future Subs 2015'!E342</f>
        <v>353S</v>
      </c>
      <c r="F342" s="754">
        <f>'Func Future Subs 2015'!F342</f>
        <v>8107602.9999999944</v>
      </c>
      <c r="G342" s="754" t="str">
        <f>'Func Future Subs 2015'!G342</f>
        <v>AltaLink</v>
      </c>
      <c r="H342" s="754">
        <f>'Func Future Subs 2015'!H342</f>
        <v>2016</v>
      </c>
      <c r="I342" s="306">
        <f>+IF($H342=I$2,VLOOKUP($G342,Depreciation!$A$14:$L$18,7,FALSE)/2,IF($H342&lt;I$2,VLOOKUP($G342,Depreciation!$A$14:$L$18,7,FALSE),0))</f>
        <v>0</v>
      </c>
      <c r="J342" s="306">
        <f>+IF($H342=J$2,VLOOKUP($G342,Depreciation!$A$14:$L$18,8,FALSE)/2,IF($H342&lt;J$2,VLOOKUP($G342,Depreciation!$A$14:$L$18,8,FALSE),0))</f>
        <v>1.671703928371859E-2</v>
      </c>
      <c r="K342" s="306">
        <f>+IF($H342=K$2,VLOOKUP($G342,Depreciation!$A$14:$L$18,9,FALSE)/2,IF($H342&lt;K$2,VLOOKUP($G342,Depreciation!$A$14:$L$18,9,FALSE),0))</f>
        <v>3.343407856743718E-2</v>
      </c>
      <c r="L342" s="306">
        <f>+IF($H342=L$2,VLOOKUP($G342,Depreciation!$A$14:$L$18,10,FALSE)/2,IF($H342&lt;L$2,VLOOKUP($G342,Depreciation!$A$14:$L$18,10,FALSE),0))</f>
        <v>3.343407856743718E-2</v>
      </c>
      <c r="M342" s="306">
        <f>+IF($H342=M$2,VLOOKUP($G342,Depreciation!$A$14:$L$18,11,FALSE)/2,IF($H342&lt;M$2,VLOOKUP($G342,Depreciation!$A$14:$L$18,11,FALSE),0))</f>
        <v>3.343407856743718E-2</v>
      </c>
      <c r="N342" s="306">
        <f>+IF($H342=N$2,VLOOKUP($G342,Depreciation!$A$14:$L$18,12,FALSE)/2,IF($H342&lt;N$2,VLOOKUP($G342,Depreciation!$A$14:$L$18,12,FALSE),0))</f>
        <v>3.343407856743718E-2</v>
      </c>
      <c r="O342" s="307">
        <f t="shared" si="42"/>
        <v>7972067.8821521997</v>
      </c>
      <c r="P342" s="732">
        <f>'Func Future Subs 2015'!P342</f>
        <v>0</v>
      </c>
      <c r="Q342" s="732">
        <f>'Func Future Subs 2015'!Q342</f>
        <v>1</v>
      </c>
      <c r="R342" s="732">
        <f>'Func Future Subs 2015'!R342</f>
        <v>0</v>
      </c>
      <c r="S342" s="735">
        <f t="shared" si="43"/>
        <v>0</v>
      </c>
      <c r="T342" s="735">
        <f t="shared" si="44"/>
        <v>7972067.8821521997</v>
      </c>
      <c r="U342" s="735">
        <f t="shared" si="45"/>
        <v>0</v>
      </c>
      <c r="V342" s="736">
        <f t="shared" si="46"/>
        <v>0</v>
      </c>
      <c r="W342" s="735">
        <f t="shared" si="47"/>
        <v>0</v>
      </c>
      <c r="X342" s="737">
        <f t="shared" si="48"/>
        <v>0</v>
      </c>
      <c r="Y342" s="738">
        <f t="shared" si="49"/>
        <v>7972067.8821521997</v>
      </c>
    </row>
    <row r="343" spans="1:25">
      <c r="A343" s="754" t="str">
        <f>'Func Future Subs 2015'!A343</f>
        <v>Hughenden 213S</v>
      </c>
      <c r="B343" s="754">
        <f>'Func Future Subs 2015'!B343</f>
        <v>1642</v>
      </c>
      <c r="C343" s="754">
        <f>'Func Future Subs 2015'!C343</f>
        <v>138</v>
      </c>
      <c r="D343" s="754">
        <f>'Func Future Subs 2015'!D343</f>
        <v>25</v>
      </c>
      <c r="E343" s="754" t="str">
        <f>'Func Future Subs 2015'!E343</f>
        <v>213S</v>
      </c>
      <c r="F343" s="754">
        <f>'Func Future Subs 2015'!F343</f>
        <v>9130743.8789546061</v>
      </c>
      <c r="G343" s="754" t="str">
        <f>'Func Future Subs 2015'!G343</f>
        <v>AltaLink</v>
      </c>
      <c r="H343" s="754">
        <f>'Func Future Subs 2015'!H343</f>
        <v>2016</v>
      </c>
      <c r="I343" s="306">
        <f>+IF($H343=I$2,VLOOKUP($G343,Depreciation!$A$14:$L$18,7,FALSE)/2,IF($H343&lt;I$2,VLOOKUP($G343,Depreciation!$A$14:$L$18,7,FALSE),0))</f>
        <v>0</v>
      </c>
      <c r="J343" s="306">
        <f>+IF($H343=J$2,VLOOKUP($G343,Depreciation!$A$14:$L$18,8,FALSE)/2,IF($H343&lt;J$2,VLOOKUP($G343,Depreciation!$A$14:$L$18,8,FALSE),0))</f>
        <v>1.671703928371859E-2</v>
      </c>
      <c r="K343" s="306">
        <f>+IF($H343=K$2,VLOOKUP($G343,Depreciation!$A$14:$L$18,9,FALSE)/2,IF($H343&lt;K$2,VLOOKUP($G343,Depreciation!$A$14:$L$18,9,FALSE),0))</f>
        <v>3.343407856743718E-2</v>
      </c>
      <c r="L343" s="306">
        <f>+IF($H343=L$2,VLOOKUP($G343,Depreciation!$A$14:$L$18,10,FALSE)/2,IF($H343&lt;L$2,VLOOKUP($G343,Depreciation!$A$14:$L$18,10,FALSE),0))</f>
        <v>3.343407856743718E-2</v>
      </c>
      <c r="M343" s="306">
        <f>+IF($H343=M$2,VLOOKUP($G343,Depreciation!$A$14:$L$18,11,FALSE)/2,IF($H343&lt;M$2,VLOOKUP($G343,Depreciation!$A$14:$L$18,11,FALSE),0))</f>
        <v>3.343407856743718E-2</v>
      </c>
      <c r="N343" s="306">
        <f>+IF($H343=N$2,VLOOKUP($G343,Depreciation!$A$14:$L$18,12,FALSE)/2,IF($H343&lt;N$2,VLOOKUP($G343,Depreciation!$A$14:$L$18,12,FALSE),0))</f>
        <v>3.343407856743718E-2</v>
      </c>
      <c r="O343" s="307">
        <f t="shared" si="42"/>
        <v>8978104.8748405483</v>
      </c>
      <c r="P343" s="732">
        <f>'Func Future Subs 2015'!P343</f>
        <v>0</v>
      </c>
      <c r="Q343" s="732">
        <f>'Func Future Subs 2015'!Q343</f>
        <v>1</v>
      </c>
      <c r="R343" s="732">
        <f>'Func Future Subs 2015'!R343</f>
        <v>0</v>
      </c>
      <c r="S343" s="735">
        <f t="shared" si="43"/>
        <v>0</v>
      </c>
      <c r="T343" s="735">
        <f t="shared" si="44"/>
        <v>8978104.8748405483</v>
      </c>
      <c r="U343" s="735">
        <f t="shared" si="45"/>
        <v>0</v>
      </c>
      <c r="V343" s="736">
        <f t="shared" si="46"/>
        <v>0</v>
      </c>
      <c r="W343" s="735">
        <f t="shared" si="47"/>
        <v>0</v>
      </c>
      <c r="X343" s="737">
        <f t="shared" si="48"/>
        <v>0</v>
      </c>
      <c r="Y343" s="738">
        <f t="shared" si="49"/>
        <v>8978104.8748405483</v>
      </c>
    </row>
    <row r="344" spans="1:25">
      <c r="A344" s="754" t="str">
        <f>'Func Future Subs 2015'!A344</f>
        <v>Sunnybrook 510S</v>
      </c>
      <c r="B344" s="754">
        <f>'Func Future Subs 2015'!B344</f>
        <v>1655</v>
      </c>
      <c r="C344" s="754">
        <f>'Func Future Subs 2015'!C344</f>
        <v>500</v>
      </c>
      <c r="D344" s="754">
        <f>'Func Future Subs 2015'!D344</f>
        <v>500</v>
      </c>
      <c r="E344" s="754" t="str">
        <f>'Func Future Subs 2015'!E344</f>
        <v>510S</v>
      </c>
      <c r="F344" s="754">
        <f>'Func Future Subs 2015'!F344</f>
        <v>33890666.715976343</v>
      </c>
      <c r="G344" s="754" t="str">
        <f>'Func Future Subs 2015'!G344</f>
        <v>AltaLink</v>
      </c>
      <c r="H344" s="754">
        <f>'Func Future Subs 2015'!H344</f>
        <v>2018</v>
      </c>
      <c r="I344" s="306">
        <f>+IF($H344=I$2,VLOOKUP($G344,Depreciation!$A$14:$L$18,7,FALSE)/2,IF($H344&lt;I$2,VLOOKUP($G344,Depreciation!$A$14:$L$18,7,FALSE),0))</f>
        <v>0</v>
      </c>
      <c r="J344" s="306">
        <f>+IF($H344=J$2,VLOOKUP($G344,Depreciation!$A$14:$L$18,8,FALSE)/2,IF($H344&lt;J$2,VLOOKUP($G344,Depreciation!$A$14:$L$18,8,FALSE),0))</f>
        <v>0</v>
      </c>
      <c r="K344" s="306">
        <f>+IF($H344=K$2,VLOOKUP($G344,Depreciation!$A$14:$L$18,9,FALSE)/2,IF($H344&lt;K$2,VLOOKUP($G344,Depreciation!$A$14:$L$18,9,FALSE),0))</f>
        <v>0</v>
      </c>
      <c r="L344" s="306">
        <f>+IF($H344=L$2,VLOOKUP($G344,Depreciation!$A$14:$L$18,10,FALSE)/2,IF($H344&lt;L$2,VLOOKUP($G344,Depreciation!$A$14:$L$18,10,FALSE),0))</f>
        <v>1.671703928371859E-2</v>
      </c>
      <c r="M344" s="306">
        <f>+IF($H344=M$2,VLOOKUP($G344,Depreciation!$A$14:$L$18,11,FALSE)/2,IF($H344&lt;M$2,VLOOKUP($G344,Depreciation!$A$14:$L$18,11,FALSE),0))</f>
        <v>3.343407856743718E-2</v>
      </c>
      <c r="N344" s="306">
        <f>+IF($H344=N$2,VLOOKUP($G344,Depreciation!$A$14:$L$18,12,FALSE)/2,IF($H344&lt;N$2,VLOOKUP($G344,Depreciation!$A$14:$L$18,12,FALSE),0))</f>
        <v>3.343407856743718E-2</v>
      </c>
      <c r="O344" s="307">
        <f t="shared" si="42"/>
        <v>0</v>
      </c>
      <c r="P344" s="732">
        <f>'Func Future Subs 2015'!P344</f>
        <v>0</v>
      </c>
      <c r="Q344" s="732">
        <f>'Func Future Subs 2015'!Q344</f>
        <v>0</v>
      </c>
      <c r="R344" s="732">
        <f>'Func Future Subs 2015'!R344</f>
        <v>1</v>
      </c>
      <c r="S344" s="735">
        <f t="shared" si="43"/>
        <v>0</v>
      </c>
      <c r="T344" s="735">
        <f t="shared" si="44"/>
        <v>0</v>
      </c>
      <c r="U344" s="735">
        <f t="shared" si="45"/>
        <v>0</v>
      </c>
      <c r="V344" s="736">
        <f t="shared" si="46"/>
        <v>0</v>
      </c>
      <c r="W344" s="735">
        <f t="shared" si="47"/>
        <v>0</v>
      </c>
      <c r="X344" s="737">
        <f t="shared" si="48"/>
        <v>0</v>
      </c>
      <c r="Y344" s="738">
        <f t="shared" si="49"/>
        <v>0</v>
      </c>
    </row>
    <row r="345" spans="1:25">
      <c r="A345" s="754" t="str">
        <f>'Func Future Subs 2015'!A345</f>
        <v>High river 65S</v>
      </c>
      <c r="B345" s="754">
        <f>'Func Future Subs 2015'!B345</f>
        <v>1670</v>
      </c>
      <c r="C345" s="754">
        <f>'Func Future Subs 2015'!C345</f>
        <v>138</v>
      </c>
      <c r="D345" s="754">
        <f>'Func Future Subs 2015'!D345</f>
        <v>25</v>
      </c>
      <c r="E345" s="754" t="str">
        <f>'Func Future Subs 2015'!E345</f>
        <v>65S</v>
      </c>
      <c r="F345" s="754">
        <f>'Func Future Subs 2015'!F345</f>
        <v>2865685.0135288215</v>
      </c>
      <c r="G345" s="754" t="str">
        <f>'Func Future Subs 2015'!G345</f>
        <v>AltaLink</v>
      </c>
      <c r="H345" s="754">
        <f>'Func Future Subs 2015'!H345</f>
        <v>2018</v>
      </c>
      <c r="I345" s="306">
        <f>+IF($H345=I$2,VLOOKUP($G345,Depreciation!$A$14:$L$18,7,FALSE)/2,IF($H345&lt;I$2,VLOOKUP($G345,Depreciation!$A$14:$L$18,7,FALSE),0))</f>
        <v>0</v>
      </c>
      <c r="J345" s="306">
        <f>+IF($H345=J$2,VLOOKUP($G345,Depreciation!$A$14:$L$18,8,FALSE)/2,IF($H345&lt;J$2,VLOOKUP($G345,Depreciation!$A$14:$L$18,8,FALSE),0))</f>
        <v>0</v>
      </c>
      <c r="K345" s="306">
        <f>+IF($H345=K$2,VLOOKUP($G345,Depreciation!$A$14:$L$18,9,FALSE)/2,IF($H345&lt;K$2,VLOOKUP($G345,Depreciation!$A$14:$L$18,9,FALSE),0))</f>
        <v>0</v>
      </c>
      <c r="L345" s="306">
        <f>+IF($H345=L$2,VLOOKUP($G345,Depreciation!$A$14:$L$18,10,FALSE)/2,IF($H345&lt;L$2,VLOOKUP($G345,Depreciation!$A$14:$L$18,10,FALSE),0))</f>
        <v>1.671703928371859E-2</v>
      </c>
      <c r="M345" s="306">
        <f>+IF($H345=M$2,VLOOKUP($G345,Depreciation!$A$14:$L$18,11,FALSE)/2,IF($H345&lt;M$2,VLOOKUP($G345,Depreciation!$A$14:$L$18,11,FALSE),0))</f>
        <v>3.343407856743718E-2</v>
      </c>
      <c r="N345" s="306">
        <f>+IF($H345=N$2,VLOOKUP($G345,Depreciation!$A$14:$L$18,12,FALSE)/2,IF($H345&lt;N$2,VLOOKUP($G345,Depreciation!$A$14:$L$18,12,FALSE),0))</f>
        <v>3.343407856743718E-2</v>
      </c>
      <c r="O345" s="307">
        <f t="shared" si="42"/>
        <v>0</v>
      </c>
      <c r="P345" s="732">
        <f>'Func Future Subs 2015'!P345</f>
        <v>0</v>
      </c>
      <c r="Q345" s="732">
        <f>'Func Future Subs 2015'!Q345</f>
        <v>1</v>
      </c>
      <c r="R345" s="732">
        <f>'Func Future Subs 2015'!R345</f>
        <v>0</v>
      </c>
      <c r="S345" s="735">
        <f t="shared" si="43"/>
        <v>0</v>
      </c>
      <c r="T345" s="735">
        <f t="shared" si="44"/>
        <v>0</v>
      </c>
      <c r="U345" s="735">
        <f t="shared" si="45"/>
        <v>0</v>
      </c>
      <c r="V345" s="736">
        <f t="shared" si="46"/>
        <v>0</v>
      </c>
      <c r="W345" s="735">
        <f t="shared" si="47"/>
        <v>0</v>
      </c>
      <c r="X345" s="737">
        <f t="shared" si="48"/>
        <v>0</v>
      </c>
      <c r="Y345" s="738">
        <f t="shared" si="49"/>
        <v>0</v>
      </c>
    </row>
    <row r="346" spans="1:25">
      <c r="A346" s="754" t="str">
        <f>'Func Future Subs 2015'!A346</f>
        <v>Okotoks 678S</v>
      </c>
      <c r="B346" s="754">
        <f>'Func Future Subs 2015'!B346</f>
        <v>1670</v>
      </c>
      <c r="C346" s="754">
        <f>'Func Future Subs 2015'!C346</f>
        <v>138</v>
      </c>
      <c r="D346" s="754">
        <f>'Func Future Subs 2015'!D346</f>
        <v>25</v>
      </c>
      <c r="E346" s="754" t="str">
        <f>'Func Future Subs 2015'!E346</f>
        <v>678S</v>
      </c>
      <c r="F346" s="754">
        <f>'Func Future Subs 2015'!F346</f>
        <v>17512173.986471187</v>
      </c>
      <c r="G346" s="754" t="str">
        <f>'Func Future Subs 2015'!G346</f>
        <v>AltaLink</v>
      </c>
      <c r="H346" s="754">
        <f>'Func Future Subs 2015'!H346</f>
        <v>2018</v>
      </c>
      <c r="I346" s="306">
        <f>+IF($H346=I$2,VLOOKUP($G346,Depreciation!$A$14:$L$18,7,FALSE)/2,IF($H346&lt;I$2,VLOOKUP($G346,Depreciation!$A$14:$L$18,7,FALSE),0))</f>
        <v>0</v>
      </c>
      <c r="J346" s="306">
        <f>+IF($H346=J$2,VLOOKUP($G346,Depreciation!$A$14:$L$18,8,FALSE)/2,IF($H346&lt;J$2,VLOOKUP($G346,Depreciation!$A$14:$L$18,8,FALSE),0))</f>
        <v>0</v>
      </c>
      <c r="K346" s="306">
        <f>+IF($H346=K$2,VLOOKUP($G346,Depreciation!$A$14:$L$18,9,FALSE)/2,IF($H346&lt;K$2,VLOOKUP($G346,Depreciation!$A$14:$L$18,9,FALSE),0))</f>
        <v>0</v>
      </c>
      <c r="L346" s="306">
        <f>+IF($H346=L$2,VLOOKUP($G346,Depreciation!$A$14:$L$18,10,FALSE)/2,IF($H346&lt;L$2,VLOOKUP($G346,Depreciation!$A$14:$L$18,10,FALSE),0))</f>
        <v>1.671703928371859E-2</v>
      </c>
      <c r="M346" s="306">
        <f>+IF($H346=M$2,VLOOKUP($G346,Depreciation!$A$14:$L$18,11,FALSE)/2,IF($H346&lt;M$2,VLOOKUP($G346,Depreciation!$A$14:$L$18,11,FALSE),0))</f>
        <v>3.343407856743718E-2</v>
      </c>
      <c r="N346" s="306">
        <f>+IF($H346=N$2,VLOOKUP($G346,Depreciation!$A$14:$L$18,12,FALSE)/2,IF($H346&lt;N$2,VLOOKUP($G346,Depreciation!$A$14:$L$18,12,FALSE),0))</f>
        <v>3.343407856743718E-2</v>
      </c>
      <c r="O346" s="307">
        <f t="shared" si="42"/>
        <v>0</v>
      </c>
      <c r="P346" s="732">
        <f>'Func Future Subs 2015'!P346</f>
        <v>0</v>
      </c>
      <c r="Q346" s="732">
        <f>'Func Future Subs 2015'!Q346</f>
        <v>1</v>
      </c>
      <c r="R346" s="732">
        <f>'Func Future Subs 2015'!R346</f>
        <v>0</v>
      </c>
      <c r="S346" s="735">
        <f t="shared" si="43"/>
        <v>0</v>
      </c>
      <c r="T346" s="735">
        <f t="shared" si="44"/>
        <v>0</v>
      </c>
      <c r="U346" s="735">
        <f t="shared" si="45"/>
        <v>0</v>
      </c>
      <c r="V346" s="736">
        <f t="shared" si="46"/>
        <v>0</v>
      </c>
      <c r="W346" s="735">
        <f t="shared" si="47"/>
        <v>0</v>
      </c>
      <c r="X346" s="737">
        <f t="shared" si="48"/>
        <v>0</v>
      </c>
      <c r="Y346" s="738">
        <f t="shared" si="49"/>
        <v>0</v>
      </c>
    </row>
    <row r="347" spans="1:25">
      <c r="A347" s="754" t="str">
        <f>'Func Future Subs 2015'!A347</f>
        <v>Cooking Lake 522S</v>
      </c>
      <c r="B347" s="754">
        <f>'Func Future Subs 2015'!B347</f>
        <v>1674</v>
      </c>
      <c r="C347" s="754">
        <f>'Func Future Subs 2015'!C347</f>
        <v>138</v>
      </c>
      <c r="D347" s="754">
        <f>'Func Future Subs 2015'!D347</f>
        <v>25</v>
      </c>
      <c r="E347" s="754" t="str">
        <f>'Func Future Subs 2015'!E347</f>
        <v>522S</v>
      </c>
      <c r="F347" s="754">
        <f>'Func Future Subs 2015'!F347</f>
        <v>9946465.9999999963</v>
      </c>
      <c r="G347" s="754" t="str">
        <f>'Func Future Subs 2015'!G347</f>
        <v>AltaLink</v>
      </c>
      <c r="H347" s="754">
        <f>'Func Future Subs 2015'!H347</f>
        <v>2018</v>
      </c>
      <c r="I347" s="306">
        <f>+IF($H347=I$2,VLOOKUP($G347,Depreciation!$A$14:$L$18,7,FALSE)/2,IF($H347&lt;I$2,VLOOKUP($G347,Depreciation!$A$14:$L$18,7,FALSE),0))</f>
        <v>0</v>
      </c>
      <c r="J347" s="306">
        <f>+IF($H347=J$2,VLOOKUP($G347,Depreciation!$A$14:$L$18,8,FALSE)/2,IF($H347&lt;J$2,VLOOKUP($G347,Depreciation!$A$14:$L$18,8,FALSE),0))</f>
        <v>0</v>
      </c>
      <c r="K347" s="306">
        <f>+IF($H347=K$2,VLOOKUP($G347,Depreciation!$A$14:$L$18,9,FALSE)/2,IF($H347&lt;K$2,VLOOKUP($G347,Depreciation!$A$14:$L$18,9,FALSE),0))</f>
        <v>0</v>
      </c>
      <c r="L347" s="306">
        <f>+IF($H347=L$2,VLOOKUP($G347,Depreciation!$A$14:$L$18,10,FALSE)/2,IF($H347&lt;L$2,VLOOKUP($G347,Depreciation!$A$14:$L$18,10,FALSE),0))</f>
        <v>1.671703928371859E-2</v>
      </c>
      <c r="M347" s="306">
        <f>+IF($H347=M$2,VLOOKUP($G347,Depreciation!$A$14:$L$18,11,FALSE)/2,IF($H347&lt;M$2,VLOOKUP($G347,Depreciation!$A$14:$L$18,11,FALSE),0))</f>
        <v>3.343407856743718E-2</v>
      </c>
      <c r="N347" s="306">
        <f>+IF($H347=N$2,VLOOKUP($G347,Depreciation!$A$14:$L$18,12,FALSE)/2,IF($H347&lt;N$2,VLOOKUP($G347,Depreciation!$A$14:$L$18,12,FALSE),0))</f>
        <v>3.343407856743718E-2</v>
      </c>
      <c r="O347" s="307">
        <f t="shared" si="42"/>
        <v>0</v>
      </c>
      <c r="P347" s="732">
        <f>'Func Future Subs 2015'!P347</f>
        <v>0</v>
      </c>
      <c r="Q347" s="732">
        <f>'Func Future Subs 2015'!Q347</f>
        <v>1</v>
      </c>
      <c r="R347" s="732">
        <f>'Func Future Subs 2015'!R347</f>
        <v>0</v>
      </c>
      <c r="S347" s="735">
        <f t="shared" si="43"/>
        <v>0</v>
      </c>
      <c r="T347" s="735">
        <f t="shared" si="44"/>
        <v>0</v>
      </c>
      <c r="U347" s="735">
        <f t="shared" si="45"/>
        <v>0</v>
      </c>
      <c r="V347" s="736">
        <f t="shared" si="46"/>
        <v>0</v>
      </c>
      <c r="W347" s="735">
        <f t="shared" si="47"/>
        <v>0</v>
      </c>
      <c r="X347" s="737">
        <f t="shared" si="48"/>
        <v>0</v>
      </c>
      <c r="Y347" s="738">
        <f t="shared" si="49"/>
        <v>0</v>
      </c>
    </row>
    <row r="348" spans="1:25">
      <c r="A348" s="754" t="str">
        <f>'Func Future Subs 2015'!A348</f>
        <v>Empress 394S</v>
      </c>
      <c r="B348" s="754">
        <f>'Func Future Subs 2015'!B348</f>
        <v>1679</v>
      </c>
      <c r="C348" s="754">
        <f>'Func Future Subs 2015'!C348</f>
        <v>138</v>
      </c>
      <c r="D348" s="754">
        <f>'Func Future Subs 2015'!D348</f>
        <v>25</v>
      </c>
      <c r="E348" s="754" t="str">
        <f>'Func Future Subs 2015'!E348</f>
        <v>394S</v>
      </c>
      <c r="F348" s="754">
        <f>'Func Future Subs 2015'!F348</f>
        <v>2923999.9999999986</v>
      </c>
      <c r="G348" s="754" t="str">
        <f>'Func Future Subs 2015'!G348</f>
        <v>AltaLink</v>
      </c>
      <c r="H348" s="754">
        <f>'Func Future Subs 2015'!H348</f>
        <v>2017</v>
      </c>
      <c r="I348" s="306">
        <f>+IF($H348=I$2,VLOOKUP($G348,Depreciation!$A$14:$L$18,7,FALSE)/2,IF($H348&lt;I$2,VLOOKUP($G348,Depreciation!$A$14:$L$18,7,FALSE),0))</f>
        <v>0</v>
      </c>
      <c r="J348" s="306">
        <f>+IF($H348=J$2,VLOOKUP($G348,Depreciation!$A$14:$L$18,8,FALSE)/2,IF($H348&lt;J$2,VLOOKUP($G348,Depreciation!$A$14:$L$18,8,FALSE),0))</f>
        <v>0</v>
      </c>
      <c r="K348" s="306">
        <f>+IF($H348=K$2,VLOOKUP($G348,Depreciation!$A$14:$L$18,9,FALSE)/2,IF($H348&lt;K$2,VLOOKUP($G348,Depreciation!$A$14:$L$18,9,FALSE),0))</f>
        <v>1.671703928371859E-2</v>
      </c>
      <c r="L348" s="306">
        <f>+IF($H348=L$2,VLOOKUP($G348,Depreciation!$A$14:$L$18,10,FALSE)/2,IF($H348&lt;L$2,VLOOKUP($G348,Depreciation!$A$14:$L$18,10,FALSE),0))</f>
        <v>3.343407856743718E-2</v>
      </c>
      <c r="M348" s="306">
        <f>+IF($H348=M$2,VLOOKUP($G348,Depreciation!$A$14:$L$18,11,FALSE)/2,IF($H348&lt;M$2,VLOOKUP($G348,Depreciation!$A$14:$L$18,11,FALSE),0))</f>
        <v>3.343407856743718E-2</v>
      </c>
      <c r="N348" s="306">
        <f>+IF($H348=N$2,VLOOKUP($G348,Depreciation!$A$14:$L$18,12,FALSE)/2,IF($H348&lt;N$2,VLOOKUP($G348,Depreciation!$A$14:$L$18,12,FALSE),0))</f>
        <v>3.343407856743718E-2</v>
      </c>
      <c r="O348" s="307">
        <f t="shared" si="42"/>
        <v>0</v>
      </c>
      <c r="P348" s="732">
        <f>'Func Future Subs 2015'!P348</f>
        <v>0</v>
      </c>
      <c r="Q348" s="732">
        <f>'Func Future Subs 2015'!Q348</f>
        <v>1</v>
      </c>
      <c r="R348" s="732">
        <f>'Func Future Subs 2015'!R348</f>
        <v>0</v>
      </c>
      <c r="S348" s="735">
        <f t="shared" si="43"/>
        <v>0</v>
      </c>
      <c r="T348" s="735">
        <f t="shared" si="44"/>
        <v>0</v>
      </c>
      <c r="U348" s="735">
        <f t="shared" si="45"/>
        <v>0</v>
      </c>
      <c r="V348" s="736">
        <f t="shared" si="46"/>
        <v>0</v>
      </c>
      <c r="W348" s="735">
        <f t="shared" si="47"/>
        <v>0</v>
      </c>
      <c r="X348" s="737">
        <f t="shared" si="48"/>
        <v>0</v>
      </c>
      <c r="Y348" s="738">
        <f t="shared" si="49"/>
        <v>0</v>
      </c>
    </row>
    <row r="349" spans="1:25">
      <c r="A349" s="754" t="str">
        <f>'Func Future Subs 2015'!A349</f>
        <v>Fortis Bullhead 523S</v>
      </c>
      <c r="B349" s="754">
        <f>'Func Future Subs 2015'!B349</f>
        <v>1681</v>
      </c>
      <c r="C349" s="754">
        <f>'Func Future Subs 2015'!C349</f>
        <v>138</v>
      </c>
      <c r="D349" s="754">
        <f>'Func Future Subs 2015'!D349</f>
        <v>25</v>
      </c>
      <c r="E349" s="754" t="str">
        <f>'Func Future Subs 2015'!E349</f>
        <v>523S</v>
      </c>
      <c r="F349" s="754">
        <f>'Func Future Subs 2015'!F349</f>
        <v>5565999.9999999972</v>
      </c>
      <c r="G349" s="754" t="str">
        <f>'Func Future Subs 2015'!G349</f>
        <v>AltaLink</v>
      </c>
      <c r="H349" s="754">
        <f>'Func Future Subs 2015'!H349</f>
        <v>2017</v>
      </c>
      <c r="I349" s="306">
        <f>+IF($H349=I$2,VLOOKUP($G349,Depreciation!$A$14:$L$18,7,FALSE)/2,IF($H349&lt;I$2,VLOOKUP($G349,Depreciation!$A$14:$L$18,7,FALSE),0))</f>
        <v>0</v>
      </c>
      <c r="J349" s="306">
        <f>+IF($H349=J$2,VLOOKUP($G349,Depreciation!$A$14:$L$18,8,FALSE)/2,IF($H349&lt;J$2,VLOOKUP($G349,Depreciation!$A$14:$L$18,8,FALSE),0))</f>
        <v>0</v>
      </c>
      <c r="K349" s="306">
        <f>+IF($H349=K$2,VLOOKUP($G349,Depreciation!$A$14:$L$18,9,FALSE)/2,IF($H349&lt;K$2,VLOOKUP($G349,Depreciation!$A$14:$L$18,9,FALSE),0))</f>
        <v>1.671703928371859E-2</v>
      </c>
      <c r="L349" s="306">
        <f>+IF($H349=L$2,VLOOKUP($G349,Depreciation!$A$14:$L$18,10,FALSE)/2,IF($H349&lt;L$2,VLOOKUP($G349,Depreciation!$A$14:$L$18,10,FALSE),0))</f>
        <v>3.343407856743718E-2</v>
      </c>
      <c r="M349" s="306">
        <f>+IF($H349=M$2,VLOOKUP($G349,Depreciation!$A$14:$L$18,11,FALSE)/2,IF($H349&lt;M$2,VLOOKUP($G349,Depreciation!$A$14:$L$18,11,FALSE),0))</f>
        <v>3.343407856743718E-2</v>
      </c>
      <c r="N349" s="306">
        <f>+IF($H349=N$2,VLOOKUP($G349,Depreciation!$A$14:$L$18,12,FALSE)/2,IF($H349&lt;N$2,VLOOKUP($G349,Depreciation!$A$14:$L$18,12,FALSE),0))</f>
        <v>3.343407856743718E-2</v>
      </c>
      <c r="O349" s="307">
        <f t="shared" si="42"/>
        <v>0</v>
      </c>
      <c r="P349" s="732">
        <f>'Func Future Subs 2015'!P349</f>
        <v>0</v>
      </c>
      <c r="Q349" s="732">
        <f>'Func Future Subs 2015'!Q349</f>
        <v>1</v>
      </c>
      <c r="R349" s="732">
        <f>'Func Future Subs 2015'!R349</f>
        <v>0</v>
      </c>
      <c r="S349" s="735">
        <f t="shared" si="43"/>
        <v>0</v>
      </c>
      <c r="T349" s="735">
        <f t="shared" si="44"/>
        <v>0</v>
      </c>
      <c r="U349" s="735">
        <f t="shared" si="45"/>
        <v>0</v>
      </c>
      <c r="V349" s="736">
        <f t="shared" si="46"/>
        <v>0</v>
      </c>
      <c r="W349" s="735">
        <f t="shared" si="47"/>
        <v>0</v>
      </c>
      <c r="X349" s="737">
        <f t="shared" si="48"/>
        <v>0</v>
      </c>
      <c r="Y349" s="738">
        <f t="shared" si="49"/>
        <v>0</v>
      </c>
    </row>
    <row r="350" spans="1:25">
      <c r="A350" s="754" t="str">
        <f>'Func Future Subs 2015'!A350</f>
        <v>Fox creek substation</v>
      </c>
      <c r="B350" s="754">
        <f>'Func Future Subs 2015'!B350</f>
        <v>1722</v>
      </c>
      <c r="C350" s="754">
        <f>'Func Future Subs 2015'!C350</f>
        <v>144</v>
      </c>
      <c r="D350" s="754">
        <f>'Func Future Subs 2015'!D350</f>
        <v>0</v>
      </c>
      <c r="E350" s="754">
        <f>'Func Future Subs 2015'!E350</f>
        <v>0</v>
      </c>
      <c r="F350" s="754">
        <f>'Func Future Subs 2015'!F350</f>
        <v>4905391.5342857111</v>
      </c>
      <c r="G350" s="754" t="str">
        <f>'Func Future Subs 2015'!G350</f>
        <v>ATCO</v>
      </c>
      <c r="H350" s="754">
        <f>'Func Future Subs 2015'!H350</f>
        <v>2017</v>
      </c>
      <c r="I350" s="306">
        <f>+IF($H350=I$2,VLOOKUP($G350,Depreciation!$A$14:$L$18,7,FALSE)/2,IF($H350&lt;I$2,VLOOKUP($G350,Depreciation!$A$14:$L$18,7,FALSE),0))</f>
        <v>0</v>
      </c>
      <c r="J350" s="306">
        <f>+IF($H350=J$2,VLOOKUP($G350,Depreciation!$A$14:$L$18,8,FALSE)/2,IF($H350&lt;J$2,VLOOKUP($G350,Depreciation!$A$14:$L$18,8,FALSE),0))</f>
        <v>0</v>
      </c>
      <c r="K350" s="306">
        <f>+IF($H350=K$2,VLOOKUP($G350,Depreciation!$A$14:$L$18,9,FALSE)/2,IF($H350&lt;K$2,VLOOKUP($G350,Depreciation!$A$14:$L$18,9,FALSE),0))</f>
        <v>1.2175768213899416E-2</v>
      </c>
      <c r="L350" s="306">
        <f>+IF($H350=L$2,VLOOKUP($G350,Depreciation!$A$14:$L$18,10,FALSE)/2,IF($H350&lt;L$2,VLOOKUP($G350,Depreciation!$A$14:$L$18,10,FALSE),0))</f>
        <v>2.4351536427798831E-2</v>
      </c>
      <c r="M350" s="306">
        <f>+IF($H350=M$2,VLOOKUP($G350,Depreciation!$A$14:$L$18,11,FALSE)/2,IF($H350&lt;M$2,VLOOKUP($G350,Depreciation!$A$14:$L$18,11,FALSE),0))</f>
        <v>2.4351536427798831E-2</v>
      </c>
      <c r="N350" s="306">
        <f>+IF($H350=N$2,VLOOKUP($G350,Depreciation!$A$14:$L$18,12,FALSE)/2,IF($H350&lt;N$2,VLOOKUP($G350,Depreciation!$A$14:$L$18,12,FALSE),0))</f>
        <v>2.4351536427798831E-2</v>
      </c>
      <c r="O350" s="307">
        <f t="shared" si="42"/>
        <v>0</v>
      </c>
      <c r="P350" s="732">
        <f>'Func Future Subs 2015'!P350</f>
        <v>0</v>
      </c>
      <c r="Q350" s="732">
        <f>'Func Future Subs 2015'!Q350</f>
        <v>0</v>
      </c>
      <c r="R350" s="732">
        <f>'Func Future Subs 2015'!R350</f>
        <v>1</v>
      </c>
      <c r="S350" s="735">
        <f t="shared" si="43"/>
        <v>0</v>
      </c>
      <c r="T350" s="735">
        <f t="shared" si="44"/>
        <v>0</v>
      </c>
      <c r="U350" s="735">
        <f t="shared" si="45"/>
        <v>0</v>
      </c>
      <c r="V350" s="736">
        <f t="shared" si="46"/>
        <v>0</v>
      </c>
      <c r="W350" s="735">
        <f t="shared" si="47"/>
        <v>0</v>
      </c>
      <c r="X350" s="737">
        <f t="shared" si="48"/>
        <v>0</v>
      </c>
      <c r="Y350" s="738">
        <f t="shared" si="49"/>
        <v>0</v>
      </c>
    </row>
    <row r="351" spans="1:25">
      <c r="A351" s="754" t="str">
        <f>'Func Future Subs 2015'!A351</f>
        <v>New Muir POD</v>
      </c>
      <c r="B351" s="754">
        <f>'Func Future Subs 2015'!B351</f>
        <v>1722</v>
      </c>
      <c r="C351" s="754">
        <f>'Func Future Subs 2015'!C351</f>
        <v>144</v>
      </c>
      <c r="D351" s="754">
        <f>'Func Future Subs 2015'!D351</f>
        <v>0</v>
      </c>
      <c r="E351" s="754">
        <f>'Func Future Subs 2015'!E351</f>
        <v>0</v>
      </c>
      <c r="F351" s="754">
        <f>'Func Future Subs 2015'!F351</f>
        <v>12202149.6335527</v>
      </c>
      <c r="G351" s="754" t="str">
        <f>'Func Future Subs 2015'!G351</f>
        <v>ATCO</v>
      </c>
      <c r="H351" s="754">
        <f>'Func Future Subs 2015'!H351</f>
        <v>2017</v>
      </c>
      <c r="I351" s="306">
        <f>+IF($H351=I$2,VLOOKUP($G351,Depreciation!$A$14:$L$18,7,FALSE)/2,IF($H351&lt;I$2,VLOOKUP($G351,Depreciation!$A$14:$L$18,7,FALSE),0))</f>
        <v>0</v>
      </c>
      <c r="J351" s="306">
        <f>+IF($H351=J$2,VLOOKUP($G351,Depreciation!$A$14:$L$18,8,FALSE)/2,IF($H351&lt;J$2,VLOOKUP($G351,Depreciation!$A$14:$L$18,8,FALSE),0))</f>
        <v>0</v>
      </c>
      <c r="K351" s="306">
        <f>+IF($H351=K$2,VLOOKUP($G351,Depreciation!$A$14:$L$18,9,FALSE)/2,IF($H351&lt;K$2,VLOOKUP($G351,Depreciation!$A$14:$L$18,9,FALSE),0))</f>
        <v>1.2175768213899416E-2</v>
      </c>
      <c r="L351" s="306">
        <f>+IF($H351=L$2,VLOOKUP($G351,Depreciation!$A$14:$L$18,10,FALSE)/2,IF($H351&lt;L$2,VLOOKUP($G351,Depreciation!$A$14:$L$18,10,FALSE),0))</f>
        <v>2.4351536427798831E-2</v>
      </c>
      <c r="M351" s="306">
        <f>+IF($H351=M$2,VLOOKUP($G351,Depreciation!$A$14:$L$18,11,FALSE)/2,IF($H351&lt;M$2,VLOOKUP($G351,Depreciation!$A$14:$L$18,11,FALSE),0))</f>
        <v>2.4351536427798831E-2</v>
      </c>
      <c r="N351" s="306">
        <f>+IF($H351=N$2,VLOOKUP($G351,Depreciation!$A$14:$L$18,12,FALSE)/2,IF($H351&lt;N$2,VLOOKUP($G351,Depreciation!$A$14:$L$18,12,FALSE),0))</f>
        <v>2.4351536427798831E-2</v>
      </c>
      <c r="O351" s="307">
        <f t="shared" si="42"/>
        <v>0</v>
      </c>
      <c r="P351" s="732">
        <f>'Func Future Subs 2015'!P351</f>
        <v>0</v>
      </c>
      <c r="Q351" s="732">
        <f>'Func Future Subs 2015'!Q351</f>
        <v>0</v>
      </c>
      <c r="R351" s="732">
        <f>'Func Future Subs 2015'!R351</f>
        <v>1</v>
      </c>
      <c r="S351" s="735">
        <f t="shared" si="43"/>
        <v>0</v>
      </c>
      <c r="T351" s="735">
        <f t="shared" si="44"/>
        <v>0</v>
      </c>
      <c r="U351" s="735">
        <f t="shared" si="45"/>
        <v>0</v>
      </c>
      <c r="V351" s="736">
        <f t="shared" si="46"/>
        <v>0</v>
      </c>
      <c r="W351" s="735">
        <f t="shared" si="47"/>
        <v>0</v>
      </c>
      <c r="X351" s="737">
        <f t="shared" si="48"/>
        <v>0</v>
      </c>
      <c r="Y351" s="738">
        <f t="shared" si="49"/>
        <v>0</v>
      </c>
    </row>
    <row r="352" spans="1:25">
      <c r="A352" s="754" t="str">
        <f>'Func Future Subs 2015'!A352</f>
        <v>Calgary Downtown</v>
      </c>
      <c r="B352" s="754">
        <f>'Func Future Subs 2015'!B352</f>
        <v>1456</v>
      </c>
      <c r="C352" s="754">
        <f>'Func Future Subs 2015'!C352</f>
        <v>138</v>
      </c>
      <c r="D352" s="754">
        <f>'Func Future Subs 2015'!D352</f>
        <v>25</v>
      </c>
      <c r="E352" s="754" t="str">
        <f>'Func Future Subs 2015'!E352</f>
        <v>SS-2</v>
      </c>
      <c r="F352" s="754">
        <f>'Func Future Subs 2015'!F352</f>
        <v>70361149.105234668</v>
      </c>
      <c r="G352" s="754" t="str">
        <f>'Func Future Subs 2015'!G352</f>
        <v>ENMAX</v>
      </c>
      <c r="H352" s="754">
        <f>'Func Future Subs 2015'!H352</f>
        <v>2020</v>
      </c>
      <c r="I352" s="306">
        <f>+IF($H352=I$2,VLOOKUP($G352,Depreciation!$A$14:$L$18,7,FALSE)/2,IF($H352&lt;I$2,VLOOKUP($G352,Depreciation!$A$14:$L$18,7,FALSE),0))</f>
        <v>0</v>
      </c>
      <c r="J352" s="306">
        <f>+IF($H352=J$2,VLOOKUP($G352,Depreciation!$A$14:$L$18,8,FALSE)/2,IF($H352&lt;J$2,VLOOKUP($G352,Depreciation!$A$14:$L$18,8,FALSE),0))</f>
        <v>0</v>
      </c>
      <c r="K352" s="306">
        <f>+IF($H352=K$2,VLOOKUP($G352,Depreciation!$A$14:$L$18,9,FALSE)/2,IF($H352&lt;K$2,VLOOKUP($G352,Depreciation!$A$14:$L$18,9,FALSE),0))</f>
        <v>0</v>
      </c>
      <c r="L352" s="306">
        <f>+IF($H352=L$2,VLOOKUP($G352,Depreciation!$A$14:$L$18,10,FALSE)/2,IF($H352&lt;L$2,VLOOKUP($G352,Depreciation!$A$14:$L$18,10,FALSE),0))</f>
        <v>0</v>
      </c>
      <c r="M352" s="306">
        <f>+IF($H352=M$2,VLOOKUP($G352,Depreciation!$A$14:$L$18,11,FALSE)/2,IF($H352&lt;M$2,VLOOKUP($G352,Depreciation!$A$14:$L$18,11,FALSE),0))</f>
        <v>0</v>
      </c>
      <c r="N352" s="306">
        <f>+IF($H352=N$2,VLOOKUP($G352,Depreciation!$A$14:$L$18,12,FALSE)/2,IF($H352&lt;N$2,VLOOKUP($G352,Depreciation!$A$14:$L$18,12,FALSE),0))</f>
        <v>1.3928409269726289E-2</v>
      </c>
      <c r="O352" s="307">
        <f t="shared" si="42"/>
        <v>0</v>
      </c>
      <c r="P352" s="732">
        <f>'Func Future Subs 2015'!P352</f>
        <v>0</v>
      </c>
      <c r="Q352" s="732">
        <f>'Func Future Subs 2015'!Q352</f>
        <v>1</v>
      </c>
      <c r="R352" s="732">
        <f>'Func Future Subs 2015'!R352</f>
        <v>0</v>
      </c>
      <c r="S352" s="735">
        <f t="shared" si="43"/>
        <v>0</v>
      </c>
      <c r="T352" s="735">
        <f t="shared" si="44"/>
        <v>0</v>
      </c>
      <c r="U352" s="735">
        <f t="shared" si="45"/>
        <v>0</v>
      </c>
      <c r="V352" s="736">
        <f t="shared" si="46"/>
        <v>0</v>
      </c>
      <c r="W352" s="735">
        <f t="shared" si="47"/>
        <v>0</v>
      </c>
      <c r="X352" s="737">
        <f t="shared" si="48"/>
        <v>0</v>
      </c>
      <c r="Y352" s="738">
        <f t="shared" si="49"/>
        <v>0</v>
      </c>
    </row>
    <row r="353" spans="1:25">
      <c r="A353" s="754" t="str">
        <f>'Func Future Subs 2015'!A353</f>
        <v>PENV</v>
      </c>
      <c r="B353" s="754">
        <f>'Func Future Subs 2015'!B353</f>
        <v>1781</v>
      </c>
      <c r="C353" s="754">
        <f>'Func Future Subs 2015'!C353</f>
        <v>240</v>
      </c>
      <c r="D353" s="754">
        <f>'Func Future Subs 2015'!D353</f>
        <v>144</v>
      </c>
      <c r="E353" s="754">
        <f>'Func Future Subs 2015'!E353</f>
        <v>0</v>
      </c>
      <c r="F353" s="754">
        <f>'Func Future Subs 2015'!F353</f>
        <v>25938027.308870837</v>
      </c>
      <c r="G353" s="754" t="str">
        <f>'Func Future Subs 2015'!G353</f>
        <v>AltaLink</v>
      </c>
      <c r="H353" s="754">
        <f>'Func Future Subs 2015'!H353</f>
        <v>2021</v>
      </c>
      <c r="I353" s="306">
        <f>+IF($H353=I$2,VLOOKUP($G353,Depreciation!$A$14:$L$18,7,FALSE)/2,IF($H353&lt;I$2,VLOOKUP($G353,Depreciation!$A$14:$L$18,7,FALSE),0))</f>
        <v>0</v>
      </c>
      <c r="J353" s="306">
        <f>+IF($H353=J$2,VLOOKUP($G353,Depreciation!$A$14:$L$18,8,FALSE)/2,IF($H353&lt;J$2,VLOOKUP($G353,Depreciation!$A$14:$L$18,8,FALSE),0))</f>
        <v>0</v>
      </c>
      <c r="K353" s="306">
        <f>+IF($H353=K$2,VLOOKUP($G353,Depreciation!$A$14:$L$18,9,FALSE)/2,IF($H353&lt;K$2,VLOOKUP($G353,Depreciation!$A$14:$L$18,9,FALSE),0))</f>
        <v>0</v>
      </c>
      <c r="L353" s="306">
        <f>+IF($H353=L$2,VLOOKUP($G353,Depreciation!$A$14:$L$18,10,FALSE)/2,IF($H353&lt;L$2,VLOOKUP($G353,Depreciation!$A$14:$L$18,10,FALSE),0))</f>
        <v>0</v>
      </c>
      <c r="M353" s="306">
        <f>+IF($H353=M$2,VLOOKUP($G353,Depreciation!$A$14:$L$18,11,FALSE)/2,IF($H353&lt;M$2,VLOOKUP($G353,Depreciation!$A$14:$L$18,11,FALSE),0))</f>
        <v>0</v>
      </c>
      <c r="N353" s="306">
        <f>+IF($H353=N$2,VLOOKUP($G353,Depreciation!$A$14:$L$18,12,FALSE)/2,IF($H353&lt;N$2,VLOOKUP($G353,Depreciation!$A$14:$L$18,12,FALSE),0))</f>
        <v>0</v>
      </c>
      <c r="O353" s="307">
        <f t="shared" si="42"/>
        <v>0</v>
      </c>
      <c r="P353" s="732">
        <f>'Func Future Subs 2015'!P353</f>
        <v>0</v>
      </c>
      <c r="Q353" s="732">
        <f>'Func Future Subs 2015'!Q353</f>
        <v>0</v>
      </c>
      <c r="R353" s="732">
        <f>'Func Future Subs 2015'!R353</f>
        <v>1</v>
      </c>
      <c r="S353" s="735">
        <f t="shared" si="43"/>
        <v>0</v>
      </c>
      <c r="T353" s="735">
        <f t="shared" si="44"/>
        <v>0</v>
      </c>
      <c r="U353" s="735">
        <f t="shared" si="45"/>
        <v>0</v>
      </c>
      <c r="V353" s="736">
        <f t="shared" si="46"/>
        <v>0</v>
      </c>
      <c r="W353" s="735">
        <f t="shared" si="47"/>
        <v>0</v>
      </c>
      <c r="X353" s="737">
        <f t="shared" si="48"/>
        <v>0</v>
      </c>
      <c r="Y353" s="738">
        <f t="shared" si="49"/>
        <v>0</v>
      </c>
    </row>
    <row r="354" spans="1:25">
      <c r="A354" s="754" t="str">
        <f>'Func Future Subs 2015'!A354</f>
        <v>PENV</v>
      </c>
      <c r="B354" s="754">
        <f>'Func Future Subs 2015'!B354</f>
        <v>1781</v>
      </c>
      <c r="C354" s="754">
        <f>'Func Future Subs 2015'!C354</f>
        <v>240</v>
      </c>
      <c r="D354" s="754">
        <f>'Func Future Subs 2015'!D354</f>
        <v>144</v>
      </c>
      <c r="E354" s="754">
        <f>'Func Future Subs 2015'!E354</f>
        <v>0</v>
      </c>
      <c r="F354" s="754">
        <f>'Func Future Subs 2015'!F354</f>
        <v>22116340.596381165</v>
      </c>
      <c r="G354" s="754" t="str">
        <f>'Func Future Subs 2015'!G354</f>
        <v>ATCO</v>
      </c>
      <c r="H354" s="754">
        <f>'Func Future Subs 2015'!H354</f>
        <v>2021</v>
      </c>
      <c r="I354" s="306">
        <f>+IF($H354=I$2,VLOOKUP($G354,Depreciation!$A$14:$L$18,7,FALSE)/2,IF($H354&lt;I$2,VLOOKUP($G354,Depreciation!$A$14:$L$18,7,FALSE),0))</f>
        <v>0</v>
      </c>
      <c r="J354" s="306">
        <f>+IF($H354=J$2,VLOOKUP($G354,Depreciation!$A$14:$L$18,8,FALSE)/2,IF($H354&lt;J$2,VLOOKUP($G354,Depreciation!$A$14:$L$18,8,FALSE),0))</f>
        <v>0</v>
      </c>
      <c r="K354" s="306">
        <f>+IF($H354=K$2,VLOOKUP($G354,Depreciation!$A$14:$L$18,9,FALSE)/2,IF($H354&lt;K$2,VLOOKUP($G354,Depreciation!$A$14:$L$18,9,FALSE),0))</f>
        <v>0</v>
      </c>
      <c r="L354" s="306">
        <f>+IF($H354=L$2,VLOOKUP($G354,Depreciation!$A$14:$L$18,10,FALSE)/2,IF($H354&lt;L$2,VLOOKUP($G354,Depreciation!$A$14:$L$18,10,FALSE),0))</f>
        <v>0</v>
      </c>
      <c r="M354" s="306">
        <f>+IF($H354=M$2,VLOOKUP($G354,Depreciation!$A$14:$L$18,11,FALSE)/2,IF($H354&lt;M$2,VLOOKUP($G354,Depreciation!$A$14:$L$18,11,FALSE),0))</f>
        <v>0</v>
      </c>
      <c r="N354" s="306">
        <f>+IF($H354=N$2,VLOOKUP($G354,Depreciation!$A$14:$L$18,12,FALSE)/2,IF($H354&lt;N$2,VLOOKUP($G354,Depreciation!$A$14:$L$18,12,FALSE),0))</f>
        <v>0</v>
      </c>
      <c r="O354" s="307">
        <f t="shared" si="42"/>
        <v>0</v>
      </c>
      <c r="P354" s="732">
        <f>'Func Future Subs 2015'!P354</f>
        <v>0</v>
      </c>
      <c r="Q354" s="732">
        <f>'Func Future Subs 2015'!Q354</f>
        <v>0</v>
      </c>
      <c r="R354" s="732">
        <f>'Func Future Subs 2015'!R354</f>
        <v>1</v>
      </c>
      <c r="S354" s="735">
        <f t="shared" si="43"/>
        <v>0</v>
      </c>
      <c r="T354" s="735">
        <f t="shared" si="44"/>
        <v>0</v>
      </c>
      <c r="U354" s="735">
        <f t="shared" si="45"/>
        <v>0</v>
      </c>
      <c r="V354" s="736">
        <f t="shared" si="46"/>
        <v>0</v>
      </c>
      <c r="W354" s="735">
        <f t="shared" si="47"/>
        <v>0</v>
      </c>
      <c r="X354" s="737">
        <f t="shared" si="48"/>
        <v>0</v>
      </c>
      <c r="Y354" s="738">
        <f t="shared" si="49"/>
        <v>0</v>
      </c>
    </row>
    <row r="355" spans="1:25">
      <c r="A355" s="757"/>
      <c r="B355" s="757"/>
      <c r="C355" s="757"/>
      <c r="D355" s="757"/>
      <c r="E355" s="757"/>
      <c r="F355" s="757"/>
      <c r="G355" s="757"/>
      <c r="H355" s="757"/>
      <c r="P355" s="627"/>
      <c r="Q355" s="627"/>
      <c r="R355" s="627"/>
      <c r="S355" s="627"/>
      <c r="T355" s="627"/>
      <c r="U355" s="627"/>
      <c r="V355" s="627"/>
      <c r="W355" s="627"/>
      <c r="X355" s="627"/>
      <c r="Y355" s="627"/>
    </row>
    <row r="356" spans="1:25">
      <c r="F356" s="322">
        <f>SUM(F3:F355)</f>
        <v>3497345536.4569278</v>
      </c>
      <c r="O356" s="601">
        <f>SUM(O3:O355)</f>
        <v>2300834192.912499</v>
      </c>
      <c r="P356" s="601"/>
      <c r="Q356" s="601"/>
      <c r="R356" s="601"/>
      <c r="S356" s="601">
        <f>SUM(S3:S355)</f>
        <v>35130077.047546014</v>
      </c>
      <c r="T356" s="601">
        <f>SUM(T3:T355)</f>
        <v>359899437.33565694</v>
      </c>
      <c r="U356" s="601">
        <f>SUM(U3:U355)</f>
        <v>1905804678.5292969</v>
      </c>
      <c r="V356" s="601">
        <f>SUM(V3:V355)</f>
        <v>124651619.9493016</v>
      </c>
      <c r="W356" s="601">
        <f t="shared" ref="W356:Y356" si="50">SUM(W3:W355)</f>
        <v>1438246700.0608811</v>
      </c>
      <c r="X356" s="601">
        <f t="shared" si="50"/>
        <v>334869174.25373465</v>
      </c>
      <c r="Y356" s="601">
        <f t="shared" si="50"/>
        <v>403066698.64858222</v>
      </c>
    </row>
    <row r="357" spans="1:25">
      <c r="F357" s="322">
        <f>SUMIF(H3:H355,"&lt;=2016",F3:F355)</f>
        <v>2397790849.9607306</v>
      </c>
      <c r="O357" s="601"/>
      <c r="P357" s="601"/>
      <c r="Q357" s="601"/>
      <c r="R357" s="601"/>
      <c r="S357" s="601"/>
      <c r="T357" s="601"/>
      <c r="U357" s="601"/>
      <c r="V357" s="601"/>
      <c r="W357" s="601"/>
      <c r="X357" s="601"/>
      <c r="Y357" s="601"/>
    </row>
    <row r="358" spans="1:25">
      <c r="O358" s="601"/>
      <c r="P358" s="601"/>
      <c r="Q358" s="601"/>
      <c r="R358" s="601"/>
      <c r="S358" s="601"/>
      <c r="T358" s="601"/>
      <c r="U358" s="601"/>
      <c r="V358" s="601">
        <f>SUM(S356:U356)-V356</f>
        <v>2176182572.9631982</v>
      </c>
      <c r="W358" s="601"/>
      <c r="X358" s="601"/>
      <c r="Y358" s="601">
        <f>SUM(W356:Y356)</f>
        <v>2176182572.9631977</v>
      </c>
    </row>
    <row r="359" spans="1:25">
      <c r="P359" s="627"/>
      <c r="Q359" s="627"/>
      <c r="R359" s="627"/>
      <c r="S359" s="627"/>
      <c r="T359" s="627"/>
      <c r="U359" s="627"/>
      <c r="V359" s="627"/>
      <c r="W359" s="627"/>
      <c r="X359" s="627"/>
      <c r="Y359" s="627"/>
    </row>
    <row r="360" spans="1:25">
      <c r="P360" s="627"/>
      <c r="Q360" s="627"/>
      <c r="R360" s="627"/>
      <c r="S360" s="627"/>
      <c r="T360" s="627"/>
      <c r="U360" s="627"/>
      <c r="V360" s="627"/>
      <c r="W360" s="627"/>
      <c r="X360" s="627"/>
      <c r="Y360" s="627"/>
    </row>
    <row r="361" spans="1:25">
      <c r="P361" s="627"/>
      <c r="Q361" s="627"/>
      <c r="R361" s="627"/>
      <c r="S361" s="627"/>
      <c r="T361" s="627"/>
      <c r="U361" s="627"/>
      <c r="V361" s="627"/>
      <c r="W361" s="627"/>
      <c r="X361" s="627"/>
      <c r="Y361" s="627"/>
    </row>
    <row r="362" spans="1:25">
      <c r="P362" s="627"/>
      <c r="Q362" s="627"/>
      <c r="R362" s="627"/>
      <c r="S362" s="627"/>
      <c r="T362" s="627"/>
      <c r="U362" s="627"/>
      <c r="V362" s="627"/>
      <c r="W362" s="627"/>
      <c r="X362" s="627"/>
      <c r="Y362" s="627"/>
    </row>
    <row r="363" spans="1:25">
      <c r="P363" s="627"/>
      <c r="Q363" s="627"/>
      <c r="R363" s="627"/>
      <c r="S363" s="627"/>
      <c r="T363" s="627"/>
      <c r="U363" s="627"/>
      <c r="V363" s="627"/>
      <c r="W363" s="627"/>
      <c r="X363" s="627"/>
      <c r="Y363" s="627"/>
    </row>
    <row r="364" spans="1:25">
      <c r="P364" s="627"/>
      <c r="Q364" s="627"/>
      <c r="R364" s="627"/>
      <c r="S364" s="627"/>
      <c r="T364" s="627"/>
      <c r="U364" s="627"/>
      <c r="V364" s="627"/>
      <c r="W364" s="627"/>
      <c r="X364" s="627"/>
      <c r="Y364" s="627"/>
    </row>
    <row r="365" spans="1:25">
      <c r="P365" s="627"/>
      <c r="Q365" s="627"/>
      <c r="R365" s="627"/>
      <c r="S365" s="627"/>
      <c r="T365" s="627"/>
      <c r="U365" s="627"/>
      <c r="V365" s="627"/>
      <c r="W365" s="627"/>
      <c r="X365" s="627"/>
      <c r="Y365" s="627"/>
    </row>
    <row r="366" spans="1:25">
      <c r="P366" s="627"/>
      <c r="Q366" s="627"/>
      <c r="R366" s="627"/>
      <c r="S366" s="627"/>
      <c r="T366" s="627"/>
      <c r="U366" s="627"/>
      <c r="V366" s="627"/>
      <c r="W366" s="627"/>
      <c r="X366" s="627"/>
      <c r="Y366" s="627"/>
    </row>
    <row r="367" spans="1:25">
      <c r="P367" s="627"/>
      <c r="Q367" s="627"/>
      <c r="R367" s="627"/>
      <c r="S367" s="627"/>
      <c r="T367" s="627"/>
      <c r="U367" s="627"/>
      <c r="V367" s="627"/>
      <c r="W367" s="627"/>
      <c r="X367" s="627"/>
      <c r="Y367" s="627"/>
    </row>
    <row r="368" spans="1:25">
      <c r="P368" s="627"/>
      <c r="Q368" s="627"/>
      <c r="R368" s="627"/>
      <c r="S368" s="627"/>
      <c r="T368" s="627"/>
      <c r="U368" s="627"/>
      <c r="V368" s="627"/>
      <c r="W368" s="627"/>
      <c r="X368" s="627"/>
      <c r="Y368" s="627"/>
    </row>
    <row r="369" spans="16:25">
      <c r="P369" s="627"/>
      <c r="Q369" s="627"/>
      <c r="R369" s="627"/>
      <c r="S369" s="627"/>
      <c r="T369" s="627"/>
      <c r="U369" s="627"/>
      <c r="V369" s="627"/>
      <c r="W369" s="627"/>
      <c r="X369" s="627"/>
      <c r="Y369" s="627"/>
    </row>
    <row r="370" spans="16:25">
      <c r="P370" s="627"/>
      <c r="Q370" s="627"/>
      <c r="R370" s="627"/>
      <c r="S370" s="627"/>
      <c r="T370" s="627"/>
      <c r="U370" s="627"/>
      <c r="V370" s="627"/>
      <c r="W370" s="627"/>
      <c r="X370" s="627"/>
      <c r="Y370" s="627"/>
    </row>
    <row r="371" spans="16:25">
      <c r="P371" s="627"/>
      <c r="Q371" s="627"/>
      <c r="R371" s="627"/>
      <c r="S371" s="627"/>
      <c r="T371" s="627"/>
      <c r="U371" s="627"/>
      <c r="V371" s="627"/>
      <c r="W371" s="627"/>
      <c r="X371" s="627"/>
      <c r="Y371" s="627"/>
    </row>
    <row r="372" spans="16:25">
      <c r="P372" s="627"/>
      <c r="Q372" s="627"/>
      <c r="R372" s="627"/>
      <c r="S372" s="627"/>
      <c r="T372" s="627"/>
      <c r="U372" s="627"/>
      <c r="V372" s="627"/>
      <c r="W372" s="627"/>
      <c r="X372" s="627"/>
      <c r="Y372" s="627"/>
    </row>
    <row r="373" spans="16:25">
      <c r="P373" s="627"/>
      <c r="Q373" s="627"/>
      <c r="R373" s="627"/>
      <c r="S373" s="627"/>
      <c r="T373" s="627"/>
      <c r="U373" s="627"/>
      <c r="V373" s="627"/>
      <c r="W373" s="627"/>
      <c r="X373" s="627"/>
      <c r="Y373" s="627"/>
    </row>
    <row r="374" spans="16:25">
      <c r="P374" s="627"/>
      <c r="Q374" s="627"/>
      <c r="R374" s="627"/>
      <c r="S374" s="627"/>
      <c r="T374" s="627"/>
      <c r="U374" s="627"/>
      <c r="V374" s="627"/>
      <c r="W374" s="627"/>
      <c r="X374" s="627"/>
      <c r="Y374" s="627"/>
    </row>
    <row r="375" spans="16:25">
      <c r="P375" s="627"/>
      <c r="Q375" s="627"/>
      <c r="R375" s="627"/>
      <c r="S375" s="627"/>
      <c r="T375" s="627"/>
      <c r="U375" s="627"/>
      <c r="V375" s="627"/>
      <c r="W375" s="627"/>
      <c r="X375" s="627"/>
      <c r="Y375" s="627"/>
    </row>
    <row r="376" spans="16:25">
      <c r="P376" s="627"/>
      <c r="Q376" s="627"/>
      <c r="R376" s="627"/>
      <c r="S376" s="627"/>
      <c r="T376" s="627"/>
      <c r="U376" s="627"/>
      <c r="V376" s="627"/>
      <c r="W376" s="627"/>
      <c r="X376" s="627"/>
      <c r="Y376" s="627"/>
    </row>
    <row r="377" spans="16:25">
      <c r="P377" s="627"/>
      <c r="Q377" s="627"/>
      <c r="R377" s="627"/>
      <c r="S377" s="627"/>
      <c r="T377" s="627"/>
      <c r="U377" s="627"/>
      <c r="V377" s="627"/>
      <c r="W377" s="627"/>
      <c r="X377" s="627"/>
      <c r="Y377" s="627"/>
    </row>
    <row r="378" spans="16:25">
      <c r="P378" s="627"/>
      <c r="Q378" s="627"/>
      <c r="R378" s="627"/>
      <c r="S378" s="627"/>
      <c r="T378" s="627"/>
      <c r="U378" s="627"/>
      <c r="V378" s="627"/>
      <c r="W378" s="627"/>
      <c r="X378" s="627"/>
      <c r="Y378" s="627"/>
    </row>
    <row r="379" spans="16:25">
      <c r="P379" s="627"/>
      <c r="Q379" s="627"/>
      <c r="R379" s="627"/>
      <c r="S379" s="627"/>
      <c r="T379" s="627"/>
      <c r="U379" s="627"/>
      <c r="V379" s="627"/>
      <c r="W379" s="627"/>
      <c r="X379" s="627"/>
      <c r="Y379" s="627"/>
    </row>
    <row r="380" spans="16:25">
      <c r="P380" s="627"/>
      <c r="Q380" s="627"/>
      <c r="R380" s="627"/>
      <c r="S380" s="627"/>
      <c r="T380" s="627"/>
      <c r="U380" s="627"/>
      <c r="V380" s="627"/>
      <c r="W380" s="627"/>
      <c r="X380" s="627"/>
      <c r="Y380" s="627"/>
    </row>
    <row r="381" spans="16:25">
      <c r="P381" s="627"/>
      <c r="Q381" s="627"/>
      <c r="R381" s="627"/>
      <c r="S381" s="627"/>
      <c r="T381" s="627"/>
      <c r="U381" s="627"/>
      <c r="V381" s="627"/>
      <c r="W381" s="627"/>
      <c r="X381" s="627"/>
      <c r="Y381" s="627"/>
    </row>
    <row r="382" spans="16:25">
      <c r="P382" s="627"/>
      <c r="Q382" s="627"/>
      <c r="R382" s="627"/>
      <c r="S382" s="627"/>
      <c r="T382" s="627"/>
      <c r="U382" s="627"/>
      <c r="V382" s="627"/>
      <c r="W382" s="627"/>
      <c r="X382" s="627"/>
      <c r="Y382" s="627"/>
    </row>
    <row r="383" spans="16:25">
      <c r="P383" s="627"/>
      <c r="Q383" s="627"/>
      <c r="R383" s="627"/>
      <c r="S383" s="627"/>
      <c r="T383" s="627"/>
      <c r="U383" s="627"/>
      <c r="V383" s="627"/>
      <c r="W383" s="627"/>
      <c r="X383" s="627"/>
      <c r="Y383" s="627"/>
    </row>
    <row r="384" spans="16:25">
      <c r="P384" s="627"/>
      <c r="Q384" s="627"/>
      <c r="R384" s="627"/>
      <c r="S384" s="627"/>
      <c r="T384" s="627"/>
      <c r="U384" s="627"/>
      <c r="V384" s="627"/>
      <c r="W384" s="627"/>
      <c r="X384" s="627"/>
      <c r="Y384" s="627"/>
    </row>
    <row r="385" spans="16:25">
      <c r="P385" s="627"/>
      <c r="Q385" s="627"/>
      <c r="R385" s="627"/>
      <c r="S385" s="627"/>
      <c r="T385" s="627"/>
      <c r="U385" s="627"/>
      <c r="V385" s="627"/>
      <c r="W385" s="627"/>
      <c r="X385" s="627"/>
      <c r="Y385" s="627"/>
    </row>
    <row r="386" spans="16:25">
      <c r="P386" s="627"/>
      <c r="Q386" s="627"/>
      <c r="R386" s="627"/>
      <c r="S386" s="627"/>
      <c r="T386" s="627"/>
      <c r="U386" s="627"/>
      <c r="V386" s="627"/>
      <c r="W386" s="627"/>
      <c r="X386" s="627"/>
      <c r="Y386" s="627"/>
    </row>
    <row r="387" spans="16:25">
      <c r="P387" s="627"/>
      <c r="Q387" s="627"/>
      <c r="R387" s="627"/>
      <c r="S387" s="627"/>
      <c r="T387" s="627"/>
      <c r="U387" s="627"/>
      <c r="V387" s="627"/>
      <c r="W387" s="627"/>
      <c r="X387" s="627"/>
      <c r="Y387" s="627"/>
    </row>
  </sheetData>
  <autoFilter ref="A2:AE352">
    <filterColumn colId="1">
      <filters>
        <filter val="1180"/>
      </filters>
    </filterColumn>
  </autoFilter>
  <mergeCells count="7">
    <mergeCell ref="AA8:AD8"/>
    <mergeCell ref="A1:F1"/>
    <mergeCell ref="G1:O1"/>
    <mergeCell ref="P1:R1"/>
    <mergeCell ref="S1:U1"/>
    <mergeCell ref="W1:Y1"/>
    <mergeCell ref="AA1:AD1"/>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70C0"/>
  </sheetPr>
  <dimension ref="A1:AD359"/>
  <sheetViews>
    <sheetView showGridLines="0" zoomScale="70" zoomScaleNormal="70" workbookViewId="0">
      <pane ySplit="2" topLeftCell="A3" activePane="bottomLeft" state="frozen"/>
      <selection activeCell="O24" sqref="A1:XFD1048576"/>
      <selection pane="bottomLeft" activeCell="Y356" sqref="A1:Y356"/>
    </sheetView>
  </sheetViews>
  <sheetFormatPr defaultColWidth="9.109375" defaultRowHeight="13.8"/>
  <cols>
    <col min="1" max="1" width="43.88671875" style="286" customWidth="1"/>
    <col min="2" max="2" width="22.109375" style="286" bestFit="1" customWidth="1"/>
    <col min="3" max="3" width="20.33203125" style="286" bestFit="1" customWidth="1"/>
    <col min="4" max="4" width="25" style="286" bestFit="1" customWidth="1"/>
    <col min="5" max="5" width="17" style="286" bestFit="1" customWidth="1"/>
    <col min="6" max="6" width="16.5546875" style="286" bestFit="1" customWidth="1"/>
    <col min="7" max="7" width="9.109375" style="286"/>
    <col min="8" max="8" width="19.109375" style="286" customWidth="1"/>
    <col min="9" max="9" width="19" style="286" customWidth="1"/>
    <col min="10" max="10" width="21.44140625" style="286" customWidth="1"/>
    <col min="11" max="14" width="17.6640625" style="286" customWidth="1"/>
    <col min="15" max="15" width="25" style="286" bestFit="1" customWidth="1"/>
    <col min="16" max="16" width="19.5546875" style="4" customWidth="1"/>
    <col min="17" max="17" width="16.44140625" style="4" customWidth="1"/>
    <col min="18" max="18" width="12.109375" style="4" customWidth="1"/>
    <col min="19" max="19" width="15.6640625" style="4" bestFit="1" customWidth="1"/>
    <col min="20" max="20" width="22.44140625" style="4" customWidth="1"/>
    <col min="21" max="21" width="16.109375" style="4" bestFit="1" customWidth="1"/>
    <col min="22" max="22" width="22.33203125" style="4" customWidth="1"/>
    <col min="23" max="23" width="17.88671875" style="4" bestFit="1" customWidth="1"/>
    <col min="24" max="24" width="15.33203125" style="4" bestFit="1" customWidth="1"/>
    <col min="25" max="25" width="16.109375" style="4" bestFit="1" customWidth="1"/>
    <col min="26" max="26" width="19.44140625" style="286" customWidth="1"/>
    <col min="27" max="27" width="29.44140625" style="286" bestFit="1" customWidth="1"/>
    <col min="28" max="28" width="20.33203125" style="286" bestFit="1" customWidth="1"/>
    <col min="29" max="29" width="18.6640625" style="286" bestFit="1" customWidth="1"/>
    <col min="30" max="30" width="24" style="286" bestFit="1" customWidth="1"/>
    <col min="31" max="16384" width="9.109375" style="286"/>
  </cols>
  <sheetData>
    <row r="1" spans="1:30" ht="14.4" thickBot="1">
      <c r="A1" s="1015" t="s">
        <v>2066</v>
      </c>
      <c r="B1" s="1016"/>
      <c r="C1" s="1016"/>
      <c r="D1" s="1016"/>
      <c r="E1" s="1016"/>
      <c r="F1" s="1017"/>
      <c r="G1" s="1018" t="s">
        <v>51</v>
      </c>
      <c r="H1" s="1019"/>
      <c r="I1" s="1019"/>
      <c r="J1" s="1019"/>
      <c r="K1" s="1019"/>
      <c r="L1" s="1019"/>
      <c r="M1" s="1019"/>
      <c r="N1" s="1019"/>
      <c r="O1" s="1019"/>
      <c r="P1" s="993" t="s">
        <v>101</v>
      </c>
      <c r="Q1" s="994"/>
      <c r="R1" s="995"/>
      <c r="S1" s="990" t="s">
        <v>103</v>
      </c>
      <c r="T1" s="991"/>
      <c r="U1" s="992"/>
      <c r="V1" s="285" t="s">
        <v>725</v>
      </c>
      <c r="W1" s="987" t="s">
        <v>45</v>
      </c>
      <c r="X1" s="988"/>
      <c r="Y1" s="989"/>
      <c r="AA1" s="1014" t="s">
        <v>147</v>
      </c>
      <c r="AB1" s="1014"/>
      <c r="AC1" s="1014"/>
      <c r="AD1" s="1014"/>
    </row>
    <row r="2" spans="1:30" ht="27.6">
      <c r="A2" s="287" t="s">
        <v>135</v>
      </c>
      <c r="B2" s="288" t="s">
        <v>136</v>
      </c>
      <c r="C2" s="288" t="s">
        <v>1496</v>
      </c>
      <c r="D2" s="289" t="s">
        <v>142</v>
      </c>
      <c r="E2" s="289" t="s">
        <v>1679</v>
      </c>
      <c r="F2" s="290" t="s">
        <v>141</v>
      </c>
      <c r="G2" s="291" t="s">
        <v>30</v>
      </c>
      <c r="H2" s="292" t="s">
        <v>137</v>
      </c>
      <c r="I2" s="292">
        <v>2015</v>
      </c>
      <c r="J2" s="292">
        <v>2016</v>
      </c>
      <c r="K2" s="292">
        <v>2017</v>
      </c>
      <c r="L2" s="292">
        <v>2018</v>
      </c>
      <c r="M2" s="293">
        <v>2019</v>
      </c>
      <c r="N2" s="293">
        <v>2020</v>
      </c>
      <c r="O2" s="294" t="s">
        <v>1503</v>
      </c>
      <c r="P2" s="295" t="s">
        <v>99</v>
      </c>
      <c r="Q2" s="296" t="s">
        <v>100</v>
      </c>
      <c r="R2" s="297" t="s">
        <v>102</v>
      </c>
      <c r="S2" s="298" t="s">
        <v>53</v>
      </c>
      <c r="T2" s="299" t="s">
        <v>50</v>
      </c>
      <c r="U2" s="300" t="s">
        <v>102</v>
      </c>
      <c r="V2" s="301" t="s">
        <v>725</v>
      </c>
      <c r="W2" s="302" t="s">
        <v>104</v>
      </c>
      <c r="X2" s="303" t="s">
        <v>74</v>
      </c>
      <c r="Y2" s="304" t="s">
        <v>50</v>
      </c>
      <c r="AA2" s="305"/>
      <c r="AB2" s="305" t="s">
        <v>49</v>
      </c>
      <c r="AC2" s="305" t="s">
        <v>74</v>
      </c>
      <c r="AD2" s="305" t="s">
        <v>146</v>
      </c>
    </row>
    <row r="3" spans="1:30">
      <c r="A3" s="754" t="str">
        <f>'Func Future Subs 2015'!A3</f>
        <v>Brintnell 876S</v>
      </c>
      <c r="B3" s="754">
        <f>'Func Future Subs 2015'!B3</f>
        <v>437</v>
      </c>
      <c r="C3" s="754">
        <f>'Func Future Subs 2015'!C3</f>
        <v>240</v>
      </c>
      <c r="D3" s="754">
        <f>'Func Future Subs 2015'!D3</f>
        <v>25</v>
      </c>
      <c r="E3" s="754" t="str">
        <f>'Func Future Subs 2015'!E3</f>
        <v>876S</v>
      </c>
      <c r="F3" s="754">
        <f>'Func Future Subs 2015'!F3</f>
        <v>2902755.0596147967</v>
      </c>
      <c r="G3" s="754" t="str">
        <f>'Func Future Subs 2015'!G3</f>
        <v>ATCO</v>
      </c>
      <c r="H3" s="754">
        <f>'Func Future Subs 2015'!H3</f>
        <v>2016</v>
      </c>
      <c r="I3" s="306">
        <f>+IF($H3=I$2,VLOOKUP($G3,Depreciation!$A$14:$L$18,7,FALSE)/2,IF($H3&lt;I$2,VLOOKUP($G3,Depreciation!$A$14:$L$18,7,FALSE),0))</f>
        <v>0</v>
      </c>
      <c r="J3" s="306">
        <f>+IF($H3=J$2,VLOOKUP($G3,Depreciation!$A$14:$L$18,8,FALSE)/2,IF($H3&lt;J$2,VLOOKUP($G3,Depreciation!$A$14:$L$18,8,FALSE),0))</f>
        <v>1.231622525054236E-2</v>
      </c>
      <c r="K3" s="306">
        <f>+IF($H3=K$2,VLOOKUP($G3,Depreciation!$A$14:$L$18,9,FALSE)/2,IF($H3&lt;K$2,VLOOKUP($G3,Depreciation!$A$14:$L$18,9,FALSE),0))</f>
        <v>2.4351536427798831E-2</v>
      </c>
      <c r="L3" s="306">
        <f>+IF($H3=L$2,VLOOKUP($G3,Depreciation!$A$14:$L$18,10,FALSE)/2,IF($H3&lt;L$2,VLOOKUP($G3,Depreciation!$A$14:$L$18,10,FALSE),0))</f>
        <v>2.4351536427798831E-2</v>
      </c>
      <c r="M3" s="306">
        <f>+IF($H3=M$2,VLOOKUP($G3,Depreciation!$A$14:$L$18,11,FALSE)/2,IF($H3&lt;M$2,VLOOKUP($G3,Depreciation!$A$14:$L$18,11,FALSE),0))</f>
        <v>2.4351536427798831E-2</v>
      </c>
      <c r="N3" s="306">
        <f>+IF($H3=N$2,VLOOKUP($G3,Depreciation!$A$14:$L$18,12,FALSE)/2,IF($H3&lt;N$2,VLOOKUP($G3,Depreciation!$A$14:$L$18,12,FALSE),0))</f>
        <v>2.4351536427798831E-2</v>
      </c>
      <c r="O3" s="307">
        <f>IF(H3&lt;=2017,F3*(1-I3)*(1-J3)*(1-K3),0)</f>
        <v>2797188.120295729</v>
      </c>
      <c r="P3" s="732">
        <f>'Func Future Subs 2015'!P3</f>
        <v>0</v>
      </c>
      <c r="Q3" s="732">
        <f>'Func Future Subs 2015'!Q3</f>
        <v>1</v>
      </c>
      <c r="R3" s="732">
        <f>'Func Future Subs 2015'!R3</f>
        <v>0</v>
      </c>
      <c r="S3" s="735">
        <f>+P3*$O3</f>
        <v>0</v>
      </c>
      <c r="T3" s="735">
        <f t="shared" ref="T3:U3" si="0">+Q3*$O3</f>
        <v>2797188.120295729</v>
      </c>
      <c r="U3" s="735">
        <f t="shared" si="0"/>
        <v>0</v>
      </c>
      <c r="V3" s="736">
        <f>IF(AND(R3=1,D3=0),O3,0)</f>
        <v>0</v>
      </c>
      <c r="W3" s="735">
        <f>S3+IF(D3&gt;144,U3,0)</f>
        <v>0</v>
      </c>
      <c r="X3" s="737">
        <f>IF(AND(D3&lt;=144,D3&gt;=69),U3,0)</f>
        <v>0</v>
      </c>
      <c r="Y3" s="738">
        <f>T3+IF(AND(D3&lt;69,D3&gt;0),U3,0)</f>
        <v>2797188.120295729</v>
      </c>
      <c r="Z3" s="627"/>
      <c r="AA3" s="313" t="s">
        <v>108</v>
      </c>
      <c r="AB3" s="314">
        <f>W356</f>
        <v>1410811862.4893909</v>
      </c>
      <c r="AC3" s="314">
        <f>X356</f>
        <v>600395549.62659144</v>
      </c>
      <c r="AD3" s="314">
        <f>Y356</f>
        <v>588854717.18100417</v>
      </c>
    </row>
    <row r="4" spans="1:30">
      <c r="A4" s="754" t="str">
        <f>'Func Future Subs 2015'!A4</f>
        <v>Paintearth 863S</v>
      </c>
      <c r="B4" s="754">
        <f>'Func Future Subs 2015'!B4</f>
        <v>437</v>
      </c>
      <c r="C4" s="754">
        <f>'Func Future Subs 2015'!C4</f>
        <v>240</v>
      </c>
      <c r="D4" s="754">
        <f>'Func Future Subs 2015'!D4</f>
        <v>25</v>
      </c>
      <c r="E4" s="754" t="str">
        <f>'Func Future Subs 2015'!E4</f>
        <v>863S</v>
      </c>
      <c r="F4" s="754">
        <f>'Func Future Subs 2015'!F4</f>
        <v>1919444.9403852033</v>
      </c>
      <c r="G4" s="754" t="str">
        <f>'Func Future Subs 2015'!G4</f>
        <v>ATCO</v>
      </c>
      <c r="H4" s="754">
        <f>'Func Future Subs 2015'!H4</f>
        <v>2016</v>
      </c>
      <c r="I4" s="306">
        <f>+IF($H4=I$2,VLOOKUP($G4,Depreciation!$A$14:$L$18,7,FALSE)/2,IF($H4&lt;I$2,VLOOKUP($G4,Depreciation!$A$14:$L$18,7,FALSE),0))</f>
        <v>0</v>
      </c>
      <c r="J4" s="306">
        <f>+IF($H4=J$2,VLOOKUP($G4,Depreciation!$A$14:$L$18,8,FALSE)/2,IF($H4&lt;J$2,VLOOKUP($G4,Depreciation!$A$14:$L$18,8,FALSE),0))</f>
        <v>1.231622525054236E-2</v>
      </c>
      <c r="K4" s="306">
        <f>+IF($H4=K$2,VLOOKUP($G4,Depreciation!$A$14:$L$18,9,FALSE)/2,IF($H4&lt;K$2,VLOOKUP($G4,Depreciation!$A$14:$L$18,9,FALSE),0))</f>
        <v>2.4351536427798831E-2</v>
      </c>
      <c r="L4" s="306">
        <f>+IF($H4=L$2,VLOOKUP($G4,Depreciation!$A$14:$L$18,10,FALSE)/2,IF($H4&lt;L$2,VLOOKUP($G4,Depreciation!$A$14:$L$18,10,FALSE),0))</f>
        <v>2.4351536427798831E-2</v>
      </c>
      <c r="M4" s="306">
        <f>+IF($H4=M$2,VLOOKUP($G4,Depreciation!$A$14:$L$18,11,FALSE)/2,IF($H4&lt;M$2,VLOOKUP($G4,Depreciation!$A$14:$L$18,11,FALSE),0))</f>
        <v>2.4351536427798831E-2</v>
      </c>
      <c r="N4" s="306">
        <f>+IF($H4=N$2,VLOOKUP($G4,Depreciation!$A$14:$L$18,12,FALSE)/2,IF($H4&lt;N$2,VLOOKUP($G4,Depreciation!$A$14:$L$18,12,FALSE),0))</f>
        <v>2.4351536427798831E-2</v>
      </c>
      <c r="O4" s="307">
        <f t="shared" ref="O4:O67" si="1">IF(H4&lt;=2017,F4*(1-I4)*(1-J4)*(1-K4),0)</f>
        <v>1849638.8687785878</v>
      </c>
      <c r="P4" s="732">
        <f>'Func Future Subs 2015'!P4</f>
        <v>0</v>
      </c>
      <c r="Q4" s="732">
        <f>'Func Future Subs 2015'!Q4</f>
        <v>1</v>
      </c>
      <c r="R4" s="732">
        <f>'Func Future Subs 2015'!R4</f>
        <v>0</v>
      </c>
      <c r="S4" s="735">
        <f t="shared" ref="S4:S67" si="2">+P4*$O4</f>
        <v>0</v>
      </c>
      <c r="T4" s="735">
        <f t="shared" ref="T4:T67" si="3">+Q4*$O4</f>
        <v>1849638.8687785878</v>
      </c>
      <c r="U4" s="735">
        <f t="shared" ref="U4:U67" si="4">+R4*$O4</f>
        <v>0</v>
      </c>
      <c r="V4" s="736">
        <f t="shared" ref="V4:V67" si="5">IF(AND(R4=1,D4=0),O4,0)</f>
        <v>0</v>
      </c>
      <c r="W4" s="735">
        <f t="shared" ref="W4:W67" si="6">S4+IF(D4&gt;144,U4,0)</f>
        <v>0</v>
      </c>
      <c r="X4" s="737">
        <f t="shared" ref="X4:X67" si="7">IF(AND(D4&lt;=144,D4&gt;=69),U4,0)</f>
        <v>0</v>
      </c>
      <c r="Y4" s="738">
        <f t="shared" ref="Y4:Y67" si="8">T4+IF(AND(D4&lt;69,D4&gt;0),U4,0)</f>
        <v>1849638.8687785878</v>
      </c>
      <c r="Z4" s="627"/>
      <c r="AA4" s="313" t="s">
        <v>109</v>
      </c>
      <c r="AB4" s="315">
        <f>+AB3/SUM($AB$3:$AD$3)</f>
        <v>0.54260698103812266</v>
      </c>
      <c r="AC4" s="315">
        <f>+AC3/SUM($AB$3:$AD$3)</f>
        <v>0.23091584730282133</v>
      </c>
      <c r="AD4" s="315">
        <f>+AD3/SUM($AB$3:$AD$3)</f>
        <v>0.22647717165905595</v>
      </c>
    </row>
    <row r="5" spans="1:30">
      <c r="A5" s="754" t="str">
        <f>'Func Future Subs 2015'!A5</f>
        <v>Bowmanton 244S_(v1)</v>
      </c>
      <c r="B5" s="754">
        <f>'Func Future Subs 2015'!B5</f>
        <v>479</v>
      </c>
      <c r="C5" s="754">
        <f>'Func Future Subs 2015'!C5</f>
        <v>240</v>
      </c>
      <c r="D5" s="754">
        <f>'Func Future Subs 2015'!D5</f>
        <v>138</v>
      </c>
      <c r="E5" s="754" t="str">
        <f>'Func Future Subs 2015'!E5</f>
        <v>244S</v>
      </c>
      <c r="F5" s="754">
        <f>'Func Future Subs 2015'!F5</f>
        <v>6192429.956324066</v>
      </c>
      <c r="G5" s="754" t="str">
        <f>'Func Future Subs 2015'!G5</f>
        <v>AltaLink</v>
      </c>
      <c r="H5" s="754">
        <f>'Func Future Subs 2015'!H5</f>
        <v>2019</v>
      </c>
      <c r="I5" s="306">
        <f>+IF($H5=I$2,VLOOKUP($G5,Depreciation!$A$14:$L$18,7,FALSE)/2,IF($H5&lt;I$2,VLOOKUP($G5,Depreciation!$A$14:$L$18,7,FALSE),0))</f>
        <v>0</v>
      </c>
      <c r="J5" s="306">
        <f>+IF($H5=J$2,VLOOKUP($G5,Depreciation!$A$14:$L$18,8,FALSE)/2,IF($H5&lt;J$2,VLOOKUP($G5,Depreciation!$A$14:$L$18,8,FALSE),0))</f>
        <v>0</v>
      </c>
      <c r="K5" s="306">
        <f>+IF($H5=K$2,VLOOKUP($G5,Depreciation!$A$14:$L$18,9,FALSE)/2,IF($H5&lt;K$2,VLOOKUP($G5,Depreciation!$A$14:$L$18,9,FALSE),0))</f>
        <v>0</v>
      </c>
      <c r="L5" s="306">
        <f>+IF($H5=L$2,VLOOKUP($G5,Depreciation!$A$14:$L$18,10,FALSE)/2,IF($H5&lt;L$2,VLOOKUP($G5,Depreciation!$A$14:$L$18,10,FALSE),0))</f>
        <v>0</v>
      </c>
      <c r="M5" s="306">
        <f>+IF($H5=M$2,VLOOKUP($G5,Depreciation!$A$14:$L$18,11,FALSE)/2,IF($H5&lt;M$2,VLOOKUP($G5,Depreciation!$A$14:$L$18,11,FALSE),0))</f>
        <v>1.671703928371859E-2</v>
      </c>
      <c r="N5" s="306">
        <f>+IF($H5=N$2,VLOOKUP($G5,Depreciation!$A$14:$L$18,12,FALSE)/2,IF($H5&lt;N$2,VLOOKUP($G5,Depreciation!$A$14:$L$18,12,FALSE),0))</f>
        <v>3.343407856743718E-2</v>
      </c>
      <c r="O5" s="307">
        <f t="shared" si="1"/>
        <v>0</v>
      </c>
      <c r="P5" s="732">
        <f>'Func Future Subs 2015'!P5</f>
        <v>0</v>
      </c>
      <c r="Q5" s="732">
        <f>'Func Future Subs 2015'!Q5</f>
        <v>0</v>
      </c>
      <c r="R5" s="732">
        <f>'Func Future Subs 2015'!R5</f>
        <v>1</v>
      </c>
      <c r="S5" s="735">
        <f t="shared" si="2"/>
        <v>0</v>
      </c>
      <c r="T5" s="735">
        <f t="shared" si="3"/>
        <v>0</v>
      </c>
      <c r="U5" s="735">
        <f t="shared" si="4"/>
        <v>0</v>
      </c>
      <c r="V5" s="736">
        <f t="shared" si="5"/>
        <v>0</v>
      </c>
      <c r="W5" s="735">
        <f t="shared" si="6"/>
        <v>0</v>
      </c>
      <c r="X5" s="737">
        <f t="shared" si="7"/>
        <v>0</v>
      </c>
      <c r="Y5" s="738">
        <f t="shared" si="8"/>
        <v>0</v>
      </c>
    </row>
    <row r="6" spans="1:30">
      <c r="A6" s="754" t="str">
        <f>'Func Future Subs 2015'!A6</f>
        <v>Elkwater 264S_(v1)</v>
      </c>
      <c r="B6" s="754">
        <f>'Func Future Subs 2015'!B6</f>
        <v>479</v>
      </c>
      <c r="C6" s="754">
        <f>'Func Future Subs 2015'!C6</f>
        <v>240</v>
      </c>
      <c r="D6" s="754">
        <f>'Func Future Subs 2015'!D6</f>
        <v>240</v>
      </c>
      <c r="E6" s="754" t="str">
        <f>'Func Future Subs 2015'!E6</f>
        <v>264S</v>
      </c>
      <c r="F6" s="754">
        <f>'Func Future Subs 2015'!F6</f>
        <v>3207190.9954739143</v>
      </c>
      <c r="G6" s="754" t="str">
        <f>'Func Future Subs 2015'!G6</f>
        <v>AltaLink</v>
      </c>
      <c r="H6" s="754">
        <f>'Func Future Subs 2015'!H6</f>
        <v>2019</v>
      </c>
      <c r="I6" s="306">
        <f>+IF($H6=I$2,VLOOKUP($G6,Depreciation!$A$14:$L$18,7,FALSE)/2,IF($H6&lt;I$2,VLOOKUP($G6,Depreciation!$A$14:$L$18,7,FALSE),0))</f>
        <v>0</v>
      </c>
      <c r="J6" s="306">
        <f>+IF($H6=J$2,VLOOKUP($G6,Depreciation!$A$14:$L$18,8,FALSE)/2,IF($H6&lt;J$2,VLOOKUP($G6,Depreciation!$A$14:$L$18,8,FALSE),0))</f>
        <v>0</v>
      </c>
      <c r="K6" s="306">
        <f>+IF($H6=K$2,VLOOKUP($G6,Depreciation!$A$14:$L$18,9,FALSE)/2,IF($H6&lt;K$2,VLOOKUP($G6,Depreciation!$A$14:$L$18,9,FALSE),0))</f>
        <v>0</v>
      </c>
      <c r="L6" s="306">
        <f>+IF($H6=L$2,VLOOKUP($G6,Depreciation!$A$14:$L$18,10,FALSE)/2,IF($H6&lt;L$2,VLOOKUP($G6,Depreciation!$A$14:$L$18,10,FALSE),0))</f>
        <v>0</v>
      </c>
      <c r="M6" s="306">
        <f>+IF($H6=M$2,VLOOKUP($G6,Depreciation!$A$14:$L$18,11,FALSE)/2,IF($H6&lt;M$2,VLOOKUP($G6,Depreciation!$A$14:$L$18,11,FALSE),0))</f>
        <v>1.671703928371859E-2</v>
      </c>
      <c r="N6" s="306">
        <f>+IF($H6=N$2,VLOOKUP($G6,Depreciation!$A$14:$L$18,12,FALSE)/2,IF($H6&lt;N$2,VLOOKUP($G6,Depreciation!$A$14:$L$18,12,FALSE),0))</f>
        <v>3.343407856743718E-2</v>
      </c>
      <c r="O6" s="307">
        <f t="shared" si="1"/>
        <v>0</v>
      </c>
      <c r="P6" s="732">
        <f>'Func Future Subs 2015'!P6</f>
        <v>0</v>
      </c>
      <c r="Q6" s="732">
        <f>'Func Future Subs 2015'!Q6</f>
        <v>0</v>
      </c>
      <c r="R6" s="732">
        <f>'Func Future Subs 2015'!R6</f>
        <v>1</v>
      </c>
      <c r="S6" s="735">
        <f t="shared" si="2"/>
        <v>0</v>
      </c>
      <c r="T6" s="735">
        <f t="shared" si="3"/>
        <v>0</v>
      </c>
      <c r="U6" s="735">
        <f t="shared" si="4"/>
        <v>0</v>
      </c>
      <c r="V6" s="736">
        <f t="shared" si="5"/>
        <v>0</v>
      </c>
      <c r="W6" s="735">
        <f t="shared" si="6"/>
        <v>0</v>
      </c>
      <c r="X6" s="737">
        <f t="shared" si="7"/>
        <v>0</v>
      </c>
      <c r="Y6" s="738">
        <f t="shared" si="8"/>
        <v>0</v>
      </c>
      <c r="AA6" s="286" t="s">
        <v>180</v>
      </c>
      <c r="AB6" s="316">
        <f>+O356</f>
        <v>2817619557.0344672</v>
      </c>
    </row>
    <row r="7" spans="1:30">
      <c r="A7" s="754" t="str">
        <f>'Func Future Subs 2015'!A7</f>
        <v>WildRose1 547S_(v1)</v>
      </c>
      <c r="B7" s="754">
        <f>'Func Future Subs 2015'!B7</f>
        <v>479</v>
      </c>
      <c r="C7" s="754">
        <f>'Func Future Subs 2015'!C7</f>
        <v>240</v>
      </c>
      <c r="D7" s="754">
        <f>'Func Future Subs 2015'!D7</f>
        <v>0</v>
      </c>
      <c r="E7" s="754" t="str">
        <f>'Func Future Subs 2015'!E7</f>
        <v>547S</v>
      </c>
      <c r="F7" s="754">
        <f>'Func Future Subs 2015'!F7</f>
        <v>694965.93628763652</v>
      </c>
      <c r="G7" s="754" t="str">
        <f>'Func Future Subs 2015'!G7</f>
        <v>AltaLink</v>
      </c>
      <c r="H7" s="754">
        <f>'Func Future Subs 2015'!H7</f>
        <v>2019</v>
      </c>
      <c r="I7" s="306">
        <f>+IF($H7=I$2,VLOOKUP($G7,Depreciation!$A$14:$L$18,7,FALSE)/2,IF($H7&lt;I$2,VLOOKUP($G7,Depreciation!$A$14:$L$18,7,FALSE),0))</f>
        <v>0</v>
      </c>
      <c r="J7" s="306">
        <f>+IF($H7=J$2,VLOOKUP($G7,Depreciation!$A$14:$L$18,8,FALSE)/2,IF($H7&lt;J$2,VLOOKUP($G7,Depreciation!$A$14:$L$18,8,FALSE),0))</f>
        <v>0</v>
      </c>
      <c r="K7" s="306">
        <f>+IF($H7=K$2,VLOOKUP($G7,Depreciation!$A$14:$L$18,9,FALSE)/2,IF($H7&lt;K$2,VLOOKUP($G7,Depreciation!$A$14:$L$18,9,FALSE),0))</f>
        <v>0</v>
      </c>
      <c r="L7" s="306">
        <f>+IF($H7=L$2,VLOOKUP($G7,Depreciation!$A$14:$L$18,10,FALSE)/2,IF($H7&lt;L$2,VLOOKUP($G7,Depreciation!$A$14:$L$18,10,FALSE),0))</f>
        <v>0</v>
      </c>
      <c r="M7" s="306">
        <f>+IF($H7=M$2,VLOOKUP($G7,Depreciation!$A$14:$L$18,11,FALSE)/2,IF($H7&lt;M$2,VLOOKUP($G7,Depreciation!$A$14:$L$18,11,FALSE),0))</f>
        <v>1.671703928371859E-2</v>
      </c>
      <c r="N7" s="306">
        <f>+IF($H7=N$2,VLOOKUP($G7,Depreciation!$A$14:$L$18,12,FALSE)/2,IF($H7&lt;N$2,VLOOKUP($G7,Depreciation!$A$14:$L$18,12,FALSE),0))</f>
        <v>3.343407856743718E-2</v>
      </c>
      <c r="O7" s="307">
        <f t="shared" si="1"/>
        <v>0</v>
      </c>
      <c r="P7" s="732">
        <f>'Func Future Subs 2015'!P7</f>
        <v>0</v>
      </c>
      <c r="Q7" s="732">
        <f>'Func Future Subs 2015'!Q7</f>
        <v>0</v>
      </c>
      <c r="R7" s="732">
        <f>'Func Future Subs 2015'!R7</f>
        <v>1</v>
      </c>
      <c r="S7" s="735">
        <f t="shared" si="2"/>
        <v>0</v>
      </c>
      <c r="T7" s="735">
        <f t="shared" si="3"/>
        <v>0</v>
      </c>
      <c r="U7" s="735">
        <f t="shared" si="4"/>
        <v>0</v>
      </c>
      <c r="V7" s="736">
        <f t="shared" si="5"/>
        <v>0</v>
      </c>
      <c r="W7" s="735">
        <f t="shared" si="6"/>
        <v>0</v>
      </c>
      <c r="X7" s="737">
        <f t="shared" si="7"/>
        <v>0</v>
      </c>
      <c r="Y7" s="738">
        <f t="shared" si="8"/>
        <v>0</v>
      </c>
    </row>
    <row r="8" spans="1:30">
      <c r="A8" s="754" t="str">
        <f>'Func Future Subs 2015'!A8</f>
        <v>Bullshead 532S</v>
      </c>
      <c r="B8" s="754">
        <f>'Func Future Subs 2015'!B8</f>
        <v>513</v>
      </c>
      <c r="C8" s="754">
        <f>'Func Future Subs 2015'!C8</f>
        <v>145</v>
      </c>
      <c r="D8" s="754">
        <f>'Func Future Subs 2015'!D8</f>
        <v>0</v>
      </c>
      <c r="E8" s="754" t="str">
        <f>'Func Future Subs 2015'!E8</f>
        <v>532S</v>
      </c>
      <c r="F8" s="754">
        <f>'Func Future Subs 2015'!F8</f>
        <v>637591.72154280276</v>
      </c>
      <c r="G8" s="754" t="str">
        <f>'Func Future Subs 2015'!G8</f>
        <v>AltaLink</v>
      </c>
      <c r="H8" s="754">
        <f>'Func Future Subs 2015'!H8</f>
        <v>2017</v>
      </c>
      <c r="I8" s="306">
        <f>+IF($H8=I$2,VLOOKUP($G8,Depreciation!$A$14:$L$18,7,FALSE)/2,IF($H8&lt;I$2,VLOOKUP($G8,Depreciation!$A$14:$L$18,7,FALSE),0))</f>
        <v>0</v>
      </c>
      <c r="J8" s="306">
        <f>+IF($H8=J$2,VLOOKUP($G8,Depreciation!$A$14:$L$18,8,FALSE)/2,IF($H8&lt;J$2,VLOOKUP($G8,Depreciation!$A$14:$L$18,8,FALSE),0))</f>
        <v>0</v>
      </c>
      <c r="K8" s="306">
        <f>+IF($H8=K$2,VLOOKUP($G8,Depreciation!$A$14:$L$18,9,FALSE)/2,IF($H8&lt;K$2,VLOOKUP($G8,Depreciation!$A$14:$L$18,9,FALSE),0))</f>
        <v>1.671703928371859E-2</v>
      </c>
      <c r="L8" s="306">
        <f>+IF($H8=L$2,VLOOKUP($G8,Depreciation!$A$14:$L$18,10,FALSE)/2,IF($H8&lt;L$2,VLOOKUP($G8,Depreciation!$A$14:$L$18,10,FALSE),0))</f>
        <v>3.343407856743718E-2</v>
      </c>
      <c r="M8" s="306">
        <f>+IF($H8=M$2,VLOOKUP($G8,Depreciation!$A$14:$L$18,11,FALSE)/2,IF($H8&lt;M$2,VLOOKUP($G8,Depreciation!$A$14:$L$18,11,FALSE),0))</f>
        <v>3.343407856743718E-2</v>
      </c>
      <c r="N8" s="306">
        <f>+IF($H8=N$2,VLOOKUP($G8,Depreciation!$A$14:$L$18,12,FALSE)/2,IF($H8&lt;N$2,VLOOKUP($G8,Depreciation!$A$14:$L$18,12,FALSE),0))</f>
        <v>3.343407856743718E-2</v>
      </c>
      <c r="O8" s="307">
        <f t="shared" si="1"/>
        <v>626933.07568679797</v>
      </c>
      <c r="P8" s="732">
        <f>'Func Future Subs 2015'!P8</f>
        <v>0</v>
      </c>
      <c r="Q8" s="732">
        <f>'Func Future Subs 2015'!Q8</f>
        <v>0</v>
      </c>
      <c r="R8" s="732">
        <f>'Func Future Subs 2015'!R8</f>
        <v>1</v>
      </c>
      <c r="S8" s="735">
        <f t="shared" si="2"/>
        <v>0</v>
      </c>
      <c r="T8" s="735">
        <f t="shared" si="3"/>
        <v>0</v>
      </c>
      <c r="U8" s="735">
        <f t="shared" si="4"/>
        <v>626933.07568679797</v>
      </c>
      <c r="V8" s="736">
        <f t="shared" si="5"/>
        <v>626933.07568679797</v>
      </c>
      <c r="W8" s="735">
        <f t="shared" si="6"/>
        <v>0</v>
      </c>
      <c r="X8" s="737">
        <f t="shared" si="7"/>
        <v>0</v>
      </c>
      <c r="Y8" s="738">
        <f t="shared" si="8"/>
        <v>0</v>
      </c>
      <c r="AA8" s="1014" t="s">
        <v>147</v>
      </c>
      <c r="AB8" s="1014"/>
      <c r="AC8" s="1014"/>
      <c r="AD8" s="1014"/>
    </row>
    <row r="9" spans="1:30">
      <c r="A9" s="754" t="str">
        <f>'Func Future Subs 2015'!A9</f>
        <v>Medicine Hat 41S</v>
      </c>
      <c r="B9" s="754">
        <f>'Func Future Subs 2015'!B9</f>
        <v>513</v>
      </c>
      <c r="C9" s="754">
        <f>'Func Future Subs 2015'!C9</f>
        <v>240</v>
      </c>
      <c r="D9" s="754">
        <f>'Func Future Subs 2015'!D9</f>
        <v>69</v>
      </c>
      <c r="E9" s="754" t="str">
        <f>'Func Future Subs 2015'!E9</f>
        <v>41S</v>
      </c>
      <c r="F9" s="754">
        <f>'Func Future Subs 2015'!F9</f>
        <v>338720.60206961393</v>
      </c>
      <c r="G9" s="754" t="str">
        <f>'Func Future Subs 2015'!G9</f>
        <v>AltaLink</v>
      </c>
      <c r="H9" s="754">
        <f>'Func Future Subs 2015'!H9</f>
        <v>2017</v>
      </c>
      <c r="I9" s="306">
        <f>+IF($H9=I$2,VLOOKUP($G9,Depreciation!$A$14:$L$18,7,FALSE)/2,IF($H9&lt;I$2,VLOOKUP($G9,Depreciation!$A$14:$L$18,7,FALSE),0))</f>
        <v>0</v>
      </c>
      <c r="J9" s="306">
        <f>+IF($H9=J$2,VLOOKUP($G9,Depreciation!$A$14:$L$18,8,FALSE)/2,IF($H9&lt;J$2,VLOOKUP($G9,Depreciation!$A$14:$L$18,8,FALSE),0))</f>
        <v>0</v>
      </c>
      <c r="K9" s="306">
        <f>+IF($H9=K$2,VLOOKUP($G9,Depreciation!$A$14:$L$18,9,FALSE)/2,IF($H9&lt;K$2,VLOOKUP($G9,Depreciation!$A$14:$L$18,9,FALSE),0))</f>
        <v>1.671703928371859E-2</v>
      </c>
      <c r="L9" s="306">
        <f>+IF($H9=L$2,VLOOKUP($G9,Depreciation!$A$14:$L$18,10,FALSE)/2,IF($H9&lt;L$2,VLOOKUP($G9,Depreciation!$A$14:$L$18,10,FALSE),0))</f>
        <v>3.343407856743718E-2</v>
      </c>
      <c r="M9" s="306">
        <f>+IF($H9=M$2,VLOOKUP($G9,Depreciation!$A$14:$L$18,11,FALSE)/2,IF($H9&lt;M$2,VLOOKUP($G9,Depreciation!$A$14:$L$18,11,FALSE),0))</f>
        <v>3.343407856743718E-2</v>
      </c>
      <c r="N9" s="306">
        <f>+IF($H9=N$2,VLOOKUP($G9,Depreciation!$A$14:$L$18,12,FALSE)/2,IF($H9&lt;N$2,VLOOKUP($G9,Depreciation!$A$14:$L$18,12,FALSE),0))</f>
        <v>3.343407856743718E-2</v>
      </c>
      <c r="O9" s="307">
        <f t="shared" si="1"/>
        <v>333058.1964586114</v>
      </c>
      <c r="P9" s="732">
        <f>'Func Future Subs 2015'!P9</f>
        <v>0.796875</v>
      </c>
      <c r="Q9" s="732">
        <f>'Func Future Subs 2015'!Q9</f>
        <v>0.203125</v>
      </c>
      <c r="R9" s="732">
        <f>'Func Future Subs 2015'!R9</f>
        <v>0</v>
      </c>
      <c r="S9" s="735">
        <f t="shared" si="2"/>
        <v>265405.75030295597</v>
      </c>
      <c r="T9" s="735">
        <f t="shared" si="3"/>
        <v>67652.446155655445</v>
      </c>
      <c r="U9" s="735">
        <f t="shared" si="4"/>
        <v>0</v>
      </c>
      <c r="V9" s="736">
        <f t="shared" si="5"/>
        <v>0</v>
      </c>
      <c r="W9" s="735">
        <f t="shared" si="6"/>
        <v>265405.75030295597</v>
      </c>
      <c r="X9" s="737">
        <f t="shared" si="7"/>
        <v>0</v>
      </c>
      <c r="Y9" s="738">
        <f t="shared" si="8"/>
        <v>67652.446155655445</v>
      </c>
      <c r="AA9" s="305"/>
      <c r="AB9" s="305" t="s">
        <v>49</v>
      </c>
      <c r="AC9" s="305" t="s">
        <v>74</v>
      </c>
      <c r="AD9" s="305" t="s">
        <v>146</v>
      </c>
    </row>
    <row r="10" spans="1:30">
      <c r="A10" s="754" t="str">
        <f>'Func Future Subs 2015'!A10</f>
        <v>Taber 83S</v>
      </c>
      <c r="B10" s="754">
        <f>'Func Future Subs 2015'!B10</f>
        <v>513</v>
      </c>
      <c r="C10" s="754">
        <f>'Func Future Subs 2015'!C10</f>
        <v>240</v>
      </c>
      <c r="D10" s="754">
        <f>'Func Future Subs 2015'!D10</f>
        <v>25</v>
      </c>
      <c r="E10" s="754" t="str">
        <f>'Func Future Subs 2015'!E10</f>
        <v>83S</v>
      </c>
      <c r="F10" s="754">
        <f>'Func Future Subs 2015'!F10</f>
        <v>282267.16839134495</v>
      </c>
      <c r="G10" s="754" t="str">
        <f>'Func Future Subs 2015'!G10</f>
        <v>AltaLink</v>
      </c>
      <c r="H10" s="754">
        <f>'Func Future Subs 2015'!H10</f>
        <v>2017</v>
      </c>
      <c r="I10" s="306">
        <f>+IF($H10=I$2,VLOOKUP($G10,Depreciation!$A$14:$L$18,7,FALSE)/2,IF($H10&lt;I$2,VLOOKUP($G10,Depreciation!$A$14:$L$18,7,FALSE),0))</f>
        <v>0</v>
      </c>
      <c r="J10" s="306">
        <f>+IF($H10=J$2,VLOOKUP($G10,Depreciation!$A$14:$L$18,8,FALSE)/2,IF($H10&lt;J$2,VLOOKUP($G10,Depreciation!$A$14:$L$18,8,FALSE),0))</f>
        <v>0</v>
      </c>
      <c r="K10" s="306">
        <f>+IF($H10=K$2,VLOOKUP($G10,Depreciation!$A$14:$L$18,9,FALSE)/2,IF($H10&lt;K$2,VLOOKUP($G10,Depreciation!$A$14:$L$18,9,FALSE),0))</f>
        <v>1.671703928371859E-2</v>
      </c>
      <c r="L10" s="306">
        <f>+IF($H10=L$2,VLOOKUP($G10,Depreciation!$A$14:$L$18,10,FALSE)/2,IF($H10&lt;L$2,VLOOKUP($G10,Depreciation!$A$14:$L$18,10,FALSE),0))</f>
        <v>3.343407856743718E-2</v>
      </c>
      <c r="M10" s="306">
        <f>+IF($H10=M$2,VLOOKUP($G10,Depreciation!$A$14:$L$18,11,FALSE)/2,IF($H10&lt;M$2,VLOOKUP($G10,Depreciation!$A$14:$L$18,11,FALSE),0))</f>
        <v>3.343407856743718E-2</v>
      </c>
      <c r="N10" s="306">
        <f>+IF($H10=N$2,VLOOKUP($G10,Depreciation!$A$14:$L$18,12,FALSE)/2,IF($H10&lt;N$2,VLOOKUP($G10,Depreciation!$A$14:$L$18,12,FALSE),0))</f>
        <v>3.343407856743718E-2</v>
      </c>
      <c r="O10" s="307">
        <f t="shared" si="1"/>
        <v>277548.49704884284</v>
      </c>
      <c r="P10" s="732">
        <f>'Func Future Subs 2015'!P10</f>
        <v>0</v>
      </c>
      <c r="Q10" s="732">
        <f>'Func Future Subs 2015'!Q10</f>
        <v>1</v>
      </c>
      <c r="R10" s="732">
        <f>'Func Future Subs 2015'!R10</f>
        <v>0</v>
      </c>
      <c r="S10" s="735">
        <f t="shared" si="2"/>
        <v>0</v>
      </c>
      <c r="T10" s="735">
        <f t="shared" si="3"/>
        <v>277548.49704884284</v>
      </c>
      <c r="U10" s="735">
        <f t="shared" si="4"/>
        <v>0</v>
      </c>
      <c r="V10" s="736">
        <f t="shared" si="5"/>
        <v>0</v>
      </c>
      <c r="W10" s="735">
        <f t="shared" si="6"/>
        <v>0</v>
      </c>
      <c r="X10" s="737">
        <f t="shared" si="7"/>
        <v>0</v>
      </c>
      <c r="Y10" s="738">
        <f t="shared" si="8"/>
        <v>277548.49704884284</v>
      </c>
      <c r="AA10" s="313" t="s">
        <v>1681</v>
      </c>
      <c r="AB10" s="314">
        <f>AB4*$AB$6</f>
        <v>1528860041.5564446</v>
      </c>
      <c r="AC10" s="314">
        <f>AC4*$AB$6</f>
        <v>650633007.38961411</v>
      </c>
      <c r="AD10" s="314">
        <f>AD4*$AB$6</f>
        <v>638126508.08840823</v>
      </c>
    </row>
    <row r="11" spans="1:30">
      <c r="A11" s="754" t="str">
        <f>'Func Future Subs 2015'!A11</f>
        <v>Tothill 219S</v>
      </c>
      <c r="B11" s="754">
        <f>'Func Future Subs 2015'!B11</f>
        <v>513</v>
      </c>
      <c r="C11" s="754">
        <f>'Func Future Subs 2015'!C11</f>
        <v>138</v>
      </c>
      <c r="D11" s="754">
        <f>'Func Future Subs 2015'!D11</f>
        <v>0</v>
      </c>
      <c r="E11" s="754" t="str">
        <f>'Func Future Subs 2015'!E11</f>
        <v>219S</v>
      </c>
      <c r="F11" s="754">
        <f>'Func Future Subs 2015'!F11</f>
        <v>597742.23894637753</v>
      </c>
      <c r="G11" s="754" t="str">
        <f>'Func Future Subs 2015'!G11</f>
        <v>AltaLink</v>
      </c>
      <c r="H11" s="754">
        <f>'Func Future Subs 2015'!H11</f>
        <v>2017</v>
      </c>
      <c r="I11" s="306">
        <f>+IF($H11=I$2,VLOOKUP($G11,Depreciation!$A$14:$L$18,7,FALSE)/2,IF($H11&lt;I$2,VLOOKUP($G11,Depreciation!$A$14:$L$18,7,FALSE),0))</f>
        <v>0</v>
      </c>
      <c r="J11" s="306">
        <f>+IF($H11=J$2,VLOOKUP($G11,Depreciation!$A$14:$L$18,8,FALSE)/2,IF($H11&lt;J$2,VLOOKUP($G11,Depreciation!$A$14:$L$18,8,FALSE),0))</f>
        <v>0</v>
      </c>
      <c r="K11" s="306">
        <f>+IF($H11=K$2,VLOOKUP($G11,Depreciation!$A$14:$L$18,9,FALSE)/2,IF($H11&lt;K$2,VLOOKUP($G11,Depreciation!$A$14:$L$18,9,FALSE),0))</f>
        <v>1.671703928371859E-2</v>
      </c>
      <c r="L11" s="306">
        <f>+IF($H11=L$2,VLOOKUP($G11,Depreciation!$A$14:$L$18,10,FALSE)/2,IF($H11&lt;L$2,VLOOKUP($G11,Depreciation!$A$14:$L$18,10,FALSE),0))</f>
        <v>3.343407856743718E-2</v>
      </c>
      <c r="M11" s="306">
        <f>+IF($H11=M$2,VLOOKUP($G11,Depreciation!$A$14:$L$18,11,FALSE)/2,IF($H11&lt;M$2,VLOOKUP($G11,Depreciation!$A$14:$L$18,11,FALSE),0))</f>
        <v>3.343407856743718E-2</v>
      </c>
      <c r="N11" s="306">
        <f>+IF($H11=N$2,VLOOKUP($G11,Depreciation!$A$14:$L$18,12,FALSE)/2,IF($H11&lt;N$2,VLOOKUP($G11,Depreciation!$A$14:$L$18,12,FALSE),0))</f>
        <v>3.343407856743718E-2</v>
      </c>
      <c r="O11" s="307">
        <f t="shared" si="1"/>
        <v>587749.75845637301</v>
      </c>
      <c r="P11" s="732">
        <f>'Func Future Subs 2015'!P11</f>
        <v>0</v>
      </c>
      <c r="Q11" s="732">
        <f>'Func Future Subs 2015'!Q11</f>
        <v>0</v>
      </c>
      <c r="R11" s="732">
        <f>'Func Future Subs 2015'!R11</f>
        <v>1</v>
      </c>
      <c r="S11" s="735">
        <f t="shared" si="2"/>
        <v>0</v>
      </c>
      <c r="T11" s="735">
        <f t="shared" si="3"/>
        <v>0</v>
      </c>
      <c r="U11" s="735">
        <f t="shared" si="4"/>
        <v>587749.75845637301</v>
      </c>
      <c r="V11" s="736">
        <f t="shared" si="5"/>
        <v>587749.75845637301</v>
      </c>
      <c r="W11" s="735">
        <f t="shared" si="6"/>
        <v>0</v>
      </c>
      <c r="X11" s="737">
        <f t="shared" si="7"/>
        <v>0</v>
      </c>
      <c r="Y11" s="738">
        <f t="shared" si="8"/>
        <v>0</v>
      </c>
    </row>
    <row r="12" spans="1:30">
      <c r="A12" s="754" t="str">
        <f>'Func Future Subs 2015'!A12</f>
        <v>Castle Rock Ridge 205S Substation</v>
      </c>
      <c r="B12" s="754">
        <f>'Func Future Subs 2015'!B12</f>
        <v>524</v>
      </c>
      <c r="C12" s="754">
        <f>'Func Future Subs 2015'!C12</f>
        <v>240</v>
      </c>
      <c r="D12" s="754">
        <f>'Func Future Subs 2015'!D12</f>
        <v>25</v>
      </c>
      <c r="E12" s="754" t="str">
        <f>'Func Future Subs 2015'!E12</f>
        <v>205S</v>
      </c>
      <c r="F12" s="754">
        <f>'Func Future Subs 2015'!F12</f>
        <v>3365840.0000000009</v>
      </c>
      <c r="G12" s="754" t="str">
        <f>'Func Future Subs 2015'!G12</f>
        <v>AltaLink</v>
      </c>
      <c r="H12" s="754">
        <f>'Func Future Subs 2015'!H12</f>
        <v>2017</v>
      </c>
      <c r="I12" s="306">
        <f>+IF($H12=I$2,VLOOKUP($G12,Depreciation!$A$14:$L$18,7,FALSE)/2,IF($H12&lt;I$2,VLOOKUP($G12,Depreciation!$A$14:$L$18,7,FALSE),0))</f>
        <v>0</v>
      </c>
      <c r="J12" s="306">
        <f>+IF($H12=J$2,VLOOKUP($G12,Depreciation!$A$14:$L$18,8,FALSE)/2,IF($H12&lt;J$2,VLOOKUP($G12,Depreciation!$A$14:$L$18,8,FALSE),0))</f>
        <v>0</v>
      </c>
      <c r="K12" s="306">
        <f>+IF($H12=K$2,VLOOKUP($G12,Depreciation!$A$14:$L$18,9,FALSE)/2,IF($H12&lt;K$2,VLOOKUP($G12,Depreciation!$A$14:$L$18,9,FALSE),0))</f>
        <v>1.671703928371859E-2</v>
      </c>
      <c r="L12" s="306">
        <f>+IF($H12=L$2,VLOOKUP($G12,Depreciation!$A$14:$L$18,10,FALSE)/2,IF($H12&lt;L$2,VLOOKUP($G12,Depreciation!$A$14:$L$18,10,FALSE),0))</f>
        <v>3.343407856743718E-2</v>
      </c>
      <c r="M12" s="306">
        <f>+IF($H12=M$2,VLOOKUP($G12,Depreciation!$A$14:$L$18,11,FALSE)/2,IF($H12&lt;M$2,VLOOKUP($G12,Depreciation!$A$14:$L$18,11,FALSE),0))</f>
        <v>3.343407856743718E-2</v>
      </c>
      <c r="N12" s="306">
        <f>+IF($H12=N$2,VLOOKUP($G12,Depreciation!$A$14:$L$18,12,FALSE)/2,IF($H12&lt;N$2,VLOOKUP($G12,Depreciation!$A$14:$L$18,12,FALSE),0))</f>
        <v>3.343407856743718E-2</v>
      </c>
      <c r="O12" s="307">
        <f t="shared" si="1"/>
        <v>3309573.1204972896</v>
      </c>
      <c r="P12" s="732">
        <f>'Func Future Subs 2015'!P12</f>
        <v>0.99826388888888884</v>
      </c>
      <c r="Q12" s="732">
        <f>'Func Future Subs 2015'!Q12</f>
        <v>1.7361111111111112E-3</v>
      </c>
      <c r="R12" s="732">
        <f>'Func Future Subs 2015'!R12</f>
        <v>4.9222778630841901E-17</v>
      </c>
      <c r="S12" s="735">
        <f t="shared" si="2"/>
        <v>3303827.3338297596</v>
      </c>
      <c r="T12" s="735">
        <f t="shared" si="3"/>
        <v>5745.7866675300174</v>
      </c>
      <c r="U12" s="735">
        <f t="shared" si="4"/>
        <v>1.6290638507282274E-10</v>
      </c>
      <c r="V12" s="736">
        <f t="shared" si="5"/>
        <v>0</v>
      </c>
      <c r="W12" s="735">
        <f t="shared" si="6"/>
        <v>3303827.3338297596</v>
      </c>
      <c r="X12" s="737">
        <f t="shared" si="7"/>
        <v>0</v>
      </c>
      <c r="Y12" s="738">
        <f t="shared" si="8"/>
        <v>5745.7866675301802</v>
      </c>
    </row>
    <row r="13" spans="1:30">
      <c r="A13" s="754" t="str">
        <f>'Func Future Subs 2015'!A13</f>
        <v>Bannerman 681S</v>
      </c>
      <c r="B13" s="754">
        <f>'Func Future Subs 2015'!B13</f>
        <v>559</v>
      </c>
      <c r="C13" s="754">
        <f>'Func Future Subs 2015'!C13</f>
        <v>240</v>
      </c>
      <c r="D13" s="754">
        <f>'Func Future Subs 2015'!D13</f>
        <v>25</v>
      </c>
      <c r="E13" s="754" t="str">
        <f>'Func Future Subs 2015'!E13</f>
        <v>681S</v>
      </c>
      <c r="F13" s="754">
        <f>'Func Future Subs 2015'!F13</f>
        <v>40330685.047325686</v>
      </c>
      <c r="G13" s="754" t="str">
        <f>'Func Future Subs 2015'!G13</f>
        <v>AltaLink</v>
      </c>
      <c r="H13" s="754">
        <f>'Func Future Subs 2015'!H13</f>
        <v>2015</v>
      </c>
      <c r="I13" s="306">
        <f>+IF($H13=I$2,VLOOKUP($G13,Depreciation!$A$14:$L$18,7,FALSE)/2,IF($H13&lt;I$2,VLOOKUP($G13,Depreciation!$A$14:$L$18,7,FALSE),0))</f>
        <v>1.7228380322441735E-2</v>
      </c>
      <c r="J13" s="306">
        <f>+IF($H13=J$2,VLOOKUP($G13,Depreciation!$A$14:$L$18,8,FALSE)/2,IF($H13&lt;J$2,VLOOKUP($G13,Depreciation!$A$14:$L$18,8,FALSE),0))</f>
        <v>3.343407856743718E-2</v>
      </c>
      <c r="K13" s="306">
        <f>+IF($H13=K$2,VLOOKUP($G13,Depreciation!$A$14:$L$18,9,FALSE)/2,IF($H13&lt;K$2,VLOOKUP($G13,Depreciation!$A$14:$L$18,9,FALSE),0))</f>
        <v>3.343407856743718E-2</v>
      </c>
      <c r="L13" s="306">
        <f>+IF($H13=L$2,VLOOKUP($G13,Depreciation!$A$14:$L$18,10,FALSE)/2,IF($H13&lt;L$2,VLOOKUP($G13,Depreciation!$A$14:$L$18,10,FALSE),0))</f>
        <v>3.343407856743718E-2</v>
      </c>
      <c r="M13" s="306">
        <f>+IF($H13=M$2,VLOOKUP($G13,Depreciation!$A$14:$L$18,11,FALSE)/2,IF($H13&lt;M$2,VLOOKUP($G13,Depreciation!$A$14:$L$18,11,FALSE),0))</f>
        <v>3.343407856743718E-2</v>
      </c>
      <c r="N13" s="306">
        <f>+IF($H13=N$2,VLOOKUP($G13,Depreciation!$A$14:$L$18,12,FALSE)/2,IF($H13&lt;N$2,VLOOKUP($G13,Depreciation!$A$14:$L$18,12,FALSE),0))</f>
        <v>3.343407856743718E-2</v>
      </c>
      <c r="O13" s="307">
        <f t="shared" si="1"/>
        <v>37029782.689177893</v>
      </c>
      <c r="P13" s="732">
        <f>'Func Future Subs 2015'!P13</f>
        <v>0</v>
      </c>
      <c r="Q13" s="732">
        <f>'Func Future Subs 2015'!Q13</f>
        <v>1</v>
      </c>
      <c r="R13" s="732">
        <f>'Func Future Subs 2015'!R13</f>
        <v>0</v>
      </c>
      <c r="S13" s="735">
        <f t="shared" si="2"/>
        <v>0</v>
      </c>
      <c r="T13" s="735">
        <f t="shared" si="3"/>
        <v>37029782.689177893</v>
      </c>
      <c r="U13" s="735">
        <f t="shared" si="4"/>
        <v>0</v>
      </c>
      <c r="V13" s="736">
        <f t="shared" si="5"/>
        <v>0</v>
      </c>
      <c r="W13" s="735">
        <f t="shared" si="6"/>
        <v>0</v>
      </c>
      <c r="X13" s="737">
        <f t="shared" si="7"/>
        <v>0</v>
      </c>
      <c r="Y13" s="738">
        <f t="shared" si="8"/>
        <v>37029782.689177893</v>
      </c>
    </row>
    <row r="14" spans="1:30">
      <c r="A14" s="754" t="str">
        <f>'Func Future Subs 2015'!A14</f>
        <v>Deerland 013S</v>
      </c>
      <c r="B14" s="754">
        <f>'Func Future Subs 2015'!B14</f>
        <v>559</v>
      </c>
      <c r="C14" s="754">
        <f>'Func Future Subs 2015'!C14</f>
        <v>240</v>
      </c>
      <c r="D14" s="754">
        <f>'Func Future Subs 2015'!D14</f>
        <v>138</v>
      </c>
      <c r="E14" s="754" t="str">
        <f>'Func Future Subs 2015'!E14</f>
        <v>13S</v>
      </c>
      <c r="F14" s="754">
        <f>'Func Future Subs 2015'!F14</f>
        <v>5142.2812693605028</v>
      </c>
      <c r="G14" s="754" t="str">
        <f>'Func Future Subs 2015'!G14</f>
        <v>AltaLink</v>
      </c>
      <c r="H14" s="754">
        <f>'Func Future Subs 2015'!H14</f>
        <v>2015</v>
      </c>
      <c r="I14" s="306">
        <f>+IF($H14=I$2,VLOOKUP($G14,Depreciation!$A$14:$L$18,7,FALSE)/2,IF($H14&lt;I$2,VLOOKUP($G14,Depreciation!$A$14:$L$18,7,FALSE),0))</f>
        <v>1.7228380322441735E-2</v>
      </c>
      <c r="J14" s="306">
        <f>+IF($H14=J$2,VLOOKUP($G14,Depreciation!$A$14:$L$18,8,FALSE)/2,IF($H14&lt;J$2,VLOOKUP($G14,Depreciation!$A$14:$L$18,8,FALSE),0))</f>
        <v>3.343407856743718E-2</v>
      </c>
      <c r="K14" s="306">
        <f>+IF($H14=K$2,VLOOKUP($G14,Depreciation!$A$14:$L$18,9,FALSE)/2,IF($H14&lt;K$2,VLOOKUP($G14,Depreciation!$A$14:$L$18,9,FALSE),0))</f>
        <v>3.343407856743718E-2</v>
      </c>
      <c r="L14" s="306">
        <f>+IF($H14=L$2,VLOOKUP($G14,Depreciation!$A$14:$L$18,10,FALSE)/2,IF($H14&lt;L$2,VLOOKUP($G14,Depreciation!$A$14:$L$18,10,FALSE),0))</f>
        <v>3.343407856743718E-2</v>
      </c>
      <c r="M14" s="306">
        <f>+IF($H14=M$2,VLOOKUP($G14,Depreciation!$A$14:$L$18,11,FALSE)/2,IF($H14&lt;M$2,VLOOKUP($G14,Depreciation!$A$14:$L$18,11,FALSE),0))</f>
        <v>3.343407856743718E-2</v>
      </c>
      <c r="N14" s="306">
        <f>+IF($H14=N$2,VLOOKUP($G14,Depreciation!$A$14:$L$18,12,FALSE)/2,IF($H14&lt;N$2,VLOOKUP($G14,Depreciation!$A$14:$L$18,12,FALSE),0))</f>
        <v>3.343407856743718E-2</v>
      </c>
      <c r="O14" s="307">
        <f t="shared" si="1"/>
        <v>4721.4064851019884</v>
      </c>
      <c r="P14" s="732">
        <f>'Func Future Subs 2015'!P14</f>
        <v>0</v>
      </c>
      <c r="Q14" s="732">
        <f>'Func Future Subs 2015'!Q14</f>
        <v>0</v>
      </c>
      <c r="R14" s="732">
        <f>'Func Future Subs 2015'!R14</f>
        <v>1</v>
      </c>
      <c r="S14" s="735">
        <f t="shared" si="2"/>
        <v>0</v>
      </c>
      <c r="T14" s="735">
        <f t="shared" si="3"/>
        <v>0</v>
      </c>
      <c r="U14" s="735">
        <f t="shared" si="4"/>
        <v>4721.4064851019884</v>
      </c>
      <c r="V14" s="736">
        <f t="shared" si="5"/>
        <v>0</v>
      </c>
      <c r="W14" s="735">
        <f t="shared" si="6"/>
        <v>0</v>
      </c>
      <c r="X14" s="737">
        <f t="shared" si="7"/>
        <v>4721.4064851019884</v>
      </c>
      <c r="Y14" s="738">
        <f t="shared" si="8"/>
        <v>0</v>
      </c>
    </row>
    <row r="15" spans="1:30">
      <c r="A15" s="754" t="str">
        <f>'Func Future Subs 2015'!A15</f>
        <v>Lamoureux 071S</v>
      </c>
      <c r="B15" s="754">
        <f>'Func Future Subs 2015'!B15</f>
        <v>559</v>
      </c>
      <c r="C15" s="754">
        <f>'Func Future Subs 2015'!C15</f>
        <v>240</v>
      </c>
      <c r="D15" s="754">
        <f>'Func Future Subs 2015'!D15</f>
        <v>138</v>
      </c>
      <c r="E15" s="754" t="str">
        <f>'Func Future Subs 2015'!E15</f>
        <v>71S</v>
      </c>
      <c r="F15" s="754">
        <f>'Func Future Subs 2015'!F15</f>
        <v>80730.150925862225</v>
      </c>
      <c r="G15" s="754" t="str">
        <f>'Func Future Subs 2015'!G15</f>
        <v>AltaLink</v>
      </c>
      <c r="H15" s="754">
        <f>'Func Future Subs 2015'!H15</f>
        <v>2015</v>
      </c>
      <c r="I15" s="306">
        <f>+IF($H15=I$2,VLOOKUP($G15,Depreciation!$A$14:$L$18,7,FALSE)/2,IF($H15&lt;I$2,VLOOKUP($G15,Depreciation!$A$14:$L$18,7,FALSE),0))</f>
        <v>1.7228380322441735E-2</v>
      </c>
      <c r="J15" s="306">
        <f>+IF($H15=J$2,VLOOKUP($G15,Depreciation!$A$14:$L$18,8,FALSE)/2,IF($H15&lt;J$2,VLOOKUP($G15,Depreciation!$A$14:$L$18,8,FALSE),0))</f>
        <v>3.343407856743718E-2</v>
      </c>
      <c r="K15" s="306">
        <f>+IF($H15=K$2,VLOOKUP($G15,Depreciation!$A$14:$L$18,9,FALSE)/2,IF($H15&lt;K$2,VLOOKUP($G15,Depreciation!$A$14:$L$18,9,FALSE),0))</f>
        <v>3.343407856743718E-2</v>
      </c>
      <c r="L15" s="306">
        <f>+IF($H15=L$2,VLOOKUP($G15,Depreciation!$A$14:$L$18,10,FALSE)/2,IF($H15&lt;L$2,VLOOKUP($G15,Depreciation!$A$14:$L$18,10,FALSE),0))</f>
        <v>3.343407856743718E-2</v>
      </c>
      <c r="M15" s="306">
        <f>+IF($H15=M$2,VLOOKUP($G15,Depreciation!$A$14:$L$18,11,FALSE)/2,IF($H15&lt;M$2,VLOOKUP($G15,Depreciation!$A$14:$L$18,11,FALSE),0))</f>
        <v>3.343407856743718E-2</v>
      </c>
      <c r="N15" s="306">
        <f>+IF($H15=N$2,VLOOKUP($G15,Depreciation!$A$14:$L$18,12,FALSE)/2,IF($H15&lt;N$2,VLOOKUP($G15,Depreciation!$A$14:$L$18,12,FALSE),0))</f>
        <v>3.343407856743718E-2</v>
      </c>
      <c r="O15" s="307">
        <f t="shared" si="1"/>
        <v>74122.716778584436</v>
      </c>
      <c r="P15" s="732">
        <f>'Func Future Subs 2015'!P15</f>
        <v>0</v>
      </c>
      <c r="Q15" s="732">
        <f>'Func Future Subs 2015'!Q15</f>
        <v>0</v>
      </c>
      <c r="R15" s="732">
        <f>'Func Future Subs 2015'!R15</f>
        <v>1</v>
      </c>
      <c r="S15" s="735">
        <f t="shared" si="2"/>
        <v>0</v>
      </c>
      <c r="T15" s="735">
        <f t="shared" si="3"/>
        <v>0</v>
      </c>
      <c r="U15" s="735">
        <f t="shared" si="4"/>
        <v>74122.716778584436</v>
      </c>
      <c r="V15" s="736">
        <f t="shared" si="5"/>
        <v>0</v>
      </c>
      <c r="W15" s="735">
        <f t="shared" si="6"/>
        <v>0</v>
      </c>
      <c r="X15" s="737">
        <f t="shared" si="7"/>
        <v>74122.716778584436</v>
      </c>
      <c r="Y15" s="738">
        <f t="shared" si="8"/>
        <v>0</v>
      </c>
    </row>
    <row r="16" spans="1:30">
      <c r="A16" s="754" t="str">
        <f>'Func Future Subs 2015'!A16</f>
        <v>Bannerman 681S</v>
      </c>
      <c r="B16" s="754">
        <f>'Func Future Subs 2015'!B16</f>
        <v>629</v>
      </c>
      <c r="C16" s="754">
        <f>'Func Future Subs 2015'!C16</f>
        <v>240</v>
      </c>
      <c r="D16" s="754">
        <f>'Func Future Subs 2015'!D16</f>
        <v>25</v>
      </c>
      <c r="E16" s="754" t="str">
        <f>'Func Future Subs 2015'!E16</f>
        <v>681S</v>
      </c>
      <c r="F16" s="754">
        <f>'Func Future Subs 2015'!F16</f>
        <v>10135.432206033322</v>
      </c>
      <c r="G16" s="754" t="str">
        <f>'Func Future Subs 2015'!G16</f>
        <v>AltaLink</v>
      </c>
      <c r="H16" s="754">
        <f>'Func Future Subs 2015'!H16</f>
        <v>2015</v>
      </c>
      <c r="I16" s="306">
        <f>+IF($H16=I$2,VLOOKUP($G16,Depreciation!$A$14:$L$18,7,FALSE)/2,IF($H16&lt;I$2,VLOOKUP($G16,Depreciation!$A$14:$L$18,7,FALSE),0))</f>
        <v>1.7228380322441735E-2</v>
      </c>
      <c r="J16" s="306">
        <f>+IF($H16=J$2,VLOOKUP($G16,Depreciation!$A$14:$L$18,8,FALSE)/2,IF($H16&lt;J$2,VLOOKUP($G16,Depreciation!$A$14:$L$18,8,FALSE),0))</f>
        <v>3.343407856743718E-2</v>
      </c>
      <c r="K16" s="306">
        <f>+IF($H16=K$2,VLOOKUP($G16,Depreciation!$A$14:$L$18,9,FALSE)/2,IF($H16&lt;K$2,VLOOKUP($G16,Depreciation!$A$14:$L$18,9,FALSE),0))</f>
        <v>3.343407856743718E-2</v>
      </c>
      <c r="L16" s="306">
        <f>+IF($H16=L$2,VLOOKUP($G16,Depreciation!$A$14:$L$18,10,FALSE)/2,IF($H16&lt;L$2,VLOOKUP($G16,Depreciation!$A$14:$L$18,10,FALSE),0))</f>
        <v>3.343407856743718E-2</v>
      </c>
      <c r="M16" s="306">
        <f>+IF($H16=M$2,VLOOKUP($G16,Depreciation!$A$14:$L$18,11,FALSE)/2,IF($H16&lt;M$2,VLOOKUP($G16,Depreciation!$A$14:$L$18,11,FALSE),0))</f>
        <v>3.343407856743718E-2</v>
      </c>
      <c r="N16" s="306">
        <f>+IF($H16=N$2,VLOOKUP($G16,Depreciation!$A$14:$L$18,12,FALSE)/2,IF($H16&lt;N$2,VLOOKUP($G16,Depreciation!$A$14:$L$18,12,FALSE),0))</f>
        <v>3.343407856743718E-2</v>
      </c>
      <c r="O16" s="307">
        <f t="shared" si="1"/>
        <v>9305.8883480382556</v>
      </c>
      <c r="P16" s="732">
        <f>'Func Future Subs 2015'!P16</f>
        <v>0</v>
      </c>
      <c r="Q16" s="732">
        <f>'Func Future Subs 2015'!Q16</f>
        <v>1</v>
      </c>
      <c r="R16" s="732">
        <f>'Func Future Subs 2015'!R16</f>
        <v>0</v>
      </c>
      <c r="S16" s="735">
        <f t="shared" si="2"/>
        <v>0</v>
      </c>
      <c r="T16" s="735">
        <f t="shared" si="3"/>
        <v>9305.8883480382556</v>
      </c>
      <c r="U16" s="735">
        <f t="shared" si="4"/>
        <v>0</v>
      </c>
      <c r="V16" s="736">
        <f t="shared" si="5"/>
        <v>0</v>
      </c>
      <c r="W16" s="735">
        <f t="shared" si="6"/>
        <v>0</v>
      </c>
      <c r="X16" s="737">
        <f t="shared" si="7"/>
        <v>0</v>
      </c>
      <c r="Y16" s="738">
        <f t="shared" si="8"/>
        <v>9305.8883480382556</v>
      </c>
    </row>
    <row r="17" spans="1:25">
      <c r="A17" s="754" t="str">
        <f>'Func Future Subs 2015'!A17</f>
        <v>Deerland 013S</v>
      </c>
      <c r="B17" s="754">
        <f>'Func Future Subs 2015'!B17</f>
        <v>629</v>
      </c>
      <c r="C17" s="754">
        <f>'Func Future Subs 2015'!C17</f>
        <v>240</v>
      </c>
      <c r="D17" s="754">
        <f>'Func Future Subs 2015'!D17</f>
        <v>138</v>
      </c>
      <c r="E17" s="754" t="str">
        <f>'Func Future Subs 2015'!E17</f>
        <v>13S</v>
      </c>
      <c r="F17" s="754">
        <f>'Func Future Subs 2015'!F17</f>
        <v>516260.4179627226</v>
      </c>
      <c r="G17" s="754" t="str">
        <f>'Func Future Subs 2015'!G17</f>
        <v>AltaLink</v>
      </c>
      <c r="H17" s="754">
        <f>'Func Future Subs 2015'!H17</f>
        <v>2015</v>
      </c>
      <c r="I17" s="306">
        <f>+IF($H17=I$2,VLOOKUP($G17,Depreciation!$A$14:$L$18,7,FALSE)/2,IF($H17&lt;I$2,VLOOKUP($G17,Depreciation!$A$14:$L$18,7,FALSE),0))</f>
        <v>1.7228380322441735E-2</v>
      </c>
      <c r="J17" s="306">
        <f>+IF($H17=J$2,VLOOKUP($G17,Depreciation!$A$14:$L$18,8,FALSE)/2,IF($H17&lt;J$2,VLOOKUP($G17,Depreciation!$A$14:$L$18,8,FALSE),0))</f>
        <v>3.343407856743718E-2</v>
      </c>
      <c r="K17" s="306">
        <f>+IF($H17=K$2,VLOOKUP($G17,Depreciation!$A$14:$L$18,9,FALSE)/2,IF($H17&lt;K$2,VLOOKUP($G17,Depreciation!$A$14:$L$18,9,FALSE),0))</f>
        <v>3.343407856743718E-2</v>
      </c>
      <c r="L17" s="306">
        <f>+IF($H17=L$2,VLOOKUP($G17,Depreciation!$A$14:$L$18,10,FALSE)/2,IF($H17&lt;L$2,VLOOKUP($G17,Depreciation!$A$14:$L$18,10,FALSE),0))</f>
        <v>3.343407856743718E-2</v>
      </c>
      <c r="M17" s="306">
        <f>+IF($H17=M$2,VLOOKUP($G17,Depreciation!$A$14:$L$18,11,FALSE)/2,IF($H17&lt;M$2,VLOOKUP($G17,Depreciation!$A$14:$L$18,11,FALSE),0))</f>
        <v>3.343407856743718E-2</v>
      </c>
      <c r="N17" s="306">
        <f>+IF($H17=N$2,VLOOKUP($G17,Depreciation!$A$14:$L$18,12,FALSE)/2,IF($H17&lt;N$2,VLOOKUP($G17,Depreciation!$A$14:$L$18,12,FALSE),0))</f>
        <v>3.343407856743718E-2</v>
      </c>
      <c r="O17" s="307">
        <f t="shared" si="1"/>
        <v>474006.60479114309</v>
      </c>
      <c r="P17" s="732">
        <f>'Func Future Subs 2015'!P17</f>
        <v>0</v>
      </c>
      <c r="Q17" s="732">
        <f>'Func Future Subs 2015'!Q17</f>
        <v>0</v>
      </c>
      <c r="R17" s="732">
        <f>'Func Future Subs 2015'!R17</f>
        <v>1</v>
      </c>
      <c r="S17" s="735">
        <f t="shared" si="2"/>
        <v>0</v>
      </c>
      <c r="T17" s="735">
        <f t="shared" si="3"/>
        <v>0</v>
      </c>
      <c r="U17" s="735">
        <f t="shared" si="4"/>
        <v>474006.60479114309</v>
      </c>
      <c r="V17" s="736">
        <f t="shared" si="5"/>
        <v>0</v>
      </c>
      <c r="W17" s="735">
        <f t="shared" si="6"/>
        <v>0</v>
      </c>
      <c r="X17" s="737">
        <f t="shared" si="7"/>
        <v>474006.60479114309</v>
      </c>
      <c r="Y17" s="738">
        <f t="shared" si="8"/>
        <v>0</v>
      </c>
    </row>
    <row r="18" spans="1:25">
      <c r="A18" s="754" t="str">
        <f>'Func Future Subs 2015'!A18</f>
        <v>Ellerslie 089S</v>
      </c>
      <c r="B18" s="754">
        <f>'Func Future Subs 2015'!B18</f>
        <v>629</v>
      </c>
      <c r="C18" s="754">
        <f>'Func Future Subs 2015'!C18</f>
        <v>500</v>
      </c>
      <c r="D18" s="754">
        <f>'Func Future Subs 2015'!D18</f>
        <v>240</v>
      </c>
      <c r="E18" s="754" t="str">
        <f>'Func Future Subs 2015'!E18</f>
        <v>89S</v>
      </c>
      <c r="F18" s="754">
        <f>'Func Future Subs 2015'!F18</f>
        <v>23778913.961869717</v>
      </c>
      <c r="G18" s="754" t="str">
        <f>'Func Future Subs 2015'!G18</f>
        <v>AltaLink</v>
      </c>
      <c r="H18" s="754">
        <f>'Func Future Subs 2015'!H18</f>
        <v>2015</v>
      </c>
      <c r="I18" s="306">
        <f>+IF($H18=I$2,VLOOKUP($G18,Depreciation!$A$14:$L$18,7,FALSE)/2,IF($H18&lt;I$2,VLOOKUP($G18,Depreciation!$A$14:$L$18,7,FALSE),0))</f>
        <v>1.7228380322441735E-2</v>
      </c>
      <c r="J18" s="306">
        <f>+IF($H18=J$2,VLOOKUP($G18,Depreciation!$A$14:$L$18,8,FALSE)/2,IF($H18&lt;J$2,VLOOKUP($G18,Depreciation!$A$14:$L$18,8,FALSE),0))</f>
        <v>3.343407856743718E-2</v>
      </c>
      <c r="K18" s="306">
        <f>+IF($H18=K$2,VLOOKUP($G18,Depreciation!$A$14:$L$18,9,FALSE)/2,IF($H18&lt;K$2,VLOOKUP($G18,Depreciation!$A$14:$L$18,9,FALSE),0))</f>
        <v>3.343407856743718E-2</v>
      </c>
      <c r="L18" s="306">
        <f>+IF($H18=L$2,VLOOKUP($G18,Depreciation!$A$14:$L$18,10,FALSE)/2,IF($H18&lt;L$2,VLOOKUP($G18,Depreciation!$A$14:$L$18,10,FALSE),0))</f>
        <v>3.343407856743718E-2</v>
      </c>
      <c r="M18" s="306">
        <f>+IF($H18=M$2,VLOOKUP($G18,Depreciation!$A$14:$L$18,11,FALSE)/2,IF($H18&lt;M$2,VLOOKUP($G18,Depreciation!$A$14:$L$18,11,FALSE),0))</f>
        <v>3.343407856743718E-2</v>
      </c>
      <c r="N18" s="306">
        <f>+IF($H18=N$2,VLOOKUP($G18,Depreciation!$A$14:$L$18,12,FALSE)/2,IF($H18&lt;N$2,VLOOKUP($G18,Depreciation!$A$14:$L$18,12,FALSE),0))</f>
        <v>3.343407856743718E-2</v>
      </c>
      <c r="O18" s="307">
        <f t="shared" si="1"/>
        <v>21832706.673825301</v>
      </c>
      <c r="P18" s="732">
        <f>'Func Future Subs 2015'!P18</f>
        <v>0</v>
      </c>
      <c r="Q18" s="732">
        <f>'Func Future Subs 2015'!Q18</f>
        <v>0</v>
      </c>
      <c r="R18" s="732">
        <f>'Func Future Subs 2015'!R18</f>
        <v>1</v>
      </c>
      <c r="S18" s="735">
        <f t="shared" si="2"/>
        <v>0</v>
      </c>
      <c r="T18" s="735">
        <f t="shared" si="3"/>
        <v>0</v>
      </c>
      <c r="U18" s="735">
        <f t="shared" si="4"/>
        <v>21832706.673825301</v>
      </c>
      <c r="V18" s="736">
        <f t="shared" si="5"/>
        <v>0</v>
      </c>
      <c r="W18" s="735">
        <f t="shared" si="6"/>
        <v>21832706.673825301</v>
      </c>
      <c r="X18" s="737">
        <f t="shared" si="7"/>
        <v>0</v>
      </c>
      <c r="Y18" s="738">
        <f t="shared" si="8"/>
        <v>0</v>
      </c>
    </row>
    <row r="19" spans="1:25">
      <c r="A19" s="754" t="str">
        <f>'Func Future Subs 2015'!A19</f>
        <v>Heartland 012S_(v199)</v>
      </c>
      <c r="B19" s="754">
        <f>'Func Future Subs 2015'!B19</f>
        <v>629</v>
      </c>
      <c r="C19" s="754">
        <f>'Func Future Subs 2015'!C19</f>
        <v>500</v>
      </c>
      <c r="D19" s="754">
        <f>'Func Future Subs 2015'!D19</f>
        <v>240</v>
      </c>
      <c r="E19" s="754" t="str">
        <f>'Func Future Subs 2015'!E19</f>
        <v>12S</v>
      </c>
      <c r="F19" s="754">
        <f>'Func Future Subs 2015'!F19</f>
        <v>66671500.436580472</v>
      </c>
      <c r="G19" s="754" t="str">
        <f>'Func Future Subs 2015'!G19</f>
        <v>AltaLink</v>
      </c>
      <c r="H19" s="754">
        <f>'Func Future Subs 2015'!H19</f>
        <v>2015</v>
      </c>
      <c r="I19" s="306">
        <f>+IF($H19=I$2,VLOOKUP($G19,Depreciation!$A$14:$L$18,7,FALSE)/2,IF($H19&lt;I$2,VLOOKUP($G19,Depreciation!$A$14:$L$18,7,FALSE),0))</f>
        <v>1.7228380322441735E-2</v>
      </c>
      <c r="J19" s="306">
        <f>+IF($H19=J$2,VLOOKUP($G19,Depreciation!$A$14:$L$18,8,FALSE)/2,IF($H19&lt;J$2,VLOOKUP($G19,Depreciation!$A$14:$L$18,8,FALSE),0))</f>
        <v>3.343407856743718E-2</v>
      </c>
      <c r="K19" s="306">
        <f>+IF($H19=K$2,VLOOKUP($G19,Depreciation!$A$14:$L$18,9,FALSE)/2,IF($H19&lt;K$2,VLOOKUP($G19,Depreciation!$A$14:$L$18,9,FALSE),0))</f>
        <v>3.343407856743718E-2</v>
      </c>
      <c r="L19" s="306">
        <f>+IF($H19=L$2,VLOOKUP($G19,Depreciation!$A$14:$L$18,10,FALSE)/2,IF($H19&lt;L$2,VLOOKUP($G19,Depreciation!$A$14:$L$18,10,FALSE),0))</f>
        <v>3.343407856743718E-2</v>
      </c>
      <c r="M19" s="306">
        <f>+IF($H19=M$2,VLOOKUP($G19,Depreciation!$A$14:$L$18,11,FALSE)/2,IF($H19&lt;M$2,VLOOKUP($G19,Depreciation!$A$14:$L$18,11,FALSE),0))</f>
        <v>3.343407856743718E-2</v>
      </c>
      <c r="N19" s="306">
        <f>+IF($H19=N$2,VLOOKUP($G19,Depreciation!$A$14:$L$18,12,FALSE)/2,IF($H19&lt;N$2,VLOOKUP($G19,Depreciation!$A$14:$L$18,12,FALSE),0))</f>
        <v>3.343407856743718E-2</v>
      </c>
      <c r="O19" s="307">
        <f t="shared" si="1"/>
        <v>61214709.589757182</v>
      </c>
      <c r="P19" s="732">
        <f>'Func Future Subs 2015'!P19</f>
        <v>0</v>
      </c>
      <c r="Q19" s="732">
        <f>'Func Future Subs 2015'!Q19</f>
        <v>0</v>
      </c>
      <c r="R19" s="732">
        <f>'Func Future Subs 2015'!R19</f>
        <v>1</v>
      </c>
      <c r="S19" s="735">
        <f t="shared" si="2"/>
        <v>0</v>
      </c>
      <c r="T19" s="735">
        <f t="shared" si="3"/>
        <v>0</v>
      </c>
      <c r="U19" s="735">
        <f t="shared" si="4"/>
        <v>61214709.589757182</v>
      </c>
      <c r="V19" s="736">
        <f t="shared" si="5"/>
        <v>0</v>
      </c>
      <c r="W19" s="735">
        <f t="shared" si="6"/>
        <v>61214709.589757182</v>
      </c>
      <c r="X19" s="737">
        <f t="shared" si="7"/>
        <v>0</v>
      </c>
      <c r="Y19" s="738">
        <f t="shared" si="8"/>
        <v>0</v>
      </c>
    </row>
    <row r="20" spans="1:25">
      <c r="A20" s="754" t="str">
        <f>'Func Future Subs 2015'!A20</f>
        <v>Lamoureux 071S_(v199)</v>
      </c>
      <c r="B20" s="754">
        <f>'Func Future Subs 2015'!B20</f>
        <v>629</v>
      </c>
      <c r="C20" s="754">
        <f>'Func Future Subs 2015'!C20</f>
        <v>240</v>
      </c>
      <c r="D20" s="754">
        <f>'Func Future Subs 2015'!D20</f>
        <v>138</v>
      </c>
      <c r="E20" s="754" t="str">
        <f>'Func Future Subs 2015'!E20</f>
        <v>71S</v>
      </c>
      <c r="F20" s="754">
        <f>'Func Future Subs 2015'!F20</f>
        <v>706122.92894576001</v>
      </c>
      <c r="G20" s="754" t="str">
        <f>'Func Future Subs 2015'!G20</f>
        <v>AltaLink</v>
      </c>
      <c r="H20" s="754">
        <f>'Func Future Subs 2015'!H20</f>
        <v>2015</v>
      </c>
      <c r="I20" s="306">
        <f>+IF($H20=I$2,VLOOKUP($G20,Depreciation!$A$14:$L$18,7,FALSE)/2,IF($H20&lt;I$2,VLOOKUP($G20,Depreciation!$A$14:$L$18,7,FALSE),0))</f>
        <v>1.7228380322441735E-2</v>
      </c>
      <c r="J20" s="306">
        <f>+IF($H20=J$2,VLOOKUP($G20,Depreciation!$A$14:$L$18,8,FALSE)/2,IF($H20&lt;J$2,VLOOKUP($G20,Depreciation!$A$14:$L$18,8,FALSE),0))</f>
        <v>3.343407856743718E-2</v>
      </c>
      <c r="K20" s="306">
        <f>+IF($H20=K$2,VLOOKUP($G20,Depreciation!$A$14:$L$18,9,FALSE)/2,IF($H20&lt;K$2,VLOOKUP($G20,Depreciation!$A$14:$L$18,9,FALSE),0))</f>
        <v>3.343407856743718E-2</v>
      </c>
      <c r="L20" s="306">
        <f>+IF($H20=L$2,VLOOKUP($G20,Depreciation!$A$14:$L$18,10,FALSE)/2,IF($H20&lt;L$2,VLOOKUP($G20,Depreciation!$A$14:$L$18,10,FALSE),0))</f>
        <v>3.343407856743718E-2</v>
      </c>
      <c r="M20" s="306">
        <f>+IF($H20=M$2,VLOOKUP($G20,Depreciation!$A$14:$L$18,11,FALSE)/2,IF($H20&lt;M$2,VLOOKUP($G20,Depreciation!$A$14:$L$18,11,FALSE),0))</f>
        <v>3.343407856743718E-2</v>
      </c>
      <c r="N20" s="306">
        <f>+IF($H20=N$2,VLOOKUP($G20,Depreciation!$A$14:$L$18,12,FALSE)/2,IF($H20&lt;N$2,VLOOKUP($G20,Depreciation!$A$14:$L$18,12,FALSE),0))</f>
        <v>3.343407856743718E-2</v>
      </c>
      <c r="O20" s="307">
        <f t="shared" si="1"/>
        <v>648329.64230646344</v>
      </c>
      <c r="P20" s="732">
        <f>'Func Future Subs 2015'!P20</f>
        <v>0</v>
      </c>
      <c r="Q20" s="732">
        <f>'Func Future Subs 2015'!Q20</f>
        <v>0</v>
      </c>
      <c r="R20" s="732">
        <f>'Func Future Subs 2015'!R20</f>
        <v>1</v>
      </c>
      <c r="S20" s="735">
        <f t="shared" si="2"/>
        <v>0</v>
      </c>
      <c r="T20" s="735">
        <f t="shared" si="3"/>
        <v>0</v>
      </c>
      <c r="U20" s="735">
        <f t="shared" si="4"/>
        <v>648329.64230646344</v>
      </c>
      <c r="V20" s="736">
        <f t="shared" si="5"/>
        <v>0</v>
      </c>
      <c r="W20" s="735">
        <f t="shared" si="6"/>
        <v>0</v>
      </c>
      <c r="X20" s="737">
        <f t="shared" si="7"/>
        <v>648329.64230646344</v>
      </c>
      <c r="Y20" s="738">
        <f t="shared" si="8"/>
        <v>0</v>
      </c>
    </row>
    <row r="21" spans="1:25">
      <c r="A21" s="754" t="str">
        <f>'Func Future Subs 2015'!A21</f>
        <v>Mother Moutain 2055S Switching Substation</v>
      </c>
      <c r="B21" s="754">
        <f>'Func Future Subs 2015'!B21</f>
        <v>635</v>
      </c>
      <c r="C21" s="754">
        <f>'Func Future Subs 2015'!C21</f>
        <v>240</v>
      </c>
      <c r="D21" s="754">
        <f>'Func Future Subs 2015'!D21</f>
        <v>240</v>
      </c>
      <c r="E21" s="754" t="str">
        <f>'Func Future Subs 2015'!E21</f>
        <v>2055S</v>
      </c>
      <c r="F21" s="754">
        <f>'Func Future Subs 2015'!F21</f>
        <v>17584069.1948951</v>
      </c>
      <c r="G21" s="754" t="str">
        <f>'Func Future Subs 2015'!G21</f>
        <v>ATCO</v>
      </c>
      <c r="H21" s="754">
        <f>'Func Future Subs 2015'!H21</f>
        <v>2019</v>
      </c>
      <c r="I21" s="306">
        <f>+IF($H21=I$2,VLOOKUP($G21,Depreciation!$A$14:$L$18,7,FALSE)/2,IF($H21&lt;I$2,VLOOKUP($G21,Depreciation!$A$14:$L$18,7,FALSE),0))</f>
        <v>0</v>
      </c>
      <c r="J21" s="306">
        <f>+IF($H21=J$2,VLOOKUP($G21,Depreciation!$A$14:$L$18,8,FALSE)/2,IF($H21&lt;J$2,VLOOKUP($G21,Depreciation!$A$14:$L$18,8,FALSE),0))</f>
        <v>0</v>
      </c>
      <c r="K21" s="306">
        <f>+IF($H21=K$2,VLOOKUP($G21,Depreciation!$A$14:$L$18,9,FALSE)/2,IF($H21&lt;K$2,VLOOKUP($G21,Depreciation!$A$14:$L$18,9,FALSE),0))</f>
        <v>0</v>
      </c>
      <c r="L21" s="306">
        <f>+IF($H21=L$2,VLOOKUP($G21,Depreciation!$A$14:$L$18,10,FALSE)/2,IF($H21&lt;L$2,VLOOKUP($G21,Depreciation!$A$14:$L$18,10,FALSE),0))</f>
        <v>0</v>
      </c>
      <c r="M21" s="306">
        <f>+IF($H21=M$2,VLOOKUP($G21,Depreciation!$A$14:$L$18,11,FALSE)/2,IF($H21&lt;M$2,VLOOKUP($G21,Depreciation!$A$14:$L$18,11,FALSE),0))</f>
        <v>1.2175768213899416E-2</v>
      </c>
      <c r="N21" s="306">
        <f>+IF($H21=N$2,VLOOKUP($G21,Depreciation!$A$14:$L$18,12,FALSE)/2,IF($H21&lt;N$2,VLOOKUP($G21,Depreciation!$A$14:$L$18,12,FALSE),0))</f>
        <v>2.4351536427798831E-2</v>
      </c>
      <c r="O21" s="307">
        <f t="shared" si="1"/>
        <v>0</v>
      </c>
      <c r="P21" s="732">
        <f>'Func Future Subs 2015'!P21</f>
        <v>0</v>
      </c>
      <c r="Q21" s="732">
        <f>'Func Future Subs 2015'!Q21</f>
        <v>0</v>
      </c>
      <c r="R21" s="732">
        <f>'Func Future Subs 2015'!R21</f>
        <v>1</v>
      </c>
      <c r="S21" s="735">
        <f t="shared" si="2"/>
        <v>0</v>
      </c>
      <c r="T21" s="735">
        <f t="shared" si="3"/>
        <v>0</v>
      </c>
      <c r="U21" s="735">
        <f t="shared" si="4"/>
        <v>0</v>
      </c>
      <c r="V21" s="736">
        <f t="shared" si="5"/>
        <v>0</v>
      </c>
      <c r="W21" s="735">
        <f t="shared" si="6"/>
        <v>0</v>
      </c>
      <c r="X21" s="737">
        <f t="shared" si="7"/>
        <v>0</v>
      </c>
      <c r="Y21" s="738">
        <f t="shared" si="8"/>
        <v>0</v>
      </c>
    </row>
    <row r="22" spans="1:25">
      <c r="A22" s="754" t="str">
        <f>'Func Future Subs 2015'!A22</f>
        <v>Coyote Lake 963S version 2</v>
      </c>
      <c r="B22" s="754">
        <f>'Func Future Subs 2015'!B22</f>
        <v>678</v>
      </c>
      <c r="C22" s="754">
        <f>'Func Future Subs 2015'!C22</f>
        <v>240</v>
      </c>
      <c r="D22" s="754">
        <f>'Func Future Subs 2015'!D22</f>
        <v>138</v>
      </c>
      <c r="E22" s="754" t="str">
        <f>'Func Future Subs 2015'!E22</f>
        <v>963S</v>
      </c>
      <c r="F22" s="754">
        <f>'Func Future Subs 2015'!F22</f>
        <v>5823406.5519853365</v>
      </c>
      <c r="G22" s="754" t="str">
        <f>'Func Future Subs 2015'!G22</f>
        <v>ATCO</v>
      </c>
      <c r="H22" s="754">
        <f>'Func Future Subs 2015'!H22</f>
        <v>2018</v>
      </c>
      <c r="I22" s="306">
        <f>+IF($H22=I$2,VLOOKUP($G22,Depreciation!$A$14:$L$18,7,FALSE)/2,IF($H22&lt;I$2,VLOOKUP($G22,Depreciation!$A$14:$L$18,7,FALSE),0))</f>
        <v>0</v>
      </c>
      <c r="J22" s="306">
        <f>+IF($H22=J$2,VLOOKUP($G22,Depreciation!$A$14:$L$18,8,FALSE)/2,IF($H22&lt;J$2,VLOOKUP($G22,Depreciation!$A$14:$L$18,8,FALSE),0))</f>
        <v>0</v>
      </c>
      <c r="K22" s="306">
        <f>+IF($H22=K$2,VLOOKUP($G22,Depreciation!$A$14:$L$18,9,FALSE)/2,IF($H22&lt;K$2,VLOOKUP($G22,Depreciation!$A$14:$L$18,9,FALSE),0))</f>
        <v>0</v>
      </c>
      <c r="L22" s="306">
        <f>+IF($H22=L$2,VLOOKUP($G22,Depreciation!$A$14:$L$18,10,FALSE)/2,IF($H22&lt;L$2,VLOOKUP($G22,Depreciation!$A$14:$L$18,10,FALSE),0))</f>
        <v>1.2175768213899416E-2</v>
      </c>
      <c r="M22" s="306">
        <f>+IF($H22=M$2,VLOOKUP($G22,Depreciation!$A$14:$L$18,11,FALSE)/2,IF($H22&lt;M$2,VLOOKUP($G22,Depreciation!$A$14:$L$18,11,FALSE),0))</f>
        <v>2.4351536427798831E-2</v>
      </c>
      <c r="N22" s="306">
        <f>+IF($H22=N$2,VLOOKUP($G22,Depreciation!$A$14:$L$18,12,FALSE)/2,IF($H22&lt;N$2,VLOOKUP($G22,Depreciation!$A$14:$L$18,12,FALSE),0))</f>
        <v>2.4351536427798831E-2</v>
      </c>
      <c r="O22" s="307">
        <f t="shared" si="1"/>
        <v>0</v>
      </c>
      <c r="P22" s="732">
        <f>'Func Future Subs 2015'!P22</f>
        <v>0</v>
      </c>
      <c r="Q22" s="732">
        <f>'Func Future Subs 2015'!Q22</f>
        <v>0</v>
      </c>
      <c r="R22" s="732">
        <f>'Func Future Subs 2015'!R22</f>
        <v>1</v>
      </c>
      <c r="S22" s="735">
        <f t="shared" si="2"/>
        <v>0</v>
      </c>
      <c r="T22" s="735">
        <f t="shared" si="3"/>
        <v>0</v>
      </c>
      <c r="U22" s="735">
        <f t="shared" si="4"/>
        <v>0</v>
      </c>
      <c r="V22" s="736">
        <f t="shared" si="5"/>
        <v>0</v>
      </c>
      <c r="W22" s="735">
        <f t="shared" si="6"/>
        <v>0</v>
      </c>
      <c r="X22" s="737">
        <f t="shared" si="7"/>
        <v>0</v>
      </c>
      <c r="Y22" s="738">
        <f t="shared" si="8"/>
        <v>0</v>
      </c>
    </row>
    <row r="23" spans="1:25">
      <c r="A23" s="754" t="str">
        <f>'Func Future Subs 2015'!A23</f>
        <v>Cassils 324S_(v1)</v>
      </c>
      <c r="B23" s="754">
        <f>'Func Future Subs 2015'!B23</f>
        <v>693</v>
      </c>
      <c r="C23" s="754">
        <f>'Func Future Subs 2015'!C23</f>
        <v>240</v>
      </c>
      <c r="D23" s="754">
        <f>'Func Future Subs 2015'!D23</f>
        <v>240</v>
      </c>
      <c r="E23" s="754" t="str">
        <f>'Func Future Subs 2015'!E23</f>
        <v>324S</v>
      </c>
      <c r="F23" s="754">
        <f>'Func Future Subs 2015'!F23</f>
        <v>113408.37728544539</v>
      </c>
      <c r="G23" s="754" t="str">
        <f>'Func Future Subs 2015'!G23</f>
        <v>AltaLink</v>
      </c>
      <c r="H23" s="754">
        <f>'Func Future Subs 2015'!H23</f>
        <v>2019</v>
      </c>
      <c r="I23" s="306">
        <f>+IF($H23=I$2,VLOOKUP($G23,Depreciation!$A$14:$L$18,7,FALSE)/2,IF($H23&lt;I$2,VLOOKUP($G23,Depreciation!$A$14:$L$18,7,FALSE),0))</f>
        <v>0</v>
      </c>
      <c r="J23" s="306">
        <f>+IF($H23=J$2,VLOOKUP($G23,Depreciation!$A$14:$L$18,8,FALSE)/2,IF($H23&lt;J$2,VLOOKUP($G23,Depreciation!$A$14:$L$18,8,FALSE),0))</f>
        <v>0</v>
      </c>
      <c r="K23" s="306">
        <f>+IF($H23=K$2,VLOOKUP($G23,Depreciation!$A$14:$L$18,9,FALSE)/2,IF($H23&lt;K$2,VLOOKUP($G23,Depreciation!$A$14:$L$18,9,FALSE),0))</f>
        <v>0</v>
      </c>
      <c r="L23" s="306">
        <f>+IF($H23=L$2,VLOOKUP($G23,Depreciation!$A$14:$L$18,10,FALSE)/2,IF($H23&lt;L$2,VLOOKUP($G23,Depreciation!$A$14:$L$18,10,FALSE),0))</f>
        <v>0</v>
      </c>
      <c r="M23" s="306">
        <f>+IF($H23=M$2,VLOOKUP($G23,Depreciation!$A$14:$L$18,11,FALSE)/2,IF($H23&lt;M$2,VLOOKUP($G23,Depreciation!$A$14:$L$18,11,FALSE),0))</f>
        <v>1.671703928371859E-2</v>
      </c>
      <c r="N23" s="306">
        <f>+IF($H23=N$2,VLOOKUP($G23,Depreciation!$A$14:$L$18,12,FALSE)/2,IF($H23&lt;N$2,VLOOKUP($G23,Depreciation!$A$14:$L$18,12,FALSE),0))</f>
        <v>3.343407856743718E-2</v>
      </c>
      <c r="O23" s="307">
        <f t="shared" si="1"/>
        <v>0</v>
      </c>
      <c r="P23" s="732">
        <f>'Func Future Subs 2015'!P23</f>
        <v>0</v>
      </c>
      <c r="Q23" s="732">
        <f>'Func Future Subs 2015'!Q23</f>
        <v>0</v>
      </c>
      <c r="R23" s="732">
        <f>'Func Future Subs 2015'!R23</f>
        <v>1</v>
      </c>
      <c r="S23" s="735">
        <f t="shared" si="2"/>
        <v>0</v>
      </c>
      <c r="T23" s="735">
        <f t="shared" si="3"/>
        <v>0</v>
      </c>
      <c r="U23" s="735">
        <f t="shared" si="4"/>
        <v>0</v>
      </c>
      <c r="V23" s="736">
        <f t="shared" si="5"/>
        <v>0</v>
      </c>
      <c r="W23" s="735">
        <f t="shared" si="6"/>
        <v>0</v>
      </c>
      <c r="X23" s="737">
        <f t="shared" si="7"/>
        <v>0</v>
      </c>
      <c r="Y23" s="738">
        <f t="shared" si="8"/>
        <v>0</v>
      </c>
    </row>
    <row r="24" spans="1:25">
      <c r="A24" s="754" t="str">
        <f>'Func Future Subs 2015'!A24</f>
        <v>Eagle Buttle 274S_(v1)</v>
      </c>
      <c r="B24" s="754">
        <f>'Func Future Subs 2015'!B24</f>
        <v>693</v>
      </c>
      <c r="C24" s="754">
        <f>'Func Future Subs 2015'!C24</f>
        <v>240</v>
      </c>
      <c r="D24" s="754">
        <f>'Func Future Subs 2015'!D24</f>
        <v>240</v>
      </c>
      <c r="E24" s="754" t="str">
        <f>'Func Future Subs 2015'!E24</f>
        <v>274S</v>
      </c>
      <c r="F24" s="754">
        <f>'Func Future Subs 2015'!F24</f>
        <v>201366.13092386365</v>
      </c>
      <c r="G24" s="754" t="str">
        <f>'Func Future Subs 2015'!G24</f>
        <v>AltaLink</v>
      </c>
      <c r="H24" s="754">
        <f>'Func Future Subs 2015'!H24</f>
        <v>2019</v>
      </c>
      <c r="I24" s="306">
        <f>+IF($H24=I$2,VLOOKUP($G24,Depreciation!$A$14:$L$18,7,FALSE)/2,IF($H24&lt;I$2,VLOOKUP($G24,Depreciation!$A$14:$L$18,7,FALSE),0))</f>
        <v>0</v>
      </c>
      <c r="J24" s="306">
        <f>+IF($H24=J$2,VLOOKUP($G24,Depreciation!$A$14:$L$18,8,FALSE)/2,IF($H24&lt;J$2,VLOOKUP($G24,Depreciation!$A$14:$L$18,8,FALSE),0))</f>
        <v>0</v>
      </c>
      <c r="K24" s="306">
        <f>+IF($H24=K$2,VLOOKUP($G24,Depreciation!$A$14:$L$18,9,FALSE)/2,IF($H24&lt;K$2,VLOOKUP($G24,Depreciation!$A$14:$L$18,9,FALSE),0))</f>
        <v>0</v>
      </c>
      <c r="L24" s="306">
        <f>+IF($H24=L$2,VLOOKUP($G24,Depreciation!$A$14:$L$18,10,FALSE)/2,IF($H24&lt;L$2,VLOOKUP($G24,Depreciation!$A$14:$L$18,10,FALSE),0))</f>
        <v>0</v>
      </c>
      <c r="M24" s="306">
        <f>+IF($H24=M$2,VLOOKUP($G24,Depreciation!$A$14:$L$18,11,FALSE)/2,IF($H24&lt;M$2,VLOOKUP($G24,Depreciation!$A$14:$L$18,11,FALSE),0))</f>
        <v>1.671703928371859E-2</v>
      </c>
      <c r="N24" s="306">
        <f>+IF($H24=N$2,VLOOKUP($G24,Depreciation!$A$14:$L$18,12,FALSE)/2,IF($H24&lt;N$2,VLOOKUP($G24,Depreciation!$A$14:$L$18,12,FALSE),0))</f>
        <v>3.343407856743718E-2</v>
      </c>
      <c r="O24" s="307">
        <f t="shared" si="1"/>
        <v>0</v>
      </c>
      <c r="P24" s="732">
        <f>'Func Future Subs 2015'!P24</f>
        <v>0</v>
      </c>
      <c r="Q24" s="732">
        <f>'Func Future Subs 2015'!Q24</f>
        <v>0</v>
      </c>
      <c r="R24" s="732">
        <f>'Func Future Subs 2015'!R24</f>
        <v>1</v>
      </c>
      <c r="S24" s="735">
        <f t="shared" si="2"/>
        <v>0</v>
      </c>
      <c r="T24" s="735">
        <f t="shared" si="3"/>
        <v>0</v>
      </c>
      <c r="U24" s="735">
        <f t="shared" si="4"/>
        <v>0</v>
      </c>
      <c r="V24" s="736">
        <f t="shared" si="5"/>
        <v>0</v>
      </c>
      <c r="W24" s="735">
        <f t="shared" si="6"/>
        <v>0</v>
      </c>
      <c r="X24" s="737">
        <f t="shared" si="7"/>
        <v>0</v>
      </c>
      <c r="Y24" s="738">
        <f t="shared" si="8"/>
        <v>0</v>
      </c>
    </row>
    <row r="25" spans="1:25">
      <c r="A25" s="754" t="str">
        <f>'Func Future Subs 2015'!A25</f>
        <v>Elkwater 264S_(v1)</v>
      </c>
      <c r="B25" s="754">
        <f>'Func Future Subs 2015'!B25</f>
        <v>693</v>
      </c>
      <c r="C25" s="754">
        <f>'Func Future Subs 2015'!C25</f>
        <v>240</v>
      </c>
      <c r="D25" s="754">
        <f>'Func Future Subs 2015'!D25</f>
        <v>240</v>
      </c>
      <c r="E25" s="754" t="str">
        <f>'Func Future Subs 2015'!E25</f>
        <v>264S</v>
      </c>
      <c r="F25" s="754">
        <f>'Func Future Subs 2015'!F25</f>
        <v>15828490.515206028</v>
      </c>
      <c r="G25" s="754" t="str">
        <f>'Func Future Subs 2015'!G25</f>
        <v>AltaLink</v>
      </c>
      <c r="H25" s="754">
        <f>'Func Future Subs 2015'!H25</f>
        <v>2019</v>
      </c>
      <c r="I25" s="306">
        <f>+IF($H25=I$2,VLOOKUP($G25,Depreciation!$A$14:$L$18,7,FALSE)/2,IF($H25&lt;I$2,VLOOKUP($G25,Depreciation!$A$14:$L$18,7,FALSE),0))</f>
        <v>0</v>
      </c>
      <c r="J25" s="306">
        <f>+IF($H25=J$2,VLOOKUP($G25,Depreciation!$A$14:$L$18,8,FALSE)/2,IF($H25&lt;J$2,VLOOKUP($G25,Depreciation!$A$14:$L$18,8,FALSE),0))</f>
        <v>0</v>
      </c>
      <c r="K25" s="306">
        <f>+IF($H25=K$2,VLOOKUP($G25,Depreciation!$A$14:$L$18,9,FALSE)/2,IF($H25&lt;K$2,VLOOKUP($G25,Depreciation!$A$14:$L$18,9,FALSE),0))</f>
        <v>0</v>
      </c>
      <c r="L25" s="306">
        <f>+IF($H25=L$2,VLOOKUP($G25,Depreciation!$A$14:$L$18,10,FALSE)/2,IF($H25&lt;L$2,VLOOKUP($G25,Depreciation!$A$14:$L$18,10,FALSE),0))</f>
        <v>0</v>
      </c>
      <c r="M25" s="306">
        <f>+IF($H25=M$2,VLOOKUP($G25,Depreciation!$A$14:$L$18,11,FALSE)/2,IF($H25&lt;M$2,VLOOKUP($G25,Depreciation!$A$14:$L$18,11,FALSE),0))</f>
        <v>1.671703928371859E-2</v>
      </c>
      <c r="N25" s="306">
        <f>+IF($H25=N$2,VLOOKUP($G25,Depreciation!$A$14:$L$18,12,FALSE)/2,IF($H25&lt;N$2,VLOOKUP($G25,Depreciation!$A$14:$L$18,12,FALSE),0))</f>
        <v>3.343407856743718E-2</v>
      </c>
      <c r="O25" s="307">
        <f t="shared" si="1"/>
        <v>0</v>
      </c>
      <c r="P25" s="732">
        <f>'Func Future Subs 2015'!P25</f>
        <v>0</v>
      </c>
      <c r="Q25" s="732">
        <f>'Func Future Subs 2015'!Q25</f>
        <v>0</v>
      </c>
      <c r="R25" s="732">
        <f>'Func Future Subs 2015'!R25</f>
        <v>1</v>
      </c>
      <c r="S25" s="735">
        <f t="shared" si="2"/>
        <v>0</v>
      </c>
      <c r="T25" s="735">
        <f t="shared" si="3"/>
        <v>0</v>
      </c>
      <c r="U25" s="735">
        <f t="shared" si="4"/>
        <v>0</v>
      </c>
      <c r="V25" s="736">
        <f t="shared" si="5"/>
        <v>0</v>
      </c>
      <c r="W25" s="735">
        <f t="shared" si="6"/>
        <v>0</v>
      </c>
      <c r="X25" s="737">
        <f t="shared" si="7"/>
        <v>0</v>
      </c>
      <c r="Y25" s="738">
        <f t="shared" si="8"/>
        <v>0</v>
      </c>
    </row>
    <row r="26" spans="1:25">
      <c r="A26" s="754" t="str">
        <f>'Func Future Subs 2015'!A26</f>
        <v>Whitla 251S_(v1)</v>
      </c>
      <c r="B26" s="754">
        <f>'Func Future Subs 2015'!B26</f>
        <v>693</v>
      </c>
      <c r="C26" s="754">
        <f>'Func Future Subs 2015'!C26</f>
        <v>240</v>
      </c>
      <c r="D26" s="754">
        <f>'Func Future Subs 2015'!D26</f>
        <v>240</v>
      </c>
      <c r="E26" s="754" t="str">
        <f>'Func Future Subs 2015'!E26</f>
        <v>251S</v>
      </c>
      <c r="F26" s="754">
        <f>'Func Future Subs 2015'!F26</f>
        <v>169902.62110316977</v>
      </c>
      <c r="G26" s="754" t="str">
        <f>'Func Future Subs 2015'!G26</f>
        <v>AltaLink</v>
      </c>
      <c r="H26" s="754">
        <f>'Func Future Subs 2015'!H26</f>
        <v>2019</v>
      </c>
      <c r="I26" s="306">
        <f>+IF($H26=I$2,VLOOKUP($G26,Depreciation!$A$14:$L$18,7,FALSE)/2,IF($H26&lt;I$2,VLOOKUP($G26,Depreciation!$A$14:$L$18,7,FALSE),0))</f>
        <v>0</v>
      </c>
      <c r="J26" s="306">
        <f>+IF($H26=J$2,VLOOKUP($G26,Depreciation!$A$14:$L$18,8,FALSE)/2,IF($H26&lt;J$2,VLOOKUP($G26,Depreciation!$A$14:$L$18,8,FALSE),0))</f>
        <v>0</v>
      </c>
      <c r="K26" s="306">
        <f>+IF($H26=K$2,VLOOKUP($G26,Depreciation!$A$14:$L$18,9,FALSE)/2,IF($H26&lt;K$2,VLOOKUP($G26,Depreciation!$A$14:$L$18,9,FALSE),0))</f>
        <v>0</v>
      </c>
      <c r="L26" s="306">
        <f>+IF($H26=L$2,VLOOKUP($G26,Depreciation!$A$14:$L$18,10,FALSE)/2,IF($H26&lt;L$2,VLOOKUP($G26,Depreciation!$A$14:$L$18,10,FALSE),0))</f>
        <v>0</v>
      </c>
      <c r="M26" s="306">
        <f>+IF($H26=M$2,VLOOKUP($G26,Depreciation!$A$14:$L$18,11,FALSE)/2,IF($H26&lt;M$2,VLOOKUP($G26,Depreciation!$A$14:$L$18,11,FALSE),0))</f>
        <v>1.671703928371859E-2</v>
      </c>
      <c r="N26" s="306">
        <f>+IF($H26=N$2,VLOOKUP($G26,Depreciation!$A$14:$L$18,12,FALSE)/2,IF($H26&lt;N$2,VLOOKUP($G26,Depreciation!$A$14:$L$18,12,FALSE),0))</f>
        <v>3.343407856743718E-2</v>
      </c>
      <c r="O26" s="307">
        <f t="shared" si="1"/>
        <v>0</v>
      </c>
      <c r="P26" s="732">
        <f>'Func Future Subs 2015'!P26</f>
        <v>0</v>
      </c>
      <c r="Q26" s="732">
        <f>'Func Future Subs 2015'!Q26</f>
        <v>0</v>
      </c>
      <c r="R26" s="732">
        <f>'Func Future Subs 2015'!R26</f>
        <v>1</v>
      </c>
      <c r="S26" s="735">
        <f t="shared" si="2"/>
        <v>0</v>
      </c>
      <c r="T26" s="735">
        <f t="shared" si="3"/>
        <v>0</v>
      </c>
      <c r="U26" s="735">
        <f t="shared" si="4"/>
        <v>0</v>
      </c>
      <c r="V26" s="736">
        <f t="shared" si="5"/>
        <v>0</v>
      </c>
      <c r="W26" s="735">
        <f t="shared" si="6"/>
        <v>0</v>
      </c>
      <c r="X26" s="737">
        <f t="shared" si="7"/>
        <v>0</v>
      </c>
      <c r="Y26" s="738">
        <f t="shared" si="8"/>
        <v>0</v>
      </c>
    </row>
    <row r="27" spans="1:25">
      <c r="A27" s="754" t="str">
        <f>'Func Future Subs 2015'!A27</f>
        <v>East Calgary 5S</v>
      </c>
      <c r="B27" s="754">
        <f>'Func Future Subs 2015'!B27</f>
        <v>719</v>
      </c>
      <c r="C27" s="754">
        <f>'Func Future Subs 2015'!C27</f>
        <v>240</v>
      </c>
      <c r="D27" s="754">
        <f>'Func Future Subs 2015'!D27</f>
        <v>240</v>
      </c>
      <c r="E27" s="754" t="str">
        <f>'Func Future Subs 2015'!E27</f>
        <v>5S</v>
      </c>
      <c r="F27" s="754">
        <f>'Func Future Subs 2015'!F27</f>
        <v>33632105.5811226</v>
      </c>
      <c r="G27" s="754" t="str">
        <f>'Func Future Subs 2015'!G27</f>
        <v>AltaLink</v>
      </c>
      <c r="H27" s="754">
        <f>'Func Future Subs 2015'!H27</f>
        <v>2015</v>
      </c>
      <c r="I27" s="306">
        <f>+IF($H27=I$2,VLOOKUP($G27,Depreciation!$A$14:$L$18,7,FALSE)/2,IF($H27&lt;I$2,VLOOKUP($G27,Depreciation!$A$14:$L$18,7,FALSE),0))</f>
        <v>1.7228380322441735E-2</v>
      </c>
      <c r="J27" s="306">
        <f>+IF($H27=J$2,VLOOKUP($G27,Depreciation!$A$14:$L$18,8,FALSE)/2,IF($H27&lt;J$2,VLOOKUP($G27,Depreciation!$A$14:$L$18,8,FALSE),0))</f>
        <v>3.343407856743718E-2</v>
      </c>
      <c r="K27" s="306">
        <f>+IF($H27=K$2,VLOOKUP($G27,Depreciation!$A$14:$L$18,9,FALSE)/2,IF($H27&lt;K$2,VLOOKUP($G27,Depreciation!$A$14:$L$18,9,FALSE),0))</f>
        <v>3.343407856743718E-2</v>
      </c>
      <c r="L27" s="306">
        <f>+IF($H27=L$2,VLOOKUP($G27,Depreciation!$A$14:$L$18,10,FALSE)/2,IF($H27&lt;L$2,VLOOKUP($G27,Depreciation!$A$14:$L$18,10,FALSE),0))</f>
        <v>3.343407856743718E-2</v>
      </c>
      <c r="M27" s="306">
        <f>+IF($H27=M$2,VLOOKUP($G27,Depreciation!$A$14:$L$18,11,FALSE)/2,IF($H27&lt;M$2,VLOOKUP($G27,Depreciation!$A$14:$L$18,11,FALSE),0))</f>
        <v>3.343407856743718E-2</v>
      </c>
      <c r="N27" s="306">
        <f>+IF($H27=N$2,VLOOKUP($G27,Depreciation!$A$14:$L$18,12,FALSE)/2,IF($H27&lt;N$2,VLOOKUP($G27,Depreciation!$A$14:$L$18,12,FALSE),0))</f>
        <v>3.343407856743718E-2</v>
      </c>
      <c r="O27" s="307">
        <f t="shared" si="1"/>
        <v>30879454.67792242</v>
      </c>
      <c r="P27" s="732">
        <f>'Func Future Subs 2015'!P27</f>
        <v>0</v>
      </c>
      <c r="Q27" s="732">
        <f>'Func Future Subs 2015'!Q27</f>
        <v>0</v>
      </c>
      <c r="R27" s="732">
        <f>'Func Future Subs 2015'!R27</f>
        <v>1</v>
      </c>
      <c r="S27" s="735">
        <f t="shared" si="2"/>
        <v>0</v>
      </c>
      <c r="T27" s="735">
        <f t="shared" si="3"/>
        <v>0</v>
      </c>
      <c r="U27" s="735">
        <f t="shared" si="4"/>
        <v>30879454.67792242</v>
      </c>
      <c r="V27" s="736">
        <f t="shared" si="5"/>
        <v>0</v>
      </c>
      <c r="W27" s="735">
        <f t="shared" si="6"/>
        <v>30879454.67792242</v>
      </c>
      <c r="X27" s="737">
        <f t="shared" si="7"/>
        <v>0</v>
      </c>
      <c r="Y27" s="738">
        <f t="shared" si="8"/>
        <v>0</v>
      </c>
    </row>
    <row r="28" spans="1:25">
      <c r="A28" s="754" t="str">
        <f>'Func Future Subs 2015'!A28</f>
        <v>Enmax No. 2</v>
      </c>
      <c r="B28" s="754">
        <f>'Func Future Subs 2015'!B28</f>
        <v>719</v>
      </c>
      <c r="C28" s="754">
        <f>'Func Future Subs 2015'!C28</f>
        <v>138</v>
      </c>
      <c r="D28" s="754">
        <f>'Func Future Subs 2015'!D28</f>
        <v>25</v>
      </c>
      <c r="E28" s="754" t="str">
        <f>'Func Future Subs 2015'!E28</f>
        <v>SS-2</v>
      </c>
      <c r="F28" s="754">
        <f>'Func Future Subs 2015'!F28</f>
        <v>37801368.20335371</v>
      </c>
      <c r="G28" s="754" t="str">
        <f>'Func Future Subs 2015'!G28</f>
        <v>ENMAX</v>
      </c>
      <c r="H28" s="754">
        <f>'Func Future Subs 2015'!H28</f>
        <v>2015</v>
      </c>
      <c r="I28" s="306">
        <f>+IF($H28=I$2,VLOOKUP($G28,Depreciation!$A$14:$L$18,7,FALSE)/2,IF($H28&lt;I$2,VLOOKUP($G28,Depreciation!$A$14:$L$18,7,FALSE),0))</f>
        <v>1.3928409269726289E-2</v>
      </c>
      <c r="J28" s="306">
        <f>+IF($H28=J$2,VLOOKUP($G28,Depreciation!$A$14:$L$18,8,FALSE)/2,IF($H28&lt;J$2,VLOOKUP($G28,Depreciation!$A$14:$L$18,8,FALSE),0))</f>
        <v>2.7856818539452578E-2</v>
      </c>
      <c r="K28" s="306">
        <f>+IF($H28=K$2,VLOOKUP($G28,Depreciation!$A$14:$L$18,9,FALSE)/2,IF($H28&lt;K$2,VLOOKUP($G28,Depreciation!$A$14:$L$18,9,FALSE),0))</f>
        <v>2.7856818539452578E-2</v>
      </c>
      <c r="L28" s="306">
        <f>+IF($H28=L$2,VLOOKUP($G28,Depreciation!$A$14:$L$18,10,FALSE)/2,IF($H28&lt;L$2,VLOOKUP($G28,Depreciation!$A$14:$L$18,10,FALSE),0))</f>
        <v>2.7856818539452578E-2</v>
      </c>
      <c r="M28" s="306">
        <f>+IF($H28=M$2,VLOOKUP($G28,Depreciation!$A$14:$L$18,11,FALSE)/2,IF($H28&lt;M$2,VLOOKUP($G28,Depreciation!$A$14:$L$18,11,FALSE),0))</f>
        <v>2.7856818539452578E-2</v>
      </c>
      <c r="N28" s="306">
        <f>+IF($H28=N$2,VLOOKUP($G28,Depreciation!$A$14:$L$18,12,FALSE)/2,IF($H28&lt;N$2,VLOOKUP($G28,Depreciation!$A$14:$L$18,12,FALSE),0))</f>
        <v>2.7856818539452578E-2</v>
      </c>
      <c r="O28" s="307">
        <f t="shared" si="1"/>
        <v>35227062.891927898</v>
      </c>
      <c r="P28" s="732">
        <f>'Func Future Subs 2015'!P28</f>
        <v>0</v>
      </c>
      <c r="Q28" s="732">
        <f>'Func Future Subs 2015'!Q28</f>
        <v>1</v>
      </c>
      <c r="R28" s="732">
        <f>'Func Future Subs 2015'!R28</f>
        <v>0</v>
      </c>
      <c r="S28" s="735">
        <f t="shared" si="2"/>
        <v>0</v>
      </c>
      <c r="T28" s="735">
        <f t="shared" si="3"/>
        <v>35227062.891927898</v>
      </c>
      <c r="U28" s="735">
        <f t="shared" si="4"/>
        <v>0</v>
      </c>
      <c r="V28" s="736">
        <f t="shared" si="5"/>
        <v>0</v>
      </c>
      <c r="W28" s="735">
        <f t="shared" si="6"/>
        <v>0</v>
      </c>
      <c r="X28" s="737">
        <f t="shared" si="7"/>
        <v>0</v>
      </c>
      <c r="Y28" s="738">
        <f t="shared" si="8"/>
        <v>35227062.891927898</v>
      </c>
    </row>
    <row r="29" spans="1:25">
      <c r="A29" s="754" t="str">
        <f>'Func Future Subs 2015'!A29</f>
        <v>Enmax No. 23</v>
      </c>
      <c r="B29" s="754">
        <f>'Func Future Subs 2015'!B29</f>
        <v>719</v>
      </c>
      <c r="C29" s="754">
        <f>'Func Future Subs 2015'!C29</f>
        <v>138</v>
      </c>
      <c r="D29" s="754">
        <f>'Func Future Subs 2015'!D29</f>
        <v>25</v>
      </c>
      <c r="E29" s="754" t="str">
        <f>'Func Future Subs 2015'!E29</f>
        <v>SS-23</v>
      </c>
      <c r="F29" s="754">
        <f>'Func Future Subs 2015'!F29</f>
        <v>822893.43442026142</v>
      </c>
      <c r="G29" s="754" t="str">
        <f>'Func Future Subs 2015'!G29</f>
        <v>ENMAX</v>
      </c>
      <c r="H29" s="754">
        <f>'Func Future Subs 2015'!H29</f>
        <v>2015</v>
      </c>
      <c r="I29" s="306">
        <f>+IF($H29=I$2,VLOOKUP($G29,Depreciation!$A$14:$L$18,7,FALSE)/2,IF($H29&lt;I$2,VLOOKUP($G29,Depreciation!$A$14:$L$18,7,FALSE),0))</f>
        <v>1.3928409269726289E-2</v>
      </c>
      <c r="J29" s="306">
        <f>+IF($H29=J$2,VLOOKUP($G29,Depreciation!$A$14:$L$18,8,FALSE)/2,IF($H29&lt;J$2,VLOOKUP($G29,Depreciation!$A$14:$L$18,8,FALSE),0))</f>
        <v>2.7856818539452578E-2</v>
      </c>
      <c r="K29" s="306">
        <f>+IF($H29=K$2,VLOOKUP($G29,Depreciation!$A$14:$L$18,9,FALSE)/2,IF($H29&lt;K$2,VLOOKUP($G29,Depreciation!$A$14:$L$18,9,FALSE),0))</f>
        <v>2.7856818539452578E-2</v>
      </c>
      <c r="L29" s="306">
        <f>+IF($H29=L$2,VLOOKUP($G29,Depreciation!$A$14:$L$18,10,FALSE)/2,IF($H29&lt;L$2,VLOOKUP($G29,Depreciation!$A$14:$L$18,10,FALSE),0))</f>
        <v>2.7856818539452578E-2</v>
      </c>
      <c r="M29" s="306">
        <f>+IF($H29=M$2,VLOOKUP($G29,Depreciation!$A$14:$L$18,11,FALSE)/2,IF($H29&lt;M$2,VLOOKUP($G29,Depreciation!$A$14:$L$18,11,FALSE),0))</f>
        <v>2.7856818539452578E-2</v>
      </c>
      <c r="N29" s="306">
        <f>+IF($H29=N$2,VLOOKUP($G29,Depreciation!$A$14:$L$18,12,FALSE)/2,IF($H29&lt;N$2,VLOOKUP($G29,Depreciation!$A$14:$L$18,12,FALSE),0))</f>
        <v>2.7856818539452578E-2</v>
      </c>
      <c r="O29" s="307">
        <f t="shared" si="1"/>
        <v>766853.69195460191</v>
      </c>
      <c r="P29" s="732">
        <f>'Func Future Subs 2015'!P29</f>
        <v>0</v>
      </c>
      <c r="Q29" s="732">
        <f>'Func Future Subs 2015'!Q29</f>
        <v>1</v>
      </c>
      <c r="R29" s="732">
        <f>'Func Future Subs 2015'!R29</f>
        <v>0</v>
      </c>
      <c r="S29" s="735">
        <f t="shared" si="2"/>
        <v>0</v>
      </c>
      <c r="T29" s="735">
        <f t="shared" si="3"/>
        <v>766853.69195460191</v>
      </c>
      <c r="U29" s="735">
        <f t="shared" si="4"/>
        <v>0</v>
      </c>
      <c r="V29" s="736">
        <f t="shared" si="5"/>
        <v>0</v>
      </c>
      <c r="W29" s="735">
        <f t="shared" si="6"/>
        <v>0</v>
      </c>
      <c r="X29" s="737">
        <f t="shared" si="7"/>
        <v>0</v>
      </c>
      <c r="Y29" s="738">
        <f t="shared" si="8"/>
        <v>766853.69195460191</v>
      </c>
    </row>
    <row r="30" spans="1:25">
      <c r="A30" s="754" t="str">
        <f>'Func Future Subs 2015'!A30</f>
        <v>Enmax No. 25</v>
      </c>
      <c r="B30" s="754">
        <f>'Func Future Subs 2015'!B30</f>
        <v>719</v>
      </c>
      <c r="C30" s="754">
        <f>'Func Future Subs 2015'!C30</f>
        <v>240</v>
      </c>
      <c r="D30" s="754">
        <f>'Func Future Subs 2015'!D30</f>
        <v>25</v>
      </c>
      <c r="E30" s="754" t="str">
        <f>'Func Future Subs 2015'!E30</f>
        <v>SS-25</v>
      </c>
      <c r="F30" s="754">
        <f>'Func Future Subs 2015'!F30</f>
        <v>17323675</v>
      </c>
      <c r="G30" s="754" t="str">
        <f>'Func Future Subs 2015'!G30</f>
        <v>ENMAX</v>
      </c>
      <c r="H30" s="754">
        <f>'Func Future Subs 2015'!H30</f>
        <v>2015</v>
      </c>
      <c r="I30" s="306">
        <f>+IF($H30=I$2,VLOOKUP($G30,Depreciation!$A$14:$L$18,7,FALSE)/2,IF($H30&lt;I$2,VLOOKUP($G30,Depreciation!$A$14:$L$18,7,FALSE),0))</f>
        <v>1.3928409269726289E-2</v>
      </c>
      <c r="J30" s="306">
        <f>+IF($H30=J$2,VLOOKUP($G30,Depreciation!$A$14:$L$18,8,FALSE)/2,IF($H30&lt;J$2,VLOOKUP($G30,Depreciation!$A$14:$L$18,8,FALSE),0))</f>
        <v>2.7856818539452578E-2</v>
      </c>
      <c r="K30" s="306">
        <f>+IF($H30=K$2,VLOOKUP($G30,Depreciation!$A$14:$L$18,9,FALSE)/2,IF($H30&lt;K$2,VLOOKUP($G30,Depreciation!$A$14:$L$18,9,FALSE),0))</f>
        <v>2.7856818539452578E-2</v>
      </c>
      <c r="L30" s="306">
        <f>+IF($H30=L$2,VLOOKUP($G30,Depreciation!$A$14:$L$18,10,FALSE)/2,IF($H30&lt;L$2,VLOOKUP($G30,Depreciation!$A$14:$L$18,10,FALSE),0))</f>
        <v>2.7856818539452578E-2</v>
      </c>
      <c r="M30" s="306">
        <f>+IF($H30=M$2,VLOOKUP($G30,Depreciation!$A$14:$L$18,11,FALSE)/2,IF($H30&lt;M$2,VLOOKUP($G30,Depreciation!$A$14:$L$18,11,FALSE),0))</f>
        <v>2.7856818539452578E-2</v>
      </c>
      <c r="N30" s="306">
        <f>+IF($H30=N$2,VLOOKUP($G30,Depreciation!$A$14:$L$18,12,FALSE)/2,IF($H30&lt;N$2,VLOOKUP($G30,Depreciation!$A$14:$L$18,12,FALSE),0))</f>
        <v>2.7856818539452578E-2</v>
      </c>
      <c r="O30" s="307">
        <f t="shared" si="1"/>
        <v>16143918.004803248</v>
      </c>
      <c r="P30" s="732">
        <f>'Func Future Subs 2015'!P30</f>
        <v>0.9759174311926605</v>
      </c>
      <c r="Q30" s="732">
        <f>'Func Future Subs 2015'!Q30</f>
        <v>2.4082568807339451E-2</v>
      </c>
      <c r="R30" s="732">
        <f>'Func Future Subs 2015'!R30</f>
        <v>4.8572257327350599E-17</v>
      </c>
      <c r="S30" s="735">
        <f t="shared" si="2"/>
        <v>15755130.988632526</v>
      </c>
      <c r="T30" s="735">
        <f t="shared" si="3"/>
        <v>388787.01617072045</v>
      </c>
      <c r="U30" s="735">
        <f t="shared" si="4"/>
        <v>7.8414653960095186E-10</v>
      </c>
      <c r="V30" s="736">
        <f t="shared" si="5"/>
        <v>0</v>
      </c>
      <c r="W30" s="735">
        <f t="shared" si="6"/>
        <v>15755130.988632526</v>
      </c>
      <c r="X30" s="737">
        <f t="shared" si="7"/>
        <v>0</v>
      </c>
      <c r="Y30" s="738">
        <f t="shared" si="8"/>
        <v>388787.01617072121</v>
      </c>
    </row>
    <row r="31" spans="1:25">
      <c r="A31" s="754" t="str">
        <f>'Func Future Subs 2015'!A31</f>
        <v>Janet 74S</v>
      </c>
      <c r="B31" s="754">
        <f>'Func Future Subs 2015'!B31</f>
        <v>719</v>
      </c>
      <c r="C31" s="754">
        <f>'Func Future Subs 2015'!C31</f>
        <v>240</v>
      </c>
      <c r="D31" s="754">
        <f>'Func Future Subs 2015'!D31</f>
        <v>138</v>
      </c>
      <c r="E31" s="754" t="str">
        <f>'Func Future Subs 2015'!E31</f>
        <v>74S</v>
      </c>
      <c r="F31" s="754">
        <f>'Func Future Subs 2015'!F31</f>
        <v>1242846.8878267198</v>
      </c>
      <c r="G31" s="754" t="str">
        <f>'Func Future Subs 2015'!G31</f>
        <v>AltaLink</v>
      </c>
      <c r="H31" s="754">
        <f>'Func Future Subs 2015'!H31</f>
        <v>2015</v>
      </c>
      <c r="I31" s="306">
        <f>+IF($H31=I$2,VLOOKUP($G31,Depreciation!$A$14:$L$18,7,FALSE)/2,IF($H31&lt;I$2,VLOOKUP($G31,Depreciation!$A$14:$L$18,7,FALSE),0))</f>
        <v>1.7228380322441735E-2</v>
      </c>
      <c r="J31" s="306">
        <f>+IF($H31=J$2,VLOOKUP($G31,Depreciation!$A$14:$L$18,8,FALSE)/2,IF($H31&lt;J$2,VLOOKUP($G31,Depreciation!$A$14:$L$18,8,FALSE),0))</f>
        <v>3.343407856743718E-2</v>
      </c>
      <c r="K31" s="306">
        <f>+IF($H31=K$2,VLOOKUP($G31,Depreciation!$A$14:$L$18,9,FALSE)/2,IF($H31&lt;K$2,VLOOKUP($G31,Depreciation!$A$14:$L$18,9,FALSE),0))</f>
        <v>3.343407856743718E-2</v>
      </c>
      <c r="L31" s="306">
        <f>+IF($H31=L$2,VLOOKUP($G31,Depreciation!$A$14:$L$18,10,FALSE)/2,IF($H31&lt;L$2,VLOOKUP($G31,Depreciation!$A$14:$L$18,10,FALSE),0))</f>
        <v>3.343407856743718E-2</v>
      </c>
      <c r="M31" s="306">
        <f>+IF($H31=M$2,VLOOKUP($G31,Depreciation!$A$14:$L$18,11,FALSE)/2,IF($H31&lt;M$2,VLOOKUP($G31,Depreciation!$A$14:$L$18,11,FALSE),0))</f>
        <v>3.343407856743718E-2</v>
      </c>
      <c r="N31" s="306">
        <f>+IF($H31=N$2,VLOOKUP($G31,Depreciation!$A$14:$L$18,12,FALSE)/2,IF($H31&lt;N$2,VLOOKUP($G31,Depreciation!$A$14:$L$18,12,FALSE),0))</f>
        <v>3.343407856743718E-2</v>
      </c>
      <c r="O31" s="307">
        <f t="shared" si="1"/>
        <v>1141124.9305123375</v>
      </c>
      <c r="P31" s="732">
        <f>'Func Future Subs 2015'!P31</f>
        <v>0</v>
      </c>
      <c r="Q31" s="732">
        <f>'Func Future Subs 2015'!Q31</f>
        <v>0</v>
      </c>
      <c r="R31" s="732">
        <f>'Func Future Subs 2015'!R31</f>
        <v>1</v>
      </c>
      <c r="S31" s="735">
        <f t="shared" si="2"/>
        <v>0</v>
      </c>
      <c r="T31" s="735">
        <f t="shared" si="3"/>
        <v>0</v>
      </c>
      <c r="U31" s="735">
        <f t="shared" si="4"/>
        <v>1141124.9305123375</v>
      </c>
      <c r="V31" s="736">
        <f t="shared" si="5"/>
        <v>0</v>
      </c>
      <c r="W31" s="735">
        <f t="shared" si="6"/>
        <v>0</v>
      </c>
      <c r="X31" s="737">
        <f t="shared" si="7"/>
        <v>1141124.9305123375</v>
      </c>
      <c r="Y31" s="738">
        <f t="shared" si="8"/>
        <v>0</v>
      </c>
    </row>
    <row r="32" spans="1:25">
      <c r="A32" s="754" t="str">
        <f>'Func Future Subs 2015'!A32</f>
        <v>Langdon 102S substation</v>
      </c>
      <c r="B32" s="754">
        <f>'Func Future Subs 2015'!B32</f>
        <v>719</v>
      </c>
      <c r="C32" s="754">
        <f>'Func Future Subs 2015'!C32</f>
        <v>240</v>
      </c>
      <c r="D32" s="754">
        <f>'Func Future Subs 2015'!D32</f>
        <v>240</v>
      </c>
      <c r="E32" s="754" t="str">
        <f>'Func Future Subs 2015'!E32</f>
        <v>102S</v>
      </c>
      <c r="F32" s="754">
        <f>'Func Future Subs 2015'!F32</f>
        <v>11146.608859432465</v>
      </c>
      <c r="G32" s="754" t="str">
        <f>'Func Future Subs 2015'!G32</f>
        <v>AltaLink</v>
      </c>
      <c r="H32" s="754">
        <f>'Func Future Subs 2015'!H32</f>
        <v>2015</v>
      </c>
      <c r="I32" s="306">
        <f>+IF($H32=I$2,VLOOKUP($G32,Depreciation!$A$14:$L$18,7,FALSE)/2,IF($H32&lt;I$2,VLOOKUP($G32,Depreciation!$A$14:$L$18,7,FALSE),0))</f>
        <v>1.7228380322441735E-2</v>
      </c>
      <c r="J32" s="306">
        <f>+IF($H32=J$2,VLOOKUP($G32,Depreciation!$A$14:$L$18,8,FALSE)/2,IF($H32&lt;J$2,VLOOKUP($G32,Depreciation!$A$14:$L$18,8,FALSE),0))</f>
        <v>3.343407856743718E-2</v>
      </c>
      <c r="K32" s="306">
        <f>+IF($H32=K$2,VLOOKUP($G32,Depreciation!$A$14:$L$18,9,FALSE)/2,IF($H32&lt;K$2,VLOOKUP($G32,Depreciation!$A$14:$L$18,9,FALSE),0))</f>
        <v>3.343407856743718E-2</v>
      </c>
      <c r="L32" s="306">
        <f>+IF($H32=L$2,VLOOKUP($G32,Depreciation!$A$14:$L$18,10,FALSE)/2,IF($H32&lt;L$2,VLOOKUP($G32,Depreciation!$A$14:$L$18,10,FALSE),0))</f>
        <v>3.343407856743718E-2</v>
      </c>
      <c r="M32" s="306">
        <f>+IF($H32=M$2,VLOOKUP($G32,Depreciation!$A$14:$L$18,11,FALSE)/2,IF($H32&lt;M$2,VLOOKUP($G32,Depreciation!$A$14:$L$18,11,FALSE),0))</f>
        <v>3.343407856743718E-2</v>
      </c>
      <c r="N32" s="306">
        <f>+IF($H32=N$2,VLOOKUP($G32,Depreciation!$A$14:$L$18,12,FALSE)/2,IF($H32&lt;N$2,VLOOKUP($G32,Depreciation!$A$14:$L$18,12,FALSE),0))</f>
        <v>3.343407856743718E-2</v>
      </c>
      <c r="O32" s="307">
        <f t="shared" si="1"/>
        <v>10234.304309527692</v>
      </c>
      <c r="P32" s="732">
        <f>'Func Future Subs 2015'!P32</f>
        <v>0</v>
      </c>
      <c r="Q32" s="732">
        <f>'Func Future Subs 2015'!Q32</f>
        <v>0</v>
      </c>
      <c r="R32" s="732">
        <f>'Func Future Subs 2015'!R32</f>
        <v>1</v>
      </c>
      <c r="S32" s="735">
        <f t="shared" si="2"/>
        <v>0</v>
      </c>
      <c r="T32" s="735">
        <f t="shared" si="3"/>
        <v>0</v>
      </c>
      <c r="U32" s="735">
        <f t="shared" si="4"/>
        <v>10234.304309527692</v>
      </c>
      <c r="V32" s="736">
        <f t="shared" si="5"/>
        <v>0</v>
      </c>
      <c r="W32" s="735">
        <f t="shared" si="6"/>
        <v>10234.304309527692</v>
      </c>
      <c r="X32" s="737">
        <f t="shared" si="7"/>
        <v>0</v>
      </c>
      <c r="Y32" s="738">
        <f t="shared" si="8"/>
        <v>0</v>
      </c>
    </row>
    <row r="33" spans="1:25">
      <c r="A33" s="754" t="str">
        <f>'Func Future Subs 2015'!A33</f>
        <v>Peigan 59S substation</v>
      </c>
      <c r="B33" s="754">
        <f>'Func Future Subs 2015'!B33</f>
        <v>719</v>
      </c>
      <c r="C33" s="754">
        <f>'Func Future Subs 2015'!C33</f>
        <v>240</v>
      </c>
      <c r="D33" s="754">
        <f>'Func Future Subs 2015'!D33</f>
        <v>138</v>
      </c>
      <c r="E33" s="754" t="str">
        <f>'Func Future Subs 2015'!E33</f>
        <v>59S</v>
      </c>
      <c r="F33" s="754">
        <f>'Func Future Subs 2015'!F33</f>
        <v>13933.26107429058</v>
      </c>
      <c r="G33" s="754" t="str">
        <f>'Func Future Subs 2015'!G33</f>
        <v>AltaLink</v>
      </c>
      <c r="H33" s="754">
        <f>'Func Future Subs 2015'!H33</f>
        <v>2015</v>
      </c>
      <c r="I33" s="306">
        <f>+IF($H33=I$2,VLOOKUP($G33,Depreciation!$A$14:$L$18,7,FALSE)/2,IF($H33&lt;I$2,VLOOKUP($G33,Depreciation!$A$14:$L$18,7,FALSE),0))</f>
        <v>1.7228380322441735E-2</v>
      </c>
      <c r="J33" s="306">
        <f>+IF($H33=J$2,VLOOKUP($G33,Depreciation!$A$14:$L$18,8,FALSE)/2,IF($H33&lt;J$2,VLOOKUP($G33,Depreciation!$A$14:$L$18,8,FALSE),0))</f>
        <v>3.343407856743718E-2</v>
      </c>
      <c r="K33" s="306">
        <f>+IF($H33=K$2,VLOOKUP($G33,Depreciation!$A$14:$L$18,9,FALSE)/2,IF($H33&lt;K$2,VLOOKUP($G33,Depreciation!$A$14:$L$18,9,FALSE),0))</f>
        <v>3.343407856743718E-2</v>
      </c>
      <c r="L33" s="306">
        <f>+IF($H33=L$2,VLOOKUP($G33,Depreciation!$A$14:$L$18,10,FALSE)/2,IF($H33&lt;L$2,VLOOKUP($G33,Depreciation!$A$14:$L$18,10,FALSE),0))</f>
        <v>3.343407856743718E-2</v>
      </c>
      <c r="M33" s="306">
        <f>+IF($H33=M$2,VLOOKUP($G33,Depreciation!$A$14:$L$18,11,FALSE)/2,IF($H33&lt;M$2,VLOOKUP($G33,Depreciation!$A$14:$L$18,11,FALSE),0))</f>
        <v>3.343407856743718E-2</v>
      </c>
      <c r="N33" s="306">
        <f>+IF($H33=N$2,VLOOKUP($G33,Depreciation!$A$14:$L$18,12,FALSE)/2,IF($H33&lt;N$2,VLOOKUP($G33,Depreciation!$A$14:$L$18,12,FALSE),0))</f>
        <v>3.343407856743718E-2</v>
      </c>
      <c r="O33" s="307">
        <f t="shared" si="1"/>
        <v>12792.880386909612</v>
      </c>
      <c r="P33" s="732">
        <f>'Func Future Subs 2015'!P33</f>
        <v>0</v>
      </c>
      <c r="Q33" s="732">
        <f>'Func Future Subs 2015'!Q33</f>
        <v>0</v>
      </c>
      <c r="R33" s="732">
        <f>'Func Future Subs 2015'!R33</f>
        <v>1</v>
      </c>
      <c r="S33" s="735">
        <f t="shared" si="2"/>
        <v>0</v>
      </c>
      <c r="T33" s="735">
        <f t="shared" si="3"/>
        <v>0</v>
      </c>
      <c r="U33" s="735">
        <f t="shared" si="4"/>
        <v>12792.880386909612</v>
      </c>
      <c r="V33" s="736">
        <f t="shared" si="5"/>
        <v>0</v>
      </c>
      <c r="W33" s="735">
        <f t="shared" si="6"/>
        <v>0</v>
      </c>
      <c r="X33" s="737">
        <f t="shared" si="7"/>
        <v>12792.880386909612</v>
      </c>
      <c r="Y33" s="738">
        <f t="shared" si="8"/>
        <v>0</v>
      </c>
    </row>
    <row r="34" spans="1:25">
      <c r="A34" s="754" t="str">
        <f>'Func Future Subs 2015'!A34</f>
        <v>S.42S</v>
      </c>
      <c r="B34" s="754">
        <f>'Func Future Subs 2015'!B34</f>
        <v>719</v>
      </c>
      <c r="C34" s="754">
        <f>'Func Future Subs 2015'!C34</f>
        <v>240</v>
      </c>
      <c r="D34" s="754">
        <f>'Func Future Subs 2015'!D34</f>
        <v>138</v>
      </c>
      <c r="E34" s="754" t="str">
        <f>'Func Future Subs 2015'!E34</f>
        <v>42S</v>
      </c>
      <c r="F34" s="754">
        <f>'Func Future Subs 2015'!F34</f>
        <v>128186.00188347333</v>
      </c>
      <c r="G34" s="754" t="str">
        <f>'Func Future Subs 2015'!G34</f>
        <v>AltaLink</v>
      </c>
      <c r="H34" s="754">
        <f>'Func Future Subs 2015'!H34</f>
        <v>2015</v>
      </c>
      <c r="I34" s="306">
        <f>+IF($H34=I$2,VLOOKUP($G34,Depreciation!$A$14:$L$18,7,FALSE)/2,IF($H34&lt;I$2,VLOOKUP($G34,Depreciation!$A$14:$L$18,7,FALSE),0))</f>
        <v>1.7228380322441735E-2</v>
      </c>
      <c r="J34" s="306">
        <f>+IF($H34=J$2,VLOOKUP($G34,Depreciation!$A$14:$L$18,8,FALSE)/2,IF($H34&lt;J$2,VLOOKUP($G34,Depreciation!$A$14:$L$18,8,FALSE),0))</f>
        <v>3.343407856743718E-2</v>
      </c>
      <c r="K34" s="306">
        <f>+IF($H34=K$2,VLOOKUP($G34,Depreciation!$A$14:$L$18,9,FALSE)/2,IF($H34&lt;K$2,VLOOKUP($G34,Depreciation!$A$14:$L$18,9,FALSE),0))</f>
        <v>3.343407856743718E-2</v>
      </c>
      <c r="L34" s="306">
        <f>+IF($H34=L$2,VLOOKUP($G34,Depreciation!$A$14:$L$18,10,FALSE)/2,IF($H34&lt;L$2,VLOOKUP($G34,Depreciation!$A$14:$L$18,10,FALSE),0))</f>
        <v>3.343407856743718E-2</v>
      </c>
      <c r="M34" s="306">
        <f>+IF($H34=M$2,VLOOKUP($G34,Depreciation!$A$14:$L$18,11,FALSE)/2,IF($H34&lt;M$2,VLOOKUP($G34,Depreciation!$A$14:$L$18,11,FALSE),0))</f>
        <v>3.343407856743718E-2</v>
      </c>
      <c r="N34" s="306">
        <f>+IF($H34=N$2,VLOOKUP($G34,Depreciation!$A$14:$L$18,12,FALSE)/2,IF($H34&lt;N$2,VLOOKUP($G34,Depreciation!$A$14:$L$18,12,FALSE),0))</f>
        <v>3.343407856743718E-2</v>
      </c>
      <c r="O34" s="307">
        <f t="shared" si="1"/>
        <v>117694.49955956843</v>
      </c>
      <c r="P34" s="732">
        <f>'Func Future Subs 2015'!P34</f>
        <v>0</v>
      </c>
      <c r="Q34" s="732">
        <f>'Func Future Subs 2015'!Q34</f>
        <v>0</v>
      </c>
      <c r="R34" s="732">
        <f>'Func Future Subs 2015'!R34</f>
        <v>1</v>
      </c>
      <c r="S34" s="735">
        <f t="shared" si="2"/>
        <v>0</v>
      </c>
      <c r="T34" s="735">
        <f t="shared" si="3"/>
        <v>0</v>
      </c>
      <c r="U34" s="735">
        <f t="shared" si="4"/>
        <v>117694.49955956843</v>
      </c>
      <c r="V34" s="736">
        <f t="shared" si="5"/>
        <v>0</v>
      </c>
      <c r="W34" s="735">
        <f t="shared" si="6"/>
        <v>0</v>
      </c>
      <c r="X34" s="737">
        <f t="shared" si="7"/>
        <v>117694.49955956843</v>
      </c>
      <c r="Y34" s="738">
        <f t="shared" si="8"/>
        <v>0</v>
      </c>
    </row>
    <row r="35" spans="1:25">
      <c r="A35" s="754" t="str">
        <f>'Func Future Subs 2015'!A35</f>
        <v>805S Jasper Sub</v>
      </c>
      <c r="B35" s="754">
        <f>'Func Future Subs 2015'!B35</f>
        <v>786</v>
      </c>
      <c r="C35" s="754">
        <f>'Func Future Subs 2015'!C35</f>
        <v>240</v>
      </c>
      <c r="D35" s="754">
        <f>'Func Future Subs 2015'!D35</f>
        <v>0</v>
      </c>
      <c r="E35" s="754" t="str">
        <f>'Func Future Subs 2015'!E35</f>
        <v>805S</v>
      </c>
      <c r="F35" s="754">
        <f>'Func Future Subs 2015'!F35</f>
        <v>977096.32405747706</v>
      </c>
      <c r="G35" s="754" t="str">
        <f>'Func Future Subs 2015'!G35</f>
        <v>EPCOR</v>
      </c>
      <c r="H35" s="754">
        <f>'Func Future Subs 2015'!H35</f>
        <v>2016</v>
      </c>
      <c r="I35" s="306">
        <f>+IF($H35=I$2,VLOOKUP($G35,Depreciation!$A$14:$L$18,7,FALSE)/2,IF($H35&lt;I$2,VLOOKUP($G35,Depreciation!$A$14:$L$18,7,FALSE),0))</f>
        <v>0</v>
      </c>
      <c r="J35" s="306">
        <f>+IF($H35=J$2,VLOOKUP($G35,Depreciation!$A$14:$L$18,8,FALSE)/2,IF($H35&lt;J$2,VLOOKUP($G35,Depreciation!$A$14:$L$18,8,FALSE),0))</f>
        <v>2.0800027799922457E-2</v>
      </c>
      <c r="K35" s="306">
        <f>+IF($H35=K$2,VLOOKUP($G35,Depreciation!$A$14:$L$18,9,FALSE)/2,IF($H35&lt;K$2,VLOOKUP($G35,Depreciation!$A$14:$L$18,9,FALSE),0))</f>
        <v>4.1145263498658789E-2</v>
      </c>
      <c r="L35" s="306">
        <f>+IF($H35=L$2,VLOOKUP($G35,Depreciation!$A$14:$L$18,10,FALSE)/2,IF($H35&lt;L$2,VLOOKUP($G35,Depreciation!$A$14:$L$18,10,FALSE),0))</f>
        <v>4.1145263498658789E-2</v>
      </c>
      <c r="M35" s="306">
        <f>+IF($H35=M$2,VLOOKUP($G35,Depreciation!$A$14:$L$18,11,FALSE)/2,IF($H35&lt;M$2,VLOOKUP($G35,Depreciation!$A$14:$L$18,11,FALSE),0))</f>
        <v>4.1145263498658789E-2</v>
      </c>
      <c r="N35" s="306">
        <f>+IF($H35=N$2,VLOOKUP($G35,Depreciation!$A$14:$L$18,12,FALSE)/2,IF($H35&lt;N$2,VLOOKUP($G35,Depreciation!$A$14:$L$18,12,FALSE),0))</f>
        <v>4.1145263498658789E-2</v>
      </c>
      <c r="O35" s="307">
        <f t="shared" si="1"/>
        <v>917406.02877751272</v>
      </c>
      <c r="P35" s="732">
        <f>'Func Future Subs 2015'!P35</f>
        <v>0</v>
      </c>
      <c r="Q35" s="732">
        <f>'Func Future Subs 2015'!Q35</f>
        <v>0</v>
      </c>
      <c r="R35" s="732">
        <f>'Func Future Subs 2015'!R35</f>
        <v>1</v>
      </c>
      <c r="S35" s="735">
        <f t="shared" si="2"/>
        <v>0</v>
      </c>
      <c r="T35" s="735">
        <f t="shared" si="3"/>
        <v>0</v>
      </c>
      <c r="U35" s="735">
        <f t="shared" si="4"/>
        <v>917406.02877751272</v>
      </c>
      <c r="V35" s="736">
        <f t="shared" si="5"/>
        <v>917406.02877751272</v>
      </c>
      <c r="W35" s="735">
        <f t="shared" si="6"/>
        <v>0</v>
      </c>
      <c r="X35" s="737">
        <f t="shared" si="7"/>
        <v>0</v>
      </c>
      <c r="Y35" s="738">
        <f t="shared" si="8"/>
        <v>0</v>
      </c>
    </row>
    <row r="36" spans="1:25">
      <c r="A36" s="754" t="str">
        <f>'Func Future Subs 2015'!A36</f>
        <v>816S Petrolia Sub</v>
      </c>
      <c r="B36" s="754">
        <f>'Func Future Subs 2015'!B36</f>
        <v>786</v>
      </c>
      <c r="C36" s="754">
        <f>'Func Future Subs 2015'!C36</f>
        <v>240</v>
      </c>
      <c r="D36" s="754">
        <f>'Func Future Subs 2015'!D36</f>
        <v>25</v>
      </c>
      <c r="E36" s="754" t="str">
        <f>'Func Future Subs 2015'!E36</f>
        <v>816S</v>
      </c>
      <c r="F36" s="754">
        <f>'Func Future Subs 2015'!F36</f>
        <v>1459886.8313876344</v>
      </c>
      <c r="G36" s="754" t="str">
        <f>'Func Future Subs 2015'!G36</f>
        <v>EPCOR</v>
      </c>
      <c r="H36" s="754">
        <f>'Func Future Subs 2015'!H36</f>
        <v>2016</v>
      </c>
      <c r="I36" s="306">
        <f>+IF($H36=I$2,VLOOKUP($G36,Depreciation!$A$14:$L$18,7,FALSE)/2,IF($H36&lt;I$2,VLOOKUP($G36,Depreciation!$A$14:$L$18,7,FALSE),0))</f>
        <v>0</v>
      </c>
      <c r="J36" s="306">
        <f>+IF($H36=J$2,VLOOKUP($G36,Depreciation!$A$14:$L$18,8,FALSE)/2,IF($H36&lt;J$2,VLOOKUP($G36,Depreciation!$A$14:$L$18,8,FALSE),0))</f>
        <v>2.0800027799922457E-2</v>
      </c>
      <c r="K36" s="306">
        <f>+IF($H36=K$2,VLOOKUP($G36,Depreciation!$A$14:$L$18,9,FALSE)/2,IF($H36&lt;K$2,VLOOKUP($G36,Depreciation!$A$14:$L$18,9,FALSE),0))</f>
        <v>4.1145263498658789E-2</v>
      </c>
      <c r="L36" s="306">
        <f>+IF($H36=L$2,VLOOKUP($G36,Depreciation!$A$14:$L$18,10,FALSE)/2,IF($H36&lt;L$2,VLOOKUP($G36,Depreciation!$A$14:$L$18,10,FALSE),0))</f>
        <v>4.1145263498658789E-2</v>
      </c>
      <c r="M36" s="306">
        <f>+IF($H36=M$2,VLOOKUP($G36,Depreciation!$A$14:$L$18,11,FALSE)/2,IF($H36&lt;M$2,VLOOKUP($G36,Depreciation!$A$14:$L$18,11,FALSE),0))</f>
        <v>4.1145263498658789E-2</v>
      </c>
      <c r="N36" s="306">
        <f>+IF($H36=N$2,VLOOKUP($G36,Depreciation!$A$14:$L$18,12,FALSE)/2,IF($H36&lt;N$2,VLOOKUP($G36,Depreciation!$A$14:$L$18,12,FALSE),0))</f>
        <v>4.1145263498658789E-2</v>
      </c>
      <c r="O36" s="307">
        <f t="shared" si="1"/>
        <v>1370703.1205340324</v>
      </c>
      <c r="P36" s="732">
        <f>'Func Future Subs 2015'!P36</f>
        <v>0</v>
      </c>
      <c r="Q36" s="732">
        <f>'Func Future Subs 2015'!Q36</f>
        <v>0</v>
      </c>
      <c r="R36" s="732">
        <f>'Func Future Subs 2015'!R36</f>
        <v>1</v>
      </c>
      <c r="S36" s="735">
        <f t="shared" si="2"/>
        <v>0</v>
      </c>
      <c r="T36" s="735">
        <f t="shared" si="3"/>
        <v>0</v>
      </c>
      <c r="U36" s="735">
        <f t="shared" si="4"/>
        <v>1370703.1205340324</v>
      </c>
      <c r="V36" s="736">
        <f t="shared" si="5"/>
        <v>0</v>
      </c>
      <c r="W36" s="735">
        <f t="shared" si="6"/>
        <v>0</v>
      </c>
      <c r="X36" s="737">
        <f t="shared" si="7"/>
        <v>0</v>
      </c>
      <c r="Y36" s="738">
        <f t="shared" si="8"/>
        <v>1370703.1205340324</v>
      </c>
    </row>
    <row r="37" spans="1:25">
      <c r="A37" s="754" t="str">
        <f>'Func Future Subs 2015'!A37</f>
        <v>Bellamy 814S</v>
      </c>
      <c r="B37" s="754">
        <f>'Func Future Subs 2015'!B37</f>
        <v>786</v>
      </c>
      <c r="C37" s="754">
        <f>'Func Future Subs 2015'!C37</f>
        <v>240</v>
      </c>
      <c r="D37" s="754">
        <f>'Func Future Subs 2015'!D37</f>
        <v>0</v>
      </c>
      <c r="E37" s="754" t="str">
        <f>'Func Future Subs 2015'!E37</f>
        <v>814S</v>
      </c>
      <c r="F37" s="754">
        <f>'Func Future Subs 2015'!F37</f>
        <v>700514.65499403654</v>
      </c>
      <c r="G37" s="754" t="str">
        <f>'Func Future Subs 2015'!G37</f>
        <v>EPCOR</v>
      </c>
      <c r="H37" s="754">
        <f>'Func Future Subs 2015'!H37</f>
        <v>2016</v>
      </c>
      <c r="I37" s="306">
        <f>+IF($H37=I$2,VLOOKUP($G37,Depreciation!$A$14:$L$18,7,FALSE)/2,IF($H37&lt;I$2,VLOOKUP($G37,Depreciation!$A$14:$L$18,7,FALSE),0))</f>
        <v>0</v>
      </c>
      <c r="J37" s="306">
        <f>+IF($H37=J$2,VLOOKUP($G37,Depreciation!$A$14:$L$18,8,FALSE)/2,IF($H37&lt;J$2,VLOOKUP($G37,Depreciation!$A$14:$L$18,8,FALSE),0))</f>
        <v>2.0800027799922457E-2</v>
      </c>
      <c r="K37" s="306">
        <f>+IF($H37=K$2,VLOOKUP($G37,Depreciation!$A$14:$L$18,9,FALSE)/2,IF($H37&lt;K$2,VLOOKUP($G37,Depreciation!$A$14:$L$18,9,FALSE),0))</f>
        <v>4.1145263498658789E-2</v>
      </c>
      <c r="L37" s="306">
        <f>+IF($H37=L$2,VLOOKUP($G37,Depreciation!$A$14:$L$18,10,FALSE)/2,IF($H37&lt;L$2,VLOOKUP($G37,Depreciation!$A$14:$L$18,10,FALSE),0))</f>
        <v>4.1145263498658789E-2</v>
      </c>
      <c r="M37" s="306">
        <f>+IF($H37=M$2,VLOOKUP($G37,Depreciation!$A$14:$L$18,11,FALSE)/2,IF($H37&lt;M$2,VLOOKUP($G37,Depreciation!$A$14:$L$18,11,FALSE),0))</f>
        <v>4.1145263498658789E-2</v>
      </c>
      <c r="N37" s="306">
        <f>+IF($H37=N$2,VLOOKUP($G37,Depreciation!$A$14:$L$18,12,FALSE)/2,IF($H37&lt;N$2,VLOOKUP($G37,Depreciation!$A$14:$L$18,12,FALSE),0))</f>
        <v>4.1145263498658789E-2</v>
      </c>
      <c r="O37" s="307">
        <f t="shared" si="1"/>
        <v>657720.58692211867</v>
      </c>
      <c r="P37" s="732">
        <f>'Func Future Subs 2015'!P37</f>
        <v>0</v>
      </c>
      <c r="Q37" s="732">
        <f>'Func Future Subs 2015'!Q37</f>
        <v>0</v>
      </c>
      <c r="R37" s="732">
        <f>'Func Future Subs 2015'!R37</f>
        <v>1</v>
      </c>
      <c r="S37" s="735">
        <f t="shared" si="2"/>
        <v>0</v>
      </c>
      <c r="T37" s="735">
        <f t="shared" si="3"/>
        <v>0</v>
      </c>
      <c r="U37" s="735">
        <f t="shared" si="4"/>
        <v>657720.58692211867</v>
      </c>
      <c r="V37" s="736">
        <f t="shared" si="5"/>
        <v>657720.58692211867</v>
      </c>
      <c r="W37" s="735">
        <f t="shared" si="6"/>
        <v>0</v>
      </c>
      <c r="X37" s="737">
        <f t="shared" si="7"/>
        <v>0</v>
      </c>
      <c r="Y37" s="738">
        <f t="shared" si="8"/>
        <v>0</v>
      </c>
    </row>
    <row r="38" spans="1:25">
      <c r="A38" s="754" t="str">
        <f>'Func Future Subs 2015'!A38</f>
        <v>Dome 665S</v>
      </c>
      <c r="B38" s="754">
        <f>'Func Future Subs 2015'!B38</f>
        <v>786</v>
      </c>
      <c r="C38" s="754">
        <f>'Func Future Subs 2015'!C38</f>
        <v>240</v>
      </c>
      <c r="D38" s="754">
        <f>'Func Future Subs 2015'!D38</f>
        <v>0</v>
      </c>
      <c r="E38" s="754" t="str">
        <f>'Func Future Subs 2015'!E38</f>
        <v>665S</v>
      </c>
      <c r="F38" s="754">
        <f>'Func Future Subs 2015'!F38</f>
        <v>616310.21693290537</v>
      </c>
      <c r="G38" s="754" t="str">
        <f>'Func Future Subs 2015'!G38</f>
        <v>EPCOR</v>
      </c>
      <c r="H38" s="754">
        <f>'Func Future Subs 2015'!H38</f>
        <v>2016</v>
      </c>
      <c r="I38" s="306">
        <f>+IF($H38=I$2,VLOOKUP($G38,Depreciation!$A$14:$L$18,7,FALSE)/2,IF($H38&lt;I$2,VLOOKUP($G38,Depreciation!$A$14:$L$18,7,FALSE),0))</f>
        <v>0</v>
      </c>
      <c r="J38" s="306">
        <f>+IF($H38=J$2,VLOOKUP($G38,Depreciation!$A$14:$L$18,8,FALSE)/2,IF($H38&lt;J$2,VLOOKUP($G38,Depreciation!$A$14:$L$18,8,FALSE),0))</f>
        <v>2.0800027799922457E-2</v>
      </c>
      <c r="K38" s="306">
        <f>+IF($H38=K$2,VLOOKUP($G38,Depreciation!$A$14:$L$18,9,FALSE)/2,IF($H38&lt;K$2,VLOOKUP($G38,Depreciation!$A$14:$L$18,9,FALSE),0))</f>
        <v>4.1145263498658789E-2</v>
      </c>
      <c r="L38" s="306">
        <f>+IF($H38=L$2,VLOOKUP($G38,Depreciation!$A$14:$L$18,10,FALSE)/2,IF($H38&lt;L$2,VLOOKUP($G38,Depreciation!$A$14:$L$18,10,FALSE),0))</f>
        <v>4.1145263498658789E-2</v>
      </c>
      <c r="M38" s="306">
        <f>+IF($H38=M$2,VLOOKUP($G38,Depreciation!$A$14:$L$18,11,FALSE)/2,IF($H38&lt;M$2,VLOOKUP($G38,Depreciation!$A$14:$L$18,11,FALSE),0))</f>
        <v>4.1145263498658789E-2</v>
      </c>
      <c r="N38" s="306">
        <f>+IF($H38=N$2,VLOOKUP($G38,Depreciation!$A$14:$L$18,12,FALSE)/2,IF($H38&lt;N$2,VLOOKUP($G38,Depreciation!$A$14:$L$18,12,FALSE),0))</f>
        <v>4.1145263498658789E-2</v>
      </c>
      <c r="O38" s="307">
        <f t="shared" si="1"/>
        <v>578660.15324213251</v>
      </c>
      <c r="P38" s="732">
        <f>'Func Future Subs 2015'!P38</f>
        <v>0</v>
      </c>
      <c r="Q38" s="732">
        <f>'Func Future Subs 2015'!Q38</f>
        <v>0</v>
      </c>
      <c r="R38" s="732">
        <f>'Func Future Subs 2015'!R38</f>
        <v>1</v>
      </c>
      <c r="S38" s="735">
        <f t="shared" si="2"/>
        <v>0</v>
      </c>
      <c r="T38" s="735">
        <f t="shared" si="3"/>
        <v>0</v>
      </c>
      <c r="U38" s="735">
        <f t="shared" si="4"/>
        <v>578660.15324213251</v>
      </c>
      <c r="V38" s="736">
        <f t="shared" si="5"/>
        <v>578660.15324213251</v>
      </c>
      <c r="W38" s="735">
        <f t="shared" si="6"/>
        <v>0</v>
      </c>
      <c r="X38" s="737">
        <f t="shared" si="7"/>
        <v>0</v>
      </c>
      <c r="Y38" s="738">
        <f t="shared" si="8"/>
        <v>0</v>
      </c>
    </row>
    <row r="39" spans="1:25">
      <c r="A39" s="754" t="str">
        <f>'Func Future Subs 2015'!A39</f>
        <v>Genesee 330P</v>
      </c>
      <c r="B39" s="754">
        <f>'Func Future Subs 2015'!B39</f>
        <v>786</v>
      </c>
      <c r="C39" s="754">
        <f>'Func Future Subs 2015'!C39</f>
        <v>500</v>
      </c>
      <c r="D39" s="754">
        <f>'Func Future Subs 2015'!D39</f>
        <v>240</v>
      </c>
      <c r="E39" s="754" t="str">
        <f>'Func Future Subs 2015'!E39</f>
        <v>330P</v>
      </c>
      <c r="F39" s="754">
        <f>'Func Future Subs 2015'!F39</f>
        <v>112557.4943276488</v>
      </c>
      <c r="G39" s="754" t="str">
        <f>'Func Future Subs 2015'!G39</f>
        <v>EPCOR</v>
      </c>
      <c r="H39" s="754">
        <f>'Func Future Subs 2015'!H39</f>
        <v>2016</v>
      </c>
      <c r="I39" s="306">
        <f>+IF($H39=I$2,VLOOKUP($G39,Depreciation!$A$14:$L$18,7,FALSE)/2,IF($H39&lt;I$2,VLOOKUP($G39,Depreciation!$A$14:$L$18,7,FALSE),0))</f>
        <v>0</v>
      </c>
      <c r="J39" s="306">
        <f>+IF($H39=J$2,VLOOKUP($G39,Depreciation!$A$14:$L$18,8,FALSE)/2,IF($H39&lt;J$2,VLOOKUP($G39,Depreciation!$A$14:$L$18,8,FALSE),0))</f>
        <v>2.0800027799922457E-2</v>
      </c>
      <c r="K39" s="306">
        <f>+IF($H39=K$2,VLOOKUP($G39,Depreciation!$A$14:$L$18,9,FALSE)/2,IF($H39&lt;K$2,VLOOKUP($G39,Depreciation!$A$14:$L$18,9,FALSE),0))</f>
        <v>4.1145263498658789E-2</v>
      </c>
      <c r="L39" s="306">
        <f>+IF($H39=L$2,VLOOKUP($G39,Depreciation!$A$14:$L$18,10,FALSE)/2,IF($H39&lt;L$2,VLOOKUP($G39,Depreciation!$A$14:$L$18,10,FALSE),0))</f>
        <v>4.1145263498658789E-2</v>
      </c>
      <c r="M39" s="306">
        <f>+IF($H39=M$2,VLOOKUP($G39,Depreciation!$A$14:$L$18,11,FALSE)/2,IF($H39&lt;M$2,VLOOKUP($G39,Depreciation!$A$14:$L$18,11,FALSE),0))</f>
        <v>4.1145263498658789E-2</v>
      </c>
      <c r="N39" s="306">
        <f>+IF($H39=N$2,VLOOKUP($G39,Depreciation!$A$14:$L$18,12,FALSE)/2,IF($H39&lt;N$2,VLOOKUP($G39,Depreciation!$A$14:$L$18,12,FALSE),0))</f>
        <v>4.1145263498658789E-2</v>
      </c>
      <c r="O39" s="307">
        <f t="shared" si="1"/>
        <v>105681.4168038989</v>
      </c>
      <c r="P39" s="732">
        <f>'Func Future Subs 2015'!P39</f>
        <v>0</v>
      </c>
      <c r="Q39" s="732">
        <f>'Func Future Subs 2015'!Q39</f>
        <v>0</v>
      </c>
      <c r="R39" s="732">
        <f>'Func Future Subs 2015'!R39</f>
        <v>1</v>
      </c>
      <c r="S39" s="735">
        <f t="shared" si="2"/>
        <v>0</v>
      </c>
      <c r="T39" s="735">
        <f t="shared" si="3"/>
        <v>0</v>
      </c>
      <c r="U39" s="735">
        <f t="shared" si="4"/>
        <v>105681.4168038989</v>
      </c>
      <c r="V39" s="736">
        <f t="shared" si="5"/>
        <v>0</v>
      </c>
      <c r="W39" s="735">
        <f t="shared" si="6"/>
        <v>105681.4168038989</v>
      </c>
      <c r="X39" s="737">
        <f t="shared" si="7"/>
        <v>0</v>
      </c>
      <c r="Y39" s="738">
        <f t="shared" si="8"/>
        <v>0</v>
      </c>
    </row>
    <row r="40" spans="1:25">
      <c r="A40" s="754" t="str">
        <f>'Func Future Subs 2015'!A40</f>
        <v>Keephills 320P</v>
      </c>
      <c r="B40" s="754">
        <f>'Func Future Subs 2015'!B40</f>
        <v>786</v>
      </c>
      <c r="C40" s="754">
        <f>'Func Future Subs 2015'!C40</f>
        <v>240</v>
      </c>
      <c r="D40" s="754">
        <f>'Func Future Subs 2015'!D40</f>
        <v>25</v>
      </c>
      <c r="E40" s="754" t="str">
        <f>'Func Future Subs 2015'!E40</f>
        <v>320P</v>
      </c>
      <c r="F40" s="754">
        <f>'Func Future Subs 2015'!F40</f>
        <v>5431229.6126103988</v>
      </c>
      <c r="G40" s="754" t="str">
        <f>'Func Future Subs 2015'!G40</f>
        <v>AltaLink</v>
      </c>
      <c r="H40" s="754">
        <f>'Func Future Subs 2015'!H40</f>
        <v>2016</v>
      </c>
      <c r="I40" s="306">
        <f>+IF($H40=I$2,VLOOKUP($G40,Depreciation!$A$14:$L$18,7,FALSE)/2,IF($H40&lt;I$2,VLOOKUP($G40,Depreciation!$A$14:$L$18,7,FALSE),0))</f>
        <v>0</v>
      </c>
      <c r="J40" s="306">
        <f>+IF($H40=J$2,VLOOKUP($G40,Depreciation!$A$14:$L$18,8,FALSE)/2,IF($H40&lt;J$2,VLOOKUP($G40,Depreciation!$A$14:$L$18,8,FALSE),0))</f>
        <v>1.671703928371859E-2</v>
      </c>
      <c r="K40" s="306">
        <f>+IF($H40=K$2,VLOOKUP($G40,Depreciation!$A$14:$L$18,9,FALSE)/2,IF($H40&lt;K$2,VLOOKUP($G40,Depreciation!$A$14:$L$18,9,FALSE),0))</f>
        <v>3.343407856743718E-2</v>
      </c>
      <c r="L40" s="306">
        <f>+IF($H40=L$2,VLOOKUP($G40,Depreciation!$A$14:$L$18,10,FALSE)/2,IF($H40&lt;L$2,VLOOKUP($G40,Depreciation!$A$14:$L$18,10,FALSE),0))</f>
        <v>3.343407856743718E-2</v>
      </c>
      <c r="M40" s="306">
        <f>+IF($H40=M$2,VLOOKUP($G40,Depreciation!$A$14:$L$18,11,FALSE)/2,IF($H40&lt;M$2,VLOOKUP($G40,Depreciation!$A$14:$L$18,11,FALSE),0))</f>
        <v>3.343407856743718E-2</v>
      </c>
      <c r="N40" s="306">
        <f>+IF($H40=N$2,VLOOKUP($G40,Depreciation!$A$14:$L$18,12,FALSE)/2,IF($H40&lt;N$2,VLOOKUP($G40,Depreciation!$A$14:$L$18,12,FALSE),0))</f>
        <v>3.343407856743718E-2</v>
      </c>
      <c r="O40" s="307">
        <f t="shared" si="1"/>
        <v>5161882.9925955078</v>
      </c>
      <c r="P40" s="732">
        <f>'Func Future Subs 2015'!P40</f>
        <v>0.96203522504892369</v>
      </c>
      <c r="Q40" s="732">
        <f>'Func Future Subs 2015'!Q40</f>
        <v>3.7964774951076322E-2</v>
      </c>
      <c r="R40" s="732">
        <f>'Func Future Subs 2015'!R40</f>
        <v>0</v>
      </c>
      <c r="S40" s="735">
        <f t="shared" si="2"/>
        <v>4965913.2664578306</v>
      </c>
      <c r="T40" s="735">
        <f t="shared" si="3"/>
        <v>195969.72613767683</v>
      </c>
      <c r="U40" s="735">
        <f t="shared" si="4"/>
        <v>0</v>
      </c>
      <c r="V40" s="736">
        <f t="shared" si="5"/>
        <v>0</v>
      </c>
      <c r="W40" s="735">
        <f t="shared" si="6"/>
        <v>4965913.2664578306</v>
      </c>
      <c r="X40" s="737">
        <f t="shared" si="7"/>
        <v>0</v>
      </c>
      <c r="Y40" s="738">
        <f t="shared" si="8"/>
        <v>195969.72613767683</v>
      </c>
    </row>
    <row r="41" spans="1:25">
      <c r="A41" s="754" t="str">
        <f>'Func Future Subs 2015'!A41</f>
        <v>lambton E803S</v>
      </c>
      <c r="B41" s="754">
        <f>'Func Future Subs 2015'!B41</f>
        <v>786</v>
      </c>
      <c r="C41" s="754">
        <f>'Func Future Subs 2015'!C41</f>
        <v>240</v>
      </c>
      <c r="D41" s="754">
        <f>'Func Future Subs 2015'!D41</f>
        <v>25</v>
      </c>
      <c r="E41" s="754" t="str">
        <f>'Func Future Subs 2015'!E41</f>
        <v>803S</v>
      </c>
      <c r="F41" s="754">
        <f>'Func Future Subs 2015'!F41</f>
        <v>681829.47830029717</v>
      </c>
      <c r="G41" s="754" t="str">
        <f>'Func Future Subs 2015'!G41</f>
        <v>EPCOR</v>
      </c>
      <c r="H41" s="754">
        <f>'Func Future Subs 2015'!H41</f>
        <v>2016</v>
      </c>
      <c r="I41" s="306">
        <f>+IF($H41=I$2,VLOOKUP($G41,Depreciation!$A$14:$L$18,7,FALSE)/2,IF($H41&lt;I$2,VLOOKUP($G41,Depreciation!$A$14:$L$18,7,FALSE),0))</f>
        <v>0</v>
      </c>
      <c r="J41" s="306">
        <f>+IF($H41=J$2,VLOOKUP($G41,Depreciation!$A$14:$L$18,8,FALSE)/2,IF($H41&lt;J$2,VLOOKUP($G41,Depreciation!$A$14:$L$18,8,FALSE),0))</f>
        <v>2.0800027799922457E-2</v>
      </c>
      <c r="K41" s="306">
        <f>+IF($H41=K$2,VLOOKUP($G41,Depreciation!$A$14:$L$18,9,FALSE)/2,IF($H41&lt;K$2,VLOOKUP($G41,Depreciation!$A$14:$L$18,9,FALSE),0))</f>
        <v>4.1145263498658789E-2</v>
      </c>
      <c r="L41" s="306">
        <f>+IF($H41=L$2,VLOOKUP($G41,Depreciation!$A$14:$L$18,10,FALSE)/2,IF($H41&lt;L$2,VLOOKUP($G41,Depreciation!$A$14:$L$18,10,FALSE),0))</f>
        <v>4.1145263498658789E-2</v>
      </c>
      <c r="M41" s="306">
        <f>+IF($H41=M$2,VLOOKUP($G41,Depreciation!$A$14:$L$18,11,FALSE)/2,IF($H41&lt;M$2,VLOOKUP($G41,Depreciation!$A$14:$L$18,11,FALSE),0))</f>
        <v>4.1145263498658789E-2</v>
      </c>
      <c r="N41" s="306">
        <f>+IF($H41=N$2,VLOOKUP($G41,Depreciation!$A$14:$L$18,12,FALSE)/2,IF($H41&lt;N$2,VLOOKUP($G41,Depreciation!$A$14:$L$18,12,FALSE),0))</f>
        <v>4.1145263498658789E-2</v>
      </c>
      <c r="O41" s="307">
        <f t="shared" si="1"/>
        <v>640176.87774467922</v>
      </c>
      <c r="P41" s="732">
        <f>'Func Future Subs 2015'!P41</f>
        <v>0</v>
      </c>
      <c r="Q41" s="732">
        <f>'Func Future Subs 2015'!Q41</f>
        <v>1</v>
      </c>
      <c r="R41" s="732">
        <f>'Func Future Subs 2015'!R41</f>
        <v>0</v>
      </c>
      <c r="S41" s="735">
        <f t="shared" si="2"/>
        <v>0</v>
      </c>
      <c r="T41" s="735">
        <f t="shared" si="3"/>
        <v>640176.87774467922</v>
      </c>
      <c r="U41" s="735">
        <f t="shared" si="4"/>
        <v>0</v>
      </c>
      <c r="V41" s="736">
        <f t="shared" si="5"/>
        <v>0</v>
      </c>
      <c r="W41" s="735">
        <f t="shared" si="6"/>
        <v>0</v>
      </c>
      <c r="X41" s="737">
        <f t="shared" si="7"/>
        <v>0</v>
      </c>
      <c r="Y41" s="738">
        <f t="shared" si="8"/>
        <v>640176.87774467922</v>
      </c>
    </row>
    <row r="42" spans="1:25">
      <c r="A42" s="754" t="str">
        <f>'Func Future Subs 2015'!A42</f>
        <v>Livock PST</v>
      </c>
      <c r="B42" s="754">
        <f>'Func Future Subs 2015'!B42</f>
        <v>786</v>
      </c>
      <c r="C42" s="754">
        <f>'Func Future Subs 2015'!C42</f>
        <v>240</v>
      </c>
      <c r="D42" s="754">
        <f>'Func Future Subs 2015'!D42</f>
        <v>0</v>
      </c>
      <c r="E42" s="754">
        <f>'Func Future Subs 2015'!E42</f>
        <v>0</v>
      </c>
      <c r="F42" s="754">
        <f>'Func Future Subs 2015'!F42</f>
        <v>31168613.741793498</v>
      </c>
      <c r="G42" s="754" t="str">
        <f>'Func Future Subs 2015'!G42</f>
        <v>ATCO</v>
      </c>
      <c r="H42" s="754">
        <f>'Func Future Subs 2015'!H42</f>
        <v>2016</v>
      </c>
      <c r="I42" s="306">
        <f>+IF($H42=I$2,VLOOKUP($G42,Depreciation!$A$14:$L$18,7,FALSE)/2,IF($H42&lt;I$2,VLOOKUP($G42,Depreciation!$A$14:$L$18,7,FALSE),0))</f>
        <v>0</v>
      </c>
      <c r="J42" s="306">
        <f>+IF($H42=J$2,VLOOKUP($G42,Depreciation!$A$14:$L$18,8,FALSE)/2,IF($H42&lt;J$2,VLOOKUP($G42,Depreciation!$A$14:$L$18,8,FALSE),0))</f>
        <v>1.231622525054236E-2</v>
      </c>
      <c r="K42" s="306">
        <f>+IF($H42=K$2,VLOOKUP($G42,Depreciation!$A$14:$L$18,9,FALSE)/2,IF($H42&lt;K$2,VLOOKUP($G42,Depreciation!$A$14:$L$18,9,FALSE),0))</f>
        <v>2.4351536427798831E-2</v>
      </c>
      <c r="L42" s="306">
        <f>+IF($H42=L$2,VLOOKUP($G42,Depreciation!$A$14:$L$18,10,FALSE)/2,IF($H42&lt;L$2,VLOOKUP($G42,Depreciation!$A$14:$L$18,10,FALSE),0))</f>
        <v>2.4351536427798831E-2</v>
      </c>
      <c r="M42" s="306">
        <f>+IF($H42=M$2,VLOOKUP($G42,Depreciation!$A$14:$L$18,11,FALSE)/2,IF($H42&lt;M$2,VLOOKUP($G42,Depreciation!$A$14:$L$18,11,FALSE),0))</f>
        <v>2.4351536427798831E-2</v>
      </c>
      <c r="N42" s="306">
        <f>+IF($H42=N$2,VLOOKUP($G42,Depreciation!$A$14:$L$18,12,FALSE)/2,IF($H42&lt;N$2,VLOOKUP($G42,Depreciation!$A$14:$L$18,12,FALSE),0))</f>
        <v>2.4351536427798831E-2</v>
      </c>
      <c r="O42" s="307">
        <f t="shared" si="1"/>
        <v>30035078.500974379</v>
      </c>
      <c r="P42" s="732">
        <f>'Func Future Subs 2015'!P42</f>
        <v>0</v>
      </c>
      <c r="Q42" s="732">
        <f>'Func Future Subs 2015'!Q42</f>
        <v>0</v>
      </c>
      <c r="R42" s="732">
        <f>'Func Future Subs 2015'!R42</f>
        <v>1</v>
      </c>
      <c r="S42" s="735">
        <f t="shared" si="2"/>
        <v>0</v>
      </c>
      <c r="T42" s="735">
        <f t="shared" si="3"/>
        <v>0</v>
      </c>
      <c r="U42" s="735">
        <f t="shared" si="4"/>
        <v>30035078.500974379</v>
      </c>
      <c r="V42" s="736">
        <f t="shared" si="5"/>
        <v>30035078.500974379</v>
      </c>
      <c r="W42" s="735">
        <f t="shared" si="6"/>
        <v>0</v>
      </c>
      <c r="X42" s="737">
        <f t="shared" si="7"/>
        <v>0</v>
      </c>
      <c r="Y42" s="738">
        <f t="shared" si="8"/>
        <v>0</v>
      </c>
    </row>
    <row r="43" spans="1:25">
      <c r="A43" s="754" t="str">
        <f>'Func Future Subs 2015'!A43</f>
        <v>Sundance 310P</v>
      </c>
      <c r="B43" s="754">
        <f>'Func Future Subs 2015'!B43</f>
        <v>786</v>
      </c>
      <c r="C43" s="754">
        <f>'Func Future Subs 2015'!C43</f>
        <v>240</v>
      </c>
      <c r="D43" s="754">
        <f>'Func Future Subs 2015'!D43</f>
        <v>25</v>
      </c>
      <c r="E43" s="754" t="str">
        <f>'Func Future Subs 2015'!E43</f>
        <v>310P</v>
      </c>
      <c r="F43" s="754">
        <f>'Func Future Subs 2015'!F43</f>
        <v>314796.88531681657</v>
      </c>
      <c r="G43" s="754" t="str">
        <f>'Func Future Subs 2015'!G43</f>
        <v>AltaLink</v>
      </c>
      <c r="H43" s="754">
        <f>'Func Future Subs 2015'!H43</f>
        <v>2016</v>
      </c>
      <c r="I43" s="306">
        <f>+IF($H43=I$2,VLOOKUP($G43,Depreciation!$A$14:$L$18,7,FALSE)/2,IF($H43&lt;I$2,VLOOKUP($G43,Depreciation!$A$14:$L$18,7,FALSE),0))</f>
        <v>0</v>
      </c>
      <c r="J43" s="306">
        <f>+IF($H43=J$2,VLOOKUP($G43,Depreciation!$A$14:$L$18,8,FALSE)/2,IF($H43&lt;J$2,VLOOKUP($G43,Depreciation!$A$14:$L$18,8,FALSE),0))</f>
        <v>1.671703928371859E-2</v>
      </c>
      <c r="K43" s="306">
        <f>+IF($H43=K$2,VLOOKUP($G43,Depreciation!$A$14:$L$18,9,FALSE)/2,IF($H43&lt;K$2,VLOOKUP($G43,Depreciation!$A$14:$L$18,9,FALSE),0))</f>
        <v>3.343407856743718E-2</v>
      </c>
      <c r="L43" s="306">
        <f>+IF($H43=L$2,VLOOKUP($G43,Depreciation!$A$14:$L$18,10,FALSE)/2,IF($H43&lt;L$2,VLOOKUP($G43,Depreciation!$A$14:$L$18,10,FALSE),0))</f>
        <v>3.343407856743718E-2</v>
      </c>
      <c r="M43" s="306">
        <f>+IF($H43=M$2,VLOOKUP($G43,Depreciation!$A$14:$L$18,11,FALSE)/2,IF($H43&lt;M$2,VLOOKUP($G43,Depreciation!$A$14:$L$18,11,FALSE),0))</f>
        <v>3.343407856743718E-2</v>
      </c>
      <c r="N43" s="306">
        <f>+IF($H43=N$2,VLOOKUP($G43,Depreciation!$A$14:$L$18,12,FALSE)/2,IF($H43&lt;N$2,VLOOKUP($G43,Depreciation!$A$14:$L$18,12,FALSE),0))</f>
        <v>3.343407856743718E-2</v>
      </c>
      <c r="O43" s="307">
        <f t="shared" si="1"/>
        <v>299185.41552102059</v>
      </c>
      <c r="P43" s="732">
        <f>'Func Future Subs 2015'!P43</f>
        <v>1</v>
      </c>
      <c r="Q43" s="732">
        <f>'Func Future Subs 2015'!Q43</f>
        <v>0</v>
      </c>
      <c r="R43" s="732">
        <f>'Func Future Subs 2015'!R43</f>
        <v>0</v>
      </c>
      <c r="S43" s="735">
        <f t="shared" si="2"/>
        <v>299185.41552102059</v>
      </c>
      <c r="T43" s="735">
        <f t="shared" si="3"/>
        <v>0</v>
      </c>
      <c r="U43" s="735">
        <f t="shared" si="4"/>
        <v>0</v>
      </c>
      <c r="V43" s="736">
        <f t="shared" si="5"/>
        <v>0</v>
      </c>
      <c r="W43" s="735">
        <f t="shared" si="6"/>
        <v>299185.41552102059</v>
      </c>
      <c r="X43" s="737">
        <f t="shared" si="7"/>
        <v>0</v>
      </c>
      <c r="Y43" s="738">
        <f t="shared" si="8"/>
        <v>0</v>
      </c>
    </row>
    <row r="44" spans="1:25">
      <c r="A44" s="754" t="str">
        <f>'Func Future Subs 2015'!A44</f>
        <v>Wabamun 19S</v>
      </c>
      <c r="B44" s="754">
        <f>'Func Future Subs 2015'!B44</f>
        <v>786</v>
      </c>
      <c r="C44" s="754">
        <f>'Func Future Subs 2015'!C44</f>
        <v>240</v>
      </c>
      <c r="D44" s="754">
        <f>'Func Future Subs 2015'!D44</f>
        <v>138</v>
      </c>
      <c r="E44" s="754" t="str">
        <f>'Func Future Subs 2015'!E44</f>
        <v>19S</v>
      </c>
      <c r="F44" s="754">
        <f>'Func Future Subs 2015'!F44</f>
        <v>314793.33534968545</v>
      </c>
      <c r="G44" s="754" t="str">
        <f>'Func Future Subs 2015'!G44</f>
        <v>AltaLink</v>
      </c>
      <c r="H44" s="754">
        <f>'Func Future Subs 2015'!H44</f>
        <v>2016</v>
      </c>
      <c r="I44" s="306">
        <f>+IF($H44=I$2,VLOOKUP($G44,Depreciation!$A$14:$L$18,7,FALSE)/2,IF($H44&lt;I$2,VLOOKUP($G44,Depreciation!$A$14:$L$18,7,FALSE),0))</f>
        <v>0</v>
      </c>
      <c r="J44" s="306">
        <f>+IF($H44=J$2,VLOOKUP($G44,Depreciation!$A$14:$L$18,8,FALSE)/2,IF($H44&lt;J$2,VLOOKUP($G44,Depreciation!$A$14:$L$18,8,FALSE),0))</f>
        <v>1.671703928371859E-2</v>
      </c>
      <c r="K44" s="306">
        <f>+IF($H44=K$2,VLOOKUP($G44,Depreciation!$A$14:$L$18,9,FALSE)/2,IF($H44&lt;K$2,VLOOKUP($G44,Depreciation!$A$14:$L$18,9,FALSE),0))</f>
        <v>3.343407856743718E-2</v>
      </c>
      <c r="L44" s="306">
        <f>+IF($H44=L$2,VLOOKUP($G44,Depreciation!$A$14:$L$18,10,FALSE)/2,IF($H44&lt;L$2,VLOOKUP($G44,Depreciation!$A$14:$L$18,10,FALSE),0))</f>
        <v>3.343407856743718E-2</v>
      </c>
      <c r="M44" s="306">
        <f>+IF($H44=M$2,VLOOKUP($G44,Depreciation!$A$14:$L$18,11,FALSE)/2,IF($H44&lt;M$2,VLOOKUP($G44,Depreciation!$A$14:$L$18,11,FALSE),0))</f>
        <v>3.343407856743718E-2</v>
      </c>
      <c r="N44" s="306">
        <f>+IF($H44=N$2,VLOOKUP($G44,Depreciation!$A$14:$L$18,12,FALSE)/2,IF($H44&lt;N$2,VLOOKUP($G44,Depreciation!$A$14:$L$18,12,FALSE),0))</f>
        <v>3.343407856743718E-2</v>
      </c>
      <c r="O44" s="307">
        <f t="shared" si="1"/>
        <v>299182.04160456604</v>
      </c>
      <c r="P44" s="732">
        <f>'Func Future Subs 2015'!P44</f>
        <v>0</v>
      </c>
      <c r="Q44" s="732">
        <f>'Func Future Subs 2015'!Q44</f>
        <v>0</v>
      </c>
      <c r="R44" s="732">
        <f>'Func Future Subs 2015'!R44</f>
        <v>1</v>
      </c>
      <c r="S44" s="735">
        <f t="shared" si="2"/>
        <v>0</v>
      </c>
      <c r="T44" s="735">
        <f t="shared" si="3"/>
        <v>0</v>
      </c>
      <c r="U44" s="735">
        <f t="shared" si="4"/>
        <v>299182.04160456604</v>
      </c>
      <c r="V44" s="736">
        <f t="shared" si="5"/>
        <v>0</v>
      </c>
      <c r="W44" s="735">
        <f t="shared" si="6"/>
        <v>0</v>
      </c>
      <c r="X44" s="737">
        <f t="shared" si="7"/>
        <v>299182.04160456604</v>
      </c>
      <c r="Y44" s="738">
        <f t="shared" si="8"/>
        <v>0</v>
      </c>
    </row>
    <row r="45" spans="1:25">
      <c r="A45" s="754" t="str">
        <f>'Func Future Subs 2015'!A45</f>
        <v>Arcenciel 930S</v>
      </c>
      <c r="B45" s="754">
        <f>'Func Future Subs 2015'!B45</f>
        <v>803</v>
      </c>
      <c r="C45" s="754">
        <f>'Func Future Subs 2015'!C45</f>
        <v>138</v>
      </c>
      <c r="D45" s="754">
        <f>'Func Future Subs 2015'!D45</f>
        <v>138</v>
      </c>
      <c r="E45" s="754" t="str">
        <f>'Func Future Subs 2015'!E45</f>
        <v>930S</v>
      </c>
      <c r="F45" s="754">
        <f>'Func Future Subs 2015'!F45</f>
        <v>119288.54647463236</v>
      </c>
      <c r="G45" s="754" t="str">
        <f>'Func Future Subs 2015'!G45</f>
        <v>ATCO</v>
      </c>
      <c r="H45" s="754">
        <f>'Func Future Subs 2015'!H45</f>
        <v>2017</v>
      </c>
      <c r="I45" s="306">
        <f>+IF($H45=I$2,VLOOKUP($G45,Depreciation!$A$14:$L$18,7,FALSE)/2,IF($H45&lt;I$2,VLOOKUP($G45,Depreciation!$A$14:$L$18,7,FALSE),0))</f>
        <v>0</v>
      </c>
      <c r="J45" s="306">
        <f>+IF($H45=J$2,VLOOKUP($G45,Depreciation!$A$14:$L$18,8,FALSE)/2,IF($H45&lt;J$2,VLOOKUP($G45,Depreciation!$A$14:$L$18,8,FALSE),0))</f>
        <v>0</v>
      </c>
      <c r="K45" s="306">
        <f>+IF($H45=K$2,VLOOKUP($G45,Depreciation!$A$14:$L$18,9,FALSE)/2,IF($H45&lt;K$2,VLOOKUP($G45,Depreciation!$A$14:$L$18,9,FALSE),0))</f>
        <v>1.2175768213899416E-2</v>
      </c>
      <c r="L45" s="306">
        <f>+IF($H45=L$2,VLOOKUP($G45,Depreciation!$A$14:$L$18,10,FALSE)/2,IF($H45&lt;L$2,VLOOKUP($G45,Depreciation!$A$14:$L$18,10,FALSE),0))</f>
        <v>2.4351536427798831E-2</v>
      </c>
      <c r="M45" s="306">
        <f>+IF($H45=M$2,VLOOKUP($G45,Depreciation!$A$14:$L$18,11,FALSE)/2,IF($H45&lt;M$2,VLOOKUP($G45,Depreciation!$A$14:$L$18,11,FALSE),0))</f>
        <v>2.4351536427798831E-2</v>
      </c>
      <c r="N45" s="306">
        <f>+IF($H45=N$2,VLOOKUP($G45,Depreciation!$A$14:$L$18,12,FALSE)/2,IF($H45&lt;N$2,VLOOKUP($G45,Depreciation!$A$14:$L$18,12,FALSE),0))</f>
        <v>2.4351536427798831E-2</v>
      </c>
      <c r="O45" s="307">
        <f t="shared" si="1"/>
        <v>117836.11678218427</v>
      </c>
      <c r="P45" s="732">
        <f>'Func Future Subs 2015'!P45</f>
        <v>0</v>
      </c>
      <c r="Q45" s="732">
        <f>'Func Future Subs 2015'!Q45</f>
        <v>0</v>
      </c>
      <c r="R45" s="732">
        <f>'Func Future Subs 2015'!R45</f>
        <v>1</v>
      </c>
      <c r="S45" s="735">
        <f t="shared" si="2"/>
        <v>0</v>
      </c>
      <c r="T45" s="735">
        <f t="shared" si="3"/>
        <v>0</v>
      </c>
      <c r="U45" s="735">
        <f t="shared" si="4"/>
        <v>117836.11678218427</v>
      </c>
      <c r="V45" s="736">
        <f t="shared" si="5"/>
        <v>0</v>
      </c>
      <c r="W45" s="735">
        <f t="shared" si="6"/>
        <v>0</v>
      </c>
      <c r="X45" s="737">
        <f t="shared" si="7"/>
        <v>117836.11678218427</v>
      </c>
      <c r="Y45" s="738">
        <f t="shared" si="8"/>
        <v>0</v>
      </c>
    </row>
    <row r="46" spans="1:25">
      <c r="A46" s="754" t="str">
        <f>'Func Future Subs 2015'!A46</f>
        <v>Blumenort substation 832S</v>
      </c>
      <c r="B46" s="754">
        <f>'Func Future Subs 2015'!B46</f>
        <v>803</v>
      </c>
      <c r="C46" s="754">
        <f>'Func Future Subs 2015'!C46</f>
        <v>138</v>
      </c>
      <c r="D46" s="754">
        <f>'Func Future Subs 2015'!D46</f>
        <v>25</v>
      </c>
      <c r="E46" s="754" t="str">
        <f>'Func Future Subs 2015'!E46</f>
        <v>832S</v>
      </c>
      <c r="F46" s="754">
        <f>'Func Future Subs 2015'!F46</f>
        <v>3476988.1419072561</v>
      </c>
      <c r="G46" s="754" t="str">
        <f>'Func Future Subs 2015'!G46</f>
        <v>ATCO</v>
      </c>
      <c r="H46" s="754">
        <f>'Func Future Subs 2015'!H46</f>
        <v>2017</v>
      </c>
      <c r="I46" s="306">
        <f>+IF($H46=I$2,VLOOKUP($G46,Depreciation!$A$14:$L$18,7,FALSE)/2,IF($H46&lt;I$2,VLOOKUP($G46,Depreciation!$A$14:$L$18,7,FALSE),0))</f>
        <v>0</v>
      </c>
      <c r="J46" s="306">
        <f>+IF($H46=J$2,VLOOKUP($G46,Depreciation!$A$14:$L$18,8,FALSE)/2,IF($H46&lt;J$2,VLOOKUP($G46,Depreciation!$A$14:$L$18,8,FALSE),0))</f>
        <v>0</v>
      </c>
      <c r="K46" s="306">
        <f>+IF($H46=K$2,VLOOKUP($G46,Depreciation!$A$14:$L$18,9,FALSE)/2,IF($H46&lt;K$2,VLOOKUP($G46,Depreciation!$A$14:$L$18,9,FALSE),0))</f>
        <v>1.2175768213899416E-2</v>
      </c>
      <c r="L46" s="306">
        <f>+IF($H46=L$2,VLOOKUP($G46,Depreciation!$A$14:$L$18,10,FALSE)/2,IF($H46&lt;L$2,VLOOKUP($G46,Depreciation!$A$14:$L$18,10,FALSE),0))</f>
        <v>2.4351536427798831E-2</v>
      </c>
      <c r="M46" s="306">
        <f>+IF($H46=M$2,VLOOKUP($G46,Depreciation!$A$14:$L$18,11,FALSE)/2,IF($H46&lt;M$2,VLOOKUP($G46,Depreciation!$A$14:$L$18,11,FALSE),0))</f>
        <v>2.4351536427798831E-2</v>
      </c>
      <c r="N46" s="306">
        <f>+IF($H46=N$2,VLOOKUP($G46,Depreciation!$A$14:$L$18,12,FALSE)/2,IF($H46&lt;N$2,VLOOKUP($G46,Depreciation!$A$14:$L$18,12,FALSE),0))</f>
        <v>2.4351536427798831E-2</v>
      </c>
      <c r="O46" s="307">
        <f t="shared" si="1"/>
        <v>3434653.1402089163</v>
      </c>
      <c r="P46" s="732">
        <f>'Func Future Subs 2015'!P46</f>
        <v>0</v>
      </c>
      <c r="Q46" s="732">
        <f>'Func Future Subs 2015'!Q46</f>
        <v>1</v>
      </c>
      <c r="R46" s="732">
        <f>'Func Future Subs 2015'!R46</f>
        <v>0</v>
      </c>
      <c r="S46" s="735">
        <f t="shared" si="2"/>
        <v>0</v>
      </c>
      <c r="T46" s="735">
        <f t="shared" si="3"/>
        <v>3434653.1402089163</v>
      </c>
      <c r="U46" s="735">
        <f t="shared" si="4"/>
        <v>0</v>
      </c>
      <c r="V46" s="736">
        <f t="shared" si="5"/>
        <v>0</v>
      </c>
      <c r="W46" s="735">
        <f t="shared" si="6"/>
        <v>0</v>
      </c>
      <c r="X46" s="737">
        <f t="shared" si="7"/>
        <v>0</v>
      </c>
      <c r="Y46" s="738">
        <f t="shared" si="8"/>
        <v>3434653.1402089163</v>
      </c>
    </row>
    <row r="47" spans="1:25">
      <c r="A47" s="754" t="str">
        <f>'Func Future Subs 2015'!A47</f>
        <v>High Level substation</v>
      </c>
      <c r="B47" s="754">
        <f>'Func Future Subs 2015'!B47</f>
        <v>803</v>
      </c>
      <c r="C47" s="754">
        <f>'Func Future Subs 2015'!C47</f>
        <v>138</v>
      </c>
      <c r="D47" s="754">
        <f>'Func Future Subs 2015'!D47</f>
        <v>0</v>
      </c>
      <c r="E47" s="754">
        <f>'Func Future Subs 2015'!E47</f>
        <v>0</v>
      </c>
      <c r="F47" s="754">
        <f>'Func Future Subs 2015'!F47</f>
        <v>660698.13426418137</v>
      </c>
      <c r="G47" s="754" t="str">
        <f>'Func Future Subs 2015'!G47</f>
        <v>ATCO</v>
      </c>
      <c r="H47" s="754">
        <f>'Func Future Subs 2015'!H47</f>
        <v>2017</v>
      </c>
      <c r="I47" s="306">
        <f>+IF($H47=I$2,VLOOKUP($G47,Depreciation!$A$14:$L$18,7,FALSE)/2,IF($H47&lt;I$2,VLOOKUP($G47,Depreciation!$A$14:$L$18,7,FALSE),0))</f>
        <v>0</v>
      </c>
      <c r="J47" s="306">
        <f>+IF($H47=J$2,VLOOKUP($G47,Depreciation!$A$14:$L$18,8,FALSE)/2,IF($H47&lt;J$2,VLOOKUP($G47,Depreciation!$A$14:$L$18,8,FALSE),0))</f>
        <v>0</v>
      </c>
      <c r="K47" s="306">
        <f>+IF($H47=K$2,VLOOKUP($G47,Depreciation!$A$14:$L$18,9,FALSE)/2,IF($H47&lt;K$2,VLOOKUP($G47,Depreciation!$A$14:$L$18,9,FALSE),0))</f>
        <v>1.2175768213899416E-2</v>
      </c>
      <c r="L47" s="306">
        <f>+IF($H47=L$2,VLOOKUP($G47,Depreciation!$A$14:$L$18,10,FALSE)/2,IF($H47&lt;L$2,VLOOKUP($G47,Depreciation!$A$14:$L$18,10,FALSE),0))</f>
        <v>2.4351536427798831E-2</v>
      </c>
      <c r="M47" s="306">
        <f>+IF($H47=M$2,VLOOKUP($G47,Depreciation!$A$14:$L$18,11,FALSE)/2,IF($H47&lt;M$2,VLOOKUP($G47,Depreciation!$A$14:$L$18,11,FALSE),0))</f>
        <v>2.4351536427798831E-2</v>
      </c>
      <c r="N47" s="306">
        <f>+IF($H47=N$2,VLOOKUP($G47,Depreciation!$A$14:$L$18,12,FALSE)/2,IF($H47&lt;N$2,VLOOKUP($G47,Depreciation!$A$14:$L$18,12,FALSE),0))</f>
        <v>2.4351536427798831E-2</v>
      </c>
      <c r="O47" s="307">
        <f t="shared" si="1"/>
        <v>652653.62692202488</v>
      </c>
      <c r="P47" s="732">
        <f>'Func Future Subs 2015'!P47</f>
        <v>0</v>
      </c>
      <c r="Q47" s="732">
        <f>'Func Future Subs 2015'!Q47</f>
        <v>0</v>
      </c>
      <c r="R47" s="732">
        <f>'Func Future Subs 2015'!R47</f>
        <v>1</v>
      </c>
      <c r="S47" s="735">
        <f t="shared" si="2"/>
        <v>0</v>
      </c>
      <c r="T47" s="735">
        <f t="shared" si="3"/>
        <v>0</v>
      </c>
      <c r="U47" s="735">
        <f t="shared" si="4"/>
        <v>652653.62692202488</v>
      </c>
      <c r="V47" s="736">
        <f t="shared" si="5"/>
        <v>652653.62692202488</v>
      </c>
      <c r="W47" s="735">
        <f t="shared" si="6"/>
        <v>0</v>
      </c>
      <c r="X47" s="737">
        <f t="shared" si="7"/>
        <v>0</v>
      </c>
      <c r="Y47" s="738">
        <f t="shared" si="8"/>
        <v>0</v>
      </c>
    </row>
    <row r="48" spans="1:25">
      <c r="A48" s="754" t="str">
        <f>'Func Future Subs 2015'!A48</f>
        <v>Keg River 789S</v>
      </c>
      <c r="B48" s="754">
        <f>'Func Future Subs 2015'!B48</f>
        <v>803</v>
      </c>
      <c r="C48" s="754">
        <f>'Func Future Subs 2015'!C48</f>
        <v>138</v>
      </c>
      <c r="D48" s="754">
        <f>'Func Future Subs 2015'!D48</f>
        <v>138</v>
      </c>
      <c r="E48" s="754" t="str">
        <f>'Func Future Subs 2015'!E48</f>
        <v>789S</v>
      </c>
      <c r="F48" s="754">
        <f>'Func Future Subs 2015'!F48</f>
        <v>242204.41402375777</v>
      </c>
      <c r="G48" s="754" t="str">
        <f>'Func Future Subs 2015'!G48</f>
        <v>ATCO</v>
      </c>
      <c r="H48" s="754">
        <f>'Func Future Subs 2015'!H48</f>
        <v>2017</v>
      </c>
      <c r="I48" s="306">
        <f>+IF($H48=I$2,VLOOKUP($G48,Depreciation!$A$14:$L$18,7,FALSE)/2,IF($H48&lt;I$2,VLOOKUP($G48,Depreciation!$A$14:$L$18,7,FALSE),0))</f>
        <v>0</v>
      </c>
      <c r="J48" s="306">
        <f>+IF($H48=J$2,VLOOKUP($G48,Depreciation!$A$14:$L$18,8,FALSE)/2,IF($H48&lt;J$2,VLOOKUP($G48,Depreciation!$A$14:$L$18,8,FALSE),0))</f>
        <v>0</v>
      </c>
      <c r="K48" s="306">
        <f>+IF($H48=K$2,VLOOKUP($G48,Depreciation!$A$14:$L$18,9,FALSE)/2,IF($H48&lt;K$2,VLOOKUP($G48,Depreciation!$A$14:$L$18,9,FALSE),0))</f>
        <v>1.2175768213899416E-2</v>
      </c>
      <c r="L48" s="306">
        <f>+IF($H48=L$2,VLOOKUP($G48,Depreciation!$A$14:$L$18,10,FALSE)/2,IF($H48&lt;L$2,VLOOKUP($G48,Depreciation!$A$14:$L$18,10,FALSE),0))</f>
        <v>2.4351536427798831E-2</v>
      </c>
      <c r="M48" s="306">
        <f>+IF($H48=M$2,VLOOKUP($G48,Depreciation!$A$14:$L$18,11,FALSE)/2,IF($H48&lt;M$2,VLOOKUP($G48,Depreciation!$A$14:$L$18,11,FALSE),0))</f>
        <v>2.4351536427798831E-2</v>
      </c>
      <c r="N48" s="306">
        <f>+IF($H48=N$2,VLOOKUP($G48,Depreciation!$A$14:$L$18,12,FALSE)/2,IF($H48&lt;N$2,VLOOKUP($G48,Depreciation!$A$14:$L$18,12,FALSE),0))</f>
        <v>2.4351536427798831E-2</v>
      </c>
      <c r="O48" s="307">
        <f t="shared" si="1"/>
        <v>239255.38921822116</v>
      </c>
      <c r="P48" s="732">
        <f>'Func Future Subs 2015'!P48</f>
        <v>0</v>
      </c>
      <c r="Q48" s="732">
        <f>'Func Future Subs 2015'!Q48</f>
        <v>0</v>
      </c>
      <c r="R48" s="732">
        <f>'Func Future Subs 2015'!R48</f>
        <v>1</v>
      </c>
      <c r="S48" s="735">
        <f t="shared" si="2"/>
        <v>0</v>
      </c>
      <c r="T48" s="735">
        <f t="shared" si="3"/>
        <v>0</v>
      </c>
      <c r="U48" s="735">
        <f t="shared" si="4"/>
        <v>239255.38921822116</v>
      </c>
      <c r="V48" s="736">
        <f t="shared" si="5"/>
        <v>0</v>
      </c>
      <c r="W48" s="735">
        <f t="shared" si="6"/>
        <v>0</v>
      </c>
      <c r="X48" s="737">
        <f t="shared" si="7"/>
        <v>239255.38921822116</v>
      </c>
      <c r="Y48" s="738">
        <f t="shared" si="8"/>
        <v>0</v>
      </c>
    </row>
    <row r="49" spans="1:27">
      <c r="A49" s="754" t="str">
        <f>'Func Future Subs 2015'!A49</f>
        <v>Ring Creek 853S</v>
      </c>
      <c r="B49" s="754">
        <f>'Func Future Subs 2015'!B49</f>
        <v>803</v>
      </c>
      <c r="C49" s="754">
        <f>'Func Future Subs 2015'!C49</f>
        <v>138</v>
      </c>
      <c r="D49" s="754">
        <f>'Func Future Subs 2015'!D49</f>
        <v>25</v>
      </c>
      <c r="E49" s="754" t="str">
        <f>'Func Future Subs 2015'!E49</f>
        <v>853S</v>
      </c>
      <c r="F49" s="754">
        <f>'Func Future Subs 2015'!F49</f>
        <v>85463.58970544675</v>
      </c>
      <c r="G49" s="754" t="str">
        <f>'Func Future Subs 2015'!G49</f>
        <v>ATCO</v>
      </c>
      <c r="H49" s="754">
        <f>'Func Future Subs 2015'!H49</f>
        <v>2017</v>
      </c>
      <c r="I49" s="306">
        <f>+IF($H49=I$2,VLOOKUP($G49,Depreciation!$A$14:$L$18,7,FALSE)/2,IF($H49&lt;I$2,VLOOKUP($G49,Depreciation!$A$14:$L$18,7,FALSE),0))</f>
        <v>0</v>
      </c>
      <c r="J49" s="306">
        <f>+IF($H49=J$2,VLOOKUP($G49,Depreciation!$A$14:$L$18,8,FALSE)/2,IF($H49&lt;J$2,VLOOKUP($G49,Depreciation!$A$14:$L$18,8,FALSE),0))</f>
        <v>0</v>
      </c>
      <c r="K49" s="306">
        <f>+IF($H49=K$2,VLOOKUP($G49,Depreciation!$A$14:$L$18,9,FALSE)/2,IF($H49&lt;K$2,VLOOKUP($G49,Depreciation!$A$14:$L$18,9,FALSE),0))</f>
        <v>1.2175768213899416E-2</v>
      </c>
      <c r="L49" s="306">
        <f>+IF($H49=L$2,VLOOKUP($G49,Depreciation!$A$14:$L$18,10,FALSE)/2,IF($H49&lt;L$2,VLOOKUP($G49,Depreciation!$A$14:$L$18,10,FALSE),0))</f>
        <v>2.4351536427798831E-2</v>
      </c>
      <c r="M49" s="306">
        <f>+IF($H49=M$2,VLOOKUP($G49,Depreciation!$A$14:$L$18,11,FALSE)/2,IF($H49&lt;M$2,VLOOKUP($G49,Depreciation!$A$14:$L$18,11,FALSE),0))</f>
        <v>2.4351536427798831E-2</v>
      </c>
      <c r="N49" s="306">
        <f>+IF($H49=N$2,VLOOKUP($G49,Depreciation!$A$14:$L$18,12,FALSE)/2,IF($H49&lt;N$2,VLOOKUP($G49,Depreciation!$A$14:$L$18,12,FALSE),0))</f>
        <v>2.4351536427798831E-2</v>
      </c>
      <c r="O49" s="307">
        <f t="shared" si="1"/>
        <v>84423.004846465425</v>
      </c>
      <c r="P49" s="732">
        <f>'Func Future Subs 2015'!P49</f>
        <v>0</v>
      </c>
      <c r="Q49" s="732">
        <f>'Func Future Subs 2015'!Q49</f>
        <v>1</v>
      </c>
      <c r="R49" s="732">
        <f>'Func Future Subs 2015'!R49</f>
        <v>0</v>
      </c>
      <c r="S49" s="735">
        <f t="shared" si="2"/>
        <v>0</v>
      </c>
      <c r="T49" s="735">
        <f t="shared" si="3"/>
        <v>84423.004846465425</v>
      </c>
      <c r="U49" s="735">
        <f t="shared" si="4"/>
        <v>0</v>
      </c>
      <c r="V49" s="736">
        <f t="shared" si="5"/>
        <v>0</v>
      </c>
      <c r="W49" s="735">
        <f t="shared" si="6"/>
        <v>0</v>
      </c>
      <c r="X49" s="737">
        <f t="shared" si="7"/>
        <v>0</v>
      </c>
      <c r="Y49" s="738">
        <f t="shared" si="8"/>
        <v>84423.004846465425</v>
      </c>
    </row>
    <row r="50" spans="1:27">
      <c r="A50" s="754" t="str">
        <f>'Func Future Subs 2015'!A50</f>
        <v>Sulphur Point 828S</v>
      </c>
      <c r="B50" s="754">
        <f>'Func Future Subs 2015'!B50</f>
        <v>803</v>
      </c>
      <c r="C50" s="754">
        <f>'Func Future Subs 2015'!C50</f>
        <v>138</v>
      </c>
      <c r="D50" s="754">
        <f>'Func Future Subs 2015'!D50</f>
        <v>25</v>
      </c>
      <c r="E50" s="754" t="str">
        <f>'Func Future Subs 2015'!E50</f>
        <v>828S</v>
      </c>
      <c r="F50" s="754">
        <f>'Func Future Subs 2015'!F50</f>
        <v>66376.971670614337</v>
      </c>
      <c r="G50" s="754" t="str">
        <f>'Func Future Subs 2015'!G50</f>
        <v>ATCO</v>
      </c>
      <c r="H50" s="754">
        <f>'Func Future Subs 2015'!H50</f>
        <v>2017</v>
      </c>
      <c r="I50" s="306">
        <f>+IF($H50=I$2,VLOOKUP($G50,Depreciation!$A$14:$L$18,7,FALSE)/2,IF($H50&lt;I$2,VLOOKUP($G50,Depreciation!$A$14:$L$18,7,FALSE),0))</f>
        <v>0</v>
      </c>
      <c r="J50" s="306">
        <f>+IF($H50=J$2,VLOOKUP($G50,Depreciation!$A$14:$L$18,8,FALSE)/2,IF($H50&lt;J$2,VLOOKUP($G50,Depreciation!$A$14:$L$18,8,FALSE),0))</f>
        <v>0</v>
      </c>
      <c r="K50" s="306">
        <f>+IF($H50=K$2,VLOOKUP($G50,Depreciation!$A$14:$L$18,9,FALSE)/2,IF($H50&lt;K$2,VLOOKUP($G50,Depreciation!$A$14:$L$18,9,FALSE),0))</f>
        <v>1.2175768213899416E-2</v>
      </c>
      <c r="L50" s="306">
        <f>+IF($H50=L$2,VLOOKUP($G50,Depreciation!$A$14:$L$18,10,FALSE)/2,IF($H50&lt;L$2,VLOOKUP($G50,Depreciation!$A$14:$L$18,10,FALSE),0))</f>
        <v>2.4351536427798831E-2</v>
      </c>
      <c r="M50" s="306">
        <f>+IF($H50=M$2,VLOOKUP($G50,Depreciation!$A$14:$L$18,11,FALSE)/2,IF($H50&lt;M$2,VLOOKUP($G50,Depreciation!$A$14:$L$18,11,FALSE),0))</f>
        <v>2.4351536427798831E-2</v>
      </c>
      <c r="N50" s="306">
        <f>+IF($H50=N$2,VLOOKUP($G50,Depreciation!$A$14:$L$18,12,FALSE)/2,IF($H50&lt;N$2,VLOOKUP($G50,Depreciation!$A$14:$L$18,12,FALSE),0))</f>
        <v>2.4351536427798831E-2</v>
      </c>
      <c r="O50" s="307">
        <f t="shared" si="1"/>
        <v>65568.781048812365</v>
      </c>
      <c r="P50" s="732">
        <f>'Func Future Subs 2015'!P50</f>
        <v>0</v>
      </c>
      <c r="Q50" s="732">
        <f>'Func Future Subs 2015'!Q50</f>
        <v>1</v>
      </c>
      <c r="R50" s="732">
        <f>'Func Future Subs 2015'!R50</f>
        <v>0</v>
      </c>
      <c r="S50" s="735">
        <f t="shared" si="2"/>
        <v>0</v>
      </c>
      <c r="T50" s="735">
        <f t="shared" si="3"/>
        <v>65568.781048812365</v>
      </c>
      <c r="U50" s="735">
        <f t="shared" si="4"/>
        <v>0</v>
      </c>
      <c r="V50" s="736">
        <f t="shared" si="5"/>
        <v>0</v>
      </c>
      <c r="W50" s="735">
        <f t="shared" si="6"/>
        <v>0</v>
      </c>
      <c r="X50" s="737">
        <f t="shared" si="7"/>
        <v>0</v>
      </c>
      <c r="Y50" s="738">
        <f t="shared" si="8"/>
        <v>65568.781048812365</v>
      </c>
    </row>
    <row r="51" spans="1:27">
      <c r="A51" s="754" t="str">
        <f>'Func Future Subs 2015'!A51</f>
        <v>Bourque 970S(180)</v>
      </c>
      <c r="B51" s="754">
        <f>'Func Future Subs 2015'!B51</f>
        <v>811</v>
      </c>
      <c r="C51" s="754">
        <f>'Func Future Subs 2015'!C51</f>
        <v>144</v>
      </c>
      <c r="D51" s="754">
        <f>'Func Future Subs 2015'!D51</f>
        <v>144</v>
      </c>
      <c r="E51" s="754" t="str">
        <f>'Func Future Subs 2015'!E51</f>
        <v>970S</v>
      </c>
      <c r="F51" s="754">
        <f>'Func Future Subs 2015'!F51</f>
        <v>20557692.682692483</v>
      </c>
      <c r="G51" s="754" t="str">
        <f>'Func Future Subs 2015'!G51</f>
        <v>ATCO</v>
      </c>
      <c r="H51" s="754">
        <f>'Func Future Subs 2015'!H51</f>
        <v>2017</v>
      </c>
      <c r="I51" s="306">
        <f>+IF($H51=I$2,VLOOKUP($G51,Depreciation!$A$14:$L$18,7,FALSE)/2,IF($H51&lt;I$2,VLOOKUP($G51,Depreciation!$A$14:$L$18,7,FALSE),0))</f>
        <v>0</v>
      </c>
      <c r="J51" s="306">
        <f>+IF($H51=J$2,VLOOKUP($G51,Depreciation!$A$14:$L$18,8,FALSE)/2,IF($H51&lt;J$2,VLOOKUP($G51,Depreciation!$A$14:$L$18,8,FALSE),0))</f>
        <v>0</v>
      </c>
      <c r="K51" s="306">
        <f>+IF($H51=K$2,VLOOKUP($G51,Depreciation!$A$14:$L$18,9,FALSE)/2,IF($H51&lt;K$2,VLOOKUP($G51,Depreciation!$A$14:$L$18,9,FALSE),0))</f>
        <v>1.2175768213899416E-2</v>
      </c>
      <c r="L51" s="306">
        <f>+IF($H51=L$2,VLOOKUP($G51,Depreciation!$A$14:$L$18,10,FALSE)/2,IF($H51&lt;L$2,VLOOKUP($G51,Depreciation!$A$14:$L$18,10,FALSE),0))</f>
        <v>2.4351536427798831E-2</v>
      </c>
      <c r="M51" s="306">
        <f>+IF($H51=M$2,VLOOKUP($G51,Depreciation!$A$14:$L$18,11,FALSE)/2,IF($H51&lt;M$2,VLOOKUP($G51,Depreciation!$A$14:$L$18,11,FALSE),0))</f>
        <v>2.4351536427798831E-2</v>
      </c>
      <c r="N51" s="306">
        <f>+IF($H51=N$2,VLOOKUP($G51,Depreciation!$A$14:$L$18,12,FALSE)/2,IF($H51&lt;N$2,VLOOKUP($G51,Depreciation!$A$14:$L$18,12,FALSE),0))</f>
        <v>2.4351536427798831E-2</v>
      </c>
      <c r="O51" s="307">
        <f t="shared" si="1"/>
        <v>20307386.981575444</v>
      </c>
      <c r="P51" s="732">
        <f>'Func Future Subs 2015'!P51</f>
        <v>0</v>
      </c>
      <c r="Q51" s="732">
        <f>'Func Future Subs 2015'!Q51</f>
        <v>0</v>
      </c>
      <c r="R51" s="732">
        <f>'Func Future Subs 2015'!R51</f>
        <v>1</v>
      </c>
      <c r="S51" s="735">
        <f t="shared" si="2"/>
        <v>0</v>
      </c>
      <c r="T51" s="735">
        <f t="shared" si="3"/>
        <v>0</v>
      </c>
      <c r="U51" s="735">
        <f t="shared" si="4"/>
        <v>20307386.981575444</v>
      </c>
      <c r="V51" s="736">
        <f t="shared" si="5"/>
        <v>0</v>
      </c>
      <c r="W51" s="735">
        <f t="shared" si="6"/>
        <v>0</v>
      </c>
      <c r="X51" s="737">
        <f t="shared" si="7"/>
        <v>20307386.981575444</v>
      </c>
      <c r="Y51" s="738">
        <f t="shared" si="8"/>
        <v>0</v>
      </c>
    </row>
    <row r="52" spans="1:27">
      <c r="A52" s="754" t="str">
        <f>'Func Future Subs 2015'!A52</f>
        <v>Heisler 764S180</v>
      </c>
      <c r="B52" s="754">
        <f>'Func Future Subs 2015'!B52</f>
        <v>811</v>
      </c>
      <c r="C52" s="754">
        <f>'Func Future Subs 2015'!C52</f>
        <v>144</v>
      </c>
      <c r="D52" s="754">
        <f>'Func Future Subs 2015'!D52</f>
        <v>25</v>
      </c>
      <c r="E52" s="754" t="str">
        <f>'Func Future Subs 2015'!E52</f>
        <v>764S</v>
      </c>
      <c r="F52" s="754">
        <f>'Func Future Subs 2015'!F52</f>
        <v>14655875.320036264</v>
      </c>
      <c r="G52" s="754" t="str">
        <f>'Func Future Subs 2015'!G52</f>
        <v>ATCO</v>
      </c>
      <c r="H52" s="754">
        <f>'Func Future Subs 2015'!H52</f>
        <v>2017</v>
      </c>
      <c r="I52" s="306">
        <f>+IF($H52=I$2,VLOOKUP($G52,Depreciation!$A$14:$L$18,7,FALSE)/2,IF($H52&lt;I$2,VLOOKUP($G52,Depreciation!$A$14:$L$18,7,FALSE),0))</f>
        <v>0</v>
      </c>
      <c r="J52" s="306">
        <f>+IF($H52=J$2,VLOOKUP($G52,Depreciation!$A$14:$L$18,8,FALSE)/2,IF($H52&lt;J$2,VLOOKUP($G52,Depreciation!$A$14:$L$18,8,FALSE),0))</f>
        <v>0</v>
      </c>
      <c r="K52" s="306">
        <f>+IF($H52=K$2,VLOOKUP($G52,Depreciation!$A$14:$L$18,9,FALSE)/2,IF($H52&lt;K$2,VLOOKUP($G52,Depreciation!$A$14:$L$18,9,FALSE),0))</f>
        <v>1.2175768213899416E-2</v>
      </c>
      <c r="L52" s="306">
        <f>+IF($H52=L$2,VLOOKUP($G52,Depreciation!$A$14:$L$18,10,FALSE)/2,IF($H52&lt;L$2,VLOOKUP($G52,Depreciation!$A$14:$L$18,10,FALSE),0))</f>
        <v>2.4351536427798831E-2</v>
      </c>
      <c r="M52" s="306">
        <f>+IF($H52=M$2,VLOOKUP($G52,Depreciation!$A$14:$L$18,11,FALSE)/2,IF($H52&lt;M$2,VLOOKUP($G52,Depreciation!$A$14:$L$18,11,FALSE),0))</f>
        <v>2.4351536427798831E-2</v>
      </c>
      <c r="N52" s="306">
        <f>+IF($H52=N$2,VLOOKUP($G52,Depreciation!$A$14:$L$18,12,FALSE)/2,IF($H52&lt;N$2,VLOOKUP($G52,Depreciation!$A$14:$L$18,12,FALSE),0))</f>
        <v>2.4351536427798831E-2</v>
      </c>
      <c r="O52" s="307">
        <f t="shared" si="1"/>
        <v>14477428.779167693</v>
      </c>
      <c r="P52" s="732">
        <f>'Func Future Subs 2015'!P52</f>
        <v>0</v>
      </c>
      <c r="Q52" s="732">
        <f>'Func Future Subs 2015'!Q52</f>
        <v>1</v>
      </c>
      <c r="R52" s="732">
        <f>'Func Future Subs 2015'!R52</f>
        <v>0</v>
      </c>
      <c r="S52" s="735">
        <f t="shared" si="2"/>
        <v>0</v>
      </c>
      <c r="T52" s="735">
        <f t="shared" si="3"/>
        <v>14477428.779167693</v>
      </c>
      <c r="U52" s="735">
        <f t="shared" si="4"/>
        <v>0</v>
      </c>
      <c r="V52" s="736">
        <f t="shared" si="5"/>
        <v>0</v>
      </c>
      <c r="W52" s="735">
        <f t="shared" si="6"/>
        <v>0</v>
      </c>
      <c r="X52" s="737">
        <f t="shared" si="7"/>
        <v>0</v>
      </c>
      <c r="Y52" s="738">
        <f t="shared" si="8"/>
        <v>14477428.779167693</v>
      </c>
    </row>
    <row r="53" spans="1:27">
      <c r="A53" s="754" t="str">
        <f>'Func Future Subs 2015'!A53</f>
        <v>Kitscoty 705S180</v>
      </c>
      <c r="B53" s="754">
        <f>'Func Future Subs 2015'!B53</f>
        <v>811</v>
      </c>
      <c r="C53" s="754">
        <f>'Func Future Subs 2015'!C53</f>
        <v>144</v>
      </c>
      <c r="D53" s="754">
        <f>'Func Future Subs 2015'!D53</f>
        <v>25</v>
      </c>
      <c r="E53" s="754" t="str">
        <f>'Func Future Subs 2015'!E53</f>
        <v>705S</v>
      </c>
      <c r="F53" s="754">
        <f>'Func Future Subs 2015'!F53</f>
        <v>13565760.579394037</v>
      </c>
      <c r="G53" s="754" t="str">
        <f>'Func Future Subs 2015'!G53</f>
        <v>ATCO</v>
      </c>
      <c r="H53" s="754">
        <f>'Func Future Subs 2015'!H53</f>
        <v>2017</v>
      </c>
      <c r="I53" s="306">
        <f>+IF($H53=I$2,VLOOKUP($G53,Depreciation!$A$14:$L$18,7,FALSE)/2,IF($H53&lt;I$2,VLOOKUP($G53,Depreciation!$A$14:$L$18,7,FALSE),0))</f>
        <v>0</v>
      </c>
      <c r="J53" s="306">
        <f>+IF($H53=J$2,VLOOKUP($G53,Depreciation!$A$14:$L$18,8,FALSE)/2,IF($H53&lt;J$2,VLOOKUP($G53,Depreciation!$A$14:$L$18,8,FALSE),0))</f>
        <v>0</v>
      </c>
      <c r="K53" s="306">
        <f>+IF($H53=K$2,VLOOKUP($G53,Depreciation!$A$14:$L$18,9,FALSE)/2,IF($H53&lt;K$2,VLOOKUP($G53,Depreciation!$A$14:$L$18,9,FALSE),0))</f>
        <v>1.2175768213899416E-2</v>
      </c>
      <c r="L53" s="306">
        <f>+IF($H53=L$2,VLOOKUP($G53,Depreciation!$A$14:$L$18,10,FALSE)/2,IF($H53&lt;L$2,VLOOKUP($G53,Depreciation!$A$14:$L$18,10,FALSE),0))</f>
        <v>2.4351536427798831E-2</v>
      </c>
      <c r="M53" s="306">
        <f>+IF($H53=M$2,VLOOKUP($G53,Depreciation!$A$14:$L$18,11,FALSE)/2,IF($H53&lt;M$2,VLOOKUP($G53,Depreciation!$A$14:$L$18,11,FALSE),0))</f>
        <v>2.4351536427798831E-2</v>
      </c>
      <c r="N53" s="306">
        <f>+IF($H53=N$2,VLOOKUP($G53,Depreciation!$A$14:$L$18,12,FALSE)/2,IF($H53&lt;N$2,VLOOKUP($G53,Depreciation!$A$14:$L$18,12,FALSE),0))</f>
        <v>2.4351536427798831E-2</v>
      </c>
      <c r="O53" s="307">
        <f t="shared" si="1"/>
        <v>13400587.022934081</v>
      </c>
      <c r="P53" s="732">
        <f>'Func Future Subs 2015'!P53</f>
        <v>0</v>
      </c>
      <c r="Q53" s="732">
        <f>'Func Future Subs 2015'!Q53</f>
        <v>1</v>
      </c>
      <c r="R53" s="732">
        <f>'Func Future Subs 2015'!R53</f>
        <v>0</v>
      </c>
      <c r="S53" s="735">
        <f t="shared" si="2"/>
        <v>0</v>
      </c>
      <c r="T53" s="735">
        <f t="shared" si="3"/>
        <v>13400587.022934081</v>
      </c>
      <c r="U53" s="735">
        <f t="shared" si="4"/>
        <v>0</v>
      </c>
      <c r="V53" s="736">
        <f t="shared" si="5"/>
        <v>0</v>
      </c>
      <c r="W53" s="735">
        <f t="shared" si="6"/>
        <v>0</v>
      </c>
      <c r="X53" s="737">
        <f t="shared" si="7"/>
        <v>0</v>
      </c>
      <c r="Y53" s="738">
        <f t="shared" si="8"/>
        <v>13400587.022934081</v>
      </c>
    </row>
    <row r="54" spans="1:27">
      <c r="A54" s="754" t="str">
        <f>'Func Future Subs 2015'!A54</f>
        <v>Leming Lake 715S(180)</v>
      </c>
      <c r="B54" s="754">
        <f>'Func Future Subs 2015'!B54</f>
        <v>811</v>
      </c>
      <c r="C54" s="754">
        <f>'Func Future Subs 2015'!C54</f>
        <v>144</v>
      </c>
      <c r="D54" s="754">
        <f>'Func Future Subs 2015'!D54</f>
        <v>25</v>
      </c>
      <c r="E54" s="754" t="str">
        <f>'Func Future Subs 2015'!E54</f>
        <v>715S</v>
      </c>
      <c r="F54" s="754">
        <f>'Func Future Subs 2015'!F54</f>
        <v>267528.16210213065</v>
      </c>
      <c r="G54" s="754" t="str">
        <f>'Func Future Subs 2015'!G54</f>
        <v>ATCO</v>
      </c>
      <c r="H54" s="754">
        <f>'Func Future Subs 2015'!H54</f>
        <v>2017</v>
      </c>
      <c r="I54" s="306">
        <f>+IF($H54=I$2,VLOOKUP($G54,Depreciation!$A$14:$L$18,7,FALSE)/2,IF($H54&lt;I$2,VLOOKUP($G54,Depreciation!$A$14:$L$18,7,FALSE),0))</f>
        <v>0</v>
      </c>
      <c r="J54" s="306">
        <f>+IF($H54=J$2,VLOOKUP($G54,Depreciation!$A$14:$L$18,8,FALSE)/2,IF($H54&lt;J$2,VLOOKUP($G54,Depreciation!$A$14:$L$18,8,FALSE),0))</f>
        <v>0</v>
      </c>
      <c r="K54" s="306">
        <f>+IF($H54=K$2,VLOOKUP($G54,Depreciation!$A$14:$L$18,9,FALSE)/2,IF($H54&lt;K$2,VLOOKUP($G54,Depreciation!$A$14:$L$18,9,FALSE),0))</f>
        <v>1.2175768213899416E-2</v>
      </c>
      <c r="L54" s="306">
        <f>+IF($H54=L$2,VLOOKUP($G54,Depreciation!$A$14:$L$18,10,FALSE)/2,IF($H54&lt;L$2,VLOOKUP($G54,Depreciation!$A$14:$L$18,10,FALSE),0))</f>
        <v>2.4351536427798831E-2</v>
      </c>
      <c r="M54" s="306">
        <f>+IF($H54=M$2,VLOOKUP($G54,Depreciation!$A$14:$L$18,11,FALSE)/2,IF($H54&lt;M$2,VLOOKUP($G54,Depreciation!$A$14:$L$18,11,FALSE),0))</f>
        <v>2.4351536427798831E-2</v>
      </c>
      <c r="N54" s="306">
        <f>+IF($H54=N$2,VLOOKUP($G54,Depreciation!$A$14:$L$18,12,FALSE)/2,IF($H54&lt;N$2,VLOOKUP($G54,Depreciation!$A$14:$L$18,12,FALSE),0))</f>
        <v>2.4351536427798831E-2</v>
      </c>
      <c r="O54" s="307">
        <f t="shared" si="1"/>
        <v>264270.80120968458</v>
      </c>
      <c r="P54" s="732">
        <f>'Func Future Subs 2015'!P54</f>
        <v>0</v>
      </c>
      <c r="Q54" s="732">
        <f>'Func Future Subs 2015'!Q54</f>
        <v>1</v>
      </c>
      <c r="R54" s="732">
        <f>'Func Future Subs 2015'!R54</f>
        <v>0</v>
      </c>
      <c r="S54" s="735">
        <f t="shared" si="2"/>
        <v>0</v>
      </c>
      <c r="T54" s="735">
        <f t="shared" si="3"/>
        <v>264270.80120968458</v>
      </c>
      <c r="U54" s="735">
        <f t="shared" si="4"/>
        <v>0</v>
      </c>
      <c r="V54" s="736">
        <f t="shared" si="5"/>
        <v>0</v>
      </c>
      <c r="W54" s="735">
        <f t="shared" si="6"/>
        <v>0</v>
      </c>
      <c r="X54" s="737">
        <f t="shared" si="7"/>
        <v>0</v>
      </c>
      <c r="Y54" s="738">
        <f t="shared" si="8"/>
        <v>264270.80120968458</v>
      </c>
      <c r="AA54" s="317"/>
    </row>
    <row r="55" spans="1:27">
      <c r="A55" s="754" t="str">
        <f>'Func Future Subs 2015'!A55</f>
        <v>Mahihkan 837S(180)</v>
      </c>
      <c r="B55" s="754">
        <f>'Func Future Subs 2015'!B55</f>
        <v>811</v>
      </c>
      <c r="C55" s="754">
        <f>'Func Future Subs 2015'!C55</f>
        <v>144</v>
      </c>
      <c r="D55" s="754">
        <f>'Func Future Subs 2015'!D55</f>
        <v>25</v>
      </c>
      <c r="E55" s="754" t="str">
        <f>'Func Future Subs 2015'!E55</f>
        <v>837S</v>
      </c>
      <c r="F55" s="754">
        <f>'Func Future Subs 2015'!F55</f>
        <v>1431346.4418924579</v>
      </c>
      <c r="G55" s="754" t="str">
        <f>'Func Future Subs 2015'!G55</f>
        <v>ATCO</v>
      </c>
      <c r="H55" s="754">
        <f>'Func Future Subs 2015'!H55</f>
        <v>2017</v>
      </c>
      <c r="I55" s="306">
        <f>+IF($H55=I$2,VLOOKUP($G55,Depreciation!$A$14:$L$18,7,FALSE)/2,IF($H55&lt;I$2,VLOOKUP($G55,Depreciation!$A$14:$L$18,7,FALSE),0))</f>
        <v>0</v>
      </c>
      <c r="J55" s="306">
        <f>+IF($H55=J$2,VLOOKUP($G55,Depreciation!$A$14:$L$18,8,FALSE)/2,IF($H55&lt;J$2,VLOOKUP($G55,Depreciation!$A$14:$L$18,8,FALSE),0))</f>
        <v>0</v>
      </c>
      <c r="K55" s="306">
        <f>+IF($H55=K$2,VLOOKUP($G55,Depreciation!$A$14:$L$18,9,FALSE)/2,IF($H55&lt;K$2,VLOOKUP($G55,Depreciation!$A$14:$L$18,9,FALSE),0))</f>
        <v>1.2175768213899416E-2</v>
      </c>
      <c r="L55" s="306">
        <f>+IF($H55=L$2,VLOOKUP($G55,Depreciation!$A$14:$L$18,10,FALSE)/2,IF($H55&lt;L$2,VLOOKUP($G55,Depreciation!$A$14:$L$18,10,FALSE),0))</f>
        <v>2.4351536427798831E-2</v>
      </c>
      <c r="M55" s="306">
        <f>+IF($H55=M$2,VLOOKUP($G55,Depreciation!$A$14:$L$18,11,FALSE)/2,IF($H55&lt;M$2,VLOOKUP($G55,Depreciation!$A$14:$L$18,11,FALSE),0))</f>
        <v>2.4351536427798831E-2</v>
      </c>
      <c r="N55" s="306">
        <f>+IF($H55=N$2,VLOOKUP($G55,Depreciation!$A$14:$L$18,12,FALSE)/2,IF($H55&lt;N$2,VLOOKUP($G55,Depreciation!$A$14:$L$18,12,FALSE),0))</f>
        <v>2.4351536427798831E-2</v>
      </c>
      <c r="O55" s="307">
        <f t="shared" si="1"/>
        <v>1413918.6993821857</v>
      </c>
      <c r="P55" s="732">
        <f>'Func Future Subs 2015'!P55</f>
        <v>0</v>
      </c>
      <c r="Q55" s="732">
        <f>'Func Future Subs 2015'!Q55</f>
        <v>1</v>
      </c>
      <c r="R55" s="732">
        <f>'Func Future Subs 2015'!R55</f>
        <v>0</v>
      </c>
      <c r="S55" s="735">
        <f t="shared" si="2"/>
        <v>0</v>
      </c>
      <c r="T55" s="735">
        <f t="shared" si="3"/>
        <v>1413918.6993821857</v>
      </c>
      <c r="U55" s="735">
        <f t="shared" si="4"/>
        <v>0</v>
      </c>
      <c r="V55" s="736">
        <f t="shared" si="5"/>
        <v>0</v>
      </c>
      <c r="W55" s="735">
        <f t="shared" si="6"/>
        <v>0</v>
      </c>
      <c r="X55" s="737">
        <f t="shared" si="7"/>
        <v>0</v>
      </c>
      <c r="Y55" s="738">
        <f t="shared" si="8"/>
        <v>1413918.6993821857</v>
      </c>
    </row>
    <row r="56" spans="1:27">
      <c r="A56" s="754" t="str">
        <f>'Func Future Subs 2015'!A56</f>
        <v>Marguerite Lake 826S(180)</v>
      </c>
      <c r="B56" s="754">
        <f>'Func Future Subs 2015'!B56</f>
        <v>811</v>
      </c>
      <c r="C56" s="754">
        <f>'Func Future Subs 2015'!C56</f>
        <v>144</v>
      </c>
      <c r="D56" s="754">
        <f>'Func Future Subs 2015'!D56</f>
        <v>138</v>
      </c>
      <c r="E56" s="754" t="str">
        <f>'Func Future Subs 2015'!E56</f>
        <v>826S</v>
      </c>
      <c r="F56" s="754">
        <f>'Func Future Subs 2015'!F56</f>
        <v>688730.2425556964</v>
      </c>
      <c r="G56" s="754" t="str">
        <f>'Func Future Subs 2015'!G56</f>
        <v>ATCO</v>
      </c>
      <c r="H56" s="754">
        <f>'Func Future Subs 2015'!H56</f>
        <v>2017</v>
      </c>
      <c r="I56" s="306">
        <f>+IF($H56=I$2,VLOOKUP($G56,Depreciation!$A$14:$L$18,7,FALSE)/2,IF($H56&lt;I$2,VLOOKUP($G56,Depreciation!$A$14:$L$18,7,FALSE),0))</f>
        <v>0</v>
      </c>
      <c r="J56" s="306">
        <f>+IF($H56=J$2,VLOOKUP($G56,Depreciation!$A$14:$L$18,8,FALSE)/2,IF($H56&lt;J$2,VLOOKUP($G56,Depreciation!$A$14:$L$18,8,FALSE),0))</f>
        <v>0</v>
      </c>
      <c r="K56" s="306">
        <f>+IF($H56=K$2,VLOOKUP($G56,Depreciation!$A$14:$L$18,9,FALSE)/2,IF($H56&lt;K$2,VLOOKUP($G56,Depreciation!$A$14:$L$18,9,FALSE),0))</f>
        <v>1.2175768213899416E-2</v>
      </c>
      <c r="L56" s="306">
        <f>+IF($H56=L$2,VLOOKUP($G56,Depreciation!$A$14:$L$18,10,FALSE)/2,IF($H56&lt;L$2,VLOOKUP($G56,Depreciation!$A$14:$L$18,10,FALSE),0))</f>
        <v>2.4351536427798831E-2</v>
      </c>
      <c r="M56" s="306">
        <f>+IF($H56=M$2,VLOOKUP($G56,Depreciation!$A$14:$L$18,11,FALSE)/2,IF($H56&lt;M$2,VLOOKUP($G56,Depreciation!$A$14:$L$18,11,FALSE),0))</f>
        <v>2.4351536427798831E-2</v>
      </c>
      <c r="N56" s="306">
        <f>+IF($H56=N$2,VLOOKUP($G56,Depreciation!$A$14:$L$18,12,FALSE)/2,IF($H56&lt;N$2,VLOOKUP($G56,Depreciation!$A$14:$L$18,12,FALSE),0))</f>
        <v>2.4351536427798831E-2</v>
      </c>
      <c r="O56" s="307">
        <f t="shared" si="1"/>
        <v>680344.4227604355</v>
      </c>
      <c r="P56" s="732">
        <f>'Func Future Subs 2015'!P56</f>
        <v>0</v>
      </c>
      <c r="Q56" s="732">
        <f>'Func Future Subs 2015'!Q56</f>
        <v>0</v>
      </c>
      <c r="R56" s="732">
        <f>'Func Future Subs 2015'!R56</f>
        <v>1</v>
      </c>
      <c r="S56" s="735">
        <f t="shared" si="2"/>
        <v>0</v>
      </c>
      <c r="T56" s="735">
        <f t="shared" si="3"/>
        <v>0</v>
      </c>
      <c r="U56" s="735">
        <f t="shared" si="4"/>
        <v>680344.4227604355</v>
      </c>
      <c r="V56" s="736">
        <f t="shared" si="5"/>
        <v>0</v>
      </c>
      <c r="W56" s="735">
        <f t="shared" si="6"/>
        <v>0</v>
      </c>
      <c r="X56" s="737">
        <f t="shared" si="7"/>
        <v>680344.4227604355</v>
      </c>
      <c r="Y56" s="738">
        <f t="shared" si="8"/>
        <v>0</v>
      </c>
    </row>
    <row r="57" spans="1:27">
      <c r="A57" s="754" t="str">
        <f>'Func Future Subs 2015'!A57</f>
        <v>unknown sub St.Paul</v>
      </c>
      <c r="B57" s="754">
        <f>'Func Future Subs 2015'!B57</f>
        <v>811</v>
      </c>
      <c r="C57" s="754">
        <f>'Func Future Subs 2015'!C57</f>
        <v>0</v>
      </c>
      <c r="D57" s="754">
        <f>'Func Future Subs 2015'!D57</f>
        <v>0</v>
      </c>
      <c r="E57" s="754">
        <f>'Func Future Subs 2015'!E57</f>
        <v>0</v>
      </c>
      <c r="F57" s="754">
        <f>'Func Future Subs 2015'!F57</f>
        <v>33228963.973278571</v>
      </c>
      <c r="G57" s="754" t="str">
        <f>'Func Future Subs 2015'!G57</f>
        <v>ATCO</v>
      </c>
      <c r="H57" s="754">
        <f>'Func Future Subs 2015'!H57</f>
        <v>2017</v>
      </c>
      <c r="I57" s="306">
        <f>+IF($H57=I$2,VLOOKUP($G57,Depreciation!$A$14:$L$18,7,FALSE)/2,IF($H57&lt;I$2,VLOOKUP($G57,Depreciation!$A$14:$L$18,7,FALSE),0))</f>
        <v>0</v>
      </c>
      <c r="J57" s="306">
        <f>+IF($H57=J$2,VLOOKUP($G57,Depreciation!$A$14:$L$18,8,FALSE)/2,IF($H57&lt;J$2,VLOOKUP($G57,Depreciation!$A$14:$L$18,8,FALSE),0))</f>
        <v>0</v>
      </c>
      <c r="K57" s="306">
        <f>+IF($H57=K$2,VLOOKUP($G57,Depreciation!$A$14:$L$18,9,FALSE)/2,IF($H57&lt;K$2,VLOOKUP($G57,Depreciation!$A$14:$L$18,9,FALSE),0))</f>
        <v>1.2175768213899416E-2</v>
      </c>
      <c r="L57" s="306">
        <f>+IF($H57=L$2,VLOOKUP($G57,Depreciation!$A$14:$L$18,10,FALSE)/2,IF($H57&lt;L$2,VLOOKUP($G57,Depreciation!$A$14:$L$18,10,FALSE),0))</f>
        <v>2.4351536427798831E-2</v>
      </c>
      <c r="M57" s="306">
        <f>+IF($H57=M$2,VLOOKUP($G57,Depreciation!$A$14:$L$18,11,FALSE)/2,IF($H57&lt;M$2,VLOOKUP($G57,Depreciation!$A$14:$L$18,11,FALSE),0))</f>
        <v>2.4351536427798831E-2</v>
      </c>
      <c r="N57" s="306">
        <f>+IF($H57=N$2,VLOOKUP($G57,Depreciation!$A$14:$L$18,12,FALSE)/2,IF($H57&lt;N$2,VLOOKUP($G57,Depreciation!$A$14:$L$18,12,FALSE),0))</f>
        <v>2.4351536427798831E-2</v>
      </c>
      <c r="O57" s="307">
        <f t="shared" si="1"/>
        <v>32824375.809951916</v>
      </c>
      <c r="P57" s="732">
        <f>'Func Future Subs 2015'!P57</f>
        <v>0</v>
      </c>
      <c r="Q57" s="732">
        <f>'Func Future Subs 2015'!Q57</f>
        <v>0</v>
      </c>
      <c r="R57" s="732">
        <f>'Func Future Subs 2015'!R57</f>
        <v>1</v>
      </c>
      <c r="S57" s="735">
        <f t="shared" si="2"/>
        <v>0</v>
      </c>
      <c r="T57" s="735">
        <f t="shared" si="3"/>
        <v>0</v>
      </c>
      <c r="U57" s="735">
        <f t="shared" si="4"/>
        <v>32824375.809951916</v>
      </c>
      <c r="V57" s="736">
        <f t="shared" si="5"/>
        <v>32824375.809951916</v>
      </c>
      <c r="W57" s="735">
        <f t="shared" si="6"/>
        <v>0</v>
      </c>
      <c r="X57" s="737">
        <f t="shared" si="7"/>
        <v>0</v>
      </c>
      <c r="Y57" s="738">
        <f t="shared" si="8"/>
        <v>0</v>
      </c>
    </row>
    <row r="58" spans="1:27">
      <c r="A58" s="754" t="str">
        <f>'Func Future Subs 2015'!A58</f>
        <v>unknown sub Vermilion 710S</v>
      </c>
      <c r="B58" s="754">
        <f>'Func Future Subs 2015'!B58</f>
        <v>811</v>
      </c>
      <c r="C58" s="754">
        <f>'Func Future Subs 2015'!C58</f>
        <v>0</v>
      </c>
      <c r="D58" s="754">
        <f>'Func Future Subs 2015'!D58</f>
        <v>25</v>
      </c>
      <c r="E58" s="754" t="str">
        <f>'Func Future Subs 2015'!E58</f>
        <v>710S</v>
      </c>
      <c r="F58" s="754">
        <f>'Func Future Subs 2015'!F58</f>
        <v>8709690</v>
      </c>
      <c r="G58" s="754" t="str">
        <f>'Func Future Subs 2015'!G58</f>
        <v>ATCO</v>
      </c>
      <c r="H58" s="754">
        <f>'Func Future Subs 2015'!H58</f>
        <v>2017</v>
      </c>
      <c r="I58" s="306">
        <f>+IF($H58=I$2,VLOOKUP($G58,Depreciation!$A$14:$L$18,7,FALSE)/2,IF($H58&lt;I$2,VLOOKUP($G58,Depreciation!$A$14:$L$18,7,FALSE),0))</f>
        <v>0</v>
      </c>
      <c r="J58" s="306">
        <f>+IF($H58=J$2,VLOOKUP($G58,Depreciation!$A$14:$L$18,8,FALSE)/2,IF($H58&lt;J$2,VLOOKUP($G58,Depreciation!$A$14:$L$18,8,FALSE),0))</f>
        <v>0</v>
      </c>
      <c r="K58" s="306">
        <f>+IF($H58=K$2,VLOOKUP($G58,Depreciation!$A$14:$L$18,9,FALSE)/2,IF($H58&lt;K$2,VLOOKUP($G58,Depreciation!$A$14:$L$18,9,FALSE),0))</f>
        <v>1.2175768213899416E-2</v>
      </c>
      <c r="L58" s="306">
        <f>+IF($H58=L$2,VLOOKUP($G58,Depreciation!$A$14:$L$18,10,FALSE)/2,IF($H58&lt;L$2,VLOOKUP($G58,Depreciation!$A$14:$L$18,10,FALSE),0))</f>
        <v>2.4351536427798831E-2</v>
      </c>
      <c r="M58" s="306">
        <f>+IF($H58=M$2,VLOOKUP($G58,Depreciation!$A$14:$L$18,11,FALSE)/2,IF($H58&lt;M$2,VLOOKUP($G58,Depreciation!$A$14:$L$18,11,FALSE),0))</f>
        <v>2.4351536427798831E-2</v>
      </c>
      <c r="N58" s="306">
        <f>+IF($H58=N$2,VLOOKUP($G58,Depreciation!$A$14:$L$18,12,FALSE)/2,IF($H58&lt;N$2,VLOOKUP($G58,Depreciation!$A$14:$L$18,12,FALSE),0))</f>
        <v>2.4351536427798831E-2</v>
      </c>
      <c r="O58" s="307">
        <f t="shared" si="1"/>
        <v>8603642.8333450817</v>
      </c>
      <c r="P58" s="732">
        <f>'Func Future Subs 2015'!P58</f>
        <v>0</v>
      </c>
      <c r="Q58" s="732">
        <f>'Func Future Subs 2015'!Q58</f>
        <v>1</v>
      </c>
      <c r="R58" s="732">
        <f>'Func Future Subs 2015'!R58</f>
        <v>0</v>
      </c>
      <c r="S58" s="735">
        <f t="shared" si="2"/>
        <v>0</v>
      </c>
      <c r="T58" s="735">
        <f t="shared" si="3"/>
        <v>8603642.8333450817</v>
      </c>
      <c r="U58" s="735">
        <f t="shared" si="4"/>
        <v>0</v>
      </c>
      <c r="V58" s="736">
        <f t="shared" si="5"/>
        <v>0</v>
      </c>
      <c r="W58" s="735">
        <f t="shared" si="6"/>
        <v>0</v>
      </c>
      <c r="X58" s="737">
        <f t="shared" si="7"/>
        <v>0</v>
      </c>
      <c r="Y58" s="738">
        <f t="shared" si="8"/>
        <v>8603642.8333450817</v>
      </c>
    </row>
    <row r="59" spans="1:27">
      <c r="A59" s="754" t="str">
        <f>'Func Future Subs 2015'!A59</f>
        <v>Wolf Lake 822S(180)</v>
      </c>
      <c r="B59" s="754">
        <f>'Func Future Subs 2015'!B59</f>
        <v>811</v>
      </c>
      <c r="C59" s="754">
        <f>'Func Future Subs 2015'!C59</f>
        <v>144</v>
      </c>
      <c r="D59" s="754">
        <f>'Func Future Subs 2015'!D59</f>
        <v>25</v>
      </c>
      <c r="E59" s="754" t="str">
        <f>'Func Future Subs 2015'!E59</f>
        <v>822S</v>
      </c>
      <c r="F59" s="754">
        <f>'Func Future Subs 2015'!F59</f>
        <v>1030247.2205012403</v>
      </c>
      <c r="G59" s="754" t="str">
        <f>'Func Future Subs 2015'!G59</f>
        <v>ATCO</v>
      </c>
      <c r="H59" s="754">
        <f>'Func Future Subs 2015'!H59</f>
        <v>2017</v>
      </c>
      <c r="I59" s="306">
        <f>+IF($H59=I$2,VLOOKUP($G59,Depreciation!$A$14:$L$18,7,FALSE)/2,IF($H59&lt;I$2,VLOOKUP($G59,Depreciation!$A$14:$L$18,7,FALSE),0))</f>
        <v>0</v>
      </c>
      <c r="J59" s="306">
        <f>+IF($H59=J$2,VLOOKUP($G59,Depreciation!$A$14:$L$18,8,FALSE)/2,IF($H59&lt;J$2,VLOOKUP($G59,Depreciation!$A$14:$L$18,8,FALSE),0))</f>
        <v>0</v>
      </c>
      <c r="K59" s="306">
        <f>+IF($H59=K$2,VLOOKUP($G59,Depreciation!$A$14:$L$18,9,FALSE)/2,IF($H59&lt;K$2,VLOOKUP($G59,Depreciation!$A$14:$L$18,9,FALSE),0))</f>
        <v>1.2175768213899416E-2</v>
      </c>
      <c r="L59" s="306">
        <f>+IF($H59=L$2,VLOOKUP($G59,Depreciation!$A$14:$L$18,10,FALSE)/2,IF($H59&lt;L$2,VLOOKUP($G59,Depreciation!$A$14:$L$18,10,FALSE),0))</f>
        <v>2.4351536427798831E-2</v>
      </c>
      <c r="M59" s="306">
        <f>+IF($H59=M$2,VLOOKUP($G59,Depreciation!$A$14:$L$18,11,FALSE)/2,IF($H59&lt;M$2,VLOOKUP($G59,Depreciation!$A$14:$L$18,11,FALSE),0))</f>
        <v>2.4351536427798831E-2</v>
      </c>
      <c r="N59" s="306">
        <f>+IF($H59=N$2,VLOOKUP($G59,Depreciation!$A$14:$L$18,12,FALSE)/2,IF($H59&lt;N$2,VLOOKUP($G59,Depreciation!$A$14:$L$18,12,FALSE),0))</f>
        <v>2.4351536427798831E-2</v>
      </c>
      <c r="O59" s="307">
        <f t="shared" si="1"/>
        <v>1017703.1691414031</v>
      </c>
      <c r="P59" s="732">
        <f>'Func Future Subs 2015'!P59</f>
        <v>0</v>
      </c>
      <c r="Q59" s="732">
        <f>'Func Future Subs 2015'!Q59</f>
        <v>1</v>
      </c>
      <c r="R59" s="732">
        <f>'Func Future Subs 2015'!R59</f>
        <v>0</v>
      </c>
      <c r="S59" s="735">
        <f t="shared" si="2"/>
        <v>0</v>
      </c>
      <c r="T59" s="735">
        <f t="shared" si="3"/>
        <v>1017703.1691414031</v>
      </c>
      <c r="U59" s="735">
        <f t="shared" si="4"/>
        <v>0</v>
      </c>
      <c r="V59" s="736">
        <f t="shared" si="5"/>
        <v>0</v>
      </c>
      <c r="W59" s="735">
        <f t="shared" si="6"/>
        <v>0</v>
      </c>
      <c r="X59" s="737">
        <f t="shared" si="7"/>
        <v>0</v>
      </c>
      <c r="Y59" s="738">
        <f t="shared" si="8"/>
        <v>1017703.1691414031</v>
      </c>
    </row>
    <row r="60" spans="1:27">
      <c r="A60" s="754" t="str">
        <f>'Func Future Subs 2015'!A60</f>
        <v>74S</v>
      </c>
      <c r="B60" s="754">
        <f>'Func Future Subs 2015'!B60</f>
        <v>813</v>
      </c>
      <c r="C60" s="754">
        <f>'Func Future Subs 2015'!C60</f>
        <v>240</v>
      </c>
      <c r="D60" s="754">
        <f>'Func Future Subs 2015'!D60</f>
        <v>138</v>
      </c>
      <c r="E60" s="754" t="str">
        <f>'Func Future Subs 2015'!E60</f>
        <v>74S</v>
      </c>
      <c r="F60" s="754">
        <f>'Func Future Subs 2015'!F60</f>
        <v>395882.33037640859</v>
      </c>
      <c r="G60" s="754" t="str">
        <f>'Func Future Subs 2015'!G60</f>
        <v>AltaLink</v>
      </c>
      <c r="H60" s="754">
        <f>'Func Future Subs 2015'!H60</f>
        <v>2017</v>
      </c>
      <c r="I60" s="306">
        <f>+IF($H60=I$2,VLOOKUP($G60,Depreciation!$A$14:$L$18,7,FALSE)/2,IF($H60&lt;I$2,VLOOKUP($G60,Depreciation!$A$14:$L$18,7,FALSE),0))</f>
        <v>0</v>
      </c>
      <c r="J60" s="306">
        <f>+IF($H60=J$2,VLOOKUP($G60,Depreciation!$A$14:$L$18,8,FALSE)/2,IF($H60&lt;J$2,VLOOKUP($G60,Depreciation!$A$14:$L$18,8,FALSE),0))</f>
        <v>0</v>
      </c>
      <c r="K60" s="306">
        <f>+IF($H60=K$2,VLOOKUP($G60,Depreciation!$A$14:$L$18,9,FALSE)/2,IF($H60&lt;K$2,VLOOKUP($G60,Depreciation!$A$14:$L$18,9,FALSE),0))</f>
        <v>1.671703928371859E-2</v>
      </c>
      <c r="L60" s="306">
        <f>+IF($H60=L$2,VLOOKUP($G60,Depreciation!$A$14:$L$18,10,FALSE)/2,IF($H60&lt;L$2,VLOOKUP($G60,Depreciation!$A$14:$L$18,10,FALSE),0))</f>
        <v>3.343407856743718E-2</v>
      </c>
      <c r="M60" s="306">
        <f>+IF($H60=M$2,VLOOKUP($G60,Depreciation!$A$14:$L$18,11,FALSE)/2,IF($H60&lt;M$2,VLOOKUP($G60,Depreciation!$A$14:$L$18,11,FALSE),0))</f>
        <v>3.343407856743718E-2</v>
      </c>
      <c r="N60" s="306">
        <f>+IF($H60=N$2,VLOOKUP($G60,Depreciation!$A$14:$L$18,12,FALSE)/2,IF($H60&lt;N$2,VLOOKUP($G60,Depreciation!$A$14:$L$18,12,FALSE),0))</f>
        <v>3.343407856743718E-2</v>
      </c>
      <c r="O60" s="307">
        <f t="shared" si="1"/>
        <v>389264.34990777611</v>
      </c>
      <c r="P60" s="732">
        <f>'Func Future Subs 2015'!P60</f>
        <v>0</v>
      </c>
      <c r="Q60" s="732">
        <f>'Func Future Subs 2015'!Q60</f>
        <v>0</v>
      </c>
      <c r="R60" s="732">
        <f>'Func Future Subs 2015'!R60</f>
        <v>1</v>
      </c>
      <c r="S60" s="735">
        <f t="shared" si="2"/>
        <v>0</v>
      </c>
      <c r="T60" s="735">
        <f t="shared" si="3"/>
        <v>0</v>
      </c>
      <c r="U60" s="735">
        <f t="shared" si="4"/>
        <v>389264.34990777611</v>
      </c>
      <c r="V60" s="736">
        <f t="shared" si="5"/>
        <v>0</v>
      </c>
      <c r="W60" s="735">
        <f t="shared" si="6"/>
        <v>0</v>
      </c>
      <c r="X60" s="737">
        <f t="shared" si="7"/>
        <v>389264.34990777611</v>
      </c>
      <c r="Y60" s="738">
        <f t="shared" si="8"/>
        <v>0</v>
      </c>
    </row>
    <row r="61" spans="1:27">
      <c r="A61" s="754" t="str">
        <f>'Func Future Subs 2015'!A61</f>
        <v>Beddington 162S</v>
      </c>
      <c r="B61" s="754">
        <f>'Func Future Subs 2015'!B61</f>
        <v>813</v>
      </c>
      <c r="C61" s="754">
        <f>'Func Future Subs 2015'!C61</f>
        <v>240</v>
      </c>
      <c r="D61" s="754">
        <f>'Func Future Subs 2015'!D61</f>
        <v>25</v>
      </c>
      <c r="E61" s="754" t="str">
        <f>'Func Future Subs 2015'!E61</f>
        <v>162S</v>
      </c>
      <c r="F61" s="754">
        <f>'Func Future Subs 2015'!F61</f>
        <v>39588.233037640857</v>
      </c>
      <c r="G61" s="754" t="str">
        <f>'Func Future Subs 2015'!G61</f>
        <v>AltaLink</v>
      </c>
      <c r="H61" s="754">
        <f>'Func Future Subs 2015'!H61</f>
        <v>2017</v>
      </c>
      <c r="I61" s="306">
        <f>+IF($H61=I$2,VLOOKUP($G61,Depreciation!$A$14:$L$18,7,FALSE)/2,IF($H61&lt;I$2,VLOOKUP($G61,Depreciation!$A$14:$L$18,7,FALSE),0))</f>
        <v>0</v>
      </c>
      <c r="J61" s="306">
        <f>+IF($H61=J$2,VLOOKUP($G61,Depreciation!$A$14:$L$18,8,FALSE)/2,IF($H61&lt;J$2,VLOOKUP($G61,Depreciation!$A$14:$L$18,8,FALSE),0))</f>
        <v>0</v>
      </c>
      <c r="K61" s="306">
        <f>+IF($H61=K$2,VLOOKUP($G61,Depreciation!$A$14:$L$18,9,FALSE)/2,IF($H61&lt;K$2,VLOOKUP($G61,Depreciation!$A$14:$L$18,9,FALSE),0))</f>
        <v>1.671703928371859E-2</v>
      </c>
      <c r="L61" s="306">
        <f>+IF($H61=L$2,VLOOKUP($G61,Depreciation!$A$14:$L$18,10,FALSE)/2,IF($H61&lt;L$2,VLOOKUP($G61,Depreciation!$A$14:$L$18,10,FALSE),0))</f>
        <v>3.343407856743718E-2</v>
      </c>
      <c r="M61" s="306">
        <f>+IF($H61=M$2,VLOOKUP($G61,Depreciation!$A$14:$L$18,11,FALSE)/2,IF($H61&lt;M$2,VLOOKUP($G61,Depreciation!$A$14:$L$18,11,FALSE),0))</f>
        <v>3.343407856743718E-2</v>
      </c>
      <c r="N61" s="306">
        <f>+IF($H61=N$2,VLOOKUP($G61,Depreciation!$A$14:$L$18,12,FALSE)/2,IF($H61&lt;N$2,VLOOKUP($G61,Depreciation!$A$14:$L$18,12,FALSE),0))</f>
        <v>3.343407856743718E-2</v>
      </c>
      <c r="O61" s="307">
        <f t="shared" si="1"/>
        <v>38926.434990777612</v>
      </c>
      <c r="P61" s="732">
        <f>'Func Future Subs 2015'!P61</f>
        <v>0.9116809116809117</v>
      </c>
      <c r="Q61" s="732">
        <f>'Func Future Subs 2015'!Q61</f>
        <v>8.8319088319088315E-2</v>
      </c>
      <c r="R61" s="732">
        <f>'Func Future Subs 2015'!R61</f>
        <v>0</v>
      </c>
      <c r="S61" s="735">
        <f t="shared" si="2"/>
        <v>35488.487740879878</v>
      </c>
      <c r="T61" s="735">
        <f t="shared" si="3"/>
        <v>3437.9472498977375</v>
      </c>
      <c r="U61" s="735">
        <f t="shared" si="4"/>
        <v>0</v>
      </c>
      <c r="V61" s="736">
        <f t="shared" si="5"/>
        <v>0</v>
      </c>
      <c r="W61" s="735">
        <f t="shared" si="6"/>
        <v>35488.487740879878</v>
      </c>
      <c r="X61" s="737">
        <f t="shared" si="7"/>
        <v>0</v>
      </c>
      <c r="Y61" s="738">
        <f t="shared" si="8"/>
        <v>3437.9472498977375</v>
      </c>
    </row>
    <row r="62" spans="1:27">
      <c r="A62" s="754" t="str">
        <f>'Func Future Subs 2015'!A62</f>
        <v>Benalto 17S</v>
      </c>
      <c r="B62" s="754">
        <f>'Func Future Subs 2015'!B62</f>
        <v>813</v>
      </c>
      <c r="C62" s="754">
        <f>'Func Future Subs 2015'!C62</f>
        <v>240</v>
      </c>
      <c r="D62" s="754">
        <f>'Func Future Subs 2015'!D62</f>
        <v>25</v>
      </c>
      <c r="E62" s="754" t="str">
        <f>'Func Future Subs 2015'!E62</f>
        <v>17S</v>
      </c>
      <c r="F62" s="754">
        <f>'Func Future Subs 2015'!F62</f>
        <v>8444000.0000000019</v>
      </c>
      <c r="G62" s="754" t="str">
        <f>'Func Future Subs 2015'!G62</f>
        <v>AltaLink</v>
      </c>
      <c r="H62" s="754">
        <f>'Func Future Subs 2015'!H62</f>
        <v>2017</v>
      </c>
      <c r="I62" s="306">
        <f>+IF($H62=I$2,VLOOKUP($G62,Depreciation!$A$14:$L$18,7,FALSE)/2,IF($H62&lt;I$2,VLOOKUP($G62,Depreciation!$A$14:$L$18,7,FALSE),0))</f>
        <v>0</v>
      </c>
      <c r="J62" s="306">
        <f>+IF($H62=J$2,VLOOKUP($G62,Depreciation!$A$14:$L$18,8,FALSE)/2,IF($H62&lt;J$2,VLOOKUP($G62,Depreciation!$A$14:$L$18,8,FALSE),0))</f>
        <v>0</v>
      </c>
      <c r="K62" s="306">
        <f>+IF($H62=K$2,VLOOKUP($G62,Depreciation!$A$14:$L$18,9,FALSE)/2,IF($H62&lt;K$2,VLOOKUP($G62,Depreciation!$A$14:$L$18,9,FALSE),0))</f>
        <v>1.671703928371859E-2</v>
      </c>
      <c r="L62" s="306">
        <f>+IF($H62=L$2,VLOOKUP($G62,Depreciation!$A$14:$L$18,10,FALSE)/2,IF($H62&lt;L$2,VLOOKUP($G62,Depreciation!$A$14:$L$18,10,FALSE),0))</f>
        <v>3.343407856743718E-2</v>
      </c>
      <c r="M62" s="306">
        <f>+IF($H62=M$2,VLOOKUP($G62,Depreciation!$A$14:$L$18,11,FALSE)/2,IF($H62&lt;M$2,VLOOKUP($G62,Depreciation!$A$14:$L$18,11,FALSE),0))</f>
        <v>3.343407856743718E-2</v>
      </c>
      <c r="N62" s="306">
        <f>+IF($H62=N$2,VLOOKUP($G62,Depreciation!$A$14:$L$18,12,FALSE)/2,IF($H62&lt;N$2,VLOOKUP($G62,Depreciation!$A$14:$L$18,12,FALSE),0))</f>
        <v>3.343407856743718E-2</v>
      </c>
      <c r="O62" s="307">
        <f t="shared" si="1"/>
        <v>8302841.3202882819</v>
      </c>
      <c r="P62" s="732">
        <f>'Func Future Subs 2015'!P62</f>
        <v>0</v>
      </c>
      <c r="Q62" s="732">
        <f>'Func Future Subs 2015'!Q62</f>
        <v>1</v>
      </c>
      <c r="R62" s="732">
        <f>'Func Future Subs 2015'!R62</f>
        <v>0</v>
      </c>
      <c r="S62" s="735">
        <f t="shared" si="2"/>
        <v>0</v>
      </c>
      <c r="T62" s="735">
        <f t="shared" si="3"/>
        <v>8302841.3202882819</v>
      </c>
      <c r="U62" s="735">
        <f t="shared" si="4"/>
        <v>0</v>
      </c>
      <c r="V62" s="736">
        <f t="shared" si="5"/>
        <v>0</v>
      </c>
      <c r="W62" s="735">
        <f t="shared" si="6"/>
        <v>0</v>
      </c>
      <c r="X62" s="737">
        <f t="shared" si="7"/>
        <v>0</v>
      </c>
      <c r="Y62" s="738">
        <f t="shared" si="8"/>
        <v>8302841.3202882819</v>
      </c>
    </row>
    <row r="63" spans="1:27">
      <c r="A63" s="754" t="str">
        <f>'Func Future Subs 2015'!A63</f>
        <v>Benalto 17S (GD - Johnson)</v>
      </c>
      <c r="B63" s="754">
        <f>'Func Future Subs 2015'!B63</f>
        <v>813</v>
      </c>
      <c r="C63" s="754">
        <f>'Func Future Subs 2015'!C63</f>
        <v>240</v>
      </c>
      <c r="D63" s="754">
        <f>'Func Future Subs 2015'!D63</f>
        <v>25</v>
      </c>
      <c r="E63" s="754" t="str">
        <f>'Func Future Subs 2015'!E63</f>
        <v>17S</v>
      </c>
      <c r="F63" s="754">
        <f>'Func Future Subs 2015'!F63</f>
        <v>134255.74682330378</v>
      </c>
      <c r="G63" s="754" t="str">
        <f>'Func Future Subs 2015'!G63</f>
        <v>AltaLink</v>
      </c>
      <c r="H63" s="754">
        <f>'Func Future Subs 2015'!H63</f>
        <v>2017</v>
      </c>
      <c r="I63" s="306">
        <f>+IF($H63=I$2,VLOOKUP($G63,Depreciation!$A$14:$L$18,7,FALSE)/2,IF($H63&lt;I$2,VLOOKUP($G63,Depreciation!$A$14:$L$18,7,FALSE),0))</f>
        <v>0</v>
      </c>
      <c r="J63" s="306">
        <f>+IF($H63=J$2,VLOOKUP($G63,Depreciation!$A$14:$L$18,8,FALSE)/2,IF($H63&lt;J$2,VLOOKUP($G63,Depreciation!$A$14:$L$18,8,FALSE),0))</f>
        <v>0</v>
      </c>
      <c r="K63" s="306">
        <f>+IF($H63=K$2,VLOOKUP($G63,Depreciation!$A$14:$L$18,9,FALSE)/2,IF($H63&lt;K$2,VLOOKUP($G63,Depreciation!$A$14:$L$18,9,FALSE),0))</f>
        <v>1.671703928371859E-2</v>
      </c>
      <c r="L63" s="306">
        <f>+IF($H63=L$2,VLOOKUP($G63,Depreciation!$A$14:$L$18,10,FALSE)/2,IF($H63&lt;L$2,VLOOKUP($G63,Depreciation!$A$14:$L$18,10,FALSE),0))</f>
        <v>3.343407856743718E-2</v>
      </c>
      <c r="M63" s="306">
        <f>+IF($H63=M$2,VLOOKUP($G63,Depreciation!$A$14:$L$18,11,FALSE)/2,IF($H63&lt;M$2,VLOOKUP($G63,Depreciation!$A$14:$L$18,11,FALSE),0))</f>
        <v>3.343407856743718E-2</v>
      </c>
      <c r="N63" s="306">
        <f>+IF($H63=N$2,VLOOKUP($G63,Depreciation!$A$14:$L$18,12,FALSE)/2,IF($H63&lt;N$2,VLOOKUP($G63,Depreciation!$A$14:$L$18,12,FALSE),0))</f>
        <v>3.343407856743718E-2</v>
      </c>
      <c r="O63" s="307">
        <f t="shared" si="1"/>
        <v>132011.38822959363</v>
      </c>
      <c r="P63" s="732">
        <f>'Func Future Subs 2015'!P63</f>
        <v>0</v>
      </c>
      <c r="Q63" s="732">
        <f>'Func Future Subs 2015'!Q63</f>
        <v>1</v>
      </c>
      <c r="R63" s="732">
        <f>'Func Future Subs 2015'!R63</f>
        <v>0</v>
      </c>
      <c r="S63" s="735">
        <f t="shared" si="2"/>
        <v>0</v>
      </c>
      <c r="T63" s="735">
        <f t="shared" si="3"/>
        <v>132011.38822959363</v>
      </c>
      <c r="U63" s="735">
        <f t="shared" si="4"/>
        <v>0</v>
      </c>
      <c r="V63" s="736">
        <f t="shared" si="5"/>
        <v>0</v>
      </c>
      <c r="W63" s="735">
        <f t="shared" si="6"/>
        <v>0</v>
      </c>
      <c r="X63" s="737">
        <f t="shared" si="7"/>
        <v>0</v>
      </c>
      <c r="Y63" s="738">
        <f t="shared" si="8"/>
        <v>132011.38822959363</v>
      </c>
    </row>
    <row r="64" spans="1:27">
      <c r="A64" s="754" t="str">
        <f>'Func Future Subs 2015'!A64</f>
        <v>Benalto 17S (GD Hazel)</v>
      </c>
      <c r="B64" s="754">
        <f>'Func Future Subs 2015'!B64</f>
        <v>813</v>
      </c>
      <c r="C64" s="754">
        <f>'Func Future Subs 2015'!C64</f>
        <v>240</v>
      </c>
      <c r="D64" s="754">
        <f>'Func Future Subs 2015'!D64</f>
        <v>25</v>
      </c>
      <c r="E64" s="754" t="str">
        <f>'Func Future Subs 2015'!E64</f>
        <v>17S</v>
      </c>
      <c r="F64" s="754">
        <f>'Func Future Subs 2015'!F64</f>
        <v>20654.730280508273</v>
      </c>
      <c r="G64" s="754" t="str">
        <f>'Func Future Subs 2015'!G64</f>
        <v>AltaLink</v>
      </c>
      <c r="H64" s="754">
        <f>'Func Future Subs 2015'!H64</f>
        <v>2017</v>
      </c>
      <c r="I64" s="306">
        <f>+IF($H64=I$2,VLOOKUP($G64,Depreciation!$A$14:$L$18,7,FALSE)/2,IF($H64&lt;I$2,VLOOKUP($G64,Depreciation!$A$14:$L$18,7,FALSE),0))</f>
        <v>0</v>
      </c>
      <c r="J64" s="306">
        <f>+IF($H64=J$2,VLOOKUP($G64,Depreciation!$A$14:$L$18,8,FALSE)/2,IF($H64&lt;J$2,VLOOKUP($G64,Depreciation!$A$14:$L$18,8,FALSE),0))</f>
        <v>0</v>
      </c>
      <c r="K64" s="306">
        <f>+IF($H64=K$2,VLOOKUP($G64,Depreciation!$A$14:$L$18,9,FALSE)/2,IF($H64&lt;K$2,VLOOKUP($G64,Depreciation!$A$14:$L$18,9,FALSE),0))</f>
        <v>1.671703928371859E-2</v>
      </c>
      <c r="L64" s="306">
        <f>+IF($H64=L$2,VLOOKUP($G64,Depreciation!$A$14:$L$18,10,FALSE)/2,IF($H64&lt;L$2,VLOOKUP($G64,Depreciation!$A$14:$L$18,10,FALSE),0))</f>
        <v>3.343407856743718E-2</v>
      </c>
      <c r="M64" s="306">
        <f>+IF($H64=M$2,VLOOKUP($G64,Depreciation!$A$14:$L$18,11,FALSE)/2,IF($H64&lt;M$2,VLOOKUP($G64,Depreciation!$A$14:$L$18,11,FALSE),0))</f>
        <v>3.343407856743718E-2</v>
      </c>
      <c r="N64" s="306">
        <f>+IF($H64=N$2,VLOOKUP($G64,Depreciation!$A$14:$L$18,12,FALSE)/2,IF($H64&lt;N$2,VLOOKUP($G64,Depreciation!$A$14:$L$18,12,FALSE),0))</f>
        <v>3.343407856743718E-2</v>
      </c>
      <c r="O64" s="307">
        <f t="shared" si="1"/>
        <v>20309.444343014406</v>
      </c>
      <c r="P64" s="732">
        <f>'Func Future Subs 2015'!P64</f>
        <v>0</v>
      </c>
      <c r="Q64" s="732">
        <f>'Func Future Subs 2015'!Q64</f>
        <v>1</v>
      </c>
      <c r="R64" s="732">
        <f>'Func Future Subs 2015'!R64</f>
        <v>0</v>
      </c>
      <c r="S64" s="735">
        <f t="shared" si="2"/>
        <v>0</v>
      </c>
      <c r="T64" s="735">
        <f t="shared" si="3"/>
        <v>20309.444343014406</v>
      </c>
      <c r="U64" s="735">
        <f t="shared" si="4"/>
        <v>0</v>
      </c>
      <c r="V64" s="736">
        <f t="shared" si="5"/>
        <v>0</v>
      </c>
      <c r="W64" s="735">
        <f t="shared" si="6"/>
        <v>0</v>
      </c>
      <c r="X64" s="737">
        <f t="shared" si="7"/>
        <v>0</v>
      </c>
      <c r="Y64" s="738">
        <f t="shared" si="8"/>
        <v>20309.444343014406</v>
      </c>
    </row>
    <row r="65" spans="1:25">
      <c r="A65" s="754" t="str">
        <f>'Func Future Subs 2015'!A65</f>
        <v>Benalto 17S (LR)</v>
      </c>
      <c r="B65" s="754">
        <f>'Func Future Subs 2015'!B65</f>
        <v>813</v>
      </c>
      <c r="C65" s="754">
        <f>'Func Future Subs 2015'!C65</f>
        <v>138</v>
      </c>
      <c r="D65" s="754">
        <f>'Func Future Subs 2015'!D65</f>
        <v>25</v>
      </c>
      <c r="E65" s="754" t="str">
        <f>'Func Future Subs 2015'!E65</f>
        <v>17S</v>
      </c>
      <c r="F65" s="754">
        <f>'Func Future Subs 2015'!F65</f>
        <v>655703.2937070569</v>
      </c>
      <c r="G65" s="754" t="str">
        <f>'Func Future Subs 2015'!G65</f>
        <v>AltaLink</v>
      </c>
      <c r="H65" s="754">
        <f>'Func Future Subs 2015'!H65</f>
        <v>2017</v>
      </c>
      <c r="I65" s="306">
        <f>+IF($H65=I$2,VLOOKUP($G65,Depreciation!$A$14:$L$18,7,FALSE)/2,IF($H65&lt;I$2,VLOOKUP($G65,Depreciation!$A$14:$L$18,7,FALSE),0))</f>
        <v>0</v>
      </c>
      <c r="J65" s="306">
        <f>+IF($H65=J$2,VLOOKUP($G65,Depreciation!$A$14:$L$18,8,FALSE)/2,IF($H65&lt;J$2,VLOOKUP($G65,Depreciation!$A$14:$L$18,8,FALSE),0))</f>
        <v>0</v>
      </c>
      <c r="K65" s="306">
        <f>+IF($H65=K$2,VLOOKUP($G65,Depreciation!$A$14:$L$18,9,FALSE)/2,IF($H65&lt;K$2,VLOOKUP($G65,Depreciation!$A$14:$L$18,9,FALSE),0))</f>
        <v>1.671703928371859E-2</v>
      </c>
      <c r="L65" s="306">
        <f>+IF($H65=L$2,VLOOKUP($G65,Depreciation!$A$14:$L$18,10,FALSE)/2,IF($H65&lt;L$2,VLOOKUP($G65,Depreciation!$A$14:$L$18,10,FALSE),0))</f>
        <v>3.343407856743718E-2</v>
      </c>
      <c r="M65" s="306">
        <f>+IF($H65=M$2,VLOOKUP($G65,Depreciation!$A$14:$L$18,11,FALSE)/2,IF($H65&lt;M$2,VLOOKUP($G65,Depreciation!$A$14:$L$18,11,FALSE),0))</f>
        <v>3.343407856743718E-2</v>
      </c>
      <c r="N65" s="306">
        <f>+IF($H65=N$2,VLOOKUP($G65,Depreciation!$A$14:$L$18,12,FALSE)/2,IF($H65&lt;N$2,VLOOKUP($G65,Depreciation!$A$14:$L$18,12,FALSE),0))</f>
        <v>3.343407856743718E-2</v>
      </c>
      <c r="O65" s="307">
        <f t="shared" si="1"/>
        <v>644741.87598769239</v>
      </c>
      <c r="P65" s="732">
        <f>'Func Future Subs 2015'!P65</f>
        <v>0</v>
      </c>
      <c r="Q65" s="732">
        <f>'Func Future Subs 2015'!Q65</f>
        <v>1</v>
      </c>
      <c r="R65" s="732">
        <f>'Func Future Subs 2015'!R65</f>
        <v>0</v>
      </c>
      <c r="S65" s="735">
        <f t="shared" si="2"/>
        <v>0</v>
      </c>
      <c r="T65" s="735">
        <f t="shared" si="3"/>
        <v>644741.87598769239</v>
      </c>
      <c r="U65" s="735">
        <f t="shared" si="4"/>
        <v>0</v>
      </c>
      <c r="V65" s="736">
        <f t="shared" si="5"/>
        <v>0</v>
      </c>
      <c r="W65" s="735">
        <f t="shared" si="6"/>
        <v>0</v>
      </c>
      <c r="X65" s="737">
        <f t="shared" si="7"/>
        <v>0</v>
      </c>
      <c r="Y65" s="738">
        <f t="shared" si="8"/>
        <v>644741.87598769239</v>
      </c>
    </row>
    <row r="66" spans="1:25">
      <c r="A66" s="754" t="str">
        <f>'Func Future Subs 2015'!A66</f>
        <v>Capacitor Bank at Joffre 535S</v>
      </c>
      <c r="B66" s="754">
        <f>'Func Future Subs 2015'!B66</f>
        <v>813</v>
      </c>
      <c r="C66" s="754">
        <f>'Func Future Subs 2015'!C66</f>
        <v>138</v>
      </c>
      <c r="D66" s="754">
        <f>'Func Future Subs 2015'!D66</f>
        <v>25</v>
      </c>
      <c r="E66" s="754" t="str">
        <f>'Func Future Subs 2015'!E66</f>
        <v>535S</v>
      </c>
      <c r="F66" s="754">
        <f>'Func Future Subs 2015'!F66</f>
        <v>2796588.4995215004</v>
      </c>
      <c r="G66" s="754" t="str">
        <f>'Func Future Subs 2015'!G66</f>
        <v>AltaLink</v>
      </c>
      <c r="H66" s="754">
        <f>'Func Future Subs 2015'!H66</f>
        <v>2017</v>
      </c>
      <c r="I66" s="306">
        <f>+IF($H66=I$2,VLOOKUP($G66,Depreciation!$A$14:$L$18,7,FALSE)/2,IF($H66&lt;I$2,VLOOKUP($G66,Depreciation!$A$14:$L$18,7,FALSE),0))</f>
        <v>0</v>
      </c>
      <c r="J66" s="306">
        <f>+IF($H66=J$2,VLOOKUP($G66,Depreciation!$A$14:$L$18,8,FALSE)/2,IF($H66&lt;J$2,VLOOKUP($G66,Depreciation!$A$14:$L$18,8,FALSE),0))</f>
        <v>0</v>
      </c>
      <c r="K66" s="306">
        <f>+IF($H66=K$2,VLOOKUP($G66,Depreciation!$A$14:$L$18,9,FALSE)/2,IF($H66&lt;K$2,VLOOKUP($G66,Depreciation!$A$14:$L$18,9,FALSE),0))</f>
        <v>1.671703928371859E-2</v>
      </c>
      <c r="L66" s="306">
        <f>+IF($H66=L$2,VLOOKUP($G66,Depreciation!$A$14:$L$18,10,FALSE)/2,IF($H66&lt;L$2,VLOOKUP($G66,Depreciation!$A$14:$L$18,10,FALSE),0))</f>
        <v>3.343407856743718E-2</v>
      </c>
      <c r="M66" s="306">
        <f>+IF($H66=M$2,VLOOKUP($G66,Depreciation!$A$14:$L$18,11,FALSE)/2,IF($H66&lt;M$2,VLOOKUP($G66,Depreciation!$A$14:$L$18,11,FALSE),0))</f>
        <v>3.343407856743718E-2</v>
      </c>
      <c r="N66" s="306">
        <f>+IF($H66=N$2,VLOOKUP($G66,Depreciation!$A$14:$L$18,12,FALSE)/2,IF($H66&lt;N$2,VLOOKUP($G66,Depreciation!$A$14:$L$18,12,FALSE),0))</f>
        <v>3.343407856743718E-2</v>
      </c>
      <c r="O66" s="307">
        <f t="shared" si="1"/>
        <v>2749837.8197146039</v>
      </c>
      <c r="P66" s="732">
        <f>'Func Future Subs 2015'!P66</f>
        <v>0.7403207006269098</v>
      </c>
      <c r="Q66" s="732">
        <f>'Func Future Subs 2015'!Q66</f>
        <v>0.25967929937309009</v>
      </c>
      <c r="R66" s="732">
        <f>'Func Future Subs 2015'!R66</f>
        <v>0</v>
      </c>
      <c r="S66" s="735">
        <f t="shared" si="2"/>
        <v>2035761.8613014896</v>
      </c>
      <c r="T66" s="735">
        <f t="shared" si="3"/>
        <v>714075.95841311396</v>
      </c>
      <c r="U66" s="735">
        <f t="shared" si="4"/>
        <v>0</v>
      </c>
      <c r="V66" s="736">
        <f t="shared" si="5"/>
        <v>0</v>
      </c>
      <c r="W66" s="735">
        <f t="shared" si="6"/>
        <v>2035761.8613014896</v>
      </c>
      <c r="X66" s="737">
        <f t="shared" si="7"/>
        <v>0</v>
      </c>
      <c r="Y66" s="738">
        <f t="shared" si="8"/>
        <v>714075.95841311396</v>
      </c>
    </row>
    <row r="67" spans="1:25">
      <c r="A67" s="754" t="str">
        <f>'Func Future Subs 2015'!A67</f>
        <v>Capacitor Bank at Joffre 535S (dev12)</v>
      </c>
      <c r="B67" s="754">
        <f>'Func Future Subs 2015'!B67</f>
        <v>813</v>
      </c>
      <c r="C67" s="754">
        <f>'Func Future Subs 2015'!C67</f>
        <v>138</v>
      </c>
      <c r="D67" s="754">
        <f>'Func Future Subs 2015'!D67</f>
        <v>25</v>
      </c>
      <c r="E67" s="754" t="str">
        <f>'Func Future Subs 2015'!E67</f>
        <v>535S</v>
      </c>
      <c r="F67" s="754">
        <f>'Func Future Subs 2015'!F67</f>
        <v>323419.86019997793</v>
      </c>
      <c r="G67" s="754" t="str">
        <f>'Func Future Subs 2015'!G67</f>
        <v>AltaLink</v>
      </c>
      <c r="H67" s="754">
        <f>'Func Future Subs 2015'!H67</f>
        <v>2017</v>
      </c>
      <c r="I67" s="306">
        <f>+IF($H67=I$2,VLOOKUP($G67,Depreciation!$A$14:$L$18,7,FALSE)/2,IF($H67&lt;I$2,VLOOKUP($G67,Depreciation!$A$14:$L$18,7,FALSE),0))</f>
        <v>0</v>
      </c>
      <c r="J67" s="306">
        <f>+IF($H67=J$2,VLOOKUP($G67,Depreciation!$A$14:$L$18,8,FALSE)/2,IF($H67&lt;J$2,VLOOKUP($G67,Depreciation!$A$14:$L$18,8,FALSE),0))</f>
        <v>0</v>
      </c>
      <c r="K67" s="306">
        <f>+IF($H67=K$2,VLOOKUP($G67,Depreciation!$A$14:$L$18,9,FALSE)/2,IF($H67&lt;K$2,VLOOKUP($G67,Depreciation!$A$14:$L$18,9,FALSE),0))</f>
        <v>1.671703928371859E-2</v>
      </c>
      <c r="L67" s="306">
        <f>+IF($H67=L$2,VLOOKUP($G67,Depreciation!$A$14:$L$18,10,FALSE)/2,IF($H67&lt;L$2,VLOOKUP($G67,Depreciation!$A$14:$L$18,10,FALSE),0))</f>
        <v>3.343407856743718E-2</v>
      </c>
      <c r="M67" s="306">
        <f>+IF($H67=M$2,VLOOKUP($G67,Depreciation!$A$14:$L$18,11,FALSE)/2,IF($H67&lt;M$2,VLOOKUP($G67,Depreciation!$A$14:$L$18,11,FALSE),0))</f>
        <v>3.343407856743718E-2</v>
      </c>
      <c r="N67" s="306">
        <f>+IF($H67=N$2,VLOOKUP($G67,Depreciation!$A$14:$L$18,12,FALSE)/2,IF($H67&lt;N$2,VLOOKUP($G67,Depreciation!$A$14:$L$18,12,FALSE),0))</f>
        <v>3.343407856743718E-2</v>
      </c>
      <c r="O67" s="307">
        <f t="shared" si="1"/>
        <v>318013.23769188015</v>
      </c>
      <c r="P67" s="732">
        <f>'Func Future Subs 2015'!P67</f>
        <v>0.7403207006269098</v>
      </c>
      <c r="Q67" s="732">
        <f>'Func Future Subs 2015'!Q67</f>
        <v>0.25967929937309009</v>
      </c>
      <c r="R67" s="732">
        <f>'Func Future Subs 2015'!R67</f>
        <v>0</v>
      </c>
      <c r="S67" s="735">
        <f t="shared" si="2"/>
        <v>235431.7829366847</v>
      </c>
      <c r="T67" s="735">
        <f t="shared" si="3"/>
        <v>82581.454755195402</v>
      </c>
      <c r="U67" s="735">
        <f t="shared" si="4"/>
        <v>0</v>
      </c>
      <c r="V67" s="736">
        <f t="shared" si="5"/>
        <v>0</v>
      </c>
      <c r="W67" s="735">
        <f t="shared" si="6"/>
        <v>235431.7829366847</v>
      </c>
      <c r="X67" s="737">
        <f t="shared" si="7"/>
        <v>0</v>
      </c>
      <c r="Y67" s="738">
        <f t="shared" si="8"/>
        <v>82581.454755195402</v>
      </c>
    </row>
    <row r="68" spans="1:25">
      <c r="A68" s="754" t="str">
        <f>'Func Future Subs 2015'!A68</f>
        <v>Development at Beddington 162S</v>
      </c>
      <c r="B68" s="754">
        <f>'Func Future Subs 2015'!B68</f>
        <v>813</v>
      </c>
      <c r="C68" s="754">
        <f>'Func Future Subs 2015'!C68</f>
        <v>240</v>
      </c>
      <c r="D68" s="754">
        <f>'Func Future Subs 2015'!D68</f>
        <v>25</v>
      </c>
      <c r="E68" s="754" t="str">
        <f>'Func Future Subs 2015'!E68</f>
        <v>162S</v>
      </c>
      <c r="F68" s="754">
        <f>'Func Future Subs 2015'!F68</f>
        <v>36791.145939886468</v>
      </c>
      <c r="G68" s="754" t="str">
        <f>'Func Future Subs 2015'!G68</f>
        <v>AltaLink</v>
      </c>
      <c r="H68" s="754">
        <f>'Func Future Subs 2015'!H68</f>
        <v>2017</v>
      </c>
      <c r="I68" s="306">
        <f>+IF($H68=I$2,VLOOKUP($G68,Depreciation!$A$14:$L$18,7,FALSE)/2,IF($H68&lt;I$2,VLOOKUP($G68,Depreciation!$A$14:$L$18,7,FALSE),0))</f>
        <v>0</v>
      </c>
      <c r="J68" s="306">
        <f>+IF($H68=J$2,VLOOKUP($G68,Depreciation!$A$14:$L$18,8,FALSE)/2,IF($H68&lt;J$2,VLOOKUP($G68,Depreciation!$A$14:$L$18,8,FALSE),0))</f>
        <v>0</v>
      </c>
      <c r="K68" s="306">
        <f>+IF($H68=K$2,VLOOKUP($G68,Depreciation!$A$14:$L$18,9,FALSE)/2,IF($H68&lt;K$2,VLOOKUP($G68,Depreciation!$A$14:$L$18,9,FALSE),0))</f>
        <v>1.671703928371859E-2</v>
      </c>
      <c r="L68" s="306">
        <f>+IF($H68=L$2,VLOOKUP($G68,Depreciation!$A$14:$L$18,10,FALSE)/2,IF($H68&lt;L$2,VLOOKUP($G68,Depreciation!$A$14:$L$18,10,FALSE),0))</f>
        <v>3.343407856743718E-2</v>
      </c>
      <c r="M68" s="306">
        <f>+IF($H68=M$2,VLOOKUP($G68,Depreciation!$A$14:$L$18,11,FALSE)/2,IF($H68&lt;M$2,VLOOKUP($G68,Depreciation!$A$14:$L$18,11,FALSE),0))</f>
        <v>3.343407856743718E-2</v>
      </c>
      <c r="N68" s="306">
        <f>+IF($H68=N$2,VLOOKUP($G68,Depreciation!$A$14:$L$18,12,FALSE)/2,IF($H68&lt;N$2,VLOOKUP($G68,Depreciation!$A$14:$L$18,12,FALSE),0))</f>
        <v>3.343407856743718E-2</v>
      </c>
      <c r="O68" s="307">
        <f t="shared" ref="O68:O131" si="9">IF(H68&lt;=2017,F68*(1-I68)*(1-J68)*(1-K68),0)</f>
        <v>36176.106907916364</v>
      </c>
      <c r="P68" s="732">
        <f>'Func Future Subs 2015'!P68</f>
        <v>0.9116809116809117</v>
      </c>
      <c r="Q68" s="732">
        <f>'Func Future Subs 2015'!Q68</f>
        <v>8.8319088319088315E-2</v>
      </c>
      <c r="R68" s="732">
        <f>'Func Future Subs 2015'!R68</f>
        <v>0</v>
      </c>
      <c r="S68" s="735">
        <f t="shared" ref="S68:S131" si="10">+P68*$O68</f>
        <v>32981.066126875317</v>
      </c>
      <c r="T68" s="735">
        <f t="shared" ref="T68:T131" si="11">+Q68*$O68</f>
        <v>3195.0407810410461</v>
      </c>
      <c r="U68" s="735">
        <f t="shared" ref="U68:U131" si="12">+R68*$O68</f>
        <v>0</v>
      </c>
      <c r="V68" s="736">
        <f t="shared" ref="V68:V131" si="13">IF(AND(R68=1,D68=0),O68,0)</f>
        <v>0</v>
      </c>
      <c r="W68" s="735">
        <f t="shared" ref="W68:W131" si="14">S68+IF(D68&gt;144,U68,0)</f>
        <v>32981.066126875317</v>
      </c>
      <c r="X68" s="737">
        <f t="shared" ref="X68:X131" si="15">IF(AND(D68&lt;=144,D68&gt;=69),U68,0)</f>
        <v>0</v>
      </c>
      <c r="Y68" s="738">
        <f t="shared" ref="Y68:Y131" si="16">T68+IF(AND(D68&lt;69,D68&gt;0),U68,0)</f>
        <v>3195.0407810410461</v>
      </c>
    </row>
    <row r="69" spans="1:25">
      <c r="A69" s="754" t="str">
        <f>'Func Future Subs 2015'!A69</f>
        <v>Development at Benalto 17S</v>
      </c>
      <c r="B69" s="754">
        <f>'Func Future Subs 2015'!B69</f>
        <v>813</v>
      </c>
      <c r="C69" s="754">
        <f>'Func Future Subs 2015'!C69</f>
        <v>240</v>
      </c>
      <c r="D69" s="754">
        <f>'Func Future Subs 2015'!D69</f>
        <v>25</v>
      </c>
      <c r="E69" s="754" t="str">
        <f>'Func Future Subs 2015'!E69</f>
        <v>17S</v>
      </c>
      <c r="F69" s="754">
        <f>'Func Future Subs 2015'!F69</f>
        <v>5892088.7617147239</v>
      </c>
      <c r="G69" s="754" t="str">
        <f>'Func Future Subs 2015'!G69</f>
        <v>AltaLink</v>
      </c>
      <c r="H69" s="754">
        <f>'Func Future Subs 2015'!H69</f>
        <v>2017</v>
      </c>
      <c r="I69" s="306">
        <f>+IF($H69=I$2,VLOOKUP($G69,Depreciation!$A$14:$L$18,7,FALSE)/2,IF($H69&lt;I$2,VLOOKUP($G69,Depreciation!$A$14:$L$18,7,FALSE),0))</f>
        <v>0</v>
      </c>
      <c r="J69" s="306">
        <f>+IF($H69=J$2,VLOOKUP($G69,Depreciation!$A$14:$L$18,8,FALSE)/2,IF($H69&lt;J$2,VLOOKUP($G69,Depreciation!$A$14:$L$18,8,FALSE),0))</f>
        <v>0</v>
      </c>
      <c r="K69" s="306">
        <f>+IF($H69=K$2,VLOOKUP($G69,Depreciation!$A$14:$L$18,9,FALSE)/2,IF($H69&lt;K$2,VLOOKUP($G69,Depreciation!$A$14:$L$18,9,FALSE),0))</f>
        <v>1.671703928371859E-2</v>
      </c>
      <c r="L69" s="306">
        <f>+IF($H69=L$2,VLOOKUP($G69,Depreciation!$A$14:$L$18,10,FALSE)/2,IF($H69&lt;L$2,VLOOKUP($G69,Depreciation!$A$14:$L$18,10,FALSE),0))</f>
        <v>3.343407856743718E-2</v>
      </c>
      <c r="M69" s="306">
        <f>+IF($H69=M$2,VLOOKUP($G69,Depreciation!$A$14:$L$18,11,FALSE)/2,IF($H69&lt;M$2,VLOOKUP($G69,Depreciation!$A$14:$L$18,11,FALSE),0))</f>
        <v>3.343407856743718E-2</v>
      </c>
      <c r="N69" s="306">
        <f>+IF($H69=N$2,VLOOKUP($G69,Depreciation!$A$14:$L$18,12,FALSE)/2,IF($H69&lt;N$2,VLOOKUP($G69,Depreciation!$A$14:$L$18,12,FALSE),0))</f>
        <v>3.343407856743718E-2</v>
      </c>
      <c r="O69" s="307">
        <f t="shared" si="9"/>
        <v>5793590.4824219821</v>
      </c>
      <c r="P69" s="732">
        <f>'Func Future Subs 2015'!P69</f>
        <v>0</v>
      </c>
      <c r="Q69" s="732">
        <f>'Func Future Subs 2015'!Q69</f>
        <v>1</v>
      </c>
      <c r="R69" s="732">
        <f>'Func Future Subs 2015'!R69</f>
        <v>0</v>
      </c>
      <c r="S69" s="735">
        <f t="shared" si="10"/>
        <v>0</v>
      </c>
      <c r="T69" s="735">
        <f t="shared" si="11"/>
        <v>5793590.4824219821</v>
      </c>
      <c r="U69" s="735">
        <f t="shared" si="12"/>
        <v>0</v>
      </c>
      <c r="V69" s="736">
        <f t="shared" si="13"/>
        <v>0</v>
      </c>
      <c r="W69" s="735">
        <f t="shared" si="14"/>
        <v>0</v>
      </c>
      <c r="X69" s="737">
        <f t="shared" si="15"/>
        <v>0</v>
      </c>
      <c r="Y69" s="738">
        <f t="shared" si="16"/>
        <v>5793590.4824219821</v>
      </c>
    </row>
    <row r="70" spans="1:25">
      <c r="A70" s="754" t="str">
        <f>'Func Future Subs 2015'!A70</f>
        <v>Development at Benalto 17S (dev2)</v>
      </c>
      <c r="B70" s="754">
        <f>'Func Future Subs 2015'!B70</f>
        <v>813</v>
      </c>
      <c r="C70" s="754">
        <f>'Func Future Subs 2015'!C70</f>
        <v>240</v>
      </c>
      <c r="D70" s="754">
        <f>'Func Future Subs 2015'!D70</f>
        <v>25</v>
      </c>
      <c r="E70" s="754" t="str">
        <f>'Func Future Subs 2015'!E70</f>
        <v>17S</v>
      </c>
      <c r="F70" s="754">
        <f>'Func Future Subs 2015'!F70</f>
        <v>36791.145939886468</v>
      </c>
      <c r="G70" s="754" t="str">
        <f>'Func Future Subs 2015'!G70</f>
        <v>AltaLink</v>
      </c>
      <c r="H70" s="754">
        <f>'Func Future Subs 2015'!H70</f>
        <v>2017</v>
      </c>
      <c r="I70" s="306">
        <f>+IF($H70=I$2,VLOOKUP($G70,Depreciation!$A$14:$L$18,7,FALSE)/2,IF($H70&lt;I$2,VLOOKUP($G70,Depreciation!$A$14:$L$18,7,FALSE),0))</f>
        <v>0</v>
      </c>
      <c r="J70" s="306">
        <f>+IF($H70=J$2,VLOOKUP($G70,Depreciation!$A$14:$L$18,8,FALSE)/2,IF($H70&lt;J$2,VLOOKUP($G70,Depreciation!$A$14:$L$18,8,FALSE),0))</f>
        <v>0</v>
      </c>
      <c r="K70" s="306">
        <f>+IF($H70=K$2,VLOOKUP($G70,Depreciation!$A$14:$L$18,9,FALSE)/2,IF($H70&lt;K$2,VLOOKUP($G70,Depreciation!$A$14:$L$18,9,FALSE),0))</f>
        <v>1.671703928371859E-2</v>
      </c>
      <c r="L70" s="306">
        <f>+IF($H70=L$2,VLOOKUP($G70,Depreciation!$A$14:$L$18,10,FALSE)/2,IF($H70&lt;L$2,VLOOKUP($G70,Depreciation!$A$14:$L$18,10,FALSE),0))</f>
        <v>3.343407856743718E-2</v>
      </c>
      <c r="M70" s="306">
        <f>+IF($H70=M$2,VLOOKUP($G70,Depreciation!$A$14:$L$18,11,FALSE)/2,IF($H70&lt;M$2,VLOOKUP($G70,Depreciation!$A$14:$L$18,11,FALSE),0))</f>
        <v>3.343407856743718E-2</v>
      </c>
      <c r="N70" s="306">
        <f>+IF($H70=N$2,VLOOKUP($G70,Depreciation!$A$14:$L$18,12,FALSE)/2,IF($H70&lt;N$2,VLOOKUP($G70,Depreciation!$A$14:$L$18,12,FALSE),0))</f>
        <v>3.343407856743718E-2</v>
      </c>
      <c r="O70" s="307">
        <f t="shared" si="9"/>
        <v>36176.106907916364</v>
      </c>
      <c r="P70" s="732">
        <f>'Func Future Subs 2015'!P70</f>
        <v>0</v>
      </c>
      <c r="Q70" s="732">
        <f>'Func Future Subs 2015'!Q70</f>
        <v>1</v>
      </c>
      <c r="R70" s="732">
        <f>'Func Future Subs 2015'!R70</f>
        <v>0</v>
      </c>
      <c r="S70" s="735">
        <f t="shared" si="10"/>
        <v>0</v>
      </c>
      <c r="T70" s="735">
        <f t="shared" si="11"/>
        <v>36176.106907916364</v>
      </c>
      <c r="U70" s="735">
        <f t="shared" si="12"/>
        <v>0</v>
      </c>
      <c r="V70" s="736">
        <f t="shared" si="13"/>
        <v>0</v>
      </c>
      <c r="W70" s="735">
        <f t="shared" si="14"/>
        <v>0</v>
      </c>
      <c r="X70" s="737">
        <f t="shared" si="15"/>
        <v>0</v>
      </c>
      <c r="Y70" s="738">
        <f t="shared" si="16"/>
        <v>36176.106907916364</v>
      </c>
    </row>
    <row r="71" spans="1:25">
      <c r="A71" s="754" t="str">
        <f>'Func Future Subs 2015'!A71</f>
        <v>Development at Benalto 17S (dev21)</v>
      </c>
      <c r="B71" s="754">
        <f>'Func Future Subs 2015'!B71</f>
        <v>813</v>
      </c>
      <c r="C71" s="754">
        <f>'Func Future Subs 2015'!C71</f>
        <v>240</v>
      </c>
      <c r="D71" s="754">
        <f>'Func Future Subs 2015'!D71</f>
        <v>25</v>
      </c>
      <c r="E71" s="754" t="str">
        <f>'Func Future Subs 2015'!E71</f>
        <v>17S</v>
      </c>
      <c r="F71" s="754">
        <f>'Func Future Subs 2015'!F71</f>
        <v>350767.67769415543</v>
      </c>
      <c r="G71" s="754" t="str">
        <f>'Func Future Subs 2015'!G71</f>
        <v>AltaLink</v>
      </c>
      <c r="H71" s="754">
        <f>'Func Future Subs 2015'!H71</f>
        <v>2017</v>
      </c>
      <c r="I71" s="306">
        <f>+IF($H71=I$2,VLOOKUP($G71,Depreciation!$A$14:$L$18,7,FALSE)/2,IF($H71&lt;I$2,VLOOKUP($G71,Depreciation!$A$14:$L$18,7,FALSE),0))</f>
        <v>0</v>
      </c>
      <c r="J71" s="306">
        <f>+IF($H71=J$2,VLOOKUP($G71,Depreciation!$A$14:$L$18,8,FALSE)/2,IF($H71&lt;J$2,VLOOKUP($G71,Depreciation!$A$14:$L$18,8,FALSE),0))</f>
        <v>0</v>
      </c>
      <c r="K71" s="306">
        <f>+IF($H71=K$2,VLOOKUP($G71,Depreciation!$A$14:$L$18,9,FALSE)/2,IF($H71&lt;K$2,VLOOKUP($G71,Depreciation!$A$14:$L$18,9,FALSE),0))</f>
        <v>1.671703928371859E-2</v>
      </c>
      <c r="L71" s="306">
        <f>+IF($H71=L$2,VLOOKUP($G71,Depreciation!$A$14:$L$18,10,FALSE)/2,IF($H71&lt;L$2,VLOOKUP($G71,Depreciation!$A$14:$L$18,10,FALSE),0))</f>
        <v>3.343407856743718E-2</v>
      </c>
      <c r="M71" s="306">
        <f>+IF($H71=M$2,VLOOKUP($G71,Depreciation!$A$14:$L$18,11,FALSE)/2,IF($H71&lt;M$2,VLOOKUP($G71,Depreciation!$A$14:$L$18,11,FALSE),0))</f>
        <v>3.343407856743718E-2</v>
      </c>
      <c r="N71" s="306">
        <f>+IF($H71=N$2,VLOOKUP($G71,Depreciation!$A$14:$L$18,12,FALSE)/2,IF($H71&lt;N$2,VLOOKUP($G71,Depreciation!$A$14:$L$18,12,FALSE),0))</f>
        <v>3.343407856743718E-2</v>
      </c>
      <c r="O71" s="307">
        <f t="shared" si="9"/>
        <v>344903.88064668351</v>
      </c>
      <c r="P71" s="732">
        <f>'Func Future Subs 2015'!P71</f>
        <v>0</v>
      </c>
      <c r="Q71" s="732">
        <f>'Func Future Subs 2015'!Q71</f>
        <v>1</v>
      </c>
      <c r="R71" s="732">
        <f>'Func Future Subs 2015'!R71</f>
        <v>0</v>
      </c>
      <c r="S71" s="735">
        <f t="shared" si="10"/>
        <v>0</v>
      </c>
      <c r="T71" s="735">
        <f t="shared" si="11"/>
        <v>344903.88064668351</v>
      </c>
      <c r="U71" s="735">
        <f t="shared" si="12"/>
        <v>0</v>
      </c>
      <c r="V71" s="736">
        <f t="shared" si="13"/>
        <v>0</v>
      </c>
      <c r="W71" s="735">
        <f t="shared" si="14"/>
        <v>0</v>
      </c>
      <c r="X71" s="737">
        <f t="shared" si="15"/>
        <v>0</v>
      </c>
      <c r="Y71" s="738">
        <f t="shared" si="16"/>
        <v>344903.88064668351</v>
      </c>
    </row>
    <row r="72" spans="1:25">
      <c r="A72" s="754" t="str">
        <f>'Func Future Subs 2015'!A72</f>
        <v>Development at Didsbury 152S</v>
      </c>
      <c r="B72" s="754">
        <f>'Func Future Subs 2015'!B72</f>
        <v>813</v>
      </c>
      <c r="C72" s="754">
        <f>'Func Future Subs 2015'!C72</f>
        <v>240</v>
      </c>
      <c r="D72" s="754">
        <f>'Func Future Subs 2015'!D72</f>
        <v>0</v>
      </c>
      <c r="E72" s="754" t="str">
        <f>'Func Future Subs 2015'!E72</f>
        <v>152S</v>
      </c>
      <c r="F72" s="754">
        <f>'Func Future Subs 2015'!F72</f>
        <v>447651.4772203879</v>
      </c>
      <c r="G72" s="754" t="str">
        <f>'Func Future Subs 2015'!G72</f>
        <v>AltaLink</v>
      </c>
      <c r="H72" s="754">
        <f>'Func Future Subs 2015'!H72</f>
        <v>2017</v>
      </c>
      <c r="I72" s="306">
        <f>+IF($H72=I$2,VLOOKUP($G72,Depreciation!$A$14:$L$18,7,FALSE)/2,IF($H72&lt;I$2,VLOOKUP($G72,Depreciation!$A$14:$L$18,7,FALSE),0))</f>
        <v>0</v>
      </c>
      <c r="J72" s="306">
        <f>+IF($H72=J$2,VLOOKUP($G72,Depreciation!$A$14:$L$18,8,FALSE)/2,IF($H72&lt;J$2,VLOOKUP($G72,Depreciation!$A$14:$L$18,8,FALSE),0))</f>
        <v>0</v>
      </c>
      <c r="K72" s="306">
        <f>+IF($H72=K$2,VLOOKUP($G72,Depreciation!$A$14:$L$18,9,FALSE)/2,IF($H72&lt;K$2,VLOOKUP($G72,Depreciation!$A$14:$L$18,9,FALSE),0))</f>
        <v>1.671703928371859E-2</v>
      </c>
      <c r="L72" s="306">
        <f>+IF($H72=L$2,VLOOKUP($G72,Depreciation!$A$14:$L$18,10,FALSE)/2,IF($H72&lt;L$2,VLOOKUP($G72,Depreciation!$A$14:$L$18,10,FALSE),0))</f>
        <v>3.343407856743718E-2</v>
      </c>
      <c r="M72" s="306">
        <f>+IF($H72=M$2,VLOOKUP($G72,Depreciation!$A$14:$L$18,11,FALSE)/2,IF($H72&lt;M$2,VLOOKUP($G72,Depreciation!$A$14:$L$18,11,FALSE),0))</f>
        <v>3.343407856743718E-2</v>
      </c>
      <c r="N72" s="306">
        <f>+IF($H72=N$2,VLOOKUP($G72,Depreciation!$A$14:$L$18,12,FALSE)/2,IF($H72&lt;N$2,VLOOKUP($G72,Depreciation!$A$14:$L$18,12,FALSE),0))</f>
        <v>3.343407856743718E-2</v>
      </c>
      <c r="O72" s="307">
        <f t="shared" si="9"/>
        <v>440168.06989028002</v>
      </c>
      <c r="P72" s="732">
        <f>'Func Future Subs 2015'!P72</f>
        <v>0</v>
      </c>
      <c r="Q72" s="732">
        <f>'Func Future Subs 2015'!Q72</f>
        <v>0</v>
      </c>
      <c r="R72" s="732">
        <f>'Func Future Subs 2015'!R72</f>
        <v>1</v>
      </c>
      <c r="S72" s="735">
        <f t="shared" si="10"/>
        <v>0</v>
      </c>
      <c r="T72" s="735">
        <f t="shared" si="11"/>
        <v>0</v>
      </c>
      <c r="U72" s="735">
        <f t="shared" si="12"/>
        <v>440168.06989028002</v>
      </c>
      <c r="V72" s="736">
        <f t="shared" si="13"/>
        <v>440168.06989028002</v>
      </c>
      <c r="W72" s="735">
        <f t="shared" si="14"/>
        <v>0</v>
      </c>
      <c r="X72" s="737">
        <f t="shared" si="15"/>
        <v>0</v>
      </c>
      <c r="Y72" s="738">
        <f t="shared" si="16"/>
        <v>0</v>
      </c>
    </row>
    <row r="73" spans="1:25">
      <c r="A73" s="754" t="str">
        <f>'Func Future Subs 2015'!A73</f>
        <v>Development at Ellis 332S</v>
      </c>
      <c r="B73" s="754">
        <f>'Func Future Subs 2015'!B73</f>
        <v>813</v>
      </c>
      <c r="C73" s="754">
        <f>'Func Future Subs 2015'!C73</f>
        <v>138</v>
      </c>
      <c r="D73" s="754">
        <f>'Func Future Subs 2015'!D73</f>
        <v>25</v>
      </c>
      <c r="E73" s="754" t="str">
        <f>'Func Future Subs 2015'!E73</f>
        <v>332S</v>
      </c>
      <c r="F73" s="754">
        <f>'Func Future Subs 2015'!F73</f>
        <v>3030739.6252496969</v>
      </c>
      <c r="G73" s="754" t="str">
        <f>'Func Future Subs 2015'!G73</f>
        <v>AltaLink</v>
      </c>
      <c r="H73" s="754">
        <f>'Func Future Subs 2015'!H73</f>
        <v>2017</v>
      </c>
      <c r="I73" s="306">
        <f>+IF($H73=I$2,VLOOKUP($G73,Depreciation!$A$14:$L$18,7,FALSE)/2,IF($H73&lt;I$2,VLOOKUP($G73,Depreciation!$A$14:$L$18,7,FALSE),0))</f>
        <v>0</v>
      </c>
      <c r="J73" s="306">
        <f>+IF($H73=J$2,VLOOKUP($G73,Depreciation!$A$14:$L$18,8,FALSE)/2,IF($H73&lt;J$2,VLOOKUP($G73,Depreciation!$A$14:$L$18,8,FALSE),0))</f>
        <v>0</v>
      </c>
      <c r="K73" s="306">
        <f>+IF($H73=K$2,VLOOKUP($G73,Depreciation!$A$14:$L$18,9,FALSE)/2,IF($H73&lt;K$2,VLOOKUP($G73,Depreciation!$A$14:$L$18,9,FALSE),0))</f>
        <v>1.671703928371859E-2</v>
      </c>
      <c r="L73" s="306">
        <f>+IF($H73=L$2,VLOOKUP($G73,Depreciation!$A$14:$L$18,10,FALSE)/2,IF($H73&lt;L$2,VLOOKUP($G73,Depreciation!$A$14:$L$18,10,FALSE),0))</f>
        <v>3.343407856743718E-2</v>
      </c>
      <c r="M73" s="306">
        <f>+IF($H73=M$2,VLOOKUP($G73,Depreciation!$A$14:$L$18,11,FALSE)/2,IF($H73&lt;M$2,VLOOKUP($G73,Depreciation!$A$14:$L$18,11,FALSE),0))</f>
        <v>3.343407856743718E-2</v>
      </c>
      <c r="N73" s="306">
        <f>+IF($H73=N$2,VLOOKUP($G73,Depreciation!$A$14:$L$18,12,FALSE)/2,IF($H73&lt;N$2,VLOOKUP($G73,Depreciation!$A$14:$L$18,12,FALSE),0))</f>
        <v>3.343407856743718E-2</v>
      </c>
      <c r="O73" s="307">
        <f t="shared" si="9"/>
        <v>2980074.6318756752</v>
      </c>
      <c r="P73" s="732">
        <f>'Func Future Subs 2015'!P73</f>
        <v>0</v>
      </c>
      <c r="Q73" s="732">
        <f>'Func Future Subs 2015'!Q73</f>
        <v>1</v>
      </c>
      <c r="R73" s="732">
        <f>'Func Future Subs 2015'!R73</f>
        <v>0</v>
      </c>
      <c r="S73" s="735">
        <f t="shared" si="10"/>
        <v>0</v>
      </c>
      <c r="T73" s="735">
        <f t="shared" si="11"/>
        <v>2980074.6318756752</v>
      </c>
      <c r="U73" s="735">
        <f t="shared" si="12"/>
        <v>0</v>
      </c>
      <c r="V73" s="736">
        <f t="shared" si="13"/>
        <v>0</v>
      </c>
      <c r="W73" s="735">
        <f t="shared" si="14"/>
        <v>0</v>
      </c>
      <c r="X73" s="737">
        <f t="shared" si="15"/>
        <v>0</v>
      </c>
      <c r="Y73" s="738">
        <f t="shared" si="16"/>
        <v>2980074.6318756752</v>
      </c>
    </row>
    <row r="74" spans="1:25">
      <c r="A74" s="754" t="str">
        <f>'Func Future Subs 2015'!A74</f>
        <v>Development at Ellis 332S (dev3)</v>
      </c>
      <c r="B74" s="754">
        <f>'Func Future Subs 2015'!B74</f>
        <v>813</v>
      </c>
      <c r="C74" s="754">
        <f>'Func Future Subs 2015'!C74</f>
        <v>138</v>
      </c>
      <c r="D74" s="754">
        <f>'Func Future Subs 2015'!D74</f>
        <v>25</v>
      </c>
      <c r="E74" s="754" t="str">
        <f>'Func Future Subs 2015'!E74</f>
        <v>332S</v>
      </c>
      <c r="F74" s="754">
        <f>'Func Future Subs 2015'!F74</f>
        <v>2498374.023488957</v>
      </c>
      <c r="G74" s="754" t="str">
        <f>'Func Future Subs 2015'!G74</f>
        <v>AltaLink</v>
      </c>
      <c r="H74" s="754">
        <f>'Func Future Subs 2015'!H74</f>
        <v>2017</v>
      </c>
      <c r="I74" s="306">
        <f>+IF($H74=I$2,VLOOKUP($G74,Depreciation!$A$14:$L$18,7,FALSE)/2,IF($H74&lt;I$2,VLOOKUP($G74,Depreciation!$A$14:$L$18,7,FALSE),0))</f>
        <v>0</v>
      </c>
      <c r="J74" s="306">
        <f>+IF($H74=J$2,VLOOKUP($G74,Depreciation!$A$14:$L$18,8,FALSE)/2,IF($H74&lt;J$2,VLOOKUP($G74,Depreciation!$A$14:$L$18,8,FALSE),0))</f>
        <v>0</v>
      </c>
      <c r="K74" s="306">
        <f>+IF($H74=K$2,VLOOKUP($G74,Depreciation!$A$14:$L$18,9,FALSE)/2,IF($H74&lt;K$2,VLOOKUP($G74,Depreciation!$A$14:$L$18,9,FALSE),0))</f>
        <v>1.671703928371859E-2</v>
      </c>
      <c r="L74" s="306">
        <f>+IF($H74=L$2,VLOOKUP($G74,Depreciation!$A$14:$L$18,10,FALSE)/2,IF($H74&lt;L$2,VLOOKUP($G74,Depreciation!$A$14:$L$18,10,FALSE),0))</f>
        <v>3.343407856743718E-2</v>
      </c>
      <c r="M74" s="306">
        <f>+IF($H74=M$2,VLOOKUP($G74,Depreciation!$A$14:$L$18,11,FALSE)/2,IF($H74&lt;M$2,VLOOKUP($G74,Depreciation!$A$14:$L$18,11,FALSE),0))</f>
        <v>3.343407856743718E-2</v>
      </c>
      <c r="N74" s="306">
        <f>+IF($H74=N$2,VLOOKUP($G74,Depreciation!$A$14:$L$18,12,FALSE)/2,IF($H74&lt;N$2,VLOOKUP($G74,Depreciation!$A$14:$L$18,12,FALSE),0))</f>
        <v>3.343407856743718E-2</v>
      </c>
      <c r="O74" s="307">
        <f t="shared" si="9"/>
        <v>2456608.60679287</v>
      </c>
      <c r="P74" s="732">
        <f>'Func Future Subs 2015'!P74</f>
        <v>0</v>
      </c>
      <c r="Q74" s="732">
        <f>'Func Future Subs 2015'!Q74</f>
        <v>1</v>
      </c>
      <c r="R74" s="732">
        <f>'Func Future Subs 2015'!R74</f>
        <v>0</v>
      </c>
      <c r="S74" s="735">
        <f t="shared" si="10"/>
        <v>0</v>
      </c>
      <c r="T74" s="735">
        <f t="shared" si="11"/>
        <v>2456608.60679287</v>
      </c>
      <c r="U74" s="735">
        <f t="shared" si="12"/>
        <v>0</v>
      </c>
      <c r="V74" s="736">
        <f t="shared" si="13"/>
        <v>0</v>
      </c>
      <c r="W74" s="735">
        <f t="shared" si="14"/>
        <v>0</v>
      </c>
      <c r="X74" s="737">
        <f t="shared" si="15"/>
        <v>0</v>
      </c>
      <c r="Y74" s="738">
        <f t="shared" si="16"/>
        <v>2456608.60679287</v>
      </c>
    </row>
    <row r="75" spans="1:25">
      <c r="A75" s="754" t="str">
        <f>'Func Future Subs 2015'!A75</f>
        <v>Development at Harmattan 256S</v>
      </c>
      <c r="B75" s="754">
        <f>'Func Future Subs 2015'!B75</f>
        <v>813</v>
      </c>
      <c r="C75" s="754">
        <f>'Func Future Subs 2015'!C75</f>
        <v>138</v>
      </c>
      <c r="D75" s="754">
        <f>'Func Future Subs 2015'!D75</f>
        <v>25</v>
      </c>
      <c r="E75" s="754" t="str">
        <f>'Func Future Subs 2015'!E75</f>
        <v>256S</v>
      </c>
      <c r="F75" s="754">
        <f>'Func Future Subs 2015'!F75</f>
        <v>446170.86016879894</v>
      </c>
      <c r="G75" s="754" t="str">
        <f>'Func Future Subs 2015'!G75</f>
        <v>AltaLink</v>
      </c>
      <c r="H75" s="754">
        <f>'Func Future Subs 2015'!H75</f>
        <v>2017</v>
      </c>
      <c r="I75" s="306">
        <f>+IF($H75=I$2,VLOOKUP($G75,Depreciation!$A$14:$L$18,7,FALSE)/2,IF($H75&lt;I$2,VLOOKUP($G75,Depreciation!$A$14:$L$18,7,FALSE),0))</f>
        <v>0</v>
      </c>
      <c r="J75" s="306">
        <f>+IF($H75=J$2,VLOOKUP($G75,Depreciation!$A$14:$L$18,8,FALSE)/2,IF($H75&lt;J$2,VLOOKUP($G75,Depreciation!$A$14:$L$18,8,FALSE),0))</f>
        <v>0</v>
      </c>
      <c r="K75" s="306">
        <f>+IF($H75=K$2,VLOOKUP($G75,Depreciation!$A$14:$L$18,9,FALSE)/2,IF($H75&lt;K$2,VLOOKUP($G75,Depreciation!$A$14:$L$18,9,FALSE),0))</f>
        <v>1.671703928371859E-2</v>
      </c>
      <c r="L75" s="306">
        <f>+IF($H75=L$2,VLOOKUP($G75,Depreciation!$A$14:$L$18,10,FALSE)/2,IF($H75&lt;L$2,VLOOKUP($G75,Depreciation!$A$14:$L$18,10,FALSE),0))</f>
        <v>3.343407856743718E-2</v>
      </c>
      <c r="M75" s="306">
        <f>+IF($H75=M$2,VLOOKUP($G75,Depreciation!$A$14:$L$18,11,FALSE)/2,IF($H75&lt;M$2,VLOOKUP($G75,Depreciation!$A$14:$L$18,11,FALSE),0))</f>
        <v>3.343407856743718E-2</v>
      </c>
      <c r="N75" s="306">
        <f>+IF($H75=N$2,VLOOKUP($G75,Depreciation!$A$14:$L$18,12,FALSE)/2,IF($H75&lt;N$2,VLOOKUP($G75,Depreciation!$A$14:$L$18,12,FALSE),0))</f>
        <v>3.343407856743718E-2</v>
      </c>
      <c r="O75" s="307">
        <f t="shared" si="9"/>
        <v>438712.20437210664</v>
      </c>
      <c r="P75" s="732">
        <f>'Func Future Subs 2015'!P75</f>
        <v>0.54510993176648981</v>
      </c>
      <c r="Q75" s="732">
        <f>'Func Future Subs 2015'!Q75</f>
        <v>0.45489006823351025</v>
      </c>
      <c r="R75" s="732">
        <f>'Func Future Subs 2015'!R75</f>
        <v>0</v>
      </c>
      <c r="S75" s="735">
        <f t="shared" si="10"/>
        <v>239146.37979040539</v>
      </c>
      <c r="T75" s="735">
        <f t="shared" si="11"/>
        <v>199565.82458170128</v>
      </c>
      <c r="U75" s="735">
        <f t="shared" si="12"/>
        <v>0</v>
      </c>
      <c r="V75" s="736">
        <f t="shared" si="13"/>
        <v>0</v>
      </c>
      <c r="W75" s="735">
        <f t="shared" si="14"/>
        <v>239146.37979040539</v>
      </c>
      <c r="X75" s="737">
        <f t="shared" si="15"/>
        <v>0</v>
      </c>
      <c r="Y75" s="738">
        <f t="shared" si="16"/>
        <v>199565.82458170128</v>
      </c>
    </row>
    <row r="76" spans="1:25">
      <c r="A76" s="754" t="str">
        <f>'Func Future Subs 2015'!A76</f>
        <v>Development at Innisfail 214S</v>
      </c>
      <c r="B76" s="754">
        <f>'Func Future Subs 2015'!B76</f>
        <v>813</v>
      </c>
      <c r="C76" s="754">
        <f>'Func Future Subs 2015'!C76</f>
        <v>240</v>
      </c>
      <c r="D76" s="754">
        <f>'Func Future Subs 2015'!D76</f>
        <v>25</v>
      </c>
      <c r="E76" s="754" t="str">
        <f>'Func Future Subs 2015'!E76</f>
        <v>214S</v>
      </c>
      <c r="F76" s="754">
        <f>'Func Future Subs 2015'!F76</f>
        <v>3173918.3394682109</v>
      </c>
      <c r="G76" s="754" t="str">
        <f>'Func Future Subs 2015'!G76</f>
        <v>AltaLink</v>
      </c>
      <c r="H76" s="754">
        <f>'Func Future Subs 2015'!H76</f>
        <v>2017</v>
      </c>
      <c r="I76" s="306">
        <f>+IF($H76=I$2,VLOOKUP($G76,Depreciation!$A$14:$L$18,7,FALSE)/2,IF($H76&lt;I$2,VLOOKUP($G76,Depreciation!$A$14:$L$18,7,FALSE),0))</f>
        <v>0</v>
      </c>
      <c r="J76" s="306">
        <f>+IF($H76=J$2,VLOOKUP($G76,Depreciation!$A$14:$L$18,8,FALSE)/2,IF($H76&lt;J$2,VLOOKUP($G76,Depreciation!$A$14:$L$18,8,FALSE),0))</f>
        <v>0</v>
      </c>
      <c r="K76" s="306">
        <f>+IF($H76=K$2,VLOOKUP($G76,Depreciation!$A$14:$L$18,9,FALSE)/2,IF($H76&lt;K$2,VLOOKUP($G76,Depreciation!$A$14:$L$18,9,FALSE),0))</f>
        <v>1.671703928371859E-2</v>
      </c>
      <c r="L76" s="306">
        <f>+IF($H76=L$2,VLOOKUP($G76,Depreciation!$A$14:$L$18,10,FALSE)/2,IF($H76&lt;L$2,VLOOKUP($G76,Depreciation!$A$14:$L$18,10,FALSE),0))</f>
        <v>3.343407856743718E-2</v>
      </c>
      <c r="M76" s="306">
        <f>+IF($H76=M$2,VLOOKUP($G76,Depreciation!$A$14:$L$18,11,FALSE)/2,IF($H76&lt;M$2,VLOOKUP($G76,Depreciation!$A$14:$L$18,11,FALSE),0))</f>
        <v>3.343407856743718E-2</v>
      </c>
      <c r="N76" s="306">
        <f>+IF($H76=N$2,VLOOKUP($G76,Depreciation!$A$14:$L$18,12,FALSE)/2,IF($H76&lt;N$2,VLOOKUP($G76,Depreciation!$A$14:$L$18,12,FALSE),0))</f>
        <v>3.343407856743718E-2</v>
      </c>
      <c r="O76" s="307">
        <f t="shared" si="9"/>
        <v>3120859.8219040059</v>
      </c>
      <c r="P76" s="732">
        <f>'Func Future Subs 2015'!P76</f>
        <v>0</v>
      </c>
      <c r="Q76" s="732">
        <f>'Func Future Subs 2015'!Q76</f>
        <v>1</v>
      </c>
      <c r="R76" s="732">
        <f>'Func Future Subs 2015'!R76</f>
        <v>0</v>
      </c>
      <c r="S76" s="735">
        <f t="shared" si="10"/>
        <v>0</v>
      </c>
      <c r="T76" s="735">
        <f t="shared" si="11"/>
        <v>3120859.8219040059</v>
      </c>
      <c r="U76" s="735">
        <f t="shared" si="12"/>
        <v>0</v>
      </c>
      <c r="V76" s="736">
        <f t="shared" si="13"/>
        <v>0</v>
      </c>
      <c r="W76" s="735">
        <f t="shared" si="14"/>
        <v>0</v>
      </c>
      <c r="X76" s="737">
        <f t="shared" si="15"/>
        <v>0</v>
      </c>
      <c r="Y76" s="738">
        <f t="shared" si="16"/>
        <v>3120859.8219040059</v>
      </c>
    </row>
    <row r="77" spans="1:25">
      <c r="A77" s="754" t="str">
        <f>'Func Future Subs 2015'!A77</f>
        <v>Development at Piper Creek 247S</v>
      </c>
      <c r="B77" s="754">
        <f>'Func Future Subs 2015'!B77</f>
        <v>813</v>
      </c>
      <c r="C77" s="754">
        <f>'Func Future Subs 2015'!C77</f>
        <v>138</v>
      </c>
      <c r="D77" s="754">
        <f>'Func Future Subs 2015'!D77</f>
        <v>138</v>
      </c>
      <c r="E77" s="754" t="str">
        <f>'Func Future Subs 2015'!E77</f>
        <v>247S</v>
      </c>
      <c r="F77" s="754">
        <f>'Func Future Subs 2015'!F77</f>
        <v>624990.21387200279</v>
      </c>
      <c r="G77" s="754" t="str">
        <f>'Func Future Subs 2015'!G77</f>
        <v>AltaLink</v>
      </c>
      <c r="H77" s="754">
        <f>'Func Future Subs 2015'!H77</f>
        <v>2017</v>
      </c>
      <c r="I77" s="306">
        <f>+IF($H77=I$2,VLOOKUP($G77,Depreciation!$A$14:$L$18,7,FALSE)/2,IF($H77&lt;I$2,VLOOKUP($G77,Depreciation!$A$14:$L$18,7,FALSE),0))</f>
        <v>0</v>
      </c>
      <c r="J77" s="306">
        <f>+IF($H77=J$2,VLOOKUP($G77,Depreciation!$A$14:$L$18,8,FALSE)/2,IF($H77&lt;J$2,VLOOKUP($G77,Depreciation!$A$14:$L$18,8,FALSE),0))</f>
        <v>0</v>
      </c>
      <c r="K77" s="306">
        <f>+IF($H77=K$2,VLOOKUP($G77,Depreciation!$A$14:$L$18,9,FALSE)/2,IF($H77&lt;K$2,VLOOKUP($G77,Depreciation!$A$14:$L$18,9,FALSE),0))</f>
        <v>1.671703928371859E-2</v>
      </c>
      <c r="L77" s="306">
        <f>+IF($H77=L$2,VLOOKUP($G77,Depreciation!$A$14:$L$18,10,FALSE)/2,IF($H77&lt;L$2,VLOOKUP($G77,Depreciation!$A$14:$L$18,10,FALSE),0))</f>
        <v>3.343407856743718E-2</v>
      </c>
      <c r="M77" s="306">
        <f>+IF($H77=M$2,VLOOKUP($G77,Depreciation!$A$14:$L$18,11,FALSE)/2,IF($H77&lt;M$2,VLOOKUP($G77,Depreciation!$A$14:$L$18,11,FALSE),0))</f>
        <v>3.343407856743718E-2</v>
      </c>
      <c r="N77" s="306">
        <f>+IF($H77=N$2,VLOOKUP($G77,Depreciation!$A$14:$L$18,12,FALSE)/2,IF($H77&lt;N$2,VLOOKUP($G77,Depreciation!$A$14:$L$18,12,FALSE),0))</f>
        <v>3.343407856743718E-2</v>
      </c>
      <c r="O77" s="307">
        <f t="shared" si="9"/>
        <v>614542.22791476478</v>
      </c>
      <c r="P77" s="732">
        <f>'Func Future Subs 2015'!P77</f>
        <v>0</v>
      </c>
      <c r="Q77" s="732">
        <f>'Func Future Subs 2015'!Q77</f>
        <v>0</v>
      </c>
      <c r="R77" s="732">
        <f>'Func Future Subs 2015'!R77</f>
        <v>1</v>
      </c>
      <c r="S77" s="735">
        <f t="shared" si="10"/>
        <v>0</v>
      </c>
      <c r="T77" s="735">
        <f t="shared" si="11"/>
        <v>0</v>
      </c>
      <c r="U77" s="735">
        <f t="shared" si="12"/>
        <v>614542.22791476478</v>
      </c>
      <c r="V77" s="736">
        <f t="shared" si="13"/>
        <v>0</v>
      </c>
      <c r="W77" s="735">
        <f t="shared" si="14"/>
        <v>0</v>
      </c>
      <c r="X77" s="737">
        <f t="shared" si="15"/>
        <v>614542.22791476478</v>
      </c>
      <c r="Y77" s="738">
        <f t="shared" si="16"/>
        <v>0</v>
      </c>
    </row>
    <row r="78" spans="1:25">
      <c r="A78" s="754" t="str">
        <f>'Func Future Subs 2015'!A78</f>
        <v>Development at Ponoka 331S</v>
      </c>
      <c r="B78" s="754">
        <f>'Func Future Subs 2015'!B78</f>
        <v>813</v>
      </c>
      <c r="C78" s="754">
        <f>'Func Future Subs 2015'!C78</f>
        <v>138</v>
      </c>
      <c r="D78" s="754">
        <f>'Func Future Subs 2015'!D78</f>
        <v>25</v>
      </c>
      <c r="E78" s="754" t="str">
        <f>'Func Future Subs 2015'!E78</f>
        <v>331S</v>
      </c>
      <c r="F78" s="754">
        <f>'Func Future Subs 2015'!F78</f>
        <v>3065380.5529317935</v>
      </c>
      <c r="G78" s="754" t="str">
        <f>'Func Future Subs 2015'!G78</f>
        <v>AltaLink</v>
      </c>
      <c r="H78" s="754">
        <f>'Func Future Subs 2015'!H78</f>
        <v>2017</v>
      </c>
      <c r="I78" s="306">
        <f>+IF($H78=I$2,VLOOKUP($G78,Depreciation!$A$14:$L$18,7,FALSE)/2,IF($H78&lt;I$2,VLOOKUP($G78,Depreciation!$A$14:$L$18,7,FALSE),0))</f>
        <v>0</v>
      </c>
      <c r="J78" s="306">
        <f>+IF($H78=J$2,VLOOKUP($G78,Depreciation!$A$14:$L$18,8,FALSE)/2,IF($H78&lt;J$2,VLOOKUP($G78,Depreciation!$A$14:$L$18,8,FALSE),0))</f>
        <v>0</v>
      </c>
      <c r="K78" s="306">
        <f>+IF($H78=K$2,VLOOKUP($G78,Depreciation!$A$14:$L$18,9,FALSE)/2,IF($H78&lt;K$2,VLOOKUP($G78,Depreciation!$A$14:$L$18,9,FALSE),0))</f>
        <v>1.671703928371859E-2</v>
      </c>
      <c r="L78" s="306">
        <f>+IF($H78=L$2,VLOOKUP($G78,Depreciation!$A$14:$L$18,10,FALSE)/2,IF($H78&lt;L$2,VLOOKUP($G78,Depreciation!$A$14:$L$18,10,FALSE),0))</f>
        <v>3.343407856743718E-2</v>
      </c>
      <c r="M78" s="306">
        <f>+IF($H78=M$2,VLOOKUP($G78,Depreciation!$A$14:$L$18,11,FALSE)/2,IF($H78&lt;M$2,VLOOKUP($G78,Depreciation!$A$14:$L$18,11,FALSE),0))</f>
        <v>3.343407856743718E-2</v>
      </c>
      <c r="N78" s="306">
        <f>+IF($H78=N$2,VLOOKUP($G78,Depreciation!$A$14:$L$18,12,FALSE)/2,IF($H78&lt;N$2,VLOOKUP($G78,Depreciation!$A$14:$L$18,12,FALSE),0))</f>
        <v>3.343407856743718E-2</v>
      </c>
      <c r="O78" s="307">
        <f t="shared" si="9"/>
        <v>3014136.4658088856</v>
      </c>
      <c r="P78" s="732">
        <f>'Func Future Subs 2015'!P78</f>
        <v>0</v>
      </c>
      <c r="Q78" s="732">
        <f>'Func Future Subs 2015'!Q78</f>
        <v>1</v>
      </c>
      <c r="R78" s="732">
        <f>'Func Future Subs 2015'!R78</f>
        <v>0</v>
      </c>
      <c r="S78" s="735">
        <f t="shared" si="10"/>
        <v>0</v>
      </c>
      <c r="T78" s="735">
        <f t="shared" si="11"/>
        <v>3014136.4658088856</v>
      </c>
      <c r="U78" s="735">
        <f t="shared" si="12"/>
        <v>0</v>
      </c>
      <c r="V78" s="736">
        <f t="shared" si="13"/>
        <v>0</v>
      </c>
      <c r="W78" s="735">
        <f t="shared" si="14"/>
        <v>0</v>
      </c>
      <c r="X78" s="737">
        <f t="shared" si="15"/>
        <v>0</v>
      </c>
      <c r="Y78" s="738">
        <f t="shared" si="16"/>
        <v>3014136.4658088856</v>
      </c>
    </row>
    <row r="79" spans="1:25">
      <c r="A79" s="754" t="str">
        <f>'Func Future Subs 2015'!A79</f>
        <v>Development at Prentiss 276S</v>
      </c>
      <c r="B79" s="754">
        <f>'Func Future Subs 2015'!B79</f>
        <v>813</v>
      </c>
      <c r="C79" s="754">
        <f>'Func Future Subs 2015'!C79</f>
        <v>138</v>
      </c>
      <c r="D79" s="754">
        <f>'Func Future Subs 2015'!D79</f>
        <v>25</v>
      </c>
      <c r="E79" s="754" t="str">
        <f>'Func Future Subs 2015'!E79</f>
        <v>276S</v>
      </c>
      <c r="F79" s="754">
        <f>'Func Future Subs 2015'!F79</f>
        <v>3186555.949000001</v>
      </c>
      <c r="G79" s="754" t="str">
        <f>'Func Future Subs 2015'!G79</f>
        <v>AltaLink</v>
      </c>
      <c r="H79" s="754">
        <f>'Func Future Subs 2015'!H79</f>
        <v>2017</v>
      </c>
      <c r="I79" s="306">
        <f>+IF($H79=I$2,VLOOKUP($G79,Depreciation!$A$14:$L$18,7,FALSE)/2,IF($H79&lt;I$2,VLOOKUP($G79,Depreciation!$A$14:$L$18,7,FALSE),0))</f>
        <v>0</v>
      </c>
      <c r="J79" s="306">
        <f>+IF($H79=J$2,VLOOKUP($G79,Depreciation!$A$14:$L$18,8,FALSE)/2,IF($H79&lt;J$2,VLOOKUP($G79,Depreciation!$A$14:$L$18,8,FALSE),0))</f>
        <v>0</v>
      </c>
      <c r="K79" s="306">
        <f>+IF($H79=K$2,VLOOKUP($G79,Depreciation!$A$14:$L$18,9,FALSE)/2,IF($H79&lt;K$2,VLOOKUP($G79,Depreciation!$A$14:$L$18,9,FALSE),0))</f>
        <v>1.671703928371859E-2</v>
      </c>
      <c r="L79" s="306">
        <f>+IF($H79=L$2,VLOOKUP($G79,Depreciation!$A$14:$L$18,10,FALSE)/2,IF($H79&lt;L$2,VLOOKUP($G79,Depreciation!$A$14:$L$18,10,FALSE),0))</f>
        <v>3.343407856743718E-2</v>
      </c>
      <c r="M79" s="306">
        <f>+IF($H79=M$2,VLOOKUP($G79,Depreciation!$A$14:$L$18,11,FALSE)/2,IF($H79&lt;M$2,VLOOKUP($G79,Depreciation!$A$14:$L$18,11,FALSE),0))</f>
        <v>3.343407856743718E-2</v>
      </c>
      <c r="N79" s="306">
        <f>+IF($H79=N$2,VLOOKUP($G79,Depreciation!$A$14:$L$18,12,FALSE)/2,IF($H79&lt;N$2,VLOOKUP($G79,Depreciation!$A$14:$L$18,12,FALSE),0))</f>
        <v>3.343407856743718E-2</v>
      </c>
      <c r="O79" s="307">
        <f t="shared" si="9"/>
        <v>3133286.1680208007</v>
      </c>
      <c r="P79" s="732">
        <f>'Func Future Subs 2015'!P79</f>
        <v>0</v>
      </c>
      <c r="Q79" s="732">
        <f>'Func Future Subs 2015'!Q79</f>
        <v>0</v>
      </c>
      <c r="R79" s="732">
        <f>'Func Future Subs 2015'!R79</f>
        <v>1</v>
      </c>
      <c r="S79" s="735">
        <f t="shared" si="10"/>
        <v>0</v>
      </c>
      <c r="T79" s="735">
        <f t="shared" si="11"/>
        <v>0</v>
      </c>
      <c r="U79" s="735">
        <f t="shared" si="12"/>
        <v>3133286.1680208007</v>
      </c>
      <c r="V79" s="736">
        <f t="shared" si="13"/>
        <v>0</v>
      </c>
      <c r="W79" s="735">
        <f t="shared" si="14"/>
        <v>0</v>
      </c>
      <c r="X79" s="737">
        <f t="shared" si="15"/>
        <v>0</v>
      </c>
      <c r="Y79" s="738">
        <f t="shared" si="16"/>
        <v>3133286.1680208007</v>
      </c>
    </row>
    <row r="80" spans="1:25">
      <c r="A80" s="754" t="str">
        <f>'Func Future Subs 2015'!A80</f>
        <v>Development at Red Deer 63S</v>
      </c>
      <c r="B80" s="754">
        <f>'Func Future Subs 2015'!B80</f>
        <v>813</v>
      </c>
      <c r="C80" s="754">
        <f>'Func Future Subs 2015'!C80</f>
        <v>240</v>
      </c>
      <c r="D80" s="754">
        <f>'Func Future Subs 2015'!D80</f>
        <v>25</v>
      </c>
      <c r="E80" s="754" t="str">
        <f>'Func Future Subs 2015'!E80</f>
        <v>63S</v>
      </c>
      <c r="F80" s="754">
        <f>'Func Future Subs 2015'!F80</f>
        <v>1318872.5453853337</v>
      </c>
      <c r="G80" s="754" t="str">
        <f>'Func Future Subs 2015'!G80</f>
        <v>AltaLink</v>
      </c>
      <c r="H80" s="754">
        <f>'Func Future Subs 2015'!H80</f>
        <v>2017</v>
      </c>
      <c r="I80" s="306">
        <f>+IF($H80=I$2,VLOOKUP($G80,Depreciation!$A$14:$L$18,7,FALSE)/2,IF($H80&lt;I$2,VLOOKUP($G80,Depreciation!$A$14:$L$18,7,FALSE),0))</f>
        <v>0</v>
      </c>
      <c r="J80" s="306">
        <f>+IF($H80=J$2,VLOOKUP($G80,Depreciation!$A$14:$L$18,8,FALSE)/2,IF($H80&lt;J$2,VLOOKUP($G80,Depreciation!$A$14:$L$18,8,FALSE),0))</f>
        <v>0</v>
      </c>
      <c r="K80" s="306">
        <f>+IF($H80=K$2,VLOOKUP($G80,Depreciation!$A$14:$L$18,9,FALSE)/2,IF($H80&lt;K$2,VLOOKUP($G80,Depreciation!$A$14:$L$18,9,FALSE),0))</f>
        <v>1.671703928371859E-2</v>
      </c>
      <c r="L80" s="306">
        <f>+IF($H80=L$2,VLOOKUP($G80,Depreciation!$A$14:$L$18,10,FALSE)/2,IF($H80&lt;L$2,VLOOKUP($G80,Depreciation!$A$14:$L$18,10,FALSE),0))</f>
        <v>3.343407856743718E-2</v>
      </c>
      <c r="M80" s="306">
        <f>+IF($H80=M$2,VLOOKUP($G80,Depreciation!$A$14:$L$18,11,FALSE)/2,IF($H80&lt;M$2,VLOOKUP($G80,Depreciation!$A$14:$L$18,11,FALSE),0))</f>
        <v>3.343407856743718E-2</v>
      </c>
      <c r="N80" s="306">
        <f>+IF($H80=N$2,VLOOKUP($G80,Depreciation!$A$14:$L$18,12,FALSE)/2,IF($H80&lt;N$2,VLOOKUP($G80,Depreciation!$A$14:$L$18,12,FALSE),0))</f>
        <v>3.343407856743718E-2</v>
      </c>
      <c r="O80" s="307">
        <f t="shared" si="9"/>
        <v>1296824.9012339092</v>
      </c>
      <c r="P80" s="732">
        <f>'Func Future Subs 2015'!P80</f>
        <v>0</v>
      </c>
      <c r="Q80" s="732">
        <f>'Func Future Subs 2015'!Q80</f>
        <v>1</v>
      </c>
      <c r="R80" s="732">
        <f>'Func Future Subs 2015'!R80</f>
        <v>0</v>
      </c>
      <c r="S80" s="735">
        <f t="shared" si="10"/>
        <v>0</v>
      </c>
      <c r="T80" s="735">
        <f t="shared" si="11"/>
        <v>1296824.9012339092</v>
      </c>
      <c r="U80" s="735">
        <f t="shared" si="12"/>
        <v>0</v>
      </c>
      <c r="V80" s="736">
        <f t="shared" si="13"/>
        <v>0</v>
      </c>
      <c r="W80" s="735">
        <f t="shared" si="14"/>
        <v>0</v>
      </c>
      <c r="X80" s="737">
        <f t="shared" si="15"/>
        <v>0</v>
      </c>
      <c r="Y80" s="738">
        <f t="shared" si="16"/>
        <v>1296824.9012339092</v>
      </c>
    </row>
    <row r="81" spans="1:25">
      <c r="A81" s="754" t="str">
        <f>'Func Future Subs 2015'!A81</f>
        <v>Development at Red Deer 63S (dev12)</v>
      </c>
      <c r="B81" s="754">
        <f>'Func Future Subs 2015'!B81</f>
        <v>813</v>
      </c>
      <c r="C81" s="754">
        <f>'Func Future Subs 2015'!C81</f>
        <v>240</v>
      </c>
      <c r="D81" s="754">
        <f>'Func Future Subs 2015'!D81</f>
        <v>25</v>
      </c>
      <c r="E81" s="754" t="str">
        <f>'Func Future Subs 2015'!E81</f>
        <v>63S</v>
      </c>
      <c r="F81" s="754">
        <f>'Func Future Subs 2015'!F81</f>
        <v>437105.37992401363</v>
      </c>
      <c r="G81" s="754" t="str">
        <f>'Func Future Subs 2015'!G81</f>
        <v>AltaLink</v>
      </c>
      <c r="H81" s="754">
        <f>'Func Future Subs 2015'!H81</f>
        <v>2017</v>
      </c>
      <c r="I81" s="306">
        <f>+IF($H81=I$2,VLOOKUP($G81,Depreciation!$A$14:$L$18,7,FALSE)/2,IF($H81&lt;I$2,VLOOKUP($G81,Depreciation!$A$14:$L$18,7,FALSE),0))</f>
        <v>0</v>
      </c>
      <c r="J81" s="306">
        <f>+IF($H81=J$2,VLOOKUP($G81,Depreciation!$A$14:$L$18,8,FALSE)/2,IF($H81&lt;J$2,VLOOKUP($G81,Depreciation!$A$14:$L$18,8,FALSE),0))</f>
        <v>0</v>
      </c>
      <c r="K81" s="306">
        <f>+IF($H81=K$2,VLOOKUP($G81,Depreciation!$A$14:$L$18,9,FALSE)/2,IF($H81&lt;K$2,VLOOKUP($G81,Depreciation!$A$14:$L$18,9,FALSE),0))</f>
        <v>1.671703928371859E-2</v>
      </c>
      <c r="L81" s="306">
        <f>+IF($H81=L$2,VLOOKUP($G81,Depreciation!$A$14:$L$18,10,FALSE)/2,IF($H81&lt;L$2,VLOOKUP($G81,Depreciation!$A$14:$L$18,10,FALSE),0))</f>
        <v>3.343407856743718E-2</v>
      </c>
      <c r="M81" s="306">
        <f>+IF($H81=M$2,VLOOKUP($G81,Depreciation!$A$14:$L$18,11,FALSE)/2,IF($H81&lt;M$2,VLOOKUP($G81,Depreciation!$A$14:$L$18,11,FALSE),0))</f>
        <v>3.343407856743718E-2</v>
      </c>
      <c r="N81" s="306">
        <f>+IF($H81=N$2,VLOOKUP($G81,Depreciation!$A$14:$L$18,12,FALSE)/2,IF($H81&lt;N$2,VLOOKUP($G81,Depreciation!$A$14:$L$18,12,FALSE),0))</f>
        <v>3.343407856743718E-2</v>
      </c>
      <c r="O81" s="307">
        <f t="shared" si="9"/>
        <v>429798.27211669914</v>
      </c>
      <c r="P81" s="732">
        <f>'Func Future Subs 2015'!P81</f>
        <v>0</v>
      </c>
      <c r="Q81" s="732">
        <f>'Func Future Subs 2015'!Q81</f>
        <v>1</v>
      </c>
      <c r="R81" s="732">
        <f>'Func Future Subs 2015'!R81</f>
        <v>0</v>
      </c>
      <c r="S81" s="735">
        <f t="shared" si="10"/>
        <v>0</v>
      </c>
      <c r="T81" s="735">
        <f t="shared" si="11"/>
        <v>429798.27211669914</v>
      </c>
      <c r="U81" s="735">
        <f t="shared" si="12"/>
        <v>0</v>
      </c>
      <c r="V81" s="736">
        <f t="shared" si="13"/>
        <v>0</v>
      </c>
      <c r="W81" s="735">
        <f t="shared" si="14"/>
        <v>0</v>
      </c>
      <c r="X81" s="737">
        <f t="shared" si="15"/>
        <v>0</v>
      </c>
      <c r="Y81" s="738">
        <f t="shared" si="16"/>
        <v>429798.27211669914</v>
      </c>
    </row>
    <row r="82" spans="1:25">
      <c r="A82" s="754" t="str">
        <f>'Func Future Subs 2015'!A82</f>
        <v>Development at Red Deer 63S (dev21)</v>
      </c>
      <c r="B82" s="754">
        <f>'Func Future Subs 2015'!B82</f>
        <v>813</v>
      </c>
      <c r="C82" s="754">
        <f>'Func Future Subs 2015'!C82</f>
        <v>240</v>
      </c>
      <c r="D82" s="754">
        <f>'Func Future Subs 2015'!D82</f>
        <v>25</v>
      </c>
      <c r="E82" s="754" t="str">
        <f>'Func Future Subs 2015'!E82</f>
        <v>63S</v>
      </c>
      <c r="F82" s="754">
        <f>'Func Future Subs 2015'!F82</f>
        <v>335873.21742754214</v>
      </c>
      <c r="G82" s="754" t="str">
        <f>'Func Future Subs 2015'!G82</f>
        <v>AltaLink</v>
      </c>
      <c r="H82" s="754">
        <f>'Func Future Subs 2015'!H82</f>
        <v>2017</v>
      </c>
      <c r="I82" s="306">
        <f>+IF($H82=I$2,VLOOKUP($G82,Depreciation!$A$14:$L$18,7,FALSE)/2,IF($H82&lt;I$2,VLOOKUP($G82,Depreciation!$A$14:$L$18,7,FALSE),0))</f>
        <v>0</v>
      </c>
      <c r="J82" s="306">
        <f>+IF($H82=J$2,VLOOKUP($G82,Depreciation!$A$14:$L$18,8,FALSE)/2,IF($H82&lt;J$2,VLOOKUP($G82,Depreciation!$A$14:$L$18,8,FALSE),0))</f>
        <v>0</v>
      </c>
      <c r="K82" s="306">
        <f>+IF($H82=K$2,VLOOKUP($G82,Depreciation!$A$14:$L$18,9,FALSE)/2,IF($H82&lt;K$2,VLOOKUP($G82,Depreciation!$A$14:$L$18,9,FALSE),0))</f>
        <v>1.671703928371859E-2</v>
      </c>
      <c r="L82" s="306">
        <f>+IF($H82=L$2,VLOOKUP($G82,Depreciation!$A$14:$L$18,10,FALSE)/2,IF($H82&lt;L$2,VLOOKUP($G82,Depreciation!$A$14:$L$18,10,FALSE),0))</f>
        <v>3.343407856743718E-2</v>
      </c>
      <c r="M82" s="306">
        <f>+IF($H82=M$2,VLOOKUP($G82,Depreciation!$A$14:$L$18,11,FALSE)/2,IF($H82&lt;M$2,VLOOKUP($G82,Depreciation!$A$14:$L$18,11,FALSE),0))</f>
        <v>3.343407856743718E-2</v>
      </c>
      <c r="N82" s="306">
        <f>+IF($H82=N$2,VLOOKUP($G82,Depreciation!$A$14:$L$18,12,FALSE)/2,IF($H82&lt;N$2,VLOOKUP($G82,Depreciation!$A$14:$L$18,12,FALSE),0))</f>
        <v>3.343407856743718E-2</v>
      </c>
      <c r="O82" s="307">
        <f t="shared" si="9"/>
        <v>330258.41165745695</v>
      </c>
      <c r="P82" s="732">
        <f>'Func Future Subs 2015'!P82</f>
        <v>0</v>
      </c>
      <c r="Q82" s="732">
        <f>'Func Future Subs 2015'!Q82</f>
        <v>1</v>
      </c>
      <c r="R82" s="732">
        <f>'Func Future Subs 2015'!R82</f>
        <v>0</v>
      </c>
      <c r="S82" s="735">
        <f t="shared" si="10"/>
        <v>0</v>
      </c>
      <c r="T82" s="735">
        <f t="shared" si="11"/>
        <v>330258.41165745695</v>
      </c>
      <c r="U82" s="735">
        <f t="shared" si="12"/>
        <v>0</v>
      </c>
      <c r="V82" s="736">
        <f t="shared" si="13"/>
        <v>0</v>
      </c>
      <c r="W82" s="735">
        <f t="shared" si="14"/>
        <v>0</v>
      </c>
      <c r="X82" s="737">
        <f t="shared" si="15"/>
        <v>0</v>
      </c>
      <c r="Y82" s="738">
        <f t="shared" si="16"/>
        <v>330258.41165745695</v>
      </c>
    </row>
    <row r="83" spans="1:25">
      <c r="A83" s="754" t="str">
        <f>'Func Future Subs 2015'!A83</f>
        <v>Development at South Red Deer 194S</v>
      </c>
      <c r="B83" s="754">
        <f>'Func Future Subs 2015'!B83</f>
        <v>813</v>
      </c>
      <c r="C83" s="754">
        <f>'Func Future Subs 2015'!C83</f>
        <v>138</v>
      </c>
      <c r="D83" s="754">
        <f>'Func Future Subs 2015'!D83</f>
        <v>138</v>
      </c>
      <c r="E83" s="754" t="str">
        <f>'Func Future Subs 2015'!E83</f>
        <v>194S</v>
      </c>
      <c r="F83" s="754">
        <f>'Func Future Subs 2015'!F83</f>
        <v>1494037.1072305865</v>
      </c>
      <c r="G83" s="754" t="str">
        <f>'Func Future Subs 2015'!G83</f>
        <v>AltaLink</v>
      </c>
      <c r="H83" s="754">
        <f>'Func Future Subs 2015'!H83</f>
        <v>2017</v>
      </c>
      <c r="I83" s="306">
        <f>+IF($H83=I$2,VLOOKUP($G83,Depreciation!$A$14:$L$18,7,FALSE)/2,IF($H83&lt;I$2,VLOOKUP($G83,Depreciation!$A$14:$L$18,7,FALSE),0))</f>
        <v>0</v>
      </c>
      <c r="J83" s="306">
        <f>+IF($H83=J$2,VLOOKUP($G83,Depreciation!$A$14:$L$18,8,FALSE)/2,IF($H83&lt;J$2,VLOOKUP($G83,Depreciation!$A$14:$L$18,8,FALSE),0))</f>
        <v>0</v>
      </c>
      <c r="K83" s="306">
        <f>+IF($H83=K$2,VLOOKUP($G83,Depreciation!$A$14:$L$18,9,FALSE)/2,IF($H83&lt;K$2,VLOOKUP($G83,Depreciation!$A$14:$L$18,9,FALSE),0))</f>
        <v>1.671703928371859E-2</v>
      </c>
      <c r="L83" s="306">
        <f>+IF($H83=L$2,VLOOKUP($G83,Depreciation!$A$14:$L$18,10,FALSE)/2,IF($H83&lt;L$2,VLOOKUP($G83,Depreciation!$A$14:$L$18,10,FALSE),0))</f>
        <v>3.343407856743718E-2</v>
      </c>
      <c r="M83" s="306">
        <f>+IF($H83=M$2,VLOOKUP($G83,Depreciation!$A$14:$L$18,11,FALSE)/2,IF($H83&lt;M$2,VLOOKUP($G83,Depreciation!$A$14:$L$18,11,FALSE),0))</f>
        <v>3.343407856743718E-2</v>
      </c>
      <c r="N83" s="306">
        <f>+IF($H83=N$2,VLOOKUP($G83,Depreciation!$A$14:$L$18,12,FALSE)/2,IF($H83&lt;N$2,VLOOKUP($G83,Depreciation!$A$14:$L$18,12,FALSE),0))</f>
        <v>3.343407856743718E-2</v>
      </c>
      <c r="O83" s="307">
        <f t="shared" si="9"/>
        <v>1469061.2302176794</v>
      </c>
      <c r="P83" s="732">
        <f>'Func Future Subs 2015'!P83</f>
        <v>0</v>
      </c>
      <c r="Q83" s="732">
        <f>'Func Future Subs 2015'!Q83</f>
        <v>0</v>
      </c>
      <c r="R83" s="732">
        <f>'Func Future Subs 2015'!R83</f>
        <v>1</v>
      </c>
      <c r="S83" s="735">
        <f t="shared" si="10"/>
        <v>0</v>
      </c>
      <c r="T83" s="735">
        <f t="shared" si="11"/>
        <v>0</v>
      </c>
      <c r="U83" s="735">
        <f t="shared" si="12"/>
        <v>1469061.2302176794</v>
      </c>
      <c r="V83" s="736">
        <f t="shared" si="13"/>
        <v>0</v>
      </c>
      <c r="W83" s="735">
        <f t="shared" si="14"/>
        <v>0</v>
      </c>
      <c r="X83" s="737">
        <f t="shared" si="15"/>
        <v>1469061.2302176794</v>
      </c>
      <c r="Y83" s="738">
        <f t="shared" si="16"/>
        <v>0</v>
      </c>
    </row>
    <row r="84" spans="1:25">
      <c r="A84" s="754" t="str">
        <f>'Func Future Subs 2015'!A84</f>
        <v>Development at South Red Deer 194S (dev11)</v>
      </c>
      <c r="B84" s="754">
        <f>'Func Future Subs 2015'!B84</f>
        <v>813</v>
      </c>
      <c r="C84" s="754">
        <f>'Func Future Subs 2015'!C84</f>
        <v>138</v>
      </c>
      <c r="D84" s="754">
        <f>'Func Future Subs 2015'!D84</f>
        <v>138</v>
      </c>
      <c r="E84" s="754" t="str">
        <f>'Func Future Subs 2015'!E84</f>
        <v>194S</v>
      </c>
      <c r="F84" s="754">
        <f>'Func Future Subs 2015'!F84</f>
        <v>1533469.4238101142</v>
      </c>
      <c r="G84" s="754" t="str">
        <f>'Func Future Subs 2015'!G84</f>
        <v>AltaLink</v>
      </c>
      <c r="H84" s="754">
        <f>'Func Future Subs 2015'!H84</f>
        <v>2017</v>
      </c>
      <c r="I84" s="306">
        <f>+IF($H84=I$2,VLOOKUP($G84,Depreciation!$A$14:$L$18,7,FALSE)/2,IF($H84&lt;I$2,VLOOKUP($G84,Depreciation!$A$14:$L$18,7,FALSE),0))</f>
        <v>0</v>
      </c>
      <c r="J84" s="306">
        <f>+IF($H84=J$2,VLOOKUP($G84,Depreciation!$A$14:$L$18,8,FALSE)/2,IF($H84&lt;J$2,VLOOKUP($G84,Depreciation!$A$14:$L$18,8,FALSE),0))</f>
        <v>0</v>
      </c>
      <c r="K84" s="306">
        <f>+IF($H84=K$2,VLOOKUP($G84,Depreciation!$A$14:$L$18,9,FALSE)/2,IF($H84&lt;K$2,VLOOKUP($G84,Depreciation!$A$14:$L$18,9,FALSE),0))</f>
        <v>1.671703928371859E-2</v>
      </c>
      <c r="L84" s="306">
        <f>+IF($H84=L$2,VLOOKUP($G84,Depreciation!$A$14:$L$18,10,FALSE)/2,IF($H84&lt;L$2,VLOOKUP($G84,Depreciation!$A$14:$L$18,10,FALSE),0))</f>
        <v>3.343407856743718E-2</v>
      </c>
      <c r="M84" s="306">
        <f>+IF($H84=M$2,VLOOKUP($G84,Depreciation!$A$14:$L$18,11,FALSE)/2,IF($H84&lt;M$2,VLOOKUP($G84,Depreciation!$A$14:$L$18,11,FALSE),0))</f>
        <v>3.343407856743718E-2</v>
      </c>
      <c r="N84" s="306">
        <f>+IF($H84=N$2,VLOOKUP($G84,Depreciation!$A$14:$L$18,12,FALSE)/2,IF($H84&lt;N$2,VLOOKUP($G84,Depreciation!$A$14:$L$18,12,FALSE),0))</f>
        <v>3.343407856743718E-2</v>
      </c>
      <c r="O84" s="307">
        <f t="shared" si="9"/>
        <v>1507834.3552118992</v>
      </c>
      <c r="P84" s="732">
        <f>'Func Future Subs 2015'!P84</f>
        <v>0</v>
      </c>
      <c r="Q84" s="732">
        <f>'Func Future Subs 2015'!Q84</f>
        <v>0</v>
      </c>
      <c r="R84" s="732">
        <f>'Func Future Subs 2015'!R84</f>
        <v>1</v>
      </c>
      <c r="S84" s="735">
        <f t="shared" si="10"/>
        <v>0</v>
      </c>
      <c r="T84" s="735">
        <f t="shared" si="11"/>
        <v>0</v>
      </c>
      <c r="U84" s="735">
        <f t="shared" si="12"/>
        <v>1507834.3552118992</v>
      </c>
      <c r="V84" s="736">
        <f t="shared" si="13"/>
        <v>0</v>
      </c>
      <c r="W84" s="735">
        <f t="shared" si="14"/>
        <v>0</v>
      </c>
      <c r="X84" s="737">
        <f t="shared" si="15"/>
        <v>1507834.3552118992</v>
      </c>
      <c r="Y84" s="738">
        <f t="shared" si="16"/>
        <v>0</v>
      </c>
    </row>
    <row r="85" spans="1:25">
      <c r="A85" s="754" t="str">
        <f>'Func Future Subs 2015'!A85</f>
        <v>Development at Sylvan Lake 580S</v>
      </c>
      <c r="B85" s="754">
        <f>'Func Future Subs 2015'!B85</f>
        <v>813</v>
      </c>
      <c r="C85" s="754">
        <f>'Func Future Subs 2015'!C85</f>
        <v>138</v>
      </c>
      <c r="D85" s="754">
        <f>'Func Future Subs 2015'!D85</f>
        <v>25</v>
      </c>
      <c r="E85" s="754" t="str">
        <f>'Func Future Subs 2015'!E85</f>
        <v>580S</v>
      </c>
      <c r="F85" s="754">
        <f>'Func Future Subs 2015'!F85</f>
        <v>517837.0121000802</v>
      </c>
      <c r="G85" s="754" t="str">
        <f>'Func Future Subs 2015'!G85</f>
        <v>AltaLink</v>
      </c>
      <c r="H85" s="754">
        <f>'Func Future Subs 2015'!H85</f>
        <v>2017</v>
      </c>
      <c r="I85" s="306">
        <f>+IF($H85=I$2,VLOOKUP($G85,Depreciation!$A$14:$L$18,7,FALSE)/2,IF($H85&lt;I$2,VLOOKUP($G85,Depreciation!$A$14:$L$18,7,FALSE),0))</f>
        <v>0</v>
      </c>
      <c r="J85" s="306">
        <f>+IF($H85=J$2,VLOOKUP($G85,Depreciation!$A$14:$L$18,8,FALSE)/2,IF($H85&lt;J$2,VLOOKUP($G85,Depreciation!$A$14:$L$18,8,FALSE),0))</f>
        <v>0</v>
      </c>
      <c r="K85" s="306">
        <f>+IF($H85=K$2,VLOOKUP($G85,Depreciation!$A$14:$L$18,9,FALSE)/2,IF($H85&lt;K$2,VLOOKUP($G85,Depreciation!$A$14:$L$18,9,FALSE),0))</f>
        <v>1.671703928371859E-2</v>
      </c>
      <c r="L85" s="306">
        <f>+IF($H85=L$2,VLOOKUP($G85,Depreciation!$A$14:$L$18,10,FALSE)/2,IF($H85&lt;L$2,VLOOKUP($G85,Depreciation!$A$14:$L$18,10,FALSE),0))</f>
        <v>3.343407856743718E-2</v>
      </c>
      <c r="M85" s="306">
        <f>+IF($H85=M$2,VLOOKUP($G85,Depreciation!$A$14:$L$18,11,FALSE)/2,IF($H85&lt;M$2,VLOOKUP($G85,Depreciation!$A$14:$L$18,11,FALSE),0))</f>
        <v>3.343407856743718E-2</v>
      </c>
      <c r="N85" s="306">
        <f>+IF($H85=N$2,VLOOKUP($G85,Depreciation!$A$14:$L$18,12,FALSE)/2,IF($H85&lt;N$2,VLOOKUP($G85,Depreciation!$A$14:$L$18,12,FALSE),0))</f>
        <v>3.343407856743718E-2</v>
      </c>
      <c r="O85" s="307">
        <f t="shared" si="9"/>
        <v>509180.31042623968</v>
      </c>
      <c r="P85" s="732">
        <f>'Func Future Subs 2015'!P85</f>
        <v>0</v>
      </c>
      <c r="Q85" s="732">
        <f>'Func Future Subs 2015'!Q85</f>
        <v>1</v>
      </c>
      <c r="R85" s="732">
        <f>'Func Future Subs 2015'!R85</f>
        <v>0</v>
      </c>
      <c r="S85" s="735">
        <f t="shared" si="10"/>
        <v>0</v>
      </c>
      <c r="T85" s="735">
        <f t="shared" si="11"/>
        <v>509180.31042623968</v>
      </c>
      <c r="U85" s="735">
        <f t="shared" si="12"/>
        <v>0</v>
      </c>
      <c r="V85" s="736">
        <f t="shared" si="13"/>
        <v>0</v>
      </c>
      <c r="W85" s="735">
        <f t="shared" si="14"/>
        <v>0</v>
      </c>
      <c r="X85" s="737">
        <f t="shared" si="15"/>
        <v>0</v>
      </c>
      <c r="Y85" s="738">
        <f t="shared" si="16"/>
        <v>509180.31042623968</v>
      </c>
    </row>
    <row r="86" spans="1:25">
      <c r="A86" s="754" t="str">
        <f>'Func Future Subs 2015'!A86</f>
        <v>Didsbury 152S</v>
      </c>
      <c r="B86" s="754">
        <f>'Func Future Subs 2015'!B86</f>
        <v>813</v>
      </c>
      <c r="C86" s="754">
        <f>'Func Future Subs 2015'!C86</f>
        <v>240</v>
      </c>
      <c r="D86" s="754">
        <f>'Func Future Subs 2015'!D86</f>
        <v>0</v>
      </c>
      <c r="E86" s="754" t="str">
        <f>'Func Future Subs 2015'!E86</f>
        <v>152S</v>
      </c>
      <c r="F86" s="754">
        <f>'Func Future Subs 2015'!F86</f>
        <v>89503.831215535858</v>
      </c>
      <c r="G86" s="754" t="str">
        <f>'Func Future Subs 2015'!G86</f>
        <v>AltaLink</v>
      </c>
      <c r="H86" s="754">
        <f>'Func Future Subs 2015'!H86</f>
        <v>2017</v>
      </c>
      <c r="I86" s="306">
        <f>+IF($H86=I$2,VLOOKUP($G86,Depreciation!$A$14:$L$18,7,FALSE)/2,IF($H86&lt;I$2,VLOOKUP($G86,Depreciation!$A$14:$L$18,7,FALSE),0))</f>
        <v>0</v>
      </c>
      <c r="J86" s="306">
        <f>+IF($H86=J$2,VLOOKUP($G86,Depreciation!$A$14:$L$18,8,FALSE)/2,IF($H86&lt;J$2,VLOOKUP($G86,Depreciation!$A$14:$L$18,8,FALSE),0))</f>
        <v>0</v>
      </c>
      <c r="K86" s="306">
        <f>+IF($H86=K$2,VLOOKUP($G86,Depreciation!$A$14:$L$18,9,FALSE)/2,IF($H86&lt;K$2,VLOOKUP($G86,Depreciation!$A$14:$L$18,9,FALSE),0))</f>
        <v>1.671703928371859E-2</v>
      </c>
      <c r="L86" s="306">
        <f>+IF($H86=L$2,VLOOKUP($G86,Depreciation!$A$14:$L$18,10,FALSE)/2,IF($H86&lt;L$2,VLOOKUP($G86,Depreciation!$A$14:$L$18,10,FALSE),0))</f>
        <v>3.343407856743718E-2</v>
      </c>
      <c r="M86" s="306">
        <f>+IF($H86=M$2,VLOOKUP($G86,Depreciation!$A$14:$L$18,11,FALSE)/2,IF($H86&lt;M$2,VLOOKUP($G86,Depreciation!$A$14:$L$18,11,FALSE),0))</f>
        <v>3.343407856743718E-2</v>
      </c>
      <c r="N86" s="306">
        <f>+IF($H86=N$2,VLOOKUP($G86,Depreciation!$A$14:$L$18,12,FALSE)/2,IF($H86&lt;N$2,VLOOKUP($G86,Depreciation!$A$14:$L$18,12,FALSE),0))</f>
        <v>3.343407856743718E-2</v>
      </c>
      <c r="O86" s="307">
        <f t="shared" si="9"/>
        <v>88007.592153062433</v>
      </c>
      <c r="P86" s="732">
        <f>'Func Future Subs 2015'!P86</f>
        <v>0</v>
      </c>
      <c r="Q86" s="732">
        <f>'Func Future Subs 2015'!Q86</f>
        <v>0</v>
      </c>
      <c r="R86" s="732">
        <f>'Func Future Subs 2015'!R86</f>
        <v>1</v>
      </c>
      <c r="S86" s="735">
        <f t="shared" si="10"/>
        <v>0</v>
      </c>
      <c r="T86" s="735">
        <f t="shared" si="11"/>
        <v>0</v>
      </c>
      <c r="U86" s="735">
        <f t="shared" si="12"/>
        <v>88007.592153062433</v>
      </c>
      <c r="V86" s="736">
        <f t="shared" si="13"/>
        <v>88007.592153062433</v>
      </c>
      <c r="W86" s="735">
        <f t="shared" si="14"/>
        <v>0</v>
      </c>
      <c r="X86" s="737">
        <f t="shared" si="15"/>
        <v>0</v>
      </c>
      <c r="Y86" s="738">
        <f t="shared" si="16"/>
        <v>0</v>
      </c>
    </row>
    <row r="87" spans="1:25">
      <c r="A87" s="754" t="str">
        <f>'Func Future Subs 2015'!A87</f>
        <v>Eagle Hill 9433R (GD Hazel)</v>
      </c>
      <c r="B87" s="754">
        <f>'Func Future Subs 2015'!B87</f>
        <v>813</v>
      </c>
      <c r="C87" s="754">
        <f>'Func Future Subs 2015'!C87</f>
        <v>240</v>
      </c>
      <c r="D87" s="754">
        <f>'Func Future Subs 2015'!D87</f>
        <v>0</v>
      </c>
      <c r="E87" s="754">
        <f>'Func Future Subs 2015'!E87</f>
        <v>0</v>
      </c>
      <c r="F87" s="754">
        <f>'Func Future Subs 2015'!F87</f>
        <v>554235.26252697199</v>
      </c>
      <c r="G87" s="754" t="str">
        <f>'Func Future Subs 2015'!G87</f>
        <v>AltaLink</v>
      </c>
      <c r="H87" s="754">
        <f>'Func Future Subs 2015'!H87</f>
        <v>2017</v>
      </c>
      <c r="I87" s="306">
        <f>+IF($H87=I$2,VLOOKUP($G87,Depreciation!$A$14:$L$18,7,FALSE)/2,IF($H87&lt;I$2,VLOOKUP($G87,Depreciation!$A$14:$L$18,7,FALSE),0))</f>
        <v>0</v>
      </c>
      <c r="J87" s="306">
        <f>+IF($H87=J$2,VLOOKUP($G87,Depreciation!$A$14:$L$18,8,FALSE)/2,IF($H87&lt;J$2,VLOOKUP($G87,Depreciation!$A$14:$L$18,8,FALSE),0))</f>
        <v>0</v>
      </c>
      <c r="K87" s="306">
        <f>+IF($H87=K$2,VLOOKUP($G87,Depreciation!$A$14:$L$18,9,FALSE)/2,IF($H87&lt;K$2,VLOOKUP($G87,Depreciation!$A$14:$L$18,9,FALSE),0))</f>
        <v>1.671703928371859E-2</v>
      </c>
      <c r="L87" s="306">
        <f>+IF($H87=L$2,VLOOKUP($G87,Depreciation!$A$14:$L$18,10,FALSE)/2,IF($H87&lt;L$2,VLOOKUP($G87,Depreciation!$A$14:$L$18,10,FALSE),0))</f>
        <v>3.343407856743718E-2</v>
      </c>
      <c r="M87" s="306">
        <f>+IF($H87=M$2,VLOOKUP($G87,Depreciation!$A$14:$L$18,11,FALSE)/2,IF($H87&lt;M$2,VLOOKUP($G87,Depreciation!$A$14:$L$18,11,FALSE),0))</f>
        <v>3.343407856743718E-2</v>
      </c>
      <c r="N87" s="306">
        <f>+IF($H87=N$2,VLOOKUP($G87,Depreciation!$A$14:$L$18,12,FALSE)/2,IF($H87&lt;N$2,VLOOKUP($G87,Depreciation!$A$14:$L$18,12,FALSE),0))</f>
        <v>3.343407856743718E-2</v>
      </c>
      <c r="O87" s="307">
        <f t="shared" si="9"/>
        <v>544970.08987088653</v>
      </c>
      <c r="P87" s="732">
        <f>'Func Future Subs 2015'!P87</f>
        <v>0</v>
      </c>
      <c r="Q87" s="732">
        <f>'Func Future Subs 2015'!Q87</f>
        <v>0</v>
      </c>
      <c r="R87" s="732">
        <f>'Func Future Subs 2015'!R87</f>
        <v>1</v>
      </c>
      <c r="S87" s="735">
        <f t="shared" si="10"/>
        <v>0</v>
      </c>
      <c r="T87" s="735">
        <f t="shared" si="11"/>
        <v>0</v>
      </c>
      <c r="U87" s="735">
        <f t="shared" si="12"/>
        <v>544970.08987088653</v>
      </c>
      <c r="V87" s="736">
        <f t="shared" si="13"/>
        <v>544970.08987088653</v>
      </c>
      <c r="W87" s="735">
        <f t="shared" si="14"/>
        <v>0</v>
      </c>
      <c r="X87" s="737">
        <f t="shared" si="15"/>
        <v>0</v>
      </c>
      <c r="Y87" s="738">
        <f t="shared" si="16"/>
        <v>0</v>
      </c>
    </row>
    <row r="88" spans="1:25">
      <c r="A88" s="754" t="str">
        <f>'Func Future Subs 2015'!A88</f>
        <v>Ellerslie 89S</v>
      </c>
      <c r="B88" s="754">
        <f>'Func Future Subs 2015'!B88</f>
        <v>813</v>
      </c>
      <c r="C88" s="754">
        <f>'Func Future Subs 2015'!C88</f>
        <v>240</v>
      </c>
      <c r="D88" s="754">
        <f>'Func Future Subs 2015'!D88</f>
        <v>240</v>
      </c>
      <c r="E88" s="754" t="str">
        <f>'Func Future Subs 2015'!E88</f>
        <v>89S</v>
      </c>
      <c r="F88" s="754">
        <f>'Func Future Subs 2015'!F88</f>
        <v>117043.47158954688</v>
      </c>
      <c r="G88" s="754" t="str">
        <f>'Func Future Subs 2015'!G88</f>
        <v>AltaLink</v>
      </c>
      <c r="H88" s="754">
        <f>'Func Future Subs 2015'!H88</f>
        <v>2017</v>
      </c>
      <c r="I88" s="306">
        <f>+IF($H88=I$2,VLOOKUP($G88,Depreciation!$A$14:$L$18,7,FALSE)/2,IF($H88&lt;I$2,VLOOKUP($G88,Depreciation!$A$14:$L$18,7,FALSE),0))</f>
        <v>0</v>
      </c>
      <c r="J88" s="306">
        <f>+IF($H88=J$2,VLOOKUP($G88,Depreciation!$A$14:$L$18,8,FALSE)/2,IF($H88&lt;J$2,VLOOKUP($G88,Depreciation!$A$14:$L$18,8,FALSE),0))</f>
        <v>0</v>
      </c>
      <c r="K88" s="306">
        <f>+IF($H88=K$2,VLOOKUP($G88,Depreciation!$A$14:$L$18,9,FALSE)/2,IF($H88&lt;K$2,VLOOKUP($G88,Depreciation!$A$14:$L$18,9,FALSE),0))</f>
        <v>1.671703928371859E-2</v>
      </c>
      <c r="L88" s="306">
        <f>+IF($H88=L$2,VLOOKUP($G88,Depreciation!$A$14:$L$18,10,FALSE)/2,IF($H88&lt;L$2,VLOOKUP($G88,Depreciation!$A$14:$L$18,10,FALSE),0))</f>
        <v>3.343407856743718E-2</v>
      </c>
      <c r="M88" s="306">
        <f>+IF($H88=M$2,VLOOKUP($G88,Depreciation!$A$14:$L$18,11,FALSE)/2,IF($H88&lt;M$2,VLOOKUP($G88,Depreciation!$A$14:$L$18,11,FALSE),0))</f>
        <v>3.343407856743718E-2</v>
      </c>
      <c r="N88" s="306">
        <f>+IF($H88=N$2,VLOOKUP($G88,Depreciation!$A$14:$L$18,12,FALSE)/2,IF($H88&lt;N$2,VLOOKUP($G88,Depreciation!$A$14:$L$18,12,FALSE),0))</f>
        <v>3.343407856743718E-2</v>
      </c>
      <c r="O88" s="307">
        <f t="shared" si="9"/>
        <v>115086.85127708163</v>
      </c>
      <c r="P88" s="732">
        <f>'Func Future Subs 2015'!P88</f>
        <v>0</v>
      </c>
      <c r="Q88" s="732">
        <f>'Func Future Subs 2015'!Q88</f>
        <v>0</v>
      </c>
      <c r="R88" s="732">
        <f>'Func Future Subs 2015'!R88</f>
        <v>1</v>
      </c>
      <c r="S88" s="735">
        <f t="shared" si="10"/>
        <v>0</v>
      </c>
      <c r="T88" s="735">
        <f t="shared" si="11"/>
        <v>0</v>
      </c>
      <c r="U88" s="735">
        <f t="shared" si="12"/>
        <v>115086.85127708163</v>
      </c>
      <c r="V88" s="736">
        <f t="shared" si="13"/>
        <v>0</v>
      </c>
      <c r="W88" s="735">
        <f t="shared" si="14"/>
        <v>115086.85127708163</v>
      </c>
      <c r="X88" s="737">
        <f t="shared" si="15"/>
        <v>0</v>
      </c>
      <c r="Y88" s="738">
        <f t="shared" si="16"/>
        <v>0</v>
      </c>
    </row>
    <row r="89" spans="1:25">
      <c r="A89" s="754" t="str">
        <f>'Func Future Subs 2015'!A89</f>
        <v>Ellis 332S</v>
      </c>
      <c r="B89" s="754">
        <f>'Func Future Subs 2015'!B89</f>
        <v>813</v>
      </c>
      <c r="C89" s="754">
        <f>'Func Future Subs 2015'!C89</f>
        <v>138</v>
      </c>
      <c r="D89" s="754">
        <f>'Func Future Subs 2015'!D89</f>
        <v>25</v>
      </c>
      <c r="E89" s="754" t="str">
        <f>'Func Future Subs 2015'!E89</f>
        <v>332S</v>
      </c>
      <c r="F89" s="754">
        <f>'Func Future Subs 2015'!F89</f>
        <v>4802999.9999999981</v>
      </c>
      <c r="G89" s="754" t="str">
        <f>'Func Future Subs 2015'!G89</f>
        <v>AltaLink</v>
      </c>
      <c r="H89" s="754">
        <f>'Func Future Subs 2015'!H89</f>
        <v>2017</v>
      </c>
      <c r="I89" s="306">
        <f>+IF($H89=I$2,VLOOKUP($G89,Depreciation!$A$14:$L$18,7,FALSE)/2,IF($H89&lt;I$2,VLOOKUP($G89,Depreciation!$A$14:$L$18,7,FALSE),0))</f>
        <v>0</v>
      </c>
      <c r="J89" s="306">
        <f>+IF($H89=J$2,VLOOKUP($G89,Depreciation!$A$14:$L$18,8,FALSE)/2,IF($H89&lt;J$2,VLOOKUP($G89,Depreciation!$A$14:$L$18,8,FALSE),0))</f>
        <v>0</v>
      </c>
      <c r="K89" s="306">
        <f>+IF($H89=K$2,VLOOKUP($G89,Depreciation!$A$14:$L$18,9,FALSE)/2,IF($H89&lt;K$2,VLOOKUP($G89,Depreciation!$A$14:$L$18,9,FALSE),0))</f>
        <v>1.671703928371859E-2</v>
      </c>
      <c r="L89" s="306">
        <f>+IF($H89=L$2,VLOOKUP($G89,Depreciation!$A$14:$L$18,10,FALSE)/2,IF($H89&lt;L$2,VLOOKUP($G89,Depreciation!$A$14:$L$18,10,FALSE),0))</f>
        <v>3.343407856743718E-2</v>
      </c>
      <c r="M89" s="306">
        <f>+IF($H89=M$2,VLOOKUP($G89,Depreciation!$A$14:$L$18,11,FALSE)/2,IF($H89&lt;M$2,VLOOKUP($G89,Depreciation!$A$14:$L$18,11,FALSE),0))</f>
        <v>3.343407856743718E-2</v>
      </c>
      <c r="N89" s="306">
        <f>+IF($H89=N$2,VLOOKUP($G89,Depreciation!$A$14:$L$18,12,FALSE)/2,IF($H89&lt;N$2,VLOOKUP($G89,Depreciation!$A$14:$L$18,12,FALSE),0))</f>
        <v>3.343407856743718E-2</v>
      </c>
      <c r="O89" s="307">
        <f t="shared" si="9"/>
        <v>4722708.0603202982</v>
      </c>
      <c r="P89" s="732">
        <f>'Func Future Subs 2015'!P89</f>
        <v>0</v>
      </c>
      <c r="Q89" s="732">
        <f>'Func Future Subs 2015'!Q89</f>
        <v>1</v>
      </c>
      <c r="R89" s="732">
        <f>'Func Future Subs 2015'!R89</f>
        <v>0</v>
      </c>
      <c r="S89" s="735">
        <f t="shared" si="10"/>
        <v>0</v>
      </c>
      <c r="T89" s="735">
        <f t="shared" si="11"/>
        <v>4722708.0603202982</v>
      </c>
      <c r="U89" s="735">
        <f t="shared" si="12"/>
        <v>0</v>
      </c>
      <c r="V89" s="736">
        <f t="shared" si="13"/>
        <v>0</v>
      </c>
      <c r="W89" s="735">
        <f t="shared" si="14"/>
        <v>0</v>
      </c>
      <c r="X89" s="737">
        <f t="shared" si="15"/>
        <v>0</v>
      </c>
      <c r="Y89" s="738">
        <f t="shared" si="16"/>
        <v>4722708.0603202982</v>
      </c>
    </row>
    <row r="90" spans="1:25">
      <c r="A90" s="754" t="str">
        <f>'Func Future Subs 2015'!A90</f>
        <v>Ellis 332S (GD)</v>
      </c>
      <c r="B90" s="754">
        <f>'Func Future Subs 2015'!B90</f>
        <v>813</v>
      </c>
      <c r="C90" s="754">
        <f>'Func Future Subs 2015'!C90</f>
        <v>138</v>
      </c>
      <c r="D90" s="754">
        <f>'Func Future Subs 2015'!D90</f>
        <v>25</v>
      </c>
      <c r="E90" s="754" t="str">
        <f>'Func Future Subs 2015'!E90</f>
        <v>332S</v>
      </c>
      <c r="F90" s="754">
        <f>'Func Future Subs 2015'!F90</f>
        <v>1561153.3637017503</v>
      </c>
      <c r="G90" s="754" t="str">
        <f>'Func Future Subs 2015'!G90</f>
        <v>AltaLink</v>
      </c>
      <c r="H90" s="754">
        <f>'Func Future Subs 2015'!H90</f>
        <v>2017</v>
      </c>
      <c r="I90" s="306">
        <f>+IF($H90=I$2,VLOOKUP($G90,Depreciation!$A$14:$L$18,7,FALSE)/2,IF($H90&lt;I$2,VLOOKUP($G90,Depreciation!$A$14:$L$18,7,FALSE),0))</f>
        <v>0</v>
      </c>
      <c r="J90" s="306">
        <f>+IF($H90=J$2,VLOOKUP($G90,Depreciation!$A$14:$L$18,8,FALSE)/2,IF($H90&lt;J$2,VLOOKUP($G90,Depreciation!$A$14:$L$18,8,FALSE),0))</f>
        <v>0</v>
      </c>
      <c r="K90" s="306">
        <f>+IF($H90=K$2,VLOOKUP($G90,Depreciation!$A$14:$L$18,9,FALSE)/2,IF($H90&lt;K$2,VLOOKUP($G90,Depreciation!$A$14:$L$18,9,FALSE),0))</f>
        <v>1.671703928371859E-2</v>
      </c>
      <c r="L90" s="306">
        <f>+IF($H90=L$2,VLOOKUP($G90,Depreciation!$A$14:$L$18,10,FALSE)/2,IF($H90&lt;L$2,VLOOKUP($G90,Depreciation!$A$14:$L$18,10,FALSE),0))</f>
        <v>3.343407856743718E-2</v>
      </c>
      <c r="M90" s="306">
        <f>+IF($H90=M$2,VLOOKUP($G90,Depreciation!$A$14:$L$18,11,FALSE)/2,IF($H90&lt;M$2,VLOOKUP($G90,Depreciation!$A$14:$L$18,11,FALSE),0))</f>
        <v>3.343407856743718E-2</v>
      </c>
      <c r="N90" s="306">
        <f>+IF($H90=N$2,VLOOKUP($G90,Depreciation!$A$14:$L$18,12,FALSE)/2,IF($H90&lt;N$2,VLOOKUP($G90,Depreciation!$A$14:$L$18,12,FALSE),0))</f>
        <v>3.343407856743718E-2</v>
      </c>
      <c r="O90" s="307">
        <f t="shared" si="9"/>
        <v>1535055.5015928387</v>
      </c>
      <c r="P90" s="732">
        <f>'Func Future Subs 2015'!P90</f>
        <v>0</v>
      </c>
      <c r="Q90" s="732">
        <f>'Func Future Subs 2015'!Q90</f>
        <v>1</v>
      </c>
      <c r="R90" s="732">
        <f>'Func Future Subs 2015'!R90</f>
        <v>0</v>
      </c>
      <c r="S90" s="735">
        <f t="shared" si="10"/>
        <v>0</v>
      </c>
      <c r="T90" s="735">
        <f t="shared" si="11"/>
        <v>1535055.5015928387</v>
      </c>
      <c r="U90" s="735">
        <f t="shared" si="12"/>
        <v>0</v>
      </c>
      <c r="V90" s="736">
        <f t="shared" si="13"/>
        <v>0</v>
      </c>
      <c r="W90" s="735">
        <f t="shared" si="14"/>
        <v>0</v>
      </c>
      <c r="X90" s="737">
        <f t="shared" si="15"/>
        <v>0</v>
      </c>
      <c r="Y90" s="738">
        <f t="shared" si="16"/>
        <v>1535055.5015928387</v>
      </c>
    </row>
    <row r="91" spans="1:25">
      <c r="A91" s="754" t="str">
        <f>'Func Future Subs 2015'!A91</f>
        <v>Gaetz 87S</v>
      </c>
      <c r="B91" s="754">
        <f>'Func Future Subs 2015'!B91</f>
        <v>813</v>
      </c>
      <c r="C91" s="754">
        <f>'Func Future Subs 2015'!C91</f>
        <v>240</v>
      </c>
      <c r="D91" s="754">
        <f>'Func Future Subs 2015'!D91</f>
        <v>138</v>
      </c>
      <c r="E91" s="754" t="str">
        <f>'Func Future Subs 2015'!E91</f>
        <v>87S</v>
      </c>
      <c r="F91" s="754">
        <f>'Func Future Subs 2015'!F91</f>
        <v>3058127.6636590497</v>
      </c>
      <c r="G91" s="754" t="str">
        <f>'Func Future Subs 2015'!G91</f>
        <v>AltaLink</v>
      </c>
      <c r="H91" s="754">
        <f>'Func Future Subs 2015'!H91</f>
        <v>2017</v>
      </c>
      <c r="I91" s="306">
        <f>+IF($H91=I$2,VLOOKUP($G91,Depreciation!$A$14:$L$18,7,FALSE)/2,IF($H91&lt;I$2,VLOOKUP($G91,Depreciation!$A$14:$L$18,7,FALSE),0))</f>
        <v>0</v>
      </c>
      <c r="J91" s="306">
        <f>+IF($H91=J$2,VLOOKUP($G91,Depreciation!$A$14:$L$18,8,FALSE)/2,IF($H91&lt;J$2,VLOOKUP($G91,Depreciation!$A$14:$L$18,8,FALSE),0))</f>
        <v>0</v>
      </c>
      <c r="K91" s="306">
        <f>+IF($H91=K$2,VLOOKUP($G91,Depreciation!$A$14:$L$18,9,FALSE)/2,IF($H91&lt;K$2,VLOOKUP($G91,Depreciation!$A$14:$L$18,9,FALSE),0))</f>
        <v>1.671703928371859E-2</v>
      </c>
      <c r="L91" s="306">
        <f>+IF($H91=L$2,VLOOKUP($G91,Depreciation!$A$14:$L$18,10,FALSE)/2,IF($H91&lt;L$2,VLOOKUP($G91,Depreciation!$A$14:$L$18,10,FALSE),0))</f>
        <v>3.343407856743718E-2</v>
      </c>
      <c r="M91" s="306">
        <f>+IF($H91=M$2,VLOOKUP($G91,Depreciation!$A$14:$L$18,11,FALSE)/2,IF($H91&lt;M$2,VLOOKUP($G91,Depreciation!$A$14:$L$18,11,FALSE),0))</f>
        <v>3.343407856743718E-2</v>
      </c>
      <c r="N91" s="306">
        <f>+IF($H91=N$2,VLOOKUP($G91,Depreciation!$A$14:$L$18,12,FALSE)/2,IF($H91&lt;N$2,VLOOKUP($G91,Depreciation!$A$14:$L$18,12,FALSE),0))</f>
        <v>3.343407856743718E-2</v>
      </c>
      <c r="O91" s="307">
        <f t="shared" si="9"/>
        <v>3007004.8233710346</v>
      </c>
      <c r="P91" s="732">
        <f>'Func Future Subs 2015'!P91</f>
        <v>0</v>
      </c>
      <c r="Q91" s="732">
        <f>'Func Future Subs 2015'!Q91</f>
        <v>0</v>
      </c>
      <c r="R91" s="732">
        <f>'Func Future Subs 2015'!R91</f>
        <v>1</v>
      </c>
      <c r="S91" s="735">
        <f t="shared" si="10"/>
        <v>0</v>
      </c>
      <c r="T91" s="735">
        <f t="shared" si="11"/>
        <v>0</v>
      </c>
      <c r="U91" s="735">
        <f t="shared" si="12"/>
        <v>3007004.8233710346</v>
      </c>
      <c r="V91" s="736">
        <f t="shared" si="13"/>
        <v>0</v>
      </c>
      <c r="W91" s="735">
        <f t="shared" si="14"/>
        <v>0</v>
      </c>
      <c r="X91" s="737">
        <f t="shared" si="15"/>
        <v>3007004.8233710346</v>
      </c>
      <c r="Y91" s="738">
        <f t="shared" si="16"/>
        <v>0</v>
      </c>
    </row>
    <row r="92" spans="1:25">
      <c r="A92" s="754" t="str">
        <f>'Func Future Subs 2015'!A92</f>
        <v>Harmattan 256S</v>
      </c>
      <c r="B92" s="754">
        <f>'Func Future Subs 2015'!B92</f>
        <v>813</v>
      </c>
      <c r="C92" s="754">
        <f>'Func Future Subs 2015'!C92</f>
        <v>240</v>
      </c>
      <c r="D92" s="754">
        <f>'Func Future Subs 2015'!D92</f>
        <v>25</v>
      </c>
      <c r="E92" s="754" t="str">
        <f>'Func Future Subs 2015'!E92</f>
        <v>256S</v>
      </c>
      <c r="F92" s="754">
        <f>'Func Future Subs 2015'!F92</f>
        <v>185892.57252457447</v>
      </c>
      <c r="G92" s="754" t="str">
        <f>'Func Future Subs 2015'!G92</f>
        <v>AltaLink</v>
      </c>
      <c r="H92" s="754">
        <f>'Func Future Subs 2015'!H92</f>
        <v>2017</v>
      </c>
      <c r="I92" s="306">
        <f>+IF($H92=I$2,VLOOKUP($G92,Depreciation!$A$14:$L$18,7,FALSE)/2,IF($H92&lt;I$2,VLOOKUP($G92,Depreciation!$A$14:$L$18,7,FALSE),0))</f>
        <v>0</v>
      </c>
      <c r="J92" s="306">
        <f>+IF($H92=J$2,VLOOKUP($G92,Depreciation!$A$14:$L$18,8,FALSE)/2,IF($H92&lt;J$2,VLOOKUP($G92,Depreciation!$A$14:$L$18,8,FALSE),0))</f>
        <v>0</v>
      </c>
      <c r="K92" s="306">
        <f>+IF($H92=K$2,VLOOKUP($G92,Depreciation!$A$14:$L$18,9,FALSE)/2,IF($H92&lt;K$2,VLOOKUP($G92,Depreciation!$A$14:$L$18,9,FALSE),0))</f>
        <v>1.671703928371859E-2</v>
      </c>
      <c r="L92" s="306">
        <f>+IF($H92=L$2,VLOOKUP($G92,Depreciation!$A$14:$L$18,10,FALSE)/2,IF($H92&lt;L$2,VLOOKUP($G92,Depreciation!$A$14:$L$18,10,FALSE),0))</f>
        <v>3.343407856743718E-2</v>
      </c>
      <c r="M92" s="306">
        <f>+IF($H92=M$2,VLOOKUP($G92,Depreciation!$A$14:$L$18,11,FALSE)/2,IF($H92&lt;M$2,VLOOKUP($G92,Depreciation!$A$14:$L$18,11,FALSE),0))</f>
        <v>3.343407856743718E-2</v>
      </c>
      <c r="N92" s="306">
        <f>+IF($H92=N$2,VLOOKUP($G92,Depreciation!$A$14:$L$18,12,FALSE)/2,IF($H92&lt;N$2,VLOOKUP($G92,Depreciation!$A$14:$L$18,12,FALSE),0))</f>
        <v>3.343407856743718E-2</v>
      </c>
      <c r="O92" s="307">
        <f t="shared" si="9"/>
        <v>182784.99908712966</v>
      </c>
      <c r="P92" s="732">
        <f>'Func Future Subs 2015'!P92</f>
        <v>0.54510993176648981</v>
      </c>
      <c r="Q92" s="732">
        <f>'Func Future Subs 2015'!Q92</f>
        <v>0.45489006823351025</v>
      </c>
      <c r="R92" s="732">
        <f>'Func Future Subs 2015'!R92</f>
        <v>0</v>
      </c>
      <c r="S92" s="735">
        <f t="shared" si="10"/>
        <v>99637.918380323157</v>
      </c>
      <c r="T92" s="735">
        <f t="shared" si="11"/>
        <v>83147.080706806519</v>
      </c>
      <c r="U92" s="735">
        <f t="shared" si="12"/>
        <v>0</v>
      </c>
      <c r="V92" s="736">
        <f t="shared" si="13"/>
        <v>0</v>
      </c>
      <c r="W92" s="735">
        <f t="shared" si="14"/>
        <v>99637.918380323157</v>
      </c>
      <c r="X92" s="737">
        <f t="shared" si="15"/>
        <v>0</v>
      </c>
      <c r="Y92" s="738">
        <f t="shared" si="16"/>
        <v>83147.080706806519</v>
      </c>
    </row>
    <row r="93" spans="1:25">
      <c r="A93" s="754" t="str">
        <f>'Func Future Subs 2015'!A93</f>
        <v>Hazelwood 287S</v>
      </c>
      <c r="B93" s="754">
        <f>'Func Future Subs 2015'!B93</f>
        <v>813</v>
      </c>
      <c r="C93" s="754">
        <f>'Func Future Subs 2015'!C93</f>
        <v>240</v>
      </c>
      <c r="D93" s="754">
        <f>'Func Future Subs 2015'!D93</f>
        <v>0</v>
      </c>
      <c r="E93" s="754" t="str">
        <f>'Func Future Subs 2015'!E93</f>
        <v>287S</v>
      </c>
      <c r="F93" s="754">
        <f>'Func Future Subs 2015'!F93</f>
        <v>24486182.74754256</v>
      </c>
      <c r="G93" s="754" t="str">
        <f>'Func Future Subs 2015'!G93</f>
        <v>AltaLink</v>
      </c>
      <c r="H93" s="754">
        <f>'Func Future Subs 2015'!H93</f>
        <v>2017</v>
      </c>
      <c r="I93" s="306">
        <f>+IF($H93=I$2,VLOOKUP($G93,Depreciation!$A$14:$L$18,7,FALSE)/2,IF($H93&lt;I$2,VLOOKUP($G93,Depreciation!$A$14:$L$18,7,FALSE),0))</f>
        <v>0</v>
      </c>
      <c r="J93" s="306">
        <f>+IF($H93=J$2,VLOOKUP($G93,Depreciation!$A$14:$L$18,8,FALSE)/2,IF($H93&lt;J$2,VLOOKUP($G93,Depreciation!$A$14:$L$18,8,FALSE),0))</f>
        <v>0</v>
      </c>
      <c r="K93" s="306">
        <f>+IF($H93=K$2,VLOOKUP($G93,Depreciation!$A$14:$L$18,9,FALSE)/2,IF($H93&lt;K$2,VLOOKUP($G93,Depreciation!$A$14:$L$18,9,FALSE),0))</f>
        <v>1.671703928371859E-2</v>
      </c>
      <c r="L93" s="306">
        <f>+IF($H93=L$2,VLOOKUP($G93,Depreciation!$A$14:$L$18,10,FALSE)/2,IF($H93&lt;L$2,VLOOKUP($G93,Depreciation!$A$14:$L$18,10,FALSE),0))</f>
        <v>3.343407856743718E-2</v>
      </c>
      <c r="M93" s="306">
        <f>+IF($H93=M$2,VLOOKUP($G93,Depreciation!$A$14:$L$18,11,FALSE)/2,IF($H93&lt;M$2,VLOOKUP($G93,Depreciation!$A$14:$L$18,11,FALSE),0))</f>
        <v>3.343407856743718E-2</v>
      </c>
      <c r="N93" s="306">
        <f>+IF($H93=N$2,VLOOKUP($G93,Depreciation!$A$14:$L$18,12,FALSE)/2,IF($H93&lt;N$2,VLOOKUP($G93,Depreciation!$A$14:$L$18,12,FALSE),0))</f>
        <v>3.343407856743718E-2</v>
      </c>
      <c r="O93" s="307">
        <f t="shared" si="9"/>
        <v>24076846.26864358</v>
      </c>
      <c r="P93" s="732">
        <f>'Func Future Subs 2015'!P93</f>
        <v>0</v>
      </c>
      <c r="Q93" s="732">
        <f>'Func Future Subs 2015'!Q93</f>
        <v>0</v>
      </c>
      <c r="R93" s="732">
        <f>'Func Future Subs 2015'!R93</f>
        <v>1</v>
      </c>
      <c r="S93" s="735">
        <f t="shared" si="10"/>
        <v>0</v>
      </c>
      <c r="T93" s="735">
        <f t="shared" si="11"/>
        <v>0</v>
      </c>
      <c r="U93" s="735">
        <f t="shared" si="12"/>
        <v>24076846.26864358</v>
      </c>
      <c r="V93" s="736">
        <f t="shared" si="13"/>
        <v>24076846.26864358</v>
      </c>
      <c r="W93" s="735">
        <f t="shared" si="14"/>
        <v>0</v>
      </c>
      <c r="X93" s="737">
        <f t="shared" si="15"/>
        <v>0</v>
      </c>
      <c r="Y93" s="738">
        <f t="shared" si="16"/>
        <v>0</v>
      </c>
    </row>
    <row r="94" spans="1:25">
      <c r="A94" s="754" t="str">
        <f>'Func Future Subs 2015'!A94</f>
        <v>Innisfail 214S</v>
      </c>
      <c r="B94" s="754">
        <f>'Func Future Subs 2015'!B94</f>
        <v>813</v>
      </c>
      <c r="C94" s="754">
        <f>'Func Future Subs 2015'!C94</f>
        <v>138</v>
      </c>
      <c r="D94" s="754">
        <f>'Func Future Subs 2015'!D94</f>
        <v>25</v>
      </c>
      <c r="E94" s="754" t="str">
        <f>'Func Future Subs 2015'!E94</f>
        <v>214S</v>
      </c>
      <c r="F94" s="754">
        <f>'Func Future Subs 2015'!F94</f>
        <v>4439045.7827859037</v>
      </c>
      <c r="G94" s="754" t="str">
        <f>'Func Future Subs 2015'!G94</f>
        <v>AltaLink</v>
      </c>
      <c r="H94" s="754">
        <f>'Func Future Subs 2015'!H94</f>
        <v>2017</v>
      </c>
      <c r="I94" s="306">
        <f>+IF($H94=I$2,VLOOKUP($G94,Depreciation!$A$14:$L$18,7,FALSE)/2,IF($H94&lt;I$2,VLOOKUP($G94,Depreciation!$A$14:$L$18,7,FALSE),0))</f>
        <v>0</v>
      </c>
      <c r="J94" s="306">
        <f>+IF($H94=J$2,VLOOKUP($G94,Depreciation!$A$14:$L$18,8,FALSE)/2,IF($H94&lt;J$2,VLOOKUP($G94,Depreciation!$A$14:$L$18,8,FALSE),0))</f>
        <v>0</v>
      </c>
      <c r="K94" s="306">
        <f>+IF($H94=K$2,VLOOKUP($G94,Depreciation!$A$14:$L$18,9,FALSE)/2,IF($H94&lt;K$2,VLOOKUP($G94,Depreciation!$A$14:$L$18,9,FALSE),0))</f>
        <v>1.671703928371859E-2</v>
      </c>
      <c r="L94" s="306">
        <f>+IF($H94=L$2,VLOOKUP($G94,Depreciation!$A$14:$L$18,10,FALSE)/2,IF($H94&lt;L$2,VLOOKUP($G94,Depreciation!$A$14:$L$18,10,FALSE),0))</f>
        <v>3.343407856743718E-2</v>
      </c>
      <c r="M94" s="306">
        <f>+IF($H94=M$2,VLOOKUP($G94,Depreciation!$A$14:$L$18,11,FALSE)/2,IF($H94&lt;M$2,VLOOKUP($G94,Depreciation!$A$14:$L$18,11,FALSE),0))</f>
        <v>3.343407856743718E-2</v>
      </c>
      <c r="N94" s="306">
        <f>+IF($H94=N$2,VLOOKUP($G94,Depreciation!$A$14:$L$18,12,FALSE)/2,IF($H94&lt;N$2,VLOOKUP($G94,Depreciation!$A$14:$L$18,12,FALSE),0))</f>
        <v>3.343407856743718E-2</v>
      </c>
      <c r="O94" s="307">
        <f t="shared" si="9"/>
        <v>4364838.0800528461</v>
      </c>
      <c r="P94" s="732">
        <f>'Func Future Subs 2015'!P94</f>
        <v>0</v>
      </c>
      <c r="Q94" s="732">
        <f>'Func Future Subs 2015'!Q94</f>
        <v>1</v>
      </c>
      <c r="R94" s="732">
        <f>'Func Future Subs 2015'!R94</f>
        <v>0</v>
      </c>
      <c r="S94" s="735">
        <f t="shared" si="10"/>
        <v>0</v>
      </c>
      <c r="T94" s="735">
        <f t="shared" si="11"/>
        <v>4364838.0800528461</v>
      </c>
      <c r="U94" s="735">
        <f t="shared" si="12"/>
        <v>0</v>
      </c>
      <c r="V94" s="736">
        <f t="shared" si="13"/>
        <v>0</v>
      </c>
      <c r="W94" s="735">
        <f t="shared" si="14"/>
        <v>0</v>
      </c>
      <c r="X94" s="737">
        <f t="shared" si="15"/>
        <v>0</v>
      </c>
      <c r="Y94" s="738">
        <f t="shared" si="16"/>
        <v>4364838.0800528461</v>
      </c>
    </row>
    <row r="95" spans="1:25">
      <c r="A95" s="754" t="str">
        <f>'Func Future Subs 2015'!A95</f>
        <v>Joffre 535S</v>
      </c>
      <c r="B95" s="754">
        <f>'Func Future Subs 2015'!B95</f>
        <v>813</v>
      </c>
      <c r="C95" s="754">
        <f>'Func Future Subs 2015'!C95</f>
        <v>138</v>
      </c>
      <c r="D95" s="754">
        <f>'Func Future Subs 2015'!D95</f>
        <v>25</v>
      </c>
      <c r="E95" s="754" t="str">
        <f>'Func Future Subs 2015'!E95</f>
        <v>535S</v>
      </c>
      <c r="F95" s="754">
        <f>'Func Future Subs 2015'!F95</f>
        <v>5110999.9999999963</v>
      </c>
      <c r="G95" s="754" t="str">
        <f>'Func Future Subs 2015'!G95</f>
        <v>AltaLink</v>
      </c>
      <c r="H95" s="754">
        <f>'Func Future Subs 2015'!H95</f>
        <v>2017</v>
      </c>
      <c r="I95" s="306">
        <f>+IF($H95=I$2,VLOOKUP($G95,Depreciation!$A$14:$L$18,7,FALSE)/2,IF($H95&lt;I$2,VLOOKUP($G95,Depreciation!$A$14:$L$18,7,FALSE),0))</f>
        <v>0</v>
      </c>
      <c r="J95" s="306">
        <f>+IF($H95=J$2,VLOOKUP($G95,Depreciation!$A$14:$L$18,8,FALSE)/2,IF($H95&lt;J$2,VLOOKUP($G95,Depreciation!$A$14:$L$18,8,FALSE),0))</f>
        <v>0</v>
      </c>
      <c r="K95" s="306">
        <f>+IF($H95=K$2,VLOOKUP($G95,Depreciation!$A$14:$L$18,9,FALSE)/2,IF($H95&lt;K$2,VLOOKUP($G95,Depreciation!$A$14:$L$18,9,FALSE),0))</f>
        <v>1.671703928371859E-2</v>
      </c>
      <c r="L95" s="306">
        <f>+IF($H95=L$2,VLOOKUP($G95,Depreciation!$A$14:$L$18,10,FALSE)/2,IF($H95&lt;L$2,VLOOKUP($G95,Depreciation!$A$14:$L$18,10,FALSE),0))</f>
        <v>3.343407856743718E-2</v>
      </c>
      <c r="M95" s="306">
        <f>+IF($H95=M$2,VLOOKUP($G95,Depreciation!$A$14:$L$18,11,FALSE)/2,IF($H95&lt;M$2,VLOOKUP($G95,Depreciation!$A$14:$L$18,11,FALSE),0))</f>
        <v>3.343407856743718E-2</v>
      </c>
      <c r="N95" s="306">
        <f>+IF($H95=N$2,VLOOKUP($G95,Depreciation!$A$14:$L$18,12,FALSE)/2,IF($H95&lt;N$2,VLOOKUP($G95,Depreciation!$A$14:$L$18,12,FALSE),0))</f>
        <v>3.343407856743718E-2</v>
      </c>
      <c r="O95" s="307">
        <f t="shared" si="9"/>
        <v>5025559.2122209109</v>
      </c>
      <c r="P95" s="732">
        <f>'Func Future Subs 2015'!P95</f>
        <v>0.7403207006269098</v>
      </c>
      <c r="Q95" s="732">
        <f>'Func Future Subs 2015'!Q95</f>
        <v>0.25967929937309009</v>
      </c>
      <c r="R95" s="732">
        <f>'Func Future Subs 2015'!R95</f>
        <v>0</v>
      </c>
      <c r="S95" s="735">
        <f t="shared" si="10"/>
        <v>3720525.5170334056</v>
      </c>
      <c r="T95" s="735">
        <f t="shared" si="11"/>
        <v>1305033.6951875046</v>
      </c>
      <c r="U95" s="735">
        <f t="shared" si="12"/>
        <v>0</v>
      </c>
      <c r="V95" s="736">
        <f t="shared" si="13"/>
        <v>0</v>
      </c>
      <c r="W95" s="735">
        <f t="shared" si="14"/>
        <v>3720525.5170334056</v>
      </c>
      <c r="X95" s="737">
        <f t="shared" si="15"/>
        <v>0</v>
      </c>
      <c r="Y95" s="738">
        <f t="shared" si="16"/>
        <v>1305033.6951875046</v>
      </c>
    </row>
    <row r="96" spans="1:25">
      <c r="A96" s="754" t="str">
        <f>'Func Future Subs 2015'!A96</f>
        <v xml:space="preserve">Joffre 535S  </v>
      </c>
      <c r="B96" s="754">
        <f>'Func Future Subs 2015'!B96</f>
        <v>813</v>
      </c>
      <c r="C96" s="754">
        <f>'Func Future Subs 2015'!C96</f>
        <v>138</v>
      </c>
      <c r="D96" s="754">
        <f>'Func Future Subs 2015'!D96</f>
        <v>25</v>
      </c>
      <c r="E96" s="754" t="str">
        <f>'Func Future Subs 2015'!E96</f>
        <v>535S</v>
      </c>
      <c r="F96" s="754">
        <f>'Func Future Subs 2015'!F96</f>
        <v>974788.85374631989</v>
      </c>
      <c r="G96" s="754" t="str">
        <f>'Func Future Subs 2015'!G96</f>
        <v>AltaLink</v>
      </c>
      <c r="H96" s="754">
        <f>'Func Future Subs 2015'!H96</f>
        <v>2017</v>
      </c>
      <c r="I96" s="306">
        <f>+IF($H96=I$2,VLOOKUP($G96,Depreciation!$A$14:$L$18,7,FALSE)/2,IF($H96&lt;I$2,VLOOKUP($G96,Depreciation!$A$14:$L$18,7,FALSE),0))</f>
        <v>0</v>
      </c>
      <c r="J96" s="306">
        <f>+IF($H96=J$2,VLOOKUP($G96,Depreciation!$A$14:$L$18,8,FALSE)/2,IF($H96&lt;J$2,VLOOKUP($G96,Depreciation!$A$14:$L$18,8,FALSE),0))</f>
        <v>0</v>
      </c>
      <c r="K96" s="306">
        <f>+IF($H96=K$2,VLOOKUP($G96,Depreciation!$A$14:$L$18,9,FALSE)/2,IF($H96&lt;K$2,VLOOKUP($G96,Depreciation!$A$14:$L$18,9,FALSE),0))</f>
        <v>1.671703928371859E-2</v>
      </c>
      <c r="L96" s="306">
        <f>+IF($H96=L$2,VLOOKUP($G96,Depreciation!$A$14:$L$18,10,FALSE)/2,IF($H96&lt;L$2,VLOOKUP($G96,Depreciation!$A$14:$L$18,10,FALSE),0))</f>
        <v>3.343407856743718E-2</v>
      </c>
      <c r="M96" s="306">
        <f>+IF($H96=M$2,VLOOKUP($G96,Depreciation!$A$14:$L$18,11,FALSE)/2,IF($H96&lt;M$2,VLOOKUP($G96,Depreciation!$A$14:$L$18,11,FALSE),0))</f>
        <v>3.343407856743718E-2</v>
      </c>
      <c r="N96" s="306">
        <f>+IF($H96=N$2,VLOOKUP($G96,Depreciation!$A$14:$L$18,12,FALSE)/2,IF($H96&lt;N$2,VLOOKUP($G96,Depreciation!$A$14:$L$18,12,FALSE),0))</f>
        <v>3.343407856743718E-2</v>
      </c>
      <c r="O96" s="307">
        <f t="shared" si="9"/>
        <v>958493.27018491167</v>
      </c>
      <c r="P96" s="732">
        <f>'Func Future Subs 2015'!P96</f>
        <v>0.7403207006269098</v>
      </c>
      <c r="Q96" s="732">
        <f>'Func Future Subs 2015'!Q96</f>
        <v>0.25967929937309009</v>
      </c>
      <c r="R96" s="732">
        <f>'Func Future Subs 2015'!R96</f>
        <v>0</v>
      </c>
      <c r="S96" s="735">
        <f t="shared" si="10"/>
        <v>709592.40932947176</v>
      </c>
      <c r="T96" s="735">
        <f t="shared" si="11"/>
        <v>248900.86085543979</v>
      </c>
      <c r="U96" s="735">
        <f t="shared" si="12"/>
        <v>0</v>
      </c>
      <c r="V96" s="736">
        <f t="shared" si="13"/>
        <v>0</v>
      </c>
      <c r="W96" s="735">
        <f t="shared" si="14"/>
        <v>709592.40932947176</v>
      </c>
      <c r="X96" s="737">
        <f t="shared" si="15"/>
        <v>0</v>
      </c>
      <c r="Y96" s="738">
        <f t="shared" si="16"/>
        <v>248900.86085543979</v>
      </c>
    </row>
    <row r="97" spans="1:25">
      <c r="A97" s="754" t="str">
        <f>'Func Future Subs 2015'!A97</f>
        <v>Johnson 281S</v>
      </c>
      <c r="B97" s="754">
        <f>'Func Future Subs 2015'!B97</f>
        <v>813</v>
      </c>
      <c r="C97" s="754">
        <f>'Func Future Subs 2015'!C97</f>
        <v>240</v>
      </c>
      <c r="D97" s="754">
        <f>'Func Future Subs 2015'!D97</f>
        <v>138</v>
      </c>
      <c r="E97" s="754" t="str">
        <f>'Func Future Subs 2015'!E97</f>
        <v>281S</v>
      </c>
      <c r="F97" s="754">
        <f>'Func Future Subs 2015'!F97</f>
        <v>27577507.379525296</v>
      </c>
      <c r="G97" s="754" t="str">
        <f>'Func Future Subs 2015'!G97</f>
        <v>AltaLink</v>
      </c>
      <c r="H97" s="754">
        <f>'Func Future Subs 2015'!H97</f>
        <v>2017</v>
      </c>
      <c r="I97" s="306">
        <f>+IF($H97=I$2,VLOOKUP($G97,Depreciation!$A$14:$L$18,7,FALSE)/2,IF($H97&lt;I$2,VLOOKUP($G97,Depreciation!$A$14:$L$18,7,FALSE),0))</f>
        <v>0</v>
      </c>
      <c r="J97" s="306">
        <f>+IF($H97=J$2,VLOOKUP($G97,Depreciation!$A$14:$L$18,8,FALSE)/2,IF($H97&lt;J$2,VLOOKUP($G97,Depreciation!$A$14:$L$18,8,FALSE),0))</f>
        <v>0</v>
      </c>
      <c r="K97" s="306">
        <f>+IF($H97=K$2,VLOOKUP($G97,Depreciation!$A$14:$L$18,9,FALSE)/2,IF($H97&lt;K$2,VLOOKUP($G97,Depreciation!$A$14:$L$18,9,FALSE),0))</f>
        <v>1.671703928371859E-2</v>
      </c>
      <c r="L97" s="306">
        <f>+IF($H97=L$2,VLOOKUP($G97,Depreciation!$A$14:$L$18,10,FALSE)/2,IF($H97&lt;L$2,VLOOKUP($G97,Depreciation!$A$14:$L$18,10,FALSE),0))</f>
        <v>3.343407856743718E-2</v>
      </c>
      <c r="M97" s="306">
        <f>+IF($H97=M$2,VLOOKUP($G97,Depreciation!$A$14:$L$18,11,FALSE)/2,IF($H97&lt;M$2,VLOOKUP($G97,Depreciation!$A$14:$L$18,11,FALSE),0))</f>
        <v>3.343407856743718E-2</v>
      </c>
      <c r="N97" s="306">
        <f>+IF($H97=N$2,VLOOKUP($G97,Depreciation!$A$14:$L$18,12,FALSE)/2,IF($H97&lt;N$2,VLOOKUP($G97,Depreciation!$A$14:$L$18,12,FALSE),0))</f>
        <v>3.343407856743718E-2</v>
      </c>
      <c r="O97" s="307">
        <f t="shared" si="9"/>
        <v>27116493.105314732</v>
      </c>
      <c r="P97" s="732">
        <f>'Func Future Subs 2015'!P97</f>
        <v>0</v>
      </c>
      <c r="Q97" s="732">
        <f>'Func Future Subs 2015'!Q97</f>
        <v>0</v>
      </c>
      <c r="R97" s="732">
        <f>'Func Future Subs 2015'!R97</f>
        <v>1</v>
      </c>
      <c r="S97" s="735">
        <f t="shared" si="10"/>
        <v>0</v>
      </c>
      <c r="T97" s="735">
        <f t="shared" si="11"/>
        <v>0</v>
      </c>
      <c r="U97" s="735">
        <f t="shared" si="12"/>
        <v>27116493.105314732</v>
      </c>
      <c r="V97" s="736">
        <f t="shared" si="13"/>
        <v>0</v>
      </c>
      <c r="W97" s="735">
        <f t="shared" si="14"/>
        <v>0</v>
      </c>
      <c r="X97" s="737">
        <f t="shared" si="15"/>
        <v>27116493.105314732</v>
      </c>
      <c r="Y97" s="738">
        <f t="shared" si="16"/>
        <v>0</v>
      </c>
    </row>
    <row r="98" spans="1:25">
      <c r="A98" s="754" t="str">
        <f>'Func Future Subs 2015'!A98</f>
        <v>N.E. Lacombe 212S</v>
      </c>
      <c r="B98" s="754">
        <f>'Func Future Subs 2015'!B98</f>
        <v>813</v>
      </c>
      <c r="C98" s="754">
        <f>'Func Future Subs 2015'!C98</f>
        <v>138</v>
      </c>
      <c r="D98" s="754">
        <f>'Func Future Subs 2015'!D98</f>
        <v>25</v>
      </c>
      <c r="E98" s="754" t="str">
        <f>'Func Future Subs 2015'!E98</f>
        <v>212S</v>
      </c>
      <c r="F98" s="754">
        <f>'Func Future Subs 2015'!F98</f>
        <v>5363344.9628386488</v>
      </c>
      <c r="G98" s="754" t="str">
        <f>'Func Future Subs 2015'!G98</f>
        <v>AltaLink</v>
      </c>
      <c r="H98" s="754">
        <f>'Func Future Subs 2015'!H98</f>
        <v>2017</v>
      </c>
      <c r="I98" s="306">
        <f>+IF($H98=I$2,VLOOKUP($G98,Depreciation!$A$14:$L$18,7,FALSE)/2,IF($H98&lt;I$2,VLOOKUP($G98,Depreciation!$A$14:$L$18,7,FALSE),0))</f>
        <v>0</v>
      </c>
      <c r="J98" s="306">
        <f>+IF($H98=J$2,VLOOKUP($G98,Depreciation!$A$14:$L$18,8,FALSE)/2,IF($H98&lt;J$2,VLOOKUP($G98,Depreciation!$A$14:$L$18,8,FALSE),0))</f>
        <v>0</v>
      </c>
      <c r="K98" s="306">
        <f>+IF($H98=K$2,VLOOKUP($G98,Depreciation!$A$14:$L$18,9,FALSE)/2,IF($H98&lt;K$2,VLOOKUP($G98,Depreciation!$A$14:$L$18,9,FALSE),0))</f>
        <v>1.671703928371859E-2</v>
      </c>
      <c r="L98" s="306">
        <f>+IF($H98=L$2,VLOOKUP($G98,Depreciation!$A$14:$L$18,10,FALSE)/2,IF($H98&lt;L$2,VLOOKUP($G98,Depreciation!$A$14:$L$18,10,FALSE),0))</f>
        <v>3.343407856743718E-2</v>
      </c>
      <c r="M98" s="306">
        <f>+IF($H98=M$2,VLOOKUP($G98,Depreciation!$A$14:$L$18,11,FALSE)/2,IF($H98&lt;M$2,VLOOKUP($G98,Depreciation!$A$14:$L$18,11,FALSE),0))</f>
        <v>3.343407856743718E-2</v>
      </c>
      <c r="N98" s="306">
        <f>+IF($H98=N$2,VLOOKUP($G98,Depreciation!$A$14:$L$18,12,FALSE)/2,IF($H98&lt;N$2,VLOOKUP($G98,Depreciation!$A$14:$L$18,12,FALSE),0))</f>
        <v>3.343407856743718E-2</v>
      </c>
      <c r="O98" s="307">
        <f t="shared" si="9"/>
        <v>5273685.7144027408</v>
      </c>
      <c r="P98" s="732">
        <f>'Func Future Subs 2015'!P98</f>
        <v>0</v>
      </c>
      <c r="Q98" s="732">
        <f>'Func Future Subs 2015'!Q98</f>
        <v>1</v>
      </c>
      <c r="R98" s="732">
        <f>'Func Future Subs 2015'!R98</f>
        <v>0</v>
      </c>
      <c r="S98" s="735">
        <f t="shared" si="10"/>
        <v>0</v>
      </c>
      <c r="T98" s="735">
        <f t="shared" si="11"/>
        <v>5273685.7144027408</v>
      </c>
      <c r="U98" s="735">
        <f t="shared" si="12"/>
        <v>0</v>
      </c>
      <c r="V98" s="736">
        <f t="shared" si="13"/>
        <v>0</v>
      </c>
      <c r="W98" s="735">
        <f t="shared" si="14"/>
        <v>0</v>
      </c>
      <c r="X98" s="737">
        <f t="shared" si="15"/>
        <v>0</v>
      </c>
      <c r="Y98" s="738">
        <f t="shared" si="16"/>
        <v>5273685.7144027408</v>
      </c>
    </row>
    <row r="99" spans="1:25">
      <c r="A99" s="754" t="str">
        <f>'Func Future Subs 2015'!A99</f>
        <v>New 240/138kV Substation Hazelwood 287S</v>
      </c>
      <c r="B99" s="754">
        <f>'Func Future Subs 2015'!B99</f>
        <v>813</v>
      </c>
      <c r="C99" s="754">
        <f>'Func Future Subs 2015'!C99</f>
        <v>240</v>
      </c>
      <c r="D99" s="754">
        <f>'Func Future Subs 2015'!D99</f>
        <v>0</v>
      </c>
      <c r="E99" s="754" t="str">
        <f>'Func Future Subs 2015'!E99</f>
        <v>287S</v>
      </c>
      <c r="F99" s="754">
        <f>'Func Future Subs 2015'!F99</f>
        <v>19156315.519322906</v>
      </c>
      <c r="G99" s="754" t="str">
        <f>'Func Future Subs 2015'!G99</f>
        <v>AltaLink</v>
      </c>
      <c r="H99" s="754">
        <f>'Func Future Subs 2015'!H99</f>
        <v>2017</v>
      </c>
      <c r="I99" s="306">
        <f>+IF($H99=I$2,VLOOKUP($G99,Depreciation!$A$14:$L$18,7,FALSE)/2,IF($H99&lt;I$2,VLOOKUP($G99,Depreciation!$A$14:$L$18,7,FALSE),0))</f>
        <v>0</v>
      </c>
      <c r="J99" s="306">
        <f>+IF($H99=J$2,VLOOKUP($G99,Depreciation!$A$14:$L$18,8,FALSE)/2,IF($H99&lt;J$2,VLOOKUP($G99,Depreciation!$A$14:$L$18,8,FALSE),0))</f>
        <v>0</v>
      </c>
      <c r="K99" s="306">
        <f>+IF($H99=K$2,VLOOKUP($G99,Depreciation!$A$14:$L$18,9,FALSE)/2,IF($H99&lt;K$2,VLOOKUP($G99,Depreciation!$A$14:$L$18,9,FALSE),0))</f>
        <v>1.671703928371859E-2</v>
      </c>
      <c r="L99" s="306">
        <f>+IF($H99=L$2,VLOOKUP($G99,Depreciation!$A$14:$L$18,10,FALSE)/2,IF($H99&lt;L$2,VLOOKUP($G99,Depreciation!$A$14:$L$18,10,FALSE),0))</f>
        <v>3.343407856743718E-2</v>
      </c>
      <c r="M99" s="306">
        <f>+IF($H99=M$2,VLOOKUP($G99,Depreciation!$A$14:$L$18,11,FALSE)/2,IF($H99&lt;M$2,VLOOKUP($G99,Depreciation!$A$14:$L$18,11,FALSE),0))</f>
        <v>3.343407856743718E-2</v>
      </c>
      <c r="N99" s="306">
        <f>+IF($H99=N$2,VLOOKUP($G99,Depreciation!$A$14:$L$18,12,FALSE)/2,IF($H99&lt;N$2,VLOOKUP($G99,Depreciation!$A$14:$L$18,12,FALSE),0))</f>
        <v>3.343407856743718E-2</v>
      </c>
      <c r="O99" s="307">
        <f t="shared" si="9"/>
        <v>18836078.640255075</v>
      </c>
      <c r="P99" s="732">
        <f>'Func Future Subs 2015'!P99</f>
        <v>0</v>
      </c>
      <c r="Q99" s="732">
        <f>'Func Future Subs 2015'!Q99</f>
        <v>0</v>
      </c>
      <c r="R99" s="732">
        <f>'Func Future Subs 2015'!R99</f>
        <v>1</v>
      </c>
      <c r="S99" s="735">
        <f t="shared" si="10"/>
        <v>0</v>
      </c>
      <c r="T99" s="735">
        <f t="shared" si="11"/>
        <v>0</v>
      </c>
      <c r="U99" s="735">
        <f t="shared" si="12"/>
        <v>18836078.640255075</v>
      </c>
      <c r="V99" s="736">
        <f t="shared" si="13"/>
        <v>18836078.640255075</v>
      </c>
      <c r="W99" s="735">
        <f t="shared" si="14"/>
        <v>0</v>
      </c>
      <c r="X99" s="737">
        <f t="shared" si="15"/>
        <v>0</v>
      </c>
      <c r="Y99" s="738">
        <f t="shared" si="16"/>
        <v>0</v>
      </c>
    </row>
    <row r="100" spans="1:25">
      <c r="A100" s="754" t="str">
        <f>'Func Future Subs 2015'!A100</f>
        <v>New 240/138kV Substation Johnson 281S</v>
      </c>
      <c r="B100" s="754">
        <f>'Func Future Subs 2015'!B100</f>
        <v>813</v>
      </c>
      <c r="C100" s="754">
        <f>'Func Future Subs 2015'!C100</f>
        <v>240</v>
      </c>
      <c r="D100" s="754">
        <f>'Func Future Subs 2015'!D100</f>
        <v>138</v>
      </c>
      <c r="E100" s="754" t="str">
        <f>'Func Future Subs 2015'!E100</f>
        <v>281S</v>
      </c>
      <c r="F100" s="754">
        <f>'Func Future Subs 2015'!F100</f>
        <v>20096056.343237866</v>
      </c>
      <c r="G100" s="754" t="str">
        <f>'Func Future Subs 2015'!G100</f>
        <v>AltaLink</v>
      </c>
      <c r="H100" s="754">
        <f>'Func Future Subs 2015'!H100</f>
        <v>2017</v>
      </c>
      <c r="I100" s="306">
        <f>+IF($H100=I$2,VLOOKUP($G100,Depreciation!$A$14:$L$18,7,FALSE)/2,IF($H100&lt;I$2,VLOOKUP($G100,Depreciation!$A$14:$L$18,7,FALSE),0))</f>
        <v>0</v>
      </c>
      <c r="J100" s="306">
        <f>+IF($H100=J$2,VLOOKUP($G100,Depreciation!$A$14:$L$18,8,FALSE)/2,IF($H100&lt;J$2,VLOOKUP($G100,Depreciation!$A$14:$L$18,8,FALSE),0))</f>
        <v>0</v>
      </c>
      <c r="K100" s="306">
        <f>+IF($H100=K$2,VLOOKUP($G100,Depreciation!$A$14:$L$18,9,FALSE)/2,IF($H100&lt;K$2,VLOOKUP($G100,Depreciation!$A$14:$L$18,9,FALSE),0))</f>
        <v>1.671703928371859E-2</v>
      </c>
      <c r="L100" s="306">
        <f>+IF($H100=L$2,VLOOKUP($G100,Depreciation!$A$14:$L$18,10,FALSE)/2,IF($H100&lt;L$2,VLOOKUP($G100,Depreciation!$A$14:$L$18,10,FALSE),0))</f>
        <v>3.343407856743718E-2</v>
      </c>
      <c r="M100" s="306">
        <f>+IF($H100=M$2,VLOOKUP($G100,Depreciation!$A$14:$L$18,11,FALSE)/2,IF($H100&lt;M$2,VLOOKUP($G100,Depreciation!$A$14:$L$18,11,FALSE),0))</f>
        <v>3.343407856743718E-2</v>
      </c>
      <c r="N100" s="306">
        <f>+IF($H100=N$2,VLOOKUP($G100,Depreciation!$A$14:$L$18,12,FALSE)/2,IF($H100&lt;N$2,VLOOKUP($G100,Depreciation!$A$14:$L$18,12,FALSE),0))</f>
        <v>3.343407856743718E-2</v>
      </c>
      <c r="O100" s="307">
        <f t="shared" si="9"/>
        <v>19760109.779900137</v>
      </c>
      <c r="P100" s="732">
        <f>'Func Future Subs 2015'!P100</f>
        <v>0</v>
      </c>
      <c r="Q100" s="732">
        <f>'Func Future Subs 2015'!Q100</f>
        <v>0</v>
      </c>
      <c r="R100" s="732">
        <f>'Func Future Subs 2015'!R100</f>
        <v>1</v>
      </c>
      <c r="S100" s="735">
        <f t="shared" si="10"/>
        <v>0</v>
      </c>
      <c r="T100" s="735">
        <f t="shared" si="11"/>
        <v>0</v>
      </c>
      <c r="U100" s="735">
        <f t="shared" si="12"/>
        <v>19760109.779900137</v>
      </c>
      <c r="V100" s="736">
        <f t="shared" si="13"/>
        <v>0</v>
      </c>
      <c r="W100" s="735">
        <f t="shared" si="14"/>
        <v>0</v>
      </c>
      <c r="X100" s="737">
        <f t="shared" si="15"/>
        <v>19760109.779900137</v>
      </c>
      <c r="Y100" s="738">
        <f t="shared" si="16"/>
        <v>0</v>
      </c>
    </row>
    <row r="101" spans="1:25">
      <c r="A101" s="754" t="str">
        <f>'Func Future Subs 2015'!A101</f>
        <v>New 240/138kV Substation Wolf Creek 288S</v>
      </c>
      <c r="B101" s="754">
        <f>'Func Future Subs 2015'!B101</f>
        <v>813</v>
      </c>
      <c r="C101" s="754">
        <f>'Func Future Subs 2015'!C101</f>
        <v>240</v>
      </c>
      <c r="D101" s="754">
        <f>'Func Future Subs 2015'!D101</f>
        <v>138</v>
      </c>
      <c r="E101" s="754" t="str">
        <f>'Func Future Subs 2015'!E101</f>
        <v>288S</v>
      </c>
      <c r="F101" s="754">
        <f>'Func Future Subs 2015'!F101</f>
        <v>16806672.487195268</v>
      </c>
      <c r="G101" s="754" t="str">
        <f>'Func Future Subs 2015'!G101</f>
        <v>AltaLink</v>
      </c>
      <c r="H101" s="754">
        <f>'Func Future Subs 2015'!H101</f>
        <v>2017</v>
      </c>
      <c r="I101" s="306">
        <f>+IF($H101=I$2,VLOOKUP($G101,Depreciation!$A$14:$L$18,7,FALSE)/2,IF($H101&lt;I$2,VLOOKUP($G101,Depreciation!$A$14:$L$18,7,FALSE),0))</f>
        <v>0</v>
      </c>
      <c r="J101" s="306">
        <f>+IF($H101=J$2,VLOOKUP($G101,Depreciation!$A$14:$L$18,8,FALSE)/2,IF($H101&lt;J$2,VLOOKUP($G101,Depreciation!$A$14:$L$18,8,FALSE),0))</f>
        <v>0</v>
      </c>
      <c r="K101" s="306">
        <f>+IF($H101=K$2,VLOOKUP($G101,Depreciation!$A$14:$L$18,9,FALSE)/2,IF($H101&lt;K$2,VLOOKUP($G101,Depreciation!$A$14:$L$18,9,FALSE),0))</f>
        <v>1.671703928371859E-2</v>
      </c>
      <c r="L101" s="306">
        <f>+IF($H101=L$2,VLOOKUP($G101,Depreciation!$A$14:$L$18,10,FALSE)/2,IF($H101&lt;L$2,VLOOKUP($G101,Depreciation!$A$14:$L$18,10,FALSE),0))</f>
        <v>3.343407856743718E-2</v>
      </c>
      <c r="M101" s="306">
        <f>+IF($H101=M$2,VLOOKUP($G101,Depreciation!$A$14:$L$18,11,FALSE)/2,IF($H101&lt;M$2,VLOOKUP($G101,Depreciation!$A$14:$L$18,11,FALSE),0))</f>
        <v>3.343407856743718E-2</v>
      </c>
      <c r="N101" s="306">
        <f>+IF($H101=N$2,VLOOKUP($G101,Depreciation!$A$14:$L$18,12,FALSE)/2,IF($H101&lt;N$2,VLOOKUP($G101,Depreciation!$A$14:$L$18,12,FALSE),0))</f>
        <v>3.343407856743718E-2</v>
      </c>
      <c r="O101" s="307">
        <f t="shared" si="9"/>
        <v>16525714.682998233</v>
      </c>
      <c r="P101" s="732">
        <f>'Func Future Subs 2015'!P101</f>
        <v>0</v>
      </c>
      <c r="Q101" s="732">
        <f>'Func Future Subs 2015'!Q101</f>
        <v>0</v>
      </c>
      <c r="R101" s="732">
        <f>'Func Future Subs 2015'!R101</f>
        <v>1</v>
      </c>
      <c r="S101" s="735">
        <f t="shared" si="10"/>
        <v>0</v>
      </c>
      <c r="T101" s="735">
        <f t="shared" si="11"/>
        <v>0</v>
      </c>
      <c r="U101" s="735">
        <f t="shared" si="12"/>
        <v>16525714.682998233</v>
      </c>
      <c r="V101" s="736">
        <f t="shared" si="13"/>
        <v>0</v>
      </c>
      <c r="W101" s="735">
        <f t="shared" si="14"/>
        <v>0</v>
      </c>
      <c r="X101" s="737">
        <f t="shared" si="15"/>
        <v>16525714.682998233</v>
      </c>
      <c r="Y101" s="738">
        <f t="shared" si="16"/>
        <v>0</v>
      </c>
    </row>
    <row r="102" spans="1:25">
      <c r="A102" s="754" t="str">
        <f>'Func Future Subs 2015'!A102</f>
        <v>New additions at Gaetz 87S</v>
      </c>
      <c r="B102" s="754">
        <f>'Func Future Subs 2015'!B102</f>
        <v>813</v>
      </c>
      <c r="C102" s="754">
        <f>'Func Future Subs 2015'!C102</f>
        <v>240</v>
      </c>
      <c r="D102" s="754">
        <f>'Func Future Subs 2015'!D102</f>
        <v>138</v>
      </c>
      <c r="E102" s="754" t="str">
        <f>'Func Future Subs 2015'!E102</f>
        <v>87S</v>
      </c>
      <c r="F102" s="754">
        <f>'Func Future Subs 2015'!F102</f>
        <v>2595668.490111751</v>
      </c>
      <c r="G102" s="754" t="str">
        <f>'Func Future Subs 2015'!G102</f>
        <v>AltaLink</v>
      </c>
      <c r="H102" s="754">
        <f>'Func Future Subs 2015'!H102</f>
        <v>2017</v>
      </c>
      <c r="I102" s="306">
        <f>+IF($H102=I$2,VLOOKUP($G102,Depreciation!$A$14:$L$18,7,FALSE)/2,IF($H102&lt;I$2,VLOOKUP($G102,Depreciation!$A$14:$L$18,7,FALSE),0))</f>
        <v>0</v>
      </c>
      <c r="J102" s="306">
        <f>+IF($H102=J$2,VLOOKUP($G102,Depreciation!$A$14:$L$18,8,FALSE)/2,IF($H102&lt;J$2,VLOOKUP($G102,Depreciation!$A$14:$L$18,8,FALSE),0))</f>
        <v>0</v>
      </c>
      <c r="K102" s="306">
        <f>+IF($H102=K$2,VLOOKUP($G102,Depreciation!$A$14:$L$18,9,FALSE)/2,IF($H102&lt;K$2,VLOOKUP($G102,Depreciation!$A$14:$L$18,9,FALSE),0))</f>
        <v>1.671703928371859E-2</v>
      </c>
      <c r="L102" s="306">
        <f>+IF($H102=L$2,VLOOKUP($G102,Depreciation!$A$14:$L$18,10,FALSE)/2,IF($H102&lt;L$2,VLOOKUP($G102,Depreciation!$A$14:$L$18,10,FALSE),0))</f>
        <v>3.343407856743718E-2</v>
      </c>
      <c r="M102" s="306">
        <f>+IF($H102=M$2,VLOOKUP($G102,Depreciation!$A$14:$L$18,11,FALSE)/2,IF($H102&lt;M$2,VLOOKUP($G102,Depreciation!$A$14:$L$18,11,FALSE),0))</f>
        <v>3.343407856743718E-2</v>
      </c>
      <c r="N102" s="306">
        <f>+IF($H102=N$2,VLOOKUP($G102,Depreciation!$A$14:$L$18,12,FALSE)/2,IF($H102&lt;N$2,VLOOKUP($G102,Depreciation!$A$14:$L$18,12,FALSE),0))</f>
        <v>3.343407856743718E-2</v>
      </c>
      <c r="O102" s="307">
        <f t="shared" si="9"/>
        <v>2552276.5979950423</v>
      </c>
      <c r="P102" s="732">
        <f>'Func Future Subs 2015'!P102</f>
        <v>0</v>
      </c>
      <c r="Q102" s="732">
        <f>'Func Future Subs 2015'!Q102</f>
        <v>0</v>
      </c>
      <c r="R102" s="732">
        <f>'Func Future Subs 2015'!R102</f>
        <v>1</v>
      </c>
      <c r="S102" s="735">
        <f t="shared" si="10"/>
        <v>0</v>
      </c>
      <c r="T102" s="735">
        <f t="shared" si="11"/>
        <v>0</v>
      </c>
      <c r="U102" s="735">
        <f t="shared" si="12"/>
        <v>2552276.5979950423</v>
      </c>
      <c r="V102" s="736">
        <f t="shared" si="13"/>
        <v>0</v>
      </c>
      <c r="W102" s="735">
        <f t="shared" si="14"/>
        <v>0</v>
      </c>
      <c r="X102" s="737">
        <f t="shared" si="15"/>
        <v>2552276.5979950423</v>
      </c>
      <c r="Y102" s="738">
        <f t="shared" si="16"/>
        <v>0</v>
      </c>
    </row>
    <row r="103" spans="1:25">
      <c r="A103" s="754" t="str">
        <f>'Func Future Subs 2015'!A103</f>
        <v>New additions at N.E Lacombe 212S</v>
      </c>
      <c r="B103" s="754">
        <f>'Func Future Subs 2015'!B103</f>
        <v>813</v>
      </c>
      <c r="C103" s="754">
        <f>'Func Future Subs 2015'!C103</f>
        <v>138</v>
      </c>
      <c r="D103" s="754">
        <f>'Func Future Subs 2015'!D103</f>
        <v>25</v>
      </c>
      <c r="E103" s="754" t="str">
        <f>'Func Future Subs 2015'!E103</f>
        <v>212S</v>
      </c>
      <c r="F103" s="754">
        <f>'Func Future Subs 2015'!F103</f>
        <v>3773036.0916385679</v>
      </c>
      <c r="G103" s="754" t="str">
        <f>'Func Future Subs 2015'!G103</f>
        <v>AltaLink</v>
      </c>
      <c r="H103" s="754">
        <f>'Func Future Subs 2015'!H103</f>
        <v>2017</v>
      </c>
      <c r="I103" s="306">
        <f>+IF($H103=I$2,VLOOKUP($G103,Depreciation!$A$14:$L$18,7,FALSE)/2,IF($H103&lt;I$2,VLOOKUP($G103,Depreciation!$A$14:$L$18,7,FALSE),0))</f>
        <v>0</v>
      </c>
      <c r="J103" s="306">
        <f>+IF($H103=J$2,VLOOKUP($G103,Depreciation!$A$14:$L$18,8,FALSE)/2,IF($H103&lt;J$2,VLOOKUP($G103,Depreciation!$A$14:$L$18,8,FALSE),0))</f>
        <v>0</v>
      </c>
      <c r="K103" s="306">
        <f>+IF($H103=K$2,VLOOKUP($G103,Depreciation!$A$14:$L$18,9,FALSE)/2,IF($H103&lt;K$2,VLOOKUP($G103,Depreciation!$A$14:$L$18,9,FALSE),0))</f>
        <v>1.671703928371859E-2</v>
      </c>
      <c r="L103" s="306">
        <f>+IF($H103=L$2,VLOOKUP($G103,Depreciation!$A$14:$L$18,10,FALSE)/2,IF($H103&lt;L$2,VLOOKUP($G103,Depreciation!$A$14:$L$18,10,FALSE),0))</f>
        <v>3.343407856743718E-2</v>
      </c>
      <c r="M103" s="306">
        <f>+IF($H103=M$2,VLOOKUP($G103,Depreciation!$A$14:$L$18,11,FALSE)/2,IF($H103&lt;M$2,VLOOKUP($G103,Depreciation!$A$14:$L$18,11,FALSE),0))</f>
        <v>3.343407856743718E-2</v>
      </c>
      <c r="N103" s="306">
        <f>+IF($H103=N$2,VLOOKUP($G103,Depreciation!$A$14:$L$18,12,FALSE)/2,IF($H103&lt;N$2,VLOOKUP($G103,Depreciation!$A$14:$L$18,12,FALSE),0))</f>
        <v>3.343407856743718E-2</v>
      </c>
      <c r="O103" s="307">
        <f t="shared" si="9"/>
        <v>3709962.0990757579</v>
      </c>
      <c r="P103" s="732">
        <f>'Func Future Subs 2015'!P103</f>
        <v>0</v>
      </c>
      <c r="Q103" s="732">
        <f>'Func Future Subs 2015'!Q103</f>
        <v>1</v>
      </c>
      <c r="R103" s="732">
        <f>'Func Future Subs 2015'!R103</f>
        <v>0</v>
      </c>
      <c r="S103" s="735">
        <f t="shared" si="10"/>
        <v>0</v>
      </c>
      <c r="T103" s="735">
        <f t="shared" si="11"/>
        <v>3709962.0990757579</v>
      </c>
      <c r="U103" s="735">
        <f t="shared" si="12"/>
        <v>0</v>
      </c>
      <c r="V103" s="736">
        <f t="shared" si="13"/>
        <v>0</v>
      </c>
      <c r="W103" s="735">
        <f t="shared" si="14"/>
        <v>0</v>
      </c>
      <c r="X103" s="737">
        <f t="shared" si="15"/>
        <v>0</v>
      </c>
      <c r="Y103" s="738">
        <f t="shared" si="16"/>
        <v>3709962.0990757579</v>
      </c>
    </row>
    <row r="104" spans="1:25">
      <c r="A104" s="754" t="str">
        <f>'Func Future Subs 2015'!A104</f>
        <v>New Additions at North Red Deer 217S</v>
      </c>
      <c r="B104" s="754">
        <f>'Func Future Subs 2015'!B104</f>
        <v>813</v>
      </c>
      <c r="C104" s="754">
        <f>'Func Future Subs 2015'!C104</f>
        <v>138</v>
      </c>
      <c r="D104" s="754">
        <f>'Func Future Subs 2015'!D104</f>
        <v>25</v>
      </c>
      <c r="E104" s="754" t="str">
        <f>'Func Future Subs 2015'!E104</f>
        <v>217S</v>
      </c>
      <c r="F104" s="754">
        <f>'Func Future Subs 2015'!F104</f>
        <v>1453039.2523468195</v>
      </c>
      <c r="G104" s="754" t="str">
        <f>'Func Future Subs 2015'!G104</f>
        <v>AltaLink</v>
      </c>
      <c r="H104" s="754">
        <f>'Func Future Subs 2015'!H104</f>
        <v>2017</v>
      </c>
      <c r="I104" s="306">
        <f>+IF($H104=I$2,VLOOKUP($G104,Depreciation!$A$14:$L$18,7,FALSE)/2,IF($H104&lt;I$2,VLOOKUP($G104,Depreciation!$A$14:$L$18,7,FALSE),0))</f>
        <v>0</v>
      </c>
      <c r="J104" s="306">
        <f>+IF($H104=J$2,VLOOKUP($G104,Depreciation!$A$14:$L$18,8,FALSE)/2,IF($H104&lt;J$2,VLOOKUP($G104,Depreciation!$A$14:$L$18,8,FALSE),0))</f>
        <v>0</v>
      </c>
      <c r="K104" s="306">
        <f>+IF($H104=K$2,VLOOKUP($G104,Depreciation!$A$14:$L$18,9,FALSE)/2,IF($H104&lt;K$2,VLOOKUP($G104,Depreciation!$A$14:$L$18,9,FALSE),0))</f>
        <v>1.671703928371859E-2</v>
      </c>
      <c r="L104" s="306">
        <f>+IF($H104=L$2,VLOOKUP($G104,Depreciation!$A$14:$L$18,10,FALSE)/2,IF($H104&lt;L$2,VLOOKUP($G104,Depreciation!$A$14:$L$18,10,FALSE),0))</f>
        <v>3.343407856743718E-2</v>
      </c>
      <c r="M104" s="306">
        <f>+IF($H104=M$2,VLOOKUP($G104,Depreciation!$A$14:$L$18,11,FALSE)/2,IF($H104&lt;M$2,VLOOKUP($G104,Depreciation!$A$14:$L$18,11,FALSE),0))</f>
        <v>3.343407856743718E-2</v>
      </c>
      <c r="N104" s="306">
        <f>+IF($H104=N$2,VLOOKUP($G104,Depreciation!$A$14:$L$18,12,FALSE)/2,IF($H104&lt;N$2,VLOOKUP($G104,Depreciation!$A$14:$L$18,12,FALSE),0))</f>
        <v>3.343407856743718E-2</v>
      </c>
      <c r="O104" s="307">
        <f t="shared" si="9"/>
        <v>1428748.7380845526</v>
      </c>
      <c r="P104" s="732">
        <f>'Func Future Subs 2015'!P104</f>
        <v>0</v>
      </c>
      <c r="Q104" s="732">
        <f>'Func Future Subs 2015'!Q104</f>
        <v>1</v>
      </c>
      <c r="R104" s="732">
        <f>'Func Future Subs 2015'!R104</f>
        <v>0</v>
      </c>
      <c r="S104" s="735">
        <f t="shared" si="10"/>
        <v>0</v>
      </c>
      <c r="T104" s="735">
        <f t="shared" si="11"/>
        <v>1428748.7380845526</v>
      </c>
      <c r="U104" s="735">
        <f t="shared" si="12"/>
        <v>0</v>
      </c>
      <c r="V104" s="736">
        <f t="shared" si="13"/>
        <v>0</v>
      </c>
      <c r="W104" s="735">
        <f t="shared" si="14"/>
        <v>0</v>
      </c>
      <c r="X104" s="737">
        <f t="shared" si="15"/>
        <v>0</v>
      </c>
      <c r="Y104" s="738">
        <f t="shared" si="16"/>
        <v>1428748.7380845526</v>
      </c>
    </row>
    <row r="105" spans="1:25">
      <c r="A105" s="754" t="str">
        <f>'Func Future Subs 2015'!A105</f>
        <v>New Additions at North Red Deer 217S (dev10)</v>
      </c>
      <c r="B105" s="754">
        <f>'Func Future Subs 2015'!B105</f>
        <v>813</v>
      </c>
      <c r="C105" s="754">
        <f>'Func Future Subs 2015'!C105</f>
        <v>138</v>
      </c>
      <c r="D105" s="754">
        <f>'Func Future Subs 2015'!D105</f>
        <v>25</v>
      </c>
      <c r="E105" s="754" t="str">
        <f>'Func Future Subs 2015'!E105</f>
        <v>217S</v>
      </c>
      <c r="F105" s="754">
        <f>'Func Future Subs 2015'!F105</f>
        <v>1479296.8070426565</v>
      </c>
      <c r="G105" s="754" t="str">
        <f>'Func Future Subs 2015'!G105</f>
        <v>AltaLink</v>
      </c>
      <c r="H105" s="754">
        <f>'Func Future Subs 2015'!H105</f>
        <v>2017</v>
      </c>
      <c r="I105" s="306">
        <f>+IF($H105=I$2,VLOOKUP($G105,Depreciation!$A$14:$L$18,7,FALSE)/2,IF($H105&lt;I$2,VLOOKUP($G105,Depreciation!$A$14:$L$18,7,FALSE),0))</f>
        <v>0</v>
      </c>
      <c r="J105" s="306">
        <f>+IF($H105=J$2,VLOOKUP($G105,Depreciation!$A$14:$L$18,8,FALSE)/2,IF($H105&lt;J$2,VLOOKUP($G105,Depreciation!$A$14:$L$18,8,FALSE),0))</f>
        <v>0</v>
      </c>
      <c r="K105" s="306">
        <f>+IF($H105=K$2,VLOOKUP($G105,Depreciation!$A$14:$L$18,9,FALSE)/2,IF($H105&lt;K$2,VLOOKUP($G105,Depreciation!$A$14:$L$18,9,FALSE),0))</f>
        <v>1.671703928371859E-2</v>
      </c>
      <c r="L105" s="306">
        <f>+IF($H105=L$2,VLOOKUP($G105,Depreciation!$A$14:$L$18,10,FALSE)/2,IF($H105&lt;L$2,VLOOKUP($G105,Depreciation!$A$14:$L$18,10,FALSE),0))</f>
        <v>3.343407856743718E-2</v>
      </c>
      <c r="M105" s="306">
        <f>+IF($H105=M$2,VLOOKUP($G105,Depreciation!$A$14:$L$18,11,FALSE)/2,IF($H105&lt;M$2,VLOOKUP($G105,Depreciation!$A$14:$L$18,11,FALSE),0))</f>
        <v>3.343407856743718E-2</v>
      </c>
      <c r="N105" s="306">
        <f>+IF($H105=N$2,VLOOKUP($G105,Depreciation!$A$14:$L$18,12,FALSE)/2,IF($H105&lt;N$2,VLOOKUP($G105,Depreciation!$A$14:$L$18,12,FALSE),0))</f>
        <v>3.343407856743718E-2</v>
      </c>
      <c r="O105" s="307">
        <f t="shared" si="9"/>
        <v>1454567.3442070449</v>
      </c>
      <c r="P105" s="732">
        <f>'Func Future Subs 2015'!P105</f>
        <v>0</v>
      </c>
      <c r="Q105" s="732">
        <f>'Func Future Subs 2015'!Q105</f>
        <v>1</v>
      </c>
      <c r="R105" s="732">
        <f>'Func Future Subs 2015'!R105</f>
        <v>0</v>
      </c>
      <c r="S105" s="735">
        <f t="shared" si="10"/>
        <v>0</v>
      </c>
      <c r="T105" s="735">
        <f t="shared" si="11"/>
        <v>1454567.3442070449</v>
      </c>
      <c r="U105" s="735">
        <f t="shared" si="12"/>
        <v>0</v>
      </c>
      <c r="V105" s="736">
        <f t="shared" si="13"/>
        <v>0</v>
      </c>
      <c r="W105" s="735">
        <f t="shared" si="14"/>
        <v>0</v>
      </c>
      <c r="X105" s="737">
        <f t="shared" si="15"/>
        <v>0</v>
      </c>
      <c r="Y105" s="738">
        <f t="shared" si="16"/>
        <v>1454567.3442070449</v>
      </c>
    </row>
    <row r="106" spans="1:25">
      <c r="A106" s="754" t="str">
        <f>'Func Future Subs 2015'!A106</f>
        <v>North Red Deer 217S</v>
      </c>
      <c r="B106" s="754">
        <f>'Func Future Subs 2015'!B106</f>
        <v>813</v>
      </c>
      <c r="C106" s="754">
        <f>'Func Future Subs 2015'!C106</f>
        <v>138</v>
      </c>
      <c r="D106" s="754">
        <f>'Func Future Subs 2015'!D106</f>
        <v>25</v>
      </c>
      <c r="E106" s="754" t="str">
        <f>'Func Future Subs 2015'!E106</f>
        <v>217S</v>
      </c>
      <c r="F106" s="754">
        <f>'Func Future Subs 2015'!F106</f>
        <v>187594.25782528098</v>
      </c>
      <c r="G106" s="754" t="str">
        <f>'Func Future Subs 2015'!G106</f>
        <v>AltaLink</v>
      </c>
      <c r="H106" s="754">
        <f>'Func Future Subs 2015'!H106</f>
        <v>2017</v>
      </c>
      <c r="I106" s="306">
        <f>+IF($H106=I$2,VLOOKUP($G106,Depreciation!$A$14:$L$18,7,FALSE)/2,IF($H106&lt;I$2,VLOOKUP($G106,Depreciation!$A$14:$L$18,7,FALSE),0))</f>
        <v>0</v>
      </c>
      <c r="J106" s="306">
        <f>+IF($H106=J$2,VLOOKUP($G106,Depreciation!$A$14:$L$18,8,FALSE)/2,IF($H106&lt;J$2,VLOOKUP($G106,Depreciation!$A$14:$L$18,8,FALSE),0))</f>
        <v>0</v>
      </c>
      <c r="K106" s="306">
        <f>+IF($H106=K$2,VLOOKUP($G106,Depreciation!$A$14:$L$18,9,FALSE)/2,IF($H106&lt;K$2,VLOOKUP($G106,Depreciation!$A$14:$L$18,9,FALSE),0))</f>
        <v>1.671703928371859E-2</v>
      </c>
      <c r="L106" s="306">
        <f>+IF($H106=L$2,VLOOKUP($G106,Depreciation!$A$14:$L$18,10,FALSE)/2,IF($H106&lt;L$2,VLOOKUP($G106,Depreciation!$A$14:$L$18,10,FALSE),0))</f>
        <v>3.343407856743718E-2</v>
      </c>
      <c r="M106" s="306">
        <f>+IF($H106=M$2,VLOOKUP($G106,Depreciation!$A$14:$L$18,11,FALSE)/2,IF($H106&lt;M$2,VLOOKUP($G106,Depreciation!$A$14:$L$18,11,FALSE),0))</f>
        <v>3.343407856743718E-2</v>
      </c>
      <c r="N106" s="306">
        <f>+IF($H106=N$2,VLOOKUP($G106,Depreciation!$A$14:$L$18,12,FALSE)/2,IF($H106&lt;N$2,VLOOKUP($G106,Depreciation!$A$14:$L$18,12,FALSE),0))</f>
        <v>3.343407856743718E-2</v>
      </c>
      <c r="O106" s="307">
        <f t="shared" si="9"/>
        <v>184458.23724781573</v>
      </c>
      <c r="P106" s="732">
        <f>'Func Future Subs 2015'!P106</f>
        <v>0</v>
      </c>
      <c r="Q106" s="732">
        <f>'Func Future Subs 2015'!Q106</f>
        <v>1</v>
      </c>
      <c r="R106" s="732">
        <f>'Func Future Subs 2015'!R106</f>
        <v>0</v>
      </c>
      <c r="S106" s="735">
        <f t="shared" si="10"/>
        <v>0</v>
      </c>
      <c r="T106" s="735">
        <f t="shared" si="11"/>
        <v>184458.23724781573</v>
      </c>
      <c r="U106" s="735">
        <f t="shared" si="12"/>
        <v>0</v>
      </c>
      <c r="V106" s="736">
        <f t="shared" si="13"/>
        <v>0</v>
      </c>
      <c r="W106" s="735">
        <f t="shared" si="14"/>
        <v>0</v>
      </c>
      <c r="X106" s="737">
        <f t="shared" si="15"/>
        <v>0</v>
      </c>
      <c r="Y106" s="738">
        <f t="shared" si="16"/>
        <v>184458.23724781573</v>
      </c>
    </row>
    <row r="107" spans="1:25">
      <c r="A107" s="754" t="str">
        <f>'Func Future Subs 2015'!A107</f>
        <v>Olds 55S (GD Hazel)</v>
      </c>
      <c r="B107" s="754">
        <f>'Func Future Subs 2015'!B107</f>
        <v>813</v>
      </c>
      <c r="C107" s="754">
        <f>'Func Future Subs 2015'!C107</f>
        <v>138</v>
      </c>
      <c r="D107" s="754">
        <f>'Func Future Subs 2015'!D107</f>
        <v>25</v>
      </c>
      <c r="E107" s="754" t="str">
        <f>'Func Future Subs 2015'!E107</f>
        <v>55S</v>
      </c>
      <c r="F107" s="754">
        <f>'Func Future Subs 2015'!F107</f>
        <v>98109.968832414306</v>
      </c>
      <c r="G107" s="754" t="str">
        <f>'Func Future Subs 2015'!G107</f>
        <v>AltaLink</v>
      </c>
      <c r="H107" s="754">
        <f>'Func Future Subs 2015'!H107</f>
        <v>2017</v>
      </c>
      <c r="I107" s="306">
        <f>+IF($H107=I$2,VLOOKUP($G107,Depreciation!$A$14:$L$18,7,FALSE)/2,IF($H107&lt;I$2,VLOOKUP($G107,Depreciation!$A$14:$L$18,7,FALSE),0))</f>
        <v>0</v>
      </c>
      <c r="J107" s="306">
        <f>+IF($H107=J$2,VLOOKUP($G107,Depreciation!$A$14:$L$18,8,FALSE)/2,IF($H107&lt;J$2,VLOOKUP($G107,Depreciation!$A$14:$L$18,8,FALSE),0))</f>
        <v>0</v>
      </c>
      <c r="K107" s="306">
        <f>+IF($H107=K$2,VLOOKUP($G107,Depreciation!$A$14:$L$18,9,FALSE)/2,IF($H107&lt;K$2,VLOOKUP($G107,Depreciation!$A$14:$L$18,9,FALSE),0))</f>
        <v>1.671703928371859E-2</v>
      </c>
      <c r="L107" s="306">
        <f>+IF($H107=L$2,VLOOKUP($G107,Depreciation!$A$14:$L$18,10,FALSE)/2,IF($H107&lt;L$2,VLOOKUP($G107,Depreciation!$A$14:$L$18,10,FALSE),0))</f>
        <v>3.343407856743718E-2</v>
      </c>
      <c r="M107" s="306">
        <f>+IF($H107=M$2,VLOOKUP($G107,Depreciation!$A$14:$L$18,11,FALSE)/2,IF($H107&lt;M$2,VLOOKUP($G107,Depreciation!$A$14:$L$18,11,FALSE),0))</f>
        <v>3.343407856743718E-2</v>
      </c>
      <c r="N107" s="306">
        <f>+IF($H107=N$2,VLOOKUP($G107,Depreciation!$A$14:$L$18,12,FALSE)/2,IF($H107&lt;N$2,VLOOKUP($G107,Depreciation!$A$14:$L$18,12,FALSE),0))</f>
        <v>3.343407856743718E-2</v>
      </c>
      <c r="O107" s="307">
        <f t="shared" si="9"/>
        <v>96469.860629318428</v>
      </c>
      <c r="P107" s="732">
        <f>'Func Future Subs 2015'!P107</f>
        <v>0</v>
      </c>
      <c r="Q107" s="732">
        <f>'Func Future Subs 2015'!Q107</f>
        <v>1</v>
      </c>
      <c r="R107" s="732">
        <f>'Func Future Subs 2015'!R107</f>
        <v>0</v>
      </c>
      <c r="S107" s="735">
        <f t="shared" si="10"/>
        <v>0</v>
      </c>
      <c r="T107" s="735">
        <f t="shared" si="11"/>
        <v>96469.860629318428</v>
      </c>
      <c r="U107" s="735">
        <f t="shared" si="12"/>
        <v>0</v>
      </c>
      <c r="V107" s="736">
        <f t="shared" si="13"/>
        <v>0</v>
      </c>
      <c r="W107" s="735">
        <f t="shared" si="14"/>
        <v>0</v>
      </c>
      <c r="X107" s="737">
        <f t="shared" si="15"/>
        <v>0</v>
      </c>
      <c r="Y107" s="738">
        <f t="shared" si="16"/>
        <v>96469.860629318428</v>
      </c>
    </row>
    <row r="108" spans="1:25">
      <c r="A108" s="754" t="str">
        <f>'Func Future Subs 2015'!A108</f>
        <v>Olds 55S (GD Johnson)</v>
      </c>
      <c r="B108" s="754">
        <f>'Func Future Subs 2015'!B108</f>
        <v>813</v>
      </c>
      <c r="C108" s="754">
        <f>'Func Future Subs 2015'!C108</f>
        <v>240</v>
      </c>
      <c r="D108" s="754">
        <f>'Func Future Subs 2015'!D108</f>
        <v>25</v>
      </c>
      <c r="E108" s="754" t="str">
        <f>'Func Future Subs 2015'!E108</f>
        <v>55S</v>
      </c>
      <c r="F108" s="754">
        <f>'Func Future Subs 2015'!F108</f>
        <v>390718.64780628151</v>
      </c>
      <c r="G108" s="754" t="str">
        <f>'Func Future Subs 2015'!G108</f>
        <v>AltaLink</v>
      </c>
      <c r="H108" s="754">
        <f>'Func Future Subs 2015'!H108</f>
        <v>2017</v>
      </c>
      <c r="I108" s="306">
        <f>+IF($H108=I$2,VLOOKUP($G108,Depreciation!$A$14:$L$18,7,FALSE)/2,IF($H108&lt;I$2,VLOOKUP($G108,Depreciation!$A$14:$L$18,7,FALSE),0))</f>
        <v>0</v>
      </c>
      <c r="J108" s="306">
        <f>+IF($H108=J$2,VLOOKUP($G108,Depreciation!$A$14:$L$18,8,FALSE)/2,IF($H108&lt;J$2,VLOOKUP($G108,Depreciation!$A$14:$L$18,8,FALSE),0))</f>
        <v>0</v>
      </c>
      <c r="K108" s="306">
        <f>+IF($H108=K$2,VLOOKUP($G108,Depreciation!$A$14:$L$18,9,FALSE)/2,IF($H108&lt;K$2,VLOOKUP($G108,Depreciation!$A$14:$L$18,9,FALSE),0))</f>
        <v>1.671703928371859E-2</v>
      </c>
      <c r="L108" s="306">
        <f>+IF($H108=L$2,VLOOKUP($G108,Depreciation!$A$14:$L$18,10,FALSE)/2,IF($H108&lt;L$2,VLOOKUP($G108,Depreciation!$A$14:$L$18,10,FALSE),0))</f>
        <v>3.343407856743718E-2</v>
      </c>
      <c r="M108" s="306">
        <f>+IF($H108=M$2,VLOOKUP($G108,Depreciation!$A$14:$L$18,11,FALSE)/2,IF($H108&lt;M$2,VLOOKUP($G108,Depreciation!$A$14:$L$18,11,FALSE),0))</f>
        <v>3.343407856743718E-2</v>
      </c>
      <c r="N108" s="306">
        <f>+IF($H108=N$2,VLOOKUP($G108,Depreciation!$A$14:$L$18,12,FALSE)/2,IF($H108&lt;N$2,VLOOKUP($G108,Depreciation!$A$14:$L$18,12,FALSE),0))</f>
        <v>3.343407856743718E-2</v>
      </c>
      <c r="O108" s="307">
        <f t="shared" si="9"/>
        <v>384186.98882202251</v>
      </c>
      <c r="P108" s="732">
        <f>'Func Future Subs 2015'!P108</f>
        <v>0</v>
      </c>
      <c r="Q108" s="732">
        <f>'Func Future Subs 2015'!Q108</f>
        <v>1</v>
      </c>
      <c r="R108" s="732">
        <f>'Func Future Subs 2015'!R108</f>
        <v>0</v>
      </c>
      <c r="S108" s="735">
        <f t="shared" si="10"/>
        <v>0</v>
      </c>
      <c r="T108" s="735">
        <f t="shared" si="11"/>
        <v>384186.98882202251</v>
      </c>
      <c r="U108" s="735">
        <f t="shared" si="12"/>
        <v>0</v>
      </c>
      <c r="V108" s="736">
        <f t="shared" si="13"/>
        <v>0</v>
      </c>
      <c r="W108" s="735">
        <f t="shared" si="14"/>
        <v>0</v>
      </c>
      <c r="X108" s="737">
        <f t="shared" si="15"/>
        <v>0</v>
      </c>
      <c r="Y108" s="738">
        <f t="shared" si="16"/>
        <v>384186.98882202251</v>
      </c>
    </row>
    <row r="109" spans="1:25">
      <c r="A109" s="754" t="str">
        <f>'Func Future Subs 2015'!A109</f>
        <v>Piper Creek 247S</v>
      </c>
      <c r="B109" s="754">
        <f>'Func Future Subs 2015'!B109</f>
        <v>813</v>
      </c>
      <c r="C109" s="754">
        <f>'Func Future Subs 2015'!C109</f>
        <v>138</v>
      </c>
      <c r="D109" s="754">
        <f>'Func Future Subs 2015'!D109</f>
        <v>138</v>
      </c>
      <c r="E109" s="754" t="str">
        <f>'Func Future Subs 2015'!E109</f>
        <v>247S</v>
      </c>
      <c r="F109" s="754">
        <f>'Func Future Subs 2015'!F109</f>
        <v>1998667.7936525263</v>
      </c>
      <c r="G109" s="754" t="str">
        <f>'Func Future Subs 2015'!G109</f>
        <v>AltaLink</v>
      </c>
      <c r="H109" s="754">
        <f>'Func Future Subs 2015'!H109</f>
        <v>2017</v>
      </c>
      <c r="I109" s="306">
        <f>+IF($H109=I$2,VLOOKUP($G109,Depreciation!$A$14:$L$18,7,FALSE)/2,IF($H109&lt;I$2,VLOOKUP($G109,Depreciation!$A$14:$L$18,7,FALSE),0))</f>
        <v>0</v>
      </c>
      <c r="J109" s="306">
        <f>+IF($H109=J$2,VLOOKUP($G109,Depreciation!$A$14:$L$18,8,FALSE)/2,IF($H109&lt;J$2,VLOOKUP($G109,Depreciation!$A$14:$L$18,8,FALSE),0))</f>
        <v>0</v>
      </c>
      <c r="K109" s="306">
        <f>+IF($H109=K$2,VLOOKUP($G109,Depreciation!$A$14:$L$18,9,FALSE)/2,IF($H109&lt;K$2,VLOOKUP($G109,Depreciation!$A$14:$L$18,9,FALSE),0))</f>
        <v>1.671703928371859E-2</v>
      </c>
      <c r="L109" s="306">
        <f>+IF($H109=L$2,VLOOKUP($G109,Depreciation!$A$14:$L$18,10,FALSE)/2,IF($H109&lt;L$2,VLOOKUP($G109,Depreciation!$A$14:$L$18,10,FALSE),0))</f>
        <v>3.343407856743718E-2</v>
      </c>
      <c r="M109" s="306">
        <f>+IF($H109=M$2,VLOOKUP($G109,Depreciation!$A$14:$L$18,11,FALSE)/2,IF($H109&lt;M$2,VLOOKUP($G109,Depreciation!$A$14:$L$18,11,FALSE),0))</f>
        <v>3.343407856743718E-2</v>
      </c>
      <c r="N109" s="306">
        <f>+IF($H109=N$2,VLOOKUP($G109,Depreciation!$A$14:$L$18,12,FALSE)/2,IF($H109&lt;N$2,VLOOKUP($G109,Depreciation!$A$14:$L$18,12,FALSE),0))</f>
        <v>3.343407856743718E-2</v>
      </c>
      <c r="O109" s="307">
        <f t="shared" si="9"/>
        <v>1965255.9856309339</v>
      </c>
      <c r="P109" s="732">
        <f>'Func Future Subs 2015'!P109</f>
        <v>0</v>
      </c>
      <c r="Q109" s="732">
        <f>'Func Future Subs 2015'!Q109</f>
        <v>0</v>
      </c>
      <c r="R109" s="732">
        <f>'Func Future Subs 2015'!R109</f>
        <v>1</v>
      </c>
      <c r="S109" s="735">
        <f t="shared" si="10"/>
        <v>0</v>
      </c>
      <c r="T109" s="735">
        <f t="shared" si="11"/>
        <v>0</v>
      </c>
      <c r="U109" s="735">
        <f t="shared" si="12"/>
        <v>1965255.9856309339</v>
      </c>
      <c r="V109" s="736">
        <f t="shared" si="13"/>
        <v>0</v>
      </c>
      <c r="W109" s="735">
        <f t="shared" si="14"/>
        <v>0</v>
      </c>
      <c r="X109" s="737">
        <f t="shared" si="15"/>
        <v>1965255.9856309339</v>
      </c>
      <c r="Y109" s="738">
        <f t="shared" si="16"/>
        <v>0</v>
      </c>
    </row>
    <row r="110" spans="1:25">
      <c r="A110" s="754" t="str">
        <f>'Func Future Subs 2015'!A110</f>
        <v>Ponoka 331S</v>
      </c>
      <c r="B110" s="754">
        <f>'Func Future Subs 2015'!B110</f>
        <v>813</v>
      </c>
      <c r="C110" s="754">
        <f>'Func Future Subs 2015'!C110</f>
        <v>138</v>
      </c>
      <c r="D110" s="754">
        <f>'Func Future Subs 2015'!D110</f>
        <v>25</v>
      </c>
      <c r="E110" s="754" t="str">
        <f>'Func Future Subs 2015'!E110</f>
        <v>331S</v>
      </c>
      <c r="F110" s="754">
        <f>'Func Future Subs 2015'!F110</f>
        <v>3179107.2356748986</v>
      </c>
      <c r="G110" s="754" t="str">
        <f>'Func Future Subs 2015'!G110</f>
        <v>AltaLink</v>
      </c>
      <c r="H110" s="754">
        <f>'Func Future Subs 2015'!H110</f>
        <v>2017</v>
      </c>
      <c r="I110" s="306">
        <f>+IF($H110=I$2,VLOOKUP($G110,Depreciation!$A$14:$L$18,7,FALSE)/2,IF($H110&lt;I$2,VLOOKUP($G110,Depreciation!$A$14:$L$18,7,FALSE),0))</f>
        <v>0</v>
      </c>
      <c r="J110" s="306">
        <f>+IF($H110=J$2,VLOOKUP($G110,Depreciation!$A$14:$L$18,8,FALSE)/2,IF($H110&lt;J$2,VLOOKUP($G110,Depreciation!$A$14:$L$18,8,FALSE),0))</f>
        <v>0</v>
      </c>
      <c r="K110" s="306">
        <f>+IF($H110=K$2,VLOOKUP($G110,Depreciation!$A$14:$L$18,9,FALSE)/2,IF($H110&lt;K$2,VLOOKUP($G110,Depreciation!$A$14:$L$18,9,FALSE),0))</f>
        <v>1.671703928371859E-2</v>
      </c>
      <c r="L110" s="306">
        <f>+IF($H110=L$2,VLOOKUP($G110,Depreciation!$A$14:$L$18,10,FALSE)/2,IF($H110&lt;L$2,VLOOKUP($G110,Depreciation!$A$14:$L$18,10,FALSE),0))</f>
        <v>3.343407856743718E-2</v>
      </c>
      <c r="M110" s="306">
        <f>+IF($H110=M$2,VLOOKUP($G110,Depreciation!$A$14:$L$18,11,FALSE)/2,IF($H110&lt;M$2,VLOOKUP($G110,Depreciation!$A$14:$L$18,11,FALSE),0))</f>
        <v>3.343407856743718E-2</v>
      </c>
      <c r="N110" s="306">
        <f>+IF($H110=N$2,VLOOKUP($G110,Depreciation!$A$14:$L$18,12,FALSE)/2,IF($H110&lt;N$2,VLOOKUP($G110,Depreciation!$A$14:$L$18,12,FALSE),0))</f>
        <v>3.343407856743718E-2</v>
      </c>
      <c r="O110" s="307">
        <f t="shared" si="9"/>
        <v>3125961.9751289673</v>
      </c>
      <c r="P110" s="732">
        <f>'Func Future Subs 2015'!P110</f>
        <v>0</v>
      </c>
      <c r="Q110" s="732">
        <f>'Func Future Subs 2015'!Q110</f>
        <v>1</v>
      </c>
      <c r="R110" s="732">
        <f>'Func Future Subs 2015'!R110</f>
        <v>0</v>
      </c>
      <c r="S110" s="735">
        <f t="shared" si="10"/>
        <v>0</v>
      </c>
      <c r="T110" s="735">
        <f t="shared" si="11"/>
        <v>3125961.9751289673</v>
      </c>
      <c r="U110" s="735">
        <f t="shared" si="12"/>
        <v>0</v>
      </c>
      <c r="V110" s="736">
        <f t="shared" si="13"/>
        <v>0</v>
      </c>
      <c r="W110" s="735">
        <f t="shared" si="14"/>
        <v>0</v>
      </c>
      <c r="X110" s="737">
        <f t="shared" si="15"/>
        <v>0</v>
      </c>
      <c r="Y110" s="738">
        <f t="shared" si="16"/>
        <v>3125961.9751289673</v>
      </c>
    </row>
    <row r="111" spans="1:25">
      <c r="A111" s="754" t="str">
        <f>'Func Future Subs 2015'!A111</f>
        <v>Prentiss 276S</v>
      </c>
      <c r="B111" s="754">
        <f>'Func Future Subs 2015'!B111</f>
        <v>813</v>
      </c>
      <c r="C111" s="754">
        <f>'Func Future Subs 2015'!C111</f>
        <v>138</v>
      </c>
      <c r="D111" s="754">
        <f>'Func Future Subs 2015'!D111</f>
        <v>25</v>
      </c>
      <c r="E111" s="754" t="str">
        <f>'Func Future Subs 2015'!E111</f>
        <v>276S</v>
      </c>
      <c r="F111" s="754">
        <f>'Func Future Subs 2015'!F111</f>
        <v>4288175.2445767764</v>
      </c>
      <c r="G111" s="754" t="str">
        <f>'Func Future Subs 2015'!G111</f>
        <v>AltaLink</v>
      </c>
      <c r="H111" s="754">
        <f>'Func Future Subs 2015'!H111</f>
        <v>2017</v>
      </c>
      <c r="I111" s="306">
        <f>+IF($H111=I$2,VLOOKUP($G111,Depreciation!$A$14:$L$18,7,FALSE)/2,IF($H111&lt;I$2,VLOOKUP($G111,Depreciation!$A$14:$L$18,7,FALSE),0))</f>
        <v>0</v>
      </c>
      <c r="J111" s="306">
        <f>+IF($H111=J$2,VLOOKUP($G111,Depreciation!$A$14:$L$18,8,FALSE)/2,IF($H111&lt;J$2,VLOOKUP($G111,Depreciation!$A$14:$L$18,8,FALSE),0))</f>
        <v>0</v>
      </c>
      <c r="K111" s="306">
        <f>+IF($H111=K$2,VLOOKUP($G111,Depreciation!$A$14:$L$18,9,FALSE)/2,IF($H111&lt;K$2,VLOOKUP($G111,Depreciation!$A$14:$L$18,9,FALSE),0))</f>
        <v>1.671703928371859E-2</v>
      </c>
      <c r="L111" s="306">
        <f>+IF($H111=L$2,VLOOKUP($G111,Depreciation!$A$14:$L$18,10,FALSE)/2,IF($H111&lt;L$2,VLOOKUP($G111,Depreciation!$A$14:$L$18,10,FALSE),0))</f>
        <v>3.343407856743718E-2</v>
      </c>
      <c r="M111" s="306">
        <f>+IF($H111=M$2,VLOOKUP($G111,Depreciation!$A$14:$L$18,11,FALSE)/2,IF($H111&lt;M$2,VLOOKUP($G111,Depreciation!$A$14:$L$18,11,FALSE),0))</f>
        <v>3.343407856743718E-2</v>
      </c>
      <c r="N111" s="306">
        <f>+IF($H111=N$2,VLOOKUP($G111,Depreciation!$A$14:$L$18,12,FALSE)/2,IF($H111&lt;N$2,VLOOKUP($G111,Depreciation!$A$14:$L$18,12,FALSE),0))</f>
        <v>3.343407856743718E-2</v>
      </c>
      <c r="O111" s="307">
        <f t="shared" si="9"/>
        <v>4216489.6505577173</v>
      </c>
      <c r="P111" s="732">
        <f>'Func Future Subs 2015'!P111</f>
        <v>0</v>
      </c>
      <c r="Q111" s="732">
        <f>'Func Future Subs 2015'!Q111</f>
        <v>0</v>
      </c>
      <c r="R111" s="732">
        <f>'Func Future Subs 2015'!R111</f>
        <v>1</v>
      </c>
      <c r="S111" s="735">
        <f t="shared" si="10"/>
        <v>0</v>
      </c>
      <c r="T111" s="735">
        <f t="shared" si="11"/>
        <v>0</v>
      </c>
      <c r="U111" s="735">
        <f t="shared" si="12"/>
        <v>4216489.6505577173</v>
      </c>
      <c r="V111" s="736">
        <f t="shared" si="13"/>
        <v>0</v>
      </c>
      <c r="W111" s="735">
        <f t="shared" si="14"/>
        <v>0</v>
      </c>
      <c r="X111" s="737">
        <f t="shared" si="15"/>
        <v>0</v>
      </c>
      <c r="Y111" s="738">
        <f t="shared" si="16"/>
        <v>4216489.6505577173</v>
      </c>
    </row>
    <row r="112" spans="1:25">
      <c r="A112" s="754" t="str">
        <f>'Func Future Subs 2015'!A112</f>
        <v>RAS in 256S_(v2)</v>
      </c>
      <c r="B112" s="754">
        <f>'Func Future Subs 2015'!B112</f>
        <v>813</v>
      </c>
      <c r="C112" s="754">
        <f>'Func Future Subs 2015'!C112</f>
        <v>138</v>
      </c>
      <c r="D112" s="754">
        <f>'Func Future Subs 2015'!D112</f>
        <v>25</v>
      </c>
      <c r="E112" s="754" t="str">
        <f>'Func Future Subs 2015'!E112</f>
        <v>256S</v>
      </c>
      <c r="F112" s="754">
        <f>'Func Future Subs 2015'!F112</f>
        <v>140996.12247626696</v>
      </c>
      <c r="G112" s="754" t="str">
        <f>'Func Future Subs 2015'!G112</f>
        <v>AltaLink</v>
      </c>
      <c r="H112" s="754">
        <f>'Func Future Subs 2015'!H112</f>
        <v>2017</v>
      </c>
      <c r="I112" s="306">
        <f>+IF($H112=I$2,VLOOKUP($G112,Depreciation!$A$14:$L$18,7,FALSE)/2,IF($H112&lt;I$2,VLOOKUP($G112,Depreciation!$A$14:$L$18,7,FALSE),0))</f>
        <v>0</v>
      </c>
      <c r="J112" s="306">
        <f>+IF($H112=J$2,VLOOKUP($G112,Depreciation!$A$14:$L$18,8,FALSE)/2,IF($H112&lt;J$2,VLOOKUP($G112,Depreciation!$A$14:$L$18,8,FALSE),0))</f>
        <v>0</v>
      </c>
      <c r="K112" s="306">
        <f>+IF($H112=K$2,VLOOKUP($G112,Depreciation!$A$14:$L$18,9,FALSE)/2,IF($H112&lt;K$2,VLOOKUP($G112,Depreciation!$A$14:$L$18,9,FALSE),0))</f>
        <v>1.671703928371859E-2</v>
      </c>
      <c r="L112" s="306">
        <f>+IF($H112=L$2,VLOOKUP($G112,Depreciation!$A$14:$L$18,10,FALSE)/2,IF($H112&lt;L$2,VLOOKUP($G112,Depreciation!$A$14:$L$18,10,FALSE),0))</f>
        <v>3.343407856743718E-2</v>
      </c>
      <c r="M112" s="306">
        <f>+IF($H112=M$2,VLOOKUP($G112,Depreciation!$A$14:$L$18,11,FALSE)/2,IF($H112&lt;M$2,VLOOKUP($G112,Depreciation!$A$14:$L$18,11,FALSE),0))</f>
        <v>3.343407856743718E-2</v>
      </c>
      <c r="N112" s="306">
        <f>+IF($H112=N$2,VLOOKUP($G112,Depreciation!$A$14:$L$18,12,FALSE)/2,IF($H112&lt;N$2,VLOOKUP($G112,Depreciation!$A$14:$L$18,12,FALSE),0))</f>
        <v>3.343407856743718E-2</v>
      </c>
      <c r="O112" s="307">
        <f t="shared" si="9"/>
        <v>138639.0847579792</v>
      </c>
      <c r="P112" s="732">
        <f>'Func Future Subs 2015'!P112</f>
        <v>0.54510993176648981</v>
      </c>
      <c r="Q112" s="732">
        <f>'Func Future Subs 2015'!Q112</f>
        <v>0.45489006823351025</v>
      </c>
      <c r="R112" s="732">
        <f>'Func Future Subs 2015'!R112</f>
        <v>0</v>
      </c>
      <c r="S112" s="735">
        <f t="shared" si="10"/>
        <v>75573.542032590645</v>
      </c>
      <c r="T112" s="735">
        <f t="shared" si="11"/>
        <v>63065.542725388572</v>
      </c>
      <c r="U112" s="735">
        <f t="shared" si="12"/>
        <v>0</v>
      </c>
      <c r="V112" s="736">
        <f t="shared" si="13"/>
        <v>0</v>
      </c>
      <c r="W112" s="735">
        <f t="shared" si="14"/>
        <v>75573.542032590645</v>
      </c>
      <c r="X112" s="737">
        <f t="shared" si="15"/>
        <v>0</v>
      </c>
      <c r="Y112" s="738">
        <f t="shared" si="16"/>
        <v>63065.542725388572</v>
      </c>
    </row>
    <row r="113" spans="1:25">
      <c r="A113" s="754" t="str">
        <f>'Func Future Subs 2015'!A113</f>
        <v>Red Deer 217S</v>
      </c>
      <c r="B113" s="754">
        <f>'Func Future Subs 2015'!B113</f>
        <v>813</v>
      </c>
      <c r="C113" s="754">
        <f>'Func Future Subs 2015'!C113</f>
        <v>138</v>
      </c>
      <c r="D113" s="754">
        <f>'Func Future Subs 2015'!D113</f>
        <v>25</v>
      </c>
      <c r="E113" s="754" t="str">
        <f>'Func Future Subs 2015'!E113</f>
        <v>217S</v>
      </c>
      <c r="F113" s="754">
        <f>'Func Future Subs 2015'!F113</f>
        <v>2898997.8882702999</v>
      </c>
      <c r="G113" s="754" t="str">
        <f>'Func Future Subs 2015'!G113</f>
        <v>AltaLink</v>
      </c>
      <c r="H113" s="754">
        <f>'Func Future Subs 2015'!H113</f>
        <v>2017</v>
      </c>
      <c r="I113" s="306">
        <f>+IF($H113=I$2,VLOOKUP($G113,Depreciation!$A$14:$L$18,7,FALSE)/2,IF($H113&lt;I$2,VLOOKUP($G113,Depreciation!$A$14:$L$18,7,FALSE),0))</f>
        <v>0</v>
      </c>
      <c r="J113" s="306">
        <f>+IF($H113=J$2,VLOOKUP($G113,Depreciation!$A$14:$L$18,8,FALSE)/2,IF($H113&lt;J$2,VLOOKUP($G113,Depreciation!$A$14:$L$18,8,FALSE),0))</f>
        <v>0</v>
      </c>
      <c r="K113" s="306">
        <f>+IF($H113=K$2,VLOOKUP($G113,Depreciation!$A$14:$L$18,9,FALSE)/2,IF($H113&lt;K$2,VLOOKUP($G113,Depreciation!$A$14:$L$18,9,FALSE),0))</f>
        <v>1.671703928371859E-2</v>
      </c>
      <c r="L113" s="306">
        <f>+IF($H113=L$2,VLOOKUP($G113,Depreciation!$A$14:$L$18,10,FALSE)/2,IF($H113&lt;L$2,VLOOKUP($G113,Depreciation!$A$14:$L$18,10,FALSE),0))</f>
        <v>3.343407856743718E-2</v>
      </c>
      <c r="M113" s="306">
        <f>+IF($H113=M$2,VLOOKUP($G113,Depreciation!$A$14:$L$18,11,FALSE)/2,IF($H113&lt;M$2,VLOOKUP($G113,Depreciation!$A$14:$L$18,11,FALSE),0))</f>
        <v>3.343407856743718E-2</v>
      </c>
      <c r="N113" s="306">
        <f>+IF($H113=N$2,VLOOKUP($G113,Depreciation!$A$14:$L$18,12,FALSE)/2,IF($H113&lt;N$2,VLOOKUP($G113,Depreciation!$A$14:$L$18,12,FALSE),0))</f>
        <v>3.343407856743718E-2</v>
      </c>
      <c r="O113" s="307">
        <f t="shared" si="9"/>
        <v>2850535.2266886681</v>
      </c>
      <c r="P113" s="732">
        <f>'Func Future Subs 2015'!P113</f>
        <v>0</v>
      </c>
      <c r="Q113" s="732">
        <f>'Func Future Subs 2015'!Q113</f>
        <v>1</v>
      </c>
      <c r="R113" s="732">
        <f>'Func Future Subs 2015'!R113</f>
        <v>0</v>
      </c>
      <c r="S113" s="735">
        <f t="shared" si="10"/>
        <v>0</v>
      </c>
      <c r="T113" s="735">
        <f t="shared" si="11"/>
        <v>2850535.2266886681</v>
      </c>
      <c r="U113" s="735">
        <f t="shared" si="12"/>
        <v>0</v>
      </c>
      <c r="V113" s="736">
        <f t="shared" si="13"/>
        <v>0</v>
      </c>
      <c r="W113" s="735">
        <f t="shared" si="14"/>
        <v>0</v>
      </c>
      <c r="X113" s="737">
        <f t="shared" si="15"/>
        <v>0</v>
      </c>
      <c r="Y113" s="738">
        <f t="shared" si="16"/>
        <v>2850535.2266886681</v>
      </c>
    </row>
    <row r="114" spans="1:25">
      <c r="A114" s="754" t="str">
        <f>'Func Future Subs 2015'!A114</f>
        <v>Red Deer 63S (648L)</v>
      </c>
      <c r="B114" s="754">
        <f>'Func Future Subs 2015'!B114</f>
        <v>813</v>
      </c>
      <c r="C114" s="754">
        <f>'Func Future Subs 2015'!C114</f>
        <v>138</v>
      </c>
      <c r="D114" s="754">
        <f>'Func Future Subs 2015'!D114</f>
        <v>25</v>
      </c>
      <c r="E114" s="754" t="str">
        <f>'Func Future Subs 2015'!E114</f>
        <v>63S</v>
      </c>
      <c r="F114" s="754">
        <f>'Func Future Subs 2015'!F114</f>
        <v>759143.11811538937</v>
      </c>
      <c r="G114" s="754" t="str">
        <f>'Func Future Subs 2015'!G114</f>
        <v>AltaLink</v>
      </c>
      <c r="H114" s="754">
        <f>'Func Future Subs 2015'!H114</f>
        <v>2017</v>
      </c>
      <c r="I114" s="306">
        <f>+IF($H114=I$2,VLOOKUP($G114,Depreciation!$A$14:$L$18,7,FALSE)/2,IF($H114&lt;I$2,VLOOKUP($G114,Depreciation!$A$14:$L$18,7,FALSE),0))</f>
        <v>0</v>
      </c>
      <c r="J114" s="306">
        <f>+IF($H114=J$2,VLOOKUP($G114,Depreciation!$A$14:$L$18,8,FALSE)/2,IF($H114&lt;J$2,VLOOKUP($G114,Depreciation!$A$14:$L$18,8,FALSE),0))</f>
        <v>0</v>
      </c>
      <c r="K114" s="306">
        <f>+IF($H114=K$2,VLOOKUP($G114,Depreciation!$A$14:$L$18,9,FALSE)/2,IF($H114&lt;K$2,VLOOKUP($G114,Depreciation!$A$14:$L$18,9,FALSE),0))</f>
        <v>1.671703928371859E-2</v>
      </c>
      <c r="L114" s="306">
        <f>+IF($H114=L$2,VLOOKUP($G114,Depreciation!$A$14:$L$18,10,FALSE)/2,IF($H114&lt;L$2,VLOOKUP($G114,Depreciation!$A$14:$L$18,10,FALSE),0))</f>
        <v>3.343407856743718E-2</v>
      </c>
      <c r="M114" s="306">
        <f>+IF($H114=M$2,VLOOKUP($G114,Depreciation!$A$14:$L$18,11,FALSE)/2,IF($H114&lt;M$2,VLOOKUP($G114,Depreciation!$A$14:$L$18,11,FALSE),0))</f>
        <v>3.343407856743718E-2</v>
      </c>
      <c r="N114" s="306">
        <f>+IF($H114=N$2,VLOOKUP($G114,Depreciation!$A$14:$L$18,12,FALSE)/2,IF($H114&lt;N$2,VLOOKUP($G114,Depreciation!$A$14:$L$18,12,FALSE),0))</f>
        <v>3.343407856743718E-2</v>
      </c>
      <c r="O114" s="307">
        <f t="shared" si="9"/>
        <v>746452.49278788979</v>
      </c>
      <c r="P114" s="732">
        <f>'Func Future Subs 2015'!P114</f>
        <v>0</v>
      </c>
      <c r="Q114" s="732">
        <f>'Func Future Subs 2015'!Q114</f>
        <v>1</v>
      </c>
      <c r="R114" s="732">
        <f>'Func Future Subs 2015'!R114</f>
        <v>0</v>
      </c>
      <c r="S114" s="735">
        <f t="shared" si="10"/>
        <v>0</v>
      </c>
      <c r="T114" s="735">
        <f t="shared" si="11"/>
        <v>746452.49278788979</v>
      </c>
      <c r="U114" s="735">
        <f t="shared" si="12"/>
        <v>0</v>
      </c>
      <c r="V114" s="736">
        <f t="shared" si="13"/>
        <v>0</v>
      </c>
      <c r="W114" s="735">
        <f t="shared" si="14"/>
        <v>0</v>
      </c>
      <c r="X114" s="737">
        <f t="shared" si="15"/>
        <v>0</v>
      </c>
      <c r="Y114" s="738">
        <f t="shared" si="16"/>
        <v>746452.49278788979</v>
      </c>
    </row>
    <row r="115" spans="1:25">
      <c r="A115" s="754" t="str">
        <f>'Func Future Subs 2015'!A115</f>
        <v>Red Deer 63S (755/427L)</v>
      </c>
      <c r="B115" s="754">
        <f>'Func Future Subs 2015'!B115</f>
        <v>813</v>
      </c>
      <c r="C115" s="754">
        <f>'Func Future Subs 2015'!C115</f>
        <v>138</v>
      </c>
      <c r="D115" s="754">
        <f>'Func Future Subs 2015'!D115</f>
        <v>25</v>
      </c>
      <c r="E115" s="754" t="str">
        <f>'Func Future Subs 2015'!E115</f>
        <v>63S</v>
      </c>
      <c r="F115" s="754">
        <f>'Func Future Subs 2015'!F115</f>
        <v>682001.5541498533</v>
      </c>
      <c r="G115" s="754" t="str">
        <f>'Func Future Subs 2015'!G115</f>
        <v>AltaLink</v>
      </c>
      <c r="H115" s="754">
        <f>'Func Future Subs 2015'!H115</f>
        <v>2017</v>
      </c>
      <c r="I115" s="306">
        <f>+IF($H115=I$2,VLOOKUP($G115,Depreciation!$A$14:$L$18,7,FALSE)/2,IF($H115&lt;I$2,VLOOKUP($G115,Depreciation!$A$14:$L$18,7,FALSE),0))</f>
        <v>0</v>
      </c>
      <c r="J115" s="306">
        <f>+IF($H115=J$2,VLOOKUP($G115,Depreciation!$A$14:$L$18,8,FALSE)/2,IF($H115&lt;J$2,VLOOKUP($G115,Depreciation!$A$14:$L$18,8,FALSE),0))</f>
        <v>0</v>
      </c>
      <c r="K115" s="306">
        <f>+IF($H115=K$2,VLOOKUP($G115,Depreciation!$A$14:$L$18,9,FALSE)/2,IF($H115&lt;K$2,VLOOKUP($G115,Depreciation!$A$14:$L$18,9,FALSE),0))</f>
        <v>1.671703928371859E-2</v>
      </c>
      <c r="L115" s="306">
        <f>+IF($H115=L$2,VLOOKUP($G115,Depreciation!$A$14:$L$18,10,FALSE)/2,IF($H115&lt;L$2,VLOOKUP($G115,Depreciation!$A$14:$L$18,10,FALSE),0))</f>
        <v>3.343407856743718E-2</v>
      </c>
      <c r="M115" s="306">
        <f>+IF($H115=M$2,VLOOKUP($G115,Depreciation!$A$14:$L$18,11,FALSE)/2,IF($H115&lt;M$2,VLOOKUP($G115,Depreciation!$A$14:$L$18,11,FALSE),0))</f>
        <v>3.343407856743718E-2</v>
      </c>
      <c r="N115" s="306">
        <f>+IF($H115=N$2,VLOOKUP($G115,Depreciation!$A$14:$L$18,12,FALSE)/2,IF($H115&lt;N$2,VLOOKUP($G115,Depreciation!$A$14:$L$18,12,FALSE),0))</f>
        <v>3.343407856743718E-2</v>
      </c>
      <c r="O115" s="307">
        <f t="shared" si="9"/>
        <v>670600.50737757306</v>
      </c>
      <c r="P115" s="732">
        <f>'Func Future Subs 2015'!P115</f>
        <v>0</v>
      </c>
      <c r="Q115" s="732">
        <f>'Func Future Subs 2015'!Q115</f>
        <v>1</v>
      </c>
      <c r="R115" s="732">
        <f>'Func Future Subs 2015'!R115</f>
        <v>0</v>
      </c>
      <c r="S115" s="735">
        <f t="shared" si="10"/>
        <v>0</v>
      </c>
      <c r="T115" s="735">
        <f t="shared" si="11"/>
        <v>670600.50737757306</v>
      </c>
      <c r="U115" s="735">
        <f t="shared" si="12"/>
        <v>0</v>
      </c>
      <c r="V115" s="736">
        <f t="shared" si="13"/>
        <v>0</v>
      </c>
      <c r="W115" s="735">
        <f t="shared" si="14"/>
        <v>0</v>
      </c>
      <c r="X115" s="737">
        <f t="shared" si="15"/>
        <v>0</v>
      </c>
      <c r="Y115" s="738">
        <f t="shared" si="16"/>
        <v>670600.50737757306</v>
      </c>
    </row>
    <row r="116" spans="1:25">
      <c r="A116" s="754" t="str">
        <f>'Func Future Subs 2015'!A116</f>
        <v>Red Deer 63S (80/426L)</v>
      </c>
      <c r="B116" s="754">
        <f>'Func Future Subs 2015'!B116</f>
        <v>813</v>
      </c>
      <c r="C116" s="754">
        <f>'Func Future Subs 2015'!C116</f>
        <v>138</v>
      </c>
      <c r="D116" s="754">
        <f>'Func Future Subs 2015'!D116</f>
        <v>25</v>
      </c>
      <c r="E116" s="754" t="str">
        <f>'Func Future Subs 2015'!E116</f>
        <v>63S</v>
      </c>
      <c r="F116" s="754">
        <f>'Func Future Subs 2015'!F116</f>
        <v>1044917.5482604436</v>
      </c>
      <c r="G116" s="754" t="str">
        <f>'Func Future Subs 2015'!G116</f>
        <v>AltaLink</v>
      </c>
      <c r="H116" s="754">
        <f>'Func Future Subs 2015'!H116</f>
        <v>2017</v>
      </c>
      <c r="I116" s="306">
        <f>+IF($H116=I$2,VLOOKUP($G116,Depreciation!$A$14:$L$18,7,FALSE)/2,IF($H116&lt;I$2,VLOOKUP($G116,Depreciation!$A$14:$L$18,7,FALSE),0))</f>
        <v>0</v>
      </c>
      <c r="J116" s="306">
        <f>+IF($H116=J$2,VLOOKUP($G116,Depreciation!$A$14:$L$18,8,FALSE)/2,IF($H116&lt;J$2,VLOOKUP($G116,Depreciation!$A$14:$L$18,8,FALSE),0))</f>
        <v>0</v>
      </c>
      <c r="K116" s="306">
        <f>+IF($H116=K$2,VLOOKUP($G116,Depreciation!$A$14:$L$18,9,FALSE)/2,IF($H116&lt;K$2,VLOOKUP($G116,Depreciation!$A$14:$L$18,9,FALSE),0))</f>
        <v>1.671703928371859E-2</v>
      </c>
      <c r="L116" s="306">
        <f>+IF($H116=L$2,VLOOKUP($G116,Depreciation!$A$14:$L$18,10,FALSE)/2,IF($H116&lt;L$2,VLOOKUP($G116,Depreciation!$A$14:$L$18,10,FALSE),0))</f>
        <v>3.343407856743718E-2</v>
      </c>
      <c r="M116" s="306">
        <f>+IF($H116=M$2,VLOOKUP($G116,Depreciation!$A$14:$L$18,11,FALSE)/2,IF($H116&lt;M$2,VLOOKUP($G116,Depreciation!$A$14:$L$18,11,FALSE),0))</f>
        <v>3.343407856743718E-2</v>
      </c>
      <c r="N116" s="306">
        <f>+IF($H116=N$2,VLOOKUP($G116,Depreciation!$A$14:$L$18,12,FALSE)/2,IF($H116&lt;N$2,VLOOKUP($G116,Depreciation!$A$14:$L$18,12,FALSE),0))</f>
        <v>3.343407856743718E-2</v>
      </c>
      <c r="O116" s="307">
        <f t="shared" si="9"/>
        <v>1027449.6205579268</v>
      </c>
      <c r="P116" s="732">
        <f>'Func Future Subs 2015'!P116</f>
        <v>0</v>
      </c>
      <c r="Q116" s="732">
        <f>'Func Future Subs 2015'!Q116</f>
        <v>1</v>
      </c>
      <c r="R116" s="732">
        <f>'Func Future Subs 2015'!R116</f>
        <v>0</v>
      </c>
      <c r="S116" s="735">
        <f t="shared" si="10"/>
        <v>0</v>
      </c>
      <c r="T116" s="735">
        <f t="shared" si="11"/>
        <v>1027449.6205579268</v>
      </c>
      <c r="U116" s="735">
        <f t="shared" si="12"/>
        <v>0</v>
      </c>
      <c r="V116" s="736">
        <f t="shared" si="13"/>
        <v>0</v>
      </c>
      <c r="W116" s="735">
        <f t="shared" si="14"/>
        <v>0</v>
      </c>
      <c r="X116" s="737">
        <f t="shared" si="15"/>
        <v>0</v>
      </c>
      <c r="Y116" s="738">
        <f t="shared" si="16"/>
        <v>1027449.6205579268</v>
      </c>
    </row>
    <row r="117" spans="1:25">
      <c r="A117" s="754" t="str">
        <f>'Func Future Subs 2015'!A117</f>
        <v>Red Deer 63S (GD Hazel)</v>
      </c>
      <c r="B117" s="754">
        <f>'Func Future Subs 2015'!B117</f>
        <v>813</v>
      </c>
      <c r="C117" s="754">
        <f>'Func Future Subs 2015'!C117</f>
        <v>240</v>
      </c>
      <c r="D117" s="754">
        <f>'Func Future Subs 2015'!D117</f>
        <v>25</v>
      </c>
      <c r="E117" s="754" t="str">
        <f>'Func Future Subs 2015'!E117</f>
        <v>63S</v>
      </c>
      <c r="F117" s="754">
        <f>'Func Future Subs 2015'!F117</f>
        <v>406209.69551666273</v>
      </c>
      <c r="G117" s="754" t="str">
        <f>'Func Future Subs 2015'!G117</f>
        <v>AltaLink</v>
      </c>
      <c r="H117" s="754">
        <f>'Func Future Subs 2015'!H117</f>
        <v>2017</v>
      </c>
      <c r="I117" s="306">
        <f>+IF($H117=I$2,VLOOKUP($G117,Depreciation!$A$14:$L$18,7,FALSE)/2,IF($H117&lt;I$2,VLOOKUP($G117,Depreciation!$A$14:$L$18,7,FALSE),0))</f>
        <v>0</v>
      </c>
      <c r="J117" s="306">
        <f>+IF($H117=J$2,VLOOKUP($G117,Depreciation!$A$14:$L$18,8,FALSE)/2,IF($H117&lt;J$2,VLOOKUP($G117,Depreciation!$A$14:$L$18,8,FALSE),0))</f>
        <v>0</v>
      </c>
      <c r="K117" s="306">
        <f>+IF($H117=K$2,VLOOKUP($G117,Depreciation!$A$14:$L$18,9,FALSE)/2,IF($H117&lt;K$2,VLOOKUP($G117,Depreciation!$A$14:$L$18,9,FALSE),0))</f>
        <v>1.671703928371859E-2</v>
      </c>
      <c r="L117" s="306">
        <f>+IF($H117=L$2,VLOOKUP($G117,Depreciation!$A$14:$L$18,10,FALSE)/2,IF($H117&lt;L$2,VLOOKUP($G117,Depreciation!$A$14:$L$18,10,FALSE),0))</f>
        <v>3.343407856743718E-2</v>
      </c>
      <c r="M117" s="306">
        <f>+IF($H117=M$2,VLOOKUP($G117,Depreciation!$A$14:$L$18,11,FALSE)/2,IF($H117&lt;M$2,VLOOKUP($G117,Depreciation!$A$14:$L$18,11,FALSE),0))</f>
        <v>3.343407856743718E-2</v>
      </c>
      <c r="N117" s="306">
        <f>+IF($H117=N$2,VLOOKUP($G117,Depreciation!$A$14:$L$18,12,FALSE)/2,IF($H117&lt;N$2,VLOOKUP($G117,Depreciation!$A$14:$L$18,12,FALSE),0))</f>
        <v>3.343407856743718E-2</v>
      </c>
      <c r="O117" s="307">
        <f t="shared" si="9"/>
        <v>399419.0720792833</v>
      </c>
      <c r="P117" s="732">
        <f>'Func Future Subs 2015'!P117</f>
        <v>0</v>
      </c>
      <c r="Q117" s="732">
        <f>'Func Future Subs 2015'!Q117</f>
        <v>1</v>
      </c>
      <c r="R117" s="732">
        <f>'Func Future Subs 2015'!R117</f>
        <v>0</v>
      </c>
      <c r="S117" s="735">
        <f t="shared" si="10"/>
        <v>0</v>
      </c>
      <c r="T117" s="735">
        <f t="shared" si="11"/>
        <v>399419.0720792833</v>
      </c>
      <c r="U117" s="735">
        <f t="shared" si="12"/>
        <v>0</v>
      </c>
      <c r="V117" s="736">
        <f t="shared" si="13"/>
        <v>0</v>
      </c>
      <c r="W117" s="735">
        <f t="shared" si="14"/>
        <v>0</v>
      </c>
      <c r="X117" s="737">
        <f t="shared" si="15"/>
        <v>0</v>
      </c>
      <c r="Y117" s="738">
        <f t="shared" si="16"/>
        <v>399419.0720792833</v>
      </c>
    </row>
    <row r="118" spans="1:25">
      <c r="A118" s="754" t="str">
        <f>'Func Future Subs 2015'!A118</f>
        <v>Red Deer 63S (GD Wolf)</v>
      </c>
      <c r="B118" s="754">
        <f>'Func Future Subs 2015'!B118</f>
        <v>813</v>
      </c>
      <c r="C118" s="754">
        <f>'Func Future Subs 2015'!C118</f>
        <v>240</v>
      </c>
      <c r="D118" s="754">
        <f>'Func Future Subs 2015'!D118</f>
        <v>25</v>
      </c>
      <c r="E118" s="754" t="str">
        <f>'Func Future Subs 2015'!E118</f>
        <v>63S</v>
      </c>
      <c r="F118" s="754">
        <f>'Func Future Subs 2015'!F118</f>
        <v>89503.831215535858</v>
      </c>
      <c r="G118" s="754" t="str">
        <f>'Func Future Subs 2015'!G118</f>
        <v>AltaLink</v>
      </c>
      <c r="H118" s="754">
        <f>'Func Future Subs 2015'!H118</f>
        <v>2017</v>
      </c>
      <c r="I118" s="306">
        <f>+IF($H118=I$2,VLOOKUP($G118,Depreciation!$A$14:$L$18,7,FALSE)/2,IF($H118&lt;I$2,VLOOKUP($G118,Depreciation!$A$14:$L$18,7,FALSE),0))</f>
        <v>0</v>
      </c>
      <c r="J118" s="306">
        <f>+IF($H118=J$2,VLOOKUP($G118,Depreciation!$A$14:$L$18,8,FALSE)/2,IF($H118&lt;J$2,VLOOKUP($G118,Depreciation!$A$14:$L$18,8,FALSE),0))</f>
        <v>0</v>
      </c>
      <c r="K118" s="306">
        <f>+IF($H118=K$2,VLOOKUP($G118,Depreciation!$A$14:$L$18,9,FALSE)/2,IF($H118&lt;K$2,VLOOKUP($G118,Depreciation!$A$14:$L$18,9,FALSE),0))</f>
        <v>1.671703928371859E-2</v>
      </c>
      <c r="L118" s="306">
        <f>+IF($H118=L$2,VLOOKUP($G118,Depreciation!$A$14:$L$18,10,FALSE)/2,IF($H118&lt;L$2,VLOOKUP($G118,Depreciation!$A$14:$L$18,10,FALSE),0))</f>
        <v>3.343407856743718E-2</v>
      </c>
      <c r="M118" s="306">
        <f>+IF($H118=M$2,VLOOKUP($G118,Depreciation!$A$14:$L$18,11,FALSE)/2,IF($H118&lt;M$2,VLOOKUP($G118,Depreciation!$A$14:$L$18,11,FALSE),0))</f>
        <v>3.343407856743718E-2</v>
      </c>
      <c r="N118" s="306">
        <f>+IF($H118=N$2,VLOOKUP($G118,Depreciation!$A$14:$L$18,12,FALSE)/2,IF($H118&lt;N$2,VLOOKUP($G118,Depreciation!$A$14:$L$18,12,FALSE),0))</f>
        <v>3.343407856743718E-2</v>
      </c>
      <c r="O118" s="307">
        <f t="shared" si="9"/>
        <v>88007.592153062433</v>
      </c>
      <c r="P118" s="732">
        <f>'Func Future Subs 2015'!P118</f>
        <v>0</v>
      </c>
      <c r="Q118" s="732">
        <f>'Func Future Subs 2015'!Q118</f>
        <v>1</v>
      </c>
      <c r="R118" s="732">
        <f>'Func Future Subs 2015'!R118</f>
        <v>0</v>
      </c>
      <c r="S118" s="735">
        <f t="shared" si="10"/>
        <v>0</v>
      </c>
      <c r="T118" s="735">
        <f t="shared" si="11"/>
        <v>88007.592153062433</v>
      </c>
      <c r="U118" s="735">
        <f t="shared" si="12"/>
        <v>0</v>
      </c>
      <c r="V118" s="736">
        <f t="shared" si="13"/>
        <v>0</v>
      </c>
      <c r="W118" s="735">
        <f t="shared" si="14"/>
        <v>0</v>
      </c>
      <c r="X118" s="737">
        <f t="shared" si="15"/>
        <v>0</v>
      </c>
      <c r="Y118" s="738">
        <f t="shared" si="16"/>
        <v>88007.592153062433</v>
      </c>
    </row>
    <row r="119" spans="1:25">
      <c r="A119" s="754" t="str">
        <f>'Func Future Subs 2015'!A119</f>
        <v>Shell Caroline 378S RAS_(v2)</v>
      </c>
      <c r="B119" s="754">
        <f>'Func Future Subs 2015'!B119</f>
        <v>813</v>
      </c>
      <c r="C119" s="754">
        <f>'Func Future Subs 2015'!C119</f>
        <v>138</v>
      </c>
      <c r="D119" s="754">
        <f>'Func Future Subs 2015'!D119</f>
        <v>25</v>
      </c>
      <c r="E119" s="754" t="str">
        <f>'Func Future Subs 2015'!E119</f>
        <v>378S</v>
      </c>
      <c r="F119" s="754">
        <f>'Func Future Subs 2015'!F119</f>
        <v>107820.56424655707</v>
      </c>
      <c r="G119" s="754" t="str">
        <f>'Func Future Subs 2015'!G119</f>
        <v>AltaLink</v>
      </c>
      <c r="H119" s="754">
        <f>'Func Future Subs 2015'!H119</f>
        <v>2017</v>
      </c>
      <c r="I119" s="306">
        <f>+IF($H119=I$2,VLOOKUP($G119,Depreciation!$A$14:$L$18,7,FALSE)/2,IF($H119&lt;I$2,VLOOKUP($G119,Depreciation!$A$14:$L$18,7,FALSE),0))</f>
        <v>0</v>
      </c>
      <c r="J119" s="306">
        <f>+IF($H119=J$2,VLOOKUP($G119,Depreciation!$A$14:$L$18,8,FALSE)/2,IF($H119&lt;J$2,VLOOKUP($G119,Depreciation!$A$14:$L$18,8,FALSE),0))</f>
        <v>0</v>
      </c>
      <c r="K119" s="306">
        <f>+IF($H119=K$2,VLOOKUP($G119,Depreciation!$A$14:$L$18,9,FALSE)/2,IF($H119&lt;K$2,VLOOKUP($G119,Depreciation!$A$14:$L$18,9,FALSE),0))</f>
        <v>1.671703928371859E-2</v>
      </c>
      <c r="L119" s="306">
        <f>+IF($H119=L$2,VLOOKUP($G119,Depreciation!$A$14:$L$18,10,FALSE)/2,IF($H119&lt;L$2,VLOOKUP($G119,Depreciation!$A$14:$L$18,10,FALSE),0))</f>
        <v>3.343407856743718E-2</v>
      </c>
      <c r="M119" s="306">
        <f>+IF($H119=M$2,VLOOKUP($G119,Depreciation!$A$14:$L$18,11,FALSE)/2,IF($H119&lt;M$2,VLOOKUP($G119,Depreciation!$A$14:$L$18,11,FALSE),0))</f>
        <v>3.343407856743718E-2</v>
      </c>
      <c r="N119" s="306">
        <f>+IF($H119=N$2,VLOOKUP($G119,Depreciation!$A$14:$L$18,12,FALSE)/2,IF($H119&lt;N$2,VLOOKUP($G119,Depreciation!$A$14:$L$18,12,FALSE),0))</f>
        <v>3.343407856743718E-2</v>
      </c>
      <c r="O119" s="307">
        <f t="shared" si="9"/>
        <v>106018.12363845468</v>
      </c>
      <c r="P119" s="732">
        <f>'Func Future Subs 2015'!P119</f>
        <v>0.31207004377736086</v>
      </c>
      <c r="Q119" s="732">
        <f>'Func Future Subs 2015'!Q119</f>
        <v>0.68792995622263919</v>
      </c>
      <c r="R119" s="732">
        <f>'Func Future Subs 2015'!R119</f>
        <v>0</v>
      </c>
      <c r="S119" s="735">
        <f t="shared" si="10"/>
        <v>33085.080485046208</v>
      </c>
      <c r="T119" s="735">
        <f t="shared" si="11"/>
        <v>72933.043153408478</v>
      </c>
      <c r="U119" s="735">
        <f t="shared" si="12"/>
        <v>0</v>
      </c>
      <c r="V119" s="736">
        <f t="shared" si="13"/>
        <v>0</v>
      </c>
      <c r="W119" s="735">
        <f t="shared" si="14"/>
        <v>33085.080485046208</v>
      </c>
      <c r="X119" s="737">
        <f t="shared" si="15"/>
        <v>0</v>
      </c>
      <c r="Y119" s="738">
        <f t="shared" si="16"/>
        <v>72933.043153408478</v>
      </c>
    </row>
    <row r="120" spans="1:25">
      <c r="A120" s="754" t="str">
        <f>'Func Future Subs 2015'!A120</f>
        <v>South Red Deer 194S (80/425L)</v>
      </c>
      <c r="B120" s="754">
        <f>'Func Future Subs 2015'!B120</f>
        <v>813</v>
      </c>
      <c r="C120" s="754">
        <f>'Func Future Subs 2015'!C120</f>
        <v>138</v>
      </c>
      <c r="D120" s="754">
        <f>'Func Future Subs 2015'!D120</f>
        <v>138</v>
      </c>
      <c r="E120" s="754" t="str">
        <f>'Func Future Subs 2015'!E120</f>
        <v>194S</v>
      </c>
      <c r="F120" s="754">
        <f>'Func Future Subs 2015'!F120</f>
        <v>1236018.2408114308</v>
      </c>
      <c r="G120" s="754" t="str">
        <f>'Func Future Subs 2015'!G120</f>
        <v>AltaLink</v>
      </c>
      <c r="H120" s="754">
        <f>'Func Future Subs 2015'!H120</f>
        <v>2017</v>
      </c>
      <c r="I120" s="306">
        <f>+IF($H120=I$2,VLOOKUP($G120,Depreciation!$A$14:$L$18,7,FALSE)/2,IF($H120&lt;I$2,VLOOKUP($G120,Depreciation!$A$14:$L$18,7,FALSE),0))</f>
        <v>0</v>
      </c>
      <c r="J120" s="306">
        <f>+IF($H120=J$2,VLOOKUP($G120,Depreciation!$A$14:$L$18,8,FALSE)/2,IF($H120&lt;J$2,VLOOKUP($G120,Depreciation!$A$14:$L$18,8,FALSE),0))</f>
        <v>0</v>
      </c>
      <c r="K120" s="306">
        <f>+IF($H120=K$2,VLOOKUP($G120,Depreciation!$A$14:$L$18,9,FALSE)/2,IF($H120&lt;K$2,VLOOKUP($G120,Depreciation!$A$14:$L$18,9,FALSE),0))</f>
        <v>1.671703928371859E-2</v>
      </c>
      <c r="L120" s="306">
        <f>+IF($H120=L$2,VLOOKUP($G120,Depreciation!$A$14:$L$18,10,FALSE)/2,IF($H120&lt;L$2,VLOOKUP($G120,Depreciation!$A$14:$L$18,10,FALSE),0))</f>
        <v>3.343407856743718E-2</v>
      </c>
      <c r="M120" s="306">
        <f>+IF($H120=M$2,VLOOKUP($G120,Depreciation!$A$14:$L$18,11,FALSE)/2,IF($H120&lt;M$2,VLOOKUP($G120,Depreciation!$A$14:$L$18,11,FALSE),0))</f>
        <v>3.343407856743718E-2</v>
      </c>
      <c r="N120" s="306">
        <f>+IF($H120=N$2,VLOOKUP($G120,Depreciation!$A$14:$L$18,12,FALSE)/2,IF($H120&lt;N$2,VLOOKUP($G120,Depreciation!$A$14:$L$18,12,FALSE),0))</f>
        <v>3.343407856743718E-2</v>
      </c>
      <c r="O120" s="307">
        <f t="shared" si="9"/>
        <v>1215355.6753243934</v>
      </c>
      <c r="P120" s="732">
        <f>'Func Future Subs 2015'!P120</f>
        <v>0</v>
      </c>
      <c r="Q120" s="732">
        <f>'Func Future Subs 2015'!Q120</f>
        <v>0</v>
      </c>
      <c r="R120" s="732">
        <f>'Func Future Subs 2015'!R120</f>
        <v>1</v>
      </c>
      <c r="S120" s="735">
        <f t="shared" si="10"/>
        <v>0</v>
      </c>
      <c r="T120" s="735">
        <f t="shared" si="11"/>
        <v>0</v>
      </c>
      <c r="U120" s="735">
        <f t="shared" si="12"/>
        <v>1215355.6753243934</v>
      </c>
      <c r="V120" s="736">
        <f t="shared" si="13"/>
        <v>0</v>
      </c>
      <c r="W120" s="735">
        <f t="shared" si="14"/>
        <v>0</v>
      </c>
      <c r="X120" s="737">
        <f t="shared" si="15"/>
        <v>1215355.6753243934</v>
      </c>
      <c r="Y120" s="738">
        <f t="shared" si="16"/>
        <v>0</v>
      </c>
    </row>
    <row r="121" spans="1:25">
      <c r="A121" s="754" t="str">
        <f>'Func Future Subs 2015'!A121</f>
        <v>South Red Deer 194S (80/426L)</v>
      </c>
      <c r="B121" s="754">
        <f>'Func Future Subs 2015'!B121</f>
        <v>813</v>
      </c>
      <c r="C121" s="754">
        <f>'Func Future Subs 2015'!C121</f>
        <v>138</v>
      </c>
      <c r="D121" s="754">
        <f>'Func Future Subs 2015'!D121</f>
        <v>138</v>
      </c>
      <c r="E121" s="754" t="str">
        <f>'Func Future Subs 2015'!E121</f>
        <v>194S</v>
      </c>
      <c r="F121" s="754">
        <f>'Func Future Subs 2015'!F121</f>
        <v>1628738.9300905238</v>
      </c>
      <c r="G121" s="754" t="str">
        <f>'Func Future Subs 2015'!G121</f>
        <v>AltaLink</v>
      </c>
      <c r="H121" s="754">
        <f>'Func Future Subs 2015'!H121</f>
        <v>2017</v>
      </c>
      <c r="I121" s="306">
        <f>+IF($H121=I$2,VLOOKUP($G121,Depreciation!$A$14:$L$18,7,FALSE)/2,IF($H121&lt;I$2,VLOOKUP($G121,Depreciation!$A$14:$L$18,7,FALSE),0))</f>
        <v>0</v>
      </c>
      <c r="J121" s="306">
        <f>+IF($H121=J$2,VLOOKUP($G121,Depreciation!$A$14:$L$18,8,FALSE)/2,IF($H121&lt;J$2,VLOOKUP($G121,Depreciation!$A$14:$L$18,8,FALSE),0))</f>
        <v>0</v>
      </c>
      <c r="K121" s="306">
        <f>+IF($H121=K$2,VLOOKUP($G121,Depreciation!$A$14:$L$18,9,FALSE)/2,IF($H121&lt;K$2,VLOOKUP($G121,Depreciation!$A$14:$L$18,9,FALSE),0))</f>
        <v>1.671703928371859E-2</v>
      </c>
      <c r="L121" s="306">
        <f>+IF($H121=L$2,VLOOKUP($G121,Depreciation!$A$14:$L$18,10,FALSE)/2,IF($H121&lt;L$2,VLOOKUP($G121,Depreciation!$A$14:$L$18,10,FALSE),0))</f>
        <v>3.343407856743718E-2</v>
      </c>
      <c r="M121" s="306">
        <f>+IF($H121=M$2,VLOOKUP($G121,Depreciation!$A$14:$L$18,11,FALSE)/2,IF($H121&lt;M$2,VLOOKUP($G121,Depreciation!$A$14:$L$18,11,FALSE),0))</f>
        <v>3.343407856743718E-2</v>
      </c>
      <c r="N121" s="306">
        <f>+IF($H121=N$2,VLOOKUP($G121,Depreciation!$A$14:$L$18,12,FALSE)/2,IF($H121&lt;N$2,VLOOKUP($G121,Depreciation!$A$14:$L$18,12,FALSE),0))</f>
        <v>3.343407856743718E-2</v>
      </c>
      <c r="O121" s="307">
        <f t="shared" si="9"/>
        <v>1601511.2374132788</v>
      </c>
      <c r="P121" s="732">
        <f>'Func Future Subs 2015'!P121</f>
        <v>0</v>
      </c>
      <c r="Q121" s="732">
        <f>'Func Future Subs 2015'!Q121</f>
        <v>0</v>
      </c>
      <c r="R121" s="732">
        <f>'Func Future Subs 2015'!R121</f>
        <v>1</v>
      </c>
      <c r="S121" s="735">
        <f t="shared" si="10"/>
        <v>0</v>
      </c>
      <c r="T121" s="735">
        <f t="shared" si="11"/>
        <v>0</v>
      </c>
      <c r="U121" s="735">
        <f t="shared" si="12"/>
        <v>1601511.2374132788</v>
      </c>
      <c r="V121" s="736">
        <f t="shared" si="13"/>
        <v>0</v>
      </c>
      <c r="W121" s="735">
        <f t="shared" si="14"/>
        <v>0</v>
      </c>
      <c r="X121" s="737">
        <f t="shared" si="15"/>
        <v>1601511.2374132788</v>
      </c>
      <c r="Y121" s="738">
        <f t="shared" si="16"/>
        <v>0</v>
      </c>
    </row>
    <row r="122" spans="1:25">
      <c r="A122" s="754" t="str">
        <f>'Func Future Subs 2015'!A122</f>
        <v>Substation Harmattan 256S_(v2)</v>
      </c>
      <c r="B122" s="754">
        <f>'Func Future Subs 2015'!B122</f>
        <v>813</v>
      </c>
      <c r="C122" s="754">
        <f>'Func Future Subs 2015'!C122</f>
        <v>138</v>
      </c>
      <c r="D122" s="754">
        <f>'Func Future Subs 2015'!D122</f>
        <v>25</v>
      </c>
      <c r="E122" s="754" t="str">
        <f>'Func Future Subs 2015'!E122</f>
        <v>256S</v>
      </c>
      <c r="F122" s="754">
        <f>'Func Future Subs 2015'!F122</f>
        <v>5094521.6606498221</v>
      </c>
      <c r="G122" s="754" t="str">
        <f>'Func Future Subs 2015'!G122</f>
        <v>AltaLink</v>
      </c>
      <c r="H122" s="754">
        <f>'Func Future Subs 2015'!H122</f>
        <v>2017</v>
      </c>
      <c r="I122" s="306">
        <f>+IF($H122=I$2,VLOOKUP($G122,Depreciation!$A$14:$L$18,7,FALSE)/2,IF($H122&lt;I$2,VLOOKUP($G122,Depreciation!$A$14:$L$18,7,FALSE),0))</f>
        <v>0</v>
      </c>
      <c r="J122" s="306">
        <f>+IF($H122=J$2,VLOOKUP($G122,Depreciation!$A$14:$L$18,8,FALSE)/2,IF($H122&lt;J$2,VLOOKUP($G122,Depreciation!$A$14:$L$18,8,FALSE),0))</f>
        <v>0</v>
      </c>
      <c r="K122" s="306">
        <f>+IF($H122=K$2,VLOOKUP($G122,Depreciation!$A$14:$L$18,9,FALSE)/2,IF($H122&lt;K$2,VLOOKUP($G122,Depreciation!$A$14:$L$18,9,FALSE),0))</f>
        <v>1.671703928371859E-2</v>
      </c>
      <c r="L122" s="306">
        <f>+IF($H122=L$2,VLOOKUP($G122,Depreciation!$A$14:$L$18,10,FALSE)/2,IF($H122&lt;L$2,VLOOKUP($G122,Depreciation!$A$14:$L$18,10,FALSE),0))</f>
        <v>3.343407856743718E-2</v>
      </c>
      <c r="M122" s="306">
        <f>+IF($H122=M$2,VLOOKUP($G122,Depreciation!$A$14:$L$18,11,FALSE)/2,IF($H122&lt;M$2,VLOOKUP($G122,Depreciation!$A$14:$L$18,11,FALSE),0))</f>
        <v>3.343407856743718E-2</v>
      </c>
      <c r="N122" s="306">
        <f>+IF($H122=N$2,VLOOKUP($G122,Depreciation!$A$14:$L$18,12,FALSE)/2,IF($H122&lt;N$2,VLOOKUP($G122,Depreciation!$A$14:$L$18,12,FALSE),0))</f>
        <v>3.343407856743718E-2</v>
      </c>
      <c r="O122" s="307">
        <f t="shared" si="9"/>
        <v>5009356.3419169839</v>
      </c>
      <c r="P122" s="732">
        <f>'Func Future Subs 2015'!P122</f>
        <v>0.54510993176648981</v>
      </c>
      <c r="Q122" s="732">
        <f>'Func Future Subs 2015'!Q122</f>
        <v>0.45489006823351025</v>
      </c>
      <c r="R122" s="732">
        <f>'Func Future Subs 2015'!R122</f>
        <v>0</v>
      </c>
      <c r="S122" s="735">
        <f t="shared" si="10"/>
        <v>2730649.8937364002</v>
      </c>
      <c r="T122" s="735">
        <f t="shared" si="11"/>
        <v>2278706.4481805842</v>
      </c>
      <c r="U122" s="735">
        <f t="shared" si="12"/>
        <v>0</v>
      </c>
      <c r="V122" s="736">
        <f t="shared" si="13"/>
        <v>0</v>
      </c>
      <c r="W122" s="735">
        <f t="shared" si="14"/>
        <v>2730649.8937364002</v>
      </c>
      <c r="X122" s="737">
        <f t="shared" si="15"/>
        <v>0</v>
      </c>
      <c r="Y122" s="738">
        <f t="shared" si="16"/>
        <v>2278706.4481805842</v>
      </c>
    </row>
    <row r="123" spans="1:25">
      <c r="A123" s="754" t="str">
        <f>'Func Future Subs 2015'!A123</f>
        <v>Substation Johnson 281S_(v2)</v>
      </c>
      <c r="B123" s="754">
        <f>'Func Future Subs 2015'!B123</f>
        <v>813</v>
      </c>
      <c r="C123" s="754">
        <f>'Func Future Subs 2015'!C123</f>
        <v>240</v>
      </c>
      <c r="D123" s="754">
        <f>'Func Future Subs 2015'!D123</f>
        <v>138</v>
      </c>
      <c r="E123" s="754" t="str">
        <f>'Func Future Subs 2015'!E123</f>
        <v>281S</v>
      </c>
      <c r="F123" s="754">
        <f>'Func Future Subs 2015'!F123</f>
        <v>841829.79007888795</v>
      </c>
      <c r="G123" s="754" t="str">
        <f>'Func Future Subs 2015'!G123</f>
        <v>AltaLink</v>
      </c>
      <c r="H123" s="754">
        <f>'Func Future Subs 2015'!H123</f>
        <v>2017</v>
      </c>
      <c r="I123" s="306">
        <f>+IF($H123=I$2,VLOOKUP($G123,Depreciation!$A$14:$L$18,7,FALSE)/2,IF($H123&lt;I$2,VLOOKUP($G123,Depreciation!$A$14:$L$18,7,FALSE),0))</f>
        <v>0</v>
      </c>
      <c r="J123" s="306">
        <f>+IF($H123=J$2,VLOOKUP($G123,Depreciation!$A$14:$L$18,8,FALSE)/2,IF($H123&lt;J$2,VLOOKUP($G123,Depreciation!$A$14:$L$18,8,FALSE),0))</f>
        <v>0</v>
      </c>
      <c r="K123" s="306">
        <f>+IF($H123=K$2,VLOOKUP($G123,Depreciation!$A$14:$L$18,9,FALSE)/2,IF($H123&lt;K$2,VLOOKUP($G123,Depreciation!$A$14:$L$18,9,FALSE),0))</f>
        <v>1.671703928371859E-2</v>
      </c>
      <c r="L123" s="306">
        <f>+IF($H123=L$2,VLOOKUP($G123,Depreciation!$A$14:$L$18,10,FALSE)/2,IF($H123&lt;L$2,VLOOKUP($G123,Depreciation!$A$14:$L$18,10,FALSE),0))</f>
        <v>3.343407856743718E-2</v>
      </c>
      <c r="M123" s="306">
        <f>+IF($H123=M$2,VLOOKUP($G123,Depreciation!$A$14:$L$18,11,FALSE)/2,IF($H123&lt;M$2,VLOOKUP($G123,Depreciation!$A$14:$L$18,11,FALSE),0))</f>
        <v>3.343407856743718E-2</v>
      </c>
      <c r="N123" s="306">
        <f>+IF($H123=N$2,VLOOKUP($G123,Depreciation!$A$14:$L$18,12,FALSE)/2,IF($H123&lt;N$2,VLOOKUP($G123,Depreciation!$A$14:$L$18,12,FALSE),0))</f>
        <v>3.343407856743718E-2</v>
      </c>
      <c r="O123" s="307">
        <f t="shared" si="9"/>
        <v>827756.88840793457</v>
      </c>
      <c r="P123" s="732">
        <f>'Func Future Subs 2015'!P123</f>
        <v>0</v>
      </c>
      <c r="Q123" s="732">
        <f>'Func Future Subs 2015'!Q123</f>
        <v>0</v>
      </c>
      <c r="R123" s="732">
        <f>'Func Future Subs 2015'!R123</f>
        <v>1</v>
      </c>
      <c r="S123" s="735">
        <f t="shared" si="10"/>
        <v>0</v>
      </c>
      <c r="T123" s="735">
        <f t="shared" si="11"/>
        <v>0</v>
      </c>
      <c r="U123" s="735">
        <f t="shared" si="12"/>
        <v>827756.88840793457</v>
      </c>
      <c r="V123" s="736">
        <f t="shared" si="13"/>
        <v>0</v>
      </c>
      <c r="W123" s="735">
        <f t="shared" si="14"/>
        <v>0</v>
      </c>
      <c r="X123" s="737">
        <f t="shared" si="15"/>
        <v>827756.88840793457</v>
      </c>
      <c r="Y123" s="738">
        <f t="shared" si="16"/>
        <v>0</v>
      </c>
    </row>
    <row r="124" spans="1:25">
      <c r="A124" s="754" t="str">
        <f>'Func Future Subs 2015'!A124</f>
        <v>Sundre 575S RAS_(v2)</v>
      </c>
      <c r="B124" s="754">
        <f>'Func Future Subs 2015'!B124</f>
        <v>813</v>
      </c>
      <c r="C124" s="754">
        <f>'Func Future Subs 2015'!C124</f>
        <v>138</v>
      </c>
      <c r="D124" s="754">
        <f>'Func Future Subs 2015'!D124</f>
        <v>25</v>
      </c>
      <c r="E124" s="754" t="str">
        <f>'Func Future Subs 2015'!E124</f>
        <v>575S</v>
      </c>
      <c r="F124" s="754">
        <f>'Func Future Subs 2015'!F124</f>
        <v>109894.03663591394</v>
      </c>
      <c r="G124" s="754" t="str">
        <f>'Func Future Subs 2015'!G124</f>
        <v>AltaLink</v>
      </c>
      <c r="H124" s="754">
        <f>'Func Future Subs 2015'!H124</f>
        <v>2017</v>
      </c>
      <c r="I124" s="306">
        <f>+IF($H124=I$2,VLOOKUP($G124,Depreciation!$A$14:$L$18,7,FALSE)/2,IF($H124&lt;I$2,VLOOKUP($G124,Depreciation!$A$14:$L$18,7,FALSE),0))</f>
        <v>0</v>
      </c>
      <c r="J124" s="306">
        <f>+IF($H124=J$2,VLOOKUP($G124,Depreciation!$A$14:$L$18,8,FALSE)/2,IF($H124&lt;J$2,VLOOKUP($G124,Depreciation!$A$14:$L$18,8,FALSE),0))</f>
        <v>0</v>
      </c>
      <c r="K124" s="306">
        <f>+IF($H124=K$2,VLOOKUP($G124,Depreciation!$A$14:$L$18,9,FALSE)/2,IF($H124&lt;K$2,VLOOKUP($G124,Depreciation!$A$14:$L$18,9,FALSE),0))</f>
        <v>1.671703928371859E-2</v>
      </c>
      <c r="L124" s="306">
        <f>+IF($H124=L$2,VLOOKUP($G124,Depreciation!$A$14:$L$18,10,FALSE)/2,IF($H124&lt;L$2,VLOOKUP($G124,Depreciation!$A$14:$L$18,10,FALSE),0))</f>
        <v>3.343407856743718E-2</v>
      </c>
      <c r="M124" s="306">
        <f>+IF($H124=M$2,VLOOKUP($G124,Depreciation!$A$14:$L$18,11,FALSE)/2,IF($H124&lt;M$2,VLOOKUP($G124,Depreciation!$A$14:$L$18,11,FALSE),0))</f>
        <v>3.343407856743718E-2</v>
      </c>
      <c r="N124" s="306">
        <f>+IF($H124=N$2,VLOOKUP($G124,Depreciation!$A$14:$L$18,12,FALSE)/2,IF($H124&lt;N$2,VLOOKUP($G124,Depreciation!$A$14:$L$18,12,FALSE),0))</f>
        <v>3.343407856743718E-2</v>
      </c>
      <c r="O124" s="307">
        <f t="shared" si="9"/>
        <v>108056.93370842496</v>
      </c>
      <c r="P124" s="732">
        <f>'Func Future Subs 2015'!P124</f>
        <v>0</v>
      </c>
      <c r="Q124" s="732">
        <f>'Func Future Subs 2015'!Q124</f>
        <v>1</v>
      </c>
      <c r="R124" s="732">
        <f>'Func Future Subs 2015'!R124</f>
        <v>0</v>
      </c>
      <c r="S124" s="735">
        <f t="shared" si="10"/>
        <v>0</v>
      </c>
      <c r="T124" s="735">
        <f t="shared" si="11"/>
        <v>108056.93370842496</v>
      </c>
      <c r="U124" s="735">
        <f t="shared" si="12"/>
        <v>0</v>
      </c>
      <c r="V124" s="736">
        <f t="shared" si="13"/>
        <v>0</v>
      </c>
      <c r="W124" s="735">
        <f t="shared" si="14"/>
        <v>0</v>
      </c>
      <c r="X124" s="737">
        <f t="shared" si="15"/>
        <v>0</v>
      </c>
      <c r="Y124" s="738">
        <f t="shared" si="16"/>
        <v>108056.93370842496</v>
      </c>
    </row>
    <row r="125" spans="1:25">
      <c r="A125" s="754" t="str">
        <f>'Func Future Subs 2015'!A125</f>
        <v>Sylvan Lake 580S</v>
      </c>
      <c r="B125" s="754">
        <f>'Func Future Subs 2015'!B125</f>
        <v>813</v>
      </c>
      <c r="C125" s="754">
        <f>'Func Future Subs 2015'!C125</f>
        <v>138</v>
      </c>
      <c r="D125" s="754">
        <f>'Func Future Subs 2015'!D125</f>
        <v>25</v>
      </c>
      <c r="E125" s="754" t="str">
        <f>'Func Future Subs 2015'!E125</f>
        <v>580S</v>
      </c>
      <c r="F125" s="754">
        <f>'Func Future Subs 2015'!F125</f>
        <v>932711.63703784568</v>
      </c>
      <c r="G125" s="754" t="str">
        <f>'Func Future Subs 2015'!G125</f>
        <v>AltaLink</v>
      </c>
      <c r="H125" s="754">
        <f>'Func Future Subs 2015'!H125</f>
        <v>2017</v>
      </c>
      <c r="I125" s="306">
        <f>+IF($H125=I$2,VLOOKUP($G125,Depreciation!$A$14:$L$18,7,FALSE)/2,IF($H125&lt;I$2,VLOOKUP($G125,Depreciation!$A$14:$L$18,7,FALSE),0))</f>
        <v>0</v>
      </c>
      <c r="J125" s="306">
        <f>+IF($H125=J$2,VLOOKUP($G125,Depreciation!$A$14:$L$18,8,FALSE)/2,IF($H125&lt;J$2,VLOOKUP($G125,Depreciation!$A$14:$L$18,8,FALSE),0))</f>
        <v>0</v>
      </c>
      <c r="K125" s="306">
        <f>+IF($H125=K$2,VLOOKUP($G125,Depreciation!$A$14:$L$18,9,FALSE)/2,IF($H125&lt;K$2,VLOOKUP($G125,Depreciation!$A$14:$L$18,9,FALSE),0))</f>
        <v>1.671703928371859E-2</v>
      </c>
      <c r="L125" s="306">
        <f>+IF($H125=L$2,VLOOKUP($G125,Depreciation!$A$14:$L$18,10,FALSE)/2,IF($H125&lt;L$2,VLOOKUP($G125,Depreciation!$A$14:$L$18,10,FALSE),0))</f>
        <v>3.343407856743718E-2</v>
      </c>
      <c r="M125" s="306">
        <f>+IF($H125=M$2,VLOOKUP($G125,Depreciation!$A$14:$L$18,11,FALSE)/2,IF($H125&lt;M$2,VLOOKUP($G125,Depreciation!$A$14:$L$18,11,FALSE),0))</f>
        <v>3.343407856743718E-2</v>
      </c>
      <c r="N125" s="306">
        <f>+IF($H125=N$2,VLOOKUP($G125,Depreciation!$A$14:$L$18,12,FALSE)/2,IF($H125&lt;N$2,VLOOKUP($G125,Depreciation!$A$14:$L$18,12,FALSE),0))</f>
        <v>3.343407856743718E-2</v>
      </c>
      <c r="O125" s="307">
        <f t="shared" si="9"/>
        <v>917119.45996110258</v>
      </c>
      <c r="P125" s="732">
        <f>'Func Future Subs 2015'!P125</f>
        <v>0</v>
      </c>
      <c r="Q125" s="732">
        <f>'Func Future Subs 2015'!Q125</f>
        <v>1</v>
      </c>
      <c r="R125" s="732">
        <f>'Func Future Subs 2015'!R125</f>
        <v>0</v>
      </c>
      <c r="S125" s="735">
        <f t="shared" si="10"/>
        <v>0</v>
      </c>
      <c r="T125" s="735">
        <f t="shared" si="11"/>
        <v>917119.45996110258</v>
      </c>
      <c r="U125" s="735">
        <f t="shared" si="12"/>
        <v>0</v>
      </c>
      <c r="V125" s="736">
        <f t="shared" si="13"/>
        <v>0</v>
      </c>
      <c r="W125" s="735">
        <f t="shared" si="14"/>
        <v>0</v>
      </c>
      <c r="X125" s="737">
        <f t="shared" si="15"/>
        <v>0</v>
      </c>
      <c r="Y125" s="738">
        <f t="shared" si="16"/>
        <v>917119.45996110258</v>
      </c>
    </row>
    <row r="126" spans="1:25">
      <c r="A126" s="754" t="str">
        <f>'Func Future Subs 2015'!A126</f>
        <v>Waiparous 639S</v>
      </c>
      <c r="B126" s="754">
        <f>'Func Future Subs 2015'!B126</f>
        <v>813</v>
      </c>
      <c r="C126" s="754">
        <f>'Func Future Subs 2015'!C126</f>
        <v>240</v>
      </c>
      <c r="D126" s="754">
        <f>'Func Future Subs 2015'!D126</f>
        <v>0</v>
      </c>
      <c r="E126" s="754" t="str">
        <f>'Func Future Subs 2015'!E126</f>
        <v>639S</v>
      </c>
      <c r="F126" s="754">
        <f>'Func Future Subs 2015'!F126</f>
        <v>957002.50299688336</v>
      </c>
      <c r="G126" s="754" t="str">
        <f>'Func Future Subs 2015'!G126</f>
        <v>AltaLink</v>
      </c>
      <c r="H126" s="754">
        <f>'Func Future Subs 2015'!H126</f>
        <v>2017</v>
      </c>
      <c r="I126" s="306">
        <f>+IF($H126=I$2,VLOOKUP($G126,Depreciation!$A$14:$L$18,7,FALSE)/2,IF($H126&lt;I$2,VLOOKUP($G126,Depreciation!$A$14:$L$18,7,FALSE),0))</f>
        <v>0</v>
      </c>
      <c r="J126" s="306">
        <f>+IF($H126=J$2,VLOOKUP($G126,Depreciation!$A$14:$L$18,8,FALSE)/2,IF($H126&lt;J$2,VLOOKUP($G126,Depreciation!$A$14:$L$18,8,FALSE),0))</f>
        <v>0</v>
      </c>
      <c r="K126" s="306">
        <f>+IF($H126=K$2,VLOOKUP($G126,Depreciation!$A$14:$L$18,9,FALSE)/2,IF($H126&lt;K$2,VLOOKUP($G126,Depreciation!$A$14:$L$18,9,FALSE),0))</f>
        <v>1.671703928371859E-2</v>
      </c>
      <c r="L126" s="306">
        <f>+IF($H126=L$2,VLOOKUP($G126,Depreciation!$A$14:$L$18,10,FALSE)/2,IF($H126&lt;L$2,VLOOKUP($G126,Depreciation!$A$14:$L$18,10,FALSE),0))</f>
        <v>3.343407856743718E-2</v>
      </c>
      <c r="M126" s="306">
        <f>+IF($H126=M$2,VLOOKUP($G126,Depreciation!$A$14:$L$18,11,FALSE)/2,IF($H126&lt;M$2,VLOOKUP($G126,Depreciation!$A$14:$L$18,11,FALSE),0))</f>
        <v>3.343407856743718E-2</v>
      </c>
      <c r="N126" s="306">
        <f>+IF($H126=N$2,VLOOKUP($G126,Depreciation!$A$14:$L$18,12,FALSE)/2,IF($H126&lt;N$2,VLOOKUP($G126,Depreciation!$A$14:$L$18,12,FALSE),0))</f>
        <v>3.343407856743718E-2</v>
      </c>
      <c r="O126" s="307">
        <f t="shared" si="9"/>
        <v>941004.25455966743</v>
      </c>
      <c r="P126" s="732">
        <f>'Func Future Subs 2015'!P126</f>
        <v>0</v>
      </c>
      <c r="Q126" s="732">
        <f>'Func Future Subs 2015'!Q126</f>
        <v>0</v>
      </c>
      <c r="R126" s="732">
        <f>'Func Future Subs 2015'!R126</f>
        <v>1</v>
      </c>
      <c r="S126" s="735">
        <f t="shared" si="10"/>
        <v>0</v>
      </c>
      <c r="T126" s="735">
        <f t="shared" si="11"/>
        <v>0</v>
      </c>
      <c r="U126" s="735">
        <f t="shared" si="12"/>
        <v>941004.25455966743</v>
      </c>
      <c r="V126" s="736">
        <f t="shared" si="13"/>
        <v>941004.25455966743</v>
      </c>
      <c r="W126" s="735">
        <f t="shared" si="14"/>
        <v>0</v>
      </c>
      <c r="X126" s="737">
        <f t="shared" si="15"/>
        <v>0</v>
      </c>
      <c r="Y126" s="738">
        <f t="shared" si="16"/>
        <v>0</v>
      </c>
    </row>
    <row r="127" spans="1:25">
      <c r="A127" s="754" t="str">
        <f>'Func Future Subs 2015'!A127</f>
        <v>Wolf Creek 288S</v>
      </c>
      <c r="B127" s="754">
        <f>'Func Future Subs 2015'!B127</f>
        <v>813</v>
      </c>
      <c r="C127" s="754">
        <f>'Func Future Subs 2015'!C127</f>
        <v>240</v>
      </c>
      <c r="D127" s="754">
        <f>'Func Future Subs 2015'!D127</f>
        <v>138</v>
      </c>
      <c r="E127" s="754" t="str">
        <f>'Func Future Subs 2015'!E127</f>
        <v>288S</v>
      </c>
      <c r="F127" s="754">
        <f>'Func Future Subs 2015'!F127</f>
        <v>35639737.099017024</v>
      </c>
      <c r="G127" s="754" t="str">
        <f>'Func Future Subs 2015'!G127</f>
        <v>AltaLink</v>
      </c>
      <c r="H127" s="754">
        <f>'Func Future Subs 2015'!H127</f>
        <v>2017</v>
      </c>
      <c r="I127" s="306">
        <f>+IF($H127=I$2,VLOOKUP($G127,Depreciation!$A$14:$L$18,7,FALSE)/2,IF($H127&lt;I$2,VLOOKUP($G127,Depreciation!$A$14:$L$18,7,FALSE),0))</f>
        <v>0</v>
      </c>
      <c r="J127" s="306">
        <f>+IF($H127=J$2,VLOOKUP($G127,Depreciation!$A$14:$L$18,8,FALSE)/2,IF($H127&lt;J$2,VLOOKUP($G127,Depreciation!$A$14:$L$18,8,FALSE),0))</f>
        <v>0</v>
      </c>
      <c r="K127" s="306">
        <f>+IF($H127=K$2,VLOOKUP($G127,Depreciation!$A$14:$L$18,9,FALSE)/2,IF($H127&lt;K$2,VLOOKUP($G127,Depreciation!$A$14:$L$18,9,FALSE),0))</f>
        <v>1.671703928371859E-2</v>
      </c>
      <c r="L127" s="306">
        <f>+IF($H127=L$2,VLOOKUP($G127,Depreciation!$A$14:$L$18,10,FALSE)/2,IF($H127&lt;L$2,VLOOKUP($G127,Depreciation!$A$14:$L$18,10,FALSE),0))</f>
        <v>3.343407856743718E-2</v>
      </c>
      <c r="M127" s="306">
        <f>+IF($H127=M$2,VLOOKUP($G127,Depreciation!$A$14:$L$18,11,FALSE)/2,IF($H127&lt;M$2,VLOOKUP($G127,Depreciation!$A$14:$L$18,11,FALSE),0))</f>
        <v>3.343407856743718E-2</v>
      </c>
      <c r="N127" s="306">
        <f>+IF($H127=N$2,VLOOKUP($G127,Depreciation!$A$14:$L$18,12,FALSE)/2,IF($H127&lt;N$2,VLOOKUP($G127,Depreciation!$A$14:$L$18,12,FALSE),0))</f>
        <v>3.343407856743718E-2</v>
      </c>
      <c r="O127" s="307">
        <f t="shared" si="9"/>
        <v>35043946.213871352</v>
      </c>
      <c r="P127" s="732">
        <f>'Func Future Subs 2015'!P127</f>
        <v>0</v>
      </c>
      <c r="Q127" s="732">
        <f>'Func Future Subs 2015'!Q127</f>
        <v>0</v>
      </c>
      <c r="R127" s="732">
        <f>'Func Future Subs 2015'!R127</f>
        <v>1</v>
      </c>
      <c r="S127" s="735">
        <f t="shared" si="10"/>
        <v>0</v>
      </c>
      <c r="T127" s="735">
        <f t="shared" si="11"/>
        <v>0</v>
      </c>
      <c r="U127" s="735">
        <f t="shared" si="12"/>
        <v>35043946.213871352</v>
      </c>
      <c r="V127" s="736">
        <f t="shared" si="13"/>
        <v>0</v>
      </c>
      <c r="W127" s="735">
        <f t="shared" si="14"/>
        <v>0</v>
      </c>
      <c r="X127" s="737">
        <f t="shared" si="15"/>
        <v>35043946.213871352</v>
      </c>
      <c r="Y127" s="738">
        <f t="shared" si="16"/>
        <v>0</v>
      </c>
    </row>
    <row r="128" spans="1:25">
      <c r="A128" s="754" t="str">
        <f>'Func Future Subs 2015'!A128</f>
        <v>Acheson 305S</v>
      </c>
      <c r="B128" s="754">
        <f>'Func Future Subs 2015'!B128</f>
        <v>850</v>
      </c>
      <c r="C128" s="754">
        <f>'Func Future Subs 2015'!C128</f>
        <v>138</v>
      </c>
      <c r="D128" s="754">
        <f>'Func Future Subs 2015'!D128</f>
        <v>25</v>
      </c>
      <c r="E128" s="754" t="str">
        <f>'Func Future Subs 2015'!E128</f>
        <v>305S</v>
      </c>
      <c r="F128" s="754">
        <f>'Func Future Subs 2015'!F128</f>
        <v>8772223.6609183215</v>
      </c>
      <c r="G128" s="754" t="str">
        <f>'Func Future Subs 2015'!G128</f>
        <v>AltaLink</v>
      </c>
      <c r="H128" s="754">
        <f>'Func Future Subs 2015'!H128</f>
        <v>2017</v>
      </c>
      <c r="I128" s="306">
        <f>+IF($H128=I$2,VLOOKUP($G128,Depreciation!$A$14:$L$18,7,FALSE)/2,IF($H128&lt;I$2,VLOOKUP($G128,Depreciation!$A$14:$L$18,7,FALSE),0))</f>
        <v>0</v>
      </c>
      <c r="J128" s="306">
        <f>+IF($H128=J$2,VLOOKUP($G128,Depreciation!$A$14:$L$18,8,FALSE)/2,IF($H128&lt;J$2,VLOOKUP($G128,Depreciation!$A$14:$L$18,8,FALSE),0))</f>
        <v>0</v>
      </c>
      <c r="K128" s="306">
        <f>+IF($H128=K$2,VLOOKUP($G128,Depreciation!$A$14:$L$18,9,FALSE)/2,IF($H128&lt;K$2,VLOOKUP($G128,Depreciation!$A$14:$L$18,9,FALSE),0))</f>
        <v>1.671703928371859E-2</v>
      </c>
      <c r="L128" s="306">
        <f>+IF($H128=L$2,VLOOKUP($G128,Depreciation!$A$14:$L$18,10,FALSE)/2,IF($H128&lt;L$2,VLOOKUP($G128,Depreciation!$A$14:$L$18,10,FALSE),0))</f>
        <v>3.343407856743718E-2</v>
      </c>
      <c r="M128" s="306">
        <f>+IF($H128=M$2,VLOOKUP($G128,Depreciation!$A$14:$L$18,11,FALSE)/2,IF($H128&lt;M$2,VLOOKUP($G128,Depreciation!$A$14:$L$18,11,FALSE),0))</f>
        <v>3.343407856743718E-2</v>
      </c>
      <c r="N128" s="306">
        <f>+IF($H128=N$2,VLOOKUP($G128,Depreciation!$A$14:$L$18,12,FALSE)/2,IF($H128&lt;N$2,VLOOKUP($G128,Depreciation!$A$14:$L$18,12,FALSE),0))</f>
        <v>3.343407856743718E-2</v>
      </c>
      <c r="O128" s="307">
        <f t="shared" si="9"/>
        <v>8625578.0533731841</v>
      </c>
      <c r="P128" s="732">
        <f>'Func Future Subs 2015'!P128</f>
        <v>0</v>
      </c>
      <c r="Q128" s="732">
        <f>'Func Future Subs 2015'!Q128</f>
        <v>1</v>
      </c>
      <c r="R128" s="732">
        <f>'Func Future Subs 2015'!R128</f>
        <v>0</v>
      </c>
      <c r="S128" s="735">
        <f t="shared" si="10"/>
        <v>0</v>
      </c>
      <c r="T128" s="735">
        <f t="shared" si="11"/>
        <v>8625578.0533731841</v>
      </c>
      <c r="U128" s="735">
        <f t="shared" si="12"/>
        <v>0</v>
      </c>
      <c r="V128" s="736">
        <f t="shared" si="13"/>
        <v>0</v>
      </c>
      <c r="W128" s="735">
        <f t="shared" si="14"/>
        <v>0</v>
      </c>
      <c r="X128" s="737">
        <f t="shared" si="15"/>
        <v>0</v>
      </c>
      <c r="Y128" s="738">
        <f t="shared" si="16"/>
        <v>8625578.0533731841</v>
      </c>
    </row>
    <row r="129" spans="1:25">
      <c r="A129" s="754" t="str">
        <f>'Func Future Subs 2015'!A129</f>
        <v xml:space="preserve">Bardo 197S </v>
      </c>
      <c r="B129" s="754">
        <f>'Func Future Subs 2015'!B129</f>
        <v>850</v>
      </c>
      <c r="C129" s="754">
        <f>'Func Future Subs 2015'!C129</f>
        <v>138</v>
      </c>
      <c r="D129" s="754">
        <f>'Func Future Subs 2015'!D129</f>
        <v>138</v>
      </c>
      <c r="E129" s="754" t="str">
        <f>'Func Future Subs 2015'!E129</f>
        <v>197S</v>
      </c>
      <c r="F129" s="754">
        <f>'Func Future Subs 2015'!F129</f>
        <v>1637012.1502390178</v>
      </c>
      <c r="G129" s="754" t="str">
        <f>'Func Future Subs 2015'!G129</f>
        <v>AltaLink</v>
      </c>
      <c r="H129" s="754">
        <f>'Func Future Subs 2015'!H129</f>
        <v>2017</v>
      </c>
      <c r="I129" s="306">
        <f>+IF($H129=I$2,VLOOKUP($G129,Depreciation!$A$14:$L$18,7,FALSE)/2,IF($H129&lt;I$2,VLOOKUP($G129,Depreciation!$A$14:$L$18,7,FALSE),0))</f>
        <v>0</v>
      </c>
      <c r="J129" s="306">
        <f>+IF($H129=J$2,VLOOKUP($G129,Depreciation!$A$14:$L$18,8,FALSE)/2,IF($H129&lt;J$2,VLOOKUP($G129,Depreciation!$A$14:$L$18,8,FALSE),0))</f>
        <v>0</v>
      </c>
      <c r="K129" s="306">
        <f>+IF($H129=K$2,VLOOKUP($G129,Depreciation!$A$14:$L$18,9,FALSE)/2,IF($H129&lt;K$2,VLOOKUP($G129,Depreciation!$A$14:$L$18,9,FALSE),0))</f>
        <v>1.671703928371859E-2</v>
      </c>
      <c r="L129" s="306">
        <f>+IF($H129=L$2,VLOOKUP($G129,Depreciation!$A$14:$L$18,10,FALSE)/2,IF($H129&lt;L$2,VLOOKUP($G129,Depreciation!$A$14:$L$18,10,FALSE),0))</f>
        <v>3.343407856743718E-2</v>
      </c>
      <c r="M129" s="306">
        <f>+IF($H129=M$2,VLOOKUP($G129,Depreciation!$A$14:$L$18,11,FALSE)/2,IF($H129&lt;M$2,VLOOKUP($G129,Depreciation!$A$14:$L$18,11,FALSE),0))</f>
        <v>3.343407856743718E-2</v>
      </c>
      <c r="N129" s="306">
        <f>+IF($H129=N$2,VLOOKUP($G129,Depreciation!$A$14:$L$18,12,FALSE)/2,IF($H129&lt;N$2,VLOOKUP($G129,Depreciation!$A$14:$L$18,12,FALSE),0))</f>
        <v>3.343407856743718E-2</v>
      </c>
      <c r="O129" s="307">
        <f t="shared" si="9"/>
        <v>1609646.1538155475</v>
      </c>
      <c r="P129" s="732">
        <f>'Func Future Subs 2015'!P129</f>
        <v>0</v>
      </c>
      <c r="Q129" s="732">
        <f>'Func Future Subs 2015'!Q129</f>
        <v>0</v>
      </c>
      <c r="R129" s="732">
        <f>'Func Future Subs 2015'!R129</f>
        <v>1</v>
      </c>
      <c r="S129" s="735">
        <f t="shared" si="10"/>
        <v>0</v>
      </c>
      <c r="T129" s="735">
        <f t="shared" si="11"/>
        <v>0</v>
      </c>
      <c r="U129" s="735">
        <f t="shared" si="12"/>
        <v>1609646.1538155475</v>
      </c>
      <c r="V129" s="736">
        <f t="shared" si="13"/>
        <v>0</v>
      </c>
      <c r="W129" s="735">
        <f t="shared" si="14"/>
        <v>0</v>
      </c>
      <c r="X129" s="737">
        <f t="shared" si="15"/>
        <v>1609646.1538155475</v>
      </c>
      <c r="Y129" s="738">
        <f t="shared" si="16"/>
        <v>0</v>
      </c>
    </row>
    <row r="130" spans="1:25">
      <c r="A130" s="754" t="str">
        <f>'Func Future Subs 2015'!A130</f>
        <v>Bigstone 86S</v>
      </c>
      <c r="B130" s="754">
        <f>'Func Future Subs 2015'!B130</f>
        <v>850</v>
      </c>
      <c r="C130" s="754">
        <f>'Func Future Subs 2015'!C130</f>
        <v>240</v>
      </c>
      <c r="D130" s="754">
        <f>'Func Future Subs 2015'!D130</f>
        <v>138</v>
      </c>
      <c r="E130" s="754" t="str">
        <f>'Func Future Subs 2015'!E130</f>
        <v>86S</v>
      </c>
      <c r="F130" s="754">
        <f>'Func Future Subs 2015'!F130</f>
        <v>413798.77575694869</v>
      </c>
      <c r="G130" s="754" t="str">
        <f>'Func Future Subs 2015'!G130</f>
        <v>AltaLink</v>
      </c>
      <c r="H130" s="754">
        <f>'Func Future Subs 2015'!H130</f>
        <v>2017</v>
      </c>
      <c r="I130" s="306">
        <f>+IF($H130=I$2,VLOOKUP($G130,Depreciation!$A$14:$L$18,7,FALSE)/2,IF($H130&lt;I$2,VLOOKUP($G130,Depreciation!$A$14:$L$18,7,FALSE),0))</f>
        <v>0</v>
      </c>
      <c r="J130" s="306">
        <f>+IF($H130=J$2,VLOOKUP($G130,Depreciation!$A$14:$L$18,8,FALSE)/2,IF($H130&lt;J$2,VLOOKUP($G130,Depreciation!$A$14:$L$18,8,FALSE),0))</f>
        <v>0</v>
      </c>
      <c r="K130" s="306">
        <f>+IF($H130=K$2,VLOOKUP($G130,Depreciation!$A$14:$L$18,9,FALSE)/2,IF($H130&lt;K$2,VLOOKUP($G130,Depreciation!$A$14:$L$18,9,FALSE),0))</f>
        <v>1.671703928371859E-2</v>
      </c>
      <c r="L130" s="306">
        <f>+IF($H130=L$2,VLOOKUP($G130,Depreciation!$A$14:$L$18,10,FALSE)/2,IF($H130&lt;L$2,VLOOKUP($G130,Depreciation!$A$14:$L$18,10,FALSE),0))</f>
        <v>3.343407856743718E-2</v>
      </c>
      <c r="M130" s="306">
        <f>+IF($H130=M$2,VLOOKUP($G130,Depreciation!$A$14:$L$18,11,FALSE)/2,IF($H130&lt;M$2,VLOOKUP($G130,Depreciation!$A$14:$L$18,11,FALSE),0))</f>
        <v>3.343407856743718E-2</v>
      </c>
      <c r="N130" s="306">
        <f>+IF($H130=N$2,VLOOKUP($G130,Depreciation!$A$14:$L$18,12,FALSE)/2,IF($H130&lt;N$2,VLOOKUP($G130,Depreciation!$A$14:$L$18,12,FALSE),0))</f>
        <v>3.343407856743718E-2</v>
      </c>
      <c r="O130" s="307">
        <f t="shared" si="9"/>
        <v>406881.28536706511</v>
      </c>
      <c r="P130" s="732">
        <f>'Func Future Subs 2015'!P130</f>
        <v>0</v>
      </c>
      <c r="Q130" s="732">
        <f>'Func Future Subs 2015'!Q130</f>
        <v>0</v>
      </c>
      <c r="R130" s="732">
        <f>'Func Future Subs 2015'!R130</f>
        <v>1</v>
      </c>
      <c r="S130" s="735">
        <f t="shared" si="10"/>
        <v>0</v>
      </c>
      <c r="T130" s="735">
        <f t="shared" si="11"/>
        <v>0</v>
      </c>
      <c r="U130" s="735">
        <f t="shared" si="12"/>
        <v>406881.28536706511</v>
      </c>
      <c r="V130" s="736">
        <f t="shared" si="13"/>
        <v>0</v>
      </c>
      <c r="W130" s="735">
        <f t="shared" si="14"/>
        <v>0</v>
      </c>
      <c r="X130" s="737">
        <f t="shared" si="15"/>
        <v>406881.28536706511</v>
      </c>
      <c r="Y130" s="738">
        <f t="shared" si="16"/>
        <v>0</v>
      </c>
    </row>
    <row r="131" spans="1:25">
      <c r="A131" s="754" t="str">
        <f>'Func Future Subs 2015'!A131</f>
        <v>Bilby 105S</v>
      </c>
      <c r="B131" s="754">
        <f>'Func Future Subs 2015'!B131</f>
        <v>850</v>
      </c>
      <c r="C131" s="754">
        <f>'Func Future Subs 2015'!C131</f>
        <v>138</v>
      </c>
      <c r="D131" s="754">
        <f>'Func Future Subs 2015'!D131</f>
        <v>25</v>
      </c>
      <c r="E131" s="754" t="str">
        <f>'Func Future Subs 2015'!E131</f>
        <v>105S</v>
      </c>
      <c r="F131" s="754">
        <f>'Func Future Subs 2015'!F131</f>
        <v>109864.19345706432</v>
      </c>
      <c r="G131" s="754" t="str">
        <f>'Func Future Subs 2015'!G131</f>
        <v>AltaLink</v>
      </c>
      <c r="H131" s="754">
        <f>'Func Future Subs 2015'!H131</f>
        <v>2017</v>
      </c>
      <c r="I131" s="306">
        <f>+IF($H131=I$2,VLOOKUP($G131,Depreciation!$A$14:$L$18,7,FALSE)/2,IF($H131&lt;I$2,VLOOKUP($G131,Depreciation!$A$14:$L$18,7,FALSE),0))</f>
        <v>0</v>
      </c>
      <c r="J131" s="306">
        <f>+IF($H131=J$2,VLOOKUP($G131,Depreciation!$A$14:$L$18,8,FALSE)/2,IF($H131&lt;J$2,VLOOKUP($G131,Depreciation!$A$14:$L$18,8,FALSE),0))</f>
        <v>0</v>
      </c>
      <c r="K131" s="306">
        <f>+IF($H131=K$2,VLOOKUP($G131,Depreciation!$A$14:$L$18,9,FALSE)/2,IF($H131&lt;K$2,VLOOKUP($G131,Depreciation!$A$14:$L$18,9,FALSE),0))</f>
        <v>1.671703928371859E-2</v>
      </c>
      <c r="L131" s="306">
        <f>+IF($H131=L$2,VLOOKUP($G131,Depreciation!$A$14:$L$18,10,FALSE)/2,IF($H131&lt;L$2,VLOOKUP($G131,Depreciation!$A$14:$L$18,10,FALSE),0))</f>
        <v>3.343407856743718E-2</v>
      </c>
      <c r="M131" s="306">
        <f>+IF($H131=M$2,VLOOKUP($G131,Depreciation!$A$14:$L$18,11,FALSE)/2,IF($H131&lt;M$2,VLOOKUP($G131,Depreciation!$A$14:$L$18,11,FALSE),0))</f>
        <v>3.343407856743718E-2</v>
      </c>
      <c r="N131" s="306">
        <f>+IF($H131=N$2,VLOOKUP($G131,Depreciation!$A$14:$L$18,12,FALSE)/2,IF($H131&lt;N$2,VLOOKUP($G131,Depreciation!$A$14:$L$18,12,FALSE),0))</f>
        <v>3.343407856743718E-2</v>
      </c>
      <c r="O131" s="307">
        <f t="shared" si="9"/>
        <v>108027.58941916852</v>
      </c>
      <c r="P131" s="732">
        <f>'Func Future Subs 2015'!P131</f>
        <v>0</v>
      </c>
      <c r="Q131" s="732">
        <f>'Func Future Subs 2015'!Q131</f>
        <v>1</v>
      </c>
      <c r="R131" s="732">
        <f>'Func Future Subs 2015'!R131</f>
        <v>0</v>
      </c>
      <c r="S131" s="735">
        <f t="shared" si="10"/>
        <v>0</v>
      </c>
      <c r="T131" s="735">
        <f t="shared" si="11"/>
        <v>108027.58941916852</v>
      </c>
      <c r="U131" s="735">
        <f t="shared" si="12"/>
        <v>0</v>
      </c>
      <c r="V131" s="736">
        <f t="shared" si="13"/>
        <v>0</v>
      </c>
      <c r="W131" s="735">
        <f t="shared" si="14"/>
        <v>0</v>
      </c>
      <c r="X131" s="737">
        <f t="shared" si="15"/>
        <v>0</v>
      </c>
      <c r="Y131" s="738">
        <f t="shared" si="16"/>
        <v>108027.58941916852</v>
      </c>
    </row>
    <row r="132" spans="1:25">
      <c r="A132" s="754" t="str">
        <f>'Func Future Subs 2015'!A132</f>
        <v>Bretona 45S</v>
      </c>
      <c r="B132" s="754">
        <f>'Func Future Subs 2015'!B132</f>
        <v>850</v>
      </c>
      <c r="C132" s="754">
        <f>'Func Future Subs 2015'!C132</f>
        <v>138</v>
      </c>
      <c r="D132" s="754">
        <f>'Func Future Subs 2015'!D132</f>
        <v>25</v>
      </c>
      <c r="E132" s="754" t="str">
        <f>'Func Future Subs 2015'!E132</f>
        <v>45S</v>
      </c>
      <c r="F132" s="754">
        <f>'Func Future Subs 2015'!F132</f>
        <v>22946.871241679786</v>
      </c>
      <c r="G132" s="754" t="str">
        <f>'Func Future Subs 2015'!G132</f>
        <v>AltaLink</v>
      </c>
      <c r="H132" s="754">
        <f>'Func Future Subs 2015'!H132</f>
        <v>2017</v>
      </c>
      <c r="I132" s="306">
        <f>+IF($H132=I$2,VLOOKUP($G132,Depreciation!$A$14:$L$18,7,FALSE)/2,IF($H132&lt;I$2,VLOOKUP($G132,Depreciation!$A$14:$L$18,7,FALSE),0))</f>
        <v>0</v>
      </c>
      <c r="J132" s="306">
        <f>+IF($H132=J$2,VLOOKUP($G132,Depreciation!$A$14:$L$18,8,FALSE)/2,IF($H132&lt;J$2,VLOOKUP($G132,Depreciation!$A$14:$L$18,8,FALSE),0))</f>
        <v>0</v>
      </c>
      <c r="K132" s="306">
        <f>+IF($H132=K$2,VLOOKUP($G132,Depreciation!$A$14:$L$18,9,FALSE)/2,IF($H132&lt;K$2,VLOOKUP($G132,Depreciation!$A$14:$L$18,9,FALSE),0))</f>
        <v>1.671703928371859E-2</v>
      </c>
      <c r="L132" s="306">
        <f>+IF($H132=L$2,VLOOKUP($G132,Depreciation!$A$14:$L$18,10,FALSE)/2,IF($H132&lt;L$2,VLOOKUP($G132,Depreciation!$A$14:$L$18,10,FALSE),0))</f>
        <v>3.343407856743718E-2</v>
      </c>
      <c r="M132" s="306">
        <f>+IF($H132=M$2,VLOOKUP($G132,Depreciation!$A$14:$L$18,11,FALSE)/2,IF($H132&lt;M$2,VLOOKUP($G132,Depreciation!$A$14:$L$18,11,FALSE),0))</f>
        <v>3.343407856743718E-2</v>
      </c>
      <c r="N132" s="306">
        <f>+IF($H132=N$2,VLOOKUP($G132,Depreciation!$A$14:$L$18,12,FALSE)/2,IF($H132&lt;N$2,VLOOKUP($G132,Depreciation!$A$14:$L$18,12,FALSE),0))</f>
        <v>3.343407856743718E-2</v>
      </c>
      <c r="O132" s="307">
        <f t="shared" ref="O132:O195" si="17">IF(H132&lt;=2017,F132*(1-I132)*(1-J132)*(1-K132),0)</f>
        <v>22563.267493694191</v>
      </c>
      <c r="P132" s="732">
        <f>'Func Future Subs 2015'!P132</f>
        <v>0</v>
      </c>
      <c r="Q132" s="732">
        <f>'Func Future Subs 2015'!Q132</f>
        <v>1</v>
      </c>
      <c r="R132" s="732">
        <f>'Func Future Subs 2015'!R132</f>
        <v>0</v>
      </c>
      <c r="S132" s="735">
        <f t="shared" ref="S132:S195" si="18">+P132*$O132</f>
        <v>0</v>
      </c>
      <c r="T132" s="735">
        <f t="shared" ref="T132:T195" si="19">+Q132*$O132</f>
        <v>22563.267493694191</v>
      </c>
      <c r="U132" s="735">
        <f t="shared" ref="U132:U195" si="20">+R132*$O132</f>
        <v>0</v>
      </c>
      <c r="V132" s="736">
        <f t="shared" ref="V132:V195" si="21">IF(AND(R132=1,D132=0),O132,0)</f>
        <v>0</v>
      </c>
      <c r="W132" s="735">
        <f t="shared" ref="W132:W195" si="22">S132+IF(D132&gt;144,U132,0)</f>
        <v>0</v>
      </c>
      <c r="X132" s="737">
        <f t="shared" ref="X132:X195" si="23">IF(AND(D132&lt;=144,D132&gt;=69),U132,0)</f>
        <v>0</v>
      </c>
      <c r="Y132" s="738">
        <f t="shared" ref="Y132:Y195" si="24">T132+IF(AND(D132&lt;69,D132&gt;0),U132,0)</f>
        <v>22563.267493694191</v>
      </c>
    </row>
    <row r="133" spans="1:25">
      <c r="A133" s="754" t="str">
        <f>'Func Future Subs 2015'!A133</f>
        <v>Carvel 432S</v>
      </c>
      <c r="B133" s="754">
        <f>'Func Future Subs 2015'!B133</f>
        <v>850</v>
      </c>
      <c r="C133" s="754">
        <f>'Func Future Subs 2015'!C133</f>
        <v>138</v>
      </c>
      <c r="D133" s="754">
        <f>'Func Future Subs 2015'!D133</f>
        <v>25</v>
      </c>
      <c r="E133" s="754" t="str">
        <f>'Func Future Subs 2015'!E133</f>
        <v>432S</v>
      </c>
      <c r="F133" s="754">
        <f>'Func Future Subs 2015'!F133</f>
        <v>125476.41366771194</v>
      </c>
      <c r="G133" s="754" t="str">
        <f>'Func Future Subs 2015'!G133</f>
        <v>AltaLink</v>
      </c>
      <c r="H133" s="754">
        <f>'Func Future Subs 2015'!H133</f>
        <v>2017</v>
      </c>
      <c r="I133" s="306">
        <f>+IF($H133=I$2,VLOOKUP($G133,Depreciation!$A$14:$L$18,7,FALSE)/2,IF($H133&lt;I$2,VLOOKUP($G133,Depreciation!$A$14:$L$18,7,FALSE),0))</f>
        <v>0</v>
      </c>
      <c r="J133" s="306">
        <f>+IF($H133=J$2,VLOOKUP($G133,Depreciation!$A$14:$L$18,8,FALSE)/2,IF($H133&lt;J$2,VLOOKUP($G133,Depreciation!$A$14:$L$18,8,FALSE),0))</f>
        <v>0</v>
      </c>
      <c r="K133" s="306">
        <f>+IF($H133=K$2,VLOOKUP($G133,Depreciation!$A$14:$L$18,9,FALSE)/2,IF($H133&lt;K$2,VLOOKUP($G133,Depreciation!$A$14:$L$18,9,FALSE),0))</f>
        <v>1.671703928371859E-2</v>
      </c>
      <c r="L133" s="306">
        <f>+IF($H133=L$2,VLOOKUP($G133,Depreciation!$A$14:$L$18,10,FALSE)/2,IF($H133&lt;L$2,VLOOKUP($G133,Depreciation!$A$14:$L$18,10,FALSE),0))</f>
        <v>3.343407856743718E-2</v>
      </c>
      <c r="M133" s="306">
        <f>+IF($H133=M$2,VLOOKUP($G133,Depreciation!$A$14:$L$18,11,FALSE)/2,IF($H133&lt;M$2,VLOOKUP($G133,Depreciation!$A$14:$L$18,11,FALSE),0))</f>
        <v>3.343407856743718E-2</v>
      </c>
      <c r="N133" s="306">
        <f>+IF($H133=N$2,VLOOKUP($G133,Depreciation!$A$14:$L$18,12,FALSE)/2,IF($H133&lt;N$2,VLOOKUP($G133,Depreciation!$A$14:$L$18,12,FALSE),0))</f>
        <v>3.343407856743718E-2</v>
      </c>
      <c r="O133" s="307">
        <f t="shared" si="17"/>
        <v>123378.81953124868</v>
      </c>
      <c r="P133" s="732">
        <f>'Func Future Subs 2015'!P133</f>
        <v>0</v>
      </c>
      <c r="Q133" s="732">
        <f>'Func Future Subs 2015'!Q133</f>
        <v>1</v>
      </c>
      <c r="R133" s="732">
        <f>'Func Future Subs 2015'!R133</f>
        <v>0</v>
      </c>
      <c r="S133" s="735">
        <f t="shared" si="18"/>
        <v>0</v>
      </c>
      <c r="T133" s="735">
        <f t="shared" si="19"/>
        <v>123378.81953124868</v>
      </c>
      <c r="U133" s="735">
        <f t="shared" si="20"/>
        <v>0</v>
      </c>
      <c r="V133" s="736">
        <f t="shared" si="21"/>
        <v>0</v>
      </c>
      <c r="W133" s="735">
        <f t="shared" si="22"/>
        <v>0</v>
      </c>
      <c r="X133" s="737">
        <f t="shared" si="23"/>
        <v>0</v>
      </c>
      <c r="Y133" s="738">
        <f t="shared" si="24"/>
        <v>123378.81953124868</v>
      </c>
    </row>
    <row r="134" spans="1:25">
      <c r="A134" s="754" t="str">
        <f>'Func Future Subs 2015'!A134</f>
        <v>Cooking Lake 522S</v>
      </c>
      <c r="B134" s="754">
        <f>'Func Future Subs 2015'!B134</f>
        <v>850</v>
      </c>
      <c r="C134" s="754">
        <f>'Func Future Subs 2015'!C134</f>
        <v>138</v>
      </c>
      <c r="D134" s="754">
        <f>'Func Future Subs 2015'!D134</f>
        <v>25</v>
      </c>
      <c r="E134" s="754" t="str">
        <f>'Func Future Subs 2015'!E134</f>
        <v>522S</v>
      </c>
      <c r="F134" s="754">
        <f>'Func Future Subs 2015'!F134</f>
        <v>6420665.4815754285</v>
      </c>
      <c r="G134" s="754" t="str">
        <f>'Func Future Subs 2015'!G134</f>
        <v>AltaLink</v>
      </c>
      <c r="H134" s="754">
        <f>'Func Future Subs 2015'!H134</f>
        <v>2017</v>
      </c>
      <c r="I134" s="306">
        <f>+IF($H134=I$2,VLOOKUP($G134,Depreciation!$A$14:$L$18,7,FALSE)/2,IF($H134&lt;I$2,VLOOKUP($G134,Depreciation!$A$14:$L$18,7,FALSE),0))</f>
        <v>0</v>
      </c>
      <c r="J134" s="306">
        <f>+IF($H134=J$2,VLOOKUP($G134,Depreciation!$A$14:$L$18,8,FALSE)/2,IF($H134&lt;J$2,VLOOKUP($G134,Depreciation!$A$14:$L$18,8,FALSE),0))</f>
        <v>0</v>
      </c>
      <c r="K134" s="306">
        <f>+IF($H134=K$2,VLOOKUP($G134,Depreciation!$A$14:$L$18,9,FALSE)/2,IF($H134&lt;K$2,VLOOKUP($G134,Depreciation!$A$14:$L$18,9,FALSE),0))</f>
        <v>1.671703928371859E-2</v>
      </c>
      <c r="L134" s="306">
        <f>+IF($H134=L$2,VLOOKUP($G134,Depreciation!$A$14:$L$18,10,FALSE)/2,IF($H134&lt;L$2,VLOOKUP($G134,Depreciation!$A$14:$L$18,10,FALSE),0))</f>
        <v>3.343407856743718E-2</v>
      </c>
      <c r="M134" s="306">
        <f>+IF($H134=M$2,VLOOKUP($G134,Depreciation!$A$14:$L$18,11,FALSE)/2,IF($H134&lt;M$2,VLOOKUP($G134,Depreciation!$A$14:$L$18,11,FALSE),0))</f>
        <v>3.343407856743718E-2</v>
      </c>
      <c r="N134" s="306">
        <f>+IF($H134=N$2,VLOOKUP($G134,Depreciation!$A$14:$L$18,12,FALSE)/2,IF($H134&lt;N$2,VLOOKUP($G134,Depreciation!$A$14:$L$18,12,FALSE),0))</f>
        <v>3.343407856743718E-2</v>
      </c>
      <c r="O134" s="307">
        <f t="shared" si="17"/>
        <v>6313330.9644923164</v>
      </c>
      <c r="P134" s="732">
        <f>'Func Future Subs 2015'!P134</f>
        <v>0</v>
      </c>
      <c r="Q134" s="732">
        <f>'Func Future Subs 2015'!Q134</f>
        <v>1</v>
      </c>
      <c r="R134" s="732">
        <f>'Func Future Subs 2015'!R134</f>
        <v>0</v>
      </c>
      <c r="S134" s="735">
        <f t="shared" si="18"/>
        <v>0</v>
      </c>
      <c r="T134" s="735">
        <f t="shared" si="19"/>
        <v>6313330.9644923164</v>
      </c>
      <c r="U134" s="735">
        <f t="shared" si="20"/>
        <v>0</v>
      </c>
      <c r="V134" s="736">
        <f t="shared" si="21"/>
        <v>0</v>
      </c>
      <c r="W134" s="735">
        <f t="shared" si="22"/>
        <v>0</v>
      </c>
      <c r="X134" s="737">
        <f t="shared" si="23"/>
        <v>0</v>
      </c>
      <c r="Y134" s="738">
        <f t="shared" si="24"/>
        <v>6313330.9644923164</v>
      </c>
    </row>
    <row r="135" spans="1:25">
      <c r="A135" s="754" t="str">
        <f>'Func Future Subs 2015'!A135</f>
        <v>East Camrose 285S</v>
      </c>
      <c r="B135" s="754">
        <f>'Func Future Subs 2015'!B135</f>
        <v>850</v>
      </c>
      <c r="C135" s="754">
        <f>'Func Future Subs 2015'!C135</f>
        <v>138</v>
      </c>
      <c r="D135" s="754">
        <f>'Func Future Subs 2015'!D135</f>
        <v>25</v>
      </c>
      <c r="E135" s="754" t="str">
        <f>'Func Future Subs 2015'!E135</f>
        <v>285S</v>
      </c>
      <c r="F135" s="754">
        <f>'Func Future Subs 2015'!F135</f>
        <v>22946.871241679786</v>
      </c>
      <c r="G135" s="754" t="str">
        <f>'Func Future Subs 2015'!G135</f>
        <v>AltaLink</v>
      </c>
      <c r="H135" s="754">
        <f>'Func Future Subs 2015'!H135</f>
        <v>2017</v>
      </c>
      <c r="I135" s="306">
        <f>+IF($H135=I$2,VLOOKUP($G135,Depreciation!$A$14:$L$18,7,FALSE)/2,IF($H135&lt;I$2,VLOOKUP($G135,Depreciation!$A$14:$L$18,7,FALSE),0))</f>
        <v>0</v>
      </c>
      <c r="J135" s="306">
        <f>+IF($H135=J$2,VLOOKUP($G135,Depreciation!$A$14:$L$18,8,FALSE)/2,IF($H135&lt;J$2,VLOOKUP($G135,Depreciation!$A$14:$L$18,8,FALSE),0))</f>
        <v>0</v>
      </c>
      <c r="K135" s="306">
        <f>+IF($H135=K$2,VLOOKUP($G135,Depreciation!$A$14:$L$18,9,FALSE)/2,IF($H135&lt;K$2,VLOOKUP($G135,Depreciation!$A$14:$L$18,9,FALSE),0))</f>
        <v>1.671703928371859E-2</v>
      </c>
      <c r="L135" s="306">
        <f>+IF($H135=L$2,VLOOKUP($G135,Depreciation!$A$14:$L$18,10,FALSE)/2,IF($H135&lt;L$2,VLOOKUP($G135,Depreciation!$A$14:$L$18,10,FALSE),0))</f>
        <v>3.343407856743718E-2</v>
      </c>
      <c r="M135" s="306">
        <f>+IF($H135=M$2,VLOOKUP($G135,Depreciation!$A$14:$L$18,11,FALSE)/2,IF($H135&lt;M$2,VLOOKUP($G135,Depreciation!$A$14:$L$18,11,FALSE),0))</f>
        <v>3.343407856743718E-2</v>
      </c>
      <c r="N135" s="306">
        <f>+IF($H135=N$2,VLOOKUP($G135,Depreciation!$A$14:$L$18,12,FALSE)/2,IF($H135&lt;N$2,VLOOKUP($G135,Depreciation!$A$14:$L$18,12,FALSE),0))</f>
        <v>3.343407856743718E-2</v>
      </c>
      <c r="O135" s="307">
        <f t="shared" si="17"/>
        <v>22563.267493694191</v>
      </c>
      <c r="P135" s="732">
        <f>'Func Future Subs 2015'!P135</f>
        <v>0</v>
      </c>
      <c r="Q135" s="732">
        <f>'Func Future Subs 2015'!Q135</f>
        <v>1</v>
      </c>
      <c r="R135" s="732">
        <f>'Func Future Subs 2015'!R135</f>
        <v>0</v>
      </c>
      <c r="S135" s="735">
        <f t="shared" si="18"/>
        <v>0</v>
      </c>
      <c r="T135" s="735">
        <f t="shared" si="19"/>
        <v>22563.267493694191</v>
      </c>
      <c r="U135" s="735">
        <f t="shared" si="20"/>
        <v>0</v>
      </c>
      <c r="V135" s="736">
        <f t="shared" si="21"/>
        <v>0</v>
      </c>
      <c r="W135" s="735">
        <f t="shared" si="22"/>
        <v>0</v>
      </c>
      <c r="X135" s="737">
        <f t="shared" si="23"/>
        <v>0</v>
      </c>
      <c r="Y135" s="738">
        <f t="shared" si="24"/>
        <v>22563.267493694191</v>
      </c>
    </row>
    <row r="136" spans="1:25">
      <c r="A136" s="754" t="str">
        <f>'Func Future Subs 2015'!A136</f>
        <v>East Edmonton 38S</v>
      </c>
      <c r="B136" s="754">
        <f>'Func Future Subs 2015'!B136</f>
        <v>850</v>
      </c>
      <c r="C136" s="754">
        <f>'Func Future Subs 2015'!C136</f>
        <v>240</v>
      </c>
      <c r="D136" s="754">
        <f>'Func Future Subs 2015'!D136</f>
        <v>25</v>
      </c>
      <c r="E136" s="754" t="str">
        <f>'Func Future Subs 2015'!E136</f>
        <v>38S</v>
      </c>
      <c r="F136" s="754">
        <f>'Func Future Subs 2015'!F136</f>
        <v>101645.43808550939</v>
      </c>
      <c r="G136" s="754" t="str">
        <f>'Func Future Subs 2015'!G136</f>
        <v>AltaLink</v>
      </c>
      <c r="H136" s="754">
        <f>'Func Future Subs 2015'!H136</f>
        <v>2017</v>
      </c>
      <c r="I136" s="306">
        <f>+IF($H136=I$2,VLOOKUP($G136,Depreciation!$A$14:$L$18,7,FALSE)/2,IF($H136&lt;I$2,VLOOKUP($G136,Depreciation!$A$14:$L$18,7,FALSE),0))</f>
        <v>0</v>
      </c>
      <c r="J136" s="306">
        <f>+IF($H136=J$2,VLOOKUP($G136,Depreciation!$A$14:$L$18,8,FALSE)/2,IF($H136&lt;J$2,VLOOKUP($G136,Depreciation!$A$14:$L$18,8,FALSE),0))</f>
        <v>0</v>
      </c>
      <c r="K136" s="306">
        <f>+IF($H136=K$2,VLOOKUP($G136,Depreciation!$A$14:$L$18,9,FALSE)/2,IF($H136&lt;K$2,VLOOKUP($G136,Depreciation!$A$14:$L$18,9,FALSE),0))</f>
        <v>1.671703928371859E-2</v>
      </c>
      <c r="L136" s="306">
        <f>+IF($H136=L$2,VLOOKUP($G136,Depreciation!$A$14:$L$18,10,FALSE)/2,IF($H136&lt;L$2,VLOOKUP($G136,Depreciation!$A$14:$L$18,10,FALSE),0))</f>
        <v>3.343407856743718E-2</v>
      </c>
      <c r="M136" s="306">
        <f>+IF($H136=M$2,VLOOKUP($G136,Depreciation!$A$14:$L$18,11,FALSE)/2,IF($H136&lt;M$2,VLOOKUP($G136,Depreciation!$A$14:$L$18,11,FALSE),0))</f>
        <v>3.343407856743718E-2</v>
      </c>
      <c r="N136" s="306">
        <f>+IF($H136=N$2,VLOOKUP($G136,Depreciation!$A$14:$L$18,12,FALSE)/2,IF($H136&lt;N$2,VLOOKUP($G136,Depreciation!$A$14:$L$18,12,FALSE),0))</f>
        <v>3.343407856743718E-2</v>
      </c>
      <c r="O136" s="307">
        <f t="shared" si="17"/>
        <v>99946.227304023152</v>
      </c>
      <c r="P136" s="732">
        <f>'Func Future Subs 2015'!P136</f>
        <v>0</v>
      </c>
      <c r="Q136" s="732">
        <f>'Func Future Subs 2015'!Q136</f>
        <v>1</v>
      </c>
      <c r="R136" s="732">
        <f>'Func Future Subs 2015'!R136</f>
        <v>0</v>
      </c>
      <c r="S136" s="735">
        <f t="shared" si="18"/>
        <v>0</v>
      </c>
      <c r="T136" s="735">
        <f t="shared" si="19"/>
        <v>99946.227304023152</v>
      </c>
      <c r="U136" s="735">
        <f t="shared" si="20"/>
        <v>0</v>
      </c>
      <c r="V136" s="736">
        <f t="shared" si="21"/>
        <v>0</v>
      </c>
      <c r="W136" s="735">
        <f t="shared" si="22"/>
        <v>0</v>
      </c>
      <c r="X136" s="737">
        <f t="shared" si="23"/>
        <v>0</v>
      </c>
      <c r="Y136" s="738">
        <f t="shared" si="24"/>
        <v>99946.227304023152</v>
      </c>
    </row>
    <row r="137" spans="1:25">
      <c r="A137" s="754" t="str">
        <f>'Func Future Subs 2015'!A137</f>
        <v>East Edmonton 38S dev3</v>
      </c>
      <c r="B137" s="754">
        <f>'Func Future Subs 2015'!B137</f>
        <v>850</v>
      </c>
      <c r="C137" s="754">
        <f>'Func Future Subs 2015'!C137</f>
        <v>240</v>
      </c>
      <c r="D137" s="754">
        <f>'Func Future Subs 2015'!D137</f>
        <v>25</v>
      </c>
      <c r="E137" s="754" t="str">
        <f>'Func Future Subs 2015'!E137</f>
        <v>38S</v>
      </c>
      <c r="F137" s="754">
        <f>'Func Future Subs 2015'!F137</f>
        <v>98365.145371423874</v>
      </c>
      <c r="G137" s="754" t="str">
        <f>'Func Future Subs 2015'!G137</f>
        <v>AltaLink</v>
      </c>
      <c r="H137" s="754">
        <f>'Func Future Subs 2015'!H137</f>
        <v>2017</v>
      </c>
      <c r="I137" s="306">
        <f>+IF($H137=I$2,VLOOKUP($G137,Depreciation!$A$14:$L$18,7,FALSE)/2,IF($H137&lt;I$2,VLOOKUP($G137,Depreciation!$A$14:$L$18,7,FALSE),0))</f>
        <v>0</v>
      </c>
      <c r="J137" s="306">
        <f>+IF($H137=J$2,VLOOKUP($G137,Depreciation!$A$14:$L$18,8,FALSE)/2,IF($H137&lt;J$2,VLOOKUP($G137,Depreciation!$A$14:$L$18,8,FALSE),0))</f>
        <v>0</v>
      </c>
      <c r="K137" s="306">
        <f>+IF($H137=K$2,VLOOKUP($G137,Depreciation!$A$14:$L$18,9,FALSE)/2,IF($H137&lt;K$2,VLOOKUP($G137,Depreciation!$A$14:$L$18,9,FALSE),0))</f>
        <v>1.671703928371859E-2</v>
      </c>
      <c r="L137" s="306">
        <f>+IF($H137=L$2,VLOOKUP($G137,Depreciation!$A$14:$L$18,10,FALSE)/2,IF($H137&lt;L$2,VLOOKUP($G137,Depreciation!$A$14:$L$18,10,FALSE),0))</f>
        <v>3.343407856743718E-2</v>
      </c>
      <c r="M137" s="306">
        <f>+IF($H137=M$2,VLOOKUP($G137,Depreciation!$A$14:$L$18,11,FALSE)/2,IF($H137&lt;M$2,VLOOKUP($G137,Depreciation!$A$14:$L$18,11,FALSE),0))</f>
        <v>3.343407856743718E-2</v>
      </c>
      <c r="N137" s="306">
        <f>+IF($H137=N$2,VLOOKUP($G137,Depreciation!$A$14:$L$18,12,FALSE)/2,IF($H137&lt;N$2,VLOOKUP($G137,Depreciation!$A$14:$L$18,12,FALSE),0))</f>
        <v>3.343407856743718E-2</v>
      </c>
      <c r="O137" s="307">
        <f t="shared" si="17"/>
        <v>96720.771372101095</v>
      </c>
      <c r="P137" s="732">
        <f>'Func Future Subs 2015'!P137</f>
        <v>0</v>
      </c>
      <c r="Q137" s="732">
        <f>'Func Future Subs 2015'!Q137</f>
        <v>1</v>
      </c>
      <c r="R137" s="732">
        <f>'Func Future Subs 2015'!R137</f>
        <v>0</v>
      </c>
      <c r="S137" s="735">
        <f t="shared" si="18"/>
        <v>0</v>
      </c>
      <c r="T137" s="735">
        <f t="shared" si="19"/>
        <v>96720.771372101095</v>
      </c>
      <c r="U137" s="735">
        <f t="shared" si="20"/>
        <v>0</v>
      </c>
      <c r="V137" s="736">
        <f t="shared" si="21"/>
        <v>0</v>
      </c>
      <c r="W137" s="735">
        <f t="shared" si="22"/>
        <v>0</v>
      </c>
      <c r="X137" s="737">
        <f t="shared" si="23"/>
        <v>0</v>
      </c>
      <c r="Y137" s="738">
        <f t="shared" si="24"/>
        <v>96720.771372101095</v>
      </c>
    </row>
    <row r="138" spans="1:25">
      <c r="A138" s="754" t="str">
        <f>'Func Future Subs 2015'!A138</f>
        <v>Ellerslie 89S</v>
      </c>
      <c r="B138" s="754">
        <f>'Func Future Subs 2015'!B138</f>
        <v>850</v>
      </c>
      <c r="C138" s="754">
        <f>'Func Future Subs 2015'!C138</f>
        <v>500</v>
      </c>
      <c r="D138" s="754">
        <f>'Func Future Subs 2015'!D138</f>
        <v>240</v>
      </c>
      <c r="E138" s="754" t="str">
        <f>'Func Future Subs 2015'!E138</f>
        <v>89S</v>
      </c>
      <c r="F138" s="754">
        <f>'Func Future Subs 2015'!F138</f>
        <v>655238.94394348608</v>
      </c>
      <c r="G138" s="754" t="str">
        <f>'Func Future Subs 2015'!G138</f>
        <v>AltaLink</v>
      </c>
      <c r="H138" s="754">
        <f>'Func Future Subs 2015'!H138</f>
        <v>2017</v>
      </c>
      <c r="I138" s="306">
        <f>+IF($H138=I$2,VLOOKUP($G138,Depreciation!$A$14:$L$18,7,FALSE)/2,IF($H138&lt;I$2,VLOOKUP($G138,Depreciation!$A$14:$L$18,7,FALSE),0))</f>
        <v>0</v>
      </c>
      <c r="J138" s="306">
        <f>+IF($H138=J$2,VLOOKUP($G138,Depreciation!$A$14:$L$18,8,FALSE)/2,IF($H138&lt;J$2,VLOOKUP($G138,Depreciation!$A$14:$L$18,8,FALSE),0))</f>
        <v>0</v>
      </c>
      <c r="K138" s="306">
        <f>+IF($H138=K$2,VLOOKUP($G138,Depreciation!$A$14:$L$18,9,FALSE)/2,IF($H138&lt;K$2,VLOOKUP($G138,Depreciation!$A$14:$L$18,9,FALSE),0))</f>
        <v>1.671703928371859E-2</v>
      </c>
      <c r="L138" s="306">
        <f>+IF($H138=L$2,VLOOKUP($G138,Depreciation!$A$14:$L$18,10,FALSE)/2,IF($H138&lt;L$2,VLOOKUP($G138,Depreciation!$A$14:$L$18,10,FALSE),0))</f>
        <v>3.343407856743718E-2</v>
      </c>
      <c r="M138" s="306">
        <f>+IF($H138=M$2,VLOOKUP($G138,Depreciation!$A$14:$L$18,11,FALSE)/2,IF($H138&lt;M$2,VLOOKUP($G138,Depreciation!$A$14:$L$18,11,FALSE),0))</f>
        <v>3.343407856743718E-2</v>
      </c>
      <c r="N138" s="306">
        <f>+IF($H138=N$2,VLOOKUP($G138,Depreciation!$A$14:$L$18,12,FALSE)/2,IF($H138&lt;N$2,VLOOKUP($G138,Depreciation!$A$14:$L$18,12,FALSE),0))</f>
        <v>3.343407856743718E-2</v>
      </c>
      <c r="O138" s="307">
        <f t="shared" si="17"/>
        <v>644285.28877736058</v>
      </c>
      <c r="P138" s="732">
        <f>'Func Future Subs 2015'!P138</f>
        <v>0</v>
      </c>
      <c r="Q138" s="732">
        <f>'Func Future Subs 2015'!Q138</f>
        <v>0</v>
      </c>
      <c r="R138" s="732">
        <f>'Func Future Subs 2015'!R138</f>
        <v>1</v>
      </c>
      <c r="S138" s="735">
        <f t="shared" si="18"/>
        <v>0</v>
      </c>
      <c r="T138" s="735">
        <f t="shared" si="19"/>
        <v>0</v>
      </c>
      <c r="U138" s="735">
        <f t="shared" si="20"/>
        <v>644285.28877736058</v>
      </c>
      <c r="V138" s="736">
        <f t="shared" si="21"/>
        <v>0</v>
      </c>
      <c r="W138" s="735">
        <f t="shared" si="22"/>
        <v>644285.28877736058</v>
      </c>
      <c r="X138" s="737">
        <f t="shared" si="23"/>
        <v>0</v>
      </c>
      <c r="Y138" s="738">
        <f t="shared" si="24"/>
        <v>0</v>
      </c>
    </row>
    <row r="139" spans="1:25">
      <c r="A139" s="754" t="str">
        <f>'Func Future Subs 2015'!A139</f>
        <v>Harry smith 376S</v>
      </c>
      <c r="B139" s="754">
        <f>'Func Future Subs 2015'!B139</f>
        <v>850</v>
      </c>
      <c r="C139" s="754">
        <f>'Func Future Subs 2015'!C139</f>
        <v>240</v>
      </c>
      <c r="D139" s="754">
        <f>'Func Future Subs 2015'!D139</f>
        <v>138</v>
      </c>
      <c r="E139" s="754" t="str">
        <f>'Func Future Subs 2015'!E139</f>
        <v>376S</v>
      </c>
      <c r="F139" s="754">
        <f>'Func Future Subs 2015'!F139</f>
        <v>55595620.830533721</v>
      </c>
      <c r="G139" s="754" t="str">
        <f>'Func Future Subs 2015'!G139</f>
        <v>AltaLink</v>
      </c>
      <c r="H139" s="754">
        <f>'Func Future Subs 2015'!H139</f>
        <v>2017</v>
      </c>
      <c r="I139" s="306">
        <f>+IF($H139=I$2,VLOOKUP($G139,Depreciation!$A$14:$L$18,7,FALSE)/2,IF($H139&lt;I$2,VLOOKUP($G139,Depreciation!$A$14:$L$18,7,FALSE),0))</f>
        <v>0</v>
      </c>
      <c r="J139" s="306">
        <f>+IF($H139=J$2,VLOOKUP($G139,Depreciation!$A$14:$L$18,8,FALSE)/2,IF($H139&lt;J$2,VLOOKUP($G139,Depreciation!$A$14:$L$18,8,FALSE),0))</f>
        <v>0</v>
      </c>
      <c r="K139" s="306">
        <f>+IF($H139=K$2,VLOOKUP($G139,Depreciation!$A$14:$L$18,9,FALSE)/2,IF($H139&lt;K$2,VLOOKUP($G139,Depreciation!$A$14:$L$18,9,FALSE),0))</f>
        <v>1.671703928371859E-2</v>
      </c>
      <c r="L139" s="306">
        <f>+IF($H139=L$2,VLOOKUP($G139,Depreciation!$A$14:$L$18,10,FALSE)/2,IF($H139&lt;L$2,VLOOKUP($G139,Depreciation!$A$14:$L$18,10,FALSE),0))</f>
        <v>3.343407856743718E-2</v>
      </c>
      <c r="M139" s="306">
        <f>+IF($H139=M$2,VLOOKUP($G139,Depreciation!$A$14:$L$18,11,FALSE)/2,IF($H139&lt;M$2,VLOOKUP($G139,Depreciation!$A$14:$L$18,11,FALSE),0))</f>
        <v>3.343407856743718E-2</v>
      </c>
      <c r="N139" s="306">
        <f>+IF($H139=N$2,VLOOKUP($G139,Depreciation!$A$14:$L$18,12,FALSE)/2,IF($H139&lt;N$2,VLOOKUP($G139,Depreciation!$A$14:$L$18,12,FALSE),0))</f>
        <v>3.343407856743718E-2</v>
      </c>
      <c r="O139" s="307">
        <f t="shared" si="17"/>
        <v>54666226.653106965</v>
      </c>
      <c r="P139" s="732">
        <f>'Func Future Subs 2015'!P139</f>
        <v>0</v>
      </c>
      <c r="Q139" s="732">
        <f>'Func Future Subs 2015'!Q139</f>
        <v>0</v>
      </c>
      <c r="R139" s="732">
        <f>'Func Future Subs 2015'!R139</f>
        <v>1</v>
      </c>
      <c r="S139" s="735">
        <f t="shared" si="18"/>
        <v>0</v>
      </c>
      <c r="T139" s="735">
        <f t="shared" si="19"/>
        <v>0</v>
      </c>
      <c r="U139" s="735">
        <f t="shared" si="20"/>
        <v>54666226.653106965</v>
      </c>
      <c r="V139" s="736">
        <f t="shared" si="21"/>
        <v>0</v>
      </c>
      <c r="W139" s="735">
        <f t="shared" si="22"/>
        <v>0</v>
      </c>
      <c r="X139" s="737">
        <f t="shared" si="23"/>
        <v>54666226.653106965</v>
      </c>
      <c r="Y139" s="738">
        <f t="shared" si="24"/>
        <v>0</v>
      </c>
    </row>
    <row r="140" spans="1:25">
      <c r="A140" s="754" t="str">
        <f>'Func Future Subs 2015'!A140</f>
        <v>Keephills 320P</v>
      </c>
      <c r="B140" s="754">
        <f>'Func Future Subs 2015'!B140</f>
        <v>850</v>
      </c>
      <c r="C140" s="754">
        <f>'Func Future Subs 2015'!C140</f>
        <v>500</v>
      </c>
      <c r="D140" s="754">
        <f>'Func Future Subs 2015'!D140</f>
        <v>25</v>
      </c>
      <c r="E140" s="754" t="str">
        <f>'Func Future Subs 2015'!E140</f>
        <v>320P</v>
      </c>
      <c r="F140" s="754">
        <f>'Func Future Subs 2015'!F140</f>
        <v>507255.81398474087</v>
      </c>
      <c r="G140" s="754" t="str">
        <f>'Func Future Subs 2015'!G140</f>
        <v>AltaLink</v>
      </c>
      <c r="H140" s="754">
        <f>'Func Future Subs 2015'!H140</f>
        <v>2017</v>
      </c>
      <c r="I140" s="306">
        <f>+IF($H140=I$2,VLOOKUP($G140,Depreciation!$A$14:$L$18,7,FALSE)/2,IF($H140&lt;I$2,VLOOKUP($G140,Depreciation!$A$14:$L$18,7,FALSE),0))</f>
        <v>0</v>
      </c>
      <c r="J140" s="306">
        <f>+IF($H140=J$2,VLOOKUP($G140,Depreciation!$A$14:$L$18,8,FALSE)/2,IF($H140&lt;J$2,VLOOKUP($G140,Depreciation!$A$14:$L$18,8,FALSE),0))</f>
        <v>0</v>
      </c>
      <c r="K140" s="306">
        <f>+IF($H140=K$2,VLOOKUP($G140,Depreciation!$A$14:$L$18,9,FALSE)/2,IF($H140&lt;K$2,VLOOKUP($G140,Depreciation!$A$14:$L$18,9,FALSE),0))</f>
        <v>1.671703928371859E-2</v>
      </c>
      <c r="L140" s="306">
        <f>+IF($H140=L$2,VLOOKUP($G140,Depreciation!$A$14:$L$18,10,FALSE)/2,IF($H140&lt;L$2,VLOOKUP($G140,Depreciation!$A$14:$L$18,10,FALSE),0))</f>
        <v>3.343407856743718E-2</v>
      </c>
      <c r="M140" s="306">
        <f>+IF($H140=M$2,VLOOKUP($G140,Depreciation!$A$14:$L$18,11,FALSE)/2,IF($H140&lt;M$2,VLOOKUP($G140,Depreciation!$A$14:$L$18,11,FALSE),0))</f>
        <v>3.343407856743718E-2</v>
      </c>
      <c r="N140" s="306">
        <f>+IF($H140=N$2,VLOOKUP($G140,Depreciation!$A$14:$L$18,12,FALSE)/2,IF($H140&lt;N$2,VLOOKUP($G140,Depreciation!$A$14:$L$18,12,FALSE),0))</f>
        <v>3.343407856743718E-2</v>
      </c>
      <c r="O140" s="307">
        <f t="shared" si="17"/>
        <v>498775.99861546332</v>
      </c>
      <c r="P140" s="732">
        <f>'Func Future Subs 2015'!P140</f>
        <v>0.96203522504892369</v>
      </c>
      <c r="Q140" s="732">
        <f>'Func Future Subs 2015'!Q140</f>
        <v>3.7964774951076322E-2</v>
      </c>
      <c r="R140" s="732">
        <f>'Func Future Subs 2015'!R140</f>
        <v>0</v>
      </c>
      <c r="S140" s="735">
        <f t="shared" si="18"/>
        <v>479840.08007702889</v>
      </c>
      <c r="T140" s="735">
        <f t="shared" si="19"/>
        <v>18935.91853843442</v>
      </c>
      <c r="U140" s="735">
        <f t="shared" si="20"/>
        <v>0</v>
      </c>
      <c r="V140" s="736">
        <f t="shared" si="21"/>
        <v>0</v>
      </c>
      <c r="W140" s="735">
        <f t="shared" si="22"/>
        <v>479840.08007702889</v>
      </c>
      <c r="X140" s="737">
        <f t="shared" si="23"/>
        <v>0</v>
      </c>
      <c r="Y140" s="738">
        <f t="shared" si="24"/>
        <v>18935.91853843442</v>
      </c>
    </row>
    <row r="141" spans="1:25">
      <c r="A141" s="754" t="str">
        <f>'Func Future Subs 2015'!A141</f>
        <v>Keephills 320P</v>
      </c>
      <c r="B141" s="754">
        <f>'Func Future Subs 2015'!B141</f>
        <v>850</v>
      </c>
      <c r="C141" s="754">
        <f>'Func Future Subs 2015'!C141</f>
        <v>500</v>
      </c>
      <c r="D141" s="754">
        <f>'Func Future Subs 2015'!D141</f>
        <v>25</v>
      </c>
      <c r="E141" s="754" t="str">
        <f>'Func Future Subs 2015'!E141</f>
        <v>320P</v>
      </c>
      <c r="F141" s="754">
        <f>'Func Future Subs 2015'!F141</f>
        <v>507255.81398474087</v>
      </c>
      <c r="G141" s="754" t="str">
        <f>'Func Future Subs 2015'!G141</f>
        <v>AltaLink</v>
      </c>
      <c r="H141" s="754">
        <f>'Func Future Subs 2015'!H141</f>
        <v>2017</v>
      </c>
      <c r="I141" s="306">
        <f>+IF($H141=I$2,VLOOKUP($G141,Depreciation!$A$14:$L$18,7,FALSE)/2,IF($H141&lt;I$2,VLOOKUP($G141,Depreciation!$A$14:$L$18,7,FALSE),0))</f>
        <v>0</v>
      </c>
      <c r="J141" s="306">
        <f>+IF($H141=J$2,VLOOKUP($G141,Depreciation!$A$14:$L$18,8,FALSE)/2,IF($H141&lt;J$2,VLOOKUP($G141,Depreciation!$A$14:$L$18,8,FALSE),0))</f>
        <v>0</v>
      </c>
      <c r="K141" s="306">
        <f>+IF($H141=K$2,VLOOKUP($G141,Depreciation!$A$14:$L$18,9,FALSE)/2,IF($H141&lt;K$2,VLOOKUP($G141,Depreciation!$A$14:$L$18,9,FALSE),0))</f>
        <v>1.671703928371859E-2</v>
      </c>
      <c r="L141" s="306">
        <f>+IF($H141=L$2,VLOOKUP($G141,Depreciation!$A$14:$L$18,10,FALSE)/2,IF($H141&lt;L$2,VLOOKUP($G141,Depreciation!$A$14:$L$18,10,FALSE),0))</f>
        <v>3.343407856743718E-2</v>
      </c>
      <c r="M141" s="306">
        <f>+IF($H141=M$2,VLOOKUP($G141,Depreciation!$A$14:$L$18,11,FALSE)/2,IF($H141&lt;M$2,VLOOKUP($G141,Depreciation!$A$14:$L$18,11,FALSE),0))</f>
        <v>3.343407856743718E-2</v>
      </c>
      <c r="N141" s="306">
        <f>+IF($H141=N$2,VLOOKUP($G141,Depreciation!$A$14:$L$18,12,FALSE)/2,IF($H141&lt;N$2,VLOOKUP($G141,Depreciation!$A$14:$L$18,12,FALSE),0))</f>
        <v>3.343407856743718E-2</v>
      </c>
      <c r="O141" s="307">
        <f t="shared" si="17"/>
        <v>498775.99861546332</v>
      </c>
      <c r="P141" s="732">
        <f>'Func Future Subs 2015'!P141</f>
        <v>0.96203522504892369</v>
      </c>
      <c r="Q141" s="732">
        <f>'Func Future Subs 2015'!Q141</f>
        <v>3.7964774951076322E-2</v>
      </c>
      <c r="R141" s="732">
        <f>'Func Future Subs 2015'!R141</f>
        <v>0</v>
      </c>
      <c r="S141" s="735">
        <f t="shared" si="18"/>
        <v>479840.08007702889</v>
      </c>
      <c r="T141" s="735">
        <f t="shared" si="19"/>
        <v>18935.91853843442</v>
      </c>
      <c r="U141" s="735">
        <f t="shared" si="20"/>
        <v>0</v>
      </c>
      <c r="V141" s="736">
        <f t="shared" si="21"/>
        <v>0</v>
      </c>
      <c r="W141" s="735">
        <f t="shared" si="22"/>
        <v>479840.08007702889</v>
      </c>
      <c r="X141" s="737">
        <f t="shared" si="23"/>
        <v>0</v>
      </c>
      <c r="Y141" s="738">
        <f t="shared" si="24"/>
        <v>18935.91853843442</v>
      </c>
    </row>
    <row r="142" spans="1:25">
      <c r="A142" s="754" t="str">
        <f>'Func Future Subs 2015'!A142</f>
        <v>Leduc 325S</v>
      </c>
      <c r="B142" s="754">
        <f>'Func Future Subs 2015'!B142</f>
        <v>850</v>
      </c>
      <c r="C142" s="754">
        <f>'Func Future Subs 2015'!C142</f>
        <v>138</v>
      </c>
      <c r="D142" s="754">
        <f>'Func Future Subs 2015'!D142</f>
        <v>25</v>
      </c>
      <c r="E142" s="754" t="str">
        <f>'Func Future Subs 2015'!E142</f>
        <v>325S</v>
      </c>
      <c r="F142" s="754">
        <f>'Func Future Subs 2015'!F142</f>
        <v>3055561.3590470157</v>
      </c>
      <c r="G142" s="754" t="str">
        <f>'Func Future Subs 2015'!G142</f>
        <v>AltaLink</v>
      </c>
      <c r="H142" s="754">
        <f>'Func Future Subs 2015'!H142</f>
        <v>2017</v>
      </c>
      <c r="I142" s="306">
        <f>+IF($H142=I$2,VLOOKUP($G142,Depreciation!$A$14:$L$18,7,FALSE)/2,IF($H142&lt;I$2,VLOOKUP($G142,Depreciation!$A$14:$L$18,7,FALSE),0))</f>
        <v>0</v>
      </c>
      <c r="J142" s="306">
        <f>+IF($H142=J$2,VLOOKUP($G142,Depreciation!$A$14:$L$18,8,FALSE)/2,IF($H142&lt;J$2,VLOOKUP($G142,Depreciation!$A$14:$L$18,8,FALSE),0))</f>
        <v>0</v>
      </c>
      <c r="K142" s="306">
        <f>+IF($H142=K$2,VLOOKUP($G142,Depreciation!$A$14:$L$18,9,FALSE)/2,IF($H142&lt;K$2,VLOOKUP($G142,Depreciation!$A$14:$L$18,9,FALSE),0))</f>
        <v>1.671703928371859E-2</v>
      </c>
      <c r="L142" s="306">
        <f>+IF($H142=L$2,VLOOKUP($G142,Depreciation!$A$14:$L$18,10,FALSE)/2,IF($H142&lt;L$2,VLOOKUP($G142,Depreciation!$A$14:$L$18,10,FALSE),0))</f>
        <v>3.343407856743718E-2</v>
      </c>
      <c r="M142" s="306">
        <f>+IF($H142=M$2,VLOOKUP($G142,Depreciation!$A$14:$L$18,11,FALSE)/2,IF($H142&lt;M$2,VLOOKUP($G142,Depreciation!$A$14:$L$18,11,FALSE),0))</f>
        <v>3.343407856743718E-2</v>
      </c>
      <c r="N142" s="306">
        <f>+IF($H142=N$2,VLOOKUP($G142,Depreciation!$A$14:$L$18,12,FALSE)/2,IF($H142&lt;N$2,VLOOKUP($G142,Depreciation!$A$14:$L$18,12,FALSE),0))</f>
        <v>3.343407856743718E-2</v>
      </c>
      <c r="O142" s="307">
        <f t="shared" si="17"/>
        <v>3004481.419774014</v>
      </c>
      <c r="P142" s="732">
        <f>'Func Future Subs 2015'!P142</f>
        <v>0</v>
      </c>
      <c r="Q142" s="732">
        <f>'Func Future Subs 2015'!Q142</f>
        <v>1</v>
      </c>
      <c r="R142" s="732">
        <f>'Func Future Subs 2015'!R142</f>
        <v>0</v>
      </c>
      <c r="S142" s="735">
        <f t="shared" si="18"/>
        <v>0</v>
      </c>
      <c r="T142" s="735">
        <f t="shared" si="19"/>
        <v>3004481.419774014</v>
      </c>
      <c r="U142" s="735">
        <f t="shared" si="20"/>
        <v>0</v>
      </c>
      <c r="V142" s="736">
        <f t="shared" si="21"/>
        <v>0</v>
      </c>
      <c r="W142" s="735">
        <f t="shared" si="22"/>
        <v>0</v>
      </c>
      <c r="X142" s="737">
        <f t="shared" si="23"/>
        <v>0</v>
      </c>
      <c r="Y142" s="738">
        <f t="shared" si="24"/>
        <v>3004481.419774014</v>
      </c>
    </row>
    <row r="143" spans="1:25">
      <c r="A143" s="754" t="str">
        <f>'Func Future Subs 2015'!A143</f>
        <v>Nisku 149S</v>
      </c>
      <c r="B143" s="754">
        <f>'Func Future Subs 2015'!B143</f>
        <v>850</v>
      </c>
      <c r="C143" s="754">
        <f>'Func Future Subs 2015'!C143</f>
        <v>138</v>
      </c>
      <c r="D143" s="754">
        <f>'Func Future Subs 2015'!D143</f>
        <v>25</v>
      </c>
      <c r="E143" s="754" t="str">
        <f>'Func Future Subs 2015'!E143</f>
        <v>149S</v>
      </c>
      <c r="F143" s="754">
        <f>'Func Future Subs 2015'!F143</f>
        <v>4164342.0352394478</v>
      </c>
      <c r="G143" s="754" t="str">
        <f>'Func Future Subs 2015'!G143</f>
        <v>AltaLink</v>
      </c>
      <c r="H143" s="754">
        <f>'Func Future Subs 2015'!H143</f>
        <v>2017</v>
      </c>
      <c r="I143" s="306">
        <f>+IF($H143=I$2,VLOOKUP($G143,Depreciation!$A$14:$L$18,7,FALSE)/2,IF($H143&lt;I$2,VLOOKUP($G143,Depreciation!$A$14:$L$18,7,FALSE),0))</f>
        <v>0</v>
      </c>
      <c r="J143" s="306">
        <f>+IF($H143=J$2,VLOOKUP($G143,Depreciation!$A$14:$L$18,8,FALSE)/2,IF($H143&lt;J$2,VLOOKUP($G143,Depreciation!$A$14:$L$18,8,FALSE),0))</f>
        <v>0</v>
      </c>
      <c r="K143" s="306">
        <f>+IF($H143=K$2,VLOOKUP($G143,Depreciation!$A$14:$L$18,9,FALSE)/2,IF($H143&lt;K$2,VLOOKUP($G143,Depreciation!$A$14:$L$18,9,FALSE),0))</f>
        <v>1.671703928371859E-2</v>
      </c>
      <c r="L143" s="306">
        <f>+IF($H143=L$2,VLOOKUP($G143,Depreciation!$A$14:$L$18,10,FALSE)/2,IF($H143&lt;L$2,VLOOKUP($G143,Depreciation!$A$14:$L$18,10,FALSE),0))</f>
        <v>3.343407856743718E-2</v>
      </c>
      <c r="M143" s="306">
        <f>+IF($H143=M$2,VLOOKUP($G143,Depreciation!$A$14:$L$18,11,FALSE)/2,IF($H143&lt;M$2,VLOOKUP($G143,Depreciation!$A$14:$L$18,11,FALSE),0))</f>
        <v>3.343407856743718E-2</v>
      </c>
      <c r="N143" s="306">
        <f>+IF($H143=N$2,VLOOKUP($G143,Depreciation!$A$14:$L$18,12,FALSE)/2,IF($H143&lt;N$2,VLOOKUP($G143,Depreciation!$A$14:$L$18,12,FALSE),0))</f>
        <v>3.343407856743718E-2</v>
      </c>
      <c r="O143" s="307">
        <f t="shared" si="17"/>
        <v>4094726.5658455095</v>
      </c>
      <c r="P143" s="732">
        <f>'Func Future Subs 2015'!P143</f>
        <v>0</v>
      </c>
      <c r="Q143" s="732">
        <f>'Func Future Subs 2015'!Q143</f>
        <v>1</v>
      </c>
      <c r="R143" s="732">
        <f>'Func Future Subs 2015'!R143</f>
        <v>0</v>
      </c>
      <c r="S143" s="735">
        <f t="shared" si="18"/>
        <v>0</v>
      </c>
      <c r="T143" s="735">
        <f t="shared" si="19"/>
        <v>4094726.5658455095</v>
      </c>
      <c r="U143" s="735">
        <f t="shared" si="20"/>
        <v>0</v>
      </c>
      <c r="V143" s="736">
        <f t="shared" si="21"/>
        <v>0</v>
      </c>
      <c r="W143" s="735">
        <f t="shared" si="22"/>
        <v>0</v>
      </c>
      <c r="X143" s="737">
        <f t="shared" si="23"/>
        <v>0</v>
      </c>
      <c r="Y143" s="738">
        <f t="shared" si="24"/>
        <v>4094726.5658455095</v>
      </c>
    </row>
    <row r="144" spans="1:25">
      <c r="A144" s="754" t="str">
        <f>'Func Future Subs 2015'!A144</f>
        <v>Petrolia 816S</v>
      </c>
      <c r="B144" s="754">
        <f>'Func Future Subs 2015'!B144</f>
        <v>850</v>
      </c>
      <c r="C144" s="754">
        <f>'Func Future Subs 2015'!C144</f>
        <v>240</v>
      </c>
      <c r="D144" s="754">
        <f>'Func Future Subs 2015'!D144</f>
        <v>25</v>
      </c>
      <c r="E144" s="754" t="str">
        <f>'Func Future Subs 2015'!E144</f>
        <v>816S</v>
      </c>
      <c r="F144" s="754">
        <f>'Func Future Subs 2015'!F144</f>
        <v>171568.00000000006</v>
      </c>
      <c r="G144" s="754" t="str">
        <f>'Func Future Subs 2015'!G144</f>
        <v>EPCOR</v>
      </c>
      <c r="H144" s="754">
        <f>'Func Future Subs 2015'!H144</f>
        <v>2017</v>
      </c>
      <c r="I144" s="306">
        <f>+IF($H144=I$2,VLOOKUP($G144,Depreciation!$A$14:$L$18,7,FALSE)/2,IF($H144&lt;I$2,VLOOKUP($G144,Depreciation!$A$14:$L$18,7,FALSE),0))</f>
        <v>0</v>
      </c>
      <c r="J144" s="306">
        <f>+IF($H144=J$2,VLOOKUP($G144,Depreciation!$A$14:$L$18,8,FALSE)/2,IF($H144&lt;J$2,VLOOKUP($G144,Depreciation!$A$14:$L$18,8,FALSE),0))</f>
        <v>0</v>
      </c>
      <c r="K144" s="306">
        <f>+IF($H144=K$2,VLOOKUP($G144,Depreciation!$A$14:$L$18,9,FALSE)/2,IF($H144&lt;K$2,VLOOKUP($G144,Depreciation!$A$14:$L$18,9,FALSE),0))</f>
        <v>2.0572631749329395E-2</v>
      </c>
      <c r="L144" s="306">
        <f>+IF($H144=L$2,VLOOKUP($G144,Depreciation!$A$14:$L$18,10,FALSE)/2,IF($H144&lt;L$2,VLOOKUP($G144,Depreciation!$A$14:$L$18,10,FALSE),0))</f>
        <v>4.1145263498658789E-2</v>
      </c>
      <c r="M144" s="306">
        <f>+IF($H144=M$2,VLOOKUP($G144,Depreciation!$A$14:$L$18,11,FALSE)/2,IF($H144&lt;M$2,VLOOKUP($G144,Depreciation!$A$14:$L$18,11,FALSE),0))</f>
        <v>4.1145263498658789E-2</v>
      </c>
      <c r="N144" s="306">
        <f>+IF($H144=N$2,VLOOKUP($G144,Depreciation!$A$14:$L$18,12,FALSE)/2,IF($H144&lt;N$2,VLOOKUP($G144,Depreciation!$A$14:$L$18,12,FALSE),0))</f>
        <v>4.1145263498658789E-2</v>
      </c>
      <c r="O144" s="307">
        <f t="shared" si="17"/>
        <v>168038.39471603109</v>
      </c>
      <c r="P144" s="732">
        <f>'Func Future Subs 2015'!P144</f>
        <v>0</v>
      </c>
      <c r="Q144" s="732">
        <f>'Func Future Subs 2015'!Q144</f>
        <v>0</v>
      </c>
      <c r="R144" s="732">
        <f>'Func Future Subs 2015'!R144</f>
        <v>1</v>
      </c>
      <c r="S144" s="735">
        <f t="shared" si="18"/>
        <v>0</v>
      </c>
      <c r="T144" s="735">
        <f t="shared" si="19"/>
        <v>0</v>
      </c>
      <c r="U144" s="735">
        <f t="shared" si="20"/>
        <v>168038.39471603109</v>
      </c>
      <c r="V144" s="736">
        <f t="shared" si="21"/>
        <v>0</v>
      </c>
      <c r="W144" s="735">
        <f t="shared" si="22"/>
        <v>0</v>
      </c>
      <c r="X144" s="737">
        <f t="shared" si="23"/>
        <v>0</v>
      </c>
      <c r="Y144" s="738">
        <f t="shared" si="24"/>
        <v>168038.39471603109</v>
      </c>
    </row>
    <row r="145" spans="1:25">
      <c r="A145" s="754" t="str">
        <f>'Func Future Subs 2015'!A145</f>
        <v>Saunders Lake 289S</v>
      </c>
      <c r="B145" s="754">
        <f>'Func Future Subs 2015'!B145</f>
        <v>850</v>
      </c>
      <c r="C145" s="754">
        <f>'Func Future Subs 2015'!C145</f>
        <v>240</v>
      </c>
      <c r="D145" s="754">
        <f>'Func Future Subs 2015'!D145</f>
        <v>138</v>
      </c>
      <c r="E145" s="754" t="str">
        <f>'Func Future Subs 2015'!E145</f>
        <v>289S</v>
      </c>
      <c r="F145" s="754">
        <f>'Func Future Subs 2015'!F145</f>
        <v>59647159.879132695</v>
      </c>
      <c r="G145" s="754" t="str">
        <f>'Func Future Subs 2015'!G145</f>
        <v>AltaLink</v>
      </c>
      <c r="H145" s="754">
        <f>'Func Future Subs 2015'!H145</f>
        <v>2017</v>
      </c>
      <c r="I145" s="306">
        <f>+IF($H145=I$2,VLOOKUP($G145,Depreciation!$A$14:$L$18,7,FALSE)/2,IF($H145&lt;I$2,VLOOKUP($G145,Depreciation!$A$14:$L$18,7,FALSE),0))</f>
        <v>0</v>
      </c>
      <c r="J145" s="306">
        <f>+IF($H145=J$2,VLOOKUP($G145,Depreciation!$A$14:$L$18,8,FALSE)/2,IF($H145&lt;J$2,VLOOKUP($G145,Depreciation!$A$14:$L$18,8,FALSE),0))</f>
        <v>0</v>
      </c>
      <c r="K145" s="306">
        <f>+IF($H145=K$2,VLOOKUP($G145,Depreciation!$A$14:$L$18,9,FALSE)/2,IF($H145&lt;K$2,VLOOKUP($G145,Depreciation!$A$14:$L$18,9,FALSE),0))</f>
        <v>1.671703928371859E-2</v>
      </c>
      <c r="L145" s="306">
        <f>+IF($H145=L$2,VLOOKUP($G145,Depreciation!$A$14:$L$18,10,FALSE)/2,IF($H145&lt;L$2,VLOOKUP($G145,Depreciation!$A$14:$L$18,10,FALSE),0))</f>
        <v>3.343407856743718E-2</v>
      </c>
      <c r="M145" s="306">
        <f>+IF($H145=M$2,VLOOKUP($G145,Depreciation!$A$14:$L$18,11,FALSE)/2,IF($H145&lt;M$2,VLOOKUP($G145,Depreciation!$A$14:$L$18,11,FALSE),0))</f>
        <v>3.343407856743718E-2</v>
      </c>
      <c r="N145" s="306">
        <f>+IF($H145=N$2,VLOOKUP($G145,Depreciation!$A$14:$L$18,12,FALSE)/2,IF($H145&lt;N$2,VLOOKUP($G145,Depreciation!$A$14:$L$18,12,FALSE),0))</f>
        <v>3.343407856743718E-2</v>
      </c>
      <c r="O145" s="307">
        <f t="shared" si="17"/>
        <v>58650035.964270994</v>
      </c>
      <c r="P145" s="732">
        <f>'Func Future Subs 2015'!P145</f>
        <v>0</v>
      </c>
      <c r="Q145" s="732">
        <f>'Func Future Subs 2015'!Q145</f>
        <v>0</v>
      </c>
      <c r="R145" s="732">
        <f>'Func Future Subs 2015'!R145</f>
        <v>1</v>
      </c>
      <c r="S145" s="735">
        <f t="shared" si="18"/>
        <v>0</v>
      </c>
      <c r="T145" s="735">
        <f t="shared" si="19"/>
        <v>0</v>
      </c>
      <c r="U145" s="735">
        <f t="shared" si="20"/>
        <v>58650035.964270994</v>
      </c>
      <c r="V145" s="736">
        <f t="shared" si="21"/>
        <v>0</v>
      </c>
      <c r="W145" s="735">
        <f t="shared" si="22"/>
        <v>0</v>
      </c>
      <c r="X145" s="737">
        <f t="shared" si="23"/>
        <v>58650035.964270994</v>
      </c>
      <c r="Y145" s="738">
        <f t="shared" si="24"/>
        <v>0</v>
      </c>
    </row>
    <row r="146" spans="1:25">
      <c r="A146" s="754" t="str">
        <f>'Func Future Subs 2015'!A146</f>
        <v>Spruce Grove 595S</v>
      </c>
      <c r="B146" s="754">
        <f>'Func Future Subs 2015'!B146</f>
        <v>850</v>
      </c>
      <c r="C146" s="754">
        <f>'Func Future Subs 2015'!C146</f>
        <v>138</v>
      </c>
      <c r="D146" s="754">
        <f>'Func Future Subs 2015'!D146</f>
        <v>25</v>
      </c>
      <c r="E146" s="754" t="str">
        <f>'Func Future Subs 2015'!E146</f>
        <v>595S</v>
      </c>
      <c r="F146" s="754">
        <f>'Func Future Subs 2015'!F146</f>
        <v>83551.654618630506</v>
      </c>
      <c r="G146" s="754" t="str">
        <f>'Func Future Subs 2015'!G146</f>
        <v>AltaLink</v>
      </c>
      <c r="H146" s="754">
        <f>'Func Future Subs 2015'!H146</f>
        <v>2017</v>
      </c>
      <c r="I146" s="306">
        <f>+IF($H146=I$2,VLOOKUP($G146,Depreciation!$A$14:$L$18,7,FALSE)/2,IF($H146&lt;I$2,VLOOKUP($G146,Depreciation!$A$14:$L$18,7,FALSE),0))</f>
        <v>0</v>
      </c>
      <c r="J146" s="306">
        <f>+IF($H146=J$2,VLOOKUP($G146,Depreciation!$A$14:$L$18,8,FALSE)/2,IF($H146&lt;J$2,VLOOKUP($G146,Depreciation!$A$14:$L$18,8,FALSE),0))</f>
        <v>0</v>
      </c>
      <c r="K146" s="306">
        <f>+IF($H146=K$2,VLOOKUP($G146,Depreciation!$A$14:$L$18,9,FALSE)/2,IF($H146&lt;K$2,VLOOKUP($G146,Depreciation!$A$14:$L$18,9,FALSE),0))</f>
        <v>1.671703928371859E-2</v>
      </c>
      <c r="L146" s="306">
        <f>+IF($H146=L$2,VLOOKUP($G146,Depreciation!$A$14:$L$18,10,FALSE)/2,IF($H146&lt;L$2,VLOOKUP($G146,Depreciation!$A$14:$L$18,10,FALSE),0))</f>
        <v>3.343407856743718E-2</v>
      </c>
      <c r="M146" s="306">
        <f>+IF($H146=M$2,VLOOKUP($G146,Depreciation!$A$14:$L$18,11,FALSE)/2,IF($H146&lt;M$2,VLOOKUP($G146,Depreciation!$A$14:$L$18,11,FALSE),0))</f>
        <v>3.343407856743718E-2</v>
      </c>
      <c r="N146" s="306">
        <f>+IF($H146=N$2,VLOOKUP($G146,Depreciation!$A$14:$L$18,12,FALSE)/2,IF($H146&lt;N$2,VLOOKUP($G146,Depreciation!$A$14:$L$18,12,FALSE),0))</f>
        <v>3.343407856743718E-2</v>
      </c>
      <c r="O146" s="307">
        <f t="shared" si="17"/>
        <v>82154.918326151179</v>
      </c>
      <c r="P146" s="732">
        <f>'Func Future Subs 2015'!P146</f>
        <v>0</v>
      </c>
      <c r="Q146" s="732">
        <f>'Func Future Subs 2015'!Q146</f>
        <v>1</v>
      </c>
      <c r="R146" s="732">
        <f>'Func Future Subs 2015'!R146</f>
        <v>0</v>
      </c>
      <c r="S146" s="735">
        <f t="shared" si="18"/>
        <v>0</v>
      </c>
      <c r="T146" s="735">
        <f t="shared" si="19"/>
        <v>82154.918326151179</v>
      </c>
      <c r="U146" s="735">
        <f t="shared" si="20"/>
        <v>0</v>
      </c>
      <c r="V146" s="736">
        <f t="shared" si="21"/>
        <v>0</v>
      </c>
      <c r="W146" s="735">
        <f t="shared" si="22"/>
        <v>0</v>
      </c>
      <c r="X146" s="737">
        <f t="shared" si="23"/>
        <v>0</v>
      </c>
      <c r="Y146" s="738">
        <f t="shared" si="24"/>
        <v>82154.918326151179</v>
      </c>
    </row>
    <row r="147" spans="1:25">
      <c r="A147" s="754" t="str">
        <f>'Func Future Subs 2015'!A147</f>
        <v>Stony Plain 434S</v>
      </c>
      <c r="B147" s="754">
        <f>'Func Future Subs 2015'!B147</f>
        <v>850</v>
      </c>
      <c r="C147" s="754">
        <f>'Func Future Subs 2015'!C147</f>
        <v>138</v>
      </c>
      <c r="D147" s="754">
        <f>'Func Future Subs 2015'!D147</f>
        <v>25</v>
      </c>
      <c r="E147" s="754" t="str">
        <f>'Func Future Subs 2015'!E147</f>
        <v>434S</v>
      </c>
      <c r="F147" s="754">
        <f>'Func Future Subs 2015'!F147</f>
        <v>1277016.625539762</v>
      </c>
      <c r="G147" s="754" t="str">
        <f>'Func Future Subs 2015'!G147</f>
        <v>AltaLink</v>
      </c>
      <c r="H147" s="754">
        <f>'Func Future Subs 2015'!H147</f>
        <v>2017</v>
      </c>
      <c r="I147" s="306">
        <f>+IF($H147=I$2,VLOOKUP($G147,Depreciation!$A$14:$L$18,7,FALSE)/2,IF($H147&lt;I$2,VLOOKUP($G147,Depreciation!$A$14:$L$18,7,FALSE),0))</f>
        <v>0</v>
      </c>
      <c r="J147" s="306">
        <f>+IF($H147=J$2,VLOOKUP($G147,Depreciation!$A$14:$L$18,8,FALSE)/2,IF($H147&lt;J$2,VLOOKUP($G147,Depreciation!$A$14:$L$18,8,FALSE),0))</f>
        <v>0</v>
      </c>
      <c r="K147" s="306">
        <f>+IF($H147=K$2,VLOOKUP($G147,Depreciation!$A$14:$L$18,9,FALSE)/2,IF($H147&lt;K$2,VLOOKUP($G147,Depreciation!$A$14:$L$18,9,FALSE),0))</f>
        <v>1.671703928371859E-2</v>
      </c>
      <c r="L147" s="306">
        <f>+IF($H147=L$2,VLOOKUP($G147,Depreciation!$A$14:$L$18,10,FALSE)/2,IF($H147&lt;L$2,VLOOKUP($G147,Depreciation!$A$14:$L$18,10,FALSE),0))</f>
        <v>3.343407856743718E-2</v>
      </c>
      <c r="M147" s="306">
        <f>+IF($H147=M$2,VLOOKUP($G147,Depreciation!$A$14:$L$18,11,FALSE)/2,IF($H147&lt;M$2,VLOOKUP($G147,Depreciation!$A$14:$L$18,11,FALSE),0))</f>
        <v>3.343407856743718E-2</v>
      </c>
      <c r="N147" s="306">
        <f>+IF($H147=N$2,VLOOKUP($G147,Depreciation!$A$14:$L$18,12,FALSE)/2,IF($H147&lt;N$2,VLOOKUP($G147,Depreciation!$A$14:$L$18,12,FALSE),0))</f>
        <v>3.343407856743718E-2</v>
      </c>
      <c r="O147" s="307">
        <f t="shared" si="17"/>
        <v>1255668.6884446519</v>
      </c>
      <c r="P147" s="732">
        <f>'Func Future Subs 2015'!P147</f>
        <v>0</v>
      </c>
      <c r="Q147" s="732">
        <f>'Func Future Subs 2015'!Q147</f>
        <v>1</v>
      </c>
      <c r="R147" s="732">
        <f>'Func Future Subs 2015'!R147</f>
        <v>0</v>
      </c>
      <c r="S147" s="735">
        <f t="shared" si="18"/>
        <v>0</v>
      </c>
      <c r="T147" s="735">
        <f t="shared" si="19"/>
        <v>1255668.6884446519</v>
      </c>
      <c r="U147" s="735">
        <f t="shared" si="20"/>
        <v>0</v>
      </c>
      <c r="V147" s="736">
        <f t="shared" si="21"/>
        <v>0</v>
      </c>
      <c r="W147" s="735">
        <f t="shared" si="22"/>
        <v>0</v>
      </c>
      <c r="X147" s="737">
        <f t="shared" si="23"/>
        <v>0</v>
      </c>
      <c r="Y147" s="738">
        <f t="shared" si="24"/>
        <v>1255668.6884446519</v>
      </c>
    </row>
    <row r="148" spans="1:25">
      <c r="A148" s="754" t="str">
        <f>'Func Future Subs 2015'!A148</f>
        <v>Viscount 92S</v>
      </c>
      <c r="B148" s="754">
        <f>'Func Future Subs 2015'!B148</f>
        <v>850</v>
      </c>
      <c r="C148" s="754">
        <f>'Func Future Subs 2015'!C148</f>
        <v>138</v>
      </c>
      <c r="D148" s="754">
        <f>'Func Future Subs 2015'!D148</f>
        <v>25</v>
      </c>
      <c r="E148" s="754" t="str">
        <f>'Func Future Subs 2015'!E148</f>
        <v>92S</v>
      </c>
      <c r="F148" s="754">
        <f>'Func Future Subs 2015'!F148</f>
        <v>84454.731155301823</v>
      </c>
      <c r="G148" s="754" t="str">
        <f>'Func Future Subs 2015'!G148</f>
        <v>AltaLink</v>
      </c>
      <c r="H148" s="754">
        <f>'Func Future Subs 2015'!H148</f>
        <v>2017</v>
      </c>
      <c r="I148" s="306">
        <f>+IF($H148=I$2,VLOOKUP($G148,Depreciation!$A$14:$L$18,7,FALSE)/2,IF($H148&lt;I$2,VLOOKUP($G148,Depreciation!$A$14:$L$18,7,FALSE),0))</f>
        <v>0</v>
      </c>
      <c r="J148" s="306">
        <f>+IF($H148=J$2,VLOOKUP($G148,Depreciation!$A$14:$L$18,8,FALSE)/2,IF($H148&lt;J$2,VLOOKUP($G148,Depreciation!$A$14:$L$18,8,FALSE),0))</f>
        <v>0</v>
      </c>
      <c r="K148" s="306">
        <f>+IF($H148=K$2,VLOOKUP($G148,Depreciation!$A$14:$L$18,9,FALSE)/2,IF($H148&lt;K$2,VLOOKUP($G148,Depreciation!$A$14:$L$18,9,FALSE),0))</f>
        <v>1.671703928371859E-2</v>
      </c>
      <c r="L148" s="306">
        <f>+IF($H148=L$2,VLOOKUP($G148,Depreciation!$A$14:$L$18,10,FALSE)/2,IF($H148&lt;L$2,VLOOKUP($G148,Depreciation!$A$14:$L$18,10,FALSE),0))</f>
        <v>3.343407856743718E-2</v>
      </c>
      <c r="M148" s="306">
        <f>+IF($H148=M$2,VLOOKUP($G148,Depreciation!$A$14:$L$18,11,FALSE)/2,IF($H148&lt;M$2,VLOOKUP($G148,Depreciation!$A$14:$L$18,11,FALSE),0))</f>
        <v>3.343407856743718E-2</v>
      </c>
      <c r="N148" s="306">
        <f>+IF($H148=N$2,VLOOKUP($G148,Depreciation!$A$14:$L$18,12,FALSE)/2,IF($H148&lt;N$2,VLOOKUP($G148,Depreciation!$A$14:$L$18,12,FALSE),0))</f>
        <v>3.343407856743718E-2</v>
      </c>
      <c r="O148" s="307">
        <f t="shared" si="17"/>
        <v>83042.898096882753</v>
      </c>
      <c r="P148" s="732">
        <f>'Func Future Subs 2015'!P148</f>
        <v>0</v>
      </c>
      <c r="Q148" s="732">
        <f>'Func Future Subs 2015'!Q148</f>
        <v>1</v>
      </c>
      <c r="R148" s="732">
        <f>'Func Future Subs 2015'!R148</f>
        <v>0</v>
      </c>
      <c r="S148" s="735">
        <f t="shared" si="18"/>
        <v>0</v>
      </c>
      <c r="T148" s="735">
        <f t="shared" si="19"/>
        <v>83042.898096882753</v>
      </c>
      <c r="U148" s="735">
        <f t="shared" si="20"/>
        <v>0</v>
      </c>
      <c r="V148" s="736">
        <f t="shared" si="21"/>
        <v>0</v>
      </c>
      <c r="W148" s="735">
        <f t="shared" si="22"/>
        <v>0</v>
      </c>
      <c r="X148" s="737">
        <f t="shared" si="23"/>
        <v>0</v>
      </c>
      <c r="Y148" s="738">
        <f t="shared" si="24"/>
        <v>83042.898096882753</v>
      </c>
    </row>
    <row r="149" spans="1:25">
      <c r="A149" s="754" t="str">
        <f>'Func Future Subs 2015'!A149</f>
        <v>Wetaskiwin 40S</v>
      </c>
      <c r="B149" s="754">
        <f>'Func Future Subs 2015'!B149</f>
        <v>850</v>
      </c>
      <c r="C149" s="754">
        <f>'Func Future Subs 2015'!C149</f>
        <v>138</v>
      </c>
      <c r="D149" s="754">
        <f>'Func Future Subs 2015'!D149</f>
        <v>25</v>
      </c>
      <c r="E149" s="754" t="str">
        <f>'Func Future Subs 2015'!E149</f>
        <v>40S</v>
      </c>
      <c r="F149" s="754">
        <f>'Func Future Subs 2015'!F149</f>
        <v>1153188.8957173596</v>
      </c>
      <c r="G149" s="754" t="str">
        <f>'Func Future Subs 2015'!G149</f>
        <v>AltaLink</v>
      </c>
      <c r="H149" s="754">
        <f>'Func Future Subs 2015'!H149</f>
        <v>2017</v>
      </c>
      <c r="I149" s="306">
        <f>+IF($H149=I$2,VLOOKUP($G149,Depreciation!$A$14:$L$18,7,FALSE)/2,IF($H149&lt;I$2,VLOOKUP($G149,Depreciation!$A$14:$L$18,7,FALSE),0))</f>
        <v>0</v>
      </c>
      <c r="J149" s="306">
        <f>+IF($H149=J$2,VLOOKUP($G149,Depreciation!$A$14:$L$18,8,FALSE)/2,IF($H149&lt;J$2,VLOOKUP($G149,Depreciation!$A$14:$L$18,8,FALSE),0))</f>
        <v>0</v>
      </c>
      <c r="K149" s="306">
        <f>+IF($H149=K$2,VLOOKUP($G149,Depreciation!$A$14:$L$18,9,FALSE)/2,IF($H149&lt;K$2,VLOOKUP($G149,Depreciation!$A$14:$L$18,9,FALSE),0))</f>
        <v>1.671703928371859E-2</v>
      </c>
      <c r="L149" s="306">
        <f>+IF($H149=L$2,VLOOKUP($G149,Depreciation!$A$14:$L$18,10,FALSE)/2,IF($H149&lt;L$2,VLOOKUP($G149,Depreciation!$A$14:$L$18,10,FALSE),0))</f>
        <v>3.343407856743718E-2</v>
      </c>
      <c r="M149" s="306">
        <f>+IF($H149=M$2,VLOOKUP($G149,Depreciation!$A$14:$L$18,11,FALSE)/2,IF($H149&lt;M$2,VLOOKUP($G149,Depreciation!$A$14:$L$18,11,FALSE),0))</f>
        <v>3.343407856743718E-2</v>
      </c>
      <c r="N149" s="306">
        <f>+IF($H149=N$2,VLOOKUP($G149,Depreciation!$A$14:$L$18,12,FALSE)/2,IF($H149&lt;N$2,VLOOKUP($G149,Depreciation!$A$14:$L$18,12,FALSE),0))</f>
        <v>3.343407856743718E-2</v>
      </c>
      <c r="O149" s="307">
        <f t="shared" si="17"/>
        <v>1133910.9916461045</v>
      </c>
      <c r="P149" s="732">
        <f>'Func Future Subs 2015'!P149</f>
        <v>0</v>
      </c>
      <c r="Q149" s="732">
        <f>'Func Future Subs 2015'!Q149</f>
        <v>1</v>
      </c>
      <c r="R149" s="732">
        <f>'Func Future Subs 2015'!R149</f>
        <v>0</v>
      </c>
      <c r="S149" s="735">
        <f t="shared" si="18"/>
        <v>0</v>
      </c>
      <c r="T149" s="735">
        <f t="shared" si="19"/>
        <v>1133910.9916461045</v>
      </c>
      <c r="U149" s="735">
        <f t="shared" si="20"/>
        <v>0</v>
      </c>
      <c r="V149" s="736">
        <f t="shared" si="21"/>
        <v>0</v>
      </c>
      <c r="W149" s="735">
        <f t="shared" si="22"/>
        <v>0</v>
      </c>
      <c r="X149" s="737">
        <f t="shared" si="23"/>
        <v>0</v>
      </c>
      <c r="Y149" s="738">
        <f t="shared" si="24"/>
        <v>1133910.9916461045</v>
      </c>
    </row>
    <row r="150" spans="1:25">
      <c r="A150" s="754" t="str">
        <f>'Func Future Subs 2015'!A150</f>
        <v>Wolf Creek 288S</v>
      </c>
      <c r="B150" s="754">
        <f>'Func Future Subs 2015'!B150</f>
        <v>850</v>
      </c>
      <c r="C150" s="754">
        <f>'Func Future Subs 2015'!C150</f>
        <v>240</v>
      </c>
      <c r="D150" s="754">
        <f>'Func Future Subs 2015'!D150</f>
        <v>138</v>
      </c>
      <c r="E150" s="754" t="str">
        <f>'Func Future Subs 2015'!E150</f>
        <v>288S</v>
      </c>
      <c r="F150" s="754">
        <f>'Func Future Subs 2015'!F150</f>
        <v>475507.74094974546</v>
      </c>
      <c r="G150" s="754" t="str">
        <f>'Func Future Subs 2015'!G150</f>
        <v>AltaLink</v>
      </c>
      <c r="H150" s="754">
        <f>'Func Future Subs 2015'!H150</f>
        <v>2017</v>
      </c>
      <c r="I150" s="306">
        <f>+IF($H150=I$2,VLOOKUP($G150,Depreciation!$A$14:$L$18,7,FALSE)/2,IF($H150&lt;I$2,VLOOKUP($G150,Depreciation!$A$14:$L$18,7,FALSE),0))</f>
        <v>0</v>
      </c>
      <c r="J150" s="306">
        <f>+IF($H150=J$2,VLOOKUP($G150,Depreciation!$A$14:$L$18,8,FALSE)/2,IF($H150&lt;J$2,VLOOKUP($G150,Depreciation!$A$14:$L$18,8,FALSE),0))</f>
        <v>0</v>
      </c>
      <c r="K150" s="306">
        <f>+IF($H150=K$2,VLOOKUP($G150,Depreciation!$A$14:$L$18,9,FALSE)/2,IF($H150&lt;K$2,VLOOKUP($G150,Depreciation!$A$14:$L$18,9,FALSE),0))</f>
        <v>1.671703928371859E-2</v>
      </c>
      <c r="L150" s="306">
        <f>+IF($H150=L$2,VLOOKUP($G150,Depreciation!$A$14:$L$18,10,FALSE)/2,IF($H150&lt;L$2,VLOOKUP($G150,Depreciation!$A$14:$L$18,10,FALSE),0))</f>
        <v>3.343407856743718E-2</v>
      </c>
      <c r="M150" s="306">
        <f>+IF($H150=M$2,VLOOKUP($G150,Depreciation!$A$14:$L$18,11,FALSE)/2,IF($H150&lt;M$2,VLOOKUP($G150,Depreciation!$A$14:$L$18,11,FALSE),0))</f>
        <v>3.343407856743718E-2</v>
      </c>
      <c r="N150" s="306">
        <f>+IF($H150=N$2,VLOOKUP($G150,Depreciation!$A$14:$L$18,12,FALSE)/2,IF($H150&lt;N$2,VLOOKUP($G150,Depreciation!$A$14:$L$18,12,FALSE),0))</f>
        <v>3.343407856743718E-2</v>
      </c>
      <c r="O150" s="307">
        <f t="shared" si="17"/>
        <v>467558.65936457628</v>
      </c>
      <c r="P150" s="732">
        <f>'Func Future Subs 2015'!P150</f>
        <v>0</v>
      </c>
      <c r="Q150" s="732">
        <f>'Func Future Subs 2015'!Q150</f>
        <v>0</v>
      </c>
      <c r="R150" s="732">
        <f>'Func Future Subs 2015'!R150</f>
        <v>1</v>
      </c>
      <c r="S150" s="735">
        <f t="shared" si="18"/>
        <v>0</v>
      </c>
      <c r="T150" s="735">
        <f t="shared" si="19"/>
        <v>0</v>
      </c>
      <c r="U150" s="735">
        <f t="shared" si="20"/>
        <v>467558.65936457628</v>
      </c>
      <c r="V150" s="736">
        <f t="shared" si="21"/>
        <v>0</v>
      </c>
      <c r="W150" s="735">
        <f t="shared" si="22"/>
        <v>0</v>
      </c>
      <c r="X150" s="737">
        <f t="shared" si="23"/>
        <v>467558.65936457628</v>
      </c>
      <c r="Y150" s="738">
        <f t="shared" si="24"/>
        <v>0</v>
      </c>
    </row>
    <row r="151" spans="1:25">
      <c r="A151" s="754" t="str">
        <f>'Func Future Subs 2015'!A151</f>
        <v>Enmax No. 5</v>
      </c>
      <c r="B151" s="754">
        <f>'Func Future Subs 2015'!B151</f>
        <v>859</v>
      </c>
      <c r="C151" s="754">
        <f>'Func Future Subs 2015'!C151</f>
        <v>138</v>
      </c>
      <c r="D151" s="754">
        <f>'Func Future Subs 2015'!D151</f>
        <v>25</v>
      </c>
      <c r="E151" s="754" t="str">
        <f>'Func Future Subs 2015'!E151</f>
        <v>SS-5</v>
      </c>
      <c r="F151" s="754">
        <f>'Func Future Subs 2015'!F151</f>
        <v>37991871.591546685</v>
      </c>
      <c r="G151" s="754" t="str">
        <f>'Func Future Subs 2015'!G151</f>
        <v>ENMAX</v>
      </c>
      <c r="H151" s="754">
        <f>'Func Future Subs 2015'!H151</f>
        <v>2015</v>
      </c>
      <c r="I151" s="306">
        <f>+IF($H151=I$2,VLOOKUP($G151,Depreciation!$A$14:$L$18,7,FALSE)/2,IF($H151&lt;I$2,VLOOKUP($G151,Depreciation!$A$14:$L$18,7,FALSE),0))</f>
        <v>1.3928409269726289E-2</v>
      </c>
      <c r="J151" s="306">
        <f>+IF($H151=J$2,VLOOKUP($G151,Depreciation!$A$14:$L$18,8,FALSE)/2,IF($H151&lt;J$2,VLOOKUP($G151,Depreciation!$A$14:$L$18,8,FALSE),0))</f>
        <v>2.7856818539452578E-2</v>
      </c>
      <c r="K151" s="306">
        <f>+IF($H151=K$2,VLOOKUP($G151,Depreciation!$A$14:$L$18,9,FALSE)/2,IF($H151&lt;K$2,VLOOKUP($G151,Depreciation!$A$14:$L$18,9,FALSE),0))</f>
        <v>2.7856818539452578E-2</v>
      </c>
      <c r="L151" s="306">
        <f>+IF($H151=L$2,VLOOKUP($G151,Depreciation!$A$14:$L$18,10,FALSE)/2,IF($H151&lt;L$2,VLOOKUP($G151,Depreciation!$A$14:$L$18,10,FALSE),0))</f>
        <v>2.7856818539452578E-2</v>
      </c>
      <c r="M151" s="306">
        <f>+IF($H151=M$2,VLOOKUP($G151,Depreciation!$A$14:$L$18,11,FALSE)/2,IF($H151&lt;M$2,VLOOKUP($G151,Depreciation!$A$14:$L$18,11,FALSE),0))</f>
        <v>2.7856818539452578E-2</v>
      </c>
      <c r="N151" s="306">
        <f>+IF($H151=N$2,VLOOKUP($G151,Depreciation!$A$14:$L$18,12,FALSE)/2,IF($H151&lt;N$2,VLOOKUP($G151,Depreciation!$A$14:$L$18,12,FALSE),0))</f>
        <v>2.7856818539452578E-2</v>
      </c>
      <c r="O151" s="307">
        <f t="shared" si="17"/>
        <v>35404592.837428749</v>
      </c>
      <c r="P151" s="732">
        <f>'Func Future Subs 2015'!P151</f>
        <v>0</v>
      </c>
      <c r="Q151" s="732">
        <f>'Func Future Subs 2015'!Q151</f>
        <v>1</v>
      </c>
      <c r="R151" s="732">
        <f>'Func Future Subs 2015'!R151</f>
        <v>0</v>
      </c>
      <c r="S151" s="735">
        <f t="shared" si="18"/>
        <v>0</v>
      </c>
      <c r="T151" s="735">
        <f t="shared" si="19"/>
        <v>35404592.837428749</v>
      </c>
      <c r="U151" s="735">
        <f t="shared" si="20"/>
        <v>0</v>
      </c>
      <c r="V151" s="736">
        <f t="shared" si="21"/>
        <v>0</v>
      </c>
      <c r="W151" s="735">
        <f t="shared" si="22"/>
        <v>0</v>
      </c>
      <c r="X151" s="737">
        <f t="shared" si="23"/>
        <v>0</v>
      </c>
      <c r="Y151" s="738">
        <f t="shared" si="24"/>
        <v>35404592.837428749</v>
      </c>
    </row>
    <row r="152" spans="1:25">
      <c r="A152" s="754" t="str">
        <f>'Func Future Subs 2015'!A152</f>
        <v>Foothills 237S</v>
      </c>
      <c r="B152" s="754">
        <f>'Func Future Subs 2015'!B152</f>
        <v>882</v>
      </c>
      <c r="C152" s="754">
        <f>'Func Future Subs 2015'!C152</f>
        <v>240</v>
      </c>
      <c r="D152" s="754">
        <f>'Func Future Subs 2015'!D152</f>
        <v>138</v>
      </c>
      <c r="E152" s="754" t="str">
        <f>'Func Future Subs 2015'!E152</f>
        <v>237S</v>
      </c>
      <c r="F152" s="754">
        <f>'Func Future Subs 2015'!F152</f>
        <v>358753.33155285398</v>
      </c>
      <c r="G152" s="754" t="str">
        <f>'Func Future Subs 2015'!G152</f>
        <v>AltaLink</v>
      </c>
      <c r="H152" s="754">
        <f>'Func Future Subs 2015'!H152</f>
        <v>2015</v>
      </c>
      <c r="I152" s="306">
        <f>+IF($H152=I$2,VLOOKUP($G152,Depreciation!$A$14:$L$18,7,FALSE)/2,IF($H152&lt;I$2,VLOOKUP($G152,Depreciation!$A$14:$L$18,7,FALSE),0))</f>
        <v>1.7228380322441735E-2</v>
      </c>
      <c r="J152" s="306">
        <f>+IF($H152=J$2,VLOOKUP($G152,Depreciation!$A$14:$L$18,8,FALSE)/2,IF($H152&lt;J$2,VLOOKUP($G152,Depreciation!$A$14:$L$18,8,FALSE),0))</f>
        <v>3.343407856743718E-2</v>
      </c>
      <c r="K152" s="306">
        <f>+IF($H152=K$2,VLOOKUP($G152,Depreciation!$A$14:$L$18,9,FALSE)/2,IF($H152&lt;K$2,VLOOKUP($G152,Depreciation!$A$14:$L$18,9,FALSE),0))</f>
        <v>3.343407856743718E-2</v>
      </c>
      <c r="L152" s="306">
        <f>+IF($H152=L$2,VLOOKUP($G152,Depreciation!$A$14:$L$18,10,FALSE)/2,IF($H152&lt;L$2,VLOOKUP($G152,Depreciation!$A$14:$L$18,10,FALSE),0))</f>
        <v>3.343407856743718E-2</v>
      </c>
      <c r="M152" s="306">
        <f>+IF($H152=M$2,VLOOKUP($G152,Depreciation!$A$14:$L$18,11,FALSE)/2,IF($H152&lt;M$2,VLOOKUP($G152,Depreciation!$A$14:$L$18,11,FALSE),0))</f>
        <v>3.343407856743718E-2</v>
      </c>
      <c r="N152" s="306">
        <f>+IF($H152=N$2,VLOOKUP($G152,Depreciation!$A$14:$L$18,12,FALSE)/2,IF($H152&lt;N$2,VLOOKUP($G152,Depreciation!$A$14:$L$18,12,FALSE),0))</f>
        <v>3.343407856743718E-2</v>
      </c>
      <c r="O152" s="307">
        <f t="shared" si="17"/>
        <v>329390.83208807698</v>
      </c>
      <c r="P152" s="732">
        <f>'Func Future Subs 2015'!P152</f>
        <v>0</v>
      </c>
      <c r="Q152" s="732">
        <f>'Func Future Subs 2015'!Q152</f>
        <v>0</v>
      </c>
      <c r="R152" s="732">
        <f>'Func Future Subs 2015'!R152</f>
        <v>1</v>
      </c>
      <c r="S152" s="735">
        <f t="shared" si="18"/>
        <v>0</v>
      </c>
      <c r="T152" s="735">
        <f t="shared" si="19"/>
        <v>0</v>
      </c>
      <c r="U152" s="735">
        <f t="shared" si="20"/>
        <v>329390.83208807698</v>
      </c>
      <c r="V152" s="736">
        <f t="shared" si="21"/>
        <v>0</v>
      </c>
      <c r="W152" s="735">
        <f t="shared" si="22"/>
        <v>0</v>
      </c>
      <c r="X152" s="737">
        <f t="shared" si="23"/>
        <v>329390.83208807698</v>
      </c>
      <c r="Y152" s="738">
        <f t="shared" si="24"/>
        <v>0</v>
      </c>
    </row>
    <row r="153" spans="1:25">
      <c r="A153" s="754" t="str">
        <f>'Func Future Subs 2015'!A153</f>
        <v>Peigan 59S</v>
      </c>
      <c r="B153" s="754">
        <f>'Func Future Subs 2015'!B153</f>
        <v>882</v>
      </c>
      <c r="C153" s="754">
        <f>'Func Future Subs 2015'!C153</f>
        <v>240</v>
      </c>
      <c r="D153" s="754">
        <f>'Func Future Subs 2015'!D153</f>
        <v>138</v>
      </c>
      <c r="E153" s="754" t="str">
        <f>'Func Future Subs 2015'!E153</f>
        <v>59S</v>
      </c>
      <c r="F153" s="754">
        <f>'Func Future Subs 2015'!F153</f>
        <v>309435.01757324504</v>
      </c>
      <c r="G153" s="754" t="str">
        <f>'Func Future Subs 2015'!G153</f>
        <v>AltaLink</v>
      </c>
      <c r="H153" s="754">
        <f>'Func Future Subs 2015'!H153</f>
        <v>2015</v>
      </c>
      <c r="I153" s="306">
        <f>+IF($H153=I$2,VLOOKUP($G153,Depreciation!$A$14:$L$18,7,FALSE)/2,IF($H153&lt;I$2,VLOOKUP($G153,Depreciation!$A$14:$L$18,7,FALSE),0))</f>
        <v>1.7228380322441735E-2</v>
      </c>
      <c r="J153" s="306">
        <f>+IF($H153=J$2,VLOOKUP($G153,Depreciation!$A$14:$L$18,8,FALSE)/2,IF($H153&lt;J$2,VLOOKUP($G153,Depreciation!$A$14:$L$18,8,FALSE),0))</f>
        <v>3.343407856743718E-2</v>
      </c>
      <c r="K153" s="306">
        <f>+IF($H153=K$2,VLOOKUP($G153,Depreciation!$A$14:$L$18,9,FALSE)/2,IF($H153&lt;K$2,VLOOKUP($G153,Depreciation!$A$14:$L$18,9,FALSE),0))</f>
        <v>3.343407856743718E-2</v>
      </c>
      <c r="L153" s="306">
        <f>+IF($H153=L$2,VLOOKUP($G153,Depreciation!$A$14:$L$18,10,FALSE)/2,IF($H153&lt;L$2,VLOOKUP($G153,Depreciation!$A$14:$L$18,10,FALSE),0))</f>
        <v>3.343407856743718E-2</v>
      </c>
      <c r="M153" s="306">
        <f>+IF($H153=M$2,VLOOKUP($G153,Depreciation!$A$14:$L$18,11,FALSE)/2,IF($H153&lt;M$2,VLOOKUP($G153,Depreciation!$A$14:$L$18,11,FALSE),0))</f>
        <v>3.343407856743718E-2</v>
      </c>
      <c r="N153" s="306">
        <f>+IF($H153=N$2,VLOOKUP($G153,Depreciation!$A$14:$L$18,12,FALSE)/2,IF($H153&lt;N$2,VLOOKUP($G153,Depreciation!$A$14:$L$18,12,FALSE),0))</f>
        <v>3.343407856743718E-2</v>
      </c>
      <c r="O153" s="307">
        <f t="shared" si="17"/>
        <v>284109.02130012307</v>
      </c>
      <c r="P153" s="732">
        <f>'Func Future Subs 2015'!P153</f>
        <v>0</v>
      </c>
      <c r="Q153" s="732">
        <f>'Func Future Subs 2015'!Q153</f>
        <v>0</v>
      </c>
      <c r="R153" s="732">
        <f>'Func Future Subs 2015'!R153</f>
        <v>1</v>
      </c>
      <c r="S153" s="735">
        <f t="shared" si="18"/>
        <v>0</v>
      </c>
      <c r="T153" s="735">
        <f t="shared" si="19"/>
        <v>0</v>
      </c>
      <c r="U153" s="735">
        <f t="shared" si="20"/>
        <v>284109.02130012307</v>
      </c>
      <c r="V153" s="736">
        <f t="shared" si="21"/>
        <v>0</v>
      </c>
      <c r="W153" s="735">
        <f t="shared" si="22"/>
        <v>0</v>
      </c>
      <c r="X153" s="737">
        <f t="shared" si="23"/>
        <v>284109.02130012307</v>
      </c>
      <c r="Y153" s="738">
        <f t="shared" si="24"/>
        <v>0</v>
      </c>
    </row>
    <row r="154" spans="1:25">
      <c r="A154" s="754" t="str">
        <f>'Func Future Subs 2015'!A154</f>
        <v>Station - Stavely Series Capacitor SC1 266S</v>
      </c>
      <c r="B154" s="754">
        <f>'Func Future Subs 2015'!B154</f>
        <v>882</v>
      </c>
      <c r="C154" s="754">
        <f>'Func Future Subs 2015'!C154</f>
        <v>240</v>
      </c>
      <c r="D154" s="754">
        <f>'Func Future Subs 2015'!D154</f>
        <v>240</v>
      </c>
      <c r="E154" s="754" t="str">
        <f>'Func Future Subs 2015'!E154</f>
        <v>266S</v>
      </c>
      <c r="F154" s="754">
        <f>'Func Future Subs 2015'!F154</f>
        <v>42547759.969354637</v>
      </c>
      <c r="G154" s="754" t="str">
        <f>'Func Future Subs 2015'!G154</f>
        <v>AltaLink</v>
      </c>
      <c r="H154" s="754">
        <f>'Func Future Subs 2015'!H154</f>
        <v>2015</v>
      </c>
      <c r="I154" s="306">
        <f>+IF($H154=I$2,VLOOKUP($G154,Depreciation!$A$14:$L$18,7,FALSE)/2,IF($H154&lt;I$2,VLOOKUP($G154,Depreciation!$A$14:$L$18,7,FALSE),0))</f>
        <v>1.7228380322441735E-2</v>
      </c>
      <c r="J154" s="306">
        <f>+IF($H154=J$2,VLOOKUP($G154,Depreciation!$A$14:$L$18,8,FALSE)/2,IF($H154&lt;J$2,VLOOKUP($G154,Depreciation!$A$14:$L$18,8,FALSE),0))</f>
        <v>3.343407856743718E-2</v>
      </c>
      <c r="K154" s="306">
        <f>+IF($H154=K$2,VLOOKUP($G154,Depreciation!$A$14:$L$18,9,FALSE)/2,IF($H154&lt;K$2,VLOOKUP($G154,Depreciation!$A$14:$L$18,9,FALSE),0))</f>
        <v>3.343407856743718E-2</v>
      </c>
      <c r="L154" s="306">
        <f>+IF($H154=L$2,VLOOKUP($G154,Depreciation!$A$14:$L$18,10,FALSE)/2,IF($H154&lt;L$2,VLOOKUP($G154,Depreciation!$A$14:$L$18,10,FALSE),0))</f>
        <v>3.343407856743718E-2</v>
      </c>
      <c r="M154" s="306">
        <f>+IF($H154=M$2,VLOOKUP($G154,Depreciation!$A$14:$L$18,11,FALSE)/2,IF($H154&lt;M$2,VLOOKUP($G154,Depreciation!$A$14:$L$18,11,FALSE),0))</f>
        <v>3.343407856743718E-2</v>
      </c>
      <c r="N154" s="306">
        <f>+IF($H154=N$2,VLOOKUP($G154,Depreciation!$A$14:$L$18,12,FALSE)/2,IF($H154&lt;N$2,VLOOKUP($G154,Depreciation!$A$14:$L$18,12,FALSE),0))</f>
        <v>3.343407856743718E-2</v>
      </c>
      <c r="O154" s="307">
        <f t="shared" si="17"/>
        <v>39065399.056021683</v>
      </c>
      <c r="P154" s="732">
        <f>'Func Future Subs 2015'!P154</f>
        <v>0</v>
      </c>
      <c r="Q154" s="732">
        <f>'Func Future Subs 2015'!Q154</f>
        <v>0</v>
      </c>
      <c r="R154" s="732">
        <f>'Func Future Subs 2015'!R154</f>
        <v>1</v>
      </c>
      <c r="S154" s="735">
        <f t="shared" si="18"/>
        <v>0</v>
      </c>
      <c r="T154" s="735">
        <f t="shared" si="19"/>
        <v>0</v>
      </c>
      <c r="U154" s="735">
        <f t="shared" si="20"/>
        <v>39065399.056021683</v>
      </c>
      <c r="V154" s="736">
        <f t="shared" si="21"/>
        <v>0</v>
      </c>
      <c r="W154" s="735">
        <f t="shared" si="22"/>
        <v>39065399.056021683</v>
      </c>
      <c r="X154" s="737">
        <f t="shared" si="23"/>
        <v>0</v>
      </c>
      <c r="Y154" s="738">
        <f t="shared" si="24"/>
        <v>0</v>
      </c>
    </row>
    <row r="155" spans="1:25">
      <c r="A155" s="754" t="str">
        <f>'Func Future Subs 2015'!A155</f>
        <v>Windy Flats 138S</v>
      </c>
      <c r="B155" s="754">
        <f>'Func Future Subs 2015'!B155</f>
        <v>882</v>
      </c>
      <c r="C155" s="754">
        <f>'Func Future Subs 2015'!C155</f>
        <v>240</v>
      </c>
      <c r="D155" s="754">
        <f>'Func Future Subs 2015'!D155</f>
        <v>138</v>
      </c>
      <c r="E155" s="754" t="str">
        <f>'Func Future Subs 2015'!E155</f>
        <v>138S</v>
      </c>
      <c r="F155" s="754">
        <f>'Func Future Subs 2015'!F155</f>
        <v>73372187.647627547</v>
      </c>
      <c r="G155" s="754" t="str">
        <f>'Func Future Subs 2015'!G155</f>
        <v>AltaLink</v>
      </c>
      <c r="H155" s="754">
        <f>'Func Future Subs 2015'!H155</f>
        <v>2015</v>
      </c>
      <c r="I155" s="306">
        <f>+IF($H155=I$2,VLOOKUP($G155,Depreciation!$A$14:$L$18,7,FALSE)/2,IF($H155&lt;I$2,VLOOKUP($G155,Depreciation!$A$14:$L$18,7,FALSE),0))</f>
        <v>1.7228380322441735E-2</v>
      </c>
      <c r="J155" s="306">
        <f>+IF($H155=J$2,VLOOKUP($G155,Depreciation!$A$14:$L$18,8,FALSE)/2,IF($H155&lt;J$2,VLOOKUP($G155,Depreciation!$A$14:$L$18,8,FALSE),0))</f>
        <v>3.343407856743718E-2</v>
      </c>
      <c r="K155" s="306">
        <f>+IF($H155=K$2,VLOOKUP($G155,Depreciation!$A$14:$L$18,9,FALSE)/2,IF($H155&lt;K$2,VLOOKUP($G155,Depreciation!$A$14:$L$18,9,FALSE),0))</f>
        <v>3.343407856743718E-2</v>
      </c>
      <c r="L155" s="306">
        <f>+IF($H155=L$2,VLOOKUP($G155,Depreciation!$A$14:$L$18,10,FALSE)/2,IF($H155&lt;L$2,VLOOKUP($G155,Depreciation!$A$14:$L$18,10,FALSE),0))</f>
        <v>3.343407856743718E-2</v>
      </c>
      <c r="M155" s="306">
        <f>+IF($H155=M$2,VLOOKUP($G155,Depreciation!$A$14:$L$18,11,FALSE)/2,IF($H155&lt;M$2,VLOOKUP($G155,Depreciation!$A$14:$L$18,11,FALSE),0))</f>
        <v>3.343407856743718E-2</v>
      </c>
      <c r="N155" s="306">
        <f>+IF($H155=N$2,VLOOKUP($G155,Depreciation!$A$14:$L$18,12,FALSE)/2,IF($H155&lt;N$2,VLOOKUP($G155,Depreciation!$A$14:$L$18,12,FALSE),0))</f>
        <v>3.343407856743718E-2</v>
      </c>
      <c r="O155" s="307">
        <f t="shared" si="17"/>
        <v>67366972.835523188</v>
      </c>
      <c r="P155" s="732">
        <f>'Func Future Subs 2015'!P155</f>
        <v>0</v>
      </c>
      <c r="Q155" s="732">
        <f>'Func Future Subs 2015'!Q155</f>
        <v>0</v>
      </c>
      <c r="R155" s="732">
        <f>'Func Future Subs 2015'!R155</f>
        <v>1</v>
      </c>
      <c r="S155" s="735">
        <f t="shared" si="18"/>
        <v>0</v>
      </c>
      <c r="T155" s="735">
        <f t="shared" si="19"/>
        <v>0</v>
      </c>
      <c r="U155" s="735">
        <f t="shared" si="20"/>
        <v>67366972.835523188</v>
      </c>
      <c r="V155" s="736">
        <f t="shared" si="21"/>
        <v>0</v>
      </c>
      <c r="W155" s="735">
        <f t="shared" si="22"/>
        <v>0</v>
      </c>
      <c r="X155" s="737">
        <f t="shared" si="23"/>
        <v>67366972.835523188</v>
      </c>
      <c r="Y155" s="738">
        <f t="shared" si="24"/>
        <v>0</v>
      </c>
    </row>
    <row r="156" spans="1:25">
      <c r="A156" s="754" t="str">
        <f>'Func Future Subs 2015'!A156</f>
        <v>Bowmanton 244S 138kV</v>
      </c>
      <c r="B156" s="754">
        <f>'Func Future Subs 2015'!B156</f>
        <v>888</v>
      </c>
      <c r="C156" s="754">
        <f>'Func Future Subs 2015'!C156</f>
        <v>240</v>
      </c>
      <c r="D156" s="754">
        <f>'Func Future Subs 2015'!D156</f>
        <v>138</v>
      </c>
      <c r="E156" s="754" t="str">
        <f>'Func Future Subs 2015'!E156</f>
        <v>244S</v>
      </c>
      <c r="F156" s="754">
        <f>'Func Future Subs 2015'!F156</f>
        <v>31598804.467574589</v>
      </c>
      <c r="G156" s="754" t="str">
        <f>'Func Future Subs 2015'!G156</f>
        <v>AltaLink</v>
      </c>
      <c r="H156" s="754">
        <f>'Func Future Subs 2015'!H156</f>
        <v>2016</v>
      </c>
      <c r="I156" s="306">
        <f>+IF($H156=I$2,VLOOKUP($G156,Depreciation!$A$14:$L$18,7,FALSE)/2,IF($H156&lt;I$2,VLOOKUP($G156,Depreciation!$A$14:$L$18,7,FALSE),0))</f>
        <v>0</v>
      </c>
      <c r="J156" s="306">
        <f>+IF($H156=J$2,VLOOKUP($G156,Depreciation!$A$14:$L$18,8,FALSE)/2,IF($H156&lt;J$2,VLOOKUP($G156,Depreciation!$A$14:$L$18,8,FALSE),0))</f>
        <v>1.671703928371859E-2</v>
      </c>
      <c r="K156" s="306">
        <f>+IF($H156=K$2,VLOOKUP($G156,Depreciation!$A$14:$L$18,9,FALSE)/2,IF($H156&lt;K$2,VLOOKUP($G156,Depreciation!$A$14:$L$18,9,FALSE),0))</f>
        <v>3.343407856743718E-2</v>
      </c>
      <c r="L156" s="306">
        <f>+IF($H156=L$2,VLOOKUP($G156,Depreciation!$A$14:$L$18,10,FALSE)/2,IF($H156&lt;L$2,VLOOKUP($G156,Depreciation!$A$14:$L$18,10,FALSE),0))</f>
        <v>3.343407856743718E-2</v>
      </c>
      <c r="M156" s="306">
        <f>+IF($H156=M$2,VLOOKUP($G156,Depreciation!$A$14:$L$18,11,FALSE)/2,IF($H156&lt;M$2,VLOOKUP($G156,Depreciation!$A$14:$L$18,11,FALSE),0))</f>
        <v>3.343407856743718E-2</v>
      </c>
      <c r="N156" s="306">
        <f>+IF($H156=N$2,VLOOKUP($G156,Depreciation!$A$14:$L$18,12,FALSE)/2,IF($H156&lt;N$2,VLOOKUP($G156,Depreciation!$A$14:$L$18,12,FALSE),0))</f>
        <v>3.343407856743718E-2</v>
      </c>
      <c r="O156" s="307">
        <f t="shared" si="17"/>
        <v>30031750.266792599</v>
      </c>
      <c r="P156" s="732">
        <f>'Func Future Subs 2015'!P156</f>
        <v>0</v>
      </c>
      <c r="Q156" s="732">
        <f>'Func Future Subs 2015'!Q156</f>
        <v>0</v>
      </c>
      <c r="R156" s="732">
        <f>'Func Future Subs 2015'!R156</f>
        <v>1</v>
      </c>
      <c r="S156" s="735">
        <f t="shared" si="18"/>
        <v>0</v>
      </c>
      <c r="T156" s="735">
        <f t="shared" si="19"/>
        <v>0</v>
      </c>
      <c r="U156" s="735">
        <f t="shared" si="20"/>
        <v>30031750.266792599</v>
      </c>
      <c r="V156" s="736">
        <f t="shared" si="21"/>
        <v>0</v>
      </c>
      <c r="W156" s="735">
        <f t="shared" si="22"/>
        <v>0</v>
      </c>
      <c r="X156" s="737">
        <f t="shared" si="23"/>
        <v>30031750.266792599</v>
      </c>
      <c r="Y156" s="738">
        <f t="shared" si="24"/>
        <v>0</v>
      </c>
    </row>
    <row r="157" spans="1:25">
      <c r="A157" s="754" t="str">
        <f>'Func Future Subs 2015'!A157</f>
        <v>Bullshead 523S</v>
      </c>
      <c r="B157" s="754">
        <f>'Func Future Subs 2015'!B157</f>
        <v>888</v>
      </c>
      <c r="C157" s="754">
        <f>'Func Future Subs 2015'!C157</f>
        <v>240</v>
      </c>
      <c r="D157" s="754">
        <f>'Func Future Subs 2015'!D157</f>
        <v>25</v>
      </c>
      <c r="E157" s="754" t="str">
        <f>'Func Future Subs 2015'!E157</f>
        <v>523S</v>
      </c>
      <c r="F157" s="754">
        <f>'Func Future Subs 2015'!F157</f>
        <v>1075414.0279138924</v>
      </c>
      <c r="G157" s="754" t="str">
        <f>'Func Future Subs 2015'!G157</f>
        <v>AltaLink</v>
      </c>
      <c r="H157" s="754">
        <f>'Func Future Subs 2015'!H157</f>
        <v>2016</v>
      </c>
      <c r="I157" s="306">
        <f>+IF($H157=I$2,VLOOKUP($G157,Depreciation!$A$14:$L$18,7,FALSE)/2,IF($H157&lt;I$2,VLOOKUP($G157,Depreciation!$A$14:$L$18,7,FALSE),0))</f>
        <v>0</v>
      </c>
      <c r="J157" s="306">
        <f>+IF($H157=J$2,VLOOKUP($G157,Depreciation!$A$14:$L$18,8,FALSE)/2,IF($H157&lt;J$2,VLOOKUP($G157,Depreciation!$A$14:$L$18,8,FALSE),0))</f>
        <v>1.671703928371859E-2</v>
      </c>
      <c r="K157" s="306">
        <f>+IF($H157=K$2,VLOOKUP($G157,Depreciation!$A$14:$L$18,9,FALSE)/2,IF($H157&lt;K$2,VLOOKUP($G157,Depreciation!$A$14:$L$18,9,FALSE),0))</f>
        <v>3.343407856743718E-2</v>
      </c>
      <c r="L157" s="306">
        <f>+IF($H157=L$2,VLOOKUP($G157,Depreciation!$A$14:$L$18,10,FALSE)/2,IF($H157&lt;L$2,VLOOKUP($G157,Depreciation!$A$14:$L$18,10,FALSE),0))</f>
        <v>3.343407856743718E-2</v>
      </c>
      <c r="M157" s="306">
        <f>+IF($H157=M$2,VLOOKUP($G157,Depreciation!$A$14:$L$18,11,FALSE)/2,IF($H157&lt;M$2,VLOOKUP($G157,Depreciation!$A$14:$L$18,11,FALSE),0))</f>
        <v>3.343407856743718E-2</v>
      </c>
      <c r="N157" s="306">
        <f>+IF($H157=N$2,VLOOKUP($G157,Depreciation!$A$14:$L$18,12,FALSE)/2,IF($H157&lt;N$2,VLOOKUP($G157,Depreciation!$A$14:$L$18,12,FALSE),0))</f>
        <v>3.343407856743718E-2</v>
      </c>
      <c r="O157" s="307">
        <f t="shared" si="17"/>
        <v>1022081.8813843722</v>
      </c>
      <c r="P157" s="732">
        <f>'Func Future Subs 2015'!P157</f>
        <v>0</v>
      </c>
      <c r="Q157" s="732">
        <f>'Func Future Subs 2015'!Q157</f>
        <v>1</v>
      </c>
      <c r="R157" s="732">
        <f>'Func Future Subs 2015'!R157</f>
        <v>0</v>
      </c>
      <c r="S157" s="735">
        <f t="shared" si="18"/>
        <v>0</v>
      </c>
      <c r="T157" s="735">
        <f t="shared" si="19"/>
        <v>1022081.8813843722</v>
      </c>
      <c r="U157" s="735">
        <f t="shared" si="20"/>
        <v>0</v>
      </c>
      <c r="V157" s="736">
        <f t="shared" si="21"/>
        <v>0</v>
      </c>
      <c r="W157" s="735">
        <f t="shared" si="22"/>
        <v>0</v>
      </c>
      <c r="X157" s="737">
        <f t="shared" si="23"/>
        <v>0</v>
      </c>
      <c r="Y157" s="738">
        <f t="shared" si="24"/>
        <v>1022081.8813843722</v>
      </c>
    </row>
    <row r="158" spans="1:25">
      <c r="A158" s="754" t="str">
        <f>'Func Future Subs 2015'!A158</f>
        <v>Burdett 368S line protection</v>
      </c>
      <c r="B158" s="754">
        <f>'Func Future Subs 2015'!B158</f>
        <v>888</v>
      </c>
      <c r="C158" s="754">
        <f>'Func Future Subs 2015'!C158</f>
        <v>138</v>
      </c>
      <c r="D158" s="754">
        <f>'Func Future Subs 2015'!D158</f>
        <v>25</v>
      </c>
      <c r="E158" s="754" t="str">
        <f>'Func Future Subs 2015'!E158</f>
        <v>368S</v>
      </c>
      <c r="F158" s="754">
        <f>'Func Future Subs 2015'!F158</f>
        <v>300701.16758473852</v>
      </c>
      <c r="G158" s="754" t="str">
        <f>'Func Future Subs 2015'!G158</f>
        <v>AltaLink</v>
      </c>
      <c r="H158" s="754">
        <f>'Func Future Subs 2015'!H158</f>
        <v>2016</v>
      </c>
      <c r="I158" s="306">
        <f>+IF($H158=I$2,VLOOKUP($G158,Depreciation!$A$14:$L$18,7,FALSE)/2,IF($H158&lt;I$2,VLOOKUP($G158,Depreciation!$A$14:$L$18,7,FALSE),0))</f>
        <v>0</v>
      </c>
      <c r="J158" s="306">
        <f>+IF($H158=J$2,VLOOKUP($G158,Depreciation!$A$14:$L$18,8,FALSE)/2,IF($H158&lt;J$2,VLOOKUP($G158,Depreciation!$A$14:$L$18,8,FALSE),0))</f>
        <v>1.671703928371859E-2</v>
      </c>
      <c r="K158" s="306">
        <f>+IF($H158=K$2,VLOOKUP($G158,Depreciation!$A$14:$L$18,9,FALSE)/2,IF($H158&lt;K$2,VLOOKUP($G158,Depreciation!$A$14:$L$18,9,FALSE),0))</f>
        <v>3.343407856743718E-2</v>
      </c>
      <c r="L158" s="306">
        <f>+IF($H158=L$2,VLOOKUP($G158,Depreciation!$A$14:$L$18,10,FALSE)/2,IF($H158&lt;L$2,VLOOKUP($G158,Depreciation!$A$14:$L$18,10,FALSE),0))</f>
        <v>3.343407856743718E-2</v>
      </c>
      <c r="M158" s="306">
        <f>+IF($H158=M$2,VLOOKUP($G158,Depreciation!$A$14:$L$18,11,FALSE)/2,IF($H158&lt;M$2,VLOOKUP($G158,Depreciation!$A$14:$L$18,11,FALSE),0))</f>
        <v>3.343407856743718E-2</v>
      </c>
      <c r="N158" s="306">
        <f>+IF($H158=N$2,VLOOKUP($G158,Depreciation!$A$14:$L$18,12,FALSE)/2,IF($H158&lt;N$2,VLOOKUP($G158,Depreciation!$A$14:$L$18,12,FALSE),0))</f>
        <v>3.343407856743718E-2</v>
      </c>
      <c r="O158" s="307">
        <f t="shared" si="17"/>
        <v>285788.73542841268</v>
      </c>
      <c r="P158" s="732">
        <f>'Func Future Subs 2015'!P158</f>
        <v>0</v>
      </c>
      <c r="Q158" s="732">
        <f>'Func Future Subs 2015'!Q158</f>
        <v>1</v>
      </c>
      <c r="R158" s="732">
        <f>'Func Future Subs 2015'!R158</f>
        <v>0</v>
      </c>
      <c r="S158" s="735">
        <f t="shared" si="18"/>
        <v>0</v>
      </c>
      <c r="T158" s="735">
        <f t="shared" si="19"/>
        <v>285788.73542841268</v>
      </c>
      <c r="U158" s="735">
        <f t="shared" si="20"/>
        <v>0</v>
      </c>
      <c r="V158" s="736">
        <f t="shared" si="21"/>
        <v>0</v>
      </c>
      <c r="W158" s="735">
        <f t="shared" si="22"/>
        <v>0</v>
      </c>
      <c r="X158" s="737">
        <f t="shared" si="23"/>
        <v>0</v>
      </c>
      <c r="Y158" s="738">
        <f t="shared" si="24"/>
        <v>285788.73542841268</v>
      </c>
    </row>
    <row r="159" spans="1:25">
      <c r="A159" s="754" t="str">
        <f>'Func Future Subs 2015'!A159</f>
        <v>Chappice Lake 649S</v>
      </c>
      <c r="B159" s="754">
        <f>'Func Future Subs 2015'!B159</f>
        <v>888</v>
      </c>
      <c r="C159" s="754">
        <f>'Func Future Subs 2015'!C159</f>
        <v>138</v>
      </c>
      <c r="D159" s="754">
        <f>'Func Future Subs 2015'!D159</f>
        <v>25</v>
      </c>
      <c r="E159" s="754" t="str">
        <f>'Func Future Subs 2015'!E159</f>
        <v>649S</v>
      </c>
      <c r="F159" s="754">
        <f>'Func Future Subs 2015'!F159</f>
        <v>51845.028893920433</v>
      </c>
      <c r="G159" s="754" t="str">
        <f>'Func Future Subs 2015'!G159</f>
        <v>AltaLink</v>
      </c>
      <c r="H159" s="754">
        <f>'Func Future Subs 2015'!H159</f>
        <v>2016</v>
      </c>
      <c r="I159" s="306">
        <f>+IF($H159=I$2,VLOOKUP($G159,Depreciation!$A$14:$L$18,7,FALSE)/2,IF($H159&lt;I$2,VLOOKUP($G159,Depreciation!$A$14:$L$18,7,FALSE),0))</f>
        <v>0</v>
      </c>
      <c r="J159" s="306">
        <f>+IF($H159=J$2,VLOOKUP($G159,Depreciation!$A$14:$L$18,8,FALSE)/2,IF($H159&lt;J$2,VLOOKUP($G159,Depreciation!$A$14:$L$18,8,FALSE),0))</f>
        <v>1.671703928371859E-2</v>
      </c>
      <c r="K159" s="306">
        <f>+IF($H159=K$2,VLOOKUP($G159,Depreciation!$A$14:$L$18,9,FALSE)/2,IF($H159&lt;K$2,VLOOKUP($G159,Depreciation!$A$14:$L$18,9,FALSE),0))</f>
        <v>3.343407856743718E-2</v>
      </c>
      <c r="L159" s="306">
        <f>+IF($H159=L$2,VLOOKUP($G159,Depreciation!$A$14:$L$18,10,FALSE)/2,IF($H159&lt;L$2,VLOOKUP($G159,Depreciation!$A$14:$L$18,10,FALSE),0))</f>
        <v>3.343407856743718E-2</v>
      </c>
      <c r="M159" s="306">
        <f>+IF($H159=M$2,VLOOKUP($G159,Depreciation!$A$14:$L$18,11,FALSE)/2,IF($H159&lt;M$2,VLOOKUP($G159,Depreciation!$A$14:$L$18,11,FALSE),0))</f>
        <v>3.343407856743718E-2</v>
      </c>
      <c r="N159" s="306">
        <f>+IF($H159=N$2,VLOOKUP($G159,Depreciation!$A$14:$L$18,12,FALSE)/2,IF($H159&lt;N$2,VLOOKUP($G159,Depreciation!$A$14:$L$18,12,FALSE),0))</f>
        <v>3.343407856743718E-2</v>
      </c>
      <c r="O159" s="307">
        <f t="shared" si="17"/>
        <v>49273.919901450456</v>
      </c>
      <c r="P159" s="732">
        <f>'Func Future Subs 2015'!P159</f>
        <v>0</v>
      </c>
      <c r="Q159" s="732">
        <f>'Func Future Subs 2015'!Q159</f>
        <v>1</v>
      </c>
      <c r="R159" s="732">
        <f>'Func Future Subs 2015'!R159</f>
        <v>0</v>
      </c>
      <c r="S159" s="735">
        <f t="shared" si="18"/>
        <v>0</v>
      </c>
      <c r="T159" s="735">
        <f t="shared" si="19"/>
        <v>49273.919901450456</v>
      </c>
      <c r="U159" s="735">
        <f t="shared" si="20"/>
        <v>0</v>
      </c>
      <c r="V159" s="736">
        <f t="shared" si="21"/>
        <v>0</v>
      </c>
      <c r="W159" s="735">
        <f t="shared" si="22"/>
        <v>0</v>
      </c>
      <c r="X159" s="737">
        <f t="shared" si="23"/>
        <v>0</v>
      </c>
      <c r="Y159" s="738">
        <f t="shared" si="24"/>
        <v>49273.919901450456</v>
      </c>
    </row>
    <row r="160" spans="1:25">
      <c r="A160" s="754" t="str">
        <f>'Func Future Subs 2015'!A160</f>
        <v>Cypress 562S line protection</v>
      </c>
      <c r="B160" s="754">
        <f>'Func Future Subs 2015'!B160</f>
        <v>888</v>
      </c>
      <c r="C160" s="754">
        <f>'Func Future Subs 2015'!C160</f>
        <v>240</v>
      </c>
      <c r="D160" s="754">
        <f>'Func Future Subs 2015'!D160</f>
        <v>138</v>
      </c>
      <c r="E160" s="754" t="str">
        <f>'Func Future Subs 2015'!E160</f>
        <v>562S</v>
      </c>
      <c r="F160" s="754">
        <f>'Func Future Subs 2015'!F160</f>
        <v>142203.50782332462</v>
      </c>
      <c r="G160" s="754" t="str">
        <f>'Func Future Subs 2015'!G160</f>
        <v>AltaLink</v>
      </c>
      <c r="H160" s="754">
        <f>'Func Future Subs 2015'!H160</f>
        <v>2016</v>
      </c>
      <c r="I160" s="306">
        <f>+IF($H160=I$2,VLOOKUP($G160,Depreciation!$A$14:$L$18,7,FALSE)/2,IF($H160&lt;I$2,VLOOKUP($G160,Depreciation!$A$14:$L$18,7,FALSE),0))</f>
        <v>0</v>
      </c>
      <c r="J160" s="306">
        <f>+IF($H160=J$2,VLOOKUP($G160,Depreciation!$A$14:$L$18,8,FALSE)/2,IF($H160&lt;J$2,VLOOKUP($G160,Depreciation!$A$14:$L$18,8,FALSE),0))</f>
        <v>1.671703928371859E-2</v>
      </c>
      <c r="K160" s="306">
        <f>+IF($H160=K$2,VLOOKUP($G160,Depreciation!$A$14:$L$18,9,FALSE)/2,IF($H160&lt;K$2,VLOOKUP($G160,Depreciation!$A$14:$L$18,9,FALSE),0))</f>
        <v>3.343407856743718E-2</v>
      </c>
      <c r="L160" s="306">
        <f>+IF($H160=L$2,VLOOKUP($G160,Depreciation!$A$14:$L$18,10,FALSE)/2,IF($H160&lt;L$2,VLOOKUP($G160,Depreciation!$A$14:$L$18,10,FALSE),0))</f>
        <v>3.343407856743718E-2</v>
      </c>
      <c r="M160" s="306">
        <f>+IF($H160=M$2,VLOOKUP($G160,Depreciation!$A$14:$L$18,11,FALSE)/2,IF($H160&lt;M$2,VLOOKUP($G160,Depreciation!$A$14:$L$18,11,FALSE),0))</f>
        <v>3.343407856743718E-2</v>
      </c>
      <c r="N160" s="306">
        <f>+IF($H160=N$2,VLOOKUP($G160,Depreciation!$A$14:$L$18,12,FALSE)/2,IF($H160&lt;N$2,VLOOKUP($G160,Depreciation!$A$14:$L$18,12,FALSE),0))</f>
        <v>3.343407856743718E-2</v>
      </c>
      <c r="O160" s="307">
        <f t="shared" si="17"/>
        <v>135151.3231582641</v>
      </c>
      <c r="P160" s="732">
        <f>'Func Future Subs 2015'!P160</f>
        <v>0</v>
      </c>
      <c r="Q160" s="732">
        <f>'Func Future Subs 2015'!Q160</f>
        <v>0</v>
      </c>
      <c r="R160" s="732">
        <f>'Func Future Subs 2015'!R160</f>
        <v>1</v>
      </c>
      <c r="S160" s="735">
        <f t="shared" si="18"/>
        <v>0</v>
      </c>
      <c r="T160" s="735">
        <f t="shared" si="19"/>
        <v>0</v>
      </c>
      <c r="U160" s="735">
        <f t="shared" si="20"/>
        <v>135151.3231582641</v>
      </c>
      <c r="V160" s="736">
        <f t="shared" si="21"/>
        <v>0</v>
      </c>
      <c r="W160" s="735">
        <f t="shared" si="22"/>
        <v>0</v>
      </c>
      <c r="X160" s="737">
        <f t="shared" si="23"/>
        <v>135151.3231582641</v>
      </c>
      <c r="Y160" s="738">
        <f t="shared" si="24"/>
        <v>0</v>
      </c>
    </row>
    <row r="161" spans="1:25">
      <c r="A161" s="754" t="str">
        <f>'Func Future Subs 2015'!A161</f>
        <v>Medicine Hat 41S</v>
      </c>
      <c r="B161" s="754">
        <f>'Func Future Subs 2015'!B161</f>
        <v>888</v>
      </c>
      <c r="C161" s="754">
        <f>'Func Future Subs 2015'!C161</f>
        <v>138</v>
      </c>
      <c r="D161" s="754">
        <f>'Func Future Subs 2015'!D161</f>
        <v>69</v>
      </c>
      <c r="E161" s="754" t="str">
        <f>'Func Future Subs 2015'!E161</f>
        <v>41S</v>
      </c>
      <c r="F161" s="754">
        <f>'Func Future Subs 2015'!F161</f>
        <v>1193916.9510999962</v>
      </c>
      <c r="G161" s="754" t="str">
        <f>'Func Future Subs 2015'!G161</f>
        <v>AltaLink</v>
      </c>
      <c r="H161" s="754">
        <f>'Func Future Subs 2015'!H161</f>
        <v>2016</v>
      </c>
      <c r="I161" s="306">
        <f>+IF($H161=I$2,VLOOKUP($G161,Depreciation!$A$14:$L$18,7,FALSE)/2,IF($H161&lt;I$2,VLOOKUP($G161,Depreciation!$A$14:$L$18,7,FALSE),0))</f>
        <v>0</v>
      </c>
      <c r="J161" s="306">
        <f>+IF($H161=J$2,VLOOKUP($G161,Depreciation!$A$14:$L$18,8,FALSE)/2,IF($H161&lt;J$2,VLOOKUP($G161,Depreciation!$A$14:$L$18,8,FALSE),0))</f>
        <v>1.671703928371859E-2</v>
      </c>
      <c r="K161" s="306">
        <f>+IF($H161=K$2,VLOOKUP($G161,Depreciation!$A$14:$L$18,9,FALSE)/2,IF($H161&lt;K$2,VLOOKUP($G161,Depreciation!$A$14:$L$18,9,FALSE),0))</f>
        <v>3.343407856743718E-2</v>
      </c>
      <c r="L161" s="306">
        <f>+IF($H161=L$2,VLOOKUP($G161,Depreciation!$A$14:$L$18,10,FALSE)/2,IF($H161&lt;L$2,VLOOKUP($G161,Depreciation!$A$14:$L$18,10,FALSE),0))</f>
        <v>3.343407856743718E-2</v>
      </c>
      <c r="M161" s="306">
        <f>+IF($H161=M$2,VLOOKUP($G161,Depreciation!$A$14:$L$18,11,FALSE)/2,IF($H161&lt;M$2,VLOOKUP($G161,Depreciation!$A$14:$L$18,11,FALSE),0))</f>
        <v>3.343407856743718E-2</v>
      </c>
      <c r="N161" s="306">
        <f>+IF($H161=N$2,VLOOKUP($G161,Depreciation!$A$14:$L$18,12,FALSE)/2,IF($H161&lt;N$2,VLOOKUP($G161,Depreciation!$A$14:$L$18,12,FALSE),0))</f>
        <v>3.343407856743718E-2</v>
      </c>
      <c r="O161" s="307">
        <f t="shared" si="17"/>
        <v>1134707.984016259</v>
      </c>
      <c r="P161" s="732">
        <f>'Func Future Subs 2015'!P161</f>
        <v>0.796875</v>
      </c>
      <c r="Q161" s="732">
        <f>'Func Future Subs 2015'!Q161</f>
        <v>0.203125</v>
      </c>
      <c r="R161" s="732">
        <f>'Func Future Subs 2015'!R161</f>
        <v>0</v>
      </c>
      <c r="S161" s="735">
        <f t="shared" si="18"/>
        <v>904220.42476295633</v>
      </c>
      <c r="T161" s="735">
        <f t="shared" si="19"/>
        <v>230487.55925330261</v>
      </c>
      <c r="U161" s="735">
        <f t="shared" si="20"/>
        <v>0</v>
      </c>
      <c r="V161" s="736">
        <f t="shared" si="21"/>
        <v>0</v>
      </c>
      <c r="W161" s="735">
        <f t="shared" si="22"/>
        <v>904220.42476295633</v>
      </c>
      <c r="X161" s="737">
        <f t="shared" si="23"/>
        <v>0</v>
      </c>
      <c r="Y161" s="738">
        <f t="shared" si="24"/>
        <v>230487.55925330261</v>
      </c>
    </row>
    <row r="162" spans="1:25">
      <c r="A162" s="754" t="str">
        <f>'Func Future Subs 2015'!A162</f>
        <v>Suffield 895S line protection</v>
      </c>
      <c r="B162" s="754">
        <f>'Func Future Subs 2015'!B162</f>
        <v>888</v>
      </c>
      <c r="C162" s="754">
        <f>'Func Future Subs 2015'!C162</f>
        <v>138</v>
      </c>
      <c r="D162" s="754">
        <f>'Func Future Subs 2015'!D162</f>
        <v>25</v>
      </c>
      <c r="E162" s="754" t="str">
        <f>'Func Future Subs 2015'!E162</f>
        <v>895S</v>
      </c>
      <c r="F162" s="754">
        <f>'Func Future Subs 2015'!F162</f>
        <v>103690.05778784087</v>
      </c>
      <c r="G162" s="754" t="str">
        <f>'Func Future Subs 2015'!G162</f>
        <v>AltaLink</v>
      </c>
      <c r="H162" s="754">
        <f>'Func Future Subs 2015'!H162</f>
        <v>2016</v>
      </c>
      <c r="I162" s="306">
        <f>+IF($H162=I$2,VLOOKUP($G162,Depreciation!$A$14:$L$18,7,FALSE)/2,IF($H162&lt;I$2,VLOOKUP($G162,Depreciation!$A$14:$L$18,7,FALSE),0))</f>
        <v>0</v>
      </c>
      <c r="J162" s="306">
        <f>+IF($H162=J$2,VLOOKUP($G162,Depreciation!$A$14:$L$18,8,FALSE)/2,IF($H162&lt;J$2,VLOOKUP($G162,Depreciation!$A$14:$L$18,8,FALSE),0))</f>
        <v>1.671703928371859E-2</v>
      </c>
      <c r="K162" s="306">
        <f>+IF($H162=K$2,VLOOKUP($G162,Depreciation!$A$14:$L$18,9,FALSE)/2,IF($H162&lt;K$2,VLOOKUP($G162,Depreciation!$A$14:$L$18,9,FALSE),0))</f>
        <v>3.343407856743718E-2</v>
      </c>
      <c r="L162" s="306">
        <f>+IF($H162=L$2,VLOOKUP($G162,Depreciation!$A$14:$L$18,10,FALSE)/2,IF($H162&lt;L$2,VLOOKUP($G162,Depreciation!$A$14:$L$18,10,FALSE),0))</f>
        <v>3.343407856743718E-2</v>
      </c>
      <c r="M162" s="306">
        <f>+IF($H162=M$2,VLOOKUP($G162,Depreciation!$A$14:$L$18,11,FALSE)/2,IF($H162&lt;M$2,VLOOKUP($G162,Depreciation!$A$14:$L$18,11,FALSE),0))</f>
        <v>3.343407856743718E-2</v>
      </c>
      <c r="N162" s="306">
        <f>+IF($H162=N$2,VLOOKUP($G162,Depreciation!$A$14:$L$18,12,FALSE)/2,IF($H162&lt;N$2,VLOOKUP($G162,Depreciation!$A$14:$L$18,12,FALSE),0))</f>
        <v>3.343407856743718E-2</v>
      </c>
      <c r="O162" s="307">
        <f t="shared" si="17"/>
        <v>98547.839802900911</v>
      </c>
      <c r="P162" s="732">
        <f>'Func Future Subs 2015'!P162</f>
        <v>0.23378141437755698</v>
      </c>
      <c r="Q162" s="732">
        <f>'Func Future Subs 2015'!Q162</f>
        <v>0.76621858562244305</v>
      </c>
      <c r="R162" s="732">
        <f>'Func Future Subs 2015'!R162</f>
        <v>0</v>
      </c>
      <c r="S162" s="735">
        <f t="shared" si="18"/>
        <v>23038.653372975081</v>
      </c>
      <c r="T162" s="735">
        <f t="shared" si="19"/>
        <v>75509.18642992583</v>
      </c>
      <c r="U162" s="735">
        <f t="shared" si="20"/>
        <v>0</v>
      </c>
      <c r="V162" s="736">
        <f t="shared" si="21"/>
        <v>0</v>
      </c>
      <c r="W162" s="735">
        <f t="shared" si="22"/>
        <v>23038.653372975081</v>
      </c>
      <c r="X162" s="737">
        <f t="shared" si="23"/>
        <v>0</v>
      </c>
      <c r="Y162" s="738">
        <f t="shared" si="24"/>
        <v>75509.18642992583</v>
      </c>
    </row>
    <row r="163" spans="1:25">
      <c r="A163" s="754" t="str">
        <f>'Func Future Subs 2015'!A163</f>
        <v>Birchwood Creek 960S</v>
      </c>
      <c r="B163" s="754">
        <f>'Func Future Subs 2015'!B163</f>
        <v>948</v>
      </c>
      <c r="C163" s="754">
        <f>'Func Future Subs 2015'!C163</f>
        <v>240</v>
      </c>
      <c r="D163" s="754">
        <f>'Func Future Subs 2015'!D163</f>
        <v>240</v>
      </c>
      <c r="E163" s="754" t="str">
        <f>'Func Future Subs 2015'!E163</f>
        <v>960S</v>
      </c>
      <c r="F163" s="754">
        <f>'Func Future Subs 2015'!F163</f>
        <v>13129855.568043312</v>
      </c>
      <c r="G163" s="754" t="str">
        <f>'Func Future Subs 2015'!G163</f>
        <v>ATCO</v>
      </c>
      <c r="H163" s="754">
        <f>'Func Future Subs 2015'!H163</f>
        <v>2015</v>
      </c>
      <c r="I163" s="306">
        <f>+IF($H163=I$2,VLOOKUP($G163,Depreciation!$A$14:$L$18,7,FALSE)/2,IF($H163&lt;I$2,VLOOKUP($G163,Depreciation!$A$14:$L$18,7,FALSE),0))</f>
        <v>1.221703683566912E-2</v>
      </c>
      <c r="J163" s="306">
        <f>+IF($H163=J$2,VLOOKUP($G163,Depreciation!$A$14:$L$18,8,FALSE)/2,IF($H163&lt;J$2,VLOOKUP($G163,Depreciation!$A$14:$L$18,8,FALSE),0))</f>
        <v>2.4632450501084719E-2</v>
      </c>
      <c r="K163" s="306">
        <f>+IF($H163=K$2,VLOOKUP($G163,Depreciation!$A$14:$L$18,9,FALSE)/2,IF($H163&lt;K$2,VLOOKUP($G163,Depreciation!$A$14:$L$18,9,FALSE),0))</f>
        <v>2.4351536427798831E-2</v>
      </c>
      <c r="L163" s="306">
        <f>+IF($H163=L$2,VLOOKUP($G163,Depreciation!$A$14:$L$18,10,FALSE)/2,IF($H163&lt;L$2,VLOOKUP($G163,Depreciation!$A$14:$L$18,10,FALSE),0))</f>
        <v>2.4351536427798831E-2</v>
      </c>
      <c r="M163" s="306">
        <f>+IF($H163=M$2,VLOOKUP($G163,Depreciation!$A$14:$L$18,11,FALSE)/2,IF($H163&lt;M$2,VLOOKUP($G163,Depreciation!$A$14:$L$18,11,FALSE),0))</f>
        <v>2.4351536427798831E-2</v>
      </c>
      <c r="N163" s="306">
        <f>+IF($H163=N$2,VLOOKUP($G163,Depreciation!$A$14:$L$18,12,FALSE)/2,IF($H163&lt;N$2,VLOOKUP($G163,Depreciation!$A$14:$L$18,12,FALSE),0))</f>
        <v>2.4351536427798831E-2</v>
      </c>
      <c r="O163" s="307">
        <f t="shared" si="17"/>
        <v>12341931.953037977</v>
      </c>
      <c r="P163" s="732">
        <f>'Func Future Subs 2015'!P163</f>
        <v>0</v>
      </c>
      <c r="Q163" s="732">
        <f>'Func Future Subs 2015'!Q163</f>
        <v>0</v>
      </c>
      <c r="R163" s="732">
        <f>'Func Future Subs 2015'!R163</f>
        <v>1</v>
      </c>
      <c r="S163" s="735">
        <f t="shared" si="18"/>
        <v>0</v>
      </c>
      <c r="T163" s="735">
        <f t="shared" si="19"/>
        <v>0</v>
      </c>
      <c r="U163" s="735">
        <f t="shared" si="20"/>
        <v>12341931.953037977</v>
      </c>
      <c r="V163" s="736">
        <f t="shared" si="21"/>
        <v>0</v>
      </c>
      <c r="W163" s="735">
        <f t="shared" si="22"/>
        <v>12341931.953037977</v>
      </c>
      <c r="X163" s="737">
        <f t="shared" si="23"/>
        <v>0</v>
      </c>
      <c r="Y163" s="738">
        <f t="shared" si="24"/>
        <v>0</v>
      </c>
    </row>
    <row r="164" spans="1:25">
      <c r="A164" s="754" t="str">
        <f>'Func Future Subs 2015'!A164</f>
        <v>0244S Bowmanton180</v>
      </c>
      <c r="B164" s="754">
        <f>'Func Future Subs 2015'!B164</f>
        <v>737</v>
      </c>
      <c r="C164" s="754">
        <f>'Func Future Subs 2015'!C164</f>
        <v>240</v>
      </c>
      <c r="D164" s="754">
        <f>'Func Future Subs 2015'!D164</f>
        <v>138</v>
      </c>
      <c r="E164" s="754" t="str">
        <f>'Func Future Subs 2015'!E164</f>
        <v>244S</v>
      </c>
      <c r="F164" s="754">
        <f>'Func Future Subs 2015'!F164</f>
        <v>598925.20531495858</v>
      </c>
      <c r="G164" s="754" t="str">
        <f>'Func Future Subs 2015'!G164</f>
        <v>AltaLink</v>
      </c>
      <c r="H164" s="754">
        <f>'Func Future Subs 2015'!H164</f>
        <v>2015</v>
      </c>
      <c r="I164" s="306">
        <f>+IF($H164=I$2,VLOOKUP($G164,Depreciation!$A$14:$L$18,7,FALSE)/2,IF($H164&lt;I$2,VLOOKUP($G164,Depreciation!$A$14:$L$18,7,FALSE),0))</f>
        <v>1.7228380322441735E-2</v>
      </c>
      <c r="J164" s="306">
        <f>+IF($H164=J$2,VLOOKUP($G164,Depreciation!$A$14:$L$18,8,FALSE)/2,IF($H164&lt;J$2,VLOOKUP($G164,Depreciation!$A$14:$L$18,8,FALSE),0))</f>
        <v>3.343407856743718E-2</v>
      </c>
      <c r="K164" s="306">
        <f>+IF($H164=K$2,VLOOKUP($G164,Depreciation!$A$14:$L$18,9,FALSE)/2,IF($H164&lt;K$2,VLOOKUP($G164,Depreciation!$A$14:$L$18,9,FALSE),0))</f>
        <v>3.343407856743718E-2</v>
      </c>
      <c r="L164" s="306">
        <f>+IF($H164=L$2,VLOOKUP($G164,Depreciation!$A$14:$L$18,10,FALSE)/2,IF($H164&lt;L$2,VLOOKUP($G164,Depreciation!$A$14:$L$18,10,FALSE),0))</f>
        <v>3.343407856743718E-2</v>
      </c>
      <c r="M164" s="306">
        <f>+IF($H164=M$2,VLOOKUP($G164,Depreciation!$A$14:$L$18,11,FALSE)/2,IF($H164&lt;M$2,VLOOKUP($G164,Depreciation!$A$14:$L$18,11,FALSE),0))</f>
        <v>3.343407856743718E-2</v>
      </c>
      <c r="N164" s="306">
        <f>+IF($H164=N$2,VLOOKUP($G164,Depreciation!$A$14:$L$18,12,FALSE)/2,IF($H164&lt;N$2,VLOOKUP($G164,Depreciation!$A$14:$L$18,12,FALSE),0))</f>
        <v>3.343407856743718E-2</v>
      </c>
      <c r="O164" s="307">
        <f t="shared" si="17"/>
        <v>549905.61588179099</v>
      </c>
      <c r="P164" s="732">
        <f>'Func Future Subs 2015'!P164</f>
        <v>0</v>
      </c>
      <c r="Q164" s="732">
        <f>'Func Future Subs 2015'!Q164</f>
        <v>0</v>
      </c>
      <c r="R164" s="732">
        <f>'Func Future Subs 2015'!R164</f>
        <v>1</v>
      </c>
      <c r="S164" s="735">
        <f t="shared" si="18"/>
        <v>0</v>
      </c>
      <c r="T164" s="735">
        <f t="shared" si="19"/>
        <v>0</v>
      </c>
      <c r="U164" s="735">
        <f t="shared" si="20"/>
        <v>549905.61588179099</v>
      </c>
      <c r="V164" s="736">
        <f t="shared" si="21"/>
        <v>0</v>
      </c>
      <c r="W164" s="735">
        <f t="shared" si="22"/>
        <v>0</v>
      </c>
      <c r="X164" s="737">
        <f t="shared" si="23"/>
        <v>549905.61588179099</v>
      </c>
      <c r="Y164" s="738">
        <f t="shared" si="24"/>
        <v>0</v>
      </c>
    </row>
    <row r="165" spans="1:25">
      <c r="A165" s="754" t="str">
        <f>'Func Future Subs 2015'!A165</f>
        <v>089S Ellerslie180</v>
      </c>
      <c r="B165" s="754">
        <f>'Func Future Subs 2015'!B165</f>
        <v>737</v>
      </c>
      <c r="C165" s="754">
        <f>'Func Future Subs 2015'!C165</f>
        <v>240</v>
      </c>
      <c r="D165" s="754">
        <f>'Func Future Subs 2015'!D165</f>
        <v>240</v>
      </c>
      <c r="E165" s="754" t="str">
        <f>'Func Future Subs 2015'!E165</f>
        <v>89S</v>
      </c>
      <c r="F165" s="754">
        <f>'Func Future Subs 2015'!F165</f>
        <v>701881.13162263809</v>
      </c>
      <c r="G165" s="754" t="str">
        <f>'Func Future Subs 2015'!G165</f>
        <v>AltaLink</v>
      </c>
      <c r="H165" s="754">
        <f>'Func Future Subs 2015'!H165</f>
        <v>2015</v>
      </c>
      <c r="I165" s="306">
        <f>+IF($H165=I$2,VLOOKUP($G165,Depreciation!$A$14:$L$18,7,FALSE)/2,IF($H165&lt;I$2,VLOOKUP($G165,Depreciation!$A$14:$L$18,7,FALSE),0))</f>
        <v>1.7228380322441735E-2</v>
      </c>
      <c r="J165" s="306">
        <f>+IF($H165=J$2,VLOOKUP($G165,Depreciation!$A$14:$L$18,8,FALSE)/2,IF($H165&lt;J$2,VLOOKUP($G165,Depreciation!$A$14:$L$18,8,FALSE),0))</f>
        <v>3.343407856743718E-2</v>
      </c>
      <c r="K165" s="306">
        <f>+IF($H165=K$2,VLOOKUP($G165,Depreciation!$A$14:$L$18,9,FALSE)/2,IF($H165&lt;K$2,VLOOKUP($G165,Depreciation!$A$14:$L$18,9,FALSE),0))</f>
        <v>3.343407856743718E-2</v>
      </c>
      <c r="L165" s="306">
        <f>+IF($H165=L$2,VLOOKUP($G165,Depreciation!$A$14:$L$18,10,FALSE)/2,IF($H165&lt;L$2,VLOOKUP($G165,Depreciation!$A$14:$L$18,10,FALSE),0))</f>
        <v>3.343407856743718E-2</v>
      </c>
      <c r="M165" s="306">
        <f>+IF($H165=M$2,VLOOKUP($G165,Depreciation!$A$14:$L$18,11,FALSE)/2,IF($H165&lt;M$2,VLOOKUP($G165,Depreciation!$A$14:$L$18,11,FALSE),0))</f>
        <v>3.343407856743718E-2</v>
      </c>
      <c r="N165" s="306">
        <f>+IF($H165=N$2,VLOOKUP($G165,Depreciation!$A$14:$L$18,12,FALSE)/2,IF($H165&lt;N$2,VLOOKUP($G165,Depreciation!$A$14:$L$18,12,FALSE),0))</f>
        <v>3.343407856743718E-2</v>
      </c>
      <c r="O165" s="307">
        <f t="shared" si="17"/>
        <v>644435.01882306801</v>
      </c>
      <c r="P165" s="732">
        <f>'Func Future Subs 2015'!P165</f>
        <v>0</v>
      </c>
      <c r="Q165" s="732">
        <f>'Func Future Subs 2015'!Q165</f>
        <v>0</v>
      </c>
      <c r="R165" s="732">
        <f>'Func Future Subs 2015'!R165</f>
        <v>1</v>
      </c>
      <c r="S165" s="735">
        <f t="shared" si="18"/>
        <v>0</v>
      </c>
      <c r="T165" s="735">
        <f t="shared" si="19"/>
        <v>0</v>
      </c>
      <c r="U165" s="735">
        <f t="shared" si="20"/>
        <v>644435.01882306801</v>
      </c>
      <c r="V165" s="736">
        <f t="shared" si="21"/>
        <v>0</v>
      </c>
      <c r="W165" s="735">
        <f t="shared" si="22"/>
        <v>644435.01882306801</v>
      </c>
      <c r="X165" s="737">
        <f t="shared" si="23"/>
        <v>0</v>
      </c>
      <c r="Y165" s="738">
        <f t="shared" si="24"/>
        <v>0</v>
      </c>
    </row>
    <row r="166" spans="1:25">
      <c r="A166" s="754" t="str">
        <f>'Func Future Subs 2015'!A166</f>
        <v>320P Keephills180</v>
      </c>
      <c r="B166" s="754">
        <f>'Func Future Subs 2015'!B166</f>
        <v>737</v>
      </c>
      <c r="C166" s="754">
        <f>'Func Future Subs 2015'!C166</f>
        <v>240</v>
      </c>
      <c r="D166" s="754">
        <f>'Func Future Subs 2015'!D166</f>
        <v>25</v>
      </c>
      <c r="E166" s="754" t="str">
        <f>'Func Future Subs 2015'!E166</f>
        <v>320P</v>
      </c>
      <c r="F166" s="754">
        <f>'Func Future Subs 2015'!F166</f>
        <v>314443.89048852649</v>
      </c>
      <c r="G166" s="754" t="str">
        <f>'Func Future Subs 2015'!G166</f>
        <v>AltaLink</v>
      </c>
      <c r="H166" s="754">
        <f>'Func Future Subs 2015'!H166</f>
        <v>2015</v>
      </c>
      <c r="I166" s="306">
        <f>+IF($H166=I$2,VLOOKUP($G166,Depreciation!$A$14:$L$18,7,FALSE)/2,IF($H166&lt;I$2,VLOOKUP($G166,Depreciation!$A$14:$L$18,7,FALSE),0))</f>
        <v>1.7228380322441735E-2</v>
      </c>
      <c r="J166" s="306">
        <f>+IF($H166=J$2,VLOOKUP($G166,Depreciation!$A$14:$L$18,8,FALSE)/2,IF($H166&lt;J$2,VLOOKUP($G166,Depreciation!$A$14:$L$18,8,FALSE),0))</f>
        <v>3.343407856743718E-2</v>
      </c>
      <c r="K166" s="306">
        <f>+IF($H166=K$2,VLOOKUP($G166,Depreciation!$A$14:$L$18,9,FALSE)/2,IF($H166&lt;K$2,VLOOKUP($G166,Depreciation!$A$14:$L$18,9,FALSE),0))</f>
        <v>3.343407856743718E-2</v>
      </c>
      <c r="L166" s="306">
        <f>+IF($H166=L$2,VLOOKUP($G166,Depreciation!$A$14:$L$18,10,FALSE)/2,IF($H166&lt;L$2,VLOOKUP($G166,Depreciation!$A$14:$L$18,10,FALSE),0))</f>
        <v>3.343407856743718E-2</v>
      </c>
      <c r="M166" s="306">
        <f>+IF($H166=M$2,VLOOKUP($G166,Depreciation!$A$14:$L$18,11,FALSE)/2,IF($H166&lt;M$2,VLOOKUP($G166,Depreciation!$A$14:$L$18,11,FALSE),0))</f>
        <v>3.343407856743718E-2</v>
      </c>
      <c r="N166" s="306">
        <f>+IF($H166=N$2,VLOOKUP($G166,Depreciation!$A$14:$L$18,12,FALSE)/2,IF($H166&lt;N$2,VLOOKUP($G166,Depreciation!$A$14:$L$18,12,FALSE),0))</f>
        <v>3.343407856743718E-2</v>
      </c>
      <c r="O166" s="307">
        <f t="shared" si="17"/>
        <v>288707.93836173345</v>
      </c>
      <c r="P166" s="732">
        <f>'Func Future Subs 2015'!P166</f>
        <v>0.96203522504892369</v>
      </c>
      <c r="Q166" s="732">
        <f>'Func Future Subs 2015'!Q166</f>
        <v>3.7964774951076322E-2</v>
      </c>
      <c r="R166" s="732">
        <f>'Func Future Subs 2015'!R166</f>
        <v>0</v>
      </c>
      <c r="S166" s="735">
        <f t="shared" si="18"/>
        <v>277747.20645524102</v>
      </c>
      <c r="T166" s="735">
        <f t="shared" si="19"/>
        <v>10960.731906492425</v>
      </c>
      <c r="U166" s="735">
        <f t="shared" si="20"/>
        <v>0</v>
      </c>
      <c r="V166" s="736">
        <f t="shared" si="21"/>
        <v>0</v>
      </c>
      <c r="W166" s="735">
        <f t="shared" si="22"/>
        <v>277747.20645524102</v>
      </c>
      <c r="X166" s="737">
        <f t="shared" si="23"/>
        <v>0</v>
      </c>
      <c r="Y166" s="738">
        <f t="shared" si="24"/>
        <v>10960.731906492425</v>
      </c>
    </row>
    <row r="167" spans="1:25">
      <c r="A167" s="754" t="str">
        <f>'Func Future Subs 2015'!A167</f>
        <v>324S Cassils180</v>
      </c>
      <c r="B167" s="754">
        <f>'Func Future Subs 2015'!B167</f>
        <v>737</v>
      </c>
      <c r="C167" s="754">
        <f>'Func Future Subs 2015'!C167</f>
        <v>240</v>
      </c>
      <c r="D167" s="754">
        <f>'Func Future Subs 2015'!D167</f>
        <v>240</v>
      </c>
      <c r="E167" s="754" t="str">
        <f>'Func Future Subs 2015'!E167</f>
        <v>324S</v>
      </c>
      <c r="F167" s="754">
        <f>'Func Future Subs 2015'!F167</f>
        <v>1228267.7960131739</v>
      </c>
      <c r="G167" s="754" t="str">
        <f>'Func Future Subs 2015'!G167</f>
        <v>AltaLink</v>
      </c>
      <c r="H167" s="754">
        <f>'Func Future Subs 2015'!H167</f>
        <v>2015</v>
      </c>
      <c r="I167" s="306">
        <f>+IF($H167=I$2,VLOOKUP($G167,Depreciation!$A$14:$L$18,7,FALSE)/2,IF($H167&lt;I$2,VLOOKUP($G167,Depreciation!$A$14:$L$18,7,FALSE),0))</f>
        <v>1.7228380322441735E-2</v>
      </c>
      <c r="J167" s="306">
        <f>+IF($H167=J$2,VLOOKUP($G167,Depreciation!$A$14:$L$18,8,FALSE)/2,IF($H167&lt;J$2,VLOOKUP($G167,Depreciation!$A$14:$L$18,8,FALSE),0))</f>
        <v>3.343407856743718E-2</v>
      </c>
      <c r="K167" s="306">
        <f>+IF($H167=K$2,VLOOKUP($G167,Depreciation!$A$14:$L$18,9,FALSE)/2,IF($H167&lt;K$2,VLOOKUP($G167,Depreciation!$A$14:$L$18,9,FALSE),0))</f>
        <v>3.343407856743718E-2</v>
      </c>
      <c r="L167" s="306">
        <f>+IF($H167=L$2,VLOOKUP($G167,Depreciation!$A$14:$L$18,10,FALSE)/2,IF($H167&lt;L$2,VLOOKUP($G167,Depreciation!$A$14:$L$18,10,FALSE),0))</f>
        <v>3.343407856743718E-2</v>
      </c>
      <c r="M167" s="306">
        <f>+IF($H167=M$2,VLOOKUP($G167,Depreciation!$A$14:$L$18,11,FALSE)/2,IF($H167&lt;M$2,VLOOKUP($G167,Depreciation!$A$14:$L$18,11,FALSE),0))</f>
        <v>3.343407856743718E-2</v>
      </c>
      <c r="N167" s="306">
        <f>+IF($H167=N$2,VLOOKUP($G167,Depreciation!$A$14:$L$18,12,FALSE)/2,IF($H167&lt;N$2,VLOOKUP($G167,Depreciation!$A$14:$L$18,12,FALSE),0))</f>
        <v>3.343407856743718E-2</v>
      </c>
      <c r="O167" s="307">
        <f t="shared" si="17"/>
        <v>1127739.0780025753</v>
      </c>
      <c r="P167" s="732">
        <f>'Func Future Subs 2015'!P167</f>
        <v>0</v>
      </c>
      <c r="Q167" s="732">
        <f>'Func Future Subs 2015'!Q167</f>
        <v>0</v>
      </c>
      <c r="R167" s="732">
        <f>'Func Future Subs 2015'!R167</f>
        <v>1</v>
      </c>
      <c r="S167" s="735">
        <f t="shared" si="18"/>
        <v>0</v>
      </c>
      <c r="T167" s="735">
        <f t="shared" si="19"/>
        <v>0</v>
      </c>
      <c r="U167" s="735">
        <f t="shared" si="20"/>
        <v>1127739.0780025753</v>
      </c>
      <c r="V167" s="736">
        <f t="shared" si="21"/>
        <v>0</v>
      </c>
      <c r="W167" s="735">
        <f t="shared" si="22"/>
        <v>1127739.0780025753</v>
      </c>
      <c r="X167" s="737">
        <f t="shared" si="23"/>
        <v>0</v>
      </c>
      <c r="Y167" s="738">
        <f t="shared" si="24"/>
        <v>0</v>
      </c>
    </row>
    <row r="168" spans="1:25">
      <c r="A168" s="754" t="str">
        <f>'Func Future Subs 2015'!A168</f>
        <v>356S Milo180</v>
      </c>
      <c r="B168" s="754">
        <f>'Func Future Subs 2015'!B168</f>
        <v>737</v>
      </c>
      <c r="C168" s="754">
        <f>'Func Future Subs 2015'!C168</f>
        <v>240</v>
      </c>
      <c r="D168" s="754">
        <f>'Func Future Subs 2015'!D168</f>
        <v>240</v>
      </c>
      <c r="E168" s="754" t="str">
        <f>'Func Future Subs 2015'!E168</f>
        <v>356S</v>
      </c>
      <c r="F168" s="754">
        <f>'Func Future Subs 2015'!F168</f>
        <v>509558.70470753126</v>
      </c>
      <c r="G168" s="754" t="str">
        <f>'Func Future Subs 2015'!G168</f>
        <v>AltaLink</v>
      </c>
      <c r="H168" s="754">
        <f>'Func Future Subs 2015'!H168</f>
        <v>2015</v>
      </c>
      <c r="I168" s="306">
        <f>+IF($H168=I$2,VLOOKUP($G168,Depreciation!$A$14:$L$18,7,FALSE)/2,IF($H168&lt;I$2,VLOOKUP($G168,Depreciation!$A$14:$L$18,7,FALSE),0))</f>
        <v>1.7228380322441735E-2</v>
      </c>
      <c r="J168" s="306">
        <f>+IF($H168=J$2,VLOOKUP($G168,Depreciation!$A$14:$L$18,8,FALSE)/2,IF($H168&lt;J$2,VLOOKUP($G168,Depreciation!$A$14:$L$18,8,FALSE),0))</f>
        <v>3.343407856743718E-2</v>
      </c>
      <c r="K168" s="306">
        <f>+IF($H168=K$2,VLOOKUP($G168,Depreciation!$A$14:$L$18,9,FALSE)/2,IF($H168&lt;K$2,VLOOKUP($G168,Depreciation!$A$14:$L$18,9,FALSE),0))</f>
        <v>3.343407856743718E-2</v>
      </c>
      <c r="L168" s="306">
        <f>+IF($H168=L$2,VLOOKUP($G168,Depreciation!$A$14:$L$18,10,FALSE)/2,IF($H168&lt;L$2,VLOOKUP($G168,Depreciation!$A$14:$L$18,10,FALSE),0))</f>
        <v>3.343407856743718E-2</v>
      </c>
      <c r="M168" s="306">
        <f>+IF($H168=M$2,VLOOKUP($G168,Depreciation!$A$14:$L$18,11,FALSE)/2,IF($H168&lt;M$2,VLOOKUP($G168,Depreciation!$A$14:$L$18,11,FALSE),0))</f>
        <v>3.343407856743718E-2</v>
      </c>
      <c r="N168" s="306">
        <f>+IF($H168=N$2,VLOOKUP($G168,Depreciation!$A$14:$L$18,12,FALSE)/2,IF($H168&lt;N$2,VLOOKUP($G168,Depreciation!$A$14:$L$18,12,FALSE),0))</f>
        <v>3.343407856743718E-2</v>
      </c>
      <c r="O168" s="307">
        <f t="shared" si="17"/>
        <v>467853.39947876835</v>
      </c>
      <c r="P168" s="732">
        <f>'Func Future Subs 2015'!P168</f>
        <v>0</v>
      </c>
      <c r="Q168" s="732">
        <f>'Func Future Subs 2015'!Q168</f>
        <v>0</v>
      </c>
      <c r="R168" s="732">
        <f>'Func Future Subs 2015'!R168</f>
        <v>1</v>
      </c>
      <c r="S168" s="735">
        <f t="shared" si="18"/>
        <v>0</v>
      </c>
      <c r="T168" s="735">
        <f t="shared" si="19"/>
        <v>0</v>
      </c>
      <c r="U168" s="735">
        <f t="shared" si="20"/>
        <v>467853.39947876835</v>
      </c>
      <c r="V168" s="736">
        <f t="shared" si="21"/>
        <v>0</v>
      </c>
      <c r="W168" s="735">
        <f t="shared" si="22"/>
        <v>467853.39947876835</v>
      </c>
      <c r="X168" s="737">
        <f t="shared" si="23"/>
        <v>0</v>
      </c>
      <c r="Y168" s="738">
        <f t="shared" si="24"/>
        <v>0</v>
      </c>
    </row>
    <row r="169" spans="1:25">
      <c r="A169" s="754" t="str">
        <f>'Func Future Subs 2015'!A169</f>
        <v>Converter Station (Heathfield 2029S)180</v>
      </c>
      <c r="B169" s="754">
        <f>'Func Future Subs 2015'!B169</f>
        <v>737</v>
      </c>
      <c r="C169" s="754">
        <f>'Func Future Subs 2015'!C169</f>
        <v>500</v>
      </c>
      <c r="D169" s="754">
        <f>'Func Future Subs 2015'!D169</f>
        <v>500</v>
      </c>
      <c r="E169" s="754" t="str">
        <f>'Func Future Subs 2015'!E169</f>
        <v>2029S</v>
      </c>
      <c r="F169" s="754">
        <f>'Func Future Subs 2015'!F169</f>
        <v>532569282.5</v>
      </c>
      <c r="G169" s="754" t="str">
        <f>'Func Future Subs 2015'!G169</f>
        <v>ATCO</v>
      </c>
      <c r="H169" s="754">
        <f>'Func Future Subs 2015'!H169</f>
        <v>2015</v>
      </c>
      <c r="I169" s="306">
        <f>+IF($H169=I$2,VLOOKUP($G169,Depreciation!$A$14:$L$18,7,FALSE)/2,IF($H169&lt;I$2,VLOOKUP($G169,Depreciation!$A$14:$L$18,7,FALSE),0))</f>
        <v>1.221703683566912E-2</v>
      </c>
      <c r="J169" s="306">
        <f>+IF($H169=J$2,VLOOKUP($G169,Depreciation!$A$14:$L$18,8,FALSE)/2,IF($H169&lt;J$2,VLOOKUP($G169,Depreciation!$A$14:$L$18,8,FALSE),0))</f>
        <v>2.4632450501084719E-2</v>
      </c>
      <c r="K169" s="306">
        <f>+IF($H169=K$2,VLOOKUP($G169,Depreciation!$A$14:$L$18,9,FALSE)/2,IF($H169&lt;K$2,VLOOKUP($G169,Depreciation!$A$14:$L$18,9,FALSE),0))</f>
        <v>2.4351536427798831E-2</v>
      </c>
      <c r="L169" s="306">
        <f>+IF($H169=L$2,VLOOKUP($G169,Depreciation!$A$14:$L$18,10,FALSE)/2,IF($H169&lt;L$2,VLOOKUP($G169,Depreciation!$A$14:$L$18,10,FALSE),0))</f>
        <v>2.4351536427798831E-2</v>
      </c>
      <c r="M169" s="306">
        <f>+IF($H169=M$2,VLOOKUP($G169,Depreciation!$A$14:$L$18,11,FALSE)/2,IF($H169&lt;M$2,VLOOKUP($G169,Depreciation!$A$14:$L$18,11,FALSE),0))</f>
        <v>2.4351536427798831E-2</v>
      </c>
      <c r="N169" s="306">
        <f>+IF($H169=N$2,VLOOKUP($G169,Depreciation!$A$14:$L$18,12,FALSE)/2,IF($H169&lt;N$2,VLOOKUP($G169,Depreciation!$A$14:$L$18,12,FALSE),0))</f>
        <v>2.4351536427798831E-2</v>
      </c>
      <c r="O169" s="307">
        <f t="shared" si="17"/>
        <v>500609760.0106957</v>
      </c>
      <c r="P169" s="732">
        <f>'Func Future Subs 2015'!P169</f>
        <v>0</v>
      </c>
      <c r="Q169" s="732">
        <f>'Func Future Subs 2015'!Q169</f>
        <v>0</v>
      </c>
      <c r="R169" s="732">
        <f>'Func Future Subs 2015'!R169</f>
        <v>1</v>
      </c>
      <c r="S169" s="735">
        <f t="shared" si="18"/>
        <v>0</v>
      </c>
      <c r="T169" s="735">
        <f t="shared" si="19"/>
        <v>0</v>
      </c>
      <c r="U169" s="735">
        <f t="shared" si="20"/>
        <v>500609760.0106957</v>
      </c>
      <c r="V169" s="736">
        <f t="shared" si="21"/>
        <v>0</v>
      </c>
      <c r="W169" s="735">
        <f t="shared" si="22"/>
        <v>500609760.0106957</v>
      </c>
      <c r="X169" s="737">
        <f t="shared" si="23"/>
        <v>0</v>
      </c>
      <c r="Y169" s="738">
        <f t="shared" si="24"/>
        <v>0</v>
      </c>
    </row>
    <row r="170" spans="1:25">
      <c r="A170" s="754" t="str">
        <f>'Func Future Subs 2015'!A170</f>
        <v>Genesee 330P 961</v>
      </c>
      <c r="B170" s="754">
        <f>'Func Future Subs 2015'!B170</f>
        <v>737</v>
      </c>
      <c r="C170" s="754">
        <f>'Func Future Subs 2015'!C170</f>
        <v>500</v>
      </c>
      <c r="D170" s="754">
        <f>'Func Future Subs 2015'!D170</f>
        <v>240</v>
      </c>
      <c r="E170" s="754" t="str">
        <f>'Func Future Subs 2015'!E170</f>
        <v>330P</v>
      </c>
      <c r="F170" s="754">
        <f>'Func Future Subs 2015'!F170</f>
        <v>107206.28193058976</v>
      </c>
      <c r="G170" s="754" t="str">
        <f>'Func Future Subs 2015'!G170</f>
        <v>EPCOR</v>
      </c>
      <c r="H170" s="754">
        <f>'Func Future Subs 2015'!H170</f>
        <v>2015</v>
      </c>
      <c r="I170" s="306">
        <f>+IF($H170=I$2,VLOOKUP($G170,Depreciation!$A$14:$L$18,7,FALSE)/2,IF($H170&lt;I$2,VLOOKUP($G170,Depreciation!$A$14:$L$18,7,FALSE),0))</f>
        <v>2.0607513622398654E-2</v>
      </c>
      <c r="J170" s="306">
        <f>+IF($H170=J$2,VLOOKUP($G170,Depreciation!$A$14:$L$18,8,FALSE)/2,IF($H170&lt;J$2,VLOOKUP($G170,Depreciation!$A$14:$L$18,8,FALSE),0))</f>
        <v>4.1600055599844914E-2</v>
      </c>
      <c r="K170" s="306">
        <f>+IF($H170=K$2,VLOOKUP($G170,Depreciation!$A$14:$L$18,9,FALSE)/2,IF($H170&lt;K$2,VLOOKUP($G170,Depreciation!$A$14:$L$18,9,FALSE),0))</f>
        <v>4.1145263498658789E-2</v>
      </c>
      <c r="L170" s="306">
        <f>+IF($H170=L$2,VLOOKUP($G170,Depreciation!$A$14:$L$18,10,FALSE)/2,IF($H170&lt;L$2,VLOOKUP($G170,Depreciation!$A$14:$L$18,10,FALSE),0))</f>
        <v>4.1145263498658789E-2</v>
      </c>
      <c r="M170" s="306">
        <f>+IF($H170=M$2,VLOOKUP($G170,Depreciation!$A$14:$L$18,11,FALSE)/2,IF($H170&lt;M$2,VLOOKUP($G170,Depreciation!$A$14:$L$18,11,FALSE),0))</f>
        <v>4.1145263498658789E-2</v>
      </c>
      <c r="N170" s="306">
        <f>+IF($H170=N$2,VLOOKUP($G170,Depreciation!$A$14:$L$18,12,FALSE)/2,IF($H170&lt;N$2,VLOOKUP($G170,Depreciation!$A$14:$L$18,12,FALSE),0))</f>
        <v>4.1145263498658789E-2</v>
      </c>
      <c r="O170" s="307">
        <f t="shared" si="17"/>
        <v>96488.732172995718</v>
      </c>
      <c r="P170" s="732">
        <f>'Func Future Subs 2015'!P170</f>
        <v>0</v>
      </c>
      <c r="Q170" s="732">
        <f>'Func Future Subs 2015'!Q170</f>
        <v>0</v>
      </c>
      <c r="R170" s="732">
        <f>'Func Future Subs 2015'!R170</f>
        <v>1</v>
      </c>
      <c r="S170" s="735">
        <f t="shared" si="18"/>
        <v>0</v>
      </c>
      <c r="T170" s="735">
        <f t="shared" si="19"/>
        <v>0</v>
      </c>
      <c r="U170" s="735">
        <f t="shared" si="20"/>
        <v>96488.732172995718</v>
      </c>
      <c r="V170" s="736">
        <f t="shared" si="21"/>
        <v>0</v>
      </c>
      <c r="W170" s="735">
        <f t="shared" si="22"/>
        <v>96488.732172995718</v>
      </c>
      <c r="X170" s="737">
        <f t="shared" si="23"/>
        <v>0</v>
      </c>
      <c r="Y170" s="738">
        <f t="shared" si="24"/>
        <v>0</v>
      </c>
    </row>
    <row r="171" spans="1:25">
      <c r="A171" s="754" t="str">
        <f>'Func Future Subs 2015'!A171</f>
        <v>Heartland 12S180</v>
      </c>
      <c r="B171" s="754">
        <f>'Func Future Subs 2015'!B171</f>
        <v>737</v>
      </c>
      <c r="C171" s="754">
        <f>'Func Future Subs 2015'!C171</f>
        <v>500</v>
      </c>
      <c r="D171" s="754">
        <f>'Func Future Subs 2015'!D171</f>
        <v>240</v>
      </c>
      <c r="E171" s="754" t="str">
        <f>'Func Future Subs 2015'!E171</f>
        <v>12S</v>
      </c>
      <c r="F171" s="754">
        <f>'Func Future Subs 2015'!F171</f>
        <v>33005662.747339312</v>
      </c>
      <c r="G171" s="754" t="str">
        <f>'Func Future Subs 2015'!G171</f>
        <v>AltaLink</v>
      </c>
      <c r="H171" s="754">
        <f>'Func Future Subs 2015'!H171</f>
        <v>2015</v>
      </c>
      <c r="I171" s="306">
        <f>+IF($H171=I$2,VLOOKUP($G171,Depreciation!$A$14:$L$18,7,FALSE)/2,IF($H171&lt;I$2,VLOOKUP($G171,Depreciation!$A$14:$L$18,7,FALSE),0))</f>
        <v>1.7228380322441735E-2</v>
      </c>
      <c r="J171" s="306">
        <f>+IF($H171=J$2,VLOOKUP($G171,Depreciation!$A$14:$L$18,8,FALSE)/2,IF($H171&lt;J$2,VLOOKUP($G171,Depreciation!$A$14:$L$18,8,FALSE),0))</f>
        <v>3.343407856743718E-2</v>
      </c>
      <c r="K171" s="306">
        <f>+IF($H171=K$2,VLOOKUP($G171,Depreciation!$A$14:$L$18,9,FALSE)/2,IF($H171&lt;K$2,VLOOKUP($G171,Depreciation!$A$14:$L$18,9,FALSE),0))</f>
        <v>3.343407856743718E-2</v>
      </c>
      <c r="L171" s="306">
        <f>+IF($H171=L$2,VLOOKUP($G171,Depreciation!$A$14:$L$18,10,FALSE)/2,IF($H171&lt;L$2,VLOOKUP($G171,Depreciation!$A$14:$L$18,10,FALSE),0))</f>
        <v>3.343407856743718E-2</v>
      </c>
      <c r="M171" s="306">
        <f>+IF($H171=M$2,VLOOKUP($G171,Depreciation!$A$14:$L$18,11,FALSE)/2,IF($H171&lt;M$2,VLOOKUP($G171,Depreciation!$A$14:$L$18,11,FALSE),0))</f>
        <v>3.343407856743718E-2</v>
      </c>
      <c r="N171" s="306">
        <f>+IF($H171=N$2,VLOOKUP($G171,Depreciation!$A$14:$L$18,12,FALSE)/2,IF($H171&lt;N$2,VLOOKUP($G171,Depreciation!$A$14:$L$18,12,FALSE),0))</f>
        <v>3.343407856743718E-2</v>
      </c>
      <c r="O171" s="307">
        <f t="shared" si="17"/>
        <v>30304283.63941991</v>
      </c>
      <c r="P171" s="732">
        <f>'Func Future Subs 2015'!P171</f>
        <v>0</v>
      </c>
      <c r="Q171" s="732">
        <f>'Func Future Subs 2015'!Q171</f>
        <v>0</v>
      </c>
      <c r="R171" s="732">
        <f>'Func Future Subs 2015'!R171</f>
        <v>1</v>
      </c>
      <c r="S171" s="735">
        <f t="shared" si="18"/>
        <v>0</v>
      </c>
      <c r="T171" s="735">
        <f t="shared" si="19"/>
        <v>0</v>
      </c>
      <c r="U171" s="735">
        <f t="shared" si="20"/>
        <v>30304283.63941991</v>
      </c>
      <c r="V171" s="736">
        <f t="shared" si="21"/>
        <v>0</v>
      </c>
      <c r="W171" s="735">
        <f t="shared" si="22"/>
        <v>30304283.63941991</v>
      </c>
      <c r="X171" s="737">
        <f t="shared" si="23"/>
        <v>0</v>
      </c>
      <c r="Y171" s="738">
        <f t="shared" si="24"/>
        <v>0</v>
      </c>
    </row>
    <row r="172" spans="1:25">
      <c r="A172" s="754" t="str">
        <f>'Func Future Subs 2015'!A172</f>
        <v>320P[2]_180</v>
      </c>
      <c r="B172" s="754">
        <f>'Func Future Subs 2015'!B172</f>
        <v>737</v>
      </c>
      <c r="C172" s="754">
        <f>'Func Future Subs 2015'!C172</f>
        <v>240</v>
      </c>
      <c r="D172" s="754">
        <f>'Func Future Subs 2015'!D172</f>
        <v>25</v>
      </c>
      <c r="E172" s="754" t="str">
        <f>'Func Future Subs 2015'!E172</f>
        <v>320P</v>
      </c>
      <c r="F172" s="754">
        <f>'Func Future Subs 2015'!F172</f>
        <v>551841.87584074528</v>
      </c>
      <c r="G172" s="754" t="str">
        <f>'Func Future Subs 2015'!G172</f>
        <v>AltaLink</v>
      </c>
      <c r="H172" s="754">
        <f>'Func Future Subs 2015'!H172</f>
        <v>2015</v>
      </c>
      <c r="I172" s="306">
        <f>+IF($H172=I$2,VLOOKUP($G172,Depreciation!$A$14:$L$18,7,FALSE)/2,IF($H172&lt;I$2,VLOOKUP($G172,Depreciation!$A$14:$L$18,7,FALSE),0))</f>
        <v>1.7228380322441735E-2</v>
      </c>
      <c r="J172" s="306">
        <f>+IF($H172=J$2,VLOOKUP($G172,Depreciation!$A$14:$L$18,8,FALSE)/2,IF($H172&lt;J$2,VLOOKUP($G172,Depreciation!$A$14:$L$18,8,FALSE),0))</f>
        <v>3.343407856743718E-2</v>
      </c>
      <c r="K172" s="306">
        <f>+IF($H172=K$2,VLOOKUP($G172,Depreciation!$A$14:$L$18,9,FALSE)/2,IF($H172&lt;K$2,VLOOKUP($G172,Depreciation!$A$14:$L$18,9,FALSE),0))</f>
        <v>3.343407856743718E-2</v>
      </c>
      <c r="L172" s="306">
        <f>+IF($H172=L$2,VLOOKUP($G172,Depreciation!$A$14:$L$18,10,FALSE)/2,IF($H172&lt;L$2,VLOOKUP($G172,Depreciation!$A$14:$L$18,10,FALSE),0))</f>
        <v>3.343407856743718E-2</v>
      </c>
      <c r="M172" s="306">
        <f>+IF($H172=M$2,VLOOKUP($G172,Depreciation!$A$14:$L$18,11,FALSE)/2,IF($H172&lt;M$2,VLOOKUP($G172,Depreciation!$A$14:$L$18,11,FALSE),0))</f>
        <v>3.343407856743718E-2</v>
      </c>
      <c r="N172" s="306">
        <f>+IF($H172=N$2,VLOOKUP($G172,Depreciation!$A$14:$L$18,12,FALSE)/2,IF($H172&lt;N$2,VLOOKUP($G172,Depreciation!$A$14:$L$18,12,FALSE),0))</f>
        <v>3.343407856743718E-2</v>
      </c>
      <c r="O172" s="307">
        <f t="shared" si="17"/>
        <v>506675.86521757074</v>
      </c>
      <c r="P172" s="732">
        <f>'Func Future Subs 2015'!P172</f>
        <v>0.96203522504892369</v>
      </c>
      <c r="Q172" s="732">
        <f>'Func Future Subs 2015'!Q172</f>
        <v>3.7964774951076322E-2</v>
      </c>
      <c r="R172" s="732">
        <f>'Func Future Subs 2015'!R172</f>
        <v>0</v>
      </c>
      <c r="S172" s="735">
        <f t="shared" si="18"/>
        <v>487440.03002144379</v>
      </c>
      <c r="T172" s="735">
        <f t="shared" si="19"/>
        <v>19235.835196126951</v>
      </c>
      <c r="U172" s="735">
        <f t="shared" si="20"/>
        <v>0</v>
      </c>
      <c r="V172" s="736">
        <f t="shared" si="21"/>
        <v>0</v>
      </c>
      <c r="W172" s="735">
        <f t="shared" si="22"/>
        <v>487440.03002144379</v>
      </c>
      <c r="X172" s="737">
        <f t="shared" si="23"/>
        <v>0</v>
      </c>
      <c r="Y172" s="738">
        <f t="shared" si="24"/>
        <v>19235.835196126951</v>
      </c>
    </row>
    <row r="173" spans="1:25">
      <c r="A173" s="754" t="str">
        <f>'Func Future Subs 2015'!A173</f>
        <v>330P_180</v>
      </c>
      <c r="B173" s="754">
        <f>'Func Future Subs 2015'!B173</f>
        <v>737</v>
      </c>
      <c r="C173" s="754">
        <f>'Func Future Subs 2015'!C173</f>
        <v>240</v>
      </c>
      <c r="D173" s="754">
        <f>'Func Future Subs 2015'!D173</f>
        <v>240</v>
      </c>
      <c r="E173" s="754" t="str">
        <f>'Func Future Subs 2015'!E173</f>
        <v>330P</v>
      </c>
      <c r="F173" s="754">
        <f>'Func Future Subs 2015'!F173</f>
        <v>223583.15265230645</v>
      </c>
      <c r="G173" s="754" t="str">
        <f>'Func Future Subs 2015'!G173</f>
        <v>AltaLink</v>
      </c>
      <c r="H173" s="754">
        <f>'Func Future Subs 2015'!H173</f>
        <v>2015</v>
      </c>
      <c r="I173" s="306">
        <f>+IF($H173=I$2,VLOOKUP($G173,Depreciation!$A$14:$L$18,7,FALSE)/2,IF($H173&lt;I$2,VLOOKUP($G173,Depreciation!$A$14:$L$18,7,FALSE),0))</f>
        <v>1.7228380322441735E-2</v>
      </c>
      <c r="J173" s="306">
        <f>+IF($H173=J$2,VLOOKUP($G173,Depreciation!$A$14:$L$18,8,FALSE)/2,IF($H173&lt;J$2,VLOOKUP($G173,Depreciation!$A$14:$L$18,8,FALSE),0))</f>
        <v>3.343407856743718E-2</v>
      </c>
      <c r="K173" s="306">
        <f>+IF($H173=K$2,VLOOKUP($G173,Depreciation!$A$14:$L$18,9,FALSE)/2,IF($H173&lt;K$2,VLOOKUP($G173,Depreciation!$A$14:$L$18,9,FALSE),0))</f>
        <v>3.343407856743718E-2</v>
      </c>
      <c r="L173" s="306">
        <f>+IF($H173=L$2,VLOOKUP($G173,Depreciation!$A$14:$L$18,10,FALSE)/2,IF($H173&lt;L$2,VLOOKUP($G173,Depreciation!$A$14:$L$18,10,FALSE),0))</f>
        <v>3.343407856743718E-2</v>
      </c>
      <c r="M173" s="306">
        <f>+IF($H173=M$2,VLOOKUP($G173,Depreciation!$A$14:$L$18,11,FALSE)/2,IF($H173&lt;M$2,VLOOKUP($G173,Depreciation!$A$14:$L$18,11,FALSE),0))</f>
        <v>3.343407856743718E-2</v>
      </c>
      <c r="N173" s="306">
        <f>+IF($H173=N$2,VLOOKUP($G173,Depreciation!$A$14:$L$18,12,FALSE)/2,IF($H173&lt;N$2,VLOOKUP($G173,Depreciation!$A$14:$L$18,12,FALSE),0))</f>
        <v>3.343407856743718E-2</v>
      </c>
      <c r="O173" s="307">
        <f t="shared" si="17"/>
        <v>205283.78196306364</v>
      </c>
      <c r="P173" s="732">
        <f>'Func Future Subs 2015'!P173</f>
        <v>0</v>
      </c>
      <c r="Q173" s="732">
        <f>'Func Future Subs 2015'!Q173</f>
        <v>0</v>
      </c>
      <c r="R173" s="732">
        <f>'Func Future Subs 2015'!R173</f>
        <v>1</v>
      </c>
      <c r="S173" s="735">
        <f t="shared" si="18"/>
        <v>0</v>
      </c>
      <c r="T173" s="735">
        <f t="shared" si="19"/>
        <v>0</v>
      </c>
      <c r="U173" s="735">
        <f t="shared" si="20"/>
        <v>205283.78196306364</v>
      </c>
      <c r="V173" s="736">
        <f t="shared" si="21"/>
        <v>0</v>
      </c>
      <c r="W173" s="735">
        <f t="shared" si="22"/>
        <v>205283.78196306364</v>
      </c>
      <c r="X173" s="737">
        <f t="shared" si="23"/>
        <v>0</v>
      </c>
      <c r="Y173" s="738">
        <f t="shared" si="24"/>
        <v>0</v>
      </c>
    </row>
    <row r="174" spans="1:25">
      <c r="A174" s="754" t="str">
        <f>'Func Future Subs 2015'!A174</f>
        <v>74S_180</v>
      </c>
      <c r="B174" s="754">
        <f>'Func Future Subs 2015'!B174</f>
        <v>737</v>
      </c>
      <c r="C174" s="754">
        <f>'Func Future Subs 2015'!C174</f>
        <v>240</v>
      </c>
      <c r="D174" s="754">
        <f>'Func Future Subs 2015'!D174</f>
        <v>138</v>
      </c>
      <c r="E174" s="754" t="str">
        <f>'Func Future Subs 2015'!E174</f>
        <v>74S</v>
      </c>
      <c r="F174" s="754">
        <f>'Func Future Subs 2015'!F174</f>
        <v>315408.50917802192</v>
      </c>
      <c r="G174" s="754" t="str">
        <f>'Func Future Subs 2015'!G174</f>
        <v>AltaLink</v>
      </c>
      <c r="H174" s="754">
        <f>'Func Future Subs 2015'!H174</f>
        <v>2015</v>
      </c>
      <c r="I174" s="306">
        <f>+IF($H174=I$2,VLOOKUP($G174,Depreciation!$A$14:$L$18,7,FALSE)/2,IF($H174&lt;I$2,VLOOKUP($G174,Depreciation!$A$14:$L$18,7,FALSE),0))</f>
        <v>1.7228380322441735E-2</v>
      </c>
      <c r="J174" s="306">
        <f>+IF($H174=J$2,VLOOKUP($G174,Depreciation!$A$14:$L$18,8,FALSE)/2,IF($H174&lt;J$2,VLOOKUP($G174,Depreciation!$A$14:$L$18,8,FALSE),0))</f>
        <v>3.343407856743718E-2</v>
      </c>
      <c r="K174" s="306">
        <f>+IF($H174=K$2,VLOOKUP($G174,Depreciation!$A$14:$L$18,9,FALSE)/2,IF($H174&lt;K$2,VLOOKUP($G174,Depreciation!$A$14:$L$18,9,FALSE),0))</f>
        <v>3.343407856743718E-2</v>
      </c>
      <c r="L174" s="306">
        <f>+IF($H174=L$2,VLOOKUP($G174,Depreciation!$A$14:$L$18,10,FALSE)/2,IF($H174&lt;L$2,VLOOKUP($G174,Depreciation!$A$14:$L$18,10,FALSE),0))</f>
        <v>3.343407856743718E-2</v>
      </c>
      <c r="M174" s="306">
        <f>+IF($H174=M$2,VLOOKUP($G174,Depreciation!$A$14:$L$18,11,FALSE)/2,IF($H174&lt;M$2,VLOOKUP($G174,Depreciation!$A$14:$L$18,11,FALSE),0))</f>
        <v>3.343407856743718E-2</v>
      </c>
      <c r="N174" s="306">
        <f>+IF($H174=N$2,VLOOKUP($G174,Depreciation!$A$14:$L$18,12,FALSE)/2,IF($H174&lt;N$2,VLOOKUP($G174,Depreciation!$A$14:$L$18,12,FALSE),0))</f>
        <v>3.343407856743718E-2</v>
      </c>
      <c r="O174" s="307">
        <f t="shared" si="17"/>
        <v>289593.60693909635</v>
      </c>
      <c r="P174" s="732">
        <f>'Func Future Subs 2015'!P174</f>
        <v>0</v>
      </c>
      <c r="Q174" s="732">
        <f>'Func Future Subs 2015'!Q174</f>
        <v>0</v>
      </c>
      <c r="R174" s="732">
        <f>'Func Future Subs 2015'!R174</f>
        <v>1</v>
      </c>
      <c r="S174" s="735">
        <f t="shared" si="18"/>
        <v>0</v>
      </c>
      <c r="T174" s="735">
        <f t="shared" si="19"/>
        <v>0</v>
      </c>
      <c r="U174" s="735">
        <f t="shared" si="20"/>
        <v>289593.60693909635</v>
      </c>
      <c r="V174" s="736">
        <f t="shared" si="21"/>
        <v>0</v>
      </c>
      <c r="W174" s="735">
        <f t="shared" si="22"/>
        <v>0</v>
      </c>
      <c r="X174" s="737">
        <f t="shared" si="23"/>
        <v>289593.60693909635</v>
      </c>
      <c r="Y174" s="738">
        <f t="shared" si="24"/>
        <v>0</v>
      </c>
    </row>
    <row r="175" spans="1:25">
      <c r="A175" s="754" t="str">
        <f>'Func Future Subs 2015'!A175</f>
        <v>89S_180</v>
      </c>
      <c r="B175" s="754">
        <f>'Func Future Subs 2015'!B175</f>
        <v>737</v>
      </c>
      <c r="C175" s="754">
        <f>'Func Future Subs 2015'!C175</f>
        <v>240</v>
      </c>
      <c r="D175" s="754">
        <f>'Func Future Subs 2015'!D175</f>
        <v>240</v>
      </c>
      <c r="E175" s="754" t="str">
        <f>'Func Future Subs 2015'!E175</f>
        <v>89S</v>
      </c>
      <c r="F175" s="754">
        <f>'Func Future Subs 2015'!F175</f>
        <v>273015.76516128465</v>
      </c>
      <c r="G175" s="754" t="str">
        <f>'Func Future Subs 2015'!G175</f>
        <v>AltaLink</v>
      </c>
      <c r="H175" s="754">
        <f>'Func Future Subs 2015'!H175</f>
        <v>2015</v>
      </c>
      <c r="I175" s="306">
        <f>+IF($H175=I$2,VLOOKUP($G175,Depreciation!$A$14:$L$18,7,FALSE)/2,IF($H175&lt;I$2,VLOOKUP($G175,Depreciation!$A$14:$L$18,7,FALSE),0))</f>
        <v>1.7228380322441735E-2</v>
      </c>
      <c r="J175" s="306">
        <f>+IF($H175=J$2,VLOOKUP($G175,Depreciation!$A$14:$L$18,8,FALSE)/2,IF($H175&lt;J$2,VLOOKUP($G175,Depreciation!$A$14:$L$18,8,FALSE),0))</f>
        <v>3.343407856743718E-2</v>
      </c>
      <c r="K175" s="306">
        <f>+IF($H175=K$2,VLOOKUP($G175,Depreciation!$A$14:$L$18,9,FALSE)/2,IF($H175&lt;K$2,VLOOKUP($G175,Depreciation!$A$14:$L$18,9,FALSE),0))</f>
        <v>3.343407856743718E-2</v>
      </c>
      <c r="L175" s="306">
        <f>+IF($H175=L$2,VLOOKUP($G175,Depreciation!$A$14:$L$18,10,FALSE)/2,IF($H175&lt;L$2,VLOOKUP($G175,Depreciation!$A$14:$L$18,10,FALSE),0))</f>
        <v>3.343407856743718E-2</v>
      </c>
      <c r="M175" s="306">
        <f>+IF($H175=M$2,VLOOKUP($G175,Depreciation!$A$14:$L$18,11,FALSE)/2,IF($H175&lt;M$2,VLOOKUP($G175,Depreciation!$A$14:$L$18,11,FALSE),0))</f>
        <v>3.343407856743718E-2</v>
      </c>
      <c r="N175" s="306">
        <f>+IF($H175=N$2,VLOOKUP($G175,Depreciation!$A$14:$L$18,12,FALSE)/2,IF($H175&lt;N$2,VLOOKUP($G175,Depreciation!$A$14:$L$18,12,FALSE),0))</f>
        <v>3.343407856743718E-2</v>
      </c>
      <c r="O175" s="307">
        <f t="shared" si="17"/>
        <v>250670.53641114305</v>
      </c>
      <c r="P175" s="732">
        <f>'Func Future Subs 2015'!P175</f>
        <v>0</v>
      </c>
      <c r="Q175" s="732">
        <f>'Func Future Subs 2015'!Q175</f>
        <v>0</v>
      </c>
      <c r="R175" s="732">
        <f>'Func Future Subs 2015'!R175</f>
        <v>1</v>
      </c>
      <c r="S175" s="735">
        <f t="shared" si="18"/>
        <v>0</v>
      </c>
      <c r="T175" s="735">
        <f t="shared" si="19"/>
        <v>0</v>
      </c>
      <c r="U175" s="735">
        <f t="shared" si="20"/>
        <v>250670.53641114305</v>
      </c>
      <c r="V175" s="736">
        <f t="shared" si="21"/>
        <v>0</v>
      </c>
      <c r="W175" s="735">
        <f t="shared" si="22"/>
        <v>250670.53641114305</v>
      </c>
      <c r="X175" s="737">
        <f t="shared" si="23"/>
        <v>0</v>
      </c>
      <c r="Y175" s="738">
        <f t="shared" si="24"/>
        <v>0</v>
      </c>
    </row>
    <row r="176" spans="1:25">
      <c r="A176" s="754" t="str">
        <f>'Func Future Subs 2015'!A176</f>
        <v>Bennett 503S Substation</v>
      </c>
      <c r="B176" s="754">
        <f>'Func Future Subs 2015'!B176</f>
        <v>737</v>
      </c>
      <c r="C176" s="754">
        <f>'Func Future Subs 2015'!C176</f>
        <v>500</v>
      </c>
      <c r="D176" s="754">
        <f>'Func Future Subs 2015'!D176</f>
        <v>0</v>
      </c>
      <c r="E176" s="754" t="str">
        <f>'Func Future Subs 2015'!E176</f>
        <v>503S</v>
      </c>
      <c r="F176" s="754">
        <f>'Func Future Subs 2015'!F176</f>
        <v>59049851.860905387</v>
      </c>
      <c r="G176" s="754" t="str">
        <f>'Func Future Subs 2015'!G176</f>
        <v>AltaLink</v>
      </c>
      <c r="H176" s="754">
        <f>'Func Future Subs 2015'!H176</f>
        <v>2015</v>
      </c>
      <c r="I176" s="306">
        <f>+IF($H176=I$2,VLOOKUP($G176,Depreciation!$A$14:$L$18,7,FALSE)/2,IF($H176&lt;I$2,VLOOKUP($G176,Depreciation!$A$14:$L$18,7,FALSE),0))</f>
        <v>1.7228380322441735E-2</v>
      </c>
      <c r="J176" s="306">
        <f>+IF($H176=J$2,VLOOKUP($G176,Depreciation!$A$14:$L$18,8,FALSE)/2,IF($H176&lt;J$2,VLOOKUP($G176,Depreciation!$A$14:$L$18,8,FALSE),0))</f>
        <v>3.343407856743718E-2</v>
      </c>
      <c r="K176" s="306">
        <f>+IF($H176=K$2,VLOOKUP($G176,Depreciation!$A$14:$L$18,9,FALSE)/2,IF($H176&lt;K$2,VLOOKUP($G176,Depreciation!$A$14:$L$18,9,FALSE),0))</f>
        <v>3.343407856743718E-2</v>
      </c>
      <c r="L176" s="306">
        <f>+IF($H176=L$2,VLOOKUP($G176,Depreciation!$A$14:$L$18,10,FALSE)/2,IF($H176&lt;L$2,VLOOKUP($G176,Depreciation!$A$14:$L$18,10,FALSE),0))</f>
        <v>3.343407856743718E-2</v>
      </c>
      <c r="M176" s="306">
        <f>+IF($H176=M$2,VLOOKUP($G176,Depreciation!$A$14:$L$18,11,FALSE)/2,IF($H176&lt;M$2,VLOOKUP($G176,Depreciation!$A$14:$L$18,11,FALSE),0))</f>
        <v>3.343407856743718E-2</v>
      </c>
      <c r="N176" s="306">
        <f>+IF($H176=N$2,VLOOKUP($G176,Depreciation!$A$14:$L$18,12,FALSE)/2,IF($H176&lt;N$2,VLOOKUP($G176,Depreciation!$A$14:$L$18,12,FALSE),0))</f>
        <v>3.343407856743718E-2</v>
      </c>
      <c r="O176" s="307">
        <f t="shared" si="17"/>
        <v>54216861.917213239</v>
      </c>
      <c r="P176" s="732">
        <f>'Func Future Subs 2015'!P176</f>
        <v>0</v>
      </c>
      <c r="Q176" s="732">
        <f>'Func Future Subs 2015'!Q176</f>
        <v>0</v>
      </c>
      <c r="R176" s="732">
        <f>'Func Future Subs 2015'!R176</f>
        <v>1</v>
      </c>
      <c r="S176" s="735">
        <f t="shared" si="18"/>
        <v>0</v>
      </c>
      <c r="T176" s="735">
        <f t="shared" si="19"/>
        <v>0</v>
      </c>
      <c r="U176" s="735">
        <f t="shared" si="20"/>
        <v>54216861.917213239</v>
      </c>
      <c r="V176" s="736">
        <f t="shared" si="21"/>
        <v>54216861.917213239</v>
      </c>
      <c r="W176" s="735">
        <f t="shared" si="22"/>
        <v>0</v>
      </c>
      <c r="X176" s="737">
        <f t="shared" si="23"/>
        <v>0</v>
      </c>
      <c r="Y176" s="738">
        <f t="shared" si="24"/>
        <v>0</v>
      </c>
    </row>
    <row r="177" spans="1:25">
      <c r="A177" s="754" t="str">
        <f>'Func Future Subs 2015'!A177</f>
        <v>Crossings 511S Substation</v>
      </c>
      <c r="B177" s="754">
        <f>'Func Future Subs 2015'!B177</f>
        <v>737</v>
      </c>
      <c r="C177" s="754">
        <f>'Func Future Subs 2015'!C177</f>
        <v>500</v>
      </c>
      <c r="D177" s="754">
        <f>'Func Future Subs 2015'!D177</f>
        <v>240</v>
      </c>
      <c r="E177" s="754" t="str">
        <f>'Func Future Subs 2015'!E177</f>
        <v>511S</v>
      </c>
      <c r="F177" s="754">
        <f>'Func Future Subs 2015'!F177</f>
        <v>248522285.09999999</v>
      </c>
      <c r="G177" s="754" t="str">
        <f>'Func Future Subs 2015'!G177</f>
        <v>AltaLink</v>
      </c>
      <c r="H177" s="754">
        <f>'Func Future Subs 2015'!H177</f>
        <v>2015</v>
      </c>
      <c r="I177" s="306">
        <f>+IF($H177=I$2,VLOOKUP($G177,Depreciation!$A$14:$L$18,7,FALSE)/2,IF($H177&lt;I$2,VLOOKUP($G177,Depreciation!$A$14:$L$18,7,FALSE),0))</f>
        <v>1.7228380322441735E-2</v>
      </c>
      <c r="J177" s="306">
        <f>+IF($H177=J$2,VLOOKUP($G177,Depreciation!$A$14:$L$18,8,FALSE)/2,IF($H177&lt;J$2,VLOOKUP($G177,Depreciation!$A$14:$L$18,8,FALSE),0))</f>
        <v>3.343407856743718E-2</v>
      </c>
      <c r="K177" s="306">
        <f>+IF($H177=K$2,VLOOKUP($G177,Depreciation!$A$14:$L$18,9,FALSE)/2,IF($H177&lt;K$2,VLOOKUP($G177,Depreciation!$A$14:$L$18,9,FALSE),0))</f>
        <v>3.343407856743718E-2</v>
      </c>
      <c r="L177" s="306">
        <f>+IF($H177=L$2,VLOOKUP($G177,Depreciation!$A$14:$L$18,10,FALSE)/2,IF($H177&lt;L$2,VLOOKUP($G177,Depreciation!$A$14:$L$18,10,FALSE),0))</f>
        <v>3.343407856743718E-2</v>
      </c>
      <c r="M177" s="306">
        <f>+IF($H177=M$2,VLOOKUP($G177,Depreciation!$A$14:$L$18,11,FALSE)/2,IF($H177&lt;M$2,VLOOKUP($G177,Depreciation!$A$14:$L$18,11,FALSE),0))</f>
        <v>3.343407856743718E-2</v>
      </c>
      <c r="N177" s="306">
        <f>+IF($H177=N$2,VLOOKUP($G177,Depreciation!$A$14:$L$18,12,FALSE)/2,IF($H177&lt;N$2,VLOOKUP($G177,Depreciation!$A$14:$L$18,12,FALSE),0))</f>
        <v>3.343407856743718E-2</v>
      </c>
      <c r="O177" s="307">
        <f t="shared" si="17"/>
        <v>228181747.96366727</v>
      </c>
      <c r="P177" s="732">
        <f>'Func Future Subs 2015'!P177</f>
        <v>0</v>
      </c>
      <c r="Q177" s="732">
        <f>'Func Future Subs 2015'!Q177</f>
        <v>0</v>
      </c>
      <c r="R177" s="732">
        <f>'Func Future Subs 2015'!R177</f>
        <v>1</v>
      </c>
      <c r="S177" s="735">
        <f t="shared" si="18"/>
        <v>0</v>
      </c>
      <c r="T177" s="735">
        <f t="shared" si="19"/>
        <v>0</v>
      </c>
      <c r="U177" s="735">
        <f t="shared" si="20"/>
        <v>228181747.96366727</v>
      </c>
      <c r="V177" s="736">
        <f t="shared" si="21"/>
        <v>0</v>
      </c>
      <c r="W177" s="735">
        <f t="shared" si="22"/>
        <v>228181747.96366727</v>
      </c>
      <c r="X177" s="737">
        <f t="shared" si="23"/>
        <v>0</v>
      </c>
      <c r="Y177" s="738">
        <f t="shared" si="24"/>
        <v>0</v>
      </c>
    </row>
    <row r="178" spans="1:25">
      <c r="A178" s="754" t="str">
        <f>'Func Future Subs 2015'!A178</f>
        <v>Genesee 330P 962</v>
      </c>
      <c r="B178" s="754">
        <f>'Func Future Subs 2015'!B178</f>
        <v>737</v>
      </c>
      <c r="C178" s="754">
        <f>'Func Future Subs 2015'!C178</f>
        <v>500</v>
      </c>
      <c r="D178" s="754">
        <f>'Func Future Subs 2015'!D178</f>
        <v>240</v>
      </c>
      <c r="E178" s="754" t="str">
        <f>'Func Future Subs 2015'!E178</f>
        <v>330P</v>
      </c>
      <c r="F178" s="754">
        <f>'Func Future Subs 2015'!F178</f>
        <v>418379.53308123141</v>
      </c>
      <c r="G178" s="754" t="str">
        <f>'Func Future Subs 2015'!G178</f>
        <v>EPCOR</v>
      </c>
      <c r="H178" s="754">
        <f>'Func Future Subs 2015'!H178</f>
        <v>2015</v>
      </c>
      <c r="I178" s="306">
        <f>+IF($H178=I$2,VLOOKUP($G178,Depreciation!$A$14:$L$18,7,FALSE)/2,IF($H178&lt;I$2,VLOOKUP($G178,Depreciation!$A$14:$L$18,7,FALSE),0))</f>
        <v>2.0607513622398654E-2</v>
      </c>
      <c r="J178" s="306">
        <f>+IF($H178=J$2,VLOOKUP($G178,Depreciation!$A$14:$L$18,8,FALSE)/2,IF($H178&lt;J$2,VLOOKUP($G178,Depreciation!$A$14:$L$18,8,FALSE),0))</f>
        <v>4.1600055599844914E-2</v>
      </c>
      <c r="K178" s="306">
        <f>+IF($H178=K$2,VLOOKUP($G178,Depreciation!$A$14:$L$18,9,FALSE)/2,IF($H178&lt;K$2,VLOOKUP($G178,Depreciation!$A$14:$L$18,9,FALSE),0))</f>
        <v>4.1145263498658789E-2</v>
      </c>
      <c r="L178" s="306">
        <f>+IF($H178=L$2,VLOOKUP($G178,Depreciation!$A$14:$L$18,10,FALSE)/2,IF($H178&lt;L$2,VLOOKUP($G178,Depreciation!$A$14:$L$18,10,FALSE),0))</f>
        <v>4.1145263498658789E-2</v>
      </c>
      <c r="M178" s="306">
        <f>+IF($H178=M$2,VLOOKUP($G178,Depreciation!$A$14:$L$18,11,FALSE)/2,IF($H178&lt;M$2,VLOOKUP($G178,Depreciation!$A$14:$L$18,11,FALSE),0))</f>
        <v>4.1145263498658789E-2</v>
      </c>
      <c r="N178" s="306">
        <f>+IF($H178=N$2,VLOOKUP($G178,Depreciation!$A$14:$L$18,12,FALSE)/2,IF($H178&lt;N$2,VLOOKUP($G178,Depreciation!$A$14:$L$18,12,FALSE),0))</f>
        <v>4.1145263498658789E-2</v>
      </c>
      <c r="O178" s="307">
        <f t="shared" si="17"/>
        <v>376553.59356902813</v>
      </c>
      <c r="P178" s="732">
        <f>'Func Future Subs 2015'!P178</f>
        <v>0</v>
      </c>
      <c r="Q178" s="732">
        <f>'Func Future Subs 2015'!Q178</f>
        <v>0</v>
      </c>
      <c r="R178" s="732">
        <f>'Func Future Subs 2015'!R178</f>
        <v>1</v>
      </c>
      <c r="S178" s="735">
        <f t="shared" si="18"/>
        <v>0</v>
      </c>
      <c r="T178" s="735">
        <f t="shared" si="19"/>
        <v>0</v>
      </c>
      <c r="U178" s="735">
        <f t="shared" si="20"/>
        <v>376553.59356902813</v>
      </c>
      <c r="V178" s="736">
        <f t="shared" si="21"/>
        <v>0</v>
      </c>
      <c r="W178" s="735">
        <f t="shared" si="22"/>
        <v>376553.59356902813</v>
      </c>
      <c r="X178" s="737">
        <f t="shared" si="23"/>
        <v>0</v>
      </c>
      <c r="Y178" s="738">
        <f t="shared" si="24"/>
        <v>0</v>
      </c>
    </row>
    <row r="179" spans="1:25">
      <c r="A179" s="754" t="str">
        <f>'Func Future Subs 2015'!A179</f>
        <v>Langdon 102S Substation</v>
      </c>
      <c r="B179" s="754">
        <f>'Func Future Subs 2015'!B179</f>
        <v>737</v>
      </c>
      <c r="C179" s="754">
        <f>'Func Future Subs 2015'!C179</f>
        <v>240</v>
      </c>
      <c r="D179" s="754">
        <f>'Func Future Subs 2015'!D179</f>
        <v>240</v>
      </c>
      <c r="E179" s="754" t="str">
        <f>'Func Future Subs 2015'!E179</f>
        <v>102S</v>
      </c>
      <c r="F179" s="754">
        <f>'Func Future Subs 2015'!F179</f>
        <v>61400098.23974175</v>
      </c>
      <c r="G179" s="754" t="str">
        <f>'Func Future Subs 2015'!G179</f>
        <v>AltaLink</v>
      </c>
      <c r="H179" s="754">
        <f>'Func Future Subs 2015'!H179</f>
        <v>2015</v>
      </c>
      <c r="I179" s="306">
        <f>+IF($H179=I$2,VLOOKUP($G179,Depreciation!$A$14:$L$18,7,FALSE)/2,IF($H179&lt;I$2,VLOOKUP($G179,Depreciation!$A$14:$L$18,7,FALSE),0))</f>
        <v>1.7228380322441735E-2</v>
      </c>
      <c r="J179" s="306">
        <f>+IF($H179=J$2,VLOOKUP($G179,Depreciation!$A$14:$L$18,8,FALSE)/2,IF($H179&lt;J$2,VLOOKUP($G179,Depreciation!$A$14:$L$18,8,FALSE),0))</f>
        <v>3.343407856743718E-2</v>
      </c>
      <c r="K179" s="306">
        <f>+IF($H179=K$2,VLOOKUP($G179,Depreciation!$A$14:$L$18,9,FALSE)/2,IF($H179&lt;K$2,VLOOKUP($G179,Depreciation!$A$14:$L$18,9,FALSE),0))</f>
        <v>3.343407856743718E-2</v>
      </c>
      <c r="L179" s="306">
        <f>+IF($H179=L$2,VLOOKUP($G179,Depreciation!$A$14:$L$18,10,FALSE)/2,IF($H179&lt;L$2,VLOOKUP($G179,Depreciation!$A$14:$L$18,10,FALSE),0))</f>
        <v>3.343407856743718E-2</v>
      </c>
      <c r="M179" s="306">
        <f>+IF($H179=M$2,VLOOKUP($G179,Depreciation!$A$14:$L$18,11,FALSE)/2,IF($H179&lt;M$2,VLOOKUP($G179,Depreciation!$A$14:$L$18,11,FALSE),0))</f>
        <v>3.343407856743718E-2</v>
      </c>
      <c r="N179" s="306">
        <f>+IF($H179=N$2,VLOOKUP($G179,Depreciation!$A$14:$L$18,12,FALSE)/2,IF($H179&lt;N$2,VLOOKUP($G179,Depreciation!$A$14:$L$18,12,FALSE),0))</f>
        <v>3.343407856743718E-2</v>
      </c>
      <c r="O179" s="307">
        <f t="shared" si="17"/>
        <v>56374750.199354097</v>
      </c>
      <c r="P179" s="732">
        <f>'Func Future Subs 2015'!P179</f>
        <v>0</v>
      </c>
      <c r="Q179" s="732">
        <f>'Func Future Subs 2015'!Q179</f>
        <v>0</v>
      </c>
      <c r="R179" s="732">
        <f>'Func Future Subs 2015'!R179</f>
        <v>1</v>
      </c>
      <c r="S179" s="735">
        <f t="shared" si="18"/>
        <v>0</v>
      </c>
      <c r="T179" s="735">
        <f t="shared" si="19"/>
        <v>0</v>
      </c>
      <c r="U179" s="735">
        <f t="shared" si="20"/>
        <v>56374750.199354097</v>
      </c>
      <c r="V179" s="736">
        <f t="shared" si="21"/>
        <v>0</v>
      </c>
      <c r="W179" s="735">
        <f t="shared" si="22"/>
        <v>56374750.199354097</v>
      </c>
      <c r="X179" s="737">
        <f t="shared" si="23"/>
        <v>0</v>
      </c>
      <c r="Y179" s="738">
        <f t="shared" si="24"/>
        <v>0</v>
      </c>
    </row>
    <row r="180" spans="1:25">
      <c r="A180" s="754" t="str">
        <f>'Func Future Subs 2015'!A180</f>
        <v>Milo 356S_180</v>
      </c>
      <c r="B180" s="754">
        <f>'Func Future Subs 2015'!B180</f>
        <v>737</v>
      </c>
      <c r="C180" s="754">
        <f>'Func Future Subs 2015'!C180</f>
        <v>240</v>
      </c>
      <c r="D180" s="754">
        <f>'Func Future Subs 2015'!D180</f>
        <v>240</v>
      </c>
      <c r="E180" s="754" t="str">
        <f>'Func Future Subs 2015'!E180</f>
        <v>356S</v>
      </c>
      <c r="F180" s="754">
        <f>'Func Future Subs 2015'!F180</f>
        <v>403965.62500399671</v>
      </c>
      <c r="G180" s="754" t="str">
        <f>'Func Future Subs 2015'!G180</f>
        <v>AltaLink</v>
      </c>
      <c r="H180" s="754">
        <f>'Func Future Subs 2015'!H180</f>
        <v>2015</v>
      </c>
      <c r="I180" s="306">
        <f>+IF($H180=I$2,VLOOKUP($G180,Depreciation!$A$14:$L$18,7,FALSE)/2,IF($H180&lt;I$2,VLOOKUP($G180,Depreciation!$A$14:$L$18,7,FALSE),0))</f>
        <v>1.7228380322441735E-2</v>
      </c>
      <c r="J180" s="306">
        <f>+IF($H180=J$2,VLOOKUP($G180,Depreciation!$A$14:$L$18,8,FALSE)/2,IF($H180&lt;J$2,VLOOKUP($G180,Depreciation!$A$14:$L$18,8,FALSE),0))</f>
        <v>3.343407856743718E-2</v>
      </c>
      <c r="K180" s="306">
        <f>+IF($H180=K$2,VLOOKUP($G180,Depreciation!$A$14:$L$18,9,FALSE)/2,IF($H180&lt;K$2,VLOOKUP($G180,Depreciation!$A$14:$L$18,9,FALSE),0))</f>
        <v>3.343407856743718E-2</v>
      </c>
      <c r="L180" s="306">
        <f>+IF($H180=L$2,VLOOKUP($G180,Depreciation!$A$14:$L$18,10,FALSE)/2,IF($H180&lt;L$2,VLOOKUP($G180,Depreciation!$A$14:$L$18,10,FALSE),0))</f>
        <v>3.343407856743718E-2</v>
      </c>
      <c r="M180" s="306">
        <f>+IF($H180=M$2,VLOOKUP($G180,Depreciation!$A$14:$L$18,11,FALSE)/2,IF($H180&lt;M$2,VLOOKUP($G180,Depreciation!$A$14:$L$18,11,FALSE),0))</f>
        <v>3.343407856743718E-2</v>
      </c>
      <c r="N180" s="306">
        <f>+IF($H180=N$2,VLOOKUP($G180,Depreciation!$A$14:$L$18,12,FALSE)/2,IF($H180&lt;N$2,VLOOKUP($G180,Depreciation!$A$14:$L$18,12,FALSE),0))</f>
        <v>3.343407856743718E-2</v>
      </c>
      <c r="O180" s="307">
        <f t="shared" si="17"/>
        <v>370902.68340948597</v>
      </c>
      <c r="P180" s="732">
        <f>'Func Future Subs 2015'!P180</f>
        <v>0</v>
      </c>
      <c r="Q180" s="732">
        <f>'Func Future Subs 2015'!Q180</f>
        <v>0</v>
      </c>
      <c r="R180" s="732">
        <f>'Func Future Subs 2015'!R180</f>
        <v>1</v>
      </c>
      <c r="S180" s="735">
        <f t="shared" si="18"/>
        <v>0</v>
      </c>
      <c r="T180" s="735">
        <f t="shared" si="19"/>
        <v>0</v>
      </c>
      <c r="U180" s="735">
        <f t="shared" si="20"/>
        <v>370902.68340948597</v>
      </c>
      <c r="V180" s="736">
        <f t="shared" si="21"/>
        <v>0</v>
      </c>
      <c r="W180" s="735">
        <f t="shared" si="22"/>
        <v>370902.68340948597</v>
      </c>
      <c r="X180" s="737">
        <f t="shared" si="23"/>
        <v>0</v>
      </c>
      <c r="Y180" s="738">
        <f t="shared" si="24"/>
        <v>0</v>
      </c>
    </row>
    <row r="181" spans="1:25">
      <c r="A181" s="754" t="str">
        <f>'Func Future Subs 2015'!A181</f>
        <v>RPT1 17S_180</v>
      </c>
      <c r="B181" s="754">
        <f>'Func Future Subs 2015'!B181</f>
        <v>737</v>
      </c>
      <c r="C181" s="754">
        <f>'Func Future Subs 2015'!C181</f>
        <v>240</v>
      </c>
      <c r="D181" s="754">
        <f>'Func Future Subs 2015'!D181</f>
        <v>25</v>
      </c>
      <c r="E181" s="754" t="str">
        <f>'Func Future Subs 2015'!E181</f>
        <v>17S</v>
      </c>
      <c r="F181" s="754">
        <f>'Func Future Subs 2015'!F181</f>
        <v>748276.10411280254</v>
      </c>
      <c r="G181" s="754" t="str">
        <f>'Func Future Subs 2015'!G181</f>
        <v>AltaLink</v>
      </c>
      <c r="H181" s="754">
        <f>'Func Future Subs 2015'!H181</f>
        <v>2015</v>
      </c>
      <c r="I181" s="306">
        <f>+IF($H181=I$2,VLOOKUP($G181,Depreciation!$A$14:$L$18,7,FALSE)/2,IF($H181&lt;I$2,VLOOKUP($G181,Depreciation!$A$14:$L$18,7,FALSE),0))</f>
        <v>1.7228380322441735E-2</v>
      </c>
      <c r="J181" s="306">
        <f>+IF($H181=J$2,VLOOKUP($G181,Depreciation!$A$14:$L$18,8,FALSE)/2,IF($H181&lt;J$2,VLOOKUP($G181,Depreciation!$A$14:$L$18,8,FALSE),0))</f>
        <v>3.343407856743718E-2</v>
      </c>
      <c r="K181" s="306">
        <f>+IF($H181=K$2,VLOOKUP($G181,Depreciation!$A$14:$L$18,9,FALSE)/2,IF($H181&lt;K$2,VLOOKUP($G181,Depreciation!$A$14:$L$18,9,FALSE),0))</f>
        <v>3.343407856743718E-2</v>
      </c>
      <c r="L181" s="306">
        <f>+IF($H181=L$2,VLOOKUP($G181,Depreciation!$A$14:$L$18,10,FALSE)/2,IF($H181&lt;L$2,VLOOKUP($G181,Depreciation!$A$14:$L$18,10,FALSE),0))</f>
        <v>3.343407856743718E-2</v>
      </c>
      <c r="M181" s="306">
        <f>+IF($H181=M$2,VLOOKUP($G181,Depreciation!$A$14:$L$18,11,FALSE)/2,IF($H181&lt;M$2,VLOOKUP($G181,Depreciation!$A$14:$L$18,11,FALSE),0))</f>
        <v>3.343407856743718E-2</v>
      </c>
      <c r="N181" s="306">
        <f>+IF($H181=N$2,VLOOKUP($G181,Depreciation!$A$14:$L$18,12,FALSE)/2,IF($H181&lt;N$2,VLOOKUP($G181,Depreciation!$A$14:$L$18,12,FALSE),0))</f>
        <v>3.343407856743718E-2</v>
      </c>
      <c r="O181" s="307">
        <f t="shared" si="17"/>
        <v>687032.75171962578</v>
      </c>
      <c r="P181" s="732">
        <f>'Func Future Subs 2015'!P181</f>
        <v>0</v>
      </c>
      <c r="Q181" s="732">
        <f>'Func Future Subs 2015'!Q181</f>
        <v>1</v>
      </c>
      <c r="R181" s="732">
        <f>'Func Future Subs 2015'!R181</f>
        <v>0</v>
      </c>
      <c r="S181" s="735">
        <f t="shared" si="18"/>
        <v>0</v>
      </c>
      <c r="T181" s="735">
        <f t="shared" si="19"/>
        <v>687032.75171962578</v>
      </c>
      <c r="U181" s="735">
        <f t="shared" si="20"/>
        <v>0</v>
      </c>
      <c r="V181" s="736">
        <f t="shared" si="21"/>
        <v>0</v>
      </c>
      <c r="W181" s="735">
        <f t="shared" si="22"/>
        <v>0</v>
      </c>
      <c r="X181" s="737">
        <f t="shared" si="23"/>
        <v>0</v>
      </c>
      <c r="Y181" s="738">
        <f t="shared" si="24"/>
        <v>687032.75171962578</v>
      </c>
    </row>
    <row r="182" spans="1:25">
      <c r="A182" s="754" t="str">
        <f>'Func Future Subs 2015'!A182</f>
        <v>RPT2- Jackville_180</v>
      </c>
      <c r="B182" s="754">
        <f>'Func Future Subs 2015'!B182</f>
        <v>737</v>
      </c>
      <c r="C182" s="754">
        <f>'Func Future Subs 2015'!C182</f>
        <v>240</v>
      </c>
      <c r="D182" s="754">
        <f>'Func Future Subs 2015'!D182</f>
        <v>0</v>
      </c>
      <c r="E182" s="754">
        <f>'Func Future Subs 2015'!E182</f>
        <v>0</v>
      </c>
      <c r="F182" s="754">
        <f>'Func Future Subs 2015'!F182</f>
        <v>440477.54930957168</v>
      </c>
      <c r="G182" s="754" t="str">
        <f>'Func Future Subs 2015'!G182</f>
        <v>AltaLink</v>
      </c>
      <c r="H182" s="754">
        <f>'Func Future Subs 2015'!H182</f>
        <v>2015</v>
      </c>
      <c r="I182" s="306">
        <f>+IF($H182=I$2,VLOOKUP($G182,Depreciation!$A$14:$L$18,7,FALSE)/2,IF($H182&lt;I$2,VLOOKUP($G182,Depreciation!$A$14:$L$18,7,FALSE),0))</f>
        <v>1.7228380322441735E-2</v>
      </c>
      <c r="J182" s="306">
        <f>+IF($H182=J$2,VLOOKUP($G182,Depreciation!$A$14:$L$18,8,FALSE)/2,IF($H182&lt;J$2,VLOOKUP($G182,Depreciation!$A$14:$L$18,8,FALSE),0))</f>
        <v>3.343407856743718E-2</v>
      </c>
      <c r="K182" s="306">
        <f>+IF($H182=K$2,VLOOKUP($G182,Depreciation!$A$14:$L$18,9,FALSE)/2,IF($H182&lt;K$2,VLOOKUP($G182,Depreciation!$A$14:$L$18,9,FALSE),0))</f>
        <v>3.343407856743718E-2</v>
      </c>
      <c r="L182" s="306">
        <f>+IF($H182=L$2,VLOOKUP($G182,Depreciation!$A$14:$L$18,10,FALSE)/2,IF($H182&lt;L$2,VLOOKUP($G182,Depreciation!$A$14:$L$18,10,FALSE),0))</f>
        <v>3.343407856743718E-2</v>
      </c>
      <c r="M182" s="306">
        <f>+IF($H182=M$2,VLOOKUP($G182,Depreciation!$A$14:$L$18,11,FALSE)/2,IF($H182&lt;M$2,VLOOKUP($G182,Depreciation!$A$14:$L$18,11,FALSE),0))</f>
        <v>3.343407856743718E-2</v>
      </c>
      <c r="N182" s="306">
        <f>+IF($H182=N$2,VLOOKUP($G182,Depreciation!$A$14:$L$18,12,FALSE)/2,IF($H182&lt;N$2,VLOOKUP($G182,Depreciation!$A$14:$L$18,12,FALSE),0))</f>
        <v>3.343407856743718E-2</v>
      </c>
      <c r="O182" s="307">
        <f t="shared" si="17"/>
        <v>404426.25537491689</v>
      </c>
      <c r="P182" s="732">
        <f>'Func Future Subs 2015'!P182</f>
        <v>0</v>
      </c>
      <c r="Q182" s="732">
        <f>'Func Future Subs 2015'!Q182</f>
        <v>0</v>
      </c>
      <c r="R182" s="732">
        <f>'Func Future Subs 2015'!R182</f>
        <v>1</v>
      </c>
      <c r="S182" s="735">
        <f t="shared" si="18"/>
        <v>0</v>
      </c>
      <c r="T182" s="735">
        <f t="shared" si="19"/>
        <v>0</v>
      </c>
      <c r="U182" s="735">
        <f t="shared" si="20"/>
        <v>404426.25537491689</v>
      </c>
      <c r="V182" s="736">
        <f t="shared" si="21"/>
        <v>404426.25537491689</v>
      </c>
      <c r="W182" s="735">
        <f t="shared" si="22"/>
        <v>0</v>
      </c>
      <c r="X182" s="737">
        <f t="shared" si="23"/>
        <v>0</v>
      </c>
      <c r="Y182" s="738">
        <f t="shared" si="24"/>
        <v>0</v>
      </c>
    </row>
    <row r="183" spans="1:25">
      <c r="A183" s="754" t="str">
        <f>'Func Future Subs 2015'!A183</f>
        <v>RPT3- Knob Hill_180</v>
      </c>
      <c r="B183" s="754">
        <f>'Func Future Subs 2015'!B183</f>
        <v>737</v>
      </c>
      <c r="C183" s="754">
        <f>'Func Future Subs 2015'!C183</f>
        <v>240</v>
      </c>
      <c r="D183" s="754">
        <f>'Func Future Subs 2015'!D183</f>
        <v>0</v>
      </c>
      <c r="E183" s="754">
        <f>'Func Future Subs 2015'!E183</f>
        <v>0</v>
      </c>
      <c r="F183" s="754">
        <f>'Func Future Subs 2015'!F183</f>
        <v>413456.98863797617</v>
      </c>
      <c r="G183" s="754" t="str">
        <f>'Func Future Subs 2015'!G183</f>
        <v>AltaLink</v>
      </c>
      <c r="H183" s="754">
        <f>'Func Future Subs 2015'!H183</f>
        <v>2015</v>
      </c>
      <c r="I183" s="306">
        <f>+IF($H183=I$2,VLOOKUP($G183,Depreciation!$A$14:$L$18,7,FALSE)/2,IF($H183&lt;I$2,VLOOKUP($G183,Depreciation!$A$14:$L$18,7,FALSE),0))</f>
        <v>1.7228380322441735E-2</v>
      </c>
      <c r="J183" s="306">
        <f>+IF($H183=J$2,VLOOKUP($G183,Depreciation!$A$14:$L$18,8,FALSE)/2,IF($H183&lt;J$2,VLOOKUP($G183,Depreciation!$A$14:$L$18,8,FALSE),0))</f>
        <v>3.343407856743718E-2</v>
      </c>
      <c r="K183" s="306">
        <f>+IF($H183=K$2,VLOOKUP($G183,Depreciation!$A$14:$L$18,9,FALSE)/2,IF($H183&lt;K$2,VLOOKUP($G183,Depreciation!$A$14:$L$18,9,FALSE),0))</f>
        <v>3.343407856743718E-2</v>
      </c>
      <c r="L183" s="306">
        <f>+IF($H183=L$2,VLOOKUP($G183,Depreciation!$A$14:$L$18,10,FALSE)/2,IF($H183&lt;L$2,VLOOKUP($G183,Depreciation!$A$14:$L$18,10,FALSE),0))</f>
        <v>3.343407856743718E-2</v>
      </c>
      <c r="M183" s="306">
        <f>+IF($H183=M$2,VLOOKUP($G183,Depreciation!$A$14:$L$18,11,FALSE)/2,IF($H183&lt;M$2,VLOOKUP($G183,Depreciation!$A$14:$L$18,11,FALSE),0))</f>
        <v>3.343407856743718E-2</v>
      </c>
      <c r="N183" s="306">
        <f>+IF($H183=N$2,VLOOKUP($G183,Depreciation!$A$14:$L$18,12,FALSE)/2,IF($H183&lt;N$2,VLOOKUP($G183,Depreciation!$A$14:$L$18,12,FALSE),0))</f>
        <v>3.343407856743718E-2</v>
      </c>
      <c r="O183" s="307">
        <f t="shared" si="17"/>
        <v>379617.21757566248</v>
      </c>
      <c r="P183" s="732">
        <f>'Func Future Subs 2015'!P183</f>
        <v>0</v>
      </c>
      <c r="Q183" s="732">
        <f>'Func Future Subs 2015'!Q183</f>
        <v>0</v>
      </c>
      <c r="R183" s="732">
        <f>'Func Future Subs 2015'!R183</f>
        <v>1</v>
      </c>
      <c r="S183" s="735">
        <f t="shared" si="18"/>
        <v>0</v>
      </c>
      <c r="T183" s="735">
        <f t="shared" si="19"/>
        <v>0</v>
      </c>
      <c r="U183" s="735">
        <f t="shared" si="20"/>
        <v>379617.21757566248</v>
      </c>
      <c r="V183" s="736">
        <f t="shared" si="21"/>
        <v>379617.21757566248</v>
      </c>
      <c r="W183" s="735">
        <f t="shared" si="22"/>
        <v>0</v>
      </c>
      <c r="X183" s="737">
        <f t="shared" si="23"/>
        <v>0</v>
      </c>
      <c r="Y183" s="738">
        <f t="shared" si="24"/>
        <v>0</v>
      </c>
    </row>
    <row r="184" spans="1:25">
      <c r="A184" s="754" t="str">
        <f>'Func Future Subs 2015'!A184</f>
        <v>Sunnybrook 510S Substation</v>
      </c>
      <c r="B184" s="754">
        <f>'Func Future Subs 2015'!B184</f>
        <v>737</v>
      </c>
      <c r="C184" s="754">
        <f>'Func Future Subs 2015'!C184</f>
        <v>500</v>
      </c>
      <c r="D184" s="754">
        <f>'Func Future Subs 2015'!D184</f>
        <v>500</v>
      </c>
      <c r="E184" s="754" t="str">
        <f>'Func Future Subs 2015'!E184</f>
        <v>510S</v>
      </c>
      <c r="F184" s="754">
        <f>'Func Future Subs 2015'!F184</f>
        <v>355813227.30000001</v>
      </c>
      <c r="G184" s="754" t="str">
        <f>'Func Future Subs 2015'!G184</f>
        <v>AltaLink</v>
      </c>
      <c r="H184" s="754">
        <f>'Func Future Subs 2015'!H184</f>
        <v>2015</v>
      </c>
      <c r="I184" s="306">
        <f>+IF($H184=I$2,VLOOKUP($G184,Depreciation!$A$14:$L$18,7,FALSE)/2,IF($H184&lt;I$2,VLOOKUP($G184,Depreciation!$A$14:$L$18,7,FALSE),0))</f>
        <v>1.7228380322441735E-2</v>
      </c>
      <c r="J184" s="306">
        <f>+IF($H184=J$2,VLOOKUP($G184,Depreciation!$A$14:$L$18,8,FALSE)/2,IF($H184&lt;J$2,VLOOKUP($G184,Depreciation!$A$14:$L$18,8,FALSE),0))</f>
        <v>3.343407856743718E-2</v>
      </c>
      <c r="K184" s="306">
        <f>+IF($H184=K$2,VLOOKUP($G184,Depreciation!$A$14:$L$18,9,FALSE)/2,IF($H184&lt;K$2,VLOOKUP($G184,Depreciation!$A$14:$L$18,9,FALSE),0))</f>
        <v>3.343407856743718E-2</v>
      </c>
      <c r="L184" s="306">
        <f>+IF($H184=L$2,VLOOKUP($G184,Depreciation!$A$14:$L$18,10,FALSE)/2,IF($H184&lt;L$2,VLOOKUP($G184,Depreciation!$A$14:$L$18,10,FALSE),0))</f>
        <v>3.343407856743718E-2</v>
      </c>
      <c r="M184" s="306">
        <f>+IF($H184=M$2,VLOOKUP($G184,Depreciation!$A$14:$L$18,11,FALSE)/2,IF($H184&lt;M$2,VLOOKUP($G184,Depreciation!$A$14:$L$18,11,FALSE),0))</f>
        <v>3.343407856743718E-2</v>
      </c>
      <c r="N184" s="306">
        <f>+IF($H184=N$2,VLOOKUP($G184,Depreciation!$A$14:$L$18,12,FALSE)/2,IF($H184&lt;N$2,VLOOKUP($G184,Depreciation!$A$14:$L$18,12,FALSE),0))</f>
        <v>3.343407856743718E-2</v>
      </c>
      <c r="O184" s="307">
        <f t="shared" si="17"/>
        <v>326691363.39720404</v>
      </c>
      <c r="P184" s="732">
        <f>'Func Future Subs 2015'!P184</f>
        <v>0</v>
      </c>
      <c r="Q184" s="732">
        <f>'Func Future Subs 2015'!Q184</f>
        <v>0</v>
      </c>
      <c r="R184" s="732">
        <f>'Func Future Subs 2015'!R184</f>
        <v>1</v>
      </c>
      <c r="S184" s="735">
        <f t="shared" si="18"/>
        <v>0</v>
      </c>
      <c r="T184" s="735">
        <f t="shared" si="19"/>
        <v>0</v>
      </c>
      <c r="U184" s="735">
        <f t="shared" si="20"/>
        <v>326691363.39720404</v>
      </c>
      <c r="V184" s="736">
        <f t="shared" si="21"/>
        <v>0</v>
      </c>
      <c r="W184" s="735">
        <f t="shared" si="22"/>
        <v>326691363.39720404</v>
      </c>
      <c r="X184" s="737">
        <f t="shared" si="23"/>
        <v>0</v>
      </c>
      <c r="Y184" s="738">
        <f t="shared" si="24"/>
        <v>0</v>
      </c>
    </row>
    <row r="185" spans="1:25">
      <c r="A185" s="754" t="str">
        <f>'Func Future Subs 2015'!A185</f>
        <v>825S Whitefish Lake_v181</v>
      </c>
      <c r="B185" s="754">
        <f>'Func Future Subs 2015'!B185</f>
        <v>1101</v>
      </c>
      <c r="C185" s="754">
        <f>'Func Future Subs 2015'!C185</f>
        <v>240</v>
      </c>
      <c r="D185" s="754">
        <f>'Func Future Subs 2015'!D185</f>
        <v>240</v>
      </c>
      <c r="E185" s="754" t="str">
        <f>'Func Future Subs 2015'!E185</f>
        <v>825S</v>
      </c>
      <c r="F185" s="754">
        <f>'Func Future Subs 2015'!F185</f>
        <v>53066.077171378703</v>
      </c>
      <c r="G185" s="754" t="str">
        <f>'Func Future Subs 2015'!G185</f>
        <v>ATCO</v>
      </c>
      <c r="H185" s="754">
        <f>'Func Future Subs 2015'!H185</f>
        <v>2016</v>
      </c>
      <c r="I185" s="306">
        <f>+IF($H185=I$2,VLOOKUP($G185,Depreciation!$A$14:$L$18,7,FALSE)/2,IF($H185&lt;I$2,VLOOKUP($G185,Depreciation!$A$14:$L$18,7,FALSE),0))</f>
        <v>0</v>
      </c>
      <c r="J185" s="306">
        <f>+IF($H185=J$2,VLOOKUP($G185,Depreciation!$A$14:$L$18,8,FALSE)/2,IF($H185&lt;J$2,VLOOKUP($G185,Depreciation!$A$14:$L$18,8,FALSE),0))</f>
        <v>1.231622525054236E-2</v>
      </c>
      <c r="K185" s="306">
        <f>+IF($H185=K$2,VLOOKUP($G185,Depreciation!$A$14:$L$18,9,FALSE)/2,IF($H185&lt;K$2,VLOOKUP($G185,Depreciation!$A$14:$L$18,9,FALSE),0))</f>
        <v>2.4351536427798831E-2</v>
      </c>
      <c r="L185" s="306">
        <f>+IF($H185=L$2,VLOOKUP($G185,Depreciation!$A$14:$L$18,10,FALSE)/2,IF($H185&lt;L$2,VLOOKUP($G185,Depreciation!$A$14:$L$18,10,FALSE),0))</f>
        <v>2.4351536427798831E-2</v>
      </c>
      <c r="M185" s="306">
        <f>+IF($H185=M$2,VLOOKUP($G185,Depreciation!$A$14:$L$18,11,FALSE)/2,IF($H185&lt;M$2,VLOOKUP($G185,Depreciation!$A$14:$L$18,11,FALSE),0))</f>
        <v>2.4351536427798831E-2</v>
      </c>
      <c r="N185" s="306">
        <f>+IF($H185=N$2,VLOOKUP($G185,Depreciation!$A$14:$L$18,12,FALSE)/2,IF($H185&lt;N$2,VLOOKUP($G185,Depreciation!$A$14:$L$18,12,FALSE),0))</f>
        <v>2.4351536427798831E-2</v>
      </c>
      <c r="O185" s="307">
        <f t="shared" si="17"/>
        <v>51136.178425669415</v>
      </c>
      <c r="P185" s="732">
        <f>'Func Future Subs 2015'!P185</f>
        <v>0</v>
      </c>
      <c r="Q185" s="732">
        <f>'Func Future Subs 2015'!Q185</f>
        <v>0</v>
      </c>
      <c r="R185" s="732">
        <f>'Func Future Subs 2015'!R185</f>
        <v>1</v>
      </c>
      <c r="S185" s="735">
        <f t="shared" si="18"/>
        <v>0</v>
      </c>
      <c r="T185" s="735">
        <f t="shared" si="19"/>
        <v>0</v>
      </c>
      <c r="U185" s="735">
        <f t="shared" si="20"/>
        <v>51136.178425669415</v>
      </c>
      <c r="V185" s="736">
        <f t="shared" si="21"/>
        <v>0</v>
      </c>
      <c r="W185" s="735">
        <f t="shared" si="22"/>
        <v>51136.178425669415</v>
      </c>
      <c r="X185" s="737">
        <f t="shared" si="23"/>
        <v>0</v>
      </c>
      <c r="Y185" s="738">
        <f t="shared" si="24"/>
        <v>0</v>
      </c>
    </row>
    <row r="186" spans="1:25">
      <c r="A186" s="754" t="str">
        <f>'Func Future Subs 2015'!A186</f>
        <v>898S Heart Lake_v181</v>
      </c>
      <c r="B186" s="754">
        <f>'Func Future Subs 2015'!B186</f>
        <v>1101</v>
      </c>
      <c r="C186" s="754">
        <f>'Func Future Subs 2015'!C186</f>
        <v>240</v>
      </c>
      <c r="D186" s="754">
        <f>'Func Future Subs 2015'!D186</f>
        <v>144</v>
      </c>
      <c r="E186" s="754" t="str">
        <f>'Func Future Subs 2015'!E186</f>
        <v>898S</v>
      </c>
      <c r="F186" s="754">
        <f>'Func Future Subs 2015'!F186</f>
        <v>16501631.680569168</v>
      </c>
      <c r="G186" s="754" t="str">
        <f>'Func Future Subs 2015'!G186</f>
        <v>ATCO</v>
      </c>
      <c r="H186" s="754">
        <f>'Func Future Subs 2015'!H186</f>
        <v>2016</v>
      </c>
      <c r="I186" s="306">
        <f>+IF($H186=I$2,VLOOKUP($G186,Depreciation!$A$14:$L$18,7,FALSE)/2,IF($H186&lt;I$2,VLOOKUP($G186,Depreciation!$A$14:$L$18,7,FALSE),0))</f>
        <v>0</v>
      </c>
      <c r="J186" s="306">
        <f>+IF($H186=J$2,VLOOKUP($G186,Depreciation!$A$14:$L$18,8,FALSE)/2,IF($H186&lt;J$2,VLOOKUP($G186,Depreciation!$A$14:$L$18,8,FALSE),0))</f>
        <v>1.231622525054236E-2</v>
      </c>
      <c r="K186" s="306">
        <f>+IF($H186=K$2,VLOOKUP($G186,Depreciation!$A$14:$L$18,9,FALSE)/2,IF($H186&lt;K$2,VLOOKUP($G186,Depreciation!$A$14:$L$18,9,FALSE),0))</f>
        <v>2.4351536427798831E-2</v>
      </c>
      <c r="L186" s="306">
        <f>+IF($H186=L$2,VLOOKUP($G186,Depreciation!$A$14:$L$18,10,FALSE)/2,IF($H186&lt;L$2,VLOOKUP($G186,Depreciation!$A$14:$L$18,10,FALSE),0))</f>
        <v>2.4351536427798831E-2</v>
      </c>
      <c r="M186" s="306">
        <f>+IF($H186=M$2,VLOOKUP($G186,Depreciation!$A$14:$L$18,11,FALSE)/2,IF($H186&lt;M$2,VLOOKUP($G186,Depreciation!$A$14:$L$18,11,FALSE),0))</f>
        <v>2.4351536427798831E-2</v>
      </c>
      <c r="N186" s="306">
        <f>+IF($H186=N$2,VLOOKUP($G186,Depreciation!$A$14:$L$18,12,FALSE)/2,IF($H186&lt;N$2,VLOOKUP($G186,Depreciation!$A$14:$L$18,12,FALSE),0))</f>
        <v>2.4351536427798831E-2</v>
      </c>
      <c r="O186" s="307">
        <f t="shared" si="17"/>
        <v>15901502.935803697</v>
      </c>
      <c r="P186" s="732">
        <f>'Func Future Subs 2015'!P186</f>
        <v>0</v>
      </c>
      <c r="Q186" s="732">
        <f>'Func Future Subs 2015'!Q186</f>
        <v>0</v>
      </c>
      <c r="R186" s="732">
        <f>'Func Future Subs 2015'!R186</f>
        <v>1</v>
      </c>
      <c r="S186" s="735">
        <f t="shared" si="18"/>
        <v>0</v>
      </c>
      <c r="T186" s="735">
        <f t="shared" si="19"/>
        <v>0</v>
      </c>
      <c r="U186" s="735">
        <f t="shared" si="20"/>
        <v>15901502.935803697</v>
      </c>
      <c r="V186" s="736">
        <f t="shared" si="21"/>
        <v>0</v>
      </c>
      <c r="W186" s="735">
        <f t="shared" si="22"/>
        <v>0</v>
      </c>
      <c r="X186" s="737">
        <f t="shared" si="23"/>
        <v>15901502.935803697</v>
      </c>
      <c r="Y186" s="738">
        <f t="shared" si="24"/>
        <v>0</v>
      </c>
    </row>
    <row r="187" spans="1:25">
      <c r="A187" s="754" t="str">
        <f>'Func Future Subs 2015'!A187</f>
        <v>Black Spruce 154S mod 180</v>
      </c>
      <c r="B187" s="754">
        <f>'Func Future Subs 2015'!B187</f>
        <v>1101</v>
      </c>
      <c r="C187" s="754">
        <f>'Func Future Subs 2015'!C187</f>
        <v>240</v>
      </c>
      <c r="D187" s="754">
        <f>'Func Future Subs 2015'!D187</f>
        <v>240</v>
      </c>
      <c r="E187" s="754" t="str">
        <f>'Func Future Subs 2015'!E187</f>
        <v>154S</v>
      </c>
      <c r="F187" s="754">
        <f>'Func Future Subs 2015'!F187</f>
        <v>412500.85892165155</v>
      </c>
      <c r="G187" s="754" t="str">
        <f>'Func Future Subs 2015'!G187</f>
        <v>AltaLink</v>
      </c>
      <c r="H187" s="754">
        <f>'Func Future Subs 2015'!H187</f>
        <v>2016</v>
      </c>
      <c r="I187" s="306">
        <f>+IF($H187=I$2,VLOOKUP($G187,Depreciation!$A$14:$L$18,7,FALSE)/2,IF($H187&lt;I$2,VLOOKUP($G187,Depreciation!$A$14:$L$18,7,FALSE),0))</f>
        <v>0</v>
      </c>
      <c r="J187" s="306">
        <f>+IF($H187=J$2,VLOOKUP($G187,Depreciation!$A$14:$L$18,8,FALSE)/2,IF($H187&lt;J$2,VLOOKUP($G187,Depreciation!$A$14:$L$18,8,FALSE),0))</f>
        <v>1.671703928371859E-2</v>
      </c>
      <c r="K187" s="306">
        <f>+IF($H187=K$2,VLOOKUP($G187,Depreciation!$A$14:$L$18,9,FALSE)/2,IF($H187&lt;K$2,VLOOKUP($G187,Depreciation!$A$14:$L$18,9,FALSE),0))</f>
        <v>3.343407856743718E-2</v>
      </c>
      <c r="L187" s="306">
        <f>+IF($H187=L$2,VLOOKUP($G187,Depreciation!$A$14:$L$18,10,FALSE)/2,IF($H187&lt;L$2,VLOOKUP($G187,Depreciation!$A$14:$L$18,10,FALSE),0))</f>
        <v>3.343407856743718E-2</v>
      </c>
      <c r="M187" s="306">
        <f>+IF($H187=M$2,VLOOKUP($G187,Depreciation!$A$14:$L$18,11,FALSE)/2,IF($H187&lt;M$2,VLOOKUP($G187,Depreciation!$A$14:$L$18,11,FALSE),0))</f>
        <v>3.343407856743718E-2</v>
      </c>
      <c r="N187" s="306">
        <f>+IF($H187=N$2,VLOOKUP($G187,Depreciation!$A$14:$L$18,12,FALSE)/2,IF($H187&lt;N$2,VLOOKUP($G187,Depreciation!$A$14:$L$18,12,FALSE),0))</f>
        <v>3.343407856743718E-2</v>
      </c>
      <c r="O187" s="307">
        <f t="shared" si="17"/>
        <v>392044.03421922732</v>
      </c>
      <c r="P187" s="732">
        <f>'Func Future Subs 2015'!P187</f>
        <v>0</v>
      </c>
      <c r="Q187" s="732">
        <f>'Func Future Subs 2015'!Q187</f>
        <v>0</v>
      </c>
      <c r="R187" s="732">
        <f>'Func Future Subs 2015'!R187</f>
        <v>1</v>
      </c>
      <c r="S187" s="735">
        <f t="shared" si="18"/>
        <v>0</v>
      </c>
      <c r="T187" s="735">
        <f t="shared" si="19"/>
        <v>0</v>
      </c>
      <c r="U187" s="735">
        <f t="shared" si="20"/>
        <v>392044.03421922732</v>
      </c>
      <c r="V187" s="736">
        <f t="shared" si="21"/>
        <v>0</v>
      </c>
      <c r="W187" s="735">
        <f t="shared" si="22"/>
        <v>392044.03421922732</v>
      </c>
      <c r="X187" s="737">
        <f t="shared" si="23"/>
        <v>0</v>
      </c>
      <c r="Y187" s="738">
        <f t="shared" si="24"/>
        <v>0</v>
      </c>
    </row>
    <row r="188" spans="1:25">
      <c r="A188" s="754" t="str">
        <f>'Func Future Subs 2015'!A188</f>
        <v>Black spruce substation 154S180</v>
      </c>
      <c r="B188" s="754">
        <f>'Func Future Subs 2015'!B188</f>
        <v>1101</v>
      </c>
      <c r="C188" s="754">
        <f>'Func Future Subs 2015'!C188</f>
        <v>240</v>
      </c>
      <c r="D188" s="754">
        <f>'Func Future Subs 2015'!D188</f>
        <v>240</v>
      </c>
      <c r="E188" s="754" t="str">
        <f>'Func Future Subs 2015'!E188</f>
        <v>154S</v>
      </c>
      <c r="F188" s="754">
        <f>'Func Future Subs 2015'!F188</f>
        <v>26377454.74440499</v>
      </c>
      <c r="G188" s="754" t="str">
        <f>'Func Future Subs 2015'!G188</f>
        <v>AltaLink</v>
      </c>
      <c r="H188" s="754">
        <f>'Func Future Subs 2015'!H188</f>
        <v>2016</v>
      </c>
      <c r="I188" s="306">
        <f>+IF($H188=I$2,VLOOKUP($G188,Depreciation!$A$14:$L$18,7,FALSE)/2,IF($H188&lt;I$2,VLOOKUP($G188,Depreciation!$A$14:$L$18,7,FALSE),0))</f>
        <v>0</v>
      </c>
      <c r="J188" s="306">
        <f>+IF($H188=J$2,VLOOKUP($G188,Depreciation!$A$14:$L$18,8,FALSE)/2,IF($H188&lt;J$2,VLOOKUP($G188,Depreciation!$A$14:$L$18,8,FALSE),0))</f>
        <v>1.671703928371859E-2</v>
      </c>
      <c r="K188" s="306">
        <f>+IF($H188=K$2,VLOOKUP($G188,Depreciation!$A$14:$L$18,9,FALSE)/2,IF($H188&lt;K$2,VLOOKUP($G188,Depreciation!$A$14:$L$18,9,FALSE),0))</f>
        <v>3.343407856743718E-2</v>
      </c>
      <c r="L188" s="306">
        <f>+IF($H188=L$2,VLOOKUP($G188,Depreciation!$A$14:$L$18,10,FALSE)/2,IF($H188&lt;L$2,VLOOKUP($G188,Depreciation!$A$14:$L$18,10,FALSE),0))</f>
        <v>3.343407856743718E-2</v>
      </c>
      <c r="M188" s="306">
        <f>+IF($H188=M$2,VLOOKUP($G188,Depreciation!$A$14:$L$18,11,FALSE)/2,IF($H188&lt;M$2,VLOOKUP($G188,Depreciation!$A$14:$L$18,11,FALSE),0))</f>
        <v>3.343407856743718E-2</v>
      </c>
      <c r="N188" s="306">
        <f>+IF($H188=N$2,VLOOKUP($G188,Depreciation!$A$14:$L$18,12,FALSE)/2,IF($H188&lt;N$2,VLOOKUP($G188,Depreciation!$A$14:$L$18,12,FALSE),0))</f>
        <v>3.343407856743718E-2</v>
      </c>
      <c r="O188" s="307">
        <f t="shared" si="17"/>
        <v>25069338.758384924</v>
      </c>
      <c r="P188" s="732">
        <f>'Func Future Subs 2015'!P188</f>
        <v>0</v>
      </c>
      <c r="Q188" s="732">
        <f>'Func Future Subs 2015'!Q188</f>
        <v>0</v>
      </c>
      <c r="R188" s="732">
        <f>'Func Future Subs 2015'!R188</f>
        <v>1</v>
      </c>
      <c r="S188" s="735">
        <f t="shared" si="18"/>
        <v>0</v>
      </c>
      <c r="T188" s="735">
        <f t="shared" si="19"/>
        <v>0</v>
      </c>
      <c r="U188" s="735">
        <f t="shared" si="20"/>
        <v>25069338.758384924</v>
      </c>
      <c r="V188" s="736">
        <f t="shared" si="21"/>
        <v>0</v>
      </c>
      <c r="W188" s="735">
        <f t="shared" si="22"/>
        <v>25069338.758384924</v>
      </c>
      <c r="X188" s="737">
        <f t="shared" si="23"/>
        <v>0</v>
      </c>
      <c r="Y188" s="738">
        <f t="shared" si="24"/>
        <v>0</v>
      </c>
    </row>
    <row r="189" spans="1:25">
      <c r="A189" s="754" t="str">
        <f>'Func Future Subs 2015'!A189</f>
        <v>Christina Lake 723S upg 180</v>
      </c>
      <c r="B189" s="754">
        <f>'Func Future Subs 2015'!B189</f>
        <v>1101</v>
      </c>
      <c r="C189" s="754">
        <f>'Func Future Subs 2015'!C189</f>
        <v>240</v>
      </c>
      <c r="D189" s="754">
        <f>'Func Future Subs 2015'!D189</f>
        <v>25</v>
      </c>
      <c r="E189" s="754" t="str">
        <f>'Func Future Subs 2015'!E189</f>
        <v>723S</v>
      </c>
      <c r="F189" s="754">
        <f>'Func Future Subs 2015'!F189</f>
        <v>3002680.4093360943</v>
      </c>
      <c r="G189" s="754" t="str">
        <f>'Func Future Subs 2015'!G189</f>
        <v>AltaLink</v>
      </c>
      <c r="H189" s="754">
        <f>'Func Future Subs 2015'!H189</f>
        <v>2016</v>
      </c>
      <c r="I189" s="306">
        <f>+IF($H189=I$2,VLOOKUP($G189,Depreciation!$A$14:$L$18,7,FALSE)/2,IF($H189&lt;I$2,VLOOKUP($G189,Depreciation!$A$14:$L$18,7,FALSE),0))</f>
        <v>0</v>
      </c>
      <c r="J189" s="306">
        <f>+IF($H189=J$2,VLOOKUP($G189,Depreciation!$A$14:$L$18,8,FALSE)/2,IF($H189&lt;J$2,VLOOKUP($G189,Depreciation!$A$14:$L$18,8,FALSE),0))</f>
        <v>1.671703928371859E-2</v>
      </c>
      <c r="K189" s="306">
        <f>+IF($H189=K$2,VLOOKUP($G189,Depreciation!$A$14:$L$18,9,FALSE)/2,IF($H189&lt;K$2,VLOOKUP($G189,Depreciation!$A$14:$L$18,9,FALSE),0))</f>
        <v>3.343407856743718E-2</v>
      </c>
      <c r="L189" s="306">
        <f>+IF($H189=L$2,VLOOKUP($G189,Depreciation!$A$14:$L$18,10,FALSE)/2,IF($H189&lt;L$2,VLOOKUP($G189,Depreciation!$A$14:$L$18,10,FALSE),0))</f>
        <v>3.343407856743718E-2</v>
      </c>
      <c r="M189" s="306">
        <f>+IF($H189=M$2,VLOOKUP($G189,Depreciation!$A$14:$L$18,11,FALSE)/2,IF($H189&lt;M$2,VLOOKUP($G189,Depreciation!$A$14:$L$18,11,FALSE),0))</f>
        <v>3.343407856743718E-2</v>
      </c>
      <c r="N189" s="306">
        <f>+IF($H189=N$2,VLOOKUP($G189,Depreciation!$A$14:$L$18,12,FALSE)/2,IF($H189&lt;N$2,VLOOKUP($G189,Depreciation!$A$14:$L$18,12,FALSE),0))</f>
        <v>3.343407856743718E-2</v>
      </c>
      <c r="O189" s="307">
        <f t="shared" si="17"/>
        <v>2853770.8848037859</v>
      </c>
      <c r="P189" s="732">
        <f>'Func Future Subs 2015'!P189</f>
        <v>0</v>
      </c>
      <c r="Q189" s="732">
        <f>'Func Future Subs 2015'!Q189</f>
        <v>1</v>
      </c>
      <c r="R189" s="732">
        <f>'Func Future Subs 2015'!R189</f>
        <v>0</v>
      </c>
      <c r="S189" s="735">
        <f t="shared" si="18"/>
        <v>0</v>
      </c>
      <c r="T189" s="735">
        <f t="shared" si="19"/>
        <v>2853770.8848037859</v>
      </c>
      <c r="U189" s="735">
        <f t="shared" si="20"/>
        <v>0</v>
      </c>
      <c r="V189" s="736">
        <f t="shared" si="21"/>
        <v>0</v>
      </c>
      <c r="W189" s="735">
        <f t="shared" si="22"/>
        <v>0</v>
      </c>
      <c r="X189" s="737">
        <f t="shared" si="23"/>
        <v>0</v>
      </c>
      <c r="Y189" s="738">
        <f t="shared" si="24"/>
        <v>2853770.8848037859</v>
      </c>
    </row>
    <row r="190" spans="1:25">
      <c r="A190" s="754" t="str">
        <f>'Func Future Subs 2015'!A190</f>
        <v>Conklin 762S180</v>
      </c>
      <c r="B190" s="754">
        <f>'Func Future Subs 2015'!B190</f>
        <v>1101</v>
      </c>
      <c r="C190" s="754">
        <f>'Func Future Subs 2015'!C190</f>
        <v>240</v>
      </c>
      <c r="D190" s="754">
        <f>'Func Future Subs 2015'!D190</f>
        <v>25</v>
      </c>
      <c r="E190" s="754" t="str">
        <f>'Func Future Subs 2015'!E190</f>
        <v>762S</v>
      </c>
      <c r="F190" s="754">
        <f>'Func Future Subs 2015'!F190</f>
        <v>17282.930052027419</v>
      </c>
      <c r="G190" s="754" t="str">
        <f>'Func Future Subs 2015'!G190</f>
        <v>AltaLink</v>
      </c>
      <c r="H190" s="754">
        <f>'Func Future Subs 2015'!H190</f>
        <v>2016</v>
      </c>
      <c r="I190" s="306">
        <f>+IF($H190=I$2,VLOOKUP($G190,Depreciation!$A$14:$L$18,7,FALSE)/2,IF($H190&lt;I$2,VLOOKUP($G190,Depreciation!$A$14:$L$18,7,FALSE),0))</f>
        <v>0</v>
      </c>
      <c r="J190" s="306">
        <f>+IF($H190=J$2,VLOOKUP($G190,Depreciation!$A$14:$L$18,8,FALSE)/2,IF($H190&lt;J$2,VLOOKUP($G190,Depreciation!$A$14:$L$18,8,FALSE),0))</f>
        <v>1.671703928371859E-2</v>
      </c>
      <c r="K190" s="306">
        <f>+IF($H190=K$2,VLOOKUP($G190,Depreciation!$A$14:$L$18,9,FALSE)/2,IF($H190&lt;K$2,VLOOKUP($G190,Depreciation!$A$14:$L$18,9,FALSE),0))</f>
        <v>3.343407856743718E-2</v>
      </c>
      <c r="L190" s="306">
        <f>+IF($H190=L$2,VLOOKUP($G190,Depreciation!$A$14:$L$18,10,FALSE)/2,IF($H190&lt;L$2,VLOOKUP($G190,Depreciation!$A$14:$L$18,10,FALSE),0))</f>
        <v>3.343407856743718E-2</v>
      </c>
      <c r="M190" s="306">
        <f>+IF($H190=M$2,VLOOKUP($G190,Depreciation!$A$14:$L$18,11,FALSE)/2,IF($H190&lt;M$2,VLOOKUP($G190,Depreciation!$A$14:$L$18,11,FALSE),0))</f>
        <v>3.343407856743718E-2</v>
      </c>
      <c r="N190" s="306">
        <f>+IF($H190=N$2,VLOOKUP($G190,Depreciation!$A$14:$L$18,12,FALSE)/2,IF($H190&lt;N$2,VLOOKUP($G190,Depreciation!$A$14:$L$18,12,FALSE),0))</f>
        <v>3.343407856743718E-2</v>
      </c>
      <c r="O190" s="307">
        <f t="shared" si="17"/>
        <v>16425.831544783494</v>
      </c>
      <c r="P190" s="732">
        <f>'Func Future Subs 2015'!P190</f>
        <v>0.92307692307692313</v>
      </c>
      <c r="Q190" s="732">
        <f>'Func Future Subs 2015'!Q190</f>
        <v>7.6923076923076927E-2</v>
      </c>
      <c r="R190" s="732">
        <f>'Func Future Subs 2015'!R190</f>
        <v>0</v>
      </c>
      <c r="S190" s="735">
        <f t="shared" si="18"/>
        <v>15162.30604133861</v>
      </c>
      <c r="T190" s="735">
        <f t="shared" si="19"/>
        <v>1263.5255034448842</v>
      </c>
      <c r="U190" s="735">
        <f t="shared" si="20"/>
        <v>0</v>
      </c>
      <c r="V190" s="736">
        <f t="shared" si="21"/>
        <v>0</v>
      </c>
      <c r="W190" s="735">
        <f t="shared" si="22"/>
        <v>15162.30604133861</v>
      </c>
      <c r="X190" s="737">
        <f t="shared" si="23"/>
        <v>0</v>
      </c>
      <c r="Y190" s="738">
        <f t="shared" si="24"/>
        <v>1263.5255034448842</v>
      </c>
    </row>
    <row r="191" spans="1:25">
      <c r="A191" s="754" t="str">
        <f>'Func Future Subs 2015'!A191</f>
        <v>Ipiatik 167S 180</v>
      </c>
      <c r="B191" s="754">
        <f>'Func Future Subs 2015'!B191</f>
        <v>1101</v>
      </c>
      <c r="C191" s="754">
        <f>'Func Future Subs 2015'!C191</f>
        <v>240</v>
      </c>
      <c r="D191" s="754">
        <f>'Func Future Subs 2015'!D191</f>
        <v>138</v>
      </c>
      <c r="E191" s="754" t="str">
        <f>'Func Future Subs 2015'!E191</f>
        <v>167S</v>
      </c>
      <c r="F191" s="754">
        <f>'Func Future Subs 2015'!F191</f>
        <v>51249492.017830744</v>
      </c>
      <c r="G191" s="754" t="str">
        <f>'Func Future Subs 2015'!G191</f>
        <v>AltaLink</v>
      </c>
      <c r="H191" s="754">
        <f>'Func Future Subs 2015'!H191</f>
        <v>2016</v>
      </c>
      <c r="I191" s="306">
        <f>+IF($H191=I$2,VLOOKUP($G191,Depreciation!$A$14:$L$18,7,FALSE)/2,IF($H191&lt;I$2,VLOOKUP($G191,Depreciation!$A$14:$L$18,7,FALSE),0))</f>
        <v>0</v>
      </c>
      <c r="J191" s="306">
        <f>+IF($H191=J$2,VLOOKUP($G191,Depreciation!$A$14:$L$18,8,FALSE)/2,IF($H191&lt;J$2,VLOOKUP($G191,Depreciation!$A$14:$L$18,8,FALSE),0))</f>
        <v>1.671703928371859E-2</v>
      </c>
      <c r="K191" s="306">
        <f>+IF($H191=K$2,VLOOKUP($G191,Depreciation!$A$14:$L$18,9,FALSE)/2,IF($H191&lt;K$2,VLOOKUP($G191,Depreciation!$A$14:$L$18,9,FALSE),0))</f>
        <v>3.343407856743718E-2</v>
      </c>
      <c r="L191" s="306">
        <f>+IF($H191=L$2,VLOOKUP($G191,Depreciation!$A$14:$L$18,10,FALSE)/2,IF($H191&lt;L$2,VLOOKUP($G191,Depreciation!$A$14:$L$18,10,FALSE),0))</f>
        <v>3.343407856743718E-2</v>
      </c>
      <c r="M191" s="306">
        <f>+IF($H191=M$2,VLOOKUP($G191,Depreciation!$A$14:$L$18,11,FALSE)/2,IF($H191&lt;M$2,VLOOKUP($G191,Depreciation!$A$14:$L$18,11,FALSE),0))</f>
        <v>3.343407856743718E-2</v>
      </c>
      <c r="N191" s="306">
        <f>+IF($H191=N$2,VLOOKUP($G191,Depreciation!$A$14:$L$18,12,FALSE)/2,IF($H191&lt;N$2,VLOOKUP($G191,Depreciation!$A$14:$L$18,12,FALSE),0))</f>
        <v>3.343407856743718E-2</v>
      </c>
      <c r="O191" s="307">
        <f t="shared" si="17"/>
        <v>48707917.008659236</v>
      </c>
      <c r="P191" s="732">
        <f>'Func Future Subs 2015'!P191</f>
        <v>0</v>
      </c>
      <c r="Q191" s="732">
        <f>'Func Future Subs 2015'!Q191</f>
        <v>0</v>
      </c>
      <c r="R191" s="732">
        <f>'Func Future Subs 2015'!R191</f>
        <v>1</v>
      </c>
      <c r="S191" s="735">
        <f t="shared" si="18"/>
        <v>0</v>
      </c>
      <c r="T191" s="735">
        <f t="shared" si="19"/>
        <v>0</v>
      </c>
      <c r="U191" s="735">
        <f t="shared" si="20"/>
        <v>48707917.008659236</v>
      </c>
      <c r="V191" s="736">
        <f t="shared" si="21"/>
        <v>0</v>
      </c>
      <c r="W191" s="735">
        <f t="shared" si="22"/>
        <v>0</v>
      </c>
      <c r="X191" s="737">
        <f t="shared" si="23"/>
        <v>48707917.008659236</v>
      </c>
      <c r="Y191" s="738">
        <f t="shared" si="24"/>
        <v>0</v>
      </c>
    </row>
    <row r="192" spans="1:25">
      <c r="A192" s="754" t="str">
        <f>'Func Future Subs 2015'!A192</f>
        <v>Jackfish 698S mod 180</v>
      </c>
      <c r="B192" s="754">
        <f>'Func Future Subs 2015'!B192</f>
        <v>1101</v>
      </c>
      <c r="C192" s="754">
        <f>'Func Future Subs 2015'!C192</f>
        <v>240</v>
      </c>
      <c r="D192" s="754">
        <f>'Func Future Subs 2015'!D192</f>
        <v>25</v>
      </c>
      <c r="E192" s="754" t="str">
        <f>'Func Future Subs 2015'!E192</f>
        <v>698S</v>
      </c>
      <c r="F192" s="754">
        <f>'Func Future Subs 2015'!F192</f>
        <v>485910.49572502839</v>
      </c>
      <c r="G192" s="754" t="str">
        <f>'Func Future Subs 2015'!G192</f>
        <v>AltaLink</v>
      </c>
      <c r="H192" s="754">
        <f>'Func Future Subs 2015'!H192</f>
        <v>2016</v>
      </c>
      <c r="I192" s="306">
        <f>+IF($H192=I$2,VLOOKUP($G192,Depreciation!$A$14:$L$18,7,FALSE)/2,IF($H192&lt;I$2,VLOOKUP($G192,Depreciation!$A$14:$L$18,7,FALSE),0))</f>
        <v>0</v>
      </c>
      <c r="J192" s="306">
        <f>+IF($H192=J$2,VLOOKUP($G192,Depreciation!$A$14:$L$18,8,FALSE)/2,IF($H192&lt;J$2,VLOOKUP($G192,Depreciation!$A$14:$L$18,8,FALSE),0))</f>
        <v>1.671703928371859E-2</v>
      </c>
      <c r="K192" s="306">
        <f>+IF($H192=K$2,VLOOKUP($G192,Depreciation!$A$14:$L$18,9,FALSE)/2,IF($H192&lt;K$2,VLOOKUP($G192,Depreciation!$A$14:$L$18,9,FALSE),0))</f>
        <v>3.343407856743718E-2</v>
      </c>
      <c r="L192" s="306">
        <f>+IF($H192=L$2,VLOOKUP($G192,Depreciation!$A$14:$L$18,10,FALSE)/2,IF($H192&lt;L$2,VLOOKUP($G192,Depreciation!$A$14:$L$18,10,FALSE),0))</f>
        <v>3.343407856743718E-2</v>
      </c>
      <c r="M192" s="306">
        <f>+IF($H192=M$2,VLOOKUP($G192,Depreciation!$A$14:$L$18,11,FALSE)/2,IF($H192&lt;M$2,VLOOKUP($G192,Depreciation!$A$14:$L$18,11,FALSE),0))</f>
        <v>3.343407856743718E-2</v>
      </c>
      <c r="N192" s="306">
        <f>+IF($H192=N$2,VLOOKUP($G192,Depreciation!$A$14:$L$18,12,FALSE)/2,IF($H192&lt;N$2,VLOOKUP($G192,Depreciation!$A$14:$L$18,12,FALSE),0))</f>
        <v>3.343407856743718E-2</v>
      </c>
      <c r="O192" s="307">
        <f t="shared" si="17"/>
        <v>461813.12570233236</v>
      </c>
      <c r="P192" s="732">
        <f>'Func Future Subs 2015'!P192</f>
        <v>0</v>
      </c>
      <c r="Q192" s="732">
        <f>'Func Future Subs 2015'!Q192</f>
        <v>0</v>
      </c>
      <c r="R192" s="732">
        <f>'Func Future Subs 2015'!R192</f>
        <v>1</v>
      </c>
      <c r="S192" s="735">
        <f t="shared" si="18"/>
        <v>0</v>
      </c>
      <c r="T192" s="735">
        <f t="shared" si="19"/>
        <v>0</v>
      </c>
      <c r="U192" s="735">
        <f t="shared" si="20"/>
        <v>461813.12570233236</v>
      </c>
      <c r="V192" s="736">
        <f t="shared" si="21"/>
        <v>0</v>
      </c>
      <c r="W192" s="735">
        <f t="shared" si="22"/>
        <v>0</v>
      </c>
      <c r="X192" s="737">
        <f t="shared" si="23"/>
        <v>0</v>
      </c>
      <c r="Y192" s="738">
        <f t="shared" si="24"/>
        <v>461813.12570233236</v>
      </c>
    </row>
    <row r="193" spans="1:25">
      <c r="A193" s="754" t="str">
        <f>'Func Future Subs 2015'!A193</f>
        <v>Jackfish 698S180</v>
      </c>
      <c r="B193" s="754">
        <f>'Func Future Subs 2015'!B193</f>
        <v>1101</v>
      </c>
      <c r="C193" s="754">
        <f>'Func Future Subs 2015'!C193</f>
        <v>240</v>
      </c>
      <c r="D193" s="754">
        <f>'Func Future Subs 2015'!D193</f>
        <v>25</v>
      </c>
      <c r="E193" s="754" t="str">
        <f>'Func Future Subs 2015'!E193</f>
        <v>698S</v>
      </c>
      <c r="F193" s="754">
        <f>'Func Future Subs 2015'!F193</f>
        <v>17282.930052027419</v>
      </c>
      <c r="G193" s="754" t="str">
        <f>'Func Future Subs 2015'!G193</f>
        <v>AltaLink</v>
      </c>
      <c r="H193" s="754">
        <f>'Func Future Subs 2015'!H193</f>
        <v>2016</v>
      </c>
      <c r="I193" s="306">
        <f>+IF($H193=I$2,VLOOKUP($G193,Depreciation!$A$14:$L$18,7,FALSE)/2,IF($H193&lt;I$2,VLOOKUP($G193,Depreciation!$A$14:$L$18,7,FALSE),0))</f>
        <v>0</v>
      </c>
      <c r="J193" s="306">
        <f>+IF($H193=J$2,VLOOKUP($G193,Depreciation!$A$14:$L$18,8,FALSE)/2,IF($H193&lt;J$2,VLOOKUP($G193,Depreciation!$A$14:$L$18,8,FALSE),0))</f>
        <v>1.671703928371859E-2</v>
      </c>
      <c r="K193" s="306">
        <f>+IF($H193=K$2,VLOOKUP($G193,Depreciation!$A$14:$L$18,9,FALSE)/2,IF($H193&lt;K$2,VLOOKUP($G193,Depreciation!$A$14:$L$18,9,FALSE),0))</f>
        <v>3.343407856743718E-2</v>
      </c>
      <c r="L193" s="306">
        <f>+IF($H193=L$2,VLOOKUP($G193,Depreciation!$A$14:$L$18,10,FALSE)/2,IF($H193&lt;L$2,VLOOKUP($G193,Depreciation!$A$14:$L$18,10,FALSE),0))</f>
        <v>3.343407856743718E-2</v>
      </c>
      <c r="M193" s="306">
        <f>+IF($H193=M$2,VLOOKUP($G193,Depreciation!$A$14:$L$18,11,FALSE)/2,IF($H193&lt;M$2,VLOOKUP($G193,Depreciation!$A$14:$L$18,11,FALSE),0))</f>
        <v>3.343407856743718E-2</v>
      </c>
      <c r="N193" s="306">
        <f>+IF($H193=N$2,VLOOKUP($G193,Depreciation!$A$14:$L$18,12,FALSE)/2,IF($H193&lt;N$2,VLOOKUP($G193,Depreciation!$A$14:$L$18,12,FALSE),0))</f>
        <v>3.343407856743718E-2</v>
      </c>
      <c r="O193" s="307">
        <f t="shared" si="17"/>
        <v>16425.831544783494</v>
      </c>
      <c r="P193" s="732">
        <f>'Func Future Subs 2015'!P193</f>
        <v>0</v>
      </c>
      <c r="Q193" s="732">
        <f>'Func Future Subs 2015'!Q193</f>
        <v>0</v>
      </c>
      <c r="R193" s="732">
        <f>'Func Future Subs 2015'!R193</f>
        <v>1</v>
      </c>
      <c r="S193" s="735">
        <f t="shared" si="18"/>
        <v>0</v>
      </c>
      <c r="T193" s="735">
        <f t="shared" si="19"/>
        <v>0</v>
      </c>
      <c r="U193" s="735">
        <f t="shared" si="20"/>
        <v>16425.831544783494</v>
      </c>
      <c r="V193" s="736">
        <f t="shared" si="21"/>
        <v>0</v>
      </c>
      <c r="W193" s="735">
        <f t="shared" si="22"/>
        <v>0</v>
      </c>
      <c r="X193" s="737">
        <f t="shared" si="23"/>
        <v>0</v>
      </c>
      <c r="Y193" s="738">
        <f t="shared" si="24"/>
        <v>16425.831544783494</v>
      </c>
    </row>
    <row r="194" spans="1:25">
      <c r="A194" s="754" t="str">
        <f>'Func Future Subs 2015'!A194</f>
        <v>Pike 170S mod 180</v>
      </c>
      <c r="B194" s="754">
        <f>'Func Future Subs 2015'!B194</f>
        <v>1101</v>
      </c>
      <c r="C194" s="754">
        <f>'Func Future Subs 2015'!C194</f>
        <v>240</v>
      </c>
      <c r="D194" s="754">
        <f>'Func Future Subs 2015'!D194</f>
        <v>138</v>
      </c>
      <c r="E194" s="754" t="str">
        <f>'Func Future Subs 2015'!E194</f>
        <v>170S</v>
      </c>
      <c r="F194" s="754">
        <f>'Func Future Subs 2015'!F194</f>
        <v>31472.735128396711</v>
      </c>
      <c r="G194" s="754" t="str">
        <f>'Func Future Subs 2015'!G194</f>
        <v>AltaLink</v>
      </c>
      <c r="H194" s="754">
        <f>'Func Future Subs 2015'!H194</f>
        <v>2016</v>
      </c>
      <c r="I194" s="306">
        <f>+IF($H194=I$2,VLOOKUP($G194,Depreciation!$A$14:$L$18,7,FALSE)/2,IF($H194&lt;I$2,VLOOKUP($G194,Depreciation!$A$14:$L$18,7,FALSE),0))</f>
        <v>0</v>
      </c>
      <c r="J194" s="306">
        <f>+IF($H194=J$2,VLOOKUP($G194,Depreciation!$A$14:$L$18,8,FALSE)/2,IF($H194&lt;J$2,VLOOKUP($G194,Depreciation!$A$14:$L$18,8,FALSE),0))</f>
        <v>1.671703928371859E-2</v>
      </c>
      <c r="K194" s="306">
        <f>+IF($H194=K$2,VLOOKUP($G194,Depreciation!$A$14:$L$18,9,FALSE)/2,IF($H194&lt;K$2,VLOOKUP($G194,Depreciation!$A$14:$L$18,9,FALSE),0))</f>
        <v>3.343407856743718E-2</v>
      </c>
      <c r="L194" s="306">
        <f>+IF($H194=L$2,VLOOKUP($G194,Depreciation!$A$14:$L$18,10,FALSE)/2,IF($H194&lt;L$2,VLOOKUP($G194,Depreciation!$A$14:$L$18,10,FALSE),0))</f>
        <v>3.343407856743718E-2</v>
      </c>
      <c r="M194" s="306">
        <f>+IF($H194=M$2,VLOOKUP($G194,Depreciation!$A$14:$L$18,11,FALSE)/2,IF($H194&lt;M$2,VLOOKUP($G194,Depreciation!$A$14:$L$18,11,FALSE),0))</f>
        <v>3.343407856743718E-2</v>
      </c>
      <c r="N194" s="306">
        <f>+IF($H194=N$2,VLOOKUP($G194,Depreciation!$A$14:$L$18,12,FALSE)/2,IF($H194&lt;N$2,VLOOKUP($G194,Depreciation!$A$14:$L$18,12,FALSE),0))</f>
        <v>3.343407856743718E-2</v>
      </c>
      <c r="O194" s="307">
        <f t="shared" si="17"/>
        <v>29911.932983376872</v>
      </c>
      <c r="P194" s="732">
        <f>'Func Future Subs 2015'!P194</f>
        <v>0</v>
      </c>
      <c r="Q194" s="732">
        <f>'Func Future Subs 2015'!Q194</f>
        <v>0</v>
      </c>
      <c r="R194" s="732">
        <f>'Func Future Subs 2015'!R194</f>
        <v>1</v>
      </c>
      <c r="S194" s="735">
        <f t="shared" si="18"/>
        <v>0</v>
      </c>
      <c r="T194" s="735">
        <f t="shared" si="19"/>
        <v>0</v>
      </c>
      <c r="U194" s="735">
        <f t="shared" si="20"/>
        <v>29911.932983376872</v>
      </c>
      <c r="V194" s="736">
        <f t="shared" si="21"/>
        <v>0</v>
      </c>
      <c r="W194" s="735">
        <f t="shared" si="22"/>
        <v>0</v>
      </c>
      <c r="X194" s="737">
        <f t="shared" si="23"/>
        <v>29911.932983376872</v>
      </c>
      <c r="Y194" s="738">
        <f t="shared" si="24"/>
        <v>0</v>
      </c>
    </row>
    <row r="195" spans="1:25">
      <c r="A195" s="754" t="str">
        <f>'Func Future Subs 2015'!A195</f>
        <v>Pike 170S180</v>
      </c>
      <c r="B195" s="754">
        <f>'Func Future Subs 2015'!B195</f>
        <v>1101</v>
      </c>
      <c r="C195" s="754">
        <f>'Func Future Subs 2015'!C195</f>
        <v>240</v>
      </c>
      <c r="D195" s="754">
        <f>'Func Future Subs 2015'!D195</f>
        <v>138</v>
      </c>
      <c r="E195" s="754" t="str">
        <f>'Func Future Subs 2015'!E195</f>
        <v>170S</v>
      </c>
      <c r="F195" s="754">
        <f>'Func Future Subs 2015'!F195</f>
        <v>49648445.339725867</v>
      </c>
      <c r="G195" s="754" t="str">
        <f>'Func Future Subs 2015'!G195</f>
        <v>AltaLink</v>
      </c>
      <c r="H195" s="754">
        <f>'Func Future Subs 2015'!H195</f>
        <v>2016</v>
      </c>
      <c r="I195" s="306">
        <f>+IF($H195=I$2,VLOOKUP($G195,Depreciation!$A$14:$L$18,7,FALSE)/2,IF($H195&lt;I$2,VLOOKUP($G195,Depreciation!$A$14:$L$18,7,FALSE),0))</f>
        <v>0</v>
      </c>
      <c r="J195" s="306">
        <f>+IF($H195=J$2,VLOOKUP($G195,Depreciation!$A$14:$L$18,8,FALSE)/2,IF($H195&lt;J$2,VLOOKUP($G195,Depreciation!$A$14:$L$18,8,FALSE),0))</f>
        <v>1.671703928371859E-2</v>
      </c>
      <c r="K195" s="306">
        <f>+IF($H195=K$2,VLOOKUP($G195,Depreciation!$A$14:$L$18,9,FALSE)/2,IF($H195&lt;K$2,VLOOKUP($G195,Depreciation!$A$14:$L$18,9,FALSE),0))</f>
        <v>3.343407856743718E-2</v>
      </c>
      <c r="L195" s="306">
        <f>+IF($H195=L$2,VLOOKUP($G195,Depreciation!$A$14:$L$18,10,FALSE)/2,IF($H195&lt;L$2,VLOOKUP($G195,Depreciation!$A$14:$L$18,10,FALSE),0))</f>
        <v>3.343407856743718E-2</v>
      </c>
      <c r="M195" s="306">
        <f>+IF($H195=M$2,VLOOKUP($G195,Depreciation!$A$14:$L$18,11,FALSE)/2,IF($H195&lt;M$2,VLOOKUP($G195,Depreciation!$A$14:$L$18,11,FALSE),0))</f>
        <v>3.343407856743718E-2</v>
      </c>
      <c r="N195" s="306">
        <f>+IF($H195=N$2,VLOOKUP($G195,Depreciation!$A$14:$L$18,12,FALSE)/2,IF($H195&lt;N$2,VLOOKUP($G195,Depreciation!$A$14:$L$18,12,FALSE),0))</f>
        <v>3.343407856743718E-2</v>
      </c>
      <c r="O195" s="307">
        <f t="shared" si="17"/>
        <v>47186269.756097399</v>
      </c>
      <c r="P195" s="732">
        <f>'Func Future Subs 2015'!P195</f>
        <v>0</v>
      </c>
      <c r="Q195" s="732">
        <f>'Func Future Subs 2015'!Q195</f>
        <v>0</v>
      </c>
      <c r="R195" s="732">
        <f>'Func Future Subs 2015'!R195</f>
        <v>1</v>
      </c>
      <c r="S195" s="735">
        <f t="shared" si="18"/>
        <v>0</v>
      </c>
      <c r="T195" s="735">
        <f t="shared" si="19"/>
        <v>0</v>
      </c>
      <c r="U195" s="735">
        <f t="shared" si="20"/>
        <v>47186269.756097399</v>
      </c>
      <c r="V195" s="736">
        <f t="shared" si="21"/>
        <v>0</v>
      </c>
      <c r="W195" s="735">
        <f t="shared" si="22"/>
        <v>0</v>
      </c>
      <c r="X195" s="737">
        <f t="shared" si="23"/>
        <v>47186269.756097399</v>
      </c>
      <c r="Y195" s="738">
        <f t="shared" si="24"/>
        <v>0</v>
      </c>
    </row>
    <row r="196" spans="1:25">
      <c r="A196" s="754" t="str">
        <f>'Func Future Subs 2015'!A196</f>
        <v>Winefred 818S mod 180</v>
      </c>
      <c r="B196" s="754">
        <f>'Func Future Subs 2015'!B196</f>
        <v>1101</v>
      </c>
      <c r="C196" s="754">
        <f>'Func Future Subs 2015'!C196</f>
        <v>240</v>
      </c>
      <c r="D196" s="754">
        <f>'Func Future Subs 2015'!D196</f>
        <v>25</v>
      </c>
      <c r="E196" s="754" t="str">
        <f>'Func Future Subs 2015'!E196</f>
        <v>818S</v>
      </c>
      <c r="F196" s="754">
        <f>'Func Future Subs 2015'!F196</f>
        <v>467632.85141133214</v>
      </c>
      <c r="G196" s="754" t="str">
        <f>'Func Future Subs 2015'!G196</f>
        <v>AltaLink</v>
      </c>
      <c r="H196" s="754">
        <f>'Func Future Subs 2015'!H196</f>
        <v>2016</v>
      </c>
      <c r="I196" s="306">
        <f>+IF($H196=I$2,VLOOKUP($G196,Depreciation!$A$14:$L$18,7,FALSE)/2,IF($H196&lt;I$2,VLOOKUP($G196,Depreciation!$A$14:$L$18,7,FALSE),0))</f>
        <v>0</v>
      </c>
      <c r="J196" s="306">
        <f>+IF($H196=J$2,VLOOKUP($G196,Depreciation!$A$14:$L$18,8,FALSE)/2,IF($H196&lt;J$2,VLOOKUP($G196,Depreciation!$A$14:$L$18,8,FALSE),0))</f>
        <v>1.671703928371859E-2</v>
      </c>
      <c r="K196" s="306">
        <f>+IF($H196=K$2,VLOOKUP($G196,Depreciation!$A$14:$L$18,9,FALSE)/2,IF($H196&lt;K$2,VLOOKUP($G196,Depreciation!$A$14:$L$18,9,FALSE),0))</f>
        <v>3.343407856743718E-2</v>
      </c>
      <c r="L196" s="306">
        <f>+IF($H196=L$2,VLOOKUP($G196,Depreciation!$A$14:$L$18,10,FALSE)/2,IF($H196&lt;L$2,VLOOKUP($G196,Depreciation!$A$14:$L$18,10,FALSE),0))</f>
        <v>3.343407856743718E-2</v>
      </c>
      <c r="M196" s="306">
        <f>+IF($H196=M$2,VLOOKUP($G196,Depreciation!$A$14:$L$18,11,FALSE)/2,IF($H196&lt;M$2,VLOOKUP($G196,Depreciation!$A$14:$L$18,11,FALSE),0))</f>
        <v>3.343407856743718E-2</v>
      </c>
      <c r="N196" s="306">
        <f>+IF($H196=N$2,VLOOKUP($G196,Depreciation!$A$14:$L$18,12,FALSE)/2,IF($H196&lt;N$2,VLOOKUP($G196,Depreciation!$A$14:$L$18,12,FALSE),0))</f>
        <v>3.343407856743718E-2</v>
      </c>
      <c r="O196" s="307">
        <f t="shared" ref="O196:O259" si="25">IF(H196&lt;=2017,F196*(1-I196)*(1-J196)*(1-K196),0)</f>
        <v>444441.90996353899</v>
      </c>
      <c r="P196" s="732">
        <f>'Func Future Subs 2015'!P196</f>
        <v>0</v>
      </c>
      <c r="Q196" s="732">
        <f>'Func Future Subs 2015'!Q196</f>
        <v>1</v>
      </c>
      <c r="R196" s="732">
        <f>'Func Future Subs 2015'!R196</f>
        <v>0</v>
      </c>
      <c r="S196" s="735">
        <f t="shared" ref="S196:S259" si="26">+P196*$O196</f>
        <v>0</v>
      </c>
      <c r="T196" s="735">
        <f t="shared" ref="T196:T259" si="27">+Q196*$O196</f>
        <v>444441.90996353899</v>
      </c>
      <c r="U196" s="735">
        <f t="shared" ref="U196:U259" si="28">+R196*$O196</f>
        <v>0</v>
      </c>
      <c r="V196" s="736">
        <f t="shared" ref="V196:V259" si="29">IF(AND(R196=1,D196=0),O196,0)</f>
        <v>0</v>
      </c>
      <c r="W196" s="735">
        <f t="shared" ref="W196:W259" si="30">S196+IF(D196&gt;144,U196,0)</f>
        <v>0</v>
      </c>
      <c r="X196" s="737">
        <f t="shared" ref="X196:X259" si="31">IF(AND(D196&lt;=144,D196&gt;=69),U196,0)</f>
        <v>0</v>
      </c>
      <c r="Y196" s="738">
        <f t="shared" ref="Y196:Y259" si="32">T196+IF(AND(D196&lt;69,D196&gt;0),U196,0)</f>
        <v>444441.90996353899</v>
      </c>
    </row>
    <row r="197" spans="1:25">
      <c r="A197" s="754" t="str">
        <f>'Func Future Subs 2015'!A197</f>
        <v>ENMAX No. 47</v>
      </c>
      <c r="B197" s="754">
        <f>'Func Future Subs 2015'!B197</f>
        <v>1107</v>
      </c>
      <c r="C197" s="754">
        <f>'Func Future Subs 2015'!C197</f>
        <v>138</v>
      </c>
      <c r="D197" s="754">
        <f>'Func Future Subs 2015'!D197</f>
        <v>25</v>
      </c>
      <c r="E197" s="754" t="str">
        <f>'Func Future Subs 2015'!E197</f>
        <v>SS-47</v>
      </c>
      <c r="F197" s="754">
        <f>'Func Future Subs 2015'!F197</f>
        <v>9408587.9999999944</v>
      </c>
      <c r="G197" s="754" t="str">
        <f>'Func Future Subs 2015'!G197</f>
        <v>AltaLink</v>
      </c>
      <c r="H197" s="754">
        <f>'Func Future Subs 2015'!H197</f>
        <v>2015</v>
      </c>
      <c r="I197" s="306">
        <f>+IF($H197=I$2,VLOOKUP($G197,Depreciation!$A$14:$L$18,7,FALSE)/2,IF($H197&lt;I$2,VLOOKUP($G197,Depreciation!$A$14:$L$18,7,FALSE),0))</f>
        <v>1.7228380322441735E-2</v>
      </c>
      <c r="J197" s="306">
        <f>+IF($H197=J$2,VLOOKUP($G197,Depreciation!$A$14:$L$18,8,FALSE)/2,IF($H197&lt;J$2,VLOOKUP($G197,Depreciation!$A$14:$L$18,8,FALSE),0))</f>
        <v>3.343407856743718E-2</v>
      </c>
      <c r="K197" s="306">
        <f>+IF($H197=K$2,VLOOKUP($G197,Depreciation!$A$14:$L$18,9,FALSE)/2,IF($H197&lt;K$2,VLOOKUP($G197,Depreciation!$A$14:$L$18,9,FALSE),0))</f>
        <v>3.343407856743718E-2</v>
      </c>
      <c r="L197" s="306">
        <f>+IF($H197=L$2,VLOOKUP($G197,Depreciation!$A$14:$L$18,10,FALSE)/2,IF($H197&lt;L$2,VLOOKUP($G197,Depreciation!$A$14:$L$18,10,FALSE),0))</f>
        <v>3.343407856743718E-2</v>
      </c>
      <c r="M197" s="306">
        <f>+IF($H197=M$2,VLOOKUP($G197,Depreciation!$A$14:$L$18,11,FALSE)/2,IF($H197&lt;M$2,VLOOKUP($G197,Depreciation!$A$14:$L$18,11,FALSE),0))</f>
        <v>3.343407856743718E-2</v>
      </c>
      <c r="N197" s="306">
        <f>+IF($H197=N$2,VLOOKUP($G197,Depreciation!$A$14:$L$18,12,FALSE)/2,IF($H197&lt;N$2,VLOOKUP($G197,Depreciation!$A$14:$L$18,12,FALSE),0))</f>
        <v>3.343407856743718E-2</v>
      </c>
      <c r="O197" s="307">
        <f t="shared" si="25"/>
        <v>8638533.3808037769</v>
      </c>
      <c r="P197" s="732">
        <f>'Func Future Subs 2015'!P197</f>
        <v>0</v>
      </c>
      <c r="Q197" s="732">
        <f>'Func Future Subs 2015'!Q197</f>
        <v>0</v>
      </c>
      <c r="R197" s="732">
        <f>'Func Future Subs 2015'!R197</f>
        <v>1</v>
      </c>
      <c r="S197" s="735">
        <f t="shared" si="26"/>
        <v>0</v>
      </c>
      <c r="T197" s="735">
        <f t="shared" si="27"/>
        <v>0</v>
      </c>
      <c r="U197" s="735">
        <f t="shared" si="28"/>
        <v>8638533.3808037769</v>
      </c>
      <c r="V197" s="736">
        <f t="shared" si="29"/>
        <v>0</v>
      </c>
      <c r="W197" s="735">
        <f t="shared" si="30"/>
        <v>0</v>
      </c>
      <c r="X197" s="737">
        <f t="shared" si="31"/>
        <v>0</v>
      </c>
      <c r="Y197" s="738">
        <f t="shared" si="32"/>
        <v>8638533.3808037769</v>
      </c>
    </row>
    <row r="198" spans="1:25">
      <c r="A198" s="754" t="str">
        <f>'Func Future Subs 2015'!A198</f>
        <v>Carseland 525S_180</v>
      </c>
      <c r="B198" s="754">
        <f>'Func Future Subs 2015'!B198</f>
        <v>1117</v>
      </c>
      <c r="C198" s="754">
        <f>'Func Future Subs 2015'!C198</f>
        <v>138</v>
      </c>
      <c r="D198" s="754">
        <f>'Func Future Subs 2015'!D198</f>
        <v>25</v>
      </c>
      <c r="E198" s="754" t="str">
        <f>'Func Future Subs 2015'!E198</f>
        <v>525S</v>
      </c>
      <c r="F198" s="754">
        <f>'Func Future Subs 2015'!F198</f>
        <v>179071.02078100035</v>
      </c>
      <c r="G198" s="754" t="str">
        <f>'Func Future Subs 2015'!G198</f>
        <v>AltaLink</v>
      </c>
      <c r="H198" s="754">
        <f>'Func Future Subs 2015'!H198</f>
        <v>2015</v>
      </c>
      <c r="I198" s="306">
        <f>+IF($H198=I$2,VLOOKUP($G198,Depreciation!$A$14:$L$18,7,FALSE)/2,IF($H198&lt;I$2,VLOOKUP($G198,Depreciation!$A$14:$L$18,7,FALSE),0))</f>
        <v>1.7228380322441735E-2</v>
      </c>
      <c r="J198" s="306">
        <f>+IF($H198=J$2,VLOOKUP($G198,Depreciation!$A$14:$L$18,8,FALSE)/2,IF($H198&lt;J$2,VLOOKUP($G198,Depreciation!$A$14:$L$18,8,FALSE),0))</f>
        <v>3.343407856743718E-2</v>
      </c>
      <c r="K198" s="306">
        <f>+IF($H198=K$2,VLOOKUP($G198,Depreciation!$A$14:$L$18,9,FALSE)/2,IF($H198&lt;K$2,VLOOKUP($G198,Depreciation!$A$14:$L$18,9,FALSE),0))</f>
        <v>3.343407856743718E-2</v>
      </c>
      <c r="L198" s="306">
        <f>+IF($H198=L$2,VLOOKUP($G198,Depreciation!$A$14:$L$18,10,FALSE)/2,IF($H198&lt;L$2,VLOOKUP($G198,Depreciation!$A$14:$L$18,10,FALSE),0))</f>
        <v>3.343407856743718E-2</v>
      </c>
      <c r="M198" s="306">
        <f>+IF($H198=M$2,VLOOKUP($G198,Depreciation!$A$14:$L$18,11,FALSE)/2,IF($H198&lt;M$2,VLOOKUP($G198,Depreciation!$A$14:$L$18,11,FALSE),0))</f>
        <v>3.343407856743718E-2</v>
      </c>
      <c r="N198" s="306">
        <f>+IF($H198=N$2,VLOOKUP($G198,Depreciation!$A$14:$L$18,12,FALSE)/2,IF($H198&lt;N$2,VLOOKUP($G198,Depreciation!$A$14:$L$18,12,FALSE),0))</f>
        <v>3.343407856743718E-2</v>
      </c>
      <c r="O198" s="307">
        <f t="shared" si="25"/>
        <v>164414.78684700397</v>
      </c>
      <c r="P198" s="732">
        <f>'Func Future Subs 2015'!P198</f>
        <v>0.7346189164370982</v>
      </c>
      <c r="Q198" s="732">
        <f>'Func Future Subs 2015'!Q198</f>
        <v>0.26538108356290174</v>
      </c>
      <c r="R198" s="732">
        <f>'Func Future Subs 2015'!R198</f>
        <v>0</v>
      </c>
      <c r="S198" s="735">
        <f t="shared" si="26"/>
        <v>120782.21255978252</v>
      </c>
      <c r="T198" s="735">
        <f t="shared" si="27"/>
        <v>43632.57428722144</v>
      </c>
      <c r="U198" s="735">
        <f t="shared" si="28"/>
        <v>0</v>
      </c>
      <c r="V198" s="736">
        <f t="shared" si="29"/>
        <v>0</v>
      </c>
      <c r="W198" s="735">
        <f t="shared" si="30"/>
        <v>120782.21255978252</v>
      </c>
      <c r="X198" s="737">
        <f t="shared" si="31"/>
        <v>0</v>
      </c>
      <c r="Y198" s="738">
        <f t="shared" si="32"/>
        <v>43632.57428722144</v>
      </c>
    </row>
    <row r="199" spans="1:25">
      <c r="A199" s="754" t="str">
        <f>'Func Future Subs 2015'!A199</f>
        <v>Enmax No. 25_v180</v>
      </c>
      <c r="B199" s="754">
        <f>'Func Future Subs 2015'!B199</f>
        <v>1117</v>
      </c>
      <c r="C199" s="754">
        <f>'Func Future Subs 2015'!C199</f>
        <v>240</v>
      </c>
      <c r="D199" s="754">
        <f>'Func Future Subs 2015'!D199</f>
        <v>25</v>
      </c>
      <c r="E199" s="754" t="str">
        <f>'Func Future Subs 2015'!E199</f>
        <v>SS-25</v>
      </c>
      <c r="F199" s="754">
        <f>'Func Future Subs 2015'!F199</f>
        <v>712675.2914213459</v>
      </c>
      <c r="G199" s="754" t="str">
        <f>'Func Future Subs 2015'!G199</f>
        <v>ENMAX</v>
      </c>
      <c r="H199" s="754">
        <f>'Func Future Subs 2015'!H199</f>
        <v>2015</v>
      </c>
      <c r="I199" s="306">
        <f>+IF($H199=I$2,VLOOKUP($G199,Depreciation!$A$14:$L$18,7,FALSE)/2,IF($H199&lt;I$2,VLOOKUP($G199,Depreciation!$A$14:$L$18,7,FALSE),0))</f>
        <v>1.3928409269726289E-2</v>
      </c>
      <c r="J199" s="306">
        <f>+IF($H199=J$2,VLOOKUP($G199,Depreciation!$A$14:$L$18,8,FALSE)/2,IF($H199&lt;J$2,VLOOKUP($G199,Depreciation!$A$14:$L$18,8,FALSE),0))</f>
        <v>2.7856818539452578E-2</v>
      </c>
      <c r="K199" s="306">
        <f>+IF($H199=K$2,VLOOKUP($G199,Depreciation!$A$14:$L$18,9,FALSE)/2,IF($H199&lt;K$2,VLOOKUP($G199,Depreciation!$A$14:$L$18,9,FALSE),0))</f>
        <v>2.7856818539452578E-2</v>
      </c>
      <c r="L199" s="306">
        <f>+IF($H199=L$2,VLOOKUP($G199,Depreciation!$A$14:$L$18,10,FALSE)/2,IF($H199&lt;L$2,VLOOKUP($G199,Depreciation!$A$14:$L$18,10,FALSE),0))</f>
        <v>2.7856818539452578E-2</v>
      </c>
      <c r="M199" s="306">
        <f>+IF($H199=M$2,VLOOKUP($G199,Depreciation!$A$14:$L$18,11,FALSE)/2,IF($H199&lt;M$2,VLOOKUP($G199,Depreciation!$A$14:$L$18,11,FALSE),0))</f>
        <v>2.7856818539452578E-2</v>
      </c>
      <c r="N199" s="306">
        <f>+IF($H199=N$2,VLOOKUP($G199,Depreciation!$A$14:$L$18,12,FALSE)/2,IF($H199&lt;N$2,VLOOKUP($G199,Depreciation!$A$14:$L$18,12,FALSE),0))</f>
        <v>2.7856818539452578E-2</v>
      </c>
      <c r="O199" s="307">
        <f t="shared" si="25"/>
        <v>664141.49819570431</v>
      </c>
      <c r="P199" s="732">
        <f>'Func Future Subs 2015'!P199</f>
        <v>0.9759174311926605</v>
      </c>
      <c r="Q199" s="732">
        <f>'Func Future Subs 2015'!Q199</f>
        <v>2.4082568807339451E-2</v>
      </c>
      <c r="R199" s="732">
        <f>'Func Future Subs 2015'!R199</f>
        <v>4.8572257327350599E-17</v>
      </c>
      <c r="S199" s="735">
        <f t="shared" si="26"/>
        <v>648147.26486759668</v>
      </c>
      <c r="T199" s="735">
        <f t="shared" si="27"/>
        <v>15994.233328107559</v>
      </c>
      <c r="U199" s="735">
        <f t="shared" si="28"/>
        <v>3.2258851752133904E-11</v>
      </c>
      <c r="V199" s="736">
        <f t="shared" si="29"/>
        <v>0</v>
      </c>
      <c r="W199" s="735">
        <f t="shared" si="30"/>
        <v>648147.26486759668</v>
      </c>
      <c r="X199" s="737">
        <f t="shared" si="31"/>
        <v>0</v>
      </c>
      <c r="Y199" s="738">
        <f t="shared" si="32"/>
        <v>15994.233328107592</v>
      </c>
    </row>
    <row r="200" spans="1:25">
      <c r="A200" s="754" t="str">
        <f>'Func Future Subs 2015'!A200</f>
        <v>Enmax No. 65_v180</v>
      </c>
      <c r="B200" s="754">
        <f>'Func Future Subs 2015'!B200</f>
        <v>1117</v>
      </c>
      <c r="C200" s="754">
        <f>'Func Future Subs 2015'!C200</f>
        <v>240</v>
      </c>
      <c r="D200" s="754">
        <f>'Func Future Subs 2015'!D200</f>
        <v>138</v>
      </c>
      <c r="E200" s="754" t="str">
        <f>'Func Future Subs 2015'!E200</f>
        <v>SS-65</v>
      </c>
      <c r="F200" s="754">
        <f>'Func Future Subs 2015'!F200</f>
        <v>3684124.7085786541</v>
      </c>
      <c r="G200" s="754" t="str">
        <f>'Func Future Subs 2015'!G200</f>
        <v>ENMAX</v>
      </c>
      <c r="H200" s="754">
        <f>'Func Future Subs 2015'!H200</f>
        <v>2015</v>
      </c>
      <c r="I200" s="306">
        <f>+IF($H200=I$2,VLOOKUP($G200,Depreciation!$A$14:$L$18,7,FALSE)/2,IF($H200&lt;I$2,VLOOKUP($G200,Depreciation!$A$14:$L$18,7,FALSE),0))</f>
        <v>1.3928409269726289E-2</v>
      </c>
      <c r="J200" s="306">
        <f>+IF($H200=J$2,VLOOKUP($G200,Depreciation!$A$14:$L$18,8,FALSE)/2,IF($H200&lt;J$2,VLOOKUP($G200,Depreciation!$A$14:$L$18,8,FALSE),0))</f>
        <v>2.7856818539452578E-2</v>
      </c>
      <c r="K200" s="306">
        <f>+IF($H200=K$2,VLOOKUP($G200,Depreciation!$A$14:$L$18,9,FALSE)/2,IF($H200&lt;K$2,VLOOKUP($G200,Depreciation!$A$14:$L$18,9,FALSE),0))</f>
        <v>2.7856818539452578E-2</v>
      </c>
      <c r="L200" s="306">
        <f>+IF($H200=L$2,VLOOKUP($G200,Depreciation!$A$14:$L$18,10,FALSE)/2,IF($H200&lt;L$2,VLOOKUP($G200,Depreciation!$A$14:$L$18,10,FALSE),0))</f>
        <v>2.7856818539452578E-2</v>
      </c>
      <c r="M200" s="306">
        <f>+IF($H200=M$2,VLOOKUP($G200,Depreciation!$A$14:$L$18,11,FALSE)/2,IF($H200&lt;M$2,VLOOKUP($G200,Depreciation!$A$14:$L$18,11,FALSE),0))</f>
        <v>2.7856818539452578E-2</v>
      </c>
      <c r="N200" s="306">
        <f>+IF($H200=N$2,VLOOKUP($G200,Depreciation!$A$14:$L$18,12,FALSE)/2,IF($H200&lt;N$2,VLOOKUP($G200,Depreciation!$A$14:$L$18,12,FALSE),0))</f>
        <v>2.7856818539452578E-2</v>
      </c>
      <c r="O200" s="307">
        <f t="shared" si="25"/>
        <v>3433232.6838712604</v>
      </c>
      <c r="P200" s="732">
        <f>'Func Future Subs 2015'!P200</f>
        <v>0</v>
      </c>
      <c r="Q200" s="732">
        <f>'Func Future Subs 2015'!Q200</f>
        <v>0</v>
      </c>
      <c r="R200" s="732">
        <f>'Func Future Subs 2015'!R200</f>
        <v>1</v>
      </c>
      <c r="S200" s="735">
        <f t="shared" si="26"/>
        <v>0</v>
      </c>
      <c r="T200" s="735">
        <f t="shared" si="27"/>
        <v>0</v>
      </c>
      <c r="U200" s="735">
        <f t="shared" si="28"/>
        <v>3433232.6838712604</v>
      </c>
      <c r="V200" s="736">
        <f t="shared" si="29"/>
        <v>0</v>
      </c>
      <c r="W200" s="735">
        <f t="shared" si="30"/>
        <v>0</v>
      </c>
      <c r="X200" s="737">
        <f t="shared" si="31"/>
        <v>3433232.6838712604</v>
      </c>
      <c r="Y200" s="738">
        <f t="shared" si="32"/>
        <v>0</v>
      </c>
    </row>
    <row r="201" spans="1:25">
      <c r="A201" s="754" t="str">
        <f>'Func Future Subs 2015'!A201</f>
        <v>Foothills 237S 138kV_180</v>
      </c>
      <c r="B201" s="754">
        <f>'Func Future Subs 2015'!B201</f>
        <v>1117</v>
      </c>
      <c r="C201" s="754">
        <f>'Func Future Subs 2015'!C201</f>
        <v>240</v>
      </c>
      <c r="D201" s="754">
        <f>'Func Future Subs 2015'!D201</f>
        <v>138</v>
      </c>
      <c r="E201" s="754" t="str">
        <f>'Func Future Subs 2015'!E201</f>
        <v>237S</v>
      </c>
      <c r="F201" s="754">
        <f>'Func Future Subs 2015'!F201</f>
        <v>50320527.637888998</v>
      </c>
      <c r="G201" s="754" t="str">
        <f>'Func Future Subs 2015'!G201</f>
        <v>AltaLink</v>
      </c>
      <c r="H201" s="754">
        <f>'Func Future Subs 2015'!H201</f>
        <v>2015</v>
      </c>
      <c r="I201" s="306">
        <f>+IF($H201=I$2,VLOOKUP($G201,Depreciation!$A$14:$L$18,7,FALSE)/2,IF($H201&lt;I$2,VLOOKUP($G201,Depreciation!$A$14:$L$18,7,FALSE),0))</f>
        <v>1.7228380322441735E-2</v>
      </c>
      <c r="J201" s="306">
        <f>+IF($H201=J$2,VLOOKUP($G201,Depreciation!$A$14:$L$18,8,FALSE)/2,IF($H201&lt;J$2,VLOOKUP($G201,Depreciation!$A$14:$L$18,8,FALSE),0))</f>
        <v>3.343407856743718E-2</v>
      </c>
      <c r="K201" s="306">
        <f>+IF($H201=K$2,VLOOKUP($G201,Depreciation!$A$14:$L$18,9,FALSE)/2,IF($H201&lt;K$2,VLOOKUP($G201,Depreciation!$A$14:$L$18,9,FALSE),0))</f>
        <v>3.343407856743718E-2</v>
      </c>
      <c r="L201" s="306">
        <f>+IF($H201=L$2,VLOOKUP($G201,Depreciation!$A$14:$L$18,10,FALSE)/2,IF($H201&lt;L$2,VLOOKUP($G201,Depreciation!$A$14:$L$18,10,FALSE),0))</f>
        <v>3.343407856743718E-2</v>
      </c>
      <c r="M201" s="306">
        <f>+IF($H201=M$2,VLOOKUP($G201,Depreciation!$A$14:$L$18,11,FALSE)/2,IF($H201&lt;M$2,VLOOKUP($G201,Depreciation!$A$14:$L$18,11,FALSE),0))</f>
        <v>3.343407856743718E-2</v>
      </c>
      <c r="N201" s="306">
        <f>+IF($H201=N$2,VLOOKUP($G201,Depreciation!$A$14:$L$18,12,FALSE)/2,IF($H201&lt;N$2,VLOOKUP($G201,Depreciation!$A$14:$L$18,12,FALSE),0))</f>
        <v>3.343407856743718E-2</v>
      </c>
      <c r="O201" s="307">
        <f t="shared" si="25"/>
        <v>46201997.338980451</v>
      </c>
      <c r="P201" s="732">
        <f>'Func Future Subs 2015'!P201</f>
        <v>0</v>
      </c>
      <c r="Q201" s="732">
        <f>'Func Future Subs 2015'!Q201</f>
        <v>0</v>
      </c>
      <c r="R201" s="732">
        <f>'Func Future Subs 2015'!R201</f>
        <v>1</v>
      </c>
      <c r="S201" s="735">
        <f t="shared" si="26"/>
        <v>0</v>
      </c>
      <c r="T201" s="735">
        <f t="shared" si="27"/>
        <v>0</v>
      </c>
      <c r="U201" s="735">
        <f t="shared" si="28"/>
        <v>46201997.338980451</v>
      </c>
      <c r="V201" s="736">
        <f t="shared" si="29"/>
        <v>0</v>
      </c>
      <c r="W201" s="735">
        <f t="shared" si="30"/>
        <v>0</v>
      </c>
      <c r="X201" s="737">
        <f t="shared" si="31"/>
        <v>46201997.338980451</v>
      </c>
      <c r="Y201" s="738">
        <f t="shared" si="32"/>
        <v>0</v>
      </c>
    </row>
    <row r="202" spans="1:25">
      <c r="A202" s="754" t="str">
        <f>'Func Future Subs 2015'!A202</f>
        <v>Foothills 237S_180</v>
      </c>
      <c r="B202" s="754">
        <f>'Func Future Subs 2015'!B202</f>
        <v>1117</v>
      </c>
      <c r="C202" s="754">
        <f>'Func Future Subs 2015'!C202</f>
        <v>240</v>
      </c>
      <c r="D202" s="754">
        <f>'Func Future Subs 2015'!D202</f>
        <v>138</v>
      </c>
      <c r="E202" s="754" t="str">
        <f>'Func Future Subs 2015'!E202</f>
        <v>237S</v>
      </c>
      <c r="F202" s="754">
        <f>'Func Future Subs 2015'!F202</f>
        <v>7942848.7389275823</v>
      </c>
      <c r="G202" s="754" t="str">
        <f>'Func Future Subs 2015'!G202</f>
        <v>AltaLink</v>
      </c>
      <c r="H202" s="754">
        <f>'Func Future Subs 2015'!H202</f>
        <v>2015</v>
      </c>
      <c r="I202" s="306">
        <f>+IF($H202=I$2,VLOOKUP($G202,Depreciation!$A$14:$L$18,7,FALSE)/2,IF($H202&lt;I$2,VLOOKUP($G202,Depreciation!$A$14:$L$18,7,FALSE),0))</f>
        <v>1.7228380322441735E-2</v>
      </c>
      <c r="J202" s="306">
        <f>+IF($H202=J$2,VLOOKUP($G202,Depreciation!$A$14:$L$18,8,FALSE)/2,IF($H202&lt;J$2,VLOOKUP($G202,Depreciation!$A$14:$L$18,8,FALSE),0))</f>
        <v>3.343407856743718E-2</v>
      </c>
      <c r="K202" s="306">
        <f>+IF($H202=K$2,VLOOKUP($G202,Depreciation!$A$14:$L$18,9,FALSE)/2,IF($H202&lt;K$2,VLOOKUP($G202,Depreciation!$A$14:$L$18,9,FALSE),0))</f>
        <v>3.343407856743718E-2</v>
      </c>
      <c r="L202" s="306">
        <f>+IF($H202=L$2,VLOOKUP($G202,Depreciation!$A$14:$L$18,10,FALSE)/2,IF($H202&lt;L$2,VLOOKUP($G202,Depreciation!$A$14:$L$18,10,FALSE),0))</f>
        <v>3.343407856743718E-2</v>
      </c>
      <c r="M202" s="306">
        <f>+IF($H202=M$2,VLOOKUP($G202,Depreciation!$A$14:$L$18,11,FALSE)/2,IF($H202&lt;M$2,VLOOKUP($G202,Depreciation!$A$14:$L$18,11,FALSE),0))</f>
        <v>3.343407856743718E-2</v>
      </c>
      <c r="N202" s="306">
        <f>+IF($H202=N$2,VLOOKUP($G202,Depreciation!$A$14:$L$18,12,FALSE)/2,IF($H202&lt;N$2,VLOOKUP($G202,Depreciation!$A$14:$L$18,12,FALSE),0))</f>
        <v>3.343407856743718E-2</v>
      </c>
      <c r="O202" s="307">
        <f t="shared" si="25"/>
        <v>7292758.9102531793</v>
      </c>
      <c r="P202" s="732">
        <f>'Func Future Subs 2015'!P202</f>
        <v>0</v>
      </c>
      <c r="Q202" s="732">
        <f>'Func Future Subs 2015'!Q202</f>
        <v>0</v>
      </c>
      <c r="R202" s="732">
        <f>'Func Future Subs 2015'!R202</f>
        <v>1</v>
      </c>
      <c r="S202" s="735">
        <f t="shared" si="26"/>
        <v>0</v>
      </c>
      <c r="T202" s="735">
        <f t="shared" si="27"/>
        <v>0</v>
      </c>
      <c r="U202" s="735">
        <f t="shared" si="28"/>
        <v>7292758.9102531793</v>
      </c>
      <c r="V202" s="736">
        <f t="shared" si="29"/>
        <v>0</v>
      </c>
      <c r="W202" s="735">
        <f t="shared" si="30"/>
        <v>0</v>
      </c>
      <c r="X202" s="737">
        <f t="shared" si="31"/>
        <v>7292758.9102531793</v>
      </c>
      <c r="Y202" s="738">
        <f t="shared" si="32"/>
        <v>0</v>
      </c>
    </row>
    <row r="203" spans="1:25">
      <c r="A203" s="754" t="str">
        <f>'Func Future Subs 2015'!A203</f>
        <v>High River 65S_180</v>
      </c>
      <c r="B203" s="754">
        <f>'Func Future Subs 2015'!B203</f>
        <v>1117</v>
      </c>
      <c r="C203" s="754">
        <f>'Func Future Subs 2015'!C203</f>
        <v>138</v>
      </c>
      <c r="D203" s="754">
        <f>'Func Future Subs 2015'!D203</f>
        <v>25</v>
      </c>
      <c r="E203" s="754" t="str">
        <f>'Func Future Subs 2015'!E203</f>
        <v>65S</v>
      </c>
      <c r="F203" s="754">
        <f>'Func Future Subs 2015'!F203</f>
        <v>7010473.3837333731</v>
      </c>
      <c r="G203" s="754" t="str">
        <f>'Func Future Subs 2015'!G203</f>
        <v>AltaLink</v>
      </c>
      <c r="H203" s="754">
        <f>'Func Future Subs 2015'!H203</f>
        <v>2015</v>
      </c>
      <c r="I203" s="306">
        <f>+IF($H203=I$2,VLOOKUP($G203,Depreciation!$A$14:$L$18,7,FALSE)/2,IF($H203&lt;I$2,VLOOKUP($G203,Depreciation!$A$14:$L$18,7,FALSE),0))</f>
        <v>1.7228380322441735E-2</v>
      </c>
      <c r="J203" s="306">
        <f>+IF($H203=J$2,VLOOKUP($G203,Depreciation!$A$14:$L$18,8,FALSE)/2,IF($H203&lt;J$2,VLOOKUP($G203,Depreciation!$A$14:$L$18,8,FALSE),0))</f>
        <v>3.343407856743718E-2</v>
      </c>
      <c r="K203" s="306">
        <f>+IF($H203=K$2,VLOOKUP($G203,Depreciation!$A$14:$L$18,9,FALSE)/2,IF($H203&lt;K$2,VLOOKUP($G203,Depreciation!$A$14:$L$18,9,FALSE),0))</f>
        <v>3.343407856743718E-2</v>
      </c>
      <c r="L203" s="306">
        <f>+IF($H203=L$2,VLOOKUP($G203,Depreciation!$A$14:$L$18,10,FALSE)/2,IF($H203&lt;L$2,VLOOKUP($G203,Depreciation!$A$14:$L$18,10,FALSE),0))</f>
        <v>3.343407856743718E-2</v>
      </c>
      <c r="M203" s="306">
        <f>+IF($H203=M$2,VLOOKUP($G203,Depreciation!$A$14:$L$18,11,FALSE)/2,IF($H203&lt;M$2,VLOOKUP($G203,Depreciation!$A$14:$L$18,11,FALSE),0))</f>
        <v>3.343407856743718E-2</v>
      </c>
      <c r="N203" s="306">
        <f>+IF($H203=N$2,VLOOKUP($G203,Depreciation!$A$14:$L$18,12,FALSE)/2,IF($H203&lt;N$2,VLOOKUP($G203,Depreciation!$A$14:$L$18,12,FALSE),0))</f>
        <v>3.343407856743718E-2</v>
      </c>
      <c r="O203" s="307">
        <f t="shared" si="25"/>
        <v>6436694.6815629695</v>
      </c>
      <c r="P203" s="732">
        <f>'Func Future Subs 2015'!P203</f>
        <v>0</v>
      </c>
      <c r="Q203" s="732">
        <f>'Func Future Subs 2015'!Q203</f>
        <v>1</v>
      </c>
      <c r="R203" s="732">
        <f>'Func Future Subs 2015'!R203</f>
        <v>0</v>
      </c>
      <c r="S203" s="735">
        <f t="shared" si="26"/>
        <v>0</v>
      </c>
      <c r="T203" s="735">
        <f t="shared" si="27"/>
        <v>6436694.6815629695</v>
      </c>
      <c r="U203" s="735">
        <f t="shared" si="28"/>
        <v>0</v>
      </c>
      <c r="V203" s="736">
        <f t="shared" si="29"/>
        <v>0</v>
      </c>
      <c r="W203" s="735">
        <f t="shared" si="30"/>
        <v>0</v>
      </c>
      <c r="X203" s="737">
        <f t="shared" si="31"/>
        <v>0</v>
      </c>
      <c r="Y203" s="738">
        <f t="shared" si="32"/>
        <v>6436694.6815629695</v>
      </c>
    </row>
    <row r="204" spans="1:25">
      <c r="A204" s="754" t="str">
        <f>'Func Future Subs 2015'!A204</f>
        <v>Janet 74S expansion_(v180)</v>
      </c>
      <c r="B204" s="754">
        <f>'Func Future Subs 2015'!B204</f>
        <v>1117</v>
      </c>
      <c r="C204" s="754">
        <f>'Func Future Subs 2015'!C204</f>
        <v>240</v>
      </c>
      <c r="D204" s="754">
        <f>'Func Future Subs 2015'!D204</f>
        <v>138</v>
      </c>
      <c r="E204" s="754" t="str">
        <f>'Func Future Subs 2015'!E204</f>
        <v>74S</v>
      </c>
      <c r="F204" s="754">
        <f>'Func Future Subs 2015'!F204</f>
        <v>26955252.769418996</v>
      </c>
      <c r="G204" s="754" t="str">
        <f>'Func Future Subs 2015'!G204</f>
        <v>AltaLink</v>
      </c>
      <c r="H204" s="754">
        <f>'Func Future Subs 2015'!H204</f>
        <v>2015</v>
      </c>
      <c r="I204" s="306">
        <f>+IF($H204=I$2,VLOOKUP($G204,Depreciation!$A$14:$L$18,7,FALSE)/2,IF($H204&lt;I$2,VLOOKUP($G204,Depreciation!$A$14:$L$18,7,FALSE),0))</f>
        <v>1.7228380322441735E-2</v>
      </c>
      <c r="J204" s="306">
        <f>+IF($H204=J$2,VLOOKUP($G204,Depreciation!$A$14:$L$18,8,FALSE)/2,IF($H204&lt;J$2,VLOOKUP($G204,Depreciation!$A$14:$L$18,8,FALSE),0))</f>
        <v>3.343407856743718E-2</v>
      </c>
      <c r="K204" s="306">
        <f>+IF($H204=K$2,VLOOKUP($G204,Depreciation!$A$14:$L$18,9,FALSE)/2,IF($H204&lt;K$2,VLOOKUP($G204,Depreciation!$A$14:$L$18,9,FALSE),0))</f>
        <v>3.343407856743718E-2</v>
      </c>
      <c r="L204" s="306">
        <f>+IF($H204=L$2,VLOOKUP($G204,Depreciation!$A$14:$L$18,10,FALSE)/2,IF($H204&lt;L$2,VLOOKUP($G204,Depreciation!$A$14:$L$18,10,FALSE),0))</f>
        <v>3.343407856743718E-2</v>
      </c>
      <c r="M204" s="306">
        <f>+IF($H204=M$2,VLOOKUP($G204,Depreciation!$A$14:$L$18,11,FALSE)/2,IF($H204&lt;M$2,VLOOKUP($G204,Depreciation!$A$14:$L$18,11,FALSE),0))</f>
        <v>3.343407856743718E-2</v>
      </c>
      <c r="N204" s="306">
        <f>+IF($H204=N$2,VLOOKUP($G204,Depreciation!$A$14:$L$18,12,FALSE)/2,IF($H204&lt;N$2,VLOOKUP($G204,Depreciation!$A$14:$L$18,12,FALSE),0))</f>
        <v>3.343407856743718E-2</v>
      </c>
      <c r="O204" s="307">
        <f t="shared" si="25"/>
        <v>24749075.082959268</v>
      </c>
      <c r="P204" s="732">
        <f>'Func Future Subs 2015'!P204</f>
        <v>0</v>
      </c>
      <c r="Q204" s="732">
        <f>'Func Future Subs 2015'!Q204</f>
        <v>0</v>
      </c>
      <c r="R204" s="732">
        <f>'Func Future Subs 2015'!R204</f>
        <v>1</v>
      </c>
      <c r="S204" s="735">
        <f t="shared" si="26"/>
        <v>0</v>
      </c>
      <c r="T204" s="735">
        <f t="shared" si="27"/>
        <v>0</v>
      </c>
      <c r="U204" s="735">
        <f t="shared" si="28"/>
        <v>24749075.082959268</v>
      </c>
      <c r="V204" s="736">
        <f t="shared" si="29"/>
        <v>0</v>
      </c>
      <c r="W204" s="735">
        <f t="shared" si="30"/>
        <v>0</v>
      </c>
      <c r="X204" s="737">
        <f t="shared" si="31"/>
        <v>24749075.082959268</v>
      </c>
      <c r="Y204" s="738">
        <f t="shared" si="32"/>
        <v>0</v>
      </c>
    </row>
    <row r="205" spans="1:25">
      <c r="A205" s="754" t="str">
        <f>'Func Future Subs 2015'!A205</f>
        <v>Langdon 102S_(v180)</v>
      </c>
      <c r="B205" s="754">
        <f>'Func Future Subs 2015'!B205</f>
        <v>1117</v>
      </c>
      <c r="C205" s="754">
        <f>'Func Future Subs 2015'!C205</f>
        <v>500</v>
      </c>
      <c r="D205" s="754">
        <f>'Func Future Subs 2015'!D205</f>
        <v>240</v>
      </c>
      <c r="E205" s="754" t="str">
        <f>'Func Future Subs 2015'!E205</f>
        <v>102S</v>
      </c>
      <c r="F205" s="754">
        <f>'Func Future Subs 2015'!F205</f>
        <v>26111161.304189671</v>
      </c>
      <c r="G205" s="754" t="str">
        <f>'Func Future Subs 2015'!G205</f>
        <v>AltaLink</v>
      </c>
      <c r="H205" s="754">
        <f>'Func Future Subs 2015'!H205</f>
        <v>2015</v>
      </c>
      <c r="I205" s="306">
        <f>+IF($H205=I$2,VLOOKUP($G205,Depreciation!$A$14:$L$18,7,FALSE)/2,IF($H205&lt;I$2,VLOOKUP($G205,Depreciation!$A$14:$L$18,7,FALSE),0))</f>
        <v>1.7228380322441735E-2</v>
      </c>
      <c r="J205" s="306">
        <f>+IF($H205=J$2,VLOOKUP($G205,Depreciation!$A$14:$L$18,8,FALSE)/2,IF($H205&lt;J$2,VLOOKUP($G205,Depreciation!$A$14:$L$18,8,FALSE),0))</f>
        <v>3.343407856743718E-2</v>
      </c>
      <c r="K205" s="306">
        <f>+IF($H205=K$2,VLOOKUP($G205,Depreciation!$A$14:$L$18,9,FALSE)/2,IF($H205&lt;K$2,VLOOKUP($G205,Depreciation!$A$14:$L$18,9,FALSE),0))</f>
        <v>3.343407856743718E-2</v>
      </c>
      <c r="L205" s="306">
        <f>+IF($H205=L$2,VLOOKUP($G205,Depreciation!$A$14:$L$18,10,FALSE)/2,IF($H205&lt;L$2,VLOOKUP($G205,Depreciation!$A$14:$L$18,10,FALSE),0))</f>
        <v>3.343407856743718E-2</v>
      </c>
      <c r="M205" s="306">
        <f>+IF($H205=M$2,VLOOKUP($G205,Depreciation!$A$14:$L$18,11,FALSE)/2,IF($H205&lt;M$2,VLOOKUP($G205,Depreciation!$A$14:$L$18,11,FALSE),0))</f>
        <v>3.343407856743718E-2</v>
      </c>
      <c r="N205" s="306">
        <f>+IF($H205=N$2,VLOOKUP($G205,Depreciation!$A$14:$L$18,12,FALSE)/2,IF($H205&lt;N$2,VLOOKUP($G205,Depreciation!$A$14:$L$18,12,FALSE),0))</f>
        <v>3.343407856743718E-2</v>
      </c>
      <c r="O205" s="307">
        <f t="shared" si="25"/>
        <v>23974069.067302603</v>
      </c>
      <c r="P205" s="732">
        <f>'Func Future Subs 2015'!P205</f>
        <v>0</v>
      </c>
      <c r="Q205" s="732">
        <f>'Func Future Subs 2015'!Q205</f>
        <v>0</v>
      </c>
      <c r="R205" s="732">
        <f>'Func Future Subs 2015'!R205</f>
        <v>1</v>
      </c>
      <c r="S205" s="735">
        <f t="shared" si="26"/>
        <v>0</v>
      </c>
      <c r="T205" s="735">
        <f t="shared" si="27"/>
        <v>0</v>
      </c>
      <c r="U205" s="735">
        <f t="shared" si="28"/>
        <v>23974069.067302603</v>
      </c>
      <c r="V205" s="736">
        <f t="shared" si="29"/>
        <v>0</v>
      </c>
      <c r="W205" s="735">
        <f t="shared" si="30"/>
        <v>23974069.067302603</v>
      </c>
      <c r="X205" s="737">
        <f t="shared" si="31"/>
        <v>0</v>
      </c>
      <c r="Y205" s="738">
        <f t="shared" si="32"/>
        <v>0</v>
      </c>
    </row>
    <row r="206" spans="1:25">
      <c r="A206" s="754" t="str">
        <f>'Func Future Subs 2015'!A206</f>
        <v>Okotok 678S_180</v>
      </c>
      <c r="B206" s="754">
        <f>'Func Future Subs 2015'!B206</f>
        <v>1117</v>
      </c>
      <c r="C206" s="754">
        <f>'Func Future Subs 2015'!C206</f>
        <v>138</v>
      </c>
      <c r="D206" s="754">
        <f>'Func Future Subs 2015'!D206</f>
        <v>25</v>
      </c>
      <c r="E206" s="754" t="str">
        <f>'Func Future Subs 2015'!E206</f>
        <v>678S</v>
      </c>
      <c r="F206" s="754">
        <f>'Func Future Subs 2015'!F206</f>
        <v>5976888.018172862</v>
      </c>
      <c r="G206" s="754" t="str">
        <f>'Func Future Subs 2015'!G206</f>
        <v>AltaLink</v>
      </c>
      <c r="H206" s="754">
        <f>'Func Future Subs 2015'!H206</f>
        <v>2015</v>
      </c>
      <c r="I206" s="306">
        <f>+IF($H206=I$2,VLOOKUP($G206,Depreciation!$A$14:$L$18,7,FALSE)/2,IF($H206&lt;I$2,VLOOKUP($G206,Depreciation!$A$14:$L$18,7,FALSE),0))</f>
        <v>1.7228380322441735E-2</v>
      </c>
      <c r="J206" s="306">
        <f>+IF($H206=J$2,VLOOKUP($G206,Depreciation!$A$14:$L$18,8,FALSE)/2,IF($H206&lt;J$2,VLOOKUP($G206,Depreciation!$A$14:$L$18,8,FALSE),0))</f>
        <v>3.343407856743718E-2</v>
      </c>
      <c r="K206" s="306">
        <f>+IF($H206=K$2,VLOOKUP($G206,Depreciation!$A$14:$L$18,9,FALSE)/2,IF($H206&lt;K$2,VLOOKUP($G206,Depreciation!$A$14:$L$18,9,FALSE),0))</f>
        <v>3.343407856743718E-2</v>
      </c>
      <c r="L206" s="306">
        <f>+IF($H206=L$2,VLOOKUP($G206,Depreciation!$A$14:$L$18,10,FALSE)/2,IF($H206&lt;L$2,VLOOKUP($G206,Depreciation!$A$14:$L$18,10,FALSE),0))</f>
        <v>3.343407856743718E-2</v>
      </c>
      <c r="M206" s="306">
        <f>+IF($H206=M$2,VLOOKUP($G206,Depreciation!$A$14:$L$18,11,FALSE)/2,IF($H206&lt;M$2,VLOOKUP($G206,Depreciation!$A$14:$L$18,11,FALSE),0))</f>
        <v>3.343407856743718E-2</v>
      </c>
      <c r="N206" s="306">
        <f>+IF($H206=N$2,VLOOKUP($G206,Depreciation!$A$14:$L$18,12,FALSE)/2,IF($H206&lt;N$2,VLOOKUP($G206,Depreciation!$A$14:$L$18,12,FALSE),0))</f>
        <v>3.343407856743718E-2</v>
      </c>
      <c r="O206" s="307">
        <f t="shared" si="25"/>
        <v>5487704.0697618416</v>
      </c>
      <c r="P206" s="732">
        <f>'Func Future Subs 2015'!P206</f>
        <v>0</v>
      </c>
      <c r="Q206" s="732">
        <f>'Func Future Subs 2015'!Q206</f>
        <v>1</v>
      </c>
      <c r="R206" s="732">
        <f>'Func Future Subs 2015'!R206</f>
        <v>0</v>
      </c>
      <c r="S206" s="735">
        <f t="shared" si="26"/>
        <v>0</v>
      </c>
      <c r="T206" s="735">
        <f t="shared" si="27"/>
        <v>5487704.0697618416</v>
      </c>
      <c r="U206" s="735">
        <f t="shared" si="28"/>
        <v>0</v>
      </c>
      <c r="V206" s="736">
        <f t="shared" si="29"/>
        <v>0</v>
      </c>
      <c r="W206" s="735">
        <f t="shared" si="30"/>
        <v>0</v>
      </c>
      <c r="X206" s="737">
        <f t="shared" si="31"/>
        <v>0</v>
      </c>
      <c r="Y206" s="738">
        <f t="shared" si="32"/>
        <v>5487704.0697618416</v>
      </c>
    </row>
    <row r="207" spans="1:25">
      <c r="A207" s="754" t="str">
        <f>'Func Future Subs 2015'!A207</f>
        <v>2060S Engstrom Substation</v>
      </c>
      <c r="B207" s="754">
        <f>'Func Future Subs 2015'!B207</f>
        <v>1128</v>
      </c>
      <c r="C207" s="754">
        <f>'Func Future Subs 2015'!C207</f>
        <v>144</v>
      </c>
      <c r="D207" s="754">
        <f>'Func Future Subs 2015'!D207</f>
        <v>25</v>
      </c>
      <c r="E207" s="754" t="str">
        <f>'Func Future Subs 2015'!E207</f>
        <v>2060S</v>
      </c>
      <c r="F207" s="754">
        <f>'Func Future Subs 2015'!F207</f>
        <v>3013835.5296935784</v>
      </c>
      <c r="G207" s="754" t="str">
        <f>'Func Future Subs 2015'!G207</f>
        <v>ATCO</v>
      </c>
      <c r="H207" s="754">
        <f>'Func Future Subs 2015'!H207</f>
        <v>2015</v>
      </c>
      <c r="I207" s="306">
        <f>+IF($H207=I$2,VLOOKUP($G207,Depreciation!$A$14:$L$18,7,FALSE)/2,IF($H207&lt;I$2,VLOOKUP($G207,Depreciation!$A$14:$L$18,7,FALSE),0))</f>
        <v>1.221703683566912E-2</v>
      </c>
      <c r="J207" s="306">
        <f>+IF($H207=J$2,VLOOKUP($G207,Depreciation!$A$14:$L$18,8,FALSE)/2,IF($H207&lt;J$2,VLOOKUP($G207,Depreciation!$A$14:$L$18,8,FALSE),0))</f>
        <v>2.4632450501084719E-2</v>
      </c>
      <c r="K207" s="306">
        <f>+IF($H207=K$2,VLOOKUP($G207,Depreciation!$A$14:$L$18,9,FALSE)/2,IF($H207&lt;K$2,VLOOKUP($G207,Depreciation!$A$14:$L$18,9,FALSE),0))</f>
        <v>2.4351536427798831E-2</v>
      </c>
      <c r="L207" s="306">
        <f>+IF($H207=L$2,VLOOKUP($G207,Depreciation!$A$14:$L$18,10,FALSE)/2,IF($H207&lt;L$2,VLOOKUP($G207,Depreciation!$A$14:$L$18,10,FALSE),0))</f>
        <v>2.4351536427798831E-2</v>
      </c>
      <c r="M207" s="306">
        <f>+IF($H207=M$2,VLOOKUP($G207,Depreciation!$A$14:$L$18,11,FALSE)/2,IF($H207&lt;M$2,VLOOKUP($G207,Depreciation!$A$14:$L$18,11,FALSE),0))</f>
        <v>2.4351536427798831E-2</v>
      </c>
      <c r="N207" s="306">
        <f>+IF($H207=N$2,VLOOKUP($G207,Depreciation!$A$14:$L$18,12,FALSE)/2,IF($H207&lt;N$2,VLOOKUP($G207,Depreciation!$A$14:$L$18,12,FALSE),0))</f>
        <v>2.4351536427798831E-2</v>
      </c>
      <c r="O207" s="307">
        <f t="shared" si="25"/>
        <v>2832975.034063498</v>
      </c>
      <c r="P207" s="732">
        <f>'Func Future Subs 2015'!P207</f>
        <v>0</v>
      </c>
      <c r="Q207" s="732">
        <f>'Func Future Subs 2015'!Q207</f>
        <v>1</v>
      </c>
      <c r="R207" s="732">
        <f>'Func Future Subs 2015'!R207</f>
        <v>0</v>
      </c>
      <c r="S207" s="735">
        <f t="shared" si="26"/>
        <v>0</v>
      </c>
      <c r="T207" s="735">
        <f t="shared" si="27"/>
        <v>2832975.034063498</v>
      </c>
      <c r="U207" s="735">
        <f t="shared" si="28"/>
        <v>0</v>
      </c>
      <c r="V207" s="736">
        <f t="shared" si="29"/>
        <v>0</v>
      </c>
      <c r="W207" s="735">
        <f t="shared" si="30"/>
        <v>0</v>
      </c>
      <c r="X207" s="737">
        <f t="shared" si="31"/>
        <v>0</v>
      </c>
      <c r="Y207" s="738">
        <f t="shared" si="32"/>
        <v>2832975.034063498</v>
      </c>
    </row>
    <row r="208" spans="1:25">
      <c r="A208" s="754" t="str">
        <f>'Func Future Subs 2015'!A208</f>
        <v>856S Kinosis Substation</v>
      </c>
      <c r="B208" s="754">
        <f>'Func Future Subs 2015'!B208</f>
        <v>1128</v>
      </c>
      <c r="C208" s="754">
        <f>'Func Future Subs 2015'!C208</f>
        <v>240</v>
      </c>
      <c r="D208" s="754">
        <f>'Func Future Subs 2015'!D208</f>
        <v>25</v>
      </c>
      <c r="E208" s="754" t="str">
        <f>'Func Future Subs 2015'!E208</f>
        <v>856S</v>
      </c>
      <c r="F208" s="754">
        <f>'Func Future Subs 2015'!F208</f>
        <v>26494192.572163552</v>
      </c>
      <c r="G208" s="754" t="str">
        <f>'Func Future Subs 2015'!G208</f>
        <v>ATCO</v>
      </c>
      <c r="H208" s="754">
        <f>'Func Future Subs 2015'!H208</f>
        <v>2015</v>
      </c>
      <c r="I208" s="306">
        <f>+IF($H208=I$2,VLOOKUP($G208,Depreciation!$A$14:$L$18,7,FALSE)/2,IF($H208&lt;I$2,VLOOKUP($G208,Depreciation!$A$14:$L$18,7,FALSE),0))</f>
        <v>1.221703683566912E-2</v>
      </c>
      <c r="J208" s="306">
        <f>+IF($H208=J$2,VLOOKUP($G208,Depreciation!$A$14:$L$18,8,FALSE)/2,IF($H208&lt;J$2,VLOOKUP($G208,Depreciation!$A$14:$L$18,8,FALSE),0))</f>
        <v>2.4632450501084719E-2</v>
      </c>
      <c r="K208" s="306">
        <f>+IF($H208=K$2,VLOOKUP($G208,Depreciation!$A$14:$L$18,9,FALSE)/2,IF($H208&lt;K$2,VLOOKUP($G208,Depreciation!$A$14:$L$18,9,FALSE),0))</f>
        <v>2.4351536427798831E-2</v>
      </c>
      <c r="L208" s="306">
        <f>+IF($H208=L$2,VLOOKUP($G208,Depreciation!$A$14:$L$18,10,FALSE)/2,IF($H208&lt;L$2,VLOOKUP($G208,Depreciation!$A$14:$L$18,10,FALSE),0))</f>
        <v>2.4351536427798831E-2</v>
      </c>
      <c r="M208" s="306">
        <f>+IF($H208=M$2,VLOOKUP($G208,Depreciation!$A$14:$L$18,11,FALSE)/2,IF($H208&lt;M$2,VLOOKUP($G208,Depreciation!$A$14:$L$18,11,FALSE),0))</f>
        <v>2.4351536427798831E-2</v>
      </c>
      <c r="N208" s="306">
        <f>+IF($H208=N$2,VLOOKUP($G208,Depreciation!$A$14:$L$18,12,FALSE)/2,IF($H208&lt;N$2,VLOOKUP($G208,Depreciation!$A$14:$L$18,12,FALSE),0))</f>
        <v>2.4351536427798831E-2</v>
      </c>
      <c r="O208" s="307">
        <f t="shared" si="25"/>
        <v>24904274.093630157</v>
      </c>
      <c r="P208" s="732">
        <f>'Func Future Subs 2015'!P208</f>
        <v>0</v>
      </c>
      <c r="Q208" s="732">
        <f>'Func Future Subs 2015'!Q208</f>
        <v>1</v>
      </c>
      <c r="R208" s="732">
        <f>'Func Future Subs 2015'!R208</f>
        <v>0</v>
      </c>
      <c r="S208" s="735">
        <f t="shared" si="26"/>
        <v>0</v>
      </c>
      <c r="T208" s="735">
        <f t="shared" si="27"/>
        <v>24904274.093630157</v>
      </c>
      <c r="U208" s="735">
        <f t="shared" si="28"/>
        <v>0</v>
      </c>
      <c r="V208" s="736">
        <f t="shared" si="29"/>
        <v>0</v>
      </c>
      <c r="W208" s="735">
        <f t="shared" si="30"/>
        <v>0</v>
      </c>
      <c r="X208" s="737">
        <f t="shared" si="31"/>
        <v>0</v>
      </c>
      <c r="Y208" s="738">
        <f t="shared" si="32"/>
        <v>24904274.093630157</v>
      </c>
    </row>
    <row r="209" spans="1:25">
      <c r="A209" s="754" t="str">
        <f>'Func Future Subs 2015'!A209</f>
        <v>989S Quigley substation</v>
      </c>
      <c r="B209" s="754">
        <f>'Func Future Subs 2015'!B209</f>
        <v>1128</v>
      </c>
      <c r="C209" s="754">
        <f>'Func Future Subs 2015'!C209</f>
        <v>144</v>
      </c>
      <c r="D209" s="754">
        <f>'Func Future Subs 2015'!D209</f>
        <v>25</v>
      </c>
      <c r="E209" s="754" t="str">
        <f>'Func Future Subs 2015'!E209</f>
        <v>989S</v>
      </c>
      <c r="F209" s="754">
        <f>'Func Future Subs 2015'!F209</f>
        <v>2933649.2335773744</v>
      </c>
      <c r="G209" s="754" t="str">
        <f>'Func Future Subs 2015'!G209</f>
        <v>ATCO</v>
      </c>
      <c r="H209" s="754">
        <f>'Func Future Subs 2015'!H209</f>
        <v>2015</v>
      </c>
      <c r="I209" s="306">
        <f>+IF($H209=I$2,VLOOKUP($G209,Depreciation!$A$14:$L$18,7,FALSE)/2,IF($H209&lt;I$2,VLOOKUP($G209,Depreciation!$A$14:$L$18,7,FALSE),0))</f>
        <v>1.221703683566912E-2</v>
      </c>
      <c r="J209" s="306">
        <f>+IF($H209=J$2,VLOOKUP($G209,Depreciation!$A$14:$L$18,8,FALSE)/2,IF($H209&lt;J$2,VLOOKUP($G209,Depreciation!$A$14:$L$18,8,FALSE),0))</f>
        <v>2.4632450501084719E-2</v>
      </c>
      <c r="K209" s="306">
        <f>+IF($H209=K$2,VLOOKUP($G209,Depreciation!$A$14:$L$18,9,FALSE)/2,IF($H209&lt;K$2,VLOOKUP($G209,Depreciation!$A$14:$L$18,9,FALSE),0))</f>
        <v>2.4351536427798831E-2</v>
      </c>
      <c r="L209" s="306">
        <f>+IF($H209=L$2,VLOOKUP($G209,Depreciation!$A$14:$L$18,10,FALSE)/2,IF($H209&lt;L$2,VLOOKUP($G209,Depreciation!$A$14:$L$18,10,FALSE),0))</f>
        <v>2.4351536427798831E-2</v>
      </c>
      <c r="M209" s="306">
        <f>+IF($H209=M$2,VLOOKUP($G209,Depreciation!$A$14:$L$18,11,FALSE)/2,IF($H209&lt;M$2,VLOOKUP($G209,Depreciation!$A$14:$L$18,11,FALSE),0))</f>
        <v>2.4351536427798831E-2</v>
      </c>
      <c r="N209" s="306">
        <f>+IF($H209=N$2,VLOOKUP($G209,Depreciation!$A$14:$L$18,12,FALSE)/2,IF($H209&lt;N$2,VLOOKUP($G209,Depreciation!$A$14:$L$18,12,FALSE),0))</f>
        <v>2.4351536427798831E-2</v>
      </c>
      <c r="O209" s="307">
        <f t="shared" si="25"/>
        <v>2757600.7235767129</v>
      </c>
      <c r="P209" s="732">
        <f>'Func Future Subs 2015'!P209</f>
        <v>0</v>
      </c>
      <c r="Q209" s="732">
        <f>'Func Future Subs 2015'!Q209</f>
        <v>1</v>
      </c>
      <c r="R209" s="732">
        <f>'Func Future Subs 2015'!R209</f>
        <v>0</v>
      </c>
      <c r="S209" s="735">
        <f t="shared" si="26"/>
        <v>0</v>
      </c>
      <c r="T209" s="735">
        <f t="shared" si="27"/>
        <v>2757600.7235767129</v>
      </c>
      <c r="U209" s="735">
        <f t="shared" si="28"/>
        <v>0</v>
      </c>
      <c r="V209" s="736">
        <f t="shared" si="29"/>
        <v>0</v>
      </c>
      <c r="W209" s="735">
        <f t="shared" si="30"/>
        <v>0</v>
      </c>
      <c r="X209" s="737">
        <f t="shared" si="31"/>
        <v>0</v>
      </c>
      <c r="Y209" s="738">
        <f t="shared" si="32"/>
        <v>2757600.7235767129</v>
      </c>
    </row>
    <row r="210" spans="1:25">
      <c r="A210" s="754" t="str">
        <f>'Func Future Subs 2015'!A210</f>
        <v>Engstorm 2060S substation</v>
      </c>
      <c r="B210" s="754">
        <f>'Func Future Subs 2015'!B210</f>
        <v>1128</v>
      </c>
      <c r="C210" s="754">
        <f>'Func Future Subs 2015'!C210</f>
        <v>144</v>
      </c>
      <c r="D210" s="754">
        <f>'Func Future Subs 2015'!D210</f>
        <v>25</v>
      </c>
      <c r="E210" s="754" t="str">
        <f>'Func Future Subs 2015'!E210</f>
        <v>2060S</v>
      </c>
      <c r="F210" s="754">
        <f>'Func Future Subs 2015'!F210</f>
        <v>25809473.341965247</v>
      </c>
      <c r="G210" s="754" t="str">
        <f>'Func Future Subs 2015'!G210</f>
        <v>ATCO</v>
      </c>
      <c r="H210" s="754">
        <f>'Func Future Subs 2015'!H210</f>
        <v>2015</v>
      </c>
      <c r="I210" s="306">
        <f>+IF($H210=I$2,VLOOKUP($G210,Depreciation!$A$14:$L$18,7,FALSE)/2,IF($H210&lt;I$2,VLOOKUP($G210,Depreciation!$A$14:$L$18,7,FALSE),0))</f>
        <v>1.221703683566912E-2</v>
      </c>
      <c r="J210" s="306">
        <f>+IF($H210=J$2,VLOOKUP($G210,Depreciation!$A$14:$L$18,8,FALSE)/2,IF($H210&lt;J$2,VLOOKUP($G210,Depreciation!$A$14:$L$18,8,FALSE),0))</f>
        <v>2.4632450501084719E-2</v>
      </c>
      <c r="K210" s="306">
        <f>+IF($H210=K$2,VLOOKUP($G210,Depreciation!$A$14:$L$18,9,FALSE)/2,IF($H210&lt;K$2,VLOOKUP($G210,Depreciation!$A$14:$L$18,9,FALSE),0))</f>
        <v>2.4351536427798831E-2</v>
      </c>
      <c r="L210" s="306">
        <f>+IF($H210=L$2,VLOOKUP($G210,Depreciation!$A$14:$L$18,10,FALSE)/2,IF($H210&lt;L$2,VLOOKUP($G210,Depreciation!$A$14:$L$18,10,FALSE),0))</f>
        <v>2.4351536427798831E-2</v>
      </c>
      <c r="M210" s="306">
        <f>+IF($H210=M$2,VLOOKUP($G210,Depreciation!$A$14:$L$18,11,FALSE)/2,IF($H210&lt;M$2,VLOOKUP($G210,Depreciation!$A$14:$L$18,11,FALSE),0))</f>
        <v>2.4351536427798831E-2</v>
      </c>
      <c r="N210" s="306">
        <f>+IF($H210=N$2,VLOOKUP($G210,Depreciation!$A$14:$L$18,12,FALSE)/2,IF($H210&lt;N$2,VLOOKUP($G210,Depreciation!$A$14:$L$18,12,FALSE),0))</f>
        <v>2.4351536427798831E-2</v>
      </c>
      <c r="O210" s="307">
        <f t="shared" si="25"/>
        <v>24260644.915666293</v>
      </c>
      <c r="P210" s="732">
        <f>'Func Future Subs 2015'!P210</f>
        <v>0</v>
      </c>
      <c r="Q210" s="732">
        <f>'Func Future Subs 2015'!Q210</f>
        <v>1</v>
      </c>
      <c r="R210" s="732">
        <f>'Func Future Subs 2015'!R210</f>
        <v>0</v>
      </c>
      <c r="S210" s="735">
        <f t="shared" si="26"/>
        <v>0</v>
      </c>
      <c r="T210" s="735">
        <f t="shared" si="27"/>
        <v>24260644.915666293</v>
      </c>
      <c r="U210" s="735">
        <f t="shared" si="28"/>
        <v>0</v>
      </c>
      <c r="V210" s="736">
        <f t="shared" si="29"/>
        <v>0</v>
      </c>
      <c r="W210" s="735">
        <f t="shared" si="30"/>
        <v>0</v>
      </c>
      <c r="X210" s="737">
        <f t="shared" si="31"/>
        <v>0</v>
      </c>
      <c r="Y210" s="738">
        <f t="shared" si="32"/>
        <v>24260644.915666293</v>
      </c>
    </row>
    <row r="211" spans="1:25">
      <c r="A211" s="754" t="str">
        <f>'Func Future Subs 2015'!A211</f>
        <v>Construction of a new switching station, Birchwood Creek 2060S 180day</v>
      </c>
      <c r="B211" s="754">
        <f>'Func Future Subs 2015'!B211</f>
        <v>1180</v>
      </c>
      <c r="C211" s="754">
        <f>'Func Future Subs 2015'!C211</f>
        <v>240</v>
      </c>
      <c r="D211" s="754">
        <f>'Func Future Subs 2015'!D211</f>
        <v>25</v>
      </c>
      <c r="E211" s="754" t="str">
        <f>'Func Future Subs 2015'!E211</f>
        <v>2060S</v>
      </c>
      <c r="F211" s="754">
        <f>'Func Future Subs 2015'!F211</f>
        <v>0</v>
      </c>
      <c r="G211" s="754" t="str">
        <f>'Func Future Subs 2015'!G211</f>
        <v>ATCO</v>
      </c>
      <c r="H211" s="754">
        <f>'Func Future Subs 2015'!H211</f>
        <v>2100</v>
      </c>
      <c r="I211" s="306">
        <f>+IF($H211=I$2,VLOOKUP($G211,Depreciation!$A$14:$L$18,7,FALSE)/2,IF($H211&lt;I$2,VLOOKUP($G211,Depreciation!$A$14:$L$18,7,FALSE),0))</f>
        <v>0</v>
      </c>
      <c r="J211" s="306">
        <f>+IF($H211=J$2,VLOOKUP($G211,Depreciation!$A$14:$L$18,8,FALSE)/2,IF($H211&lt;J$2,VLOOKUP($G211,Depreciation!$A$14:$L$18,8,FALSE),0))</f>
        <v>0</v>
      </c>
      <c r="K211" s="306">
        <f>+IF($H211=K$2,VLOOKUP($G211,Depreciation!$A$14:$L$18,9,FALSE)/2,IF($H211&lt;K$2,VLOOKUP($G211,Depreciation!$A$14:$L$18,9,FALSE),0))</f>
        <v>0</v>
      </c>
      <c r="L211" s="306">
        <f>+IF($H211=L$2,VLOOKUP($G211,Depreciation!$A$14:$L$18,10,FALSE)/2,IF($H211&lt;L$2,VLOOKUP($G211,Depreciation!$A$14:$L$18,10,FALSE),0))</f>
        <v>0</v>
      </c>
      <c r="M211" s="306">
        <f>+IF($H211=M$2,VLOOKUP($G211,Depreciation!$A$14:$L$18,11,FALSE)/2,IF($H211&lt;M$2,VLOOKUP($G211,Depreciation!$A$14:$L$18,11,FALSE),0))</f>
        <v>0</v>
      </c>
      <c r="N211" s="306">
        <f>+IF($H211=N$2,VLOOKUP($G211,Depreciation!$A$14:$L$18,12,FALSE)/2,IF($H211&lt;N$2,VLOOKUP($G211,Depreciation!$A$14:$L$18,12,FALSE),0))</f>
        <v>0</v>
      </c>
      <c r="O211" s="307">
        <f t="shared" si="25"/>
        <v>0</v>
      </c>
      <c r="P211" s="732">
        <f>'Func Future Subs 2015'!P211</f>
        <v>0</v>
      </c>
      <c r="Q211" s="732">
        <f>'Func Future Subs 2015'!Q211</f>
        <v>1</v>
      </c>
      <c r="R211" s="732">
        <f>'Func Future Subs 2015'!R211</f>
        <v>0</v>
      </c>
      <c r="S211" s="735">
        <f t="shared" si="26"/>
        <v>0</v>
      </c>
      <c r="T211" s="735">
        <f t="shared" si="27"/>
        <v>0</v>
      </c>
      <c r="U211" s="735">
        <f t="shared" si="28"/>
        <v>0</v>
      </c>
      <c r="V211" s="736">
        <f t="shared" si="29"/>
        <v>0</v>
      </c>
      <c r="W211" s="735">
        <f t="shared" si="30"/>
        <v>0</v>
      </c>
      <c r="X211" s="737">
        <f t="shared" si="31"/>
        <v>0</v>
      </c>
      <c r="Y211" s="738">
        <f t="shared" si="32"/>
        <v>0</v>
      </c>
    </row>
    <row r="212" spans="1:25">
      <c r="A212" s="754" t="str">
        <f>'Func Future Subs 2015'!A212</f>
        <v>Ells River 2079S</v>
      </c>
      <c r="B212" s="754">
        <f>'Func Future Subs 2015'!B212</f>
        <v>1180</v>
      </c>
      <c r="C212" s="754">
        <f>'Func Future Subs 2015'!C212</f>
        <v>240</v>
      </c>
      <c r="D212" s="754">
        <f>'Func Future Subs 2015'!D212</f>
        <v>240</v>
      </c>
      <c r="E212" s="754" t="str">
        <f>'Func Future Subs 2015'!E212</f>
        <v>2079S</v>
      </c>
      <c r="F212" s="754">
        <f>'Func Future Subs 2015'!F212</f>
        <v>0</v>
      </c>
      <c r="G212" s="754" t="str">
        <f>'Func Future Subs 2015'!G212</f>
        <v>ATCO</v>
      </c>
      <c r="H212" s="754">
        <f>'Func Future Subs 2015'!H212</f>
        <v>2100</v>
      </c>
      <c r="I212" s="306">
        <f>+IF($H212=I$2,VLOOKUP($G212,Depreciation!$A$14:$L$18,7,FALSE)/2,IF($H212&lt;I$2,VLOOKUP($G212,Depreciation!$A$14:$L$18,7,FALSE),0))</f>
        <v>0</v>
      </c>
      <c r="J212" s="306">
        <f>+IF($H212=J$2,VLOOKUP($G212,Depreciation!$A$14:$L$18,8,FALSE)/2,IF($H212&lt;J$2,VLOOKUP($G212,Depreciation!$A$14:$L$18,8,FALSE),0))</f>
        <v>0</v>
      </c>
      <c r="K212" s="306">
        <f>+IF($H212=K$2,VLOOKUP($G212,Depreciation!$A$14:$L$18,9,FALSE)/2,IF($H212&lt;K$2,VLOOKUP($G212,Depreciation!$A$14:$L$18,9,FALSE),0))</f>
        <v>0</v>
      </c>
      <c r="L212" s="306">
        <f>+IF($H212=L$2,VLOOKUP($G212,Depreciation!$A$14:$L$18,10,FALSE)/2,IF($H212&lt;L$2,VLOOKUP($G212,Depreciation!$A$14:$L$18,10,FALSE),0))</f>
        <v>0</v>
      </c>
      <c r="M212" s="306">
        <f>+IF($H212=M$2,VLOOKUP($G212,Depreciation!$A$14:$L$18,11,FALSE)/2,IF($H212&lt;M$2,VLOOKUP($G212,Depreciation!$A$14:$L$18,11,FALSE),0))</f>
        <v>0</v>
      </c>
      <c r="N212" s="306">
        <f>+IF($H212=N$2,VLOOKUP($G212,Depreciation!$A$14:$L$18,12,FALSE)/2,IF($H212&lt;N$2,VLOOKUP($G212,Depreciation!$A$14:$L$18,12,FALSE),0))</f>
        <v>0</v>
      </c>
      <c r="O212" s="307">
        <f t="shared" si="25"/>
        <v>0</v>
      </c>
      <c r="P212" s="732">
        <f>'Func Future Subs 2015'!P212</f>
        <v>0</v>
      </c>
      <c r="Q212" s="732">
        <f>'Func Future Subs 2015'!Q212</f>
        <v>0</v>
      </c>
      <c r="R212" s="732">
        <f>'Func Future Subs 2015'!R212</f>
        <v>1</v>
      </c>
      <c r="S212" s="735">
        <f t="shared" si="26"/>
        <v>0</v>
      </c>
      <c r="T212" s="735">
        <f t="shared" si="27"/>
        <v>0</v>
      </c>
      <c r="U212" s="735">
        <f t="shared" si="28"/>
        <v>0</v>
      </c>
      <c r="V212" s="736">
        <f t="shared" si="29"/>
        <v>0</v>
      </c>
      <c r="W212" s="735">
        <f t="shared" si="30"/>
        <v>0</v>
      </c>
      <c r="X212" s="737">
        <f t="shared" si="31"/>
        <v>0</v>
      </c>
      <c r="Y212" s="738">
        <f t="shared" si="32"/>
        <v>0</v>
      </c>
    </row>
    <row r="213" spans="1:25">
      <c r="A213" s="754" t="str">
        <f>'Func Future Subs 2015'!A213</f>
        <v>Modify Dover 888S substation</v>
      </c>
      <c r="B213" s="754">
        <f>'Func Future Subs 2015'!B213</f>
        <v>1180</v>
      </c>
      <c r="C213" s="754">
        <f>'Func Future Subs 2015'!C213</f>
        <v>240</v>
      </c>
      <c r="D213" s="754">
        <f>'Func Future Subs 2015'!D213</f>
        <v>240</v>
      </c>
      <c r="E213" s="754" t="str">
        <f>'Func Future Subs 2015'!E213</f>
        <v>888S</v>
      </c>
      <c r="F213" s="754">
        <f>'Func Future Subs 2015'!F213</f>
        <v>0</v>
      </c>
      <c r="G213" s="754" t="str">
        <f>'Func Future Subs 2015'!G213</f>
        <v>ATCO</v>
      </c>
      <c r="H213" s="754">
        <f>'Func Future Subs 2015'!H213</f>
        <v>2100</v>
      </c>
      <c r="I213" s="306">
        <f>+IF($H213=I$2,VLOOKUP($G213,Depreciation!$A$14:$L$18,7,FALSE)/2,IF($H213&lt;I$2,VLOOKUP($G213,Depreciation!$A$14:$L$18,7,FALSE),0))</f>
        <v>0</v>
      </c>
      <c r="J213" s="306">
        <f>+IF($H213=J$2,VLOOKUP($G213,Depreciation!$A$14:$L$18,8,FALSE)/2,IF($H213&lt;J$2,VLOOKUP($G213,Depreciation!$A$14:$L$18,8,FALSE),0))</f>
        <v>0</v>
      </c>
      <c r="K213" s="306">
        <f>+IF($H213=K$2,VLOOKUP($G213,Depreciation!$A$14:$L$18,9,FALSE)/2,IF($H213&lt;K$2,VLOOKUP($G213,Depreciation!$A$14:$L$18,9,FALSE),0))</f>
        <v>0</v>
      </c>
      <c r="L213" s="306">
        <f>+IF($H213=L$2,VLOOKUP($G213,Depreciation!$A$14:$L$18,10,FALSE)/2,IF($H213&lt;L$2,VLOOKUP($G213,Depreciation!$A$14:$L$18,10,FALSE),0))</f>
        <v>0</v>
      </c>
      <c r="M213" s="306">
        <f>+IF($H213=M$2,VLOOKUP($G213,Depreciation!$A$14:$L$18,11,FALSE)/2,IF($H213&lt;M$2,VLOOKUP($G213,Depreciation!$A$14:$L$18,11,FALSE),0))</f>
        <v>0</v>
      </c>
      <c r="N213" s="306">
        <f>+IF($H213=N$2,VLOOKUP($G213,Depreciation!$A$14:$L$18,12,FALSE)/2,IF($H213&lt;N$2,VLOOKUP($G213,Depreciation!$A$14:$L$18,12,FALSE),0))</f>
        <v>0</v>
      </c>
      <c r="O213" s="307">
        <f t="shared" si="25"/>
        <v>0</v>
      </c>
      <c r="P213" s="732">
        <f>'Func Future Subs 2015'!P213</f>
        <v>0</v>
      </c>
      <c r="Q213" s="732">
        <f>'Func Future Subs 2015'!Q213</f>
        <v>0</v>
      </c>
      <c r="R213" s="732">
        <f>'Func Future Subs 2015'!R213</f>
        <v>1</v>
      </c>
      <c r="S213" s="735">
        <f t="shared" si="26"/>
        <v>0</v>
      </c>
      <c r="T213" s="735">
        <f t="shared" si="27"/>
        <v>0</v>
      </c>
      <c r="U213" s="735">
        <f t="shared" si="28"/>
        <v>0</v>
      </c>
      <c r="V213" s="736">
        <f t="shared" si="29"/>
        <v>0</v>
      </c>
      <c r="W213" s="735">
        <f t="shared" si="30"/>
        <v>0</v>
      </c>
      <c r="X213" s="737">
        <f t="shared" si="31"/>
        <v>0</v>
      </c>
      <c r="Y213" s="738">
        <f t="shared" si="32"/>
        <v>0</v>
      </c>
    </row>
    <row r="214" spans="1:25">
      <c r="A214" s="754" t="str">
        <f>'Func Future Subs 2015'!A214</f>
        <v>Modify Joslyn 849S substation</v>
      </c>
      <c r="B214" s="754">
        <f>'Func Future Subs 2015'!B214</f>
        <v>1180</v>
      </c>
      <c r="C214" s="754">
        <f>'Func Future Subs 2015'!C214</f>
        <v>240</v>
      </c>
      <c r="D214" s="754">
        <f>'Func Future Subs 2015'!D214</f>
        <v>25</v>
      </c>
      <c r="E214" s="754" t="str">
        <f>'Func Future Subs 2015'!E214</f>
        <v>849S</v>
      </c>
      <c r="F214" s="754">
        <f>'Func Future Subs 2015'!F214</f>
        <v>0</v>
      </c>
      <c r="G214" s="754" t="str">
        <f>'Func Future Subs 2015'!G214</f>
        <v>ATCO</v>
      </c>
      <c r="H214" s="754">
        <f>'Func Future Subs 2015'!H214</f>
        <v>2100</v>
      </c>
      <c r="I214" s="306">
        <f>+IF($H214=I$2,VLOOKUP($G214,Depreciation!$A$14:$L$18,7,FALSE)/2,IF($H214&lt;I$2,VLOOKUP($G214,Depreciation!$A$14:$L$18,7,FALSE),0))</f>
        <v>0</v>
      </c>
      <c r="J214" s="306">
        <f>+IF($H214=J$2,VLOOKUP($G214,Depreciation!$A$14:$L$18,8,FALSE)/2,IF($H214&lt;J$2,VLOOKUP($G214,Depreciation!$A$14:$L$18,8,FALSE),0))</f>
        <v>0</v>
      </c>
      <c r="K214" s="306">
        <f>+IF($H214=K$2,VLOOKUP($G214,Depreciation!$A$14:$L$18,9,FALSE)/2,IF($H214&lt;K$2,VLOOKUP($G214,Depreciation!$A$14:$L$18,9,FALSE),0))</f>
        <v>0</v>
      </c>
      <c r="L214" s="306">
        <f>+IF($H214=L$2,VLOOKUP($G214,Depreciation!$A$14:$L$18,10,FALSE)/2,IF($H214&lt;L$2,VLOOKUP($G214,Depreciation!$A$14:$L$18,10,FALSE),0))</f>
        <v>0</v>
      </c>
      <c r="M214" s="306">
        <f>+IF($H214=M$2,VLOOKUP($G214,Depreciation!$A$14:$L$18,11,FALSE)/2,IF($H214&lt;M$2,VLOOKUP($G214,Depreciation!$A$14:$L$18,11,FALSE),0))</f>
        <v>0</v>
      </c>
      <c r="N214" s="306">
        <f>+IF($H214=N$2,VLOOKUP($G214,Depreciation!$A$14:$L$18,12,FALSE)/2,IF($H214&lt;N$2,VLOOKUP($G214,Depreciation!$A$14:$L$18,12,FALSE),0))</f>
        <v>0</v>
      </c>
      <c r="O214" s="307">
        <f t="shared" si="25"/>
        <v>0</v>
      </c>
      <c r="P214" s="732">
        <f>'Func Future Subs 2015'!P214</f>
        <v>0</v>
      </c>
      <c r="Q214" s="732">
        <f>'Func Future Subs 2015'!Q214</f>
        <v>1</v>
      </c>
      <c r="R214" s="732">
        <f>'Func Future Subs 2015'!R214</f>
        <v>0</v>
      </c>
      <c r="S214" s="735">
        <f t="shared" si="26"/>
        <v>0</v>
      </c>
      <c r="T214" s="735">
        <f t="shared" si="27"/>
        <v>0</v>
      </c>
      <c r="U214" s="735">
        <f t="shared" si="28"/>
        <v>0</v>
      </c>
      <c r="V214" s="736">
        <f t="shared" si="29"/>
        <v>0</v>
      </c>
      <c r="W214" s="735">
        <f t="shared" si="30"/>
        <v>0</v>
      </c>
      <c r="X214" s="737">
        <f t="shared" si="31"/>
        <v>0</v>
      </c>
      <c r="Y214" s="738">
        <f t="shared" si="32"/>
        <v>0</v>
      </c>
    </row>
    <row r="215" spans="1:25">
      <c r="A215" s="754" t="str">
        <f>'Func Future Subs 2015'!A215</f>
        <v>New Ells River 2079S switching station</v>
      </c>
      <c r="B215" s="754">
        <f>'Func Future Subs 2015'!B215</f>
        <v>1180</v>
      </c>
      <c r="C215" s="754">
        <f>'Func Future Subs 2015'!C215</f>
        <v>240</v>
      </c>
      <c r="D215" s="754">
        <f>'Func Future Subs 2015'!D215</f>
        <v>240</v>
      </c>
      <c r="E215" s="754" t="str">
        <f>'Func Future Subs 2015'!E215</f>
        <v>2079S</v>
      </c>
      <c r="F215" s="754">
        <f>'Func Future Subs 2015'!F215</f>
        <v>0</v>
      </c>
      <c r="G215" s="754" t="str">
        <f>'Func Future Subs 2015'!G215</f>
        <v>ATCO</v>
      </c>
      <c r="H215" s="754">
        <f>'Func Future Subs 2015'!H215</f>
        <v>2100</v>
      </c>
      <c r="I215" s="306">
        <f>+IF($H215=I$2,VLOOKUP($G215,Depreciation!$A$14:$L$18,7,FALSE)/2,IF($H215&lt;I$2,VLOOKUP($G215,Depreciation!$A$14:$L$18,7,FALSE),0))</f>
        <v>0</v>
      </c>
      <c r="J215" s="306">
        <f>+IF($H215=J$2,VLOOKUP($G215,Depreciation!$A$14:$L$18,8,FALSE)/2,IF($H215&lt;J$2,VLOOKUP($G215,Depreciation!$A$14:$L$18,8,FALSE),0))</f>
        <v>0</v>
      </c>
      <c r="K215" s="306">
        <f>+IF($H215=K$2,VLOOKUP($G215,Depreciation!$A$14:$L$18,9,FALSE)/2,IF($H215&lt;K$2,VLOOKUP($G215,Depreciation!$A$14:$L$18,9,FALSE),0))</f>
        <v>0</v>
      </c>
      <c r="L215" s="306">
        <f>+IF($H215=L$2,VLOOKUP($G215,Depreciation!$A$14:$L$18,10,FALSE)/2,IF($H215&lt;L$2,VLOOKUP($G215,Depreciation!$A$14:$L$18,10,FALSE),0))</f>
        <v>0</v>
      </c>
      <c r="M215" s="306">
        <f>+IF($H215=M$2,VLOOKUP($G215,Depreciation!$A$14:$L$18,11,FALSE)/2,IF($H215&lt;M$2,VLOOKUP($G215,Depreciation!$A$14:$L$18,11,FALSE),0))</f>
        <v>0</v>
      </c>
      <c r="N215" s="306">
        <f>+IF($H215=N$2,VLOOKUP($G215,Depreciation!$A$14:$L$18,12,FALSE)/2,IF($H215&lt;N$2,VLOOKUP($G215,Depreciation!$A$14:$L$18,12,FALSE),0))</f>
        <v>0</v>
      </c>
      <c r="O215" s="307">
        <f t="shared" si="25"/>
        <v>0</v>
      </c>
      <c r="P215" s="732">
        <f>'Func Future Subs 2015'!P215</f>
        <v>0</v>
      </c>
      <c r="Q215" s="732">
        <f>'Func Future Subs 2015'!Q215</f>
        <v>0</v>
      </c>
      <c r="R215" s="732">
        <f>'Func Future Subs 2015'!R215</f>
        <v>1</v>
      </c>
      <c r="S215" s="735">
        <f t="shared" si="26"/>
        <v>0</v>
      </c>
      <c r="T215" s="735">
        <f t="shared" si="27"/>
        <v>0</v>
      </c>
      <c r="U215" s="735">
        <f t="shared" si="28"/>
        <v>0</v>
      </c>
      <c r="V215" s="736">
        <f t="shared" si="29"/>
        <v>0</v>
      </c>
      <c r="W215" s="735">
        <f t="shared" si="30"/>
        <v>0</v>
      </c>
      <c r="X215" s="737">
        <f t="shared" si="31"/>
        <v>0</v>
      </c>
      <c r="Y215" s="738">
        <f t="shared" si="32"/>
        <v>0</v>
      </c>
    </row>
    <row r="216" spans="1:25">
      <c r="A216" s="754" t="str">
        <f>'Func Future Subs 2015'!A216</f>
        <v>Dawes</v>
      </c>
      <c r="B216" s="754">
        <f>'Func Future Subs 2015'!B216</f>
        <v>1186</v>
      </c>
      <c r="C216" s="754">
        <f>'Func Future Subs 2015'!C216</f>
        <v>240</v>
      </c>
      <c r="D216" s="754">
        <f>'Func Future Subs 2015'!D216</f>
        <v>0</v>
      </c>
      <c r="E216" s="754">
        <f>'Func Future Subs 2015'!E216</f>
        <v>0</v>
      </c>
      <c r="F216" s="754">
        <f>'Func Future Subs 2015'!F216</f>
        <v>75896.276001329621</v>
      </c>
      <c r="G216" s="754" t="str">
        <f>'Func Future Subs 2015'!G216</f>
        <v>ATCO</v>
      </c>
      <c r="H216" s="754">
        <f>'Func Future Subs 2015'!H216</f>
        <v>2018</v>
      </c>
      <c r="I216" s="306">
        <f>+IF($H216=I$2,VLOOKUP($G216,Depreciation!$A$14:$L$18,7,FALSE)/2,IF($H216&lt;I$2,VLOOKUP($G216,Depreciation!$A$14:$L$18,7,FALSE),0))</f>
        <v>0</v>
      </c>
      <c r="J216" s="306">
        <f>+IF($H216=J$2,VLOOKUP($G216,Depreciation!$A$14:$L$18,8,FALSE)/2,IF($H216&lt;J$2,VLOOKUP($G216,Depreciation!$A$14:$L$18,8,FALSE),0))</f>
        <v>0</v>
      </c>
      <c r="K216" s="306">
        <f>+IF($H216=K$2,VLOOKUP($G216,Depreciation!$A$14:$L$18,9,FALSE)/2,IF($H216&lt;K$2,VLOOKUP($G216,Depreciation!$A$14:$L$18,9,FALSE),0))</f>
        <v>0</v>
      </c>
      <c r="L216" s="306">
        <f>+IF($H216=L$2,VLOOKUP($G216,Depreciation!$A$14:$L$18,10,FALSE)/2,IF($H216&lt;L$2,VLOOKUP($G216,Depreciation!$A$14:$L$18,10,FALSE),0))</f>
        <v>1.2175768213899416E-2</v>
      </c>
      <c r="M216" s="306">
        <f>+IF($H216=M$2,VLOOKUP($G216,Depreciation!$A$14:$L$18,11,FALSE)/2,IF($H216&lt;M$2,VLOOKUP($G216,Depreciation!$A$14:$L$18,11,FALSE),0))</f>
        <v>2.4351536427798831E-2</v>
      </c>
      <c r="N216" s="306">
        <f>+IF($H216=N$2,VLOOKUP($G216,Depreciation!$A$14:$L$18,12,FALSE)/2,IF($H216&lt;N$2,VLOOKUP($G216,Depreciation!$A$14:$L$18,12,FALSE),0))</f>
        <v>2.4351536427798831E-2</v>
      </c>
      <c r="O216" s="307">
        <f t="shared" si="25"/>
        <v>0</v>
      </c>
      <c r="P216" s="732">
        <f>'Func Future Subs 2015'!P216</f>
        <v>0</v>
      </c>
      <c r="Q216" s="732">
        <f>'Func Future Subs 2015'!Q216</f>
        <v>0</v>
      </c>
      <c r="R216" s="732">
        <f>'Func Future Subs 2015'!R216</f>
        <v>1</v>
      </c>
      <c r="S216" s="735">
        <f t="shared" si="26"/>
        <v>0</v>
      </c>
      <c r="T216" s="735">
        <f t="shared" si="27"/>
        <v>0</v>
      </c>
      <c r="U216" s="735">
        <f t="shared" si="28"/>
        <v>0</v>
      </c>
      <c r="V216" s="736">
        <f t="shared" si="29"/>
        <v>0</v>
      </c>
      <c r="W216" s="735">
        <f t="shared" si="30"/>
        <v>0</v>
      </c>
      <c r="X216" s="737">
        <f t="shared" si="31"/>
        <v>0</v>
      </c>
      <c r="Y216" s="738">
        <f t="shared" si="32"/>
        <v>0</v>
      </c>
    </row>
    <row r="217" spans="1:25">
      <c r="A217" s="754" t="str">
        <f>'Func Future Subs 2015'!A217</f>
        <v>Dover</v>
      </c>
      <c r="B217" s="754">
        <f>'Func Future Subs 2015'!B217</f>
        <v>1186</v>
      </c>
      <c r="C217" s="754">
        <f>'Func Future Subs 2015'!C217</f>
        <v>240</v>
      </c>
      <c r="D217" s="754">
        <f>'Func Future Subs 2015'!D217</f>
        <v>0</v>
      </c>
      <c r="E217" s="754">
        <f>'Func Future Subs 2015'!E217</f>
        <v>0</v>
      </c>
      <c r="F217" s="754">
        <f>'Func Future Subs 2015'!F217</f>
        <v>107010.66953091667</v>
      </c>
      <c r="G217" s="754" t="str">
        <f>'Func Future Subs 2015'!G217</f>
        <v>ATCO</v>
      </c>
      <c r="H217" s="754">
        <f>'Func Future Subs 2015'!H217</f>
        <v>2018</v>
      </c>
      <c r="I217" s="306">
        <f>+IF($H217=I$2,VLOOKUP($G217,Depreciation!$A$14:$L$18,7,FALSE)/2,IF($H217&lt;I$2,VLOOKUP($G217,Depreciation!$A$14:$L$18,7,FALSE),0))</f>
        <v>0</v>
      </c>
      <c r="J217" s="306">
        <f>+IF($H217=J$2,VLOOKUP($G217,Depreciation!$A$14:$L$18,8,FALSE)/2,IF($H217&lt;J$2,VLOOKUP($G217,Depreciation!$A$14:$L$18,8,FALSE),0))</f>
        <v>0</v>
      </c>
      <c r="K217" s="306">
        <f>+IF($H217=K$2,VLOOKUP($G217,Depreciation!$A$14:$L$18,9,FALSE)/2,IF($H217&lt;K$2,VLOOKUP($G217,Depreciation!$A$14:$L$18,9,FALSE),0))</f>
        <v>0</v>
      </c>
      <c r="L217" s="306">
        <f>+IF($H217=L$2,VLOOKUP($G217,Depreciation!$A$14:$L$18,10,FALSE)/2,IF($H217&lt;L$2,VLOOKUP($G217,Depreciation!$A$14:$L$18,10,FALSE),0))</f>
        <v>1.2175768213899416E-2</v>
      </c>
      <c r="M217" s="306">
        <f>+IF($H217=M$2,VLOOKUP($G217,Depreciation!$A$14:$L$18,11,FALSE)/2,IF($H217&lt;M$2,VLOOKUP($G217,Depreciation!$A$14:$L$18,11,FALSE),0))</f>
        <v>2.4351536427798831E-2</v>
      </c>
      <c r="N217" s="306">
        <f>+IF($H217=N$2,VLOOKUP($G217,Depreciation!$A$14:$L$18,12,FALSE)/2,IF($H217&lt;N$2,VLOOKUP($G217,Depreciation!$A$14:$L$18,12,FALSE),0))</f>
        <v>2.4351536427798831E-2</v>
      </c>
      <c r="O217" s="307">
        <f t="shared" si="25"/>
        <v>0</v>
      </c>
      <c r="P217" s="732">
        <f>'Func Future Subs 2015'!P217</f>
        <v>0</v>
      </c>
      <c r="Q217" s="732">
        <f>'Func Future Subs 2015'!Q217</f>
        <v>0</v>
      </c>
      <c r="R217" s="732">
        <f>'Func Future Subs 2015'!R217</f>
        <v>1</v>
      </c>
      <c r="S217" s="735">
        <f t="shared" si="26"/>
        <v>0</v>
      </c>
      <c r="T217" s="735">
        <f t="shared" si="27"/>
        <v>0</v>
      </c>
      <c r="U217" s="735">
        <f t="shared" si="28"/>
        <v>0</v>
      </c>
      <c r="V217" s="736">
        <f t="shared" si="29"/>
        <v>0</v>
      </c>
      <c r="W217" s="735">
        <f t="shared" si="30"/>
        <v>0</v>
      </c>
      <c r="X217" s="737">
        <f t="shared" si="31"/>
        <v>0</v>
      </c>
      <c r="Y217" s="738">
        <f t="shared" si="32"/>
        <v>0</v>
      </c>
    </row>
    <row r="218" spans="1:25">
      <c r="A218" s="754" t="str">
        <f>'Func Future Subs 2015'!A218</f>
        <v>Ruth Lake sub</v>
      </c>
      <c r="B218" s="754">
        <f>'Func Future Subs 2015'!B218</f>
        <v>1186</v>
      </c>
      <c r="C218" s="754">
        <f>'Func Future Subs 2015'!C218</f>
        <v>240</v>
      </c>
      <c r="D218" s="754">
        <f>'Func Future Subs 2015'!D218</f>
        <v>0</v>
      </c>
      <c r="E218" s="754">
        <f>'Func Future Subs 2015'!E218</f>
        <v>0</v>
      </c>
      <c r="F218" s="754">
        <f>'Func Future Subs 2015'!F218</f>
        <v>75646.146350743249</v>
      </c>
      <c r="G218" s="754" t="str">
        <f>'Func Future Subs 2015'!G218</f>
        <v>ATCO</v>
      </c>
      <c r="H218" s="754">
        <f>'Func Future Subs 2015'!H218</f>
        <v>2018</v>
      </c>
      <c r="I218" s="306">
        <f>+IF($H218=I$2,VLOOKUP($G218,Depreciation!$A$14:$L$18,7,FALSE)/2,IF($H218&lt;I$2,VLOOKUP($G218,Depreciation!$A$14:$L$18,7,FALSE),0))</f>
        <v>0</v>
      </c>
      <c r="J218" s="306">
        <f>+IF($H218=J$2,VLOOKUP($G218,Depreciation!$A$14:$L$18,8,FALSE)/2,IF($H218&lt;J$2,VLOOKUP($G218,Depreciation!$A$14:$L$18,8,FALSE),0))</f>
        <v>0</v>
      </c>
      <c r="K218" s="306">
        <f>+IF($H218=K$2,VLOOKUP($G218,Depreciation!$A$14:$L$18,9,FALSE)/2,IF($H218&lt;K$2,VLOOKUP($G218,Depreciation!$A$14:$L$18,9,FALSE),0))</f>
        <v>0</v>
      </c>
      <c r="L218" s="306">
        <f>+IF($H218=L$2,VLOOKUP($G218,Depreciation!$A$14:$L$18,10,FALSE)/2,IF($H218&lt;L$2,VLOOKUP($G218,Depreciation!$A$14:$L$18,10,FALSE),0))</f>
        <v>1.2175768213899416E-2</v>
      </c>
      <c r="M218" s="306">
        <f>+IF($H218=M$2,VLOOKUP($G218,Depreciation!$A$14:$L$18,11,FALSE)/2,IF($H218&lt;M$2,VLOOKUP($G218,Depreciation!$A$14:$L$18,11,FALSE),0))</f>
        <v>2.4351536427798831E-2</v>
      </c>
      <c r="N218" s="306">
        <f>+IF($H218=N$2,VLOOKUP($G218,Depreciation!$A$14:$L$18,12,FALSE)/2,IF($H218&lt;N$2,VLOOKUP($G218,Depreciation!$A$14:$L$18,12,FALSE),0))</f>
        <v>2.4351536427798831E-2</v>
      </c>
      <c r="O218" s="307">
        <f t="shared" si="25"/>
        <v>0</v>
      </c>
      <c r="P218" s="732">
        <f>'Func Future Subs 2015'!P218</f>
        <v>0</v>
      </c>
      <c r="Q218" s="732">
        <f>'Func Future Subs 2015'!Q218</f>
        <v>0</v>
      </c>
      <c r="R218" s="732">
        <f>'Func Future Subs 2015'!R218</f>
        <v>1</v>
      </c>
      <c r="S218" s="735">
        <f t="shared" si="26"/>
        <v>0</v>
      </c>
      <c r="T218" s="735">
        <f t="shared" si="27"/>
        <v>0</v>
      </c>
      <c r="U218" s="735">
        <f t="shared" si="28"/>
        <v>0</v>
      </c>
      <c r="V218" s="736">
        <f t="shared" si="29"/>
        <v>0</v>
      </c>
      <c r="W218" s="735">
        <f t="shared" si="30"/>
        <v>0</v>
      </c>
      <c r="X218" s="737">
        <f t="shared" si="31"/>
        <v>0</v>
      </c>
      <c r="Y218" s="738">
        <f t="shared" si="32"/>
        <v>0</v>
      </c>
    </row>
    <row r="219" spans="1:25">
      <c r="A219" s="754" t="str">
        <f>'Func Future Subs 2015'!A219</f>
        <v>Thickwood Hills 951S substation</v>
      </c>
      <c r="B219" s="754">
        <f>'Func Future Subs 2015'!B219</f>
        <v>1186</v>
      </c>
      <c r="C219" s="754">
        <f>'Func Future Subs 2015'!C219</f>
        <v>240</v>
      </c>
      <c r="D219" s="754">
        <f>'Func Future Subs 2015'!D219</f>
        <v>240</v>
      </c>
      <c r="E219" s="754" t="str">
        <f>'Func Future Subs 2015'!E219</f>
        <v>951S</v>
      </c>
      <c r="F219" s="754">
        <f>'Func Future Subs 2015'!F219</f>
        <v>36719404.285963841</v>
      </c>
      <c r="G219" s="754" t="str">
        <f>'Func Future Subs 2015'!G219</f>
        <v>ATCO</v>
      </c>
      <c r="H219" s="754">
        <f>'Func Future Subs 2015'!H219</f>
        <v>2018</v>
      </c>
      <c r="I219" s="306">
        <f>+IF($H219=I$2,VLOOKUP($G219,Depreciation!$A$14:$L$18,7,FALSE)/2,IF($H219&lt;I$2,VLOOKUP($G219,Depreciation!$A$14:$L$18,7,FALSE),0))</f>
        <v>0</v>
      </c>
      <c r="J219" s="306">
        <f>+IF($H219=J$2,VLOOKUP($G219,Depreciation!$A$14:$L$18,8,FALSE)/2,IF($H219&lt;J$2,VLOOKUP($G219,Depreciation!$A$14:$L$18,8,FALSE),0))</f>
        <v>0</v>
      </c>
      <c r="K219" s="306">
        <f>+IF($H219=K$2,VLOOKUP($G219,Depreciation!$A$14:$L$18,9,FALSE)/2,IF($H219&lt;K$2,VLOOKUP($G219,Depreciation!$A$14:$L$18,9,FALSE),0))</f>
        <v>0</v>
      </c>
      <c r="L219" s="306">
        <f>+IF($H219=L$2,VLOOKUP($G219,Depreciation!$A$14:$L$18,10,FALSE)/2,IF($H219&lt;L$2,VLOOKUP($G219,Depreciation!$A$14:$L$18,10,FALSE),0))</f>
        <v>1.2175768213899416E-2</v>
      </c>
      <c r="M219" s="306">
        <f>+IF($H219=M$2,VLOOKUP($G219,Depreciation!$A$14:$L$18,11,FALSE)/2,IF($H219&lt;M$2,VLOOKUP($G219,Depreciation!$A$14:$L$18,11,FALSE),0))</f>
        <v>2.4351536427798831E-2</v>
      </c>
      <c r="N219" s="306">
        <f>+IF($H219=N$2,VLOOKUP($G219,Depreciation!$A$14:$L$18,12,FALSE)/2,IF($H219&lt;N$2,VLOOKUP($G219,Depreciation!$A$14:$L$18,12,FALSE),0))</f>
        <v>2.4351536427798831E-2</v>
      </c>
      <c r="O219" s="307">
        <f t="shared" si="25"/>
        <v>0</v>
      </c>
      <c r="P219" s="732">
        <f>'Func Future Subs 2015'!P219</f>
        <v>0</v>
      </c>
      <c r="Q219" s="732">
        <f>'Func Future Subs 2015'!Q219</f>
        <v>0</v>
      </c>
      <c r="R219" s="732">
        <f>'Func Future Subs 2015'!R219</f>
        <v>1</v>
      </c>
      <c r="S219" s="735">
        <f t="shared" si="26"/>
        <v>0</v>
      </c>
      <c r="T219" s="735">
        <f t="shared" si="27"/>
        <v>0</v>
      </c>
      <c r="U219" s="735">
        <f t="shared" si="28"/>
        <v>0</v>
      </c>
      <c r="V219" s="736">
        <f t="shared" si="29"/>
        <v>0</v>
      </c>
      <c r="W219" s="735">
        <f t="shared" si="30"/>
        <v>0</v>
      </c>
      <c r="X219" s="737">
        <f t="shared" si="31"/>
        <v>0</v>
      </c>
      <c r="Y219" s="738">
        <f t="shared" si="32"/>
        <v>0</v>
      </c>
    </row>
    <row r="220" spans="1:25">
      <c r="A220" s="754" t="str">
        <f>'Func Future Subs 2015'!A220</f>
        <v>Thickwood Hills 951S substation_SVS</v>
      </c>
      <c r="B220" s="754">
        <f>'Func Future Subs 2015'!B220</f>
        <v>1186</v>
      </c>
      <c r="C220" s="754">
        <f>'Func Future Subs 2015'!C220</f>
        <v>240</v>
      </c>
      <c r="D220" s="754">
        <f>'Func Future Subs 2015'!D220</f>
        <v>240</v>
      </c>
      <c r="E220" s="754" t="str">
        <f>'Func Future Subs 2015'!E220</f>
        <v>951S</v>
      </c>
      <c r="F220" s="754">
        <f>'Func Future Subs 2015'!F220</f>
        <v>35229814.262423903</v>
      </c>
      <c r="G220" s="754" t="str">
        <f>'Func Future Subs 2015'!G220</f>
        <v>ATCO</v>
      </c>
      <c r="H220" s="754">
        <f>'Func Future Subs 2015'!H220</f>
        <v>2018</v>
      </c>
      <c r="I220" s="306">
        <f>+IF($H220=I$2,VLOOKUP($G220,Depreciation!$A$14:$L$18,7,FALSE)/2,IF($H220&lt;I$2,VLOOKUP($G220,Depreciation!$A$14:$L$18,7,FALSE),0))</f>
        <v>0</v>
      </c>
      <c r="J220" s="306">
        <f>+IF($H220=J$2,VLOOKUP($G220,Depreciation!$A$14:$L$18,8,FALSE)/2,IF($H220&lt;J$2,VLOOKUP($G220,Depreciation!$A$14:$L$18,8,FALSE),0))</f>
        <v>0</v>
      </c>
      <c r="K220" s="306">
        <f>+IF($H220=K$2,VLOOKUP($G220,Depreciation!$A$14:$L$18,9,FALSE)/2,IF($H220&lt;K$2,VLOOKUP($G220,Depreciation!$A$14:$L$18,9,FALSE),0))</f>
        <v>0</v>
      </c>
      <c r="L220" s="306">
        <f>+IF($H220=L$2,VLOOKUP($G220,Depreciation!$A$14:$L$18,10,FALSE)/2,IF($H220&lt;L$2,VLOOKUP($G220,Depreciation!$A$14:$L$18,10,FALSE),0))</f>
        <v>1.2175768213899416E-2</v>
      </c>
      <c r="M220" s="306">
        <f>+IF($H220=M$2,VLOOKUP($G220,Depreciation!$A$14:$L$18,11,FALSE)/2,IF($H220&lt;M$2,VLOOKUP($G220,Depreciation!$A$14:$L$18,11,FALSE),0))</f>
        <v>2.4351536427798831E-2</v>
      </c>
      <c r="N220" s="306">
        <f>+IF($H220=N$2,VLOOKUP($G220,Depreciation!$A$14:$L$18,12,FALSE)/2,IF($H220&lt;N$2,VLOOKUP($G220,Depreciation!$A$14:$L$18,12,FALSE),0))</f>
        <v>2.4351536427798831E-2</v>
      </c>
      <c r="O220" s="307">
        <f t="shared" si="25"/>
        <v>0</v>
      </c>
      <c r="P220" s="732">
        <f>'Func Future Subs 2015'!P220</f>
        <v>0</v>
      </c>
      <c r="Q220" s="732">
        <f>'Func Future Subs 2015'!Q220</f>
        <v>0</v>
      </c>
      <c r="R220" s="732">
        <f>'Func Future Subs 2015'!R220</f>
        <v>1</v>
      </c>
      <c r="S220" s="735">
        <f t="shared" si="26"/>
        <v>0</v>
      </c>
      <c r="T220" s="735">
        <f t="shared" si="27"/>
        <v>0</v>
      </c>
      <c r="U220" s="735">
        <f t="shared" si="28"/>
        <v>0</v>
      </c>
      <c r="V220" s="736">
        <f t="shared" si="29"/>
        <v>0</v>
      </c>
      <c r="W220" s="735">
        <f t="shared" si="30"/>
        <v>0</v>
      </c>
      <c r="X220" s="737">
        <f t="shared" si="31"/>
        <v>0</v>
      </c>
      <c r="Y220" s="738">
        <f t="shared" si="32"/>
        <v>0</v>
      </c>
    </row>
    <row r="221" spans="1:25">
      <c r="A221" s="754" t="str">
        <f>'Func Future Subs 2015'!A221</f>
        <v>Steele 2016S</v>
      </c>
      <c r="B221" s="754">
        <f>'Func Future Subs 2015'!B221</f>
        <v>1250</v>
      </c>
      <c r="C221" s="754">
        <f>'Func Future Subs 2015'!C221</f>
        <v>144</v>
      </c>
      <c r="D221" s="754">
        <f>'Func Future Subs 2015'!D221</f>
        <v>144</v>
      </c>
      <c r="E221" s="754" t="str">
        <f>'Func Future Subs 2015'!E221</f>
        <v>2016S</v>
      </c>
      <c r="F221" s="754">
        <f>'Func Future Subs 2015'!F221</f>
        <v>7531332.8673087647</v>
      </c>
      <c r="G221" s="754" t="str">
        <f>'Func Future Subs 2015'!G221</f>
        <v>ATCO</v>
      </c>
      <c r="H221" s="754">
        <f>'Func Future Subs 2015'!H221</f>
        <v>2017</v>
      </c>
      <c r="I221" s="306">
        <f>+IF($H221=I$2,VLOOKUP($G221,Depreciation!$A$14:$L$18,7,FALSE)/2,IF($H221&lt;I$2,VLOOKUP($G221,Depreciation!$A$14:$L$18,7,FALSE),0))</f>
        <v>0</v>
      </c>
      <c r="J221" s="306">
        <f>+IF($H221=J$2,VLOOKUP($G221,Depreciation!$A$14:$L$18,8,FALSE)/2,IF($H221&lt;J$2,VLOOKUP($G221,Depreciation!$A$14:$L$18,8,FALSE),0))</f>
        <v>0</v>
      </c>
      <c r="K221" s="306">
        <f>+IF($H221=K$2,VLOOKUP($G221,Depreciation!$A$14:$L$18,9,FALSE)/2,IF($H221&lt;K$2,VLOOKUP($G221,Depreciation!$A$14:$L$18,9,FALSE),0))</f>
        <v>1.2175768213899416E-2</v>
      </c>
      <c r="L221" s="306">
        <f>+IF($H221=L$2,VLOOKUP($G221,Depreciation!$A$14:$L$18,10,FALSE)/2,IF($H221&lt;L$2,VLOOKUP($G221,Depreciation!$A$14:$L$18,10,FALSE),0))</f>
        <v>2.4351536427798831E-2</v>
      </c>
      <c r="M221" s="306">
        <f>+IF($H221=M$2,VLOOKUP($G221,Depreciation!$A$14:$L$18,11,FALSE)/2,IF($H221&lt;M$2,VLOOKUP($G221,Depreciation!$A$14:$L$18,11,FALSE),0))</f>
        <v>2.4351536427798831E-2</v>
      </c>
      <c r="N221" s="306">
        <f>+IF($H221=N$2,VLOOKUP($G221,Depreciation!$A$14:$L$18,12,FALSE)/2,IF($H221&lt;N$2,VLOOKUP($G221,Depreciation!$A$14:$L$18,12,FALSE),0))</f>
        <v>2.4351536427798831E-2</v>
      </c>
      <c r="O221" s="307">
        <f t="shared" si="25"/>
        <v>7439633.1039746907</v>
      </c>
      <c r="P221" s="732">
        <f>'Func Future Subs 2015'!P221</f>
        <v>0</v>
      </c>
      <c r="Q221" s="732">
        <f>'Func Future Subs 2015'!Q221</f>
        <v>0</v>
      </c>
      <c r="R221" s="732">
        <f>'Func Future Subs 2015'!R221</f>
        <v>1</v>
      </c>
      <c r="S221" s="735">
        <f t="shared" si="26"/>
        <v>0</v>
      </c>
      <c r="T221" s="735">
        <f t="shared" si="27"/>
        <v>0</v>
      </c>
      <c r="U221" s="735">
        <f t="shared" si="28"/>
        <v>7439633.1039746907</v>
      </c>
      <c r="V221" s="736">
        <f t="shared" si="29"/>
        <v>0</v>
      </c>
      <c r="W221" s="735">
        <f t="shared" si="30"/>
        <v>0</v>
      </c>
      <c r="X221" s="737">
        <f t="shared" si="31"/>
        <v>7439633.1039746907</v>
      </c>
      <c r="Y221" s="738">
        <f t="shared" si="32"/>
        <v>0</v>
      </c>
    </row>
    <row r="222" spans="1:25">
      <c r="A222" s="754" t="str">
        <f>'Func Future Subs 2015'!A222</f>
        <v>Vegreville 709S</v>
      </c>
      <c r="B222" s="754">
        <f>'Func Future Subs 2015'!B222</f>
        <v>1250</v>
      </c>
      <c r="C222" s="754">
        <f>'Func Future Subs 2015'!C222</f>
        <v>138</v>
      </c>
      <c r="D222" s="754">
        <f>'Func Future Subs 2015'!D222</f>
        <v>25</v>
      </c>
      <c r="E222" s="754" t="str">
        <f>'Func Future Subs 2015'!E222</f>
        <v>709S</v>
      </c>
      <c r="F222" s="754">
        <f>'Func Future Subs 2015'!F222</f>
        <v>153452.1754973343</v>
      </c>
      <c r="G222" s="754" t="str">
        <f>'Func Future Subs 2015'!G222</f>
        <v>ATCO</v>
      </c>
      <c r="H222" s="754">
        <f>'Func Future Subs 2015'!H222</f>
        <v>2017</v>
      </c>
      <c r="I222" s="306">
        <f>+IF($H222=I$2,VLOOKUP($G222,Depreciation!$A$14:$L$18,7,FALSE)/2,IF($H222&lt;I$2,VLOOKUP($G222,Depreciation!$A$14:$L$18,7,FALSE),0))</f>
        <v>0</v>
      </c>
      <c r="J222" s="306">
        <f>+IF($H222=J$2,VLOOKUP($G222,Depreciation!$A$14:$L$18,8,FALSE)/2,IF($H222&lt;J$2,VLOOKUP($G222,Depreciation!$A$14:$L$18,8,FALSE),0))</f>
        <v>0</v>
      </c>
      <c r="K222" s="306">
        <f>+IF($H222=K$2,VLOOKUP($G222,Depreciation!$A$14:$L$18,9,FALSE)/2,IF($H222&lt;K$2,VLOOKUP($G222,Depreciation!$A$14:$L$18,9,FALSE),0))</f>
        <v>1.2175768213899416E-2</v>
      </c>
      <c r="L222" s="306">
        <f>+IF($H222=L$2,VLOOKUP($G222,Depreciation!$A$14:$L$18,10,FALSE)/2,IF($H222&lt;L$2,VLOOKUP($G222,Depreciation!$A$14:$L$18,10,FALSE),0))</f>
        <v>2.4351536427798831E-2</v>
      </c>
      <c r="M222" s="306">
        <f>+IF($H222=M$2,VLOOKUP($G222,Depreciation!$A$14:$L$18,11,FALSE)/2,IF($H222&lt;M$2,VLOOKUP($G222,Depreciation!$A$14:$L$18,11,FALSE),0))</f>
        <v>2.4351536427798831E-2</v>
      </c>
      <c r="N222" s="306">
        <f>+IF($H222=N$2,VLOOKUP($G222,Depreciation!$A$14:$L$18,12,FALSE)/2,IF($H222&lt;N$2,VLOOKUP($G222,Depreciation!$A$14:$L$18,12,FALSE),0))</f>
        <v>2.4351536427798831E-2</v>
      </c>
      <c r="O222" s="307">
        <f t="shared" si="25"/>
        <v>151583.77737656015</v>
      </c>
      <c r="P222" s="732">
        <f>'Func Future Subs 2015'!P222</f>
        <v>0</v>
      </c>
      <c r="Q222" s="732">
        <f>'Func Future Subs 2015'!Q222</f>
        <v>1</v>
      </c>
      <c r="R222" s="732">
        <f>'Func Future Subs 2015'!R222</f>
        <v>0</v>
      </c>
      <c r="S222" s="735">
        <f t="shared" si="26"/>
        <v>0</v>
      </c>
      <c r="T222" s="735">
        <f t="shared" si="27"/>
        <v>151583.77737656015</v>
      </c>
      <c r="U222" s="735">
        <f t="shared" si="28"/>
        <v>0</v>
      </c>
      <c r="V222" s="736">
        <f t="shared" si="29"/>
        <v>0</v>
      </c>
      <c r="W222" s="735">
        <f t="shared" si="30"/>
        <v>0</v>
      </c>
      <c r="X222" s="737">
        <f t="shared" si="31"/>
        <v>0</v>
      </c>
      <c r="Y222" s="738">
        <f t="shared" si="32"/>
        <v>151583.77737656015</v>
      </c>
    </row>
    <row r="223" spans="1:25">
      <c r="A223" s="754" t="str">
        <f>'Func Future Subs 2015'!A223</f>
        <v>Vermillion 710S</v>
      </c>
      <c r="B223" s="754">
        <f>'Func Future Subs 2015'!B223</f>
        <v>1250</v>
      </c>
      <c r="C223" s="754">
        <f>'Func Future Subs 2015'!C223</f>
        <v>144</v>
      </c>
      <c r="D223" s="754">
        <f>'Func Future Subs 2015'!D223</f>
        <v>25</v>
      </c>
      <c r="E223" s="754" t="str">
        <f>'Func Future Subs 2015'!E223</f>
        <v>710S</v>
      </c>
      <c r="F223" s="754">
        <f>'Func Future Subs 2015'!F223</f>
        <v>796710.45575867116</v>
      </c>
      <c r="G223" s="754" t="str">
        <f>'Func Future Subs 2015'!G223</f>
        <v>ATCO</v>
      </c>
      <c r="H223" s="754">
        <f>'Func Future Subs 2015'!H223</f>
        <v>2017</v>
      </c>
      <c r="I223" s="306">
        <f>+IF($H223=I$2,VLOOKUP($G223,Depreciation!$A$14:$L$18,7,FALSE)/2,IF($H223&lt;I$2,VLOOKUP($G223,Depreciation!$A$14:$L$18,7,FALSE),0))</f>
        <v>0</v>
      </c>
      <c r="J223" s="306">
        <f>+IF($H223=J$2,VLOOKUP($G223,Depreciation!$A$14:$L$18,8,FALSE)/2,IF($H223&lt;J$2,VLOOKUP($G223,Depreciation!$A$14:$L$18,8,FALSE),0))</f>
        <v>0</v>
      </c>
      <c r="K223" s="306">
        <f>+IF($H223=K$2,VLOOKUP($G223,Depreciation!$A$14:$L$18,9,FALSE)/2,IF($H223&lt;K$2,VLOOKUP($G223,Depreciation!$A$14:$L$18,9,FALSE),0))</f>
        <v>1.2175768213899416E-2</v>
      </c>
      <c r="L223" s="306">
        <f>+IF($H223=L$2,VLOOKUP($G223,Depreciation!$A$14:$L$18,10,FALSE)/2,IF($H223&lt;L$2,VLOOKUP($G223,Depreciation!$A$14:$L$18,10,FALSE),0))</f>
        <v>2.4351536427798831E-2</v>
      </c>
      <c r="M223" s="306">
        <f>+IF($H223=M$2,VLOOKUP($G223,Depreciation!$A$14:$L$18,11,FALSE)/2,IF($H223&lt;M$2,VLOOKUP($G223,Depreciation!$A$14:$L$18,11,FALSE),0))</f>
        <v>2.4351536427798831E-2</v>
      </c>
      <c r="N223" s="306">
        <f>+IF($H223=N$2,VLOOKUP($G223,Depreciation!$A$14:$L$18,12,FALSE)/2,IF($H223&lt;N$2,VLOOKUP($G223,Depreciation!$A$14:$L$18,12,FALSE),0))</f>
        <v>2.4351536427798831E-2</v>
      </c>
      <c r="O223" s="307">
        <f t="shared" si="25"/>
        <v>787009.89391576336</v>
      </c>
      <c r="P223" s="732">
        <f>'Func Future Subs 2015'!P223</f>
        <v>0</v>
      </c>
      <c r="Q223" s="732">
        <f>'Func Future Subs 2015'!Q223</f>
        <v>1</v>
      </c>
      <c r="R223" s="732">
        <f>'Func Future Subs 2015'!R223</f>
        <v>0</v>
      </c>
      <c r="S223" s="735">
        <f t="shared" si="26"/>
        <v>0</v>
      </c>
      <c r="T223" s="735">
        <f t="shared" si="27"/>
        <v>787009.89391576336</v>
      </c>
      <c r="U223" s="735">
        <f t="shared" si="28"/>
        <v>0</v>
      </c>
      <c r="V223" s="736">
        <f t="shared" si="29"/>
        <v>0</v>
      </c>
      <c r="W223" s="735">
        <f t="shared" si="30"/>
        <v>0</v>
      </c>
      <c r="X223" s="737">
        <f t="shared" si="31"/>
        <v>0</v>
      </c>
      <c r="Y223" s="738">
        <f t="shared" si="32"/>
        <v>787009.89391576336</v>
      </c>
    </row>
    <row r="224" spans="1:25">
      <c r="A224" s="754" t="str">
        <f>'Func Future Subs 2015'!A224</f>
        <v>Vincent 2019S</v>
      </c>
      <c r="B224" s="754">
        <f>'Func Future Subs 2015'!B224</f>
        <v>1250</v>
      </c>
      <c r="C224" s="754">
        <f>'Func Future Subs 2015'!C224</f>
        <v>144</v>
      </c>
      <c r="D224" s="754">
        <f>'Func Future Subs 2015'!D224</f>
        <v>25</v>
      </c>
      <c r="E224" s="754" t="str">
        <f>'Func Future Subs 2015'!E224</f>
        <v>2019S</v>
      </c>
      <c r="F224" s="754">
        <f>'Func Future Subs 2015'!F224</f>
        <v>2371467.6461774474</v>
      </c>
      <c r="G224" s="754" t="str">
        <f>'Func Future Subs 2015'!G224</f>
        <v>ATCO</v>
      </c>
      <c r="H224" s="754">
        <f>'Func Future Subs 2015'!H224</f>
        <v>2017</v>
      </c>
      <c r="I224" s="306">
        <f>+IF($H224=I$2,VLOOKUP($G224,Depreciation!$A$14:$L$18,7,FALSE)/2,IF($H224&lt;I$2,VLOOKUP($G224,Depreciation!$A$14:$L$18,7,FALSE),0))</f>
        <v>0</v>
      </c>
      <c r="J224" s="306">
        <f>+IF($H224=J$2,VLOOKUP($G224,Depreciation!$A$14:$L$18,8,FALSE)/2,IF($H224&lt;J$2,VLOOKUP($G224,Depreciation!$A$14:$L$18,8,FALSE),0))</f>
        <v>0</v>
      </c>
      <c r="K224" s="306">
        <f>+IF($H224=K$2,VLOOKUP($G224,Depreciation!$A$14:$L$18,9,FALSE)/2,IF($H224&lt;K$2,VLOOKUP($G224,Depreciation!$A$14:$L$18,9,FALSE),0))</f>
        <v>1.2175768213899416E-2</v>
      </c>
      <c r="L224" s="306">
        <f>+IF($H224=L$2,VLOOKUP($G224,Depreciation!$A$14:$L$18,10,FALSE)/2,IF($H224&lt;L$2,VLOOKUP($G224,Depreciation!$A$14:$L$18,10,FALSE),0))</f>
        <v>2.4351536427798831E-2</v>
      </c>
      <c r="M224" s="306">
        <f>+IF($H224=M$2,VLOOKUP($G224,Depreciation!$A$14:$L$18,11,FALSE)/2,IF($H224&lt;M$2,VLOOKUP($G224,Depreciation!$A$14:$L$18,11,FALSE),0))</f>
        <v>2.4351536427798831E-2</v>
      </c>
      <c r="N224" s="306">
        <f>+IF($H224=N$2,VLOOKUP($G224,Depreciation!$A$14:$L$18,12,FALSE)/2,IF($H224&lt;N$2,VLOOKUP($G224,Depreciation!$A$14:$L$18,12,FALSE),0))</f>
        <v>2.4351536427798831E-2</v>
      </c>
      <c r="O224" s="307">
        <f t="shared" si="25"/>
        <v>2342593.2057908289</v>
      </c>
      <c r="P224" s="732">
        <f>'Func Future Subs 2015'!P224</f>
        <v>0</v>
      </c>
      <c r="Q224" s="732">
        <f>'Func Future Subs 2015'!Q224</f>
        <v>0</v>
      </c>
      <c r="R224" s="732">
        <f>'Func Future Subs 2015'!R224</f>
        <v>1</v>
      </c>
      <c r="S224" s="735">
        <f t="shared" si="26"/>
        <v>0</v>
      </c>
      <c r="T224" s="735">
        <f t="shared" si="27"/>
        <v>0</v>
      </c>
      <c r="U224" s="735">
        <f t="shared" si="28"/>
        <v>2342593.2057908289</v>
      </c>
      <c r="V224" s="736">
        <f t="shared" si="29"/>
        <v>0</v>
      </c>
      <c r="W224" s="735">
        <f t="shared" si="30"/>
        <v>0</v>
      </c>
      <c r="X224" s="737">
        <f t="shared" si="31"/>
        <v>0</v>
      </c>
      <c r="Y224" s="738">
        <f t="shared" si="32"/>
        <v>2342593.2057908289</v>
      </c>
    </row>
    <row r="225" spans="1:25">
      <c r="A225" s="754" t="str">
        <f>'Func Future Subs 2015'!A225</f>
        <v>Grist Lake 190S Substation A</v>
      </c>
      <c r="B225" s="754">
        <f>'Func Future Subs 2015'!B225</f>
        <v>1258</v>
      </c>
      <c r="C225" s="754">
        <f>'Func Future Subs 2015'!C225</f>
        <v>138</v>
      </c>
      <c r="D225" s="754">
        <f>'Func Future Subs 2015'!D225</f>
        <v>25</v>
      </c>
      <c r="E225" s="754" t="str">
        <f>'Func Future Subs 2015'!E225</f>
        <v>190S</v>
      </c>
      <c r="F225" s="754">
        <f>'Func Future Subs 2015'!F225</f>
        <v>41252104.186539032</v>
      </c>
      <c r="G225" s="754" t="str">
        <f>'Func Future Subs 2015'!G225</f>
        <v>AltaLink</v>
      </c>
      <c r="H225" s="754">
        <f>'Func Future Subs 2015'!H225</f>
        <v>2019</v>
      </c>
      <c r="I225" s="306">
        <f>+IF($H225=I$2,VLOOKUP($G225,Depreciation!$A$14:$L$18,7,FALSE)/2,IF($H225&lt;I$2,VLOOKUP($G225,Depreciation!$A$14:$L$18,7,FALSE),0))</f>
        <v>0</v>
      </c>
      <c r="J225" s="306">
        <f>+IF($H225=J$2,VLOOKUP($G225,Depreciation!$A$14:$L$18,8,FALSE)/2,IF($H225&lt;J$2,VLOOKUP($G225,Depreciation!$A$14:$L$18,8,FALSE),0))</f>
        <v>0</v>
      </c>
      <c r="K225" s="306">
        <f>+IF($H225=K$2,VLOOKUP($G225,Depreciation!$A$14:$L$18,9,FALSE)/2,IF($H225&lt;K$2,VLOOKUP($G225,Depreciation!$A$14:$L$18,9,FALSE),0))</f>
        <v>0</v>
      </c>
      <c r="L225" s="306">
        <f>+IF($H225=L$2,VLOOKUP($G225,Depreciation!$A$14:$L$18,10,FALSE)/2,IF($H225&lt;L$2,VLOOKUP($G225,Depreciation!$A$14:$L$18,10,FALSE),0))</f>
        <v>0</v>
      </c>
      <c r="M225" s="306">
        <f>+IF($H225=M$2,VLOOKUP($G225,Depreciation!$A$14:$L$18,11,FALSE)/2,IF($H225&lt;M$2,VLOOKUP($G225,Depreciation!$A$14:$L$18,11,FALSE),0))</f>
        <v>1.671703928371859E-2</v>
      </c>
      <c r="N225" s="306">
        <f>+IF($H225=N$2,VLOOKUP($G225,Depreciation!$A$14:$L$18,12,FALSE)/2,IF($H225&lt;N$2,VLOOKUP($G225,Depreciation!$A$14:$L$18,12,FALSE),0))</f>
        <v>3.343407856743718E-2</v>
      </c>
      <c r="O225" s="307">
        <f t="shared" si="25"/>
        <v>0</v>
      </c>
      <c r="P225" s="732">
        <f>'Func Future Subs 2015'!P225</f>
        <v>0</v>
      </c>
      <c r="Q225" s="732">
        <f>'Func Future Subs 2015'!Q225</f>
        <v>0</v>
      </c>
      <c r="R225" s="732">
        <f>'Func Future Subs 2015'!R225</f>
        <v>1</v>
      </c>
      <c r="S225" s="735">
        <f t="shared" si="26"/>
        <v>0</v>
      </c>
      <c r="T225" s="735">
        <f t="shared" si="27"/>
        <v>0</v>
      </c>
      <c r="U225" s="735">
        <f t="shared" si="28"/>
        <v>0</v>
      </c>
      <c r="V225" s="736">
        <f t="shared" si="29"/>
        <v>0</v>
      </c>
      <c r="W225" s="735">
        <f t="shared" si="30"/>
        <v>0</v>
      </c>
      <c r="X225" s="737">
        <f t="shared" si="31"/>
        <v>0</v>
      </c>
      <c r="Y225" s="738">
        <f t="shared" si="32"/>
        <v>0</v>
      </c>
    </row>
    <row r="226" spans="1:25">
      <c r="A226" s="754" t="str">
        <f>'Func Future Subs 2015'!A226</f>
        <v>Pike 170S Substation A</v>
      </c>
      <c r="B226" s="754">
        <f>'Func Future Subs 2015'!B226</f>
        <v>1258</v>
      </c>
      <c r="C226" s="754">
        <f>'Func Future Subs 2015'!C226</f>
        <v>138</v>
      </c>
      <c r="D226" s="754">
        <f>'Func Future Subs 2015'!D226</f>
        <v>138</v>
      </c>
      <c r="E226" s="754" t="str">
        <f>'Func Future Subs 2015'!E226</f>
        <v>170S</v>
      </c>
      <c r="F226" s="754">
        <f>'Func Future Subs 2015'!F226</f>
        <v>4886932.8273881162</v>
      </c>
      <c r="G226" s="754" t="str">
        <f>'Func Future Subs 2015'!G226</f>
        <v>AltaLink</v>
      </c>
      <c r="H226" s="754">
        <f>'Func Future Subs 2015'!H226</f>
        <v>2019</v>
      </c>
      <c r="I226" s="306">
        <f>+IF($H226=I$2,VLOOKUP($G226,Depreciation!$A$14:$L$18,7,FALSE)/2,IF($H226&lt;I$2,VLOOKUP($G226,Depreciation!$A$14:$L$18,7,FALSE),0))</f>
        <v>0</v>
      </c>
      <c r="J226" s="306">
        <f>+IF($H226=J$2,VLOOKUP($G226,Depreciation!$A$14:$L$18,8,FALSE)/2,IF($H226&lt;J$2,VLOOKUP($G226,Depreciation!$A$14:$L$18,8,FALSE),0))</f>
        <v>0</v>
      </c>
      <c r="K226" s="306">
        <f>+IF($H226=K$2,VLOOKUP($G226,Depreciation!$A$14:$L$18,9,FALSE)/2,IF($H226&lt;K$2,VLOOKUP($G226,Depreciation!$A$14:$L$18,9,FALSE),0))</f>
        <v>0</v>
      </c>
      <c r="L226" s="306">
        <f>+IF($H226=L$2,VLOOKUP($G226,Depreciation!$A$14:$L$18,10,FALSE)/2,IF($H226&lt;L$2,VLOOKUP($G226,Depreciation!$A$14:$L$18,10,FALSE),0))</f>
        <v>0</v>
      </c>
      <c r="M226" s="306">
        <f>+IF($H226=M$2,VLOOKUP($G226,Depreciation!$A$14:$L$18,11,FALSE)/2,IF($H226&lt;M$2,VLOOKUP($G226,Depreciation!$A$14:$L$18,11,FALSE),0))</f>
        <v>1.671703928371859E-2</v>
      </c>
      <c r="N226" s="306">
        <f>+IF($H226=N$2,VLOOKUP($G226,Depreciation!$A$14:$L$18,12,FALSE)/2,IF($H226&lt;N$2,VLOOKUP($G226,Depreciation!$A$14:$L$18,12,FALSE),0))</f>
        <v>3.343407856743718E-2</v>
      </c>
      <c r="O226" s="307">
        <f t="shared" si="25"/>
        <v>0</v>
      </c>
      <c r="P226" s="732">
        <f>'Func Future Subs 2015'!P226</f>
        <v>0</v>
      </c>
      <c r="Q226" s="732">
        <f>'Func Future Subs 2015'!Q226</f>
        <v>0</v>
      </c>
      <c r="R226" s="732">
        <f>'Func Future Subs 2015'!R226</f>
        <v>1</v>
      </c>
      <c r="S226" s="735">
        <f t="shared" si="26"/>
        <v>0</v>
      </c>
      <c r="T226" s="735">
        <f t="shared" si="27"/>
        <v>0</v>
      </c>
      <c r="U226" s="735">
        <f t="shared" si="28"/>
        <v>0</v>
      </c>
      <c r="V226" s="736">
        <f t="shared" si="29"/>
        <v>0</v>
      </c>
      <c r="W226" s="735">
        <f t="shared" si="30"/>
        <v>0</v>
      </c>
      <c r="X226" s="737">
        <f t="shared" si="31"/>
        <v>0</v>
      </c>
      <c r="Y226" s="738">
        <f t="shared" si="32"/>
        <v>0</v>
      </c>
    </row>
    <row r="227" spans="1:25">
      <c r="A227" s="754" t="str">
        <f>'Func Future Subs 2015'!A227</f>
        <v>Chinook 181S substation[v180]</v>
      </c>
      <c r="B227" s="754">
        <f>'Func Future Subs 2015'!B227</f>
        <v>1260</v>
      </c>
      <c r="C227" s="754">
        <f>'Func Future Subs 2015'!C227</f>
        <v>240</v>
      </c>
      <c r="D227" s="754">
        <f>'Func Future Subs 2015'!D227</f>
        <v>25</v>
      </c>
      <c r="E227" s="754" t="str">
        <f>'Func Future Subs 2015'!E227</f>
        <v>181S</v>
      </c>
      <c r="F227" s="754">
        <f>'Func Future Subs 2015'!F227</f>
        <v>10887667.697433928</v>
      </c>
      <c r="G227" s="754" t="str">
        <f>'Func Future Subs 2015'!G227</f>
        <v>ENMAX</v>
      </c>
      <c r="H227" s="754">
        <f>'Func Future Subs 2015'!H227</f>
        <v>2016</v>
      </c>
      <c r="I227" s="306">
        <f>+IF($H227=I$2,VLOOKUP($G227,Depreciation!$A$14:$L$18,7,FALSE)/2,IF($H227&lt;I$2,VLOOKUP($G227,Depreciation!$A$14:$L$18,7,FALSE),0))</f>
        <v>0</v>
      </c>
      <c r="J227" s="306">
        <f>+IF($H227=J$2,VLOOKUP($G227,Depreciation!$A$14:$L$18,8,FALSE)/2,IF($H227&lt;J$2,VLOOKUP($G227,Depreciation!$A$14:$L$18,8,FALSE),0))</f>
        <v>1.3928409269726289E-2</v>
      </c>
      <c r="K227" s="306">
        <f>+IF($H227=K$2,VLOOKUP($G227,Depreciation!$A$14:$L$18,9,FALSE)/2,IF($H227&lt;K$2,VLOOKUP($G227,Depreciation!$A$14:$L$18,9,FALSE),0))</f>
        <v>2.7856818539452578E-2</v>
      </c>
      <c r="L227" s="306">
        <f>+IF($H227=L$2,VLOOKUP($G227,Depreciation!$A$14:$L$18,10,FALSE)/2,IF($H227&lt;L$2,VLOOKUP($G227,Depreciation!$A$14:$L$18,10,FALSE),0))</f>
        <v>2.7856818539452578E-2</v>
      </c>
      <c r="M227" s="306">
        <f>+IF($H227=M$2,VLOOKUP($G227,Depreciation!$A$14:$L$18,11,FALSE)/2,IF($H227&lt;M$2,VLOOKUP($G227,Depreciation!$A$14:$L$18,11,FALSE),0))</f>
        <v>2.7856818539452578E-2</v>
      </c>
      <c r="N227" s="306">
        <f>+IF($H227=N$2,VLOOKUP($G227,Depreciation!$A$14:$L$18,12,FALSE)/2,IF($H227&lt;N$2,VLOOKUP($G227,Depreciation!$A$14:$L$18,12,FALSE),0))</f>
        <v>2.7856818539452578E-2</v>
      </c>
      <c r="O227" s="307">
        <f t="shared" si="25"/>
        <v>10436948.450186508</v>
      </c>
      <c r="P227" s="732">
        <f>'Func Future Subs 2015'!P227</f>
        <v>0</v>
      </c>
      <c r="Q227" s="732">
        <f>'Func Future Subs 2015'!Q227</f>
        <v>0</v>
      </c>
      <c r="R227" s="732">
        <f>'Func Future Subs 2015'!R227</f>
        <v>1</v>
      </c>
      <c r="S227" s="735">
        <f t="shared" si="26"/>
        <v>0</v>
      </c>
      <c r="T227" s="735">
        <f t="shared" si="27"/>
        <v>0</v>
      </c>
      <c r="U227" s="735">
        <f t="shared" si="28"/>
        <v>10436948.450186508</v>
      </c>
      <c r="V227" s="736">
        <f t="shared" si="29"/>
        <v>0</v>
      </c>
      <c r="W227" s="735">
        <f t="shared" si="30"/>
        <v>0</v>
      </c>
      <c r="X227" s="737">
        <f t="shared" si="31"/>
        <v>0</v>
      </c>
      <c r="Y227" s="738">
        <f t="shared" si="32"/>
        <v>10436948.450186508</v>
      </c>
    </row>
    <row r="228" spans="1:25">
      <c r="A228" s="754" t="str">
        <f>'Func Future Subs 2015'!A228</f>
        <v>North Lethbridge 370s substation</v>
      </c>
      <c r="B228" s="754">
        <f>'Func Future Subs 2015'!B228</f>
        <v>1260</v>
      </c>
      <c r="C228" s="754">
        <f>'Func Future Subs 2015'!C228</f>
        <v>240</v>
      </c>
      <c r="D228" s="754">
        <f>'Func Future Subs 2015'!D228</f>
        <v>25</v>
      </c>
      <c r="E228" s="754" t="str">
        <f>'Func Future Subs 2015'!E228</f>
        <v>370S</v>
      </c>
      <c r="F228" s="754">
        <f>'Func Future Subs 2015'!F228</f>
        <v>484549.80832004856</v>
      </c>
      <c r="G228" s="754" t="str">
        <f>'Func Future Subs 2015'!G228</f>
        <v>AltaLink</v>
      </c>
      <c r="H228" s="754">
        <f>'Func Future Subs 2015'!H228</f>
        <v>2016</v>
      </c>
      <c r="I228" s="306">
        <f>+IF($H228=I$2,VLOOKUP($G228,Depreciation!$A$14:$L$18,7,FALSE)/2,IF($H228&lt;I$2,VLOOKUP($G228,Depreciation!$A$14:$L$18,7,FALSE),0))</f>
        <v>0</v>
      </c>
      <c r="J228" s="306">
        <f>+IF($H228=J$2,VLOOKUP($G228,Depreciation!$A$14:$L$18,8,FALSE)/2,IF($H228&lt;J$2,VLOOKUP($G228,Depreciation!$A$14:$L$18,8,FALSE),0))</f>
        <v>1.671703928371859E-2</v>
      </c>
      <c r="K228" s="306">
        <f>+IF($H228=K$2,VLOOKUP($G228,Depreciation!$A$14:$L$18,9,FALSE)/2,IF($H228&lt;K$2,VLOOKUP($G228,Depreciation!$A$14:$L$18,9,FALSE),0))</f>
        <v>3.343407856743718E-2</v>
      </c>
      <c r="L228" s="306">
        <f>+IF($H228=L$2,VLOOKUP($G228,Depreciation!$A$14:$L$18,10,FALSE)/2,IF($H228&lt;L$2,VLOOKUP($G228,Depreciation!$A$14:$L$18,10,FALSE),0))</f>
        <v>3.343407856743718E-2</v>
      </c>
      <c r="M228" s="306">
        <f>+IF($H228=M$2,VLOOKUP($G228,Depreciation!$A$14:$L$18,11,FALSE)/2,IF($H228&lt;M$2,VLOOKUP($G228,Depreciation!$A$14:$L$18,11,FALSE),0))</f>
        <v>3.343407856743718E-2</v>
      </c>
      <c r="N228" s="306">
        <f>+IF($H228=N$2,VLOOKUP($G228,Depreciation!$A$14:$L$18,12,FALSE)/2,IF($H228&lt;N$2,VLOOKUP($G228,Depreciation!$A$14:$L$18,12,FALSE),0))</f>
        <v>3.343407856743718E-2</v>
      </c>
      <c r="O228" s="307">
        <f t="shared" si="25"/>
        <v>460519.9177779801</v>
      </c>
      <c r="P228" s="732">
        <f>'Func Future Subs 2015'!P228</f>
        <v>0</v>
      </c>
      <c r="Q228" s="732">
        <f>'Func Future Subs 2015'!Q228</f>
        <v>1</v>
      </c>
      <c r="R228" s="732">
        <f>'Func Future Subs 2015'!R228</f>
        <v>0</v>
      </c>
      <c r="S228" s="735">
        <f t="shared" si="26"/>
        <v>0</v>
      </c>
      <c r="T228" s="735">
        <f t="shared" si="27"/>
        <v>460519.9177779801</v>
      </c>
      <c r="U228" s="735">
        <f t="shared" si="28"/>
        <v>0</v>
      </c>
      <c r="V228" s="736">
        <f t="shared" si="29"/>
        <v>0</v>
      </c>
      <c r="W228" s="735">
        <f t="shared" si="30"/>
        <v>0</v>
      </c>
      <c r="X228" s="737">
        <f t="shared" si="31"/>
        <v>0</v>
      </c>
      <c r="Y228" s="738">
        <f t="shared" si="32"/>
        <v>460519.9177779801</v>
      </c>
    </row>
    <row r="229" spans="1:25">
      <c r="A229" s="754" t="str">
        <f>'Func Future Subs 2015'!A229</f>
        <v>Gaetz 87S</v>
      </c>
      <c r="B229" s="754">
        <f>'Func Future Subs 2015'!B229</f>
        <v>1263</v>
      </c>
      <c r="C229" s="754">
        <f>'Func Future Subs 2015'!C229</f>
        <v>240</v>
      </c>
      <c r="D229" s="754">
        <f>'Func Future Subs 2015'!D229</f>
        <v>138</v>
      </c>
      <c r="E229" s="754" t="str">
        <f>'Func Future Subs 2015'!E229</f>
        <v>87S</v>
      </c>
      <c r="F229" s="754">
        <f>'Func Future Subs 2015'!F229</f>
        <v>452029.41176470619</v>
      </c>
      <c r="G229" s="754" t="str">
        <f>'Func Future Subs 2015'!G229</f>
        <v>AltaLink</v>
      </c>
      <c r="H229" s="754">
        <f>'Func Future Subs 2015'!H229</f>
        <v>2016</v>
      </c>
      <c r="I229" s="306">
        <f>+IF($H229=I$2,VLOOKUP($G229,Depreciation!$A$14:$L$18,7,FALSE)/2,IF($H229&lt;I$2,VLOOKUP($G229,Depreciation!$A$14:$L$18,7,FALSE),0))</f>
        <v>0</v>
      </c>
      <c r="J229" s="306">
        <f>+IF($H229=J$2,VLOOKUP($G229,Depreciation!$A$14:$L$18,8,FALSE)/2,IF($H229&lt;J$2,VLOOKUP($G229,Depreciation!$A$14:$L$18,8,FALSE),0))</f>
        <v>1.671703928371859E-2</v>
      </c>
      <c r="K229" s="306">
        <f>+IF($H229=K$2,VLOOKUP($G229,Depreciation!$A$14:$L$18,9,FALSE)/2,IF($H229&lt;K$2,VLOOKUP($G229,Depreciation!$A$14:$L$18,9,FALSE),0))</f>
        <v>3.343407856743718E-2</v>
      </c>
      <c r="L229" s="306">
        <f>+IF($H229=L$2,VLOOKUP($G229,Depreciation!$A$14:$L$18,10,FALSE)/2,IF($H229&lt;L$2,VLOOKUP($G229,Depreciation!$A$14:$L$18,10,FALSE),0))</f>
        <v>3.343407856743718E-2</v>
      </c>
      <c r="M229" s="306">
        <f>+IF($H229=M$2,VLOOKUP($G229,Depreciation!$A$14:$L$18,11,FALSE)/2,IF($H229&lt;M$2,VLOOKUP($G229,Depreciation!$A$14:$L$18,11,FALSE),0))</f>
        <v>3.343407856743718E-2</v>
      </c>
      <c r="N229" s="306">
        <f>+IF($H229=N$2,VLOOKUP($G229,Depreciation!$A$14:$L$18,12,FALSE)/2,IF($H229&lt;N$2,VLOOKUP($G229,Depreciation!$A$14:$L$18,12,FALSE),0))</f>
        <v>3.343407856743718E-2</v>
      </c>
      <c r="O229" s="307">
        <f t="shared" si="25"/>
        <v>429612.27920167585</v>
      </c>
      <c r="P229" s="732">
        <f>'Func Future Subs 2015'!P229</f>
        <v>0</v>
      </c>
      <c r="Q229" s="732">
        <f>'Func Future Subs 2015'!Q229</f>
        <v>0</v>
      </c>
      <c r="R229" s="732">
        <f>'Func Future Subs 2015'!R229</f>
        <v>1</v>
      </c>
      <c r="S229" s="735">
        <f t="shared" si="26"/>
        <v>0</v>
      </c>
      <c r="T229" s="735">
        <f t="shared" si="27"/>
        <v>0</v>
      </c>
      <c r="U229" s="735">
        <f t="shared" si="28"/>
        <v>429612.27920167585</v>
      </c>
      <c r="V229" s="736">
        <f t="shared" si="29"/>
        <v>0</v>
      </c>
      <c r="W229" s="735">
        <f t="shared" si="30"/>
        <v>0</v>
      </c>
      <c r="X229" s="737">
        <f t="shared" si="31"/>
        <v>429612.27920167585</v>
      </c>
      <c r="Y229" s="738">
        <f t="shared" si="32"/>
        <v>0</v>
      </c>
    </row>
    <row r="230" spans="1:25">
      <c r="A230" s="754" t="str">
        <f>'Func Future Subs 2015'!A230</f>
        <v>North Red Deer 217S</v>
      </c>
      <c r="B230" s="754">
        <f>'Func Future Subs 2015'!B230</f>
        <v>1263</v>
      </c>
      <c r="C230" s="754">
        <f>'Func Future Subs 2015'!C230</f>
        <v>138</v>
      </c>
      <c r="D230" s="754">
        <f>'Func Future Subs 2015'!D230</f>
        <v>25</v>
      </c>
      <c r="E230" s="754" t="str">
        <f>'Func Future Subs 2015'!E230</f>
        <v>217S</v>
      </c>
      <c r="F230" s="754">
        <f>'Func Future Subs 2015'!F230</f>
        <v>369088.23529411788</v>
      </c>
      <c r="G230" s="754" t="str">
        <f>'Func Future Subs 2015'!G230</f>
        <v>AltaLink</v>
      </c>
      <c r="H230" s="754">
        <f>'Func Future Subs 2015'!H230</f>
        <v>2016</v>
      </c>
      <c r="I230" s="306">
        <f>+IF($H230=I$2,VLOOKUP($G230,Depreciation!$A$14:$L$18,7,FALSE)/2,IF($H230&lt;I$2,VLOOKUP($G230,Depreciation!$A$14:$L$18,7,FALSE),0))</f>
        <v>0</v>
      </c>
      <c r="J230" s="306">
        <f>+IF($H230=J$2,VLOOKUP($G230,Depreciation!$A$14:$L$18,8,FALSE)/2,IF($H230&lt;J$2,VLOOKUP($G230,Depreciation!$A$14:$L$18,8,FALSE),0))</f>
        <v>1.671703928371859E-2</v>
      </c>
      <c r="K230" s="306">
        <f>+IF($H230=K$2,VLOOKUP($G230,Depreciation!$A$14:$L$18,9,FALSE)/2,IF($H230&lt;K$2,VLOOKUP($G230,Depreciation!$A$14:$L$18,9,FALSE),0))</f>
        <v>3.343407856743718E-2</v>
      </c>
      <c r="L230" s="306">
        <f>+IF($H230=L$2,VLOOKUP($G230,Depreciation!$A$14:$L$18,10,FALSE)/2,IF($H230&lt;L$2,VLOOKUP($G230,Depreciation!$A$14:$L$18,10,FALSE),0))</f>
        <v>3.343407856743718E-2</v>
      </c>
      <c r="M230" s="306">
        <f>+IF($H230=M$2,VLOOKUP($G230,Depreciation!$A$14:$L$18,11,FALSE)/2,IF($H230&lt;M$2,VLOOKUP($G230,Depreciation!$A$14:$L$18,11,FALSE),0))</f>
        <v>3.343407856743718E-2</v>
      </c>
      <c r="N230" s="306">
        <f>+IF($H230=N$2,VLOOKUP($G230,Depreciation!$A$14:$L$18,12,FALSE)/2,IF($H230&lt;N$2,VLOOKUP($G230,Depreciation!$A$14:$L$18,12,FALSE),0))</f>
        <v>3.343407856743718E-2</v>
      </c>
      <c r="O230" s="307">
        <f t="shared" si="25"/>
        <v>350784.33806375368</v>
      </c>
      <c r="P230" s="732">
        <f>'Func Future Subs 2015'!P230</f>
        <v>0</v>
      </c>
      <c r="Q230" s="732">
        <f>'Func Future Subs 2015'!Q230</f>
        <v>1</v>
      </c>
      <c r="R230" s="732">
        <f>'Func Future Subs 2015'!R230</f>
        <v>0</v>
      </c>
      <c r="S230" s="735">
        <f t="shared" si="26"/>
        <v>0</v>
      </c>
      <c r="T230" s="735">
        <f t="shared" si="27"/>
        <v>350784.33806375368</v>
      </c>
      <c r="U230" s="735">
        <f t="shared" si="28"/>
        <v>0</v>
      </c>
      <c r="V230" s="736">
        <f t="shared" si="29"/>
        <v>0</v>
      </c>
      <c r="W230" s="735">
        <f t="shared" si="30"/>
        <v>0</v>
      </c>
      <c r="X230" s="737">
        <f t="shared" si="31"/>
        <v>0</v>
      </c>
      <c r="Y230" s="738">
        <f t="shared" si="32"/>
        <v>350784.33806375368</v>
      </c>
    </row>
    <row r="231" spans="1:25">
      <c r="A231" s="754" t="str">
        <f>'Func Future Subs 2015'!A231</f>
        <v>Algar Substation 875S_180</v>
      </c>
      <c r="B231" s="754">
        <f>'Func Future Subs 2015'!B231</f>
        <v>1267</v>
      </c>
      <c r="C231" s="754">
        <f>'Func Future Subs 2015'!C231</f>
        <v>144</v>
      </c>
      <c r="D231" s="754">
        <f>'Func Future Subs 2015'!D231</f>
        <v>25</v>
      </c>
      <c r="E231" s="754" t="str">
        <f>'Func Future Subs 2015'!E231</f>
        <v>875S</v>
      </c>
      <c r="F231" s="754">
        <f>'Func Future Subs 2015'!F231</f>
        <v>3416800.4605387161</v>
      </c>
      <c r="G231" s="754" t="str">
        <f>'Func Future Subs 2015'!G231</f>
        <v>ATCO</v>
      </c>
      <c r="H231" s="754">
        <f>'Func Future Subs 2015'!H231</f>
        <v>2015</v>
      </c>
      <c r="I231" s="306">
        <f>+IF($H231=I$2,VLOOKUP($G231,Depreciation!$A$14:$L$18,7,FALSE)/2,IF($H231&lt;I$2,VLOOKUP($G231,Depreciation!$A$14:$L$18,7,FALSE),0))</f>
        <v>1.221703683566912E-2</v>
      </c>
      <c r="J231" s="306">
        <f>+IF($H231=J$2,VLOOKUP($G231,Depreciation!$A$14:$L$18,8,FALSE)/2,IF($H231&lt;J$2,VLOOKUP($G231,Depreciation!$A$14:$L$18,8,FALSE),0))</f>
        <v>2.4632450501084719E-2</v>
      </c>
      <c r="K231" s="306">
        <f>+IF($H231=K$2,VLOOKUP($G231,Depreciation!$A$14:$L$18,9,FALSE)/2,IF($H231&lt;K$2,VLOOKUP($G231,Depreciation!$A$14:$L$18,9,FALSE),0))</f>
        <v>2.4351536427798831E-2</v>
      </c>
      <c r="L231" s="306">
        <f>+IF($H231=L$2,VLOOKUP($G231,Depreciation!$A$14:$L$18,10,FALSE)/2,IF($H231&lt;L$2,VLOOKUP($G231,Depreciation!$A$14:$L$18,10,FALSE),0))</f>
        <v>2.4351536427798831E-2</v>
      </c>
      <c r="M231" s="306">
        <f>+IF($H231=M$2,VLOOKUP($G231,Depreciation!$A$14:$L$18,11,FALSE)/2,IF($H231&lt;M$2,VLOOKUP($G231,Depreciation!$A$14:$L$18,11,FALSE),0))</f>
        <v>2.4351536427798831E-2</v>
      </c>
      <c r="N231" s="306">
        <f>+IF($H231=N$2,VLOOKUP($G231,Depreciation!$A$14:$L$18,12,FALSE)/2,IF($H231&lt;N$2,VLOOKUP($G231,Depreciation!$A$14:$L$18,12,FALSE),0))</f>
        <v>2.4351536427798831E-2</v>
      </c>
      <c r="O231" s="307">
        <f t="shared" si="25"/>
        <v>3211758.0092590512</v>
      </c>
      <c r="P231" s="732">
        <f>'Func Future Subs 2015'!P231</f>
        <v>0</v>
      </c>
      <c r="Q231" s="732">
        <f>'Func Future Subs 2015'!Q231</f>
        <v>1</v>
      </c>
      <c r="R231" s="732">
        <f>'Func Future Subs 2015'!R231</f>
        <v>0</v>
      </c>
      <c r="S231" s="735">
        <f t="shared" si="26"/>
        <v>0</v>
      </c>
      <c r="T231" s="735">
        <f t="shared" si="27"/>
        <v>3211758.0092590512</v>
      </c>
      <c r="U231" s="735">
        <f t="shared" si="28"/>
        <v>0</v>
      </c>
      <c r="V231" s="736">
        <f t="shared" si="29"/>
        <v>0</v>
      </c>
      <c r="W231" s="735">
        <f t="shared" si="30"/>
        <v>0</v>
      </c>
      <c r="X231" s="737">
        <f t="shared" si="31"/>
        <v>0</v>
      </c>
      <c r="Y231" s="738">
        <f t="shared" si="32"/>
        <v>3211758.0092590512</v>
      </c>
    </row>
    <row r="232" spans="1:25">
      <c r="A232" s="754" t="str">
        <f>'Func Future Subs 2015'!A232</f>
        <v>Dawes Substation 2011S_180</v>
      </c>
      <c r="B232" s="754">
        <f>'Func Future Subs 2015'!B232</f>
        <v>1267</v>
      </c>
      <c r="C232" s="754">
        <f>'Func Future Subs 2015'!C232</f>
        <v>240</v>
      </c>
      <c r="D232" s="754">
        <f>'Func Future Subs 2015'!D232</f>
        <v>144</v>
      </c>
      <c r="E232" s="754" t="str">
        <f>'Func Future Subs 2015'!E232</f>
        <v>2011S</v>
      </c>
      <c r="F232" s="754">
        <f>'Func Future Subs 2015'!F232</f>
        <v>30016954.600294784</v>
      </c>
      <c r="G232" s="754" t="str">
        <f>'Func Future Subs 2015'!G232</f>
        <v>ATCO</v>
      </c>
      <c r="H232" s="754">
        <f>'Func Future Subs 2015'!H232</f>
        <v>2015</v>
      </c>
      <c r="I232" s="306">
        <f>+IF($H232=I$2,VLOOKUP($G232,Depreciation!$A$14:$L$18,7,FALSE)/2,IF($H232&lt;I$2,VLOOKUP($G232,Depreciation!$A$14:$L$18,7,FALSE),0))</f>
        <v>1.221703683566912E-2</v>
      </c>
      <c r="J232" s="306">
        <f>+IF($H232=J$2,VLOOKUP($G232,Depreciation!$A$14:$L$18,8,FALSE)/2,IF($H232&lt;J$2,VLOOKUP($G232,Depreciation!$A$14:$L$18,8,FALSE),0))</f>
        <v>2.4632450501084719E-2</v>
      </c>
      <c r="K232" s="306">
        <f>+IF($H232=K$2,VLOOKUP($G232,Depreciation!$A$14:$L$18,9,FALSE)/2,IF($H232&lt;K$2,VLOOKUP($G232,Depreciation!$A$14:$L$18,9,FALSE),0))</f>
        <v>2.4351536427798831E-2</v>
      </c>
      <c r="L232" s="306">
        <f>+IF($H232=L$2,VLOOKUP($G232,Depreciation!$A$14:$L$18,10,FALSE)/2,IF($H232&lt;L$2,VLOOKUP($G232,Depreciation!$A$14:$L$18,10,FALSE),0))</f>
        <v>2.4351536427798831E-2</v>
      </c>
      <c r="M232" s="306">
        <f>+IF($H232=M$2,VLOOKUP($G232,Depreciation!$A$14:$L$18,11,FALSE)/2,IF($H232&lt;M$2,VLOOKUP($G232,Depreciation!$A$14:$L$18,11,FALSE),0))</f>
        <v>2.4351536427798831E-2</v>
      </c>
      <c r="N232" s="306">
        <f>+IF($H232=N$2,VLOOKUP($G232,Depreciation!$A$14:$L$18,12,FALSE)/2,IF($H232&lt;N$2,VLOOKUP($G232,Depreciation!$A$14:$L$18,12,FALSE),0))</f>
        <v>2.4351536427798831E-2</v>
      </c>
      <c r="O232" s="307">
        <f t="shared" si="25"/>
        <v>28215634.908882525</v>
      </c>
      <c r="P232" s="732">
        <f>'Func Future Subs 2015'!P232</f>
        <v>0</v>
      </c>
      <c r="Q232" s="732">
        <f>'Func Future Subs 2015'!Q232</f>
        <v>0</v>
      </c>
      <c r="R232" s="732">
        <f>'Func Future Subs 2015'!R232</f>
        <v>1</v>
      </c>
      <c r="S232" s="735">
        <f t="shared" si="26"/>
        <v>0</v>
      </c>
      <c r="T232" s="735">
        <f t="shared" si="27"/>
        <v>0</v>
      </c>
      <c r="U232" s="735">
        <f t="shared" si="28"/>
        <v>28215634.908882525</v>
      </c>
      <c r="V232" s="736">
        <f t="shared" si="29"/>
        <v>0</v>
      </c>
      <c r="W232" s="735">
        <f t="shared" si="30"/>
        <v>0</v>
      </c>
      <c r="X232" s="737">
        <f t="shared" si="31"/>
        <v>28215634.908882525</v>
      </c>
      <c r="Y232" s="738">
        <f t="shared" si="32"/>
        <v>0</v>
      </c>
    </row>
    <row r="233" spans="1:25">
      <c r="A233" s="754" t="str">
        <f>'Func Future Subs 2015'!A233</f>
        <v>Dover Substation 888S_180</v>
      </c>
      <c r="B233" s="754">
        <f>'Func Future Subs 2015'!B233</f>
        <v>1267</v>
      </c>
      <c r="C233" s="754">
        <f>'Func Future Subs 2015'!C233</f>
        <v>240</v>
      </c>
      <c r="D233" s="754">
        <f>'Func Future Subs 2015'!D233</f>
        <v>240</v>
      </c>
      <c r="E233" s="754" t="str">
        <f>'Func Future Subs 2015'!E233</f>
        <v>888S</v>
      </c>
      <c r="F233" s="754">
        <f>'Func Future Subs 2015'!F233</f>
        <v>362081.23436601309</v>
      </c>
      <c r="G233" s="754" t="str">
        <f>'Func Future Subs 2015'!G233</f>
        <v>ATCO</v>
      </c>
      <c r="H233" s="754">
        <f>'Func Future Subs 2015'!H233</f>
        <v>2015</v>
      </c>
      <c r="I233" s="306">
        <f>+IF($H233=I$2,VLOOKUP($G233,Depreciation!$A$14:$L$18,7,FALSE)/2,IF($H233&lt;I$2,VLOOKUP($G233,Depreciation!$A$14:$L$18,7,FALSE),0))</f>
        <v>1.221703683566912E-2</v>
      </c>
      <c r="J233" s="306">
        <f>+IF($H233=J$2,VLOOKUP($G233,Depreciation!$A$14:$L$18,8,FALSE)/2,IF($H233&lt;J$2,VLOOKUP($G233,Depreciation!$A$14:$L$18,8,FALSE),0))</f>
        <v>2.4632450501084719E-2</v>
      </c>
      <c r="K233" s="306">
        <f>+IF($H233=K$2,VLOOKUP($G233,Depreciation!$A$14:$L$18,9,FALSE)/2,IF($H233&lt;K$2,VLOOKUP($G233,Depreciation!$A$14:$L$18,9,FALSE),0))</f>
        <v>2.4351536427798831E-2</v>
      </c>
      <c r="L233" s="306">
        <f>+IF($H233=L$2,VLOOKUP($G233,Depreciation!$A$14:$L$18,10,FALSE)/2,IF($H233&lt;L$2,VLOOKUP($G233,Depreciation!$A$14:$L$18,10,FALSE),0))</f>
        <v>2.4351536427798831E-2</v>
      </c>
      <c r="M233" s="306">
        <f>+IF($H233=M$2,VLOOKUP($G233,Depreciation!$A$14:$L$18,11,FALSE)/2,IF($H233&lt;M$2,VLOOKUP($G233,Depreciation!$A$14:$L$18,11,FALSE),0))</f>
        <v>2.4351536427798831E-2</v>
      </c>
      <c r="N233" s="306">
        <f>+IF($H233=N$2,VLOOKUP($G233,Depreciation!$A$14:$L$18,12,FALSE)/2,IF($H233&lt;N$2,VLOOKUP($G233,Depreciation!$A$14:$L$18,12,FALSE),0))</f>
        <v>2.4351536427798831E-2</v>
      </c>
      <c r="O233" s="307">
        <f t="shared" si="25"/>
        <v>340352.71240103163</v>
      </c>
      <c r="P233" s="732">
        <f>'Func Future Subs 2015'!P233</f>
        <v>0</v>
      </c>
      <c r="Q233" s="732">
        <f>'Func Future Subs 2015'!Q233</f>
        <v>0</v>
      </c>
      <c r="R233" s="732">
        <f>'Func Future Subs 2015'!R233</f>
        <v>1</v>
      </c>
      <c r="S233" s="735">
        <f t="shared" si="26"/>
        <v>0</v>
      </c>
      <c r="T233" s="735">
        <f t="shared" si="27"/>
        <v>0</v>
      </c>
      <c r="U233" s="735">
        <f t="shared" si="28"/>
        <v>340352.71240103163</v>
      </c>
      <c r="V233" s="736">
        <f t="shared" si="29"/>
        <v>0</v>
      </c>
      <c r="W233" s="735">
        <f t="shared" si="30"/>
        <v>340352.71240103163</v>
      </c>
      <c r="X233" s="737">
        <f t="shared" si="31"/>
        <v>0</v>
      </c>
      <c r="Y233" s="738">
        <f t="shared" si="32"/>
        <v>0</v>
      </c>
    </row>
    <row r="234" spans="1:25">
      <c r="A234" s="754" t="str">
        <f>'Func Future Subs 2015'!A234</f>
        <v>Gregoire Substation 883S_180</v>
      </c>
      <c r="B234" s="754">
        <f>'Func Future Subs 2015'!B234</f>
        <v>1267</v>
      </c>
      <c r="C234" s="754">
        <f>'Func Future Subs 2015'!C234</f>
        <v>138</v>
      </c>
      <c r="D234" s="754">
        <f>'Func Future Subs 2015'!D234</f>
        <v>25</v>
      </c>
      <c r="E234" s="754" t="str">
        <f>'Func Future Subs 2015'!E234</f>
        <v>883S</v>
      </c>
      <c r="F234" s="754">
        <f>'Func Future Subs 2015'!F234</f>
        <v>89644.273802190583</v>
      </c>
      <c r="G234" s="754" t="str">
        <f>'Func Future Subs 2015'!G234</f>
        <v>ATCO</v>
      </c>
      <c r="H234" s="754">
        <f>'Func Future Subs 2015'!H234</f>
        <v>2015</v>
      </c>
      <c r="I234" s="306">
        <f>+IF($H234=I$2,VLOOKUP($G234,Depreciation!$A$14:$L$18,7,FALSE)/2,IF($H234&lt;I$2,VLOOKUP($G234,Depreciation!$A$14:$L$18,7,FALSE),0))</f>
        <v>1.221703683566912E-2</v>
      </c>
      <c r="J234" s="306">
        <f>+IF($H234=J$2,VLOOKUP($G234,Depreciation!$A$14:$L$18,8,FALSE)/2,IF($H234&lt;J$2,VLOOKUP($G234,Depreciation!$A$14:$L$18,8,FALSE),0))</f>
        <v>2.4632450501084719E-2</v>
      </c>
      <c r="K234" s="306">
        <f>+IF($H234=K$2,VLOOKUP($G234,Depreciation!$A$14:$L$18,9,FALSE)/2,IF($H234&lt;K$2,VLOOKUP($G234,Depreciation!$A$14:$L$18,9,FALSE),0))</f>
        <v>2.4351536427798831E-2</v>
      </c>
      <c r="L234" s="306">
        <f>+IF($H234=L$2,VLOOKUP($G234,Depreciation!$A$14:$L$18,10,FALSE)/2,IF($H234&lt;L$2,VLOOKUP($G234,Depreciation!$A$14:$L$18,10,FALSE),0))</f>
        <v>2.4351536427798831E-2</v>
      </c>
      <c r="M234" s="306">
        <f>+IF($H234=M$2,VLOOKUP($G234,Depreciation!$A$14:$L$18,11,FALSE)/2,IF($H234&lt;M$2,VLOOKUP($G234,Depreciation!$A$14:$L$18,11,FALSE),0))</f>
        <v>2.4351536427798831E-2</v>
      </c>
      <c r="N234" s="306">
        <f>+IF($H234=N$2,VLOOKUP($G234,Depreciation!$A$14:$L$18,12,FALSE)/2,IF($H234&lt;N$2,VLOOKUP($G234,Depreciation!$A$14:$L$18,12,FALSE),0))</f>
        <v>2.4351536427798831E-2</v>
      </c>
      <c r="O234" s="307">
        <f t="shared" si="25"/>
        <v>84264.714224196214</v>
      </c>
      <c r="P234" s="732">
        <f>'Func Future Subs 2015'!P234</f>
        <v>0</v>
      </c>
      <c r="Q234" s="732">
        <f>'Func Future Subs 2015'!Q234</f>
        <v>1</v>
      </c>
      <c r="R234" s="732">
        <f>'Func Future Subs 2015'!R234</f>
        <v>0</v>
      </c>
      <c r="S234" s="735">
        <f t="shared" si="26"/>
        <v>0</v>
      </c>
      <c r="T234" s="735">
        <f t="shared" si="27"/>
        <v>84264.714224196214</v>
      </c>
      <c r="U234" s="735">
        <f t="shared" si="28"/>
        <v>0</v>
      </c>
      <c r="V234" s="736">
        <f t="shared" si="29"/>
        <v>0</v>
      </c>
      <c r="W234" s="735">
        <f t="shared" si="30"/>
        <v>0</v>
      </c>
      <c r="X234" s="737">
        <f t="shared" si="31"/>
        <v>0</v>
      </c>
      <c r="Y234" s="738">
        <f t="shared" si="32"/>
        <v>84264.714224196214</v>
      </c>
    </row>
    <row r="235" spans="1:25">
      <c r="A235" s="754" t="str">
        <f>'Func Future Subs 2015'!A235</f>
        <v>Hangingston Substation 820S_180</v>
      </c>
      <c r="B235" s="754">
        <f>'Func Future Subs 2015'!B235</f>
        <v>1267</v>
      </c>
      <c r="C235" s="754">
        <f>'Func Future Subs 2015'!C235</f>
        <v>138</v>
      </c>
      <c r="D235" s="754">
        <f>'Func Future Subs 2015'!D235</f>
        <v>25</v>
      </c>
      <c r="E235" s="754" t="str">
        <f>'Func Future Subs 2015'!E235</f>
        <v>820S</v>
      </c>
      <c r="F235" s="754">
        <f>'Func Future Subs 2015'!F235</f>
        <v>147566.79268526638</v>
      </c>
      <c r="G235" s="754" t="str">
        <f>'Func Future Subs 2015'!G235</f>
        <v>ATCO</v>
      </c>
      <c r="H235" s="754">
        <f>'Func Future Subs 2015'!H235</f>
        <v>2015</v>
      </c>
      <c r="I235" s="306">
        <f>+IF($H235=I$2,VLOOKUP($G235,Depreciation!$A$14:$L$18,7,FALSE)/2,IF($H235&lt;I$2,VLOOKUP($G235,Depreciation!$A$14:$L$18,7,FALSE),0))</f>
        <v>1.221703683566912E-2</v>
      </c>
      <c r="J235" s="306">
        <f>+IF($H235=J$2,VLOOKUP($G235,Depreciation!$A$14:$L$18,8,FALSE)/2,IF($H235&lt;J$2,VLOOKUP($G235,Depreciation!$A$14:$L$18,8,FALSE),0))</f>
        <v>2.4632450501084719E-2</v>
      </c>
      <c r="K235" s="306">
        <f>+IF($H235=K$2,VLOOKUP($G235,Depreciation!$A$14:$L$18,9,FALSE)/2,IF($H235&lt;K$2,VLOOKUP($G235,Depreciation!$A$14:$L$18,9,FALSE),0))</f>
        <v>2.4351536427798831E-2</v>
      </c>
      <c r="L235" s="306">
        <f>+IF($H235=L$2,VLOOKUP($G235,Depreciation!$A$14:$L$18,10,FALSE)/2,IF($H235&lt;L$2,VLOOKUP($G235,Depreciation!$A$14:$L$18,10,FALSE),0))</f>
        <v>2.4351536427798831E-2</v>
      </c>
      <c r="M235" s="306">
        <f>+IF($H235=M$2,VLOOKUP($G235,Depreciation!$A$14:$L$18,11,FALSE)/2,IF($H235&lt;M$2,VLOOKUP($G235,Depreciation!$A$14:$L$18,11,FALSE),0))</f>
        <v>2.4351536427798831E-2</v>
      </c>
      <c r="N235" s="306">
        <f>+IF($H235=N$2,VLOOKUP($G235,Depreciation!$A$14:$L$18,12,FALSE)/2,IF($H235&lt;N$2,VLOOKUP($G235,Depreciation!$A$14:$L$18,12,FALSE),0))</f>
        <v>2.4351536427798831E-2</v>
      </c>
      <c r="O235" s="307">
        <f t="shared" si="25"/>
        <v>138711.29841537433</v>
      </c>
      <c r="P235" s="732">
        <f>'Func Future Subs 2015'!P235</f>
        <v>0</v>
      </c>
      <c r="Q235" s="732">
        <f>'Func Future Subs 2015'!Q235</f>
        <v>1</v>
      </c>
      <c r="R235" s="732">
        <f>'Func Future Subs 2015'!R235</f>
        <v>0</v>
      </c>
      <c r="S235" s="735">
        <f t="shared" si="26"/>
        <v>0</v>
      </c>
      <c r="T235" s="735">
        <f t="shared" si="27"/>
        <v>138711.29841537433</v>
      </c>
      <c r="U235" s="735">
        <f t="shared" si="28"/>
        <v>0</v>
      </c>
      <c r="V235" s="736">
        <f t="shared" si="29"/>
        <v>0</v>
      </c>
      <c r="W235" s="735">
        <f t="shared" si="30"/>
        <v>0</v>
      </c>
      <c r="X235" s="737">
        <f t="shared" si="31"/>
        <v>0</v>
      </c>
      <c r="Y235" s="738">
        <f t="shared" si="32"/>
        <v>138711.29841537433</v>
      </c>
    </row>
    <row r="236" spans="1:25">
      <c r="A236" s="754" t="str">
        <f>'Func Future Subs 2015'!A236</f>
        <v>MacMillan Substation 885S_180</v>
      </c>
      <c r="B236" s="754">
        <f>'Func Future Subs 2015'!B236</f>
        <v>1267</v>
      </c>
      <c r="C236" s="754">
        <f>'Func Future Subs 2015'!C236</f>
        <v>240</v>
      </c>
      <c r="D236" s="754">
        <f>'Func Future Subs 2015'!D236</f>
        <v>144</v>
      </c>
      <c r="E236" s="754" t="str">
        <f>'Func Future Subs 2015'!E236</f>
        <v>885S</v>
      </c>
      <c r="F236" s="754">
        <f>'Func Future Subs 2015'!F236</f>
        <v>143610.55197275945</v>
      </c>
      <c r="G236" s="754" t="str">
        <f>'Func Future Subs 2015'!G236</f>
        <v>ATCO</v>
      </c>
      <c r="H236" s="754">
        <f>'Func Future Subs 2015'!H236</f>
        <v>2015</v>
      </c>
      <c r="I236" s="306">
        <f>+IF($H236=I$2,VLOOKUP($G236,Depreciation!$A$14:$L$18,7,FALSE)/2,IF($H236&lt;I$2,VLOOKUP($G236,Depreciation!$A$14:$L$18,7,FALSE),0))</f>
        <v>1.221703683566912E-2</v>
      </c>
      <c r="J236" s="306">
        <f>+IF($H236=J$2,VLOOKUP($G236,Depreciation!$A$14:$L$18,8,FALSE)/2,IF($H236&lt;J$2,VLOOKUP($G236,Depreciation!$A$14:$L$18,8,FALSE),0))</f>
        <v>2.4632450501084719E-2</v>
      </c>
      <c r="K236" s="306">
        <f>+IF($H236=K$2,VLOOKUP($G236,Depreciation!$A$14:$L$18,9,FALSE)/2,IF($H236&lt;K$2,VLOOKUP($G236,Depreciation!$A$14:$L$18,9,FALSE),0))</f>
        <v>2.4351536427798831E-2</v>
      </c>
      <c r="L236" s="306">
        <f>+IF($H236=L$2,VLOOKUP($G236,Depreciation!$A$14:$L$18,10,FALSE)/2,IF($H236&lt;L$2,VLOOKUP($G236,Depreciation!$A$14:$L$18,10,FALSE),0))</f>
        <v>2.4351536427798831E-2</v>
      </c>
      <c r="M236" s="306">
        <f>+IF($H236=M$2,VLOOKUP($G236,Depreciation!$A$14:$L$18,11,FALSE)/2,IF($H236&lt;M$2,VLOOKUP($G236,Depreciation!$A$14:$L$18,11,FALSE),0))</f>
        <v>2.4351536427798831E-2</v>
      </c>
      <c r="N236" s="306">
        <f>+IF($H236=N$2,VLOOKUP($G236,Depreciation!$A$14:$L$18,12,FALSE)/2,IF($H236&lt;N$2,VLOOKUP($G236,Depreciation!$A$14:$L$18,12,FALSE),0))</f>
        <v>2.4351536427798831E-2</v>
      </c>
      <c r="O236" s="307">
        <f t="shared" si="25"/>
        <v>134992.47200402824</v>
      </c>
      <c r="P236" s="732">
        <f>'Func Future Subs 2015'!P236</f>
        <v>0</v>
      </c>
      <c r="Q236" s="732">
        <f>'Func Future Subs 2015'!Q236</f>
        <v>0</v>
      </c>
      <c r="R236" s="732">
        <f>'Func Future Subs 2015'!R236</f>
        <v>1</v>
      </c>
      <c r="S236" s="735">
        <f t="shared" si="26"/>
        <v>0</v>
      </c>
      <c r="T236" s="735">
        <f t="shared" si="27"/>
        <v>0</v>
      </c>
      <c r="U236" s="735">
        <f t="shared" si="28"/>
        <v>134992.47200402824</v>
      </c>
      <c r="V236" s="736">
        <f t="shared" si="29"/>
        <v>0</v>
      </c>
      <c r="W236" s="735">
        <f t="shared" si="30"/>
        <v>0</v>
      </c>
      <c r="X236" s="737">
        <f t="shared" si="31"/>
        <v>134992.47200402824</v>
      </c>
      <c r="Y236" s="738">
        <f t="shared" si="32"/>
        <v>0</v>
      </c>
    </row>
    <row r="237" spans="1:25">
      <c r="A237" s="754" t="str">
        <f>'Func Future Subs 2015'!A237</f>
        <v>Edwards Lake 189S preferred</v>
      </c>
      <c r="B237" s="754">
        <f>'Func Future Subs 2015'!B237</f>
        <v>1287</v>
      </c>
      <c r="C237" s="754">
        <f>'Func Future Subs 2015'!C237</f>
        <v>240</v>
      </c>
      <c r="D237" s="754">
        <f>'Func Future Subs 2015'!D237</f>
        <v>25</v>
      </c>
      <c r="E237" s="754" t="str">
        <f>'Func Future Subs 2015'!E237</f>
        <v>189S</v>
      </c>
      <c r="F237" s="754">
        <f>'Func Future Subs 2015'!F237</f>
        <v>36842122.514386363</v>
      </c>
      <c r="G237" s="754" t="str">
        <f>'Func Future Subs 2015'!G237</f>
        <v>AltaLink</v>
      </c>
      <c r="H237" s="754">
        <f>'Func Future Subs 2015'!H237</f>
        <v>2019</v>
      </c>
      <c r="I237" s="306">
        <f>+IF($H237=I$2,VLOOKUP($G237,Depreciation!$A$14:$L$18,7,FALSE)/2,IF($H237&lt;I$2,VLOOKUP($G237,Depreciation!$A$14:$L$18,7,FALSE),0))</f>
        <v>0</v>
      </c>
      <c r="J237" s="306">
        <f>+IF($H237=J$2,VLOOKUP($G237,Depreciation!$A$14:$L$18,8,FALSE)/2,IF($H237&lt;J$2,VLOOKUP($G237,Depreciation!$A$14:$L$18,8,FALSE),0))</f>
        <v>0</v>
      </c>
      <c r="K237" s="306">
        <f>+IF($H237=K$2,VLOOKUP($G237,Depreciation!$A$14:$L$18,9,FALSE)/2,IF($H237&lt;K$2,VLOOKUP($G237,Depreciation!$A$14:$L$18,9,FALSE),0))</f>
        <v>0</v>
      </c>
      <c r="L237" s="306">
        <f>+IF($H237=L$2,VLOOKUP($G237,Depreciation!$A$14:$L$18,10,FALSE)/2,IF($H237&lt;L$2,VLOOKUP($G237,Depreciation!$A$14:$L$18,10,FALSE),0))</f>
        <v>0</v>
      </c>
      <c r="M237" s="306">
        <f>+IF($H237=M$2,VLOOKUP($G237,Depreciation!$A$14:$L$18,11,FALSE)/2,IF($H237&lt;M$2,VLOOKUP($G237,Depreciation!$A$14:$L$18,11,FALSE),0))</f>
        <v>1.671703928371859E-2</v>
      </c>
      <c r="N237" s="306">
        <f>+IF($H237=N$2,VLOOKUP($G237,Depreciation!$A$14:$L$18,12,FALSE)/2,IF($H237&lt;N$2,VLOOKUP($G237,Depreciation!$A$14:$L$18,12,FALSE),0))</f>
        <v>3.343407856743718E-2</v>
      </c>
      <c r="O237" s="307">
        <f t="shared" si="25"/>
        <v>0</v>
      </c>
      <c r="P237" s="732">
        <f>'Func Future Subs 2015'!P237</f>
        <v>0</v>
      </c>
      <c r="Q237" s="732">
        <f>'Func Future Subs 2015'!Q237</f>
        <v>0</v>
      </c>
      <c r="R237" s="732">
        <f>'Func Future Subs 2015'!R237</f>
        <v>1</v>
      </c>
      <c r="S237" s="735">
        <f t="shared" si="26"/>
        <v>0</v>
      </c>
      <c r="T237" s="735">
        <f t="shared" si="27"/>
        <v>0</v>
      </c>
      <c r="U237" s="735">
        <f t="shared" si="28"/>
        <v>0</v>
      </c>
      <c r="V237" s="736">
        <f t="shared" si="29"/>
        <v>0</v>
      </c>
      <c r="W237" s="735">
        <f t="shared" si="30"/>
        <v>0</v>
      </c>
      <c r="X237" s="737">
        <f t="shared" si="31"/>
        <v>0</v>
      </c>
      <c r="Y237" s="738">
        <f t="shared" si="32"/>
        <v>0</v>
      </c>
    </row>
    <row r="238" spans="1:25">
      <c r="A238" s="754" t="str">
        <f>'Func Future Subs 2015'!A238</f>
        <v>Heart Lake 898S</v>
      </c>
      <c r="B238" s="754">
        <f>'Func Future Subs 2015'!B238</f>
        <v>1287</v>
      </c>
      <c r="C238" s="754">
        <f>'Func Future Subs 2015'!C238</f>
        <v>240</v>
      </c>
      <c r="D238" s="754">
        <f>'Func Future Subs 2015'!D238</f>
        <v>144</v>
      </c>
      <c r="E238" s="754" t="str">
        <f>'Func Future Subs 2015'!E238</f>
        <v>898S</v>
      </c>
      <c r="F238" s="754">
        <f>'Func Future Subs 2015'!F238</f>
        <v>267302.36990519403</v>
      </c>
      <c r="G238" s="754" t="str">
        <f>'Func Future Subs 2015'!G238</f>
        <v>ATCO</v>
      </c>
      <c r="H238" s="754">
        <f>'Func Future Subs 2015'!H238</f>
        <v>2019</v>
      </c>
      <c r="I238" s="306">
        <f>+IF($H238=I$2,VLOOKUP($G238,Depreciation!$A$14:$L$18,7,FALSE)/2,IF($H238&lt;I$2,VLOOKUP($G238,Depreciation!$A$14:$L$18,7,FALSE),0))</f>
        <v>0</v>
      </c>
      <c r="J238" s="306">
        <f>+IF($H238=J$2,VLOOKUP($G238,Depreciation!$A$14:$L$18,8,FALSE)/2,IF($H238&lt;J$2,VLOOKUP($G238,Depreciation!$A$14:$L$18,8,FALSE),0))</f>
        <v>0</v>
      </c>
      <c r="K238" s="306">
        <f>+IF($H238=K$2,VLOOKUP($G238,Depreciation!$A$14:$L$18,9,FALSE)/2,IF($H238&lt;K$2,VLOOKUP($G238,Depreciation!$A$14:$L$18,9,FALSE),0))</f>
        <v>0</v>
      </c>
      <c r="L238" s="306">
        <f>+IF($H238=L$2,VLOOKUP($G238,Depreciation!$A$14:$L$18,10,FALSE)/2,IF($H238&lt;L$2,VLOOKUP($G238,Depreciation!$A$14:$L$18,10,FALSE),0))</f>
        <v>0</v>
      </c>
      <c r="M238" s="306">
        <f>+IF($H238=M$2,VLOOKUP($G238,Depreciation!$A$14:$L$18,11,FALSE)/2,IF($H238&lt;M$2,VLOOKUP($G238,Depreciation!$A$14:$L$18,11,FALSE),0))</f>
        <v>1.2175768213899416E-2</v>
      </c>
      <c r="N238" s="306">
        <f>+IF($H238=N$2,VLOOKUP($G238,Depreciation!$A$14:$L$18,12,FALSE)/2,IF($H238&lt;N$2,VLOOKUP($G238,Depreciation!$A$14:$L$18,12,FALSE),0))</f>
        <v>2.4351536427798831E-2</v>
      </c>
      <c r="O238" s="307">
        <f t="shared" si="25"/>
        <v>0</v>
      </c>
      <c r="P238" s="732">
        <f>'Func Future Subs 2015'!P238</f>
        <v>0</v>
      </c>
      <c r="Q238" s="732">
        <f>'Func Future Subs 2015'!Q238</f>
        <v>0</v>
      </c>
      <c r="R238" s="732">
        <f>'Func Future Subs 2015'!R238</f>
        <v>1</v>
      </c>
      <c r="S238" s="735">
        <f t="shared" si="26"/>
        <v>0</v>
      </c>
      <c r="T238" s="735">
        <f t="shared" si="27"/>
        <v>0</v>
      </c>
      <c r="U238" s="735">
        <f t="shared" si="28"/>
        <v>0</v>
      </c>
      <c r="V238" s="736">
        <f t="shared" si="29"/>
        <v>0</v>
      </c>
      <c r="W238" s="735">
        <f t="shared" si="30"/>
        <v>0</v>
      </c>
      <c r="X238" s="737">
        <f t="shared" si="31"/>
        <v>0</v>
      </c>
      <c r="Y238" s="738">
        <f t="shared" si="32"/>
        <v>0</v>
      </c>
    </row>
    <row r="239" spans="1:25">
      <c r="A239" s="754" t="str">
        <f>'Func Future Subs 2015'!A239</f>
        <v>Deerland 13S substation</v>
      </c>
      <c r="B239" s="754">
        <f>'Func Future Subs 2015'!B239</f>
        <v>1289</v>
      </c>
      <c r="C239" s="754">
        <f>'Func Future Subs 2015'!C239</f>
        <v>138</v>
      </c>
      <c r="D239" s="754">
        <f>'Func Future Subs 2015'!D239</f>
        <v>138</v>
      </c>
      <c r="E239" s="754" t="str">
        <f>'Func Future Subs 2015'!E239</f>
        <v>13S</v>
      </c>
      <c r="F239" s="754">
        <f>'Func Future Subs 2015'!F239</f>
        <v>3106833.197389883</v>
      </c>
      <c r="G239" s="754" t="str">
        <f>'Func Future Subs 2015'!G239</f>
        <v>AltaLink</v>
      </c>
      <c r="H239" s="754">
        <f>'Func Future Subs 2015'!H239</f>
        <v>2017</v>
      </c>
      <c r="I239" s="306">
        <f>+IF($H239=I$2,VLOOKUP($G239,Depreciation!$A$14:$L$18,7,FALSE)/2,IF($H239&lt;I$2,VLOOKUP($G239,Depreciation!$A$14:$L$18,7,FALSE),0))</f>
        <v>0</v>
      </c>
      <c r="J239" s="306">
        <f>+IF($H239=J$2,VLOOKUP($G239,Depreciation!$A$14:$L$18,8,FALSE)/2,IF($H239&lt;J$2,VLOOKUP($G239,Depreciation!$A$14:$L$18,8,FALSE),0))</f>
        <v>0</v>
      </c>
      <c r="K239" s="306">
        <f>+IF($H239=K$2,VLOOKUP($G239,Depreciation!$A$14:$L$18,9,FALSE)/2,IF($H239&lt;K$2,VLOOKUP($G239,Depreciation!$A$14:$L$18,9,FALSE),0))</f>
        <v>1.671703928371859E-2</v>
      </c>
      <c r="L239" s="306">
        <f>+IF($H239=L$2,VLOOKUP($G239,Depreciation!$A$14:$L$18,10,FALSE)/2,IF($H239&lt;L$2,VLOOKUP($G239,Depreciation!$A$14:$L$18,10,FALSE),0))</f>
        <v>3.343407856743718E-2</v>
      </c>
      <c r="M239" s="306">
        <f>+IF($H239=M$2,VLOOKUP($G239,Depreciation!$A$14:$L$18,11,FALSE)/2,IF($H239&lt;M$2,VLOOKUP($G239,Depreciation!$A$14:$L$18,11,FALSE),0))</f>
        <v>3.343407856743718E-2</v>
      </c>
      <c r="N239" s="306">
        <f>+IF($H239=N$2,VLOOKUP($G239,Depreciation!$A$14:$L$18,12,FALSE)/2,IF($H239&lt;N$2,VLOOKUP($G239,Depreciation!$A$14:$L$18,12,FALSE),0))</f>
        <v>3.343407856743718E-2</v>
      </c>
      <c r="O239" s="307">
        <f t="shared" si="25"/>
        <v>3054896.144781155</v>
      </c>
      <c r="P239" s="732">
        <f>'Func Future Subs 2015'!P239</f>
        <v>0</v>
      </c>
      <c r="Q239" s="732">
        <f>'Func Future Subs 2015'!Q239</f>
        <v>0</v>
      </c>
      <c r="R239" s="732">
        <f>'Func Future Subs 2015'!R239</f>
        <v>1</v>
      </c>
      <c r="S239" s="735">
        <f t="shared" si="26"/>
        <v>0</v>
      </c>
      <c r="T239" s="735">
        <f t="shared" si="27"/>
        <v>0</v>
      </c>
      <c r="U239" s="735">
        <f t="shared" si="28"/>
        <v>3054896.144781155</v>
      </c>
      <c r="V239" s="736">
        <f t="shared" si="29"/>
        <v>0</v>
      </c>
      <c r="W239" s="735">
        <f t="shared" si="30"/>
        <v>0</v>
      </c>
      <c r="X239" s="737">
        <f t="shared" si="31"/>
        <v>3054896.144781155</v>
      </c>
      <c r="Y239" s="738">
        <f t="shared" si="32"/>
        <v>0</v>
      </c>
    </row>
    <row r="240" spans="1:25">
      <c r="A240" s="754" t="str">
        <f>'Func Future Subs 2015'!A240</f>
        <v>New Whitetail Peaking Station 976S(part of scope)</v>
      </c>
      <c r="B240" s="754">
        <f>'Func Future Subs 2015'!B240</f>
        <v>1290</v>
      </c>
      <c r="C240" s="754">
        <f>'Func Future Subs 2015'!C240</f>
        <v>144</v>
      </c>
      <c r="D240" s="754">
        <f>'Func Future Subs 2015'!D240</f>
        <v>144</v>
      </c>
      <c r="E240" s="754" t="str">
        <f>'Func Future Subs 2015'!E240</f>
        <v>976S</v>
      </c>
      <c r="F240" s="754">
        <f>'Func Future Subs 2015'!F240</f>
        <v>561275.46753523592</v>
      </c>
      <c r="G240" s="754" t="str">
        <f>'Func Future Subs 2015'!G240</f>
        <v>ATCO</v>
      </c>
      <c r="H240" s="754">
        <f>'Func Future Subs 2015'!H240</f>
        <v>2018</v>
      </c>
      <c r="I240" s="306">
        <f>+IF($H240=I$2,VLOOKUP($G240,Depreciation!$A$14:$L$18,7,FALSE)/2,IF($H240&lt;I$2,VLOOKUP($G240,Depreciation!$A$14:$L$18,7,FALSE),0))</f>
        <v>0</v>
      </c>
      <c r="J240" s="306">
        <f>+IF($H240=J$2,VLOOKUP($G240,Depreciation!$A$14:$L$18,8,FALSE)/2,IF($H240&lt;J$2,VLOOKUP($G240,Depreciation!$A$14:$L$18,8,FALSE),0))</f>
        <v>0</v>
      </c>
      <c r="K240" s="306">
        <f>+IF($H240=K$2,VLOOKUP($G240,Depreciation!$A$14:$L$18,9,FALSE)/2,IF($H240&lt;K$2,VLOOKUP($G240,Depreciation!$A$14:$L$18,9,FALSE),0))</f>
        <v>0</v>
      </c>
      <c r="L240" s="306">
        <f>+IF($H240=L$2,VLOOKUP($G240,Depreciation!$A$14:$L$18,10,FALSE)/2,IF($H240&lt;L$2,VLOOKUP($G240,Depreciation!$A$14:$L$18,10,FALSE),0))</f>
        <v>1.2175768213899416E-2</v>
      </c>
      <c r="M240" s="306">
        <f>+IF($H240=M$2,VLOOKUP($G240,Depreciation!$A$14:$L$18,11,FALSE)/2,IF($H240&lt;M$2,VLOOKUP($G240,Depreciation!$A$14:$L$18,11,FALSE),0))</f>
        <v>2.4351536427798831E-2</v>
      </c>
      <c r="N240" s="306">
        <f>+IF($H240=N$2,VLOOKUP($G240,Depreciation!$A$14:$L$18,12,FALSE)/2,IF($H240&lt;N$2,VLOOKUP($G240,Depreciation!$A$14:$L$18,12,FALSE),0))</f>
        <v>2.4351536427798831E-2</v>
      </c>
      <c r="O240" s="307">
        <f t="shared" si="25"/>
        <v>0</v>
      </c>
      <c r="P240" s="732">
        <f>'Func Future Subs 2015'!P240</f>
        <v>0</v>
      </c>
      <c r="Q240" s="732">
        <f>'Func Future Subs 2015'!Q240</f>
        <v>0</v>
      </c>
      <c r="R240" s="732">
        <f>'Func Future Subs 2015'!R240</f>
        <v>1</v>
      </c>
      <c r="S240" s="735">
        <f t="shared" si="26"/>
        <v>0</v>
      </c>
      <c r="T240" s="735">
        <f t="shared" si="27"/>
        <v>0</v>
      </c>
      <c r="U240" s="735">
        <f t="shared" si="28"/>
        <v>0</v>
      </c>
      <c r="V240" s="736">
        <f t="shared" si="29"/>
        <v>0</v>
      </c>
      <c r="W240" s="735">
        <f t="shared" si="30"/>
        <v>0</v>
      </c>
      <c r="X240" s="737">
        <f t="shared" si="31"/>
        <v>0</v>
      </c>
      <c r="Y240" s="738">
        <f t="shared" si="32"/>
        <v>0</v>
      </c>
    </row>
    <row r="241" spans="1:25">
      <c r="A241" s="754" t="str">
        <f>'Func Future Subs 2015'!A241</f>
        <v>[Final]659S substation</v>
      </c>
      <c r="B241" s="754">
        <f>'Func Future Subs 2015'!B241</f>
        <v>1294</v>
      </c>
      <c r="C241" s="754">
        <f>'Func Future Subs 2015'!C241</f>
        <v>69</v>
      </c>
      <c r="D241" s="754">
        <f>'Func Future Subs 2015'!D241</f>
        <v>25</v>
      </c>
      <c r="E241" s="754" t="str">
        <f>'Func Future Subs 2015'!E241</f>
        <v>659S</v>
      </c>
      <c r="F241" s="754">
        <f>'Func Future Subs 2015'!F241</f>
        <v>4433924</v>
      </c>
      <c r="G241" s="754" t="str">
        <f>'Func Future Subs 2015'!G241</f>
        <v>AltaLink</v>
      </c>
      <c r="H241" s="754">
        <f>'Func Future Subs 2015'!H241</f>
        <v>2015</v>
      </c>
      <c r="I241" s="306">
        <f>+IF($H241=I$2,VLOOKUP($G241,Depreciation!$A$14:$L$18,7,FALSE)/2,IF($H241&lt;I$2,VLOOKUP($G241,Depreciation!$A$14:$L$18,7,FALSE),0))</f>
        <v>1.7228380322441735E-2</v>
      </c>
      <c r="J241" s="306">
        <f>+IF($H241=J$2,VLOOKUP($G241,Depreciation!$A$14:$L$18,8,FALSE)/2,IF($H241&lt;J$2,VLOOKUP($G241,Depreciation!$A$14:$L$18,8,FALSE),0))</f>
        <v>3.343407856743718E-2</v>
      </c>
      <c r="K241" s="306">
        <f>+IF($H241=K$2,VLOOKUP($G241,Depreciation!$A$14:$L$18,9,FALSE)/2,IF($H241&lt;K$2,VLOOKUP($G241,Depreciation!$A$14:$L$18,9,FALSE),0))</f>
        <v>3.343407856743718E-2</v>
      </c>
      <c r="L241" s="306">
        <f>+IF($H241=L$2,VLOOKUP($G241,Depreciation!$A$14:$L$18,10,FALSE)/2,IF($H241&lt;L$2,VLOOKUP($G241,Depreciation!$A$14:$L$18,10,FALSE),0))</f>
        <v>3.343407856743718E-2</v>
      </c>
      <c r="M241" s="306">
        <f>+IF($H241=M$2,VLOOKUP($G241,Depreciation!$A$14:$L$18,11,FALSE)/2,IF($H241&lt;M$2,VLOOKUP($G241,Depreciation!$A$14:$L$18,11,FALSE),0))</f>
        <v>3.343407856743718E-2</v>
      </c>
      <c r="N241" s="306">
        <f>+IF($H241=N$2,VLOOKUP($G241,Depreciation!$A$14:$L$18,12,FALSE)/2,IF($H241&lt;N$2,VLOOKUP($G241,Depreciation!$A$14:$L$18,12,FALSE),0))</f>
        <v>3.343407856743718E-2</v>
      </c>
      <c r="O241" s="307">
        <f t="shared" si="25"/>
        <v>4071025.3740462461</v>
      </c>
      <c r="P241" s="732">
        <f>'Func Future Subs 2015'!P241</f>
        <v>0.54090909090909089</v>
      </c>
      <c r="Q241" s="732">
        <f>'Func Future Subs 2015'!Q241</f>
        <v>0.45909090909090905</v>
      </c>
      <c r="R241" s="732">
        <f>'Func Future Subs 2015'!R241</f>
        <v>0</v>
      </c>
      <c r="S241" s="735">
        <f t="shared" si="26"/>
        <v>2202054.6341431965</v>
      </c>
      <c r="T241" s="735">
        <f t="shared" si="27"/>
        <v>1868970.7399030491</v>
      </c>
      <c r="U241" s="735">
        <f t="shared" si="28"/>
        <v>0</v>
      </c>
      <c r="V241" s="736">
        <f t="shared" si="29"/>
        <v>0</v>
      </c>
      <c r="W241" s="735">
        <f t="shared" si="30"/>
        <v>2202054.6341431965</v>
      </c>
      <c r="X241" s="737">
        <f t="shared" si="31"/>
        <v>0</v>
      </c>
      <c r="Y241" s="738">
        <f t="shared" si="32"/>
        <v>1868970.7399030491</v>
      </c>
    </row>
    <row r="242" spans="1:25">
      <c r="A242" s="754" t="str">
        <f>'Func Future Subs 2015'!A242</f>
        <v>659S substation</v>
      </c>
      <c r="B242" s="754">
        <f>'Func Future Subs 2015'!B242</f>
        <v>1294</v>
      </c>
      <c r="C242" s="754">
        <f>'Func Future Subs 2015'!C242</f>
        <v>69</v>
      </c>
      <c r="D242" s="754">
        <f>'Func Future Subs 2015'!D242</f>
        <v>25</v>
      </c>
      <c r="E242" s="754" t="str">
        <f>'Func Future Subs 2015'!E242</f>
        <v>659S</v>
      </c>
      <c r="F242" s="754">
        <f>'Func Future Subs 2015'!F242</f>
        <v>5633000.0000000028</v>
      </c>
      <c r="G242" s="754" t="str">
        <f>'Func Future Subs 2015'!G242</f>
        <v>AltaLink</v>
      </c>
      <c r="H242" s="754">
        <f>'Func Future Subs 2015'!H242</f>
        <v>2015</v>
      </c>
      <c r="I242" s="306">
        <f>+IF($H242=I$2,VLOOKUP($G242,Depreciation!$A$14:$L$18,7,FALSE)/2,IF($H242&lt;I$2,VLOOKUP($G242,Depreciation!$A$14:$L$18,7,FALSE),0))</f>
        <v>1.7228380322441735E-2</v>
      </c>
      <c r="J242" s="306">
        <f>+IF($H242=J$2,VLOOKUP($G242,Depreciation!$A$14:$L$18,8,FALSE)/2,IF($H242&lt;J$2,VLOOKUP($G242,Depreciation!$A$14:$L$18,8,FALSE),0))</f>
        <v>3.343407856743718E-2</v>
      </c>
      <c r="K242" s="306">
        <f>+IF($H242=K$2,VLOOKUP($G242,Depreciation!$A$14:$L$18,9,FALSE)/2,IF($H242&lt;K$2,VLOOKUP($G242,Depreciation!$A$14:$L$18,9,FALSE),0))</f>
        <v>3.343407856743718E-2</v>
      </c>
      <c r="L242" s="306">
        <f>+IF($H242=L$2,VLOOKUP($G242,Depreciation!$A$14:$L$18,10,FALSE)/2,IF($H242&lt;L$2,VLOOKUP($G242,Depreciation!$A$14:$L$18,10,FALSE),0))</f>
        <v>3.343407856743718E-2</v>
      </c>
      <c r="M242" s="306">
        <f>+IF($H242=M$2,VLOOKUP($G242,Depreciation!$A$14:$L$18,11,FALSE)/2,IF($H242&lt;M$2,VLOOKUP($G242,Depreciation!$A$14:$L$18,11,FALSE),0))</f>
        <v>3.343407856743718E-2</v>
      </c>
      <c r="N242" s="306">
        <f>+IF($H242=N$2,VLOOKUP($G242,Depreciation!$A$14:$L$18,12,FALSE)/2,IF($H242&lt;N$2,VLOOKUP($G242,Depreciation!$A$14:$L$18,12,FALSE),0))</f>
        <v>3.343407856743718E-2</v>
      </c>
      <c r="O242" s="307">
        <f t="shared" si="25"/>
        <v>5171961.8856801605</v>
      </c>
      <c r="P242" s="732">
        <f>'Func Future Subs 2015'!P242</f>
        <v>0.54090909090909089</v>
      </c>
      <c r="Q242" s="732">
        <f>'Func Future Subs 2015'!Q242</f>
        <v>0.45909090909090905</v>
      </c>
      <c r="R242" s="732">
        <f>'Func Future Subs 2015'!R242</f>
        <v>0</v>
      </c>
      <c r="S242" s="735">
        <f t="shared" si="26"/>
        <v>2797561.2017997233</v>
      </c>
      <c r="T242" s="735">
        <f t="shared" si="27"/>
        <v>2374400.6838804372</v>
      </c>
      <c r="U242" s="735">
        <f t="shared" si="28"/>
        <v>0</v>
      </c>
      <c r="V242" s="736">
        <f t="shared" si="29"/>
        <v>0</v>
      </c>
      <c r="W242" s="735">
        <f t="shared" si="30"/>
        <v>2797561.2017997233</v>
      </c>
      <c r="X242" s="737">
        <f t="shared" si="31"/>
        <v>0</v>
      </c>
      <c r="Y242" s="738">
        <f t="shared" si="32"/>
        <v>2374400.6838804372</v>
      </c>
    </row>
    <row r="243" spans="1:25">
      <c r="A243" s="754" t="str">
        <f>'Func Future Subs 2015'!A243</f>
        <v>162SS</v>
      </c>
      <c r="B243" s="754">
        <f>'Func Future Subs 2015'!B243</f>
        <v>1314</v>
      </c>
      <c r="C243" s="754">
        <f>'Func Future Subs 2015'!C243</f>
        <v>138</v>
      </c>
      <c r="D243" s="754">
        <f>'Func Future Subs 2015'!D243</f>
        <v>0</v>
      </c>
      <c r="E243" s="754" t="str">
        <f>'Func Future Subs 2015'!E243</f>
        <v>162SS</v>
      </c>
      <c r="F243" s="754">
        <f>'Func Future Subs 2015'!F243</f>
        <v>16742409.726119097</v>
      </c>
      <c r="G243" s="754" t="str">
        <f>'Func Future Subs 2015'!G243</f>
        <v>ENMAX</v>
      </c>
      <c r="H243" s="754">
        <f>'Func Future Subs 2015'!H243</f>
        <v>2015</v>
      </c>
      <c r="I243" s="306">
        <f>+IF($H243=I$2,VLOOKUP($G243,Depreciation!$A$14:$L$18,7,FALSE)/2,IF($H243&lt;I$2,VLOOKUP($G243,Depreciation!$A$14:$L$18,7,FALSE),0))</f>
        <v>1.3928409269726289E-2</v>
      </c>
      <c r="J243" s="306">
        <f>+IF($H243=J$2,VLOOKUP($G243,Depreciation!$A$14:$L$18,8,FALSE)/2,IF($H243&lt;J$2,VLOOKUP($G243,Depreciation!$A$14:$L$18,8,FALSE),0))</f>
        <v>2.7856818539452578E-2</v>
      </c>
      <c r="K243" s="306">
        <f>+IF($H243=K$2,VLOOKUP($G243,Depreciation!$A$14:$L$18,9,FALSE)/2,IF($H243&lt;K$2,VLOOKUP($G243,Depreciation!$A$14:$L$18,9,FALSE),0))</f>
        <v>2.7856818539452578E-2</v>
      </c>
      <c r="L243" s="306">
        <f>+IF($H243=L$2,VLOOKUP($G243,Depreciation!$A$14:$L$18,10,FALSE)/2,IF($H243&lt;L$2,VLOOKUP($G243,Depreciation!$A$14:$L$18,10,FALSE),0))</f>
        <v>2.7856818539452578E-2</v>
      </c>
      <c r="M243" s="306">
        <f>+IF($H243=M$2,VLOOKUP($G243,Depreciation!$A$14:$L$18,11,FALSE)/2,IF($H243&lt;M$2,VLOOKUP($G243,Depreciation!$A$14:$L$18,11,FALSE),0))</f>
        <v>2.7856818539452578E-2</v>
      </c>
      <c r="N243" s="306">
        <f>+IF($H243=N$2,VLOOKUP($G243,Depreciation!$A$14:$L$18,12,FALSE)/2,IF($H243&lt;N$2,VLOOKUP($G243,Depreciation!$A$14:$L$18,12,FALSE),0))</f>
        <v>2.7856818539452578E-2</v>
      </c>
      <c r="O243" s="307">
        <f t="shared" si="25"/>
        <v>15602237.39023545</v>
      </c>
      <c r="P243" s="732">
        <f>'Func Future Subs 2015'!P243</f>
        <v>0</v>
      </c>
      <c r="Q243" s="732">
        <f>'Func Future Subs 2015'!Q243</f>
        <v>0</v>
      </c>
      <c r="R243" s="732">
        <f>'Func Future Subs 2015'!R243</f>
        <v>1</v>
      </c>
      <c r="S243" s="735">
        <f t="shared" si="26"/>
        <v>0</v>
      </c>
      <c r="T243" s="735">
        <f t="shared" si="27"/>
        <v>0</v>
      </c>
      <c r="U243" s="735">
        <f t="shared" si="28"/>
        <v>15602237.39023545</v>
      </c>
      <c r="V243" s="736">
        <f t="shared" si="29"/>
        <v>15602237.39023545</v>
      </c>
      <c r="W243" s="735">
        <f t="shared" si="30"/>
        <v>0</v>
      </c>
      <c r="X243" s="737">
        <f t="shared" si="31"/>
        <v>0</v>
      </c>
      <c r="Y243" s="738">
        <f t="shared" si="32"/>
        <v>0</v>
      </c>
    </row>
    <row r="244" spans="1:25">
      <c r="A244" s="754" t="str">
        <f>'Func Future Subs 2015'!A244</f>
        <v>Monitor 774S</v>
      </c>
      <c r="B244" s="754">
        <f>'Func Future Subs 2015'!B244</f>
        <v>1319</v>
      </c>
      <c r="C244" s="754">
        <f>'Func Future Subs 2015'!C244</f>
        <v>138</v>
      </c>
      <c r="D244" s="754">
        <f>'Func Future Subs 2015'!D244</f>
        <v>25</v>
      </c>
      <c r="E244" s="754" t="str">
        <f>'Func Future Subs 2015'!E244</f>
        <v>774S</v>
      </c>
      <c r="F244" s="754">
        <f>'Func Future Subs 2015'!F244</f>
        <v>3798763.0000000009</v>
      </c>
      <c r="G244" s="754" t="str">
        <f>'Func Future Subs 2015'!G244</f>
        <v>ATCO</v>
      </c>
      <c r="H244" s="754">
        <f>'Func Future Subs 2015'!H244</f>
        <v>2015</v>
      </c>
      <c r="I244" s="306">
        <f>+IF($H244=I$2,VLOOKUP($G244,Depreciation!$A$14:$L$18,7,FALSE)/2,IF($H244&lt;I$2,VLOOKUP($G244,Depreciation!$A$14:$L$18,7,FALSE),0))</f>
        <v>1.221703683566912E-2</v>
      </c>
      <c r="J244" s="306">
        <f>+IF($H244=J$2,VLOOKUP($G244,Depreciation!$A$14:$L$18,8,FALSE)/2,IF($H244&lt;J$2,VLOOKUP($G244,Depreciation!$A$14:$L$18,8,FALSE),0))</f>
        <v>2.4632450501084719E-2</v>
      </c>
      <c r="K244" s="306">
        <f>+IF($H244=K$2,VLOOKUP($G244,Depreciation!$A$14:$L$18,9,FALSE)/2,IF($H244&lt;K$2,VLOOKUP($G244,Depreciation!$A$14:$L$18,9,FALSE),0))</f>
        <v>2.4351536427798831E-2</v>
      </c>
      <c r="L244" s="306">
        <f>+IF($H244=L$2,VLOOKUP($G244,Depreciation!$A$14:$L$18,10,FALSE)/2,IF($H244&lt;L$2,VLOOKUP($G244,Depreciation!$A$14:$L$18,10,FALSE),0))</f>
        <v>2.4351536427798831E-2</v>
      </c>
      <c r="M244" s="306">
        <f>+IF($H244=M$2,VLOOKUP($G244,Depreciation!$A$14:$L$18,11,FALSE)/2,IF($H244&lt;M$2,VLOOKUP($G244,Depreciation!$A$14:$L$18,11,FALSE),0))</f>
        <v>2.4351536427798831E-2</v>
      </c>
      <c r="N244" s="306">
        <f>+IF($H244=N$2,VLOOKUP($G244,Depreciation!$A$14:$L$18,12,FALSE)/2,IF($H244&lt;N$2,VLOOKUP($G244,Depreciation!$A$14:$L$18,12,FALSE),0))</f>
        <v>2.4351536427798831E-2</v>
      </c>
      <c r="O244" s="307">
        <f t="shared" si="25"/>
        <v>3570798.9481490809</v>
      </c>
      <c r="P244" s="732">
        <f>'Func Future Subs 2015'!P244</f>
        <v>0</v>
      </c>
      <c r="Q244" s="732">
        <f>'Func Future Subs 2015'!Q244</f>
        <v>1</v>
      </c>
      <c r="R244" s="732">
        <f>'Func Future Subs 2015'!R244</f>
        <v>0</v>
      </c>
      <c r="S244" s="735">
        <f t="shared" si="26"/>
        <v>0</v>
      </c>
      <c r="T244" s="735">
        <f t="shared" si="27"/>
        <v>3570798.9481490809</v>
      </c>
      <c r="U244" s="735">
        <f t="shared" si="28"/>
        <v>0</v>
      </c>
      <c r="V244" s="736">
        <f t="shared" si="29"/>
        <v>0</v>
      </c>
      <c r="W244" s="735">
        <f t="shared" si="30"/>
        <v>0</v>
      </c>
      <c r="X244" s="737">
        <f t="shared" si="31"/>
        <v>0</v>
      </c>
      <c r="Y244" s="738">
        <f t="shared" si="32"/>
        <v>3570798.9481490809</v>
      </c>
    </row>
    <row r="245" spans="1:25">
      <c r="A245" s="754" t="str">
        <f>'Func Future Subs 2015'!A245</f>
        <v>Brintnell</v>
      </c>
      <c r="B245" s="754">
        <f>'Func Future Subs 2015'!B245</f>
        <v>1321</v>
      </c>
      <c r="C245" s="754">
        <f>'Func Future Subs 2015'!C245</f>
        <v>138</v>
      </c>
      <c r="D245" s="754">
        <f>'Func Future Subs 2015'!D245</f>
        <v>0</v>
      </c>
      <c r="E245" s="754">
        <f>'Func Future Subs 2015'!E245</f>
        <v>0</v>
      </c>
      <c r="F245" s="754">
        <f>'Func Future Subs 2015'!F245</f>
        <v>51372.123717071459</v>
      </c>
      <c r="G245" s="754" t="str">
        <f>'Func Future Subs 2015'!G245</f>
        <v>ATCO</v>
      </c>
      <c r="H245" s="754">
        <f>'Func Future Subs 2015'!H245</f>
        <v>2017</v>
      </c>
      <c r="I245" s="306">
        <f>+IF($H245=I$2,VLOOKUP($G245,Depreciation!$A$14:$L$18,7,FALSE)/2,IF($H245&lt;I$2,VLOOKUP($G245,Depreciation!$A$14:$L$18,7,FALSE),0))</f>
        <v>0</v>
      </c>
      <c r="J245" s="306">
        <f>+IF($H245=J$2,VLOOKUP($G245,Depreciation!$A$14:$L$18,8,FALSE)/2,IF($H245&lt;J$2,VLOOKUP($G245,Depreciation!$A$14:$L$18,8,FALSE),0))</f>
        <v>0</v>
      </c>
      <c r="K245" s="306">
        <f>+IF($H245=K$2,VLOOKUP($G245,Depreciation!$A$14:$L$18,9,FALSE)/2,IF($H245&lt;K$2,VLOOKUP($G245,Depreciation!$A$14:$L$18,9,FALSE),0))</f>
        <v>1.2175768213899416E-2</v>
      </c>
      <c r="L245" s="306">
        <f>+IF($H245=L$2,VLOOKUP($G245,Depreciation!$A$14:$L$18,10,FALSE)/2,IF($H245&lt;L$2,VLOOKUP($G245,Depreciation!$A$14:$L$18,10,FALSE),0))</f>
        <v>2.4351536427798831E-2</v>
      </c>
      <c r="M245" s="306">
        <f>+IF($H245=M$2,VLOOKUP($G245,Depreciation!$A$14:$L$18,11,FALSE)/2,IF($H245&lt;M$2,VLOOKUP($G245,Depreciation!$A$14:$L$18,11,FALSE),0))</f>
        <v>2.4351536427798831E-2</v>
      </c>
      <c r="N245" s="306">
        <f>+IF($H245=N$2,VLOOKUP($G245,Depreciation!$A$14:$L$18,12,FALSE)/2,IF($H245&lt;N$2,VLOOKUP($G245,Depreciation!$A$14:$L$18,12,FALSE),0))</f>
        <v>2.4351536427798831E-2</v>
      </c>
      <c r="O245" s="307">
        <f t="shared" si="25"/>
        <v>50746.628646036632</v>
      </c>
      <c r="P245" s="732">
        <f>'Func Future Subs 2015'!P245</f>
        <v>0</v>
      </c>
      <c r="Q245" s="732">
        <f>'Func Future Subs 2015'!Q245</f>
        <v>0</v>
      </c>
      <c r="R245" s="732">
        <f>'Func Future Subs 2015'!R245</f>
        <v>1</v>
      </c>
      <c r="S245" s="735">
        <f t="shared" si="26"/>
        <v>0</v>
      </c>
      <c r="T245" s="735">
        <f t="shared" si="27"/>
        <v>0</v>
      </c>
      <c r="U245" s="735">
        <f t="shared" si="28"/>
        <v>50746.628646036632</v>
      </c>
      <c r="V245" s="736">
        <f t="shared" si="29"/>
        <v>50746.628646036632</v>
      </c>
      <c r="W245" s="735">
        <f t="shared" si="30"/>
        <v>0</v>
      </c>
      <c r="X245" s="737">
        <f t="shared" si="31"/>
        <v>0</v>
      </c>
      <c r="Y245" s="738">
        <f t="shared" si="32"/>
        <v>0</v>
      </c>
    </row>
    <row r="246" spans="1:25">
      <c r="A246" s="754" t="str">
        <f>'Func Future Subs 2015'!A246</f>
        <v>Little Smoky 813S</v>
      </c>
      <c r="B246" s="754">
        <f>'Func Future Subs 2015'!B246</f>
        <v>1321</v>
      </c>
      <c r="C246" s="754">
        <f>'Func Future Subs 2015'!C246</f>
        <v>240</v>
      </c>
      <c r="D246" s="754">
        <f>'Func Future Subs 2015'!D246</f>
        <v>138</v>
      </c>
      <c r="E246" s="754" t="str">
        <f>'Func Future Subs 2015'!E246</f>
        <v>813S</v>
      </c>
      <c r="F246" s="754">
        <f>'Func Future Subs 2015'!F246</f>
        <v>71234.874916216097</v>
      </c>
      <c r="G246" s="754" t="str">
        <f>'Func Future Subs 2015'!G246</f>
        <v>ATCO</v>
      </c>
      <c r="H246" s="754">
        <f>'Func Future Subs 2015'!H246</f>
        <v>2017</v>
      </c>
      <c r="I246" s="306">
        <f>+IF($H246=I$2,VLOOKUP($G246,Depreciation!$A$14:$L$18,7,FALSE)/2,IF($H246&lt;I$2,VLOOKUP($G246,Depreciation!$A$14:$L$18,7,FALSE),0))</f>
        <v>0</v>
      </c>
      <c r="J246" s="306">
        <f>+IF($H246=J$2,VLOOKUP($G246,Depreciation!$A$14:$L$18,8,FALSE)/2,IF($H246&lt;J$2,VLOOKUP($G246,Depreciation!$A$14:$L$18,8,FALSE),0))</f>
        <v>0</v>
      </c>
      <c r="K246" s="306">
        <f>+IF($H246=K$2,VLOOKUP($G246,Depreciation!$A$14:$L$18,9,FALSE)/2,IF($H246&lt;K$2,VLOOKUP($G246,Depreciation!$A$14:$L$18,9,FALSE),0))</f>
        <v>1.2175768213899416E-2</v>
      </c>
      <c r="L246" s="306">
        <f>+IF($H246=L$2,VLOOKUP($G246,Depreciation!$A$14:$L$18,10,FALSE)/2,IF($H246&lt;L$2,VLOOKUP($G246,Depreciation!$A$14:$L$18,10,FALSE),0))</f>
        <v>2.4351536427798831E-2</v>
      </c>
      <c r="M246" s="306">
        <f>+IF($H246=M$2,VLOOKUP($G246,Depreciation!$A$14:$L$18,11,FALSE)/2,IF($H246&lt;M$2,VLOOKUP($G246,Depreciation!$A$14:$L$18,11,FALSE),0))</f>
        <v>2.4351536427798831E-2</v>
      </c>
      <c r="N246" s="306">
        <f>+IF($H246=N$2,VLOOKUP($G246,Depreciation!$A$14:$L$18,12,FALSE)/2,IF($H246&lt;N$2,VLOOKUP($G246,Depreciation!$A$14:$L$18,12,FALSE),0))</f>
        <v>2.4351536427798831E-2</v>
      </c>
      <c r="O246" s="307">
        <f t="shared" si="25"/>
        <v>70367.535590490137</v>
      </c>
      <c r="P246" s="732">
        <f>'Func Future Subs 2015'!P246</f>
        <v>0</v>
      </c>
      <c r="Q246" s="732">
        <f>'Func Future Subs 2015'!Q246</f>
        <v>0</v>
      </c>
      <c r="R246" s="732">
        <f>'Func Future Subs 2015'!R246</f>
        <v>1</v>
      </c>
      <c r="S246" s="735">
        <f t="shared" si="26"/>
        <v>0</v>
      </c>
      <c r="T246" s="735">
        <f t="shared" si="27"/>
        <v>0</v>
      </c>
      <c r="U246" s="735">
        <f t="shared" si="28"/>
        <v>70367.535590490137</v>
      </c>
      <c r="V246" s="736">
        <f t="shared" si="29"/>
        <v>0</v>
      </c>
      <c r="W246" s="735">
        <f t="shared" si="30"/>
        <v>0</v>
      </c>
      <c r="X246" s="737">
        <f t="shared" si="31"/>
        <v>70367.535590490137</v>
      </c>
      <c r="Y246" s="738">
        <f t="shared" si="32"/>
        <v>0</v>
      </c>
    </row>
    <row r="247" spans="1:25">
      <c r="A247" s="754" t="str">
        <f>'Func Future Subs 2015'!A247</f>
        <v>Louise Creek 809S</v>
      </c>
      <c r="B247" s="754">
        <f>'Func Future Subs 2015'!B247</f>
        <v>1321</v>
      </c>
      <c r="C247" s="754">
        <f>'Func Future Subs 2015'!C247</f>
        <v>240</v>
      </c>
      <c r="D247" s="754">
        <f>'Func Future Subs 2015'!D247</f>
        <v>144</v>
      </c>
      <c r="E247" s="754" t="str">
        <f>'Func Future Subs 2015'!E247</f>
        <v>809S</v>
      </c>
      <c r="F247" s="754">
        <f>'Func Future Subs 2015'!F247</f>
        <v>67376.674391001157</v>
      </c>
      <c r="G247" s="754" t="str">
        <f>'Func Future Subs 2015'!G247</f>
        <v>ATCO</v>
      </c>
      <c r="H247" s="754">
        <f>'Func Future Subs 2015'!H247</f>
        <v>2017</v>
      </c>
      <c r="I247" s="306">
        <f>+IF($H247=I$2,VLOOKUP($G247,Depreciation!$A$14:$L$18,7,FALSE)/2,IF($H247&lt;I$2,VLOOKUP($G247,Depreciation!$A$14:$L$18,7,FALSE),0))</f>
        <v>0</v>
      </c>
      <c r="J247" s="306">
        <f>+IF($H247=J$2,VLOOKUP($G247,Depreciation!$A$14:$L$18,8,FALSE)/2,IF($H247&lt;J$2,VLOOKUP($G247,Depreciation!$A$14:$L$18,8,FALSE),0))</f>
        <v>0</v>
      </c>
      <c r="K247" s="306">
        <f>+IF($H247=K$2,VLOOKUP($G247,Depreciation!$A$14:$L$18,9,FALSE)/2,IF($H247&lt;K$2,VLOOKUP($G247,Depreciation!$A$14:$L$18,9,FALSE),0))</f>
        <v>1.2175768213899416E-2</v>
      </c>
      <c r="L247" s="306">
        <f>+IF($H247=L$2,VLOOKUP($G247,Depreciation!$A$14:$L$18,10,FALSE)/2,IF($H247&lt;L$2,VLOOKUP($G247,Depreciation!$A$14:$L$18,10,FALSE),0))</f>
        <v>2.4351536427798831E-2</v>
      </c>
      <c r="M247" s="306">
        <f>+IF($H247=M$2,VLOOKUP($G247,Depreciation!$A$14:$L$18,11,FALSE)/2,IF($H247&lt;M$2,VLOOKUP($G247,Depreciation!$A$14:$L$18,11,FALSE),0))</f>
        <v>2.4351536427798831E-2</v>
      </c>
      <c r="N247" s="306">
        <f>+IF($H247=N$2,VLOOKUP($G247,Depreciation!$A$14:$L$18,12,FALSE)/2,IF($H247&lt;N$2,VLOOKUP($G247,Depreciation!$A$14:$L$18,12,FALSE),0))</f>
        <v>2.4351536427798831E-2</v>
      </c>
      <c r="O247" s="307">
        <f t="shared" si="25"/>
        <v>66556.311620592955</v>
      </c>
      <c r="P247" s="732">
        <f>'Func Future Subs 2015'!P247</f>
        <v>0</v>
      </c>
      <c r="Q247" s="732">
        <f>'Func Future Subs 2015'!Q247</f>
        <v>0</v>
      </c>
      <c r="R247" s="732">
        <f>'Func Future Subs 2015'!R247</f>
        <v>1</v>
      </c>
      <c r="S247" s="735">
        <f t="shared" si="26"/>
        <v>0</v>
      </c>
      <c r="T247" s="735">
        <f t="shared" si="27"/>
        <v>0</v>
      </c>
      <c r="U247" s="735">
        <f t="shared" si="28"/>
        <v>66556.311620592955</v>
      </c>
      <c r="V247" s="736">
        <f t="shared" si="29"/>
        <v>0</v>
      </c>
      <c r="W247" s="735">
        <f t="shared" si="30"/>
        <v>0</v>
      </c>
      <c r="X247" s="737">
        <f t="shared" si="31"/>
        <v>66556.311620592955</v>
      </c>
      <c r="Y247" s="738">
        <f t="shared" si="32"/>
        <v>0</v>
      </c>
    </row>
    <row r="248" spans="1:25">
      <c r="A248" s="754" t="str">
        <f>'Func Future Subs 2015'!A248</f>
        <v>Wesley 834S Substation</v>
      </c>
      <c r="B248" s="754">
        <f>'Func Future Subs 2015'!B248</f>
        <v>1321</v>
      </c>
      <c r="C248" s="754">
        <f>'Func Future Subs 2015'!C248</f>
        <v>240</v>
      </c>
      <c r="D248" s="754">
        <f>'Func Future Subs 2015'!D248</f>
        <v>144</v>
      </c>
      <c r="E248" s="754" t="str">
        <f>'Func Future Subs 2015'!E248</f>
        <v>834S</v>
      </c>
      <c r="F248" s="754">
        <f>'Func Future Subs 2015'!F248</f>
        <v>6851820.2017634856</v>
      </c>
      <c r="G248" s="754" t="str">
        <f>'Func Future Subs 2015'!G248</f>
        <v>ATCO</v>
      </c>
      <c r="H248" s="754">
        <f>'Func Future Subs 2015'!H248</f>
        <v>2017</v>
      </c>
      <c r="I248" s="306">
        <f>+IF($H248=I$2,VLOOKUP($G248,Depreciation!$A$14:$L$18,7,FALSE)/2,IF($H248&lt;I$2,VLOOKUP($G248,Depreciation!$A$14:$L$18,7,FALSE),0))</f>
        <v>0</v>
      </c>
      <c r="J248" s="306">
        <f>+IF($H248=J$2,VLOOKUP($G248,Depreciation!$A$14:$L$18,8,FALSE)/2,IF($H248&lt;J$2,VLOOKUP($G248,Depreciation!$A$14:$L$18,8,FALSE),0))</f>
        <v>0</v>
      </c>
      <c r="K248" s="306">
        <f>+IF($H248=K$2,VLOOKUP($G248,Depreciation!$A$14:$L$18,9,FALSE)/2,IF($H248&lt;K$2,VLOOKUP($G248,Depreciation!$A$14:$L$18,9,FALSE),0))</f>
        <v>1.2175768213899416E-2</v>
      </c>
      <c r="L248" s="306">
        <f>+IF($H248=L$2,VLOOKUP($G248,Depreciation!$A$14:$L$18,10,FALSE)/2,IF($H248&lt;L$2,VLOOKUP($G248,Depreciation!$A$14:$L$18,10,FALSE),0))</f>
        <v>2.4351536427798831E-2</v>
      </c>
      <c r="M248" s="306">
        <f>+IF($H248=M$2,VLOOKUP($G248,Depreciation!$A$14:$L$18,11,FALSE)/2,IF($H248&lt;M$2,VLOOKUP($G248,Depreciation!$A$14:$L$18,11,FALSE),0))</f>
        <v>2.4351536427798831E-2</v>
      </c>
      <c r="N248" s="306">
        <f>+IF($H248=N$2,VLOOKUP($G248,Depreciation!$A$14:$L$18,12,FALSE)/2,IF($H248&lt;N$2,VLOOKUP($G248,Depreciation!$A$14:$L$18,12,FALSE),0))</f>
        <v>2.4351536427798831E-2</v>
      </c>
      <c r="O248" s="307">
        <f t="shared" si="25"/>
        <v>6768394.0271434998</v>
      </c>
      <c r="P248" s="732">
        <f>'Func Future Subs 2015'!P248</f>
        <v>0</v>
      </c>
      <c r="Q248" s="732">
        <f>'Func Future Subs 2015'!Q248</f>
        <v>0</v>
      </c>
      <c r="R248" s="732">
        <f>'Func Future Subs 2015'!R248</f>
        <v>1</v>
      </c>
      <c r="S248" s="735">
        <f t="shared" si="26"/>
        <v>0</v>
      </c>
      <c r="T248" s="735">
        <f t="shared" si="27"/>
        <v>0</v>
      </c>
      <c r="U248" s="735">
        <f t="shared" si="28"/>
        <v>6768394.0271434998</v>
      </c>
      <c r="V248" s="736">
        <f t="shared" si="29"/>
        <v>0</v>
      </c>
      <c r="W248" s="735">
        <f t="shared" si="30"/>
        <v>0</v>
      </c>
      <c r="X248" s="737">
        <f t="shared" si="31"/>
        <v>6768394.0271434998</v>
      </c>
      <c r="Y248" s="738">
        <f t="shared" si="32"/>
        <v>0</v>
      </c>
    </row>
    <row r="249" spans="1:25">
      <c r="A249" s="754" t="str">
        <f>'Func Future Subs 2015'!A249</f>
        <v>West Pease A793S</v>
      </c>
      <c r="B249" s="754">
        <f>'Func Future Subs 2015'!B249</f>
        <v>1321</v>
      </c>
      <c r="C249" s="754">
        <f>'Func Future Subs 2015'!C249</f>
        <v>138</v>
      </c>
      <c r="D249" s="754">
        <f>'Func Future Subs 2015'!D249</f>
        <v>25</v>
      </c>
      <c r="E249" s="754" t="str">
        <f>'Func Future Subs 2015'!E249</f>
        <v>A793S</v>
      </c>
      <c r="F249" s="754">
        <f>'Func Future Subs 2015'!F249</f>
        <v>43376.462438149829</v>
      </c>
      <c r="G249" s="754" t="str">
        <f>'Func Future Subs 2015'!G249</f>
        <v>ATCO</v>
      </c>
      <c r="H249" s="754">
        <f>'Func Future Subs 2015'!H249</f>
        <v>2017</v>
      </c>
      <c r="I249" s="306">
        <f>+IF($H249=I$2,VLOOKUP($G249,Depreciation!$A$14:$L$18,7,FALSE)/2,IF($H249&lt;I$2,VLOOKUP($G249,Depreciation!$A$14:$L$18,7,FALSE),0))</f>
        <v>0</v>
      </c>
      <c r="J249" s="306">
        <f>+IF($H249=J$2,VLOOKUP($G249,Depreciation!$A$14:$L$18,8,FALSE)/2,IF($H249&lt;J$2,VLOOKUP($G249,Depreciation!$A$14:$L$18,8,FALSE),0))</f>
        <v>0</v>
      </c>
      <c r="K249" s="306">
        <f>+IF($H249=K$2,VLOOKUP($G249,Depreciation!$A$14:$L$18,9,FALSE)/2,IF($H249&lt;K$2,VLOOKUP($G249,Depreciation!$A$14:$L$18,9,FALSE),0))</f>
        <v>1.2175768213899416E-2</v>
      </c>
      <c r="L249" s="306">
        <f>+IF($H249=L$2,VLOOKUP($G249,Depreciation!$A$14:$L$18,10,FALSE)/2,IF($H249&lt;L$2,VLOOKUP($G249,Depreciation!$A$14:$L$18,10,FALSE),0))</f>
        <v>2.4351536427798831E-2</v>
      </c>
      <c r="M249" s="306">
        <f>+IF($H249=M$2,VLOOKUP($G249,Depreciation!$A$14:$L$18,11,FALSE)/2,IF($H249&lt;M$2,VLOOKUP($G249,Depreciation!$A$14:$L$18,11,FALSE),0))</f>
        <v>2.4351536427798831E-2</v>
      </c>
      <c r="N249" s="306">
        <f>+IF($H249=N$2,VLOOKUP($G249,Depreciation!$A$14:$L$18,12,FALSE)/2,IF($H249&lt;N$2,VLOOKUP($G249,Depreciation!$A$14:$L$18,12,FALSE),0))</f>
        <v>2.4351536427798831E-2</v>
      </c>
      <c r="O249" s="307">
        <f t="shared" si="25"/>
        <v>42848.320685564002</v>
      </c>
      <c r="P249" s="732">
        <f>'Func Future Subs 2015'!P249</f>
        <v>0</v>
      </c>
      <c r="Q249" s="732">
        <f>'Func Future Subs 2015'!Q249</f>
        <v>1</v>
      </c>
      <c r="R249" s="732">
        <f>'Func Future Subs 2015'!R249</f>
        <v>0</v>
      </c>
      <c r="S249" s="735">
        <f t="shared" si="26"/>
        <v>0</v>
      </c>
      <c r="T249" s="735">
        <f t="shared" si="27"/>
        <v>42848.320685564002</v>
      </c>
      <c r="U249" s="735">
        <f t="shared" si="28"/>
        <v>0</v>
      </c>
      <c r="V249" s="736">
        <f t="shared" si="29"/>
        <v>0</v>
      </c>
      <c r="W249" s="735">
        <f t="shared" si="30"/>
        <v>0</v>
      </c>
      <c r="X249" s="737">
        <f t="shared" si="31"/>
        <v>0</v>
      </c>
      <c r="Y249" s="738">
        <f t="shared" si="32"/>
        <v>42848.320685564002</v>
      </c>
    </row>
    <row r="250" spans="1:25">
      <c r="A250" s="754" t="str">
        <f>'Func Future Subs 2015'!A250</f>
        <v>Al Rothbauer 321S</v>
      </c>
      <c r="B250" s="754">
        <f>'Func Future Subs 2015'!B250</f>
        <v>1326</v>
      </c>
      <c r="C250" s="754">
        <f>'Func Future Subs 2015'!C250</f>
        <v>138</v>
      </c>
      <c r="D250" s="754">
        <f>'Func Future Subs 2015'!D250</f>
        <v>138</v>
      </c>
      <c r="E250" s="754" t="str">
        <f>'Func Future Subs 2015'!E250</f>
        <v>321S</v>
      </c>
      <c r="F250" s="754">
        <f>'Func Future Subs 2015'!F250</f>
        <v>6469865.2231551046</v>
      </c>
      <c r="G250" s="754" t="str">
        <f>'Func Future Subs 2015'!G250</f>
        <v>AltaLink</v>
      </c>
      <c r="H250" s="754">
        <f>'Func Future Subs 2015'!H250</f>
        <v>2017</v>
      </c>
      <c r="I250" s="306">
        <f>+IF($H250=I$2,VLOOKUP($G250,Depreciation!$A$14:$L$18,7,FALSE)/2,IF($H250&lt;I$2,VLOOKUP($G250,Depreciation!$A$14:$L$18,7,FALSE),0))</f>
        <v>0</v>
      </c>
      <c r="J250" s="306">
        <f>+IF($H250=J$2,VLOOKUP($G250,Depreciation!$A$14:$L$18,8,FALSE)/2,IF($H250&lt;J$2,VLOOKUP($G250,Depreciation!$A$14:$L$18,8,FALSE),0))</f>
        <v>0</v>
      </c>
      <c r="K250" s="306">
        <f>+IF($H250=K$2,VLOOKUP($G250,Depreciation!$A$14:$L$18,9,FALSE)/2,IF($H250&lt;K$2,VLOOKUP($G250,Depreciation!$A$14:$L$18,9,FALSE),0))</f>
        <v>1.671703928371859E-2</v>
      </c>
      <c r="L250" s="306">
        <f>+IF($H250=L$2,VLOOKUP($G250,Depreciation!$A$14:$L$18,10,FALSE)/2,IF($H250&lt;L$2,VLOOKUP($G250,Depreciation!$A$14:$L$18,10,FALSE),0))</f>
        <v>3.343407856743718E-2</v>
      </c>
      <c r="M250" s="306">
        <f>+IF($H250=M$2,VLOOKUP($G250,Depreciation!$A$14:$L$18,11,FALSE)/2,IF($H250&lt;M$2,VLOOKUP($G250,Depreciation!$A$14:$L$18,11,FALSE),0))</f>
        <v>3.343407856743718E-2</v>
      </c>
      <c r="N250" s="306">
        <f>+IF($H250=N$2,VLOOKUP($G250,Depreciation!$A$14:$L$18,12,FALSE)/2,IF($H250&lt;N$2,VLOOKUP($G250,Depreciation!$A$14:$L$18,12,FALSE),0))</f>
        <v>3.343407856743718E-2</v>
      </c>
      <c r="O250" s="307">
        <f t="shared" si="25"/>
        <v>6361708.2320592562</v>
      </c>
      <c r="P250" s="732">
        <f>'Func Future Subs 2015'!P250</f>
        <v>0</v>
      </c>
      <c r="Q250" s="732">
        <f>'Func Future Subs 2015'!Q250</f>
        <v>0</v>
      </c>
      <c r="R250" s="732">
        <f>'Func Future Subs 2015'!R250</f>
        <v>1</v>
      </c>
      <c r="S250" s="735">
        <f t="shared" si="26"/>
        <v>0</v>
      </c>
      <c r="T250" s="735">
        <f t="shared" si="27"/>
        <v>0</v>
      </c>
      <c r="U250" s="735">
        <f t="shared" si="28"/>
        <v>6361708.2320592562</v>
      </c>
      <c r="V250" s="736">
        <f t="shared" si="29"/>
        <v>0</v>
      </c>
      <c r="W250" s="735">
        <f t="shared" si="30"/>
        <v>0</v>
      </c>
      <c r="X250" s="737">
        <f t="shared" si="31"/>
        <v>6361708.2320592562</v>
      </c>
      <c r="Y250" s="738">
        <f t="shared" si="32"/>
        <v>0</v>
      </c>
    </row>
    <row r="251" spans="1:25">
      <c r="A251" s="754" t="str">
        <f>'Func Future Subs 2015'!A251</f>
        <v>Bowmanton 244S</v>
      </c>
      <c r="B251" s="754">
        <f>'Func Future Subs 2015'!B251</f>
        <v>1326</v>
      </c>
      <c r="C251" s="754">
        <f>'Func Future Subs 2015'!C251</f>
        <v>240</v>
      </c>
      <c r="D251" s="754">
        <f>'Func Future Subs 2015'!D251</f>
        <v>138</v>
      </c>
      <c r="E251" s="754" t="str">
        <f>'Func Future Subs 2015'!E251</f>
        <v>244S</v>
      </c>
      <c r="F251" s="754">
        <f>'Func Future Subs 2015'!F251</f>
        <v>14949.624392399472</v>
      </c>
      <c r="G251" s="754" t="str">
        <f>'Func Future Subs 2015'!G251</f>
        <v>AltaLink</v>
      </c>
      <c r="H251" s="754">
        <f>'Func Future Subs 2015'!H251</f>
        <v>2017</v>
      </c>
      <c r="I251" s="306">
        <f>+IF($H251=I$2,VLOOKUP($G251,Depreciation!$A$14:$L$18,7,FALSE)/2,IF($H251&lt;I$2,VLOOKUP($G251,Depreciation!$A$14:$L$18,7,FALSE),0))</f>
        <v>0</v>
      </c>
      <c r="J251" s="306">
        <f>+IF($H251=J$2,VLOOKUP($G251,Depreciation!$A$14:$L$18,8,FALSE)/2,IF($H251&lt;J$2,VLOOKUP($G251,Depreciation!$A$14:$L$18,8,FALSE),0))</f>
        <v>0</v>
      </c>
      <c r="K251" s="306">
        <f>+IF($H251=K$2,VLOOKUP($G251,Depreciation!$A$14:$L$18,9,FALSE)/2,IF($H251&lt;K$2,VLOOKUP($G251,Depreciation!$A$14:$L$18,9,FALSE),0))</f>
        <v>1.671703928371859E-2</v>
      </c>
      <c r="L251" s="306">
        <f>+IF($H251=L$2,VLOOKUP($G251,Depreciation!$A$14:$L$18,10,FALSE)/2,IF($H251&lt;L$2,VLOOKUP($G251,Depreciation!$A$14:$L$18,10,FALSE),0))</f>
        <v>3.343407856743718E-2</v>
      </c>
      <c r="M251" s="306">
        <f>+IF($H251=M$2,VLOOKUP($G251,Depreciation!$A$14:$L$18,11,FALSE)/2,IF($H251&lt;M$2,VLOOKUP($G251,Depreciation!$A$14:$L$18,11,FALSE),0))</f>
        <v>3.343407856743718E-2</v>
      </c>
      <c r="N251" s="306">
        <f>+IF($H251=N$2,VLOOKUP($G251,Depreciation!$A$14:$L$18,12,FALSE)/2,IF($H251&lt;N$2,VLOOKUP($G251,Depreciation!$A$14:$L$18,12,FALSE),0))</f>
        <v>3.343407856743718E-2</v>
      </c>
      <c r="O251" s="307">
        <f t="shared" si="25"/>
        <v>14699.710934154891</v>
      </c>
      <c r="P251" s="732">
        <f>'Func Future Subs 2015'!P251</f>
        <v>0</v>
      </c>
      <c r="Q251" s="732">
        <f>'Func Future Subs 2015'!Q251</f>
        <v>0</v>
      </c>
      <c r="R251" s="732">
        <f>'Func Future Subs 2015'!R251</f>
        <v>1</v>
      </c>
      <c r="S251" s="735">
        <f t="shared" si="26"/>
        <v>0</v>
      </c>
      <c r="T251" s="735">
        <f t="shared" si="27"/>
        <v>0</v>
      </c>
      <c r="U251" s="735">
        <f t="shared" si="28"/>
        <v>14699.710934154891</v>
      </c>
      <c r="V251" s="736">
        <f t="shared" si="29"/>
        <v>0</v>
      </c>
      <c r="W251" s="735">
        <f t="shared" si="30"/>
        <v>0</v>
      </c>
      <c r="X251" s="737">
        <f t="shared" si="31"/>
        <v>14699.710934154891</v>
      </c>
      <c r="Y251" s="738">
        <f t="shared" si="32"/>
        <v>0</v>
      </c>
    </row>
    <row r="252" spans="1:25">
      <c r="A252" s="754" t="str">
        <f>'Func Future Subs 2015'!A252</f>
        <v>Bullhead 523S</v>
      </c>
      <c r="B252" s="754">
        <f>'Func Future Subs 2015'!B252</f>
        <v>1326</v>
      </c>
      <c r="C252" s="754">
        <f>'Func Future Subs 2015'!C252</f>
        <v>240</v>
      </c>
      <c r="D252" s="754">
        <f>'Func Future Subs 2015'!D252</f>
        <v>25</v>
      </c>
      <c r="E252" s="754" t="str">
        <f>'Func Future Subs 2015'!E252</f>
        <v>523S</v>
      </c>
      <c r="F252" s="754">
        <f>'Func Future Subs 2015'!F252</f>
        <v>116274.85638532921</v>
      </c>
      <c r="G252" s="754" t="str">
        <f>'Func Future Subs 2015'!G252</f>
        <v>AltaLink</v>
      </c>
      <c r="H252" s="754">
        <f>'Func Future Subs 2015'!H252</f>
        <v>2017</v>
      </c>
      <c r="I252" s="306">
        <f>+IF($H252=I$2,VLOOKUP($G252,Depreciation!$A$14:$L$18,7,FALSE)/2,IF($H252&lt;I$2,VLOOKUP($G252,Depreciation!$A$14:$L$18,7,FALSE),0))</f>
        <v>0</v>
      </c>
      <c r="J252" s="306">
        <f>+IF($H252=J$2,VLOOKUP($G252,Depreciation!$A$14:$L$18,8,FALSE)/2,IF($H252&lt;J$2,VLOOKUP($G252,Depreciation!$A$14:$L$18,8,FALSE),0))</f>
        <v>0</v>
      </c>
      <c r="K252" s="306">
        <f>+IF($H252=K$2,VLOOKUP($G252,Depreciation!$A$14:$L$18,9,FALSE)/2,IF($H252&lt;K$2,VLOOKUP($G252,Depreciation!$A$14:$L$18,9,FALSE),0))</f>
        <v>1.671703928371859E-2</v>
      </c>
      <c r="L252" s="306">
        <f>+IF($H252=L$2,VLOOKUP($G252,Depreciation!$A$14:$L$18,10,FALSE)/2,IF($H252&lt;L$2,VLOOKUP($G252,Depreciation!$A$14:$L$18,10,FALSE),0))</f>
        <v>3.343407856743718E-2</v>
      </c>
      <c r="M252" s="306">
        <f>+IF($H252=M$2,VLOOKUP($G252,Depreciation!$A$14:$L$18,11,FALSE)/2,IF($H252&lt;M$2,VLOOKUP($G252,Depreciation!$A$14:$L$18,11,FALSE),0))</f>
        <v>3.343407856743718E-2</v>
      </c>
      <c r="N252" s="306">
        <f>+IF($H252=N$2,VLOOKUP($G252,Depreciation!$A$14:$L$18,12,FALSE)/2,IF($H252&lt;N$2,VLOOKUP($G252,Depreciation!$A$14:$L$18,12,FALSE),0))</f>
        <v>3.343407856743718E-2</v>
      </c>
      <c r="O252" s="307">
        <f t="shared" si="25"/>
        <v>114331.08504342692</v>
      </c>
      <c r="P252" s="732">
        <f>'Func Future Subs 2015'!P252</f>
        <v>0</v>
      </c>
      <c r="Q252" s="732">
        <f>'Func Future Subs 2015'!Q252</f>
        <v>1</v>
      </c>
      <c r="R252" s="732">
        <f>'Func Future Subs 2015'!R252</f>
        <v>0</v>
      </c>
      <c r="S252" s="735">
        <f t="shared" si="26"/>
        <v>0</v>
      </c>
      <c r="T252" s="735">
        <f t="shared" si="27"/>
        <v>114331.08504342692</v>
      </c>
      <c r="U252" s="735">
        <f t="shared" si="28"/>
        <v>0</v>
      </c>
      <c r="V252" s="736">
        <f t="shared" si="29"/>
        <v>0</v>
      </c>
      <c r="W252" s="735">
        <f t="shared" si="30"/>
        <v>0</v>
      </c>
      <c r="X252" s="737">
        <f t="shared" si="31"/>
        <v>0</v>
      </c>
      <c r="Y252" s="738">
        <f t="shared" si="32"/>
        <v>114331.08504342692</v>
      </c>
    </row>
    <row r="253" spans="1:25">
      <c r="A253" s="754" t="str">
        <f>'Func Future Subs 2015'!A253</f>
        <v>Fort Macleod 15S_(v1)</v>
      </c>
      <c r="B253" s="754">
        <f>'Func Future Subs 2015'!B253</f>
        <v>1336</v>
      </c>
      <c r="C253" s="754">
        <f>'Func Future Subs 2015'!C253</f>
        <v>138</v>
      </c>
      <c r="D253" s="754">
        <f>'Func Future Subs 2015'!D253</f>
        <v>25</v>
      </c>
      <c r="E253" s="754" t="str">
        <f>'Func Future Subs 2015'!E253</f>
        <v>15S</v>
      </c>
      <c r="F253" s="754">
        <f>'Func Future Subs 2015'!F253</f>
        <v>267677.39372268558</v>
      </c>
      <c r="G253" s="754" t="str">
        <f>'Func Future Subs 2015'!G253</f>
        <v>AltaLink</v>
      </c>
      <c r="H253" s="754">
        <f>'Func Future Subs 2015'!H253</f>
        <v>2018</v>
      </c>
      <c r="I253" s="306">
        <f>+IF($H253=I$2,VLOOKUP($G253,Depreciation!$A$14:$L$18,7,FALSE)/2,IF($H253&lt;I$2,VLOOKUP($G253,Depreciation!$A$14:$L$18,7,FALSE),0))</f>
        <v>0</v>
      </c>
      <c r="J253" s="306">
        <f>+IF($H253=J$2,VLOOKUP($G253,Depreciation!$A$14:$L$18,8,FALSE)/2,IF($H253&lt;J$2,VLOOKUP($G253,Depreciation!$A$14:$L$18,8,FALSE),0))</f>
        <v>0</v>
      </c>
      <c r="K253" s="306">
        <f>+IF($H253=K$2,VLOOKUP($G253,Depreciation!$A$14:$L$18,9,FALSE)/2,IF($H253&lt;K$2,VLOOKUP($G253,Depreciation!$A$14:$L$18,9,FALSE),0))</f>
        <v>0</v>
      </c>
      <c r="L253" s="306">
        <f>+IF($H253=L$2,VLOOKUP($G253,Depreciation!$A$14:$L$18,10,FALSE)/2,IF($H253&lt;L$2,VLOOKUP($G253,Depreciation!$A$14:$L$18,10,FALSE),0))</f>
        <v>1.671703928371859E-2</v>
      </c>
      <c r="M253" s="306">
        <f>+IF($H253=M$2,VLOOKUP($G253,Depreciation!$A$14:$L$18,11,FALSE)/2,IF($H253&lt;M$2,VLOOKUP($G253,Depreciation!$A$14:$L$18,11,FALSE),0))</f>
        <v>3.343407856743718E-2</v>
      </c>
      <c r="N253" s="306">
        <f>+IF($H253=N$2,VLOOKUP($G253,Depreciation!$A$14:$L$18,12,FALSE)/2,IF($H253&lt;N$2,VLOOKUP($G253,Depreciation!$A$14:$L$18,12,FALSE),0))</f>
        <v>3.343407856743718E-2</v>
      </c>
      <c r="O253" s="307">
        <f t="shared" si="25"/>
        <v>0</v>
      </c>
      <c r="P253" s="732">
        <f>'Func Future Subs 2015'!P253</f>
        <v>0.16326530612244897</v>
      </c>
      <c r="Q253" s="732">
        <f>'Func Future Subs 2015'!Q253</f>
        <v>0.83673469387755106</v>
      </c>
      <c r="R253" s="732">
        <f>'Func Future Subs 2015'!R253</f>
        <v>0</v>
      </c>
      <c r="S253" s="735">
        <f t="shared" si="26"/>
        <v>0</v>
      </c>
      <c r="T253" s="735">
        <f t="shared" si="27"/>
        <v>0</v>
      </c>
      <c r="U253" s="735">
        <f t="shared" si="28"/>
        <v>0</v>
      </c>
      <c r="V253" s="736">
        <f t="shared" si="29"/>
        <v>0</v>
      </c>
      <c r="W253" s="735">
        <f t="shared" si="30"/>
        <v>0</v>
      </c>
      <c r="X253" s="737">
        <f t="shared" si="31"/>
        <v>0</v>
      </c>
      <c r="Y253" s="738">
        <f t="shared" si="32"/>
        <v>0</v>
      </c>
    </row>
    <row r="254" spans="1:25">
      <c r="A254" s="754" t="str">
        <f>'Func Future Subs 2015'!A254</f>
        <v>McGregor Lake 200S_(v1)</v>
      </c>
      <c r="B254" s="754">
        <f>'Func Future Subs 2015'!B254</f>
        <v>1336</v>
      </c>
      <c r="C254" s="754">
        <f>'Func Future Subs 2015'!C254</f>
        <v>138</v>
      </c>
      <c r="D254" s="754">
        <f>'Func Future Subs 2015'!D254</f>
        <v>138</v>
      </c>
      <c r="E254" s="754" t="str">
        <f>'Func Future Subs 2015'!E254</f>
        <v>200S</v>
      </c>
      <c r="F254" s="754">
        <f>'Func Future Subs 2015'!F254</f>
        <v>732176.40047675755</v>
      </c>
      <c r="G254" s="754" t="str">
        <f>'Func Future Subs 2015'!G254</f>
        <v>AltaLink</v>
      </c>
      <c r="H254" s="754">
        <f>'Func Future Subs 2015'!H254</f>
        <v>2018</v>
      </c>
      <c r="I254" s="306">
        <f>+IF($H254=I$2,VLOOKUP($G254,Depreciation!$A$14:$L$18,7,FALSE)/2,IF($H254&lt;I$2,VLOOKUP($G254,Depreciation!$A$14:$L$18,7,FALSE),0))</f>
        <v>0</v>
      </c>
      <c r="J254" s="306">
        <f>+IF($H254=J$2,VLOOKUP($G254,Depreciation!$A$14:$L$18,8,FALSE)/2,IF($H254&lt;J$2,VLOOKUP($G254,Depreciation!$A$14:$L$18,8,FALSE),0))</f>
        <v>0</v>
      </c>
      <c r="K254" s="306">
        <f>+IF($H254=K$2,VLOOKUP($G254,Depreciation!$A$14:$L$18,9,FALSE)/2,IF($H254&lt;K$2,VLOOKUP($G254,Depreciation!$A$14:$L$18,9,FALSE),0))</f>
        <v>0</v>
      </c>
      <c r="L254" s="306">
        <f>+IF($H254=L$2,VLOOKUP($G254,Depreciation!$A$14:$L$18,10,FALSE)/2,IF($H254&lt;L$2,VLOOKUP($G254,Depreciation!$A$14:$L$18,10,FALSE),0))</f>
        <v>1.671703928371859E-2</v>
      </c>
      <c r="M254" s="306">
        <f>+IF($H254=M$2,VLOOKUP($G254,Depreciation!$A$14:$L$18,11,FALSE)/2,IF($H254&lt;M$2,VLOOKUP($G254,Depreciation!$A$14:$L$18,11,FALSE),0))</f>
        <v>3.343407856743718E-2</v>
      </c>
      <c r="N254" s="306">
        <f>+IF($H254=N$2,VLOOKUP($G254,Depreciation!$A$14:$L$18,12,FALSE)/2,IF($H254&lt;N$2,VLOOKUP($G254,Depreciation!$A$14:$L$18,12,FALSE),0))</f>
        <v>3.343407856743718E-2</v>
      </c>
      <c r="O254" s="307">
        <f t="shared" si="25"/>
        <v>0</v>
      </c>
      <c r="P254" s="732">
        <f>'Func Future Subs 2015'!P254</f>
        <v>0</v>
      </c>
      <c r="Q254" s="732">
        <f>'Func Future Subs 2015'!Q254</f>
        <v>0</v>
      </c>
      <c r="R254" s="732">
        <f>'Func Future Subs 2015'!R254</f>
        <v>1</v>
      </c>
      <c r="S254" s="735">
        <f t="shared" si="26"/>
        <v>0</v>
      </c>
      <c r="T254" s="735">
        <f t="shared" si="27"/>
        <v>0</v>
      </c>
      <c r="U254" s="735">
        <f t="shared" si="28"/>
        <v>0</v>
      </c>
      <c r="V254" s="736">
        <f t="shared" si="29"/>
        <v>0</v>
      </c>
      <c r="W254" s="735">
        <f t="shared" si="30"/>
        <v>0</v>
      </c>
      <c r="X254" s="737">
        <f t="shared" si="31"/>
        <v>0</v>
      </c>
      <c r="Y254" s="738">
        <f t="shared" si="32"/>
        <v>0</v>
      </c>
    </row>
    <row r="255" spans="1:25">
      <c r="A255" s="754" t="str">
        <f>'Func Future Subs 2015'!A255</f>
        <v>Queenstown 504S_(v1)</v>
      </c>
      <c r="B255" s="754">
        <f>'Func Future Subs 2015'!B255</f>
        <v>1336</v>
      </c>
      <c r="C255" s="754">
        <f>'Func Future Subs 2015'!C255</f>
        <v>138</v>
      </c>
      <c r="D255" s="754">
        <f>'Func Future Subs 2015'!D255</f>
        <v>138</v>
      </c>
      <c r="E255" s="754" t="str">
        <f>'Func Future Subs 2015'!E255</f>
        <v>504S</v>
      </c>
      <c r="F255" s="754">
        <f>'Func Future Subs 2015'!F255</f>
        <v>2125673.4207389737</v>
      </c>
      <c r="G255" s="754" t="str">
        <f>'Func Future Subs 2015'!G255</f>
        <v>AltaLink</v>
      </c>
      <c r="H255" s="754">
        <f>'Func Future Subs 2015'!H255</f>
        <v>2018</v>
      </c>
      <c r="I255" s="306">
        <f>+IF($H255=I$2,VLOOKUP($G255,Depreciation!$A$14:$L$18,7,FALSE)/2,IF($H255&lt;I$2,VLOOKUP($G255,Depreciation!$A$14:$L$18,7,FALSE),0))</f>
        <v>0</v>
      </c>
      <c r="J255" s="306">
        <f>+IF($H255=J$2,VLOOKUP($G255,Depreciation!$A$14:$L$18,8,FALSE)/2,IF($H255&lt;J$2,VLOOKUP($G255,Depreciation!$A$14:$L$18,8,FALSE),0))</f>
        <v>0</v>
      </c>
      <c r="K255" s="306">
        <f>+IF($H255=K$2,VLOOKUP($G255,Depreciation!$A$14:$L$18,9,FALSE)/2,IF($H255&lt;K$2,VLOOKUP($G255,Depreciation!$A$14:$L$18,9,FALSE),0))</f>
        <v>0</v>
      </c>
      <c r="L255" s="306">
        <f>+IF($H255=L$2,VLOOKUP($G255,Depreciation!$A$14:$L$18,10,FALSE)/2,IF($H255&lt;L$2,VLOOKUP($G255,Depreciation!$A$14:$L$18,10,FALSE),0))</f>
        <v>1.671703928371859E-2</v>
      </c>
      <c r="M255" s="306">
        <f>+IF($H255=M$2,VLOOKUP($G255,Depreciation!$A$14:$L$18,11,FALSE)/2,IF($H255&lt;M$2,VLOOKUP($G255,Depreciation!$A$14:$L$18,11,FALSE),0))</f>
        <v>3.343407856743718E-2</v>
      </c>
      <c r="N255" s="306">
        <f>+IF($H255=N$2,VLOOKUP($G255,Depreciation!$A$14:$L$18,12,FALSE)/2,IF($H255&lt;N$2,VLOOKUP($G255,Depreciation!$A$14:$L$18,12,FALSE),0))</f>
        <v>3.343407856743718E-2</v>
      </c>
      <c r="O255" s="307">
        <f t="shared" si="25"/>
        <v>0</v>
      </c>
      <c r="P255" s="732">
        <f>'Func Future Subs 2015'!P255</f>
        <v>0</v>
      </c>
      <c r="Q255" s="732">
        <f>'Func Future Subs 2015'!Q255</f>
        <v>0</v>
      </c>
      <c r="R255" s="732">
        <f>'Func Future Subs 2015'!R255</f>
        <v>1</v>
      </c>
      <c r="S255" s="735">
        <f t="shared" si="26"/>
        <v>0</v>
      </c>
      <c r="T255" s="735">
        <f t="shared" si="27"/>
        <v>0</v>
      </c>
      <c r="U255" s="735">
        <f t="shared" si="28"/>
        <v>0</v>
      </c>
      <c r="V255" s="736">
        <f t="shared" si="29"/>
        <v>0</v>
      </c>
      <c r="W255" s="735">
        <f t="shared" si="30"/>
        <v>0</v>
      </c>
      <c r="X255" s="737">
        <f t="shared" si="31"/>
        <v>0</v>
      </c>
      <c r="Y255" s="738">
        <f t="shared" si="32"/>
        <v>0</v>
      </c>
    </row>
    <row r="256" spans="1:25">
      <c r="A256" s="754" t="str">
        <f>'Func Future Subs 2015'!A256</f>
        <v>Vulcan 255S_(v1)</v>
      </c>
      <c r="B256" s="754">
        <f>'Func Future Subs 2015'!B256</f>
        <v>1336</v>
      </c>
      <c r="C256" s="754">
        <f>'Func Future Subs 2015'!C256</f>
        <v>240</v>
      </c>
      <c r="D256" s="754">
        <f>'Func Future Subs 2015'!D256</f>
        <v>25</v>
      </c>
      <c r="E256" s="754" t="str">
        <f>'Func Future Subs 2015'!E256</f>
        <v>255S</v>
      </c>
      <c r="F256" s="754">
        <f>'Func Future Subs 2015'!F256</f>
        <v>799095.74890742893</v>
      </c>
      <c r="G256" s="754" t="str">
        <f>'Func Future Subs 2015'!G256</f>
        <v>AltaLink</v>
      </c>
      <c r="H256" s="754">
        <f>'Func Future Subs 2015'!H256</f>
        <v>2018</v>
      </c>
      <c r="I256" s="306">
        <f>+IF($H256=I$2,VLOOKUP($G256,Depreciation!$A$14:$L$18,7,FALSE)/2,IF($H256&lt;I$2,VLOOKUP($G256,Depreciation!$A$14:$L$18,7,FALSE),0))</f>
        <v>0</v>
      </c>
      <c r="J256" s="306">
        <f>+IF($H256=J$2,VLOOKUP($G256,Depreciation!$A$14:$L$18,8,FALSE)/2,IF($H256&lt;J$2,VLOOKUP($G256,Depreciation!$A$14:$L$18,8,FALSE),0))</f>
        <v>0</v>
      </c>
      <c r="K256" s="306">
        <f>+IF($H256=K$2,VLOOKUP($G256,Depreciation!$A$14:$L$18,9,FALSE)/2,IF($H256&lt;K$2,VLOOKUP($G256,Depreciation!$A$14:$L$18,9,FALSE),0))</f>
        <v>0</v>
      </c>
      <c r="L256" s="306">
        <f>+IF($H256=L$2,VLOOKUP($G256,Depreciation!$A$14:$L$18,10,FALSE)/2,IF($H256&lt;L$2,VLOOKUP($G256,Depreciation!$A$14:$L$18,10,FALSE),0))</f>
        <v>1.671703928371859E-2</v>
      </c>
      <c r="M256" s="306">
        <f>+IF($H256=M$2,VLOOKUP($G256,Depreciation!$A$14:$L$18,11,FALSE)/2,IF($H256&lt;M$2,VLOOKUP($G256,Depreciation!$A$14:$L$18,11,FALSE),0))</f>
        <v>3.343407856743718E-2</v>
      </c>
      <c r="N256" s="306">
        <f>+IF($H256=N$2,VLOOKUP($G256,Depreciation!$A$14:$L$18,12,FALSE)/2,IF($H256&lt;N$2,VLOOKUP($G256,Depreciation!$A$14:$L$18,12,FALSE),0))</f>
        <v>3.343407856743718E-2</v>
      </c>
      <c r="O256" s="307">
        <f t="shared" si="25"/>
        <v>0</v>
      </c>
      <c r="P256" s="732">
        <f>'Func Future Subs 2015'!P256</f>
        <v>0</v>
      </c>
      <c r="Q256" s="732">
        <f>'Func Future Subs 2015'!Q256</f>
        <v>1</v>
      </c>
      <c r="R256" s="732">
        <f>'Func Future Subs 2015'!R256</f>
        <v>0</v>
      </c>
      <c r="S256" s="735">
        <f t="shared" si="26"/>
        <v>0</v>
      </c>
      <c r="T256" s="735">
        <f t="shared" si="27"/>
        <v>0</v>
      </c>
      <c r="U256" s="735">
        <f t="shared" si="28"/>
        <v>0</v>
      </c>
      <c r="V256" s="736">
        <f t="shared" si="29"/>
        <v>0</v>
      </c>
      <c r="W256" s="735">
        <f t="shared" si="30"/>
        <v>0</v>
      </c>
      <c r="X256" s="737">
        <f t="shared" si="31"/>
        <v>0</v>
      </c>
      <c r="Y256" s="738">
        <f t="shared" si="32"/>
        <v>0</v>
      </c>
    </row>
    <row r="257" spans="1:25">
      <c r="A257" s="754" t="str">
        <f>'Func Future Subs 2015'!A257</f>
        <v>West Brooks 28S_(v1)</v>
      </c>
      <c r="B257" s="754">
        <f>'Func Future Subs 2015'!B257</f>
        <v>1336</v>
      </c>
      <c r="C257" s="754">
        <f>'Func Future Subs 2015'!C257</f>
        <v>240</v>
      </c>
      <c r="D257" s="754">
        <f>'Func Future Subs 2015'!D257</f>
        <v>25</v>
      </c>
      <c r="E257" s="754" t="str">
        <f>'Func Future Subs 2015'!E257</f>
        <v>28S</v>
      </c>
      <c r="F257" s="754">
        <f>'Func Future Subs 2015'!F257</f>
        <v>407420.73897496995</v>
      </c>
      <c r="G257" s="754" t="str">
        <f>'Func Future Subs 2015'!G257</f>
        <v>AltaLink</v>
      </c>
      <c r="H257" s="754">
        <f>'Func Future Subs 2015'!H257</f>
        <v>2018</v>
      </c>
      <c r="I257" s="306">
        <f>+IF($H257=I$2,VLOOKUP($G257,Depreciation!$A$14:$L$18,7,FALSE)/2,IF($H257&lt;I$2,VLOOKUP($G257,Depreciation!$A$14:$L$18,7,FALSE),0))</f>
        <v>0</v>
      </c>
      <c r="J257" s="306">
        <f>+IF($H257=J$2,VLOOKUP($G257,Depreciation!$A$14:$L$18,8,FALSE)/2,IF($H257&lt;J$2,VLOOKUP($G257,Depreciation!$A$14:$L$18,8,FALSE),0))</f>
        <v>0</v>
      </c>
      <c r="K257" s="306">
        <f>+IF($H257=K$2,VLOOKUP($G257,Depreciation!$A$14:$L$18,9,FALSE)/2,IF($H257&lt;K$2,VLOOKUP($G257,Depreciation!$A$14:$L$18,9,FALSE),0))</f>
        <v>0</v>
      </c>
      <c r="L257" s="306">
        <f>+IF($H257=L$2,VLOOKUP($G257,Depreciation!$A$14:$L$18,10,FALSE)/2,IF($H257&lt;L$2,VLOOKUP($G257,Depreciation!$A$14:$L$18,10,FALSE),0))</f>
        <v>1.671703928371859E-2</v>
      </c>
      <c r="M257" s="306">
        <f>+IF($H257=M$2,VLOOKUP($G257,Depreciation!$A$14:$L$18,11,FALSE)/2,IF($H257&lt;M$2,VLOOKUP($G257,Depreciation!$A$14:$L$18,11,FALSE),0))</f>
        <v>3.343407856743718E-2</v>
      </c>
      <c r="N257" s="306">
        <f>+IF($H257=N$2,VLOOKUP($G257,Depreciation!$A$14:$L$18,12,FALSE)/2,IF($H257&lt;N$2,VLOOKUP($G257,Depreciation!$A$14:$L$18,12,FALSE),0))</f>
        <v>3.343407856743718E-2</v>
      </c>
      <c r="O257" s="307">
        <f t="shared" si="25"/>
        <v>0</v>
      </c>
      <c r="P257" s="732">
        <f>'Func Future Subs 2015'!P257</f>
        <v>0</v>
      </c>
      <c r="Q257" s="732">
        <f>'Func Future Subs 2015'!Q257</f>
        <v>1</v>
      </c>
      <c r="R257" s="732">
        <f>'Func Future Subs 2015'!R257</f>
        <v>0</v>
      </c>
      <c r="S257" s="735">
        <f t="shared" si="26"/>
        <v>0</v>
      </c>
      <c r="T257" s="735">
        <f t="shared" si="27"/>
        <v>0</v>
      </c>
      <c r="U257" s="735">
        <f t="shared" si="28"/>
        <v>0</v>
      </c>
      <c r="V257" s="736">
        <f t="shared" si="29"/>
        <v>0</v>
      </c>
      <c r="W257" s="735">
        <f t="shared" si="30"/>
        <v>0</v>
      </c>
      <c r="X257" s="737">
        <f t="shared" si="31"/>
        <v>0</v>
      </c>
      <c r="Y257" s="738">
        <f t="shared" si="32"/>
        <v>0</v>
      </c>
    </row>
    <row r="258" spans="1:25">
      <c r="A258" s="754" t="str">
        <f>'Func Future Subs 2015'!A258</f>
        <v>Castle Rock Ridge 205S</v>
      </c>
      <c r="B258" s="754">
        <f>'Func Future Subs 2015'!B258</f>
        <v>1343</v>
      </c>
      <c r="C258" s="754">
        <f>'Func Future Subs 2015'!C258</f>
        <v>240</v>
      </c>
      <c r="D258" s="754">
        <f>'Func Future Subs 2015'!D258</f>
        <v>25</v>
      </c>
      <c r="E258" s="754" t="str">
        <f>'Func Future Subs 2015'!E258</f>
        <v>205S</v>
      </c>
      <c r="F258" s="754">
        <f>'Func Future Subs 2015'!F258</f>
        <v>296511.62301019125</v>
      </c>
      <c r="G258" s="754" t="str">
        <f>'Func Future Subs 2015'!G258</f>
        <v>AltaLink</v>
      </c>
      <c r="H258" s="754">
        <f>'Func Future Subs 2015'!H258</f>
        <v>2015</v>
      </c>
      <c r="I258" s="306">
        <f>+IF($H258=I$2,VLOOKUP($G258,Depreciation!$A$14:$L$18,7,FALSE)/2,IF($H258&lt;I$2,VLOOKUP($G258,Depreciation!$A$14:$L$18,7,FALSE),0))</f>
        <v>1.7228380322441735E-2</v>
      </c>
      <c r="J258" s="306">
        <f>+IF($H258=J$2,VLOOKUP($G258,Depreciation!$A$14:$L$18,8,FALSE)/2,IF($H258&lt;J$2,VLOOKUP($G258,Depreciation!$A$14:$L$18,8,FALSE),0))</f>
        <v>3.343407856743718E-2</v>
      </c>
      <c r="K258" s="306">
        <f>+IF($H258=K$2,VLOOKUP($G258,Depreciation!$A$14:$L$18,9,FALSE)/2,IF($H258&lt;K$2,VLOOKUP($G258,Depreciation!$A$14:$L$18,9,FALSE),0))</f>
        <v>3.343407856743718E-2</v>
      </c>
      <c r="L258" s="306">
        <f>+IF($H258=L$2,VLOOKUP($G258,Depreciation!$A$14:$L$18,10,FALSE)/2,IF($H258&lt;L$2,VLOOKUP($G258,Depreciation!$A$14:$L$18,10,FALSE),0))</f>
        <v>3.343407856743718E-2</v>
      </c>
      <c r="M258" s="306">
        <f>+IF($H258=M$2,VLOOKUP($G258,Depreciation!$A$14:$L$18,11,FALSE)/2,IF($H258&lt;M$2,VLOOKUP($G258,Depreciation!$A$14:$L$18,11,FALSE),0))</f>
        <v>3.343407856743718E-2</v>
      </c>
      <c r="N258" s="306">
        <f>+IF($H258=N$2,VLOOKUP($G258,Depreciation!$A$14:$L$18,12,FALSE)/2,IF($H258&lt;N$2,VLOOKUP($G258,Depreciation!$A$14:$L$18,12,FALSE),0))</f>
        <v>3.343407856743718E-2</v>
      </c>
      <c r="O258" s="307">
        <f t="shared" si="25"/>
        <v>272243.35396234202</v>
      </c>
      <c r="P258" s="732">
        <f>'Func Future Subs 2015'!P258</f>
        <v>0.99826388888888884</v>
      </c>
      <c r="Q258" s="732">
        <f>'Func Future Subs 2015'!Q258</f>
        <v>1.7361111111111112E-3</v>
      </c>
      <c r="R258" s="732">
        <f>'Func Future Subs 2015'!R258</f>
        <v>4.9222778630841901E-17</v>
      </c>
      <c r="S258" s="735">
        <f t="shared" si="26"/>
        <v>271770.70925060182</v>
      </c>
      <c r="T258" s="735">
        <f t="shared" si="27"/>
        <v>472.64471174017717</v>
      </c>
      <c r="U258" s="735">
        <f t="shared" si="28"/>
        <v>1.3400574345806297E-11</v>
      </c>
      <c r="V258" s="736">
        <f t="shared" si="29"/>
        <v>0</v>
      </c>
      <c r="W258" s="735">
        <f t="shared" si="30"/>
        <v>271770.70925060182</v>
      </c>
      <c r="X258" s="737">
        <f t="shared" si="31"/>
        <v>0</v>
      </c>
      <c r="Y258" s="738">
        <f t="shared" si="32"/>
        <v>472.64471174019059</v>
      </c>
    </row>
    <row r="259" spans="1:25">
      <c r="A259" s="754" t="str">
        <f>'Func Future Subs 2015'!A259</f>
        <v>Fidler 312S Stage 1</v>
      </c>
      <c r="B259" s="754">
        <f>'Func Future Subs 2015'!B259</f>
        <v>1343</v>
      </c>
      <c r="C259" s="754">
        <f>'Func Future Subs 2015'!C259</f>
        <v>240</v>
      </c>
      <c r="D259" s="754">
        <f>'Func Future Subs 2015'!D259</f>
        <v>138</v>
      </c>
      <c r="E259" s="754" t="str">
        <f>'Func Future Subs 2015'!E259</f>
        <v>312S</v>
      </c>
      <c r="F259" s="754">
        <f>'Func Future Subs 2015'!F259</f>
        <v>31755235.281731669</v>
      </c>
      <c r="G259" s="754" t="str">
        <f>'Func Future Subs 2015'!G259</f>
        <v>AltaLink</v>
      </c>
      <c r="H259" s="754">
        <f>'Func Future Subs 2015'!H259</f>
        <v>2019</v>
      </c>
      <c r="I259" s="306">
        <f>+IF($H259=I$2,VLOOKUP($G259,Depreciation!$A$14:$L$18,7,FALSE)/2,IF($H259&lt;I$2,VLOOKUP($G259,Depreciation!$A$14:$L$18,7,FALSE),0))</f>
        <v>0</v>
      </c>
      <c r="J259" s="306">
        <f>+IF($H259=J$2,VLOOKUP($G259,Depreciation!$A$14:$L$18,8,FALSE)/2,IF($H259&lt;J$2,VLOOKUP($G259,Depreciation!$A$14:$L$18,8,FALSE),0))</f>
        <v>0</v>
      </c>
      <c r="K259" s="306">
        <f>+IF($H259=K$2,VLOOKUP($G259,Depreciation!$A$14:$L$18,9,FALSE)/2,IF($H259&lt;K$2,VLOOKUP($G259,Depreciation!$A$14:$L$18,9,FALSE),0))</f>
        <v>0</v>
      </c>
      <c r="L259" s="306">
        <f>+IF($H259=L$2,VLOOKUP($G259,Depreciation!$A$14:$L$18,10,FALSE)/2,IF($H259&lt;L$2,VLOOKUP($G259,Depreciation!$A$14:$L$18,10,FALSE),0))</f>
        <v>0</v>
      </c>
      <c r="M259" s="306">
        <f>+IF($H259=M$2,VLOOKUP($G259,Depreciation!$A$14:$L$18,11,FALSE)/2,IF($H259&lt;M$2,VLOOKUP($G259,Depreciation!$A$14:$L$18,11,FALSE),0))</f>
        <v>1.671703928371859E-2</v>
      </c>
      <c r="N259" s="306">
        <f>+IF($H259=N$2,VLOOKUP($G259,Depreciation!$A$14:$L$18,12,FALSE)/2,IF($H259&lt;N$2,VLOOKUP($G259,Depreciation!$A$14:$L$18,12,FALSE),0))</f>
        <v>3.343407856743718E-2</v>
      </c>
      <c r="O259" s="307">
        <f t="shared" si="25"/>
        <v>0</v>
      </c>
      <c r="P259" s="732">
        <f>'Func Future Subs 2015'!P259</f>
        <v>0</v>
      </c>
      <c r="Q259" s="732">
        <f>'Func Future Subs 2015'!Q259</f>
        <v>0</v>
      </c>
      <c r="R259" s="732">
        <f>'Func Future Subs 2015'!R259</f>
        <v>1</v>
      </c>
      <c r="S259" s="735">
        <f t="shared" si="26"/>
        <v>0</v>
      </c>
      <c r="T259" s="735">
        <f t="shared" si="27"/>
        <v>0</v>
      </c>
      <c r="U259" s="735">
        <f t="shared" si="28"/>
        <v>0</v>
      </c>
      <c r="V259" s="736">
        <f t="shared" si="29"/>
        <v>0</v>
      </c>
      <c r="W259" s="735">
        <f t="shared" si="30"/>
        <v>0</v>
      </c>
      <c r="X259" s="737">
        <f t="shared" si="31"/>
        <v>0</v>
      </c>
      <c r="Y259" s="738">
        <f t="shared" si="32"/>
        <v>0</v>
      </c>
    </row>
    <row r="260" spans="1:25">
      <c r="A260" s="754" t="str">
        <f>'Func Future Subs 2015'!A260</f>
        <v>Fidler 312S stage 2</v>
      </c>
      <c r="B260" s="754">
        <f>'Func Future Subs 2015'!B260</f>
        <v>1343</v>
      </c>
      <c r="C260" s="754">
        <f>'Func Future Subs 2015'!C260</f>
        <v>240</v>
      </c>
      <c r="D260" s="754">
        <f>'Func Future Subs 2015'!D260</f>
        <v>138</v>
      </c>
      <c r="E260" s="754" t="str">
        <f>'Func Future Subs 2015'!E260</f>
        <v>312S</v>
      </c>
      <c r="F260" s="754">
        <f>'Func Future Subs 2015'!F260</f>
        <v>9276667.4068498276</v>
      </c>
      <c r="G260" s="754" t="str">
        <f>'Func Future Subs 2015'!G260</f>
        <v>AltaLink</v>
      </c>
      <c r="H260" s="754">
        <f>'Func Future Subs 2015'!H260</f>
        <v>2019</v>
      </c>
      <c r="I260" s="306">
        <f>+IF($H260=I$2,VLOOKUP($G260,Depreciation!$A$14:$L$18,7,FALSE)/2,IF($H260&lt;I$2,VLOOKUP($G260,Depreciation!$A$14:$L$18,7,FALSE),0))</f>
        <v>0</v>
      </c>
      <c r="J260" s="306">
        <f>+IF($H260=J$2,VLOOKUP($G260,Depreciation!$A$14:$L$18,8,FALSE)/2,IF($H260&lt;J$2,VLOOKUP($G260,Depreciation!$A$14:$L$18,8,FALSE),0))</f>
        <v>0</v>
      </c>
      <c r="K260" s="306">
        <f>+IF($H260=K$2,VLOOKUP($G260,Depreciation!$A$14:$L$18,9,FALSE)/2,IF($H260&lt;K$2,VLOOKUP($G260,Depreciation!$A$14:$L$18,9,FALSE),0))</f>
        <v>0</v>
      </c>
      <c r="L260" s="306">
        <f>+IF($H260=L$2,VLOOKUP($G260,Depreciation!$A$14:$L$18,10,FALSE)/2,IF($H260&lt;L$2,VLOOKUP($G260,Depreciation!$A$14:$L$18,10,FALSE),0))</f>
        <v>0</v>
      </c>
      <c r="M260" s="306">
        <f>+IF($H260=M$2,VLOOKUP($G260,Depreciation!$A$14:$L$18,11,FALSE)/2,IF($H260&lt;M$2,VLOOKUP($G260,Depreciation!$A$14:$L$18,11,FALSE),0))</f>
        <v>1.671703928371859E-2</v>
      </c>
      <c r="N260" s="306">
        <f>+IF($H260=N$2,VLOOKUP($G260,Depreciation!$A$14:$L$18,12,FALSE)/2,IF($H260&lt;N$2,VLOOKUP($G260,Depreciation!$A$14:$L$18,12,FALSE),0))</f>
        <v>3.343407856743718E-2</v>
      </c>
      <c r="O260" s="307">
        <f t="shared" ref="O260:O323" si="33">IF(H260&lt;=2017,F260*(1-I260)*(1-J260)*(1-K260),0)</f>
        <v>0</v>
      </c>
      <c r="P260" s="732">
        <f>'Func Future Subs 2015'!P260</f>
        <v>0</v>
      </c>
      <c r="Q260" s="732">
        <f>'Func Future Subs 2015'!Q260</f>
        <v>0</v>
      </c>
      <c r="R260" s="732">
        <f>'Func Future Subs 2015'!R260</f>
        <v>1</v>
      </c>
      <c r="S260" s="735">
        <f t="shared" ref="S260:S323" si="34">+P260*$O260</f>
        <v>0</v>
      </c>
      <c r="T260" s="735">
        <f t="shared" ref="T260:T323" si="35">+Q260*$O260</f>
        <v>0</v>
      </c>
      <c r="U260" s="735">
        <f t="shared" ref="U260:U323" si="36">+R260*$O260</f>
        <v>0</v>
      </c>
      <c r="V260" s="736">
        <f t="shared" ref="V260:V323" si="37">IF(AND(R260=1,D260=0),O260,0)</f>
        <v>0</v>
      </c>
      <c r="W260" s="735">
        <f t="shared" ref="W260:W323" si="38">S260+IF(D260&gt;144,U260,0)</f>
        <v>0</v>
      </c>
      <c r="X260" s="737">
        <f t="shared" ref="X260:X323" si="39">IF(AND(D260&lt;=144,D260&gt;=69),U260,0)</f>
        <v>0</v>
      </c>
      <c r="Y260" s="738">
        <f t="shared" ref="Y260:Y323" si="40">T260+IF(AND(D260&lt;69,D260&gt;0),U260,0)</f>
        <v>0</v>
      </c>
    </row>
    <row r="261" spans="1:25">
      <c r="A261" s="754" t="str">
        <f>'Func Future Subs 2015'!A261</f>
        <v>Goose Lake 103S stage 1</v>
      </c>
      <c r="B261" s="754">
        <f>'Func Future Subs 2015'!B261</f>
        <v>1343</v>
      </c>
      <c r="C261" s="754">
        <f>'Func Future Subs 2015'!C261</f>
        <v>240</v>
      </c>
      <c r="D261" s="754">
        <f>'Func Future Subs 2015'!D261</f>
        <v>138</v>
      </c>
      <c r="E261" s="754" t="str">
        <f>'Func Future Subs 2015'!E261</f>
        <v>103S</v>
      </c>
      <c r="F261" s="754">
        <f>'Func Future Subs 2015'!F261</f>
        <v>296511.62301019125</v>
      </c>
      <c r="G261" s="754" t="str">
        <f>'Func Future Subs 2015'!G261</f>
        <v>AltaLink</v>
      </c>
      <c r="H261" s="754">
        <f>'Func Future Subs 2015'!H261</f>
        <v>2019</v>
      </c>
      <c r="I261" s="306">
        <f>+IF($H261=I$2,VLOOKUP($G261,Depreciation!$A$14:$L$18,7,FALSE)/2,IF($H261&lt;I$2,VLOOKUP($G261,Depreciation!$A$14:$L$18,7,FALSE),0))</f>
        <v>0</v>
      </c>
      <c r="J261" s="306">
        <f>+IF($H261=J$2,VLOOKUP($G261,Depreciation!$A$14:$L$18,8,FALSE)/2,IF($H261&lt;J$2,VLOOKUP($G261,Depreciation!$A$14:$L$18,8,FALSE),0))</f>
        <v>0</v>
      </c>
      <c r="K261" s="306">
        <f>+IF($H261=K$2,VLOOKUP($G261,Depreciation!$A$14:$L$18,9,FALSE)/2,IF($H261&lt;K$2,VLOOKUP($G261,Depreciation!$A$14:$L$18,9,FALSE),0))</f>
        <v>0</v>
      </c>
      <c r="L261" s="306">
        <f>+IF($H261=L$2,VLOOKUP($G261,Depreciation!$A$14:$L$18,10,FALSE)/2,IF($H261&lt;L$2,VLOOKUP($G261,Depreciation!$A$14:$L$18,10,FALSE),0))</f>
        <v>0</v>
      </c>
      <c r="M261" s="306">
        <f>+IF($H261=M$2,VLOOKUP($G261,Depreciation!$A$14:$L$18,11,FALSE)/2,IF($H261&lt;M$2,VLOOKUP($G261,Depreciation!$A$14:$L$18,11,FALSE),0))</f>
        <v>1.671703928371859E-2</v>
      </c>
      <c r="N261" s="306">
        <f>+IF($H261=N$2,VLOOKUP($G261,Depreciation!$A$14:$L$18,12,FALSE)/2,IF($H261&lt;N$2,VLOOKUP($G261,Depreciation!$A$14:$L$18,12,FALSE),0))</f>
        <v>3.343407856743718E-2</v>
      </c>
      <c r="O261" s="307">
        <f t="shared" si="33"/>
        <v>0</v>
      </c>
      <c r="P261" s="732">
        <f>'Func Future Subs 2015'!P261</f>
        <v>0</v>
      </c>
      <c r="Q261" s="732">
        <f>'Func Future Subs 2015'!Q261</f>
        <v>0</v>
      </c>
      <c r="R261" s="732">
        <f>'Func Future Subs 2015'!R261</f>
        <v>1</v>
      </c>
      <c r="S261" s="735">
        <f t="shared" si="34"/>
        <v>0</v>
      </c>
      <c r="T261" s="735">
        <f t="shared" si="35"/>
        <v>0</v>
      </c>
      <c r="U261" s="735">
        <f t="shared" si="36"/>
        <v>0</v>
      </c>
      <c r="V261" s="736">
        <f t="shared" si="37"/>
        <v>0</v>
      </c>
      <c r="W261" s="735">
        <f t="shared" si="38"/>
        <v>0</v>
      </c>
      <c r="X261" s="737">
        <f t="shared" si="39"/>
        <v>0</v>
      </c>
      <c r="Y261" s="738">
        <f t="shared" si="40"/>
        <v>0</v>
      </c>
    </row>
    <row r="262" spans="1:25">
      <c r="A262" s="754" t="str">
        <f>'Func Future Subs 2015'!A262</f>
        <v>Goose Lake stage 2</v>
      </c>
      <c r="B262" s="754">
        <f>'Func Future Subs 2015'!B262</f>
        <v>1343</v>
      </c>
      <c r="C262" s="754">
        <f>'Func Future Subs 2015'!C262</f>
        <v>240</v>
      </c>
      <c r="D262" s="754">
        <f>'Func Future Subs 2015'!D262</f>
        <v>0</v>
      </c>
      <c r="E262" s="754">
        <f>'Func Future Subs 2015'!E262</f>
        <v>0</v>
      </c>
      <c r="F262" s="754">
        <f>'Func Future Subs 2015'!F262</f>
        <v>198194.95671810306</v>
      </c>
      <c r="G262" s="754" t="str">
        <f>'Func Future Subs 2015'!G262</f>
        <v>AltaLink</v>
      </c>
      <c r="H262" s="754">
        <f>'Func Future Subs 2015'!H262</f>
        <v>2019</v>
      </c>
      <c r="I262" s="306">
        <f>+IF($H262=I$2,VLOOKUP($G262,Depreciation!$A$14:$L$18,7,FALSE)/2,IF($H262&lt;I$2,VLOOKUP($G262,Depreciation!$A$14:$L$18,7,FALSE),0))</f>
        <v>0</v>
      </c>
      <c r="J262" s="306">
        <f>+IF($H262=J$2,VLOOKUP($G262,Depreciation!$A$14:$L$18,8,FALSE)/2,IF($H262&lt;J$2,VLOOKUP($G262,Depreciation!$A$14:$L$18,8,FALSE),0))</f>
        <v>0</v>
      </c>
      <c r="K262" s="306">
        <f>+IF($H262=K$2,VLOOKUP($G262,Depreciation!$A$14:$L$18,9,FALSE)/2,IF($H262&lt;K$2,VLOOKUP($G262,Depreciation!$A$14:$L$18,9,FALSE),0))</f>
        <v>0</v>
      </c>
      <c r="L262" s="306">
        <f>+IF($H262=L$2,VLOOKUP($G262,Depreciation!$A$14:$L$18,10,FALSE)/2,IF($H262&lt;L$2,VLOOKUP($G262,Depreciation!$A$14:$L$18,10,FALSE),0))</f>
        <v>0</v>
      </c>
      <c r="M262" s="306">
        <f>+IF($H262=M$2,VLOOKUP($G262,Depreciation!$A$14:$L$18,11,FALSE)/2,IF($H262&lt;M$2,VLOOKUP($G262,Depreciation!$A$14:$L$18,11,FALSE),0))</f>
        <v>1.671703928371859E-2</v>
      </c>
      <c r="N262" s="306">
        <f>+IF($H262=N$2,VLOOKUP($G262,Depreciation!$A$14:$L$18,12,FALSE)/2,IF($H262&lt;N$2,VLOOKUP($G262,Depreciation!$A$14:$L$18,12,FALSE),0))</f>
        <v>3.343407856743718E-2</v>
      </c>
      <c r="O262" s="307">
        <f t="shared" si="33"/>
        <v>0</v>
      </c>
      <c r="P262" s="732">
        <f>'Func Future Subs 2015'!P262</f>
        <v>0</v>
      </c>
      <c r="Q262" s="732">
        <f>'Func Future Subs 2015'!Q262</f>
        <v>0</v>
      </c>
      <c r="R262" s="732">
        <f>'Func Future Subs 2015'!R262</f>
        <v>1</v>
      </c>
      <c r="S262" s="735">
        <f t="shared" si="34"/>
        <v>0</v>
      </c>
      <c r="T262" s="735">
        <f t="shared" si="35"/>
        <v>0</v>
      </c>
      <c r="U262" s="735">
        <f t="shared" si="36"/>
        <v>0</v>
      </c>
      <c r="V262" s="736">
        <f t="shared" si="37"/>
        <v>0</v>
      </c>
      <c r="W262" s="735">
        <f t="shared" si="38"/>
        <v>0</v>
      </c>
      <c r="X262" s="737">
        <f t="shared" si="39"/>
        <v>0</v>
      </c>
      <c r="Y262" s="738">
        <f t="shared" si="40"/>
        <v>0</v>
      </c>
    </row>
    <row r="263" spans="1:25">
      <c r="A263" s="754" t="str">
        <f>'Func Future Subs 2015'!A263</f>
        <v>Oldman River 806S stage 2</v>
      </c>
      <c r="B263" s="754">
        <f>'Func Future Subs 2015'!B263</f>
        <v>1343</v>
      </c>
      <c r="C263" s="754">
        <f>'Func Future Subs 2015'!C263</f>
        <v>138</v>
      </c>
      <c r="D263" s="754">
        <f>'Func Future Subs 2015'!D263</f>
        <v>25</v>
      </c>
      <c r="E263" s="754" t="str">
        <f>'Func Future Subs 2015'!E263</f>
        <v>806S</v>
      </c>
      <c r="F263" s="754">
        <f>'Func Future Subs 2015'!F263</f>
        <v>198194.95671810306</v>
      </c>
      <c r="G263" s="754" t="str">
        <f>'Func Future Subs 2015'!G263</f>
        <v>AltaLink</v>
      </c>
      <c r="H263" s="754">
        <f>'Func Future Subs 2015'!H263</f>
        <v>2015</v>
      </c>
      <c r="I263" s="306">
        <f>+IF($H263=I$2,VLOOKUP($G263,Depreciation!$A$14:$L$18,7,FALSE)/2,IF($H263&lt;I$2,VLOOKUP($G263,Depreciation!$A$14:$L$18,7,FALSE),0))</f>
        <v>1.7228380322441735E-2</v>
      </c>
      <c r="J263" s="306">
        <f>+IF($H263=J$2,VLOOKUP($G263,Depreciation!$A$14:$L$18,8,FALSE)/2,IF($H263&lt;J$2,VLOOKUP($G263,Depreciation!$A$14:$L$18,8,FALSE),0))</f>
        <v>3.343407856743718E-2</v>
      </c>
      <c r="K263" s="306">
        <f>+IF($H263=K$2,VLOOKUP($G263,Depreciation!$A$14:$L$18,9,FALSE)/2,IF($H263&lt;K$2,VLOOKUP($G263,Depreciation!$A$14:$L$18,9,FALSE),0))</f>
        <v>3.343407856743718E-2</v>
      </c>
      <c r="L263" s="306">
        <f>+IF($H263=L$2,VLOOKUP($G263,Depreciation!$A$14:$L$18,10,FALSE)/2,IF($H263&lt;L$2,VLOOKUP($G263,Depreciation!$A$14:$L$18,10,FALSE),0))</f>
        <v>3.343407856743718E-2</v>
      </c>
      <c r="M263" s="306">
        <f>+IF($H263=M$2,VLOOKUP($G263,Depreciation!$A$14:$L$18,11,FALSE)/2,IF($H263&lt;M$2,VLOOKUP($G263,Depreciation!$A$14:$L$18,11,FALSE),0))</f>
        <v>3.343407856743718E-2</v>
      </c>
      <c r="N263" s="306">
        <f>+IF($H263=N$2,VLOOKUP($G263,Depreciation!$A$14:$L$18,12,FALSE)/2,IF($H263&lt;N$2,VLOOKUP($G263,Depreciation!$A$14:$L$18,12,FALSE),0))</f>
        <v>3.343407856743718E-2</v>
      </c>
      <c r="O263" s="307">
        <f t="shared" si="33"/>
        <v>181973.50649388559</v>
      </c>
      <c r="P263" s="732">
        <f>'Func Future Subs 2015'!P263</f>
        <v>0.96969696969696972</v>
      </c>
      <c r="Q263" s="732">
        <f>'Func Future Subs 2015'!Q263</f>
        <v>3.0303030303030304E-2</v>
      </c>
      <c r="R263" s="732">
        <f>'Func Future Subs 2015'!R263</f>
        <v>-2.7755575615628914E-17</v>
      </c>
      <c r="S263" s="735">
        <f t="shared" si="34"/>
        <v>176459.1578122527</v>
      </c>
      <c r="T263" s="735">
        <f t="shared" si="35"/>
        <v>5514.3486816328968</v>
      </c>
      <c r="U263" s="735">
        <f t="shared" si="36"/>
        <v>-5.0507794195321807E-12</v>
      </c>
      <c r="V263" s="736">
        <f t="shared" si="37"/>
        <v>0</v>
      </c>
      <c r="W263" s="735">
        <f t="shared" si="38"/>
        <v>176459.1578122527</v>
      </c>
      <c r="X263" s="737">
        <f t="shared" si="39"/>
        <v>0</v>
      </c>
      <c r="Y263" s="738">
        <f t="shared" si="40"/>
        <v>5514.3486816328914</v>
      </c>
    </row>
    <row r="264" spans="1:25">
      <c r="A264" s="754" t="str">
        <f>'Func Future Subs 2015'!A264</f>
        <v>Oldman River Dam 806S stage 1</v>
      </c>
      <c r="B264" s="754">
        <f>'Func Future Subs 2015'!B264</f>
        <v>1343</v>
      </c>
      <c r="C264" s="754">
        <f>'Func Future Subs 2015'!C264</f>
        <v>138</v>
      </c>
      <c r="D264" s="754">
        <f>'Func Future Subs 2015'!D264</f>
        <v>25</v>
      </c>
      <c r="E264" s="754" t="str">
        <f>'Func Future Subs 2015'!E264</f>
        <v>806S</v>
      </c>
      <c r="F264" s="754">
        <f>'Func Future Subs 2015'!F264</f>
        <v>160679.48286027124</v>
      </c>
      <c r="G264" s="754" t="str">
        <f>'Func Future Subs 2015'!G264</f>
        <v>AltaLink</v>
      </c>
      <c r="H264" s="754">
        <f>'Func Future Subs 2015'!H264</f>
        <v>2015</v>
      </c>
      <c r="I264" s="306">
        <f>+IF($H264=I$2,VLOOKUP($G264,Depreciation!$A$14:$L$18,7,FALSE)/2,IF($H264&lt;I$2,VLOOKUP($G264,Depreciation!$A$14:$L$18,7,FALSE),0))</f>
        <v>1.7228380322441735E-2</v>
      </c>
      <c r="J264" s="306">
        <f>+IF($H264=J$2,VLOOKUP($G264,Depreciation!$A$14:$L$18,8,FALSE)/2,IF($H264&lt;J$2,VLOOKUP($G264,Depreciation!$A$14:$L$18,8,FALSE),0))</f>
        <v>3.343407856743718E-2</v>
      </c>
      <c r="K264" s="306">
        <f>+IF($H264=K$2,VLOOKUP($G264,Depreciation!$A$14:$L$18,9,FALSE)/2,IF($H264&lt;K$2,VLOOKUP($G264,Depreciation!$A$14:$L$18,9,FALSE),0))</f>
        <v>3.343407856743718E-2</v>
      </c>
      <c r="L264" s="306">
        <f>+IF($H264=L$2,VLOOKUP($G264,Depreciation!$A$14:$L$18,10,FALSE)/2,IF($H264&lt;L$2,VLOOKUP($G264,Depreciation!$A$14:$L$18,10,FALSE),0))</f>
        <v>3.343407856743718E-2</v>
      </c>
      <c r="M264" s="306">
        <f>+IF($H264=M$2,VLOOKUP($G264,Depreciation!$A$14:$L$18,11,FALSE)/2,IF($H264&lt;M$2,VLOOKUP($G264,Depreciation!$A$14:$L$18,11,FALSE),0))</f>
        <v>3.343407856743718E-2</v>
      </c>
      <c r="N264" s="306">
        <f>+IF($H264=N$2,VLOOKUP($G264,Depreciation!$A$14:$L$18,12,FALSE)/2,IF($H264&lt;N$2,VLOOKUP($G264,Depreciation!$A$14:$L$18,12,FALSE),0))</f>
        <v>3.343407856743718E-2</v>
      </c>
      <c r="O264" s="307">
        <f t="shared" si="33"/>
        <v>147528.52142093398</v>
      </c>
      <c r="P264" s="732">
        <f>'Func Future Subs 2015'!P264</f>
        <v>0.96969696969696972</v>
      </c>
      <c r="Q264" s="732">
        <f>'Func Future Subs 2015'!Q264</f>
        <v>3.0303030303030304E-2</v>
      </c>
      <c r="R264" s="732">
        <f>'Func Future Subs 2015'!R264</f>
        <v>-2.7755575615628914E-17</v>
      </c>
      <c r="S264" s="735">
        <f t="shared" si="34"/>
        <v>143057.96016575416</v>
      </c>
      <c r="T264" s="735">
        <f t="shared" si="35"/>
        <v>4470.5612551798176</v>
      </c>
      <c r="U264" s="735">
        <f t="shared" si="36"/>
        <v>-4.0947390317606629E-12</v>
      </c>
      <c r="V264" s="736">
        <f t="shared" si="37"/>
        <v>0</v>
      </c>
      <c r="W264" s="735">
        <f t="shared" si="38"/>
        <v>143057.96016575416</v>
      </c>
      <c r="X264" s="737">
        <f t="shared" si="39"/>
        <v>0</v>
      </c>
      <c r="Y264" s="738">
        <f t="shared" si="40"/>
        <v>4470.5612551798131</v>
      </c>
    </row>
    <row r="265" spans="1:25">
      <c r="A265" s="754" t="str">
        <f>'Func Future Subs 2015'!A265</f>
        <v>Summerview 354S stage 2</v>
      </c>
      <c r="B265" s="754">
        <f>'Func Future Subs 2015'!B265</f>
        <v>1343</v>
      </c>
      <c r="C265" s="754">
        <f>'Func Future Subs 2015'!C265</f>
        <v>138</v>
      </c>
      <c r="D265" s="754">
        <f>'Func Future Subs 2015'!D265</f>
        <v>25</v>
      </c>
      <c r="E265" s="754" t="str">
        <f>'Func Future Subs 2015'!E265</f>
        <v>354S</v>
      </c>
      <c r="F265" s="754">
        <f>'Func Future Subs 2015'!F265</f>
        <v>198194.95671810306</v>
      </c>
      <c r="G265" s="754" t="str">
        <f>'Func Future Subs 2015'!G265</f>
        <v>AltaLink</v>
      </c>
      <c r="H265" s="754">
        <f>'Func Future Subs 2015'!H265</f>
        <v>2015</v>
      </c>
      <c r="I265" s="306">
        <f>+IF($H265=I$2,VLOOKUP($G265,Depreciation!$A$14:$L$18,7,FALSE)/2,IF($H265&lt;I$2,VLOOKUP($G265,Depreciation!$A$14:$L$18,7,FALSE),0))</f>
        <v>1.7228380322441735E-2</v>
      </c>
      <c r="J265" s="306">
        <f>+IF($H265=J$2,VLOOKUP($G265,Depreciation!$A$14:$L$18,8,FALSE)/2,IF($H265&lt;J$2,VLOOKUP($G265,Depreciation!$A$14:$L$18,8,FALSE),0))</f>
        <v>3.343407856743718E-2</v>
      </c>
      <c r="K265" s="306">
        <f>+IF($H265=K$2,VLOOKUP($G265,Depreciation!$A$14:$L$18,9,FALSE)/2,IF($H265&lt;K$2,VLOOKUP($G265,Depreciation!$A$14:$L$18,9,FALSE),0))</f>
        <v>3.343407856743718E-2</v>
      </c>
      <c r="L265" s="306">
        <f>+IF($H265=L$2,VLOOKUP($G265,Depreciation!$A$14:$L$18,10,FALSE)/2,IF($H265&lt;L$2,VLOOKUP($G265,Depreciation!$A$14:$L$18,10,FALSE),0))</f>
        <v>3.343407856743718E-2</v>
      </c>
      <c r="M265" s="306">
        <f>+IF($H265=M$2,VLOOKUP($G265,Depreciation!$A$14:$L$18,11,FALSE)/2,IF($H265&lt;M$2,VLOOKUP($G265,Depreciation!$A$14:$L$18,11,FALSE),0))</f>
        <v>3.343407856743718E-2</v>
      </c>
      <c r="N265" s="306">
        <f>+IF($H265=N$2,VLOOKUP($G265,Depreciation!$A$14:$L$18,12,FALSE)/2,IF($H265&lt;N$2,VLOOKUP($G265,Depreciation!$A$14:$L$18,12,FALSE),0))</f>
        <v>3.343407856743718E-2</v>
      </c>
      <c r="O265" s="307">
        <f t="shared" si="33"/>
        <v>181973.50649388559</v>
      </c>
      <c r="P265" s="732">
        <f>'Func Future Subs 2015'!P265</f>
        <v>0.9882352941176471</v>
      </c>
      <c r="Q265" s="732">
        <f>'Func Future Subs 2015'!Q265</f>
        <v>1.1764705882352941E-2</v>
      </c>
      <c r="R265" s="732">
        <f>'Func Future Subs 2015'!R265</f>
        <v>-4.163336342344337E-17</v>
      </c>
      <c r="S265" s="735">
        <f t="shared" si="34"/>
        <v>179832.64171160461</v>
      </c>
      <c r="T265" s="735">
        <f t="shared" si="35"/>
        <v>2140.8647822810071</v>
      </c>
      <c r="U265" s="735">
        <f t="shared" si="36"/>
        <v>-7.5761691292982719E-12</v>
      </c>
      <c r="V265" s="736">
        <f t="shared" si="37"/>
        <v>0</v>
      </c>
      <c r="W265" s="735">
        <f t="shared" si="38"/>
        <v>179832.64171160461</v>
      </c>
      <c r="X265" s="737">
        <f t="shared" si="39"/>
        <v>0</v>
      </c>
      <c r="Y265" s="738">
        <f t="shared" si="40"/>
        <v>2140.8647822809994</v>
      </c>
    </row>
    <row r="266" spans="1:25">
      <c r="A266" s="754" t="str">
        <f>'Func Future Subs 2015'!A266</f>
        <v>Summerview 806S stage 1</v>
      </c>
      <c r="B266" s="754">
        <f>'Func Future Subs 2015'!B266</f>
        <v>1343</v>
      </c>
      <c r="C266" s="754">
        <f>'Func Future Subs 2015'!C266</f>
        <v>138</v>
      </c>
      <c r="D266" s="754">
        <f>'Func Future Subs 2015'!D266</f>
        <v>25</v>
      </c>
      <c r="E266" s="754" t="str">
        <f>'Func Future Subs 2015'!E266</f>
        <v>806S</v>
      </c>
      <c r="F266" s="754">
        <f>'Func Future Subs 2015'!F266</f>
        <v>183870.33605659907</v>
      </c>
      <c r="G266" s="754" t="str">
        <f>'Func Future Subs 2015'!G266</f>
        <v>AltaLink</v>
      </c>
      <c r="H266" s="754">
        <f>'Func Future Subs 2015'!H266</f>
        <v>2015</v>
      </c>
      <c r="I266" s="306">
        <f>+IF($H266=I$2,VLOOKUP($G266,Depreciation!$A$14:$L$18,7,FALSE)/2,IF($H266&lt;I$2,VLOOKUP($G266,Depreciation!$A$14:$L$18,7,FALSE),0))</f>
        <v>1.7228380322441735E-2</v>
      </c>
      <c r="J266" s="306">
        <f>+IF($H266=J$2,VLOOKUP($G266,Depreciation!$A$14:$L$18,8,FALSE)/2,IF($H266&lt;J$2,VLOOKUP($G266,Depreciation!$A$14:$L$18,8,FALSE),0))</f>
        <v>3.343407856743718E-2</v>
      </c>
      <c r="K266" s="306">
        <f>+IF($H266=K$2,VLOOKUP($G266,Depreciation!$A$14:$L$18,9,FALSE)/2,IF($H266&lt;K$2,VLOOKUP($G266,Depreciation!$A$14:$L$18,9,FALSE),0))</f>
        <v>3.343407856743718E-2</v>
      </c>
      <c r="L266" s="306">
        <f>+IF($H266=L$2,VLOOKUP($G266,Depreciation!$A$14:$L$18,10,FALSE)/2,IF($H266&lt;L$2,VLOOKUP($G266,Depreciation!$A$14:$L$18,10,FALSE),0))</f>
        <v>3.343407856743718E-2</v>
      </c>
      <c r="M266" s="306">
        <f>+IF($H266=M$2,VLOOKUP($G266,Depreciation!$A$14:$L$18,11,FALSE)/2,IF($H266&lt;M$2,VLOOKUP($G266,Depreciation!$A$14:$L$18,11,FALSE),0))</f>
        <v>3.343407856743718E-2</v>
      </c>
      <c r="N266" s="306">
        <f>+IF($H266=N$2,VLOOKUP($G266,Depreciation!$A$14:$L$18,12,FALSE)/2,IF($H266&lt;N$2,VLOOKUP($G266,Depreciation!$A$14:$L$18,12,FALSE),0))</f>
        <v>3.343407856743718E-2</v>
      </c>
      <c r="O266" s="307">
        <f t="shared" si="33"/>
        <v>168821.29770849145</v>
      </c>
      <c r="P266" s="732">
        <f>'Func Future Subs 2015'!P266</f>
        <v>0.96969696969696972</v>
      </c>
      <c r="Q266" s="732">
        <f>'Func Future Subs 2015'!Q266</f>
        <v>3.0303030303030304E-2</v>
      </c>
      <c r="R266" s="732">
        <f>'Func Future Subs 2015'!R266</f>
        <v>-2.7755575615628914E-17</v>
      </c>
      <c r="S266" s="735">
        <f t="shared" si="34"/>
        <v>163705.50080823412</v>
      </c>
      <c r="T266" s="735">
        <f t="shared" si="35"/>
        <v>5115.7969002573163</v>
      </c>
      <c r="U266" s="735">
        <f t="shared" si="36"/>
        <v>-4.6857322940766345E-12</v>
      </c>
      <c r="V266" s="736">
        <f t="shared" si="37"/>
        <v>0</v>
      </c>
      <c r="W266" s="735">
        <f t="shared" si="38"/>
        <v>163705.50080823412</v>
      </c>
      <c r="X266" s="737">
        <f t="shared" si="39"/>
        <v>0</v>
      </c>
      <c r="Y266" s="738">
        <f t="shared" si="40"/>
        <v>5115.7969002573118</v>
      </c>
    </row>
    <row r="267" spans="1:25">
      <c r="A267" s="754" t="str">
        <f>'Func Future Subs 2015'!A267</f>
        <v>Windy Point 112S stage 1</v>
      </c>
      <c r="B267" s="754">
        <f>'Func Future Subs 2015'!B267</f>
        <v>1343</v>
      </c>
      <c r="C267" s="754">
        <f>'Func Future Subs 2015'!C267</f>
        <v>138</v>
      </c>
      <c r="D267" s="754">
        <f>'Func Future Subs 2015'!D267</f>
        <v>25</v>
      </c>
      <c r="E267" s="754" t="str">
        <f>'Func Future Subs 2015'!E267</f>
        <v>112S</v>
      </c>
      <c r="F267" s="754">
        <f>'Func Future Subs 2015'!F267</f>
        <v>160679.48286027124</v>
      </c>
      <c r="G267" s="754" t="str">
        <f>'Func Future Subs 2015'!G267</f>
        <v>AltaLink</v>
      </c>
      <c r="H267" s="754">
        <f>'Func Future Subs 2015'!H267</f>
        <v>2015</v>
      </c>
      <c r="I267" s="306">
        <f>+IF($H267=I$2,VLOOKUP($G267,Depreciation!$A$14:$L$18,7,FALSE)/2,IF($H267&lt;I$2,VLOOKUP($G267,Depreciation!$A$14:$L$18,7,FALSE),0))</f>
        <v>1.7228380322441735E-2</v>
      </c>
      <c r="J267" s="306">
        <f>+IF($H267=J$2,VLOOKUP($G267,Depreciation!$A$14:$L$18,8,FALSE)/2,IF($H267&lt;J$2,VLOOKUP($G267,Depreciation!$A$14:$L$18,8,FALSE),0))</f>
        <v>3.343407856743718E-2</v>
      </c>
      <c r="K267" s="306">
        <f>+IF($H267=K$2,VLOOKUP($G267,Depreciation!$A$14:$L$18,9,FALSE)/2,IF($H267&lt;K$2,VLOOKUP($G267,Depreciation!$A$14:$L$18,9,FALSE),0))</f>
        <v>3.343407856743718E-2</v>
      </c>
      <c r="L267" s="306">
        <f>+IF($H267=L$2,VLOOKUP($G267,Depreciation!$A$14:$L$18,10,FALSE)/2,IF($H267&lt;L$2,VLOOKUP($G267,Depreciation!$A$14:$L$18,10,FALSE),0))</f>
        <v>3.343407856743718E-2</v>
      </c>
      <c r="M267" s="306">
        <f>+IF($H267=M$2,VLOOKUP($G267,Depreciation!$A$14:$L$18,11,FALSE)/2,IF($H267&lt;M$2,VLOOKUP($G267,Depreciation!$A$14:$L$18,11,FALSE),0))</f>
        <v>3.343407856743718E-2</v>
      </c>
      <c r="N267" s="306">
        <f>+IF($H267=N$2,VLOOKUP($G267,Depreciation!$A$14:$L$18,12,FALSE)/2,IF($H267&lt;N$2,VLOOKUP($G267,Depreciation!$A$14:$L$18,12,FALSE),0))</f>
        <v>3.343407856743718E-2</v>
      </c>
      <c r="O267" s="307">
        <f t="shared" si="33"/>
        <v>147528.52142093398</v>
      </c>
      <c r="P267" s="732">
        <f>'Func Future Subs 2015'!P267</f>
        <v>0.98712446351931327</v>
      </c>
      <c r="Q267" s="732">
        <f>'Func Future Subs 2015'!Q267</f>
        <v>1.2875536480686695E-2</v>
      </c>
      <c r="R267" s="732">
        <f>'Func Future Subs 2015'!R267</f>
        <v>3.8163916471489756E-17</v>
      </c>
      <c r="S267" s="735">
        <f t="shared" si="34"/>
        <v>145629.01256143698</v>
      </c>
      <c r="T267" s="735">
        <f t="shared" si="35"/>
        <v>1899.5088594970039</v>
      </c>
      <c r="U267" s="735">
        <f t="shared" si="36"/>
        <v>5.6302661686709118E-12</v>
      </c>
      <c r="V267" s="736">
        <f t="shared" si="37"/>
        <v>0</v>
      </c>
      <c r="W267" s="735">
        <f t="shared" si="38"/>
        <v>145629.01256143698</v>
      </c>
      <c r="X267" s="737">
        <f t="shared" si="39"/>
        <v>0</v>
      </c>
      <c r="Y267" s="738">
        <f t="shared" si="40"/>
        <v>1899.5088594970096</v>
      </c>
    </row>
    <row r="268" spans="1:25">
      <c r="A268" s="754" t="str">
        <f>'Func Future Subs 2015'!A268</f>
        <v>Windy Point 112S stage 2</v>
      </c>
      <c r="B268" s="754">
        <f>'Func Future Subs 2015'!B268</f>
        <v>1343</v>
      </c>
      <c r="C268" s="754">
        <f>'Func Future Subs 2015'!C268</f>
        <v>138</v>
      </c>
      <c r="D268" s="754">
        <f>'Func Future Subs 2015'!D268</f>
        <v>25</v>
      </c>
      <c r="E268" s="754" t="str">
        <f>'Func Future Subs 2015'!E268</f>
        <v>112S</v>
      </c>
      <c r="F268" s="754">
        <f>'Func Future Subs 2015'!F268</f>
        <v>198194.95671810306</v>
      </c>
      <c r="G268" s="754" t="str">
        <f>'Func Future Subs 2015'!G268</f>
        <v>AltaLink</v>
      </c>
      <c r="H268" s="754">
        <f>'Func Future Subs 2015'!H268</f>
        <v>2015</v>
      </c>
      <c r="I268" s="306">
        <f>+IF($H268=I$2,VLOOKUP($G268,Depreciation!$A$14:$L$18,7,FALSE)/2,IF($H268&lt;I$2,VLOOKUP($G268,Depreciation!$A$14:$L$18,7,FALSE),0))</f>
        <v>1.7228380322441735E-2</v>
      </c>
      <c r="J268" s="306">
        <f>+IF($H268=J$2,VLOOKUP($G268,Depreciation!$A$14:$L$18,8,FALSE)/2,IF($H268&lt;J$2,VLOOKUP($G268,Depreciation!$A$14:$L$18,8,FALSE),0))</f>
        <v>3.343407856743718E-2</v>
      </c>
      <c r="K268" s="306">
        <f>+IF($H268=K$2,VLOOKUP($G268,Depreciation!$A$14:$L$18,9,FALSE)/2,IF($H268&lt;K$2,VLOOKUP($G268,Depreciation!$A$14:$L$18,9,FALSE),0))</f>
        <v>3.343407856743718E-2</v>
      </c>
      <c r="L268" s="306">
        <f>+IF($H268=L$2,VLOOKUP($G268,Depreciation!$A$14:$L$18,10,FALSE)/2,IF($H268&lt;L$2,VLOOKUP($G268,Depreciation!$A$14:$L$18,10,FALSE),0))</f>
        <v>3.343407856743718E-2</v>
      </c>
      <c r="M268" s="306">
        <f>+IF($H268=M$2,VLOOKUP($G268,Depreciation!$A$14:$L$18,11,FALSE)/2,IF($H268&lt;M$2,VLOOKUP($G268,Depreciation!$A$14:$L$18,11,FALSE),0))</f>
        <v>3.343407856743718E-2</v>
      </c>
      <c r="N268" s="306">
        <f>+IF($H268=N$2,VLOOKUP($G268,Depreciation!$A$14:$L$18,12,FALSE)/2,IF($H268&lt;N$2,VLOOKUP($G268,Depreciation!$A$14:$L$18,12,FALSE),0))</f>
        <v>3.343407856743718E-2</v>
      </c>
      <c r="O268" s="307">
        <f t="shared" si="33"/>
        <v>181973.50649388559</v>
      </c>
      <c r="P268" s="732">
        <f>'Func Future Subs 2015'!P268</f>
        <v>0.98712446351931327</v>
      </c>
      <c r="Q268" s="732">
        <f>'Func Future Subs 2015'!Q268</f>
        <v>1.2875536480686695E-2</v>
      </c>
      <c r="R268" s="732">
        <f>'Func Future Subs 2015'!R268</f>
        <v>3.8163916471489756E-17</v>
      </c>
      <c r="S268" s="735">
        <f t="shared" si="34"/>
        <v>179630.49997250509</v>
      </c>
      <c r="T268" s="735">
        <f t="shared" si="35"/>
        <v>2343.006521380501</v>
      </c>
      <c r="U268" s="735">
        <f t="shared" si="36"/>
        <v>6.9448217018567487E-12</v>
      </c>
      <c r="V268" s="736">
        <f t="shared" si="37"/>
        <v>0</v>
      </c>
      <c r="W268" s="735">
        <f t="shared" si="38"/>
        <v>179630.49997250509</v>
      </c>
      <c r="X268" s="737">
        <f t="shared" si="39"/>
        <v>0</v>
      </c>
      <c r="Y268" s="738">
        <f t="shared" si="40"/>
        <v>2343.0065213805078</v>
      </c>
    </row>
    <row r="269" spans="1:25">
      <c r="A269" s="754" t="str">
        <f>'Func Future Subs 2015'!A269</f>
        <v>Secord 2005S</v>
      </c>
      <c r="B269" s="754">
        <f>'Func Future Subs 2015'!B269</f>
        <v>1348</v>
      </c>
      <c r="C269" s="754">
        <f>'Func Future Subs 2015'!C269</f>
        <v>240</v>
      </c>
      <c r="D269" s="754">
        <f>'Func Future Subs 2015'!D269</f>
        <v>25</v>
      </c>
      <c r="E269" s="754" t="str">
        <f>'Func Future Subs 2015'!E269</f>
        <v>2005S</v>
      </c>
      <c r="F269" s="754">
        <f>'Func Future Subs 2015'!F269</f>
        <v>19212616.594896249</v>
      </c>
      <c r="G269" s="754" t="str">
        <f>'Func Future Subs 2015'!G269</f>
        <v>ATCO</v>
      </c>
      <c r="H269" s="754">
        <f>'Func Future Subs 2015'!H269</f>
        <v>2016</v>
      </c>
      <c r="I269" s="306">
        <f>+IF($H269=I$2,VLOOKUP($G269,Depreciation!$A$14:$L$18,7,FALSE)/2,IF($H269&lt;I$2,VLOOKUP($G269,Depreciation!$A$14:$L$18,7,FALSE),0))</f>
        <v>0</v>
      </c>
      <c r="J269" s="306">
        <f>+IF($H269=J$2,VLOOKUP($G269,Depreciation!$A$14:$L$18,8,FALSE)/2,IF($H269&lt;J$2,VLOOKUP($G269,Depreciation!$A$14:$L$18,8,FALSE),0))</f>
        <v>1.231622525054236E-2</v>
      </c>
      <c r="K269" s="306">
        <f>+IF($H269=K$2,VLOOKUP($G269,Depreciation!$A$14:$L$18,9,FALSE)/2,IF($H269&lt;K$2,VLOOKUP($G269,Depreciation!$A$14:$L$18,9,FALSE),0))</f>
        <v>2.4351536427798831E-2</v>
      </c>
      <c r="L269" s="306">
        <f>+IF($H269=L$2,VLOOKUP($G269,Depreciation!$A$14:$L$18,10,FALSE)/2,IF($H269&lt;L$2,VLOOKUP($G269,Depreciation!$A$14:$L$18,10,FALSE),0))</f>
        <v>2.4351536427798831E-2</v>
      </c>
      <c r="M269" s="306">
        <f>+IF($H269=M$2,VLOOKUP($G269,Depreciation!$A$14:$L$18,11,FALSE)/2,IF($H269&lt;M$2,VLOOKUP($G269,Depreciation!$A$14:$L$18,11,FALSE),0))</f>
        <v>2.4351536427798831E-2</v>
      </c>
      <c r="N269" s="306">
        <f>+IF($H269=N$2,VLOOKUP($G269,Depreciation!$A$14:$L$18,12,FALSE)/2,IF($H269&lt;N$2,VLOOKUP($G269,Depreciation!$A$14:$L$18,12,FALSE),0))</f>
        <v>2.4351536427798831E-2</v>
      </c>
      <c r="O269" s="307">
        <f t="shared" si="33"/>
        <v>18513895.177284434</v>
      </c>
      <c r="P269" s="732">
        <f>'Func Future Subs 2015'!P269</f>
        <v>0</v>
      </c>
      <c r="Q269" s="732">
        <f>'Func Future Subs 2015'!Q269</f>
        <v>1</v>
      </c>
      <c r="R269" s="732">
        <f>'Func Future Subs 2015'!R269</f>
        <v>0</v>
      </c>
      <c r="S269" s="735">
        <f t="shared" si="34"/>
        <v>0</v>
      </c>
      <c r="T269" s="735">
        <f t="shared" si="35"/>
        <v>18513895.177284434</v>
      </c>
      <c r="U269" s="735">
        <f t="shared" si="36"/>
        <v>0</v>
      </c>
      <c r="V269" s="736">
        <f t="shared" si="37"/>
        <v>0</v>
      </c>
      <c r="W269" s="735">
        <f t="shared" si="38"/>
        <v>0</v>
      </c>
      <c r="X269" s="737">
        <f t="shared" si="39"/>
        <v>0</v>
      </c>
      <c r="Y269" s="738">
        <f t="shared" si="40"/>
        <v>18513895.177284434</v>
      </c>
    </row>
    <row r="270" spans="1:25">
      <c r="A270" s="754" t="str">
        <f>'Func Future Subs 2015'!A270</f>
        <v>Substation Joslyn 849S</v>
      </c>
      <c r="B270" s="754">
        <f>'Func Future Subs 2015'!B270</f>
        <v>1348</v>
      </c>
      <c r="C270" s="754">
        <f>'Func Future Subs 2015'!C270</f>
        <v>240</v>
      </c>
      <c r="D270" s="754">
        <f>'Func Future Subs 2015'!D270</f>
        <v>25</v>
      </c>
      <c r="E270" s="754" t="str">
        <f>'Func Future Subs 2015'!E270</f>
        <v>849S</v>
      </c>
      <c r="F270" s="754">
        <f>'Func Future Subs 2015'!F270</f>
        <v>60415.913503386022</v>
      </c>
      <c r="G270" s="754" t="str">
        <f>'Func Future Subs 2015'!G270</f>
        <v>ATCO</v>
      </c>
      <c r="H270" s="754">
        <f>'Func Future Subs 2015'!H270</f>
        <v>2016</v>
      </c>
      <c r="I270" s="306">
        <f>+IF($H270=I$2,VLOOKUP($G270,Depreciation!$A$14:$L$18,7,FALSE)/2,IF($H270&lt;I$2,VLOOKUP($G270,Depreciation!$A$14:$L$18,7,FALSE),0))</f>
        <v>0</v>
      </c>
      <c r="J270" s="306">
        <f>+IF($H270=J$2,VLOOKUP($G270,Depreciation!$A$14:$L$18,8,FALSE)/2,IF($H270&lt;J$2,VLOOKUP($G270,Depreciation!$A$14:$L$18,8,FALSE),0))</f>
        <v>1.231622525054236E-2</v>
      </c>
      <c r="K270" s="306">
        <f>+IF($H270=K$2,VLOOKUP($G270,Depreciation!$A$14:$L$18,9,FALSE)/2,IF($H270&lt;K$2,VLOOKUP($G270,Depreciation!$A$14:$L$18,9,FALSE),0))</f>
        <v>2.4351536427798831E-2</v>
      </c>
      <c r="L270" s="306">
        <f>+IF($H270=L$2,VLOOKUP($G270,Depreciation!$A$14:$L$18,10,FALSE)/2,IF($H270&lt;L$2,VLOOKUP($G270,Depreciation!$A$14:$L$18,10,FALSE),0))</f>
        <v>2.4351536427798831E-2</v>
      </c>
      <c r="M270" s="306">
        <f>+IF($H270=M$2,VLOOKUP($G270,Depreciation!$A$14:$L$18,11,FALSE)/2,IF($H270&lt;M$2,VLOOKUP($G270,Depreciation!$A$14:$L$18,11,FALSE),0))</f>
        <v>2.4351536427798831E-2</v>
      </c>
      <c r="N270" s="306">
        <f>+IF($H270=N$2,VLOOKUP($G270,Depreciation!$A$14:$L$18,12,FALSE)/2,IF($H270&lt;N$2,VLOOKUP($G270,Depreciation!$A$14:$L$18,12,FALSE),0))</f>
        <v>2.4351536427798831E-2</v>
      </c>
      <c r="O270" s="307">
        <f t="shared" si="33"/>
        <v>58218.717066300364</v>
      </c>
      <c r="P270" s="732">
        <f>'Func Future Subs 2015'!P270</f>
        <v>0</v>
      </c>
      <c r="Q270" s="732">
        <f>'Func Future Subs 2015'!Q270</f>
        <v>1</v>
      </c>
      <c r="R270" s="732">
        <f>'Func Future Subs 2015'!R270</f>
        <v>0</v>
      </c>
      <c r="S270" s="735">
        <f t="shared" si="34"/>
        <v>0</v>
      </c>
      <c r="T270" s="735">
        <f t="shared" si="35"/>
        <v>58218.717066300364</v>
      </c>
      <c r="U270" s="735">
        <f t="shared" si="36"/>
        <v>0</v>
      </c>
      <c r="V270" s="736">
        <f t="shared" si="37"/>
        <v>0</v>
      </c>
      <c r="W270" s="735">
        <f t="shared" si="38"/>
        <v>0</v>
      </c>
      <c r="X270" s="737">
        <f t="shared" si="39"/>
        <v>0</v>
      </c>
      <c r="Y270" s="738">
        <f t="shared" si="40"/>
        <v>58218.717066300364</v>
      </c>
    </row>
    <row r="271" spans="1:25">
      <c r="A271" s="754" t="str">
        <f>'Func Future Subs 2015'!A271</f>
        <v>Substation McClelland 957S</v>
      </c>
      <c r="B271" s="754">
        <f>'Func Future Subs 2015'!B271</f>
        <v>1348</v>
      </c>
      <c r="C271" s="754">
        <f>'Func Future Subs 2015'!C271</f>
        <v>240</v>
      </c>
      <c r="D271" s="754">
        <f>'Func Future Subs 2015'!D271</f>
        <v>25</v>
      </c>
      <c r="E271" s="754" t="str">
        <f>'Func Future Subs 2015'!E271</f>
        <v>957S</v>
      </c>
      <c r="F271" s="754">
        <f>'Func Future Subs 2015'!F271</f>
        <v>68295.591211377177</v>
      </c>
      <c r="G271" s="754" t="str">
        <f>'Func Future Subs 2015'!G271</f>
        <v>ATCO</v>
      </c>
      <c r="H271" s="754">
        <f>'Func Future Subs 2015'!H271</f>
        <v>2016</v>
      </c>
      <c r="I271" s="306">
        <f>+IF($H271=I$2,VLOOKUP($G271,Depreciation!$A$14:$L$18,7,FALSE)/2,IF($H271&lt;I$2,VLOOKUP($G271,Depreciation!$A$14:$L$18,7,FALSE),0))</f>
        <v>0</v>
      </c>
      <c r="J271" s="306">
        <f>+IF($H271=J$2,VLOOKUP($G271,Depreciation!$A$14:$L$18,8,FALSE)/2,IF($H271&lt;J$2,VLOOKUP($G271,Depreciation!$A$14:$L$18,8,FALSE),0))</f>
        <v>1.231622525054236E-2</v>
      </c>
      <c r="K271" s="306">
        <f>+IF($H271=K$2,VLOOKUP($G271,Depreciation!$A$14:$L$18,9,FALSE)/2,IF($H271&lt;K$2,VLOOKUP($G271,Depreciation!$A$14:$L$18,9,FALSE),0))</f>
        <v>2.4351536427798831E-2</v>
      </c>
      <c r="L271" s="306">
        <f>+IF($H271=L$2,VLOOKUP($G271,Depreciation!$A$14:$L$18,10,FALSE)/2,IF($H271&lt;L$2,VLOOKUP($G271,Depreciation!$A$14:$L$18,10,FALSE),0))</f>
        <v>2.4351536427798831E-2</v>
      </c>
      <c r="M271" s="306">
        <f>+IF($H271=M$2,VLOOKUP($G271,Depreciation!$A$14:$L$18,11,FALSE)/2,IF($H271&lt;M$2,VLOOKUP($G271,Depreciation!$A$14:$L$18,11,FALSE),0))</f>
        <v>2.4351536427798831E-2</v>
      </c>
      <c r="N271" s="306">
        <f>+IF($H271=N$2,VLOOKUP($G271,Depreciation!$A$14:$L$18,12,FALSE)/2,IF($H271&lt;N$2,VLOOKUP($G271,Depreciation!$A$14:$L$18,12,FALSE),0))</f>
        <v>2.4351536427798831E-2</v>
      </c>
      <c r="O271" s="307">
        <f t="shared" si="33"/>
        <v>65811.827895113049</v>
      </c>
      <c r="P271" s="732">
        <f>'Func Future Subs 2015'!P271</f>
        <v>0</v>
      </c>
      <c r="Q271" s="732">
        <f>'Func Future Subs 2015'!Q271</f>
        <v>1</v>
      </c>
      <c r="R271" s="732">
        <f>'Func Future Subs 2015'!R271</f>
        <v>0</v>
      </c>
      <c r="S271" s="735">
        <f t="shared" si="34"/>
        <v>0</v>
      </c>
      <c r="T271" s="735">
        <f t="shared" si="35"/>
        <v>65811.827895113049</v>
      </c>
      <c r="U271" s="735">
        <f t="shared" si="36"/>
        <v>0</v>
      </c>
      <c r="V271" s="736">
        <f t="shared" si="37"/>
        <v>0</v>
      </c>
      <c r="W271" s="735">
        <f t="shared" si="38"/>
        <v>0</v>
      </c>
      <c r="X271" s="737">
        <f t="shared" si="39"/>
        <v>0</v>
      </c>
      <c r="Y271" s="738">
        <f t="shared" si="40"/>
        <v>65811.827895113049</v>
      </c>
    </row>
    <row r="272" spans="1:25">
      <c r="A272" s="754" t="str">
        <f>'Func Future Subs 2015'!A272</f>
        <v>Queensland 301S</v>
      </c>
      <c r="B272" s="754">
        <f>'Func Future Subs 2015'!B272</f>
        <v>1349</v>
      </c>
      <c r="C272" s="754">
        <f>'Func Future Subs 2015'!C272</f>
        <v>138</v>
      </c>
      <c r="D272" s="754">
        <f>'Func Future Subs 2015'!D272</f>
        <v>25</v>
      </c>
      <c r="E272" s="754" t="str">
        <f>'Func Future Subs 2015'!E272</f>
        <v>301S</v>
      </c>
      <c r="F272" s="754">
        <f>'Func Future Subs 2015'!F272</f>
        <v>9656869.9129486643</v>
      </c>
      <c r="G272" s="754" t="str">
        <f>'Func Future Subs 2015'!G272</f>
        <v>AltaLink</v>
      </c>
      <c r="H272" s="754">
        <f>'Func Future Subs 2015'!H272</f>
        <v>2015</v>
      </c>
      <c r="I272" s="306">
        <f>+IF($H272=I$2,VLOOKUP($G272,Depreciation!$A$14:$L$18,7,FALSE)/2,IF($H272&lt;I$2,VLOOKUP($G272,Depreciation!$A$14:$L$18,7,FALSE),0))</f>
        <v>1.7228380322441735E-2</v>
      </c>
      <c r="J272" s="306">
        <f>+IF($H272=J$2,VLOOKUP($G272,Depreciation!$A$14:$L$18,8,FALSE)/2,IF($H272&lt;J$2,VLOOKUP($G272,Depreciation!$A$14:$L$18,8,FALSE),0))</f>
        <v>3.343407856743718E-2</v>
      </c>
      <c r="K272" s="306">
        <f>+IF($H272=K$2,VLOOKUP($G272,Depreciation!$A$14:$L$18,9,FALSE)/2,IF($H272&lt;K$2,VLOOKUP($G272,Depreciation!$A$14:$L$18,9,FALSE),0))</f>
        <v>3.343407856743718E-2</v>
      </c>
      <c r="L272" s="306">
        <f>+IF($H272=L$2,VLOOKUP($G272,Depreciation!$A$14:$L$18,10,FALSE)/2,IF($H272&lt;L$2,VLOOKUP($G272,Depreciation!$A$14:$L$18,10,FALSE),0))</f>
        <v>3.343407856743718E-2</v>
      </c>
      <c r="M272" s="306">
        <f>+IF($H272=M$2,VLOOKUP($G272,Depreciation!$A$14:$L$18,11,FALSE)/2,IF($H272&lt;M$2,VLOOKUP($G272,Depreciation!$A$14:$L$18,11,FALSE),0))</f>
        <v>3.343407856743718E-2</v>
      </c>
      <c r="N272" s="306">
        <f>+IF($H272=N$2,VLOOKUP($G272,Depreciation!$A$14:$L$18,12,FALSE)/2,IF($H272&lt;N$2,VLOOKUP($G272,Depreciation!$A$14:$L$18,12,FALSE),0))</f>
        <v>3.343407856743718E-2</v>
      </c>
      <c r="O272" s="307">
        <f t="shared" si="33"/>
        <v>8866494.430097986</v>
      </c>
      <c r="P272" s="732">
        <f>'Func Future Subs 2015'!P272</f>
        <v>0</v>
      </c>
      <c r="Q272" s="732">
        <f>'Func Future Subs 2015'!Q272</f>
        <v>0</v>
      </c>
      <c r="R272" s="732">
        <f>'Func Future Subs 2015'!R272</f>
        <v>1</v>
      </c>
      <c r="S272" s="735">
        <f t="shared" si="34"/>
        <v>0</v>
      </c>
      <c r="T272" s="735">
        <f t="shared" si="35"/>
        <v>0</v>
      </c>
      <c r="U272" s="735">
        <f t="shared" si="36"/>
        <v>8866494.430097986</v>
      </c>
      <c r="V272" s="736">
        <f t="shared" si="37"/>
        <v>0</v>
      </c>
      <c r="W272" s="735">
        <f t="shared" si="38"/>
        <v>0</v>
      </c>
      <c r="X272" s="737">
        <f t="shared" si="39"/>
        <v>0</v>
      </c>
      <c r="Y272" s="738">
        <f t="shared" si="40"/>
        <v>8866494.430097986</v>
      </c>
    </row>
    <row r="273" spans="1:25">
      <c r="A273" s="754" t="str">
        <f>'Func Future Subs 2015'!A273</f>
        <v>Strome 223S</v>
      </c>
      <c r="B273" s="754">
        <f>'Func Future Subs 2015'!B273</f>
        <v>1350</v>
      </c>
      <c r="C273" s="754">
        <f>'Func Future Subs 2015'!C273</f>
        <v>138</v>
      </c>
      <c r="D273" s="754">
        <f>'Func Future Subs 2015'!D273</f>
        <v>25</v>
      </c>
      <c r="E273" s="754" t="str">
        <f>'Func Future Subs 2015'!E273</f>
        <v>223S</v>
      </c>
      <c r="F273" s="754">
        <f>'Func Future Subs 2015'!F273</f>
        <v>6530874.9999999981</v>
      </c>
      <c r="G273" s="754" t="str">
        <f>'Func Future Subs 2015'!G273</f>
        <v>AltaLink</v>
      </c>
      <c r="H273" s="754">
        <f>'Func Future Subs 2015'!H273</f>
        <v>2015</v>
      </c>
      <c r="I273" s="306">
        <f>+IF($H273=I$2,VLOOKUP($G273,Depreciation!$A$14:$L$18,7,FALSE)/2,IF($H273&lt;I$2,VLOOKUP($G273,Depreciation!$A$14:$L$18,7,FALSE),0))</f>
        <v>1.7228380322441735E-2</v>
      </c>
      <c r="J273" s="306">
        <f>+IF($H273=J$2,VLOOKUP($G273,Depreciation!$A$14:$L$18,8,FALSE)/2,IF($H273&lt;J$2,VLOOKUP($G273,Depreciation!$A$14:$L$18,8,FALSE),0))</f>
        <v>3.343407856743718E-2</v>
      </c>
      <c r="K273" s="306">
        <f>+IF($H273=K$2,VLOOKUP($G273,Depreciation!$A$14:$L$18,9,FALSE)/2,IF($H273&lt;K$2,VLOOKUP($G273,Depreciation!$A$14:$L$18,9,FALSE),0))</f>
        <v>3.343407856743718E-2</v>
      </c>
      <c r="L273" s="306">
        <f>+IF($H273=L$2,VLOOKUP($G273,Depreciation!$A$14:$L$18,10,FALSE)/2,IF($H273&lt;L$2,VLOOKUP($G273,Depreciation!$A$14:$L$18,10,FALSE),0))</f>
        <v>3.343407856743718E-2</v>
      </c>
      <c r="M273" s="306">
        <f>+IF($H273=M$2,VLOOKUP($G273,Depreciation!$A$14:$L$18,11,FALSE)/2,IF($H273&lt;M$2,VLOOKUP($G273,Depreciation!$A$14:$L$18,11,FALSE),0))</f>
        <v>3.343407856743718E-2</v>
      </c>
      <c r="N273" s="306">
        <f>+IF($H273=N$2,VLOOKUP($G273,Depreciation!$A$14:$L$18,12,FALSE)/2,IF($H273&lt;N$2,VLOOKUP($G273,Depreciation!$A$14:$L$18,12,FALSE),0))</f>
        <v>3.343407856743718E-2</v>
      </c>
      <c r="O273" s="307">
        <f t="shared" si="33"/>
        <v>5996349.4727749666</v>
      </c>
      <c r="P273" s="732">
        <f>'Func Future Subs 2015'!P273</f>
        <v>0</v>
      </c>
      <c r="Q273" s="732">
        <f>'Func Future Subs 2015'!Q273</f>
        <v>1</v>
      </c>
      <c r="R273" s="732">
        <f>'Func Future Subs 2015'!R273</f>
        <v>0</v>
      </c>
      <c r="S273" s="735">
        <f t="shared" si="34"/>
        <v>0</v>
      </c>
      <c r="T273" s="735">
        <f t="shared" si="35"/>
        <v>5996349.4727749666</v>
      </c>
      <c r="U273" s="735">
        <f t="shared" si="36"/>
        <v>0</v>
      </c>
      <c r="V273" s="736">
        <f t="shared" si="37"/>
        <v>0</v>
      </c>
      <c r="W273" s="735">
        <f t="shared" si="38"/>
        <v>0</v>
      </c>
      <c r="X273" s="737">
        <f t="shared" si="39"/>
        <v>0</v>
      </c>
      <c r="Y273" s="738">
        <f t="shared" si="40"/>
        <v>5996349.4727749666</v>
      </c>
    </row>
    <row r="274" spans="1:25">
      <c r="A274" s="754" t="str">
        <f>'Func Future Subs 2015'!A274</f>
        <v>Substation No.26</v>
      </c>
      <c r="B274" s="754">
        <f>'Func Future Subs 2015'!B274</f>
        <v>1354</v>
      </c>
      <c r="C274" s="754">
        <f>'Func Future Subs 2015'!C274</f>
        <v>138</v>
      </c>
      <c r="D274" s="754">
        <f>'Func Future Subs 2015'!D274</f>
        <v>25</v>
      </c>
      <c r="E274" s="754" t="str">
        <f>'Func Future Subs 2015'!E274</f>
        <v>SS-26</v>
      </c>
      <c r="F274" s="754">
        <f>'Func Future Subs 2015'!F274</f>
        <v>114690.57505760195</v>
      </c>
      <c r="G274" s="754" t="str">
        <f>'Func Future Subs 2015'!G274</f>
        <v>ENMAX</v>
      </c>
      <c r="H274" s="754">
        <f>'Func Future Subs 2015'!H274</f>
        <v>2017</v>
      </c>
      <c r="I274" s="306">
        <f>+IF($H274=I$2,VLOOKUP($G274,Depreciation!$A$14:$L$18,7,FALSE)/2,IF($H274&lt;I$2,VLOOKUP($G274,Depreciation!$A$14:$L$18,7,FALSE),0))</f>
        <v>0</v>
      </c>
      <c r="J274" s="306">
        <f>+IF($H274=J$2,VLOOKUP($G274,Depreciation!$A$14:$L$18,8,FALSE)/2,IF($H274&lt;J$2,VLOOKUP($G274,Depreciation!$A$14:$L$18,8,FALSE),0))</f>
        <v>0</v>
      </c>
      <c r="K274" s="306">
        <f>+IF($H274=K$2,VLOOKUP($G274,Depreciation!$A$14:$L$18,9,FALSE)/2,IF($H274&lt;K$2,VLOOKUP($G274,Depreciation!$A$14:$L$18,9,FALSE),0))</f>
        <v>1.3928409269726289E-2</v>
      </c>
      <c r="L274" s="306">
        <f>+IF($H274=L$2,VLOOKUP($G274,Depreciation!$A$14:$L$18,10,FALSE)/2,IF($H274&lt;L$2,VLOOKUP($G274,Depreciation!$A$14:$L$18,10,FALSE),0))</f>
        <v>2.7856818539452578E-2</v>
      </c>
      <c r="M274" s="306">
        <f>+IF($H274=M$2,VLOOKUP($G274,Depreciation!$A$14:$L$18,11,FALSE)/2,IF($H274&lt;M$2,VLOOKUP($G274,Depreciation!$A$14:$L$18,11,FALSE),0))</f>
        <v>2.7856818539452578E-2</v>
      </c>
      <c r="N274" s="306">
        <f>+IF($H274=N$2,VLOOKUP($G274,Depreciation!$A$14:$L$18,12,FALSE)/2,IF($H274&lt;N$2,VLOOKUP($G274,Depreciation!$A$14:$L$18,12,FALSE),0))</f>
        <v>2.7856818539452578E-2</v>
      </c>
      <c r="O274" s="307">
        <f t="shared" si="33"/>
        <v>113093.11778881941</v>
      </c>
      <c r="P274" s="732">
        <f>'Func Future Subs 2015'!P274</f>
        <v>0</v>
      </c>
      <c r="Q274" s="732">
        <f>'Func Future Subs 2015'!Q274</f>
        <v>0</v>
      </c>
      <c r="R274" s="732">
        <f>'Func Future Subs 2015'!R274</f>
        <v>1</v>
      </c>
      <c r="S274" s="735">
        <f t="shared" si="34"/>
        <v>0</v>
      </c>
      <c r="T274" s="735">
        <f t="shared" si="35"/>
        <v>0</v>
      </c>
      <c r="U274" s="735">
        <f t="shared" si="36"/>
        <v>113093.11778881941</v>
      </c>
      <c r="V274" s="736">
        <f t="shared" si="37"/>
        <v>0</v>
      </c>
      <c r="W274" s="735">
        <f t="shared" si="38"/>
        <v>0</v>
      </c>
      <c r="X274" s="737">
        <f t="shared" si="39"/>
        <v>0</v>
      </c>
      <c r="Y274" s="738">
        <f t="shared" si="40"/>
        <v>113093.11778881941</v>
      </c>
    </row>
    <row r="275" spans="1:25">
      <c r="A275" s="754" t="str">
        <f>'Func Future Subs 2015'!A275</f>
        <v>Substation No.32</v>
      </c>
      <c r="B275" s="754">
        <f>'Func Future Subs 2015'!B275</f>
        <v>1354</v>
      </c>
      <c r="C275" s="754">
        <f>'Func Future Subs 2015'!C275</f>
        <v>138</v>
      </c>
      <c r="D275" s="754">
        <f>'Func Future Subs 2015'!D275</f>
        <v>25</v>
      </c>
      <c r="E275" s="754" t="str">
        <f>'Func Future Subs 2015'!E275</f>
        <v>SS-32</v>
      </c>
      <c r="F275" s="754">
        <f>'Func Future Subs 2015'!F275</f>
        <v>114690.57505760195</v>
      </c>
      <c r="G275" s="754" t="str">
        <f>'Func Future Subs 2015'!G275</f>
        <v>ENMAX</v>
      </c>
      <c r="H275" s="754">
        <f>'Func Future Subs 2015'!H275</f>
        <v>2017</v>
      </c>
      <c r="I275" s="306">
        <f>+IF($H275=I$2,VLOOKUP($G275,Depreciation!$A$14:$L$18,7,FALSE)/2,IF($H275&lt;I$2,VLOOKUP($G275,Depreciation!$A$14:$L$18,7,FALSE),0))</f>
        <v>0</v>
      </c>
      <c r="J275" s="306">
        <f>+IF($H275=J$2,VLOOKUP($G275,Depreciation!$A$14:$L$18,8,FALSE)/2,IF($H275&lt;J$2,VLOOKUP($G275,Depreciation!$A$14:$L$18,8,FALSE),0))</f>
        <v>0</v>
      </c>
      <c r="K275" s="306">
        <f>+IF($H275=K$2,VLOOKUP($G275,Depreciation!$A$14:$L$18,9,FALSE)/2,IF($H275&lt;K$2,VLOOKUP($G275,Depreciation!$A$14:$L$18,9,FALSE),0))</f>
        <v>1.3928409269726289E-2</v>
      </c>
      <c r="L275" s="306">
        <f>+IF($H275=L$2,VLOOKUP($G275,Depreciation!$A$14:$L$18,10,FALSE)/2,IF($H275&lt;L$2,VLOOKUP($G275,Depreciation!$A$14:$L$18,10,FALSE),0))</f>
        <v>2.7856818539452578E-2</v>
      </c>
      <c r="M275" s="306">
        <f>+IF($H275=M$2,VLOOKUP($G275,Depreciation!$A$14:$L$18,11,FALSE)/2,IF($H275&lt;M$2,VLOOKUP($G275,Depreciation!$A$14:$L$18,11,FALSE),0))</f>
        <v>2.7856818539452578E-2</v>
      </c>
      <c r="N275" s="306">
        <f>+IF($H275=N$2,VLOOKUP($G275,Depreciation!$A$14:$L$18,12,FALSE)/2,IF($H275&lt;N$2,VLOOKUP($G275,Depreciation!$A$14:$L$18,12,FALSE),0))</f>
        <v>2.7856818539452578E-2</v>
      </c>
      <c r="O275" s="307">
        <f t="shared" si="33"/>
        <v>113093.11778881941</v>
      </c>
      <c r="P275" s="732">
        <f>'Func Future Subs 2015'!P275</f>
        <v>0</v>
      </c>
      <c r="Q275" s="732">
        <f>'Func Future Subs 2015'!Q275</f>
        <v>1</v>
      </c>
      <c r="R275" s="732">
        <f>'Func Future Subs 2015'!R275</f>
        <v>0</v>
      </c>
      <c r="S275" s="735">
        <f t="shared" si="34"/>
        <v>0</v>
      </c>
      <c r="T275" s="735">
        <f t="shared" si="35"/>
        <v>113093.11778881941</v>
      </c>
      <c r="U275" s="735">
        <f t="shared" si="36"/>
        <v>0</v>
      </c>
      <c r="V275" s="736">
        <f t="shared" si="37"/>
        <v>0</v>
      </c>
      <c r="W275" s="735">
        <f t="shared" si="38"/>
        <v>0</v>
      </c>
      <c r="X275" s="737">
        <f t="shared" si="39"/>
        <v>0</v>
      </c>
      <c r="Y275" s="738">
        <f t="shared" si="40"/>
        <v>113093.11778881941</v>
      </c>
    </row>
    <row r="276" spans="1:25">
      <c r="A276" s="754" t="str">
        <f>'Func Future Subs 2015'!A276</f>
        <v>Substation No.41</v>
      </c>
      <c r="B276" s="754">
        <f>'Func Future Subs 2015'!B276</f>
        <v>1354</v>
      </c>
      <c r="C276" s="754">
        <f>'Func Future Subs 2015'!C276</f>
        <v>138</v>
      </c>
      <c r="D276" s="754">
        <f>'Func Future Subs 2015'!D276</f>
        <v>25</v>
      </c>
      <c r="E276" s="754" t="str">
        <f>'Func Future Subs 2015'!E276</f>
        <v>SS-41</v>
      </c>
      <c r="F276" s="754">
        <f>'Func Future Subs 2015'!F276</f>
        <v>2523427.6016106843</v>
      </c>
      <c r="G276" s="754" t="str">
        <f>'Func Future Subs 2015'!G276</f>
        <v>ENMAX</v>
      </c>
      <c r="H276" s="754">
        <f>'Func Future Subs 2015'!H276</f>
        <v>2017</v>
      </c>
      <c r="I276" s="306">
        <f>+IF($H276=I$2,VLOOKUP($G276,Depreciation!$A$14:$L$18,7,FALSE)/2,IF($H276&lt;I$2,VLOOKUP($G276,Depreciation!$A$14:$L$18,7,FALSE),0))</f>
        <v>0</v>
      </c>
      <c r="J276" s="306">
        <f>+IF($H276=J$2,VLOOKUP($G276,Depreciation!$A$14:$L$18,8,FALSE)/2,IF($H276&lt;J$2,VLOOKUP($G276,Depreciation!$A$14:$L$18,8,FALSE),0))</f>
        <v>0</v>
      </c>
      <c r="K276" s="306">
        <f>+IF($H276=K$2,VLOOKUP($G276,Depreciation!$A$14:$L$18,9,FALSE)/2,IF($H276&lt;K$2,VLOOKUP($G276,Depreciation!$A$14:$L$18,9,FALSE),0))</f>
        <v>1.3928409269726289E-2</v>
      </c>
      <c r="L276" s="306">
        <f>+IF($H276=L$2,VLOOKUP($G276,Depreciation!$A$14:$L$18,10,FALSE)/2,IF($H276&lt;L$2,VLOOKUP($G276,Depreciation!$A$14:$L$18,10,FALSE),0))</f>
        <v>2.7856818539452578E-2</v>
      </c>
      <c r="M276" s="306">
        <f>+IF($H276=M$2,VLOOKUP($G276,Depreciation!$A$14:$L$18,11,FALSE)/2,IF($H276&lt;M$2,VLOOKUP($G276,Depreciation!$A$14:$L$18,11,FALSE),0))</f>
        <v>2.7856818539452578E-2</v>
      </c>
      <c r="N276" s="306">
        <f>+IF($H276=N$2,VLOOKUP($G276,Depreciation!$A$14:$L$18,12,FALSE)/2,IF($H276&lt;N$2,VLOOKUP($G276,Depreciation!$A$14:$L$18,12,FALSE),0))</f>
        <v>2.7856818539452578E-2</v>
      </c>
      <c r="O276" s="307">
        <f t="shared" si="33"/>
        <v>2488280.2692129267</v>
      </c>
      <c r="P276" s="732">
        <f>'Func Future Subs 2015'!P276</f>
        <v>0</v>
      </c>
      <c r="Q276" s="732">
        <f>'Func Future Subs 2015'!Q276</f>
        <v>1</v>
      </c>
      <c r="R276" s="732">
        <f>'Func Future Subs 2015'!R276</f>
        <v>0</v>
      </c>
      <c r="S276" s="735">
        <f t="shared" si="34"/>
        <v>0</v>
      </c>
      <c r="T276" s="735">
        <f t="shared" si="35"/>
        <v>2488280.2692129267</v>
      </c>
      <c r="U276" s="735">
        <f t="shared" si="36"/>
        <v>0</v>
      </c>
      <c r="V276" s="736">
        <f t="shared" si="37"/>
        <v>0</v>
      </c>
      <c r="W276" s="735">
        <f t="shared" si="38"/>
        <v>0</v>
      </c>
      <c r="X276" s="737">
        <f t="shared" si="39"/>
        <v>0</v>
      </c>
      <c r="Y276" s="738">
        <f t="shared" si="40"/>
        <v>2488280.2692129267</v>
      </c>
    </row>
    <row r="277" spans="1:25">
      <c r="A277" s="754" t="str">
        <f>'Func Future Subs 2015'!A277</f>
        <v>Substation No.54</v>
      </c>
      <c r="B277" s="754">
        <f>'Func Future Subs 2015'!B277</f>
        <v>1354</v>
      </c>
      <c r="C277" s="754">
        <f>'Func Future Subs 2015'!C277</f>
        <v>138</v>
      </c>
      <c r="D277" s="754">
        <f>'Func Future Subs 2015'!D277</f>
        <v>25</v>
      </c>
      <c r="E277" s="754" t="str">
        <f>'Func Future Subs 2015'!E277</f>
        <v>SS-54</v>
      </c>
      <c r="F277" s="754">
        <f>'Func Future Subs 2015'!F277</f>
        <v>114690.57505760195</v>
      </c>
      <c r="G277" s="754" t="str">
        <f>'Func Future Subs 2015'!G277</f>
        <v>ENMAX</v>
      </c>
      <c r="H277" s="754">
        <f>'Func Future Subs 2015'!H277</f>
        <v>2017</v>
      </c>
      <c r="I277" s="306">
        <f>+IF($H277=I$2,VLOOKUP($G277,Depreciation!$A$14:$L$18,7,FALSE)/2,IF($H277&lt;I$2,VLOOKUP($G277,Depreciation!$A$14:$L$18,7,FALSE),0))</f>
        <v>0</v>
      </c>
      <c r="J277" s="306">
        <f>+IF($H277=J$2,VLOOKUP($G277,Depreciation!$A$14:$L$18,8,FALSE)/2,IF($H277&lt;J$2,VLOOKUP($G277,Depreciation!$A$14:$L$18,8,FALSE),0))</f>
        <v>0</v>
      </c>
      <c r="K277" s="306">
        <f>+IF($H277=K$2,VLOOKUP($G277,Depreciation!$A$14:$L$18,9,FALSE)/2,IF($H277&lt;K$2,VLOOKUP($G277,Depreciation!$A$14:$L$18,9,FALSE),0))</f>
        <v>1.3928409269726289E-2</v>
      </c>
      <c r="L277" s="306">
        <f>+IF($H277=L$2,VLOOKUP($G277,Depreciation!$A$14:$L$18,10,FALSE)/2,IF($H277&lt;L$2,VLOOKUP($G277,Depreciation!$A$14:$L$18,10,FALSE),0))</f>
        <v>2.7856818539452578E-2</v>
      </c>
      <c r="M277" s="306">
        <f>+IF($H277=M$2,VLOOKUP($G277,Depreciation!$A$14:$L$18,11,FALSE)/2,IF($H277&lt;M$2,VLOOKUP($G277,Depreciation!$A$14:$L$18,11,FALSE),0))</f>
        <v>2.7856818539452578E-2</v>
      </c>
      <c r="N277" s="306">
        <f>+IF($H277=N$2,VLOOKUP($G277,Depreciation!$A$14:$L$18,12,FALSE)/2,IF($H277&lt;N$2,VLOOKUP($G277,Depreciation!$A$14:$L$18,12,FALSE),0))</f>
        <v>2.7856818539452578E-2</v>
      </c>
      <c r="O277" s="307">
        <f t="shared" si="33"/>
        <v>113093.11778881941</v>
      </c>
      <c r="P277" s="732">
        <f>'Func Future Subs 2015'!P277</f>
        <v>0</v>
      </c>
      <c r="Q277" s="732">
        <f>'Func Future Subs 2015'!Q277</f>
        <v>0</v>
      </c>
      <c r="R277" s="732">
        <f>'Func Future Subs 2015'!R277</f>
        <v>1</v>
      </c>
      <c r="S277" s="735">
        <f t="shared" si="34"/>
        <v>0</v>
      </c>
      <c r="T277" s="735">
        <f t="shared" si="35"/>
        <v>0</v>
      </c>
      <c r="U277" s="735">
        <f t="shared" si="36"/>
        <v>113093.11778881941</v>
      </c>
      <c r="V277" s="736">
        <f t="shared" si="37"/>
        <v>0</v>
      </c>
      <c r="W277" s="735">
        <f t="shared" si="38"/>
        <v>0</v>
      </c>
      <c r="X277" s="737">
        <f t="shared" si="39"/>
        <v>0</v>
      </c>
      <c r="Y277" s="738">
        <f t="shared" si="40"/>
        <v>113093.11778881941</v>
      </c>
    </row>
    <row r="278" spans="1:25">
      <c r="A278" s="754" t="str">
        <f>'Func Future Subs 2015'!A278</f>
        <v>Substation No.65</v>
      </c>
      <c r="B278" s="754">
        <f>'Func Future Subs 2015'!B278</f>
        <v>1354</v>
      </c>
      <c r="C278" s="754">
        <f>'Func Future Subs 2015'!C278</f>
        <v>138</v>
      </c>
      <c r="D278" s="754">
        <f>'Func Future Subs 2015'!D278</f>
        <v>138</v>
      </c>
      <c r="E278" s="754" t="str">
        <f>'Func Future Subs 2015'!E278</f>
        <v>SS-65</v>
      </c>
      <c r="F278" s="754">
        <f>'Func Future Subs 2015'!F278</f>
        <v>1396717.4283952755</v>
      </c>
      <c r="G278" s="754" t="str">
        <f>'Func Future Subs 2015'!G278</f>
        <v>ENMAX</v>
      </c>
      <c r="H278" s="754">
        <f>'Func Future Subs 2015'!H278</f>
        <v>2017</v>
      </c>
      <c r="I278" s="306">
        <f>+IF($H278=I$2,VLOOKUP($G278,Depreciation!$A$14:$L$18,7,FALSE)/2,IF($H278&lt;I$2,VLOOKUP($G278,Depreciation!$A$14:$L$18,7,FALSE),0))</f>
        <v>0</v>
      </c>
      <c r="J278" s="306">
        <f>+IF($H278=J$2,VLOOKUP($G278,Depreciation!$A$14:$L$18,8,FALSE)/2,IF($H278&lt;J$2,VLOOKUP($G278,Depreciation!$A$14:$L$18,8,FALSE),0))</f>
        <v>0</v>
      </c>
      <c r="K278" s="306">
        <f>+IF($H278=K$2,VLOOKUP($G278,Depreciation!$A$14:$L$18,9,FALSE)/2,IF($H278&lt;K$2,VLOOKUP($G278,Depreciation!$A$14:$L$18,9,FALSE),0))</f>
        <v>1.3928409269726289E-2</v>
      </c>
      <c r="L278" s="306">
        <f>+IF($H278=L$2,VLOOKUP($G278,Depreciation!$A$14:$L$18,10,FALSE)/2,IF($H278&lt;L$2,VLOOKUP($G278,Depreciation!$A$14:$L$18,10,FALSE),0))</f>
        <v>2.7856818539452578E-2</v>
      </c>
      <c r="M278" s="306">
        <f>+IF($H278=M$2,VLOOKUP($G278,Depreciation!$A$14:$L$18,11,FALSE)/2,IF($H278&lt;M$2,VLOOKUP($G278,Depreciation!$A$14:$L$18,11,FALSE),0))</f>
        <v>2.7856818539452578E-2</v>
      </c>
      <c r="N278" s="306">
        <f>+IF($H278=N$2,VLOOKUP($G278,Depreciation!$A$14:$L$18,12,FALSE)/2,IF($H278&lt;N$2,VLOOKUP($G278,Depreciation!$A$14:$L$18,12,FALSE),0))</f>
        <v>2.7856818539452578E-2</v>
      </c>
      <c r="O278" s="307">
        <f t="shared" si="33"/>
        <v>1377263.3764184264</v>
      </c>
      <c r="P278" s="732">
        <f>'Func Future Subs 2015'!P278</f>
        <v>0</v>
      </c>
      <c r="Q278" s="732">
        <f>'Func Future Subs 2015'!Q278</f>
        <v>0</v>
      </c>
      <c r="R278" s="732">
        <f>'Func Future Subs 2015'!R278</f>
        <v>1</v>
      </c>
      <c r="S278" s="735">
        <f t="shared" si="34"/>
        <v>0</v>
      </c>
      <c r="T278" s="735">
        <f t="shared" si="35"/>
        <v>0</v>
      </c>
      <c r="U278" s="735">
        <f t="shared" si="36"/>
        <v>1377263.3764184264</v>
      </c>
      <c r="V278" s="736">
        <f t="shared" si="37"/>
        <v>0</v>
      </c>
      <c r="W278" s="735">
        <f t="shared" si="38"/>
        <v>0</v>
      </c>
      <c r="X278" s="737">
        <f t="shared" si="39"/>
        <v>1377263.3764184264</v>
      </c>
      <c r="Y278" s="738">
        <f t="shared" si="40"/>
        <v>0</v>
      </c>
    </row>
    <row r="279" spans="1:25">
      <c r="A279" s="754" t="str">
        <f>'Func Future Subs 2015'!A279</f>
        <v>Bonnyville 700S</v>
      </c>
      <c r="B279" s="754">
        <f>'Func Future Subs 2015'!B279</f>
        <v>1364</v>
      </c>
      <c r="C279" s="754">
        <f>'Func Future Subs 2015'!C279</f>
        <v>138</v>
      </c>
      <c r="D279" s="754">
        <f>'Func Future Subs 2015'!D279</f>
        <v>25</v>
      </c>
      <c r="E279" s="754" t="str">
        <f>'Func Future Subs 2015'!E279</f>
        <v>700S</v>
      </c>
      <c r="F279" s="754">
        <f>'Func Future Subs 2015'!F279</f>
        <v>57289.359501696126</v>
      </c>
      <c r="G279" s="754" t="str">
        <f>'Func Future Subs 2015'!G279</f>
        <v>AltaLink</v>
      </c>
      <c r="H279" s="754">
        <f>'Func Future Subs 2015'!H279</f>
        <v>2015</v>
      </c>
      <c r="I279" s="306">
        <f>+IF($H279=I$2,VLOOKUP($G279,Depreciation!$A$14:$L$18,7,FALSE)/2,IF($H279&lt;I$2,VLOOKUP($G279,Depreciation!$A$14:$L$18,7,FALSE),0))</f>
        <v>1.7228380322441735E-2</v>
      </c>
      <c r="J279" s="306">
        <f>+IF($H279=J$2,VLOOKUP($G279,Depreciation!$A$14:$L$18,8,FALSE)/2,IF($H279&lt;J$2,VLOOKUP($G279,Depreciation!$A$14:$L$18,8,FALSE),0))</f>
        <v>3.343407856743718E-2</v>
      </c>
      <c r="K279" s="306">
        <f>+IF($H279=K$2,VLOOKUP($G279,Depreciation!$A$14:$L$18,9,FALSE)/2,IF($H279&lt;K$2,VLOOKUP($G279,Depreciation!$A$14:$L$18,9,FALSE),0))</f>
        <v>3.343407856743718E-2</v>
      </c>
      <c r="L279" s="306">
        <f>+IF($H279=L$2,VLOOKUP($G279,Depreciation!$A$14:$L$18,10,FALSE)/2,IF($H279&lt;L$2,VLOOKUP($G279,Depreciation!$A$14:$L$18,10,FALSE),0))</f>
        <v>3.343407856743718E-2</v>
      </c>
      <c r="M279" s="306">
        <f>+IF($H279=M$2,VLOOKUP($G279,Depreciation!$A$14:$L$18,11,FALSE)/2,IF($H279&lt;M$2,VLOOKUP($G279,Depreciation!$A$14:$L$18,11,FALSE),0))</f>
        <v>3.343407856743718E-2</v>
      </c>
      <c r="N279" s="306">
        <f>+IF($H279=N$2,VLOOKUP($G279,Depreciation!$A$14:$L$18,12,FALSE)/2,IF($H279&lt;N$2,VLOOKUP($G279,Depreciation!$A$14:$L$18,12,FALSE),0))</f>
        <v>3.343407856743718E-2</v>
      </c>
      <c r="O279" s="307">
        <f t="shared" si="33"/>
        <v>52600.458689472878</v>
      </c>
      <c r="P279" s="732">
        <f>'Func Future Subs 2015'!P279</f>
        <v>0</v>
      </c>
      <c r="Q279" s="732">
        <f>'Func Future Subs 2015'!Q279</f>
        <v>1</v>
      </c>
      <c r="R279" s="732">
        <f>'Func Future Subs 2015'!R279</f>
        <v>0</v>
      </c>
      <c r="S279" s="735">
        <f t="shared" si="34"/>
        <v>0</v>
      </c>
      <c r="T279" s="735">
        <f t="shared" si="35"/>
        <v>52600.458689472878</v>
      </c>
      <c r="U279" s="735">
        <f t="shared" si="36"/>
        <v>0</v>
      </c>
      <c r="V279" s="736">
        <f t="shared" si="37"/>
        <v>0</v>
      </c>
      <c r="W279" s="735">
        <f t="shared" si="38"/>
        <v>0</v>
      </c>
      <c r="X279" s="737">
        <f t="shared" si="39"/>
        <v>0</v>
      </c>
      <c r="Y279" s="738">
        <f t="shared" si="40"/>
        <v>52600.458689472878</v>
      </c>
    </row>
    <row r="280" spans="1:25">
      <c r="A280" s="754" t="str">
        <f>'Func Future Subs 2015'!A280</f>
        <v>La Corey 721S</v>
      </c>
      <c r="B280" s="754">
        <f>'Func Future Subs 2015'!B280</f>
        <v>1364</v>
      </c>
      <c r="C280" s="754">
        <f>'Func Future Subs 2015'!C280</f>
        <v>138</v>
      </c>
      <c r="D280" s="754">
        <f>'Func Future Subs 2015'!D280</f>
        <v>25</v>
      </c>
      <c r="E280" s="754" t="str">
        <f>'Func Future Subs 2015'!E280</f>
        <v>721S</v>
      </c>
      <c r="F280" s="754">
        <f>'Func Future Subs 2015'!F280</f>
        <v>8476582.5247856006</v>
      </c>
      <c r="G280" s="754" t="str">
        <f>'Func Future Subs 2015'!G280</f>
        <v>AltaLink</v>
      </c>
      <c r="H280" s="754">
        <f>'Func Future Subs 2015'!H280</f>
        <v>2015</v>
      </c>
      <c r="I280" s="306">
        <f>+IF($H280=I$2,VLOOKUP($G280,Depreciation!$A$14:$L$18,7,FALSE)/2,IF($H280&lt;I$2,VLOOKUP($G280,Depreciation!$A$14:$L$18,7,FALSE),0))</f>
        <v>1.7228380322441735E-2</v>
      </c>
      <c r="J280" s="306">
        <f>+IF($H280=J$2,VLOOKUP($G280,Depreciation!$A$14:$L$18,8,FALSE)/2,IF($H280&lt;J$2,VLOOKUP($G280,Depreciation!$A$14:$L$18,8,FALSE),0))</f>
        <v>3.343407856743718E-2</v>
      </c>
      <c r="K280" s="306">
        <f>+IF($H280=K$2,VLOOKUP($G280,Depreciation!$A$14:$L$18,9,FALSE)/2,IF($H280&lt;K$2,VLOOKUP($G280,Depreciation!$A$14:$L$18,9,FALSE),0))</f>
        <v>3.343407856743718E-2</v>
      </c>
      <c r="L280" s="306">
        <f>+IF($H280=L$2,VLOOKUP($G280,Depreciation!$A$14:$L$18,10,FALSE)/2,IF($H280&lt;L$2,VLOOKUP($G280,Depreciation!$A$14:$L$18,10,FALSE),0))</f>
        <v>3.343407856743718E-2</v>
      </c>
      <c r="M280" s="306">
        <f>+IF($H280=M$2,VLOOKUP($G280,Depreciation!$A$14:$L$18,11,FALSE)/2,IF($H280&lt;M$2,VLOOKUP($G280,Depreciation!$A$14:$L$18,11,FALSE),0))</f>
        <v>3.343407856743718E-2</v>
      </c>
      <c r="N280" s="306">
        <f>+IF($H280=N$2,VLOOKUP($G280,Depreciation!$A$14:$L$18,12,FALSE)/2,IF($H280&lt;N$2,VLOOKUP($G280,Depreciation!$A$14:$L$18,12,FALSE),0))</f>
        <v>3.343407856743718E-2</v>
      </c>
      <c r="O280" s="307">
        <f t="shared" si="33"/>
        <v>7782808.7589230621</v>
      </c>
      <c r="P280" s="732">
        <f>'Func Future Subs 2015'!P280</f>
        <v>0</v>
      </c>
      <c r="Q280" s="732">
        <f>'Func Future Subs 2015'!Q280</f>
        <v>1</v>
      </c>
      <c r="R280" s="732">
        <f>'Func Future Subs 2015'!R280</f>
        <v>0</v>
      </c>
      <c r="S280" s="735">
        <f t="shared" si="34"/>
        <v>0</v>
      </c>
      <c r="T280" s="735">
        <f t="shared" si="35"/>
        <v>7782808.7589230621</v>
      </c>
      <c r="U280" s="735">
        <f t="shared" si="36"/>
        <v>0</v>
      </c>
      <c r="V280" s="736">
        <f t="shared" si="37"/>
        <v>0</v>
      </c>
      <c r="W280" s="735">
        <f t="shared" si="38"/>
        <v>0</v>
      </c>
      <c r="X280" s="737">
        <f t="shared" si="39"/>
        <v>0</v>
      </c>
      <c r="Y280" s="738">
        <f t="shared" si="40"/>
        <v>7782808.7589230621</v>
      </c>
    </row>
    <row r="281" spans="1:25">
      <c r="A281" s="754" t="str">
        <f>'Func Future Subs 2015'!A281</f>
        <v>Marguerite Lake 826S</v>
      </c>
      <c r="B281" s="754">
        <f>'Func Future Subs 2015'!B281</f>
        <v>1364</v>
      </c>
      <c r="C281" s="754">
        <f>'Func Future Subs 2015'!C281</f>
        <v>240</v>
      </c>
      <c r="D281" s="754">
        <f>'Func Future Subs 2015'!D281</f>
        <v>138</v>
      </c>
      <c r="E281" s="754" t="str">
        <f>'Func Future Subs 2015'!E281</f>
        <v>826S</v>
      </c>
      <c r="F281" s="754">
        <f>'Func Future Subs 2015'!F281</f>
        <v>57289.359501696126</v>
      </c>
      <c r="G281" s="754" t="str">
        <f>'Func Future Subs 2015'!G281</f>
        <v>AltaLink</v>
      </c>
      <c r="H281" s="754">
        <f>'Func Future Subs 2015'!H281</f>
        <v>2015</v>
      </c>
      <c r="I281" s="306">
        <f>+IF($H281=I$2,VLOOKUP($G281,Depreciation!$A$14:$L$18,7,FALSE)/2,IF($H281&lt;I$2,VLOOKUP($G281,Depreciation!$A$14:$L$18,7,FALSE),0))</f>
        <v>1.7228380322441735E-2</v>
      </c>
      <c r="J281" s="306">
        <f>+IF($H281=J$2,VLOOKUP($G281,Depreciation!$A$14:$L$18,8,FALSE)/2,IF($H281&lt;J$2,VLOOKUP($G281,Depreciation!$A$14:$L$18,8,FALSE),0))</f>
        <v>3.343407856743718E-2</v>
      </c>
      <c r="K281" s="306">
        <f>+IF($H281=K$2,VLOOKUP($G281,Depreciation!$A$14:$L$18,9,FALSE)/2,IF($H281&lt;K$2,VLOOKUP($G281,Depreciation!$A$14:$L$18,9,FALSE),0))</f>
        <v>3.343407856743718E-2</v>
      </c>
      <c r="L281" s="306">
        <f>+IF($H281=L$2,VLOOKUP($G281,Depreciation!$A$14:$L$18,10,FALSE)/2,IF($H281&lt;L$2,VLOOKUP($G281,Depreciation!$A$14:$L$18,10,FALSE),0))</f>
        <v>3.343407856743718E-2</v>
      </c>
      <c r="M281" s="306">
        <f>+IF($H281=M$2,VLOOKUP($G281,Depreciation!$A$14:$L$18,11,FALSE)/2,IF($H281&lt;M$2,VLOOKUP($G281,Depreciation!$A$14:$L$18,11,FALSE),0))</f>
        <v>3.343407856743718E-2</v>
      </c>
      <c r="N281" s="306">
        <f>+IF($H281=N$2,VLOOKUP($G281,Depreciation!$A$14:$L$18,12,FALSE)/2,IF($H281&lt;N$2,VLOOKUP($G281,Depreciation!$A$14:$L$18,12,FALSE),0))</f>
        <v>3.343407856743718E-2</v>
      </c>
      <c r="O281" s="307">
        <f t="shared" si="33"/>
        <v>52600.458689472878</v>
      </c>
      <c r="P281" s="732">
        <f>'Func Future Subs 2015'!P281</f>
        <v>0</v>
      </c>
      <c r="Q281" s="732">
        <f>'Func Future Subs 2015'!Q281</f>
        <v>0</v>
      </c>
      <c r="R281" s="732">
        <f>'Func Future Subs 2015'!R281</f>
        <v>1</v>
      </c>
      <c r="S281" s="735">
        <f t="shared" si="34"/>
        <v>0</v>
      </c>
      <c r="T281" s="735">
        <f t="shared" si="35"/>
        <v>0</v>
      </c>
      <c r="U281" s="735">
        <f t="shared" si="36"/>
        <v>52600.458689472878</v>
      </c>
      <c r="V281" s="736">
        <f t="shared" si="37"/>
        <v>0</v>
      </c>
      <c r="W281" s="735">
        <f t="shared" si="38"/>
        <v>0</v>
      </c>
      <c r="X281" s="737">
        <f t="shared" si="39"/>
        <v>52600.458689472878</v>
      </c>
      <c r="Y281" s="738">
        <f t="shared" si="40"/>
        <v>0</v>
      </c>
    </row>
    <row r="282" spans="1:25">
      <c r="A282" s="754" t="str">
        <f>'Func Future Subs 2015'!A282</f>
        <v>Josephburg 410S upgrade_(Alt3)</v>
      </c>
      <c r="B282" s="754">
        <f>'Func Future Subs 2015'!B282</f>
        <v>1381</v>
      </c>
      <c r="C282" s="754">
        <f>'Func Future Subs 2015'!C282</f>
        <v>240</v>
      </c>
      <c r="D282" s="754">
        <f>'Func Future Subs 2015'!D282</f>
        <v>138</v>
      </c>
      <c r="E282" s="754" t="str">
        <f>'Func Future Subs 2015'!E282</f>
        <v>410S</v>
      </c>
      <c r="F282" s="754">
        <f>'Func Future Subs 2015'!F282</f>
        <v>5362918.7901881374</v>
      </c>
      <c r="G282" s="754" t="str">
        <f>'Func Future Subs 2015'!G282</f>
        <v>AltaLink</v>
      </c>
      <c r="H282" s="754">
        <f>'Func Future Subs 2015'!H282</f>
        <v>2019</v>
      </c>
      <c r="I282" s="306">
        <f>+IF($H282=I$2,VLOOKUP($G282,Depreciation!$A$14:$L$18,7,FALSE)/2,IF($H282&lt;I$2,VLOOKUP($G282,Depreciation!$A$14:$L$18,7,FALSE),0))</f>
        <v>0</v>
      </c>
      <c r="J282" s="306">
        <f>+IF($H282=J$2,VLOOKUP($G282,Depreciation!$A$14:$L$18,8,FALSE)/2,IF($H282&lt;J$2,VLOOKUP($G282,Depreciation!$A$14:$L$18,8,FALSE),0))</f>
        <v>0</v>
      </c>
      <c r="K282" s="306">
        <f>+IF($H282=K$2,VLOOKUP($G282,Depreciation!$A$14:$L$18,9,FALSE)/2,IF($H282&lt;K$2,VLOOKUP($G282,Depreciation!$A$14:$L$18,9,FALSE),0))</f>
        <v>0</v>
      </c>
      <c r="L282" s="306">
        <f>+IF($H282=L$2,VLOOKUP($G282,Depreciation!$A$14:$L$18,10,FALSE)/2,IF($H282&lt;L$2,VLOOKUP($G282,Depreciation!$A$14:$L$18,10,FALSE),0))</f>
        <v>0</v>
      </c>
      <c r="M282" s="306">
        <f>+IF($H282=M$2,VLOOKUP($G282,Depreciation!$A$14:$L$18,11,FALSE)/2,IF($H282&lt;M$2,VLOOKUP($G282,Depreciation!$A$14:$L$18,11,FALSE),0))</f>
        <v>1.671703928371859E-2</v>
      </c>
      <c r="N282" s="306">
        <f>+IF($H282=N$2,VLOOKUP($G282,Depreciation!$A$14:$L$18,12,FALSE)/2,IF($H282&lt;N$2,VLOOKUP($G282,Depreciation!$A$14:$L$18,12,FALSE),0))</f>
        <v>3.343407856743718E-2</v>
      </c>
      <c r="O282" s="307">
        <f t="shared" si="33"/>
        <v>0</v>
      </c>
      <c r="P282" s="732">
        <f>'Func Future Subs 2015'!P282</f>
        <v>0</v>
      </c>
      <c r="Q282" s="732">
        <f>'Func Future Subs 2015'!Q282</f>
        <v>0</v>
      </c>
      <c r="R282" s="732">
        <f>'Func Future Subs 2015'!R282</f>
        <v>1</v>
      </c>
      <c r="S282" s="735">
        <f t="shared" si="34"/>
        <v>0</v>
      </c>
      <c r="T282" s="735">
        <f t="shared" si="35"/>
        <v>0</v>
      </c>
      <c r="U282" s="735">
        <f t="shared" si="36"/>
        <v>0</v>
      </c>
      <c r="V282" s="736">
        <f t="shared" si="37"/>
        <v>0</v>
      </c>
      <c r="W282" s="735">
        <f t="shared" si="38"/>
        <v>0</v>
      </c>
      <c r="X282" s="737">
        <f t="shared" si="39"/>
        <v>0</v>
      </c>
      <c r="Y282" s="738">
        <f t="shared" si="40"/>
        <v>0</v>
      </c>
    </row>
    <row r="283" spans="1:25">
      <c r="A283" s="754" t="str">
        <f>'Func Future Subs 2015'!A283</f>
        <v>Red Deer 63S</v>
      </c>
      <c r="B283" s="754">
        <f>'Func Future Subs 2015'!B283</f>
        <v>1394</v>
      </c>
      <c r="C283" s="754">
        <f>'Func Future Subs 2015'!C283</f>
        <v>240</v>
      </c>
      <c r="D283" s="754">
        <f>'Func Future Subs 2015'!D283</f>
        <v>25</v>
      </c>
      <c r="E283" s="754" t="str">
        <f>'Func Future Subs 2015'!E283</f>
        <v>63S</v>
      </c>
      <c r="F283" s="754">
        <f>'Func Future Subs 2015'!F283</f>
        <v>5221999.9999999972</v>
      </c>
      <c r="G283" s="754" t="str">
        <f>'Func Future Subs 2015'!G283</f>
        <v>AltaLink</v>
      </c>
      <c r="H283" s="754">
        <f>'Func Future Subs 2015'!H283</f>
        <v>2015</v>
      </c>
      <c r="I283" s="306">
        <f>+IF($H283=I$2,VLOOKUP($G283,Depreciation!$A$14:$L$18,7,FALSE)/2,IF($H283&lt;I$2,VLOOKUP($G283,Depreciation!$A$14:$L$18,7,FALSE),0))</f>
        <v>1.7228380322441735E-2</v>
      </c>
      <c r="J283" s="306">
        <f>+IF($H283=J$2,VLOOKUP($G283,Depreciation!$A$14:$L$18,8,FALSE)/2,IF($H283&lt;J$2,VLOOKUP($G283,Depreciation!$A$14:$L$18,8,FALSE),0))</f>
        <v>3.343407856743718E-2</v>
      </c>
      <c r="K283" s="306">
        <f>+IF($H283=K$2,VLOOKUP($G283,Depreciation!$A$14:$L$18,9,FALSE)/2,IF($H283&lt;K$2,VLOOKUP($G283,Depreciation!$A$14:$L$18,9,FALSE),0))</f>
        <v>3.343407856743718E-2</v>
      </c>
      <c r="L283" s="306">
        <f>+IF($H283=L$2,VLOOKUP($G283,Depreciation!$A$14:$L$18,10,FALSE)/2,IF($H283&lt;L$2,VLOOKUP($G283,Depreciation!$A$14:$L$18,10,FALSE),0))</f>
        <v>3.343407856743718E-2</v>
      </c>
      <c r="M283" s="306">
        <f>+IF($H283=M$2,VLOOKUP($G283,Depreciation!$A$14:$L$18,11,FALSE)/2,IF($H283&lt;M$2,VLOOKUP($G283,Depreciation!$A$14:$L$18,11,FALSE),0))</f>
        <v>3.343407856743718E-2</v>
      </c>
      <c r="N283" s="306">
        <f>+IF($H283=N$2,VLOOKUP($G283,Depreciation!$A$14:$L$18,12,FALSE)/2,IF($H283&lt;N$2,VLOOKUP($G283,Depreciation!$A$14:$L$18,12,FALSE),0))</f>
        <v>3.343407856743718E-2</v>
      </c>
      <c r="O283" s="307">
        <f t="shared" si="33"/>
        <v>4794600.5622264808</v>
      </c>
      <c r="P283" s="732">
        <f>'Func Future Subs 2015'!P283</f>
        <v>0</v>
      </c>
      <c r="Q283" s="732">
        <f>'Func Future Subs 2015'!Q283</f>
        <v>1</v>
      </c>
      <c r="R283" s="732">
        <f>'Func Future Subs 2015'!R283</f>
        <v>0</v>
      </c>
      <c r="S283" s="735">
        <f t="shared" si="34"/>
        <v>0</v>
      </c>
      <c r="T283" s="735">
        <f t="shared" si="35"/>
        <v>4794600.5622264808</v>
      </c>
      <c r="U283" s="735">
        <f t="shared" si="36"/>
        <v>0</v>
      </c>
      <c r="V283" s="736">
        <f t="shared" si="37"/>
        <v>0</v>
      </c>
      <c r="W283" s="735">
        <f t="shared" si="38"/>
        <v>0</v>
      </c>
      <c r="X283" s="737">
        <f t="shared" si="39"/>
        <v>0</v>
      </c>
      <c r="Y283" s="738">
        <f t="shared" si="40"/>
        <v>4794600.5622264808</v>
      </c>
    </row>
    <row r="284" spans="1:25">
      <c r="A284" s="754" t="str">
        <f>'Func Future Subs 2015'!A284</f>
        <v>Black Spruce 154S</v>
      </c>
      <c r="B284" s="754">
        <f>'Func Future Subs 2015'!B284</f>
        <v>1404</v>
      </c>
      <c r="C284" s="754">
        <f>'Func Future Subs 2015'!C284</f>
        <v>240</v>
      </c>
      <c r="D284" s="754">
        <f>'Func Future Subs 2015'!D284</f>
        <v>240</v>
      </c>
      <c r="E284" s="754" t="str">
        <f>'Func Future Subs 2015'!E284</f>
        <v>154S</v>
      </c>
      <c r="F284" s="754">
        <f>'Func Future Subs 2015'!F284</f>
        <v>278684.58054174558</v>
      </c>
      <c r="G284" s="754" t="str">
        <f>'Func Future Subs 2015'!G284</f>
        <v>AltaLink</v>
      </c>
      <c r="H284" s="754">
        <f>'Func Future Subs 2015'!H284</f>
        <v>2017</v>
      </c>
      <c r="I284" s="306">
        <f>+IF($H284=I$2,VLOOKUP($G284,Depreciation!$A$14:$L$18,7,FALSE)/2,IF($H284&lt;I$2,VLOOKUP($G284,Depreciation!$A$14:$L$18,7,FALSE),0))</f>
        <v>0</v>
      </c>
      <c r="J284" s="306">
        <f>+IF($H284=J$2,VLOOKUP($G284,Depreciation!$A$14:$L$18,8,FALSE)/2,IF($H284&lt;J$2,VLOOKUP($G284,Depreciation!$A$14:$L$18,8,FALSE),0))</f>
        <v>0</v>
      </c>
      <c r="K284" s="306">
        <f>+IF($H284=K$2,VLOOKUP($G284,Depreciation!$A$14:$L$18,9,FALSE)/2,IF($H284&lt;K$2,VLOOKUP($G284,Depreciation!$A$14:$L$18,9,FALSE),0))</f>
        <v>1.671703928371859E-2</v>
      </c>
      <c r="L284" s="306">
        <f>+IF($H284=L$2,VLOOKUP($G284,Depreciation!$A$14:$L$18,10,FALSE)/2,IF($H284&lt;L$2,VLOOKUP($G284,Depreciation!$A$14:$L$18,10,FALSE),0))</f>
        <v>3.343407856743718E-2</v>
      </c>
      <c r="M284" s="306">
        <f>+IF($H284=M$2,VLOOKUP($G284,Depreciation!$A$14:$L$18,11,FALSE)/2,IF($H284&lt;M$2,VLOOKUP($G284,Depreciation!$A$14:$L$18,11,FALSE),0))</f>
        <v>3.343407856743718E-2</v>
      </c>
      <c r="N284" s="306">
        <f>+IF($H284=N$2,VLOOKUP($G284,Depreciation!$A$14:$L$18,12,FALSE)/2,IF($H284&lt;N$2,VLOOKUP($G284,Depreciation!$A$14:$L$18,12,FALSE),0))</f>
        <v>3.343407856743718E-2</v>
      </c>
      <c r="O284" s="307">
        <f t="shared" si="33"/>
        <v>274025.79946106259</v>
      </c>
      <c r="P284" s="732">
        <f>'Func Future Subs 2015'!P284</f>
        <v>0</v>
      </c>
      <c r="Q284" s="732">
        <f>'Func Future Subs 2015'!Q284</f>
        <v>0</v>
      </c>
      <c r="R284" s="732">
        <f>'Func Future Subs 2015'!R284</f>
        <v>1</v>
      </c>
      <c r="S284" s="735">
        <f t="shared" si="34"/>
        <v>0</v>
      </c>
      <c r="T284" s="735">
        <f t="shared" si="35"/>
        <v>0</v>
      </c>
      <c r="U284" s="735">
        <f t="shared" si="36"/>
        <v>274025.79946106259</v>
      </c>
      <c r="V284" s="736">
        <f t="shared" si="37"/>
        <v>0</v>
      </c>
      <c r="W284" s="735">
        <f t="shared" si="38"/>
        <v>274025.79946106259</v>
      </c>
      <c r="X284" s="737">
        <f t="shared" si="39"/>
        <v>0</v>
      </c>
      <c r="Y284" s="738">
        <f t="shared" si="40"/>
        <v>0</v>
      </c>
    </row>
    <row r="285" spans="1:25">
      <c r="A285" s="754" t="str">
        <f>'Func Future Subs 2015'!A285</f>
        <v>Boreal 193S</v>
      </c>
      <c r="B285" s="754">
        <f>'Func Future Subs 2015'!B285</f>
        <v>1404</v>
      </c>
      <c r="C285" s="754">
        <f>'Func Future Subs 2015'!C285</f>
        <v>240</v>
      </c>
      <c r="D285" s="754">
        <f>'Func Future Subs 2015'!D285</f>
        <v>25</v>
      </c>
      <c r="E285" s="754" t="str">
        <f>'Func Future Subs 2015'!E285</f>
        <v>193S</v>
      </c>
      <c r="F285" s="754">
        <f>'Func Future Subs 2015'!F285</f>
        <v>404849.17125705519</v>
      </c>
      <c r="G285" s="754" t="str">
        <f>'Func Future Subs 2015'!G285</f>
        <v>AltaLink</v>
      </c>
      <c r="H285" s="754">
        <f>'Func Future Subs 2015'!H285</f>
        <v>2017</v>
      </c>
      <c r="I285" s="306">
        <f>+IF($H285=I$2,VLOOKUP($G285,Depreciation!$A$14:$L$18,7,FALSE)/2,IF($H285&lt;I$2,VLOOKUP($G285,Depreciation!$A$14:$L$18,7,FALSE),0))</f>
        <v>0</v>
      </c>
      <c r="J285" s="306">
        <f>+IF($H285=J$2,VLOOKUP($G285,Depreciation!$A$14:$L$18,8,FALSE)/2,IF($H285&lt;J$2,VLOOKUP($G285,Depreciation!$A$14:$L$18,8,FALSE),0))</f>
        <v>0</v>
      </c>
      <c r="K285" s="306">
        <f>+IF($H285=K$2,VLOOKUP($G285,Depreciation!$A$14:$L$18,9,FALSE)/2,IF($H285&lt;K$2,VLOOKUP($G285,Depreciation!$A$14:$L$18,9,FALSE),0))</f>
        <v>1.671703928371859E-2</v>
      </c>
      <c r="L285" s="306">
        <f>+IF($H285=L$2,VLOOKUP($G285,Depreciation!$A$14:$L$18,10,FALSE)/2,IF($H285&lt;L$2,VLOOKUP($G285,Depreciation!$A$14:$L$18,10,FALSE),0))</f>
        <v>3.343407856743718E-2</v>
      </c>
      <c r="M285" s="306">
        <f>+IF($H285=M$2,VLOOKUP($G285,Depreciation!$A$14:$L$18,11,FALSE)/2,IF($H285&lt;M$2,VLOOKUP($G285,Depreciation!$A$14:$L$18,11,FALSE),0))</f>
        <v>3.343407856743718E-2</v>
      </c>
      <c r="N285" s="306">
        <f>+IF($H285=N$2,VLOOKUP($G285,Depreciation!$A$14:$L$18,12,FALSE)/2,IF($H285&lt;N$2,VLOOKUP($G285,Depreciation!$A$14:$L$18,12,FALSE),0))</f>
        <v>3.343407856743718E-2</v>
      </c>
      <c r="O285" s="307">
        <f t="shared" si="33"/>
        <v>398081.29175717011</v>
      </c>
      <c r="P285" s="732">
        <f>'Func Future Subs 2015'!P285</f>
        <v>0</v>
      </c>
      <c r="Q285" s="732">
        <f>'Func Future Subs 2015'!Q285</f>
        <v>0</v>
      </c>
      <c r="R285" s="732">
        <f>'Func Future Subs 2015'!R285</f>
        <v>1</v>
      </c>
      <c r="S285" s="735">
        <f t="shared" si="34"/>
        <v>0</v>
      </c>
      <c r="T285" s="735">
        <f t="shared" si="35"/>
        <v>0</v>
      </c>
      <c r="U285" s="735">
        <f t="shared" si="36"/>
        <v>398081.29175717011</v>
      </c>
      <c r="V285" s="736">
        <f t="shared" si="37"/>
        <v>0</v>
      </c>
      <c r="W285" s="735">
        <f t="shared" si="38"/>
        <v>0</v>
      </c>
      <c r="X285" s="737">
        <f t="shared" si="39"/>
        <v>0</v>
      </c>
      <c r="Y285" s="738">
        <f t="shared" si="40"/>
        <v>398081.29175717011</v>
      </c>
    </row>
    <row r="286" spans="1:25">
      <c r="A286" s="754" t="str">
        <f>'Func Future Subs 2015'!A286</f>
        <v>Conklin 762S</v>
      </c>
      <c r="B286" s="754">
        <f>'Func Future Subs 2015'!B286</f>
        <v>1404</v>
      </c>
      <c r="C286" s="754">
        <f>'Func Future Subs 2015'!C286</f>
        <v>240</v>
      </c>
      <c r="D286" s="754">
        <f>'Func Future Subs 2015'!D286</f>
        <v>25</v>
      </c>
      <c r="E286" s="754" t="str">
        <f>'Func Future Subs 2015'!E286</f>
        <v>762S</v>
      </c>
      <c r="F286" s="754">
        <f>'Func Future Subs 2015'!F286</f>
        <v>168402.5482694711</v>
      </c>
      <c r="G286" s="754" t="str">
        <f>'Func Future Subs 2015'!G286</f>
        <v>AltaLink</v>
      </c>
      <c r="H286" s="754">
        <f>'Func Future Subs 2015'!H286</f>
        <v>2017</v>
      </c>
      <c r="I286" s="306">
        <f>+IF($H286=I$2,VLOOKUP($G286,Depreciation!$A$14:$L$18,7,FALSE)/2,IF($H286&lt;I$2,VLOOKUP($G286,Depreciation!$A$14:$L$18,7,FALSE),0))</f>
        <v>0</v>
      </c>
      <c r="J286" s="306">
        <f>+IF($H286=J$2,VLOOKUP($G286,Depreciation!$A$14:$L$18,8,FALSE)/2,IF($H286&lt;J$2,VLOOKUP($G286,Depreciation!$A$14:$L$18,8,FALSE),0))</f>
        <v>0</v>
      </c>
      <c r="K286" s="306">
        <f>+IF($H286=K$2,VLOOKUP($G286,Depreciation!$A$14:$L$18,9,FALSE)/2,IF($H286&lt;K$2,VLOOKUP($G286,Depreciation!$A$14:$L$18,9,FALSE),0))</f>
        <v>1.671703928371859E-2</v>
      </c>
      <c r="L286" s="306">
        <f>+IF($H286=L$2,VLOOKUP($G286,Depreciation!$A$14:$L$18,10,FALSE)/2,IF($H286&lt;L$2,VLOOKUP($G286,Depreciation!$A$14:$L$18,10,FALSE),0))</f>
        <v>3.343407856743718E-2</v>
      </c>
      <c r="M286" s="306">
        <f>+IF($H286=M$2,VLOOKUP($G286,Depreciation!$A$14:$L$18,11,FALSE)/2,IF($H286&lt;M$2,VLOOKUP($G286,Depreciation!$A$14:$L$18,11,FALSE),0))</f>
        <v>3.343407856743718E-2</v>
      </c>
      <c r="N286" s="306">
        <f>+IF($H286=N$2,VLOOKUP($G286,Depreciation!$A$14:$L$18,12,FALSE)/2,IF($H286&lt;N$2,VLOOKUP($G286,Depreciation!$A$14:$L$18,12,FALSE),0))</f>
        <v>3.343407856743718E-2</v>
      </c>
      <c r="O286" s="307">
        <f t="shared" si="33"/>
        <v>165587.35625457202</v>
      </c>
      <c r="P286" s="732">
        <f>'Func Future Subs 2015'!P286</f>
        <v>0.92307692307692313</v>
      </c>
      <c r="Q286" s="732">
        <f>'Func Future Subs 2015'!Q286</f>
        <v>7.6923076923076927E-2</v>
      </c>
      <c r="R286" s="732">
        <f>'Func Future Subs 2015'!R286</f>
        <v>0</v>
      </c>
      <c r="S286" s="735">
        <f t="shared" si="34"/>
        <v>152849.86731191265</v>
      </c>
      <c r="T286" s="735">
        <f t="shared" si="35"/>
        <v>12737.488942659387</v>
      </c>
      <c r="U286" s="735">
        <f t="shared" si="36"/>
        <v>0</v>
      </c>
      <c r="V286" s="736">
        <f t="shared" si="37"/>
        <v>0</v>
      </c>
      <c r="W286" s="735">
        <f t="shared" si="38"/>
        <v>152849.86731191265</v>
      </c>
      <c r="X286" s="737">
        <f t="shared" si="39"/>
        <v>0</v>
      </c>
      <c r="Y286" s="738">
        <f t="shared" si="40"/>
        <v>12737.488942659387</v>
      </c>
    </row>
    <row r="287" spans="1:25">
      <c r="A287" s="754" t="str">
        <f>'Func Future Subs 2015'!A287</f>
        <v>Modify Vermillion 710S substation</v>
      </c>
      <c r="B287" s="754">
        <f>'Func Future Subs 2015'!B287</f>
        <v>1410</v>
      </c>
      <c r="C287" s="754">
        <f>'Func Future Subs 2015'!C287</f>
        <v>240</v>
      </c>
      <c r="D287" s="754">
        <f>'Func Future Subs 2015'!D287</f>
        <v>25</v>
      </c>
      <c r="E287" s="754" t="str">
        <f>'Func Future Subs 2015'!E287</f>
        <v>710S</v>
      </c>
      <c r="F287" s="754">
        <f>'Func Future Subs 2015'!F287</f>
        <v>15324.249757272422</v>
      </c>
      <c r="G287" s="754" t="str">
        <f>'Func Future Subs 2015'!G287</f>
        <v>ATCO</v>
      </c>
      <c r="H287" s="754">
        <f>'Func Future Subs 2015'!H287</f>
        <v>2017</v>
      </c>
      <c r="I287" s="306">
        <f>+IF($H287=I$2,VLOOKUP($G287,Depreciation!$A$14:$L$18,7,FALSE)/2,IF($H287&lt;I$2,VLOOKUP($G287,Depreciation!$A$14:$L$18,7,FALSE),0))</f>
        <v>0</v>
      </c>
      <c r="J287" s="306">
        <f>+IF($H287=J$2,VLOOKUP($G287,Depreciation!$A$14:$L$18,8,FALSE)/2,IF($H287&lt;J$2,VLOOKUP($G287,Depreciation!$A$14:$L$18,8,FALSE),0))</f>
        <v>0</v>
      </c>
      <c r="K287" s="306">
        <f>+IF($H287=K$2,VLOOKUP($G287,Depreciation!$A$14:$L$18,9,FALSE)/2,IF($H287&lt;K$2,VLOOKUP($G287,Depreciation!$A$14:$L$18,9,FALSE),0))</f>
        <v>1.2175768213899416E-2</v>
      </c>
      <c r="L287" s="306">
        <f>+IF($H287=L$2,VLOOKUP($G287,Depreciation!$A$14:$L$18,10,FALSE)/2,IF($H287&lt;L$2,VLOOKUP($G287,Depreciation!$A$14:$L$18,10,FALSE),0))</f>
        <v>2.4351536427798831E-2</v>
      </c>
      <c r="M287" s="306">
        <f>+IF($H287=M$2,VLOOKUP($G287,Depreciation!$A$14:$L$18,11,FALSE)/2,IF($H287&lt;M$2,VLOOKUP($G287,Depreciation!$A$14:$L$18,11,FALSE),0))</f>
        <v>2.4351536427798831E-2</v>
      </c>
      <c r="N287" s="306">
        <f>+IF($H287=N$2,VLOOKUP($G287,Depreciation!$A$14:$L$18,12,FALSE)/2,IF($H287&lt;N$2,VLOOKUP($G287,Depreciation!$A$14:$L$18,12,FALSE),0))</f>
        <v>2.4351536427798831E-2</v>
      </c>
      <c r="O287" s="307">
        <f t="shared" si="33"/>
        <v>15137.665244175969</v>
      </c>
      <c r="P287" s="732">
        <f>'Func Future Subs 2015'!P287</f>
        <v>0</v>
      </c>
      <c r="Q287" s="732">
        <f>'Func Future Subs 2015'!Q287</f>
        <v>1</v>
      </c>
      <c r="R287" s="732">
        <f>'Func Future Subs 2015'!R287</f>
        <v>0</v>
      </c>
      <c r="S287" s="735">
        <f t="shared" si="34"/>
        <v>0</v>
      </c>
      <c r="T287" s="735">
        <f t="shared" si="35"/>
        <v>15137.665244175969</v>
      </c>
      <c r="U287" s="735">
        <f t="shared" si="36"/>
        <v>0</v>
      </c>
      <c r="V287" s="736">
        <f t="shared" si="37"/>
        <v>0</v>
      </c>
      <c r="W287" s="735">
        <f t="shared" si="38"/>
        <v>0</v>
      </c>
      <c r="X287" s="737">
        <f t="shared" si="39"/>
        <v>0</v>
      </c>
      <c r="Y287" s="738">
        <f t="shared" si="40"/>
        <v>15137.665244175969</v>
      </c>
    </row>
    <row r="288" spans="1:25">
      <c r="A288" s="754" t="str">
        <f>'Func Future Subs 2015'!A288</f>
        <v>New Vincent 2019S POD substation</v>
      </c>
      <c r="B288" s="754">
        <f>'Func Future Subs 2015'!B288</f>
        <v>1410</v>
      </c>
      <c r="C288" s="754">
        <f>'Func Future Subs 2015'!C288</f>
        <v>144</v>
      </c>
      <c r="D288" s="754">
        <f>'Func Future Subs 2015'!D288</f>
        <v>25</v>
      </c>
      <c r="E288" s="754" t="str">
        <f>'Func Future Subs 2015'!E288</f>
        <v>2019S</v>
      </c>
      <c r="F288" s="754">
        <f>'Func Future Subs 2015'!F288</f>
        <v>8044760.2895575566</v>
      </c>
      <c r="G288" s="754" t="str">
        <f>'Func Future Subs 2015'!G288</f>
        <v>ATCO</v>
      </c>
      <c r="H288" s="754">
        <f>'Func Future Subs 2015'!H288</f>
        <v>2017</v>
      </c>
      <c r="I288" s="306">
        <f>+IF($H288=I$2,VLOOKUP($G288,Depreciation!$A$14:$L$18,7,FALSE)/2,IF($H288&lt;I$2,VLOOKUP($G288,Depreciation!$A$14:$L$18,7,FALSE),0))</f>
        <v>0</v>
      </c>
      <c r="J288" s="306">
        <f>+IF($H288=J$2,VLOOKUP($G288,Depreciation!$A$14:$L$18,8,FALSE)/2,IF($H288&lt;J$2,VLOOKUP($G288,Depreciation!$A$14:$L$18,8,FALSE),0))</f>
        <v>0</v>
      </c>
      <c r="K288" s="306">
        <f>+IF($H288=K$2,VLOOKUP($G288,Depreciation!$A$14:$L$18,9,FALSE)/2,IF($H288&lt;K$2,VLOOKUP($G288,Depreciation!$A$14:$L$18,9,FALSE),0))</f>
        <v>1.2175768213899416E-2</v>
      </c>
      <c r="L288" s="306">
        <f>+IF($H288=L$2,VLOOKUP($G288,Depreciation!$A$14:$L$18,10,FALSE)/2,IF($H288&lt;L$2,VLOOKUP($G288,Depreciation!$A$14:$L$18,10,FALSE),0))</f>
        <v>2.4351536427798831E-2</v>
      </c>
      <c r="M288" s="306">
        <f>+IF($H288=M$2,VLOOKUP($G288,Depreciation!$A$14:$L$18,11,FALSE)/2,IF($H288&lt;M$2,VLOOKUP($G288,Depreciation!$A$14:$L$18,11,FALSE),0))</f>
        <v>2.4351536427798831E-2</v>
      </c>
      <c r="N288" s="306">
        <f>+IF($H288=N$2,VLOOKUP($G288,Depreciation!$A$14:$L$18,12,FALSE)/2,IF($H288&lt;N$2,VLOOKUP($G288,Depreciation!$A$14:$L$18,12,FALSE),0))</f>
        <v>2.4351536427798831E-2</v>
      </c>
      <c r="O288" s="307">
        <f t="shared" si="33"/>
        <v>7946809.1529355217</v>
      </c>
      <c r="P288" s="732">
        <f>'Func Future Subs 2015'!P288</f>
        <v>0</v>
      </c>
      <c r="Q288" s="732">
        <f>'Func Future Subs 2015'!Q288</f>
        <v>0</v>
      </c>
      <c r="R288" s="732">
        <f>'Func Future Subs 2015'!R288</f>
        <v>1</v>
      </c>
      <c r="S288" s="735">
        <f t="shared" si="34"/>
        <v>0</v>
      </c>
      <c r="T288" s="735">
        <f t="shared" si="35"/>
        <v>0</v>
      </c>
      <c r="U288" s="735">
        <f t="shared" si="36"/>
        <v>7946809.1529355217</v>
      </c>
      <c r="V288" s="736">
        <f t="shared" si="37"/>
        <v>0</v>
      </c>
      <c r="W288" s="735">
        <f t="shared" si="38"/>
        <v>0</v>
      </c>
      <c r="X288" s="737">
        <f t="shared" si="39"/>
        <v>0</v>
      </c>
      <c r="Y288" s="738">
        <f t="shared" si="40"/>
        <v>7946809.1529355217</v>
      </c>
    </row>
    <row r="289" spans="1:25">
      <c r="A289" s="754" t="str">
        <f>'Func Future Subs 2015'!A289</f>
        <v>Upgrade Irish Creek 706S substation</v>
      </c>
      <c r="B289" s="754">
        <f>'Func Future Subs 2015'!B289</f>
        <v>1410</v>
      </c>
      <c r="C289" s="754">
        <f>'Func Future Subs 2015'!C289</f>
        <v>144</v>
      </c>
      <c r="D289" s="754">
        <f>'Func Future Subs 2015'!D289</f>
        <v>25</v>
      </c>
      <c r="E289" s="754" t="str">
        <f>'Func Future Subs 2015'!E289</f>
        <v>706S</v>
      </c>
      <c r="F289" s="754">
        <f>'Func Future Subs 2015'!F289</f>
        <v>3971812.508863166</v>
      </c>
      <c r="G289" s="754" t="str">
        <f>'Func Future Subs 2015'!G289</f>
        <v>ATCO</v>
      </c>
      <c r="H289" s="754">
        <f>'Func Future Subs 2015'!H289</f>
        <v>2017</v>
      </c>
      <c r="I289" s="306">
        <f>+IF($H289=I$2,VLOOKUP($G289,Depreciation!$A$14:$L$18,7,FALSE)/2,IF($H289&lt;I$2,VLOOKUP($G289,Depreciation!$A$14:$L$18,7,FALSE),0))</f>
        <v>0</v>
      </c>
      <c r="J289" s="306">
        <f>+IF($H289=J$2,VLOOKUP($G289,Depreciation!$A$14:$L$18,8,FALSE)/2,IF($H289&lt;J$2,VLOOKUP($G289,Depreciation!$A$14:$L$18,8,FALSE),0))</f>
        <v>0</v>
      </c>
      <c r="K289" s="306">
        <f>+IF($H289=K$2,VLOOKUP($G289,Depreciation!$A$14:$L$18,9,FALSE)/2,IF($H289&lt;K$2,VLOOKUP($G289,Depreciation!$A$14:$L$18,9,FALSE),0))</f>
        <v>1.2175768213899416E-2</v>
      </c>
      <c r="L289" s="306">
        <f>+IF($H289=L$2,VLOOKUP($G289,Depreciation!$A$14:$L$18,10,FALSE)/2,IF($H289&lt;L$2,VLOOKUP($G289,Depreciation!$A$14:$L$18,10,FALSE),0))</f>
        <v>2.4351536427798831E-2</v>
      </c>
      <c r="M289" s="306">
        <f>+IF($H289=M$2,VLOOKUP($G289,Depreciation!$A$14:$L$18,11,FALSE)/2,IF($H289&lt;M$2,VLOOKUP($G289,Depreciation!$A$14:$L$18,11,FALSE),0))</f>
        <v>2.4351536427798831E-2</v>
      </c>
      <c r="N289" s="306">
        <f>+IF($H289=N$2,VLOOKUP($G289,Depreciation!$A$14:$L$18,12,FALSE)/2,IF($H289&lt;N$2,VLOOKUP($G289,Depreciation!$A$14:$L$18,12,FALSE),0))</f>
        <v>2.4351536427798831E-2</v>
      </c>
      <c r="O289" s="307">
        <f t="shared" si="33"/>
        <v>3923452.6403661817</v>
      </c>
      <c r="P289" s="732">
        <f>'Func Future Subs 2015'!P289</f>
        <v>0</v>
      </c>
      <c r="Q289" s="732">
        <f>'Func Future Subs 2015'!Q289</f>
        <v>1</v>
      </c>
      <c r="R289" s="732">
        <f>'Func Future Subs 2015'!R289</f>
        <v>0</v>
      </c>
      <c r="S289" s="735">
        <f t="shared" si="34"/>
        <v>0</v>
      </c>
      <c r="T289" s="735">
        <f t="shared" si="35"/>
        <v>3923452.6403661817</v>
      </c>
      <c r="U289" s="735">
        <f t="shared" si="36"/>
        <v>0</v>
      </c>
      <c r="V289" s="736">
        <f t="shared" si="37"/>
        <v>0</v>
      </c>
      <c r="W289" s="735">
        <f t="shared" si="38"/>
        <v>0</v>
      </c>
      <c r="X289" s="737">
        <f t="shared" si="39"/>
        <v>0</v>
      </c>
      <c r="Y289" s="738">
        <f t="shared" si="40"/>
        <v>3923452.6403661817</v>
      </c>
    </row>
    <row r="290" spans="1:25">
      <c r="A290" s="754" t="str">
        <f>'Func Future Subs 2015'!A290</f>
        <v>Upgrade Vegreville 709S substation</v>
      </c>
      <c r="B290" s="754">
        <f>'Func Future Subs 2015'!B290</f>
        <v>1410</v>
      </c>
      <c r="C290" s="754">
        <f>'Func Future Subs 2015'!C290</f>
        <v>144</v>
      </c>
      <c r="D290" s="754">
        <f>'Func Future Subs 2015'!D290</f>
        <v>25</v>
      </c>
      <c r="E290" s="754" t="str">
        <f>'Func Future Subs 2015'!E290</f>
        <v>709S</v>
      </c>
      <c r="F290" s="754">
        <f>'Func Future Subs 2015'!F290</f>
        <v>775183.9038130251</v>
      </c>
      <c r="G290" s="754" t="str">
        <f>'Func Future Subs 2015'!G290</f>
        <v>ATCO</v>
      </c>
      <c r="H290" s="754">
        <f>'Func Future Subs 2015'!H290</f>
        <v>2017</v>
      </c>
      <c r="I290" s="306">
        <f>+IF($H290=I$2,VLOOKUP($G290,Depreciation!$A$14:$L$18,7,FALSE)/2,IF($H290&lt;I$2,VLOOKUP($G290,Depreciation!$A$14:$L$18,7,FALSE),0))</f>
        <v>0</v>
      </c>
      <c r="J290" s="306">
        <f>+IF($H290=J$2,VLOOKUP($G290,Depreciation!$A$14:$L$18,8,FALSE)/2,IF($H290&lt;J$2,VLOOKUP($G290,Depreciation!$A$14:$L$18,8,FALSE),0))</f>
        <v>0</v>
      </c>
      <c r="K290" s="306">
        <f>+IF($H290=K$2,VLOOKUP($G290,Depreciation!$A$14:$L$18,9,FALSE)/2,IF($H290&lt;K$2,VLOOKUP($G290,Depreciation!$A$14:$L$18,9,FALSE),0))</f>
        <v>1.2175768213899416E-2</v>
      </c>
      <c r="L290" s="306">
        <f>+IF($H290=L$2,VLOOKUP($G290,Depreciation!$A$14:$L$18,10,FALSE)/2,IF($H290&lt;L$2,VLOOKUP($G290,Depreciation!$A$14:$L$18,10,FALSE),0))</f>
        <v>2.4351536427798831E-2</v>
      </c>
      <c r="M290" s="306">
        <f>+IF($H290=M$2,VLOOKUP($G290,Depreciation!$A$14:$L$18,11,FALSE)/2,IF($H290&lt;M$2,VLOOKUP($G290,Depreciation!$A$14:$L$18,11,FALSE),0))</f>
        <v>2.4351536427798831E-2</v>
      </c>
      <c r="N290" s="306">
        <f>+IF($H290=N$2,VLOOKUP($G290,Depreciation!$A$14:$L$18,12,FALSE)/2,IF($H290&lt;N$2,VLOOKUP($G290,Depreciation!$A$14:$L$18,12,FALSE),0))</f>
        <v>2.4351536427798831E-2</v>
      </c>
      <c r="O290" s="307">
        <f t="shared" si="33"/>
        <v>765745.44427705195</v>
      </c>
      <c r="P290" s="732">
        <f>'Func Future Subs 2015'!P290</f>
        <v>0</v>
      </c>
      <c r="Q290" s="732">
        <f>'Func Future Subs 2015'!Q290</f>
        <v>1</v>
      </c>
      <c r="R290" s="732">
        <f>'Func Future Subs 2015'!R290</f>
        <v>0</v>
      </c>
      <c r="S290" s="735">
        <f t="shared" si="34"/>
        <v>0</v>
      </c>
      <c r="T290" s="735">
        <f t="shared" si="35"/>
        <v>765745.44427705195</v>
      </c>
      <c r="U290" s="735">
        <f t="shared" si="36"/>
        <v>0</v>
      </c>
      <c r="V290" s="736">
        <f t="shared" si="37"/>
        <v>0</v>
      </c>
      <c r="W290" s="735">
        <f t="shared" si="38"/>
        <v>0</v>
      </c>
      <c r="X290" s="737">
        <f t="shared" si="39"/>
        <v>0</v>
      </c>
      <c r="Y290" s="738">
        <f t="shared" si="40"/>
        <v>765745.44427705195</v>
      </c>
    </row>
    <row r="291" spans="1:25">
      <c r="A291" s="754" t="str">
        <f>'Func Future Subs 2015'!A291</f>
        <v>Gainford 165S</v>
      </c>
      <c r="B291" s="754">
        <f>'Func Future Subs 2015'!B291</f>
        <v>1412</v>
      </c>
      <c r="C291" s="754">
        <f>'Func Future Subs 2015'!C291</f>
        <v>138</v>
      </c>
      <c r="D291" s="754">
        <f>'Func Future Subs 2015'!D291</f>
        <v>25</v>
      </c>
      <c r="E291" s="754" t="str">
        <f>'Func Future Subs 2015'!E291</f>
        <v>165S</v>
      </c>
      <c r="F291" s="754">
        <f>'Func Future Subs 2015'!F291</f>
        <v>4938999.9999999953</v>
      </c>
      <c r="G291" s="754" t="str">
        <f>'Func Future Subs 2015'!G291</f>
        <v>AltaLink</v>
      </c>
      <c r="H291" s="754">
        <f>'Func Future Subs 2015'!H291</f>
        <v>2019</v>
      </c>
      <c r="I291" s="306">
        <f>+IF($H291=I$2,VLOOKUP($G291,Depreciation!$A$14:$L$18,7,FALSE)/2,IF($H291&lt;I$2,VLOOKUP($G291,Depreciation!$A$14:$L$18,7,FALSE),0))</f>
        <v>0</v>
      </c>
      <c r="J291" s="306">
        <f>+IF($H291=J$2,VLOOKUP($G291,Depreciation!$A$14:$L$18,8,FALSE)/2,IF($H291&lt;J$2,VLOOKUP($G291,Depreciation!$A$14:$L$18,8,FALSE),0))</f>
        <v>0</v>
      </c>
      <c r="K291" s="306">
        <f>+IF($H291=K$2,VLOOKUP($G291,Depreciation!$A$14:$L$18,9,FALSE)/2,IF($H291&lt;K$2,VLOOKUP($G291,Depreciation!$A$14:$L$18,9,FALSE),0))</f>
        <v>0</v>
      </c>
      <c r="L291" s="306">
        <f>+IF($H291=L$2,VLOOKUP($G291,Depreciation!$A$14:$L$18,10,FALSE)/2,IF($H291&lt;L$2,VLOOKUP($G291,Depreciation!$A$14:$L$18,10,FALSE),0))</f>
        <v>0</v>
      </c>
      <c r="M291" s="306">
        <f>+IF($H291=M$2,VLOOKUP($G291,Depreciation!$A$14:$L$18,11,FALSE)/2,IF($H291&lt;M$2,VLOOKUP($G291,Depreciation!$A$14:$L$18,11,FALSE),0))</f>
        <v>1.671703928371859E-2</v>
      </c>
      <c r="N291" s="306">
        <f>+IF($H291=N$2,VLOOKUP($G291,Depreciation!$A$14:$L$18,12,FALSE)/2,IF($H291&lt;N$2,VLOOKUP($G291,Depreciation!$A$14:$L$18,12,FALSE),0))</f>
        <v>3.343407856743718E-2</v>
      </c>
      <c r="O291" s="307">
        <f t="shared" si="33"/>
        <v>0</v>
      </c>
      <c r="P291" s="732">
        <f>'Func Future Subs 2015'!P291</f>
        <v>0</v>
      </c>
      <c r="Q291" s="732">
        <f>'Func Future Subs 2015'!Q291</f>
        <v>1</v>
      </c>
      <c r="R291" s="732">
        <f>'Func Future Subs 2015'!R291</f>
        <v>0</v>
      </c>
      <c r="S291" s="735">
        <f t="shared" si="34"/>
        <v>0</v>
      </c>
      <c r="T291" s="735">
        <f t="shared" si="35"/>
        <v>0</v>
      </c>
      <c r="U291" s="735">
        <f t="shared" si="36"/>
        <v>0</v>
      </c>
      <c r="V291" s="736">
        <f t="shared" si="37"/>
        <v>0</v>
      </c>
      <c r="W291" s="735">
        <f t="shared" si="38"/>
        <v>0</v>
      </c>
      <c r="X291" s="737">
        <f t="shared" si="39"/>
        <v>0</v>
      </c>
      <c r="Y291" s="738">
        <f t="shared" si="40"/>
        <v>0</v>
      </c>
    </row>
    <row r="292" spans="1:25">
      <c r="A292" s="754" t="str">
        <f>'Func Future Subs 2015'!A292</f>
        <v>mercer Hill 728S</v>
      </c>
      <c r="B292" s="754">
        <f>'Func Future Subs 2015'!B292</f>
        <v>1416</v>
      </c>
      <c r="C292" s="754">
        <f>'Func Future Subs 2015'!C292</f>
        <v>144</v>
      </c>
      <c r="D292" s="754">
        <f>'Func Future Subs 2015'!D292</f>
        <v>25</v>
      </c>
      <c r="E292" s="754" t="str">
        <f>'Func Future Subs 2015'!E292</f>
        <v>728S</v>
      </c>
      <c r="F292" s="754">
        <f>'Func Future Subs 2015'!F292</f>
        <v>1896908</v>
      </c>
      <c r="G292" s="754" t="str">
        <f>'Func Future Subs 2015'!G292</f>
        <v>ATCO</v>
      </c>
      <c r="H292" s="754">
        <f>'Func Future Subs 2015'!H292</f>
        <v>2015</v>
      </c>
      <c r="I292" s="306">
        <f>+IF($H292=I$2,VLOOKUP($G292,Depreciation!$A$14:$L$18,7,FALSE)/2,IF($H292&lt;I$2,VLOOKUP($G292,Depreciation!$A$14:$L$18,7,FALSE),0))</f>
        <v>1.221703683566912E-2</v>
      </c>
      <c r="J292" s="306">
        <f>+IF($H292=J$2,VLOOKUP($G292,Depreciation!$A$14:$L$18,8,FALSE)/2,IF($H292&lt;J$2,VLOOKUP($G292,Depreciation!$A$14:$L$18,8,FALSE),0))</f>
        <v>2.4632450501084719E-2</v>
      </c>
      <c r="K292" s="306">
        <f>+IF($H292=K$2,VLOOKUP($G292,Depreciation!$A$14:$L$18,9,FALSE)/2,IF($H292&lt;K$2,VLOOKUP($G292,Depreciation!$A$14:$L$18,9,FALSE),0))</f>
        <v>2.4351536427798831E-2</v>
      </c>
      <c r="L292" s="306">
        <f>+IF($H292=L$2,VLOOKUP($G292,Depreciation!$A$14:$L$18,10,FALSE)/2,IF($H292&lt;L$2,VLOOKUP($G292,Depreciation!$A$14:$L$18,10,FALSE),0))</f>
        <v>2.4351536427798831E-2</v>
      </c>
      <c r="M292" s="306">
        <f>+IF($H292=M$2,VLOOKUP($G292,Depreciation!$A$14:$L$18,11,FALSE)/2,IF($H292&lt;M$2,VLOOKUP($G292,Depreciation!$A$14:$L$18,11,FALSE),0))</f>
        <v>2.4351536427798831E-2</v>
      </c>
      <c r="N292" s="306">
        <f>+IF($H292=N$2,VLOOKUP($G292,Depreciation!$A$14:$L$18,12,FALSE)/2,IF($H292&lt;N$2,VLOOKUP($G292,Depreciation!$A$14:$L$18,12,FALSE),0))</f>
        <v>2.4351536427798831E-2</v>
      </c>
      <c r="O292" s="307">
        <f t="shared" si="33"/>
        <v>1783074.4089946058</v>
      </c>
      <c r="P292" s="732">
        <f>'Func Future Subs 2015'!P292</f>
        <v>0</v>
      </c>
      <c r="Q292" s="732">
        <f>'Func Future Subs 2015'!Q292</f>
        <v>1</v>
      </c>
      <c r="R292" s="732">
        <f>'Func Future Subs 2015'!R292</f>
        <v>0</v>
      </c>
      <c r="S292" s="735">
        <f t="shared" si="34"/>
        <v>0</v>
      </c>
      <c r="T292" s="735">
        <f t="shared" si="35"/>
        <v>1783074.4089946058</v>
      </c>
      <c r="U292" s="735">
        <f t="shared" si="36"/>
        <v>0</v>
      </c>
      <c r="V292" s="736">
        <f t="shared" si="37"/>
        <v>0</v>
      </c>
      <c r="W292" s="735">
        <f t="shared" si="38"/>
        <v>0</v>
      </c>
      <c r="X292" s="737">
        <f t="shared" si="39"/>
        <v>0</v>
      </c>
      <c r="Y292" s="738">
        <f t="shared" si="40"/>
        <v>1783074.4089946058</v>
      </c>
    </row>
    <row r="293" spans="1:25">
      <c r="A293" s="754" t="str">
        <f>'Func Future Subs 2015'!A293</f>
        <v>Lambton substation</v>
      </c>
      <c r="B293" s="754">
        <f>'Func Future Subs 2015'!B293</f>
        <v>1438</v>
      </c>
      <c r="C293" s="754">
        <f>'Func Future Subs 2015'!C293</f>
        <v>240</v>
      </c>
      <c r="D293" s="754">
        <f>'Func Future Subs 2015'!D293</f>
        <v>0</v>
      </c>
      <c r="E293" s="754">
        <f>'Func Future Subs 2015'!E293</f>
        <v>0</v>
      </c>
      <c r="F293" s="754">
        <f>'Func Future Subs 2015'!F293</f>
        <v>1059667.0000000005</v>
      </c>
      <c r="G293" s="754" t="str">
        <f>'Func Future Subs 2015'!G293</f>
        <v>EPCOR</v>
      </c>
      <c r="H293" s="754">
        <f>'Func Future Subs 2015'!H293</f>
        <v>2015</v>
      </c>
      <c r="I293" s="306">
        <f>+IF($H293=I$2,VLOOKUP($G293,Depreciation!$A$14:$L$18,7,FALSE)/2,IF($H293&lt;I$2,VLOOKUP($G293,Depreciation!$A$14:$L$18,7,FALSE),0))</f>
        <v>2.0607513622398654E-2</v>
      </c>
      <c r="J293" s="306">
        <f>+IF($H293=J$2,VLOOKUP($G293,Depreciation!$A$14:$L$18,8,FALSE)/2,IF($H293&lt;J$2,VLOOKUP($G293,Depreciation!$A$14:$L$18,8,FALSE),0))</f>
        <v>4.1600055599844914E-2</v>
      </c>
      <c r="K293" s="306">
        <f>+IF($H293=K$2,VLOOKUP($G293,Depreciation!$A$14:$L$18,9,FALSE)/2,IF($H293&lt;K$2,VLOOKUP($G293,Depreciation!$A$14:$L$18,9,FALSE),0))</f>
        <v>4.1145263498658789E-2</v>
      </c>
      <c r="L293" s="306">
        <f>+IF($H293=L$2,VLOOKUP($G293,Depreciation!$A$14:$L$18,10,FALSE)/2,IF($H293&lt;L$2,VLOOKUP($G293,Depreciation!$A$14:$L$18,10,FALSE),0))</f>
        <v>4.1145263498658789E-2</v>
      </c>
      <c r="M293" s="306">
        <f>+IF($H293=M$2,VLOOKUP($G293,Depreciation!$A$14:$L$18,11,FALSE)/2,IF($H293&lt;M$2,VLOOKUP($G293,Depreciation!$A$14:$L$18,11,FALSE),0))</f>
        <v>4.1145263498658789E-2</v>
      </c>
      <c r="N293" s="306">
        <f>+IF($H293=N$2,VLOOKUP($G293,Depreciation!$A$14:$L$18,12,FALSE)/2,IF($H293&lt;N$2,VLOOKUP($G293,Depreciation!$A$14:$L$18,12,FALSE),0))</f>
        <v>4.1145263498658789E-2</v>
      </c>
      <c r="O293" s="307">
        <f t="shared" si="33"/>
        <v>953730.72840787983</v>
      </c>
      <c r="P293" s="732">
        <f>'Func Future Subs 2015'!P293</f>
        <v>0</v>
      </c>
      <c r="Q293" s="732">
        <f>'Func Future Subs 2015'!Q293</f>
        <v>0</v>
      </c>
      <c r="R293" s="732">
        <f>'Func Future Subs 2015'!R293</f>
        <v>1</v>
      </c>
      <c r="S293" s="735">
        <f t="shared" si="34"/>
        <v>0</v>
      </c>
      <c r="T293" s="735">
        <f t="shared" si="35"/>
        <v>0</v>
      </c>
      <c r="U293" s="735">
        <f t="shared" si="36"/>
        <v>953730.72840787983</v>
      </c>
      <c r="V293" s="736">
        <f t="shared" si="37"/>
        <v>953730.72840787983</v>
      </c>
      <c r="W293" s="735">
        <f t="shared" si="38"/>
        <v>0</v>
      </c>
      <c r="X293" s="737">
        <f t="shared" si="39"/>
        <v>0</v>
      </c>
      <c r="Y293" s="738">
        <f t="shared" si="40"/>
        <v>0</v>
      </c>
    </row>
    <row r="294" spans="1:25">
      <c r="A294" s="754" t="str">
        <f>'Func Future Subs 2015'!A294</f>
        <v>Genesee 330S</v>
      </c>
      <c r="B294" s="754">
        <f>'Func Future Subs 2015'!B294</f>
        <v>1440</v>
      </c>
      <c r="C294" s="754">
        <f>'Func Future Subs 2015'!C294</f>
        <v>500</v>
      </c>
      <c r="D294" s="754">
        <f>'Func Future Subs 2015'!D294</f>
        <v>0</v>
      </c>
      <c r="E294" s="754" t="str">
        <f>'Func Future Subs 2015'!E294</f>
        <v>330S</v>
      </c>
      <c r="F294" s="754">
        <f>'Func Future Subs 2015'!F294</f>
        <v>36143375.999999993</v>
      </c>
      <c r="G294" s="754" t="str">
        <f>'Func Future Subs 2015'!G294</f>
        <v>EPCOR</v>
      </c>
      <c r="H294" s="754">
        <f>'Func Future Subs 2015'!H294</f>
        <v>2020</v>
      </c>
      <c r="I294" s="306">
        <f>+IF($H294=I$2,VLOOKUP($G294,Depreciation!$A$14:$L$18,7,FALSE)/2,IF($H294&lt;I$2,VLOOKUP($G294,Depreciation!$A$14:$L$18,7,FALSE),0))</f>
        <v>0</v>
      </c>
      <c r="J294" s="306">
        <f>+IF($H294=J$2,VLOOKUP($G294,Depreciation!$A$14:$L$18,8,FALSE)/2,IF($H294&lt;J$2,VLOOKUP($G294,Depreciation!$A$14:$L$18,8,FALSE),0))</f>
        <v>0</v>
      </c>
      <c r="K294" s="306">
        <f>+IF($H294=K$2,VLOOKUP($G294,Depreciation!$A$14:$L$18,9,FALSE)/2,IF($H294&lt;K$2,VLOOKUP($G294,Depreciation!$A$14:$L$18,9,FALSE),0))</f>
        <v>0</v>
      </c>
      <c r="L294" s="306">
        <f>+IF($H294=L$2,VLOOKUP($G294,Depreciation!$A$14:$L$18,10,FALSE)/2,IF($H294&lt;L$2,VLOOKUP($G294,Depreciation!$A$14:$L$18,10,FALSE),0))</f>
        <v>0</v>
      </c>
      <c r="M294" s="306">
        <f>+IF($H294=M$2,VLOOKUP($G294,Depreciation!$A$14:$L$18,11,FALSE)/2,IF($H294&lt;M$2,VLOOKUP($G294,Depreciation!$A$14:$L$18,11,FALSE),0))</f>
        <v>0</v>
      </c>
      <c r="N294" s="306">
        <f>+IF($H294=N$2,VLOOKUP($G294,Depreciation!$A$14:$L$18,12,FALSE)/2,IF($H294&lt;N$2,VLOOKUP($G294,Depreciation!$A$14:$L$18,12,FALSE),0))</f>
        <v>2.0572631749329395E-2</v>
      </c>
      <c r="O294" s="307">
        <f t="shared" si="33"/>
        <v>0</v>
      </c>
      <c r="P294" s="732">
        <f>'Func Future Subs 2015'!P294</f>
        <v>0.98836755406354904</v>
      </c>
      <c r="Q294" s="732">
        <f>'Func Future Subs 2015'!Q294</f>
        <v>1.1632445936450932E-2</v>
      </c>
      <c r="R294" s="732">
        <f>'Func Future Subs 2015'!R294</f>
        <v>3.1225022567582528E-17</v>
      </c>
      <c r="S294" s="735">
        <f t="shared" si="34"/>
        <v>0</v>
      </c>
      <c r="T294" s="735">
        <f t="shared" si="35"/>
        <v>0</v>
      </c>
      <c r="U294" s="735">
        <f t="shared" si="36"/>
        <v>0</v>
      </c>
      <c r="V294" s="736">
        <f t="shared" si="37"/>
        <v>0</v>
      </c>
      <c r="W294" s="735">
        <f t="shared" si="38"/>
        <v>0</v>
      </c>
      <c r="X294" s="737">
        <f t="shared" si="39"/>
        <v>0</v>
      </c>
      <c r="Y294" s="738">
        <f t="shared" si="40"/>
        <v>0</v>
      </c>
    </row>
    <row r="295" spans="1:25">
      <c r="A295" s="754" t="str">
        <f>'Func Future Subs 2015'!A295</f>
        <v>Anthony Henday 309S</v>
      </c>
      <c r="B295" s="754">
        <f>'Func Future Subs 2015'!B295</f>
        <v>1442</v>
      </c>
      <c r="C295" s="754">
        <f>'Func Future Subs 2015'!C295</f>
        <v>138</v>
      </c>
      <c r="D295" s="754">
        <f>'Func Future Subs 2015'!D295</f>
        <v>25</v>
      </c>
      <c r="E295" s="754" t="str">
        <f>'Func Future Subs 2015'!E295</f>
        <v>309S</v>
      </c>
      <c r="F295" s="754">
        <f>'Func Future Subs 2015'!F295</f>
        <v>7721658.7024087086</v>
      </c>
      <c r="G295" s="754" t="str">
        <f>'Func Future Subs 2015'!G295</f>
        <v>AltaLink</v>
      </c>
      <c r="H295" s="754">
        <f>'Func Future Subs 2015'!H295</f>
        <v>2019</v>
      </c>
      <c r="I295" s="306">
        <f>+IF($H295=I$2,VLOOKUP($G295,Depreciation!$A$14:$L$18,7,FALSE)/2,IF($H295&lt;I$2,VLOOKUP($G295,Depreciation!$A$14:$L$18,7,FALSE),0))</f>
        <v>0</v>
      </c>
      <c r="J295" s="306">
        <f>+IF($H295=J$2,VLOOKUP($G295,Depreciation!$A$14:$L$18,8,FALSE)/2,IF($H295&lt;J$2,VLOOKUP($G295,Depreciation!$A$14:$L$18,8,FALSE),0))</f>
        <v>0</v>
      </c>
      <c r="K295" s="306">
        <f>+IF($H295=K$2,VLOOKUP($G295,Depreciation!$A$14:$L$18,9,FALSE)/2,IF($H295&lt;K$2,VLOOKUP($G295,Depreciation!$A$14:$L$18,9,FALSE),0))</f>
        <v>0</v>
      </c>
      <c r="L295" s="306">
        <f>+IF($H295=L$2,VLOOKUP($G295,Depreciation!$A$14:$L$18,10,FALSE)/2,IF($H295&lt;L$2,VLOOKUP($G295,Depreciation!$A$14:$L$18,10,FALSE),0))</f>
        <v>0</v>
      </c>
      <c r="M295" s="306">
        <f>+IF($H295=M$2,VLOOKUP($G295,Depreciation!$A$14:$L$18,11,FALSE)/2,IF($H295&lt;M$2,VLOOKUP($G295,Depreciation!$A$14:$L$18,11,FALSE),0))</f>
        <v>1.671703928371859E-2</v>
      </c>
      <c r="N295" s="306">
        <f>+IF($H295=N$2,VLOOKUP($G295,Depreciation!$A$14:$L$18,12,FALSE)/2,IF($H295&lt;N$2,VLOOKUP($G295,Depreciation!$A$14:$L$18,12,FALSE),0))</f>
        <v>3.343407856743718E-2</v>
      </c>
      <c r="O295" s="307">
        <f t="shared" si="33"/>
        <v>0</v>
      </c>
      <c r="P295" s="732">
        <f>'Func Future Subs 2015'!P295</f>
        <v>0</v>
      </c>
      <c r="Q295" s="732">
        <f>'Func Future Subs 2015'!Q295</f>
        <v>0</v>
      </c>
      <c r="R295" s="732">
        <f>'Func Future Subs 2015'!R295</f>
        <v>1</v>
      </c>
      <c r="S295" s="735">
        <f t="shared" si="34"/>
        <v>0</v>
      </c>
      <c r="T295" s="735">
        <f t="shared" si="35"/>
        <v>0</v>
      </c>
      <c r="U295" s="735">
        <f t="shared" si="36"/>
        <v>0</v>
      </c>
      <c r="V295" s="736">
        <f t="shared" si="37"/>
        <v>0</v>
      </c>
      <c r="W295" s="735">
        <f t="shared" si="38"/>
        <v>0</v>
      </c>
      <c r="X295" s="737">
        <f t="shared" si="39"/>
        <v>0</v>
      </c>
      <c r="Y295" s="738">
        <f t="shared" si="40"/>
        <v>0</v>
      </c>
    </row>
    <row r="296" spans="1:25">
      <c r="A296" s="754" t="str">
        <f>'Func Future Subs 2015'!A296</f>
        <v>East Edmonton 38S</v>
      </c>
      <c r="B296" s="754">
        <f>'Func Future Subs 2015'!B296</f>
        <v>1442</v>
      </c>
      <c r="C296" s="754">
        <f>'Func Future Subs 2015'!C296</f>
        <v>240</v>
      </c>
      <c r="D296" s="754">
        <f>'Func Future Subs 2015'!D296</f>
        <v>25</v>
      </c>
      <c r="E296" s="754" t="str">
        <f>'Func Future Subs 2015'!E296</f>
        <v>38S</v>
      </c>
      <c r="F296" s="754">
        <f>'Func Future Subs 2015'!F296</f>
        <v>9142.3853923854003</v>
      </c>
      <c r="G296" s="754" t="str">
        <f>'Func Future Subs 2015'!G296</f>
        <v>AltaLink</v>
      </c>
      <c r="H296" s="754">
        <f>'Func Future Subs 2015'!H296</f>
        <v>2019</v>
      </c>
      <c r="I296" s="306">
        <f>+IF($H296=I$2,VLOOKUP($G296,Depreciation!$A$14:$L$18,7,FALSE)/2,IF($H296&lt;I$2,VLOOKUP($G296,Depreciation!$A$14:$L$18,7,FALSE),0))</f>
        <v>0</v>
      </c>
      <c r="J296" s="306">
        <f>+IF($H296=J$2,VLOOKUP($G296,Depreciation!$A$14:$L$18,8,FALSE)/2,IF($H296&lt;J$2,VLOOKUP($G296,Depreciation!$A$14:$L$18,8,FALSE),0))</f>
        <v>0</v>
      </c>
      <c r="K296" s="306">
        <f>+IF($H296=K$2,VLOOKUP($G296,Depreciation!$A$14:$L$18,9,FALSE)/2,IF($H296&lt;K$2,VLOOKUP($G296,Depreciation!$A$14:$L$18,9,FALSE),0))</f>
        <v>0</v>
      </c>
      <c r="L296" s="306">
        <f>+IF($H296=L$2,VLOOKUP($G296,Depreciation!$A$14:$L$18,10,FALSE)/2,IF($H296&lt;L$2,VLOOKUP($G296,Depreciation!$A$14:$L$18,10,FALSE),0))</f>
        <v>0</v>
      </c>
      <c r="M296" s="306">
        <f>+IF($H296=M$2,VLOOKUP($G296,Depreciation!$A$14:$L$18,11,FALSE)/2,IF($H296&lt;M$2,VLOOKUP($G296,Depreciation!$A$14:$L$18,11,FALSE),0))</f>
        <v>1.671703928371859E-2</v>
      </c>
      <c r="N296" s="306">
        <f>+IF($H296=N$2,VLOOKUP($G296,Depreciation!$A$14:$L$18,12,FALSE)/2,IF($H296&lt;N$2,VLOOKUP($G296,Depreciation!$A$14:$L$18,12,FALSE),0))</f>
        <v>3.343407856743718E-2</v>
      </c>
      <c r="O296" s="307">
        <f t="shared" si="33"/>
        <v>0</v>
      </c>
      <c r="P296" s="732">
        <f>'Func Future Subs 2015'!P296</f>
        <v>0</v>
      </c>
      <c r="Q296" s="732">
        <f>'Func Future Subs 2015'!Q296</f>
        <v>1</v>
      </c>
      <c r="R296" s="732">
        <f>'Func Future Subs 2015'!R296</f>
        <v>0</v>
      </c>
      <c r="S296" s="735">
        <f t="shared" si="34"/>
        <v>0</v>
      </c>
      <c r="T296" s="735">
        <f t="shared" si="35"/>
        <v>0</v>
      </c>
      <c r="U296" s="735">
        <f t="shared" si="36"/>
        <v>0</v>
      </c>
      <c r="V296" s="736">
        <f t="shared" si="37"/>
        <v>0</v>
      </c>
      <c r="W296" s="735">
        <f t="shared" si="38"/>
        <v>0</v>
      </c>
      <c r="X296" s="737">
        <f t="shared" si="39"/>
        <v>0</v>
      </c>
      <c r="Y296" s="738">
        <f t="shared" si="40"/>
        <v>0</v>
      </c>
    </row>
    <row r="297" spans="1:25">
      <c r="A297" s="754" t="str">
        <f>'Func Future Subs 2015'!A297</f>
        <v>Yassa 286S</v>
      </c>
      <c r="B297" s="754">
        <f>'Func Future Subs 2015'!B297</f>
        <v>1442</v>
      </c>
      <c r="C297" s="754">
        <f>'Func Future Subs 2015'!C297</f>
        <v>138</v>
      </c>
      <c r="D297" s="754">
        <f>'Func Future Subs 2015'!D297</f>
        <v>25</v>
      </c>
      <c r="E297" s="754" t="str">
        <f>'Func Future Subs 2015'!E297</f>
        <v>286S</v>
      </c>
      <c r="F297" s="754">
        <f>'Func Future Subs 2015'!F297</f>
        <v>20113.247863247878</v>
      </c>
      <c r="G297" s="754" t="str">
        <f>'Func Future Subs 2015'!G297</f>
        <v>AltaLink</v>
      </c>
      <c r="H297" s="754">
        <f>'Func Future Subs 2015'!H297</f>
        <v>2019</v>
      </c>
      <c r="I297" s="306">
        <f>+IF($H297=I$2,VLOOKUP($G297,Depreciation!$A$14:$L$18,7,FALSE)/2,IF($H297&lt;I$2,VLOOKUP($G297,Depreciation!$A$14:$L$18,7,FALSE),0))</f>
        <v>0</v>
      </c>
      <c r="J297" s="306">
        <f>+IF($H297=J$2,VLOOKUP($G297,Depreciation!$A$14:$L$18,8,FALSE)/2,IF($H297&lt;J$2,VLOOKUP($G297,Depreciation!$A$14:$L$18,8,FALSE),0))</f>
        <v>0</v>
      </c>
      <c r="K297" s="306">
        <f>+IF($H297=K$2,VLOOKUP($G297,Depreciation!$A$14:$L$18,9,FALSE)/2,IF($H297&lt;K$2,VLOOKUP($G297,Depreciation!$A$14:$L$18,9,FALSE),0))</f>
        <v>0</v>
      </c>
      <c r="L297" s="306">
        <f>+IF($H297=L$2,VLOOKUP($G297,Depreciation!$A$14:$L$18,10,FALSE)/2,IF($H297&lt;L$2,VLOOKUP($G297,Depreciation!$A$14:$L$18,10,FALSE),0))</f>
        <v>0</v>
      </c>
      <c r="M297" s="306">
        <f>+IF($H297=M$2,VLOOKUP($G297,Depreciation!$A$14:$L$18,11,FALSE)/2,IF($H297&lt;M$2,VLOOKUP($G297,Depreciation!$A$14:$L$18,11,FALSE),0))</f>
        <v>1.671703928371859E-2</v>
      </c>
      <c r="N297" s="306">
        <f>+IF($H297=N$2,VLOOKUP($G297,Depreciation!$A$14:$L$18,12,FALSE)/2,IF($H297&lt;N$2,VLOOKUP($G297,Depreciation!$A$14:$L$18,12,FALSE),0))</f>
        <v>3.343407856743718E-2</v>
      </c>
      <c r="O297" s="307">
        <f t="shared" si="33"/>
        <v>0</v>
      </c>
      <c r="P297" s="732">
        <f>'Func Future Subs 2015'!P297</f>
        <v>0</v>
      </c>
      <c r="Q297" s="732">
        <f>'Func Future Subs 2015'!Q297</f>
        <v>1</v>
      </c>
      <c r="R297" s="732">
        <f>'Func Future Subs 2015'!R297</f>
        <v>0</v>
      </c>
      <c r="S297" s="735">
        <f t="shared" si="34"/>
        <v>0</v>
      </c>
      <c r="T297" s="735">
        <f t="shared" si="35"/>
        <v>0</v>
      </c>
      <c r="U297" s="735">
        <f t="shared" si="36"/>
        <v>0</v>
      </c>
      <c r="V297" s="736">
        <f t="shared" si="37"/>
        <v>0</v>
      </c>
      <c r="W297" s="735">
        <f t="shared" si="38"/>
        <v>0</v>
      </c>
      <c r="X297" s="737">
        <f t="shared" si="39"/>
        <v>0</v>
      </c>
      <c r="Y297" s="738">
        <f t="shared" si="40"/>
        <v>0</v>
      </c>
    </row>
    <row r="298" spans="1:25">
      <c r="A298" s="754" t="str">
        <f>'Func Future Subs 2015'!A298</f>
        <v>Cochrane 291S upgrade</v>
      </c>
      <c r="B298" s="754">
        <f>'Func Future Subs 2015'!B298</f>
        <v>1450</v>
      </c>
      <c r="C298" s="754">
        <f>'Func Future Subs 2015'!C298</f>
        <v>138</v>
      </c>
      <c r="D298" s="754">
        <f>'Func Future Subs 2015'!D298</f>
        <v>25</v>
      </c>
      <c r="E298" s="754" t="str">
        <f>'Func Future Subs 2015'!E298</f>
        <v>291S</v>
      </c>
      <c r="F298" s="754">
        <f>'Func Future Subs 2015'!F298</f>
        <v>6190999.9999999963</v>
      </c>
      <c r="G298" s="754" t="str">
        <f>'Func Future Subs 2015'!G298</f>
        <v>AltaLink</v>
      </c>
      <c r="H298" s="754">
        <f>'Func Future Subs 2015'!H298</f>
        <v>2015</v>
      </c>
      <c r="I298" s="306">
        <f>+IF($H298=I$2,VLOOKUP($G298,Depreciation!$A$14:$L$18,7,FALSE)/2,IF($H298&lt;I$2,VLOOKUP($G298,Depreciation!$A$14:$L$18,7,FALSE),0))</f>
        <v>1.7228380322441735E-2</v>
      </c>
      <c r="J298" s="306">
        <f>+IF($H298=J$2,VLOOKUP($G298,Depreciation!$A$14:$L$18,8,FALSE)/2,IF($H298&lt;J$2,VLOOKUP($G298,Depreciation!$A$14:$L$18,8,FALSE),0))</f>
        <v>3.343407856743718E-2</v>
      </c>
      <c r="K298" s="306">
        <f>+IF($H298=K$2,VLOOKUP($G298,Depreciation!$A$14:$L$18,9,FALSE)/2,IF($H298&lt;K$2,VLOOKUP($G298,Depreciation!$A$14:$L$18,9,FALSE),0))</f>
        <v>3.343407856743718E-2</v>
      </c>
      <c r="L298" s="306">
        <f>+IF($H298=L$2,VLOOKUP($G298,Depreciation!$A$14:$L$18,10,FALSE)/2,IF($H298&lt;L$2,VLOOKUP($G298,Depreciation!$A$14:$L$18,10,FALSE),0))</f>
        <v>3.343407856743718E-2</v>
      </c>
      <c r="M298" s="306">
        <f>+IF($H298=M$2,VLOOKUP($G298,Depreciation!$A$14:$L$18,11,FALSE)/2,IF($H298&lt;M$2,VLOOKUP($G298,Depreciation!$A$14:$L$18,11,FALSE),0))</f>
        <v>3.343407856743718E-2</v>
      </c>
      <c r="N298" s="306">
        <f>+IF($H298=N$2,VLOOKUP($G298,Depreciation!$A$14:$L$18,12,FALSE)/2,IF($H298&lt;N$2,VLOOKUP($G298,Depreciation!$A$14:$L$18,12,FALSE),0))</f>
        <v>3.343407856743718E-2</v>
      </c>
      <c r="O298" s="307">
        <f t="shared" si="33"/>
        <v>5684291.8576683532</v>
      </c>
      <c r="P298" s="732">
        <f>'Func Future Subs 2015'!P298</f>
        <v>0</v>
      </c>
      <c r="Q298" s="732">
        <f>'Func Future Subs 2015'!Q298</f>
        <v>1</v>
      </c>
      <c r="R298" s="732">
        <f>'Func Future Subs 2015'!R298</f>
        <v>0</v>
      </c>
      <c r="S298" s="735">
        <f t="shared" si="34"/>
        <v>0</v>
      </c>
      <c r="T298" s="735">
        <f t="shared" si="35"/>
        <v>5684291.8576683532</v>
      </c>
      <c r="U298" s="735">
        <f t="shared" si="36"/>
        <v>0</v>
      </c>
      <c r="V298" s="736">
        <f t="shared" si="37"/>
        <v>0</v>
      </c>
      <c r="W298" s="735">
        <f t="shared" si="38"/>
        <v>0</v>
      </c>
      <c r="X298" s="737">
        <f t="shared" si="39"/>
        <v>0</v>
      </c>
      <c r="Y298" s="738">
        <f t="shared" si="40"/>
        <v>5684291.8576683532</v>
      </c>
    </row>
    <row r="299" spans="1:25">
      <c r="A299" s="754" t="str">
        <f>'Func Future Subs 2015'!A299</f>
        <v>Cold Creek 602S</v>
      </c>
      <c r="B299" s="754">
        <f>'Func Future Subs 2015'!B299</f>
        <v>1460</v>
      </c>
      <c r="C299" s="754">
        <f>'Func Future Subs 2015'!C299</f>
        <v>138</v>
      </c>
      <c r="D299" s="754">
        <f>'Func Future Subs 2015'!D299</f>
        <v>25</v>
      </c>
      <c r="E299" s="754" t="str">
        <f>'Func Future Subs 2015'!E299</f>
        <v>602S</v>
      </c>
      <c r="F299" s="754">
        <f>'Func Future Subs 2015'!F299</f>
        <v>68876.329787234063</v>
      </c>
      <c r="G299" s="754" t="str">
        <f>'Func Future Subs 2015'!G299</f>
        <v>AltaLink</v>
      </c>
      <c r="H299" s="754">
        <f>'Func Future Subs 2015'!H299</f>
        <v>2019</v>
      </c>
      <c r="I299" s="306">
        <f>+IF($H299=I$2,VLOOKUP($G299,Depreciation!$A$14:$L$18,7,FALSE)/2,IF($H299&lt;I$2,VLOOKUP($G299,Depreciation!$A$14:$L$18,7,FALSE),0))</f>
        <v>0</v>
      </c>
      <c r="J299" s="306">
        <f>+IF($H299=J$2,VLOOKUP($G299,Depreciation!$A$14:$L$18,8,FALSE)/2,IF($H299&lt;J$2,VLOOKUP($G299,Depreciation!$A$14:$L$18,8,FALSE),0))</f>
        <v>0</v>
      </c>
      <c r="K299" s="306">
        <f>+IF($H299=K$2,VLOOKUP($G299,Depreciation!$A$14:$L$18,9,FALSE)/2,IF($H299&lt;K$2,VLOOKUP($G299,Depreciation!$A$14:$L$18,9,FALSE),0))</f>
        <v>0</v>
      </c>
      <c r="L299" s="306">
        <f>+IF($H299=L$2,VLOOKUP($G299,Depreciation!$A$14:$L$18,10,FALSE)/2,IF($H299&lt;L$2,VLOOKUP($G299,Depreciation!$A$14:$L$18,10,FALSE),0))</f>
        <v>0</v>
      </c>
      <c r="M299" s="306">
        <f>+IF($H299=M$2,VLOOKUP($G299,Depreciation!$A$14:$L$18,11,FALSE)/2,IF($H299&lt;M$2,VLOOKUP($G299,Depreciation!$A$14:$L$18,11,FALSE),0))</f>
        <v>1.671703928371859E-2</v>
      </c>
      <c r="N299" s="306">
        <f>+IF($H299=N$2,VLOOKUP($G299,Depreciation!$A$14:$L$18,12,FALSE)/2,IF($H299&lt;N$2,VLOOKUP($G299,Depreciation!$A$14:$L$18,12,FALSE),0))</f>
        <v>3.343407856743718E-2</v>
      </c>
      <c r="O299" s="307">
        <f t="shared" si="33"/>
        <v>0</v>
      </c>
      <c r="P299" s="732">
        <f>'Func Future Subs 2015'!P299</f>
        <v>0</v>
      </c>
      <c r="Q299" s="732">
        <f>'Func Future Subs 2015'!Q299</f>
        <v>1</v>
      </c>
      <c r="R299" s="732">
        <f>'Func Future Subs 2015'!R299</f>
        <v>0</v>
      </c>
      <c r="S299" s="735">
        <f t="shared" si="34"/>
        <v>0</v>
      </c>
      <c r="T299" s="735">
        <f t="shared" si="35"/>
        <v>0</v>
      </c>
      <c r="U299" s="735">
        <f t="shared" si="36"/>
        <v>0</v>
      </c>
      <c r="V299" s="736">
        <f t="shared" si="37"/>
        <v>0</v>
      </c>
      <c r="W299" s="735">
        <f t="shared" si="38"/>
        <v>0</v>
      </c>
      <c r="X299" s="737">
        <f t="shared" si="39"/>
        <v>0</v>
      </c>
      <c r="Y299" s="738">
        <f t="shared" si="40"/>
        <v>0</v>
      </c>
    </row>
    <row r="300" spans="1:25">
      <c r="A300" s="754" t="str">
        <f>'Func Future Subs 2015'!A300</f>
        <v>Hornbeck 345S</v>
      </c>
      <c r="B300" s="754">
        <f>'Func Future Subs 2015'!B300</f>
        <v>1460</v>
      </c>
      <c r="C300" s="754">
        <f>'Func Future Subs 2015'!C300</f>
        <v>138</v>
      </c>
      <c r="D300" s="754">
        <f>'Func Future Subs 2015'!D300</f>
        <v>25</v>
      </c>
      <c r="E300" s="754" t="str">
        <f>'Func Future Subs 2015'!E300</f>
        <v>345S</v>
      </c>
      <c r="F300" s="754">
        <f>'Func Future Subs 2015'!F300</f>
        <v>8201448.9694148954</v>
      </c>
      <c r="G300" s="754" t="str">
        <f>'Func Future Subs 2015'!G300</f>
        <v>AltaLink</v>
      </c>
      <c r="H300" s="754">
        <f>'Func Future Subs 2015'!H300</f>
        <v>2019</v>
      </c>
      <c r="I300" s="306">
        <f>+IF($H300=I$2,VLOOKUP($G300,Depreciation!$A$14:$L$18,7,FALSE)/2,IF($H300&lt;I$2,VLOOKUP($G300,Depreciation!$A$14:$L$18,7,FALSE),0))</f>
        <v>0</v>
      </c>
      <c r="J300" s="306">
        <f>+IF($H300=J$2,VLOOKUP($G300,Depreciation!$A$14:$L$18,8,FALSE)/2,IF($H300&lt;J$2,VLOOKUP($G300,Depreciation!$A$14:$L$18,8,FALSE),0))</f>
        <v>0</v>
      </c>
      <c r="K300" s="306">
        <f>+IF($H300=K$2,VLOOKUP($G300,Depreciation!$A$14:$L$18,9,FALSE)/2,IF($H300&lt;K$2,VLOOKUP($G300,Depreciation!$A$14:$L$18,9,FALSE),0))</f>
        <v>0</v>
      </c>
      <c r="L300" s="306">
        <f>+IF($H300=L$2,VLOOKUP($G300,Depreciation!$A$14:$L$18,10,FALSE)/2,IF($H300&lt;L$2,VLOOKUP($G300,Depreciation!$A$14:$L$18,10,FALSE),0))</f>
        <v>0</v>
      </c>
      <c r="M300" s="306">
        <f>+IF($H300=M$2,VLOOKUP($G300,Depreciation!$A$14:$L$18,11,FALSE)/2,IF($H300&lt;M$2,VLOOKUP($G300,Depreciation!$A$14:$L$18,11,FALSE),0))</f>
        <v>1.671703928371859E-2</v>
      </c>
      <c r="N300" s="306">
        <f>+IF($H300=N$2,VLOOKUP($G300,Depreciation!$A$14:$L$18,12,FALSE)/2,IF($H300&lt;N$2,VLOOKUP($G300,Depreciation!$A$14:$L$18,12,FALSE),0))</f>
        <v>3.343407856743718E-2</v>
      </c>
      <c r="O300" s="307">
        <f t="shared" si="33"/>
        <v>0</v>
      </c>
      <c r="P300" s="732">
        <f>'Func Future Subs 2015'!P300</f>
        <v>0</v>
      </c>
      <c r="Q300" s="732">
        <f>'Func Future Subs 2015'!Q300</f>
        <v>0</v>
      </c>
      <c r="R300" s="732">
        <f>'Func Future Subs 2015'!R300</f>
        <v>1</v>
      </c>
      <c r="S300" s="735">
        <f t="shared" si="34"/>
        <v>0</v>
      </c>
      <c r="T300" s="735">
        <f t="shared" si="35"/>
        <v>0</v>
      </c>
      <c r="U300" s="735">
        <f t="shared" si="36"/>
        <v>0</v>
      </c>
      <c r="V300" s="736">
        <f t="shared" si="37"/>
        <v>0</v>
      </c>
      <c r="W300" s="735">
        <f t="shared" si="38"/>
        <v>0</v>
      </c>
      <c r="X300" s="737">
        <f t="shared" si="39"/>
        <v>0</v>
      </c>
      <c r="Y300" s="738">
        <f t="shared" si="40"/>
        <v>0</v>
      </c>
    </row>
    <row r="301" spans="1:25">
      <c r="A301" s="754" t="str">
        <f>'Func Future Subs 2015'!A301</f>
        <v>Norcen 812S substation upgrade</v>
      </c>
      <c r="B301" s="754">
        <f>'Func Future Subs 2015'!B301</f>
        <v>1466</v>
      </c>
      <c r="C301" s="754">
        <f>'Func Future Subs 2015'!C301</f>
        <v>138</v>
      </c>
      <c r="D301" s="754">
        <f>'Func Future Subs 2015'!D301</f>
        <v>25</v>
      </c>
      <c r="E301" s="754" t="str">
        <f>'Func Future Subs 2015'!E301</f>
        <v>812s</v>
      </c>
      <c r="F301" s="754">
        <f>'Func Future Subs 2015'!F301</f>
        <v>6820539.9999999963</v>
      </c>
      <c r="G301" s="754" t="str">
        <f>'Func Future Subs 2015'!G301</f>
        <v>ATCO</v>
      </c>
      <c r="H301" s="754">
        <f>'Func Future Subs 2015'!H301</f>
        <v>2016</v>
      </c>
      <c r="I301" s="306">
        <f>+IF($H301=I$2,VLOOKUP($G301,Depreciation!$A$14:$L$18,7,FALSE)/2,IF($H301&lt;I$2,VLOOKUP($G301,Depreciation!$A$14:$L$18,7,FALSE),0))</f>
        <v>0</v>
      </c>
      <c r="J301" s="306">
        <f>+IF($H301=J$2,VLOOKUP($G301,Depreciation!$A$14:$L$18,8,FALSE)/2,IF($H301&lt;J$2,VLOOKUP($G301,Depreciation!$A$14:$L$18,8,FALSE),0))</f>
        <v>1.231622525054236E-2</v>
      </c>
      <c r="K301" s="306">
        <f>+IF($H301=K$2,VLOOKUP($G301,Depreciation!$A$14:$L$18,9,FALSE)/2,IF($H301&lt;K$2,VLOOKUP($G301,Depreciation!$A$14:$L$18,9,FALSE),0))</f>
        <v>2.4351536427798831E-2</v>
      </c>
      <c r="L301" s="306">
        <f>+IF($H301=L$2,VLOOKUP($G301,Depreciation!$A$14:$L$18,10,FALSE)/2,IF($H301&lt;L$2,VLOOKUP($G301,Depreciation!$A$14:$L$18,10,FALSE),0))</f>
        <v>2.4351536427798831E-2</v>
      </c>
      <c r="M301" s="306">
        <f>+IF($H301=M$2,VLOOKUP($G301,Depreciation!$A$14:$L$18,11,FALSE)/2,IF($H301&lt;M$2,VLOOKUP($G301,Depreciation!$A$14:$L$18,11,FALSE),0))</f>
        <v>2.4351536427798831E-2</v>
      </c>
      <c r="N301" s="306">
        <f>+IF($H301=N$2,VLOOKUP($G301,Depreciation!$A$14:$L$18,12,FALSE)/2,IF($H301&lt;N$2,VLOOKUP($G301,Depreciation!$A$14:$L$18,12,FALSE),0))</f>
        <v>2.4351536427798831E-2</v>
      </c>
      <c r="O301" s="307">
        <f t="shared" si="33"/>
        <v>6572491.6743521467</v>
      </c>
      <c r="P301" s="732">
        <f>'Func Future Subs 2015'!P301</f>
        <v>0</v>
      </c>
      <c r="Q301" s="732">
        <f>'Func Future Subs 2015'!Q301</f>
        <v>1</v>
      </c>
      <c r="R301" s="732">
        <f>'Func Future Subs 2015'!R301</f>
        <v>0</v>
      </c>
      <c r="S301" s="735">
        <f t="shared" si="34"/>
        <v>0</v>
      </c>
      <c r="T301" s="735">
        <f t="shared" si="35"/>
        <v>6572491.6743521467</v>
      </c>
      <c r="U301" s="735">
        <f t="shared" si="36"/>
        <v>0</v>
      </c>
      <c r="V301" s="736">
        <f t="shared" si="37"/>
        <v>0</v>
      </c>
      <c r="W301" s="735">
        <f t="shared" si="38"/>
        <v>0</v>
      </c>
      <c r="X301" s="737">
        <f t="shared" si="39"/>
        <v>0</v>
      </c>
      <c r="Y301" s="738">
        <f t="shared" si="40"/>
        <v>6572491.6743521467</v>
      </c>
    </row>
    <row r="302" spans="1:25">
      <c r="A302" s="754" t="str">
        <f>'Func Future Subs 2015'!A302</f>
        <v>Enmax Sub11 modify</v>
      </c>
      <c r="B302" s="754">
        <f>'Func Future Subs 2015'!B302</f>
        <v>1480</v>
      </c>
      <c r="C302" s="754">
        <f>'Func Future Subs 2015'!C302</f>
        <v>25</v>
      </c>
      <c r="D302" s="754">
        <f>'Func Future Subs 2015'!D302</f>
        <v>25</v>
      </c>
      <c r="E302" s="754" t="str">
        <f>'Func Future Subs 2015'!E302</f>
        <v>SS-11</v>
      </c>
      <c r="F302" s="754">
        <f>'Func Future Subs 2015'!F302</f>
        <v>1181844.0000000002</v>
      </c>
      <c r="G302" s="754" t="str">
        <f>'Func Future Subs 2015'!G302</f>
        <v>ENMAX</v>
      </c>
      <c r="H302" s="754">
        <f>'Func Future Subs 2015'!H302</f>
        <v>2016</v>
      </c>
      <c r="I302" s="306">
        <f>+IF($H302=I$2,VLOOKUP($G302,Depreciation!$A$14:$L$18,7,FALSE)/2,IF($H302&lt;I$2,VLOOKUP($G302,Depreciation!$A$14:$L$18,7,FALSE),0))</f>
        <v>0</v>
      </c>
      <c r="J302" s="306">
        <f>+IF($H302=J$2,VLOOKUP($G302,Depreciation!$A$14:$L$18,8,FALSE)/2,IF($H302&lt;J$2,VLOOKUP($G302,Depreciation!$A$14:$L$18,8,FALSE),0))</f>
        <v>1.3928409269726289E-2</v>
      </c>
      <c r="K302" s="306">
        <f>+IF($H302=K$2,VLOOKUP($G302,Depreciation!$A$14:$L$18,9,FALSE)/2,IF($H302&lt;K$2,VLOOKUP($G302,Depreciation!$A$14:$L$18,9,FALSE),0))</f>
        <v>2.7856818539452578E-2</v>
      </c>
      <c r="L302" s="306">
        <f>+IF($H302=L$2,VLOOKUP($G302,Depreciation!$A$14:$L$18,10,FALSE)/2,IF($H302&lt;L$2,VLOOKUP($G302,Depreciation!$A$14:$L$18,10,FALSE),0))</f>
        <v>2.7856818539452578E-2</v>
      </c>
      <c r="M302" s="306">
        <f>+IF($H302=M$2,VLOOKUP($G302,Depreciation!$A$14:$L$18,11,FALSE)/2,IF($H302&lt;M$2,VLOOKUP($G302,Depreciation!$A$14:$L$18,11,FALSE),0))</f>
        <v>2.7856818539452578E-2</v>
      </c>
      <c r="N302" s="306">
        <f>+IF($H302=N$2,VLOOKUP($G302,Depreciation!$A$14:$L$18,12,FALSE)/2,IF($H302&lt;N$2,VLOOKUP($G302,Depreciation!$A$14:$L$18,12,FALSE),0))</f>
        <v>2.7856818539452578E-2</v>
      </c>
      <c r="O302" s="307">
        <f t="shared" si="33"/>
        <v>1132918.9360793382</v>
      </c>
      <c r="P302" s="732">
        <f>'Func Future Subs 2015'!P302</f>
        <v>0</v>
      </c>
      <c r="Q302" s="732">
        <f>'Func Future Subs 2015'!Q302</f>
        <v>1</v>
      </c>
      <c r="R302" s="732">
        <f>'Func Future Subs 2015'!R302</f>
        <v>0</v>
      </c>
      <c r="S302" s="735">
        <f t="shared" si="34"/>
        <v>0</v>
      </c>
      <c r="T302" s="735">
        <f t="shared" si="35"/>
        <v>1132918.9360793382</v>
      </c>
      <c r="U302" s="735">
        <f t="shared" si="36"/>
        <v>0</v>
      </c>
      <c r="V302" s="736">
        <f t="shared" si="37"/>
        <v>0</v>
      </c>
      <c r="W302" s="735">
        <f t="shared" si="38"/>
        <v>0</v>
      </c>
      <c r="X302" s="737">
        <f t="shared" si="39"/>
        <v>0</v>
      </c>
      <c r="Y302" s="738">
        <f t="shared" si="40"/>
        <v>1132918.9360793382</v>
      </c>
    </row>
    <row r="303" spans="1:25">
      <c r="A303" s="754" t="str">
        <f>'Func Future Subs 2015'!A303</f>
        <v>Amelia 108S substation</v>
      </c>
      <c r="B303" s="754">
        <f>'Func Future Subs 2015'!B303</f>
        <v>1481</v>
      </c>
      <c r="C303" s="754">
        <f>'Func Future Subs 2015'!C303</f>
        <v>240</v>
      </c>
      <c r="D303" s="754">
        <f>'Func Future Subs 2015'!D303</f>
        <v>25</v>
      </c>
      <c r="E303" s="754" t="str">
        <f>'Func Future Subs 2015'!E303</f>
        <v>108S</v>
      </c>
      <c r="F303" s="754">
        <f>'Func Future Subs 2015'!F303</f>
        <v>1115000</v>
      </c>
      <c r="G303" s="754" t="str">
        <f>'Func Future Subs 2015'!G303</f>
        <v>AltaLink</v>
      </c>
      <c r="H303" s="754">
        <f>'Func Future Subs 2015'!H303</f>
        <v>2015</v>
      </c>
      <c r="I303" s="306">
        <f>+IF($H303=I$2,VLOOKUP($G303,Depreciation!$A$14:$L$18,7,FALSE)/2,IF($H303&lt;I$2,VLOOKUP($G303,Depreciation!$A$14:$L$18,7,FALSE),0))</f>
        <v>1.7228380322441735E-2</v>
      </c>
      <c r="J303" s="306">
        <f>+IF($H303=J$2,VLOOKUP($G303,Depreciation!$A$14:$L$18,8,FALSE)/2,IF($H303&lt;J$2,VLOOKUP($G303,Depreciation!$A$14:$L$18,8,FALSE),0))</f>
        <v>3.343407856743718E-2</v>
      </c>
      <c r="K303" s="306">
        <f>+IF($H303=K$2,VLOOKUP($G303,Depreciation!$A$14:$L$18,9,FALSE)/2,IF($H303&lt;K$2,VLOOKUP($G303,Depreciation!$A$14:$L$18,9,FALSE),0))</f>
        <v>3.343407856743718E-2</v>
      </c>
      <c r="L303" s="306">
        <f>+IF($H303=L$2,VLOOKUP($G303,Depreciation!$A$14:$L$18,10,FALSE)/2,IF($H303&lt;L$2,VLOOKUP($G303,Depreciation!$A$14:$L$18,10,FALSE),0))</f>
        <v>3.343407856743718E-2</v>
      </c>
      <c r="M303" s="306">
        <f>+IF($H303=M$2,VLOOKUP($G303,Depreciation!$A$14:$L$18,11,FALSE)/2,IF($H303&lt;M$2,VLOOKUP($G303,Depreciation!$A$14:$L$18,11,FALSE),0))</f>
        <v>3.343407856743718E-2</v>
      </c>
      <c r="N303" s="306">
        <f>+IF($H303=N$2,VLOOKUP($G303,Depreciation!$A$14:$L$18,12,FALSE)/2,IF($H303&lt;N$2,VLOOKUP($G303,Depreciation!$A$14:$L$18,12,FALSE),0))</f>
        <v>3.343407856743718E-2</v>
      </c>
      <c r="O303" s="307">
        <f t="shared" si="33"/>
        <v>1023741.7899047356</v>
      </c>
      <c r="P303" s="732">
        <f>'Func Future Subs 2015'!P303</f>
        <v>0</v>
      </c>
      <c r="Q303" s="732">
        <f>'Func Future Subs 2015'!Q303</f>
        <v>1</v>
      </c>
      <c r="R303" s="732">
        <f>'Func Future Subs 2015'!R303</f>
        <v>0</v>
      </c>
      <c r="S303" s="735">
        <f t="shared" si="34"/>
        <v>0</v>
      </c>
      <c r="T303" s="735">
        <f t="shared" si="35"/>
        <v>1023741.7899047356</v>
      </c>
      <c r="U303" s="735">
        <f t="shared" si="36"/>
        <v>0</v>
      </c>
      <c r="V303" s="736">
        <f t="shared" si="37"/>
        <v>0</v>
      </c>
      <c r="W303" s="735">
        <f t="shared" si="38"/>
        <v>0</v>
      </c>
      <c r="X303" s="737">
        <f t="shared" si="39"/>
        <v>0</v>
      </c>
      <c r="Y303" s="738">
        <f t="shared" si="40"/>
        <v>1023741.7899047356</v>
      </c>
    </row>
    <row r="304" spans="1:25">
      <c r="A304" s="754" t="str">
        <f>'Func Future Subs 2015'!A304</f>
        <v>Birchwood creek substation</v>
      </c>
      <c r="B304" s="754">
        <f>'Func Future Subs 2015'!B304</f>
        <v>1482</v>
      </c>
      <c r="C304" s="754">
        <f>'Func Future Subs 2015'!C304</f>
        <v>240</v>
      </c>
      <c r="D304" s="754">
        <f>'Func Future Subs 2015'!D304</f>
        <v>0</v>
      </c>
      <c r="E304" s="754">
        <f>'Func Future Subs 2015'!E304</f>
        <v>0</v>
      </c>
      <c r="F304" s="754">
        <f>'Func Future Subs 2015'!F304</f>
        <v>2387527.4359669439</v>
      </c>
      <c r="G304" s="754" t="str">
        <f>'Func Future Subs 2015'!G304</f>
        <v>ATCO</v>
      </c>
      <c r="H304" s="754">
        <f>'Func Future Subs 2015'!H304</f>
        <v>2016</v>
      </c>
      <c r="I304" s="306">
        <f>+IF($H304=I$2,VLOOKUP($G304,Depreciation!$A$14:$L$18,7,FALSE)/2,IF($H304&lt;I$2,VLOOKUP($G304,Depreciation!$A$14:$L$18,7,FALSE),0))</f>
        <v>0</v>
      </c>
      <c r="J304" s="306">
        <f>+IF($H304=J$2,VLOOKUP($G304,Depreciation!$A$14:$L$18,8,FALSE)/2,IF($H304&lt;J$2,VLOOKUP($G304,Depreciation!$A$14:$L$18,8,FALSE),0))</f>
        <v>1.231622525054236E-2</v>
      </c>
      <c r="K304" s="306">
        <f>+IF($H304=K$2,VLOOKUP($G304,Depreciation!$A$14:$L$18,9,FALSE)/2,IF($H304&lt;K$2,VLOOKUP($G304,Depreciation!$A$14:$L$18,9,FALSE),0))</f>
        <v>2.4351536427798831E-2</v>
      </c>
      <c r="L304" s="306">
        <f>+IF($H304=L$2,VLOOKUP($G304,Depreciation!$A$14:$L$18,10,FALSE)/2,IF($H304&lt;L$2,VLOOKUP($G304,Depreciation!$A$14:$L$18,10,FALSE),0))</f>
        <v>2.4351536427798831E-2</v>
      </c>
      <c r="M304" s="306">
        <f>+IF($H304=M$2,VLOOKUP($G304,Depreciation!$A$14:$L$18,11,FALSE)/2,IF($H304&lt;M$2,VLOOKUP($G304,Depreciation!$A$14:$L$18,11,FALSE),0))</f>
        <v>2.4351536427798831E-2</v>
      </c>
      <c r="N304" s="306">
        <f>+IF($H304=N$2,VLOOKUP($G304,Depreciation!$A$14:$L$18,12,FALSE)/2,IF($H304&lt;N$2,VLOOKUP($G304,Depreciation!$A$14:$L$18,12,FALSE),0))</f>
        <v>2.4351536427798831E-2</v>
      </c>
      <c r="O304" s="307">
        <f t="shared" si="33"/>
        <v>2300698.213804197</v>
      </c>
      <c r="P304" s="732">
        <f>'Func Future Subs 2015'!P304</f>
        <v>0</v>
      </c>
      <c r="Q304" s="732">
        <f>'Func Future Subs 2015'!Q304</f>
        <v>0</v>
      </c>
      <c r="R304" s="732">
        <f>'Func Future Subs 2015'!R304</f>
        <v>1</v>
      </c>
      <c r="S304" s="735">
        <f t="shared" si="34"/>
        <v>0</v>
      </c>
      <c r="T304" s="735">
        <f t="shared" si="35"/>
        <v>0</v>
      </c>
      <c r="U304" s="735">
        <f t="shared" si="36"/>
        <v>2300698.213804197</v>
      </c>
      <c r="V304" s="736">
        <f t="shared" si="37"/>
        <v>2300698.213804197</v>
      </c>
      <c r="W304" s="735">
        <f t="shared" si="38"/>
        <v>0</v>
      </c>
      <c r="X304" s="737">
        <f t="shared" si="39"/>
        <v>0</v>
      </c>
      <c r="Y304" s="738">
        <f t="shared" si="40"/>
        <v>0</v>
      </c>
    </row>
    <row r="305" spans="1:25">
      <c r="A305" s="754" t="str">
        <f>'Func Future Subs 2015'!A305</f>
        <v>Yeo substation</v>
      </c>
      <c r="B305" s="754">
        <f>'Func Future Subs 2015'!B305</f>
        <v>1482</v>
      </c>
      <c r="C305" s="754">
        <f>'Func Future Subs 2015'!C305</f>
        <v>240</v>
      </c>
      <c r="D305" s="754">
        <f>'Func Future Subs 2015'!D305</f>
        <v>0</v>
      </c>
      <c r="E305" s="754">
        <f>'Func Future Subs 2015'!E305</f>
        <v>0</v>
      </c>
      <c r="F305" s="754">
        <f>'Func Future Subs 2015'!F305</f>
        <v>15506138.00545691</v>
      </c>
      <c r="G305" s="754" t="str">
        <f>'Func Future Subs 2015'!G305</f>
        <v>ATCO</v>
      </c>
      <c r="H305" s="754">
        <f>'Func Future Subs 2015'!H305</f>
        <v>2016</v>
      </c>
      <c r="I305" s="306">
        <f>+IF($H305=I$2,VLOOKUP($G305,Depreciation!$A$14:$L$18,7,FALSE)/2,IF($H305&lt;I$2,VLOOKUP($G305,Depreciation!$A$14:$L$18,7,FALSE),0))</f>
        <v>0</v>
      </c>
      <c r="J305" s="306">
        <f>+IF($H305=J$2,VLOOKUP($G305,Depreciation!$A$14:$L$18,8,FALSE)/2,IF($H305&lt;J$2,VLOOKUP($G305,Depreciation!$A$14:$L$18,8,FALSE),0))</f>
        <v>1.231622525054236E-2</v>
      </c>
      <c r="K305" s="306">
        <f>+IF($H305=K$2,VLOOKUP($G305,Depreciation!$A$14:$L$18,9,FALSE)/2,IF($H305&lt;K$2,VLOOKUP($G305,Depreciation!$A$14:$L$18,9,FALSE),0))</f>
        <v>2.4351536427798831E-2</v>
      </c>
      <c r="L305" s="306">
        <f>+IF($H305=L$2,VLOOKUP($G305,Depreciation!$A$14:$L$18,10,FALSE)/2,IF($H305&lt;L$2,VLOOKUP($G305,Depreciation!$A$14:$L$18,10,FALSE),0))</f>
        <v>2.4351536427798831E-2</v>
      </c>
      <c r="M305" s="306">
        <f>+IF($H305=M$2,VLOOKUP($G305,Depreciation!$A$14:$L$18,11,FALSE)/2,IF($H305&lt;M$2,VLOOKUP($G305,Depreciation!$A$14:$L$18,11,FALSE),0))</f>
        <v>2.4351536427798831E-2</v>
      </c>
      <c r="N305" s="306">
        <f>+IF($H305=N$2,VLOOKUP($G305,Depreciation!$A$14:$L$18,12,FALSE)/2,IF($H305&lt;N$2,VLOOKUP($G305,Depreciation!$A$14:$L$18,12,FALSE),0))</f>
        <v>2.4351536427798831E-2</v>
      </c>
      <c r="O305" s="307">
        <f t="shared" si="33"/>
        <v>14942213.218047397</v>
      </c>
      <c r="P305" s="732">
        <f>'Func Future Subs 2015'!P305</f>
        <v>0</v>
      </c>
      <c r="Q305" s="732">
        <f>'Func Future Subs 2015'!Q305</f>
        <v>0</v>
      </c>
      <c r="R305" s="732">
        <f>'Func Future Subs 2015'!R305</f>
        <v>1</v>
      </c>
      <c r="S305" s="735">
        <f t="shared" si="34"/>
        <v>0</v>
      </c>
      <c r="T305" s="735">
        <f t="shared" si="35"/>
        <v>0</v>
      </c>
      <c r="U305" s="735">
        <f t="shared" si="36"/>
        <v>14942213.218047397</v>
      </c>
      <c r="V305" s="736">
        <f t="shared" si="37"/>
        <v>14942213.218047397</v>
      </c>
      <c r="W305" s="735">
        <f t="shared" si="38"/>
        <v>0</v>
      </c>
      <c r="X305" s="737">
        <f t="shared" si="39"/>
        <v>0</v>
      </c>
      <c r="Y305" s="738">
        <f t="shared" si="40"/>
        <v>0</v>
      </c>
    </row>
    <row r="306" spans="1:25">
      <c r="A306" s="754" t="str">
        <f>'Func Future Subs 2015'!A306</f>
        <v>Wabasca 720S</v>
      </c>
      <c r="B306" s="754">
        <f>'Func Future Subs 2015'!B306</f>
        <v>1491</v>
      </c>
      <c r="C306" s="754">
        <f>'Func Future Subs 2015'!C306</f>
        <v>240</v>
      </c>
      <c r="D306" s="754">
        <f>'Func Future Subs 2015'!D306</f>
        <v>25</v>
      </c>
      <c r="E306" s="754" t="str">
        <f>'Func Future Subs 2015'!E306</f>
        <v>720S</v>
      </c>
      <c r="F306" s="754">
        <f>'Func Future Subs 2015'!F306</f>
        <v>2147023.9999999977</v>
      </c>
      <c r="G306" s="754" t="str">
        <f>'Func Future Subs 2015'!G306</f>
        <v>ATCO</v>
      </c>
      <c r="H306" s="754">
        <f>'Func Future Subs 2015'!H306</f>
        <v>2018</v>
      </c>
      <c r="I306" s="306">
        <f>+IF($H306=I$2,VLOOKUP($G306,Depreciation!$A$14:$L$18,7,FALSE)/2,IF($H306&lt;I$2,VLOOKUP($G306,Depreciation!$A$14:$L$18,7,FALSE),0))</f>
        <v>0</v>
      </c>
      <c r="J306" s="306">
        <f>+IF($H306=J$2,VLOOKUP($G306,Depreciation!$A$14:$L$18,8,FALSE)/2,IF($H306&lt;J$2,VLOOKUP($G306,Depreciation!$A$14:$L$18,8,FALSE),0))</f>
        <v>0</v>
      </c>
      <c r="K306" s="306">
        <f>+IF($H306=K$2,VLOOKUP($G306,Depreciation!$A$14:$L$18,9,FALSE)/2,IF($H306&lt;K$2,VLOOKUP($G306,Depreciation!$A$14:$L$18,9,FALSE),0))</f>
        <v>0</v>
      </c>
      <c r="L306" s="306">
        <f>+IF($H306=L$2,VLOOKUP($G306,Depreciation!$A$14:$L$18,10,FALSE)/2,IF($H306&lt;L$2,VLOOKUP($G306,Depreciation!$A$14:$L$18,10,FALSE),0))</f>
        <v>1.2175768213899416E-2</v>
      </c>
      <c r="M306" s="306">
        <f>+IF($H306=M$2,VLOOKUP($G306,Depreciation!$A$14:$L$18,11,FALSE)/2,IF($H306&lt;M$2,VLOOKUP($G306,Depreciation!$A$14:$L$18,11,FALSE),0))</f>
        <v>2.4351536427798831E-2</v>
      </c>
      <c r="N306" s="306">
        <f>+IF($H306=N$2,VLOOKUP($G306,Depreciation!$A$14:$L$18,12,FALSE)/2,IF($H306&lt;N$2,VLOOKUP($G306,Depreciation!$A$14:$L$18,12,FALSE),0))</f>
        <v>2.4351536427798831E-2</v>
      </c>
      <c r="O306" s="307">
        <f t="shared" si="33"/>
        <v>0</v>
      </c>
      <c r="P306" s="732">
        <f>'Func Future Subs 2015'!P306</f>
        <v>0</v>
      </c>
      <c r="Q306" s="732">
        <f>'Func Future Subs 2015'!Q306</f>
        <v>1</v>
      </c>
      <c r="R306" s="732">
        <f>'Func Future Subs 2015'!R306</f>
        <v>0</v>
      </c>
      <c r="S306" s="735">
        <f t="shared" si="34"/>
        <v>0</v>
      </c>
      <c r="T306" s="735">
        <f t="shared" si="35"/>
        <v>0</v>
      </c>
      <c r="U306" s="735">
        <f t="shared" si="36"/>
        <v>0</v>
      </c>
      <c r="V306" s="736">
        <f t="shared" si="37"/>
        <v>0</v>
      </c>
      <c r="W306" s="735">
        <f t="shared" si="38"/>
        <v>0</v>
      </c>
      <c r="X306" s="737">
        <f t="shared" si="39"/>
        <v>0</v>
      </c>
      <c r="Y306" s="738">
        <f t="shared" si="40"/>
        <v>0</v>
      </c>
    </row>
    <row r="307" spans="1:25">
      <c r="A307" s="754" t="str">
        <f>'Func Future Subs 2015'!A307</f>
        <v xml:space="preserve">v180 - Fortis 263S substation upgrade </v>
      </c>
      <c r="B307" s="754">
        <f>'Func Future Subs 2015'!B307</f>
        <v>1494</v>
      </c>
      <c r="C307" s="754">
        <f>'Func Future Subs 2015'!C307</f>
        <v>138</v>
      </c>
      <c r="D307" s="754">
        <f>'Func Future Subs 2015'!D307</f>
        <v>25</v>
      </c>
      <c r="E307" s="754" t="str">
        <f>'Func Future Subs 2015'!E307</f>
        <v>263S</v>
      </c>
      <c r="F307" s="754">
        <f>'Func Future Subs 2015'!F307</f>
        <v>7308312.4068950815</v>
      </c>
      <c r="G307" s="754" t="str">
        <f>'Func Future Subs 2015'!G307</f>
        <v>AltaLink</v>
      </c>
      <c r="H307" s="754">
        <f>'Func Future Subs 2015'!H307</f>
        <v>2015</v>
      </c>
      <c r="I307" s="306">
        <f>+IF($H307=I$2,VLOOKUP($G307,Depreciation!$A$14:$L$18,7,FALSE)/2,IF($H307&lt;I$2,VLOOKUP($G307,Depreciation!$A$14:$L$18,7,FALSE),0))</f>
        <v>1.7228380322441735E-2</v>
      </c>
      <c r="J307" s="306">
        <f>+IF($H307=J$2,VLOOKUP($G307,Depreciation!$A$14:$L$18,8,FALSE)/2,IF($H307&lt;J$2,VLOOKUP($G307,Depreciation!$A$14:$L$18,8,FALSE),0))</f>
        <v>3.343407856743718E-2</v>
      </c>
      <c r="K307" s="306">
        <f>+IF($H307=K$2,VLOOKUP($G307,Depreciation!$A$14:$L$18,9,FALSE)/2,IF($H307&lt;K$2,VLOOKUP($G307,Depreciation!$A$14:$L$18,9,FALSE),0))</f>
        <v>3.343407856743718E-2</v>
      </c>
      <c r="L307" s="306">
        <f>+IF($H307=L$2,VLOOKUP($G307,Depreciation!$A$14:$L$18,10,FALSE)/2,IF($H307&lt;L$2,VLOOKUP($G307,Depreciation!$A$14:$L$18,10,FALSE),0))</f>
        <v>3.343407856743718E-2</v>
      </c>
      <c r="M307" s="306">
        <f>+IF($H307=M$2,VLOOKUP($G307,Depreciation!$A$14:$L$18,11,FALSE)/2,IF($H307&lt;M$2,VLOOKUP($G307,Depreciation!$A$14:$L$18,11,FALSE),0))</f>
        <v>3.343407856743718E-2</v>
      </c>
      <c r="N307" s="306">
        <f>+IF($H307=N$2,VLOOKUP($G307,Depreciation!$A$14:$L$18,12,FALSE)/2,IF($H307&lt;N$2,VLOOKUP($G307,Depreciation!$A$14:$L$18,12,FALSE),0))</f>
        <v>3.343407856743718E-2</v>
      </c>
      <c r="O307" s="307">
        <f t="shared" si="33"/>
        <v>6710156.793379155</v>
      </c>
      <c r="P307" s="732">
        <f>'Func Future Subs 2015'!P307</f>
        <v>0</v>
      </c>
      <c r="Q307" s="732">
        <f>'Func Future Subs 2015'!Q307</f>
        <v>1</v>
      </c>
      <c r="R307" s="732">
        <f>'Func Future Subs 2015'!R307</f>
        <v>0</v>
      </c>
      <c r="S307" s="735">
        <f t="shared" si="34"/>
        <v>0</v>
      </c>
      <c r="T307" s="735">
        <f t="shared" si="35"/>
        <v>6710156.793379155</v>
      </c>
      <c r="U307" s="735">
        <f t="shared" si="36"/>
        <v>0</v>
      </c>
      <c r="V307" s="736">
        <f t="shared" si="37"/>
        <v>0</v>
      </c>
      <c r="W307" s="735">
        <f t="shared" si="38"/>
        <v>0</v>
      </c>
      <c r="X307" s="737">
        <f t="shared" si="39"/>
        <v>0</v>
      </c>
      <c r="Y307" s="738">
        <f t="shared" si="40"/>
        <v>6710156.793379155</v>
      </c>
    </row>
    <row r="308" spans="1:25">
      <c r="A308" s="754" t="str">
        <f>'Func Future Subs 2015'!A308</f>
        <v>[Final]Hayter 277s substation</v>
      </c>
      <c r="B308" s="754">
        <f>'Func Future Subs 2015'!B308</f>
        <v>1495</v>
      </c>
      <c r="C308" s="754">
        <f>'Func Future Subs 2015'!C308</f>
        <v>138</v>
      </c>
      <c r="D308" s="754">
        <f>'Func Future Subs 2015'!D308</f>
        <v>25</v>
      </c>
      <c r="E308" s="754" t="str">
        <f>'Func Future Subs 2015'!E308</f>
        <v>277S</v>
      </c>
      <c r="F308" s="754">
        <f>'Func Future Subs 2015'!F308</f>
        <v>4998436.9999999991</v>
      </c>
      <c r="G308" s="754" t="str">
        <f>'Func Future Subs 2015'!G308</f>
        <v>AltaLink</v>
      </c>
      <c r="H308" s="754">
        <f>'Func Future Subs 2015'!H308</f>
        <v>2015</v>
      </c>
      <c r="I308" s="306">
        <f>+IF($H308=I$2,VLOOKUP($G308,Depreciation!$A$14:$L$18,7,FALSE)/2,IF($H308&lt;I$2,VLOOKUP($G308,Depreciation!$A$14:$L$18,7,FALSE),0))</f>
        <v>1.7228380322441735E-2</v>
      </c>
      <c r="J308" s="306">
        <f>+IF($H308=J$2,VLOOKUP($G308,Depreciation!$A$14:$L$18,8,FALSE)/2,IF($H308&lt;J$2,VLOOKUP($G308,Depreciation!$A$14:$L$18,8,FALSE),0))</f>
        <v>3.343407856743718E-2</v>
      </c>
      <c r="K308" s="306">
        <f>+IF($H308=K$2,VLOOKUP($G308,Depreciation!$A$14:$L$18,9,FALSE)/2,IF($H308&lt;K$2,VLOOKUP($G308,Depreciation!$A$14:$L$18,9,FALSE),0))</f>
        <v>3.343407856743718E-2</v>
      </c>
      <c r="L308" s="306">
        <f>+IF($H308=L$2,VLOOKUP($G308,Depreciation!$A$14:$L$18,10,FALSE)/2,IF($H308&lt;L$2,VLOOKUP($G308,Depreciation!$A$14:$L$18,10,FALSE),0))</f>
        <v>3.343407856743718E-2</v>
      </c>
      <c r="M308" s="306">
        <f>+IF($H308=M$2,VLOOKUP($G308,Depreciation!$A$14:$L$18,11,FALSE)/2,IF($H308&lt;M$2,VLOOKUP($G308,Depreciation!$A$14:$L$18,11,FALSE),0))</f>
        <v>3.343407856743718E-2</v>
      </c>
      <c r="N308" s="306">
        <f>+IF($H308=N$2,VLOOKUP($G308,Depreciation!$A$14:$L$18,12,FALSE)/2,IF($H308&lt;N$2,VLOOKUP($G308,Depreciation!$A$14:$L$18,12,FALSE),0))</f>
        <v>3.343407856743718E-2</v>
      </c>
      <c r="O308" s="307">
        <f t="shared" si="33"/>
        <v>4589335.2835031897</v>
      </c>
      <c r="P308" s="732">
        <f>'Func Future Subs 2015'!P308</f>
        <v>0.2544529262086514</v>
      </c>
      <c r="Q308" s="732">
        <f>'Func Future Subs 2015'!Q308</f>
        <v>0.74554707379134866</v>
      </c>
      <c r="R308" s="732">
        <f>'Func Future Subs 2015'!R308</f>
        <v>0</v>
      </c>
      <c r="S308" s="735">
        <f t="shared" si="34"/>
        <v>1167769.7922399973</v>
      </c>
      <c r="T308" s="735">
        <f t="shared" si="35"/>
        <v>3421565.4912631926</v>
      </c>
      <c r="U308" s="735">
        <f t="shared" si="36"/>
        <v>0</v>
      </c>
      <c r="V308" s="736">
        <f t="shared" si="37"/>
        <v>0</v>
      </c>
      <c r="W308" s="735">
        <f t="shared" si="38"/>
        <v>1167769.7922399973</v>
      </c>
      <c r="X308" s="737">
        <f t="shared" si="39"/>
        <v>0</v>
      </c>
      <c r="Y308" s="738">
        <f t="shared" si="40"/>
        <v>3421565.4912631926</v>
      </c>
    </row>
    <row r="309" spans="1:25">
      <c r="A309" s="754" t="str">
        <f>'Func Future Subs 2015'!A309</f>
        <v>Hayter 277s substation</v>
      </c>
      <c r="B309" s="754">
        <f>'Func Future Subs 2015'!B309</f>
        <v>1495</v>
      </c>
      <c r="C309" s="754">
        <f>'Func Future Subs 2015'!C309</f>
        <v>138</v>
      </c>
      <c r="D309" s="754">
        <f>'Func Future Subs 2015'!D309</f>
        <v>25</v>
      </c>
      <c r="E309" s="754" t="str">
        <f>'Func Future Subs 2015'!E309</f>
        <v>277S</v>
      </c>
      <c r="F309" s="754">
        <f>'Func Future Subs 2015'!F309</f>
        <v>6860894.0285954578</v>
      </c>
      <c r="G309" s="754" t="str">
        <f>'Func Future Subs 2015'!G309</f>
        <v>AltaLink</v>
      </c>
      <c r="H309" s="754">
        <f>'Func Future Subs 2015'!H309</f>
        <v>2015</v>
      </c>
      <c r="I309" s="306">
        <f>+IF($H309=I$2,VLOOKUP($G309,Depreciation!$A$14:$L$18,7,FALSE)/2,IF($H309&lt;I$2,VLOOKUP($G309,Depreciation!$A$14:$L$18,7,FALSE),0))</f>
        <v>1.7228380322441735E-2</v>
      </c>
      <c r="J309" s="306">
        <f>+IF($H309=J$2,VLOOKUP($G309,Depreciation!$A$14:$L$18,8,FALSE)/2,IF($H309&lt;J$2,VLOOKUP($G309,Depreciation!$A$14:$L$18,8,FALSE),0))</f>
        <v>3.343407856743718E-2</v>
      </c>
      <c r="K309" s="306">
        <f>+IF($H309=K$2,VLOOKUP($G309,Depreciation!$A$14:$L$18,9,FALSE)/2,IF($H309&lt;K$2,VLOOKUP($G309,Depreciation!$A$14:$L$18,9,FALSE),0))</f>
        <v>3.343407856743718E-2</v>
      </c>
      <c r="L309" s="306">
        <f>+IF($H309=L$2,VLOOKUP($G309,Depreciation!$A$14:$L$18,10,FALSE)/2,IF($H309&lt;L$2,VLOOKUP($G309,Depreciation!$A$14:$L$18,10,FALSE),0))</f>
        <v>3.343407856743718E-2</v>
      </c>
      <c r="M309" s="306">
        <f>+IF($H309=M$2,VLOOKUP($G309,Depreciation!$A$14:$L$18,11,FALSE)/2,IF($H309&lt;M$2,VLOOKUP($G309,Depreciation!$A$14:$L$18,11,FALSE),0))</f>
        <v>3.343407856743718E-2</v>
      </c>
      <c r="N309" s="306">
        <f>+IF($H309=N$2,VLOOKUP($G309,Depreciation!$A$14:$L$18,12,FALSE)/2,IF($H309&lt;N$2,VLOOKUP($G309,Depreciation!$A$14:$L$18,12,FALSE),0))</f>
        <v>3.343407856743718E-2</v>
      </c>
      <c r="O309" s="307">
        <f t="shared" si="33"/>
        <v>6299357.7876063017</v>
      </c>
      <c r="P309" s="732">
        <f>'Func Future Subs 2015'!P309</f>
        <v>0.2544529262086514</v>
      </c>
      <c r="Q309" s="732">
        <f>'Func Future Subs 2015'!Q309</f>
        <v>0.74554707379134866</v>
      </c>
      <c r="R309" s="732">
        <f>'Func Future Subs 2015'!R309</f>
        <v>0</v>
      </c>
      <c r="S309" s="735">
        <f t="shared" si="34"/>
        <v>1602890.0222916799</v>
      </c>
      <c r="T309" s="735">
        <f t="shared" si="35"/>
        <v>4696467.7653146219</v>
      </c>
      <c r="U309" s="735">
        <f t="shared" si="36"/>
        <v>0</v>
      </c>
      <c r="V309" s="736">
        <f t="shared" si="37"/>
        <v>0</v>
      </c>
      <c r="W309" s="735">
        <f t="shared" si="38"/>
        <v>1602890.0222916799</v>
      </c>
      <c r="X309" s="737">
        <f t="shared" si="39"/>
        <v>0</v>
      </c>
      <c r="Y309" s="738">
        <f t="shared" si="40"/>
        <v>4696467.7653146219</v>
      </c>
    </row>
    <row r="310" spans="1:25">
      <c r="A310" s="754" t="str">
        <f>'Func Future Subs 2015'!A310</f>
        <v>Upgrade Scotford 409S substation</v>
      </c>
      <c r="B310" s="754">
        <f>'Func Future Subs 2015'!B310</f>
        <v>1503</v>
      </c>
      <c r="C310" s="754">
        <f>'Func Future Subs 2015'!C310</f>
        <v>240</v>
      </c>
      <c r="D310" s="754">
        <f>'Func Future Subs 2015'!D310</f>
        <v>25</v>
      </c>
      <c r="E310" s="754" t="str">
        <f>'Func Future Subs 2015'!E310</f>
        <v>409S</v>
      </c>
      <c r="F310" s="754">
        <f>'Func Future Subs 2015'!F310</f>
        <v>5335410.2564102598</v>
      </c>
      <c r="G310" s="754" t="str">
        <f>'Func Future Subs 2015'!G310</f>
        <v>AltaLink</v>
      </c>
      <c r="H310" s="754">
        <f>'Func Future Subs 2015'!H310</f>
        <v>2016</v>
      </c>
      <c r="I310" s="306">
        <f>+IF($H310=I$2,VLOOKUP($G310,Depreciation!$A$14:$L$18,7,FALSE)/2,IF($H310&lt;I$2,VLOOKUP($G310,Depreciation!$A$14:$L$18,7,FALSE),0))</f>
        <v>0</v>
      </c>
      <c r="J310" s="306">
        <f>+IF($H310=J$2,VLOOKUP($G310,Depreciation!$A$14:$L$18,8,FALSE)/2,IF($H310&lt;J$2,VLOOKUP($G310,Depreciation!$A$14:$L$18,8,FALSE),0))</f>
        <v>1.671703928371859E-2</v>
      </c>
      <c r="K310" s="306">
        <f>+IF($H310=K$2,VLOOKUP($G310,Depreciation!$A$14:$L$18,9,FALSE)/2,IF($H310&lt;K$2,VLOOKUP($G310,Depreciation!$A$14:$L$18,9,FALSE),0))</f>
        <v>3.343407856743718E-2</v>
      </c>
      <c r="L310" s="306">
        <f>+IF($H310=L$2,VLOOKUP($G310,Depreciation!$A$14:$L$18,10,FALSE)/2,IF($H310&lt;L$2,VLOOKUP($G310,Depreciation!$A$14:$L$18,10,FALSE),0))</f>
        <v>3.343407856743718E-2</v>
      </c>
      <c r="M310" s="306">
        <f>+IF($H310=M$2,VLOOKUP($G310,Depreciation!$A$14:$L$18,11,FALSE)/2,IF($H310&lt;M$2,VLOOKUP($G310,Depreciation!$A$14:$L$18,11,FALSE),0))</f>
        <v>3.343407856743718E-2</v>
      </c>
      <c r="N310" s="306">
        <f>+IF($H310=N$2,VLOOKUP($G310,Depreciation!$A$14:$L$18,12,FALSE)/2,IF($H310&lt;N$2,VLOOKUP($G310,Depreciation!$A$14:$L$18,12,FALSE),0))</f>
        <v>3.343407856743718E-2</v>
      </c>
      <c r="O310" s="307">
        <f t="shared" si="33"/>
        <v>5070815.5289805364</v>
      </c>
      <c r="P310" s="732">
        <f>'Func Future Subs 2015'!P310</f>
        <v>0.29078014184397161</v>
      </c>
      <c r="Q310" s="732">
        <f>'Func Future Subs 2015'!Q310</f>
        <v>0.70921985815602839</v>
      </c>
      <c r="R310" s="732">
        <f>'Func Future Subs 2015'!R310</f>
        <v>0</v>
      </c>
      <c r="S310" s="735">
        <f t="shared" si="34"/>
        <v>1474492.4587815744</v>
      </c>
      <c r="T310" s="735">
        <f t="shared" si="35"/>
        <v>3596323.070198962</v>
      </c>
      <c r="U310" s="735">
        <f t="shared" si="36"/>
        <v>0</v>
      </c>
      <c r="V310" s="736">
        <f t="shared" si="37"/>
        <v>0</v>
      </c>
      <c r="W310" s="735">
        <f t="shared" si="38"/>
        <v>1474492.4587815744</v>
      </c>
      <c r="X310" s="737">
        <f t="shared" si="39"/>
        <v>0</v>
      </c>
      <c r="Y310" s="738">
        <f t="shared" si="40"/>
        <v>3596323.070198962</v>
      </c>
    </row>
    <row r="311" spans="1:25">
      <c r="A311" s="754" t="str">
        <f>'Func Future Subs 2015'!A311</f>
        <v>North ST Albert 99S substation[180D]</v>
      </c>
      <c r="B311" s="754">
        <f>'Func Future Subs 2015'!B311</f>
        <v>1510</v>
      </c>
      <c r="C311" s="754">
        <f>'Func Future Subs 2015'!C311</f>
        <v>138</v>
      </c>
      <c r="D311" s="754">
        <f>'Func Future Subs 2015'!D311</f>
        <v>25</v>
      </c>
      <c r="E311" s="754" t="str">
        <f>'Func Future Subs 2015'!E311</f>
        <v>99S</v>
      </c>
      <c r="F311" s="754">
        <f>'Func Future Subs 2015'!F311</f>
        <v>968000.00000000012</v>
      </c>
      <c r="G311" s="754" t="str">
        <f>'Func Future Subs 2015'!G311</f>
        <v>AltaLink</v>
      </c>
      <c r="H311" s="754">
        <f>'Func Future Subs 2015'!H311</f>
        <v>2015</v>
      </c>
      <c r="I311" s="306">
        <f>+IF($H311=I$2,VLOOKUP($G311,Depreciation!$A$14:$L$18,7,FALSE)/2,IF($H311&lt;I$2,VLOOKUP($G311,Depreciation!$A$14:$L$18,7,FALSE),0))</f>
        <v>1.7228380322441735E-2</v>
      </c>
      <c r="J311" s="306">
        <f>+IF($H311=J$2,VLOOKUP($G311,Depreciation!$A$14:$L$18,8,FALSE)/2,IF($H311&lt;J$2,VLOOKUP($G311,Depreciation!$A$14:$L$18,8,FALSE),0))</f>
        <v>3.343407856743718E-2</v>
      </c>
      <c r="K311" s="306">
        <f>+IF($H311=K$2,VLOOKUP($G311,Depreciation!$A$14:$L$18,9,FALSE)/2,IF($H311&lt;K$2,VLOOKUP($G311,Depreciation!$A$14:$L$18,9,FALSE),0))</f>
        <v>3.343407856743718E-2</v>
      </c>
      <c r="L311" s="306">
        <f>+IF($H311=L$2,VLOOKUP($G311,Depreciation!$A$14:$L$18,10,FALSE)/2,IF($H311&lt;L$2,VLOOKUP($G311,Depreciation!$A$14:$L$18,10,FALSE),0))</f>
        <v>3.343407856743718E-2</v>
      </c>
      <c r="M311" s="306">
        <f>+IF($H311=M$2,VLOOKUP($G311,Depreciation!$A$14:$L$18,11,FALSE)/2,IF($H311&lt;M$2,VLOOKUP($G311,Depreciation!$A$14:$L$18,11,FALSE),0))</f>
        <v>3.343407856743718E-2</v>
      </c>
      <c r="N311" s="306">
        <f>+IF($H311=N$2,VLOOKUP($G311,Depreciation!$A$14:$L$18,12,FALSE)/2,IF($H311&lt;N$2,VLOOKUP($G311,Depreciation!$A$14:$L$18,12,FALSE),0))</f>
        <v>3.343407856743718E-2</v>
      </c>
      <c r="O311" s="307">
        <f t="shared" si="33"/>
        <v>888773.14137020998</v>
      </c>
      <c r="P311" s="732">
        <f>'Func Future Subs 2015'!P311</f>
        <v>0</v>
      </c>
      <c r="Q311" s="732">
        <f>'Func Future Subs 2015'!Q311</f>
        <v>1</v>
      </c>
      <c r="R311" s="732">
        <f>'Func Future Subs 2015'!R311</f>
        <v>0</v>
      </c>
      <c r="S311" s="735">
        <f t="shared" si="34"/>
        <v>0</v>
      </c>
      <c r="T311" s="735">
        <f t="shared" si="35"/>
        <v>888773.14137020998</v>
      </c>
      <c r="U311" s="735">
        <f t="shared" si="36"/>
        <v>0</v>
      </c>
      <c r="V311" s="736">
        <f t="shared" si="37"/>
        <v>0</v>
      </c>
      <c r="W311" s="735">
        <f t="shared" si="38"/>
        <v>0</v>
      </c>
      <c r="X311" s="737">
        <f t="shared" si="39"/>
        <v>0</v>
      </c>
      <c r="Y311" s="738">
        <f t="shared" si="40"/>
        <v>888773.14137020998</v>
      </c>
    </row>
    <row r="312" spans="1:25">
      <c r="A312" s="754" t="str">
        <f>'Func Future Subs 2015'!A312</f>
        <v>Modify P&amp;C at Benbow 397S</v>
      </c>
      <c r="B312" s="754">
        <f>'Func Future Subs 2015'!B312</f>
        <v>1515</v>
      </c>
      <c r="C312" s="754">
        <f>'Func Future Subs 2015'!C312</f>
        <v>138</v>
      </c>
      <c r="D312" s="754">
        <f>'Func Future Subs 2015'!D312</f>
        <v>25</v>
      </c>
      <c r="E312" s="754" t="str">
        <f>'Func Future Subs 2015'!E312</f>
        <v>397S</v>
      </c>
      <c r="F312" s="754">
        <f>'Func Future Subs 2015'!F312</f>
        <v>10972.383408553622</v>
      </c>
      <c r="G312" s="754" t="str">
        <f>'Func Future Subs 2015'!G312</f>
        <v>AltaLink</v>
      </c>
      <c r="H312" s="754">
        <f>'Func Future Subs 2015'!H312</f>
        <v>2016</v>
      </c>
      <c r="I312" s="306">
        <f>+IF($H312=I$2,VLOOKUP($G312,Depreciation!$A$14:$L$18,7,FALSE)/2,IF($H312&lt;I$2,VLOOKUP($G312,Depreciation!$A$14:$L$18,7,FALSE),0))</f>
        <v>0</v>
      </c>
      <c r="J312" s="306">
        <f>+IF($H312=J$2,VLOOKUP($G312,Depreciation!$A$14:$L$18,8,FALSE)/2,IF($H312&lt;J$2,VLOOKUP($G312,Depreciation!$A$14:$L$18,8,FALSE),0))</f>
        <v>1.671703928371859E-2</v>
      </c>
      <c r="K312" s="306">
        <f>+IF($H312=K$2,VLOOKUP($G312,Depreciation!$A$14:$L$18,9,FALSE)/2,IF($H312&lt;K$2,VLOOKUP($G312,Depreciation!$A$14:$L$18,9,FALSE),0))</f>
        <v>3.343407856743718E-2</v>
      </c>
      <c r="L312" s="306">
        <f>+IF($H312=L$2,VLOOKUP($G312,Depreciation!$A$14:$L$18,10,FALSE)/2,IF($H312&lt;L$2,VLOOKUP($G312,Depreciation!$A$14:$L$18,10,FALSE),0))</f>
        <v>3.343407856743718E-2</v>
      </c>
      <c r="M312" s="306">
        <f>+IF($H312=M$2,VLOOKUP($G312,Depreciation!$A$14:$L$18,11,FALSE)/2,IF($H312&lt;M$2,VLOOKUP($G312,Depreciation!$A$14:$L$18,11,FALSE),0))</f>
        <v>3.343407856743718E-2</v>
      </c>
      <c r="N312" s="306">
        <f>+IF($H312=N$2,VLOOKUP($G312,Depreciation!$A$14:$L$18,12,FALSE)/2,IF($H312&lt;N$2,VLOOKUP($G312,Depreciation!$A$14:$L$18,12,FALSE),0))</f>
        <v>3.343407856743718E-2</v>
      </c>
      <c r="O312" s="307">
        <f t="shared" si="33"/>
        <v>10428.238786543992</v>
      </c>
      <c r="P312" s="732">
        <f>'Func Future Subs 2015'!P312</f>
        <v>0</v>
      </c>
      <c r="Q312" s="732">
        <f>'Func Future Subs 2015'!Q312</f>
        <v>1</v>
      </c>
      <c r="R312" s="732">
        <f>'Func Future Subs 2015'!R312</f>
        <v>0</v>
      </c>
      <c r="S312" s="735">
        <f t="shared" si="34"/>
        <v>0</v>
      </c>
      <c r="T312" s="735">
        <f t="shared" si="35"/>
        <v>10428.238786543992</v>
      </c>
      <c r="U312" s="735">
        <f t="shared" si="36"/>
        <v>0</v>
      </c>
      <c r="V312" s="736">
        <f t="shared" si="37"/>
        <v>0</v>
      </c>
      <c r="W312" s="735">
        <f t="shared" si="38"/>
        <v>0</v>
      </c>
      <c r="X312" s="737">
        <f t="shared" si="39"/>
        <v>0</v>
      </c>
      <c r="Y312" s="738">
        <f t="shared" si="40"/>
        <v>10428.238786543992</v>
      </c>
    </row>
    <row r="313" spans="1:25">
      <c r="A313" s="754" t="str">
        <f>'Func Future Subs 2015'!A313</f>
        <v>Modify P&amp;C at Bickerdike 39S</v>
      </c>
      <c r="B313" s="754">
        <f>'Func Future Subs 2015'!B313</f>
        <v>1515</v>
      </c>
      <c r="C313" s="754">
        <f>'Func Future Subs 2015'!C313</f>
        <v>240</v>
      </c>
      <c r="D313" s="754">
        <f>'Func Future Subs 2015'!D313</f>
        <v>138</v>
      </c>
      <c r="E313" s="754" t="str">
        <f>'Func Future Subs 2015'!E313</f>
        <v>39S</v>
      </c>
      <c r="F313" s="754">
        <f>'Func Future Subs 2015'!F313</f>
        <v>10972.383408553622</v>
      </c>
      <c r="G313" s="754" t="str">
        <f>'Func Future Subs 2015'!G313</f>
        <v>AltaLink</v>
      </c>
      <c r="H313" s="754">
        <f>'Func Future Subs 2015'!H313</f>
        <v>2016</v>
      </c>
      <c r="I313" s="306">
        <f>+IF($H313=I$2,VLOOKUP($G313,Depreciation!$A$14:$L$18,7,FALSE)/2,IF($H313&lt;I$2,VLOOKUP($G313,Depreciation!$A$14:$L$18,7,FALSE),0))</f>
        <v>0</v>
      </c>
      <c r="J313" s="306">
        <f>+IF($H313=J$2,VLOOKUP($G313,Depreciation!$A$14:$L$18,8,FALSE)/2,IF($H313&lt;J$2,VLOOKUP($G313,Depreciation!$A$14:$L$18,8,FALSE),0))</f>
        <v>1.671703928371859E-2</v>
      </c>
      <c r="K313" s="306">
        <f>+IF($H313=K$2,VLOOKUP($G313,Depreciation!$A$14:$L$18,9,FALSE)/2,IF($H313&lt;K$2,VLOOKUP($G313,Depreciation!$A$14:$L$18,9,FALSE),0))</f>
        <v>3.343407856743718E-2</v>
      </c>
      <c r="L313" s="306">
        <f>+IF($H313=L$2,VLOOKUP($G313,Depreciation!$A$14:$L$18,10,FALSE)/2,IF($H313&lt;L$2,VLOOKUP($G313,Depreciation!$A$14:$L$18,10,FALSE),0))</f>
        <v>3.343407856743718E-2</v>
      </c>
      <c r="M313" s="306">
        <f>+IF($H313=M$2,VLOOKUP($G313,Depreciation!$A$14:$L$18,11,FALSE)/2,IF($H313&lt;M$2,VLOOKUP($G313,Depreciation!$A$14:$L$18,11,FALSE),0))</f>
        <v>3.343407856743718E-2</v>
      </c>
      <c r="N313" s="306">
        <f>+IF($H313=N$2,VLOOKUP($G313,Depreciation!$A$14:$L$18,12,FALSE)/2,IF($H313&lt;N$2,VLOOKUP($G313,Depreciation!$A$14:$L$18,12,FALSE),0))</f>
        <v>3.343407856743718E-2</v>
      </c>
      <c r="O313" s="307">
        <f t="shared" si="33"/>
        <v>10428.238786543992</v>
      </c>
      <c r="P313" s="732">
        <f>'Func Future Subs 2015'!P313</f>
        <v>0</v>
      </c>
      <c r="Q313" s="732">
        <f>'Func Future Subs 2015'!Q313</f>
        <v>0</v>
      </c>
      <c r="R313" s="732">
        <f>'Func Future Subs 2015'!R313</f>
        <v>1</v>
      </c>
      <c r="S313" s="735">
        <f t="shared" si="34"/>
        <v>0</v>
      </c>
      <c r="T313" s="735">
        <f t="shared" si="35"/>
        <v>0</v>
      </c>
      <c r="U313" s="735">
        <f t="shared" si="36"/>
        <v>10428.238786543992</v>
      </c>
      <c r="V313" s="736">
        <f t="shared" si="37"/>
        <v>0</v>
      </c>
      <c r="W313" s="735">
        <f t="shared" si="38"/>
        <v>0</v>
      </c>
      <c r="X313" s="737">
        <f t="shared" si="39"/>
        <v>10428.238786543992</v>
      </c>
      <c r="Y313" s="738">
        <f t="shared" si="40"/>
        <v>0</v>
      </c>
    </row>
    <row r="314" spans="1:25">
      <c r="A314" s="754" t="str">
        <f>'Func Future Subs 2015'!A314</f>
        <v>Modify P&amp;C at Marlboro 348S</v>
      </c>
      <c r="B314" s="754">
        <f>'Func Future Subs 2015'!B314</f>
        <v>1515</v>
      </c>
      <c r="C314" s="754">
        <f>'Func Future Subs 2015'!C314</f>
        <v>138</v>
      </c>
      <c r="D314" s="754">
        <f>'Func Future Subs 2015'!D314</f>
        <v>25</v>
      </c>
      <c r="E314" s="754" t="str">
        <f>'Func Future Subs 2015'!E314</f>
        <v>348S</v>
      </c>
      <c r="F314" s="754">
        <f>'Func Future Subs 2015'!F314</f>
        <v>6269.9333763163559</v>
      </c>
      <c r="G314" s="754" t="str">
        <f>'Func Future Subs 2015'!G314</f>
        <v>AltaLink</v>
      </c>
      <c r="H314" s="754">
        <f>'Func Future Subs 2015'!H314</f>
        <v>2016</v>
      </c>
      <c r="I314" s="306">
        <f>+IF($H314=I$2,VLOOKUP($G314,Depreciation!$A$14:$L$18,7,FALSE)/2,IF($H314&lt;I$2,VLOOKUP($G314,Depreciation!$A$14:$L$18,7,FALSE),0))</f>
        <v>0</v>
      </c>
      <c r="J314" s="306">
        <f>+IF($H314=J$2,VLOOKUP($G314,Depreciation!$A$14:$L$18,8,FALSE)/2,IF($H314&lt;J$2,VLOOKUP($G314,Depreciation!$A$14:$L$18,8,FALSE),0))</f>
        <v>1.671703928371859E-2</v>
      </c>
      <c r="K314" s="306">
        <f>+IF($H314=K$2,VLOOKUP($G314,Depreciation!$A$14:$L$18,9,FALSE)/2,IF($H314&lt;K$2,VLOOKUP($G314,Depreciation!$A$14:$L$18,9,FALSE),0))</f>
        <v>3.343407856743718E-2</v>
      </c>
      <c r="L314" s="306">
        <f>+IF($H314=L$2,VLOOKUP($G314,Depreciation!$A$14:$L$18,10,FALSE)/2,IF($H314&lt;L$2,VLOOKUP($G314,Depreciation!$A$14:$L$18,10,FALSE),0))</f>
        <v>3.343407856743718E-2</v>
      </c>
      <c r="M314" s="306">
        <f>+IF($H314=M$2,VLOOKUP($G314,Depreciation!$A$14:$L$18,11,FALSE)/2,IF($H314&lt;M$2,VLOOKUP($G314,Depreciation!$A$14:$L$18,11,FALSE),0))</f>
        <v>3.343407856743718E-2</v>
      </c>
      <c r="N314" s="306">
        <f>+IF($H314=N$2,VLOOKUP($G314,Depreciation!$A$14:$L$18,12,FALSE)/2,IF($H314&lt;N$2,VLOOKUP($G314,Depreciation!$A$14:$L$18,12,FALSE),0))</f>
        <v>3.343407856743718E-2</v>
      </c>
      <c r="O314" s="307">
        <f t="shared" si="33"/>
        <v>5958.9935923108533</v>
      </c>
      <c r="P314" s="732">
        <f>'Func Future Subs 2015'!P314</f>
        <v>0</v>
      </c>
      <c r="Q314" s="732">
        <f>'Func Future Subs 2015'!Q314</f>
        <v>1</v>
      </c>
      <c r="R314" s="732">
        <f>'Func Future Subs 2015'!R314</f>
        <v>0</v>
      </c>
      <c r="S314" s="735">
        <f t="shared" si="34"/>
        <v>0</v>
      </c>
      <c r="T314" s="735">
        <f t="shared" si="35"/>
        <v>5958.9935923108533</v>
      </c>
      <c r="U314" s="735">
        <f t="shared" si="36"/>
        <v>0</v>
      </c>
      <c r="V314" s="736">
        <f t="shared" si="37"/>
        <v>0</v>
      </c>
      <c r="W314" s="735">
        <f t="shared" si="38"/>
        <v>0</v>
      </c>
      <c r="X314" s="737">
        <f t="shared" si="39"/>
        <v>0</v>
      </c>
      <c r="Y314" s="738">
        <f t="shared" si="40"/>
        <v>5958.9935923108533</v>
      </c>
    </row>
    <row r="315" spans="1:25">
      <c r="A315" s="754" t="str">
        <f>'Func Future Subs 2015'!A315</f>
        <v>New Deerhill 1012S substation</v>
      </c>
      <c r="B315" s="754">
        <f>'Func Future Subs 2015'!B315</f>
        <v>1515</v>
      </c>
      <c r="C315" s="754">
        <f>'Func Future Subs 2015'!C315</f>
        <v>138</v>
      </c>
      <c r="D315" s="754">
        <f>'Func Future Subs 2015'!D315</f>
        <v>25</v>
      </c>
      <c r="E315" s="754" t="str">
        <f>'Func Future Subs 2015'!E315</f>
        <v>1012S</v>
      </c>
      <c r="F315" s="754">
        <f>'Func Future Subs 2015'!F315</f>
        <v>13162157.64023211</v>
      </c>
      <c r="G315" s="754" t="str">
        <f>'Func Future Subs 2015'!G315</f>
        <v>AltaLink</v>
      </c>
      <c r="H315" s="754">
        <f>'Func Future Subs 2015'!H315</f>
        <v>2016</v>
      </c>
      <c r="I315" s="306">
        <f>+IF($H315=I$2,VLOOKUP($G315,Depreciation!$A$14:$L$18,7,FALSE)/2,IF($H315&lt;I$2,VLOOKUP($G315,Depreciation!$A$14:$L$18,7,FALSE),0))</f>
        <v>0</v>
      </c>
      <c r="J315" s="306">
        <f>+IF($H315=J$2,VLOOKUP($G315,Depreciation!$A$14:$L$18,8,FALSE)/2,IF($H315&lt;J$2,VLOOKUP($G315,Depreciation!$A$14:$L$18,8,FALSE),0))</f>
        <v>1.671703928371859E-2</v>
      </c>
      <c r="K315" s="306">
        <f>+IF($H315=K$2,VLOOKUP($G315,Depreciation!$A$14:$L$18,9,FALSE)/2,IF($H315&lt;K$2,VLOOKUP($G315,Depreciation!$A$14:$L$18,9,FALSE),0))</f>
        <v>3.343407856743718E-2</v>
      </c>
      <c r="L315" s="306">
        <f>+IF($H315=L$2,VLOOKUP($G315,Depreciation!$A$14:$L$18,10,FALSE)/2,IF($H315&lt;L$2,VLOOKUP($G315,Depreciation!$A$14:$L$18,10,FALSE),0))</f>
        <v>3.343407856743718E-2</v>
      </c>
      <c r="M315" s="306">
        <f>+IF($H315=M$2,VLOOKUP($G315,Depreciation!$A$14:$L$18,11,FALSE)/2,IF($H315&lt;M$2,VLOOKUP($G315,Depreciation!$A$14:$L$18,11,FALSE),0))</f>
        <v>3.343407856743718E-2</v>
      </c>
      <c r="N315" s="306">
        <f>+IF($H315=N$2,VLOOKUP($G315,Depreciation!$A$14:$L$18,12,FALSE)/2,IF($H315&lt;N$2,VLOOKUP($G315,Depreciation!$A$14:$L$18,12,FALSE),0))</f>
        <v>3.343407856743718E-2</v>
      </c>
      <c r="O315" s="307">
        <f t="shared" si="33"/>
        <v>12509417.298658561</v>
      </c>
      <c r="P315" s="732">
        <f>'Func Future Subs 2015'!P315</f>
        <v>0</v>
      </c>
      <c r="Q315" s="732">
        <f>'Func Future Subs 2015'!Q315</f>
        <v>1</v>
      </c>
      <c r="R315" s="732">
        <f>'Func Future Subs 2015'!R315</f>
        <v>0</v>
      </c>
      <c r="S315" s="735">
        <f t="shared" si="34"/>
        <v>0</v>
      </c>
      <c r="T315" s="735">
        <f t="shared" si="35"/>
        <v>12509417.298658561</v>
      </c>
      <c r="U315" s="735">
        <f t="shared" si="36"/>
        <v>0</v>
      </c>
      <c r="V315" s="736">
        <f t="shared" si="37"/>
        <v>0</v>
      </c>
      <c r="W315" s="735">
        <f t="shared" si="38"/>
        <v>0</v>
      </c>
      <c r="X315" s="737">
        <f t="shared" si="39"/>
        <v>0</v>
      </c>
      <c r="Y315" s="738">
        <f t="shared" si="40"/>
        <v>12509417.298658561</v>
      </c>
    </row>
    <row r="316" spans="1:25">
      <c r="A316" s="754" t="str">
        <f>'Func Future Subs 2015'!A316</f>
        <v>Halsbury 306S</v>
      </c>
      <c r="B316" s="754">
        <f>'Func Future Subs 2015'!B316</f>
        <v>1533</v>
      </c>
      <c r="C316" s="754">
        <f>'Func Future Subs 2015'!C316</f>
        <v>34</v>
      </c>
      <c r="D316" s="754">
        <f>'Func Future Subs 2015'!D316</f>
        <v>240</v>
      </c>
      <c r="E316" s="754" t="str">
        <f>'Func Future Subs 2015'!E316</f>
        <v>306S</v>
      </c>
      <c r="F316" s="754">
        <f>'Func Future Subs 2015'!F316</f>
        <v>121881.13948919451</v>
      </c>
      <c r="G316" s="754" t="str">
        <f>'Func Future Subs 2015'!G316</f>
        <v>AltaLink</v>
      </c>
      <c r="H316" s="754">
        <f>'Func Future Subs 2015'!H316</f>
        <v>2017</v>
      </c>
      <c r="I316" s="306">
        <f>+IF($H316=I$2,VLOOKUP($G316,Depreciation!$A$14:$L$18,7,FALSE)/2,IF($H316&lt;I$2,VLOOKUP($G316,Depreciation!$A$14:$L$18,7,FALSE),0))</f>
        <v>0</v>
      </c>
      <c r="J316" s="306">
        <f>+IF($H316=J$2,VLOOKUP($G316,Depreciation!$A$14:$L$18,8,FALSE)/2,IF($H316&lt;J$2,VLOOKUP($G316,Depreciation!$A$14:$L$18,8,FALSE),0))</f>
        <v>0</v>
      </c>
      <c r="K316" s="306">
        <f>+IF($H316=K$2,VLOOKUP($G316,Depreciation!$A$14:$L$18,9,FALSE)/2,IF($H316&lt;K$2,VLOOKUP($G316,Depreciation!$A$14:$L$18,9,FALSE),0))</f>
        <v>1.671703928371859E-2</v>
      </c>
      <c r="L316" s="306">
        <f>+IF($H316=L$2,VLOOKUP($G316,Depreciation!$A$14:$L$18,10,FALSE)/2,IF($H316&lt;L$2,VLOOKUP($G316,Depreciation!$A$14:$L$18,10,FALSE),0))</f>
        <v>3.343407856743718E-2</v>
      </c>
      <c r="M316" s="306">
        <f>+IF($H316=M$2,VLOOKUP($G316,Depreciation!$A$14:$L$18,11,FALSE)/2,IF($H316&lt;M$2,VLOOKUP($G316,Depreciation!$A$14:$L$18,11,FALSE),0))</f>
        <v>3.343407856743718E-2</v>
      </c>
      <c r="N316" s="306">
        <f>+IF($H316=N$2,VLOOKUP($G316,Depreciation!$A$14:$L$18,12,FALSE)/2,IF($H316&lt;N$2,VLOOKUP($G316,Depreciation!$A$14:$L$18,12,FALSE),0))</f>
        <v>3.343407856743718E-2</v>
      </c>
      <c r="O316" s="307">
        <f t="shared" si="33"/>
        <v>119843.64769240926</v>
      </c>
      <c r="P316" s="732">
        <f>'Func Future Subs 2015'!P316</f>
        <v>0</v>
      </c>
      <c r="Q316" s="732">
        <f>'Func Future Subs 2015'!Q316</f>
        <v>0</v>
      </c>
      <c r="R316" s="732">
        <f>'Func Future Subs 2015'!R316</f>
        <v>1</v>
      </c>
      <c r="S316" s="735">
        <f t="shared" si="34"/>
        <v>0</v>
      </c>
      <c r="T316" s="735">
        <f t="shared" si="35"/>
        <v>0</v>
      </c>
      <c r="U316" s="735">
        <f t="shared" si="36"/>
        <v>119843.64769240926</v>
      </c>
      <c r="V316" s="736">
        <f t="shared" si="37"/>
        <v>0</v>
      </c>
      <c r="W316" s="735">
        <f t="shared" si="38"/>
        <v>119843.64769240926</v>
      </c>
      <c r="X316" s="737">
        <f t="shared" si="39"/>
        <v>0</v>
      </c>
      <c r="Y316" s="738">
        <f t="shared" si="40"/>
        <v>0</v>
      </c>
    </row>
    <row r="317" spans="1:25">
      <c r="A317" s="754" t="str">
        <f>'Func Future Subs 2015'!A317</f>
        <v>Jenner 275S</v>
      </c>
      <c r="B317" s="754">
        <f>'Func Future Subs 2015'!B317</f>
        <v>1533</v>
      </c>
      <c r="C317" s="754">
        <f>'Func Future Subs 2015'!C317</f>
        <v>240</v>
      </c>
      <c r="D317" s="754">
        <f>'Func Future Subs 2015'!D317</f>
        <v>25</v>
      </c>
      <c r="E317" s="754" t="str">
        <f>'Func Future Subs 2015'!E317</f>
        <v>275S</v>
      </c>
      <c r="F317" s="754">
        <f>'Func Future Subs 2015'!F317</f>
        <v>4711112.3117223317</v>
      </c>
      <c r="G317" s="754" t="str">
        <f>'Func Future Subs 2015'!G317</f>
        <v>AltaLink</v>
      </c>
      <c r="H317" s="754">
        <f>'Func Future Subs 2015'!H317</f>
        <v>2017</v>
      </c>
      <c r="I317" s="306">
        <f>+IF($H317=I$2,VLOOKUP($G317,Depreciation!$A$14:$L$18,7,FALSE)/2,IF($H317&lt;I$2,VLOOKUP($G317,Depreciation!$A$14:$L$18,7,FALSE),0))</f>
        <v>0</v>
      </c>
      <c r="J317" s="306">
        <f>+IF($H317=J$2,VLOOKUP($G317,Depreciation!$A$14:$L$18,8,FALSE)/2,IF($H317&lt;J$2,VLOOKUP($G317,Depreciation!$A$14:$L$18,8,FALSE),0))</f>
        <v>0</v>
      </c>
      <c r="K317" s="306">
        <f>+IF($H317=K$2,VLOOKUP($G317,Depreciation!$A$14:$L$18,9,FALSE)/2,IF($H317&lt;K$2,VLOOKUP($G317,Depreciation!$A$14:$L$18,9,FALSE),0))</f>
        <v>1.671703928371859E-2</v>
      </c>
      <c r="L317" s="306">
        <f>+IF($H317=L$2,VLOOKUP($G317,Depreciation!$A$14:$L$18,10,FALSE)/2,IF($H317&lt;L$2,VLOOKUP($G317,Depreciation!$A$14:$L$18,10,FALSE),0))</f>
        <v>3.343407856743718E-2</v>
      </c>
      <c r="M317" s="306">
        <f>+IF($H317=M$2,VLOOKUP($G317,Depreciation!$A$14:$L$18,11,FALSE)/2,IF($H317&lt;M$2,VLOOKUP($G317,Depreciation!$A$14:$L$18,11,FALSE),0))</f>
        <v>3.343407856743718E-2</v>
      </c>
      <c r="N317" s="306">
        <f>+IF($H317=N$2,VLOOKUP($G317,Depreciation!$A$14:$L$18,12,FALSE)/2,IF($H317&lt;N$2,VLOOKUP($G317,Depreciation!$A$14:$L$18,12,FALSE),0))</f>
        <v>3.343407856743718E-2</v>
      </c>
      <c r="O317" s="307">
        <f t="shared" si="33"/>
        <v>4632356.4621372595</v>
      </c>
      <c r="P317" s="732">
        <f>'Func Future Subs 2015'!P317</f>
        <v>0</v>
      </c>
      <c r="Q317" s="732">
        <f>'Func Future Subs 2015'!Q317</f>
        <v>1</v>
      </c>
      <c r="R317" s="732">
        <f>'Func Future Subs 2015'!R317</f>
        <v>0</v>
      </c>
      <c r="S317" s="735">
        <f t="shared" si="34"/>
        <v>0</v>
      </c>
      <c r="T317" s="735">
        <f t="shared" si="35"/>
        <v>4632356.4621372595</v>
      </c>
      <c r="U317" s="735">
        <f t="shared" si="36"/>
        <v>0</v>
      </c>
      <c r="V317" s="736">
        <f t="shared" si="37"/>
        <v>0</v>
      </c>
      <c r="W317" s="735">
        <f t="shared" si="38"/>
        <v>0</v>
      </c>
      <c r="X317" s="737">
        <f t="shared" si="39"/>
        <v>0</v>
      </c>
      <c r="Y317" s="738">
        <f t="shared" si="40"/>
        <v>4632356.4621372595</v>
      </c>
    </row>
    <row r="318" spans="1:25">
      <c r="A318" s="754" t="str">
        <f>'Func Future Subs 2015'!A318</f>
        <v>Upgrade Bauer 918S substation</v>
      </c>
      <c r="B318" s="754">
        <f>'Func Future Subs 2015'!B318</f>
        <v>1554</v>
      </c>
      <c r="C318" s="754">
        <f>'Func Future Subs 2015'!C318</f>
        <v>144</v>
      </c>
      <c r="D318" s="754">
        <f>'Func Future Subs 2015'!D318</f>
        <v>25</v>
      </c>
      <c r="E318" s="754" t="str">
        <f>'Func Future Subs 2015'!E318</f>
        <v>918S</v>
      </c>
      <c r="F318" s="754">
        <f>'Func Future Subs 2015'!F318</f>
        <v>5879941.0000000009</v>
      </c>
      <c r="G318" s="754" t="str">
        <f>'Func Future Subs 2015'!G318</f>
        <v>ATCO</v>
      </c>
      <c r="H318" s="754">
        <f>'Func Future Subs 2015'!H318</f>
        <v>2016</v>
      </c>
      <c r="I318" s="306">
        <f>+IF($H318=I$2,VLOOKUP($G318,Depreciation!$A$14:$L$18,7,FALSE)/2,IF($H318&lt;I$2,VLOOKUP($G318,Depreciation!$A$14:$L$18,7,FALSE),0))</f>
        <v>0</v>
      </c>
      <c r="J318" s="306">
        <f>+IF($H318=J$2,VLOOKUP($G318,Depreciation!$A$14:$L$18,8,FALSE)/2,IF($H318&lt;J$2,VLOOKUP($G318,Depreciation!$A$14:$L$18,8,FALSE),0))</f>
        <v>1.231622525054236E-2</v>
      </c>
      <c r="K318" s="306">
        <f>+IF($H318=K$2,VLOOKUP($G318,Depreciation!$A$14:$L$18,9,FALSE)/2,IF($H318&lt;K$2,VLOOKUP($G318,Depreciation!$A$14:$L$18,9,FALSE),0))</f>
        <v>2.4351536427798831E-2</v>
      </c>
      <c r="L318" s="306">
        <f>+IF($H318=L$2,VLOOKUP($G318,Depreciation!$A$14:$L$18,10,FALSE)/2,IF($H318&lt;L$2,VLOOKUP($G318,Depreciation!$A$14:$L$18,10,FALSE),0))</f>
        <v>2.4351536427798831E-2</v>
      </c>
      <c r="M318" s="306">
        <f>+IF($H318=M$2,VLOOKUP($G318,Depreciation!$A$14:$L$18,11,FALSE)/2,IF($H318&lt;M$2,VLOOKUP($G318,Depreciation!$A$14:$L$18,11,FALSE),0))</f>
        <v>2.4351536427798831E-2</v>
      </c>
      <c r="N318" s="306">
        <f>+IF($H318=N$2,VLOOKUP($G318,Depreciation!$A$14:$L$18,12,FALSE)/2,IF($H318&lt;N$2,VLOOKUP($G318,Depreciation!$A$14:$L$18,12,FALSE),0))</f>
        <v>2.4351536427798831E-2</v>
      </c>
      <c r="O318" s="307">
        <f t="shared" si="33"/>
        <v>5666100.2308001807</v>
      </c>
      <c r="P318" s="732">
        <f>'Func Future Subs 2015'!P318</f>
        <v>0</v>
      </c>
      <c r="Q318" s="732">
        <f>'Func Future Subs 2015'!Q318</f>
        <v>1</v>
      </c>
      <c r="R318" s="732">
        <f>'Func Future Subs 2015'!R318</f>
        <v>0</v>
      </c>
      <c r="S318" s="735">
        <f t="shared" si="34"/>
        <v>0</v>
      </c>
      <c r="T318" s="735">
        <f t="shared" si="35"/>
        <v>5666100.2308001807</v>
      </c>
      <c r="U318" s="735">
        <f t="shared" si="36"/>
        <v>0</v>
      </c>
      <c r="V318" s="736">
        <f t="shared" si="37"/>
        <v>0</v>
      </c>
      <c r="W318" s="735">
        <f t="shared" si="38"/>
        <v>0</v>
      </c>
      <c r="X318" s="737">
        <f t="shared" si="39"/>
        <v>0</v>
      </c>
      <c r="Y318" s="738">
        <f t="shared" si="40"/>
        <v>5666100.2308001807</v>
      </c>
    </row>
    <row r="319" spans="1:25">
      <c r="A319" s="754" t="str">
        <f>'Func Future Subs 2015'!A319</f>
        <v>Hardisty 377S</v>
      </c>
      <c r="B319" s="754">
        <f>'Func Future Subs 2015'!B319</f>
        <v>1558</v>
      </c>
      <c r="C319" s="754">
        <f>'Func Future Subs 2015'!C319</f>
        <v>138</v>
      </c>
      <c r="D319" s="754">
        <f>'Func Future Subs 2015'!D319</f>
        <v>25</v>
      </c>
      <c r="E319" s="754" t="str">
        <f>'Func Future Subs 2015'!E319</f>
        <v>377S</v>
      </c>
      <c r="F319" s="754">
        <f>'Func Future Subs 2015'!F319</f>
        <v>40190.931633014516</v>
      </c>
      <c r="G319" s="754" t="str">
        <f>'Func Future Subs 2015'!G319</f>
        <v>AltaLink</v>
      </c>
      <c r="H319" s="754">
        <f>'Func Future Subs 2015'!H319</f>
        <v>2018</v>
      </c>
      <c r="I319" s="306">
        <f>+IF($H319=I$2,VLOOKUP($G319,Depreciation!$A$14:$L$18,7,FALSE)/2,IF($H319&lt;I$2,VLOOKUP($G319,Depreciation!$A$14:$L$18,7,FALSE),0))</f>
        <v>0</v>
      </c>
      <c r="J319" s="306">
        <f>+IF($H319=J$2,VLOOKUP($G319,Depreciation!$A$14:$L$18,8,FALSE)/2,IF($H319&lt;J$2,VLOOKUP($G319,Depreciation!$A$14:$L$18,8,FALSE),0))</f>
        <v>0</v>
      </c>
      <c r="K319" s="306">
        <f>+IF($H319=K$2,VLOOKUP($G319,Depreciation!$A$14:$L$18,9,FALSE)/2,IF($H319&lt;K$2,VLOOKUP($G319,Depreciation!$A$14:$L$18,9,FALSE),0))</f>
        <v>0</v>
      </c>
      <c r="L319" s="306">
        <f>+IF($H319=L$2,VLOOKUP($G319,Depreciation!$A$14:$L$18,10,FALSE)/2,IF($H319&lt;L$2,VLOOKUP($G319,Depreciation!$A$14:$L$18,10,FALSE),0))</f>
        <v>1.671703928371859E-2</v>
      </c>
      <c r="M319" s="306">
        <f>+IF($H319=M$2,VLOOKUP($G319,Depreciation!$A$14:$L$18,11,FALSE)/2,IF($H319&lt;M$2,VLOOKUP($G319,Depreciation!$A$14:$L$18,11,FALSE),0))</f>
        <v>3.343407856743718E-2</v>
      </c>
      <c r="N319" s="306">
        <f>+IF($H319=N$2,VLOOKUP($G319,Depreciation!$A$14:$L$18,12,FALSE)/2,IF($H319&lt;N$2,VLOOKUP($G319,Depreciation!$A$14:$L$18,12,FALSE),0))</f>
        <v>3.343407856743718E-2</v>
      </c>
      <c r="O319" s="307">
        <f t="shared" si="33"/>
        <v>0</v>
      </c>
      <c r="P319" s="732">
        <f>'Func Future Subs 2015'!P319</f>
        <v>0</v>
      </c>
      <c r="Q319" s="732">
        <f>'Func Future Subs 2015'!Q319</f>
        <v>1</v>
      </c>
      <c r="R319" s="732">
        <f>'Func Future Subs 2015'!R319</f>
        <v>0</v>
      </c>
      <c r="S319" s="735">
        <f t="shared" si="34"/>
        <v>0</v>
      </c>
      <c r="T319" s="735">
        <f t="shared" si="35"/>
        <v>0</v>
      </c>
      <c r="U319" s="735">
        <f t="shared" si="36"/>
        <v>0</v>
      </c>
      <c r="V319" s="736">
        <f t="shared" si="37"/>
        <v>0</v>
      </c>
      <c r="W319" s="735">
        <f t="shared" si="38"/>
        <v>0</v>
      </c>
      <c r="X319" s="737">
        <f t="shared" si="39"/>
        <v>0</v>
      </c>
      <c r="Y319" s="738">
        <f t="shared" si="40"/>
        <v>0</v>
      </c>
    </row>
    <row r="320" spans="1:25">
      <c r="A320" s="754" t="str">
        <f>'Func Future Subs 2015'!A320</f>
        <v>Rosyth 296S</v>
      </c>
      <c r="B320" s="754">
        <f>'Func Future Subs 2015'!B320</f>
        <v>1558</v>
      </c>
      <c r="C320" s="754">
        <f>'Func Future Subs 2015'!C320</f>
        <v>138</v>
      </c>
      <c r="D320" s="754">
        <f>'Func Future Subs 2015'!D320</f>
        <v>25</v>
      </c>
      <c r="E320" s="754" t="str">
        <f>'Func Future Subs 2015'!E320</f>
        <v>296S</v>
      </c>
      <c r="F320" s="754">
        <f>'Func Future Subs 2015'!F320</f>
        <v>1504538.7885228479</v>
      </c>
      <c r="G320" s="754" t="str">
        <f>'Func Future Subs 2015'!G320</f>
        <v>AltaLink</v>
      </c>
      <c r="H320" s="754">
        <f>'Func Future Subs 2015'!H320</f>
        <v>2018</v>
      </c>
      <c r="I320" s="306">
        <f>+IF($H320=I$2,VLOOKUP($G320,Depreciation!$A$14:$L$18,7,FALSE)/2,IF($H320&lt;I$2,VLOOKUP($G320,Depreciation!$A$14:$L$18,7,FALSE),0))</f>
        <v>0</v>
      </c>
      <c r="J320" s="306">
        <f>+IF($H320=J$2,VLOOKUP($G320,Depreciation!$A$14:$L$18,8,FALSE)/2,IF($H320&lt;J$2,VLOOKUP($G320,Depreciation!$A$14:$L$18,8,FALSE),0))</f>
        <v>0</v>
      </c>
      <c r="K320" s="306">
        <f>+IF($H320=K$2,VLOOKUP($G320,Depreciation!$A$14:$L$18,9,FALSE)/2,IF($H320&lt;K$2,VLOOKUP($G320,Depreciation!$A$14:$L$18,9,FALSE),0))</f>
        <v>0</v>
      </c>
      <c r="L320" s="306">
        <f>+IF($H320=L$2,VLOOKUP($G320,Depreciation!$A$14:$L$18,10,FALSE)/2,IF($H320&lt;L$2,VLOOKUP($G320,Depreciation!$A$14:$L$18,10,FALSE),0))</f>
        <v>1.671703928371859E-2</v>
      </c>
      <c r="M320" s="306">
        <f>+IF($H320=M$2,VLOOKUP($G320,Depreciation!$A$14:$L$18,11,FALSE)/2,IF($H320&lt;M$2,VLOOKUP($G320,Depreciation!$A$14:$L$18,11,FALSE),0))</f>
        <v>3.343407856743718E-2</v>
      </c>
      <c r="N320" s="306">
        <f>+IF($H320=N$2,VLOOKUP($G320,Depreciation!$A$14:$L$18,12,FALSE)/2,IF($H320&lt;N$2,VLOOKUP($G320,Depreciation!$A$14:$L$18,12,FALSE),0))</f>
        <v>3.343407856743718E-2</v>
      </c>
      <c r="O320" s="307">
        <f t="shared" si="33"/>
        <v>0</v>
      </c>
      <c r="P320" s="732">
        <f>'Func Future Subs 2015'!P320</f>
        <v>0</v>
      </c>
      <c r="Q320" s="732">
        <f>'Func Future Subs 2015'!Q320</f>
        <v>0</v>
      </c>
      <c r="R320" s="732">
        <f>'Func Future Subs 2015'!R320</f>
        <v>1</v>
      </c>
      <c r="S320" s="735">
        <f t="shared" si="34"/>
        <v>0</v>
      </c>
      <c r="T320" s="735">
        <f t="shared" si="35"/>
        <v>0</v>
      </c>
      <c r="U320" s="735">
        <f t="shared" si="36"/>
        <v>0</v>
      </c>
      <c r="V320" s="736">
        <f t="shared" si="37"/>
        <v>0</v>
      </c>
      <c r="W320" s="735">
        <f t="shared" si="38"/>
        <v>0</v>
      </c>
      <c r="X320" s="737">
        <f t="shared" si="39"/>
        <v>0</v>
      </c>
      <c r="Y320" s="738">
        <f t="shared" si="40"/>
        <v>0</v>
      </c>
    </row>
    <row r="321" spans="1:25">
      <c r="A321" s="754" t="str">
        <f>'Func Future Subs 2015'!A321</f>
        <v>Blackfalds 198S</v>
      </c>
      <c r="B321" s="754">
        <f>'Func Future Subs 2015'!B321</f>
        <v>1568</v>
      </c>
      <c r="C321" s="754">
        <f>'Func Future Subs 2015'!C321</f>
        <v>138</v>
      </c>
      <c r="D321" s="754">
        <f>'Func Future Subs 2015'!D321</f>
        <v>25</v>
      </c>
      <c r="E321" s="754" t="str">
        <f>'Func Future Subs 2015'!E321</f>
        <v>198S</v>
      </c>
      <c r="F321" s="754">
        <f>'Func Future Subs 2015'!F321</f>
        <v>6213000</v>
      </c>
      <c r="G321" s="754" t="str">
        <f>'Func Future Subs 2015'!G321</f>
        <v>AltaLink</v>
      </c>
      <c r="H321" s="754">
        <f>'Func Future Subs 2015'!H321</f>
        <v>2016</v>
      </c>
      <c r="I321" s="306">
        <f>+IF($H321=I$2,VLOOKUP($G321,Depreciation!$A$14:$L$18,7,FALSE)/2,IF($H321&lt;I$2,VLOOKUP($G321,Depreciation!$A$14:$L$18,7,FALSE),0))</f>
        <v>0</v>
      </c>
      <c r="J321" s="306">
        <f>+IF($H321=J$2,VLOOKUP($G321,Depreciation!$A$14:$L$18,8,FALSE)/2,IF($H321&lt;J$2,VLOOKUP($G321,Depreciation!$A$14:$L$18,8,FALSE),0))</f>
        <v>1.671703928371859E-2</v>
      </c>
      <c r="K321" s="306">
        <f>+IF($H321=K$2,VLOOKUP($G321,Depreciation!$A$14:$L$18,9,FALSE)/2,IF($H321&lt;K$2,VLOOKUP($G321,Depreciation!$A$14:$L$18,9,FALSE),0))</f>
        <v>3.343407856743718E-2</v>
      </c>
      <c r="L321" s="306">
        <f>+IF($H321=L$2,VLOOKUP($G321,Depreciation!$A$14:$L$18,10,FALSE)/2,IF($H321&lt;L$2,VLOOKUP($G321,Depreciation!$A$14:$L$18,10,FALSE),0))</f>
        <v>3.343407856743718E-2</v>
      </c>
      <c r="M321" s="306">
        <f>+IF($H321=M$2,VLOOKUP($G321,Depreciation!$A$14:$L$18,11,FALSE)/2,IF($H321&lt;M$2,VLOOKUP($G321,Depreciation!$A$14:$L$18,11,FALSE),0))</f>
        <v>3.343407856743718E-2</v>
      </c>
      <c r="N321" s="306">
        <f>+IF($H321=N$2,VLOOKUP($G321,Depreciation!$A$14:$L$18,12,FALSE)/2,IF($H321&lt;N$2,VLOOKUP($G321,Depreciation!$A$14:$L$18,12,FALSE),0))</f>
        <v>3.343407856743718E-2</v>
      </c>
      <c r="O321" s="307">
        <f t="shared" si="33"/>
        <v>5904883.6673251577</v>
      </c>
      <c r="P321" s="732">
        <f>'Func Future Subs 2015'!P321</f>
        <v>0</v>
      </c>
      <c r="Q321" s="732">
        <f>'Func Future Subs 2015'!Q321</f>
        <v>1</v>
      </c>
      <c r="R321" s="732">
        <f>'Func Future Subs 2015'!R321</f>
        <v>0</v>
      </c>
      <c r="S321" s="735">
        <f t="shared" si="34"/>
        <v>0</v>
      </c>
      <c r="T321" s="735">
        <f t="shared" si="35"/>
        <v>5904883.6673251577</v>
      </c>
      <c r="U321" s="735">
        <f t="shared" si="36"/>
        <v>0</v>
      </c>
      <c r="V321" s="736">
        <f t="shared" si="37"/>
        <v>0</v>
      </c>
      <c r="W321" s="735">
        <f t="shared" si="38"/>
        <v>0</v>
      </c>
      <c r="X321" s="737">
        <f t="shared" si="39"/>
        <v>0</v>
      </c>
      <c r="Y321" s="738">
        <f t="shared" si="40"/>
        <v>5904883.6673251577</v>
      </c>
    </row>
    <row r="322" spans="1:25">
      <c r="A322" s="754" t="str">
        <f>'Func Future Subs 2015'!A322</f>
        <v>Colinton 159S</v>
      </c>
      <c r="B322" s="754">
        <f>'Func Future Subs 2015'!B322</f>
        <v>1569</v>
      </c>
      <c r="C322" s="754">
        <f>'Func Future Subs 2015'!C322</f>
        <v>138</v>
      </c>
      <c r="D322" s="754">
        <f>'Func Future Subs 2015'!D322</f>
        <v>25</v>
      </c>
      <c r="E322" s="754" t="str">
        <f>'Func Future Subs 2015'!E322</f>
        <v>159S</v>
      </c>
      <c r="F322" s="754">
        <f>'Func Future Subs 2015'!F322</f>
        <v>5247000.0000000019</v>
      </c>
      <c r="G322" s="754" t="str">
        <f>'Func Future Subs 2015'!G322</f>
        <v>AltaLink</v>
      </c>
      <c r="H322" s="754">
        <f>'Func Future Subs 2015'!H322</f>
        <v>2016</v>
      </c>
      <c r="I322" s="306">
        <f>+IF($H322=I$2,VLOOKUP($G322,Depreciation!$A$14:$L$18,7,FALSE)/2,IF($H322&lt;I$2,VLOOKUP($G322,Depreciation!$A$14:$L$18,7,FALSE),0))</f>
        <v>0</v>
      </c>
      <c r="J322" s="306">
        <f>+IF($H322=J$2,VLOOKUP($G322,Depreciation!$A$14:$L$18,8,FALSE)/2,IF($H322&lt;J$2,VLOOKUP($G322,Depreciation!$A$14:$L$18,8,FALSE),0))</f>
        <v>1.671703928371859E-2</v>
      </c>
      <c r="K322" s="306">
        <f>+IF($H322=K$2,VLOOKUP($G322,Depreciation!$A$14:$L$18,9,FALSE)/2,IF($H322&lt;K$2,VLOOKUP($G322,Depreciation!$A$14:$L$18,9,FALSE),0))</f>
        <v>3.343407856743718E-2</v>
      </c>
      <c r="L322" s="306">
        <f>+IF($H322=L$2,VLOOKUP($G322,Depreciation!$A$14:$L$18,10,FALSE)/2,IF($H322&lt;L$2,VLOOKUP($G322,Depreciation!$A$14:$L$18,10,FALSE),0))</f>
        <v>3.343407856743718E-2</v>
      </c>
      <c r="M322" s="306">
        <f>+IF($H322=M$2,VLOOKUP($G322,Depreciation!$A$14:$L$18,11,FALSE)/2,IF($H322&lt;M$2,VLOOKUP($G322,Depreciation!$A$14:$L$18,11,FALSE),0))</f>
        <v>3.343407856743718E-2</v>
      </c>
      <c r="N322" s="306">
        <f>+IF($H322=N$2,VLOOKUP($G322,Depreciation!$A$14:$L$18,12,FALSE)/2,IF($H322&lt;N$2,VLOOKUP($G322,Depreciation!$A$14:$L$18,12,FALSE),0))</f>
        <v>3.343407856743718E-2</v>
      </c>
      <c r="O322" s="307">
        <f t="shared" si="33"/>
        <v>4986789.7316039139</v>
      </c>
      <c r="P322" s="732">
        <f>'Func Future Subs 2015'!P322</f>
        <v>0</v>
      </c>
      <c r="Q322" s="732">
        <f>'Func Future Subs 2015'!Q322</f>
        <v>1</v>
      </c>
      <c r="R322" s="732">
        <f>'Func Future Subs 2015'!R322</f>
        <v>0</v>
      </c>
      <c r="S322" s="735">
        <f t="shared" si="34"/>
        <v>0</v>
      </c>
      <c r="T322" s="735">
        <f t="shared" si="35"/>
        <v>4986789.7316039139</v>
      </c>
      <c r="U322" s="735">
        <f t="shared" si="36"/>
        <v>0</v>
      </c>
      <c r="V322" s="736">
        <f t="shared" si="37"/>
        <v>0</v>
      </c>
      <c r="W322" s="735">
        <f t="shared" si="38"/>
        <v>0</v>
      </c>
      <c r="X322" s="737">
        <f t="shared" si="39"/>
        <v>0</v>
      </c>
      <c r="Y322" s="738">
        <f t="shared" si="40"/>
        <v>4986789.7316039139</v>
      </c>
    </row>
    <row r="323" spans="1:25">
      <c r="A323" s="754" t="str">
        <f>'Func Future Subs 2015'!A323</f>
        <v>Bohn 931S</v>
      </c>
      <c r="B323" s="754">
        <f>'Func Future Subs 2015'!B323</f>
        <v>1570</v>
      </c>
      <c r="C323" s="754">
        <f>'Func Future Subs 2015'!C323</f>
        <v>240</v>
      </c>
      <c r="D323" s="754">
        <f>'Func Future Subs 2015'!D323</f>
        <v>25</v>
      </c>
      <c r="E323" s="754" t="str">
        <f>'Func Future Subs 2015'!E323</f>
        <v>931S</v>
      </c>
      <c r="F323" s="754">
        <f>'Func Future Subs 2015'!F323</f>
        <v>6197779.730344899</v>
      </c>
      <c r="G323" s="754" t="str">
        <f>'Func Future Subs 2015'!G323</f>
        <v>ATCO</v>
      </c>
      <c r="H323" s="754">
        <f>'Func Future Subs 2015'!H323</f>
        <v>2017</v>
      </c>
      <c r="I323" s="306">
        <f>+IF($H323=I$2,VLOOKUP($G323,Depreciation!$A$14:$L$18,7,FALSE)/2,IF($H323&lt;I$2,VLOOKUP($G323,Depreciation!$A$14:$L$18,7,FALSE),0))</f>
        <v>0</v>
      </c>
      <c r="J323" s="306">
        <f>+IF($H323=J$2,VLOOKUP($G323,Depreciation!$A$14:$L$18,8,FALSE)/2,IF($H323&lt;J$2,VLOOKUP($G323,Depreciation!$A$14:$L$18,8,FALSE),0))</f>
        <v>0</v>
      </c>
      <c r="K323" s="306">
        <f>+IF($H323=K$2,VLOOKUP($G323,Depreciation!$A$14:$L$18,9,FALSE)/2,IF($H323&lt;K$2,VLOOKUP($G323,Depreciation!$A$14:$L$18,9,FALSE),0))</f>
        <v>1.2175768213899416E-2</v>
      </c>
      <c r="L323" s="306">
        <f>+IF($H323=L$2,VLOOKUP($G323,Depreciation!$A$14:$L$18,10,FALSE)/2,IF($H323&lt;L$2,VLOOKUP($G323,Depreciation!$A$14:$L$18,10,FALSE),0))</f>
        <v>2.4351536427798831E-2</v>
      </c>
      <c r="M323" s="306">
        <f>+IF($H323=M$2,VLOOKUP($G323,Depreciation!$A$14:$L$18,11,FALSE)/2,IF($H323&lt;M$2,VLOOKUP($G323,Depreciation!$A$14:$L$18,11,FALSE),0))</f>
        <v>2.4351536427798831E-2</v>
      </c>
      <c r="N323" s="306">
        <f>+IF($H323=N$2,VLOOKUP($G323,Depreciation!$A$14:$L$18,12,FALSE)/2,IF($H323&lt;N$2,VLOOKUP($G323,Depreciation!$A$14:$L$18,12,FALSE),0))</f>
        <v>2.4351536427798831E-2</v>
      </c>
      <c r="O323" s="307">
        <f t="shared" si="33"/>
        <v>6122317.0009074155</v>
      </c>
      <c r="P323" s="732">
        <f>'Func Future Subs 2015'!P323</f>
        <v>0</v>
      </c>
      <c r="Q323" s="732">
        <f>'Func Future Subs 2015'!Q323</f>
        <v>1</v>
      </c>
      <c r="R323" s="732">
        <f>'Func Future Subs 2015'!R323</f>
        <v>0</v>
      </c>
      <c r="S323" s="735">
        <f t="shared" si="34"/>
        <v>0</v>
      </c>
      <c r="T323" s="735">
        <f t="shared" si="35"/>
        <v>6122317.0009074155</v>
      </c>
      <c r="U323" s="735">
        <f t="shared" si="36"/>
        <v>0</v>
      </c>
      <c r="V323" s="736">
        <f t="shared" si="37"/>
        <v>0</v>
      </c>
      <c r="W323" s="735">
        <f t="shared" si="38"/>
        <v>0</v>
      </c>
      <c r="X323" s="737">
        <f t="shared" si="39"/>
        <v>0</v>
      </c>
      <c r="Y323" s="738">
        <f t="shared" si="40"/>
        <v>6122317.0009074155</v>
      </c>
    </row>
    <row r="324" spans="1:25">
      <c r="A324" s="754" t="str">
        <f>'Func Future Subs 2015'!A324</f>
        <v>Mahihkan 837S</v>
      </c>
      <c r="B324" s="754">
        <f>'Func Future Subs 2015'!B324</f>
        <v>1571</v>
      </c>
      <c r="C324" s="754">
        <f>'Func Future Subs 2015'!C324</f>
        <v>138</v>
      </c>
      <c r="D324" s="754">
        <f>'Func Future Subs 2015'!D324</f>
        <v>25</v>
      </c>
      <c r="E324" s="754" t="str">
        <f>'Func Future Subs 2015'!E324</f>
        <v>837S</v>
      </c>
      <c r="F324" s="754">
        <f>'Func Future Subs 2015'!F324</f>
        <v>1810761.9999999988</v>
      </c>
      <c r="G324" s="754" t="str">
        <f>'Func Future Subs 2015'!G324</f>
        <v>ATCO</v>
      </c>
      <c r="H324" s="754">
        <f>'Func Future Subs 2015'!H324</f>
        <v>2017</v>
      </c>
      <c r="I324" s="306">
        <f>+IF($H324=I$2,VLOOKUP($G324,Depreciation!$A$14:$L$18,7,FALSE)/2,IF($H324&lt;I$2,VLOOKUP($G324,Depreciation!$A$14:$L$18,7,FALSE),0))</f>
        <v>0</v>
      </c>
      <c r="J324" s="306">
        <f>+IF($H324=J$2,VLOOKUP($G324,Depreciation!$A$14:$L$18,8,FALSE)/2,IF($H324&lt;J$2,VLOOKUP($G324,Depreciation!$A$14:$L$18,8,FALSE),0))</f>
        <v>0</v>
      </c>
      <c r="K324" s="306">
        <f>+IF($H324=K$2,VLOOKUP($G324,Depreciation!$A$14:$L$18,9,FALSE)/2,IF($H324&lt;K$2,VLOOKUP($G324,Depreciation!$A$14:$L$18,9,FALSE),0))</f>
        <v>1.2175768213899416E-2</v>
      </c>
      <c r="L324" s="306">
        <f>+IF($H324=L$2,VLOOKUP($G324,Depreciation!$A$14:$L$18,10,FALSE)/2,IF($H324&lt;L$2,VLOOKUP($G324,Depreciation!$A$14:$L$18,10,FALSE),0))</f>
        <v>2.4351536427798831E-2</v>
      </c>
      <c r="M324" s="306">
        <f>+IF($H324=M$2,VLOOKUP($G324,Depreciation!$A$14:$L$18,11,FALSE)/2,IF($H324&lt;M$2,VLOOKUP($G324,Depreciation!$A$14:$L$18,11,FALSE),0))</f>
        <v>2.4351536427798831E-2</v>
      </c>
      <c r="N324" s="306">
        <f>+IF($H324=N$2,VLOOKUP($G324,Depreciation!$A$14:$L$18,12,FALSE)/2,IF($H324&lt;N$2,VLOOKUP($G324,Depreciation!$A$14:$L$18,12,FALSE),0))</f>
        <v>2.4351536427798831E-2</v>
      </c>
      <c r="O324" s="307">
        <f t="shared" ref="O324:O354" si="41">IF(H324&lt;=2017,F324*(1-I324)*(1-J324)*(1-K324),0)</f>
        <v>1788714.5815974618</v>
      </c>
      <c r="P324" s="732">
        <f>'Func Future Subs 2015'!P324</f>
        <v>0</v>
      </c>
      <c r="Q324" s="732">
        <f>'Func Future Subs 2015'!Q324</f>
        <v>1</v>
      </c>
      <c r="R324" s="732">
        <f>'Func Future Subs 2015'!R324</f>
        <v>0</v>
      </c>
      <c r="S324" s="735">
        <f t="shared" ref="S324:S354" si="42">+P324*$O324</f>
        <v>0</v>
      </c>
      <c r="T324" s="735">
        <f t="shared" ref="T324:T354" si="43">+Q324*$O324</f>
        <v>1788714.5815974618</v>
      </c>
      <c r="U324" s="735">
        <f t="shared" ref="U324:U354" si="44">+R324*$O324</f>
        <v>0</v>
      </c>
      <c r="V324" s="736">
        <f t="shared" ref="V324:V354" si="45">IF(AND(R324=1,D324=0),O324,0)</f>
        <v>0</v>
      </c>
      <c r="W324" s="735">
        <f t="shared" ref="W324:W354" si="46">S324+IF(D324&gt;144,U324,0)</f>
        <v>0</v>
      </c>
      <c r="X324" s="737">
        <f t="shared" ref="X324:X354" si="47">IF(AND(D324&lt;=144,D324&gt;=69),U324,0)</f>
        <v>0</v>
      </c>
      <c r="Y324" s="738">
        <f t="shared" ref="Y324:Y354" si="48">T324+IF(AND(D324&lt;69,D324&gt;0),U324,0)</f>
        <v>1788714.5815974618</v>
      </c>
    </row>
    <row r="325" spans="1:25">
      <c r="A325" s="754" t="str">
        <f>'Func Future Subs 2015'!A325</f>
        <v>Leduc 325S 180D</v>
      </c>
      <c r="B325" s="754">
        <f>'Func Future Subs 2015'!B325</f>
        <v>1574</v>
      </c>
      <c r="C325" s="754">
        <f>'Func Future Subs 2015'!C325</f>
        <v>138</v>
      </c>
      <c r="D325" s="754">
        <f>'Func Future Subs 2015'!D325</f>
        <v>25</v>
      </c>
      <c r="E325" s="754" t="str">
        <f>'Func Future Subs 2015'!E325</f>
        <v>325S</v>
      </c>
      <c r="F325" s="754">
        <f>'Func Future Subs 2015'!F325</f>
        <v>6315643.0000000047</v>
      </c>
      <c r="G325" s="754" t="str">
        <f>'Func Future Subs 2015'!G325</f>
        <v>AltaLink</v>
      </c>
      <c r="H325" s="754">
        <f>'Func Future Subs 2015'!H325</f>
        <v>2016</v>
      </c>
      <c r="I325" s="306">
        <f>+IF($H325=I$2,VLOOKUP($G325,Depreciation!$A$14:$L$18,7,FALSE)/2,IF($H325&lt;I$2,VLOOKUP($G325,Depreciation!$A$14:$L$18,7,FALSE),0))</f>
        <v>0</v>
      </c>
      <c r="J325" s="306">
        <f>+IF($H325=J$2,VLOOKUP($G325,Depreciation!$A$14:$L$18,8,FALSE)/2,IF($H325&lt;J$2,VLOOKUP($G325,Depreciation!$A$14:$L$18,8,FALSE),0))</f>
        <v>1.671703928371859E-2</v>
      </c>
      <c r="K325" s="306">
        <f>+IF($H325=K$2,VLOOKUP($G325,Depreciation!$A$14:$L$18,9,FALSE)/2,IF($H325&lt;K$2,VLOOKUP($G325,Depreciation!$A$14:$L$18,9,FALSE),0))</f>
        <v>3.343407856743718E-2</v>
      </c>
      <c r="L325" s="306">
        <f>+IF($H325=L$2,VLOOKUP($G325,Depreciation!$A$14:$L$18,10,FALSE)/2,IF($H325&lt;L$2,VLOOKUP($G325,Depreciation!$A$14:$L$18,10,FALSE),0))</f>
        <v>3.343407856743718E-2</v>
      </c>
      <c r="M325" s="306">
        <f>+IF($H325=M$2,VLOOKUP($G325,Depreciation!$A$14:$L$18,11,FALSE)/2,IF($H325&lt;M$2,VLOOKUP($G325,Depreciation!$A$14:$L$18,11,FALSE),0))</f>
        <v>3.343407856743718E-2</v>
      </c>
      <c r="N325" s="306">
        <f>+IF($H325=N$2,VLOOKUP($G325,Depreciation!$A$14:$L$18,12,FALSE)/2,IF($H325&lt;N$2,VLOOKUP($G325,Depreciation!$A$14:$L$18,12,FALSE),0))</f>
        <v>3.343407856743718E-2</v>
      </c>
      <c r="O325" s="307">
        <f t="shared" si="41"/>
        <v>6002436.3752384502</v>
      </c>
      <c r="P325" s="732">
        <f>'Func Future Subs 2015'!P325</f>
        <v>0</v>
      </c>
      <c r="Q325" s="732">
        <f>'Func Future Subs 2015'!Q325</f>
        <v>1</v>
      </c>
      <c r="R325" s="732">
        <f>'Func Future Subs 2015'!R325</f>
        <v>0</v>
      </c>
      <c r="S325" s="735">
        <f t="shared" si="42"/>
        <v>0</v>
      </c>
      <c r="T325" s="735">
        <f t="shared" si="43"/>
        <v>6002436.3752384502</v>
      </c>
      <c r="U325" s="735">
        <f t="shared" si="44"/>
        <v>0</v>
      </c>
      <c r="V325" s="736">
        <f t="shared" si="45"/>
        <v>0</v>
      </c>
      <c r="W325" s="735">
        <f t="shared" si="46"/>
        <v>0</v>
      </c>
      <c r="X325" s="737">
        <f t="shared" si="47"/>
        <v>0</v>
      </c>
      <c r="Y325" s="738">
        <f t="shared" si="48"/>
        <v>6002436.3752384502</v>
      </c>
    </row>
    <row r="326" spans="1:25">
      <c r="A326" s="754" t="str">
        <f>'Func Future Subs 2015'!A326</f>
        <v>Modify Vilna 777S</v>
      </c>
      <c r="B326" s="754">
        <f>'Func Future Subs 2015'!B326</f>
        <v>1579</v>
      </c>
      <c r="C326" s="754">
        <f>'Func Future Subs 2015'!C326</f>
        <v>138</v>
      </c>
      <c r="D326" s="754">
        <f>'Func Future Subs 2015'!D326</f>
        <v>25</v>
      </c>
      <c r="E326" s="754" t="str">
        <f>'Func Future Subs 2015'!E326</f>
        <v>777S</v>
      </c>
      <c r="F326" s="754">
        <f>'Func Future Subs 2015'!F326</f>
        <v>196941.99999999985</v>
      </c>
      <c r="G326" s="754" t="str">
        <f>'Func Future Subs 2015'!G326</f>
        <v>ATCO</v>
      </c>
      <c r="H326" s="754">
        <f>'Func Future Subs 2015'!H326</f>
        <v>2015</v>
      </c>
      <c r="I326" s="306">
        <f>+IF($H326=I$2,VLOOKUP($G326,Depreciation!$A$14:$L$18,7,FALSE)/2,IF($H326&lt;I$2,VLOOKUP($G326,Depreciation!$A$14:$L$18,7,FALSE),0))</f>
        <v>1.221703683566912E-2</v>
      </c>
      <c r="J326" s="306">
        <f>+IF($H326=J$2,VLOOKUP($G326,Depreciation!$A$14:$L$18,8,FALSE)/2,IF($H326&lt;J$2,VLOOKUP($G326,Depreciation!$A$14:$L$18,8,FALSE),0))</f>
        <v>2.4632450501084719E-2</v>
      </c>
      <c r="K326" s="306">
        <f>+IF($H326=K$2,VLOOKUP($G326,Depreciation!$A$14:$L$18,9,FALSE)/2,IF($H326&lt;K$2,VLOOKUP($G326,Depreciation!$A$14:$L$18,9,FALSE),0))</f>
        <v>2.4351536427798831E-2</v>
      </c>
      <c r="L326" s="306">
        <f>+IF($H326=L$2,VLOOKUP($G326,Depreciation!$A$14:$L$18,10,FALSE)/2,IF($H326&lt;L$2,VLOOKUP($G326,Depreciation!$A$14:$L$18,10,FALSE),0))</f>
        <v>2.4351536427798831E-2</v>
      </c>
      <c r="M326" s="306">
        <f>+IF($H326=M$2,VLOOKUP($G326,Depreciation!$A$14:$L$18,11,FALSE)/2,IF($H326&lt;M$2,VLOOKUP($G326,Depreciation!$A$14:$L$18,11,FALSE),0))</f>
        <v>2.4351536427798831E-2</v>
      </c>
      <c r="N326" s="306">
        <f>+IF($H326=N$2,VLOOKUP($G326,Depreciation!$A$14:$L$18,12,FALSE)/2,IF($H326&lt;N$2,VLOOKUP($G326,Depreciation!$A$14:$L$18,12,FALSE),0))</f>
        <v>2.4351536427798831E-2</v>
      </c>
      <c r="O326" s="307">
        <f t="shared" si="41"/>
        <v>185123.49584493047</v>
      </c>
      <c r="P326" s="732">
        <f>'Func Future Subs 2015'!P326</f>
        <v>0</v>
      </c>
      <c r="Q326" s="732">
        <f>'Func Future Subs 2015'!Q326</f>
        <v>1</v>
      </c>
      <c r="R326" s="732">
        <f>'Func Future Subs 2015'!R326</f>
        <v>0</v>
      </c>
      <c r="S326" s="735">
        <f t="shared" si="42"/>
        <v>0</v>
      </c>
      <c r="T326" s="735">
        <f t="shared" si="43"/>
        <v>185123.49584493047</v>
      </c>
      <c r="U326" s="735">
        <f t="shared" si="44"/>
        <v>0</v>
      </c>
      <c r="V326" s="736">
        <f t="shared" si="45"/>
        <v>0</v>
      </c>
      <c r="W326" s="735">
        <f t="shared" si="46"/>
        <v>0</v>
      </c>
      <c r="X326" s="737">
        <f t="shared" si="47"/>
        <v>0</v>
      </c>
      <c r="Y326" s="738">
        <f t="shared" si="48"/>
        <v>185123.49584493047</v>
      </c>
    </row>
    <row r="327" spans="1:25">
      <c r="A327" s="754" t="str">
        <f>'Func Future Subs 2015'!A327</f>
        <v>Upgrade Simonette 733S</v>
      </c>
      <c r="B327" s="754">
        <f>'Func Future Subs 2015'!B327</f>
        <v>1581</v>
      </c>
      <c r="C327" s="754">
        <f>'Func Future Subs 2015'!C327</f>
        <v>144</v>
      </c>
      <c r="D327" s="754">
        <f>'Func Future Subs 2015'!D327</f>
        <v>25</v>
      </c>
      <c r="E327" s="754" t="str">
        <f>'Func Future Subs 2015'!E327</f>
        <v>733S</v>
      </c>
      <c r="F327" s="754">
        <f>'Func Future Subs 2015'!F327</f>
        <v>6524690.9999999991</v>
      </c>
      <c r="G327" s="754" t="str">
        <f>'Func Future Subs 2015'!G327</f>
        <v>ATCO</v>
      </c>
      <c r="H327" s="754">
        <f>'Func Future Subs 2015'!H327</f>
        <v>2016</v>
      </c>
      <c r="I327" s="306">
        <f>+IF($H327=I$2,VLOOKUP($G327,Depreciation!$A$14:$L$18,7,FALSE)/2,IF($H327&lt;I$2,VLOOKUP($G327,Depreciation!$A$14:$L$18,7,FALSE),0))</f>
        <v>0</v>
      </c>
      <c r="J327" s="306">
        <f>+IF($H327=J$2,VLOOKUP($G327,Depreciation!$A$14:$L$18,8,FALSE)/2,IF($H327&lt;J$2,VLOOKUP($G327,Depreciation!$A$14:$L$18,8,FALSE),0))</f>
        <v>1.231622525054236E-2</v>
      </c>
      <c r="K327" s="306">
        <f>+IF($H327=K$2,VLOOKUP($G327,Depreciation!$A$14:$L$18,9,FALSE)/2,IF($H327&lt;K$2,VLOOKUP($G327,Depreciation!$A$14:$L$18,9,FALSE),0))</f>
        <v>2.4351536427798831E-2</v>
      </c>
      <c r="L327" s="306">
        <f>+IF($H327=L$2,VLOOKUP($G327,Depreciation!$A$14:$L$18,10,FALSE)/2,IF($H327&lt;L$2,VLOOKUP($G327,Depreciation!$A$14:$L$18,10,FALSE),0))</f>
        <v>2.4351536427798831E-2</v>
      </c>
      <c r="M327" s="306">
        <f>+IF($H327=M$2,VLOOKUP($G327,Depreciation!$A$14:$L$18,11,FALSE)/2,IF($H327&lt;M$2,VLOOKUP($G327,Depreciation!$A$14:$L$18,11,FALSE),0))</f>
        <v>2.4351536427798831E-2</v>
      </c>
      <c r="N327" s="306">
        <f>+IF($H327=N$2,VLOOKUP($G327,Depreciation!$A$14:$L$18,12,FALSE)/2,IF($H327&lt;N$2,VLOOKUP($G327,Depreciation!$A$14:$L$18,12,FALSE),0))</f>
        <v>2.4351536427798831E-2</v>
      </c>
      <c r="O327" s="307">
        <f t="shared" si="41"/>
        <v>6287402.0642383741</v>
      </c>
      <c r="P327" s="732">
        <f>'Func Future Subs 2015'!P327</f>
        <v>0</v>
      </c>
      <c r="Q327" s="732">
        <f>'Func Future Subs 2015'!Q327</f>
        <v>1</v>
      </c>
      <c r="R327" s="732">
        <f>'Func Future Subs 2015'!R327</f>
        <v>0</v>
      </c>
      <c r="S327" s="735">
        <f t="shared" si="42"/>
        <v>0</v>
      </c>
      <c r="T327" s="735">
        <f t="shared" si="43"/>
        <v>6287402.0642383741</v>
      </c>
      <c r="U327" s="735">
        <f t="shared" si="44"/>
        <v>0</v>
      </c>
      <c r="V327" s="736">
        <f t="shared" si="45"/>
        <v>0</v>
      </c>
      <c r="W327" s="735">
        <f t="shared" si="46"/>
        <v>0</v>
      </c>
      <c r="X327" s="737">
        <f t="shared" si="47"/>
        <v>0</v>
      </c>
      <c r="Y327" s="738">
        <f t="shared" si="48"/>
        <v>6287402.0642383741</v>
      </c>
    </row>
    <row r="328" spans="1:25">
      <c r="A328" s="754" t="str">
        <f>'Func Future Subs 2015'!A328</f>
        <v>Jarrow 252S</v>
      </c>
      <c r="B328" s="754">
        <f>'Func Future Subs 2015'!B328</f>
        <v>1594</v>
      </c>
      <c r="C328" s="754">
        <f>'Func Future Subs 2015'!C328</f>
        <v>138</v>
      </c>
      <c r="D328" s="754">
        <f>'Func Future Subs 2015'!D328</f>
        <v>25</v>
      </c>
      <c r="E328" s="754" t="str">
        <f>'Func Future Subs 2015'!E328</f>
        <v>252S</v>
      </c>
      <c r="F328" s="754">
        <f>'Func Future Subs 2015'!F328</f>
        <v>13928.712350388019</v>
      </c>
      <c r="G328" s="754" t="str">
        <f>'Func Future Subs 2015'!G328</f>
        <v>AltaLink</v>
      </c>
      <c r="H328" s="754">
        <f>'Func Future Subs 2015'!H328</f>
        <v>2018</v>
      </c>
      <c r="I328" s="306">
        <f>+IF($H328=I$2,VLOOKUP($G328,Depreciation!$A$14:$L$18,7,FALSE)/2,IF($H328&lt;I$2,VLOOKUP($G328,Depreciation!$A$14:$L$18,7,FALSE),0))</f>
        <v>0</v>
      </c>
      <c r="J328" s="306">
        <f>+IF($H328=J$2,VLOOKUP($G328,Depreciation!$A$14:$L$18,8,FALSE)/2,IF($H328&lt;J$2,VLOOKUP($G328,Depreciation!$A$14:$L$18,8,FALSE),0))</f>
        <v>0</v>
      </c>
      <c r="K328" s="306">
        <f>+IF($H328=K$2,VLOOKUP($G328,Depreciation!$A$14:$L$18,9,FALSE)/2,IF($H328&lt;K$2,VLOOKUP($G328,Depreciation!$A$14:$L$18,9,FALSE),0))</f>
        <v>0</v>
      </c>
      <c r="L328" s="306">
        <f>+IF($H328=L$2,VLOOKUP($G328,Depreciation!$A$14:$L$18,10,FALSE)/2,IF($H328&lt;L$2,VLOOKUP($G328,Depreciation!$A$14:$L$18,10,FALSE),0))</f>
        <v>1.671703928371859E-2</v>
      </c>
      <c r="M328" s="306">
        <f>+IF($H328=M$2,VLOOKUP($G328,Depreciation!$A$14:$L$18,11,FALSE)/2,IF($H328&lt;M$2,VLOOKUP($G328,Depreciation!$A$14:$L$18,11,FALSE),0))</f>
        <v>3.343407856743718E-2</v>
      </c>
      <c r="N328" s="306">
        <f>+IF($H328=N$2,VLOOKUP($G328,Depreciation!$A$14:$L$18,12,FALSE)/2,IF($H328&lt;N$2,VLOOKUP($G328,Depreciation!$A$14:$L$18,12,FALSE),0))</f>
        <v>3.343407856743718E-2</v>
      </c>
      <c r="O328" s="307">
        <f t="shared" si="41"/>
        <v>0</v>
      </c>
      <c r="P328" s="732">
        <f>'Func Future Subs 2015'!P328</f>
        <v>0</v>
      </c>
      <c r="Q328" s="732">
        <f>'Func Future Subs 2015'!Q328</f>
        <v>1</v>
      </c>
      <c r="R328" s="732">
        <f>'Func Future Subs 2015'!R328</f>
        <v>0</v>
      </c>
      <c r="S328" s="735">
        <f t="shared" si="42"/>
        <v>0</v>
      </c>
      <c r="T328" s="735">
        <f t="shared" si="43"/>
        <v>0</v>
      </c>
      <c r="U328" s="735">
        <f t="shared" si="44"/>
        <v>0</v>
      </c>
      <c r="V328" s="736">
        <f t="shared" si="45"/>
        <v>0</v>
      </c>
      <c r="W328" s="735">
        <f t="shared" si="46"/>
        <v>0</v>
      </c>
      <c r="X328" s="737">
        <f t="shared" si="47"/>
        <v>0</v>
      </c>
      <c r="Y328" s="738">
        <f t="shared" si="48"/>
        <v>0</v>
      </c>
    </row>
    <row r="329" spans="1:25">
      <c r="A329" s="754" t="str">
        <f>'Func Future Subs 2015'!A329</f>
        <v>Tucuman 478S</v>
      </c>
      <c r="B329" s="754">
        <f>'Func Future Subs 2015'!B329</f>
        <v>1594</v>
      </c>
      <c r="C329" s="754">
        <f>'Func Future Subs 2015'!C329</f>
        <v>138</v>
      </c>
      <c r="D329" s="754">
        <f>'Func Future Subs 2015'!D329</f>
        <v>25</v>
      </c>
      <c r="E329" s="754" t="str">
        <f>'Func Future Subs 2015'!E329</f>
        <v>478S</v>
      </c>
      <c r="F329" s="754">
        <f>'Func Future Subs 2015'!F329</f>
        <v>13928.712350388019</v>
      </c>
      <c r="G329" s="754" t="str">
        <f>'Func Future Subs 2015'!G329</f>
        <v>AltaLink</v>
      </c>
      <c r="H329" s="754">
        <f>'Func Future Subs 2015'!H329</f>
        <v>2018</v>
      </c>
      <c r="I329" s="306">
        <f>+IF($H329=I$2,VLOOKUP($G329,Depreciation!$A$14:$L$18,7,FALSE)/2,IF($H329&lt;I$2,VLOOKUP($G329,Depreciation!$A$14:$L$18,7,FALSE),0))</f>
        <v>0</v>
      </c>
      <c r="J329" s="306">
        <f>+IF($H329=J$2,VLOOKUP($G329,Depreciation!$A$14:$L$18,8,FALSE)/2,IF($H329&lt;J$2,VLOOKUP($G329,Depreciation!$A$14:$L$18,8,FALSE),0))</f>
        <v>0</v>
      </c>
      <c r="K329" s="306">
        <f>+IF($H329=K$2,VLOOKUP($G329,Depreciation!$A$14:$L$18,9,FALSE)/2,IF($H329&lt;K$2,VLOOKUP($G329,Depreciation!$A$14:$L$18,9,FALSE),0))</f>
        <v>0</v>
      </c>
      <c r="L329" s="306">
        <f>+IF($H329=L$2,VLOOKUP($G329,Depreciation!$A$14:$L$18,10,FALSE)/2,IF($H329&lt;L$2,VLOOKUP($G329,Depreciation!$A$14:$L$18,10,FALSE),0))</f>
        <v>1.671703928371859E-2</v>
      </c>
      <c r="M329" s="306">
        <f>+IF($H329=M$2,VLOOKUP($G329,Depreciation!$A$14:$L$18,11,FALSE)/2,IF($H329&lt;M$2,VLOOKUP($G329,Depreciation!$A$14:$L$18,11,FALSE),0))</f>
        <v>3.343407856743718E-2</v>
      </c>
      <c r="N329" s="306">
        <f>+IF($H329=N$2,VLOOKUP($G329,Depreciation!$A$14:$L$18,12,FALSE)/2,IF($H329&lt;N$2,VLOOKUP($G329,Depreciation!$A$14:$L$18,12,FALSE),0))</f>
        <v>3.343407856743718E-2</v>
      </c>
      <c r="O329" s="307">
        <f t="shared" si="41"/>
        <v>0</v>
      </c>
      <c r="P329" s="732">
        <f>'Func Future Subs 2015'!P329</f>
        <v>0</v>
      </c>
      <c r="Q329" s="732">
        <f>'Func Future Subs 2015'!Q329</f>
        <v>1</v>
      </c>
      <c r="R329" s="732">
        <f>'Func Future Subs 2015'!R329</f>
        <v>0</v>
      </c>
      <c r="S329" s="735">
        <f t="shared" si="42"/>
        <v>0</v>
      </c>
      <c r="T329" s="735">
        <f t="shared" si="43"/>
        <v>0</v>
      </c>
      <c r="U329" s="735">
        <f t="shared" si="44"/>
        <v>0</v>
      </c>
      <c r="V329" s="736">
        <f t="shared" si="45"/>
        <v>0</v>
      </c>
      <c r="W329" s="735">
        <f t="shared" si="46"/>
        <v>0</v>
      </c>
      <c r="X329" s="737">
        <f t="shared" si="47"/>
        <v>0</v>
      </c>
      <c r="Y329" s="738">
        <f t="shared" si="48"/>
        <v>0</v>
      </c>
    </row>
    <row r="330" spans="1:25">
      <c r="A330" s="754" t="str">
        <f>'Func Future Subs 2015'!A330</f>
        <v>Wainwright 51S</v>
      </c>
      <c r="B330" s="754">
        <f>'Func Future Subs 2015'!B330</f>
        <v>1594</v>
      </c>
      <c r="C330" s="754">
        <f>'Func Future Subs 2015'!C330</f>
        <v>138</v>
      </c>
      <c r="D330" s="754">
        <f>'Func Future Subs 2015'!D330</f>
        <v>25</v>
      </c>
      <c r="E330" s="754" t="str">
        <f>'Func Future Subs 2015'!E330</f>
        <v>51S</v>
      </c>
      <c r="F330" s="754">
        <f>'Func Future Subs 2015'!F330</f>
        <v>3535571.4849401587</v>
      </c>
      <c r="G330" s="754" t="str">
        <f>'Func Future Subs 2015'!G330</f>
        <v>AltaLink</v>
      </c>
      <c r="H330" s="754">
        <f>'Func Future Subs 2015'!H330</f>
        <v>2018</v>
      </c>
      <c r="I330" s="306">
        <f>+IF($H330=I$2,VLOOKUP($G330,Depreciation!$A$14:$L$18,7,FALSE)/2,IF($H330&lt;I$2,VLOOKUP($G330,Depreciation!$A$14:$L$18,7,FALSE),0))</f>
        <v>0</v>
      </c>
      <c r="J330" s="306">
        <f>+IF($H330=J$2,VLOOKUP($G330,Depreciation!$A$14:$L$18,8,FALSE)/2,IF($H330&lt;J$2,VLOOKUP($G330,Depreciation!$A$14:$L$18,8,FALSE),0))</f>
        <v>0</v>
      </c>
      <c r="K330" s="306">
        <f>+IF($H330=K$2,VLOOKUP($G330,Depreciation!$A$14:$L$18,9,FALSE)/2,IF($H330&lt;K$2,VLOOKUP($G330,Depreciation!$A$14:$L$18,9,FALSE),0))</f>
        <v>0</v>
      </c>
      <c r="L330" s="306">
        <f>+IF($H330=L$2,VLOOKUP($G330,Depreciation!$A$14:$L$18,10,FALSE)/2,IF($H330&lt;L$2,VLOOKUP($G330,Depreciation!$A$14:$L$18,10,FALSE),0))</f>
        <v>1.671703928371859E-2</v>
      </c>
      <c r="M330" s="306">
        <f>+IF($H330=M$2,VLOOKUP($G330,Depreciation!$A$14:$L$18,11,FALSE)/2,IF($H330&lt;M$2,VLOOKUP($G330,Depreciation!$A$14:$L$18,11,FALSE),0))</f>
        <v>3.343407856743718E-2</v>
      </c>
      <c r="N330" s="306">
        <f>+IF($H330=N$2,VLOOKUP($G330,Depreciation!$A$14:$L$18,12,FALSE)/2,IF($H330&lt;N$2,VLOOKUP($G330,Depreciation!$A$14:$L$18,12,FALSE),0))</f>
        <v>3.343407856743718E-2</v>
      </c>
      <c r="O330" s="307">
        <f t="shared" si="41"/>
        <v>0</v>
      </c>
      <c r="P330" s="732">
        <f>'Func Future Subs 2015'!P330</f>
        <v>0</v>
      </c>
      <c r="Q330" s="732">
        <f>'Func Future Subs 2015'!Q330</f>
        <v>1</v>
      </c>
      <c r="R330" s="732">
        <f>'Func Future Subs 2015'!R330</f>
        <v>0</v>
      </c>
      <c r="S330" s="735">
        <f t="shared" si="42"/>
        <v>0</v>
      </c>
      <c r="T330" s="735">
        <f t="shared" si="43"/>
        <v>0</v>
      </c>
      <c r="U330" s="735">
        <f t="shared" si="44"/>
        <v>0</v>
      </c>
      <c r="V330" s="736">
        <f t="shared" si="45"/>
        <v>0</v>
      </c>
      <c r="W330" s="735">
        <f t="shared" si="46"/>
        <v>0</v>
      </c>
      <c r="X330" s="737">
        <f t="shared" si="47"/>
        <v>0</v>
      </c>
      <c r="Y330" s="738">
        <f t="shared" si="48"/>
        <v>0</v>
      </c>
    </row>
    <row r="331" spans="1:25">
      <c r="A331" s="754" t="str">
        <f>'Func Future Subs 2015'!A331</f>
        <v>Fortis Broadmoor 420S</v>
      </c>
      <c r="B331" s="754">
        <f>'Func Future Subs 2015'!B331</f>
        <v>1597</v>
      </c>
      <c r="C331" s="754">
        <f>'Func Future Subs 2015'!C331</f>
        <v>138</v>
      </c>
      <c r="D331" s="754">
        <f>'Func Future Subs 2015'!D331</f>
        <v>25</v>
      </c>
      <c r="E331" s="754" t="str">
        <f>'Func Future Subs 2015'!E331</f>
        <v>420S</v>
      </c>
      <c r="F331" s="754">
        <f>'Func Future Subs 2015'!F331</f>
        <v>5892730</v>
      </c>
      <c r="G331" s="754" t="str">
        <f>'Func Future Subs 2015'!G331</f>
        <v>AltaLink</v>
      </c>
      <c r="H331" s="754">
        <f>'Func Future Subs 2015'!H331</f>
        <v>2016</v>
      </c>
      <c r="I331" s="306">
        <f>+IF($H331=I$2,VLOOKUP($G331,Depreciation!$A$14:$L$18,7,FALSE)/2,IF($H331&lt;I$2,VLOOKUP($G331,Depreciation!$A$14:$L$18,7,FALSE),0))</f>
        <v>0</v>
      </c>
      <c r="J331" s="306">
        <f>+IF($H331=J$2,VLOOKUP($G331,Depreciation!$A$14:$L$18,8,FALSE)/2,IF($H331&lt;J$2,VLOOKUP($G331,Depreciation!$A$14:$L$18,8,FALSE),0))</f>
        <v>1.671703928371859E-2</v>
      </c>
      <c r="K331" s="306">
        <f>+IF($H331=K$2,VLOOKUP($G331,Depreciation!$A$14:$L$18,9,FALSE)/2,IF($H331&lt;K$2,VLOOKUP($G331,Depreciation!$A$14:$L$18,9,FALSE),0))</f>
        <v>3.343407856743718E-2</v>
      </c>
      <c r="L331" s="306">
        <f>+IF($H331=L$2,VLOOKUP($G331,Depreciation!$A$14:$L$18,10,FALSE)/2,IF($H331&lt;L$2,VLOOKUP($G331,Depreciation!$A$14:$L$18,10,FALSE),0))</f>
        <v>3.343407856743718E-2</v>
      </c>
      <c r="M331" s="306">
        <f>+IF($H331=M$2,VLOOKUP($G331,Depreciation!$A$14:$L$18,11,FALSE)/2,IF($H331&lt;M$2,VLOOKUP($G331,Depreciation!$A$14:$L$18,11,FALSE),0))</f>
        <v>3.343407856743718E-2</v>
      </c>
      <c r="N331" s="306">
        <f>+IF($H331=N$2,VLOOKUP($G331,Depreciation!$A$14:$L$18,12,FALSE)/2,IF($H331&lt;N$2,VLOOKUP($G331,Depreciation!$A$14:$L$18,12,FALSE),0))</f>
        <v>3.343407856743718E-2</v>
      </c>
      <c r="O331" s="307">
        <f t="shared" si="41"/>
        <v>5600496.5609137258</v>
      </c>
      <c r="P331" s="732">
        <f>'Func Future Subs 2015'!P331</f>
        <v>0</v>
      </c>
      <c r="Q331" s="732">
        <f>'Func Future Subs 2015'!Q331</f>
        <v>1</v>
      </c>
      <c r="R331" s="732">
        <f>'Func Future Subs 2015'!R331</f>
        <v>0</v>
      </c>
      <c r="S331" s="735">
        <f t="shared" si="42"/>
        <v>0</v>
      </c>
      <c r="T331" s="735">
        <f t="shared" si="43"/>
        <v>5600496.5609137258</v>
      </c>
      <c r="U331" s="735">
        <f t="shared" si="44"/>
        <v>0</v>
      </c>
      <c r="V331" s="736">
        <f t="shared" si="45"/>
        <v>0</v>
      </c>
      <c r="W331" s="735">
        <f t="shared" si="46"/>
        <v>0</v>
      </c>
      <c r="X331" s="737">
        <f t="shared" si="47"/>
        <v>0</v>
      </c>
      <c r="Y331" s="738">
        <f t="shared" si="48"/>
        <v>5600496.5609137258</v>
      </c>
    </row>
    <row r="332" spans="1:25">
      <c r="A332" s="754" t="str">
        <f>'Func Future Subs 2015'!A332</f>
        <v>Upgrade Broadmoor 420S</v>
      </c>
      <c r="B332" s="754">
        <f>'Func Future Subs 2015'!B332</f>
        <v>1597</v>
      </c>
      <c r="C332" s="754">
        <f>'Func Future Subs 2015'!C332</f>
        <v>138</v>
      </c>
      <c r="D332" s="754">
        <f>'Func Future Subs 2015'!D332</f>
        <v>25</v>
      </c>
      <c r="E332" s="754" t="str">
        <f>'Func Future Subs 2015'!E332</f>
        <v>420S</v>
      </c>
      <c r="F332" s="754">
        <f>'Func Future Subs 2015'!F332</f>
        <v>4899999.9999999991</v>
      </c>
      <c r="G332" s="754" t="str">
        <f>'Func Future Subs 2015'!G332</f>
        <v>AltaLink</v>
      </c>
      <c r="H332" s="754">
        <f>'Func Future Subs 2015'!H332</f>
        <v>2016</v>
      </c>
      <c r="I332" s="306">
        <f>+IF($H332=I$2,VLOOKUP($G332,Depreciation!$A$14:$L$18,7,FALSE)/2,IF($H332&lt;I$2,VLOOKUP($G332,Depreciation!$A$14:$L$18,7,FALSE),0))</f>
        <v>0</v>
      </c>
      <c r="J332" s="306">
        <f>+IF($H332=J$2,VLOOKUP($G332,Depreciation!$A$14:$L$18,8,FALSE)/2,IF($H332&lt;J$2,VLOOKUP($G332,Depreciation!$A$14:$L$18,8,FALSE),0))</f>
        <v>1.671703928371859E-2</v>
      </c>
      <c r="K332" s="306">
        <f>+IF($H332=K$2,VLOOKUP($G332,Depreciation!$A$14:$L$18,9,FALSE)/2,IF($H332&lt;K$2,VLOOKUP($G332,Depreciation!$A$14:$L$18,9,FALSE),0))</f>
        <v>3.343407856743718E-2</v>
      </c>
      <c r="L332" s="306">
        <f>+IF($H332=L$2,VLOOKUP($G332,Depreciation!$A$14:$L$18,10,FALSE)/2,IF($H332&lt;L$2,VLOOKUP($G332,Depreciation!$A$14:$L$18,10,FALSE),0))</f>
        <v>3.343407856743718E-2</v>
      </c>
      <c r="M332" s="306">
        <f>+IF($H332=M$2,VLOOKUP($G332,Depreciation!$A$14:$L$18,11,FALSE)/2,IF($H332&lt;M$2,VLOOKUP($G332,Depreciation!$A$14:$L$18,11,FALSE),0))</f>
        <v>3.343407856743718E-2</v>
      </c>
      <c r="N332" s="306">
        <f>+IF($H332=N$2,VLOOKUP($G332,Depreciation!$A$14:$L$18,12,FALSE)/2,IF($H332&lt;N$2,VLOOKUP($G332,Depreciation!$A$14:$L$18,12,FALSE),0))</f>
        <v>3.343407856743718E-2</v>
      </c>
      <c r="O332" s="307">
        <f t="shared" si="41"/>
        <v>4656998.2246729871</v>
      </c>
      <c r="P332" s="732">
        <f>'Func Future Subs 2015'!P332</f>
        <v>0</v>
      </c>
      <c r="Q332" s="732">
        <f>'Func Future Subs 2015'!Q332</f>
        <v>1</v>
      </c>
      <c r="R332" s="732">
        <f>'Func Future Subs 2015'!R332</f>
        <v>0</v>
      </c>
      <c r="S332" s="735">
        <f t="shared" si="42"/>
        <v>0</v>
      </c>
      <c r="T332" s="735">
        <f t="shared" si="43"/>
        <v>4656998.2246729871</v>
      </c>
      <c r="U332" s="735">
        <f t="shared" si="44"/>
        <v>0</v>
      </c>
      <c r="V332" s="736">
        <f t="shared" si="45"/>
        <v>0</v>
      </c>
      <c r="W332" s="735">
        <f t="shared" si="46"/>
        <v>0</v>
      </c>
      <c r="X332" s="737">
        <f t="shared" si="47"/>
        <v>0</v>
      </c>
      <c r="Y332" s="738">
        <f t="shared" si="48"/>
        <v>4656998.2246729871</v>
      </c>
    </row>
    <row r="333" spans="1:25">
      <c r="A333" s="754" t="str">
        <f>'Func Future Subs 2015'!A333</f>
        <v>Fox Creek 741S</v>
      </c>
      <c r="B333" s="754">
        <f>'Func Future Subs 2015'!B333</f>
        <v>1616</v>
      </c>
      <c r="C333" s="754">
        <f>'Func Future Subs 2015'!C333</f>
        <v>138</v>
      </c>
      <c r="D333" s="754">
        <f>'Func Future Subs 2015'!D333</f>
        <v>25</v>
      </c>
      <c r="E333" s="754" t="str">
        <f>'Func Future Subs 2015'!E333</f>
        <v>741S</v>
      </c>
      <c r="F333" s="754">
        <f>'Func Future Subs 2015'!F333</f>
        <v>1395036.0000000014</v>
      </c>
      <c r="G333" s="754" t="str">
        <f>'Func Future Subs 2015'!G333</f>
        <v>ATCO</v>
      </c>
      <c r="H333" s="754">
        <f>'Func Future Subs 2015'!H333</f>
        <v>2016</v>
      </c>
      <c r="I333" s="306">
        <f>+IF($H333=I$2,VLOOKUP($G333,Depreciation!$A$14:$L$18,7,FALSE)/2,IF($H333&lt;I$2,VLOOKUP($G333,Depreciation!$A$14:$L$18,7,FALSE),0))</f>
        <v>0</v>
      </c>
      <c r="J333" s="306">
        <f>+IF($H333=J$2,VLOOKUP($G333,Depreciation!$A$14:$L$18,8,FALSE)/2,IF($H333&lt;J$2,VLOOKUP($G333,Depreciation!$A$14:$L$18,8,FALSE),0))</f>
        <v>1.231622525054236E-2</v>
      </c>
      <c r="K333" s="306">
        <f>+IF($H333=K$2,VLOOKUP($G333,Depreciation!$A$14:$L$18,9,FALSE)/2,IF($H333&lt;K$2,VLOOKUP($G333,Depreciation!$A$14:$L$18,9,FALSE),0))</f>
        <v>2.4351536427798831E-2</v>
      </c>
      <c r="L333" s="306">
        <f>+IF($H333=L$2,VLOOKUP($G333,Depreciation!$A$14:$L$18,10,FALSE)/2,IF($H333&lt;L$2,VLOOKUP($G333,Depreciation!$A$14:$L$18,10,FALSE),0))</f>
        <v>2.4351536427798831E-2</v>
      </c>
      <c r="M333" s="306">
        <f>+IF($H333=M$2,VLOOKUP($G333,Depreciation!$A$14:$L$18,11,FALSE)/2,IF($H333&lt;M$2,VLOOKUP($G333,Depreciation!$A$14:$L$18,11,FALSE),0))</f>
        <v>2.4351536427798831E-2</v>
      </c>
      <c r="N333" s="306">
        <f>+IF($H333=N$2,VLOOKUP($G333,Depreciation!$A$14:$L$18,12,FALSE)/2,IF($H333&lt;N$2,VLOOKUP($G333,Depreciation!$A$14:$L$18,12,FALSE),0))</f>
        <v>2.4351536427798831E-2</v>
      </c>
      <c r="O333" s="307">
        <f t="shared" si="41"/>
        <v>1344301.5502323182</v>
      </c>
      <c r="P333" s="732">
        <f>'Func Future Subs 2015'!P333</f>
        <v>0</v>
      </c>
      <c r="Q333" s="732">
        <f>'Func Future Subs 2015'!Q333</f>
        <v>1</v>
      </c>
      <c r="R333" s="732">
        <f>'Func Future Subs 2015'!R333</f>
        <v>0</v>
      </c>
      <c r="S333" s="735">
        <f t="shared" si="42"/>
        <v>0</v>
      </c>
      <c r="T333" s="735">
        <f t="shared" si="43"/>
        <v>1344301.5502323182</v>
      </c>
      <c r="U333" s="735">
        <f t="shared" si="44"/>
        <v>0</v>
      </c>
      <c r="V333" s="736">
        <f t="shared" si="45"/>
        <v>0</v>
      </c>
      <c r="W333" s="735">
        <f t="shared" si="46"/>
        <v>0</v>
      </c>
      <c r="X333" s="737">
        <f t="shared" si="47"/>
        <v>0</v>
      </c>
      <c r="Y333" s="738">
        <f t="shared" si="48"/>
        <v>1344301.5502323182</v>
      </c>
    </row>
    <row r="334" spans="1:25">
      <c r="A334" s="754" t="str">
        <f>'Func Future Subs 2015'!A334</f>
        <v>Clairmont Lake 811S</v>
      </c>
      <c r="B334" s="754">
        <f>'Func Future Subs 2015'!B334</f>
        <v>1618</v>
      </c>
      <c r="C334" s="754">
        <f>'Func Future Subs 2015'!C334</f>
        <v>138</v>
      </c>
      <c r="D334" s="754">
        <f>'Func Future Subs 2015'!D334</f>
        <v>138</v>
      </c>
      <c r="E334" s="754" t="str">
        <f>'Func Future Subs 2015'!E334</f>
        <v>811S</v>
      </c>
      <c r="F334" s="754">
        <f>'Func Future Subs 2015'!F334</f>
        <v>400830.59344754874</v>
      </c>
      <c r="G334" s="754" t="str">
        <f>'Func Future Subs 2015'!G334</f>
        <v>ATCO</v>
      </c>
      <c r="H334" s="754">
        <f>'Func Future Subs 2015'!H334</f>
        <v>2017</v>
      </c>
      <c r="I334" s="306">
        <f>+IF($H334=I$2,VLOOKUP($G334,Depreciation!$A$14:$L$18,7,FALSE)/2,IF($H334&lt;I$2,VLOOKUP($G334,Depreciation!$A$14:$L$18,7,FALSE),0))</f>
        <v>0</v>
      </c>
      <c r="J334" s="306">
        <f>+IF($H334=J$2,VLOOKUP($G334,Depreciation!$A$14:$L$18,8,FALSE)/2,IF($H334&lt;J$2,VLOOKUP($G334,Depreciation!$A$14:$L$18,8,FALSE),0))</f>
        <v>0</v>
      </c>
      <c r="K334" s="306">
        <f>+IF($H334=K$2,VLOOKUP($G334,Depreciation!$A$14:$L$18,9,FALSE)/2,IF($H334&lt;K$2,VLOOKUP($G334,Depreciation!$A$14:$L$18,9,FALSE),0))</f>
        <v>1.2175768213899416E-2</v>
      </c>
      <c r="L334" s="306">
        <f>+IF($H334=L$2,VLOOKUP($G334,Depreciation!$A$14:$L$18,10,FALSE)/2,IF($H334&lt;L$2,VLOOKUP($G334,Depreciation!$A$14:$L$18,10,FALSE),0))</f>
        <v>2.4351536427798831E-2</v>
      </c>
      <c r="M334" s="306">
        <f>+IF($H334=M$2,VLOOKUP($G334,Depreciation!$A$14:$L$18,11,FALSE)/2,IF($H334&lt;M$2,VLOOKUP($G334,Depreciation!$A$14:$L$18,11,FALSE),0))</f>
        <v>2.4351536427798831E-2</v>
      </c>
      <c r="N334" s="306">
        <f>+IF($H334=N$2,VLOOKUP($G334,Depreciation!$A$14:$L$18,12,FALSE)/2,IF($H334&lt;N$2,VLOOKUP($G334,Depreciation!$A$14:$L$18,12,FALSE),0))</f>
        <v>2.4351536427798831E-2</v>
      </c>
      <c r="O334" s="307">
        <f t="shared" si="41"/>
        <v>395950.17304869165</v>
      </c>
      <c r="P334" s="732">
        <f>'Func Future Subs 2015'!P334</f>
        <v>0</v>
      </c>
      <c r="Q334" s="732">
        <f>'Func Future Subs 2015'!Q334</f>
        <v>0</v>
      </c>
      <c r="R334" s="732">
        <f>'Func Future Subs 2015'!R334</f>
        <v>1</v>
      </c>
      <c r="S334" s="735">
        <f t="shared" si="42"/>
        <v>0</v>
      </c>
      <c r="T334" s="735">
        <f t="shared" si="43"/>
        <v>0</v>
      </c>
      <c r="U334" s="735">
        <f t="shared" si="44"/>
        <v>395950.17304869165</v>
      </c>
      <c r="V334" s="736">
        <f t="shared" si="45"/>
        <v>0</v>
      </c>
      <c r="W334" s="735">
        <f t="shared" si="46"/>
        <v>0</v>
      </c>
      <c r="X334" s="737">
        <f t="shared" si="47"/>
        <v>395950.17304869165</v>
      </c>
      <c r="Y334" s="738">
        <f t="shared" si="48"/>
        <v>0</v>
      </c>
    </row>
    <row r="335" spans="1:25">
      <c r="A335" s="754" t="str">
        <f>'Func Future Subs 2015'!A335</f>
        <v>Mowat 233S</v>
      </c>
      <c r="B335" s="754">
        <f>'Func Future Subs 2015'!B335</f>
        <v>1618</v>
      </c>
      <c r="C335" s="754">
        <f>'Func Future Subs 2015'!C335</f>
        <v>144</v>
      </c>
      <c r="D335" s="754">
        <f>'Func Future Subs 2015'!D335</f>
        <v>25</v>
      </c>
      <c r="E335" s="754" t="str">
        <f>'Func Future Subs 2015'!E335</f>
        <v>233S</v>
      </c>
      <c r="F335" s="754">
        <f>'Func Future Subs 2015'!F335</f>
        <v>13185051.811204772</v>
      </c>
      <c r="G335" s="754" t="str">
        <f>'Func Future Subs 2015'!G335</f>
        <v>ATCO</v>
      </c>
      <c r="H335" s="754">
        <f>'Func Future Subs 2015'!H335</f>
        <v>2017</v>
      </c>
      <c r="I335" s="306">
        <f>+IF($H335=I$2,VLOOKUP($G335,Depreciation!$A$14:$L$18,7,FALSE)/2,IF($H335&lt;I$2,VLOOKUP($G335,Depreciation!$A$14:$L$18,7,FALSE),0))</f>
        <v>0</v>
      </c>
      <c r="J335" s="306">
        <f>+IF($H335=J$2,VLOOKUP($G335,Depreciation!$A$14:$L$18,8,FALSE)/2,IF($H335&lt;J$2,VLOOKUP($G335,Depreciation!$A$14:$L$18,8,FALSE),0))</f>
        <v>0</v>
      </c>
      <c r="K335" s="306">
        <f>+IF($H335=K$2,VLOOKUP($G335,Depreciation!$A$14:$L$18,9,FALSE)/2,IF($H335&lt;K$2,VLOOKUP($G335,Depreciation!$A$14:$L$18,9,FALSE),0))</f>
        <v>1.2175768213899416E-2</v>
      </c>
      <c r="L335" s="306">
        <f>+IF($H335=L$2,VLOOKUP($G335,Depreciation!$A$14:$L$18,10,FALSE)/2,IF($H335&lt;L$2,VLOOKUP($G335,Depreciation!$A$14:$L$18,10,FALSE),0))</f>
        <v>2.4351536427798831E-2</v>
      </c>
      <c r="M335" s="306">
        <f>+IF($H335=M$2,VLOOKUP($G335,Depreciation!$A$14:$L$18,11,FALSE)/2,IF($H335&lt;M$2,VLOOKUP($G335,Depreciation!$A$14:$L$18,11,FALSE),0))</f>
        <v>2.4351536427798831E-2</v>
      </c>
      <c r="N335" s="306">
        <f>+IF($H335=N$2,VLOOKUP($G335,Depreciation!$A$14:$L$18,12,FALSE)/2,IF($H335&lt;N$2,VLOOKUP($G335,Depreciation!$A$14:$L$18,12,FALSE),0))</f>
        <v>2.4351536427798831E-2</v>
      </c>
      <c r="O335" s="307">
        <f t="shared" si="41"/>
        <v>13024513.676463289</v>
      </c>
      <c r="P335" s="732">
        <f>'Func Future Subs 2015'!P335</f>
        <v>0</v>
      </c>
      <c r="Q335" s="732">
        <f>'Func Future Subs 2015'!Q335</f>
        <v>1</v>
      </c>
      <c r="R335" s="732">
        <f>'Func Future Subs 2015'!R335</f>
        <v>0</v>
      </c>
      <c r="S335" s="735">
        <f t="shared" si="42"/>
        <v>0</v>
      </c>
      <c r="T335" s="735">
        <f t="shared" si="43"/>
        <v>13024513.676463289</v>
      </c>
      <c r="U335" s="735">
        <f t="shared" si="44"/>
        <v>0</v>
      </c>
      <c r="V335" s="736">
        <f t="shared" si="45"/>
        <v>0</v>
      </c>
      <c r="W335" s="735">
        <f t="shared" si="46"/>
        <v>0</v>
      </c>
      <c r="X335" s="737">
        <f t="shared" si="47"/>
        <v>0</v>
      </c>
      <c r="Y335" s="738">
        <f t="shared" si="48"/>
        <v>13024513.676463289</v>
      </c>
    </row>
    <row r="336" spans="1:25">
      <c r="A336" s="754" t="str">
        <f>'Func Future Subs 2015'!A336</f>
        <v xml:space="preserve">Rycroft 730S </v>
      </c>
      <c r="B336" s="754">
        <f>'Func Future Subs 2015'!B336</f>
        <v>1618</v>
      </c>
      <c r="C336" s="754">
        <f>'Func Future Subs 2015'!C336</f>
        <v>144</v>
      </c>
      <c r="D336" s="754">
        <f>'Func Future Subs 2015'!D336</f>
        <v>25</v>
      </c>
      <c r="E336" s="754" t="str">
        <f>'Func Future Subs 2015'!E336</f>
        <v>730S</v>
      </c>
      <c r="F336" s="754">
        <f>'Func Future Subs 2015'!F336</f>
        <v>1174290.4338164157</v>
      </c>
      <c r="G336" s="754" t="str">
        <f>'Func Future Subs 2015'!G336</f>
        <v>ATCO</v>
      </c>
      <c r="H336" s="754">
        <f>'Func Future Subs 2015'!H336</f>
        <v>2017</v>
      </c>
      <c r="I336" s="306">
        <f>+IF($H336=I$2,VLOOKUP($G336,Depreciation!$A$14:$L$18,7,FALSE)/2,IF($H336&lt;I$2,VLOOKUP($G336,Depreciation!$A$14:$L$18,7,FALSE),0))</f>
        <v>0</v>
      </c>
      <c r="J336" s="306">
        <f>+IF($H336=J$2,VLOOKUP($G336,Depreciation!$A$14:$L$18,8,FALSE)/2,IF($H336&lt;J$2,VLOOKUP($G336,Depreciation!$A$14:$L$18,8,FALSE),0))</f>
        <v>0</v>
      </c>
      <c r="K336" s="306">
        <f>+IF($H336=K$2,VLOOKUP($G336,Depreciation!$A$14:$L$18,9,FALSE)/2,IF($H336&lt;K$2,VLOOKUP($G336,Depreciation!$A$14:$L$18,9,FALSE),0))</f>
        <v>1.2175768213899416E-2</v>
      </c>
      <c r="L336" s="306">
        <f>+IF($H336=L$2,VLOOKUP($G336,Depreciation!$A$14:$L$18,10,FALSE)/2,IF($H336&lt;L$2,VLOOKUP($G336,Depreciation!$A$14:$L$18,10,FALSE),0))</f>
        <v>2.4351536427798831E-2</v>
      </c>
      <c r="M336" s="306">
        <f>+IF($H336=M$2,VLOOKUP($G336,Depreciation!$A$14:$L$18,11,FALSE)/2,IF($H336&lt;M$2,VLOOKUP($G336,Depreciation!$A$14:$L$18,11,FALSE),0))</f>
        <v>2.4351536427798831E-2</v>
      </c>
      <c r="N336" s="306">
        <f>+IF($H336=N$2,VLOOKUP($G336,Depreciation!$A$14:$L$18,12,FALSE)/2,IF($H336&lt;N$2,VLOOKUP($G336,Depreciation!$A$14:$L$18,12,FALSE),0))</f>
        <v>2.4351536427798831E-2</v>
      </c>
      <c r="O336" s="307">
        <f t="shared" si="41"/>
        <v>1159992.5456784677</v>
      </c>
      <c r="P336" s="732">
        <f>'Func Future Subs 2015'!P336</f>
        <v>0</v>
      </c>
      <c r="Q336" s="732">
        <f>'Func Future Subs 2015'!Q336</f>
        <v>1</v>
      </c>
      <c r="R336" s="732">
        <f>'Func Future Subs 2015'!R336</f>
        <v>0</v>
      </c>
      <c r="S336" s="735">
        <f t="shared" si="42"/>
        <v>0</v>
      </c>
      <c r="T336" s="735">
        <f t="shared" si="43"/>
        <v>1159992.5456784677</v>
      </c>
      <c r="U336" s="735">
        <f t="shared" si="44"/>
        <v>0</v>
      </c>
      <c r="V336" s="736">
        <f t="shared" si="45"/>
        <v>0</v>
      </c>
      <c r="W336" s="735">
        <f t="shared" si="46"/>
        <v>0</v>
      </c>
      <c r="X336" s="737">
        <f t="shared" si="47"/>
        <v>0</v>
      </c>
      <c r="Y336" s="738">
        <f t="shared" si="48"/>
        <v>1159992.5456784677</v>
      </c>
    </row>
    <row r="337" spans="1:25">
      <c r="A337" s="754" t="str">
        <f>'Func Future Subs 2015'!A337</f>
        <v>Dome 810S_(v1)</v>
      </c>
      <c r="B337" s="754">
        <f>'Func Future Subs 2015'!B337</f>
        <v>1634</v>
      </c>
      <c r="C337" s="754">
        <f>'Func Future Subs 2015'!C337</f>
        <v>138</v>
      </c>
      <c r="D337" s="754">
        <f>'Func Future Subs 2015'!D337</f>
        <v>25</v>
      </c>
      <c r="E337" s="754" t="str">
        <f>'Func Future Subs 2015'!E337</f>
        <v>810S</v>
      </c>
      <c r="F337" s="754">
        <f>'Func Future Subs 2015'!F337</f>
        <v>39972.664599992102</v>
      </c>
      <c r="G337" s="754" t="str">
        <f>'Func Future Subs 2015'!G337</f>
        <v>ATCO</v>
      </c>
      <c r="H337" s="754">
        <f>'Func Future Subs 2015'!H337</f>
        <v>2016</v>
      </c>
      <c r="I337" s="306">
        <f>+IF($H337=I$2,VLOOKUP($G337,Depreciation!$A$14:$L$18,7,FALSE)/2,IF($H337&lt;I$2,VLOOKUP($G337,Depreciation!$A$14:$L$18,7,FALSE),0))</f>
        <v>0</v>
      </c>
      <c r="J337" s="306">
        <f>+IF($H337=J$2,VLOOKUP($G337,Depreciation!$A$14:$L$18,8,FALSE)/2,IF($H337&lt;J$2,VLOOKUP($G337,Depreciation!$A$14:$L$18,8,FALSE),0))</f>
        <v>1.231622525054236E-2</v>
      </c>
      <c r="K337" s="306">
        <f>+IF($H337=K$2,VLOOKUP($G337,Depreciation!$A$14:$L$18,9,FALSE)/2,IF($H337&lt;K$2,VLOOKUP($G337,Depreciation!$A$14:$L$18,9,FALSE),0))</f>
        <v>2.4351536427798831E-2</v>
      </c>
      <c r="L337" s="306">
        <f>+IF($H337=L$2,VLOOKUP($G337,Depreciation!$A$14:$L$18,10,FALSE)/2,IF($H337&lt;L$2,VLOOKUP($G337,Depreciation!$A$14:$L$18,10,FALSE),0))</f>
        <v>2.4351536427798831E-2</v>
      </c>
      <c r="M337" s="306">
        <f>+IF($H337=M$2,VLOOKUP($G337,Depreciation!$A$14:$L$18,11,FALSE)/2,IF($H337&lt;M$2,VLOOKUP($G337,Depreciation!$A$14:$L$18,11,FALSE),0))</f>
        <v>2.4351536427798831E-2</v>
      </c>
      <c r="N337" s="306">
        <f>+IF($H337=N$2,VLOOKUP($G337,Depreciation!$A$14:$L$18,12,FALSE)/2,IF($H337&lt;N$2,VLOOKUP($G337,Depreciation!$A$14:$L$18,12,FALSE),0))</f>
        <v>2.4351536427798831E-2</v>
      </c>
      <c r="O337" s="307">
        <f t="shared" si="41"/>
        <v>38518.945022698943</v>
      </c>
      <c r="P337" s="732">
        <f>'Func Future Subs 2015'!P337</f>
        <v>0</v>
      </c>
      <c r="Q337" s="732">
        <f>'Func Future Subs 2015'!Q337</f>
        <v>1</v>
      </c>
      <c r="R337" s="732">
        <f>'Func Future Subs 2015'!R337</f>
        <v>0</v>
      </c>
      <c r="S337" s="735">
        <f t="shared" si="42"/>
        <v>0</v>
      </c>
      <c r="T337" s="735">
        <f t="shared" si="43"/>
        <v>38518.945022698943</v>
      </c>
      <c r="U337" s="735">
        <f t="shared" si="44"/>
        <v>0</v>
      </c>
      <c r="V337" s="736">
        <f t="shared" si="45"/>
        <v>0</v>
      </c>
      <c r="W337" s="735">
        <f t="shared" si="46"/>
        <v>0</v>
      </c>
      <c r="X337" s="737">
        <f t="shared" si="47"/>
        <v>0</v>
      </c>
      <c r="Y337" s="738">
        <f t="shared" si="48"/>
        <v>38518.945022698943</v>
      </c>
    </row>
    <row r="338" spans="1:25">
      <c r="A338" s="754" t="str">
        <f>'Func Future Subs 2015'!A338</f>
        <v>HR Milner 740S_(v1)</v>
      </c>
      <c r="B338" s="754">
        <f>'Func Future Subs 2015'!B338</f>
        <v>1634</v>
      </c>
      <c r="C338" s="754">
        <f>'Func Future Subs 2015'!C338</f>
        <v>240</v>
      </c>
      <c r="D338" s="754">
        <f>'Func Future Subs 2015'!D338</f>
        <v>25</v>
      </c>
      <c r="E338" s="754" t="str">
        <f>'Func Future Subs 2015'!E338</f>
        <v>740S</v>
      </c>
      <c r="F338" s="754">
        <f>'Func Future Subs 2015'!F338</f>
        <v>56242.040999609831</v>
      </c>
      <c r="G338" s="754" t="str">
        <f>'Func Future Subs 2015'!G338</f>
        <v>ATCO</v>
      </c>
      <c r="H338" s="754">
        <f>'Func Future Subs 2015'!H338</f>
        <v>2016</v>
      </c>
      <c r="I338" s="306">
        <f>+IF($H338=I$2,VLOOKUP($G338,Depreciation!$A$14:$L$18,7,FALSE)/2,IF($H338&lt;I$2,VLOOKUP($G338,Depreciation!$A$14:$L$18,7,FALSE),0))</f>
        <v>0</v>
      </c>
      <c r="J338" s="306">
        <f>+IF($H338=J$2,VLOOKUP($G338,Depreciation!$A$14:$L$18,8,FALSE)/2,IF($H338&lt;J$2,VLOOKUP($G338,Depreciation!$A$14:$L$18,8,FALSE),0))</f>
        <v>1.231622525054236E-2</v>
      </c>
      <c r="K338" s="306">
        <f>+IF($H338=K$2,VLOOKUP($G338,Depreciation!$A$14:$L$18,9,FALSE)/2,IF($H338&lt;K$2,VLOOKUP($G338,Depreciation!$A$14:$L$18,9,FALSE),0))</f>
        <v>2.4351536427798831E-2</v>
      </c>
      <c r="L338" s="306">
        <f>+IF($H338=L$2,VLOOKUP($G338,Depreciation!$A$14:$L$18,10,FALSE)/2,IF($H338&lt;L$2,VLOOKUP($G338,Depreciation!$A$14:$L$18,10,FALSE),0))</f>
        <v>2.4351536427798831E-2</v>
      </c>
      <c r="M338" s="306">
        <f>+IF($H338=M$2,VLOOKUP($G338,Depreciation!$A$14:$L$18,11,FALSE)/2,IF($H338&lt;M$2,VLOOKUP($G338,Depreciation!$A$14:$L$18,11,FALSE),0))</f>
        <v>2.4351536427798831E-2</v>
      </c>
      <c r="N338" s="306">
        <f>+IF($H338=N$2,VLOOKUP($G338,Depreciation!$A$14:$L$18,12,FALSE)/2,IF($H338&lt;N$2,VLOOKUP($G338,Depreciation!$A$14:$L$18,12,FALSE),0))</f>
        <v>2.4351536427798831E-2</v>
      </c>
      <c r="O338" s="307">
        <f t="shared" si="41"/>
        <v>54196.639301068237</v>
      </c>
      <c r="P338" s="732">
        <f>'Func Future Subs 2015'!P338</f>
        <v>0.89437344274894326</v>
      </c>
      <c r="Q338" s="732">
        <f>'Func Future Subs 2015'!Q338</f>
        <v>0.10562655725105677</v>
      </c>
      <c r="R338" s="732">
        <f>'Func Future Subs 2015'!R338</f>
        <v>0</v>
      </c>
      <c r="S338" s="735">
        <f t="shared" si="42"/>
        <v>48472.034877119084</v>
      </c>
      <c r="T338" s="735">
        <f t="shared" si="43"/>
        <v>5724.6044239491575</v>
      </c>
      <c r="U338" s="735">
        <f t="shared" si="44"/>
        <v>0</v>
      </c>
      <c r="V338" s="736">
        <f t="shared" si="45"/>
        <v>0</v>
      </c>
      <c r="W338" s="735">
        <f t="shared" si="46"/>
        <v>48472.034877119084</v>
      </c>
      <c r="X338" s="737">
        <f t="shared" si="47"/>
        <v>0</v>
      </c>
      <c r="Y338" s="738">
        <f t="shared" si="48"/>
        <v>5724.6044239491575</v>
      </c>
    </row>
    <row r="339" spans="1:25">
      <c r="A339" s="754" t="str">
        <f>'Func Future Subs 2015'!A339</f>
        <v>Thorton POD 2091S_(v1)</v>
      </c>
      <c r="B339" s="754">
        <f>'Func Future Subs 2015'!B339</f>
        <v>1634</v>
      </c>
      <c r="C339" s="754">
        <f>'Func Future Subs 2015'!C339</f>
        <v>144</v>
      </c>
      <c r="D339" s="754">
        <f>'Func Future Subs 2015'!D339</f>
        <v>25</v>
      </c>
      <c r="E339" s="754" t="str">
        <f>'Func Future Subs 2015'!E339</f>
        <v>2091S</v>
      </c>
      <c r="F339" s="754">
        <f>'Func Future Subs 2015'!F339</f>
        <v>12550982.644961169</v>
      </c>
      <c r="G339" s="754" t="str">
        <f>'Func Future Subs 2015'!G339</f>
        <v>ATCO</v>
      </c>
      <c r="H339" s="754">
        <f>'Func Future Subs 2015'!H339</f>
        <v>2016</v>
      </c>
      <c r="I339" s="306">
        <f>+IF($H339=I$2,VLOOKUP($G339,Depreciation!$A$14:$L$18,7,FALSE)/2,IF($H339&lt;I$2,VLOOKUP($G339,Depreciation!$A$14:$L$18,7,FALSE),0))</f>
        <v>0</v>
      </c>
      <c r="J339" s="306">
        <f>+IF($H339=J$2,VLOOKUP($G339,Depreciation!$A$14:$L$18,8,FALSE)/2,IF($H339&lt;J$2,VLOOKUP($G339,Depreciation!$A$14:$L$18,8,FALSE),0))</f>
        <v>1.231622525054236E-2</v>
      </c>
      <c r="K339" s="306">
        <f>+IF($H339=K$2,VLOOKUP($G339,Depreciation!$A$14:$L$18,9,FALSE)/2,IF($H339&lt;K$2,VLOOKUP($G339,Depreciation!$A$14:$L$18,9,FALSE),0))</f>
        <v>2.4351536427798831E-2</v>
      </c>
      <c r="L339" s="306">
        <f>+IF($H339=L$2,VLOOKUP($G339,Depreciation!$A$14:$L$18,10,FALSE)/2,IF($H339&lt;L$2,VLOOKUP($G339,Depreciation!$A$14:$L$18,10,FALSE),0))</f>
        <v>2.4351536427798831E-2</v>
      </c>
      <c r="M339" s="306">
        <f>+IF($H339=M$2,VLOOKUP($G339,Depreciation!$A$14:$L$18,11,FALSE)/2,IF($H339&lt;M$2,VLOOKUP($G339,Depreciation!$A$14:$L$18,11,FALSE),0))</f>
        <v>2.4351536427798831E-2</v>
      </c>
      <c r="N339" s="306">
        <f>+IF($H339=N$2,VLOOKUP($G339,Depreciation!$A$14:$L$18,12,FALSE)/2,IF($H339&lt;N$2,VLOOKUP($G339,Depreciation!$A$14:$L$18,12,FALSE),0))</f>
        <v>2.4351536427798831E-2</v>
      </c>
      <c r="O339" s="307">
        <f t="shared" si="41"/>
        <v>12094530.48276905</v>
      </c>
      <c r="P339" s="732">
        <f>'Func Future Subs 2015'!P339</f>
        <v>0</v>
      </c>
      <c r="Q339" s="732">
        <f>'Func Future Subs 2015'!Q339</f>
        <v>0</v>
      </c>
      <c r="R339" s="732">
        <f>'Func Future Subs 2015'!R339</f>
        <v>1</v>
      </c>
      <c r="S339" s="735">
        <f t="shared" si="42"/>
        <v>0</v>
      </c>
      <c r="T339" s="735">
        <f t="shared" si="43"/>
        <v>0</v>
      </c>
      <c r="U339" s="735">
        <f t="shared" si="44"/>
        <v>12094530.48276905</v>
      </c>
      <c r="V339" s="736">
        <f t="shared" si="45"/>
        <v>0</v>
      </c>
      <c r="W339" s="735">
        <f t="shared" si="46"/>
        <v>0</v>
      </c>
      <c r="X339" s="737">
        <f t="shared" si="47"/>
        <v>0</v>
      </c>
      <c r="Y339" s="738">
        <f t="shared" si="48"/>
        <v>12094530.48276905</v>
      </c>
    </row>
    <row r="340" spans="1:25">
      <c r="A340" s="754" t="str">
        <f>'Func Future Subs 2015'!A340</f>
        <v>Boyle 56S substation</v>
      </c>
      <c r="B340" s="754">
        <f>'Func Future Subs 2015'!B340</f>
        <v>1636</v>
      </c>
      <c r="C340" s="754">
        <f>'Func Future Subs 2015'!C340</f>
        <v>138</v>
      </c>
      <c r="D340" s="754">
        <f>'Func Future Subs 2015'!D340</f>
        <v>25</v>
      </c>
      <c r="E340" s="754" t="str">
        <f>'Func Future Subs 2015'!E340</f>
        <v>56S</v>
      </c>
      <c r="F340" s="754">
        <f>'Func Future Subs 2015'!F340</f>
        <v>6332999.3866284983</v>
      </c>
      <c r="G340" s="754" t="str">
        <f>'Func Future Subs 2015'!G340</f>
        <v>AltaLink</v>
      </c>
      <c r="H340" s="754">
        <f>'Func Future Subs 2015'!H340</f>
        <v>2016</v>
      </c>
      <c r="I340" s="306">
        <f>+IF($H340=I$2,VLOOKUP($G340,Depreciation!$A$14:$L$18,7,FALSE)/2,IF($H340&lt;I$2,VLOOKUP($G340,Depreciation!$A$14:$L$18,7,FALSE),0))</f>
        <v>0</v>
      </c>
      <c r="J340" s="306">
        <f>+IF($H340=J$2,VLOOKUP($G340,Depreciation!$A$14:$L$18,8,FALSE)/2,IF($H340&lt;J$2,VLOOKUP($G340,Depreciation!$A$14:$L$18,8,FALSE),0))</f>
        <v>1.671703928371859E-2</v>
      </c>
      <c r="K340" s="306">
        <f>+IF($H340=K$2,VLOOKUP($G340,Depreciation!$A$14:$L$18,9,FALSE)/2,IF($H340&lt;K$2,VLOOKUP($G340,Depreciation!$A$14:$L$18,9,FALSE),0))</f>
        <v>3.343407856743718E-2</v>
      </c>
      <c r="L340" s="306">
        <f>+IF($H340=L$2,VLOOKUP($G340,Depreciation!$A$14:$L$18,10,FALSE)/2,IF($H340&lt;L$2,VLOOKUP($G340,Depreciation!$A$14:$L$18,10,FALSE),0))</f>
        <v>3.343407856743718E-2</v>
      </c>
      <c r="M340" s="306">
        <f>+IF($H340=M$2,VLOOKUP($G340,Depreciation!$A$14:$L$18,11,FALSE)/2,IF($H340&lt;M$2,VLOOKUP($G340,Depreciation!$A$14:$L$18,11,FALSE),0))</f>
        <v>3.343407856743718E-2</v>
      </c>
      <c r="N340" s="306">
        <f>+IF($H340=N$2,VLOOKUP($G340,Depreciation!$A$14:$L$18,12,FALSE)/2,IF($H340&lt;N$2,VLOOKUP($G340,Depreciation!$A$14:$L$18,12,FALSE),0))</f>
        <v>3.343407856743718E-2</v>
      </c>
      <c r="O340" s="307">
        <f t="shared" si="41"/>
        <v>6018932.0204865383</v>
      </c>
      <c r="P340" s="732">
        <f>'Func Future Subs 2015'!P340</f>
        <v>0</v>
      </c>
      <c r="Q340" s="732">
        <f>'Func Future Subs 2015'!Q340</f>
        <v>1</v>
      </c>
      <c r="R340" s="732">
        <f>'Func Future Subs 2015'!R340</f>
        <v>0</v>
      </c>
      <c r="S340" s="735">
        <f t="shared" si="42"/>
        <v>0</v>
      </c>
      <c r="T340" s="735">
        <f t="shared" si="43"/>
        <v>6018932.0204865383</v>
      </c>
      <c r="U340" s="735">
        <f t="shared" si="44"/>
        <v>0</v>
      </c>
      <c r="V340" s="736">
        <f t="shared" si="45"/>
        <v>0</v>
      </c>
      <c r="W340" s="735">
        <f t="shared" si="46"/>
        <v>0</v>
      </c>
      <c r="X340" s="737">
        <f t="shared" si="47"/>
        <v>0</v>
      </c>
      <c r="Y340" s="738">
        <f t="shared" si="48"/>
        <v>6018932.0204865383</v>
      </c>
    </row>
    <row r="341" spans="1:25">
      <c r="A341" s="754" t="str">
        <f>'Func Future Subs 2015'!A341</f>
        <v>Upgrade Benbow 397S</v>
      </c>
      <c r="B341" s="754">
        <f>'Func Future Subs 2015'!B341</f>
        <v>1638</v>
      </c>
      <c r="C341" s="754">
        <f>'Func Future Subs 2015'!C341</f>
        <v>138</v>
      </c>
      <c r="D341" s="754">
        <f>'Func Future Subs 2015'!D341</f>
        <v>25</v>
      </c>
      <c r="E341" s="754" t="str">
        <f>'Func Future Subs 2015'!E341</f>
        <v>397S</v>
      </c>
      <c r="F341" s="754">
        <f>'Func Future Subs 2015'!F341</f>
        <v>2192000.0000000009</v>
      </c>
      <c r="G341" s="754" t="str">
        <f>'Func Future Subs 2015'!G341</f>
        <v>AltaLink</v>
      </c>
      <c r="H341" s="754">
        <f>'Func Future Subs 2015'!H341</f>
        <v>2016</v>
      </c>
      <c r="I341" s="306">
        <f>+IF($H341=I$2,VLOOKUP($G341,Depreciation!$A$14:$L$18,7,FALSE)/2,IF($H341&lt;I$2,VLOOKUP($G341,Depreciation!$A$14:$L$18,7,FALSE),0))</f>
        <v>0</v>
      </c>
      <c r="J341" s="306">
        <f>+IF($H341=J$2,VLOOKUP($G341,Depreciation!$A$14:$L$18,8,FALSE)/2,IF($H341&lt;J$2,VLOOKUP($G341,Depreciation!$A$14:$L$18,8,FALSE),0))</f>
        <v>1.671703928371859E-2</v>
      </c>
      <c r="K341" s="306">
        <f>+IF($H341=K$2,VLOOKUP($G341,Depreciation!$A$14:$L$18,9,FALSE)/2,IF($H341&lt;K$2,VLOOKUP($G341,Depreciation!$A$14:$L$18,9,FALSE),0))</f>
        <v>3.343407856743718E-2</v>
      </c>
      <c r="L341" s="306">
        <f>+IF($H341=L$2,VLOOKUP($G341,Depreciation!$A$14:$L$18,10,FALSE)/2,IF($H341&lt;L$2,VLOOKUP($G341,Depreciation!$A$14:$L$18,10,FALSE),0))</f>
        <v>3.343407856743718E-2</v>
      </c>
      <c r="M341" s="306">
        <f>+IF($H341=M$2,VLOOKUP($G341,Depreciation!$A$14:$L$18,11,FALSE)/2,IF($H341&lt;M$2,VLOOKUP($G341,Depreciation!$A$14:$L$18,11,FALSE),0))</f>
        <v>3.343407856743718E-2</v>
      </c>
      <c r="N341" s="306">
        <f>+IF($H341=N$2,VLOOKUP($G341,Depreciation!$A$14:$L$18,12,FALSE)/2,IF($H341&lt;N$2,VLOOKUP($G341,Depreciation!$A$14:$L$18,12,FALSE),0))</f>
        <v>3.343407856743718E-2</v>
      </c>
      <c r="O341" s="307">
        <f t="shared" si="41"/>
        <v>2083293.8996904478</v>
      </c>
      <c r="P341" s="732">
        <f>'Func Future Subs 2015'!P341</f>
        <v>0</v>
      </c>
      <c r="Q341" s="732">
        <f>'Func Future Subs 2015'!Q341</f>
        <v>1</v>
      </c>
      <c r="R341" s="732">
        <f>'Func Future Subs 2015'!R341</f>
        <v>0</v>
      </c>
      <c r="S341" s="735">
        <f t="shared" si="42"/>
        <v>0</v>
      </c>
      <c r="T341" s="735">
        <f t="shared" si="43"/>
        <v>2083293.8996904478</v>
      </c>
      <c r="U341" s="735">
        <f t="shared" si="44"/>
        <v>0</v>
      </c>
      <c r="V341" s="736">
        <f t="shared" si="45"/>
        <v>0</v>
      </c>
      <c r="W341" s="735">
        <f t="shared" si="46"/>
        <v>0</v>
      </c>
      <c r="X341" s="737">
        <f t="shared" si="47"/>
        <v>0</v>
      </c>
      <c r="Y341" s="738">
        <f t="shared" si="48"/>
        <v>2083293.8996904478</v>
      </c>
    </row>
    <row r="342" spans="1:25">
      <c r="A342" s="754" t="str">
        <f>'Func Future Subs 2015'!A342</f>
        <v>Plamondon 353S</v>
      </c>
      <c r="B342" s="754">
        <f>'Func Future Subs 2015'!B342</f>
        <v>1640</v>
      </c>
      <c r="C342" s="754">
        <f>'Func Future Subs 2015'!C342</f>
        <v>138</v>
      </c>
      <c r="D342" s="754">
        <f>'Func Future Subs 2015'!D342</f>
        <v>25</v>
      </c>
      <c r="E342" s="754" t="str">
        <f>'Func Future Subs 2015'!E342</f>
        <v>353S</v>
      </c>
      <c r="F342" s="754">
        <f>'Func Future Subs 2015'!F342</f>
        <v>8107602.9999999944</v>
      </c>
      <c r="G342" s="754" t="str">
        <f>'Func Future Subs 2015'!G342</f>
        <v>AltaLink</v>
      </c>
      <c r="H342" s="754">
        <f>'Func Future Subs 2015'!H342</f>
        <v>2016</v>
      </c>
      <c r="I342" s="306">
        <f>+IF($H342=I$2,VLOOKUP($G342,Depreciation!$A$14:$L$18,7,FALSE)/2,IF($H342&lt;I$2,VLOOKUP($G342,Depreciation!$A$14:$L$18,7,FALSE),0))</f>
        <v>0</v>
      </c>
      <c r="J342" s="306">
        <f>+IF($H342=J$2,VLOOKUP($G342,Depreciation!$A$14:$L$18,8,FALSE)/2,IF($H342&lt;J$2,VLOOKUP($G342,Depreciation!$A$14:$L$18,8,FALSE),0))</f>
        <v>1.671703928371859E-2</v>
      </c>
      <c r="K342" s="306">
        <f>+IF($H342=K$2,VLOOKUP($G342,Depreciation!$A$14:$L$18,9,FALSE)/2,IF($H342&lt;K$2,VLOOKUP($G342,Depreciation!$A$14:$L$18,9,FALSE),0))</f>
        <v>3.343407856743718E-2</v>
      </c>
      <c r="L342" s="306">
        <f>+IF($H342=L$2,VLOOKUP($G342,Depreciation!$A$14:$L$18,10,FALSE)/2,IF($H342&lt;L$2,VLOOKUP($G342,Depreciation!$A$14:$L$18,10,FALSE),0))</f>
        <v>3.343407856743718E-2</v>
      </c>
      <c r="M342" s="306">
        <f>+IF($H342=M$2,VLOOKUP($G342,Depreciation!$A$14:$L$18,11,FALSE)/2,IF($H342&lt;M$2,VLOOKUP($G342,Depreciation!$A$14:$L$18,11,FALSE),0))</f>
        <v>3.343407856743718E-2</v>
      </c>
      <c r="N342" s="306">
        <f>+IF($H342=N$2,VLOOKUP($G342,Depreciation!$A$14:$L$18,12,FALSE)/2,IF($H342&lt;N$2,VLOOKUP($G342,Depreciation!$A$14:$L$18,12,FALSE),0))</f>
        <v>3.343407856743718E-2</v>
      </c>
      <c r="O342" s="307">
        <f t="shared" si="41"/>
        <v>7705529.1382353809</v>
      </c>
      <c r="P342" s="732">
        <f>'Func Future Subs 2015'!P342</f>
        <v>0</v>
      </c>
      <c r="Q342" s="732">
        <f>'Func Future Subs 2015'!Q342</f>
        <v>1</v>
      </c>
      <c r="R342" s="732">
        <f>'Func Future Subs 2015'!R342</f>
        <v>0</v>
      </c>
      <c r="S342" s="735">
        <f t="shared" si="42"/>
        <v>0</v>
      </c>
      <c r="T342" s="735">
        <f t="shared" si="43"/>
        <v>7705529.1382353809</v>
      </c>
      <c r="U342" s="735">
        <f t="shared" si="44"/>
        <v>0</v>
      </c>
      <c r="V342" s="736">
        <f t="shared" si="45"/>
        <v>0</v>
      </c>
      <c r="W342" s="735">
        <f t="shared" si="46"/>
        <v>0</v>
      </c>
      <c r="X342" s="737">
        <f t="shared" si="47"/>
        <v>0</v>
      </c>
      <c r="Y342" s="738">
        <f t="shared" si="48"/>
        <v>7705529.1382353809</v>
      </c>
    </row>
    <row r="343" spans="1:25">
      <c r="A343" s="754" t="str">
        <f>'Func Future Subs 2015'!A343</f>
        <v>Hughenden 213S</v>
      </c>
      <c r="B343" s="754">
        <f>'Func Future Subs 2015'!B343</f>
        <v>1642</v>
      </c>
      <c r="C343" s="754">
        <f>'Func Future Subs 2015'!C343</f>
        <v>138</v>
      </c>
      <c r="D343" s="754">
        <f>'Func Future Subs 2015'!D343</f>
        <v>25</v>
      </c>
      <c r="E343" s="754" t="str">
        <f>'Func Future Subs 2015'!E343</f>
        <v>213S</v>
      </c>
      <c r="F343" s="754">
        <f>'Func Future Subs 2015'!F343</f>
        <v>9130743.8789546061</v>
      </c>
      <c r="G343" s="754" t="str">
        <f>'Func Future Subs 2015'!G343</f>
        <v>AltaLink</v>
      </c>
      <c r="H343" s="754">
        <f>'Func Future Subs 2015'!H343</f>
        <v>2016</v>
      </c>
      <c r="I343" s="306">
        <f>+IF($H343=I$2,VLOOKUP($G343,Depreciation!$A$14:$L$18,7,FALSE)/2,IF($H343&lt;I$2,VLOOKUP($G343,Depreciation!$A$14:$L$18,7,FALSE),0))</f>
        <v>0</v>
      </c>
      <c r="J343" s="306">
        <f>+IF($H343=J$2,VLOOKUP($G343,Depreciation!$A$14:$L$18,8,FALSE)/2,IF($H343&lt;J$2,VLOOKUP($G343,Depreciation!$A$14:$L$18,8,FALSE),0))</f>
        <v>1.671703928371859E-2</v>
      </c>
      <c r="K343" s="306">
        <f>+IF($H343=K$2,VLOOKUP($G343,Depreciation!$A$14:$L$18,9,FALSE)/2,IF($H343&lt;K$2,VLOOKUP($G343,Depreciation!$A$14:$L$18,9,FALSE),0))</f>
        <v>3.343407856743718E-2</v>
      </c>
      <c r="L343" s="306">
        <f>+IF($H343=L$2,VLOOKUP($G343,Depreciation!$A$14:$L$18,10,FALSE)/2,IF($H343&lt;L$2,VLOOKUP($G343,Depreciation!$A$14:$L$18,10,FALSE),0))</f>
        <v>3.343407856743718E-2</v>
      </c>
      <c r="M343" s="306">
        <f>+IF($H343=M$2,VLOOKUP($G343,Depreciation!$A$14:$L$18,11,FALSE)/2,IF($H343&lt;M$2,VLOOKUP($G343,Depreciation!$A$14:$L$18,11,FALSE),0))</f>
        <v>3.343407856743718E-2</v>
      </c>
      <c r="N343" s="306">
        <f>+IF($H343=N$2,VLOOKUP($G343,Depreciation!$A$14:$L$18,12,FALSE)/2,IF($H343&lt;N$2,VLOOKUP($G343,Depreciation!$A$14:$L$18,12,FALSE),0))</f>
        <v>3.343407856743718E-2</v>
      </c>
      <c r="O343" s="307">
        <f t="shared" si="41"/>
        <v>8677930.2110684384</v>
      </c>
      <c r="P343" s="732">
        <f>'Func Future Subs 2015'!P343</f>
        <v>0</v>
      </c>
      <c r="Q343" s="732">
        <f>'Func Future Subs 2015'!Q343</f>
        <v>1</v>
      </c>
      <c r="R343" s="732">
        <f>'Func Future Subs 2015'!R343</f>
        <v>0</v>
      </c>
      <c r="S343" s="735">
        <f t="shared" si="42"/>
        <v>0</v>
      </c>
      <c r="T343" s="735">
        <f t="shared" si="43"/>
        <v>8677930.2110684384</v>
      </c>
      <c r="U343" s="735">
        <f t="shared" si="44"/>
        <v>0</v>
      </c>
      <c r="V343" s="736">
        <f t="shared" si="45"/>
        <v>0</v>
      </c>
      <c r="W343" s="735">
        <f t="shared" si="46"/>
        <v>0</v>
      </c>
      <c r="X343" s="737">
        <f t="shared" si="47"/>
        <v>0</v>
      </c>
      <c r="Y343" s="738">
        <f t="shared" si="48"/>
        <v>8677930.2110684384</v>
      </c>
    </row>
    <row r="344" spans="1:25">
      <c r="A344" s="754" t="str">
        <f>'Func Future Subs 2015'!A344</f>
        <v>Sunnybrook 510S</v>
      </c>
      <c r="B344" s="754">
        <f>'Func Future Subs 2015'!B344</f>
        <v>1655</v>
      </c>
      <c r="C344" s="754">
        <f>'Func Future Subs 2015'!C344</f>
        <v>500</v>
      </c>
      <c r="D344" s="754">
        <f>'Func Future Subs 2015'!D344</f>
        <v>500</v>
      </c>
      <c r="E344" s="754" t="str">
        <f>'Func Future Subs 2015'!E344</f>
        <v>510S</v>
      </c>
      <c r="F344" s="754">
        <f>'Func Future Subs 2015'!F344</f>
        <v>33890666.715976343</v>
      </c>
      <c r="G344" s="754" t="str">
        <f>'Func Future Subs 2015'!G344</f>
        <v>AltaLink</v>
      </c>
      <c r="H344" s="754">
        <f>'Func Future Subs 2015'!H344</f>
        <v>2018</v>
      </c>
      <c r="I344" s="306">
        <f>+IF($H344=I$2,VLOOKUP($G344,Depreciation!$A$14:$L$18,7,FALSE)/2,IF($H344&lt;I$2,VLOOKUP($G344,Depreciation!$A$14:$L$18,7,FALSE),0))</f>
        <v>0</v>
      </c>
      <c r="J344" s="306">
        <f>+IF($H344=J$2,VLOOKUP($G344,Depreciation!$A$14:$L$18,8,FALSE)/2,IF($H344&lt;J$2,VLOOKUP($G344,Depreciation!$A$14:$L$18,8,FALSE),0))</f>
        <v>0</v>
      </c>
      <c r="K344" s="306">
        <f>+IF($H344=K$2,VLOOKUP($G344,Depreciation!$A$14:$L$18,9,FALSE)/2,IF($H344&lt;K$2,VLOOKUP($G344,Depreciation!$A$14:$L$18,9,FALSE),0))</f>
        <v>0</v>
      </c>
      <c r="L344" s="306">
        <f>+IF($H344=L$2,VLOOKUP($G344,Depreciation!$A$14:$L$18,10,FALSE)/2,IF($H344&lt;L$2,VLOOKUP($G344,Depreciation!$A$14:$L$18,10,FALSE),0))</f>
        <v>1.671703928371859E-2</v>
      </c>
      <c r="M344" s="306">
        <f>+IF($H344=M$2,VLOOKUP($G344,Depreciation!$A$14:$L$18,11,FALSE)/2,IF($H344&lt;M$2,VLOOKUP($G344,Depreciation!$A$14:$L$18,11,FALSE),0))</f>
        <v>3.343407856743718E-2</v>
      </c>
      <c r="N344" s="306">
        <f>+IF($H344=N$2,VLOOKUP($G344,Depreciation!$A$14:$L$18,12,FALSE)/2,IF($H344&lt;N$2,VLOOKUP($G344,Depreciation!$A$14:$L$18,12,FALSE),0))</f>
        <v>3.343407856743718E-2</v>
      </c>
      <c r="O344" s="307">
        <f t="shared" si="41"/>
        <v>0</v>
      </c>
      <c r="P344" s="732">
        <f>'Func Future Subs 2015'!P344</f>
        <v>0</v>
      </c>
      <c r="Q344" s="732">
        <f>'Func Future Subs 2015'!Q344</f>
        <v>0</v>
      </c>
      <c r="R344" s="732">
        <f>'Func Future Subs 2015'!R344</f>
        <v>1</v>
      </c>
      <c r="S344" s="735">
        <f t="shared" si="42"/>
        <v>0</v>
      </c>
      <c r="T344" s="735">
        <f t="shared" si="43"/>
        <v>0</v>
      </c>
      <c r="U344" s="735">
        <f t="shared" si="44"/>
        <v>0</v>
      </c>
      <c r="V344" s="736">
        <f t="shared" si="45"/>
        <v>0</v>
      </c>
      <c r="W344" s="735">
        <f t="shared" si="46"/>
        <v>0</v>
      </c>
      <c r="X344" s="737">
        <f t="shared" si="47"/>
        <v>0</v>
      </c>
      <c r="Y344" s="738">
        <f t="shared" si="48"/>
        <v>0</v>
      </c>
    </row>
    <row r="345" spans="1:25">
      <c r="A345" s="754" t="str">
        <f>'Func Future Subs 2015'!A345</f>
        <v>High river 65S</v>
      </c>
      <c r="B345" s="754">
        <f>'Func Future Subs 2015'!B345</f>
        <v>1670</v>
      </c>
      <c r="C345" s="754">
        <f>'Func Future Subs 2015'!C345</f>
        <v>138</v>
      </c>
      <c r="D345" s="754">
        <f>'Func Future Subs 2015'!D345</f>
        <v>25</v>
      </c>
      <c r="E345" s="754" t="str">
        <f>'Func Future Subs 2015'!E345</f>
        <v>65S</v>
      </c>
      <c r="F345" s="754">
        <f>'Func Future Subs 2015'!F345</f>
        <v>2865685.0135288215</v>
      </c>
      <c r="G345" s="754" t="str">
        <f>'Func Future Subs 2015'!G345</f>
        <v>AltaLink</v>
      </c>
      <c r="H345" s="754">
        <f>'Func Future Subs 2015'!H345</f>
        <v>2018</v>
      </c>
      <c r="I345" s="306">
        <f>+IF($H345=I$2,VLOOKUP($G345,Depreciation!$A$14:$L$18,7,FALSE)/2,IF($H345&lt;I$2,VLOOKUP($G345,Depreciation!$A$14:$L$18,7,FALSE),0))</f>
        <v>0</v>
      </c>
      <c r="J345" s="306">
        <f>+IF($H345=J$2,VLOOKUP($G345,Depreciation!$A$14:$L$18,8,FALSE)/2,IF($H345&lt;J$2,VLOOKUP($G345,Depreciation!$A$14:$L$18,8,FALSE),0))</f>
        <v>0</v>
      </c>
      <c r="K345" s="306">
        <f>+IF($H345=K$2,VLOOKUP($G345,Depreciation!$A$14:$L$18,9,FALSE)/2,IF($H345&lt;K$2,VLOOKUP($G345,Depreciation!$A$14:$L$18,9,FALSE),0))</f>
        <v>0</v>
      </c>
      <c r="L345" s="306">
        <f>+IF($H345=L$2,VLOOKUP($G345,Depreciation!$A$14:$L$18,10,FALSE)/2,IF($H345&lt;L$2,VLOOKUP($G345,Depreciation!$A$14:$L$18,10,FALSE),0))</f>
        <v>1.671703928371859E-2</v>
      </c>
      <c r="M345" s="306">
        <f>+IF($H345=M$2,VLOOKUP($G345,Depreciation!$A$14:$L$18,11,FALSE)/2,IF($H345&lt;M$2,VLOOKUP($G345,Depreciation!$A$14:$L$18,11,FALSE),0))</f>
        <v>3.343407856743718E-2</v>
      </c>
      <c r="N345" s="306">
        <f>+IF($H345=N$2,VLOOKUP($G345,Depreciation!$A$14:$L$18,12,FALSE)/2,IF($H345&lt;N$2,VLOOKUP($G345,Depreciation!$A$14:$L$18,12,FALSE),0))</f>
        <v>3.343407856743718E-2</v>
      </c>
      <c r="O345" s="307">
        <f t="shared" si="41"/>
        <v>0</v>
      </c>
      <c r="P345" s="732">
        <f>'Func Future Subs 2015'!P345</f>
        <v>0</v>
      </c>
      <c r="Q345" s="732">
        <f>'Func Future Subs 2015'!Q345</f>
        <v>1</v>
      </c>
      <c r="R345" s="732">
        <f>'Func Future Subs 2015'!R345</f>
        <v>0</v>
      </c>
      <c r="S345" s="735">
        <f t="shared" si="42"/>
        <v>0</v>
      </c>
      <c r="T345" s="735">
        <f t="shared" si="43"/>
        <v>0</v>
      </c>
      <c r="U345" s="735">
        <f t="shared" si="44"/>
        <v>0</v>
      </c>
      <c r="V345" s="736">
        <f t="shared" si="45"/>
        <v>0</v>
      </c>
      <c r="W345" s="735">
        <f t="shared" si="46"/>
        <v>0</v>
      </c>
      <c r="X345" s="737">
        <f t="shared" si="47"/>
        <v>0</v>
      </c>
      <c r="Y345" s="738">
        <f t="shared" si="48"/>
        <v>0</v>
      </c>
    </row>
    <row r="346" spans="1:25">
      <c r="A346" s="754" t="str">
        <f>'Func Future Subs 2015'!A346</f>
        <v>Okotoks 678S</v>
      </c>
      <c r="B346" s="754">
        <f>'Func Future Subs 2015'!B346</f>
        <v>1670</v>
      </c>
      <c r="C346" s="754">
        <f>'Func Future Subs 2015'!C346</f>
        <v>138</v>
      </c>
      <c r="D346" s="754">
        <f>'Func Future Subs 2015'!D346</f>
        <v>25</v>
      </c>
      <c r="E346" s="754" t="str">
        <f>'Func Future Subs 2015'!E346</f>
        <v>678S</v>
      </c>
      <c r="F346" s="754">
        <f>'Func Future Subs 2015'!F346</f>
        <v>17512173.986471187</v>
      </c>
      <c r="G346" s="754" t="str">
        <f>'Func Future Subs 2015'!G346</f>
        <v>AltaLink</v>
      </c>
      <c r="H346" s="754">
        <f>'Func Future Subs 2015'!H346</f>
        <v>2018</v>
      </c>
      <c r="I346" s="306">
        <f>+IF($H346=I$2,VLOOKUP($G346,Depreciation!$A$14:$L$18,7,FALSE)/2,IF($H346&lt;I$2,VLOOKUP($G346,Depreciation!$A$14:$L$18,7,FALSE),0))</f>
        <v>0</v>
      </c>
      <c r="J346" s="306">
        <f>+IF($H346=J$2,VLOOKUP($G346,Depreciation!$A$14:$L$18,8,FALSE)/2,IF($H346&lt;J$2,VLOOKUP($G346,Depreciation!$A$14:$L$18,8,FALSE),0))</f>
        <v>0</v>
      </c>
      <c r="K346" s="306">
        <f>+IF($H346=K$2,VLOOKUP($G346,Depreciation!$A$14:$L$18,9,FALSE)/2,IF($H346&lt;K$2,VLOOKUP($G346,Depreciation!$A$14:$L$18,9,FALSE),0))</f>
        <v>0</v>
      </c>
      <c r="L346" s="306">
        <f>+IF($H346=L$2,VLOOKUP($G346,Depreciation!$A$14:$L$18,10,FALSE)/2,IF($H346&lt;L$2,VLOOKUP($G346,Depreciation!$A$14:$L$18,10,FALSE),0))</f>
        <v>1.671703928371859E-2</v>
      </c>
      <c r="M346" s="306">
        <f>+IF($H346=M$2,VLOOKUP($G346,Depreciation!$A$14:$L$18,11,FALSE)/2,IF($H346&lt;M$2,VLOOKUP($G346,Depreciation!$A$14:$L$18,11,FALSE),0))</f>
        <v>3.343407856743718E-2</v>
      </c>
      <c r="N346" s="306">
        <f>+IF($H346=N$2,VLOOKUP($G346,Depreciation!$A$14:$L$18,12,FALSE)/2,IF($H346&lt;N$2,VLOOKUP($G346,Depreciation!$A$14:$L$18,12,FALSE),0))</f>
        <v>3.343407856743718E-2</v>
      </c>
      <c r="O346" s="307">
        <f t="shared" si="41"/>
        <v>0</v>
      </c>
      <c r="P346" s="732">
        <f>'Func Future Subs 2015'!P346</f>
        <v>0</v>
      </c>
      <c r="Q346" s="732">
        <f>'Func Future Subs 2015'!Q346</f>
        <v>1</v>
      </c>
      <c r="R346" s="732">
        <f>'Func Future Subs 2015'!R346</f>
        <v>0</v>
      </c>
      <c r="S346" s="735">
        <f t="shared" si="42"/>
        <v>0</v>
      </c>
      <c r="T346" s="735">
        <f t="shared" si="43"/>
        <v>0</v>
      </c>
      <c r="U346" s="735">
        <f t="shared" si="44"/>
        <v>0</v>
      </c>
      <c r="V346" s="736">
        <f t="shared" si="45"/>
        <v>0</v>
      </c>
      <c r="W346" s="735">
        <f t="shared" si="46"/>
        <v>0</v>
      </c>
      <c r="X346" s="737">
        <f t="shared" si="47"/>
        <v>0</v>
      </c>
      <c r="Y346" s="738">
        <f t="shared" si="48"/>
        <v>0</v>
      </c>
    </row>
    <row r="347" spans="1:25">
      <c r="A347" s="754" t="str">
        <f>'Func Future Subs 2015'!A347</f>
        <v>Cooking Lake 522S</v>
      </c>
      <c r="B347" s="754">
        <f>'Func Future Subs 2015'!B347</f>
        <v>1674</v>
      </c>
      <c r="C347" s="754">
        <f>'Func Future Subs 2015'!C347</f>
        <v>138</v>
      </c>
      <c r="D347" s="754">
        <f>'Func Future Subs 2015'!D347</f>
        <v>25</v>
      </c>
      <c r="E347" s="754" t="str">
        <f>'Func Future Subs 2015'!E347</f>
        <v>522S</v>
      </c>
      <c r="F347" s="754">
        <f>'Func Future Subs 2015'!F347</f>
        <v>9946465.9999999963</v>
      </c>
      <c r="G347" s="754" t="str">
        <f>'Func Future Subs 2015'!G347</f>
        <v>AltaLink</v>
      </c>
      <c r="H347" s="754">
        <f>'Func Future Subs 2015'!H347</f>
        <v>2018</v>
      </c>
      <c r="I347" s="306">
        <f>+IF($H347=I$2,VLOOKUP($G347,Depreciation!$A$14:$L$18,7,FALSE)/2,IF($H347&lt;I$2,VLOOKUP($G347,Depreciation!$A$14:$L$18,7,FALSE),0))</f>
        <v>0</v>
      </c>
      <c r="J347" s="306">
        <f>+IF($H347=J$2,VLOOKUP($G347,Depreciation!$A$14:$L$18,8,FALSE)/2,IF($H347&lt;J$2,VLOOKUP($G347,Depreciation!$A$14:$L$18,8,FALSE),0))</f>
        <v>0</v>
      </c>
      <c r="K347" s="306">
        <f>+IF($H347=K$2,VLOOKUP($G347,Depreciation!$A$14:$L$18,9,FALSE)/2,IF($H347&lt;K$2,VLOOKUP($G347,Depreciation!$A$14:$L$18,9,FALSE),0))</f>
        <v>0</v>
      </c>
      <c r="L347" s="306">
        <f>+IF($H347=L$2,VLOOKUP($G347,Depreciation!$A$14:$L$18,10,FALSE)/2,IF($H347&lt;L$2,VLOOKUP($G347,Depreciation!$A$14:$L$18,10,FALSE),0))</f>
        <v>1.671703928371859E-2</v>
      </c>
      <c r="M347" s="306">
        <f>+IF($H347=M$2,VLOOKUP($G347,Depreciation!$A$14:$L$18,11,FALSE)/2,IF($H347&lt;M$2,VLOOKUP($G347,Depreciation!$A$14:$L$18,11,FALSE),0))</f>
        <v>3.343407856743718E-2</v>
      </c>
      <c r="N347" s="306">
        <f>+IF($H347=N$2,VLOOKUP($G347,Depreciation!$A$14:$L$18,12,FALSE)/2,IF($H347&lt;N$2,VLOOKUP($G347,Depreciation!$A$14:$L$18,12,FALSE),0))</f>
        <v>3.343407856743718E-2</v>
      </c>
      <c r="O347" s="307">
        <f t="shared" si="41"/>
        <v>0</v>
      </c>
      <c r="P347" s="732">
        <f>'Func Future Subs 2015'!P347</f>
        <v>0</v>
      </c>
      <c r="Q347" s="732">
        <f>'Func Future Subs 2015'!Q347</f>
        <v>1</v>
      </c>
      <c r="R347" s="732">
        <f>'Func Future Subs 2015'!R347</f>
        <v>0</v>
      </c>
      <c r="S347" s="735">
        <f t="shared" si="42"/>
        <v>0</v>
      </c>
      <c r="T347" s="735">
        <f t="shared" si="43"/>
        <v>0</v>
      </c>
      <c r="U347" s="735">
        <f t="shared" si="44"/>
        <v>0</v>
      </c>
      <c r="V347" s="736">
        <f t="shared" si="45"/>
        <v>0</v>
      </c>
      <c r="W347" s="735">
        <f t="shared" si="46"/>
        <v>0</v>
      </c>
      <c r="X347" s="737">
        <f t="shared" si="47"/>
        <v>0</v>
      </c>
      <c r="Y347" s="738">
        <f t="shared" si="48"/>
        <v>0</v>
      </c>
    </row>
    <row r="348" spans="1:25">
      <c r="A348" s="754" t="str">
        <f>'Func Future Subs 2015'!A348</f>
        <v>Empress 394S</v>
      </c>
      <c r="B348" s="754">
        <f>'Func Future Subs 2015'!B348</f>
        <v>1679</v>
      </c>
      <c r="C348" s="754">
        <f>'Func Future Subs 2015'!C348</f>
        <v>138</v>
      </c>
      <c r="D348" s="754">
        <f>'Func Future Subs 2015'!D348</f>
        <v>25</v>
      </c>
      <c r="E348" s="754" t="str">
        <f>'Func Future Subs 2015'!E348</f>
        <v>394S</v>
      </c>
      <c r="F348" s="754">
        <f>'Func Future Subs 2015'!F348</f>
        <v>2923999.9999999986</v>
      </c>
      <c r="G348" s="754" t="str">
        <f>'Func Future Subs 2015'!G348</f>
        <v>AltaLink</v>
      </c>
      <c r="H348" s="754">
        <f>'Func Future Subs 2015'!H348</f>
        <v>2017</v>
      </c>
      <c r="I348" s="306">
        <f>+IF($H348=I$2,VLOOKUP($G348,Depreciation!$A$14:$L$18,7,FALSE)/2,IF($H348&lt;I$2,VLOOKUP($G348,Depreciation!$A$14:$L$18,7,FALSE),0))</f>
        <v>0</v>
      </c>
      <c r="J348" s="306">
        <f>+IF($H348=J$2,VLOOKUP($G348,Depreciation!$A$14:$L$18,8,FALSE)/2,IF($H348&lt;J$2,VLOOKUP($G348,Depreciation!$A$14:$L$18,8,FALSE),0))</f>
        <v>0</v>
      </c>
      <c r="K348" s="306">
        <f>+IF($H348=K$2,VLOOKUP($G348,Depreciation!$A$14:$L$18,9,FALSE)/2,IF($H348&lt;K$2,VLOOKUP($G348,Depreciation!$A$14:$L$18,9,FALSE),0))</f>
        <v>1.671703928371859E-2</v>
      </c>
      <c r="L348" s="306">
        <f>+IF($H348=L$2,VLOOKUP($G348,Depreciation!$A$14:$L$18,10,FALSE)/2,IF($H348&lt;L$2,VLOOKUP($G348,Depreciation!$A$14:$L$18,10,FALSE),0))</f>
        <v>3.343407856743718E-2</v>
      </c>
      <c r="M348" s="306">
        <f>+IF($H348=M$2,VLOOKUP($G348,Depreciation!$A$14:$L$18,11,FALSE)/2,IF($H348&lt;M$2,VLOOKUP($G348,Depreciation!$A$14:$L$18,11,FALSE),0))</f>
        <v>3.343407856743718E-2</v>
      </c>
      <c r="N348" s="306">
        <f>+IF($H348=N$2,VLOOKUP($G348,Depreciation!$A$14:$L$18,12,FALSE)/2,IF($H348&lt;N$2,VLOOKUP($G348,Depreciation!$A$14:$L$18,12,FALSE),0))</f>
        <v>3.343407856743718E-2</v>
      </c>
      <c r="O348" s="307">
        <f t="shared" si="41"/>
        <v>2875119.3771344055</v>
      </c>
      <c r="P348" s="732">
        <f>'Func Future Subs 2015'!P348</f>
        <v>0</v>
      </c>
      <c r="Q348" s="732">
        <f>'Func Future Subs 2015'!Q348</f>
        <v>1</v>
      </c>
      <c r="R348" s="732">
        <f>'Func Future Subs 2015'!R348</f>
        <v>0</v>
      </c>
      <c r="S348" s="735">
        <f t="shared" si="42"/>
        <v>0</v>
      </c>
      <c r="T348" s="735">
        <f t="shared" si="43"/>
        <v>2875119.3771344055</v>
      </c>
      <c r="U348" s="735">
        <f t="shared" si="44"/>
        <v>0</v>
      </c>
      <c r="V348" s="736">
        <f t="shared" si="45"/>
        <v>0</v>
      </c>
      <c r="W348" s="735">
        <f t="shared" si="46"/>
        <v>0</v>
      </c>
      <c r="X348" s="737">
        <f t="shared" si="47"/>
        <v>0</v>
      </c>
      <c r="Y348" s="738">
        <f t="shared" si="48"/>
        <v>2875119.3771344055</v>
      </c>
    </row>
    <row r="349" spans="1:25">
      <c r="A349" s="754" t="str">
        <f>'Func Future Subs 2015'!A349</f>
        <v>Fortis Bullhead 523S</v>
      </c>
      <c r="B349" s="754">
        <f>'Func Future Subs 2015'!B349</f>
        <v>1681</v>
      </c>
      <c r="C349" s="754">
        <f>'Func Future Subs 2015'!C349</f>
        <v>138</v>
      </c>
      <c r="D349" s="754">
        <f>'Func Future Subs 2015'!D349</f>
        <v>25</v>
      </c>
      <c r="E349" s="754" t="str">
        <f>'Func Future Subs 2015'!E349</f>
        <v>523S</v>
      </c>
      <c r="F349" s="754">
        <f>'Func Future Subs 2015'!F349</f>
        <v>5565999.9999999972</v>
      </c>
      <c r="G349" s="754" t="str">
        <f>'Func Future Subs 2015'!G349</f>
        <v>AltaLink</v>
      </c>
      <c r="H349" s="754">
        <f>'Func Future Subs 2015'!H349</f>
        <v>2017</v>
      </c>
      <c r="I349" s="306">
        <f>+IF($H349=I$2,VLOOKUP($G349,Depreciation!$A$14:$L$18,7,FALSE)/2,IF($H349&lt;I$2,VLOOKUP($G349,Depreciation!$A$14:$L$18,7,FALSE),0))</f>
        <v>0</v>
      </c>
      <c r="J349" s="306">
        <f>+IF($H349=J$2,VLOOKUP($G349,Depreciation!$A$14:$L$18,8,FALSE)/2,IF($H349&lt;J$2,VLOOKUP($G349,Depreciation!$A$14:$L$18,8,FALSE),0))</f>
        <v>0</v>
      </c>
      <c r="K349" s="306">
        <f>+IF($H349=K$2,VLOOKUP($G349,Depreciation!$A$14:$L$18,9,FALSE)/2,IF($H349&lt;K$2,VLOOKUP($G349,Depreciation!$A$14:$L$18,9,FALSE),0))</f>
        <v>1.671703928371859E-2</v>
      </c>
      <c r="L349" s="306">
        <f>+IF($H349=L$2,VLOOKUP($G349,Depreciation!$A$14:$L$18,10,FALSE)/2,IF($H349&lt;L$2,VLOOKUP($G349,Depreciation!$A$14:$L$18,10,FALSE),0))</f>
        <v>3.343407856743718E-2</v>
      </c>
      <c r="M349" s="306">
        <f>+IF($H349=M$2,VLOOKUP($G349,Depreciation!$A$14:$L$18,11,FALSE)/2,IF($H349&lt;M$2,VLOOKUP($G349,Depreciation!$A$14:$L$18,11,FALSE),0))</f>
        <v>3.343407856743718E-2</v>
      </c>
      <c r="N349" s="306">
        <f>+IF($H349=N$2,VLOOKUP($G349,Depreciation!$A$14:$L$18,12,FALSE)/2,IF($H349&lt;N$2,VLOOKUP($G349,Depreciation!$A$14:$L$18,12,FALSE),0))</f>
        <v>3.343407856743718E-2</v>
      </c>
      <c r="O349" s="307">
        <f t="shared" si="41"/>
        <v>5472952.9593468197</v>
      </c>
      <c r="P349" s="732">
        <f>'Func Future Subs 2015'!P349</f>
        <v>0</v>
      </c>
      <c r="Q349" s="732">
        <f>'Func Future Subs 2015'!Q349</f>
        <v>1</v>
      </c>
      <c r="R349" s="732">
        <f>'Func Future Subs 2015'!R349</f>
        <v>0</v>
      </c>
      <c r="S349" s="735">
        <f t="shared" si="42"/>
        <v>0</v>
      </c>
      <c r="T349" s="735">
        <f t="shared" si="43"/>
        <v>5472952.9593468197</v>
      </c>
      <c r="U349" s="735">
        <f t="shared" si="44"/>
        <v>0</v>
      </c>
      <c r="V349" s="736">
        <f t="shared" si="45"/>
        <v>0</v>
      </c>
      <c r="W349" s="735">
        <f t="shared" si="46"/>
        <v>0</v>
      </c>
      <c r="X349" s="737">
        <f t="shared" si="47"/>
        <v>0</v>
      </c>
      <c r="Y349" s="738">
        <f t="shared" si="48"/>
        <v>5472952.9593468197</v>
      </c>
    </row>
    <row r="350" spans="1:25">
      <c r="A350" s="754" t="str">
        <f>'Func Future Subs 2015'!A350</f>
        <v>Fox creek substation</v>
      </c>
      <c r="B350" s="754">
        <f>'Func Future Subs 2015'!B350</f>
        <v>1722</v>
      </c>
      <c r="C350" s="754">
        <f>'Func Future Subs 2015'!C350</f>
        <v>144</v>
      </c>
      <c r="D350" s="754">
        <f>'Func Future Subs 2015'!D350</f>
        <v>0</v>
      </c>
      <c r="E350" s="754">
        <f>'Func Future Subs 2015'!E350</f>
        <v>0</v>
      </c>
      <c r="F350" s="754">
        <f>'Func Future Subs 2015'!F350</f>
        <v>4905391.5342857111</v>
      </c>
      <c r="G350" s="754" t="str">
        <f>'Func Future Subs 2015'!G350</f>
        <v>ATCO</v>
      </c>
      <c r="H350" s="754">
        <f>'Func Future Subs 2015'!H350</f>
        <v>2017</v>
      </c>
      <c r="I350" s="306">
        <f>+IF($H350=I$2,VLOOKUP($G350,Depreciation!$A$14:$L$18,7,FALSE)/2,IF($H350&lt;I$2,VLOOKUP($G350,Depreciation!$A$14:$L$18,7,FALSE),0))</f>
        <v>0</v>
      </c>
      <c r="J350" s="306">
        <f>+IF($H350=J$2,VLOOKUP($G350,Depreciation!$A$14:$L$18,8,FALSE)/2,IF($H350&lt;J$2,VLOOKUP($G350,Depreciation!$A$14:$L$18,8,FALSE),0))</f>
        <v>0</v>
      </c>
      <c r="K350" s="306">
        <f>+IF($H350=K$2,VLOOKUP($G350,Depreciation!$A$14:$L$18,9,FALSE)/2,IF($H350&lt;K$2,VLOOKUP($G350,Depreciation!$A$14:$L$18,9,FALSE),0))</f>
        <v>1.2175768213899416E-2</v>
      </c>
      <c r="L350" s="306">
        <f>+IF($H350=L$2,VLOOKUP($G350,Depreciation!$A$14:$L$18,10,FALSE)/2,IF($H350&lt;L$2,VLOOKUP($G350,Depreciation!$A$14:$L$18,10,FALSE),0))</f>
        <v>2.4351536427798831E-2</v>
      </c>
      <c r="M350" s="306">
        <f>+IF($H350=M$2,VLOOKUP($G350,Depreciation!$A$14:$L$18,11,FALSE)/2,IF($H350&lt;M$2,VLOOKUP($G350,Depreciation!$A$14:$L$18,11,FALSE),0))</f>
        <v>2.4351536427798831E-2</v>
      </c>
      <c r="N350" s="306">
        <f>+IF($H350=N$2,VLOOKUP($G350,Depreciation!$A$14:$L$18,12,FALSE)/2,IF($H350&lt;N$2,VLOOKUP($G350,Depreciation!$A$14:$L$18,12,FALSE),0))</f>
        <v>2.4351536427798831E-2</v>
      </c>
      <c r="O350" s="307">
        <f t="shared" si="41"/>
        <v>4845664.623965824</v>
      </c>
      <c r="P350" s="732">
        <f>'Func Future Subs 2015'!P350</f>
        <v>0</v>
      </c>
      <c r="Q350" s="732">
        <f>'Func Future Subs 2015'!Q350</f>
        <v>0</v>
      </c>
      <c r="R350" s="732">
        <f>'Func Future Subs 2015'!R350</f>
        <v>1</v>
      </c>
      <c r="S350" s="735">
        <f t="shared" si="42"/>
        <v>0</v>
      </c>
      <c r="T350" s="735">
        <f t="shared" si="43"/>
        <v>0</v>
      </c>
      <c r="U350" s="735">
        <f t="shared" si="44"/>
        <v>4845664.623965824</v>
      </c>
      <c r="V350" s="736">
        <f t="shared" si="45"/>
        <v>4845664.623965824</v>
      </c>
      <c r="W350" s="735">
        <f t="shared" si="46"/>
        <v>0</v>
      </c>
      <c r="X350" s="737">
        <f t="shared" si="47"/>
        <v>0</v>
      </c>
      <c r="Y350" s="738">
        <f t="shared" si="48"/>
        <v>0</v>
      </c>
    </row>
    <row r="351" spans="1:25">
      <c r="A351" s="754" t="str">
        <f>'Func Future Subs 2015'!A351</f>
        <v>New Muir POD</v>
      </c>
      <c r="B351" s="754">
        <f>'Func Future Subs 2015'!B351</f>
        <v>1722</v>
      </c>
      <c r="C351" s="754">
        <f>'Func Future Subs 2015'!C351</f>
        <v>144</v>
      </c>
      <c r="D351" s="754">
        <f>'Func Future Subs 2015'!D351</f>
        <v>0</v>
      </c>
      <c r="E351" s="754">
        <f>'Func Future Subs 2015'!E351</f>
        <v>0</v>
      </c>
      <c r="F351" s="754">
        <f>'Func Future Subs 2015'!F351</f>
        <v>12202149.6335527</v>
      </c>
      <c r="G351" s="754" t="str">
        <f>'Func Future Subs 2015'!G351</f>
        <v>ATCO</v>
      </c>
      <c r="H351" s="754">
        <f>'Func Future Subs 2015'!H351</f>
        <v>2017</v>
      </c>
      <c r="I351" s="306">
        <f>+IF($H351=I$2,VLOOKUP($G351,Depreciation!$A$14:$L$18,7,FALSE)/2,IF($H351&lt;I$2,VLOOKUP($G351,Depreciation!$A$14:$L$18,7,FALSE),0))</f>
        <v>0</v>
      </c>
      <c r="J351" s="306">
        <f>+IF($H351=J$2,VLOOKUP($G351,Depreciation!$A$14:$L$18,8,FALSE)/2,IF($H351&lt;J$2,VLOOKUP($G351,Depreciation!$A$14:$L$18,8,FALSE),0))</f>
        <v>0</v>
      </c>
      <c r="K351" s="306">
        <f>+IF($H351=K$2,VLOOKUP($G351,Depreciation!$A$14:$L$18,9,FALSE)/2,IF($H351&lt;K$2,VLOOKUP($G351,Depreciation!$A$14:$L$18,9,FALSE),0))</f>
        <v>1.2175768213899416E-2</v>
      </c>
      <c r="L351" s="306">
        <f>+IF($H351=L$2,VLOOKUP($G351,Depreciation!$A$14:$L$18,10,FALSE)/2,IF($H351&lt;L$2,VLOOKUP($G351,Depreciation!$A$14:$L$18,10,FALSE),0))</f>
        <v>2.4351536427798831E-2</v>
      </c>
      <c r="M351" s="306">
        <f>+IF($H351=M$2,VLOOKUP($G351,Depreciation!$A$14:$L$18,11,FALSE)/2,IF($H351&lt;M$2,VLOOKUP($G351,Depreciation!$A$14:$L$18,11,FALSE),0))</f>
        <v>2.4351536427798831E-2</v>
      </c>
      <c r="N351" s="306">
        <f>+IF($H351=N$2,VLOOKUP($G351,Depreciation!$A$14:$L$18,12,FALSE)/2,IF($H351&lt;N$2,VLOOKUP($G351,Depreciation!$A$14:$L$18,12,FALSE),0))</f>
        <v>2.4351536427798831E-2</v>
      </c>
      <c r="O351" s="307">
        <f t="shared" si="41"/>
        <v>12053579.087903244</v>
      </c>
      <c r="P351" s="732">
        <f>'Func Future Subs 2015'!P351</f>
        <v>0</v>
      </c>
      <c r="Q351" s="732">
        <f>'Func Future Subs 2015'!Q351</f>
        <v>0</v>
      </c>
      <c r="R351" s="732">
        <f>'Func Future Subs 2015'!R351</f>
        <v>1</v>
      </c>
      <c r="S351" s="735">
        <f t="shared" si="42"/>
        <v>0</v>
      </c>
      <c r="T351" s="735">
        <f t="shared" si="43"/>
        <v>0</v>
      </c>
      <c r="U351" s="735">
        <f t="shared" si="44"/>
        <v>12053579.087903244</v>
      </c>
      <c r="V351" s="736">
        <f t="shared" si="45"/>
        <v>12053579.087903244</v>
      </c>
      <c r="W351" s="735">
        <f t="shared" si="46"/>
        <v>0</v>
      </c>
      <c r="X351" s="737">
        <f t="shared" si="47"/>
        <v>0</v>
      </c>
      <c r="Y351" s="738">
        <f t="shared" si="48"/>
        <v>0</v>
      </c>
    </row>
    <row r="352" spans="1:25">
      <c r="A352" s="754" t="str">
        <f>'Func Future Subs 2015'!A352</f>
        <v>Calgary Downtown</v>
      </c>
      <c r="B352" s="754">
        <f>'Func Future Subs 2015'!B352</f>
        <v>1456</v>
      </c>
      <c r="C352" s="754">
        <f>'Func Future Subs 2015'!C352</f>
        <v>138</v>
      </c>
      <c r="D352" s="754">
        <f>'Func Future Subs 2015'!D352</f>
        <v>25</v>
      </c>
      <c r="E352" s="754" t="str">
        <f>'Func Future Subs 2015'!E352</f>
        <v>SS-2</v>
      </c>
      <c r="F352" s="754">
        <f>'Func Future Subs 2015'!F352</f>
        <v>70361149.105234668</v>
      </c>
      <c r="G352" s="754" t="str">
        <f>'Func Future Subs 2015'!G352</f>
        <v>ENMAX</v>
      </c>
      <c r="H352" s="754">
        <f>'Func Future Subs 2015'!H352</f>
        <v>2020</v>
      </c>
      <c r="I352" s="306">
        <f>+IF($H352=I$2,VLOOKUP($G352,Depreciation!$A$14:$L$18,7,FALSE)/2,IF($H352&lt;I$2,VLOOKUP($G352,Depreciation!$A$14:$L$18,7,FALSE),0))</f>
        <v>0</v>
      </c>
      <c r="J352" s="306">
        <f>+IF($H352=J$2,VLOOKUP($G352,Depreciation!$A$14:$L$18,8,FALSE)/2,IF($H352&lt;J$2,VLOOKUP($G352,Depreciation!$A$14:$L$18,8,FALSE),0))</f>
        <v>0</v>
      </c>
      <c r="K352" s="306">
        <f>+IF($H352=K$2,VLOOKUP($G352,Depreciation!$A$14:$L$18,9,FALSE)/2,IF($H352&lt;K$2,VLOOKUP($G352,Depreciation!$A$14:$L$18,9,FALSE),0))</f>
        <v>0</v>
      </c>
      <c r="L352" s="306">
        <f>+IF($H352=L$2,VLOOKUP($G352,Depreciation!$A$14:$L$18,10,FALSE)/2,IF($H352&lt;L$2,VLOOKUP($G352,Depreciation!$A$14:$L$18,10,FALSE),0))</f>
        <v>0</v>
      </c>
      <c r="M352" s="306">
        <f>+IF($H352=M$2,VLOOKUP($G352,Depreciation!$A$14:$L$18,11,FALSE)/2,IF($H352&lt;M$2,VLOOKUP($G352,Depreciation!$A$14:$L$18,11,FALSE),0))</f>
        <v>0</v>
      </c>
      <c r="N352" s="306">
        <f>+IF($H352=N$2,VLOOKUP($G352,Depreciation!$A$14:$L$18,12,FALSE)/2,IF($H352&lt;N$2,VLOOKUP($G352,Depreciation!$A$14:$L$18,12,FALSE),0))</f>
        <v>1.3928409269726289E-2</v>
      </c>
      <c r="O352" s="307">
        <f t="shared" si="41"/>
        <v>0</v>
      </c>
      <c r="P352" s="732">
        <f>'Func Future Subs 2015'!P352</f>
        <v>0</v>
      </c>
      <c r="Q352" s="732">
        <f>'Func Future Subs 2015'!Q352</f>
        <v>1</v>
      </c>
      <c r="R352" s="732">
        <f>'Func Future Subs 2015'!R352</f>
        <v>0</v>
      </c>
      <c r="S352" s="735">
        <f t="shared" si="42"/>
        <v>0</v>
      </c>
      <c r="T352" s="735">
        <f t="shared" si="43"/>
        <v>0</v>
      </c>
      <c r="U352" s="735">
        <f t="shared" si="44"/>
        <v>0</v>
      </c>
      <c r="V352" s="736">
        <f t="shared" si="45"/>
        <v>0</v>
      </c>
      <c r="W352" s="735">
        <f t="shared" si="46"/>
        <v>0</v>
      </c>
      <c r="X352" s="737">
        <f t="shared" si="47"/>
        <v>0</v>
      </c>
      <c r="Y352" s="738">
        <f t="shared" si="48"/>
        <v>0</v>
      </c>
    </row>
    <row r="353" spans="1:25">
      <c r="A353" s="754" t="str">
        <f>'Func Future Subs 2015'!A353</f>
        <v>PENV</v>
      </c>
      <c r="B353" s="754">
        <f>'Func Future Subs 2015'!B353</f>
        <v>1781</v>
      </c>
      <c r="C353" s="754">
        <f>'Func Future Subs 2015'!C353</f>
        <v>240</v>
      </c>
      <c r="D353" s="754">
        <f>'Func Future Subs 2015'!D353</f>
        <v>144</v>
      </c>
      <c r="E353" s="754">
        <f>'Func Future Subs 2015'!E353</f>
        <v>0</v>
      </c>
      <c r="F353" s="754">
        <f>'Func Future Subs 2015'!F353</f>
        <v>25938027.308870837</v>
      </c>
      <c r="G353" s="754" t="str">
        <f>'Func Future Subs 2015'!G353</f>
        <v>AltaLink</v>
      </c>
      <c r="H353" s="754">
        <f>'Func Future Subs 2015'!H353</f>
        <v>2021</v>
      </c>
      <c r="I353" s="306">
        <f>+IF($H353=I$2,VLOOKUP($G353,Depreciation!$A$14:$L$18,7,FALSE)/2,IF($H353&lt;I$2,VLOOKUP($G353,Depreciation!$A$14:$L$18,7,FALSE),0))</f>
        <v>0</v>
      </c>
      <c r="J353" s="306">
        <f>+IF($H353=J$2,VLOOKUP($G353,Depreciation!$A$14:$L$18,8,FALSE)/2,IF($H353&lt;J$2,VLOOKUP($G353,Depreciation!$A$14:$L$18,8,FALSE),0))</f>
        <v>0</v>
      </c>
      <c r="K353" s="306">
        <f>+IF($H353=K$2,VLOOKUP($G353,Depreciation!$A$14:$L$18,9,FALSE)/2,IF($H353&lt;K$2,VLOOKUP($G353,Depreciation!$A$14:$L$18,9,FALSE),0))</f>
        <v>0</v>
      </c>
      <c r="L353" s="306">
        <f>+IF($H353=L$2,VLOOKUP($G353,Depreciation!$A$14:$L$18,10,FALSE)/2,IF($H353&lt;L$2,VLOOKUP($G353,Depreciation!$A$14:$L$18,10,FALSE),0))</f>
        <v>0</v>
      </c>
      <c r="M353" s="306">
        <f>+IF($H353=M$2,VLOOKUP($G353,Depreciation!$A$14:$L$18,11,FALSE)/2,IF($H353&lt;M$2,VLOOKUP($G353,Depreciation!$A$14:$L$18,11,FALSE),0))</f>
        <v>0</v>
      </c>
      <c r="N353" s="306">
        <f>+IF($H353=N$2,VLOOKUP($G353,Depreciation!$A$14:$L$18,12,FALSE)/2,IF($H353&lt;N$2,VLOOKUP($G353,Depreciation!$A$14:$L$18,12,FALSE),0))</f>
        <v>0</v>
      </c>
      <c r="O353" s="307">
        <f t="shared" si="41"/>
        <v>0</v>
      </c>
      <c r="P353" s="732">
        <f>'Func Future Subs 2015'!P353</f>
        <v>0</v>
      </c>
      <c r="Q353" s="732">
        <f>'Func Future Subs 2015'!Q353</f>
        <v>0</v>
      </c>
      <c r="R353" s="732">
        <f>'Func Future Subs 2015'!R353</f>
        <v>1</v>
      </c>
      <c r="S353" s="735">
        <f t="shared" si="42"/>
        <v>0</v>
      </c>
      <c r="T353" s="735">
        <f t="shared" si="43"/>
        <v>0</v>
      </c>
      <c r="U353" s="735">
        <f t="shared" si="44"/>
        <v>0</v>
      </c>
      <c r="V353" s="736">
        <f t="shared" si="45"/>
        <v>0</v>
      </c>
      <c r="W353" s="735">
        <f t="shared" si="46"/>
        <v>0</v>
      </c>
      <c r="X353" s="737">
        <f t="shared" si="47"/>
        <v>0</v>
      </c>
      <c r="Y353" s="738">
        <f t="shared" si="48"/>
        <v>0</v>
      </c>
    </row>
    <row r="354" spans="1:25">
      <c r="A354" s="754" t="str">
        <f>'Func Future Subs 2015'!A354</f>
        <v>PENV</v>
      </c>
      <c r="B354" s="754">
        <f>'Func Future Subs 2015'!B354</f>
        <v>1781</v>
      </c>
      <c r="C354" s="754">
        <f>'Func Future Subs 2015'!C354</f>
        <v>240</v>
      </c>
      <c r="D354" s="754">
        <f>'Func Future Subs 2015'!D354</f>
        <v>144</v>
      </c>
      <c r="E354" s="754">
        <f>'Func Future Subs 2015'!E354</f>
        <v>0</v>
      </c>
      <c r="F354" s="754">
        <f>'Func Future Subs 2015'!F354</f>
        <v>22116340.596381165</v>
      </c>
      <c r="G354" s="754" t="str">
        <f>'Func Future Subs 2015'!G354</f>
        <v>ATCO</v>
      </c>
      <c r="H354" s="754">
        <f>'Func Future Subs 2015'!H354</f>
        <v>2021</v>
      </c>
      <c r="I354" s="306">
        <f>+IF($H354=I$2,VLOOKUP($G354,Depreciation!$A$14:$L$18,7,FALSE)/2,IF($H354&lt;I$2,VLOOKUP($G354,Depreciation!$A$14:$L$18,7,FALSE),0))</f>
        <v>0</v>
      </c>
      <c r="J354" s="306">
        <f>+IF($H354=J$2,VLOOKUP($G354,Depreciation!$A$14:$L$18,8,FALSE)/2,IF($H354&lt;J$2,VLOOKUP($G354,Depreciation!$A$14:$L$18,8,FALSE),0))</f>
        <v>0</v>
      </c>
      <c r="K354" s="306">
        <f>+IF($H354=K$2,VLOOKUP($G354,Depreciation!$A$14:$L$18,9,FALSE)/2,IF($H354&lt;K$2,VLOOKUP($G354,Depreciation!$A$14:$L$18,9,FALSE),0))</f>
        <v>0</v>
      </c>
      <c r="L354" s="306">
        <f>+IF($H354=L$2,VLOOKUP($G354,Depreciation!$A$14:$L$18,10,FALSE)/2,IF($H354&lt;L$2,VLOOKUP($G354,Depreciation!$A$14:$L$18,10,FALSE),0))</f>
        <v>0</v>
      </c>
      <c r="M354" s="306">
        <f>+IF($H354=M$2,VLOOKUP($G354,Depreciation!$A$14:$L$18,11,FALSE)/2,IF($H354&lt;M$2,VLOOKUP($G354,Depreciation!$A$14:$L$18,11,FALSE),0))</f>
        <v>0</v>
      </c>
      <c r="N354" s="306">
        <f>+IF($H354=N$2,VLOOKUP($G354,Depreciation!$A$14:$L$18,12,FALSE)/2,IF($H354&lt;N$2,VLOOKUP($G354,Depreciation!$A$14:$L$18,12,FALSE),0))</f>
        <v>0</v>
      </c>
      <c r="O354" s="307">
        <f t="shared" si="41"/>
        <v>0</v>
      </c>
      <c r="P354" s="732">
        <f>'Func Future Subs 2015'!P354</f>
        <v>0</v>
      </c>
      <c r="Q354" s="732">
        <f>'Func Future Subs 2015'!Q354</f>
        <v>0</v>
      </c>
      <c r="R354" s="732">
        <f>'Func Future Subs 2015'!R354</f>
        <v>1</v>
      </c>
      <c r="S354" s="735">
        <f t="shared" si="42"/>
        <v>0</v>
      </c>
      <c r="T354" s="735">
        <f t="shared" si="43"/>
        <v>0</v>
      </c>
      <c r="U354" s="735">
        <f t="shared" si="44"/>
        <v>0</v>
      </c>
      <c r="V354" s="736">
        <f t="shared" si="45"/>
        <v>0</v>
      </c>
      <c r="W354" s="735">
        <f t="shared" si="46"/>
        <v>0</v>
      </c>
      <c r="X354" s="737">
        <f t="shared" si="47"/>
        <v>0</v>
      </c>
      <c r="Y354" s="738">
        <f t="shared" si="48"/>
        <v>0</v>
      </c>
    </row>
    <row r="355" spans="1:25">
      <c r="A355" s="757"/>
      <c r="B355" s="757"/>
      <c r="C355" s="757"/>
      <c r="D355" s="757"/>
      <c r="E355" s="757"/>
      <c r="F355" s="757"/>
      <c r="G355" s="757"/>
      <c r="H355" s="757"/>
      <c r="P355" s="627"/>
      <c r="Q355" s="627"/>
      <c r="R355" s="627"/>
      <c r="S355" s="627"/>
      <c r="T355" s="627"/>
      <c r="U355" s="627"/>
      <c r="V355" s="627"/>
      <c r="W355" s="627"/>
      <c r="X355" s="627"/>
      <c r="Y355" s="627"/>
    </row>
    <row r="356" spans="1:25">
      <c r="F356" s="322">
        <f>SUM(F3:F355)</f>
        <v>3497345536.4569278</v>
      </c>
      <c r="O356" s="601">
        <f>SUM(O3:O355)</f>
        <v>2817619557.0344672</v>
      </c>
      <c r="P356" s="601"/>
      <c r="Q356" s="601"/>
      <c r="R356" s="601"/>
      <c r="S356" s="601">
        <f>SUM(S3:S355)</f>
        <v>48679730.445600651</v>
      </c>
      <c r="T356" s="601">
        <f>SUM(T3:T355)</f>
        <v>528537784.26001012</v>
      </c>
      <c r="U356" s="601">
        <f>SUM(U3:U355)</f>
        <v>2240402042.3288555</v>
      </c>
      <c r="V356" s="601">
        <f>SUM(V3:V355)</f>
        <v>217557427.73747969</v>
      </c>
      <c r="W356" s="601">
        <f t="shared" ref="W356:Y356" si="49">SUM(W3:W355)</f>
        <v>1410811862.4893909</v>
      </c>
      <c r="X356" s="601">
        <f t="shared" si="49"/>
        <v>600395549.62659144</v>
      </c>
      <c r="Y356" s="601">
        <f t="shared" si="49"/>
        <v>588854717.18100417</v>
      </c>
    </row>
    <row r="357" spans="1:25">
      <c r="F357" s="322">
        <f>SUMIF(H3:H355,"&lt;=2017",F3:F355)</f>
        <v>2993301918.4189734</v>
      </c>
      <c r="O357" s="601"/>
      <c r="P357" s="601"/>
      <c r="Q357" s="601"/>
      <c r="R357" s="601"/>
      <c r="S357" s="601"/>
      <c r="T357" s="601"/>
      <c r="U357" s="601"/>
      <c r="V357" s="601"/>
      <c r="W357" s="601"/>
      <c r="X357" s="601"/>
      <c r="Y357" s="601"/>
    </row>
    <row r="358" spans="1:25">
      <c r="O358" s="601"/>
      <c r="P358" s="601"/>
      <c r="Q358" s="601"/>
      <c r="R358" s="601"/>
      <c r="S358" s="601"/>
      <c r="T358" s="601"/>
      <c r="U358" s="601"/>
      <c r="V358" s="601">
        <f>SUM(S356:U356)-V356</f>
        <v>2600062129.2969866</v>
      </c>
      <c r="W358" s="601"/>
      <c r="X358" s="601"/>
      <c r="Y358" s="601">
        <f>SUM(W356:Y356)</f>
        <v>2600062129.2969866</v>
      </c>
    </row>
    <row r="359" spans="1:25">
      <c r="P359" s="627"/>
      <c r="Q359" s="627"/>
      <c r="R359" s="627"/>
      <c r="S359" s="627"/>
      <c r="T359" s="627"/>
      <c r="U359" s="627"/>
      <c r="V359" s="627"/>
      <c r="W359" s="627"/>
      <c r="X359" s="627"/>
      <c r="Y359" s="627"/>
    </row>
  </sheetData>
  <autoFilter ref="A2:AE352">
    <filterColumn colId="1">
      <filters>
        <filter val="1180"/>
      </filters>
    </filterColumn>
  </autoFilter>
  <mergeCells count="7">
    <mergeCell ref="AA8:AD8"/>
    <mergeCell ref="A1:F1"/>
    <mergeCell ref="G1:O1"/>
    <mergeCell ref="P1:R1"/>
    <mergeCell ref="S1:U1"/>
    <mergeCell ref="W1:Y1"/>
    <mergeCell ref="AA1:AD1"/>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70C0"/>
  </sheetPr>
  <dimension ref="A1:AD360"/>
  <sheetViews>
    <sheetView showGridLines="0" zoomScale="70" zoomScaleNormal="70" workbookViewId="0">
      <pane ySplit="2" topLeftCell="A3" activePane="bottomLeft" state="frozen"/>
      <selection activeCell="O24" sqref="A1:XFD1048576"/>
      <selection pane="bottomLeft" activeCell="Y356" sqref="A1:Y356"/>
    </sheetView>
  </sheetViews>
  <sheetFormatPr defaultColWidth="9.109375" defaultRowHeight="13.8"/>
  <cols>
    <col min="1" max="1" width="43.88671875" style="286" customWidth="1"/>
    <col min="2" max="2" width="22.109375" style="286" bestFit="1" customWidth="1"/>
    <col min="3" max="3" width="20.33203125" style="286" bestFit="1" customWidth="1"/>
    <col min="4" max="4" width="25" style="286" bestFit="1" customWidth="1"/>
    <col min="5" max="5" width="17" style="286" bestFit="1" customWidth="1"/>
    <col min="6" max="6" width="16.5546875" style="286" bestFit="1" customWidth="1"/>
    <col min="7" max="7" width="9.109375" style="286"/>
    <col min="8" max="8" width="19.109375" style="286" customWidth="1"/>
    <col min="9" max="9" width="19" style="286" customWidth="1"/>
    <col min="10" max="10" width="21.44140625" style="286" customWidth="1"/>
    <col min="11" max="14" width="17.6640625" style="286" customWidth="1"/>
    <col min="15" max="15" width="25" style="286" bestFit="1" customWidth="1"/>
    <col min="16" max="16" width="19.5546875" style="4" customWidth="1"/>
    <col min="17" max="17" width="16.44140625" style="4" customWidth="1"/>
    <col min="18" max="18" width="12.109375" style="4" customWidth="1"/>
    <col min="19" max="19" width="15.6640625" style="4" bestFit="1" customWidth="1"/>
    <col min="20" max="20" width="22.44140625" style="4" customWidth="1"/>
    <col min="21" max="21" width="16.109375" style="4" bestFit="1" customWidth="1"/>
    <col min="22" max="22" width="22.33203125" style="4" customWidth="1"/>
    <col min="23" max="23" width="17.88671875" style="4" bestFit="1" customWidth="1"/>
    <col min="24" max="24" width="15.33203125" style="4" bestFit="1" customWidth="1"/>
    <col min="25" max="25" width="16.109375" style="4" bestFit="1" customWidth="1"/>
    <col min="26" max="26" width="19.44140625" style="286" customWidth="1"/>
    <col min="27" max="27" width="29.44140625" style="286" customWidth="1"/>
    <col min="28" max="28" width="20.33203125" style="286" bestFit="1" customWidth="1"/>
    <col min="29" max="29" width="18.6640625" style="286" bestFit="1" customWidth="1"/>
    <col min="30" max="30" width="24" style="286" bestFit="1" customWidth="1"/>
    <col min="31" max="16384" width="9.109375" style="286"/>
  </cols>
  <sheetData>
    <row r="1" spans="1:30" ht="14.4" thickBot="1">
      <c r="A1" s="1015" t="s">
        <v>2066</v>
      </c>
      <c r="B1" s="1016"/>
      <c r="C1" s="1016"/>
      <c r="D1" s="1016"/>
      <c r="E1" s="1016"/>
      <c r="F1" s="1017"/>
      <c r="G1" s="1018" t="s">
        <v>51</v>
      </c>
      <c r="H1" s="1019"/>
      <c r="I1" s="1019"/>
      <c r="J1" s="1019"/>
      <c r="K1" s="1019"/>
      <c r="L1" s="1019"/>
      <c r="M1" s="1019"/>
      <c r="N1" s="1019"/>
      <c r="O1" s="1019"/>
      <c r="P1" s="993" t="s">
        <v>101</v>
      </c>
      <c r="Q1" s="994"/>
      <c r="R1" s="995"/>
      <c r="S1" s="990" t="s">
        <v>103</v>
      </c>
      <c r="T1" s="991"/>
      <c r="U1" s="992"/>
      <c r="V1" s="285" t="s">
        <v>725</v>
      </c>
      <c r="W1" s="987" t="s">
        <v>45</v>
      </c>
      <c r="X1" s="988"/>
      <c r="Y1" s="989"/>
      <c r="AA1" s="1014" t="s">
        <v>147</v>
      </c>
      <c r="AB1" s="1014"/>
      <c r="AC1" s="1014"/>
      <c r="AD1" s="1014"/>
    </row>
    <row r="2" spans="1:30" ht="27.6">
      <c r="A2" s="287" t="s">
        <v>135</v>
      </c>
      <c r="B2" s="288" t="s">
        <v>136</v>
      </c>
      <c r="C2" s="288" t="s">
        <v>1496</v>
      </c>
      <c r="D2" s="289" t="s">
        <v>142</v>
      </c>
      <c r="E2" s="289" t="s">
        <v>1679</v>
      </c>
      <c r="F2" s="290" t="s">
        <v>141</v>
      </c>
      <c r="G2" s="291" t="s">
        <v>30</v>
      </c>
      <c r="H2" s="292" t="s">
        <v>137</v>
      </c>
      <c r="I2" s="292">
        <v>2015</v>
      </c>
      <c r="J2" s="292">
        <v>2016</v>
      </c>
      <c r="K2" s="292">
        <v>2017</v>
      </c>
      <c r="L2" s="292">
        <v>2018</v>
      </c>
      <c r="M2" s="293">
        <v>2019</v>
      </c>
      <c r="N2" s="293">
        <v>2020</v>
      </c>
      <c r="O2" s="294" t="s">
        <v>1504</v>
      </c>
      <c r="P2" s="295" t="s">
        <v>99</v>
      </c>
      <c r="Q2" s="296" t="s">
        <v>100</v>
      </c>
      <c r="R2" s="297" t="s">
        <v>102</v>
      </c>
      <c r="S2" s="298" t="s">
        <v>53</v>
      </c>
      <c r="T2" s="299" t="s">
        <v>50</v>
      </c>
      <c r="U2" s="300" t="s">
        <v>102</v>
      </c>
      <c r="V2" s="301" t="s">
        <v>725</v>
      </c>
      <c r="W2" s="302" t="s">
        <v>104</v>
      </c>
      <c r="X2" s="303" t="s">
        <v>74</v>
      </c>
      <c r="Y2" s="304" t="s">
        <v>50</v>
      </c>
      <c r="AA2" s="305"/>
      <c r="AB2" s="305" t="s">
        <v>49</v>
      </c>
      <c r="AC2" s="305" t="s">
        <v>74</v>
      </c>
      <c r="AD2" s="305" t="s">
        <v>146</v>
      </c>
    </row>
    <row r="3" spans="1:30">
      <c r="A3" s="754" t="str">
        <f>'Func Future Subs 2015'!A3</f>
        <v>Brintnell 876S</v>
      </c>
      <c r="B3" s="754">
        <f>'Func Future Subs 2015'!B3</f>
        <v>437</v>
      </c>
      <c r="C3" s="754">
        <f>'Func Future Subs 2015'!C3</f>
        <v>240</v>
      </c>
      <c r="D3" s="754">
        <f>'Func Future Subs 2015'!D3</f>
        <v>25</v>
      </c>
      <c r="E3" s="754" t="str">
        <f>'Func Future Subs 2015'!E3</f>
        <v>876S</v>
      </c>
      <c r="F3" s="754">
        <f>'Func Future Subs 2015'!F3</f>
        <v>2902755.0596147967</v>
      </c>
      <c r="G3" s="754" t="str">
        <f>'Func Future Subs 2015'!G3</f>
        <v>ATCO</v>
      </c>
      <c r="H3" s="754">
        <f>'Func Future Subs 2015'!H3</f>
        <v>2016</v>
      </c>
      <c r="I3" s="306">
        <f>+IF($H3=I$2,VLOOKUP($G3,Depreciation!$A$14:$L$18,7,FALSE)/2,IF($H3&lt;I$2,VLOOKUP($G3,Depreciation!$A$14:$L$18,7,FALSE),0))</f>
        <v>0</v>
      </c>
      <c r="J3" s="306">
        <f>+IF($H3=J$2,VLOOKUP($G3,Depreciation!$A$14:$L$18,8,FALSE)/2,IF($H3&lt;J$2,VLOOKUP($G3,Depreciation!$A$14:$L$18,8,FALSE),0))</f>
        <v>1.231622525054236E-2</v>
      </c>
      <c r="K3" s="306">
        <f>+IF($H3=K$2,VLOOKUP($G3,Depreciation!$A$14:$L$18,9,FALSE)/2,IF($H3&lt;K$2,VLOOKUP($G3,Depreciation!$A$14:$L$18,9,FALSE),0))</f>
        <v>2.4351536427798831E-2</v>
      </c>
      <c r="L3" s="306">
        <f>+IF($H3=L$2,VLOOKUP($G3,Depreciation!$A$14:$L$18,10,FALSE)/2,IF($H3&lt;L$2,VLOOKUP($G3,Depreciation!$A$14:$L$18,10,FALSE),0))</f>
        <v>2.4351536427798831E-2</v>
      </c>
      <c r="M3" s="306">
        <f>+IF($H3=M$2,VLOOKUP($G3,Depreciation!$A$14:$L$18,11,FALSE)/2,IF($H3&lt;M$2,VLOOKUP($G3,Depreciation!$A$14:$L$18,11,FALSE),0))</f>
        <v>2.4351536427798831E-2</v>
      </c>
      <c r="N3" s="306">
        <f>+IF($H3=N$2,VLOOKUP($G3,Depreciation!$A$14:$L$18,12,FALSE)/2,IF($H3&lt;N$2,VLOOKUP($G3,Depreciation!$A$14:$L$18,12,FALSE),0))</f>
        <v>2.4351536427798831E-2</v>
      </c>
      <c r="O3" s="307">
        <f>IF(H3&lt;=2018,F3*(1-I3)*(1-J3)*(1-K3)*(1-L3),0)</f>
        <v>2729072.2918889415</v>
      </c>
      <c r="P3" s="732">
        <f>'Func Future Subs 2015'!P3</f>
        <v>0</v>
      </c>
      <c r="Q3" s="732">
        <f>'Func Future Subs 2015'!Q3</f>
        <v>1</v>
      </c>
      <c r="R3" s="732">
        <f>'Func Future Subs 2015'!R3</f>
        <v>0</v>
      </c>
      <c r="S3" s="735">
        <f>+P3*$O3</f>
        <v>0</v>
      </c>
      <c r="T3" s="735">
        <f t="shared" ref="T3:U3" si="0">+Q3*$O3</f>
        <v>2729072.2918889415</v>
      </c>
      <c r="U3" s="735">
        <f t="shared" si="0"/>
        <v>0</v>
      </c>
      <c r="V3" s="736">
        <f>IF(AND(R3=1,D3=0),O3,0)</f>
        <v>0</v>
      </c>
      <c r="W3" s="735">
        <f>S3+IF(D3&gt;144,U3,0)</f>
        <v>0</v>
      </c>
      <c r="X3" s="737">
        <f>IF(AND(D3&lt;=144,D3&gt;=69),U3,0)</f>
        <v>0</v>
      </c>
      <c r="Y3" s="738">
        <f>T3+IF(AND(D3&lt;69,D3&gt;0),U3,0)</f>
        <v>2729072.2918889415</v>
      </c>
      <c r="Z3" s="627"/>
      <c r="AA3" s="313" t="s">
        <v>108</v>
      </c>
      <c r="AB3" s="314">
        <f>W356</f>
        <v>1472832860.3645513</v>
      </c>
      <c r="AC3" s="314">
        <f>X356</f>
        <v>590195397.62864721</v>
      </c>
      <c r="AD3" s="314">
        <f>Y356</f>
        <v>609813681.88416541</v>
      </c>
    </row>
    <row r="4" spans="1:30">
      <c r="A4" s="754" t="str">
        <f>'Func Future Subs 2015'!A4</f>
        <v>Paintearth 863S</v>
      </c>
      <c r="B4" s="754">
        <f>'Func Future Subs 2015'!B4</f>
        <v>437</v>
      </c>
      <c r="C4" s="754">
        <f>'Func Future Subs 2015'!C4</f>
        <v>240</v>
      </c>
      <c r="D4" s="754">
        <f>'Func Future Subs 2015'!D4</f>
        <v>25</v>
      </c>
      <c r="E4" s="754" t="str">
        <f>'Func Future Subs 2015'!E4</f>
        <v>863S</v>
      </c>
      <c r="F4" s="754">
        <f>'Func Future Subs 2015'!F4</f>
        <v>1919444.9403852033</v>
      </c>
      <c r="G4" s="754" t="str">
        <f>'Func Future Subs 2015'!G4</f>
        <v>ATCO</v>
      </c>
      <c r="H4" s="754">
        <f>'Func Future Subs 2015'!H4</f>
        <v>2016</v>
      </c>
      <c r="I4" s="306">
        <f>+IF($H4=I$2,VLOOKUP($G4,Depreciation!$A$14:$L$18,7,FALSE)/2,IF($H4&lt;I$2,VLOOKUP($G4,Depreciation!$A$14:$L$18,7,FALSE),0))</f>
        <v>0</v>
      </c>
      <c r="J4" s="306">
        <f>+IF($H4=J$2,VLOOKUP($G4,Depreciation!$A$14:$L$18,8,FALSE)/2,IF($H4&lt;J$2,VLOOKUP($G4,Depreciation!$A$14:$L$18,8,FALSE),0))</f>
        <v>1.231622525054236E-2</v>
      </c>
      <c r="K4" s="306">
        <f>+IF($H4=K$2,VLOOKUP($G4,Depreciation!$A$14:$L$18,9,FALSE)/2,IF($H4&lt;K$2,VLOOKUP($G4,Depreciation!$A$14:$L$18,9,FALSE),0))</f>
        <v>2.4351536427798831E-2</v>
      </c>
      <c r="L4" s="306">
        <f>+IF($H4=L$2,VLOOKUP($G4,Depreciation!$A$14:$L$18,10,FALSE)/2,IF($H4&lt;L$2,VLOOKUP($G4,Depreciation!$A$14:$L$18,10,FALSE),0))</f>
        <v>2.4351536427798831E-2</v>
      </c>
      <c r="M4" s="306">
        <f>+IF($H4=M$2,VLOOKUP($G4,Depreciation!$A$14:$L$18,11,FALSE)/2,IF($H4&lt;M$2,VLOOKUP($G4,Depreciation!$A$14:$L$18,11,FALSE),0))</f>
        <v>2.4351536427798831E-2</v>
      </c>
      <c r="N4" s="306">
        <f>+IF($H4=N$2,VLOOKUP($G4,Depreciation!$A$14:$L$18,12,FALSE)/2,IF($H4&lt;N$2,VLOOKUP($G4,Depreciation!$A$14:$L$18,12,FALSE),0))</f>
        <v>2.4351536427798831E-2</v>
      </c>
      <c r="O4" s="307">
        <f t="shared" ref="O4:O67" si="1">IF(H4&lt;=2018,F4*(1-I4)*(1-J4)*(1-K4)*(1-L4),0)</f>
        <v>1804597.3204872534</v>
      </c>
      <c r="P4" s="732">
        <f>'Func Future Subs 2015'!P4</f>
        <v>0</v>
      </c>
      <c r="Q4" s="732">
        <f>'Func Future Subs 2015'!Q4</f>
        <v>1</v>
      </c>
      <c r="R4" s="732">
        <f>'Func Future Subs 2015'!R4</f>
        <v>0</v>
      </c>
      <c r="S4" s="735">
        <f t="shared" ref="S4:S67" si="2">+P4*$O4</f>
        <v>0</v>
      </c>
      <c r="T4" s="735">
        <f t="shared" ref="T4:T67" si="3">+Q4*$O4</f>
        <v>1804597.3204872534</v>
      </c>
      <c r="U4" s="735">
        <f t="shared" ref="U4:U67" si="4">+R4*$O4</f>
        <v>0</v>
      </c>
      <c r="V4" s="736">
        <f t="shared" ref="V4:V67" si="5">IF(AND(R4=1,D4=0),O4,0)</f>
        <v>0</v>
      </c>
      <c r="W4" s="735">
        <f t="shared" ref="W4:W67" si="6">S4+IF(D4&gt;144,U4,0)</f>
        <v>0</v>
      </c>
      <c r="X4" s="737">
        <f t="shared" ref="X4:X67" si="7">IF(AND(D4&lt;=144,D4&gt;=69),U4,0)</f>
        <v>0</v>
      </c>
      <c r="Y4" s="738">
        <f t="shared" ref="Y4:Y67" si="8">T4+IF(AND(D4&lt;69,D4&gt;0),U4,0)</f>
        <v>1804597.3204872534</v>
      </c>
      <c r="Z4" s="627"/>
      <c r="AA4" s="313" t="s">
        <v>109</v>
      </c>
      <c r="AB4" s="315">
        <f>+AB3/SUM($AB$3:$AD$3)</f>
        <v>0.55103627281160084</v>
      </c>
      <c r="AC4" s="315">
        <f>+AC3/SUM($AB$3:$AD$3)</f>
        <v>0.22081193385334516</v>
      </c>
      <c r="AD4" s="315">
        <f>+AD3/SUM($AB$3:$AD$3)</f>
        <v>0.22815179333505411</v>
      </c>
    </row>
    <row r="5" spans="1:30">
      <c r="A5" s="754" t="str">
        <f>'Func Future Subs 2015'!A5</f>
        <v>Bowmanton 244S_(v1)</v>
      </c>
      <c r="B5" s="754">
        <f>'Func Future Subs 2015'!B5</f>
        <v>479</v>
      </c>
      <c r="C5" s="754">
        <f>'Func Future Subs 2015'!C5</f>
        <v>240</v>
      </c>
      <c r="D5" s="754">
        <f>'Func Future Subs 2015'!D5</f>
        <v>138</v>
      </c>
      <c r="E5" s="754" t="str">
        <f>'Func Future Subs 2015'!E5</f>
        <v>244S</v>
      </c>
      <c r="F5" s="754">
        <f>'Func Future Subs 2015'!F5</f>
        <v>6192429.956324066</v>
      </c>
      <c r="G5" s="754" t="str">
        <f>'Func Future Subs 2015'!G5</f>
        <v>AltaLink</v>
      </c>
      <c r="H5" s="754">
        <f>'Func Future Subs 2015'!H5</f>
        <v>2019</v>
      </c>
      <c r="I5" s="306">
        <f>+IF($H5=I$2,VLOOKUP($G5,Depreciation!$A$14:$L$18,7,FALSE)/2,IF($H5&lt;I$2,VLOOKUP($G5,Depreciation!$A$14:$L$18,7,FALSE),0))</f>
        <v>0</v>
      </c>
      <c r="J5" s="306">
        <f>+IF($H5=J$2,VLOOKUP($G5,Depreciation!$A$14:$L$18,8,FALSE)/2,IF($H5&lt;J$2,VLOOKUP($G5,Depreciation!$A$14:$L$18,8,FALSE),0))</f>
        <v>0</v>
      </c>
      <c r="K5" s="306">
        <f>+IF($H5=K$2,VLOOKUP($G5,Depreciation!$A$14:$L$18,9,FALSE)/2,IF($H5&lt;K$2,VLOOKUP($G5,Depreciation!$A$14:$L$18,9,FALSE),0))</f>
        <v>0</v>
      </c>
      <c r="L5" s="306">
        <f>+IF($H5=L$2,VLOOKUP($G5,Depreciation!$A$14:$L$18,10,FALSE)/2,IF($H5&lt;L$2,VLOOKUP($G5,Depreciation!$A$14:$L$18,10,FALSE),0))</f>
        <v>0</v>
      </c>
      <c r="M5" s="306">
        <f>+IF($H5=M$2,VLOOKUP($G5,Depreciation!$A$14:$L$18,11,FALSE)/2,IF($H5&lt;M$2,VLOOKUP($G5,Depreciation!$A$14:$L$18,11,FALSE),0))</f>
        <v>1.671703928371859E-2</v>
      </c>
      <c r="N5" s="306">
        <f>+IF($H5=N$2,VLOOKUP($G5,Depreciation!$A$14:$L$18,12,FALSE)/2,IF($H5&lt;N$2,VLOOKUP($G5,Depreciation!$A$14:$L$18,12,FALSE),0))</f>
        <v>3.343407856743718E-2</v>
      </c>
      <c r="O5" s="307">
        <f t="shared" si="1"/>
        <v>0</v>
      </c>
      <c r="P5" s="732">
        <f>'Func Future Subs 2015'!P5</f>
        <v>0</v>
      </c>
      <c r="Q5" s="732">
        <f>'Func Future Subs 2015'!Q5</f>
        <v>0</v>
      </c>
      <c r="R5" s="732">
        <f>'Func Future Subs 2015'!R5</f>
        <v>1</v>
      </c>
      <c r="S5" s="735">
        <f t="shared" si="2"/>
        <v>0</v>
      </c>
      <c r="T5" s="735">
        <f t="shared" si="3"/>
        <v>0</v>
      </c>
      <c r="U5" s="735">
        <f t="shared" si="4"/>
        <v>0</v>
      </c>
      <c r="V5" s="736">
        <f t="shared" si="5"/>
        <v>0</v>
      </c>
      <c r="W5" s="735">
        <f t="shared" si="6"/>
        <v>0</v>
      </c>
      <c r="X5" s="737">
        <f t="shared" si="7"/>
        <v>0</v>
      </c>
      <c r="Y5" s="738">
        <f t="shared" si="8"/>
        <v>0</v>
      </c>
    </row>
    <row r="6" spans="1:30">
      <c r="A6" s="754" t="str">
        <f>'Func Future Subs 2015'!A6</f>
        <v>Elkwater 264S_(v1)</v>
      </c>
      <c r="B6" s="754">
        <f>'Func Future Subs 2015'!B6</f>
        <v>479</v>
      </c>
      <c r="C6" s="754">
        <f>'Func Future Subs 2015'!C6</f>
        <v>240</v>
      </c>
      <c r="D6" s="754">
        <f>'Func Future Subs 2015'!D6</f>
        <v>240</v>
      </c>
      <c r="E6" s="754" t="str">
        <f>'Func Future Subs 2015'!E6</f>
        <v>264S</v>
      </c>
      <c r="F6" s="754">
        <f>'Func Future Subs 2015'!F6</f>
        <v>3207190.9954739143</v>
      </c>
      <c r="G6" s="754" t="str">
        <f>'Func Future Subs 2015'!G6</f>
        <v>AltaLink</v>
      </c>
      <c r="H6" s="754">
        <f>'Func Future Subs 2015'!H6</f>
        <v>2019</v>
      </c>
      <c r="I6" s="306">
        <f>+IF($H6=I$2,VLOOKUP($G6,Depreciation!$A$14:$L$18,7,FALSE)/2,IF($H6&lt;I$2,VLOOKUP($G6,Depreciation!$A$14:$L$18,7,FALSE),0))</f>
        <v>0</v>
      </c>
      <c r="J6" s="306">
        <f>+IF($H6=J$2,VLOOKUP($G6,Depreciation!$A$14:$L$18,8,FALSE)/2,IF($H6&lt;J$2,VLOOKUP($G6,Depreciation!$A$14:$L$18,8,FALSE),0))</f>
        <v>0</v>
      </c>
      <c r="K6" s="306">
        <f>+IF($H6=K$2,VLOOKUP($G6,Depreciation!$A$14:$L$18,9,FALSE)/2,IF($H6&lt;K$2,VLOOKUP($G6,Depreciation!$A$14:$L$18,9,FALSE),0))</f>
        <v>0</v>
      </c>
      <c r="L6" s="306">
        <f>+IF($H6=L$2,VLOOKUP($G6,Depreciation!$A$14:$L$18,10,FALSE)/2,IF($H6&lt;L$2,VLOOKUP($G6,Depreciation!$A$14:$L$18,10,FALSE),0))</f>
        <v>0</v>
      </c>
      <c r="M6" s="306">
        <f>+IF($H6=M$2,VLOOKUP($G6,Depreciation!$A$14:$L$18,11,FALSE)/2,IF($H6&lt;M$2,VLOOKUP($G6,Depreciation!$A$14:$L$18,11,FALSE),0))</f>
        <v>1.671703928371859E-2</v>
      </c>
      <c r="N6" s="306">
        <f>+IF($H6=N$2,VLOOKUP($G6,Depreciation!$A$14:$L$18,12,FALSE)/2,IF($H6&lt;N$2,VLOOKUP($G6,Depreciation!$A$14:$L$18,12,FALSE),0))</f>
        <v>3.343407856743718E-2</v>
      </c>
      <c r="O6" s="307">
        <f t="shared" si="1"/>
        <v>0</v>
      </c>
      <c r="P6" s="732">
        <f>'Func Future Subs 2015'!P6</f>
        <v>0</v>
      </c>
      <c r="Q6" s="732">
        <f>'Func Future Subs 2015'!Q6</f>
        <v>0</v>
      </c>
      <c r="R6" s="732">
        <f>'Func Future Subs 2015'!R6</f>
        <v>1</v>
      </c>
      <c r="S6" s="735">
        <f t="shared" si="2"/>
        <v>0</v>
      </c>
      <c r="T6" s="735">
        <f t="shared" si="3"/>
        <v>0</v>
      </c>
      <c r="U6" s="735">
        <f t="shared" si="4"/>
        <v>0</v>
      </c>
      <c r="V6" s="736">
        <f t="shared" si="5"/>
        <v>0</v>
      </c>
      <c r="W6" s="735">
        <f t="shared" si="6"/>
        <v>0</v>
      </c>
      <c r="X6" s="737">
        <f t="shared" si="7"/>
        <v>0</v>
      </c>
      <c r="Y6" s="738">
        <f t="shared" si="8"/>
        <v>0</v>
      </c>
      <c r="AA6" s="286" t="s">
        <v>180</v>
      </c>
      <c r="AB6" s="316">
        <f>+O356</f>
        <v>2884331405.453095</v>
      </c>
    </row>
    <row r="7" spans="1:30">
      <c r="A7" s="754" t="str">
        <f>'Func Future Subs 2015'!A7</f>
        <v>WildRose1 547S_(v1)</v>
      </c>
      <c r="B7" s="754">
        <f>'Func Future Subs 2015'!B7</f>
        <v>479</v>
      </c>
      <c r="C7" s="754">
        <f>'Func Future Subs 2015'!C7</f>
        <v>240</v>
      </c>
      <c r="D7" s="754">
        <f>'Func Future Subs 2015'!D7</f>
        <v>0</v>
      </c>
      <c r="E7" s="754" t="str">
        <f>'Func Future Subs 2015'!E7</f>
        <v>547S</v>
      </c>
      <c r="F7" s="754">
        <f>'Func Future Subs 2015'!F7</f>
        <v>694965.93628763652</v>
      </c>
      <c r="G7" s="754" t="str">
        <f>'Func Future Subs 2015'!G7</f>
        <v>AltaLink</v>
      </c>
      <c r="H7" s="754">
        <f>'Func Future Subs 2015'!H7</f>
        <v>2019</v>
      </c>
      <c r="I7" s="306">
        <f>+IF($H7=I$2,VLOOKUP($G7,Depreciation!$A$14:$L$18,7,FALSE)/2,IF($H7&lt;I$2,VLOOKUP($G7,Depreciation!$A$14:$L$18,7,FALSE),0))</f>
        <v>0</v>
      </c>
      <c r="J7" s="306">
        <f>+IF($H7=J$2,VLOOKUP($G7,Depreciation!$A$14:$L$18,8,FALSE)/2,IF($H7&lt;J$2,VLOOKUP($G7,Depreciation!$A$14:$L$18,8,FALSE),0))</f>
        <v>0</v>
      </c>
      <c r="K7" s="306">
        <f>+IF($H7=K$2,VLOOKUP($G7,Depreciation!$A$14:$L$18,9,FALSE)/2,IF($H7&lt;K$2,VLOOKUP($G7,Depreciation!$A$14:$L$18,9,FALSE),0))</f>
        <v>0</v>
      </c>
      <c r="L7" s="306">
        <f>+IF($H7=L$2,VLOOKUP($G7,Depreciation!$A$14:$L$18,10,FALSE)/2,IF($H7&lt;L$2,VLOOKUP($G7,Depreciation!$A$14:$L$18,10,FALSE),0))</f>
        <v>0</v>
      </c>
      <c r="M7" s="306">
        <f>+IF($H7=M$2,VLOOKUP($G7,Depreciation!$A$14:$L$18,11,FALSE)/2,IF($H7&lt;M$2,VLOOKUP($G7,Depreciation!$A$14:$L$18,11,FALSE),0))</f>
        <v>1.671703928371859E-2</v>
      </c>
      <c r="N7" s="306">
        <f>+IF($H7=N$2,VLOOKUP($G7,Depreciation!$A$14:$L$18,12,FALSE)/2,IF($H7&lt;N$2,VLOOKUP($G7,Depreciation!$A$14:$L$18,12,FALSE),0))</f>
        <v>3.343407856743718E-2</v>
      </c>
      <c r="O7" s="307">
        <f t="shared" si="1"/>
        <v>0</v>
      </c>
      <c r="P7" s="732">
        <f>'Func Future Subs 2015'!P7</f>
        <v>0</v>
      </c>
      <c r="Q7" s="732">
        <f>'Func Future Subs 2015'!Q7</f>
        <v>0</v>
      </c>
      <c r="R7" s="732">
        <f>'Func Future Subs 2015'!R7</f>
        <v>1</v>
      </c>
      <c r="S7" s="735">
        <f t="shared" si="2"/>
        <v>0</v>
      </c>
      <c r="T7" s="735">
        <f t="shared" si="3"/>
        <v>0</v>
      </c>
      <c r="U7" s="735">
        <f t="shared" si="4"/>
        <v>0</v>
      </c>
      <c r="V7" s="736">
        <f t="shared" si="5"/>
        <v>0</v>
      </c>
      <c r="W7" s="735">
        <f t="shared" si="6"/>
        <v>0</v>
      </c>
      <c r="X7" s="737">
        <f t="shared" si="7"/>
        <v>0</v>
      </c>
      <c r="Y7" s="738">
        <f t="shared" si="8"/>
        <v>0</v>
      </c>
    </row>
    <row r="8" spans="1:30">
      <c r="A8" s="754" t="str">
        <f>'Func Future Subs 2015'!A8</f>
        <v>Bullshead 532S</v>
      </c>
      <c r="B8" s="754">
        <f>'Func Future Subs 2015'!B8</f>
        <v>513</v>
      </c>
      <c r="C8" s="754">
        <f>'Func Future Subs 2015'!C8</f>
        <v>145</v>
      </c>
      <c r="D8" s="754">
        <f>'Func Future Subs 2015'!D8</f>
        <v>0</v>
      </c>
      <c r="E8" s="754" t="str">
        <f>'Func Future Subs 2015'!E8</f>
        <v>532S</v>
      </c>
      <c r="F8" s="754">
        <f>'Func Future Subs 2015'!F8</f>
        <v>637591.72154280276</v>
      </c>
      <c r="G8" s="754" t="str">
        <f>'Func Future Subs 2015'!G8</f>
        <v>AltaLink</v>
      </c>
      <c r="H8" s="754">
        <f>'Func Future Subs 2015'!H8</f>
        <v>2017</v>
      </c>
      <c r="I8" s="306">
        <f>+IF($H8=I$2,VLOOKUP($G8,Depreciation!$A$14:$L$18,7,FALSE)/2,IF($H8&lt;I$2,VLOOKUP($G8,Depreciation!$A$14:$L$18,7,FALSE),0))</f>
        <v>0</v>
      </c>
      <c r="J8" s="306">
        <f>+IF($H8=J$2,VLOOKUP($G8,Depreciation!$A$14:$L$18,8,FALSE)/2,IF($H8&lt;J$2,VLOOKUP($G8,Depreciation!$A$14:$L$18,8,FALSE),0))</f>
        <v>0</v>
      </c>
      <c r="K8" s="306">
        <f>+IF($H8=K$2,VLOOKUP($G8,Depreciation!$A$14:$L$18,9,FALSE)/2,IF($H8&lt;K$2,VLOOKUP($G8,Depreciation!$A$14:$L$18,9,FALSE),0))</f>
        <v>1.671703928371859E-2</v>
      </c>
      <c r="L8" s="306">
        <f>+IF($H8=L$2,VLOOKUP($G8,Depreciation!$A$14:$L$18,10,FALSE)/2,IF($H8&lt;L$2,VLOOKUP($G8,Depreciation!$A$14:$L$18,10,FALSE),0))</f>
        <v>3.343407856743718E-2</v>
      </c>
      <c r="M8" s="306">
        <f>+IF($H8=M$2,VLOOKUP($G8,Depreciation!$A$14:$L$18,11,FALSE)/2,IF($H8&lt;M$2,VLOOKUP($G8,Depreciation!$A$14:$L$18,11,FALSE),0))</f>
        <v>3.343407856743718E-2</v>
      </c>
      <c r="N8" s="306">
        <f>+IF($H8=N$2,VLOOKUP($G8,Depreciation!$A$14:$L$18,12,FALSE)/2,IF($H8&lt;N$2,VLOOKUP($G8,Depreciation!$A$14:$L$18,12,FALSE),0))</f>
        <v>3.343407856743718E-2</v>
      </c>
      <c r="O8" s="307">
        <f t="shared" si="1"/>
        <v>605972.14597776055</v>
      </c>
      <c r="P8" s="732">
        <f>'Func Future Subs 2015'!P8</f>
        <v>0</v>
      </c>
      <c r="Q8" s="732">
        <f>'Func Future Subs 2015'!Q8</f>
        <v>0</v>
      </c>
      <c r="R8" s="732">
        <f>'Func Future Subs 2015'!R8</f>
        <v>1</v>
      </c>
      <c r="S8" s="735">
        <f t="shared" si="2"/>
        <v>0</v>
      </c>
      <c r="T8" s="735">
        <f t="shared" si="3"/>
        <v>0</v>
      </c>
      <c r="U8" s="735">
        <f t="shared" si="4"/>
        <v>605972.14597776055</v>
      </c>
      <c r="V8" s="736">
        <f t="shared" si="5"/>
        <v>605972.14597776055</v>
      </c>
      <c r="W8" s="735">
        <f t="shared" si="6"/>
        <v>0</v>
      </c>
      <c r="X8" s="737">
        <f t="shared" si="7"/>
        <v>0</v>
      </c>
      <c r="Y8" s="738">
        <f t="shared" si="8"/>
        <v>0</v>
      </c>
      <c r="AA8" s="1014" t="s">
        <v>147</v>
      </c>
      <c r="AB8" s="1014"/>
      <c r="AC8" s="1014"/>
      <c r="AD8" s="1014"/>
    </row>
    <row r="9" spans="1:30">
      <c r="A9" s="754" t="str">
        <f>'Func Future Subs 2015'!A9</f>
        <v>Medicine Hat 41S</v>
      </c>
      <c r="B9" s="754">
        <f>'Func Future Subs 2015'!B9</f>
        <v>513</v>
      </c>
      <c r="C9" s="754">
        <f>'Func Future Subs 2015'!C9</f>
        <v>240</v>
      </c>
      <c r="D9" s="754">
        <f>'Func Future Subs 2015'!D9</f>
        <v>69</v>
      </c>
      <c r="E9" s="754" t="str">
        <f>'Func Future Subs 2015'!E9</f>
        <v>41S</v>
      </c>
      <c r="F9" s="754">
        <f>'Func Future Subs 2015'!F9</f>
        <v>338720.60206961393</v>
      </c>
      <c r="G9" s="754" t="str">
        <f>'Func Future Subs 2015'!G9</f>
        <v>AltaLink</v>
      </c>
      <c r="H9" s="754">
        <f>'Func Future Subs 2015'!H9</f>
        <v>2017</v>
      </c>
      <c r="I9" s="306">
        <f>+IF($H9=I$2,VLOOKUP($G9,Depreciation!$A$14:$L$18,7,FALSE)/2,IF($H9&lt;I$2,VLOOKUP($G9,Depreciation!$A$14:$L$18,7,FALSE),0))</f>
        <v>0</v>
      </c>
      <c r="J9" s="306">
        <f>+IF($H9=J$2,VLOOKUP($G9,Depreciation!$A$14:$L$18,8,FALSE)/2,IF($H9&lt;J$2,VLOOKUP($G9,Depreciation!$A$14:$L$18,8,FALSE),0))</f>
        <v>0</v>
      </c>
      <c r="K9" s="306">
        <f>+IF($H9=K$2,VLOOKUP($G9,Depreciation!$A$14:$L$18,9,FALSE)/2,IF($H9&lt;K$2,VLOOKUP($G9,Depreciation!$A$14:$L$18,9,FALSE),0))</f>
        <v>1.671703928371859E-2</v>
      </c>
      <c r="L9" s="306">
        <f>+IF($H9=L$2,VLOOKUP($G9,Depreciation!$A$14:$L$18,10,FALSE)/2,IF($H9&lt;L$2,VLOOKUP($G9,Depreciation!$A$14:$L$18,10,FALSE),0))</f>
        <v>3.343407856743718E-2</v>
      </c>
      <c r="M9" s="306">
        <f>+IF($H9=M$2,VLOOKUP($G9,Depreciation!$A$14:$L$18,11,FALSE)/2,IF($H9&lt;M$2,VLOOKUP($G9,Depreciation!$A$14:$L$18,11,FALSE),0))</f>
        <v>3.343407856743718E-2</v>
      </c>
      <c r="N9" s="306">
        <f>+IF($H9=N$2,VLOOKUP($G9,Depreciation!$A$14:$L$18,12,FALSE)/2,IF($H9&lt;N$2,VLOOKUP($G9,Depreciation!$A$14:$L$18,12,FALSE),0))</f>
        <v>3.343407856743718E-2</v>
      </c>
      <c r="O9" s="307">
        <f t="shared" si="1"/>
        <v>321922.70255068527</v>
      </c>
      <c r="P9" s="732">
        <f>'Func Future Subs 2015'!P9</f>
        <v>0.796875</v>
      </c>
      <c r="Q9" s="732">
        <f>'Func Future Subs 2015'!Q9</f>
        <v>0.203125</v>
      </c>
      <c r="R9" s="732">
        <f>'Func Future Subs 2015'!R9</f>
        <v>0</v>
      </c>
      <c r="S9" s="735">
        <f t="shared" si="2"/>
        <v>256532.15359507731</v>
      </c>
      <c r="T9" s="735">
        <f t="shared" si="3"/>
        <v>65390.548955607941</v>
      </c>
      <c r="U9" s="735">
        <f t="shared" si="4"/>
        <v>0</v>
      </c>
      <c r="V9" s="736">
        <f t="shared" si="5"/>
        <v>0</v>
      </c>
      <c r="W9" s="735">
        <f t="shared" si="6"/>
        <v>256532.15359507731</v>
      </c>
      <c r="X9" s="737">
        <f t="shared" si="7"/>
        <v>0</v>
      </c>
      <c r="Y9" s="738">
        <f t="shared" si="8"/>
        <v>65390.548955607941</v>
      </c>
      <c r="AA9" s="305"/>
      <c r="AB9" s="305" t="s">
        <v>49</v>
      </c>
      <c r="AC9" s="305" t="s">
        <v>74</v>
      </c>
      <c r="AD9" s="305" t="s">
        <v>146</v>
      </c>
    </row>
    <row r="10" spans="1:30">
      <c r="A10" s="754" t="str">
        <f>'Func Future Subs 2015'!A10</f>
        <v>Taber 83S</v>
      </c>
      <c r="B10" s="754">
        <f>'Func Future Subs 2015'!B10</f>
        <v>513</v>
      </c>
      <c r="C10" s="754">
        <f>'Func Future Subs 2015'!C10</f>
        <v>240</v>
      </c>
      <c r="D10" s="754">
        <f>'Func Future Subs 2015'!D10</f>
        <v>25</v>
      </c>
      <c r="E10" s="754" t="str">
        <f>'Func Future Subs 2015'!E10</f>
        <v>83S</v>
      </c>
      <c r="F10" s="754">
        <f>'Func Future Subs 2015'!F10</f>
        <v>282267.16839134495</v>
      </c>
      <c r="G10" s="754" t="str">
        <f>'Func Future Subs 2015'!G10</f>
        <v>AltaLink</v>
      </c>
      <c r="H10" s="754">
        <f>'Func Future Subs 2015'!H10</f>
        <v>2017</v>
      </c>
      <c r="I10" s="306">
        <f>+IF($H10=I$2,VLOOKUP($G10,Depreciation!$A$14:$L$18,7,FALSE)/2,IF($H10&lt;I$2,VLOOKUP($G10,Depreciation!$A$14:$L$18,7,FALSE),0))</f>
        <v>0</v>
      </c>
      <c r="J10" s="306">
        <f>+IF($H10=J$2,VLOOKUP($G10,Depreciation!$A$14:$L$18,8,FALSE)/2,IF($H10&lt;J$2,VLOOKUP($G10,Depreciation!$A$14:$L$18,8,FALSE),0))</f>
        <v>0</v>
      </c>
      <c r="K10" s="306">
        <f>+IF($H10=K$2,VLOOKUP($G10,Depreciation!$A$14:$L$18,9,FALSE)/2,IF($H10&lt;K$2,VLOOKUP($G10,Depreciation!$A$14:$L$18,9,FALSE),0))</f>
        <v>1.671703928371859E-2</v>
      </c>
      <c r="L10" s="306">
        <f>+IF($H10=L$2,VLOOKUP($G10,Depreciation!$A$14:$L$18,10,FALSE)/2,IF($H10&lt;L$2,VLOOKUP($G10,Depreciation!$A$14:$L$18,10,FALSE),0))</f>
        <v>3.343407856743718E-2</v>
      </c>
      <c r="M10" s="306">
        <f>+IF($H10=M$2,VLOOKUP($G10,Depreciation!$A$14:$L$18,11,FALSE)/2,IF($H10&lt;M$2,VLOOKUP($G10,Depreciation!$A$14:$L$18,11,FALSE),0))</f>
        <v>3.343407856743718E-2</v>
      </c>
      <c r="N10" s="306">
        <f>+IF($H10=N$2,VLOOKUP($G10,Depreciation!$A$14:$L$18,12,FALSE)/2,IF($H10&lt;N$2,VLOOKUP($G10,Depreciation!$A$14:$L$18,12,FALSE),0))</f>
        <v>3.343407856743718E-2</v>
      </c>
      <c r="O10" s="307">
        <f t="shared" si="1"/>
        <v>268268.9187922377</v>
      </c>
      <c r="P10" s="732">
        <f>'Func Future Subs 2015'!P10</f>
        <v>0</v>
      </c>
      <c r="Q10" s="732">
        <f>'Func Future Subs 2015'!Q10</f>
        <v>1</v>
      </c>
      <c r="R10" s="732">
        <f>'Func Future Subs 2015'!R10</f>
        <v>0</v>
      </c>
      <c r="S10" s="735">
        <f t="shared" si="2"/>
        <v>0</v>
      </c>
      <c r="T10" s="735">
        <f t="shared" si="3"/>
        <v>268268.9187922377</v>
      </c>
      <c r="U10" s="735">
        <f t="shared" si="4"/>
        <v>0</v>
      </c>
      <c r="V10" s="736">
        <f t="shared" si="5"/>
        <v>0</v>
      </c>
      <c r="W10" s="735">
        <f t="shared" si="6"/>
        <v>0</v>
      </c>
      <c r="X10" s="737">
        <f t="shared" si="7"/>
        <v>0</v>
      </c>
      <c r="Y10" s="738">
        <f t="shared" si="8"/>
        <v>268268.9187922377</v>
      </c>
      <c r="AA10" s="313" t="s">
        <v>1681</v>
      </c>
      <c r="AB10" s="314">
        <f>AB4*$AB$6</f>
        <v>1589371227.2143197</v>
      </c>
      <c r="AC10" s="314">
        <f>AC4*$AB$6</f>
        <v>636894795.51203489</v>
      </c>
      <c r="AD10" s="314">
        <f>AD4*$AB$6</f>
        <v>658065382.72674072</v>
      </c>
    </row>
    <row r="11" spans="1:30">
      <c r="A11" s="754" t="str">
        <f>'Func Future Subs 2015'!A11</f>
        <v>Tothill 219S</v>
      </c>
      <c r="B11" s="754">
        <f>'Func Future Subs 2015'!B11</f>
        <v>513</v>
      </c>
      <c r="C11" s="754">
        <f>'Func Future Subs 2015'!C11</f>
        <v>138</v>
      </c>
      <c r="D11" s="754">
        <f>'Func Future Subs 2015'!D11</f>
        <v>0</v>
      </c>
      <c r="E11" s="754" t="str">
        <f>'Func Future Subs 2015'!E11</f>
        <v>219S</v>
      </c>
      <c r="F11" s="754">
        <f>'Func Future Subs 2015'!F11</f>
        <v>597742.23894637753</v>
      </c>
      <c r="G11" s="754" t="str">
        <f>'Func Future Subs 2015'!G11</f>
        <v>AltaLink</v>
      </c>
      <c r="H11" s="754">
        <f>'Func Future Subs 2015'!H11</f>
        <v>2017</v>
      </c>
      <c r="I11" s="306">
        <f>+IF($H11=I$2,VLOOKUP($G11,Depreciation!$A$14:$L$18,7,FALSE)/2,IF($H11&lt;I$2,VLOOKUP($G11,Depreciation!$A$14:$L$18,7,FALSE),0))</f>
        <v>0</v>
      </c>
      <c r="J11" s="306">
        <f>+IF($H11=J$2,VLOOKUP($G11,Depreciation!$A$14:$L$18,8,FALSE)/2,IF($H11&lt;J$2,VLOOKUP($G11,Depreciation!$A$14:$L$18,8,FALSE),0))</f>
        <v>0</v>
      </c>
      <c r="K11" s="306">
        <f>+IF($H11=K$2,VLOOKUP($G11,Depreciation!$A$14:$L$18,9,FALSE)/2,IF($H11&lt;K$2,VLOOKUP($G11,Depreciation!$A$14:$L$18,9,FALSE),0))</f>
        <v>1.671703928371859E-2</v>
      </c>
      <c r="L11" s="306">
        <f>+IF($H11=L$2,VLOOKUP($G11,Depreciation!$A$14:$L$18,10,FALSE)/2,IF($H11&lt;L$2,VLOOKUP($G11,Depreciation!$A$14:$L$18,10,FALSE),0))</f>
        <v>3.343407856743718E-2</v>
      </c>
      <c r="M11" s="306">
        <f>+IF($H11=M$2,VLOOKUP($G11,Depreciation!$A$14:$L$18,11,FALSE)/2,IF($H11&lt;M$2,VLOOKUP($G11,Depreciation!$A$14:$L$18,11,FALSE),0))</f>
        <v>3.343407856743718E-2</v>
      </c>
      <c r="N11" s="306">
        <f>+IF($H11=N$2,VLOOKUP($G11,Depreciation!$A$14:$L$18,12,FALSE)/2,IF($H11&lt;N$2,VLOOKUP($G11,Depreciation!$A$14:$L$18,12,FALSE),0))</f>
        <v>3.343407856743718E-2</v>
      </c>
      <c r="O11" s="307">
        <f t="shared" si="1"/>
        <v>568098.88685415045</v>
      </c>
      <c r="P11" s="732">
        <f>'Func Future Subs 2015'!P11</f>
        <v>0</v>
      </c>
      <c r="Q11" s="732">
        <f>'Func Future Subs 2015'!Q11</f>
        <v>0</v>
      </c>
      <c r="R11" s="732">
        <f>'Func Future Subs 2015'!R11</f>
        <v>1</v>
      </c>
      <c r="S11" s="735">
        <f t="shared" si="2"/>
        <v>0</v>
      </c>
      <c r="T11" s="735">
        <f t="shared" si="3"/>
        <v>0</v>
      </c>
      <c r="U11" s="735">
        <f t="shared" si="4"/>
        <v>568098.88685415045</v>
      </c>
      <c r="V11" s="736">
        <f t="shared" si="5"/>
        <v>568098.88685415045</v>
      </c>
      <c r="W11" s="735">
        <f t="shared" si="6"/>
        <v>0</v>
      </c>
      <c r="X11" s="737">
        <f t="shared" si="7"/>
        <v>0</v>
      </c>
      <c r="Y11" s="738">
        <f t="shared" si="8"/>
        <v>0</v>
      </c>
    </row>
    <row r="12" spans="1:30">
      <c r="A12" s="754" t="str">
        <f>'Func Future Subs 2015'!A12</f>
        <v>Castle Rock Ridge 205S Substation</v>
      </c>
      <c r="B12" s="754">
        <f>'Func Future Subs 2015'!B12</f>
        <v>524</v>
      </c>
      <c r="C12" s="754">
        <f>'Func Future Subs 2015'!C12</f>
        <v>240</v>
      </c>
      <c r="D12" s="754">
        <f>'Func Future Subs 2015'!D12</f>
        <v>25</v>
      </c>
      <c r="E12" s="754" t="str">
        <f>'Func Future Subs 2015'!E12</f>
        <v>205S</v>
      </c>
      <c r="F12" s="754">
        <f>'Func Future Subs 2015'!F12</f>
        <v>3365840.0000000009</v>
      </c>
      <c r="G12" s="754" t="str">
        <f>'Func Future Subs 2015'!G12</f>
        <v>AltaLink</v>
      </c>
      <c r="H12" s="754">
        <f>'Func Future Subs 2015'!H12</f>
        <v>2017</v>
      </c>
      <c r="I12" s="306">
        <f>+IF($H12=I$2,VLOOKUP($G12,Depreciation!$A$14:$L$18,7,FALSE)/2,IF($H12&lt;I$2,VLOOKUP($G12,Depreciation!$A$14:$L$18,7,FALSE),0))</f>
        <v>0</v>
      </c>
      <c r="J12" s="306">
        <f>+IF($H12=J$2,VLOOKUP($G12,Depreciation!$A$14:$L$18,8,FALSE)/2,IF($H12&lt;J$2,VLOOKUP($G12,Depreciation!$A$14:$L$18,8,FALSE),0))</f>
        <v>0</v>
      </c>
      <c r="K12" s="306">
        <f>+IF($H12=K$2,VLOOKUP($G12,Depreciation!$A$14:$L$18,9,FALSE)/2,IF($H12&lt;K$2,VLOOKUP($G12,Depreciation!$A$14:$L$18,9,FALSE),0))</f>
        <v>1.671703928371859E-2</v>
      </c>
      <c r="L12" s="306">
        <f>+IF($H12=L$2,VLOOKUP($G12,Depreciation!$A$14:$L$18,10,FALSE)/2,IF($H12&lt;L$2,VLOOKUP($G12,Depreciation!$A$14:$L$18,10,FALSE),0))</f>
        <v>3.343407856743718E-2</v>
      </c>
      <c r="M12" s="306">
        <f>+IF($H12=M$2,VLOOKUP($G12,Depreciation!$A$14:$L$18,11,FALSE)/2,IF($H12&lt;M$2,VLOOKUP($G12,Depreciation!$A$14:$L$18,11,FALSE),0))</f>
        <v>3.343407856743718E-2</v>
      </c>
      <c r="N12" s="306">
        <f>+IF($H12=N$2,VLOOKUP($G12,Depreciation!$A$14:$L$18,12,FALSE)/2,IF($H12&lt;N$2,VLOOKUP($G12,Depreciation!$A$14:$L$18,12,FALSE),0))</f>
        <v>3.343407856743718E-2</v>
      </c>
      <c r="O12" s="307">
        <f t="shared" si="1"/>
        <v>3198920.5927619049</v>
      </c>
      <c r="P12" s="732">
        <f>'Func Future Subs 2015'!P12</f>
        <v>0.99826388888888884</v>
      </c>
      <c r="Q12" s="732">
        <f>'Func Future Subs 2015'!Q12</f>
        <v>1.7361111111111112E-3</v>
      </c>
      <c r="R12" s="732">
        <f>'Func Future Subs 2015'!R12</f>
        <v>4.9222778630841901E-17</v>
      </c>
      <c r="S12" s="735">
        <f t="shared" si="2"/>
        <v>3193366.9111772487</v>
      </c>
      <c r="T12" s="735">
        <f t="shared" si="3"/>
        <v>5553.6815846560858</v>
      </c>
      <c r="U12" s="735">
        <f t="shared" si="4"/>
        <v>1.5745976019516081E-10</v>
      </c>
      <c r="V12" s="736">
        <f t="shared" si="5"/>
        <v>0</v>
      </c>
      <c r="W12" s="735">
        <f t="shared" si="6"/>
        <v>3193366.9111772487</v>
      </c>
      <c r="X12" s="737">
        <f t="shared" si="7"/>
        <v>0</v>
      </c>
      <c r="Y12" s="738">
        <f t="shared" si="8"/>
        <v>5553.6815846562431</v>
      </c>
    </row>
    <row r="13" spans="1:30">
      <c r="A13" s="754" t="str">
        <f>'Func Future Subs 2015'!A13</f>
        <v>Bannerman 681S</v>
      </c>
      <c r="B13" s="754">
        <f>'Func Future Subs 2015'!B13</f>
        <v>559</v>
      </c>
      <c r="C13" s="754">
        <f>'Func Future Subs 2015'!C13</f>
        <v>240</v>
      </c>
      <c r="D13" s="754">
        <f>'Func Future Subs 2015'!D13</f>
        <v>25</v>
      </c>
      <c r="E13" s="754" t="str">
        <f>'Func Future Subs 2015'!E13</f>
        <v>681S</v>
      </c>
      <c r="F13" s="754">
        <f>'Func Future Subs 2015'!F13</f>
        <v>40330685.047325686</v>
      </c>
      <c r="G13" s="754" t="str">
        <f>'Func Future Subs 2015'!G13</f>
        <v>AltaLink</v>
      </c>
      <c r="H13" s="754">
        <f>'Func Future Subs 2015'!H13</f>
        <v>2015</v>
      </c>
      <c r="I13" s="306">
        <f>+IF($H13=I$2,VLOOKUP($G13,Depreciation!$A$14:$L$18,7,FALSE)/2,IF($H13&lt;I$2,VLOOKUP($G13,Depreciation!$A$14:$L$18,7,FALSE),0))</f>
        <v>1.7228380322441735E-2</v>
      </c>
      <c r="J13" s="306">
        <f>+IF($H13=J$2,VLOOKUP($G13,Depreciation!$A$14:$L$18,8,FALSE)/2,IF($H13&lt;J$2,VLOOKUP($G13,Depreciation!$A$14:$L$18,8,FALSE),0))</f>
        <v>3.343407856743718E-2</v>
      </c>
      <c r="K13" s="306">
        <f>+IF($H13=K$2,VLOOKUP($G13,Depreciation!$A$14:$L$18,9,FALSE)/2,IF($H13&lt;K$2,VLOOKUP($G13,Depreciation!$A$14:$L$18,9,FALSE),0))</f>
        <v>3.343407856743718E-2</v>
      </c>
      <c r="L13" s="306">
        <f>+IF($H13=L$2,VLOOKUP($G13,Depreciation!$A$14:$L$18,10,FALSE)/2,IF($H13&lt;L$2,VLOOKUP($G13,Depreciation!$A$14:$L$18,10,FALSE),0))</f>
        <v>3.343407856743718E-2</v>
      </c>
      <c r="M13" s="306">
        <f>+IF($H13=M$2,VLOOKUP($G13,Depreciation!$A$14:$L$18,11,FALSE)/2,IF($H13&lt;M$2,VLOOKUP($G13,Depreciation!$A$14:$L$18,11,FALSE),0))</f>
        <v>3.343407856743718E-2</v>
      </c>
      <c r="N13" s="306">
        <f>+IF($H13=N$2,VLOOKUP($G13,Depreciation!$A$14:$L$18,12,FALSE)/2,IF($H13&lt;N$2,VLOOKUP($G13,Depreciation!$A$14:$L$18,12,FALSE),0))</f>
        <v>3.343407856743718E-2</v>
      </c>
      <c r="O13" s="307">
        <f t="shared" si="1"/>
        <v>35791726.02541279</v>
      </c>
      <c r="P13" s="732">
        <f>'Func Future Subs 2015'!P13</f>
        <v>0</v>
      </c>
      <c r="Q13" s="732">
        <f>'Func Future Subs 2015'!Q13</f>
        <v>1</v>
      </c>
      <c r="R13" s="732">
        <f>'Func Future Subs 2015'!R13</f>
        <v>0</v>
      </c>
      <c r="S13" s="735">
        <f t="shared" si="2"/>
        <v>0</v>
      </c>
      <c r="T13" s="735">
        <f t="shared" si="3"/>
        <v>35791726.02541279</v>
      </c>
      <c r="U13" s="735">
        <f t="shared" si="4"/>
        <v>0</v>
      </c>
      <c r="V13" s="736">
        <f t="shared" si="5"/>
        <v>0</v>
      </c>
      <c r="W13" s="735">
        <f t="shared" si="6"/>
        <v>0</v>
      </c>
      <c r="X13" s="737">
        <f t="shared" si="7"/>
        <v>0</v>
      </c>
      <c r="Y13" s="738">
        <f t="shared" si="8"/>
        <v>35791726.02541279</v>
      </c>
    </row>
    <row r="14" spans="1:30">
      <c r="A14" s="754" t="str">
        <f>'Func Future Subs 2015'!A14</f>
        <v>Deerland 013S</v>
      </c>
      <c r="B14" s="754">
        <f>'Func Future Subs 2015'!B14</f>
        <v>559</v>
      </c>
      <c r="C14" s="754">
        <f>'Func Future Subs 2015'!C14</f>
        <v>240</v>
      </c>
      <c r="D14" s="754">
        <f>'Func Future Subs 2015'!D14</f>
        <v>138</v>
      </c>
      <c r="E14" s="754" t="str">
        <f>'Func Future Subs 2015'!E14</f>
        <v>13S</v>
      </c>
      <c r="F14" s="754">
        <f>'Func Future Subs 2015'!F14</f>
        <v>5142.2812693605028</v>
      </c>
      <c r="G14" s="754" t="str">
        <f>'Func Future Subs 2015'!G14</f>
        <v>AltaLink</v>
      </c>
      <c r="H14" s="754">
        <f>'Func Future Subs 2015'!H14</f>
        <v>2015</v>
      </c>
      <c r="I14" s="306">
        <f>+IF($H14=I$2,VLOOKUP($G14,Depreciation!$A$14:$L$18,7,FALSE)/2,IF($H14&lt;I$2,VLOOKUP($G14,Depreciation!$A$14:$L$18,7,FALSE),0))</f>
        <v>1.7228380322441735E-2</v>
      </c>
      <c r="J14" s="306">
        <f>+IF($H14=J$2,VLOOKUP($G14,Depreciation!$A$14:$L$18,8,FALSE)/2,IF($H14&lt;J$2,VLOOKUP($G14,Depreciation!$A$14:$L$18,8,FALSE),0))</f>
        <v>3.343407856743718E-2</v>
      </c>
      <c r="K14" s="306">
        <f>+IF($H14=K$2,VLOOKUP($G14,Depreciation!$A$14:$L$18,9,FALSE)/2,IF($H14&lt;K$2,VLOOKUP($G14,Depreciation!$A$14:$L$18,9,FALSE),0))</f>
        <v>3.343407856743718E-2</v>
      </c>
      <c r="L14" s="306">
        <f>+IF($H14=L$2,VLOOKUP($G14,Depreciation!$A$14:$L$18,10,FALSE)/2,IF($H14&lt;L$2,VLOOKUP($G14,Depreciation!$A$14:$L$18,10,FALSE),0))</f>
        <v>3.343407856743718E-2</v>
      </c>
      <c r="M14" s="306">
        <f>+IF($H14=M$2,VLOOKUP($G14,Depreciation!$A$14:$L$18,11,FALSE)/2,IF($H14&lt;M$2,VLOOKUP($G14,Depreciation!$A$14:$L$18,11,FALSE),0))</f>
        <v>3.343407856743718E-2</v>
      </c>
      <c r="N14" s="306">
        <f>+IF($H14=N$2,VLOOKUP($G14,Depreciation!$A$14:$L$18,12,FALSE)/2,IF($H14&lt;N$2,VLOOKUP($G14,Depreciation!$A$14:$L$18,12,FALSE),0))</f>
        <v>3.343407856743718E-2</v>
      </c>
      <c r="O14" s="307">
        <f t="shared" si="1"/>
        <v>4563.5506097302814</v>
      </c>
      <c r="P14" s="732">
        <f>'Func Future Subs 2015'!P14</f>
        <v>0</v>
      </c>
      <c r="Q14" s="732">
        <f>'Func Future Subs 2015'!Q14</f>
        <v>0</v>
      </c>
      <c r="R14" s="732">
        <f>'Func Future Subs 2015'!R14</f>
        <v>1</v>
      </c>
      <c r="S14" s="735">
        <f t="shared" si="2"/>
        <v>0</v>
      </c>
      <c r="T14" s="735">
        <f t="shared" si="3"/>
        <v>0</v>
      </c>
      <c r="U14" s="735">
        <f t="shared" si="4"/>
        <v>4563.5506097302814</v>
      </c>
      <c r="V14" s="736">
        <f t="shared" si="5"/>
        <v>0</v>
      </c>
      <c r="W14" s="735">
        <f t="shared" si="6"/>
        <v>0</v>
      </c>
      <c r="X14" s="737">
        <f t="shared" si="7"/>
        <v>4563.5506097302814</v>
      </c>
      <c r="Y14" s="738">
        <f t="shared" si="8"/>
        <v>0</v>
      </c>
    </row>
    <row r="15" spans="1:30">
      <c r="A15" s="754" t="str">
        <f>'Func Future Subs 2015'!A15</f>
        <v>Lamoureux 071S</v>
      </c>
      <c r="B15" s="754">
        <f>'Func Future Subs 2015'!B15</f>
        <v>559</v>
      </c>
      <c r="C15" s="754">
        <f>'Func Future Subs 2015'!C15</f>
        <v>240</v>
      </c>
      <c r="D15" s="754">
        <f>'Func Future Subs 2015'!D15</f>
        <v>138</v>
      </c>
      <c r="E15" s="754" t="str">
        <f>'Func Future Subs 2015'!E15</f>
        <v>71S</v>
      </c>
      <c r="F15" s="754">
        <f>'Func Future Subs 2015'!F15</f>
        <v>80730.150925862225</v>
      </c>
      <c r="G15" s="754" t="str">
        <f>'Func Future Subs 2015'!G15</f>
        <v>AltaLink</v>
      </c>
      <c r="H15" s="754">
        <f>'Func Future Subs 2015'!H15</f>
        <v>2015</v>
      </c>
      <c r="I15" s="306">
        <f>+IF($H15=I$2,VLOOKUP($G15,Depreciation!$A$14:$L$18,7,FALSE)/2,IF($H15&lt;I$2,VLOOKUP($G15,Depreciation!$A$14:$L$18,7,FALSE),0))</f>
        <v>1.7228380322441735E-2</v>
      </c>
      <c r="J15" s="306">
        <f>+IF($H15=J$2,VLOOKUP($G15,Depreciation!$A$14:$L$18,8,FALSE)/2,IF($H15&lt;J$2,VLOOKUP($G15,Depreciation!$A$14:$L$18,8,FALSE),0))</f>
        <v>3.343407856743718E-2</v>
      </c>
      <c r="K15" s="306">
        <f>+IF($H15=K$2,VLOOKUP($G15,Depreciation!$A$14:$L$18,9,FALSE)/2,IF($H15&lt;K$2,VLOOKUP($G15,Depreciation!$A$14:$L$18,9,FALSE),0))</f>
        <v>3.343407856743718E-2</v>
      </c>
      <c r="L15" s="306">
        <f>+IF($H15=L$2,VLOOKUP($G15,Depreciation!$A$14:$L$18,10,FALSE)/2,IF($H15&lt;L$2,VLOOKUP($G15,Depreciation!$A$14:$L$18,10,FALSE),0))</f>
        <v>3.343407856743718E-2</v>
      </c>
      <c r="M15" s="306">
        <f>+IF($H15=M$2,VLOOKUP($G15,Depreciation!$A$14:$L$18,11,FALSE)/2,IF($H15&lt;M$2,VLOOKUP($G15,Depreciation!$A$14:$L$18,11,FALSE),0))</f>
        <v>3.343407856743718E-2</v>
      </c>
      <c r="N15" s="306">
        <f>+IF($H15=N$2,VLOOKUP($G15,Depreciation!$A$14:$L$18,12,FALSE)/2,IF($H15&lt;N$2,VLOOKUP($G15,Depreciation!$A$14:$L$18,12,FALSE),0))</f>
        <v>3.343407856743718E-2</v>
      </c>
      <c r="O15" s="307">
        <f t="shared" si="1"/>
        <v>71644.492042177342</v>
      </c>
      <c r="P15" s="732">
        <f>'Func Future Subs 2015'!P15</f>
        <v>0</v>
      </c>
      <c r="Q15" s="732">
        <f>'Func Future Subs 2015'!Q15</f>
        <v>0</v>
      </c>
      <c r="R15" s="732">
        <f>'Func Future Subs 2015'!R15</f>
        <v>1</v>
      </c>
      <c r="S15" s="735">
        <f t="shared" si="2"/>
        <v>0</v>
      </c>
      <c r="T15" s="735">
        <f t="shared" si="3"/>
        <v>0</v>
      </c>
      <c r="U15" s="735">
        <f t="shared" si="4"/>
        <v>71644.492042177342</v>
      </c>
      <c r="V15" s="736">
        <f t="shared" si="5"/>
        <v>0</v>
      </c>
      <c r="W15" s="735">
        <f t="shared" si="6"/>
        <v>0</v>
      </c>
      <c r="X15" s="737">
        <f t="shared" si="7"/>
        <v>71644.492042177342</v>
      </c>
      <c r="Y15" s="738">
        <f t="shared" si="8"/>
        <v>0</v>
      </c>
    </row>
    <row r="16" spans="1:30">
      <c r="A16" s="754" t="str">
        <f>'Func Future Subs 2015'!A16</f>
        <v>Bannerman 681S</v>
      </c>
      <c r="B16" s="754">
        <f>'Func Future Subs 2015'!B16</f>
        <v>629</v>
      </c>
      <c r="C16" s="754">
        <f>'Func Future Subs 2015'!C16</f>
        <v>240</v>
      </c>
      <c r="D16" s="754">
        <f>'Func Future Subs 2015'!D16</f>
        <v>25</v>
      </c>
      <c r="E16" s="754" t="str">
        <f>'Func Future Subs 2015'!E16</f>
        <v>681S</v>
      </c>
      <c r="F16" s="754">
        <f>'Func Future Subs 2015'!F16</f>
        <v>10135.432206033322</v>
      </c>
      <c r="G16" s="754" t="str">
        <f>'Func Future Subs 2015'!G16</f>
        <v>AltaLink</v>
      </c>
      <c r="H16" s="754">
        <f>'Func Future Subs 2015'!H16</f>
        <v>2015</v>
      </c>
      <c r="I16" s="306">
        <f>+IF($H16=I$2,VLOOKUP($G16,Depreciation!$A$14:$L$18,7,FALSE)/2,IF($H16&lt;I$2,VLOOKUP($G16,Depreciation!$A$14:$L$18,7,FALSE),0))</f>
        <v>1.7228380322441735E-2</v>
      </c>
      <c r="J16" s="306">
        <f>+IF($H16=J$2,VLOOKUP($G16,Depreciation!$A$14:$L$18,8,FALSE)/2,IF($H16&lt;J$2,VLOOKUP($G16,Depreciation!$A$14:$L$18,8,FALSE),0))</f>
        <v>3.343407856743718E-2</v>
      </c>
      <c r="K16" s="306">
        <f>+IF($H16=K$2,VLOOKUP($G16,Depreciation!$A$14:$L$18,9,FALSE)/2,IF($H16&lt;K$2,VLOOKUP($G16,Depreciation!$A$14:$L$18,9,FALSE),0))</f>
        <v>3.343407856743718E-2</v>
      </c>
      <c r="L16" s="306">
        <f>+IF($H16=L$2,VLOOKUP($G16,Depreciation!$A$14:$L$18,10,FALSE)/2,IF($H16&lt;L$2,VLOOKUP($G16,Depreciation!$A$14:$L$18,10,FALSE),0))</f>
        <v>3.343407856743718E-2</v>
      </c>
      <c r="M16" s="306">
        <f>+IF($H16=M$2,VLOOKUP($G16,Depreciation!$A$14:$L$18,11,FALSE)/2,IF($H16&lt;M$2,VLOOKUP($G16,Depreciation!$A$14:$L$18,11,FALSE),0))</f>
        <v>3.343407856743718E-2</v>
      </c>
      <c r="N16" s="306">
        <f>+IF($H16=N$2,VLOOKUP($G16,Depreciation!$A$14:$L$18,12,FALSE)/2,IF($H16&lt;N$2,VLOOKUP($G16,Depreciation!$A$14:$L$18,12,FALSE),0))</f>
        <v>3.343407856743718E-2</v>
      </c>
      <c r="O16" s="307">
        <f t="shared" si="1"/>
        <v>8994.7545458701461</v>
      </c>
      <c r="P16" s="732">
        <f>'Func Future Subs 2015'!P16</f>
        <v>0</v>
      </c>
      <c r="Q16" s="732">
        <f>'Func Future Subs 2015'!Q16</f>
        <v>1</v>
      </c>
      <c r="R16" s="732">
        <f>'Func Future Subs 2015'!R16</f>
        <v>0</v>
      </c>
      <c r="S16" s="735">
        <f t="shared" si="2"/>
        <v>0</v>
      </c>
      <c r="T16" s="735">
        <f t="shared" si="3"/>
        <v>8994.7545458701461</v>
      </c>
      <c r="U16" s="735">
        <f t="shared" si="4"/>
        <v>0</v>
      </c>
      <c r="V16" s="736">
        <f t="shared" si="5"/>
        <v>0</v>
      </c>
      <c r="W16" s="735">
        <f t="shared" si="6"/>
        <v>0</v>
      </c>
      <c r="X16" s="737">
        <f t="shared" si="7"/>
        <v>0</v>
      </c>
      <c r="Y16" s="738">
        <f t="shared" si="8"/>
        <v>8994.7545458701461</v>
      </c>
    </row>
    <row r="17" spans="1:25">
      <c r="A17" s="754" t="str">
        <f>'Func Future Subs 2015'!A17</f>
        <v>Deerland 013S</v>
      </c>
      <c r="B17" s="754">
        <f>'Func Future Subs 2015'!B17</f>
        <v>629</v>
      </c>
      <c r="C17" s="754">
        <f>'Func Future Subs 2015'!C17</f>
        <v>240</v>
      </c>
      <c r="D17" s="754">
        <f>'Func Future Subs 2015'!D17</f>
        <v>138</v>
      </c>
      <c r="E17" s="754" t="str">
        <f>'Func Future Subs 2015'!E17</f>
        <v>13S</v>
      </c>
      <c r="F17" s="754">
        <f>'Func Future Subs 2015'!F17</f>
        <v>516260.4179627226</v>
      </c>
      <c r="G17" s="754" t="str">
        <f>'Func Future Subs 2015'!G17</f>
        <v>AltaLink</v>
      </c>
      <c r="H17" s="754">
        <f>'Func Future Subs 2015'!H17</f>
        <v>2015</v>
      </c>
      <c r="I17" s="306">
        <f>+IF($H17=I$2,VLOOKUP($G17,Depreciation!$A$14:$L$18,7,FALSE)/2,IF($H17&lt;I$2,VLOOKUP($G17,Depreciation!$A$14:$L$18,7,FALSE),0))</f>
        <v>1.7228380322441735E-2</v>
      </c>
      <c r="J17" s="306">
        <f>+IF($H17=J$2,VLOOKUP($G17,Depreciation!$A$14:$L$18,8,FALSE)/2,IF($H17&lt;J$2,VLOOKUP($G17,Depreciation!$A$14:$L$18,8,FALSE),0))</f>
        <v>3.343407856743718E-2</v>
      </c>
      <c r="K17" s="306">
        <f>+IF($H17=K$2,VLOOKUP($G17,Depreciation!$A$14:$L$18,9,FALSE)/2,IF($H17&lt;K$2,VLOOKUP($G17,Depreciation!$A$14:$L$18,9,FALSE),0))</f>
        <v>3.343407856743718E-2</v>
      </c>
      <c r="L17" s="306">
        <f>+IF($H17=L$2,VLOOKUP($G17,Depreciation!$A$14:$L$18,10,FALSE)/2,IF($H17&lt;L$2,VLOOKUP($G17,Depreciation!$A$14:$L$18,10,FALSE),0))</f>
        <v>3.343407856743718E-2</v>
      </c>
      <c r="M17" s="306">
        <f>+IF($H17=M$2,VLOOKUP($G17,Depreciation!$A$14:$L$18,11,FALSE)/2,IF($H17&lt;M$2,VLOOKUP($G17,Depreciation!$A$14:$L$18,11,FALSE),0))</f>
        <v>3.343407856743718E-2</v>
      </c>
      <c r="N17" s="306">
        <f>+IF($H17=N$2,VLOOKUP($G17,Depreciation!$A$14:$L$18,12,FALSE)/2,IF($H17&lt;N$2,VLOOKUP($G17,Depreciation!$A$14:$L$18,12,FALSE),0))</f>
        <v>3.343407856743718E-2</v>
      </c>
      <c r="O17" s="307">
        <f t="shared" si="1"/>
        <v>458158.63072507188</v>
      </c>
      <c r="P17" s="732">
        <f>'Func Future Subs 2015'!P17</f>
        <v>0</v>
      </c>
      <c r="Q17" s="732">
        <f>'Func Future Subs 2015'!Q17</f>
        <v>0</v>
      </c>
      <c r="R17" s="732">
        <f>'Func Future Subs 2015'!R17</f>
        <v>1</v>
      </c>
      <c r="S17" s="735">
        <f t="shared" si="2"/>
        <v>0</v>
      </c>
      <c r="T17" s="735">
        <f t="shared" si="3"/>
        <v>0</v>
      </c>
      <c r="U17" s="735">
        <f t="shared" si="4"/>
        <v>458158.63072507188</v>
      </c>
      <c r="V17" s="736">
        <f t="shared" si="5"/>
        <v>0</v>
      </c>
      <c r="W17" s="735">
        <f t="shared" si="6"/>
        <v>0</v>
      </c>
      <c r="X17" s="737">
        <f t="shared" si="7"/>
        <v>458158.63072507188</v>
      </c>
      <c r="Y17" s="738">
        <f t="shared" si="8"/>
        <v>0</v>
      </c>
    </row>
    <row r="18" spans="1:25">
      <c r="A18" s="754" t="str">
        <f>'Func Future Subs 2015'!A18</f>
        <v>Ellerslie 089S</v>
      </c>
      <c r="B18" s="754">
        <f>'Func Future Subs 2015'!B18</f>
        <v>629</v>
      </c>
      <c r="C18" s="754">
        <f>'Func Future Subs 2015'!C18</f>
        <v>500</v>
      </c>
      <c r="D18" s="754">
        <f>'Func Future Subs 2015'!D18</f>
        <v>240</v>
      </c>
      <c r="E18" s="754" t="str">
        <f>'Func Future Subs 2015'!E18</f>
        <v>89S</v>
      </c>
      <c r="F18" s="754">
        <f>'Func Future Subs 2015'!F18</f>
        <v>23778913.961869717</v>
      </c>
      <c r="G18" s="754" t="str">
        <f>'Func Future Subs 2015'!G18</f>
        <v>AltaLink</v>
      </c>
      <c r="H18" s="754">
        <f>'Func Future Subs 2015'!H18</f>
        <v>2015</v>
      </c>
      <c r="I18" s="306">
        <f>+IF($H18=I$2,VLOOKUP($G18,Depreciation!$A$14:$L$18,7,FALSE)/2,IF($H18&lt;I$2,VLOOKUP($G18,Depreciation!$A$14:$L$18,7,FALSE),0))</f>
        <v>1.7228380322441735E-2</v>
      </c>
      <c r="J18" s="306">
        <f>+IF($H18=J$2,VLOOKUP($G18,Depreciation!$A$14:$L$18,8,FALSE)/2,IF($H18&lt;J$2,VLOOKUP($G18,Depreciation!$A$14:$L$18,8,FALSE),0))</f>
        <v>3.343407856743718E-2</v>
      </c>
      <c r="K18" s="306">
        <f>+IF($H18=K$2,VLOOKUP($G18,Depreciation!$A$14:$L$18,9,FALSE)/2,IF($H18&lt;K$2,VLOOKUP($G18,Depreciation!$A$14:$L$18,9,FALSE),0))</f>
        <v>3.343407856743718E-2</v>
      </c>
      <c r="L18" s="306">
        <f>+IF($H18=L$2,VLOOKUP($G18,Depreciation!$A$14:$L$18,10,FALSE)/2,IF($H18&lt;L$2,VLOOKUP($G18,Depreciation!$A$14:$L$18,10,FALSE),0))</f>
        <v>3.343407856743718E-2</v>
      </c>
      <c r="M18" s="306">
        <f>+IF($H18=M$2,VLOOKUP($G18,Depreciation!$A$14:$L$18,11,FALSE)/2,IF($H18&lt;M$2,VLOOKUP($G18,Depreciation!$A$14:$L$18,11,FALSE),0))</f>
        <v>3.343407856743718E-2</v>
      </c>
      <c r="N18" s="306">
        <f>+IF($H18=N$2,VLOOKUP($G18,Depreciation!$A$14:$L$18,12,FALSE)/2,IF($H18&lt;N$2,VLOOKUP($G18,Depreciation!$A$14:$L$18,12,FALSE),0))</f>
        <v>3.343407856743718E-2</v>
      </c>
      <c r="O18" s="307">
        <f t="shared" si="1"/>
        <v>21102750.243552815</v>
      </c>
      <c r="P18" s="732">
        <f>'Func Future Subs 2015'!P18</f>
        <v>0</v>
      </c>
      <c r="Q18" s="732">
        <f>'Func Future Subs 2015'!Q18</f>
        <v>0</v>
      </c>
      <c r="R18" s="732">
        <f>'Func Future Subs 2015'!R18</f>
        <v>1</v>
      </c>
      <c r="S18" s="735">
        <f t="shared" si="2"/>
        <v>0</v>
      </c>
      <c r="T18" s="735">
        <f t="shared" si="3"/>
        <v>0</v>
      </c>
      <c r="U18" s="735">
        <f t="shared" si="4"/>
        <v>21102750.243552815</v>
      </c>
      <c r="V18" s="736">
        <f t="shared" si="5"/>
        <v>0</v>
      </c>
      <c r="W18" s="735">
        <f t="shared" si="6"/>
        <v>21102750.243552815</v>
      </c>
      <c r="X18" s="737">
        <f t="shared" si="7"/>
        <v>0</v>
      </c>
      <c r="Y18" s="738">
        <f t="shared" si="8"/>
        <v>0</v>
      </c>
    </row>
    <row r="19" spans="1:25">
      <c r="A19" s="754" t="str">
        <f>'Func Future Subs 2015'!A19</f>
        <v>Heartland 012S_(v199)</v>
      </c>
      <c r="B19" s="754">
        <f>'Func Future Subs 2015'!B19</f>
        <v>629</v>
      </c>
      <c r="C19" s="754">
        <f>'Func Future Subs 2015'!C19</f>
        <v>500</v>
      </c>
      <c r="D19" s="754">
        <f>'Func Future Subs 2015'!D19</f>
        <v>240</v>
      </c>
      <c r="E19" s="754" t="str">
        <f>'Func Future Subs 2015'!E19</f>
        <v>12S</v>
      </c>
      <c r="F19" s="754">
        <f>'Func Future Subs 2015'!F19</f>
        <v>66671500.436580472</v>
      </c>
      <c r="G19" s="754" t="str">
        <f>'Func Future Subs 2015'!G19</f>
        <v>AltaLink</v>
      </c>
      <c r="H19" s="754">
        <f>'Func Future Subs 2015'!H19</f>
        <v>2015</v>
      </c>
      <c r="I19" s="306">
        <f>+IF($H19=I$2,VLOOKUP($G19,Depreciation!$A$14:$L$18,7,FALSE)/2,IF($H19&lt;I$2,VLOOKUP($G19,Depreciation!$A$14:$L$18,7,FALSE),0))</f>
        <v>1.7228380322441735E-2</v>
      </c>
      <c r="J19" s="306">
        <f>+IF($H19=J$2,VLOOKUP($G19,Depreciation!$A$14:$L$18,8,FALSE)/2,IF($H19&lt;J$2,VLOOKUP($G19,Depreciation!$A$14:$L$18,8,FALSE),0))</f>
        <v>3.343407856743718E-2</v>
      </c>
      <c r="K19" s="306">
        <f>+IF($H19=K$2,VLOOKUP($G19,Depreciation!$A$14:$L$18,9,FALSE)/2,IF($H19&lt;K$2,VLOOKUP($G19,Depreciation!$A$14:$L$18,9,FALSE),0))</f>
        <v>3.343407856743718E-2</v>
      </c>
      <c r="L19" s="306">
        <f>+IF($H19=L$2,VLOOKUP($G19,Depreciation!$A$14:$L$18,10,FALSE)/2,IF($H19&lt;L$2,VLOOKUP($G19,Depreciation!$A$14:$L$18,10,FALSE),0))</f>
        <v>3.343407856743718E-2</v>
      </c>
      <c r="M19" s="306">
        <f>+IF($H19=M$2,VLOOKUP($G19,Depreciation!$A$14:$L$18,11,FALSE)/2,IF($H19&lt;M$2,VLOOKUP($G19,Depreciation!$A$14:$L$18,11,FALSE),0))</f>
        <v>3.343407856743718E-2</v>
      </c>
      <c r="N19" s="306">
        <f>+IF($H19=N$2,VLOOKUP($G19,Depreciation!$A$14:$L$18,12,FALSE)/2,IF($H19&lt;N$2,VLOOKUP($G19,Depreciation!$A$14:$L$18,12,FALSE),0))</f>
        <v>3.343407856743718E-2</v>
      </c>
      <c r="O19" s="307">
        <f t="shared" si="1"/>
        <v>59168052.179850392</v>
      </c>
      <c r="P19" s="732">
        <f>'Func Future Subs 2015'!P19</f>
        <v>0</v>
      </c>
      <c r="Q19" s="732">
        <f>'Func Future Subs 2015'!Q19</f>
        <v>0</v>
      </c>
      <c r="R19" s="732">
        <f>'Func Future Subs 2015'!R19</f>
        <v>1</v>
      </c>
      <c r="S19" s="735">
        <f t="shared" si="2"/>
        <v>0</v>
      </c>
      <c r="T19" s="735">
        <f t="shared" si="3"/>
        <v>0</v>
      </c>
      <c r="U19" s="735">
        <f t="shared" si="4"/>
        <v>59168052.179850392</v>
      </c>
      <c r="V19" s="736">
        <f t="shared" si="5"/>
        <v>0</v>
      </c>
      <c r="W19" s="735">
        <f t="shared" si="6"/>
        <v>59168052.179850392</v>
      </c>
      <c r="X19" s="737">
        <f t="shared" si="7"/>
        <v>0</v>
      </c>
      <c r="Y19" s="738">
        <f t="shared" si="8"/>
        <v>0</v>
      </c>
    </row>
    <row r="20" spans="1:25">
      <c r="A20" s="754" t="str">
        <f>'Func Future Subs 2015'!A20</f>
        <v>Lamoureux 071S_(v199)</v>
      </c>
      <c r="B20" s="754">
        <f>'Func Future Subs 2015'!B20</f>
        <v>629</v>
      </c>
      <c r="C20" s="754">
        <f>'Func Future Subs 2015'!C20</f>
        <v>240</v>
      </c>
      <c r="D20" s="754">
        <f>'Func Future Subs 2015'!D20</f>
        <v>138</v>
      </c>
      <c r="E20" s="754" t="str">
        <f>'Func Future Subs 2015'!E20</f>
        <v>71S</v>
      </c>
      <c r="F20" s="754">
        <f>'Func Future Subs 2015'!F20</f>
        <v>706122.92894576001</v>
      </c>
      <c r="G20" s="754" t="str">
        <f>'Func Future Subs 2015'!G20</f>
        <v>AltaLink</v>
      </c>
      <c r="H20" s="754">
        <f>'Func Future Subs 2015'!H20</f>
        <v>2015</v>
      </c>
      <c r="I20" s="306">
        <f>+IF($H20=I$2,VLOOKUP($G20,Depreciation!$A$14:$L$18,7,FALSE)/2,IF($H20&lt;I$2,VLOOKUP($G20,Depreciation!$A$14:$L$18,7,FALSE),0))</f>
        <v>1.7228380322441735E-2</v>
      </c>
      <c r="J20" s="306">
        <f>+IF($H20=J$2,VLOOKUP($G20,Depreciation!$A$14:$L$18,8,FALSE)/2,IF($H20&lt;J$2,VLOOKUP($G20,Depreciation!$A$14:$L$18,8,FALSE),0))</f>
        <v>3.343407856743718E-2</v>
      </c>
      <c r="K20" s="306">
        <f>+IF($H20=K$2,VLOOKUP($G20,Depreciation!$A$14:$L$18,9,FALSE)/2,IF($H20&lt;K$2,VLOOKUP($G20,Depreciation!$A$14:$L$18,9,FALSE),0))</f>
        <v>3.343407856743718E-2</v>
      </c>
      <c r="L20" s="306">
        <f>+IF($H20=L$2,VLOOKUP($G20,Depreciation!$A$14:$L$18,10,FALSE)/2,IF($H20&lt;L$2,VLOOKUP($G20,Depreciation!$A$14:$L$18,10,FALSE),0))</f>
        <v>3.343407856743718E-2</v>
      </c>
      <c r="M20" s="306">
        <f>+IF($H20=M$2,VLOOKUP($G20,Depreciation!$A$14:$L$18,11,FALSE)/2,IF($H20&lt;M$2,VLOOKUP($G20,Depreciation!$A$14:$L$18,11,FALSE),0))</f>
        <v>3.343407856743718E-2</v>
      </c>
      <c r="N20" s="306">
        <f>+IF($H20=N$2,VLOOKUP($G20,Depreciation!$A$14:$L$18,12,FALSE)/2,IF($H20&lt;N$2,VLOOKUP($G20,Depreciation!$A$14:$L$18,12,FALSE),0))</f>
        <v>3.343407856743718E-2</v>
      </c>
      <c r="O20" s="307">
        <f t="shared" si="1"/>
        <v>626653.33810799068</v>
      </c>
      <c r="P20" s="732">
        <f>'Func Future Subs 2015'!P20</f>
        <v>0</v>
      </c>
      <c r="Q20" s="732">
        <f>'Func Future Subs 2015'!Q20</f>
        <v>0</v>
      </c>
      <c r="R20" s="732">
        <f>'Func Future Subs 2015'!R20</f>
        <v>1</v>
      </c>
      <c r="S20" s="735">
        <f t="shared" si="2"/>
        <v>0</v>
      </c>
      <c r="T20" s="735">
        <f t="shared" si="3"/>
        <v>0</v>
      </c>
      <c r="U20" s="735">
        <f t="shared" si="4"/>
        <v>626653.33810799068</v>
      </c>
      <c r="V20" s="736">
        <f t="shared" si="5"/>
        <v>0</v>
      </c>
      <c r="W20" s="735">
        <f t="shared" si="6"/>
        <v>0</v>
      </c>
      <c r="X20" s="737">
        <f t="shared" si="7"/>
        <v>626653.33810799068</v>
      </c>
      <c r="Y20" s="738">
        <f t="shared" si="8"/>
        <v>0</v>
      </c>
    </row>
    <row r="21" spans="1:25">
      <c r="A21" s="754" t="str">
        <f>'Func Future Subs 2015'!A21</f>
        <v>Mother Moutain 2055S Switching Substation</v>
      </c>
      <c r="B21" s="754">
        <f>'Func Future Subs 2015'!B21</f>
        <v>635</v>
      </c>
      <c r="C21" s="754">
        <f>'Func Future Subs 2015'!C21</f>
        <v>240</v>
      </c>
      <c r="D21" s="754">
        <f>'Func Future Subs 2015'!D21</f>
        <v>240</v>
      </c>
      <c r="E21" s="754" t="str">
        <f>'Func Future Subs 2015'!E21</f>
        <v>2055S</v>
      </c>
      <c r="F21" s="754">
        <f>'Func Future Subs 2015'!F21</f>
        <v>17584069.1948951</v>
      </c>
      <c r="G21" s="754" t="str">
        <f>'Func Future Subs 2015'!G21</f>
        <v>ATCO</v>
      </c>
      <c r="H21" s="754">
        <f>'Func Future Subs 2015'!H21</f>
        <v>2019</v>
      </c>
      <c r="I21" s="306">
        <f>+IF($H21=I$2,VLOOKUP($G21,Depreciation!$A$14:$L$18,7,FALSE)/2,IF($H21&lt;I$2,VLOOKUP($G21,Depreciation!$A$14:$L$18,7,FALSE),0))</f>
        <v>0</v>
      </c>
      <c r="J21" s="306">
        <f>+IF($H21=J$2,VLOOKUP($G21,Depreciation!$A$14:$L$18,8,FALSE)/2,IF($H21&lt;J$2,VLOOKUP($G21,Depreciation!$A$14:$L$18,8,FALSE),0))</f>
        <v>0</v>
      </c>
      <c r="K21" s="306">
        <f>+IF($H21=K$2,VLOOKUP($G21,Depreciation!$A$14:$L$18,9,FALSE)/2,IF($H21&lt;K$2,VLOOKUP($G21,Depreciation!$A$14:$L$18,9,FALSE),0))</f>
        <v>0</v>
      </c>
      <c r="L21" s="306">
        <f>+IF($H21=L$2,VLOOKUP($G21,Depreciation!$A$14:$L$18,10,FALSE)/2,IF($H21&lt;L$2,VLOOKUP($G21,Depreciation!$A$14:$L$18,10,FALSE),0))</f>
        <v>0</v>
      </c>
      <c r="M21" s="306">
        <f>+IF($H21=M$2,VLOOKUP($G21,Depreciation!$A$14:$L$18,11,FALSE)/2,IF($H21&lt;M$2,VLOOKUP($G21,Depreciation!$A$14:$L$18,11,FALSE),0))</f>
        <v>1.2175768213899416E-2</v>
      </c>
      <c r="N21" s="306">
        <f>+IF($H21=N$2,VLOOKUP($G21,Depreciation!$A$14:$L$18,12,FALSE)/2,IF($H21&lt;N$2,VLOOKUP($G21,Depreciation!$A$14:$L$18,12,FALSE),0))</f>
        <v>2.4351536427798831E-2</v>
      </c>
      <c r="O21" s="307">
        <f t="shared" si="1"/>
        <v>0</v>
      </c>
      <c r="P21" s="732">
        <f>'Func Future Subs 2015'!P21</f>
        <v>0</v>
      </c>
      <c r="Q21" s="732">
        <f>'Func Future Subs 2015'!Q21</f>
        <v>0</v>
      </c>
      <c r="R21" s="732">
        <f>'Func Future Subs 2015'!R21</f>
        <v>1</v>
      </c>
      <c r="S21" s="735">
        <f t="shared" si="2"/>
        <v>0</v>
      </c>
      <c r="T21" s="735">
        <f t="shared" si="3"/>
        <v>0</v>
      </c>
      <c r="U21" s="735">
        <f t="shared" si="4"/>
        <v>0</v>
      </c>
      <c r="V21" s="736">
        <f t="shared" si="5"/>
        <v>0</v>
      </c>
      <c r="W21" s="735">
        <f t="shared" si="6"/>
        <v>0</v>
      </c>
      <c r="X21" s="737">
        <f t="shared" si="7"/>
        <v>0</v>
      </c>
      <c r="Y21" s="738">
        <f t="shared" si="8"/>
        <v>0</v>
      </c>
    </row>
    <row r="22" spans="1:25">
      <c r="A22" s="754" t="str">
        <f>'Func Future Subs 2015'!A22</f>
        <v>Coyote Lake 963S version 2</v>
      </c>
      <c r="B22" s="754">
        <f>'Func Future Subs 2015'!B22</f>
        <v>678</v>
      </c>
      <c r="C22" s="754">
        <f>'Func Future Subs 2015'!C22</f>
        <v>240</v>
      </c>
      <c r="D22" s="754">
        <f>'Func Future Subs 2015'!D22</f>
        <v>138</v>
      </c>
      <c r="E22" s="754" t="str">
        <f>'Func Future Subs 2015'!E22</f>
        <v>963S</v>
      </c>
      <c r="F22" s="754">
        <f>'Func Future Subs 2015'!F22</f>
        <v>5823406.5519853365</v>
      </c>
      <c r="G22" s="754" t="str">
        <f>'Func Future Subs 2015'!G22</f>
        <v>ATCO</v>
      </c>
      <c r="H22" s="754">
        <f>'Func Future Subs 2015'!H22</f>
        <v>2018</v>
      </c>
      <c r="I22" s="306">
        <f>+IF($H22=I$2,VLOOKUP($G22,Depreciation!$A$14:$L$18,7,FALSE)/2,IF($H22&lt;I$2,VLOOKUP($G22,Depreciation!$A$14:$L$18,7,FALSE),0))</f>
        <v>0</v>
      </c>
      <c r="J22" s="306">
        <f>+IF($H22=J$2,VLOOKUP($G22,Depreciation!$A$14:$L$18,8,FALSE)/2,IF($H22&lt;J$2,VLOOKUP($G22,Depreciation!$A$14:$L$18,8,FALSE),0))</f>
        <v>0</v>
      </c>
      <c r="K22" s="306">
        <f>+IF($H22=K$2,VLOOKUP($G22,Depreciation!$A$14:$L$18,9,FALSE)/2,IF($H22&lt;K$2,VLOOKUP($G22,Depreciation!$A$14:$L$18,9,FALSE),0))</f>
        <v>0</v>
      </c>
      <c r="L22" s="306">
        <f>+IF($H22=L$2,VLOOKUP($G22,Depreciation!$A$14:$L$18,10,FALSE)/2,IF($H22&lt;L$2,VLOOKUP($G22,Depreciation!$A$14:$L$18,10,FALSE),0))</f>
        <v>1.2175768213899416E-2</v>
      </c>
      <c r="M22" s="306">
        <f>+IF($H22=M$2,VLOOKUP($G22,Depreciation!$A$14:$L$18,11,FALSE)/2,IF($H22&lt;M$2,VLOOKUP($G22,Depreciation!$A$14:$L$18,11,FALSE),0))</f>
        <v>2.4351536427798831E-2</v>
      </c>
      <c r="N22" s="306">
        <f>+IF($H22=N$2,VLOOKUP($G22,Depreciation!$A$14:$L$18,12,FALSE)/2,IF($H22&lt;N$2,VLOOKUP($G22,Depreciation!$A$14:$L$18,12,FALSE),0))</f>
        <v>2.4351536427798831E-2</v>
      </c>
      <c r="O22" s="307">
        <f t="shared" si="1"/>
        <v>5752502.1035930598</v>
      </c>
      <c r="P22" s="732">
        <f>'Func Future Subs 2015'!P22</f>
        <v>0</v>
      </c>
      <c r="Q22" s="732">
        <f>'Func Future Subs 2015'!Q22</f>
        <v>0</v>
      </c>
      <c r="R22" s="732">
        <f>'Func Future Subs 2015'!R22</f>
        <v>1</v>
      </c>
      <c r="S22" s="735">
        <f t="shared" si="2"/>
        <v>0</v>
      </c>
      <c r="T22" s="735">
        <f t="shared" si="3"/>
        <v>0</v>
      </c>
      <c r="U22" s="735">
        <f t="shared" si="4"/>
        <v>5752502.1035930598</v>
      </c>
      <c r="V22" s="736">
        <f t="shared" si="5"/>
        <v>0</v>
      </c>
      <c r="W22" s="735">
        <f t="shared" si="6"/>
        <v>0</v>
      </c>
      <c r="X22" s="737">
        <f t="shared" si="7"/>
        <v>5752502.1035930598</v>
      </c>
      <c r="Y22" s="738">
        <f t="shared" si="8"/>
        <v>0</v>
      </c>
    </row>
    <row r="23" spans="1:25">
      <c r="A23" s="754" t="str">
        <f>'Func Future Subs 2015'!A23</f>
        <v>Cassils 324S_(v1)</v>
      </c>
      <c r="B23" s="754">
        <f>'Func Future Subs 2015'!B23</f>
        <v>693</v>
      </c>
      <c r="C23" s="754">
        <f>'Func Future Subs 2015'!C23</f>
        <v>240</v>
      </c>
      <c r="D23" s="754">
        <f>'Func Future Subs 2015'!D23</f>
        <v>240</v>
      </c>
      <c r="E23" s="754" t="str">
        <f>'Func Future Subs 2015'!E23</f>
        <v>324S</v>
      </c>
      <c r="F23" s="754">
        <f>'Func Future Subs 2015'!F23</f>
        <v>113408.37728544539</v>
      </c>
      <c r="G23" s="754" t="str">
        <f>'Func Future Subs 2015'!G23</f>
        <v>AltaLink</v>
      </c>
      <c r="H23" s="754">
        <f>'Func Future Subs 2015'!H23</f>
        <v>2019</v>
      </c>
      <c r="I23" s="306">
        <f>+IF($H23=I$2,VLOOKUP($G23,Depreciation!$A$14:$L$18,7,FALSE)/2,IF($H23&lt;I$2,VLOOKUP($G23,Depreciation!$A$14:$L$18,7,FALSE),0))</f>
        <v>0</v>
      </c>
      <c r="J23" s="306">
        <f>+IF($H23=J$2,VLOOKUP($G23,Depreciation!$A$14:$L$18,8,FALSE)/2,IF($H23&lt;J$2,VLOOKUP($G23,Depreciation!$A$14:$L$18,8,FALSE),0))</f>
        <v>0</v>
      </c>
      <c r="K23" s="306">
        <f>+IF($H23=K$2,VLOOKUP($G23,Depreciation!$A$14:$L$18,9,FALSE)/2,IF($H23&lt;K$2,VLOOKUP($G23,Depreciation!$A$14:$L$18,9,FALSE),0))</f>
        <v>0</v>
      </c>
      <c r="L23" s="306">
        <f>+IF($H23=L$2,VLOOKUP($G23,Depreciation!$A$14:$L$18,10,FALSE)/2,IF($H23&lt;L$2,VLOOKUP($G23,Depreciation!$A$14:$L$18,10,FALSE),0))</f>
        <v>0</v>
      </c>
      <c r="M23" s="306">
        <f>+IF($H23=M$2,VLOOKUP($G23,Depreciation!$A$14:$L$18,11,FALSE)/2,IF($H23&lt;M$2,VLOOKUP($G23,Depreciation!$A$14:$L$18,11,FALSE),0))</f>
        <v>1.671703928371859E-2</v>
      </c>
      <c r="N23" s="306">
        <f>+IF($H23=N$2,VLOOKUP($G23,Depreciation!$A$14:$L$18,12,FALSE)/2,IF($H23&lt;N$2,VLOOKUP($G23,Depreciation!$A$14:$L$18,12,FALSE),0))</f>
        <v>3.343407856743718E-2</v>
      </c>
      <c r="O23" s="307">
        <f t="shared" si="1"/>
        <v>0</v>
      </c>
      <c r="P23" s="732">
        <f>'Func Future Subs 2015'!P23</f>
        <v>0</v>
      </c>
      <c r="Q23" s="732">
        <f>'Func Future Subs 2015'!Q23</f>
        <v>0</v>
      </c>
      <c r="R23" s="732">
        <f>'Func Future Subs 2015'!R23</f>
        <v>1</v>
      </c>
      <c r="S23" s="735">
        <f t="shared" si="2"/>
        <v>0</v>
      </c>
      <c r="T23" s="735">
        <f t="shared" si="3"/>
        <v>0</v>
      </c>
      <c r="U23" s="735">
        <f t="shared" si="4"/>
        <v>0</v>
      </c>
      <c r="V23" s="736">
        <f t="shared" si="5"/>
        <v>0</v>
      </c>
      <c r="W23" s="735">
        <f t="shared" si="6"/>
        <v>0</v>
      </c>
      <c r="X23" s="737">
        <f t="shared" si="7"/>
        <v>0</v>
      </c>
      <c r="Y23" s="738">
        <f t="shared" si="8"/>
        <v>0</v>
      </c>
    </row>
    <row r="24" spans="1:25">
      <c r="A24" s="754" t="str">
        <f>'Func Future Subs 2015'!A24</f>
        <v>Eagle Buttle 274S_(v1)</v>
      </c>
      <c r="B24" s="754">
        <f>'Func Future Subs 2015'!B24</f>
        <v>693</v>
      </c>
      <c r="C24" s="754">
        <f>'Func Future Subs 2015'!C24</f>
        <v>240</v>
      </c>
      <c r="D24" s="754">
        <f>'Func Future Subs 2015'!D24</f>
        <v>240</v>
      </c>
      <c r="E24" s="754" t="str">
        <f>'Func Future Subs 2015'!E24</f>
        <v>274S</v>
      </c>
      <c r="F24" s="754">
        <f>'Func Future Subs 2015'!F24</f>
        <v>201366.13092386365</v>
      </c>
      <c r="G24" s="754" t="str">
        <f>'Func Future Subs 2015'!G24</f>
        <v>AltaLink</v>
      </c>
      <c r="H24" s="754">
        <f>'Func Future Subs 2015'!H24</f>
        <v>2019</v>
      </c>
      <c r="I24" s="306">
        <f>+IF($H24=I$2,VLOOKUP($G24,Depreciation!$A$14:$L$18,7,FALSE)/2,IF($H24&lt;I$2,VLOOKUP($G24,Depreciation!$A$14:$L$18,7,FALSE),0))</f>
        <v>0</v>
      </c>
      <c r="J24" s="306">
        <f>+IF($H24=J$2,VLOOKUP($G24,Depreciation!$A$14:$L$18,8,FALSE)/2,IF($H24&lt;J$2,VLOOKUP($G24,Depreciation!$A$14:$L$18,8,FALSE),0))</f>
        <v>0</v>
      </c>
      <c r="K24" s="306">
        <f>+IF($H24=K$2,VLOOKUP($G24,Depreciation!$A$14:$L$18,9,FALSE)/2,IF($H24&lt;K$2,VLOOKUP($G24,Depreciation!$A$14:$L$18,9,FALSE),0))</f>
        <v>0</v>
      </c>
      <c r="L24" s="306">
        <f>+IF($H24=L$2,VLOOKUP($G24,Depreciation!$A$14:$L$18,10,FALSE)/2,IF($H24&lt;L$2,VLOOKUP($G24,Depreciation!$A$14:$L$18,10,FALSE),0))</f>
        <v>0</v>
      </c>
      <c r="M24" s="306">
        <f>+IF($H24=M$2,VLOOKUP($G24,Depreciation!$A$14:$L$18,11,FALSE)/2,IF($H24&lt;M$2,VLOOKUP($G24,Depreciation!$A$14:$L$18,11,FALSE),0))</f>
        <v>1.671703928371859E-2</v>
      </c>
      <c r="N24" s="306">
        <f>+IF($H24=N$2,VLOOKUP($G24,Depreciation!$A$14:$L$18,12,FALSE)/2,IF($H24&lt;N$2,VLOOKUP($G24,Depreciation!$A$14:$L$18,12,FALSE),0))</f>
        <v>3.343407856743718E-2</v>
      </c>
      <c r="O24" s="307">
        <f t="shared" si="1"/>
        <v>0</v>
      </c>
      <c r="P24" s="732">
        <f>'Func Future Subs 2015'!P24</f>
        <v>0</v>
      </c>
      <c r="Q24" s="732">
        <f>'Func Future Subs 2015'!Q24</f>
        <v>0</v>
      </c>
      <c r="R24" s="732">
        <f>'Func Future Subs 2015'!R24</f>
        <v>1</v>
      </c>
      <c r="S24" s="735">
        <f t="shared" si="2"/>
        <v>0</v>
      </c>
      <c r="T24" s="735">
        <f t="shared" si="3"/>
        <v>0</v>
      </c>
      <c r="U24" s="735">
        <f t="shared" si="4"/>
        <v>0</v>
      </c>
      <c r="V24" s="736">
        <f t="shared" si="5"/>
        <v>0</v>
      </c>
      <c r="W24" s="735">
        <f t="shared" si="6"/>
        <v>0</v>
      </c>
      <c r="X24" s="737">
        <f t="shared" si="7"/>
        <v>0</v>
      </c>
      <c r="Y24" s="738">
        <f t="shared" si="8"/>
        <v>0</v>
      </c>
    </row>
    <row r="25" spans="1:25">
      <c r="A25" s="754" t="str">
        <f>'Func Future Subs 2015'!A25</f>
        <v>Elkwater 264S_(v1)</v>
      </c>
      <c r="B25" s="754">
        <f>'Func Future Subs 2015'!B25</f>
        <v>693</v>
      </c>
      <c r="C25" s="754">
        <f>'Func Future Subs 2015'!C25</f>
        <v>240</v>
      </c>
      <c r="D25" s="754">
        <f>'Func Future Subs 2015'!D25</f>
        <v>240</v>
      </c>
      <c r="E25" s="754" t="str">
        <f>'Func Future Subs 2015'!E25</f>
        <v>264S</v>
      </c>
      <c r="F25" s="754">
        <f>'Func Future Subs 2015'!F25</f>
        <v>15828490.515206028</v>
      </c>
      <c r="G25" s="754" t="str">
        <f>'Func Future Subs 2015'!G25</f>
        <v>AltaLink</v>
      </c>
      <c r="H25" s="754">
        <f>'Func Future Subs 2015'!H25</f>
        <v>2019</v>
      </c>
      <c r="I25" s="306">
        <f>+IF($H25=I$2,VLOOKUP($G25,Depreciation!$A$14:$L$18,7,FALSE)/2,IF($H25&lt;I$2,VLOOKUP($G25,Depreciation!$A$14:$L$18,7,FALSE),0))</f>
        <v>0</v>
      </c>
      <c r="J25" s="306">
        <f>+IF($H25=J$2,VLOOKUP($G25,Depreciation!$A$14:$L$18,8,FALSE)/2,IF($H25&lt;J$2,VLOOKUP($G25,Depreciation!$A$14:$L$18,8,FALSE),0))</f>
        <v>0</v>
      </c>
      <c r="K25" s="306">
        <f>+IF($H25=K$2,VLOOKUP($G25,Depreciation!$A$14:$L$18,9,FALSE)/2,IF($H25&lt;K$2,VLOOKUP($G25,Depreciation!$A$14:$L$18,9,FALSE),0))</f>
        <v>0</v>
      </c>
      <c r="L25" s="306">
        <f>+IF($H25=L$2,VLOOKUP($G25,Depreciation!$A$14:$L$18,10,FALSE)/2,IF($H25&lt;L$2,VLOOKUP($G25,Depreciation!$A$14:$L$18,10,FALSE),0))</f>
        <v>0</v>
      </c>
      <c r="M25" s="306">
        <f>+IF($H25=M$2,VLOOKUP($G25,Depreciation!$A$14:$L$18,11,FALSE)/2,IF($H25&lt;M$2,VLOOKUP($G25,Depreciation!$A$14:$L$18,11,FALSE),0))</f>
        <v>1.671703928371859E-2</v>
      </c>
      <c r="N25" s="306">
        <f>+IF($H25=N$2,VLOOKUP($G25,Depreciation!$A$14:$L$18,12,FALSE)/2,IF($H25&lt;N$2,VLOOKUP($G25,Depreciation!$A$14:$L$18,12,FALSE),0))</f>
        <v>3.343407856743718E-2</v>
      </c>
      <c r="O25" s="307">
        <f t="shared" si="1"/>
        <v>0</v>
      </c>
      <c r="P25" s="732">
        <f>'Func Future Subs 2015'!P25</f>
        <v>0</v>
      </c>
      <c r="Q25" s="732">
        <f>'Func Future Subs 2015'!Q25</f>
        <v>0</v>
      </c>
      <c r="R25" s="732">
        <f>'Func Future Subs 2015'!R25</f>
        <v>1</v>
      </c>
      <c r="S25" s="735">
        <f t="shared" si="2"/>
        <v>0</v>
      </c>
      <c r="T25" s="735">
        <f t="shared" si="3"/>
        <v>0</v>
      </c>
      <c r="U25" s="735">
        <f t="shared" si="4"/>
        <v>0</v>
      </c>
      <c r="V25" s="736">
        <f t="shared" si="5"/>
        <v>0</v>
      </c>
      <c r="W25" s="735">
        <f t="shared" si="6"/>
        <v>0</v>
      </c>
      <c r="X25" s="737">
        <f t="shared" si="7"/>
        <v>0</v>
      </c>
      <c r="Y25" s="738">
        <f t="shared" si="8"/>
        <v>0</v>
      </c>
    </row>
    <row r="26" spans="1:25">
      <c r="A26" s="754" t="str">
        <f>'Func Future Subs 2015'!A26</f>
        <v>Whitla 251S_(v1)</v>
      </c>
      <c r="B26" s="754">
        <f>'Func Future Subs 2015'!B26</f>
        <v>693</v>
      </c>
      <c r="C26" s="754">
        <f>'Func Future Subs 2015'!C26</f>
        <v>240</v>
      </c>
      <c r="D26" s="754">
        <f>'Func Future Subs 2015'!D26</f>
        <v>240</v>
      </c>
      <c r="E26" s="754" t="str">
        <f>'Func Future Subs 2015'!E26</f>
        <v>251S</v>
      </c>
      <c r="F26" s="754">
        <f>'Func Future Subs 2015'!F26</f>
        <v>169902.62110316977</v>
      </c>
      <c r="G26" s="754" t="str">
        <f>'Func Future Subs 2015'!G26</f>
        <v>AltaLink</v>
      </c>
      <c r="H26" s="754">
        <f>'Func Future Subs 2015'!H26</f>
        <v>2019</v>
      </c>
      <c r="I26" s="306">
        <f>+IF($H26=I$2,VLOOKUP($G26,Depreciation!$A$14:$L$18,7,FALSE)/2,IF($H26&lt;I$2,VLOOKUP($G26,Depreciation!$A$14:$L$18,7,FALSE),0))</f>
        <v>0</v>
      </c>
      <c r="J26" s="306">
        <f>+IF($H26=J$2,VLOOKUP($G26,Depreciation!$A$14:$L$18,8,FALSE)/2,IF($H26&lt;J$2,VLOOKUP($G26,Depreciation!$A$14:$L$18,8,FALSE),0))</f>
        <v>0</v>
      </c>
      <c r="K26" s="306">
        <f>+IF($H26=K$2,VLOOKUP($G26,Depreciation!$A$14:$L$18,9,FALSE)/2,IF($H26&lt;K$2,VLOOKUP($G26,Depreciation!$A$14:$L$18,9,FALSE),0))</f>
        <v>0</v>
      </c>
      <c r="L26" s="306">
        <f>+IF($H26=L$2,VLOOKUP($G26,Depreciation!$A$14:$L$18,10,FALSE)/2,IF($H26&lt;L$2,VLOOKUP($G26,Depreciation!$A$14:$L$18,10,FALSE),0))</f>
        <v>0</v>
      </c>
      <c r="M26" s="306">
        <f>+IF($H26=M$2,VLOOKUP($G26,Depreciation!$A$14:$L$18,11,FALSE)/2,IF($H26&lt;M$2,VLOOKUP($G26,Depreciation!$A$14:$L$18,11,FALSE),0))</f>
        <v>1.671703928371859E-2</v>
      </c>
      <c r="N26" s="306">
        <f>+IF($H26=N$2,VLOOKUP($G26,Depreciation!$A$14:$L$18,12,FALSE)/2,IF($H26&lt;N$2,VLOOKUP($G26,Depreciation!$A$14:$L$18,12,FALSE),0))</f>
        <v>3.343407856743718E-2</v>
      </c>
      <c r="O26" s="307">
        <f t="shared" si="1"/>
        <v>0</v>
      </c>
      <c r="P26" s="732">
        <f>'Func Future Subs 2015'!P26</f>
        <v>0</v>
      </c>
      <c r="Q26" s="732">
        <f>'Func Future Subs 2015'!Q26</f>
        <v>0</v>
      </c>
      <c r="R26" s="732">
        <f>'Func Future Subs 2015'!R26</f>
        <v>1</v>
      </c>
      <c r="S26" s="735">
        <f t="shared" si="2"/>
        <v>0</v>
      </c>
      <c r="T26" s="735">
        <f t="shared" si="3"/>
        <v>0</v>
      </c>
      <c r="U26" s="735">
        <f t="shared" si="4"/>
        <v>0</v>
      </c>
      <c r="V26" s="736">
        <f t="shared" si="5"/>
        <v>0</v>
      </c>
      <c r="W26" s="735">
        <f t="shared" si="6"/>
        <v>0</v>
      </c>
      <c r="X26" s="737">
        <f t="shared" si="7"/>
        <v>0</v>
      </c>
      <c r="Y26" s="738">
        <f t="shared" si="8"/>
        <v>0</v>
      </c>
    </row>
    <row r="27" spans="1:25">
      <c r="A27" s="754" t="str">
        <f>'Func Future Subs 2015'!A27</f>
        <v>East Calgary 5S</v>
      </c>
      <c r="B27" s="754">
        <f>'Func Future Subs 2015'!B27</f>
        <v>719</v>
      </c>
      <c r="C27" s="754">
        <f>'Func Future Subs 2015'!C27</f>
        <v>240</v>
      </c>
      <c r="D27" s="754">
        <f>'Func Future Subs 2015'!D27</f>
        <v>240</v>
      </c>
      <c r="E27" s="754" t="str">
        <f>'Func Future Subs 2015'!E27</f>
        <v>5S</v>
      </c>
      <c r="F27" s="754">
        <f>'Func Future Subs 2015'!F27</f>
        <v>33632105.5811226</v>
      </c>
      <c r="G27" s="754" t="str">
        <f>'Func Future Subs 2015'!G27</f>
        <v>AltaLink</v>
      </c>
      <c r="H27" s="754">
        <f>'Func Future Subs 2015'!H27</f>
        <v>2015</v>
      </c>
      <c r="I27" s="306">
        <f>+IF($H27=I$2,VLOOKUP($G27,Depreciation!$A$14:$L$18,7,FALSE)/2,IF($H27&lt;I$2,VLOOKUP($G27,Depreciation!$A$14:$L$18,7,FALSE),0))</f>
        <v>1.7228380322441735E-2</v>
      </c>
      <c r="J27" s="306">
        <f>+IF($H27=J$2,VLOOKUP($G27,Depreciation!$A$14:$L$18,8,FALSE)/2,IF($H27&lt;J$2,VLOOKUP($G27,Depreciation!$A$14:$L$18,8,FALSE),0))</f>
        <v>3.343407856743718E-2</v>
      </c>
      <c r="K27" s="306">
        <f>+IF($H27=K$2,VLOOKUP($G27,Depreciation!$A$14:$L$18,9,FALSE)/2,IF($H27&lt;K$2,VLOOKUP($G27,Depreciation!$A$14:$L$18,9,FALSE),0))</f>
        <v>3.343407856743718E-2</v>
      </c>
      <c r="L27" s="306">
        <f>+IF($H27=L$2,VLOOKUP($G27,Depreciation!$A$14:$L$18,10,FALSE)/2,IF($H27&lt;L$2,VLOOKUP($G27,Depreciation!$A$14:$L$18,10,FALSE),0))</f>
        <v>3.343407856743718E-2</v>
      </c>
      <c r="M27" s="306">
        <f>+IF($H27=M$2,VLOOKUP($G27,Depreciation!$A$14:$L$18,11,FALSE)/2,IF($H27&lt;M$2,VLOOKUP($G27,Depreciation!$A$14:$L$18,11,FALSE),0))</f>
        <v>3.343407856743718E-2</v>
      </c>
      <c r="N27" s="306">
        <f>+IF($H27=N$2,VLOOKUP($G27,Depreciation!$A$14:$L$18,12,FALSE)/2,IF($H27&lt;N$2,VLOOKUP($G27,Depreciation!$A$14:$L$18,12,FALSE),0))</f>
        <v>3.343407856743718E-2</v>
      </c>
      <c r="O27" s="307">
        <f t="shared" si="1"/>
        <v>29847028.564101145</v>
      </c>
      <c r="P27" s="732">
        <f>'Func Future Subs 2015'!P27</f>
        <v>0</v>
      </c>
      <c r="Q27" s="732">
        <f>'Func Future Subs 2015'!Q27</f>
        <v>0</v>
      </c>
      <c r="R27" s="732">
        <f>'Func Future Subs 2015'!R27</f>
        <v>1</v>
      </c>
      <c r="S27" s="735">
        <f t="shared" si="2"/>
        <v>0</v>
      </c>
      <c r="T27" s="735">
        <f t="shared" si="3"/>
        <v>0</v>
      </c>
      <c r="U27" s="735">
        <f t="shared" si="4"/>
        <v>29847028.564101145</v>
      </c>
      <c r="V27" s="736">
        <f t="shared" si="5"/>
        <v>0</v>
      </c>
      <c r="W27" s="735">
        <f t="shared" si="6"/>
        <v>29847028.564101145</v>
      </c>
      <c r="X27" s="737">
        <f t="shared" si="7"/>
        <v>0</v>
      </c>
      <c r="Y27" s="738">
        <f t="shared" si="8"/>
        <v>0</v>
      </c>
    </row>
    <row r="28" spans="1:25">
      <c r="A28" s="754" t="str">
        <f>'Func Future Subs 2015'!A28</f>
        <v>Enmax No. 2</v>
      </c>
      <c r="B28" s="754">
        <f>'Func Future Subs 2015'!B28</f>
        <v>719</v>
      </c>
      <c r="C28" s="754">
        <f>'Func Future Subs 2015'!C28</f>
        <v>138</v>
      </c>
      <c r="D28" s="754">
        <f>'Func Future Subs 2015'!D28</f>
        <v>25</v>
      </c>
      <c r="E28" s="754" t="str">
        <f>'Func Future Subs 2015'!E28</f>
        <v>SS-2</v>
      </c>
      <c r="F28" s="754">
        <f>'Func Future Subs 2015'!F28</f>
        <v>37801368.20335371</v>
      </c>
      <c r="G28" s="754" t="str">
        <f>'Func Future Subs 2015'!G28</f>
        <v>ENMAX</v>
      </c>
      <c r="H28" s="754">
        <f>'Func Future Subs 2015'!H28</f>
        <v>2015</v>
      </c>
      <c r="I28" s="306">
        <f>+IF($H28=I$2,VLOOKUP($G28,Depreciation!$A$14:$L$18,7,FALSE)/2,IF($H28&lt;I$2,VLOOKUP($G28,Depreciation!$A$14:$L$18,7,FALSE),0))</f>
        <v>1.3928409269726289E-2</v>
      </c>
      <c r="J28" s="306">
        <f>+IF($H28=J$2,VLOOKUP($G28,Depreciation!$A$14:$L$18,8,FALSE)/2,IF($H28&lt;J$2,VLOOKUP($G28,Depreciation!$A$14:$L$18,8,FALSE),0))</f>
        <v>2.7856818539452578E-2</v>
      </c>
      <c r="K28" s="306">
        <f>+IF($H28=K$2,VLOOKUP($G28,Depreciation!$A$14:$L$18,9,FALSE)/2,IF($H28&lt;K$2,VLOOKUP($G28,Depreciation!$A$14:$L$18,9,FALSE),0))</f>
        <v>2.7856818539452578E-2</v>
      </c>
      <c r="L28" s="306">
        <f>+IF($H28=L$2,VLOOKUP($G28,Depreciation!$A$14:$L$18,10,FALSE)/2,IF($H28&lt;L$2,VLOOKUP($G28,Depreciation!$A$14:$L$18,10,FALSE),0))</f>
        <v>2.7856818539452578E-2</v>
      </c>
      <c r="M28" s="306">
        <f>+IF($H28=M$2,VLOOKUP($G28,Depreciation!$A$14:$L$18,11,FALSE)/2,IF($H28&lt;M$2,VLOOKUP($G28,Depreciation!$A$14:$L$18,11,FALSE),0))</f>
        <v>2.7856818539452578E-2</v>
      </c>
      <c r="N28" s="306">
        <f>+IF($H28=N$2,VLOOKUP($G28,Depreciation!$A$14:$L$18,12,FALSE)/2,IF($H28&lt;N$2,VLOOKUP($G28,Depreciation!$A$14:$L$18,12,FALSE),0))</f>
        <v>2.7856818539452578E-2</v>
      </c>
      <c r="O28" s="307">
        <f t="shared" si="1"/>
        <v>34245748.993269578</v>
      </c>
      <c r="P28" s="732">
        <f>'Func Future Subs 2015'!P28</f>
        <v>0</v>
      </c>
      <c r="Q28" s="732">
        <f>'Func Future Subs 2015'!Q28</f>
        <v>1</v>
      </c>
      <c r="R28" s="732">
        <f>'Func Future Subs 2015'!R28</f>
        <v>0</v>
      </c>
      <c r="S28" s="735">
        <f t="shared" si="2"/>
        <v>0</v>
      </c>
      <c r="T28" s="735">
        <f t="shared" si="3"/>
        <v>34245748.993269578</v>
      </c>
      <c r="U28" s="735">
        <f t="shared" si="4"/>
        <v>0</v>
      </c>
      <c r="V28" s="736">
        <f t="shared" si="5"/>
        <v>0</v>
      </c>
      <c r="W28" s="735">
        <f t="shared" si="6"/>
        <v>0</v>
      </c>
      <c r="X28" s="737">
        <f t="shared" si="7"/>
        <v>0</v>
      </c>
      <c r="Y28" s="738">
        <f t="shared" si="8"/>
        <v>34245748.993269578</v>
      </c>
    </row>
    <row r="29" spans="1:25">
      <c r="A29" s="754" t="str">
        <f>'Func Future Subs 2015'!A29</f>
        <v>Enmax No. 23</v>
      </c>
      <c r="B29" s="754">
        <f>'Func Future Subs 2015'!B29</f>
        <v>719</v>
      </c>
      <c r="C29" s="754">
        <f>'Func Future Subs 2015'!C29</f>
        <v>138</v>
      </c>
      <c r="D29" s="754">
        <f>'Func Future Subs 2015'!D29</f>
        <v>25</v>
      </c>
      <c r="E29" s="754" t="str">
        <f>'Func Future Subs 2015'!E29</f>
        <v>SS-23</v>
      </c>
      <c r="F29" s="754">
        <f>'Func Future Subs 2015'!F29</f>
        <v>822893.43442026142</v>
      </c>
      <c r="G29" s="754" t="str">
        <f>'Func Future Subs 2015'!G29</f>
        <v>ENMAX</v>
      </c>
      <c r="H29" s="754">
        <f>'Func Future Subs 2015'!H29</f>
        <v>2015</v>
      </c>
      <c r="I29" s="306">
        <f>+IF($H29=I$2,VLOOKUP($G29,Depreciation!$A$14:$L$18,7,FALSE)/2,IF($H29&lt;I$2,VLOOKUP($G29,Depreciation!$A$14:$L$18,7,FALSE),0))</f>
        <v>1.3928409269726289E-2</v>
      </c>
      <c r="J29" s="306">
        <f>+IF($H29=J$2,VLOOKUP($G29,Depreciation!$A$14:$L$18,8,FALSE)/2,IF($H29&lt;J$2,VLOOKUP($G29,Depreciation!$A$14:$L$18,8,FALSE),0))</f>
        <v>2.7856818539452578E-2</v>
      </c>
      <c r="K29" s="306">
        <f>+IF($H29=K$2,VLOOKUP($G29,Depreciation!$A$14:$L$18,9,FALSE)/2,IF($H29&lt;K$2,VLOOKUP($G29,Depreciation!$A$14:$L$18,9,FALSE),0))</f>
        <v>2.7856818539452578E-2</v>
      </c>
      <c r="L29" s="306">
        <f>+IF($H29=L$2,VLOOKUP($G29,Depreciation!$A$14:$L$18,10,FALSE)/2,IF($H29&lt;L$2,VLOOKUP($G29,Depreciation!$A$14:$L$18,10,FALSE),0))</f>
        <v>2.7856818539452578E-2</v>
      </c>
      <c r="M29" s="306">
        <f>+IF($H29=M$2,VLOOKUP($G29,Depreciation!$A$14:$L$18,11,FALSE)/2,IF($H29&lt;M$2,VLOOKUP($G29,Depreciation!$A$14:$L$18,11,FALSE),0))</f>
        <v>2.7856818539452578E-2</v>
      </c>
      <c r="N29" s="306">
        <f>+IF($H29=N$2,VLOOKUP($G29,Depreciation!$A$14:$L$18,12,FALSE)/2,IF($H29&lt;N$2,VLOOKUP($G29,Depreciation!$A$14:$L$18,12,FALSE),0))</f>
        <v>2.7856818539452578E-2</v>
      </c>
      <c r="O29" s="307">
        <f t="shared" si="1"/>
        <v>745491.58781151334</v>
      </c>
      <c r="P29" s="732">
        <f>'Func Future Subs 2015'!P29</f>
        <v>0</v>
      </c>
      <c r="Q29" s="732">
        <f>'Func Future Subs 2015'!Q29</f>
        <v>1</v>
      </c>
      <c r="R29" s="732">
        <f>'Func Future Subs 2015'!R29</f>
        <v>0</v>
      </c>
      <c r="S29" s="735">
        <f t="shared" si="2"/>
        <v>0</v>
      </c>
      <c r="T29" s="735">
        <f t="shared" si="3"/>
        <v>745491.58781151334</v>
      </c>
      <c r="U29" s="735">
        <f t="shared" si="4"/>
        <v>0</v>
      </c>
      <c r="V29" s="736">
        <f t="shared" si="5"/>
        <v>0</v>
      </c>
      <c r="W29" s="735">
        <f t="shared" si="6"/>
        <v>0</v>
      </c>
      <c r="X29" s="737">
        <f t="shared" si="7"/>
        <v>0</v>
      </c>
      <c r="Y29" s="738">
        <f t="shared" si="8"/>
        <v>745491.58781151334</v>
      </c>
    </row>
    <row r="30" spans="1:25">
      <c r="A30" s="754" t="str">
        <f>'Func Future Subs 2015'!A30</f>
        <v>Enmax No. 25</v>
      </c>
      <c r="B30" s="754">
        <f>'Func Future Subs 2015'!B30</f>
        <v>719</v>
      </c>
      <c r="C30" s="754">
        <f>'Func Future Subs 2015'!C30</f>
        <v>240</v>
      </c>
      <c r="D30" s="754">
        <f>'Func Future Subs 2015'!D30</f>
        <v>25</v>
      </c>
      <c r="E30" s="754" t="str">
        <f>'Func Future Subs 2015'!E30</f>
        <v>SS-25</v>
      </c>
      <c r="F30" s="754">
        <f>'Func Future Subs 2015'!F30</f>
        <v>17323675</v>
      </c>
      <c r="G30" s="754" t="str">
        <f>'Func Future Subs 2015'!G30</f>
        <v>ENMAX</v>
      </c>
      <c r="H30" s="754">
        <f>'Func Future Subs 2015'!H30</f>
        <v>2015</v>
      </c>
      <c r="I30" s="306">
        <f>+IF($H30=I$2,VLOOKUP($G30,Depreciation!$A$14:$L$18,7,FALSE)/2,IF($H30&lt;I$2,VLOOKUP($G30,Depreciation!$A$14:$L$18,7,FALSE),0))</f>
        <v>1.3928409269726289E-2</v>
      </c>
      <c r="J30" s="306">
        <f>+IF($H30=J$2,VLOOKUP($G30,Depreciation!$A$14:$L$18,8,FALSE)/2,IF($H30&lt;J$2,VLOOKUP($G30,Depreciation!$A$14:$L$18,8,FALSE),0))</f>
        <v>2.7856818539452578E-2</v>
      </c>
      <c r="K30" s="306">
        <f>+IF($H30=K$2,VLOOKUP($G30,Depreciation!$A$14:$L$18,9,FALSE)/2,IF($H30&lt;K$2,VLOOKUP($G30,Depreciation!$A$14:$L$18,9,FALSE),0))</f>
        <v>2.7856818539452578E-2</v>
      </c>
      <c r="L30" s="306">
        <f>+IF($H30=L$2,VLOOKUP($G30,Depreciation!$A$14:$L$18,10,FALSE)/2,IF($H30&lt;L$2,VLOOKUP($G30,Depreciation!$A$14:$L$18,10,FALSE),0))</f>
        <v>2.7856818539452578E-2</v>
      </c>
      <c r="M30" s="306">
        <f>+IF($H30=M$2,VLOOKUP($G30,Depreciation!$A$14:$L$18,11,FALSE)/2,IF($H30&lt;M$2,VLOOKUP($G30,Depreciation!$A$14:$L$18,11,FALSE),0))</f>
        <v>2.7856818539452578E-2</v>
      </c>
      <c r="N30" s="306">
        <f>+IF($H30=N$2,VLOOKUP($G30,Depreciation!$A$14:$L$18,12,FALSE)/2,IF($H30&lt;N$2,VLOOKUP($G30,Depreciation!$A$14:$L$18,12,FALSE),0))</f>
        <v>2.7856818539452578E-2</v>
      </c>
      <c r="O30" s="307">
        <f t="shared" si="1"/>
        <v>15694199.810427643</v>
      </c>
      <c r="P30" s="732">
        <f>'Func Future Subs 2015'!P30</f>
        <v>0.9759174311926605</v>
      </c>
      <c r="Q30" s="732">
        <f>'Func Future Subs 2015'!Q30</f>
        <v>2.4082568807339451E-2</v>
      </c>
      <c r="R30" s="732">
        <f>'Func Future Subs 2015'!R30</f>
        <v>4.8572257327350599E-17</v>
      </c>
      <c r="S30" s="735">
        <f t="shared" si="2"/>
        <v>15316243.163616884</v>
      </c>
      <c r="T30" s="735">
        <f t="shared" si="3"/>
        <v>377956.64681075746</v>
      </c>
      <c r="U30" s="735">
        <f t="shared" si="4"/>
        <v>7.6230271173894853E-10</v>
      </c>
      <c r="V30" s="736">
        <f t="shared" si="5"/>
        <v>0</v>
      </c>
      <c r="W30" s="735">
        <f t="shared" si="6"/>
        <v>15316243.163616884</v>
      </c>
      <c r="X30" s="737">
        <f t="shared" si="7"/>
        <v>0</v>
      </c>
      <c r="Y30" s="738">
        <f t="shared" si="8"/>
        <v>377956.64681075822</v>
      </c>
    </row>
    <row r="31" spans="1:25">
      <c r="A31" s="754" t="str">
        <f>'Func Future Subs 2015'!A31</f>
        <v>Janet 74S</v>
      </c>
      <c r="B31" s="754">
        <f>'Func Future Subs 2015'!B31</f>
        <v>719</v>
      </c>
      <c r="C31" s="754">
        <f>'Func Future Subs 2015'!C31</f>
        <v>240</v>
      </c>
      <c r="D31" s="754">
        <f>'Func Future Subs 2015'!D31</f>
        <v>138</v>
      </c>
      <c r="E31" s="754" t="str">
        <f>'Func Future Subs 2015'!E31</f>
        <v>74S</v>
      </c>
      <c r="F31" s="754">
        <f>'Func Future Subs 2015'!F31</f>
        <v>1242846.8878267198</v>
      </c>
      <c r="G31" s="754" t="str">
        <f>'Func Future Subs 2015'!G31</f>
        <v>AltaLink</v>
      </c>
      <c r="H31" s="754">
        <f>'Func Future Subs 2015'!H31</f>
        <v>2015</v>
      </c>
      <c r="I31" s="306">
        <f>+IF($H31=I$2,VLOOKUP($G31,Depreciation!$A$14:$L$18,7,FALSE)/2,IF($H31&lt;I$2,VLOOKUP($G31,Depreciation!$A$14:$L$18,7,FALSE),0))</f>
        <v>1.7228380322441735E-2</v>
      </c>
      <c r="J31" s="306">
        <f>+IF($H31=J$2,VLOOKUP($G31,Depreciation!$A$14:$L$18,8,FALSE)/2,IF($H31&lt;J$2,VLOOKUP($G31,Depreciation!$A$14:$L$18,8,FALSE),0))</f>
        <v>3.343407856743718E-2</v>
      </c>
      <c r="K31" s="306">
        <f>+IF($H31=K$2,VLOOKUP($G31,Depreciation!$A$14:$L$18,9,FALSE)/2,IF($H31&lt;K$2,VLOOKUP($G31,Depreciation!$A$14:$L$18,9,FALSE),0))</f>
        <v>3.343407856743718E-2</v>
      </c>
      <c r="L31" s="306">
        <f>+IF($H31=L$2,VLOOKUP($G31,Depreciation!$A$14:$L$18,10,FALSE)/2,IF($H31&lt;L$2,VLOOKUP($G31,Depreciation!$A$14:$L$18,10,FALSE),0))</f>
        <v>3.343407856743718E-2</v>
      </c>
      <c r="M31" s="306">
        <f>+IF($H31=M$2,VLOOKUP($G31,Depreciation!$A$14:$L$18,11,FALSE)/2,IF($H31&lt;M$2,VLOOKUP($G31,Depreciation!$A$14:$L$18,11,FALSE),0))</f>
        <v>3.343407856743718E-2</v>
      </c>
      <c r="N31" s="306">
        <f>+IF($H31=N$2,VLOOKUP($G31,Depreciation!$A$14:$L$18,12,FALSE)/2,IF($H31&lt;N$2,VLOOKUP($G31,Depreciation!$A$14:$L$18,12,FALSE),0))</f>
        <v>3.343407856743718E-2</v>
      </c>
      <c r="O31" s="307">
        <f t="shared" si="1"/>
        <v>1102972.4699303268</v>
      </c>
      <c r="P31" s="732">
        <f>'Func Future Subs 2015'!P31</f>
        <v>0</v>
      </c>
      <c r="Q31" s="732">
        <f>'Func Future Subs 2015'!Q31</f>
        <v>0</v>
      </c>
      <c r="R31" s="732">
        <f>'Func Future Subs 2015'!R31</f>
        <v>1</v>
      </c>
      <c r="S31" s="735">
        <f t="shared" si="2"/>
        <v>0</v>
      </c>
      <c r="T31" s="735">
        <f t="shared" si="3"/>
        <v>0</v>
      </c>
      <c r="U31" s="735">
        <f t="shared" si="4"/>
        <v>1102972.4699303268</v>
      </c>
      <c r="V31" s="736">
        <f t="shared" si="5"/>
        <v>0</v>
      </c>
      <c r="W31" s="735">
        <f t="shared" si="6"/>
        <v>0</v>
      </c>
      <c r="X31" s="737">
        <f t="shared" si="7"/>
        <v>1102972.4699303268</v>
      </c>
      <c r="Y31" s="738">
        <f t="shared" si="8"/>
        <v>0</v>
      </c>
    </row>
    <row r="32" spans="1:25">
      <c r="A32" s="754" t="str">
        <f>'Func Future Subs 2015'!A32</f>
        <v>Langdon 102S substation</v>
      </c>
      <c r="B32" s="754">
        <f>'Func Future Subs 2015'!B32</f>
        <v>719</v>
      </c>
      <c r="C32" s="754">
        <f>'Func Future Subs 2015'!C32</f>
        <v>240</v>
      </c>
      <c r="D32" s="754">
        <f>'Func Future Subs 2015'!D32</f>
        <v>240</v>
      </c>
      <c r="E32" s="754" t="str">
        <f>'Func Future Subs 2015'!E32</f>
        <v>102S</v>
      </c>
      <c r="F32" s="754">
        <f>'Func Future Subs 2015'!F32</f>
        <v>11146.608859432465</v>
      </c>
      <c r="G32" s="754" t="str">
        <f>'Func Future Subs 2015'!G32</f>
        <v>AltaLink</v>
      </c>
      <c r="H32" s="754">
        <f>'Func Future Subs 2015'!H32</f>
        <v>2015</v>
      </c>
      <c r="I32" s="306">
        <f>+IF($H32=I$2,VLOOKUP($G32,Depreciation!$A$14:$L$18,7,FALSE)/2,IF($H32&lt;I$2,VLOOKUP($G32,Depreciation!$A$14:$L$18,7,FALSE),0))</f>
        <v>1.7228380322441735E-2</v>
      </c>
      <c r="J32" s="306">
        <f>+IF($H32=J$2,VLOOKUP($G32,Depreciation!$A$14:$L$18,8,FALSE)/2,IF($H32&lt;J$2,VLOOKUP($G32,Depreciation!$A$14:$L$18,8,FALSE),0))</f>
        <v>3.343407856743718E-2</v>
      </c>
      <c r="K32" s="306">
        <f>+IF($H32=K$2,VLOOKUP($G32,Depreciation!$A$14:$L$18,9,FALSE)/2,IF($H32&lt;K$2,VLOOKUP($G32,Depreciation!$A$14:$L$18,9,FALSE),0))</f>
        <v>3.343407856743718E-2</v>
      </c>
      <c r="L32" s="306">
        <f>+IF($H32=L$2,VLOOKUP($G32,Depreciation!$A$14:$L$18,10,FALSE)/2,IF($H32&lt;L$2,VLOOKUP($G32,Depreciation!$A$14:$L$18,10,FALSE),0))</f>
        <v>3.343407856743718E-2</v>
      </c>
      <c r="M32" s="306">
        <f>+IF($H32=M$2,VLOOKUP($G32,Depreciation!$A$14:$L$18,11,FALSE)/2,IF($H32&lt;M$2,VLOOKUP($G32,Depreciation!$A$14:$L$18,11,FALSE),0))</f>
        <v>3.343407856743718E-2</v>
      </c>
      <c r="N32" s="306">
        <f>+IF($H32=N$2,VLOOKUP($G32,Depreciation!$A$14:$L$18,12,FALSE)/2,IF($H32&lt;N$2,VLOOKUP($G32,Depreciation!$A$14:$L$18,12,FALSE),0))</f>
        <v>3.343407856743718E-2</v>
      </c>
      <c r="O32" s="307">
        <f t="shared" si="1"/>
        <v>9892.1297751598813</v>
      </c>
      <c r="P32" s="732">
        <f>'Func Future Subs 2015'!P32</f>
        <v>0</v>
      </c>
      <c r="Q32" s="732">
        <f>'Func Future Subs 2015'!Q32</f>
        <v>0</v>
      </c>
      <c r="R32" s="732">
        <f>'Func Future Subs 2015'!R32</f>
        <v>1</v>
      </c>
      <c r="S32" s="735">
        <f t="shared" si="2"/>
        <v>0</v>
      </c>
      <c r="T32" s="735">
        <f t="shared" si="3"/>
        <v>0</v>
      </c>
      <c r="U32" s="735">
        <f t="shared" si="4"/>
        <v>9892.1297751598813</v>
      </c>
      <c r="V32" s="736">
        <f t="shared" si="5"/>
        <v>0</v>
      </c>
      <c r="W32" s="735">
        <f t="shared" si="6"/>
        <v>9892.1297751598813</v>
      </c>
      <c r="X32" s="737">
        <f t="shared" si="7"/>
        <v>0</v>
      </c>
      <c r="Y32" s="738">
        <f t="shared" si="8"/>
        <v>0</v>
      </c>
    </row>
    <row r="33" spans="1:25">
      <c r="A33" s="754" t="str">
        <f>'Func Future Subs 2015'!A33</f>
        <v>Peigan 59S substation</v>
      </c>
      <c r="B33" s="754">
        <f>'Func Future Subs 2015'!B33</f>
        <v>719</v>
      </c>
      <c r="C33" s="754">
        <f>'Func Future Subs 2015'!C33</f>
        <v>240</v>
      </c>
      <c r="D33" s="754">
        <f>'Func Future Subs 2015'!D33</f>
        <v>138</v>
      </c>
      <c r="E33" s="754" t="str">
        <f>'Func Future Subs 2015'!E33</f>
        <v>59S</v>
      </c>
      <c r="F33" s="754">
        <f>'Func Future Subs 2015'!F33</f>
        <v>13933.26107429058</v>
      </c>
      <c r="G33" s="754" t="str">
        <f>'Func Future Subs 2015'!G33</f>
        <v>AltaLink</v>
      </c>
      <c r="H33" s="754">
        <f>'Func Future Subs 2015'!H33</f>
        <v>2015</v>
      </c>
      <c r="I33" s="306">
        <f>+IF($H33=I$2,VLOOKUP($G33,Depreciation!$A$14:$L$18,7,FALSE)/2,IF($H33&lt;I$2,VLOOKUP($G33,Depreciation!$A$14:$L$18,7,FALSE),0))</f>
        <v>1.7228380322441735E-2</v>
      </c>
      <c r="J33" s="306">
        <f>+IF($H33=J$2,VLOOKUP($G33,Depreciation!$A$14:$L$18,8,FALSE)/2,IF($H33&lt;J$2,VLOOKUP($G33,Depreciation!$A$14:$L$18,8,FALSE),0))</f>
        <v>3.343407856743718E-2</v>
      </c>
      <c r="K33" s="306">
        <f>+IF($H33=K$2,VLOOKUP($G33,Depreciation!$A$14:$L$18,9,FALSE)/2,IF($H33&lt;K$2,VLOOKUP($G33,Depreciation!$A$14:$L$18,9,FALSE),0))</f>
        <v>3.343407856743718E-2</v>
      </c>
      <c r="L33" s="306">
        <f>+IF($H33=L$2,VLOOKUP($G33,Depreciation!$A$14:$L$18,10,FALSE)/2,IF($H33&lt;L$2,VLOOKUP($G33,Depreciation!$A$14:$L$18,10,FALSE),0))</f>
        <v>3.343407856743718E-2</v>
      </c>
      <c r="M33" s="306">
        <f>+IF($H33=M$2,VLOOKUP($G33,Depreciation!$A$14:$L$18,11,FALSE)/2,IF($H33&lt;M$2,VLOOKUP($G33,Depreciation!$A$14:$L$18,11,FALSE),0))</f>
        <v>3.343407856743718E-2</v>
      </c>
      <c r="N33" s="306">
        <f>+IF($H33=N$2,VLOOKUP($G33,Depreciation!$A$14:$L$18,12,FALSE)/2,IF($H33&lt;N$2,VLOOKUP($G33,Depreciation!$A$14:$L$18,12,FALSE),0))</f>
        <v>3.343407856743718E-2</v>
      </c>
      <c r="O33" s="307">
        <f t="shared" si="1"/>
        <v>12365.16221894985</v>
      </c>
      <c r="P33" s="732">
        <f>'Func Future Subs 2015'!P33</f>
        <v>0</v>
      </c>
      <c r="Q33" s="732">
        <f>'Func Future Subs 2015'!Q33</f>
        <v>0</v>
      </c>
      <c r="R33" s="732">
        <f>'Func Future Subs 2015'!R33</f>
        <v>1</v>
      </c>
      <c r="S33" s="735">
        <f t="shared" si="2"/>
        <v>0</v>
      </c>
      <c r="T33" s="735">
        <f t="shared" si="3"/>
        <v>0</v>
      </c>
      <c r="U33" s="735">
        <f t="shared" si="4"/>
        <v>12365.16221894985</v>
      </c>
      <c r="V33" s="736">
        <f t="shared" si="5"/>
        <v>0</v>
      </c>
      <c r="W33" s="735">
        <f t="shared" si="6"/>
        <v>0</v>
      </c>
      <c r="X33" s="737">
        <f t="shared" si="7"/>
        <v>12365.16221894985</v>
      </c>
      <c r="Y33" s="738">
        <f t="shared" si="8"/>
        <v>0</v>
      </c>
    </row>
    <row r="34" spans="1:25">
      <c r="A34" s="754" t="str">
        <f>'Func Future Subs 2015'!A34</f>
        <v>S.42S</v>
      </c>
      <c r="B34" s="754">
        <f>'Func Future Subs 2015'!B34</f>
        <v>719</v>
      </c>
      <c r="C34" s="754">
        <f>'Func Future Subs 2015'!C34</f>
        <v>240</v>
      </c>
      <c r="D34" s="754">
        <f>'Func Future Subs 2015'!D34</f>
        <v>138</v>
      </c>
      <c r="E34" s="754" t="str">
        <f>'Func Future Subs 2015'!E34</f>
        <v>42S</v>
      </c>
      <c r="F34" s="754">
        <f>'Func Future Subs 2015'!F34</f>
        <v>128186.00188347333</v>
      </c>
      <c r="G34" s="754" t="str">
        <f>'Func Future Subs 2015'!G34</f>
        <v>AltaLink</v>
      </c>
      <c r="H34" s="754">
        <f>'Func Future Subs 2015'!H34</f>
        <v>2015</v>
      </c>
      <c r="I34" s="306">
        <f>+IF($H34=I$2,VLOOKUP($G34,Depreciation!$A$14:$L$18,7,FALSE)/2,IF($H34&lt;I$2,VLOOKUP($G34,Depreciation!$A$14:$L$18,7,FALSE),0))</f>
        <v>1.7228380322441735E-2</v>
      </c>
      <c r="J34" s="306">
        <f>+IF($H34=J$2,VLOOKUP($G34,Depreciation!$A$14:$L$18,8,FALSE)/2,IF($H34&lt;J$2,VLOOKUP($G34,Depreciation!$A$14:$L$18,8,FALSE),0))</f>
        <v>3.343407856743718E-2</v>
      </c>
      <c r="K34" s="306">
        <f>+IF($H34=K$2,VLOOKUP($G34,Depreciation!$A$14:$L$18,9,FALSE)/2,IF($H34&lt;K$2,VLOOKUP($G34,Depreciation!$A$14:$L$18,9,FALSE),0))</f>
        <v>3.343407856743718E-2</v>
      </c>
      <c r="L34" s="306">
        <f>+IF($H34=L$2,VLOOKUP($G34,Depreciation!$A$14:$L$18,10,FALSE)/2,IF($H34&lt;L$2,VLOOKUP($G34,Depreciation!$A$14:$L$18,10,FALSE),0))</f>
        <v>3.343407856743718E-2</v>
      </c>
      <c r="M34" s="306">
        <f>+IF($H34=M$2,VLOOKUP($G34,Depreciation!$A$14:$L$18,11,FALSE)/2,IF($H34&lt;M$2,VLOOKUP($G34,Depreciation!$A$14:$L$18,11,FALSE),0))</f>
        <v>3.343407856743718E-2</v>
      </c>
      <c r="N34" s="306">
        <f>+IF($H34=N$2,VLOOKUP($G34,Depreciation!$A$14:$L$18,12,FALSE)/2,IF($H34&lt;N$2,VLOOKUP($G34,Depreciation!$A$14:$L$18,12,FALSE),0))</f>
        <v>3.343407856743718E-2</v>
      </c>
      <c r="O34" s="307">
        <f t="shared" si="1"/>
        <v>113759.49241433862</v>
      </c>
      <c r="P34" s="732">
        <f>'Func Future Subs 2015'!P34</f>
        <v>0</v>
      </c>
      <c r="Q34" s="732">
        <f>'Func Future Subs 2015'!Q34</f>
        <v>0</v>
      </c>
      <c r="R34" s="732">
        <f>'Func Future Subs 2015'!R34</f>
        <v>1</v>
      </c>
      <c r="S34" s="735">
        <f t="shared" si="2"/>
        <v>0</v>
      </c>
      <c r="T34" s="735">
        <f t="shared" si="3"/>
        <v>0</v>
      </c>
      <c r="U34" s="735">
        <f t="shared" si="4"/>
        <v>113759.49241433862</v>
      </c>
      <c r="V34" s="736">
        <f t="shared" si="5"/>
        <v>0</v>
      </c>
      <c r="W34" s="735">
        <f t="shared" si="6"/>
        <v>0</v>
      </c>
      <c r="X34" s="737">
        <f t="shared" si="7"/>
        <v>113759.49241433862</v>
      </c>
      <c r="Y34" s="738">
        <f t="shared" si="8"/>
        <v>0</v>
      </c>
    </row>
    <row r="35" spans="1:25">
      <c r="A35" s="754" t="str">
        <f>'Func Future Subs 2015'!A35</f>
        <v>805S Jasper Sub</v>
      </c>
      <c r="B35" s="754">
        <f>'Func Future Subs 2015'!B35</f>
        <v>786</v>
      </c>
      <c r="C35" s="754">
        <f>'Func Future Subs 2015'!C35</f>
        <v>240</v>
      </c>
      <c r="D35" s="754">
        <f>'Func Future Subs 2015'!D35</f>
        <v>0</v>
      </c>
      <c r="E35" s="754" t="str">
        <f>'Func Future Subs 2015'!E35</f>
        <v>805S</v>
      </c>
      <c r="F35" s="754">
        <f>'Func Future Subs 2015'!F35</f>
        <v>977096.32405747706</v>
      </c>
      <c r="G35" s="754" t="str">
        <f>'Func Future Subs 2015'!G35</f>
        <v>EPCOR</v>
      </c>
      <c r="H35" s="754">
        <f>'Func Future Subs 2015'!H35</f>
        <v>2016</v>
      </c>
      <c r="I35" s="306">
        <f>+IF($H35=I$2,VLOOKUP($G35,Depreciation!$A$14:$L$18,7,FALSE)/2,IF($H35&lt;I$2,VLOOKUP($G35,Depreciation!$A$14:$L$18,7,FALSE),0))</f>
        <v>0</v>
      </c>
      <c r="J35" s="306">
        <f>+IF($H35=J$2,VLOOKUP($G35,Depreciation!$A$14:$L$18,8,FALSE)/2,IF($H35&lt;J$2,VLOOKUP($G35,Depreciation!$A$14:$L$18,8,FALSE),0))</f>
        <v>2.0800027799922457E-2</v>
      </c>
      <c r="K35" s="306">
        <f>+IF($H35=K$2,VLOOKUP($G35,Depreciation!$A$14:$L$18,9,FALSE)/2,IF($H35&lt;K$2,VLOOKUP($G35,Depreciation!$A$14:$L$18,9,FALSE),0))</f>
        <v>4.1145263498658789E-2</v>
      </c>
      <c r="L35" s="306">
        <f>+IF($H35=L$2,VLOOKUP($G35,Depreciation!$A$14:$L$18,10,FALSE)/2,IF($H35&lt;L$2,VLOOKUP($G35,Depreciation!$A$14:$L$18,10,FALSE),0))</f>
        <v>4.1145263498658789E-2</v>
      </c>
      <c r="M35" s="306">
        <f>+IF($H35=M$2,VLOOKUP($G35,Depreciation!$A$14:$L$18,11,FALSE)/2,IF($H35&lt;M$2,VLOOKUP($G35,Depreciation!$A$14:$L$18,11,FALSE),0))</f>
        <v>4.1145263498658789E-2</v>
      </c>
      <c r="N35" s="306">
        <f>+IF($H35=N$2,VLOOKUP($G35,Depreciation!$A$14:$L$18,12,FALSE)/2,IF($H35&lt;N$2,VLOOKUP($G35,Depreciation!$A$14:$L$18,12,FALSE),0))</f>
        <v>4.1145263498658789E-2</v>
      </c>
      <c r="O35" s="307">
        <f t="shared" si="1"/>
        <v>879659.11598820379</v>
      </c>
      <c r="P35" s="732">
        <f>'Func Future Subs 2015'!P35</f>
        <v>0</v>
      </c>
      <c r="Q35" s="732">
        <f>'Func Future Subs 2015'!Q35</f>
        <v>0</v>
      </c>
      <c r="R35" s="732">
        <f>'Func Future Subs 2015'!R35</f>
        <v>1</v>
      </c>
      <c r="S35" s="735">
        <f t="shared" si="2"/>
        <v>0</v>
      </c>
      <c r="T35" s="735">
        <f t="shared" si="3"/>
        <v>0</v>
      </c>
      <c r="U35" s="735">
        <f t="shared" si="4"/>
        <v>879659.11598820379</v>
      </c>
      <c r="V35" s="736">
        <f t="shared" si="5"/>
        <v>879659.11598820379</v>
      </c>
      <c r="W35" s="735">
        <f t="shared" si="6"/>
        <v>0</v>
      </c>
      <c r="X35" s="737">
        <f t="shared" si="7"/>
        <v>0</v>
      </c>
      <c r="Y35" s="738">
        <f t="shared" si="8"/>
        <v>0</v>
      </c>
    </row>
    <row r="36" spans="1:25">
      <c r="A36" s="754" t="str">
        <f>'Func Future Subs 2015'!A36</f>
        <v>816S Petrolia Sub</v>
      </c>
      <c r="B36" s="754">
        <f>'Func Future Subs 2015'!B36</f>
        <v>786</v>
      </c>
      <c r="C36" s="754">
        <f>'Func Future Subs 2015'!C36</f>
        <v>240</v>
      </c>
      <c r="D36" s="754">
        <f>'Func Future Subs 2015'!D36</f>
        <v>25</v>
      </c>
      <c r="E36" s="754" t="str">
        <f>'Func Future Subs 2015'!E36</f>
        <v>816S</v>
      </c>
      <c r="F36" s="754">
        <f>'Func Future Subs 2015'!F36</f>
        <v>1459886.8313876344</v>
      </c>
      <c r="G36" s="754" t="str">
        <f>'Func Future Subs 2015'!G36</f>
        <v>EPCOR</v>
      </c>
      <c r="H36" s="754">
        <f>'Func Future Subs 2015'!H36</f>
        <v>2016</v>
      </c>
      <c r="I36" s="306">
        <f>+IF($H36=I$2,VLOOKUP($G36,Depreciation!$A$14:$L$18,7,FALSE)/2,IF($H36&lt;I$2,VLOOKUP($G36,Depreciation!$A$14:$L$18,7,FALSE),0))</f>
        <v>0</v>
      </c>
      <c r="J36" s="306">
        <f>+IF($H36=J$2,VLOOKUP($G36,Depreciation!$A$14:$L$18,8,FALSE)/2,IF($H36&lt;J$2,VLOOKUP($G36,Depreciation!$A$14:$L$18,8,FALSE),0))</f>
        <v>2.0800027799922457E-2</v>
      </c>
      <c r="K36" s="306">
        <f>+IF($H36=K$2,VLOOKUP($G36,Depreciation!$A$14:$L$18,9,FALSE)/2,IF($H36&lt;K$2,VLOOKUP($G36,Depreciation!$A$14:$L$18,9,FALSE),0))</f>
        <v>4.1145263498658789E-2</v>
      </c>
      <c r="L36" s="306">
        <f>+IF($H36=L$2,VLOOKUP($G36,Depreciation!$A$14:$L$18,10,FALSE)/2,IF($H36&lt;L$2,VLOOKUP($G36,Depreciation!$A$14:$L$18,10,FALSE),0))</f>
        <v>4.1145263498658789E-2</v>
      </c>
      <c r="M36" s="306">
        <f>+IF($H36=M$2,VLOOKUP($G36,Depreciation!$A$14:$L$18,11,FALSE)/2,IF($H36&lt;M$2,VLOOKUP($G36,Depreciation!$A$14:$L$18,11,FALSE),0))</f>
        <v>4.1145263498658789E-2</v>
      </c>
      <c r="N36" s="306">
        <f>+IF($H36=N$2,VLOOKUP($G36,Depreciation!$A$14:$L$18,12,FALSE)/2,IF($H36&lt;N$2,VLOOKUP($G36,Depreciation!$A$14:$L$18,12,FALSE),0))</f>
        <v>4.1145263498658789E-2</v>
      </c>
      <c r="O36" s="307">
        <f t="shared" si="1"/>
        <v>1314305.1794612259</v>
      </c>
      <c r="P36" s="732">
        <f>'Func Future Subs 2015'!P36</f>
        <v>0</v>
      </c>
      <c r="Q36" s="732">
        <f>'Func Future Subs 2015'!Q36</f>
        <v>0</v>
      </c>
      <c r="R36" s="732">
        <f>'Func Future Subs 2015'!R36</f>
        <v>1</v>
      </c>
      <c r="S36" s="735">
        <f t="shared" si="2"/>
        <v>0</v>
      </c>
      <c r="T36" s="735">
        <f t="shared" si="3"/>
        <v>0</v>
      </c>
      <c r="U36" s="735">
        <f t="shared" si="4"/>
        <v>1314305.1794612259</v>
      </c>
      <c r="V36" s="736">
        <f t="shared" si="5"/>
        <v>0</v>
      </c>
      <c r="W36" s="735">
        <f t="shared" si="6"/>
        <v>0</v>
      </c>
      <c r="X36" s="737">
        <f t="shared" si="7"/>
        <v>0</v>
      </c>
      <c r="Y36" s="738">
        <f t="shared" si="8"/>
        <v>1314305.1794612259</v>
      </c>
    </row>
    <row r="37" spans="1:25">
      <c r="A37" s="754" t="str">
        <f>'Func Future Subs 2015'!A37</f>
        <v>Bellamy 814S</v>
      </c>
      <c r="B37" s="754">
        <f>'Func Future Subs 2015'!B37</f>
        <v>786</v>
      </c>
      <c r="C37" s="754">
        <f>'Func Future Subs 2015'!C37</f>
        <v>240</v>
      </c>
      <c r="D37" s="754">
        <f>'Func Future Subs 2015'!D37</f>
        <v>0</v>
      </c>
      <c r="E37" s="754" t="str">
        <f>'Func Future Subs 2015'!E37</f>
        <v>814S</v>
      </c>
      <c r="F37" s="754">
        <f>'Func Future Subs 2015'!F37</f>
        <v>700514.65499403654</v>
      </c>
      <c r="G37" s="754" t="str">
        <f>'Func Future Subs 2015'!G37</f>
        <v>EPCOR</v>
      </c>
      <c r="H37" s="754">
        <f>'Func Future Subs 2015'!H37</f>
        <v>2016</v>
      </c>
      <c r="I37" s="306">
        <f>+IF($H37=I$2,VLOOKUP($G37,Depreciation!$A$14:$L$18,7,FALSE)/2,IF($H37&lt;I$2,VLOOKUP($G37,Depreciation!$A$14:$L$18,7,FALSE),0))</f>
        <v>0</v>
      </c>
      <c r="J37" s="306">
        <f>+IF($H37=J$2,VLOOKUP($G37,Depreciation!$A$14:$L$18,8,FALSE)/2,IF($H37&lt;J$2,VLOOKUP($G37,Depreciation!$A$14:$L$18,8,FALSE),0))</f>
        <v>2.0800027799922457E-2</v>
      </c>
      <c r="K37" s="306">
        <f>+IF($H37=K$2,VLOOKUP($G37,Depreciation!$A$14:$L$18,9,FALSE)/2,IF($H37&lt;K$2,VLOOKUP($G37,Depreciation!$A$14:$L$18,9,FALSE),0))</f>
        <v>4.1145263498658789E-2</v>
      </c>
      <c r="L37" s="306">
        <f>+IF($H37=L$2,VLOOKUP($G37,Depreciation!$A$14:$L$18,10,FALSE)/2,IF($H37&lt;L$2,VLOOKUP($G37,Depreciation!$A$14:$L$18,10,FALSE),0))</f>
        <v>4.1145263498658789E-2</v>
      </c>
      <c r="M37" s="306">
        <f>+IF($H37=M$2,VLOOKUP($G37,Depreciation!$A$14:$L$18,11,FALSE)/2,IF($H37&lt;M$2,VLOOKUP($G37,Depreciation!$A$14:$L$18,11,FALSE),0))</f>
        <v>4.1145263498658789E-2</v>
      </c>
      <c r="N37" s="306">
        <f>+IF($H37=N$2,VLOOKUP($G37,Depreciation!$A$14:$L$18,12,FALSE)/2,IF($H37&lt;N$2,VLOOKUP($G37,Depreciation!$A$14:$L$18,12,FALSE),0))</f>
        <v>4.1145263498658789E-2</v>
      </c>
      <c r="O37" s="307">
        <f t="shared" si="1"/>
        <v>630658.50006471563</v>
      </c>
      <c r="P37" s="732">
        <f>'Func Future Subs 2015'!P37</f>
        <v>0</v>
      </c>
      <c r="Q37" s="732">
        <f>'Func Future Subs 2015'!Q37</f>
        <v>0</v>
      </c>
      <c r="R37" s="732">
        <f>'Func Future Subs 2015'!R37</f>
        <v>1</v>
      </c>
      <c r="S37" s="735">
        <f t="shared" si="2"/>
        <v>0</v>
      </c>
      <c r="T37" s="735">
        <f t="shared" si="3"/>
        <v>0</v>
      </c>
      <c r="U37" s="735">
        <f t="shared" si="4"/>
        <v>630658.50006471563</v>
      </c>
      <c r="V37" s="736">
        <f t="shared" si="5"/>
        <v>630658.50006471563</v>
      </c>
      <c r="W37" s="735">
        <f t="shared" si="6"/>
        <v>0</v>
      </c>
      <c r="X37" s="737">
        <f t="shared" si="7"/>
        <v>0</v>
      </c>
      <c r="Y37" s="738">
        <f t="shared" si="8"/>
        <v>0</v>
      </c>
    </row>
    <row r="38" spans="1:25">
      <c r="A38" s="754" t="str">
        <f>'Func Future Subs 2015'!A38</f>
        <v>Dome 665S</v>
      </c>
      <c r="B38" s="754">
        <f>'Func Future Subs 2015'!B38</f>
        <v>786</v>
      </c>
      <c r="C38" s="754">
        <f>'Func Future Subs 2015'!C38</f>
        <v>240</v>
      </c>
      <c r="D38" s="754">
        <f>'Func Future Subs 2015'!D38</f>
        <v>0</v>
      </c>
      <c r="E38" s="754" t="str">
        <f>'Func Future Subs 2015'!E38</f>
        <v>665S</v>
      </c>
      <c r="F38" s="754">
        <f>'Func Future Subs 2015'!F38</f>
        <v>616310.21693290537</v>
      </c>
      <c r="G38" s="754" t="str">
        <f>'Func Future Subs 2015'!G38</f>
        <v>EPCOR</v>
      </c>
      <c r="H38" s="754">
        <f>'Func Future Subs 2015'!H38</f>
        <v>2016</v>
      </c>
      <c r="I38" s="306">
        <f>+IF($H38=I$2,VLOOKUP($G38,Depreciation!$A$14:$L$18,7,FALSE)/2,IF($H38&lt;I$2,VLOOKUP($G38,Depreciation!$A$14:$L$18,7,FALSE),0))</f>
        <v>0</v>
      </c>
      <c r="J38" s="306">
        <f>+IF($H38=J$2,VLOOKUP($G38,Depreciation!$A$14:$L$18,8,FALSE)/2,IF($H38&lt;J$2,VLOOKUP($G38,Depreciation!$A$14:$L$18,8,FALSE),0))</f>
        <v>2.0800027799922457E-2</v>
      </c>
      <c r="K38" s="306">
        <f>+IF($H38=K$2,VLOOKUP($G38,Depreciation!$A$14:$L$18,9,FALSE)/2,IF($H38&lt;K$2,VLOOKUP($G38,Depreciation!$A$14:$L$18,9,FALSE),0))</f>
        <v>4.1145263498658789E-2</v>
      </c>
      <c r="L38" s="306">
        <f>+IF($H38=L$2,VLOOKUP($G38,Depreciation!$A$14:$L$18,10,FALSE)/2,IF($H38&lt;L$2,VLOOKUP($G38,Depreciation!$A$14:$L$18,10,FALSE),0))</f>
        <v>4.1145263498658789E-2</v>
      </c>
      <c r="M38" s="306">
        <f>+IF($H38=M$2,VLOOKUP($G38,Depreciation!$A$14:$L$18,11,FALSE)/2,IF($H38&lt;M$2,VLOOKUP($G38,Depreciation!$A$14:$L$18,11,FALSE),0))</f>
        <v>4.1145263498658789E-2</v>
      </c>
      <c r="N38" s="306">
        <f>+IF($H38=N$2,VLOOKUP($G38,Depreciation!$A$14:$L$18,12,FALSE)/2,IF($H38&lt;N$2,VLOOKUP($G38,Depreciation!$A$14:$L$18,12,FALSE),0))</f>
        <v>4.1145263498658789E-2</v>
      </c>
      <c r="O38" s="307">
        <f t="shared" si="1"/>
        <v>554851.02876081073</v>
      </c>
      <c r="P38" s="732">
        <f>'Func Future Subs 2015'!P38</f>
        <v>0</v>
      </c>
      <c r="Q38" s="732">
        <f>'Func Future Subs 2015'!Q38</f>
        <v>0</v>
      </c>
      <c r="R38" s="732">
        <f>'Func Future Subs 2015'!R38</f>
        <v>1</v>
      </c>
      <c r="S38" s="735">
        <f t="shared" si="2"/>
        <v>0</v>
      </c>
      <c r="T38" s="735">
        <f t="shared" si="3"/>
        <v>0</v>
      </c>
      <c r="U38" s="735">
        <f t="shared" si="4"/>
        <v>554851.02876081073</v>
      </c>
      <c r="V38" s="736">
        <f t="shared" si="5"/>
        <v>554851.02876081073</v>
      </c>
      <c r="W38" s="735">
        <f t="shared" si="6"/>
        <v>0</v>
      </c>
      <c r="X38" s="737">
        <f t="shared" si="7"/>
        <v>0</v>
      </c>
      <c r="Y38" s="738">
        <f t="shared" si="8"/>
        <v>0</v>
      </c>
    </row>
    <row r="39" spans="1:25">
      <c r="A39" s="754" t="str">
        <f>'Func Future Subs 2015'!A39</f>
        <v>Genesee 330P</v>
      </c>
      <c r="B39" s="754">
        <f>'Func Future Subs 2015'!B39</f>
        <v>786</v>
      </c>
      <c r="C39" s="754">
        <f>'Func Future Subs 2015'!C39</f>
        <v>500</v>
      </c>
      <c r="D39" s="754">
        <f>'Func Future Subs 2015'!D39</f>
        <v>240</v>
      </c>
      <c r="E39" s="754" t="str">
        <f>'Func Future Subs 2015'!E39</f>
        <v>330P</v>
      </c>
      <c r="F39" s="754">
        <f>'Func Future Subs 2015'!F39</f>
        <v>112557.4943276488</v>
      </c>
      <c r="G39" s="754" t="str">
        <f>'Func Future Subs 2015'!G39</f>
        <v>EPCOR</v>
      </c>
      <c r="H39" s="754">
        <f>'Func Future Subs 2015'!H39</f>
        <v>2016</v>
      </c>
      <c r="I39" s="306">
        <f>+IF($H39=I$2,VLOOKUP($G39,Depreciation!$A$14:$L$18,7,FALSE)/2,IF($H39&lt;I$2,VLOOKUP($G39,Depreciation!$A$14:$L$18,7,FALSE),0))</f>
        <v>0</v>
      </c>
      <c r="J39" s="306">
        <f>+IF($H39=J$2,VLOOKUP($G39,Depreciation!$A$14:$L$18,8,FALSE)/2,IF($H39&lt;J$2,VLOOKUP($G39,Depreciation!$A$14:$L$18,8,FALSE),0))</f>
        <v>2.0800027799922457E-2</v>
      </c>
      <c r="K39" s="306">
        <f>+IF($H39=K$2,VLOOKUP($G39,Depreciation!$A$14:$L$18,9,FALSE)/2,IF($H39&lt;K$2,VLOOKUP($G39,Depreciation!$A$14:$L$18,9,FALSE),0))</f>
        <v>4.1145263498658789E-2</v>
      </c>
      <c r="L39" s="306">
        <f>+IF($H39=L$2,VLOOKUP($G39,Depreciation!$A$14:$L$18,10,FALSE)/2,IF($H39&lt;L$2,VLOOKUP($G39,Depreciation!$A$14:$L$18,10,FALSE),0))</f>
        <v>4.1145263498658789E-2</v>
      </c>
      <c r="M39" s="306">
        <f>+IF($H39=M$2,VLOOKUP($G39,Depreciation!$A$14:$L$18,11,FALSE)/2,IF($H39&lt;M$2,VLOOKUP($G39,Depreciation!$A$14:$L$18,11,FALSE),0))</f>
        <v>4.1145263498658789E-2</v>
      </c>
      <c r="N39" s="306">
        <f>+IF($H39=N$2,VLOOKUP($G39,Depreciation!$A$14:$L$18,12,FALSE)/2,IF($H39&lt;N$2,VLOOKUP($G39,Depreciation!$A$14:$L$18,12,FALSE),0))</f>
        <v>4.1145263498658789E-2</v>
      </c>
      <c r="O39" s="307">
        <f t="shared" si="1"/>
        <v>101333.12706259089</v>
      </c>
      <c r="P39" s="732">
        <f>'Func Future Subs 2015'!P39</f>
        <v>0</v>
      </c>
      <c r="Q39" s="732">
        <f>'Func Future Subs 2015'!Q39</f>
        <v>0</v>
      </c>
      <c r="R39" s="732">
        <f>'Func Future Subs 2015'!R39</f>
        <v>1</v>
      </c>
      <c r="S39" s="735">
        <f t="shared" si="2"/>
        <v>0</v>
      </c>
      <c r="T39" s="735">
        <f t="shared" si="3"/>
        <v>0</v>
      </c>
      <c r="U39" s="735">
        <f t="shared" si="4"/>
        <v>101333.12706259089</v>
      </c>
      <c r="V39" s="736">
        <f t="shared" si="5"/>
        <v>0</v>
      </c>
      <c r="W39" s="735">
        <f t="shared" si="6"/>
        <v>101333.12706259089</v>
      </c>
      <c r="X39" s="737">
        <f t="shared" si="7"/>
        <v>0</v>
      </c>
      <c r="Y39" s="738">
        <f t="shared" si="8"/>
        <v>0</v>
      </c>
    </row>
    <row r="40" spans="1:25">
      <c r="A40" s="754" t="str">
        <f>'Func Future Subs 2015'!A40</f>
        <v>Keephills 320P</v>
      </c>
      <c r="B40" s="754">
        <f>'Func Future Subs 2015'!B40</f>
        <v>786</v>
      </c>
      <c r="C40" s="754">
        <f>'Func Future Subs 2015'!C40</f>
        <v>240</v>
      </c>
      <c r="D40" s="754">
        <f>'Func Future Subs 2015'!D40</f>
        <v>25</v>
      </c>
      <c r="E40" s="754" t="str">
        <f>'Func Future Subs 2015'!E40</f>
        <v>320P</v>
      </c>
      <c r="F40" s="754">
        <f>'Func Future Subs 2015'!F40</f>
        <v>5431229.6126103988</v>
      </c>
      <c r="G40" s="754" t="str">
        <f>'Func Future Subs 2015'!G40</f>
        <v>AltaLink</v>
      </c>
      <c r="H40" s="754">
        <f>'Func Future Subs 2015'!H40</f>
        <v>2016</v>
      </c>
      <c r="I40" s="306">
        <f>+IF($H40=I$2,VLOOKUP($G40,Depreciation!$A$14:$L$18,7,FALSE)/2,IF($H40&lt;I$2,VLOOKUP($G40,Depreciation!$A$14:$L$18,7,FALSE),0))</f>
        <v>0</v>
      </c>
      <c r="J40" s="306">
        <f>+IF($H40=J$2,VLOOKUP($G40,Depreciation!$A$14:$L$18,8,FALSE)/2,IF($H40&lt;J$2,VLOOKUP($G40,Depreciation!$A$14:$L$18,8,FALSE),0))</f>
        <v>1.671703928371859E-2</v>
      </c>
      <c r="K40" s="306">
        <f>+IF($H40=K$2,VLOOKUP($G40,Depreciation!$A$14:$L$18,9,FALSE)/2,IF($H40&lt;K$2,VLOOKUP($G40,Depreciation!$A$14:$L$18,9,FALSE),0))</f>
        <v>3.343407856743718E-2</v>
      </c>
      <c r="L40" s="306">
        <f>+IF($H40=L$2,VLOOKUP($G40,Depreciation!$A$14:$L$18,10,FALSE)/2,IF($H40&lt;L$2,VLOOKUP($G40,Depreciation!$A$14:$L$18,10,FALSE),0))</f>
        <v>3.343407856743718E-2</v>
      </c>
      <c r="M40" s="306">
        <f>+IF($H40=M$2,VLOOKUP($G40,Depreciation!$A$14:$L$18,11,FALSE)/2,IF($H40&lt;M$2,VLOOKUP($G40,Depreciation!$A$14:$L$18,11,FALSE),0))</f>
        <v>3.343407856743718E-2</v>
      </c>
      <c r="N40" s="306">
        <f>+IF($H40=N$2,VLOOKUP($G40,Depreciation!$A$14:$L$18,12,FALSE)/2,IF($H40&lt;N$2,VLOOKUP($G40,Depreciation!$A$14:$L$18,12,FALSE),0))</f>
        <v>3.343407856743718E-2</v>
      </c>
      <c r="O40" s="307">
        <f t="shared" si="1"/>
        <v>4989300.1910651522</v>
      </c>
      <c r="P40" s="732">
        <f>'Func Future Subs 2015'!P40</f>
        <v>0.96203522504892369</v>
      </c>
      <c r="Q40" s="732">
        <f>'Func Future Subs 2015'!Q40</f>
        <v>3.7964774951076322E-2</v>
      </c>
      <c r="R40" s="732">
        <f>'Func Future Subs 2015'!R40</f>
        <v>0</v>
      </c>
      <c r="S40" s="735">
        <f t="shared" si="2"/>
        <v>4799882.5321480017</v>
      </c>
      <c r="T40" s="735">
        <f t="shared" si="3"/>
        <v>189417.65891715061</v>
      </c>
      <c r="U40" s="735">
        <f t="shared" si="4"/>
        <v>0</v>
      </c>
      <c r="V40" s="736">
        <f t="shared" si="5"/>
        <v>0</v>
      </c>
      <c r="W40" s="735">
        <f t="shared" si="6"/>
        <v>4799882.5321480017</v>
      </c>
      <c r="X40" s="737">
        <f t="shared" si="7"/>
        <v>0</v>
      </c>
      <c r="Y40" s="738">
        <f t="shared" si="8"/>
        <v>189417.65891715061</v>
      </c>
    </row>
    <row r="41" spans="1:25">
      <c r="A41" s="754" t="str">
        <f>'Func Future Subs 2015'!A41</f>
        <v>lambton E803S</v>
      </c>
      <c r="B41" s="754">
        <f>'Func Future Subs 2015'!B41</f>
        <v>786</v>
      </c>
      <c r="C41" s="754">
        <f>'Func Future Subs 2015'!C41</f>
        <v>240</v>
      </c>
      <c r="D41" s="754">
        <f>'Func Future Subs 2015'!D41</f>
        <v>25</v>
      </c>
      <c r="E41" s="754" t="str">
        <f>'Func Future Subs 2015'!E41</f>
        <v>803S</v>
      </c>
      <c r="F41" s="754">
        <f>'Func Future Subs 2015'!F41</f>
        <v>681829.47830029717</v>
      </c>
      <c r="G41" s="754" t="str">
        <f>'Func Future Subs 2015'!G41</f>
        <v>EPCOR</v>
      </c>
      <c r="H41" s="754">
        <f>'Func Future Subs 2015'!H41</f>
        <v>2016</v>
      </c>
      <c r="I41" s="306">
        <f>+IF($H41=I$2,VLOOKUP($G41,Depreciation!$A$14:$L$18,7,FALSE)/2,IF($H41&lt;I$2,VLOOKUP($G41,Depreciation!$A$14:$L$18,7,FALSE),0))</f>
        <v>0</v>
      </c>
      <c r="J41" s="306">
        <f>+IF($H41=J$2,VLOOKUP($G41,Depreciation!$A$14:$L$18,8,FALSE)/2,IF($H41&lt;J$2,VLOOKUP($G41,Depreciation!$A$14:$L$18,8,FALSE),0))</f>
        <v>2.0800027799922457E-2</v>
      </c>
      <c r="K41" s="306">
        <f>+IF($H41=K$2,VLOOKUP($G41,Depreciation!$A$14:$L$18,9,FALSE)/2,IF($H41&lt;K$2,VLOOKUP($G41,Depreciation!$A$14:$L$18,9,FALSE),0))</f>
        <v>4.1145263498658789E-2</v>
      </c>
      <c r="L41" s="306">
        <f>+IF($H41=L$2,VLOOKUP($G41,Depreciation!$A$14:$L$18,10,FALSE)/2,IF($H41&lt;L$2,VLOOKUP($G41,Depreciation!$A$14:$L$18,10,FALSE),0))</f>
        <v>4.1145263498658789E-2</v>
      </c>
      <c r="M41" s="306">
        <f>+IF($H41=M$2,VLOOKUP($G41,Depreciation!$A$14:$L$18,11,FALSE)/2,IF($H41&lt;M$2,VLOOKUP($G41,Depreciation!$A$14:$L$18,11,FALSE),0))</f>
        <v>4.1145263498658789E-2</v>
      </c>
      <c r="N41" s="306">
        <f>+IF($H41=N$2,VLOOKUP($G41,Depreciation!$A$14:$L$18,12,FALSE)/2,IF($H41&lt;N$2,VLOOKUP($G41,Depreciation!$A$14:$L$18,12,FALSE),0))</f>
        <v>4.1145263498658789E-2</v>
      </c>
      <c r="O41" s="307">
        <f t="shared" si="1"/>
        <v>613836.63142412575</v>
      </c>
      <c r="P41" s="732">
        <f>'Func Future Subs 2015'!P41</f>
        <v>0</v>
      </c>
      <c r="Q41" s="732">
        <f>'Func Future Subs 2015'!Q41</f>
        <v>1</v>
      </c>
      <c r="R41" s="732">
        <f>'Func Future Subs 2015'!R41</f>
        <v>0</v>
      </c>
      <c r="S41" s="735">
        <f t="shared" si="2"/>
        <v>0</v>
      </c>
      <c r="T41" s="735">
        <f t="shared" si="3"/>
        <v>613836.63142412575</v>
      </c>
      <c r="U41" s="735">
        <f t="shared" si="4"/>
        <v>0</v>
      </c>
      <c r="V41" s="736">
        <f t="shared" si="5"/>
        <v>0</v>
      </c>
      <c r="W41" s="735">
        <f t="shared" si="6"/>
        <v>0</v>
      </c>
      <c r="X41" s="737">
        <f t="shared" si="7"/>
        <v>0</v>
      </c>
      <c r="Y41" s="738">
        <f t="shared" si="8"/>
        <v>613836.63142412575</v>
      </c>
    </row>
    <row r="42" spans="1:25">
      <c r="A42" s="754" t="str">
        <f>'Func Future Subs 2015'!A42</f>
        <v>Livock PST</v>
      </c>
      <c r="B42" s="754">
        <f>'Func Future Subs 2015'!B42</f>
        <v>786</v>
      </c>
      <c r="C42" s="754">
        <f>'Func Future Subs 2015'!C42</f>
        <v>240</v>
      </c>
      <c r="D42" s="754">
        <f>'Func Future Subs 2015'!D42</f>
        <v>0</v>
      </c>
      <c r="E42" s="754">
        <f>'Func Future Subs 2015'!E42</f>
        <v>0</v>
      </c>
      <c r="F42" s="754">
        <f>'Func Future Subs 2015'!F42</f>
        <v>31168613.741793498</v>
      </c>
      <c r="G42" s="754" t="str">
        <f>'Func Future Subs 2015'!G42</f>
        <v>ATCO</v>
      </c>
      <c r="H42" s="754">
        <f>'Func Future Subs 2015'!H42</f>
        <v>2016</v>
      </c>
      <c r="I42" s="306">
        <f>+IF($H42=I$2,VLOOKUP($G42,Depreciation!$A$14:$L$18,7,FALSE)/2,IF($H42&lt;I$2,VLOOKUP($G42,Depreciation!$A$14:$L$18,7,FALSE),0))</f>
        <v>0</v>
      </c>
      <c r="J42" s="306">
        <f>+IF($H42=J$2,VLOOKUP($G42,Depreciation!$A$14:$L$18,8,FALSE)/2,IF($H42&lt;J$2,VLOOKUP($G42,Depreciation!$A$14:$L$18,8,FALSE),0))</f>
        <v>1.231622525054236E-2</v>
      </c>
      <c r="K42" s="306">
        <f>+IF($H42=K$2,VLOOKUP($G42,Depreciation!$A$14:$L$18,9,FALSE)/2,IF($H42&lt;K$2,VLOOKUP($G42,Depreciation!$A$14:$L$18,9,FALSE),0))</f>
        <v>2.4351536427798831E-2</v>
      </c>
      <c r="L42" s="306">
        <f>+IF($H42=L$2,VLOOKUP($G42,Depreciation!$A$14:$L$18,10,FALSE)/2,IF($H42&lt;L$2,VLOOKUP($G42,Depreciation!$A$14:$L$18,10,FALSE),0))</f>
        <v>2.4351536427798831E-2</v>
      </c>
      <c r="M42" s="306">
        <f>+IF($H42=M$2,VLOOKUP($G42,Depreciation!$A$14:$L$18,11,FALSE)/2,IF($H42&lt;M$2,VLOOKUP($G42,Depreciation!$A$14:$L$18,11,FALSE),0))</f>
        <v>2.4351536427798831E-2</v>
      </c>
      <c r="N42" s="306">
        <f>+IF($H42=N$2,VLOOKUP($G42,Depreciation!$A$14:$L$18,12,FALSE)/2,IF($H42&lt;N$2,VLOOKUP($G42,Depreciation!$A$14:$L$18,12,FALSE),0))</f>
        <v>2.4351536427798831E-2</v>
      </c>
      <c r="O42" s="307">
        <f t="shared" si="1"/>
        <v>29303678.192746103</v>
      </c>
      <c r="P42" s="732">
        <f>'Func Future Subs 2015'!P42</f>
        <v>0</v>
      </c>
      <c r="Q42" s="732">
        <f>'Func Future Subs 2015'!Q42</f>
        <v>0</v>
      </c>
      <c r="R42" s="732">
        <f>'Func Future Subs 2015'!R42</f>
        <v>1</v>
      </c>
      <c r="S42" s="735">
        <f t="shared" si="2"/>
        <v>0</v>
      </c>
      <c r="T42" s="735">
        <f t="shared" si="3"/>
        <v>0</v>
      </c>
      <c r="U42" s="735">
        <f t="shared" si="4"/>
        <v>29303678.192746103</v>
      </c>
      <c r="V42" s="736">
        <f t="shared" si="5"/>
        <v>29303678.192746103</v>
      </c>
      <c r="W42" s="735">
        <f t="shared" si="6"/>
        <v>0</v>
      </c>
      <c r="X42" s="737">
        <f t="shared" si="7"/>
        <v>0</v>
      </c>
      <c r="Y42" s="738">
        <f t="shared" si="8"/>
        <v>0</v>
      </c>
    </row>
    <row r="43" spans="1:25">
      <c r="A43" s="754" t="str">
        <f>'Func Future Subs 2015'!A43</f>
        <v>Sundance 310P</v>
      </c>
      <c r="B43" s="754">
        <f>'Func Future Subs 2015'!B43</f>
        <v>786</v>
      </c>
      <c r="C43" s="754">
        <f>'Func Future Subs 2015'!C43</f>
        <v>240</v>
      </c>
      <c r="D43" s="754">
        <f>'Func Future Subs 2015'!D43</f>
        <v>25</v>
      </c>
      <c r="E43" s="754" t="str">
        <f>'Func Future Subs 2015'!E43</f>
        <v>310P</v>
      </c>
      <c r="F43" s="754">
        <f>'Func Future Subs 2015'!F43</f>
        <v>314796.88531681657</v>
      </c>
      <c r="G43" s="754" t="str">
        <f>'Func Future Subs 2015'!G43</f>
        <v>AltaLink</v>
      </c>
      <c r="H43" s="754">
        <f>'Func Future Subs 2015'!H43</f>
        <v>2016</v>
      </c>
      <c r="I43" s="306">
        <f>+IF($H43=I$2,VLOOKUP($G43,Depreciation!$A$14:$L$18,7,FALSE)/2,IF($H43&lt;I$2,VLOOKUP($G43,Depreciation!$A$14:$L$18,7,FALSE),0))</f>
        <v>0</v>
      </c>
      <c r="J43" s="306">
        <f>+IF($H43=J$2,VLOOKUP($G43,Depreciation!$A$14:$L$18,8,FALSE)/2,IF($H43&lt;J$2,VLOOKUP($G43,Depreciation!$A$14:$L$18,8,FALSE),0))</f>
        <v>1.671703928371859E-2</v>
      </c>
      <c r="K43" s="306">
        <f>+IF($H43=K$2,VLOOKUP($G43,Depreciation!$A$14:$L$18,9,FALSE)/2,IF($H43&lt;K$2,VLOOKUP($G43,Depreciation!$A$14:$L$18,9,FALSE),0))</f>
        <v>3.343407856743718E-2</v>
      </c>
      <c r="L43" s="306">
        <f>+IF($H43=L$2,VLOOKUP($G43,Depreciation!$A$14:$L$18,10,FALSE)/2,IF($H43&lt;L$2,VLOOKUP($G43,Depreciation!$A$14:$L$18,10,FALSE),0))</f>
        <v>3.343407856743718E-2</v>
      </c>
      <c r="M43" s="306">
        <f>+IF($H43=M$2,VLOOKUP($G43,Depreciation!$A$14:$L$18,11,FALSE)/2,IF($H43&lt;M$2,VLOOKUP($G43,Depreciation!$A$14:$L$18,11,FALSE),0))</f>
        <v>3.343407856743718E-2</v>
      </c>
      <c r="N43" s="306">
        <f>+IF($H43=N$2,VLOOKUP($G43,Depreciation!$A$14:$L$18,12,FALSE)/2,IF($H43&lt;N$2,VLOOKUP($G43,Depreciation!$A$14:$L$18,12,FALSE),0))</f>
        <v>3.343407856743718E-2</v>
      </c>
      <c r="O43" s="307">
        <f t="shared" si="1"/>
        <v>289182.42683225946</v>
      </c>
      <c r="P43" s="732">
        <f>'Func Future Subs 2015'!P43</f>
        <v>1</v>
      </c>
      <c r="Q43" s="732">
        <f>'Func Future Subs 2015'!Q43</f>
        <v>0</v>
      </c>
      <c r="R43" s="732">
        <f>'Func Future Subs 2015'!R43</f>
        <v>0</v>
      </c>
      <c r="S43" s="735">
        <f t="shared" si="2"/>
        <v>289182.42683225946</v>
      </c>
      <c r="T43" s="735">
        <f t="shared" si="3"/>
        <v>0</v>
      </c>
      <c r="U43" s="735">
        <f t="shared" si="4"/>
        <v>0</v>
      </c>
      <c r="V43" s="736">
        <f t="shared" si="5"/>
        <v>0</v>
      </c>
      <c r="W43" s="735">
        <f t="shared" si="6"/>
        <v>289182.42683225946</v>
      </c>
      <c r="X43" s="737">
        <f t="shared" si="7"/>
        <v>0</v>
      </c>
      <c r="Y43" s="738">
        <f t="shared" si="8"/>
        <v>0</v>
      </c>
    </row>
    <row r="44" spans="1:25">
      <c r="A44" s="754" t="str">
        <f>'Func Future Subs 2015'!A44</f>
        <v>Wabamun 19S</v>
      </c>
      <c r="B44" s="754">
        <f>'Func Future Subs 2015'!B44</f>
        <v>786</v>
      </c>
      <c r="C44" s="754">
        <f>'Func Future Subs 2015'!C44</f>
        <v>240</v>
      </c>
      <c r="D44" s="754">
        <f>'Func Future Subs 2015'!D44</f>
        <v>138</v>
      </c>
      <c r="E44" s="754" t="str">
        <f>'Func Future Subs 2015'!E44</f>
        <v>19S</v>
      </c>
      <c r="F44" s="754">
        <f>'Func Future Subs 2015'!F44</f>
        <v>314793.33534968545</v>
      </c>
      <c r="G44" s="754" t="str">
        <f>'Func Future Subs 2015'!G44</f>
        <v>AltaLink</v>
      </c>
      <c r="H44" s="754">
        <f>'Func Future Subs 2015'!H44</f>
        <v>2016</v>
      </c>
      <c r="I44" s="306">
        <f>+IF($H44=I$2,VLOOKUP($G44,Depreciation!$A$14:$L$18,7,FALSE)/2,IF($H44&lt;I$2,VLOOKUP($G44,Depreciation!$A$14:$L$18,7,FALSE),0))</f>
        <v>0</v>
      </c>
      <c r="J44" s="306">
        <f>+IF($H44=J$2,VLOOKUP($G44,Depreciation!$A$14:$L$18,8,FALSE)/2,IF($H44&lt;J$2,VLOOKUP($G44,Depreciation!$A$14:$L$18,8,FALSE),0))</f>
        <v>1.671703928371859E-2</v>
      </c>
      <c r="K44" s="306">
        <f>+IF($H44=K$2,VLOOKUP($G44,Depreciation!$A$14:$L$18,9,FALSE)/2,IF($H44&lt;K$2,VLOOKUP($G44,Depreciation!$A$14:$L$18,9,FALSE),0))</f>
        <v>3.343407856743718E-2</v>
      </c>
      <c r="L44" s="306">
        <f>+IF($H44=L$2,VLOOKUP($G44,Depreciation!$A$14:$L$18,10,FALSE)/2,IF($H44&lt;L$2,VLOOKUP($G44,Depreciation!$A$14:$L$18,10,FALSE),0))</f>
        <v>3.343407856743718E-2</v>
      </c>
      <c r="M44" s="306">
        <f>+IF($H44=M$2,VLOOKUP($G44,Depreciation!$A$14:$L$18,11,FALSE)/2,IF($H44&lt;M$2,VLOOKUP($G44,Depreciation!$A$14:$L$18,11,FALSE),0))</f>
        <v>3.343407856743718E-2</v>
      </c>
      <c r="N44" s="306">
        <f>+IF($H44=N$2,VLOOKUP($G44,Depreciation!$A$14:$L$18,12,FALSE)/2,IF($H44&lt;N$2,VLOOKUP($G44,Depreciation!$A$14:$L$18,12,FALSE),0))</f>
        <v>3.343407856743718E-2</v>
      </c>
      <c r="O44" s="307">
        <f t="shared" si="1"/>
        <v>289179.16571959271</v>
      </c>
      <c r="P44" s="732">
        <f>'Func Future Subs 2015'!P44</f>
        <v>0</v>
      </c>
      <c r="Q44" s="732">
        <f>'Func Future Subs 2015'!Q44</f>
        <v>0</v>
      </c>
      <c r="R44" s="732">
        <f>'Func Future Subs 2015'!R44</f>
        <v>1</v>
      </c>
      <c r="S44" s="735">
        <f t="shared" si="2"/>
        <v>0</v>
      </c>
      <c r="T44" s="735">
        <f t="shared" si="3"/>
        <v>0</v>
      </c>
      <c r="U44" s="735">
        <f t="shared" si="4"/>
        <v>289179.16571959271</v>
      </c>
      <c r="V44" s="736">
        <f t="shared" si="5"/>
        <v>0</v>
      </c>
      <c r="W44" s="735">
        <f t="shared" si="6"/>
        <v>0</v>
      </c>
      <c r="X44" s="737">
        <f t="shared" si="7"/>
        <v>289179.16571959271</v>
      </c>
      <c r="Y44" s="738">
        <f t="shared" si="8"/>
        <v>0</v>
      </c>
    </row>
    <row r="45" spans="1:25">
      <c r="A45" s="754" t="str">
        <f>'Func Future Subs 2015'!A45</f>
        <v>Arcenciel 930S</v>
      </c>
      <c r="B45" s="754">
        <f>'Func Future Subs 2015'!B45</f>
        <v>803</v>
      </c>
      <c r="C45" s="754">
        <f>'Func Future Subs 2015'!C45</f>
        <v>138</v>
      </c>
      <c r="D45" s="754">
        <f>'Func Future Subs 2015'!D45</f>
        <v>138</v>
      </c>
      <c r="E45" s="754" t="str">
        <f>'Func Future Subs 2015'!E45</f>
        <v>930S</v>
      </c>
      <c r="F45" s="754">
        <f>'Func Future Subs 2015'!F45</f>
        <v>119288.54647463236</v>
      </c>
      <c r="G45" s="754" t="str">
        <f>'Func Future Subs 2015'!G45</f>
        <v>ATCO</v>
      </c>
      <c r="H45" s="754">
        <f>'Func Future Subs 2015'!H45</f>
        <v>2017</v>
      </c>
      <c r="I45" s="306">
        <f>+IF($H45=I$2,VLOOKUP($G45,Depreciation!$A$14:$L$18,7,FALSE)/2,IF($H45&lt;I$2,VLOOKUP($G45,Depreciation!$A$14:$L$18,7,FALSE),0))</f>
        <v>0</v>
      </c>
      <c r="J45" s="306">
        <f>+IF($H45=J$2,VLOOKUP($G45,Depreciation!$A$14:$L$18,8,FALSE)/2,IF($H45&lt;J$2,VLOOKUP($G45,Depreciation!$A$14:$L$18,8,FALSE),0))</f>
        <v>0</v>
      </c>
      <c r="K45" s="306">
        <f>+IF($H45=K$2,VLOOKUP($G45,Depreciation!$A$14:$L$18,9,FALSE)/2,IF($H45&lt;K$2,VLOOKUP($G45,Depreciation!$A$14:$L$18,9,FALSE),0))</f>
        <v>1.2175768213899416E-2</v>
      </c>
      <c r="L45" s="306">
        <f>+IF($H45=L$2,VLOOKUP($G45,Depreciation!$A$14:$L$18,10,FALSE)/2,IF($H45&lt;L$2,VLOOKUP($G45,Depreciation!$A$14:$L$18,10,FALSE),0))</f>
        <v>2.4351536427798831E-2</v>
      </c>
      <c r="M45" s="306">
        <f>+IF($H45=M$2,VLOOKUP($G45,Depreciation!$A$14:$L$18,11,FALSE)/2,IF($H45&lt;M$2,VLOOKUP($G45,Depreciation!$A$14:$L$18,11,FALSE),0))</f>
        <v>2.4351536427798831E-2</v>
      </c>
      <c r="N45" s="306">
        <f>+IF($H45=N$2,VLOOKUP($G45,Depreciation!$A$14:$L$18,12,FALSE)/2,IF($H45&lt;N$2,VLOOKUP($G45,Depreciation!$A$14:$L$18,12,FALSE),0))</f>
        <v>2.4351536427798831E-2</v>
      </c>
      <c r="O45" s="307">
        <f t="shared" si="1"/>
        <v>114966.62629185255</v>
      </c>
      <c r="P45" s="732">
        <f>'Func Future Subs 2015'!P45</f>
        <v>0</v>
      </c>
      <c r="Q45" s="732">
        <f>'Func Future Subs 2015'!Q45</f>
        <v>0</v>
      </c>
      <c r="R45" s="732">
        <f>'Func Future Subs 2015'!R45</f>
        <v>1</v>
      </c>
      <c r="S45" s="735">
        <f t="shared" si="2"/>
        <v>0</v>
      </c>
      <c r="T45" s="735">
        <f t="shared" si="3"/>
        <v>0</v>
      </c>
      <c r="U45" s="735">
        <f t="shared" si="4"/>
        <v>114966.62629185255</v>
      </c>
      <c r="V45" s="736">
        <f t="shared" si="5"/>
        <v>0</v>
      </c>
      <c r="W45" s="735">
        <f t="shared" si="6"/>
        <v>0</v>
      </c>
      <c r="X45" s="737">
        <f t="shared" si="7"/>
        <v>114966.62629185255</v>
      </c>
      <c r="Y45" s="738">
        <f t="shared" si="8"/>
        <v>0</v>
      </c>
    </row>
    <row r="46" spans="1:25">
      <c r="A46" s="754" t="str">
        <f>'Func Future Subs 2015'!A46</f>
        <v>Blumenort substation 832S</v>
      </c>
      <c r="B46" s="754">
        <f>'Func Future Subs 2015'!B46</f>
        <v>803</v>
      </c>
      <c r="C46" s="754">
        <f>'Func Future Subs 2015'!C46</f>
        <v>138</v>
      </c>
      <c r="D46" s="754">
        <f>'Func Future Subs 2015'!D46</f>
        <v>25</v>
      </c>
      <c r="E46" s="754" t="str">
        <f>'Func Future Subs 2015'!E46</f>
        <v>832S</v>
      </c>
      <c r="F46" s="754">
        <f>'Func Future Subs 2015'!F46</f>
        <v>3476988.1419072561</v>
      </c>
      <c r="G46" s="754" t="str">
        <f>'Func Future Subs 2015'!G46</f>
        <v>ATCO</v>
      </c>
      <c r="H46" s="754">
        <f>'Func Future Subs 2015'!H46</f>
        <v>2017</v>
      </c>
      <c r="I46" s="306">
        <f>+IF($H46=I$2,VLOOKUP($G46,Depreciation!$A$14:$L$18,7,FALSE)/2,IF($H46&lt;I$2,VLOOKUP($G46,Depreciation!$A$14:$L$18,7,FALSE),0))</f>
        <v>0</v>
      </c>
      <c r="J46" s="306">
        <f>+IF($H46=J$2,VLOOKUP($G46,Depreciation!$A$14:$L$18,8,FALSE)/2,IF($H46&lt;J$2,VLOOKUP($G46,Depreciation!$A$14:$L$18,8,FALSE),0))</f>
        <v>0</v>
      </c>
      <c r="K46" s="306">
        <f>+IF($H46=K$2,VLOOKUP($G46,Depreciation!$A$14:$L$18,9,FALSE)/2,IF($H46&lt;K$2,VLOOKUP($G46,Depreciation!$A$14:$L$18,9,FALSE),0))</f>
        <v>1.2175768213899416E-2</v>
      </c>
      <c r="L46" s="306">
        <f>+IF($H46=L$2,VLOOKUP($G46,Depreciation!$A$14:$L$18,10,FALSE)/2,IF($H46&lt;L$2,VLOOKUP($G46,Depreciation!$A$14:$L$18,10,FALSE),0))</f>
        <v>2.4351536427798831E-2</v>
      </c>
      <c r="M46" s="306">
        <f>+IF($H46=M$2,VLOOKUP($G46,Depreciation!$A$14:$L$18,11,FALSE)/2,IF($H46&lt;M$2,VLOOKUP($G46,Depreciation!$A$14:$L$18,11,FALSE),0))</f>
        <v>2.4351536427798831E-2</v>
      </c>
      <c r="N46" s="306">
        <f>+IF($H46=N$2,VLOOKUP($G46,Depreciation!$A$14:$L$18,12,FALSE)/2,IF($H46&lt;N$2,VLOOKUP($G46,Depreciation!$A$14:$L$18,12,FALSE),0))</f>
        <v>2.4351536427798831E-2</v>
      </c>
      <c r="O46" s="307">
        <f t="shared" si="1"/>
        <v>3351014.059148265</v>
      </c>
      <c r="P46" s="732">
        <f>'Func Future Subs 2015'!P46</f>
        <v>0</v>
      </c>
      <c r="Q46" s="732">
        <f>'Func Future Subs 2015'!Q46</f>
        <v>1</v>
      </c>
      <c r="R46" s="732">
        <f>'Func Future Subs 2015'!R46</f>
        <v>0</v>
      </c>
      <c r="S46" s="735">
        <f t="shared" si="2"/>
        <v>0</v>
      </c>
      <c r="T46" s="735">
        <f t="shared" si="3"/>
        <v>3351014.059148265</v>
      </c>
      <c r="U46" s="735">
        <f t="shared" si="4"/>
        <v>0</v>
      </c>
      <c r="V46" s="736">
        <f t="shared" si="5"/>
        <v>0</v>
      </c>
      <c r="W46" s="735">
        <f t="shared" si="6"/>
        <v>0</v>
      </c>
      <c r="X46" s="737">
        <f t="shared" si="7"/>
        <v>0</v>
      </c>
      <c r="Y46" s="738">
        <f t="shared" si="8"/>
        <v>3351014.059148265</v>
      </c>
    </row>
    <row r="47" spans="1:25">
      <c r="A47" s="754" t="str">
        <f>'Func Future Subs 2015'!A47</f>
        <v>High Level substation</v>
      </c>
      <c r="B47" s="754">
        <f>'Func Future Subs 2015'!B47</f>
        <v>803</v>
      </c>
      <c r="C47" s="754">
        <f>'Func Future Subs 2015'!C47</f>
        <v>138</v>
      </c>
      <c r="D47" s="754">
        <f>'Func Future Subs 2015'!D47</f>
        <v>0</v>
      </c>
      <c r="E47" s="754">
        <f>'Func Future Subs 2015'!E47</f>
        <v>0</v>
      </c>
      <c r="F47" s="754">
        <f>'Func Future Subs 2015'!F47</f>
        <v>660698.13426418137</v>
      </c>
      <c r="G47" s="754" t="str">
        <f>'Func Future Subs 2015'!G47</f>
        <v>ATCO</v>
      </c>
      <c r="H47" s="754">
        <f>'Func Future Subs 2015'!H47</f>
        <v>2017</v>
      </c>
      <c r="I47" s="306">
        <f>+IF($H47=I$2,VLOOKUP($G47,Depreciation!$A$14:$L$18,7,FALSE)/2,IF($H47&lt;I$2,VLOOKUP($G47,Depreciation!$A$14:$L$18,7,FALSE),0))</f>
        <v>0</v>
      </c>
      <c r="J47" s="306">
        <f>+IF($H47=J$2,VLOOKUP($G47,Depreciation!$A$14:$L$18,8,FALSE)/2,IF($H47&lt;J$2,VLOOKUP($G47,Depreciation!$A$14:$L$18,8,FALSE),0))</f>
        <v>0</v>
      </c>
      <c r="K47" s="306">
        <f>+IF($H47=K$2,VLOOKUP($G47,Depreciation!$A$14:$L$18,9,FALSE)/2,IF($H47&lt;K$2,VLOOKUP($G47,Depreciation!$A$14:$L$18,9,FALSE),0))</f>
        <v>1.2175768213899416E-2</v>
      </c>
      <c r="L47" s="306">
        <f>+IF($H47=L$2,VLOOKUP($G47,Depreciation!$A$14:$L$18,10,FALSE)/2,IF($H47&lt;L$2,VLOOKUP($G47,Depreciation!$A$14:$L$18,10,FALSE),0))</f>
        <v>2.4351536427798831E-2</v>
      </c>
      <c r="M47" s="306">
        <f>+IF($H47=M$2,VLOOKUP($G47,Depreciation!$A$14:$L$18,11,FALSE)/2,IF($H47&lt;M$2,VLOOKUP($G47,Depreciation!$A$14:$L$18,11,FALSE),0))</f>
        <v>2.4351536427798831E-2</v>
      </c>
      <c r="N47" s="306">
        <f>+IF($H47=N$2,VLOOKUP($G47,Depreciation!$A$14:$L$18,12,FALSE)/2,IF($H47&lt;N$2,VLOOKUP($G47,Depreciation!$A$14:$L$18,12,FALSE),0))</f>
        <v>2.4351536427798831E-2</v>
      </c>
      <c r="O47" s="307">
        <f t="shared" si="1"/>
        <v>636760.50835129817</v>
      </c>
      <c r="P47" s="732">
        <f>'Func Future Subs 2015'!P47</f>
        <v>0</v>
      </c>
      <c r="Q47" s="732">
        <f>'Func Future Subs 2015'!Q47</f>
        <v>0</v>
      </c>
      <c r="R47" s="732">
        <f>'Func Future Subs 2015'!R47</f>
        <v>1</v>
      </c>
      <c r="S47" s="735">
        <f t="shared" si="2"/>
        <v>0</v>
      </c>
      <c r="T47" s="735">
        <f t="shared" si="3"/>
        <v>0</v>
      </c>
      <c r="U47" s="735">
        <f t="shared" si="4"/>
        <v>636760.50835129817</v>
      </c>
      <c r="V47" s="736">
        <f t="shared" si="5"/>
        <v>636760.50835129817</v>
      </c>
      <c r="W47" s="735">
        <f t="shared" si="6"/>
        <v>0</v>
      </c>
      <c r="X47" s="737">
        <f t="shared" si="7"/>
        <v>0</v>
      </c>
      <c r="Y47" s="738">
        <f t="shared" si="8"/>
        <v>0</v>
      </c>
    </row>
    <row r="48" spans="1:25">
      <c r="A48" s="754" t="str">
        <f>'Func Future Subs 2015'!A48</f>
        <v>Keg River 789S</v>
      </c>
      <c r="B48" s="754">
        <f>'Func Future Subs 2015'!B48</f>
        <v>803</v>
      </c>
      <c r="C48" s="754">
        <f>'Func Future Subs 2015'!C48</f>
        <v>138</v>
      </c>
      <c r="D48" s="754">
        <f>'Func Future Subs 2015'!D48</f>
        <v>138</v>
      </c>
      <c r="E48" s="754" t="str">
        <f>'Func Future Subs 2015'!E48</f>
        <v>789S</v>
      </c>
      <c r="F48" s="754">
        <f>'Func Future Subs 2015'!F48</f>
        <v>242204.41402375777</v>
      </c>
      <c r="G48" s="754" t="str">
        <f>'Func Future Subs 2015'!G48</f>
        <v>ATCO</v>
      </c>
      <c r="H48" s="754">
        <f>'Func Future Subs 2015'!H48</f>
        <v>2017</v>
      </c>
      <c r="I48" s="306">
        <f>+IF($H48=I$2,VLOOKUP($G48,Depreciation!$A$14:$L$18,7,FALSE)/2,IF($H48&lt;I$2,VLOOKUP($G48,Depreciation!$A$14:$L$18,7,FALSE),0))</f>
        <v>0</v>
      </c>
      <c r="J48" s="306">
        <f>+IF($H48=J$2,VLOOKUP($G48,Depreciation!$A$14:$L$18,8,FALSE)/2,IF($H48&lt;J$2,VLOOKUP($G48,Depreciation!$A$14:$L$18,8,FALSE),0))</f>
        <v>0</v>
      </c>
      <c r="K48" s="306">
        <f>+IF($H48=K$2,VLOOKUP($G48,Depreciation!$A$14:$L$18,9,FALSE)/2,IF($H48&lt;K$2,VLOOKUP($G48,Depreciation!$A$14:$L$18,9,FALSE),0))</f>
        <v>1.2175768213899416E-2</v>
      </c>
      <c r="L48" s="306">
        <f>+IF($H48=L$2,VLOOKUP($G48,Depreciation!$A$14:$L$18,10,FALSE)/2,IF($H48&lt;L$2,VLOOKUP($G48,Depreciation!$A$14:$L$18,10,FALSE),0))</f>
        <v>2.4351536427798831E-2</v>
      </c>
      <c r="M48" s="306">
        <f>+IF($H48=M$2,VLOOKUP($G48,Depreciation!$A$14:$L$18,11,FALSE)/2,IF($H48&lt;M$2,VLOOKUP($G48,Depreciation!$A$14:$L$18,11,FALSE),0))</f>
        <v>2.4351536427798831E-2</v>
      </c>
      <c r="N48" s="306">
        <f>+IF($H48=N$2,VLOOKUP($G48,Depreciation!$A$14:$L$18,12,FALSE)/2,IF($H48&lt;N$2,VLOOKUP($G48,Depreciation!$A$14:$L$18,12,FALSE),0))</f>
        <v>2.4351536427798831E-2</v>
      </c>
      <c r="O48" s="307">
        <f t="shared" si="1"/>
        <v>233429.15289212644</v>
      </c>
      <c r="P48" s="732">
        <f>'Func Future Subs 2015'!P48</f>
        <v>0</v>
      </c>
      <c r="Q48" s="732">
        <f>'Func Future Subs 2015'!Q48</f>
        <v>0</v>
      </c>
      <c r="R48" s="732">
        <f>'Func Future Subs 2015'!R48</f>
        <v>1</v>
      </c>
      <c r="S48" s="735">
        <f t="shared" si="2"/>
        <v>0</v>
      </c>
      <c r="T48" s="735">
        <f t="shared" si="3"/>
        <v>0</v>
      </c>
      <c r="U48" s="735">
        <f t="shared" si="4"/>
        <v>233429.15289212644</v>
      </c>
      <c r="V48" s="736">
        <f t="shared" si="5"/>
        <v>0</v>
      </c>
      <c r="W48" s="735">
        <f t="shared" si="6"/>
        <v>0</v>
      </c>
      <c r="X48" s="737">
        <f t="shared" si="7"/>
        <v>233429.15289212644</v>
      </c>
      <c r="Y48" s="738">
        <f t="shared" si="8"/>
        <v>0</v>
      </c>
    </row>
    <row r="49" spans="1:27">
      <c r="A49" s="754" t="str">
        <f>'Func Future Subs 2015'!A49</f>
        <v>Ring Creek 853S</v>
      </c>
      <c r="B49" s="754">
        <f>'Func Future Subs 2015'!B49</f>
        <v>803</v>
      </c>
      <c r="C49" s="754">
        <f>'Func Future Subs 2015'!C49</f>
        <v>138</v>
      </c>
      <c r="D49" s="754">
        <f>'Func Future Subs 2015'!D49</f>
        <v>25</v>
      </c>
      <c r="E49" s="754" t="str">
        <f>'Func Future Subs 2015'!E49</f>
        <v>853S</v>
      </c>
      <c r="F49" s="754">
        <f>'Func Future Subs 2015'!F49</f>
        <v>85463.58970544675</v>
      </c>
      <c r="G49" s="754" t="str">
        <f>'Func Future Subs 2015'!G49</f>
        <v>ATCO</v>
      </c>
      <c r="H49" s="754">
        <f>'Func Future Subs 2015'!H49</f>
        <v>2017</v>
      </c>
      <c r="I49" s="306">
        <f>+IF($H49=I$2,VLOOKUP($G49,Depreciation!$A$14:$L$18,7,FALSE)/2,IF($H49&lt;I$2,VLOOKUP($G49,Depreciation!$A$14:$L$18,7,FALSE),0))</f>
        <v>0</v>
      </c>
      <c r="J49" s="306">
        <f>+IF($H49=J$2,VLOOKUP($G49,Depreciation!$A$14:$L$18,8,FALSE)/2,IF($H49&lt;J$2,VLOOKUP($G49,Depreciation!$A$14:$L$18,8,FALSE),0))</f>
        <v>0</v>
      </c>
      <c r="K49" s="306">
        <f>+IF($H49=K$2,VLOOKUP($G49,Depreciation!$A$14:$L$18,9,FALSE)/2,IF($H49&lt;K$2,VLOOKUP($G49,Depreciation!$A$14:$L$18,9,FALSE),0))</f>
        <v>1.2175768213899416E-2</v>
      </c>
      <c r="L49" s="306">
        <f>+IF($H49=L$2,VLOOKUP($G49,Depreciation!$A$14:$L$18,10,FALSE)/2,IF($H49&lt;L$2,VLOOKUP($G49,Depreciation!$A$14:$L$18,10,FALSE),0))</f>
        <v>2.4351536427798831E-2</v>
      </c>
      <c r="M49" s="306">
        <f>+IF($H49=M$2,VLOOKUP($G49,Depreciation!$A$14:$L$18,11,FALSE)/2,IF($H49&lt;M$2,VLOOKUP($G49,Depreciation!$A$14:$L$18,11,FALSE),0))</f>
        <v>2.4351536427798831E-2</v>
      </c>
      <c r="N49" s="306">
        <f>+IF($H49=N$2,VLOOKUP($G49,Depreciation!$A$14:$L$18,12,FALSE)/2,IF($H49&lt;N$2,VLOOKUP($G49,Depreciation!$A$14:$L$18,12,FALSE),0))</f>
        <v>2.4351536427798831E-2</v>
      </c>
      <c r="O49" s="307">
        <f t="shared" si="1"/>
        <v>82367.174968602485</v>
      </c>
      <c r="P49" s="732">
        <f>'Func Future Subs 2015'!P49</f>
        <v>0</v>
      </c>
      <c r="Q49" s="732">
        <f>'Func Future Subs 2015'!Q49</f>
        <v>1</v>
      </c>
      <c r="R49" s="732">
        <f>'Func Future Subs 2015'!R49</f>
        <v>0</v>
      </c>
      <c r="S49" s="735">
        <f t="shared" si="2"/>
        <v>0</v>
      </c>
      <c r="T49" s="735">
        <f t="shared" si="3"/>
        <v>82367.174968602485</v>
      </c>
      <c r="U49" s="735">
        <f t="shared" si="4"/>
        <v>0</v>
      </c>
      <c r="V49" s="736">
        <f t="shared" si="5"/>
        <v>0</v>
      </c>
      <c r="W49" s="735">
        <f t="shared" si="6"/>
        <v>0</v>
      </c>
      <c r="X49" s="737">
        <f t="shared" si="7"/>
        <v>0</v>
      </c>
      <c r="Y49" s="738">
        <f t="shared" si="8"/>
        <v>82367.174968602485</v>
      </c>
    </row>
    <row r="50" spans="1:27">
      <c r="A50" s="754" t="str">
        <f>'Func Future Subs 2015'!A50</f>
        <v>Sulphur Point 828S</v>
      </c>
      <c r="B50" s="754">
        <f>'Func Future Subs 2015'!B50</f>
        <v>803</v>
      </c>
      <c r="C50" s="754">
        <f>'Func Future Subs 2015'!C50</f>
        <v>138</v>
      </c>
      <c r="D50" s="754">
        <f>'Func Future Subs 2015'!D50</f>
        <v>25</v>
      </c>
      <c r="E50" s="754" t="str">
        <f>'Func Future Subs 2015'!E50</f>
        <v>828S</v>
      </c>
      <c r="F50" s="754">
        <f>'Func Future Subs 2015'!F50</f>
        <v>66376.971670614337</v>
      </c>
      <c r="G50" s="754" t="str">
        <f>'Func Future Subs 2015'!G50</f>
        <v>ATCO</v>
      </c>
      <c r="H50" s="754">
        <f>'Func Future Subs 2015'!H50</f>
        <v>2017</v>
      </c>
      <c r="I50" s="306">
        <f>+IF($H50=I$2,VLOOKUP($G50,Depreciation!$A$14:$L$18,7,FALSE)/2,IF($H50&lt;I$2,VLOOKUP($G50,Depreciation!$A$14:$L$18,7,FALSE),0))</f>
        <v>0</v>
      </c>
      <c r="J50" s="306">
        <f>+IF($H50=J$2,VLOOKUP($G50,Depreciation!$A$14:$L$18,8,FALSE)/2,IF($H50&lt;J$2,VLOOKUP($G50,Depreciation!$A$14:$L$18,8,FALSE),0))</f>
        <v>0</v>
      </c>
      <c r="K50" s="306">
        <f>+IF($H50=K$2,VLOOKUP($G50,Depreciation!$A$14:$L$18,9,FALSE)/2,IF($H50&lt;K$2,VLOOKUP($G50,Depreciation!$A$14:$L$18,9,FALSE),0))</f>
        <v>1.2175768213899416E-2</v>
      </c>
      <c r="L50" s="306">
        <f>+IF($H50=L$2,VLOOKUP($G50,Depreciation!$A$14:$L$18,10,FALSE)/2,IF($H50&lt;L$2,VLOOKUP($G50,Depreciation!$A$14:$L$18,10,FALSE),0))</f>
        <v>2.4351536427798831E-2</v>
      </c>
      <c r="M50" s="306">
        <f>+IF($H50=M$2,VLOOKUP($G50,Depreciation!$A$14:$L$18,11,FALSE)/2,IF($H50&lt;M$2,VLOOKUP($G50,Depreciation!$A$14:$L$18,11,FALSE),0))</f>
        <v>2.4351536427798831E-2</v>
      </c>
      <c r="N50" s="306">
        <f>+IF($H50=N$2,VLOOKUP($G50,Depreciation!$A$14:$L$18,12,FALSE)/2,IF($H50&lt;N$2,VLOOKUP($G50,Depreciation!$A$14:$L$18,12,FALSE),0))</f>
        <v>2.4351536427798831E-2</v>
      </c>
      <c r="O50" s="307">
        <f t="shared" si="1"/>
        <v>63972.080488575841</v>
      </c>
      <c r="P50" s="732">
        <f>'Func Future Subs 2015'!P50</f>
        <v>0</v>
      </c>
      <c r="Q50" s="732">
        <f>'Func Future Subs 2015'!Q50</f>
        <v>1</v>
      </c>
      <c r="R50" s="732">
        <f>'Func Future Subs 2015'!R50</f>
        <v>0</v>
      </c>
      <c r="S50" s="735">
        <f t="shared" si="2"/>
        <v>0</v>
      </c>
      <c r="T50" s="735">
        <f t="shared" si="3"/>
        <v>63972.080488575841</v>
      </c>
      <c r="U50" s="735">
        <f t="shared" si="4"/>
        <v>0</v>
      </c>
      <c r="V50" s="736">
        <f t="shared" si="5"/>
        <v>0</v>
      </c>
      <c r="W50" s="735">
        <f t="shared" si="6"/>
        <v>0</v>
      </c>
      <c r="X50" s="737">
        <f t="shared" si="7"/>
        <v>0</v>
      </c>
      <c r="Y50" s="738">
        <f t="shared" si="8"/>
        <v>63972.080488575841</v>
      </c>
    </row>
    <row r="51" spans="1:27">
      <c r="A51" s="754" t="str">
        <f>'Func Future Subs 2015'!A51</f>
        <v>Bourque 970S(180)</v>
      </c>
      <c r="B51" s="754">
        <f>'Func Future Subs 2015'!B51</f>
        <v>811</v>
      </c>
      <c r="C51" s="754">
        <f>'Func Future Subs 2015'!C51</f>
        <v>144</v>
      </c>
      <c r="D51" s="754">
        <f>'Func Future Subs 2015'!D51</f>
        <v>144</v>
      </c>
      <c r="E51" s="754" t="str">
        <f>'Func Future Subs 2015'!E51</f>
        <v>970S</v>
      </c>
      <c r="F51" s="754">
        <f>'Func Future Subs 2015'!F51</f>
        <v>20557692.682692483</v>
      </c>
      <c r="G51" s="754" t="str">
        <f>'Func Future Subs 2015'!G51</f>
        <v>ATCO</v>
      </c>
      <c r="H51" s="754">
        <f>'Func Future Subs 2015'!H51</f>
        <v>2017</v>
      </c>
      <c r="I51" s="306">
        <f>+IF($H51=I$2,VLOOKUP($G51,Depreciation!$A$14:$L$18,7,FALSE)/2,IF($H51&lt;I$2,VLOOKUP($G51,Depreciation!$A$14:$L$18,7,FALSE),0))</f>
        <v>0</v>
      </c>
      <c r="J51" s="306">
        <f>+IF($H51=J$2,VLOOKUP($G51,Depreciation!$A$14:$L$18,8,FALSE)/2,IF($H51&lt;J$2,VLOOKUP($G51,Depreciation!$A$14:$L$18,8,FALSE),0))</f>
        <v>0</v>
      </c>
      <c r="K51" s="306">
        <f>+IF($H51=K$2,VLOOKUP($G51,Depreciation!$A$14:$L$18,9,FALSE)/2,IF($H51&lt;K$2,VLOOKUP($G51,Depreciation!$A$14:$L$18,9,FALSE),0))</f>
        <v>1.2175768213899416E-2</v>
      </c>
      <c r="L51" s="306">
        <f>+IF($H51=L$2,VLOOKUP($G51,Depreciation!$A$14:$L$18,10,FALSE)/2,IF($H51&lt;L$2,VLOOKUP($G51,Depreciation!$A$14:$L$18,10,FALSE),0))</f>
        <v>2.4351536427798831E-2</v>
      </c>
      <c r="M51" s="306">
        <f>+IF($H51=M$2,VLOOKUP($G51,Depreciation!$A$14:$L$18,11,FALSE)/2,IF($H51&lt;M$2,VLOOKUP($G51,Depreciation!$A$14:$L$18,11,FALSE),0))</f>
        <v>2.4351536427798831E-2</v>
      </c>
      <c r="N51" s="306">
        <f>+IF($H51=N$2,VLOOKUP($G51,Depreciation!$A$14:$L$18,12,FALSE)/2,IF($H51&lt;N$2,VLOOKUP($G51,Depreciation!$A$14:$L$18,12,FALSE),0))</f>
        <v>2.4351536427798831E-2</v>
      </c>
      <c r="O51" s="307">
        <f t="shared" si="1"/>
        <v>19812870.907740202</v>
      </c>
      <c r="P51" s="732">
        <f>'Func Future Subs 2015'!P51</f>
        <v>0</v>
      </c>
      <c r="Q51" s="732">
        <f>'Func Future Subs 2015'!Q51</f>
        <v>0</v>
      </c>
      <c r="R51" s="732">
        <f>'Func Future Subs 2015'!R51</f>
        <v>1</v>
      </c>
      <c r="S51" s="735">
        <f t="shared" si="2"/>
        <v>0</v>
      </c>
      <c r="T51" s="735">
        <f t="shared" si="3"/>
        <v>0</v>
      </c>
      <c r="U51" s="735">
        <f t="shared" si="4"/>
        <v>19812870.907740202</v>
      </c>
      <c r="V51" s="736">
        <f t="shared" si="5"/>
        <v>0</v>
      </c>
      <c r="W51" s="735">
        <f t="shared" si="6"/>
        <v>0</v>
      </c>
      <c r="X51" s="737">
        <f t="shared" si="7"/>
        <v>19812870.907740202</v>
      </c>
      <c r="Y51" s="738">
        <f t="shared" si="8"/>
        <v>0</v>
      </c>
    </row>
    <row r="52" spans="1:27">
      <c r="A52" s="754" t="str">
        <f>'Func Future Subs 2015'!A52</f>
        <v>Heisler 764S180</v>
      </c>
      <c r="B52" s="754">
        <f>'Func Future Subs 2015'!B52</f>
        <v>811</v>
      </c>
      <c r="C52" s="754">
        <f>'Func Future Subs 2015'!C52</f>
        <v>144</v>
      </c>
      <c r="D52" s="754">
        <f>'Func Future Subs 2015'!D52</f>
        <v>25</v>
      </c>
      <c r="E52" s="754" t="str">
        <f>'Func Future Subs 2015'!E52</f>
        <v>764S</v>
      </c>
      <c r="F52" s="754">
        <f>'Func Future Subs 2015'!F52</f>
        <v>14655875.320036264</v>
      </c>
      <c r="G52" s="754" t="str">
        <f>'Func Future Subs 2015'!G52</f>
        <v>ATCO</v>
      </c>
      <c r="H52" s="754">
        <f>'Func Future Subs 2015'!H52</f>
        <v>2017</v>
      </c>
      <c r="I52" s="306">
        <f>+IF($H52=I$2,VLOOKUP($G52,Depreciation!$A$14:$L$18,7,FALSE)/2,IF($H52&lt;I$2,VLOOKUP($G52,Depreciation!$A$14:$L$18,7,FALSE),0))</f>
        <v>0</v>
      </c>
      <c r="J52" s="306">
        <f>+IF($H52=J$2,VLOOKUP($G52,Depreciation!$A$14:$L$18,8,FALSE)/2,IF($H52&lt;J$2,VLOOKUP($G52,Depreciation!$A$14:$L$18,8,FALSE),0))</f>
        <v>0</v>
      </c>
      <c r="K52" s="306">
        <f>+IF($H52=K$2,VLOOKUP($G52,Depreciation!$A$14:$L$18,9,FALSE)/2,IF($H52&lt;K$2,VLOOKUP($G52,Depreciation!$A$14:$L$18,9,FALSE),0))</f>
        <v>1.2175768213899416E-2</v>
      </c>
      <c r="L52" s="306">
        <f>+IF($H52=L$2,VLOOKUP($G52,Depreciation!$A$14:$L$18,10,FALSE)/2,IF($H52&lt;L$2,VLOOKUP($G52,Depreciation!$A$14:$L$18,10,FALSE),0))</f>
        <v>2.4351536427798831E-2</v>
      </c>
      <c r="M52" s="306">
        <f>+IF($H52=M$2,VLOOKUP($G52,Depreciation!$A$14:$L$18,11,FALSE)/2,IF($H52&lt;M$2,VLOOKUP($G52,Depreciation!$A$14:$L$18,11,FALSE),0))</f>
        <v>2.4351536427798831E-2</v>
      </c>
      <c r="N52" s="306">
        <f>+IF($H52=N$2,VLOOKUP($G52,Depreciation!$A$14:$L$18,12,FALSE)/2,IF($H52&lt;N$2,VLOOKUP($G52,Depreciation!$A$14:$L$18,12,FALSE),0))</f>
        <v>2.4351536427798831E-2</v>
      </c>
      <c r="O52" s="307">
        <f t="shared" si="1"/>
        <v>14124881.144870928</v>
      </c>
      <c r="P52" s="732">
        <f>'Func Future Subs 2015'!P52</f>
        <v>0</v>
      </c>
      <c r="Q52" s="732">
        <f>'Func Future Subs 2015'!Q52</f>
        <v>1</v>
      </c>
      <c r="R52" s="732">
        <f>'Func Future Subs 2015'!R52</f>
        <v>0</v>
      </c>
      <c r="S52" s="735">
        <f t="shared" si="2"/>
        <v>0</v>
      </c>
      <c r="T52" s="735">
        <f t="shared" si="3"/>
        <v>14124881.144870928</v>
      </c>
      <c r="U52" s="735">
        <f t="shared" si="4"/>
        <v>0</v>
      </c>
      <c r="V52" s="736">
        <f t="shared" si="5"/>
        <v>0</v>
      </c>
      <c r="W52" s="735">
        <f t="shared" si="6"/>
        <v>0</v>
      </c>
      <c r="X52" s="737">
        <f t="shared" si="7"/>
        <v>0</v>
      </c>
      <c r="Y52" s="738">
        <f t="shared" si="8"/>
        <v>14124881.144870928</v>
      </c>
    </row>
    <row r="53" spans="1:27">
      <c r="A53" s="754" t="str">
        <f>'Func Future Subs 2015'!A53</f>
        <v>Kitscoty 705S180</v>
      </c>
      <c r="B53" s="754">
        <f>'Func Future Subs 2015'!B53</f>
        <v>811</v>
      </c>
      <c r="C53" s="754">
        <f>'Func Future Subs 2015'!C53</f>
        <v>144</v>
      </c>
      <c r="D53" s="754">
        <f>'Func Future Subs 2015'!D53</f>
        <v>25</v>
      </c>
      <c r="E53" s="754" t="str">
        <f>'Func Future Subs 2015'!E53</f>
        <v>705S</v>
      </c>
      <c r="F53" s="754">
        <f>'Func Future Subs 2015'!F53</f>
        <v>13565760.579394037</v>
      </c>
      <c r="G53" s="754" t="str">
        <f>'Func Future Subs 2015'!G53</f>
        <v>ATCO</v>
      </c>
      <c r="H53" s="754">
        <f>'Func Future Subs 2015'!H53</f>
        <v>2017</v>
      </c>
      <c r="I53" s="306">
        <f>+IF($H53=I$2,VLOOKUP($G53,Depreciation!$A$14:$L$18,7,FALSE)/2,IF($H53&lt;I$2,VLOOKUP($G53,Depreciation!$A$14:$L$18,7,FALSE),0))</f>
        <v>0</v>
      </c>
      <c r="J53" s="306">
        <f>+IF($H53=J$2,VLOOKUP($G53,Depreciation!$A$14:$L$18,8,FALSE)/2,IF($H53&lt;J$2,VLOOKUP($G53,Depreciation!$A$14:$L$18,8,FALSE),0))</f>
        <v>0</v>
      </c>
      <c r="K53" s="306">
        <f>+IF($H53=K$2,VLOOKUP($G53,Depreciation!$A$14:$L$18,9,FALSE)/2,IF($H53&lt;K$2,VLOOKUP($G53,Depreciation!$A$14:$L$18,9,FALSE),0))</f>
        <v>1.2175768213899416E-2</v>
      </c>
      <c r="L53" s="306">
        <f>+IF($H53=L$2,VLOOKUP($G53,Depreciation!$A$14:$L$18,10,FALSE)/2,IF($H53&lt;L$2,VLOOKUP($G53,Depreciation!$A$14:$L$18,10,FALSE),0))</f>
        <v>2.4351536427798831E-2</v>
      </c>
      <c r="M53" s="306">
        <f>+IF($H53=M$2,VLOOKUP($G53,Depreciation!$A$14:$L$18,11,FALSE)/2,IF($H53&lt;M$2,VLOOKUP($G53,Depreciation!$A$14:$L$18,11,FALSE),0))</f>
        <v>2.4351536427798831E-2</v>
      </c>
      <c r="N53" s="306">
        <f>+IF($H53=N$2,VLOOKUP($G53,Depreciation!$A$14:$L$18,12,FALSE)/2,IF($H53&lt;N$2,VLOOKUP($G53,Depreciation!$A$14:$L$18,12,FALSE),0))</f>
        <v>2.4351536427798831E-2</v>
      </c>
      <c r="O53" s="307">
        <f t="shared" si="1"/>
        <v>13074262.139891213</v>
      </c>
      <c r="P53" s="732">
        <f>'Func Future Subs 2015'!P53</f>
        <v>0</v>
      </c>
      <c r="Q53" s="732">
        <f>'Func Future Subs 2015'!Q53</f>
        <v>1</v>
      </c>
      <c r="R53" s="732">
        <f>'Func Future Subs 2015'!R53</f>
        <v>0</v>
      </c>
      <c r="S53" s="735">
        <f t="shared" si="2"/>
        <v>0</v>
      </c>
      <c r="T53" s="735">
        <f t="shared" si="3"/>
        <v>13074262.139891213</v>
      </c>
      <c r="U53" s="735">
        <f t="shared" si="4"/>
        <v>0</v>
      </c>
      <c r="V53" s="736">
        <f t="shared" si="5"/>
        <v>0</v>
      </c>
      <c r="W53" s="735">
        <f t="shared" si="6"/>
        <v>0</v>
      </c>
      <c r="X53" s="737">
        <f t="shared" si="7"/>
        <v>0</v>
      </c>
      <c r="Y53" s="738">
        <f t="shared" si="8"/>
        <v>13074262.139891213</v>
      </c>
    </row>
    <row r="54" spans="1:27">
      <c r="A54" s="754" t="str">
        <f>'Func Future Subs 2015'!A54</f>
        <v>Leming Lake 715S(180)</v>
      </c>
      <c r="B54" s="754">
        <f>'Func Future Subs 2015'!B54</f>
        <v>811</v>
      </c>
      <c r="C54" s="754">
        <f>'Func Future Subs 2015'!C54</f>
        <v>144</v>
      </c>
      <c r="D54" s="754">
        <f>'Func Future Subs 2015'!D54</f>
        <v>25</v>
      </c>
      <c r="E54" s="754" t="str">
        <f>'Func Future Subs 2015'!E54</f>
        <v>715S</v>
      </c>
      <c r="F54" s="754">
        <f>'Func Future Subs 2015'!F54</f>
        <v>267528.16210213065</v>
      </c>
      <c r="G54" s="754" t="str">
        <f>'Func Future Subs 2015'!G54</f>
        <v>ATCO</v>
      </c>
      <c r="H54" s="754">
        <f>'Func Future Subs 2015'!H54</f>
        <v>2017</v>
      </c>
      <c r="I54" s="306">
        <f>+IF($H54=I$2,VLOOKUP($G54,Depreciation!$A$14:$L$18,7,FALSE)/2,IF($H54&lt;I$2,VLOOKUP($G54,Depreciation!$A$14:$L$18,7,FALSE),0))</f>
        <v>0</v>
      </c>
      <c r="J54" s="306">
        <f>+IF($H54=J$2,VLOOKUP($G54,Depreciation!$A$14:$L$18,8,FALSE)/2,IF($H54&lt;J$2,VLOOKUP($G54,Depreciation!$A$14:$L$18,8,FALSE),0))</f>
        <v>0</v>
      </c>
      <c r="K54" s="306">
        <f>+IF($H54=K$2,VLOOKUP($G54,Depreciation!$A$14:$L$18,9,FALSE)/2,IF($H54&lt;K$2,VLOOKUP($G54,Depreciation!$A$14:$L$18,9,FALSE),0))</f>
        <v>1.2175768213899416E-2</v>
      </c>
      <c r="L54" s="306">
        <f>+IF($H54=L$2,VLOOKUP($G54,Depreciation!$A$14:$L$18,10,FALSE)/2,IF($H54&lt;L$2,VLOOKUP($G54,Depreciation!$A$14:$L$18,10,FALSE),0))</f>
        <v>2.4351536427798831E-2</v>
      </c>
      <c r="M54" s="306">
        <f>+IF($H54=M$2,VLOOKUP($G54,Depreciation!$A$14:$L$18,11,FALSE)/2,IF($H54&lt;M$2,VLOOKUP($G54,Depreciation!$A$14:$L$18,11,FALSE),0))</f>
        <v>2.4351536427798831E-2</v>
      </c>
      <c r="N54" s="306">
        <f>+IF($H54=N$2,VLOOKUP($G54,Depreciation!$A$14:$L$18,12,FALSE)/2,IF($H54&lt;N$2,VLOOKUP($G54,Depreciation!$A$14:$L$18,12,FALSE),0))</f>
        <v>2.4351536427798831E-2</v>
      </c>
      <c r="O54" s="307">
        <f t="shared" si="1"/>
        <v>257835.40116722335</v>
      </c>
      <c r="P54" s="732">
        <f>'Func Future Subs 2015'!P54</f>
        <v>0</v>
      </c>
      <c r="Q54" s="732">
        <f>'Func Future Subs 2015'!Q54</f>
        <v>1</v>
      </c>
      <c r="R54" s="732">
        <f>'Func Future Subs 2015'!R54</f>
        <v>0</v>
      </c>
      <c r="S54" s="735">
        <f t="shared" si="2"/>
        <v>0</v>
      </c>
      <c r="T54" s="735">
        <f t="shared" si="3"/>
        <v>257835.40116722335</v>
      </c>
      <c r="U54" s="735">
        <f t="shared" si="4"/>
        <v>0</v>
      </c>
      <c r="V54" s="736">
        <f t="shared" si="5"/>
        <v>0</v>
      </c>
      <c r="W54" s="735">
        <f t="shared" si="6"/>
        <v>0</v>
      </c>
      <c r="X54" s="737">
        <f t="shared" si="7"/>
        <v>0</v>
      </c>
      <c r="Y54" s="738">
        <f t="shared" si="8"/>
        <v>257835.40116722335</v>
      </c>
      <c r="AA54" s="317"/>
    </row>
    <row r="55" spans="1:27">
      <c r="A55" s="754" t="str">
        <f>'Func Future Subs 2015'!A55</f>
        <v>Mahihkan 837S(180)</v>
      </c>
      <c r="B55" s="754">
        <f>'Func Future Subs 2015'!B55</f>
        <v>811</v>
      </c>
      <c r="C55" s="754">
        <f>'Func Future Subs 2015'!C55</f>
        <v>144</v>
      </c>
      <c r="D55" s="754">
        <f>'Func Future Subs 2015'!D55</f>
        <v>25</v>
      </c>
      <c r="E55" s="754" t="str">
        <f>'Func Future Subs 2015'!E55</f>
        <v>837S</v>
      </c>
      <c r="F55" s="754">
        <f>'Func Future Subs 2015'!F55</f>
        <v>1431346.4418924579</v>
      </c>
      <c r="G55" s="754" t="str">
        <f>'Func Future Subs 2015'!G55</f>
        <v>ATCO</v>
      </c>
      <c r="H55" s="754">
        <f>'Func Future Subs 2015'!H55</f>
        <v>2017</v>
      </c>
      <c r="I55" s="306">
        <f>+IF($H55=I$2,VLOOKUP($G55,Depreciation!$A$14:$L$18,7,FALSE)/2,IF($H55&lt;I$2,VLOOKUP($G55,Depreciation!$A$14:$L$18,7,FALSE),0))</f>
        <v>0</v>
      </c>
      <c r="J55" s="306">
        <f>+IF($H55=J$2,VLOOKUP($G55,Depreciation!$A$14:$L$18,8,FALSE)/2,IF($H55&lt;J$2,VLOOKUP($G55,Depreciation!$A$14:$L$18,8,FALSE),0))</f>
        <v>0</v>
      </c>
      <c r="K55" s="306">
        <f>+IF($H55=K$2,VLOOKUP($G55,Depreciation!$A$14:$L$18,9,FALSE)/2,IF($H55&lt;K$2,VLOOKUP($G55,Depreciation!$A$14:$L$18,9,FALSE),0))</f>
        <v>1.2175768213899416E-2</v>
      </c>
      <c r="L55" s="306">
        <f>+IF($H55=L$2,VLOOKUP($G55,Depreciation!$A$14:$L$18,10,FALSE)/2,IF($H55&lt;L$2,VLOOKUP($G55,Depreciation!$A$14:$L$18,10,FALSE),0))</f>
        <v>2.4351536427798831E-2</v>
      </c>
      <c r="M55" s="306">
        <f>+IF($H55=M$2,VLOOKUP($G55,Depreciation!$A$14:$L$18,11,FALSE)/2,IF($H55&lt;M$2,VLOOKUP($G55,Depreciation!$A$14:$L$18,11,FALSE),0))</f>
        <v>2.4351536427798831E-2</v>
      </c>
      <c r="N55" s="306">
        <f>+IF($H55=N$2,VLOOKUP($G55,Depreciation!$A$14:$L$18,12,FALSE)/2,IF($H55&lt;N$2,VLOOKUP($G55,Depreciation!$A$14:$L$18,12,FALSE),0))</f>
        <v>2.4351536427798831E-2</v>
      </c>
      <c r="O55" s="307">
        <f t="shared" si="1"/>
        <v>1379487.6066682343</v>
      </c>
      <c r="P55" s="732">
        <f>'Func Future Subs 2015'!P55</f>
        <v>0</v>
      </c>
      <c r="Q55" s="732">
        <f>'Func Future Subs 2015'!Q55</f>
        <v>1</v>
      </c>
      <c r="R55" s="732">
        <f>'Func Future Subs 2015'!R55</f>
        <v>0</v>
      </c>
      <c r="S55" s="735">
        <f t="shared" si="2"/>
        <v>0</v>
      </c>
      <c r="T55" s="735">
        <f t="shared" si="3"/>
        <v>1379487.6066682343</v>
      </c>
      <c r="U55" s="735">
        <f t="shared" si="4"/>
        <v>0</v>
      </c>
      <c r="V55" s="736">
        <f t="shared" si="5"/>
        <v>0</v>
      </c>
      <c r="W55" s="735">
        <f t="shared" si="6"/>
        <v>0</v>
      </c>
      <c r="X55" s="737">
        <f t="shared" si="7"/>
        <v>0</v>
      </c>
      <c r="Y55" s="738">
        <f t="shared" si="8"/>
        <v>1379487.6066682343</v>
      </c>
    </row>
    <row r="56" spans="1:27">
      <c r="A56" s="754" t="str">
        <f>'Func Future Subs 2015'!A56</f>
        <v>Marguerite Lake 826S(180)</v>
      </c>
      <c r="B56" s="754">
        <f>'Func Future Subs 2015'!B56</f>
        <v>811</v>
      </c>
      <c r="C56" s="754">
        <f>'Func Future Subs 2015'!C56</f>
        <v>144</v>
      </c>
      <c r="D56" s="754">
        <f>'Func Future Subs 2015'!D56</f>
        <v>138</v>
      </c>
      <c r="E56" s="754" t="str">
        <f>'Func Future Subs 2015'!E56</f>
        <v>826S</v>
      </c>
      <c r="F56" s="754">
        <f>'Func Future Subs 2015'!F56</f>
        <v>688730.2425556964</v>
      </c>
      <c r="G56" s="754" t="str">
        <f>'Func Future Subs 2015'!G56</f>
        <v>ATCO</v>
      </c>
      <c r="H56" s="754">
        <f>'Func Future Subs 2015'!H56</f>
        <v>2017</v>
      </c>
      <c r="I56" s="306">
        <f>+IF($H56=I$2,VLOOKUP($G56,Depreciation!$A$14:$L$18,7,FALSE)/2,IF($H56&lt;I$2,VLOOKUP($G56,Depreciation!$A$14:$L$18,7,FALSE),0))</f>
        <v>0</v>
      </c>
      <c r="J56" s="306">
        <f>+IF($H56=J$2,VLOOKUP($G56,Depreciation!$A$14:$L$18,8,FALSE)/2,IF($H56&lt;J$2,VLOOKUP($G56,Depreciation!$A$14:$L$18,8,FALSE),0))</f>
        <v>0</v>
      </c>
      <c r="K56" s="306">
        <f>+IF($H56=K$2,VLOOKUP($G56,Depreciation!$A$14:$L$18,9,FALSE)/2,IF($H56&lt;K$2,VLOOKUP($G56,Depreciation!$A$14:$L$18,9,FALSE),0))</f>
        <v>1.2175768213899416E-2</v>
      </c>
      <c r="L56" s="306">
        <f>+IF($H56=L$2,VLOOKUP($G56,Depreciation!$A$14:$L$18,10,FALSE)/2,IF($H56&lt;L$2,VLOOKUP($G56,Depreciation!$A$14:$L$18,10,FALSE),0))</f>
        <v>2.4351536427798831E-2</v>
      </c>
      <c r="M56" s="306">
        <f>+IF($H56=M$2,VLOOKUP($G56,Depreciation!$A$14:$L$18,11,FALSE)/2,IF($H56&lt;M$2,VLOOKUP($G56,Depreciation!$A$14:$L$18,11,FALSE),0))</f>
        <v>2.4351536427798831E-2</v>
      </c>
      <c r="N56" s="306">
        <f>+IF($H56=N$2,VLOOKUP($G56,Depreciation!$A$14:$L$18,12,FALSE)/2,IF($H56&lt;N$2,VLOOKUP($G56,Depreciation!$A$14:$L$18,12,FALSE),0))</f>
        <v>2.4351536427798831E-2</v>
      </c>
      <c r="O56" s="307">
        <f t="shared" si="1"/>
        <v>663776.99076613493</v>
      </c>
      <c r="P56" s="732">
        <f>'Func Future Subs 2015'!P56</f>
        <v>0</v>
      </c>
      <c r="Q56" s="732">
        <f>'Func Future Subs 2015'!Q56</f>
        <v>0</v>
      </c>
      <c r="R56" s="732">
        <f>'Func Future Subs 2015'!R56</f>
        <v>1</v>
      </c>
      <c r="S56" s="735">
        <f t="shared" si="2"/>
        <v>0</v>
      </c>
      <c r="T56" s="735">
        <f t="shared" si="3"/>
        <v>0</v>
      </c>
      <c r="U56" s="735">
        <f t="shared" si="4"/>
        <v>663776.99076613493</v>
      </c>
      <c r="V56" s="736">
        <f t="shared" si="5"/>
        <v>0</v>
      </c>
      <c r="W56" s="735">
        <f t="shared" si="6"/>
        <v>0</v>
      </c>
      <c r="X56" s="737">
        <f t="shared" si="7"/>
        <v>663776.99076613493</v>
      </c>
      <c r="Y56" s="738">
        <f t="shared" si="8"/>
        <v>0</v>
      </c>
    </row>
    <row r="57" spans="1:27">
      <c r="A57" s="754" t="str">
        <f>'Func Future Subs 2015'!A57</f>
        <v>unknown sub St.Paul</v>
      </c>
      <c r="B57" s="754">
        <f>'Func Future Subs 2015'!B57</f>
        <v>811</v>
      </c>
      <c r="C57" s="754">
        <f>'Func Future Subs 2015'!C57</f>
        <v>0</v>
      </c>
      <c r="D57" s="754">
        <f>'Func Future Subs 2015'!D57</f>
        <v>0</v>
      </c>
      <c r="E57" s="754">
        <f>'Func Future Subs 2015'!E57</f>
        <v>0</v>
      </c>
      <c r="F57" s="754">
        <f>'Func Future Subs 2015'!F57</f>
        <v>33228963.973278571</v>
      </c>
      <c r="G57" s="754" t="str">
        <f>'Func Future Subs 2015'!G57</f>
        <v>ATCO</v>
      </c>
      <c r="H57" s="754">
        <f>'Func Future Subs 2015'!H57</f>
        <v>2017</v>
      </c>
      <c r="I57" s="306">
        <f>+IF($H57=I$2,VLOOKUP($G57,Depreciation!$A$14:$L$18,7,FALSE)/2,IF($H57&lt;I$2,VLOOKUP($G57,Depreciation!$A$14:$L$18,7,FALSE),0))</f>
        <v>0</v>
      </c>
      <c r="J57" s="306">
        <f>+IF($H57=J$2,VLOOKUP($G57,Depreciation!$A$14:$L$18,8,FALSE)/2,IF($H57&lt;J$2,VLOOKUP($G57,Depreciation!$A$14:$L$18,8,FALSE),0))</f>
        <v>0</v>
      </c>
      <c r="K57" s="306">
        <f>+IF($H57=K$2,VLOOKUP($G57,Depreciation!$A$14:$L$18,9,FALSE)/2,IF($H57&lt;K$2,VLOOKUP($G57,Depreciation!$A$14:$L$18,9,FALSE),0))</f>
        <v>1.2175768213899416E-2</v>
      </c>
      <c r="L57" s="306">
        <f>+IF($H57=L$2,VLOOKUP($G57,Depreciation!$A$14:$L$18,10,FALSE)/2,IF($H57&lt;L$2,VLOOKUP($G57,Depreciation!$A$14:$L$18,10,FALSE),0))</f>
        <v>2.4351536427798831E-2</v>
      </c>
      <c r="M57" s="306">
        <f>+IF($H57=M$2,VLOOKUP($G57,Depreciation!$A$14:$L$18,11,FALSE)/2,IF($H57&lt;M$2,VLOOKUP($G57,Depreciation!$A$14:$L$18,11,FALSE),0))</f>
        <v>2.4351536427798831E-2</v>
      </c>
      <c r="N57" s="306">
        <f>+IF($H57=N$2,VLOOKUP($G57,Depreciation!$A$14:$L$18,12,FALSE)/2,IF($H57&lt;N$2,VLOOKUP($G57,Depreciation!$A$14:$L$18,12,FALSE),0))</f>
        <v>2.4351536427798831E-2</v>
      </c>
      <c r="O57" s="307">
        <f t="shared" si="1"/>
        <v>32025051.826696113</v>
      </c>
      <c r="P57" s="732">
        <f>'Func Future Subs 2015'!P57</f>
        <v>0</v>
      </c>
      <c r="Q57" s="732">
        <f>'Func Future Subs 2015'!Q57</f>
        <v>0</v>
      </c>
      <c r="R57" s="732">
        <f>'Func Future Subs 2015'!R57</f>
        <v>1</v>
      </c>
      <c r="S57" s="735">
        <f t="shared" si="2"/>
        <v>0</v>
      </c>
      <c r="T57" s="735">
        <f t="shared" si="3"/>
        <v>0</v>
      </c>
      <c r="U57" s="735">
        <f t="shared" si="4"/>
        <v>32025051.826696113</v>
      </c>
      <c r="V57" s="736">
        <f t="shared" si="5"/>
        <v>32025051.826696113</v>
      </c>
      <c r="W57" s="735">
        <f t="shared" si="6"/>
        <v>0</v>
      </c>
      <c r="X57" s="737">
        <f t="shared" si="7"/>
        <v>0</v>
      </c>
      <c r="Y57" s="738">
        <f t="shared" si="8"/>
        <v>0</v>
      </c>
    </row>
    <row r="58" spans="1:27">
      <c r="A58" s="754" t="str">
        <f>'Func Future Subs 2015'!A58</f>
        <v>unknown sub Vermilion 710S</v>
      </c>
      <c r="B58" s="754">
        <f>'Func Future Subs 2015'!B58</f>
        <v>811</v>
      </c>
      <c r="C58" s="754">
        <f>'Func Future Subs 2015'!C58</f>
        <v>0</v>
      </c>
      <c r="D58" s="754">
        <f>'Func Future Subs 2015'!D58</f>
        <v>25</v>
      </c>
      <c r="E58" s="754" t="str">
        <f>'Func Future Subs 2015'!E58</f>
        <v>710S</v>
      </c>
      <c r="F58" s="754">
        <f>'Func Future Subs 2015'!F58</f>
        <v>8709690</v>
      </c>
      <c r="G58" s="754" t="str">
        <f>'Func Future Subs 2015'!G58</f>
        <v>ATCO</v>
      </c>
      <c r="H58" s="754">
        <f>'Func Future Subs 2015'!H58</f>
        <v>2017</v>
      </c>
      <c r="I58" s="306">
        <f>+IF($H58=I$2,VLOOKUP($G58,Depreciation!$A$14:$L$18,7,FALSE)/2,IF($H58&lt;I$2,VLOOKUP($G58,Depreciation!$A$14:$L$18,7,FALSE),0))</f>
        <v>0</v>
      </c>
      <c r="J58" s="306">
        <f>+IF($H58=J$2,VLOOKUP($G58,Depreciation!$A$14:$L$18,8,FALSE)/2,IF($H58&lt;J$2,VLOOKUP($G58,Depreciation!$A$14:$L$18,8,FALSE),0))</f>
        <v>0</v>
      </c>
      <c r="K58" s="306">
        <f>+IF($H58=K$2,VLOOKUP($G58,Depreciation!$A$14:$L$18,9,FALSE)/2,IF($H58&lt;K$2,VLOOKUP($G58,Depreciation!$A$14:$L$18,9,FALSE),0))</f>
        <v>1.2175768213899416E-2</v>
      </c>
      <c r="L58" s="306">
        <f>+IF($H58=L$2,VLOOKUP($G58,Depreciation!$A$14:$L$18,10,FALSE)/2,IF($H58&lt;L$2,VLOOKUP($G58,Depreciation!$A$14:$L$18,10,FALSE),0))</f>
        <v>2.4351536427798831E-2</v>
      </c>
      <c r="M58" s="306">
        <f>+IF($H58=M$2,VLOOKUP($G58,Depreciation!$A$14:$L$18,11,FALSE)/2,IF($H58&lt;M$2,VLOOKUP($G58,Depreciation!$A$14:$L$18,11,FALSE),0))</f>
        <v>2.4351536427798831E-2</v>
      </c>
      <c r="N58" s="306">
        <f>+IF($H58=N$2,VLOOKUP($G58,Depreciation!$A$14:$L$18,12,FALSE)/2,IF($H58&lt;N$2,VLOOKUP($G58,Depreciation!$A$14:$L$18,12,FALSE),0))</f>
        <v>2.4351536427798831E-2</v>
      </c>
      <c r="O58" s="307">
        <f t="shared" si="1"/>
        <v>8394130.9114771076</v>
      </c>
      <c r="P58" s="732">
        <f>'Func Future Subs 2015'!P58</f>
        <v>0</v>
      </c>
      <c r="Q58" s="732">
        <f>'Func Future Subs 2015'!Q58</f>
        <v>1</v>
      </c>
      <c r="R58" s="732">
        <f>'Func Future Subs 2015'!R58</f>
        <v>0</v>
      </c>
      <c r="S58" s="735">
        <f t="shared" si="2"/>
        <v>0</v>
      </c>
      <c r="T58" s="735">
        <f t="shared" si="3"/>
        <v>8394130.9114771076</v>
      </c>
      <c r="U58" s="735">
        <f t="shared" si="4"/>
        <v>0</v>
      </c>
      <c r="V58" s="736">
        <f t="shared" si="5"/>
        <v>0</v>
      </c>
      <c r="W58" s="735">
        <f t="shared" si="6"/>
        <v>0</v>
      </c>
      <c r="X58" s="737">
        <f t="shared" si="7"/>
        <v>0</v>
      </c>
      <c r="Y58" s="738">
        <f t="shared" si="8"/>
        <v>8394130.9114771076</v>
      </c>
    </row>
    <row r="59" spans="1:27">
      <c r="A59" s="754" t="str">
        <f>'Func Future Subs 2015'!A59</f>
        <v>Wolf Lake 822S(180)</v>
      </c>
      <c r="B59" s="754">
        <f>'Func Future Subs 2015'!B59</f>
        <v>811</v>
      </c>
      <c r="C59" s="754">
        <f>'Func Future Subs 2015'!C59</f>
        <v>144</v>
      </c>
      <c r="D59" s="754">
        <f>'Func Future Subs 2015'!D59</f>
        <v>25</v>
      </c>
      <c r="E59" s="754" t="str">
        <f>'Func Future Subs 2015'!E59</f>
        <v>822S</v>
      </c>
      <c r="F59" s="754">
        <f>'Func Future Subs 2015'!F59</f>
        <v>1030247.2205012403</v>
      </c>
      <c r="G59" s="754" t="str">
        <f>'Func Future Subs 2015'!G59</f>
        <v>ATCO</v>
      </c>
      <c r="H59" s="754">
        <f>'Func Future Subs 2015'!H59</f>
        <v>2017</v>
      </c>
      <c r="I59" s="306">
        <f>+IF($H59=I$2,VLOOKUP($G59,Depreciation!$A$14:$L$18,7,FALSE)/2,IF($H59&lt;I$2,VLOOKUP($G59,Depreciation!$A$14:$L$18,7,FALSE),0))</f>
        <v>0</v>
      </c>
      <c r="J59" s="306">
        <f>+IF($H59=J$2,VLOOKUP($G59,Depreciation!$A$14:$L$18,8,FALSE)/2,IF($H59&lt;J$2,VLOOKUP($G59,Depreciation!$A$14:$L$18,8,FALSE),0))</f>
        <v>0</v>
      </c>
      <c r="K59" s="306">
        <f>+IF($H59=K$2,VLOOKUP($G59,Depreciation!$A$14:$L$18,9,FALSE)/2,IF($H59&lt;K$2,VLOOKUP($G59,Depreciation!$A$14:$L$18,9,FALSE),0))</f>
        <v>1.2175768213899416E-2</v>
      </c>
      <c r="L59" s="306">
        <f>+IF($H59=L$2,VLOOKUP($G59,Depreciation!$A$14:$L$18,10,FALSE)/2,IF($H59&lt;L$2,VLOOKUP($G59,Depreciation!$A$14:$L$18,10,FALSE),0))</f>
        <v>2.4351536427798831E-2</v>
      </c>
      <c r="M59" s="306">
        <f>+IF($H59=M$2,VLOOKUP($G59,Depreciation!$A$14:$L$18,11,FALSE)/2,IF($H59&lt;M$2,VLOOKUP($G59,Depreciation!$A$14:$L$18,11,FALSE),0))</f>
        <v>2.4351536427798831E-2</v>
      </c>
      <c r="N59" s="306">
        <f>+IF($H59=N$2,VLOOKUP($G59,Depreciation!$A$14:$L$18,12,FALSE)/2,IF($H59&lt;N$2,VLOOKUP($G59,Depreciation!$A$14:$L$18,12,FALSE),0))</f>
        <v>2.4351536427798831E-2</v>
      </c>
      <c r="O59" s="307">
        <f t="shared" si="1"/>
        <v>992920.53334536985</v>
      </c>
      <c r="P59" s="732">
        <f>'Func Future Subs 2015'!P59</f>
        <v>0</v>
      </c>
      <c r="Q59" s="732">
        <f>'Func Future Subs 2015'!Q59</f>
        <v>1</v>
      </c>
      <c r="R59" s="732">
        <f>'Func Future Subs 2015'!R59</f>
        <v>0</v>
      </c>
      <c r="S59" s="735">
        <f t="shared" si="2"/>
        <v>0</v>
      </c>
      <c r="T59" s="735">
        <f t="shared" si="3"/>
        <v>992920.53334536985</v>
      </c>
      <c r="U59" s="735">
        <f t="shared" si="4"/>
        <v>0</v>
      </c>
      <c r="V59" s="736">
        <f t="shared" si="5"/>
        <v>0</v>
      </c>
      <c r="W59" s="735">
        <f t="shared" si="6"/>
        <v>0</v>
      </c>
      <c r="X59" s="737">
        <f t="shared" si="7"/>
        <v>0</v>
      </c>
      <c r="Y59" s="738">
        <f t="shared" si="8"/>
        <v>992920.53334536985</v>
      </c>
    </row>
    <row r="60" spans="1:27">
      <c r="A60" s="754" t="str">
        <f>'Func Future Subs 2015'!A60</f>
        <v>74S</v>
      </c>
      <c r="B60" s="754">
        <f>'Func Future Subs 2015'!B60</f>
        <v>813</v>
      </c>
      <c r="C60" s="754">
        <f>'Func Future Subs 2015'!C60</f>
        <v>240</v>
      </c>
      <c r="D60" s="754">
        <f>'Func Future Subs 2015'!D60</f>
        <v>138</v>
      </c>
      <c r="E60" s="754" t="str">
        <f>'Func Future Subs 2015'!E60</f>
        <v>74S</v>
      </c>
      <c r="F60" s="754">
        <f>'Func Future Subs 2015'!F60</f>
        <v>395882.33037640859</v>
      </c>
      <c r="G60" s="754" t="str">
        <f>'Func Future Subs 2015'!G60</f>
        <v>AltaLink</v>
      </c>
      <c r="H60" s="754">
        <f>'Func Future Subs 2015'!H60</f>
        <v>2017</v>
      </c>
      <c r="I60" s="306">
        <f>+IF($H60=I$2,VLOOKUP($G60,Depreciation!$A$14:$L$18,7,FALSE)/2,IF($H60&lt;I$2,VLOOKUP($G60,Depreciation!$A$14:$L$18,7,FALSE),0))</f>
        <v>0</v>
      </c>
      <c r="J60" s="306">
        <f>+IF($H60=J$2,VLOOKUP($G60,Depreciation!$A$14:$L$18,8,FALSE)/2,IF($H60&lt;J$2,VLOOKUP($G60,Depreciation!$A$14:$L$18,8,FALSE),0))</f>
        <v>0</v>
      </c>
      <c r="K60" s="306">
        <f>+IF($H60=K$2,VLOOKUP($G60,Depreciation!$A$14:$L$18,9,FALSE)/2,IF($H60&lt;K$2,VLOOKUP($G60,Depreciation!$A$14:$L$18,9,FALSE),0))</f>
        <v>1.671703928371859E-2</v>
      </c>
      <c r="L60" s="306">
        <f>+IF($H60=L$2,VLOOKUP($G60,Depreciation!$A$14:$L$18,10,FALSE)/2,IF($H60&lt;L$2,VLOOKUP($G60,Depreciation!$A$14:$L$18,10,FALSE),0))</f>
        <v>3.343407856743718E-2</v>
      </c>
      <c r="M60" s="306">
        <f>+IF($H60=M$2,VLOOKUP($G60,Depreciation!$A$14:$L$18,11,FALSE)/2,IF($H60&lt;M$2,VLOOKUP($G60,Depreciation!$A$14:$L$18,11,FALSE),0))</f>
        <v>3.343407856743718E-2</v>
      </c>
      <c r="N60" s="306">
        <f>+IF($H60=N$2,VLOOKUP($G60,Depreciation!$A$14:$L$18,12,FALSE)/2,IF($H60&lt;N$2,VLOOKUP($G60,Depreciation!$A$14:$L$18,12,FALSE),0))</f>
        <v>3.343407856743718E-2</v>
      </c>
      <c r="O60" s="307">
        <f t="shared" si="1"/>
        <v>376249.65504945716</v>
      </c>
      <c r="P60" s="732">
        <f>'Func Future Subs 2015'!P60</f>
        <v>0</v>
      </c>
      <c r="Q60" s="732">
        <f>'Func Future Subs 2015'!Q60</f>
        <v>0</v>
      </c>
      <c r="R60" s="732">
        <f>'Func Future Subs 2015'!R60</f>
        <v>1</v>
      </c>
      <c r="S60" s="735">
        <f t="shared" si="2"/>
        <v>0</v>
      </c>
      <c r="T60" s="735">
        <f t="shared" si="3"/>
        <v>0</v>
      </c>
      <c r="U60" s="735">
        <f t="shared" si="4"/>
        <v>376249.65504945716</v>
      </c>
      <c r="V60" s="736">
        <f t="shared" si="5"/>
        <v>0</v>
      </c>
      <c r="W60" s="735">
        <f t="shared" si="6"/>
        <v>0</v>
      </c>
      <c r="X60" s="737">
        <f t="shared" si="7"/>
        <v>376249.65504945716</v>
      </c>
      <c r="Y60" s="738">
        <f t="shared" si="8"/>
        <v>0</v>
      </c>
    </row>
    <row r="61" spans="1:27">
      <c r="A61" s="754" t="str">
        <f>'Func Future Subs 2015'!A61</f>
        <v>Beddington 162S</v>
      </c>
      <c r="B61" s="754">
        <f>'Func Future Subs 2015'!B61</f>
        <v>813</v>
      </c>
      <c r="C61" s="754">
        <f>'Func Future Subs 2015'!C61</f>
        <v>240</v>
      </c>
      <c r="D61" s="754">
        <f>'Func Future Subs 2015'!D61</f>
        <v>25</v>
      </c>
      <c r="E61" s="754" t="str">
        <f>'Func Future Subs 2015'!E61</f>
        <v>162S</v>
      </c>
      <c r="F61" s="754">
        <f>'Func Future Subs 2015'!F61</f>
        <v>39588.233037640857</v>
      </c>
      <c r="G61" s="754" t="str">
        <f>'Func Future Subs 2015'!G61</f>
        <v>AltaLink</v>
      </c>
      <c r="H61" s="754">
        <f>'Func Future Subs 2015'!H61</f>
        <v>2017</v>
      </c>
      <c r="I61" s="306">
        <f>+IF($H61=I$2,VLOOKUP($G61,Depreciation!$A$14:$L$18,7,FALSE)/2,IF($H61&lt;I$2,VLOOKUP($G61,Depreciation!$A$14:$L$18,7,FALSE),0))</f>
        <v>0</v>
      </c>
      <c r="J61" s="306">
        <f>+IF($H61=J$2,VLOOKUP($G61,Depreciation!$A$14:$L$18,8,FALSE)/2,IF($H61&lt;J$2,VLOOKUP($G61,Depreciation!$A$14:$L$18,8,FALSE),0))</f>
        <v>0</v>
      </c>
      <c r="K61" s="306">
        <f>+IF($H61=K$2,VLOOKUP($G61,Depreciation!$A$14:$L$18,9,FALSE)/2,IF($H61&lt;K$2,VLOOKUP($G61,Depreciation!$A$14:$L$18,9,FALSE),0))</f>
        <v>1.671703928371859E-2</v>
      </c>
      <c r="L61" s="306">
        <f>+IF($H61=L$2,VLOOKUP($G61,Depreciation!$A$14:$L$18,10,FALSE)/2,IF($H61&lt;L$2,VLOOKUP($G61,Depreciation!$A$14:$L$18,10,FALSE),0))</f>
        <v>3.343407856743718E-2</v>
      </c>
      <c r="M61" s="306">
        <f>+IF($H61=M$2,VLOOKUP($G61,Depreciation!$A$14:$L$18,11,FALSE)/2,IF($H61&lt;M$2,VLOOKUP($G61,Depreciation!$A$14:$L$18,11,FALSE),0))</f>
        <v>3.343407856743718E-2</v>
      </c>
      <c r="N61" s="306">
        <f>+IF($H61=N$2,VLOOKUP($G61,Depreciation!$A$14:$L$18,12,FALSE)/2,IF($H61&lt;N$2,VLOOKUP($G61,Depreciation!$A$14:$L$18,12,FALSE),0))</f>
        <v>3.343407856743718E-2</v>
      </c>
      <c r="O61" s="307">
        <f t="shared" si="1"/>
        <v>37624.965504945714</v>
      </c>
      <c r="P61" s="732">
        <f>'Func Future Subs 2015'!P61</f>
        <v>0.9116809116809117</v>
      </c>
      <c r="Q61" s="732">
        <f>'Func Future Subs 2015'!Q61</f>
        <v>8.8319088319088315E-2</v>
      </c>
      <c r="R61" s="732">
        <f>'Func Future Subs 2015'!R61</f>
        <v>0</v>
      </c>
      <c r="S61" s="735">
        <f t="shared" si="2"/>
        <v>34301.962853511766</v>
      </c>
      <c r="T61" s="735">
        <f t="shared" si="3"/>
        <v>3323.002651433952</v>
      </c>
      <c r="U61" s="735">
        <f t="shared" si="4"/>
        <v>0</v>
      </c>
      <c r="V61" s="736">
        <f t="shared" si="5"/>
        <v>0</v>
      </c>
      <c r="W61" s="735">
        <f t="shared" si="6"/>
        <v>34301.962853511766</v>
      </c>
      <c r="X61" s="737">
        <f t="shared" si="7"/>
        <v>0</v>
      </c>
      <c r="Y61" s="738">
        <f t="shared" si="8"/>
        <v>3323.002651433952</v>
      </c>
    </row>
    <row r="62" spans="1:27">
      <c r="A62" s="754" t="str">
        <f>'Func Future Subs 2015'!A62</f>
        <v>Benalto 17S</v>
      </c>
      <c r="B62" s="754">
        <f>'Func Future Subs 2015'!B62</f>
        <v>813</v>
      </c>
      <c r="C62" s="754">
        <f>'Func Future Subs 2015'!C62</f>
        <v>240</v>
      </c>
      <c r="D62" s="754">
        <f>'Func Future Subs 2015'!D62</f>
        <v>25</v>
      </c>
      <c r="E62" s="754" t="str">
        <f>'Func Future Subs 2015'!E62</f>
        <v>17S</v>
      </c>
      <c r="F62" s="754">
        <f>'Func Future Subs 2015'!F62</f>
        <v>8444000.0000000019</v>
      </c>
      <c r="G62" s="754" t="str">
        <f>'Func Future Subs 2015'!G62</f>
        <v>AltaLink</v>
      </c>
      <c r="H62" s="754">
        <f>'Func Future Subs 2015'!H62</f>
        <v>2017</v>
      </c>
      <c r="I62" s="306">
        <f>+IF($H62=I$2,VLOOKUP($G62,Depreciation!$A$14:$L$18,7,FALSE)/2,IF($H62&lt;I$2,VLOOKUP($G62,Depreciation!$A$14:$L$18,7,FALSE),0))</f>
        <v>0</v>
      </c>
      <c r="J62" s="306">
        <f>+IF($H62=J$2,VLOOKUP($G62,Depreciation!$A$14:$L$18,8,FALSE)/2,IF($H62&lt;J$2,VLOOKUP($G62,Depreciation!$A$14:$L$18,8,FALSE),0))</f>
        <v>0</v>
      </c>
      <c r="K62" s="306">
        <f>+IF($H62=K$2,VLOOKUP($G62,Depreciation!$A$14:$L$18,9,FALSE)/2,IF($H62&lt;K$2,VLOOKUP($G62,Depreciation!$A$14:$L$18,9,FALSE),0))</f>
        <v>1.671703928371859E-2</v>
      </c>
      <c r="L62" s="306">
        <f>+IF($H62=L$2,VLOOKUP($G62,Depreciation!$A$14:$L$18,10,FALSE)/2,IF($H62&lt;L$2,VLOOKUP($G62,Depreciation!$A$14:$L$18,10,FALSE),0))</f>
        <v>3.343407856743718E-2</v>
      </c>
      <c r="M62" s="306">
        <f>+IF($H62=M$2,VLOOKUP($G62,Depreciation!$A$14:$L$18,11,FALSE)/2,IF($H62&lt;M$2,VLOOKUP($G62,Depreciation!$A$14:$L$18,11,FALSE),0))</f>
        <v>3.343407856743718E-2</v>
      </c>
      <c r="N62" s="306">
        <f>+IF($H62=N$2,VLOOKUP($G62,Depreciation!$A$14:$L$18,12,FALSE)/2,IF($H62&lt;N$2,VLOOKUP($G62,Depreciation!$A$14:$L$18,12,FALSE),0))</f>
        <v>3.343407856743718E-2</v>
      </c>
      <c r="O62" s="307">
        <f t="shared" si="1"/>
        <v>8025243.4712528</v>
      </c>
      <c r="P62" s="732">
        <f>'Func Future Subs 2015'!P62</f>
        <v>0</v>
      </c>
      <c r="Q62" s="732">
        <f>'Func Future Subs 2015'!Q62</f>
        <v>1</v>
      </c>
      <c r="R62" s="732">
        <f>'Func Future Subs 2015'!R62</f>
        <v>0</v>
      </c>
      <c r="S62" s="735">
        <f t="shared" si="2"/>
        <v>0</v>
      </c>
      <c r="T62" s="735">
        <f t="shared" si="3"/>
        <v>8025243.4712528</v>
      </c>
      <c r="U62" s="735">
        <f t="shared" si="4"/>
        <v>0</v>
      </c>
      <c r="V62" s="736">
        <f t="shared" si="5"/>
        <v>0</v>
      </c>
      <c r="W62" s="735">
        <f t="shared" si="6"/>
        <v>0</v>
      </c>
      <c r="X62" s="737">
        <f t="shared" si="7"/>
        <v>0</v>
      </c>
      <c r="Y62" s="738">
        <f t="shared" si="8"/>
        <v>8025243.4712528</v>
      </c>
    </row>
    <row r="63" spans="1:27">
      <c r="A63" s="754" t="str">
        <f>'Func Future Subs 2015'!A63</f>
        <v>Benalto 17S (GD - Johnson)</v>
      </c>
      <c r="B63" s="754">
        <f>'Func Future Subs 2015'!B63</f>
        <v>813</v>
      </c>
      <c r="C63" s="754">
        <f>'Func Future Subs 2015'!C63</f>
        <v>240</v>
      </c>
      <c r="D63" s="754">
        <f>'Func Future Subs 2015'!D63</f>
        <v>25</v>
      </c>
      <c r="E63" s="754" t="str">
        <f>'Func Future Subs 2015'!E63</f>
        <v>17S</v>
      </c>
      <c r="F63" s="754">
        <f>'Func Future Subs 2015'!F63</f>
        <v>134255.74682330378</v>
      </c>
      <c r="G63" s="754" t="str">
        <f>'Func Future Subs 2015'!G63</f>
        <v>AltaLink</v>
      </c>
      <c r="H63" s="754">
        <f>'Func Future Subs 2015'!H63</f>
        <v>2017</v>
      </c>
      <c r="I63" s="306">
        <f>+IF($H63=I$2,VLOOKUP($G63,Depreciation!$A$14:$L$18,7,FALSE)/2,IF($H63&lt;I$2,VLOOKUP($G63,Depreciation!$A$14:$L$18,7,FALSE),0))</f>
        <v>0</v>
      </c>
      <c r="J63" s="306">
        <f>+IF($H63=J$2,VLOOKUP($G63,Depreciation!$A$14:$L$18,8,FALSE)/2,IF($H63&lt;J$2,VLOOKUP($G63,Depreciation!$A$14:$L$18,8,FALSE),0))</f>
        <v>0</v>
      </c>
      <c r="K63" s="306">
        <f>+IF($H63=K$2,VLOOKUP($G63,Depreciation!$A$14:$L$18,9,FALSE)/2,IF($H63&lt;K$2,VLOOKUP($G63,Depreciation!$A$14:$L$18,9,FALSE),0))</f>
        <v>1.671703928371859E-2</v>
      </c>
      <c r="L63" s="306">
        <f>+IF($H63=L$2,VLOOKUP($G63,Depreciation!$A$14:$L$18,10,FALSE)/2,IF($H63&lt;L$2,VLOOKUP($G63,Depreciation!$A$14:$L$18,10,FALSE),0))</f>
        <v>3.343407856743718E-2</v>
      </c>
      <c r="M63" s="306">
        <f>+IF($H63=M$2,VLOOKUP($G63,Depreciation!$A$14:$L$18,11,FALSE)/2,IF($H63&lt;M$2,VLOOKUP($G63,Depreciation!$A$14:$L$18,11,FALSE),0))</f>
        <v>3.343407856743718E-2</v>
      </c>
      <c r="N63" s="306">
        <f>+IF($H63=N$2,VLOOKUP($G63,Depreciation!$A$14:$L$18,12,FALSE)/2,IF($H63&lt;N$2,VLOOKUP($G63,Depreciation!$A$14:$L$18,12,FALSE),0))</f>
        <v>3.343407856743718E-2</v>
      </c>
      <c r="O63" s="307">
        <f t="shared" si="1"/>
        <v>127597.70910372895</v>
      </c>
      <c r="P63" s="732">
        <f>'Func Future Subs 2015'!P63</f>
        <v>0</v>
      </c>
      <c r="Q63" s="732">
        <f>'Func Future Subs 2015'!Q63</f>
        <v>1</v>
      </c>
      <c r="R63" s="732">
        <f>'Func Future Subs 2015'!R63</f>
        <v>0</v>
      </c>
      <c r="S63" s="735">
        <f t="shared" si="2"/>
        <v>0</v>
      </c>
      <c r="T63" s="735">
        <f t="shared" si="3"/>
        <v>127597.70910372895</v>
      </c>
      <c r="U63" s="735">
        <f t="shared" si="4"/>
        <v>0</v>
      </c>
      <c r="V63" s="736">
        <f t="shared" si="5"/>
        <v>0</v>
      </c>
      <c r="W63" s="735">
        <f t="shared" si="6"/>
        <v>0</v>
      </c>
      <c r="X63" s="737">
        <f t="shared" si="7"/>
        <v>0</v>
      </c>
      <c r="Y63" s="738">
        <f t="shared" si="8"/>
        <v>127597.70910372895</v>
      </c>
    </row>
    <row r="64" spans="1:27">
      <c r="A64" s="754" t="str">
        <f>'Func Future Subs 2015'!A64</f>
        <v>Benalto 17S (GD Hazel)</v>
      </c>
      <c r="B64" s="754">
        <f>'Func Future Subs 2015'!B64</f>
        <v>813</v>
      </c>
      <c r="C64" s="754">
        <f>'Func Future Subs 2015'!C64</f>
        <v>240</v>
      </c>
      <c r="D64" s="754">
        <f>'Func Future Subs 2015'!D64</f>
        <v>25</v>
      </c>
      <c r="E64" s="754" t="str">
        <f>'Func Future Subs 2015'!E64</f>
        <v>17S</v>
      </c>
      <c r="F64" s="754">
        <f>'Func Future Subs 2015'!F64</f>
        <v>20654.730280508273</v>
      </c>
      <c r="G64" s="754" t="str">
        <f>'Func Future Subs 2015'!G64</f>
        <v>AltaLink</v>
      </c>
      <c r="H64" s="754">
        <f>'Func Future Subs 2015'!H64</f>
        <v>2017</v>
      </c>
      <c r="I64" s="306">
        <f>+IF($H64=I$2,VLOOKUP($G64,Depreciation!$A$14:$L$18,7,FALSE)/2,IF($H64&lt;I$2,VLOOKUP($G64,Depreciation!$A$14:$L$18,7,FALSE),0))</f>
        <v>0</v>
      </c>
      <c r="J64" s="306">
        <f>+IF($H64=J$2,VLOOKUP($G64,Depreciation!$A$14:$L$18,8,FALSE)/2,IF($H64&lt;J$2,VLOOKUP($G64,Depreciation!$A$14:$L$18,8,FALSE),0))</f>
        <v>0</v>
      </c>
      <c r="K64" s="306">
        <f>+IF($H64=K$2,VLOOKUP($G64,Depreciation!$A$14:$L$18,9,FALSE)/2,IF($H64&lt;K$2,VLOOKUP($G64,Depreciation!$A$14:$L$18,9,FALSE),0))</f>
        <v>1.671703928371859E-2</v>
      </c>
      <c r="L64" s="306">
        <f>+IF($H64=L$2,VLOOKUP($G64,Depreciation!$A$14:$L$18,10,FALSE)/2,IF($H64&lt;L$2,VLOOKUP($G64,Depreciation!$A$14:$L$18,10,FALSE),0))</f>
        <v>3.343407856743718E-2</v>
      </c>
      <c r="M64" s="306">
        <f>+IF($H64=M$2,VLOOKUP($G64,Depreciation!$A$14:$L$18,11,FALSE)/2,IF($H64&lt;M$2,VLOOKUP($G64,Depreciation!$A$14:$L$18,11,FALSE),0))</f>
        <v>3.343407856743718E-2</v>
      </c>
      <c r="N64" s="306">
        <f>+IF($H64=N$2,VLOOKUP($G64,Depreciation!$A$14:$L$18,12,FALSE)/2,IF($H64&lt;N$2,VLOOKUP($G64,Depreciation!$A$14:$L$18,12,FALSE),0))</f>
        <v>3.343407856743718E-2</v>
      </c>
      <c r="O64" s="307">
        <f t="shared" si="1"/>
        <v>19630.416785189071</v>
      </c>
      <c r="P64" s="732">
        <f>'Func Future Subs 2015'!P64</f>
        <v>0</v>
      </c>
      <c r="Q64" s="732">
        <f>'Func Future Subs 2015'!Q64</f>
        <v>1</v>
      </c>
      <c r="R64" s="732">
        <f>'Func Future Subs 2015'!R64</f>
        <v>0</v>
      </c>
      <c r="S64" s="735">
        <f t="shared" si="2"/>
        <v>0</v>
      </c>
      <c r="T64" s="735">
        <f t="shared" si="3"/>
        <v>19630.416785189071</v>
      </c>
      <c r="U64" s="735">
        <f t="shared" si="4"/>
        <v>0</v>
      </c>
      <c r="V64" s="736">
        <f t="shared" si="5"/>
        <v>0</v>
      </c>
      <c r="W64" s="735">
        <f t="shared" si="6"/>
        <v>0</v>
      </c>
      <c r="X64" s="737">
        <f t="shared" si="7"/>
        <v>0</v>
      </c>
      <c r="Y64" s="738">
        <f t="shared" si="8"/>
        <v>19630.416785189071</v>
      </c>
    </row>
    <row r="65" spans="1:25">
      <c r="A65" s="754" t="str">
        <f>'Func Future Subs 2015'!A65</f>
        <v>Benalto 17S (LR)</v>
      </c>
      <c r="B65" s="754">
        <f>'Func Future Subs 2015'!B65</f>
        <v>813</v>
      </c>
      <c r="C65" s="754">
        <f>'Func Future Subs 2015'!C65</f>
        <v>138</v>
      </c>
      <c r="D65" s="754">
        <f>'Func Future Subs 2015'!D65</f>
        <v>25</v>
      </c>
      <c r="E65" s="754" t="str">
        <f>'Func Future Subs 2015'!E65</f>
        <v>17S</v>
      </c>
      <c r="F65" s="754">
        <f>'Func Future Subs 2015'!F65</f>
        <v>655703.2937070569</v>
      </c>
      <c r="G65" s="754" t="str">
        <f>'Func Future Subs 2015'!G65</f>
        <v>AltaLink</v>
      </c>
      <c r="H65" s="754">
        <f>'Func Future Subs 2015'!H65</f>
        <v>2017</v>
      </c>
      <c r="I65" s="306">
        <f>+IF($H65=I$2,VLOOKUP($G65,Depreciation!$A$14:$L$18,7,FALSE)/2,IF($H65&lt;I$2,VLOOKUP($G65,Depreciation!$A$14:$L$18,7,FALSE),0))</f>
        <v>0</v>
      </c>
      <c r="J65" s="306">
        <f>+IF($H65=J$2,VLOOKUP($G65,Depreciation!$A$14:$L$18,8,FALSE)/2,IF($H65&lt;J$2,VLOOKUP($G65,Depreciation!$A$14:$L$18,8,FALSE),0))</f>
        <v>0</v>
      </c>
      <c r="K65" s="306">
        <f>+IF($H65=K$2,VLOOKUP($G65,Depreciation!$A$14:$L$18,9,FALSE)/2,IF($H65&lt;K$2,VLOOKUP($G65,Depreciation!$A$14:$L$18,9,FALSE),0))</f>
        <v>1.671703928371859E-2</v>
      </c>
      <c r="L65" s="306">
        <f>+IF($H65=L$2,VLOOKUP($G65,Depreciation!$A$14:$L$18,10,FALSE)/2,IF($H65&lt;L$2,VLOOKUP($G65,Depreciation!$A$14:$L$18,10,FALSE),0))</f>
        <v>3.343407856743718E-2</v>
      </c>
      <c r="M65" s="306">
        <f>+IF($H65=M$2,VLOOKUP($G65,Depreciation!$A$14:$L$18,11,FALSE)/2,IF($H65&lt;M$2,VLOOKUP($G65,Depreciation!$A$14:$L$18,11,FALSE),0))</f>
        <v>3.343407856743718E-2</v>
      </c>
      <c r="N65" s="306">
        <f>+IF($H65=N$2,VLOOKUP($G65,Depreciation!$A$14:$L$18,12,FALSE)/2,IF($H65&lt;N$2,VLOOKUP($G65,Depreciation!$A$14:$L$18,12,FALSE),0))</f>
        <v>3.343407856743718E-2</v>
      </c>
      <c r="O65" s="307">
        <f t="shared" si="1"/>
        <v>623185.52545020299</v>
      </c>
      <c r="P65" s="732">
        <f>'Func Future Subs 2015'!P65</f>
        <v>0</v>
      </c>
      <c r="Q65" s="732">
        <f>'Func Future Subs 2015'!Q65</f>
        <v>1</v>
      </c>
      <c r="R65" s="732">
        <f>'Func Future Subs 2015'!R65</f>
        <v>0</v>
      </c>
      <c r="S65" s="735">
        <f t="shared" si="2"/>
        <v>0</v>
      </c>
      <c r="T65" s="735">
        <f t="shared" si="3"/>
        <v>623185.52545020299</v>
      </c>
      <c r="U65" s="735">
        <f t="shared" si="4"/>
        <v>0</v>
      </c>
      <c r="V65" s="736">
        <f t="shared" si="5"/>
        <v>0</v>
      </c>
      <c r="W65" s="735">
        <f t="shared" si="6"/>
        <v>0</v>
      </c>
      <c r="X65" s="737">
        <f t="shared" si="7"/>
        <v>0</v>
      </c>
      <c r="Y65" s="738">
        <f t="shared" si="8"/>
        <v>623185.52545020299</v>
      </c>
    </row>
    <row r="66" spans="1:25">
      <c r="A66" s="754" t="str">
        <f>'Func Future Subs 2015'!A66</f>
        <v>Capacitor Bank at Joffre 535S</v>
      </c>
      <c r="B66" s="754">
        <f>'Func Future Subs 2015'!B66</f>
        <v>813</v>
      </c>
      <c r="C66" s="754">
        <f>'Func Future Subs 2015'!C66</f>
        <v>138</v>
      </c>
      <c r="D66" s="754">
        <f>'Func Future Subs 2015'!D66</f>
        <v>25</v>
      </c>
      <c r="E66" s="754" t="str">
        <f>'Func Future Subs 2015'!E66</f>
        <v>535S</v>
      </c>
      <c r="F66" s="754">
        <f>'Func Future Subs 2015'!F66</f>
        <v>2796588.4995215004</v>
      </c>
      <c r="G66" s="754" t="str">
        <f>'Func Future Subs 2015'!G66</f>
        <v>AltaLink</v>
      </c>
      <c r="H66" s="754">
        <f>'Func Future Subs 2015'!H66</f>
        <v>2017</v>
      </c>
      <c r="I66" s="306">
        <f>+IF($H66=I$2,VLOOKUP($G66,Depreciation!$A$14:$L$18,7,FALSE)/2,IF($H66&lt;I$2,VLOOKUP($G66,Depreciation!$A$14:$L$18,7,FALSE),0))</f>
        <v>0</v>
      </c>
      <c r="J66" s="306">
        <f>+IF($H66=J$2,VLOOKUP($G66,Depreciation!$A$14:$L$18,8,FALSE)/2,IF($H66&lt;J$2,VLOOKUP($G66,Depreciation!$A$14:$L$18,8,FALSE),0))</f>
        <v>0</v>
      </c>
      <c r="K66" s="306">
        <f>+IF($H66=K$2,VLOOKUP($G66,Depreciation!$A$14:$L$18,9,FALSE)/2,IF($H66&lt;K$2,VLOOKUP($G66,Depreciation!$A$14:$L$18,9,FALSE),0))</f>
        <v>1.671703928371859E-2</v>
      </c>
      <c r="L66" s="306">
        <f>+IF($H66=L$2,VLOOKUP($G66,Depreciation!$A$14:$L$18,10,FALSE)/2,IF($H66&lt;L$2,VLOOKUP($G66,Depreciation!$A$14:$L$18,10,FALSE),0))</f>
        <v>3.343407856743718E-2</v>
      </c>
      <c r="M66" s="306">
        <f>+IF($H66=M$2,VLOOKUP($G66,Depreciation!$A$14:$L$18,11,FALSE)/2,IF($H66&lt;M$2,VLOOKUP($G66,Depreciation!$A$14:$L$18,11,FALSE),0))</f>
        <v>3.343407856743718E-2</v>
      </c>
      <c r="N66" s="306">
        <f>+IF($H66=N$2,VLOOKUP($G66,Depreciation!$A$14:$L$18,12,FALSE)/2,IF($H66&lt;N$2,VLOOKUP($G66,Depreciation!$A$14:$L$18,12,FALSE),0))</f>
        <v>3.343407856743718E-2</v>
      </c>
      <c r="O66" s="307">
        <f t="shared" si="1"/>
        <v>2657899.5260025556</v>
      </c>
      <c r="P66" s="732">
        <f>'Func Future Subs 2015'!P66</f>
        <v>0.7403207006269098</v>
      </c>
      <c r="Q66" s="732">
        <f>'Func Future Subs 2015'!Q66</f>
        <v>0.25967929937309009</v>
      </c>
      <c r="R66" s="732">
        <f>'Func Future Subs 2015'!R66</f>
        <v>0</v>
      </c>
      <c r="S66" s="735">
        <f t="shared" si="2"/>
        <v>1967698.0392861434</v>
      </c>
      <c r="T66" s="735">
        <f t="shared" si="3"/>
        <v>690201.48671641189</v>
      </c>
      <c r="U66" s="735">
        <f t="shared" si="4"/>
        <v>0</v>
      </c>
      <c r="V66" s="736">
        <f t="shared" si="5"/>
        <v>0</v>
      </c>
      <c r="W66" s="735">
        <f t="shared" si="6"/>
        <v>1967698.0392861434</v>
      </c>
      <c r="X66" s="737">
        <f t="shared" si="7"/>
        <v>0</v>
      </c>
      <c r="Y66" s="738">
        <f t="shared" si="8"/>
        <v>690201.48671641189</v>
      </c>
    </row>
    <row r="67" spans="1:25">
      <c r="A67" s="754" t="str">
        <f>'Func Future Subs 2015'!A67</f>
        <v>Capacitor Bank at Joffre 535S (dev12)</v>
      </c>
      <c r="B67" s="754">
        <f>'Func Future Subs 2015'!B67</f>
        <v>813</v>
      </c>
      <c r="C67" s="754">
        <f>'Func Future Subs 2015'!C67</f>
        <v>138</v>
      </c>
      <c r="D67" s="754">
        <f>'Func Future Subs 2015'!D67</f>
        <v>25</v>
      </c>
      <c r="E67" s="754" t="str">
        <f>'Func Future Subs 2015'!E67</f>
        <v>535S</v>
      </c>
      <c r="F67" s="754">
        <f>'Func Future Subs 2015'!F67</f>
        <v>323419.86019997793</v>
      </c>
      <c r="G67" s="754" t="str">
        <f>'Func Future Subs 2015'!G67</f>
        <v>AltaLink</v>
      </c>
      <c r="H67" s="754">
        <f>'Func Future Subs 2015'!H67</f>
        <v>2017</v>
      </c>
      <c r="I67" s="306">
        <f>+IF($H67=I$2,VLOOKUP($G67,Depreciation!$A$14:$L$18,7,FALSE)/2,IF($H67&lt;I$2,VLOOKUP($G67,Depreciation!$A$14:$L$18,7,FALSE),0))</f>
        <v>0</v>
      </c>
      <c r="J67" s="306">
        <f>+IF($H67=J$2,VLOOKUP($G67,Depreciation!$A$14:$L$18,8,FALSE)/2,IF($H67&lt;J$2,VLOOKUP($G67,Depreciation!$A$14:$L$18,8,FALSE),0))</f>
        <v>0</v>
      </c>
      <c r="K67" s="306">
        <f>+IF($H67=K$2,VLOOKUP($G67,Depreciation!$A$14:$L$18,9,FALSE)/2,IF($H67&lt;K$2,VLOOKUP($G67,Depreciation!$A$14:$L$18,9,FALSE),0))</f>
        <v>1.671703928371859E-2</v>
      </c>
      <c r="L67" s="306">
        <f>+IF($H67=L$2,VLOOKUP($G67,Depreciation!$A$14:$L$18,10,FALSE)/2,IF($H67&lt;L$2,VLOOKUP($G67,Depreciation!$A$14:$L$18,10,FALSE),0))</f>
        <v>3.343407856743718E-2</v>
      </c>
      <c r="M67" s="306">
        <f>+IF($H67=M$2,VLOOKUP($G67,Depreciation!$A$14:$L$18,11,FALSE)/2,IF($H67&lt;M$2,VLOOKUP($G67,Depreciation!$A$14:$L$18,11,FALSE),0))</f>
        <v>3.343407856743718E-2</v>
      </c>
      <c r="N67" s="306">
        <f>+IF($H67=N$2,VLOOKUP($G67,Depreciation!$A$14:$L$18,12,FALSE)/2,IF($H67&lt;N$2,VLOOKUP($G67,Depreciation!$A$14:$L$18,12,FALSE),0))</f>
        <v>3.343407856743718E-2</v>
      </c>
      <c r="O67" s="307">
        <f t="shared" si="1"/>
        <v>307380.75811740477</v>
      </c>
      <c r="P67" s="732">
        <f>'Func Future Subs 2015'!P67</f>
        <v>0.7403207006269098</v>
      </c>
      <c r="Q67" s="732">
        <f>'Func Future Subs 2015'!Q67</f>
        <v>0.25967929937309009</v>
      </c>
      <c r="R67" s="732">
        <f>'Func Future Subs 2015'!R67</f>
        <v>0</v>
      </c>
      <c r="S67" s="735">
        <f t="shared" si="2"/>
        <v>227560.33820870778</v>
      </c>
      <c r="T67" s="735">
        <f t="shared" si="3"/>
        <v>79820.419908696946</v>
      </c>
      <c r="U67" s="735">
        <f t="shared" si="4"/>
        <v>0</v>
      </c>
      <c r="V67" s="736">
        <f t="shared" si="5"/>
        <v>0</v>
      </c>
      <c r="W67" s="735">
        <f t="shared" si="6"/>
        <v>227560.33820870778</v>
      </c>
      <c r="X67" s="737">
        <f t="shared" si="7"/>
        <v>0</v>
      </c>
      <c r="Y67" s="738">
        <f t="shared" si="8"/>
        <v>79820.419908696946</v>
      </c>
    </row>
    <row r="68" spans="1:25">
      <c r="A68" s="754" t="str">
        <f>'Func Future Subs 2015'!A68</f>
        <v>Development at Beddington 162S</v>
      </c>
      <c r="B68" s="754">
        <f>'Func Future Subs 2015'!B68</f>
        <v>813</v>
      </c>
      <c r="C68" s="754">
        <f>'Func Future Subs 2015'!C68</f>
        <v>240</v>
      </c>
      <c r="D68" s="754">
        <f>'Func Future Subs 2015'!D68</f>
        <v>25</v>
      </c>
      <c r="E68" s="754" t="str">
        <f>'Func Future Subs 2015'!E68</f>
        <v>162S</v>
      </c>
      <c r="F68" s="754">
        <f>'Func Future Subs 2015'!F68</f>
        <v>36791.145939886468</v>
      </c>
      <c r="G68" s="754" t="str">
        <f>'Func Future Subs 2015'!G68</f>
        <v>AltaLink</v>
      </c>
      <c r="H68" s="754">
        <f>'Func Future Subs 2015'!H68</f>
        <v>2017</v>
      </c>
      <c r="I68" s="306">
        <f>+IF($H68=I$2,VLOOKUP($G68,Depreciation!$A$14:$L$18,7,FALSE)/2,IF($H68&lt;I$2,VLOOKUP($G68,Depreciation!$A$14:$L$18,7,FALSE),0))</f>
        <v>0</v>
      </c>
      <c r="J68" s="306">
        <f>+IF($H68=J$2,VLOOKUP($G68,Depreciation!$A$14:$L$18,8,FALSE)/2,IF($H68&lt;J$2,VLOOKUP($G68,Depreciation!$A$14:$L$18,8,FALSE),0))</f>
        <v>0</v>
      </c>
      <c r="K68" s="306">
        <f>+IF($H68=K$2,VLOOKUP($G68,Depreciation!$A$14:$L$18,9,FALSE)/2,IF($H68&lt;K$2,VLOOKUP($G68,Depreciation!$A$14:$L$18,9,FALSE),0))</f>
        <v>1.671703928371859E-2</v>
      </c>
      <c r="L68" s="306">
        <f>+IF($H68=L$2,VLOOKUP($G68,Depreciation!$A$14:$L$18,10,FALSE)/2,IF($H68&lt;L$2,VLOOKUP($G68,Depreciation!$A$14:$L$18,10,FALSE),0))</f>
        <v>3.343407856743718E-2</v>
      </c>
      <c r="M68" s="306">
        <f>+IF($H68=M$2,VLOOKUP($G68,Depreciation!$A$14:$L$18,11,FALSE)/2,IF($H68&lt;M$2,VLOOKUP($G68,Depreciation!$A$14:$L$18,11,FALSE),0))</f>
        <v>3.343407856743718E-2</v>
      </c>
      <c r="N68" s="306">
        <f>+IF($H68=N$2,VLOOKUP($G68,Depreciation!$A$14:$L$18,12,FALSE)/2,IF($H68&lt;N$2,VLOOKUP($G68,Depreciation!$A$14:$L$18,12,FALSE),0))</f>
        <v>3.343407856743718E-2</v>
      </c>
      <c r="O68" s="307">
        <f t="shared" ref="O68:O131" si="9">IF(H68&lt;=2018,F68*(1-I68)*(1-J68)*(1-K68)*(1-L68),0)</f>
        <v>34966.59210729308</v>
      </c>
      <c r="P68" s="732">
        <f>'Func Future Subs 2015'!P68</f>
        <v>0.9116809116809117</v>
      </c>
      <c r="Q68" s="732">
        <f>'Func Future Subs 2015'!Q68</f>
        <v>8.8319088319088315E-2</v>
      </c>
      <c r="R68" s="732">
        <f>'Func Future Subs 2015'!R68</f>
        <v>0</v>
      </c>
      <c r="S68" s="735">
        <f t="shared" ref="S68:S131" si="10">+P68*$O68</f>
        <v>31878.374570751526</v>
      </c>
      <c r="T68" s="735">
        <f t="shared" ref="T68:T131" si="11">+Q68*$O68</f>
        <v>3088.2175365415537</v>
      </c>
      <c r="U68" s="735">
        <f t="shared" ref="U68:U131" si="12">+R68*$O68</f>
        <v>0</v>
      </c>
      <c r="V68" s="736">
        <f t="shared" ref="V68:V131" si="13">IF(AND(R68=1,D68=0),O68,0)</f>
        <v>0</v>
      </c>
      <c r="W68" s="735">
        <f t="shared" ref="W68:W131" si="14">S68+IF(D68&gt;144,U68,0)</f>
        <v>31878.374570751526</v>
      </c>
      <c r="X68" s="737">
        <f t="shared" ref="X68:X131" si="15">IF(AND(D68&lt;=144,D68&gt;=69),U68,0)</f>
        <v>0</v>
      </c>
      <c r="Y68" s="738">
        <f t="shared" ref="Y68:Y131" si="16">T68+IF(AND(D68&lt;69,D68&gt;0),U68,0)</f>
        <v>3088.2175365415537</v>
      </c>
    </row>
    <row r="69" spans="1:25">
      <c r="A69" s="754" t="str">
        <f>'Func Future Subs 2015'!A69</f>
        <v>Development at Benalto 17S</v>
      </c>
      <c r="B69" s="754">
        <f>'Func Future Subs 2015'!B69</f>
        <v>813</v>
      </c>
      <c r="C69" s="754">
        <f>'Func Future Subs 2015'!C69</f>
        <v>240</v>
      </c>
      <c r="D69" s="754">
        <f>'Func Future Subs 2015'!D69</f>
        <v>25</v>
      </c>
      <c r="E69" s="754" t="str">
        <f>'Func Future Subs 2015'!E69</f>
        <v>17S</v>
      </c>
      <c r="F69" s="754">
        <f>'Func Future Subs 2015'!F69</f>
        <v>5892088.7617147239</v>
      </c>
      <c r="G69" s="754" t="str">
        <f>'Func Future Subs 2015'!G69</f>
        <v>AltaLink</v>
      </c>
      <c r="H69" s="754">
        <f>'Func Future Subs 2015'!H69</f>
        <v>2017</v>
      </c>
      <c r="I69" s="306">
        <f>+IF($H69=I$2,VLOOKUP($G69,Depreciation!$A$14:$L$18,7,FALSE)/2,IF($H69&lt;I$2,VLOOKUP($G69,Depreciation!$A$14:$L$18,7,FALSE),0))</f>
        <v>0</v>
      </c>
      <c r="J69" s="306">
        <f>+IF($H69=J$2,VLOOKUP($G69,Depreciation!$A$14:$L$18,8,FALSE)/2,IF($H69&lt;J$2,VLOOKUP($G69,Depreciation!$A$14:$L$18,8,FALSE),0))</f>
        <v>0</v>
      </c>
      <c r="K69" s="306">
        <f>+IF($H69=K$2,VLOOKUP($G69,Depreciation!$A$14:$L$18,9,FALSE)/2,IF($H69&lt;K$2,VLOOKUP($G69,Depreciation!$A$14:$L$18,9,FALSE),0))</f>
        <v>1.671703928371859E-2</v>
      </c>
      <c r="L69" s="306">
        <f>+IF($H69=L$2,VLOOKUP($G69,Depreciation!$A$14:$L$18,10,FALSE)/2,IF($H69&lt;L$2,VLOOKUP($G69,Depreciation!$A$14:$L$18,10,FALSE),0))</f>
        <v>3.343407856743718E-2</v>
      </c>
      <c r="M69" s="306">
        <f>+IF($H69=M$2,VLOOKUP($G69,Depreciation!$A$14:$L$18,11,FALSE)/2,IF($H69&lt;M$2,VLOOKUP($G69,Depreciation!$A$14:$L$18,11,FALSE),0))</f>
        <v>3.343407856743718E-2</v>
      </c>
      <c r="N69" s="306">
        <f>+IF($H69=N$2,VLOOKUP($G69,Depreciation!$A$14:$L$18,12,FALSE)/2,IF($H69&lt;N$2,VLOOKUP($G69,Depreciation!$A$14:$L$18,12,FALSE),0))</f>
        <v>3.343407856743718E-2</v>
      </c>
      <c r="O69" s="307">
        <f t="shared" si="9"/>
        <v>5599887.1230451297</v>
      </c>
      <c r="P69" s="732">
        <f>'Func Future Subs 2015'!P69</f>
        <v>0</v>
      </c>
      <c r="Q69" s="732">
        <f>'Func Future Subs 2015'!Q69</f>
        <v>1</v>
      </c>
      <c r="R69" s="732">
        <f>'Func Future Subs 2015'!R69</f>
        <v>0</v>
      </c>
      <c r="S69" s="735">
        <f t="shared" si="10"/>
        <v>0</v>
      </c>
      <c r="T69" s="735">
        <f t="shared" si="11"/>
        <v>5599887.1230451297</v>
      </c>
      <c r="U69" s="735">
        <f t="shared" si="12"/>
        <v>0</v>
      </c>
      <c r="V69" s="736">
        <f t="shared" si="13"/>
        <v>0</v>
      </c>
      <c r="W69" s="735">
        <f t="shared" si="14"/>
        <v>0</v>
      </c>
      <c r="X69" s="737">
        <f t="shared" si="15"/>
        <v>0</v>
      </c>
      <c r="Y69" s="738">
        <f t="shared" si="16"/>
        <v>5599887.1230451297</v>
      </c>
    </row>
    <row r="70" spans="1:25">
      <c r="A70" s="754" t="str">
        <f>'Func Future Subs 2015'!A70</f>
        <v>Development at Benalto 17S (dev2)</v>
      </c>
      <c r="B70" s="754">
        <f>'Func Future Subs 2015'!B70</f>
        <v>813</v>
      </c>
      <c r="C70" s="754">
        <f>'Func Future Subs 2015'!C70</f>
        <v>240</v>
      </c>
      <c r="D70" s="754">
        <f>'Func Future Subs 2015'!D70</f>
        <v>25</v>
      </c>
      <c r="E70" s="754" t="str">
        <f>'Func Future Subs 2015'!E70</f>
        <v>17S</v>
      </c>
      <c r="F70" s="754">
        <f>'Func Future Subs 2015'!F70</f>
        <v>36791.145939886468</v>
      </c>
      <c r="G70" s="754" t="str">
        <f>'Func Future Subs 2015'!G70</f>
        <v>AltaLink</v>
      </c>
      <c r="H70" s="754">
        <f>'Func Future Subs 2015'!H70</f>
        <v>2017</v>
      </c>
      <c r="I70" s="306">
        <f>+IF($H70=I$2,VLOOKUP($G70,Depreciation!$A$14:$L$18,7,FALSE)/2,IF($H70&lt;I$2,VLOOKUP($G70,Depreciation!$A$14:$L$18,7,FALSE),0))</f>
        <v>0</v>
      </c>
      <c r="J70" s="306">
        <f>+IF($H70=J$2,VLOOKUP($G70,Depreciation!$A$14:$L$18,8,FALSE)/2,IF($H70&lt;J$2,VLOOKUP($G70,Depreciation!$A$14:$L$18,8,FALSE),0))</f>
        <v>0</v>
      </c>
      <c r="K70" s="306">
        <f>+IF($H70=K$2,VLOOKUP($G70,Depreciation!$A$14:$L$18,9,FALSE)/2,IF($H70&lt;K$2,VLOOKUP($G70,Depreciation!$A$14:$L$18,9,FALSE),0))</f>
        <v>1.671703928371859E-2</v>
      </c>
      <c r="L70" s="306">
        <f>+IF($H70=L$2,VLOOKUP($G70,Depreciation!$A$14:$L$18,10,FALSE)/2,IF($H70&lt;L$2,VLOOKUP($G70,Depreciation!$A$14:$L$18,10,FALSE),0))</f>
        <v>3.343407856743718E-2</v>
      </c>
      <c r="M70" s="306">
        <f>+IF($H70=M$2,VLOOKUP($G70,Depreciation!$A$14:$L$18,11,FALSE)/2,IF($H70&lt;M$2,VLOOKUP($G70,Depreciation!$A$14:$L$18,11,FALSE),0))</f>
        <v>3.343407856743718E-2</v>
      </c>
      <c r="N70" s="306">
        <f>+IF($H70=N$2,VLOOKUP($G70,Depreciation!$A$14:$L$18,12,FALSE)/2,IF($H70&lt;N$2,VLOOKUP($G70,Depreciation!$A$14:$L$18,12,FALSE),0))</f>
        <v>3.343407856743718E-2</v>
      </c>
      <c r="O70" s="307">
        <f t="shared" si="9"/>
        <v>34966.59210729308</v>
      </c>
      <c r="P70" s="732">
        <f>'Func Future Subs 2015'!P70</f>
        <v>0</v>
      </c>
      <c r="Q70" s="732">
        <f>'Func Future Subs 2015'!Q70</f>
        <v>1</v>
      </c>
      <c r="R70" s="732">
        <f>'Func Future Subs 2015'!R70</f>
        <v>0</v>
      </c>
      <c r="S70" s="735">
        <f t="shared" si="10"/>
        <v>0</v>
      </c>
      <c r="T70" s="735">
        <f t="shared" si="11"/>
        <v>34966.59210729308</v>
      </c>
      <c r="U70" s="735">
        <f t="shared" si="12"/>
        <v>0</v>
      </c>
      <c r="V70" s="736">
        <f t="shared" si="13"/>
        <v>0</v>
      </c>
      <c r="W70" s="735">
        <f t="shared" si="14"/>
        <v>0</v>
      </c>
      <c r="X70" s="737">
        <f t="shared" si="15"/>
        <v>0</v>
      </c>
      <c r="Y70" s="738">
        <f t="shared" si="16"/>
        <v>34966.59210729308</v>
      </c>
    </row>
    <row r="71" spans="1:25">
      <c r="A71" s="754" t="str">
        <f>'Func Future Subs 2015'!A71</f>
        <v>Development at Benalto 17S (dev21)</v>
      </c>
      <c r="B71" s="754">
        <f>'Func Future Subs 2015'!B71</f>
        <v>813</v>
      </c>
      <c r="C71" s="754">
        <f>'Func Future Subs 2015'!C71</f>
        <v>240</v>
      </c>
      <c r="D71" s="754">
        <f>'Func Future Subs 2015'!D71</f>
        <v>25</v>
      </c>
      <c r="E71" s="754" t="str">
        <f>'Func Future Subs 2015'!E71</f>
        <v>17S</v>
      </c>
      <c r="F71" s="754">
        <f>'Func Future Subs 2015'!F71</f>
        <v>350767.67769415543</v>
      </c>
      <c r="G71" s="754" t="str">
        <f>'Func Future Subs 2015'!G71</f>
        <v>AltaLink</v>
      </c>
      <c r="H71" s="754">
        <f>'Func Future Subs 2015'!H71</f>
        <v>2017</v>
      </c>
      <c r="I71" s="306">
        <f>+IF($H71=I$2,VLOOKUP($G71,Depreciation!$A$14:$L$18,7,FALSE)/2,IF($H71&lt;I$2,VLOOKUP($G71,Depreciation!$A$14:$L$18,7,FALSE),0))</f>
        <v>0</v>
      </c>
      <c r="J71" s="306">
        <f>+IF($H71=J$2,VLOOKUP($G71,Depreciation!$A$14:$L$18,8,FALSE)/2,IF($H71&lt;J$2,VLOOKUP($G71,Depreciation!$A$14:$L$18,8,FALSE),0))</f>
        <v>0</v>
      </c>
      <c r="K71" s="306">
        <f>+IF($H71=K$2,VLOOKUP($G71,Depreciation!$A$14:$L$18,9,FALSE)/2,IF($H71&lt;K$2,VLOOKUP($G71,Depreciation!$A$14:$L$18,9,FALSE),0))</f>
        <v>1.671703928371859E-2</v>
      </c>
      <c r="L71" s="306">
        <f>+IF($H71=L$2,VLOOKUP($G71,Depreciation!$A$14:$L$18,10,FALSE)/2,IF($H71&lt;L$2,VLOOKUP($G71,Depreciation!$A$14:$L$18,10,FALSE),0))</f>
        <v>3.343407856743718E-2</v>
      </c>
      <c r="M71" s="306">
        <f>+IF($H71=M$2,VLOOKUP($G71,Depreciation!$A$14:$L$18,11,FALSE)/2,IF($H71&lt;M$2,VLOOKUP($G71,Depreciation!$A$14:$L$18,11,FALSE),0))</f>
        <v>3.343407856743718E-2</v>
      </c>
      <c r="N71" s="306">
        <f>+IF($H71=N$2,VLOOKUP($G71,Depreciation!$A$14:$L$18,12,FALSE)/2,IF($H71&lt;N$2,VLOOKUP($G71,Depreciation!$A$14:$L$18,12,FALSE),0))</f>
        <v>3.343407856743718E-2</v>
      </c>
      <c r="O71" s="307">
        <f t="shared" si="9"/>
        <v>333372.33720292832</v>
      </c>
      <c r="P71" s="732">
        <f>'Func Future Subs 2015'!P71</f>
        <v>0</v>
      </c>
      <c r="Q71" s="732">
        <f>'Func Future Subs 2015'!Q71</f>
        <v>1</v>
      </c>
      <c r="R71" s="732">
        <f>'Func Future Subs 2015'!R71</f>
        <v>0</v>
      </c>
      <c r="S71" s="735">
        <f t="shared" si="10"/>
        <v>0</v>
      </c>
      <c r="T71" s="735">
        <f t="shared" si="11"/>
        <v>333372.33720292832</v>
      </c>
      <c r="U71" s="735">
        <f t="shared" si="12"/>
        <v>0</v>
      </c>
      <c r="V71" s="736">
        <f t="shared" si="13"/>
        <v>0</v>
      </c>
      <c r="W71" s="735">
        <f t="shared" si="14"/>
        <v>0</v>
      </c>
      <c r="X71" s="737">
        <f t="shared" si="15"/>
        <v>0</v>
      </c>
      <c r="Y71" s="738">
        <f t="shared" si="16"/>
        <v>333372.33720292832</v>
      </c>
    </row>
    <row r="72" spans="1:25">
      <c r="A72" s="754" t="str">
        <f>'Func Future Subs 2015'!A72</f>
        <v>Development at Didsbury 152S</v>
      </c>
      <c r="B72" s="754">
        <f>'Func Future Subs 2015'!B72</f>
        <v>813</v>
      </c>
      <c r="C72" s="754">
        <f>'Func Future Subs 2015'!C72</f>
        <v>240</v>
      </c>
      <c r="D72" s="754">
        <f>'Func Future Subs 2015'!D72</f>
        <v>0</v>
      </c>
      <c r="E72" s="754" t="str">
        <f>'Func Future Subs 2015'!E72</f>
        <v>152S</v>
      </c>
      <c r="F72" s="754">
        <f>'Func Future Subs 2015'!F72</f>
        <v>447651.4772203879</v>
      </c>
      <c r="G72" s="754" t="str">
        <f>'Func Future Subs 2015'!G72</f>
        <v>AltaLink</v>
      </c>
      <c r="H72" s="754">
        <f>'Func Future Subs 2015'!H72</f>
        <v>2017</v>
      </c>
      <c r="I72" s="306">
        <f>+IF($H72=I$2,VLOOKUP($G72,Depreciation!$A$14:$L$18,7,FALSE)/2,IF($H72&lt;I$2,VLOOKUP($G72,Depreciation!$A$14:$L$18,7,FALSE),0))</f>
        <v>0</v>
      </c>
      <c r="J72" s="306">
        <f>+IF($H72=J$2,VLOOKUP($G72,Depreciation!$A$14:$L$18,8,FALSE)/2,IF($H72&lt;J$2,VLOOKUP($G72,Depreciation!$A$14:$L$18,8,FALSE),0))</f>
        <v>0</v>
      </c>
      <c r="K72" s="306">
        <f>+IF($H72=K$2,VLOOKUP($G72,Depreciation!$A$14:$L$18,9,FALSE)/2,IF($H72&lt;K$2,VLOOKUP($G72,Depreciation!$A$14:$L$18,9,FALSE),0))</f>
        <v>1.671703928371859E-2</v>
      </c>
      <c r="L72" s="306">
        <f>+IF($H72=L$2,VLOOKUP($G72,Depreciation!$A$14:$L$18,10,FALSE)/2,IF($H72&lt;L$2,VLOOKUP($G72,Depreciation!$A$14:$L$18,10,FALSE),0))</f>
        <v>3.343407856743718E-2</v>
      </c>
      <c r="M72" s="306">
        <f>+IF($H72=M$2,VLOOKUP($G72,Depreciation!$A$14:$L$18,11,FALSE)/2,IF($H72&lt;M$2,VLOOKUP($G72,Depreciation!$A$14:$L$18,11,FALSE),0))</f>
        <v>3.343407856743718E-2</v>
      </c>
      <c r="N72" s="306">
        <f>+IF($H72=N$2,VLOOKUP($G72,Depreciation!$A$14:$L$18,12,FALSE)/2,IF($H72&lt;N$2,VLOOKUP($G72,Depreciation!$A$14:$L$18,12,FALSE),0))</f>
        <v>3.343407856743718E-2</v>
      </c>
      <c r="O72" s="307">
        <f t="shared" si="9"/>
        <v>425451.4560586912</v>
      </c>
      <c r="P72" s="732">
        <f>'Func Future Subs 2015'!P72</f>
        <v>0</v>
      </c>
      <c r="Q72" s="732">
        <f>'Func Future Subs 2015'!Q72</f>
        <v>0</v>
      </c>
      <c r="R72" s="732">
        <f>'Func Future Subs 2015'!R72</f>
        <v>1</v>
      </c>
      <c r="S72" s="735">
        <f t="shared" si="10"/>
        <v>0</v>
      </c>
      <c r="T72" s="735">
        <f t="shared" si="11"/>
        <v>0</v>
      </c>
      <c r="U72" s="735">
        <f t="shared" si="12"/>
        <v>425451.4560586912</v>
      </c>
      <c r="V72" s="736">
        <f t="shared" si="13"/>
        <v>425451.4560586912</v>
      </c>
      <c r="W72" s="735">
        <f t="shared" si="14"/>
        <v>0</v>
      </c>
      <c r="X72" s="737">
        <f t="shared" si="15"/>
        <v>0</v>
      </c>
      <c r="Y72" s="738">
        <f t="shared" si="16"/>
        <v>0</v>
      </c>
    </row>
    <row r="73" spans="1:25">
      <c r="A73" s="754" t="str">
        <f>'Func Future Subs 2015'!A73</f>
        <v>Development at Ellis 332S</v>
      </c>
      <c r="B73" s="754">
        <f>'Func Future Subs 2015'!B73</f>
        <v>813</v>
      </c>
      <c r="C73" s="754">
        <f>'Func Future Subs 2015'!C73</f>
        <v>138</v>
      </c>
      <c r="D73" s="754">
        <f>'Func Future Subs 2015'!D73</f>
        <v>25</v>
      </c>
      <c r="E73" s="754" t="str">
        <f>'Func Future Subs 2015'!E73</f>
        <v>332S</v>
      </c>
      <c r="F73" s="754">
        <f>'Func Future Subs 2015'!F73</f>
        <v>3030739.6252496969</v>
      </c>
      <c r="G73" s="754" t="str">
        <f>'Func Future Subs 2015'!G73</f>
        <v>AltaLink</v>
      </c>
      <c r="H73" s="754">
        <f>'Func Future Subs 2015'!H73</f>
        <v>2017</v>
      </c>
      <c r="I73" s="306">
        <f>+IF($H73=I$2,VLOOKUP($G73,Depreciation!$A$14:$L$18,7,FALSE)/2,IF($H73&lt;I$2,VLOOKUP($G73,Depreciation!$A$14:$L$18,7,FALSE),0))</f>
        <v>0</v>
      </c>
      <c r="J73" s="306">
        <f>+IF($H73=J$2,VLOOKUP($G73,Depreciation!$A$14:$L$18,8,FALSE)/2,IF($H73&lt;J$2,VLOOKUP($G73,Depreciation!$A$14:$L$18,8,FALSE),0))</f>
        <v>0</v>
      </c>
      <c r="K73" s="306">
        <f>+IF($H73=K$2,VLOOKUP($G73,Depreciation!$A$14:$L$18,9,FALSE)/2,IF($H73&lt;K$2,VLOOKUP($G73,Depreciation!$A$14:$L$18,9,FALSE),0))</f>
        <v>1.671703928371859E-2</v>
      </c>
      <c r="L73" s="306">
        <f>+IF($H73=L$2,VLOOKUP($G73,Depreciation!$A$14:$L$18,10,FALSE)/2,IF($H73&lt;L$2,VLOOKUP($G73,Depreciation!$A$14:$L$18,10,FALSE),0))</f>
        <v>3.343407856743718E-2</v>
      </c>
      <c r="M73" s="306">
        <f>+IF($H73=M$2,VLOOKUP($G73,Depreciation!$A$14:$L$18,11,FALSE)/2,IF($H73&lt;M$2,VLOOKUP($G73,Depreciation!$A$14:$L$18,11,FALSE),0))</f>
        <v>3.343407856743718E-2</v>
      </c>
      <c r="N73" s="306">
        <f>+IF($H73=N$2,VLOOKUP($G73,Depreciation!$A$14:$L$18,12,FALSE)/2,IF($H73&lt;N$2,VLOOKUP($G73,Depreciation!$A$14:$L$18,12,FALSE),0))</f>
        <v>3.343407856743718E-2</v>
      </c>
      <c r="O73" s="307">
        <f t="shared" si="9"/>
        <v>2880438.5824967176</v>
      </c>
      <c r="P73" s="732">
        <f>'Func Future Subs 2015'!P73</f>
        <v>0</v>
      </c>
      <c r="Q73" s="732">
        <f>'Func Future Subs 2015'!Q73</f>
        <v>1</v>
      </c>
      <c r="R73" s="732">
        <f>'Func Future Subs 2015'!R73</f>
        <v>0</v>
      </c>
      <c r="S73" s="735">
        <f t="shared" si="10"/>
        <v>0</v>
      </c>
      <c r="T73" s="735">
        <f t="shared" si="11"/>
        <v>2880438.5824967176</v>
      </c>
      <c r="U73" s="735">
        <f t="shared" si="12"/>
        <v>0</v>
      </c>
      <c r="V73" s="736">
        <f t="shared" si="13"/>
        <v>0</v>
      </c>
      <c r="W73" s="735">
        <f t="shared" si="14"/>
        <v>0</v>
      </c>
      <c r="X73" s="737">
        <f t="shared" si="15"/>
        <v>0</v>
      </c>
      <c r="Y73" s="738">
        <f t="shared" si="16"/>
        <v>2880438.5824967176</v>
      </c>
    </row>
    <row r="74" spans="1:25">
      <c r="A74" s="754" t="str">
        <f>'Func Future Subs 2015'!A74</f>
        <v>Development at Ellis 332S (dev3)</v>
      </c>
      <c r="B74" s="754">
        <f>'Func Future Subs 2015'!B74</f>
        <v>813</v>
      </c>
      <c r="C74" s="754">
        <f>'Func Future Subs 2015'!C74</f>
        <v>138</v>
      </c>
      <c r="D74" s="754">
        <f>'Func Future Subs 2015'!D74</f>
        <v>25</v>
      </c>
      <c r="E74" s="754" t="str">
        <f>'Func Future Subs 2015'!E74</f>
        <v>332S</v>
      </c>
      <c r="F74" s="754">
        <f>'Func Future Subs 2015'!F74</f>
        <v>2498374.023488957</v>
      </c>
      <c r="G74" s="754" t="str">
        <f>'Func Future Subs 2015'!G74</f>
        <v>AltaLink</v>
      </c>
      <c r="H74" s="754">
        <f>'Func Future Subs 2015'!H74</f>
        <v>2017</v>
      </c>
      <c r="I74" s="306">
        <f>+IF($H74=I$2,VLOOKUP($G74,Depreciation!$A$14:$L$18,7,FALSE)/2,IF($H74&lt;I$2,VLOOKUP($G74,Depreciation!$A$14:$L$18,7,FALSE),0))</f>
        <v>0</v>
      </c>
      <c r="J74" s="306">
        <f>+IF($H74=J$2,VLOOKUP($G74,Depreciation!$A$14:$L$18,8,FALSE)/2,IF($H74&lt;J$2,VLOOKUP($G74,Depreciation!$A$14:$L$18,8,FALSE),0))</f>
        <v>0</v>
      </c>
      <c r="K74" s="306">
        <f>+IF($H74=K$2,VLOOKUP($G74,Depreciation!$A$14:$L$18,9,FALSE)/2,IF($H74&lt;K$2,VLOOKUP($G74,Depreciation!$A$14:$L$18,9,FALSE),0))</f>
        <v>1.671703928371859E-2</v>
      </c>
      <c r="L74" s="306">
        <f>+IF($H74=L$2,VLOOKUP($G74,Depreciation!$A$14:$L$18,10,FALSE)/2,IF($H74&lt;L$2,VLOOKUP($G74,Depreciation!$A$14:$L$18,10,FALSE),0))</f>
        <v>3.343407856743718E-2</v>
      </c>
      <c r="M74" s="306">
        <f>+IF($H74=M$2,VLOOKUP($G74,Depreciation!$A$14:$L$18,11,FALSE)/2,IF($H74&lt;M$2,VLOOKUP($G74,Depreciation!$A$14:$L$18,11,FALSE),0))</f>
        <v>3.343407856743718E-2</v>
      </c>
      <c r="N74" s="306">
        <f>+IF($H74=N$2,VLOOKUP($G74,Depreciation!$A$14:$L$18,12,FALSE)/2,IF($H74&lt;N$2,VLOOKUP($G74,Depreciation!$A$14:$L$18,12,FALSE),0))</f>
        <v>3.343407856743718E-2</v>
      </c>
      <c r="O74" s="307">
        <f t="shared" si="9"/>
        <v>2374474.1616239147</v>
      </c>
      <c r="P74" s="732">
        <f>'Func Future Subs 2015'!P74</f>
        <v>0</v>
      </c>
      <c r="Q74" s="732">
        <f>'Func Future Subs 2015'!Q74</f>
        <v>1</v>
      </c>
      <c r="R74" s="732">
        <f>'Func Future Subs 2015'!R74</f>
        <v>0</v>
      </c>
      <c r="S74" s="735">
        <f t="shared" si="10"/>
        <v>0</v>
      </c>
      <c r="T74" s="735">
        <f t="shared" si="11"/>
        <v>2374474.1616239147</v>
      </c>
      <c r="U74" s="735">
        <f t="shared" si="12"/>
        <v>0</v>
      </c>
      <c r="V74" s="736">
        <f t="shared" si="13"/>
        <v>0</v>
      </c>
      <c r="W74" s="735">
        <f t="shared" si="14"/>
        <v>0</v>
      </c>
      <c r="X74" s="737">
        <f t="shared" si="15"/>
        <v>0</v>
      </c>
      <c r="Y74" s="738">
        <f t="shared" si="16"/>
        <v>2374474.1616239147</v>
      </c>
    </row>
    <row r="75" spans="1:25">
      <c r="A75" s="754" t="str">
        <f>'Func Future Subs 2015'!A75</f>
        <v>Development at Harmattan 256S</v>
      </c>
      <c r="B75" s="754">
        <f>'Func Future Subs 2015'!B75</f>
        <v>813</v>
      </c>
      <c r="C75" s="754">
        <f>'Func Future Subs 2015'!C75</f>
        <v>138</v>
      </c>
      <c r="D75" s="754">
        <f>'Func Future Subs 2015'!D75</f>
        <v>25</v>
      </c>
      <c r="E75" s="754" t="str">
        <f>'Func Future Subs 2015'!E75</f>
        <v>256S</v>
      </c>
      <c r="F75" s="754">
        <f>'Func Future Subs 2015'!F75</f>
        <v>446170.86016879894</v>
      </c>
      <c r="G75" s="754" t="str">
        <f>'Func Future Subs 2015'!G75</f>
        <v>AltaLink</v>
      </c>
      <c r="H75" s="754">
        <f>'Func Future Subs 2015'!H75</f>
        <v>2017</v>
      </c>
      <c r="I75" s="306">
        <f>+IF($H75=I$2,VLOOKUP($G75,Depreciation!$A$14:$L$18,7,FALSE)/2,IF($H75&lt;I$2,VLOOKUP($G75,Depreciation!$A$14:$L$18,7,FALSE),0))</f>
        <v>0</v>
      </c>
      <c r="J75" s="306">
        <f>+IF($H75=J$2,VLOOKUP($G75,Depreciation!$A$14:$L$18,8,FALSE)/2,IF($H75&lt;J$2,VLOOKUP($G75,Depreciation!$A$14:$L$18,8,FALSE),0))</f>
        <v>0</v>
      </c>
      <c r="K75" s="306">
        <f>+IF($H75=K$2,VLOOKUP($G75,Depreciation!$A$14:$L$18,9,FALSE)/2,IF($H75&lt;K$2,VLOOKUP($G75,Depreciation!$A$14:$L$18,9,FALSE),0))</f>
        <v>1.671703928371859E-2</v>
      </c>
      <c r="L75" s="306">
        <f>+IF($H75=L$2,VLOOKUP($G75,Depreciation!$A$14:$L$18,10,FALSE)/2,IF($H75&lt;L$2,VLOOKUP($G75,Depreciation!$A$14:$L$18,10,FALSE),0))</f>
        <v>3.343407856743718E-2</v>
      </c>
      <c r="M75" s="306">
        <f>+IF($H75=M$2,VLOOKUP($G75,Depreciation!$A$14:$L$18,11,FALSE)/2,IF($H75&lt;M$2,VLOOKUP($G75,Depreciation!$A$14:$L$18,11,FALSE),0))</f>
        <v>3.343407856743718E-2</v>
      </c>
      <c r="N75" s="306">
        <f>+IF($H75=N$2,VLOOKUP($G75,Depreciation!$A$14:$L$18,12,FALSE)/2,IF($H75&lt;N$2,VLOOKUP($G75,Depreciation!$A$14:$L$18,12,FALSE),0))</f>
        <v>3.343407856743718E-2</v>
      </c>
      <c r="O75" s="307">
        <f t="shared" si="9"/>
        <v>424044.26606263604</v>
      </c>
      <c r="P75" s="732">
        <f>'Func Future Subs 2015'!P75</f>
        <v>0.54510993176648981</v>
      </c>
      <c r="Q75" s="732">
        <f>'Func Future Subs 2015'!Q75</f>
        <v>0.45489006823351025</v>
      </c>
      <c r="R75" s="732">
        <f>'Func Future Subs 2015'!R75</f>
        <v>0</v>
      </c>
      <c r="S75" s="735">
        <f t="shared" si="10"/>
        <v>231150.74093937478</v>
      </c>
      <c r="T75" s="735">
        <f t="shared" si="11"/>
        <v>192893.52512326129</v>
      </c>
      <c r="U75" s="735">
        <f t="shared" si="12"/>
        <v>0</v>
      </c>
      <c r="V75" s="736">
        <f t="shared" si="13"/>
        <v>0</v>
      </c>
      <c r="W75" s="735">
        <f t="shared" si="14"/>
        <v>231150.74093937478</v>
      </c>
      <c r="X75" s="737">
        <f t="shared" si="15"/>
        <v>0</v>
      </c>
      <c r="Y75" s="738">
        <f t="shared" si="16"/>
        <v>192893.52512326129</v>
      </c>
    </row>
    <row r="76" spans="1:25">
      <c r="A76" s="754" t="str">
        <f>'Func Future Subs 2015'!A76</f>
        <v>Development at Innisfail 214S</v>
      </c>
      <c r="B76" s="754">
        <f>'Func Future Subs 2015'!B76</f>
        <v>813</v>
      </c>
      <c r="C76" s="754">
        <f>'Func Future Subs 2015'!C76</f>
        <v>240</v>
      </c>
      <c r="D76" s="754">
        <f>'Func Future Subs 2015'!D76</f>
        <v>25</v>
      </c>
      <c r="E76" s="754" t="str">
        <f>'Func Future Subs 2015'!E76</f>
        <v>214S</v>
      </c>
      <c r="F76" s="754">
        <f>'Func Future Subs 2015'!F76</f>
        <v>3173918.3394682109</v>
      </c>
      <c r="G76" s="754" t="str">
        <f>'Func Future Subs 2015'!G76</f>
        <v>AltaLink</v>
      </c>
      <c r="H76" s="754">
        <f>'Func Future Subs 2015'!H76</f>
        <v>2017</v>
      </c>
      <c r="I76" s="306">
        <f>+IF($H76=I$2,VLOOKUP($G76,Depreciation!$A$14:$L$18,7,FALSE)/2,IF($H76&lt;I$2,VLOOKUP($G76,Depreciation!$A$14:$L$18,7,FALSE),0))</f>
        <v>0</v>
      </c>
      <c r="J76" s="306">
        <f>+IF($H76=J$2,VLOOKUP($G76,Depreciation!$A$14:$L$18,8,FALSE)/2,IF($H76&lt;J$2,VLOOKUP($G76,Depreciation!$A$14:$L$18,8,FALSE),0))</f>
        <v>0</v>
      </c>
      <c r="K76" s="306">
        <f>+IF($H76=K$2,VLOOKUP($G76,Depreciation!$A$14:$L$18,9,FALSE)/2,IF($H76&lt;K$2,VLOOKUP($G76,Depreciation!$A$14:$L$18,9,FALSE),0))</f>
        <v>1.671703928371859E-2</v>
      </c>
      <c r="L76" s="306">
        <f>+IF($H76=L$2,VLOOKUP($G76,Depreciation!$A$14:$L$18,10,FALSE)/2,IF($H76&lt;L$2,VLOOKUP($G76,Depreciation!$A$14:$L$18,10,FALSE),0))</f>
        <v>3.343407856743718E-2</v>
      </c>
      <c r="M76" s="306">
        <f>+IF($H76=M$2,VLOOKUP($G76,Depreciation!$A$14:$L$18,11,FALSE)/2,IF($H76&lt;M$2,VLOOKUP($G76,Depreciation!$A$14:$L$18,11,FALSE),0))</f>
        <v>3.343407856743718E-2</v>
      </c>
      <c r="N76" s="306">
        <f>+IF($H76=N$2,VLOOKUP($G76,Depreciation!$A$14:$L$18,12,FALSE)/2,IF($H76&lt;N$2,VLOOKUP($G76,Depreciation!$A$14:$L$18,12,FALSE),0))</f>
        <v>3.343407856743718E-2</v>
      </c>
      <c r="O76" s="307">
        <f t="shared" si="9"/>
        <v>3016516.7494205092</v>
      </c>
      <c r="P76" s="732">
        <f>'Func Future Subs 2015'!P76</f>
        <v>0</v>
      </c>
      <c r="Q76" s="732">
        <f>'Func Future Subs 2015'!Q76</f>
        <v>1</v>
      </c>
      <c r="R76" s="732">
        <f>'Func Future Subs 2015'!R76</f>
        <v>0</v>
      </c>
      <c r="S76" s="735">
        <f t="shared" si="10"/>
        <v>0</v>
      </c>
      <c r="T76" s="735">
        <f t="shared" si="11"/>
        <v>3016516.7494205092</v>
      </c>
      <c r="U76" s="735">
        <f t="shared" si="12"/>
        <v>0</v>
      </c>
      <c r="V76" s="736">
        <f t="shared" si="13"/>
        <v>0</v>
      </c>
      <c r="W76" s="735">
        <f t="shared" si="14"/>
        <v>0</v>
      </c>
      <c r="X76" s="737">
        <f t="shared" si="15"/>
        <v>0</v>
      </c>
      <c r="Y76" s="738">
        <f t="shared" si="16"/>
        <v>3016516.7494205092</v>
      </c>
    </row>
    <row r="77" spans="1:25">
      <c r="A77" s="754" t="str">
        <f>'Func Future Subs 2015'!A77</f>
        <v>Development at Piper Creek 247S</v>
      </c>
      <c r="B77" s="754">
        <f>'Func Future Subs 2015'!B77</f>
        <v>813</v>
      </c>
      <c r="C77" s="754">
        <f>'Func Future Subs 2015'!C77</f>
        <v>138</v>
      </c>
      <c r="D77" s="754">
        <f>'Func Future Subs 2015'!D77</f>
        <v>138</v>
      </c>
      <c r="E77" s="754" t="str">
        <f>'Func Future Subs 2015'!E77</f>
        <v>247S</v>
      </c>
      <c r="F77" s="754">
        <f>'Func Future Subs 2015'!F77</f>
        <v>624990.21387200279</v>
      </c>
      <c r="G77" s="754" t="str">
        <f>'Func Future Subs 2015'!G77</f>
        <v>AltaLink</v>
      </c>
      <c r="H77" s="754">
        <f>'Func Future Subs 2015'!H77</f>
        <v>2017</v>
      </c>
      <c r="I77" s="306">
        <f>+IF($H77=I$2,VLOOKUP($G77,Depreciation!$A$14:$L$18,7,FALSE)/2,IF($H77&lt;I$2,VLOOKUP($G77,Depreciation!$A$14:$L$18,7,FALSE),0))</f>
        <v>0</v>
      </c>
      <c r="J77" s="306">
        <f>+IF($H77=J$2,VLOOKUP($G77,Depreciation!$A$14:$L$18,8,FALSE)/2,IF($H77&lt;J$2,VLOOKUP($G77,Depreciation!$A$14:$L$18,8,FALSE),0))</f>
        <v>0</v>
      </c>
      <c r="K77" s="306">
        <f>+IF($H77=K$2,VLOOKUP($G77,Depreciation!$A$14:$L$18,9,FALSE)/2,IF($H77&lt;K$2,VLOOKUP($G77,Depreciation!$A$14:$L$18,9,FALSE),0))</f>
        <v>1.671703928371859E-2</v>
      </c>
      <c r="L77" s="306">
        <f>+IF($H77=L$2,VLOOKUP($G77,Depreciation!$A$14:$L$18,10,FALSE)/2,IF($H77&lt;L$2,VLOOKUP($G77,Depreciation!$A$14:$L$18,10,FALSE),0))</f>
        <v>3.343407856743718E-2</v>
      </c>
      <c r="M77" s="306">
        <f>+IF($H77=M$2,VLOOKUP($G77,Depreciation!$A$14:$L$18,11,FALSE)/2,IF($H77&lt;M$2,VLOOKUP($G77,Depreciation!$A$14:$L$18,11,FALSE),0))</f>
        <v>3.343407856743718E-2</v>
      </c>
      <c r="N77" s="306">
        <f>+IF($H77=N$2,VLOOKUP($G77,Depreciation!$A$14:$L$18,12,FALSE)/2,IF($H77&lt;N$2,VLOOKUP($G77,Depreciation!$A$14:$L$18,12,FALSE),0))</f>
        <v>3.343407856743718E-2</v>
      </c>
      <c r="O77" s="307">
        <f t="shared" si="9"/>
        <v>593995.57478365465</v>
      </c>
      <c r="P77" s="732">
        <f>'Func Future Subs 2015'!P77</f>
        <v>0</v>
      </c>
      <c r="Q77" s="732">
        <f>'Func Future Subs 2015'!Q77</f>
        <v>0</v>
      </c>
      <c r="R77" s="732">
        <f>'Func Future Subs 2015'!R77</f>
        <v>1</v>
      </c>
      <c r="S77" s="735">
        <f t="shared" si="10"/>
        <v>0</v>
      </c>
      <c r="T77" s="735">
        <f t="shared" si="11"/>
        <v>0</v>
      </c>
      <c r="U77" s="735">
        <f t="shared" si="12"/>
        <v>593995.57478365465</v>
      </c>
      <c r="V77" s="736">
        <f t="shared" si="13"/>
        <v>0</v>
      </c>
      <c r="W77" s="735">
        <f t="shared" si="14"/>
        <v>0</v>
      </c>
      <c r="X77" s="737">
        <f t="shared" si="15"/>
        <v>593995.57478365465</v>
      </c>
      <c r="Y77" s="738">
        <f t="shared" si="16"/>
        <v>0</v>
      </c>
    </row>
    <row r="78" spans="1:25">
      <c r="A78" s="754" t="str">
        <f>'Func Future Subs 2015'!A78</f>
        <v>Development at Ponoka 331S</v>
      </c>
      <c r="B78" s="754">
        <f>'Func Future Subs 2015'!B78</f>
        <v>813</v>
      </c>
      <c r="C78" s="754">
        <f>'Func Future Subs 2015'!C78</f>
        <v>138</v>
      </c>
      <c r="D78" s="754">
        <f>'Func Future Subs 2015'!D78</f>
        <v>25</v>
      </c>
      <c r="E78" s="754" t="str">
        <f>'Func Future Subs 2015'!E78</f>
        <v>331S</v>
      </c>
      <c r="F78" s="754">
        <f>'Func Future Subs 2015'!F78</f>
        <v>3065380.5529317935</v>
      </c>
      <c r="G78" s="754" t="str">
        <f>'Func Future Subs 2015'!G78</f>
        <v>AltaLink</v>
      </c>
      <c r="H78" s="754">
        <f>'Func Future Subs 2015'!H78</f>
        <v>2017</v>
      </c>
      <c r="I78" s="306">
        <f>+IF($H78=I$2,VLOOKUP($G78,Depreciation!$A$14:$L$18,7,FALSE)/2,IF($H78&lt;I$2,VLOOKUP($G78,Depreciation!$A$14:$L$18,7,FALSE),0))</f>
        <v>0</v>
      </c>
      <c r="J78" s="306">
        <f>+IF($H78=J$2,VLOOKUP($G78,Depreciation!$A$14:$L$18,8,FALSE)/2,IF($H78&lt;J$2,VLOOKUP($G78,Depreciation!$A$14:$L$18,8,FALSE),0))</f>
        <v>0</v>
      </c>
      <c r="K78" s="306">
        <f>+IF($H78=K$2,VLOOKUP($G78,Depreciation!$A$14:$L$18,9,FALSE)/2,IF($H78&lt;K$2,VLOOKUP($G78,Depreciation!$A$14:$L$18,9,FALSE),0))</f>
        <v>1.671703928371859E-2</v>
      </c>
      <c r="L78" s="306">
        <f>+IF($H78=L$2,VLOOKUP($G78,Depreciation!$A$14:$L$18,10,FALSE)/2,IF($H78&lt;L$2,VLOOKUP($G78,Depreciation!$A$14:$L$18,10,FALSE),0))</f>
        <v>3.343407856743718E-2</v>
      </c>
      <c r="M78" s="306">
        <f>+IF($H78=M$2,VLOOKUP($G78,Depreciation!$A$14:$L$18,11,FALSE)/2,IF($H78&lt;M$2,VLOOKUP($G78,Depreciation!$A$14:$L$18,11,FALSE),0))</f>
        <v>3.343407856743718E-2</v>
      </c>
      <c r="N78" s="306">
        <f>+IF($H78=N$2,VLOOKUP($G78,Depreciation!$A$14:$L$18,12,FALSE)/2,IF($H78&lt;N$2,VLOOKUP($G78,Depreciation!$A$14:$L$18,12,FALSE),0))</f>
        <v>3.343407856743718E-2</v>
      </c>
      <c r="O78" s="307">
        <f t="shared" si="9"/>
        <v>2913361.5903980541</v>
      </c>
      <c r="P78" s="732">
        <f>'Func Future Subs 2015'!P78</f>
        <v>0</v>
      </c>
      <c r="Q78" s="732">
        <f>'Func Future Subs 2015'!Q78</f>
        <v>1</v>
      </c>
      <c r="R78" s="732">
        <f>'Func Future Subs 2015'!R78</f>
        <v>0</v>
      </c>
      <c r="S78" s="735">
        <f t="shared" si="10"/>
        <v>0</v>
      </c>
      <c r="T78" s="735">
        <f t="shared" si="11"/>
        <v>2913361.5903980541</v>
      </c>
      <c r="U78" s="735">
        <f t="shared" si="12"/>
        <v>0</v>
      </c>
      <c r="V78" s="736">
        <f t="shared" si="13"/>
        <v>0</v>
      </c>
      <c r="W78" s="735">
        <f t="shared" si="14"/>
        <v>0</v>
      </c>
      <c r="X78" s="737">
        <f t="shared" si="15"/>
        <v>0</v>
      </c>
      <c r="Y78" s="738">
        <f t="shared" si="16"/>
        <v>2913361.5903980541</v>
      </c>
    </row>
    <row r="79" spans="1:25">
      <c r="A79" s="754" t="str">
        <f>'Func Future Subs 2015'!A79</f>
        <v>Development at Prentiss 276S</v>
      </c>
      <c r="B79" s="754">
        <f>'Func Future Subs 2015'!B79</f>
        <v>813</v>
      </c>
      <c r="C79" s="754">
        <f>'Func Future Subs 2015'!C79</f>
        <v>138</v>
      </c>
      <c r="D79" s="754">
        <f>'Func Future Subs 2015'!D79</f>
        <v>25</v>
      </c>
      <c r="E79" s="754" t="str">
        <f>'Func Future Subs 2015'!E79</f>
        <v>276S</v>
      </c>
      <c r="F79" s="754">
        <f>'Func Future Subs 2015'!F79</f>
        <v>3186555.949000001</v>
      </c>
      <c r="G79" s="754" t="str">
        <f>'Func Future Subs 2015'!G79</f>
        <v>AltaLink</v>
      </c>
      <c r="H79" s="754">
        <f>'Func Future Subs 2015'!H79</f>
        <v>2017</v>
      </c>
      <c r="I79" s="306">
        <f>+IF($H79=I$2,VLOOKUP($G79,Depreciation!$A$14:$L$18,7,FALSE)/2,IF($H79&lt;I$2,VLOOKUP($G79,Depreciation!$A$14:$L$18,7,FALSE),0))</f>
        <v>0</v>
      </c>
      <c r="J79" s="306">
        <f>+IF($H79=J$2,VLOOKUP($G79,Depreciation!$A$14:$L$18,8,FALSE)/2,IF($H79&lt;J$2,VLOOKUP($G79,Depreciation!$A$14:$L$18,8,FALSE),0))</f>
        <v>0</v>
      </c>
      <c r="K79" s="306">
        <f>+IF($H79=K$2,VLOOKUP($G79,Depreciation!$A$14:$L$18,9,FALSE)/2,IF($H79&lt;K$2,VLOOKUP($G79,Depreciation!$A$14:$L$18,9,FALSE),0))</f>
        <v>1.671703928371859E-2</v>
      </c>
      <c r="L79" s="306">
        <f>+IF($H79=L$2,VLOOKUP($G79,Depreciation!$A$14:$L$18,10,FALSE)/2,IF($H79&lt;L$2,VLOOKUP($G79,Depreciation!$A$14:$L$18,10,FALSE),0))</f>
        <v>3.343407856743718E-2</v>
      </c>
      <c r="M79" s="306">
        <f>+IF($H79=M$2,VLOOKUP($G79,Depreciation!$A$14:$L$18,11,FALSE)/2,IF($H79&lt;M$2,VLOOKUP($G79,Depreciation!$A$14:$L$18,11,FALSE),0))</f>
        <v>3.343407856743718E-2</v>
      </c>
      <c r="N79" s="306">
        <f>+IF($H79=N$2,VLOOKUP($G79,Depreciation!$A$14:$L$18,12,FALSE)/2,IF($H79&lt;N$2,VLOOKUP($G79,Depreciation!$A$14:$L$18,12,FALSE),0))</f>
        <v>3.343407856743718E-2</v>
      </c>
      <c r="O79" s="307">
        <f t="shared" si="9"/>
        <v>3028527.6321049291</v>
      </c>
      <c r="P79" s="732">
        <f>'Func Future Subs 2015'!P79</f>
        <v>0</v>
      </c>
      <c r="Q79" s="732">
        <f>'Func Future Subs 2015'!Q79</f>
        <v>0</v>
      </c>
      <c r="R79" s="732">
        <f>'Func Future Subs 2015'!R79</f>
        <v>1</v>
      </c>
      <c r="S79" s="735">
        <f t="shared" si="10"/>
        <v>0</v>
      </c>
      <c r="T79" s="735">
        <f t="shared" si="11"/>
        <v>0</v>
      </c>
      <c r="U79" s="735">
        <f t="shared" si="12"/>
        <v>3028527.6321049291</v>
      </c>
      <c r="V79" s="736">
        <f t="shared" si="13"/>
        <v>0</v>
      </c>
      <c r="W79" s="735">
        <f t="shared" si="14"/>
        <v>0</v>
      </c>
      <c r="X79" s="737">
        <f t="shared" si="15"/>
        <v>0</v>
      </c>
      <c r="Y79" s="738">
        <f t="shared" si="16"/>
        <v>3028527.6321049291</v>
      </c>
    </row>
    <row r="80" spans="1:25">
      <c r="A80" s="754" t="str">
        <f>'Func Future Subs 2015'!A80</f>
        <v>Development at Red Deer 63S</v>
      </c>
      <c r="B80" s="754">
        <f>'Func Future Subs 2015'!B80</f>
        <v>813</v>
      </c>
      <c r="C80" s="754">
        <f>'Func Future Subs 2015'!C80</f>
        <v>240</v>
      </c>
      <c r="D80" s="754">
        <f>'Func Future Subs 2015'!D80</f>
        <v>25</v>
      </c>
      <c r="E80" s="754" t="str">
        <f>'Func Future Subs 2015'!E80</f>
        <v>63S</v>
      </c>
      <c r="F80" s="754">
        <f>'Func Future Subs 2015'!F80</f>
        <v>1318872.5453853337</v>
      </c>
      <c r="G80" s="754" t="str">
        <f>'Func Future Subs 2015'!G80</f>
        <v>AltaLink</v>
      </c>
      <c r="H80" s="754">
        <f>'Func Future Subs 2015'!H80</f>
        <v>2017</v>
      </c>
      <c r="I80" s="306">
        <f>+IF($H80=I$2,VLOOKUP($G80,Depreciation!$A$14:$L$18,7,FALSE)/2,IF($H80&lt;I$2,VLOOKUP($G80,Depreciation!$A$14:$L$18,7,FALSE),0))</f>
        <v>0</v>
      </c>
      <c r="J80" s="306">
        <f>+IF($H80=J$2,VLOOKUP($G80,Depreciation!$A$14:$L$18,8,FALSE)/2,IF($H80&lt;J$2,VLOOKUP($G80,Depreciation!$A$14:$L$18,8,FALSE),0))</f>
        <v>0</v>
      </c>
      <c r="K80" s="306">
        <f>+IF($H80=K$2,VLOOKUP($G80,Depreciation!$A$14:$L$18,9,FALSE)/2,IF($H80&lt;K$2,VLOOKUP($G80,Depreciation!$A$14:$L$18,9,FALSE),0))</f>
        <v>1.671703928371859E-2</v>
      </c>
      <c r="L80" s="306">
        <f>+IF($H80=L$2,VLOOKUP($G80,Depreciation!$A$14:$L$18,10,FALSE)/2,IF($H80&lt;L$2,VLOOKUP($G80,Depreciation!$A$14:$L$18,10,FALSE),0))</f>
        <v>3.343407856743718E-2</v>
      </c>
      <c r="M80" s="306">
        <f>+IF($H80=M$2,VLOOKUP($G80,Depreciation!$A$14:$L$18,11,FALSE)/2,IF($H80&lt;M$2,VLOOKUP($G80,Depreciation!$A$14:$L$18,11,FALSE),0))</f>
        <v>3.343407856743718E-2</v>
      </c>
      <c r="N80" s="306">
        <f>+IF($H80=N$2,VLOOKUP($G80,Depreciation!$A$14:$L$18,12,FALSE)/2,IF($H80&lt;N$2,VLOOKUP($G80,Depreciation!$A$14:$L$18,12,FALSE),0))</f>
        <v>3.343407856743718E-2</v>
      </c>
      <c r="O80" s="307">
        <f t="shared" si="9"/>
        <v>1253466.7555978457</v>
      </c>
      <c r="P80" s="732">
        <f>'Func Future Subs 2015'!P80</f>
        <v>0</v>
      </c>
      <c r="Q80" s="732">
        <f>'Func Future Subs 2015'!Q80</f>
        <v>1</v>
      </c>
      <c r="R80" s="732">
        <f>'Func Future Subs 2015'!R80</f>
        <v>0</v>
      </c>
      <c r="S80" s="735">
        <f t="shared" si="10"/>
        <v>0</v>
      </c>
      <c r="T80" s="735">
        <f t="shared" si="11"/>
        <v>1253466.7555978457</v>
      </c>
      <c r="U80" s="735">
        <f t="shared" si="12"/>
        <v>0</v>
      </c>
      <c r="V80" s="736">
        <f t="shared" si="13"/>
        <v>0</v>
      </c>
      <c r="W80" s="735">
        <f t="shared" si="14"/>
        <v>0</v>
      </c>
      <c r="X80" s="737">
        <f t="shared" si="15"/>
        <v>0</v>
      </c>
      <c r="Y80" s="738">
        <f t="shared" si="16"/>
        <v>1253466.7555978457</v>
      </c>
    </row>
    <row r="81" spans="1:25">
      <c r="A81" s="754" t="str">
        <f>'Func Future Subs 2015'!A81</f>
        <v>Development at Red Deer 63S (dev12)</v>
      </c>
      <c r="B81" s="754">
        <f>'Func Future Subs 2015'!B81</f>
        <v>813</v>
      </c>
      <c r="C81" s="754">
        <f>'Func Future Subs 2015'!C81</f>
        <v>240</v>
      </c>
      <c r="D81" s="754">
        <f>'Func Future Subs 2015'!D81</f>
        <v>25</v>
      </c>
      <c r="E81" s="754" t="str">
        <f>'Func Future Subs 2015'!E81</f>
        <v>63S</v>
      </c>
      <c r="F81" s="754">
        <f>'Func Future Subs 2015'!F81</f>
        <v>437105.37992401363</v>
      </c>
      <c r="G81" s="754" t="str">
        <f>'Func Future Subs 2015'!G81</f>
        <v>AltaLink</v>
      </c>
      <c r="H81" s="754">
        <f>'Func Future Subs 2015'!H81</f>
        <v>2017</v>
      </c>
      <c r="I81" s="306">
        <f>+IF($H81=I$2,VLOOKUP($G81,Depreciation!$A$14:$L$18,7,FALSE)/2,IF($H81&lt;I$2,VLOOKUP($G81,Depreciation!$A$14:$L$18,7,FALSE),0))</f>
        <v>0</v>
      </c>
      <c r="J81" s="306">
        <f>+IF($H81=J$2,VLOOKUP($G81,Depreciation!$A$14:$L$18,8,FALSE)/2,IF($H81&lt;J$2,VLOOKUP($G81,Depreciation!$A$14:$L$18,8,FALSE),0))</f>
        <v>0</v>
      </c>
      <c r="K81" s="306">
        <f>+IF($H81=K$2,VLOOKUP($G81,Depreciation!$A$14:$L$18,9,FALSE)/2,IF($H81&lt;K$2,VLOOKUP($G81,Depreciation!$A$14:$L$18,9,FALSE),0))</f>
        <v>1.671703928371859E-2</v>
      </c>
      <c r="L81" s="306">
        <f>+IF($H81=L$2,VLOOKUP($G81,Depreciation!$A$14:$L$18,10,FALSE)/2,IF($H81&lt;L$2,VLOOKUP($G81,Depreciation!$A$14:$L$18,10,FALSE),0))</f>
        <v>3.343407856743718E-2</v>
      </c>
      <c r="M81" s="306">
        <f>+IF($H81=M$2,VLOOKUP($G81,Depreciation!$A$14:$L$18,11,FALSE)/2,IF($H81&lt;M$2,VLOOKUP($G81,Depreciation!$A$14:$L$18,11,FALSE),0))</f>
        <v>3.343407856743718E-2</v>
      </c>
      <c r="N81" s="306">
        <f>+IF($H81=N$2,VLOOKUP($G81,Depreciation!$A$14:$L$18,12,FALSE)/2,IF($H81&lt;N$2,VLOOKUP($G81,Depreciation!$A$14:$L$18,12,FALSE),0))</f>
        <v>3.343407856743718E-2</v>
      </c>
      <c r="O81" s="307">
        <f t="shared" si="9"/>
        <v>415428.36291860067</v>
      </c>
      <c r="P81" s="732">
        <f>'Func Future Subs 2015'!P81</f>
        <v>0</v>
      </c>
      <c r="Q81" s="732">
        <f>'Func Future Subs 2015'!Q81</f>
        <v>1</v>
      </c>
      <c r="R81" s="732">
        <f>'Func Future Subs 2015'!R81</f>
        <v>0</v>
      </c>
      <c r="S81" s="735">
        <f t="shared" si="10"/>
        <v>0</v>
      </c>
      <c r="T81" s="735">
        <f t="shared" si="11"/>
        <v>415428.36291860067</v>
      </c>
      <c r="U81" s="735">
        <f t="shared" si="12"/>
        <v>0</v>
      </c>
      <c r="V81" s="736">
        <f t="shared" si="13"/>
        <v>0</v>
      </c>
      <c r="W81" s="735">
        <f t="shared" si="14"/>
        <v>0</v>
      </c>
      <c r="X81" s="737">
        <f t="shared" si="15"/>
        <v>0</v>
      </c>
      <c r="Y81" s="738">
        <f t="shared" si="16"/>
        <v>415428.36291860067</v>
      </c>
    </row>
    <row r="82" spans="1:25">
      <c r="A82" s="754" t="str">
        <f>'Func Future Subs 2015'!A82</f>
        <v>Development at Red Deer 63S (dev21)</v>
      </c>
      <c r="B82" s="754">
        <f>'Func Future Subs 2015'!B82</f>
        <v>813</v>
      </c>
      <c r="C82" s="754">
        <f>'Func Future Subs 2015'!C82</f>
        <v>240</v>
      </c>
      <c r="D82" s="754">
        <f>'Func Future Subs 2015'!D82</f>
        <v>25</v>
      </c>
      <c r="E82" s="754" t="str">
        <f>'Func Future Subs 2015'!E82</f>
        <v>63S</v>
      </c>
      <c r="F82" s="754">
        <f>'Func Future Subs 2015'!F82</f>
        <v>335873.21742754214</v>
      </c>
      <c r="G82" s="754" t="str">
        <f>'Func Future Subs 2015'!G82</f>
        <v>AltaLink</v>
      </c>
      <c r="H82" s="754">
        <f>'Func Future Subs 2015'!H82</f>
        <v>2017</v>
      </c>
      <c r="I82" s="306">
        <f>+IF($H82=I$2,VLOOKUP($G82,Depreciation!$A$14:$L$18,7,FALSE)/2,IF($H82&lt;I$2,VLOOKUP($G82,Depreciation!$A$14:$L$18,7,FALSE),0))</f>
        <v>0</v>
      </c>
      <c r="J82" s="306">
        <f>+IF($H82=J$2,VLOOKUP($G82,Depreciation!$A$14:$L$18,8,FALSE)/2,IF($H82&lt;J$2,VLOOKUP($G82,Depreciation!$A$14:$L$18,8,FALSE),0))</f>
        <v>0</v>
      </c>
      <c r="K82" s="306">
        <f>+IF($H82=K$2,VLOOKUP($G82,Depreciation!$A$14:$L$18,9,FALSE)/2,IF($H82&lt;K$2,VLOOKUP($G82,Depreciation!$A$14:$L$18,9,FALSE),0))</f>
        <v>1.671703928371859E-2</v>
      </c>
      <c r="L82" s="306">
        <f>+IF($H82=L$2,VLOOKUP($G82,Depreciation!$A$14:$L$18,10,FALSE)/2,IF($H82&lt;L$2,VLOOKUP($G82,Depreciation!$A$14:$L$18,10,FALSE),0))</f>
        <v>3.343407856743718E-2</v>
      </c>
      <c r="M82" s="306">
        <f>+IF($H82=M$2,VLOOKUP($G82,Depreciation!$A$14:$L$18,11,FALSE)/2,IF($H82&lt;M$2,VLOOKUP($G82,Depreciation!$A$14:$L$18,11,FALSE),0))</f>
        <v>3.343407856743718E-2</v>
      </c>
      <c r="N82" s="306">
        <f>+IF($H82=N$2,VLOOKUP($G82,Depreciation!$A$14:$L$18,12,FALSE)/2,IF($H82&lt;N$2,VLOOKUP($G82,Depreciation!$A$14:$L$18,12,FALSE),0))</f>
        <v>3.343407856743718E-2</v>
      </c>
      <c r="O82" s="307">
        <f t="shared" si="9"/>
        <v>319216.52597454452</v>
      </c>
      <c r="P82" s="732">
        <f>'Func Future Subs 2015'!P82</f>
        <v>0</v>
      </c>
      <c r="Q82" s="732">
        <f>'Func Future Subs 2015'!Q82</f>
        <v>1</v>
      </c>
      <c r="R82" s="732">
        <f>'Func Future Subs 2015'!R82</f>
        <v>0</v>
      </c>
      <c r="S82" s="735">
        <f t="shared" si="10"/>
        <v>0</v>
      </c>
      <c r="T82" s="735">
        <f t="shared" si="11"/>
        <v>319216.52597454452</v>
      </c>
      <c r="U82" s="735">
        <f t="shared" si="12"/>
        <v>0</v>
      </c>
      <c r="V82" s="736">
        <f t="shared" si="13"/>
        <v>0</v>
      </c>
      <c r="W82" s="735">
        <f t="shared" si="14"/>
        <v>0</v>
      </c>
      <c r="X82" s="737">
        <f t="shared" si="15"/>
        <v>0</v>
      </c>
      <c r="Y82" s="738">
        <f t="shared" si="16"/>
        <v>319216.52597454452</v>
      </c>
    </row>
    <row r="83" spans="1:25">
      <c r="A83" s="754" t="str">
        <f>'Func Future Subs 2015'!A83</f>
        <v>Development at South Red Deer 194S</v>
      </c>
      <c r="B83" s="754">
        <f>'Func Future Subs 2015'!B83</f>
        <v>813</v>
      </c>
      <c r="C83" s="754">
        <f>'Func Future Subs 2015'!C83</f>
        <v>138</v>
      </c>
      <c r="D83" s="754">
        <f>'Func Future Subs 2015'!D83</f>
        <v>138</v>
      </c>
      <c r="E83" s="754" t="str">
        <f>'Func Future Subs 2015'!E83</f>
        <v>194S</v>
      </c>
      <c r="F83" s="754">
        <f>'Func Future Subs 2015'!F83</f>
        <v>1494037.1072305865</v>
      </c>
      <c r="G83" s="754" t="str">
        <f>'Func Future Subs 2015'!G83</f>
        <v>AltaLink</v>
      </c>
      <c r="H83" s="754">
        <f>'Func Future Subs 2015'!H83</f>
        <v>2017</v>
      </c>
      <c r="I83" s="306">
        <f>+IF($H83=I$2,VLOOKUP($G83,Depreciation!$A$14:$L$18,7,FALSE)/2,IF($H83&lt;I$2,VLOOKUP($G83,Depreciation!$A$14:$L$18,7,FALSE),0))</f>
        <v>0</v>
      </c>
      <c r="J83" s="306">
        <f>+IF($H83=J$2,VLOOKUP($G83,Depreciation!$A$14:$L$18,8,FALSE)/2,IF($H83&lt;J$2,VLOOKUP($G83,Depreciation!$A$14:$L$18,8,FALSE),0))</f>
        <v>0</v>
      </c>
      <c r="K83" s="306">
        <f>+IF($H83=K$2,VLOOKUP($G83,Depreciation!$A$14:$L$18,9,FALSE)/2,IF($H83&lt;K$2,VLOOKUP($G83,Depreciation!$A$14:$L$18,9,FALSE),0))</f>
        <v>1.671703928371859E-2</v>
      </c>
      <c r="L83" s="306">
        <f>+IF($H83=L$2,VLOOKUP($G83,Depreciation!$A$14:$L$18,10,FALSE)/2,IF($H83&lt;L$2,VLOOKUP($G83,Depreciation!$A$14:$L$18,10,FALSE),0))</f>
        <v>3.343407856743718E-2</v>
      </c>
      <c r="M83" s="306">
        <f>+IF($H83=M$2,VLOOKUP($G83,Depreciation!$A$14:$L$18,11,FALSE)/2,IF($H83&lt;M$2,VLOOKUP($G83,Depreciation!$A$14:$L$18,11,FALSE),0))</f>
        <v>3.343407856743718E-2</v>
      </c>
      <c r="N83" s="306">
        <f>+IF($H83=N$2,VLOOKUP($G83,Depreciation!$A$14:$L$18,12,FALSE)/2,IF($H83&lt;N$2,VLOOKUP($G83,Depreciation!$A$14:$L$18,12,FALSE),0))</f>
        <v>3.343407856743718E-2</v>
      </c>
      <c r="O83" s="307">
        <f t="shared" si="9"/>
        <v>1419944.5216262056</v>
      </c>
      <c r="P83" s="732">
        <f>'Func Future Subs 2015'!P83</f>
        <v>0</v>
      </c>
      <c r="Q83" s="732">
        <f>'Func Future Subs 2015'!Q83</f>
        <v>0</v>
      </c>
      <c r="R83" s="732">
        <f>'Func Future Subs 2015'!R83</f>
        <v>1</v>
      </c>
      <c r="S83" s="735">
        <f t="shared" si="10"/>
        <v>0</v>
      </c>
      <c r="T83" s="735">
        <f t="shared" si="11"/>
        <v>0</v>
      </c>
      <c r="U83" s="735">
        <f t="shared" si="12"/>
        <v>1419944.5216262056</v>
      </c>
      <c r="V83" s="736">
        <f t="shared" si="13"/>
        <v>0</v>
      </c>
      <c r="W83" s="735">
        <f t="shared" si="14"/>
        <v>0</v>
      </c>
      <c r="X83" s="737">
        <f t="shared" si="15"/>
        <v>1419944.5216262056</v>
      </c>
      <c r="Y83" s="738">
        <f t="shared" si="16"/>
        <v>0</v>
      </c>
    </row>
    <row r="84" spans="1:25">
      <c r="A84" s="754" t="str">
        <f>'Func Future Subs 2015'!A84</f>
        <v>Development at South Red Deer 194S (dev11)</v>
      </c>
      <c r="B84" s="754">
        <f>'Func Future Subs 2015'!B84</f>
        <v>813</v>
      </c>
      <c r="C84" s="754">
        <f>'Func Future Subs 2015'!C84</f>
        <v>138</v>
      </c>
      <c r="D84" s="754">
        <f>'Func Future Subs 2015'!D84</f>
        <v>138</v>
      </c>
      <c r="E84" s="754" t="str">
        <f>'Func Future Subs 2015'!E84</f>
        <v>194S</v>
      </c>
      <c r="F84" s="754">
        <f>'Func Future Subs 2015'!F84</f>
        <v>1533469.4238101142</v>
      </c>
      <c r="G84" s="754" t="str">
        <f>'Func Future Subs 2015'!G84</f>
        <v>AltaLink</v>
      </c>
      <c r="H84" s="754">
        <f>'Func Future Subs 2015'!H84</f>
        <v>2017</v>
      </c>
      <c r="I84" s="306">
        <f>+IF($H84=I$2,VLOOKUP($G84,Depreciation!$A$14:$L$18,7,FALSE)/2,IF($H84&lt;I$2,VLOOKUP($G84,Depreciation!$A$14:$L$18,7,FALSE),0))</f>
        <v>0</v>
      </c>
      <c r="J84" s="306">
        <f>+IF($H84=J$2,VLOOKUP($G84,Depreciation!$A$14:$L$18,8,FALSE)/2,IF($H84&lt;J$2,VLOOKUP($G84,Depreciation!$A$14:$L$18,8,FALSE),0))</f>
        <v>0</v>
      </c>
      <c r="K84" s="306">
        <f>+IF($H84=K$2,VLOOKUP($G84,Depreciation!$A$14:$L$18,9,FALSE)/2,IF($H84&lt;K$2,VLOOKUP($G84,Depreciation!$A$14:$L$18,9,FALSE),0))</f>
        <v>1.671703928371859E-2</v>
      </c>
      <c r="L84" s="306">
        <f>+IF($H84=L$2,VLOOKUP($G84,Depreciation!$A$14:$L$18,10,FALSE)/2,IF($H84&lt;L$2,VLOOKUP($G84,Depreciation!$A$14:$L$18,10,FALSE),0))</f>
        <v>3.343407856743718E-2</v>
      </c>
      <c r="M84" s="306">
        <f>+IF($H84=M$2,VLOOKUP($G84,Depreciation!$A$14:$L$18,11,FALSE)/2,IF($H84&lt;M$2,VLOOKUP($G84,Depreciation!$A$14:$L$18,11,FALSE),0))</f>
        <v>3.343407856743718E-2</v>
      </c>
      <c r="N84" s="306">
        <f>+IF($H84=N$2,VLOOKUP($G84,Depreciation!$A$14:$L$18,12,FALSE)/2,IF($H84&lt;N$2,VLOOKUP($G84,Depreciation!$A$14:$L$18,12,FALSE),0))</f>
        <v>3.343407856743718E-2</v>
      </c>
      <c r="O84" s="307">
        <f t="shared" si="9"/>
        <v>1457421.3029130634</v>
      </c>
      <c r="P84" s="732">
        <f>'Func Future Subs 2015'!P84</f>
        <v>0</v>
      </c>
      <c r="Q84" s="732">
        <f>'Func Future Subs 2015'!Q84</f>
        <v>0</v>
      </c>
      <c r="R84" s="732">
        <f>'Func Future Subs 2015'!R84</f>
        <v>1</v>
      </c>
      <c r="S84" s="735">
        <f t="shared" si="10"/>
        <v>0</v>
      </c>
      <c r="T84" s="735">
        <f t="shared" si="11"/>
        <v>0</v>
      </c>
      <c r="U84" s="735">
        <f t="shared" si="12"/>
        <v>1457421.3029130634</v>
      </c>
      <c r="V84" s="736">
        <f t="shared" si="13"/>
        <v>0</v>
      </c>
      <c r="W84" s="735">
        <f t="shared" si="14"/>
        <v>0</v>
      </c>
      <c r="X84" s="737">
        <f t="shared" si="15"/>
        <v>1457421.3029130634</v>
      </c>
      <c r="Y84" s="738">
        <f t="shared" si="16"/>
        <v>0</v>
      </c>
    </row>
    <row r="85" spans="1:25">
      <c r="A85" s="754" t="str">
        <f>'Func Future Subs 2015'!A85</f>
        <v>Development at Sylvan Lake 580S</v>
      </c>
      <c r="B85" s="754">
        <f>'Func Future Subs 2015'!B85</f>
        <v>813</v>
      </c>
      <c r="C85" s="754">
        <f>'Func Future Subs 2015'!C85</f>
        <v>138</v>
      </c>
      <c r="D85" s="754">
        <f>'Func Future Subs 2015'!D85</f>
        <v>25</v>
      </c>
      <c r="E85" s="754" t="str">
        <f>'Func Future Subs 2015'!E85</f>
        <v>580S</v>
      </c>
      <c r="F85" s="754">
        <f>'Func Future Subs 2015'!F85</f>
        <v>517837.0121000802</v>
      </c>
      <c r="G85" s="754" t="str">
        <f>'Func Future Subs 2015'!G85</f>
        <v>AltaLink</v>
      </c>
      <c r="H85" s="754">
        <f>'Func Future Subs 2015'!H85</f>
        <v>2017</v>
      </c>
      <c r="I85" s="306">
        <f>+IF($H85=I$2,VLOOKUP($G85,Depreciation!$A$14:$L$18,7,FALSE)/2,IF($H85&lt;I$2,VLOOKUP($G85,Depreciation!$A$14:$L$18,7,FALSE),0))</f>
        <v>0</v>
      </c>
      <c r="J85" s="306">
        <f>+IF($H85=J$2,VLOOKUP($G85,Depreciation!$A$14:$L$18,8,FALSE)/2,IF($H85&lt;J$2,VLOOKUP($G85,Depreciation!$A$14:$L$18,8,FALSE),0))</f>
        <v>0</v>
      </c>
      <c r="K85" s="306">
        <f>+IF($H85=K$2,VLOOKUP($G85,Depreciation!$A$14:$L$18,9,FALSE)/2,IF($H85&lt;K$2,VLOOKUP($G85,Depreciation!$A$14:$L$18,9,FALSE),0))</f>
        <v>1.671703928371859E-2</v>
      </c>
      <c r="L85" s="306">
        <f>+IF($H85=L$2,VLOOKUP($G85,Depreciation!$A$14:$L$18,10,FALSE)/2,IF($H85&lt;L$2,VLOOKUP($G85,Depreciation!$A$14:$L$18,10,FALSE),0))</f>
        <v>3.343407856743718E-2</v>
      </c>
      <c r="M85" s="306">
        <f>+IF($H85=M$2,VLOOKUP($G85,Depreciation!$A$14:$L$18,11,FALSE)/2,IF($H85&lt;M$2,VLOOKUP($G85,Depreciation!$A$14:$L$18,11,FALSE),0))</f>
        <v>3.343407856743718E-2</v>
      </c>
      <c r="N85" s="306">
        <f>+IF($H85=N$2,VLOOKUP($G85,Depreciation!$A$14:$L$18,12,FALSE)/2,IF($H85&lt;N$2,VLOOKUP($G85,Depreciation!$A$14:$L$18,12,FALSE),0))</f>
        <v>3.343407856743718E-2</v>
      </c>
      <c r="O85" s="307">
        <f t="shared" si="9"/>
        <v>492156.33592245675</v>
      </c>
      <c r="P85" s="732">
        <f>'Func Future Subs 2015'!P85</f>
        <v>0</v>
      </c>
      <c r="Q85" s="732">
        <f>'Func Future Subs 2015'!Q85</f>
        <v>1</v>
      </c>
      <c r="R85" s="732">
        <f>'Func Future Subs 2015'!R85</f>
        <v>0</v>
      </c>
      <c r="S85" s="735">
        <f t="shared" si="10"/>
        <v>0</v>
      </c>
      <c r="T85" s="735">
        <f t="shared" si="11"/>
        <v>492156.33592245675</v>
      </c>
      <c r="U85" s="735">
        <f t="shared" si="12"/>
        <v>0</v>
      </c>
      <c r="V85" s="736">
        <f t="shared" si="13"/>
        <v>0</v>
      </c>
      <c r="W85" s="735">
        <f t="shared" si="14"/>
        <v>0</v>
      </c>
      <c r="X85" s="737">
        <f t="shared" si="15"/>
        <v>0</v>
      </c>
      <c r="Y85" s="738">
        <f t="shared" si="16"/>
        <v>492156.33592245675</v>
      </c>
    </row>
    <row r="86" spans="1:25">
      <c r="A86" s="754" t="str">
        <f>'Func Future Subs 2015'!A86</f>
        <v>Didsbury 152S</v>
      </c>
      <c r="B86" s="754">
        <f>'Func Future Subs 2015'!B86</f>
        <v>813</v>
      </c>
      <c r="C86" s="754">
        <f>'Func Future Subs 2015'!C86</f>
        <v>240</v>
      </c>
      <c r="D86" s="754">
        <f>'Func Future Subs 2015'!D86</f>
        <v>0</v>
      </c>
      <c r="E86" s="754" t="str">
        <f>'Func Future Subs 2015'!E86</f>
        <v>152S</v>
      </c>
      <c r="F86" s="754">
        <f>'Func Future Subs 2015'!F86</f>
        <v>89503.831215535858</v>
      </c>
      <c r="G86" s="754" t="str">
        <f>'Func Future Subs 2015'!G86</f>
        <v>AltaLink</v>
      </c>
      <c r="H86" s="754">
        <f>'Func Future Subs 2015'!H86</f>
        <v>2017</v>
      </c>
      <c r="I86" s="306">
        <f>+IF($H86=I$2,VLOOKUP($G86,Depreciation!$A$14:$L$18,7,FALSE)/2,IF($H86&lt;I$2,VLOOKUP($G86,Depreciation!$A$14:$L$18,7,FALSE),0))</f>
        <v>0</v>
      </c>
      <c r="J86" s="306">
        <f>+IF($H86=J$2,VLOOKUP($G86,Depreciation!$A$14:$L$18,8,FALSE)/2,IF($H86&lt;J$2,VLOOKUP($G86,Depreciation!$A$14:$L$18,8,FALSE),0))</f>
        <v>0</v>
      </c>
      <c r="K86" s="306">
        <f>+IF($H86=K$2,VLOOKUP($G86,Depreciation!$A$14:$L$18,9,FALSE)/2,IF($H86&lt;K$2,VLOOKUP($G86,Depreciation!$A$14:$L$18,9,FALSE),0))</f>
        <v>1.671703928371859E-2</v>
      </c>
      <c r="L86" s="306">
        <f>+IF($H86=L$2,VLOOKUP($G86,Depreciation!$A$14:$L$18,10,FALSE)/2,IF($H86&lt;L$2,VLOOKUP($G86,Depreciation!$A$14:$L$18,10,FALSE),0))</f>
        <v>3.343407856743718E-2</v>
      </c>
      <c r="M86" s="306">
        <f>+IF($H86=M$2,VLOOKUP($G86,Depreciation!$A$14:$L$18,11,FALSE)/2,IF($H86&lt;M$2,VLOOKUP($G86,Depreciation!$A$14:$L$18,11,FALSE),0))</f>
        <v>3.343407856743718E-2</v>
      </c>
      <c r="N86" s="306">
        <f>+IF($H86=N$2,VLOOKUP($G86,Depreciation!$A$14:$L$18,12,FALSE)/2,IF($H86&lt;N$2,VLOOKUP($G86,Depreciation!$A$14:$L$18,12,FALSE),0))</f>
        <v>3.343407856743718E-2</v>
      </c>
      <c r="O86" s="307">
        <f t="shared" si="9"/>
        <v>85065.139402485976</v>
      </c>
      <c r="P86" s="732">
        <f>'Func Future Subs 2015'!P86</f>
        <v>0</v>
      </c>
      <c r="Q86" s="732">
        <f>'Func Future Subs 2015'!Q86</f>
        <v>0</v>
      </c>
      <c r="R86" s="732">
        <f>'Func Future Subs 2015'!R86</f>
        <v>1</v>
      </c>
      <c r="S86" s="735">
        <f t="shared" si="10"/>
        <v>0</v>
      </c>
      <c r="T86" s="735">
        <f t="shared" si="11"/>
        <v>0</v>
      </c>
      <c r="U86" s="735">
        <f t="shared" si="12"/>
        <v>85065.139402485976</v>
      </c>
      <c r="V86" s="736">
        <f t="shared" si="13"/>
        <v>85065.139402485976</v>
      </c>
      <c r="W86" s="735">
        <f t="shared" si="14"/>
        <v>0</v>
      </c>
      <c r="X86" s="737">
        <f t="shared" si="15"/>
        <v>0</v>
      </c>
      <c r="Y86" s="738">
        <f t="shared" si="16"/>
        <v>0</v>
      </c>
    </row>
    <row r="87" spans="1:25">
      <c r="A87" s="754" t="str">
        <f>'Func Future Subs 2015'!A87</f>
        <v>Eagle Hill 9433R (GD Hazel)</v>
      </c>
      <c r="B87" s="754">
        <f>'Func Future Subs 2015'!B87</f>
        <v>813</v>
      </c>
      <c r="C87" s="754">
        <f>'Func Future Subs 2015'!C87</f>
        <v>240</v>
      </c>
      <c r="D87" s="754">
        <f>'Func Future Subs 2015'!D87</f>
        <v>0</v>
      </c>
      <c r="E87" s="754">
        <f>'Func Future Subs 2015'!E87</f>
        <v>0</v>
      </c>
      <c r="F87" s="754">
        <f>'Func Future Subs 2015'!F87</f>
        <v>554235.26252697199</v>
      </c>
      <c r="G87" s="754" t="str">
        <f>'Func Future Subs 2015'!G87</f>
        <v>AltaLink</v>
      </c>
      <c r="H87" s="754">
        <f>'Func Future Subs 2015'!H87</f>
        <v>2017</v>
      </c>
      <c r="I87" s="306">
        <f>+IF($H87=I$2,VLOOKUP($G87,Depreciation!$A$14:$L$18,7,FALSE)/2,IF($H87&lt;I$2,VLOOKUP($G87,Depreciation!$A$14:$L$18,7,FALSE),0))</f>
        <v>0</v>
      </c>
      <c r="J87" s="306">
        <f>+IF($H87=J$2,VLOOKUP($G87,Depreciation!$A$14:$L$18,8,FALSE)/2,IF($H87&lt;J$2,VLOOKUP($G87,Depreciation!$A$14:$L$18,8,FALSE),0))</f>
        <v>0</v>
      </c>
      <c r="K87" s="306">
        <f>+IF($H87=K$2,VLOOKUP($G87,Depreciation!$A$14:$L$18,9,FALSE)/2,IF($H87&lt;K$2,VLOOKUP($G87,Depreciation!$A$14:$L$18,9,FALSE),0))</f>
        <v>1.671703928371859E-2</v>
      </c>
      <c r="L87" s="306">
        <f>+IF($H87=L$2,VLOOKUP($G87,Depreciation!$A$14:$L$18,10,FALSE)/2,IF($H87&lt;L$2,VLOOKUP($G87,Depreciation!$A$14:$L$18,10,FALSE),0))</f>
        <v>3.343407856743718E-2</v>
      </c>
      <c r="M87" s="306">
        <f>+IF($H87=M$2,VLOOKUP($G87,Depreciation!$A$14:$L$18,11,FALSE)/2,IF($H87&lt;M$2,VLOOKUP($G87,Depreciation!$A$14:$L$18,11,FALSE),0))</f>
        <v>3.343407856743718E-2</v>
      </c>
      <c r="N87" s="306">
        <f>+IF($H87=N$2,VLOOKUP($G87,Depreciation!$A$14:$L$18,12,FALSE)/2,IF($H87&lt;N$2,VLOOKUP($G87,Depreciation!$A$14:$L$18,12,FALSE),0))</f>
        <v>3.343407856743718E-2</v>
      </c>
      <c r="O87" s="307">
        <f t="shared" si="9"/>
        <v>526749.51706923998</v>
      </c>
      <c r="P87" s="732">
        <f>'Func Future Subs 2015'!P87</f>
        <v>0</v>
      </c>
      <c r="Q87" s="732">
        <f>'Func Future Subs 2015'!Q87</f>
        <v>0</v>
      </c>
      <c r="R87" s="732">
        <f>'Func Future Subs 2015'!R87</f>
        <v>1</v>
      </c>
      <c r="S87" s="735">
        <f t="shared" si="10"/>
        <v>0</v>
      </c>
      <c r="T87" s="735">
        <f t="shared" si="11"/>
        <v>0</v>
      </c>
      <c r="U87" s="735">
        <f t="shared" si="12"/>
        <v>526749.51706923998</v>
      </c>
      <c r="V87" s="736">
        <f t="shared" si="13"/>
        <v>526749.51706923998</v>
      </c>
      <c r="W87" s="735">
        <f t="shared" si="14"/>
        <v>0</v>
      </c>
      <c r="X87" s="737">
        <f t="shared" si="15"/>
        <v>0</v>
      </c>
      <c r="Y87" s="738">
        <f t="shared" si="16"/>
        <v>0</v>
      </c>
    </row>
    <row r="88" spans="1:25">
      <c r="A88" s="754" t="str">
        <f>'Func Future Subs 2015'!A88</f>
        <v>Ellerslie 89S</v>
      </c>
      <c r="B88" s="754">
        <f>'Func Future Subs 2015'!B88</f>
        <v>813</v>
      </c>
      <c r="C88" s="754">
        <f>'Func Future Subs 2015'!C88</f>
        <v>240</v>
      </c>
      <c r="D88" s="754">
        <f>'Func Future Subs 2015'!D88</f>
        <v>240</v>
      </c>
      <c r="E88" s="754" t="str">
        <f>'Func Future Subs 2015'!E88</f>
        <v>89S</v>
      </c>
      <c r="F88" s="754">
        <f>'Func Future Subs 2015'!F88</f>
        <v>117043.47158954688</v>
      </c>
      <c r="G88" s="754" t="str">
        <f>'Func Future Subs 2015'!G88</f>
        <v>AltaLink</v>
      </c>
      <c r="H88" s="754">
        <f>'Func Future Subs 2015'!H88</f>
        <v>2017</v>
      </c>
      <c r="I88" s="306">
        <f>+IF($H88=I$2,VLOOKUP($G88,Depreciation!$A$14:$L$18,7,FALSE)/2,IF($H88&lt;I$2,VLOOKUP($G88,Depreciation!$A$14:$L$18,7,FALSE),0))</f>
        <v>0</v>
      </c>
      <c r="J88" s="306">
        <f>+IF($H88=J$2,VLOOKUP($G88,Depreciation!$A$14:$L$18,8,FALSE)/2,IF($H88&lt;J$2,VLOOKUP($G88,Depreciation!$A$14:$L$18,8,FALSE),0))</f>
        <v>0</v>
      </c>
      <c r="K88" s="306">
        <f>+IF($H88=K$2,VLOOKUP($G88,Depreciation!$A$14:$L$18,9,FALSE)/2,IF($H88&lt;K$2,VLOOKUP($G88,Depreciation!$A$14:$L$18,9,FALSE),0))</f>
        <v>1.671703928371859E-2</v>
      </c>
      <c r="L88" s="306">
        <f>+IF($H88=L$2,VLOOKUP($G88,Depreciation!$A$14:$L$18,10,FALSE)/2,IF($H88&lt;L$2,VLOOKUP($G88,Depreciation!$A$14:$L$18,10,FALSE),0))</f>
        <v>3.343407856743718E-2</v>
      </c>
      <c r="M88" s="306">
        <f>+IF($H88=M$2,VLOOKUP($G88,Depreciation!$A$14:$L$18,11,FALSE)/2,IF($H88&lt;M$2,VLOOKUP($G88,Depreciation!$A$14:$L$18,11,FALSE),0))</f>
        <v>3.343407856743718E-2</v>
      </c>
      <c r="N88" s="306">
        <f>+IF($H88=N$2,VLOOKUP($G88,Depreciation!$A$14:$L$18,12,FALSE)/2,IF($H88&lt;N$2,VLOOKUP($G88,Depreciation!$A$14:$L$18,12,FALSE),0))</f>
        <v>3.343407856743718E-2</v>
      </c>
      <c r="O88" s="307">
        <f t="shared" si="9"/>
        <v>111239.02844940472</v>
      </c>
      <c r="P88" s="732">
        <f>'Func Future Subs 2015'!P88</f>
        <v>0</v>
      </c>
      <c r="Q88" s="732">
        <f>'Func Future Subs 2015'!Q88</f>
        <v>0</v>
      </c>
      <c r="R88" s="732">
        <f>'Func Future Subs 2015'!R88</f>
        <v>1</v>
      </c>
      <c r="S88" s="735">
        <f t="shared" si="10"/>
        <v>0</v>
      </c>
      <c r="T88" s="735">
        <f t="shared" si="11"/>
        <v>0</v>
      </c>
      <c r="U88" s="735">
        <f t="shared" si="12"/>
        <v>111239.02844940472</v>
      </c>
      <c r="V88" s="736">
        <f t="shared" si="13"/>
        <v>0</v>
      </c>
      <c r="W88" s="735">
        <f t="shared" si="14"/>
        <v>111239.02844940472</v>
      </c>
      <c r="X88" s="737">
        <f t="shared" si="15"/>
        <v>0</v>
      </c>
      <c r="Y88" s="738">
        <f t="shared" si="16"/>
        <v>0</v>
      </c>
    </row>
    <row r="89" spans="1:25">
      <c r="A89" s="754" t="str">
        <f>'Func Future Subs 2015'!A89</f>
        <v>Ellis 332S</v>
      </c>
      <c r="B89" s="754">
        <f>'Func Future Subs 2015'!B89</f>
        <v>813</v>
      </c>
      <c r="C89" s="754">
        <f>'Func Future Subs 2015'!C89</f>
        <v>138</v>
      </c>
      <c r="D89" s="754">
        <f>'Func Future Subs 2015'!D89</f>
        <v>25</v>
      </c>
      <c r="E89" s="754" t="str">
        <f>'Func Future Subs 2015'!E89</f>
        <v>332S</v>
      </c>
      <c r="F89" s="754">
        <f>'Func Future Subs 2015'!F89</f>
        <v>4802999.9999999981</v>
      </c>
      <c r="G89" s="754" t="str">
        <f>'Func Future Subs 2015'!G89</f>
        <v>AltaLink</v>
      </c>
      <c r="H89" s="754">
        <f>'Func Future Subs 2015'!H89</f>
        <v>2017</v>
      </c>
      <c r="I89" s="306">
        <f>+IF($H89=I$2,VLOOKUP($G89,Depreciation!$A$14:$L$18,7,FALSE)/2,IF($H89&lt;I$2,VLOOKUP($G89,Depreciation!$A$14:$L$18,7,FALSE),0))</f>
        <v>0</v>
      </c>
      <c r="J89" s="306">
        <f>+IF($H89=J$2,VLOOKUP($G89,Depreciation!$A$14:$L$18,8,FALSE)/2,IF($H89&lt;J$2,VLOOKUP($G89,Depreciation!$A$14:$L$18,8,FALSE),0))</f>
        <v>0</v>
      </c>
      <c r="K89" s="306">
        <f>+IF($H89=K$2,VLOOKUP($G89,Depreciation!$A$14:$L$18,9,FALSE)/2,IF($H89&lt;K$2,VLOOKUP($G89,Depreciation!$A$14:$L$18,9,FALSE),0))</f>
        <v>1.671703928371859E-2</v>
      </c>
      <c r="L89" s="306">
        <f>+IF($H89=L$2,VLOOKUP($G89,Depreciation!$A$14:$L$18,10,FALSE)/2,IF($H89&lt;L$2,VLOOKUP($G89,Depreciation!$A$14:$L$18,10,FALSE),0))</f>
        <v>3.343407856743718E-2</v>
      </c>
      <c r="M89" s="306">
        <f>+IF($H89=M$2,VLOOKUP($G89,Depreciation!$A$14:$L$18,11,FALSE)/2,IF($H89&lt;M$2,VLOOKUP($G89,Depreciation!$A$14:$L$18,11,FALSE),0))</f>
        <v>3.343407856743718E-2</v>
      </c>
      <c r="N89" s="306">
        <f>+IF($H89=N$2,VLOOKUP($G89,Depreciation!$A$14:$L$18,12,FALSE)/2,IF($H89&lt;N$2,VLOOKUP($G89,Depreciation!$A$14:$L$18,12,FALSE),0))</f>
        <v>3.343407856743718E-2</v>
      </c>
      <c r="O89" s="307">
        <f t="shared" si="9"/>
        <v>4564808.66798048</v>
      </c>
      <c r="P89" s="732">
        <f>'Func Future Subs 2015'!P89</f>
        <v>0</v>
      </c>
      <c r="Q89" s="732">
        <f>'Func Future Subs 2015'!Q89</f>
        <v>1</v>
      </c>
      <c r="R89" s="732">
        <f>'Func Future Subs 2015'!R89</f>
        <v>0</v>
      </c>
      <c r="S89" s="735">
        <f t="shared" si="10"/>
        <v>0</v>
      </c>
      <c r="T89" s="735">
        <f t="shared" si="11"/>
        <v>4564808.66798048</v>
      </c>
      <c r="U89" s="735">
        <f t="shared" si="12"/>
        <v>0</v>
      </c>
      <c r="V89" s="736">
        <f t="shared" si="13"/>
        <v>0</v>
      </c>
      <c r="W89" s="735">
        <f t="shared" si="14"/>
        <v>0</v>
      </c>
      <c r="X89" s="737">
        <f t="shared" si="15"/>
        <v>0</v>
      </c>
      <c r="Y89" s="738">
        <f t="shared" si="16"/>
        <v>4564808.66798048</v>
      </c>
    </row>
    <row r="90" spans="1:25">
      <c r="A90" s="754" t="str">
        <f>'Func Future Subs 2015'!A90</f>
        <v>Ellis 332S (GD)</v>
      </c>
      <c r="B90" s="754">
        <f>'Func Future Subs 2015'!B90</f>
        <v>813</v>
      </c>
      <c r="C90" s="754">
        <f>'Func Future Subs 2015'!C90</f>
        <v>138</v>
      </c>
      <c r="D90" s="754">
        <f>'Func Future Subs 2015'!D90</f>
        <v>25</v>
      </c>
      <c r="E90" s="754" t="str">
        <f>'Func Future Subs 2015'!E90</f>
        <v>332S</v>
      </c>
      <c r="F90" s="754">
        <f>'Func Future Subs 2015'!F90</f>
        <v>1561153.3637017503</v>
      </c>
      <c r="G90" s="754" t="str">
        <f>'Func Future Subs 2015'!G90</f>
        <v>AltaLink</v>
      </c>
      <c r="H90" s="754">
        <f>'Func Future Subs 2015'!H90</f>
        <v>2017</v>
      </c>
      <c r="I90" s="306">
        <f>+IF($H90=I$2,VLOOKUP($G90,Depreciation!$A$14:$L$18,7,FALSE)/2,IF($H90&lt;I$2,VLOOKUP($G90,Depreciation!$A$14:$L$18,7,FALSE),0))</f>
        <v>0</v>
      </c>
      <c r="J90" s="306">
        <f>+IF($H90=J$2,VLOOKUP($G90,Depreciation!$A$14:$L$18,8,FALSE)/2,IF($H90&lt;J$2,VLOOKUP($G90,Depreciation!$A$14:$L$18,8,FALSE),0))</f>
        <v>0</v>
      </c>
      <c r="K90" s="306">
        <f>+IF($H90=K$2,VLOOKUP($G90,Depreciation!$A$14:$L$18,9,FALSE)/2,IF($H90&lt;K$2,VLOOKUP($G90,Depreciation!$A$14:$L$18,9,FALSE),0))</f>
        <v>1.671703928371859E-2</v>
      </c>
      <c r="L90" s="306">
        <f>+IF($H90=L$2,VLOOKUP($G90,Depreciation!$A$14:$L$18,10,FALSE)/2,IF($H90&lt;L$2,VLOOKUP($G90,Depreciation!$A$14:$L$18,10,FALSE),0))</f>
        <v>3.343407856743718E-2</v>
      </c>
      <c r="M90" s="306">
        <f>+IF($H90=M$2,VLOOKUP($G90,Depreciation!$A$14:$L$18,11,FALSE)/2,IF($H90&lt;M$2,VLOOKUP($G90,Depreciation!$A$14:$L$18,11,FALSE),0))</f>
        <v>3.343407856743718E-2</v>
      </c>
      <c r="N90" s="306">
        <f>+IF($H90=N$2,VLOOKUP($G90,Depreciation!$A$14:$L$18,12,FALSE)/2,IF($H90&lt;N$2,VLOOKUP($G90,Depreciation!$A$14:$L$18,12,FALSE),0))</f>
        <v>3.343407856743718E-2</v>
      </c>
      <c r="O90" s="307">
        <f t="shared" si="9"/>
        <v>1483732.335347207</v>
      </c>
      <c r="P90" s="732">
        <f>'Func Future Subs 2015'!P90</f>
        <v>0</v>
      </c>
      <c r="Q90" s="732">
        <f>'Func Future Subs 2015'!Q90</f>
        <v>1</v>
      </c>
      <c r="R90" s="732">
        <f>'Func Future Subs 2015'!R90</f>
        <v>0</v>
      </c>
      <c r="S90" s="735">
        <f t="shared" si="10"/>
        <v>0</v>
      </c>
      <c r="T90" s="735">
        <f t="shared" si="11"/>
        <v>1483732.335347207</v>
      </c>
      <c r="U90" s="735">
        <f t="shared" si="12"/>
        <v>0</v>
      </c>
      <c r="V90" s="736">
        <f t="shared" si="13"/>
        <v>0</v>
      </c>
      <c r="W90" s="735">
        <f t="shared" si="14"/>
        <v>0</v>
      </c>
      <c r="X90" s="737">
        <f t="shared" si="15"/>
        <v>0</v>
      </c>
      <c r="Y90" s="738">
        <f t="shared" si="16"/>
        <v>1483732.335347207</v>
      </c>
    </row>
    <row r="91" spans="1:25">
      <c r="A91" s="754" t="str">
        <f>'Func Future Subs 2015'!A91</f>
        <v>Gaetz 87S</v>
      </c>
      <c r="B91" s="754">
        <f>'Func Future Subs 2015'!B91</f>
        <v>813</v>
      </c>
      <c r="C91" s="754">
        <f>'Func Future Subs 2015'!C91</f>
        <v>240</v>
      </c>
      <c r="D91" s="754">
        <f>'Func Future Subs 2015'!D91</f>
        <v>138</v>
      </c>
      <c r="E91" s="754" t="str">
        <f>'Func Future Subs 2015'!E91</f>
        <v>87S</v>
      </c>
      <c r="F91" s="754">
        <f>'Func Future Subs 2015'!F91</f>
        <v>3058127.6636590497</v>
      </c>
      <c r="G91" s="754" t="str">
        <f>'Func Future Subs 2015'!G91</f>
        <v>AltaLink</v>
      </c>
      <c r="H91" s="754">
        <f>'Func Future Subs 2015'!H91</f>
        <v>2017</v>
      </c>
      <c r="I91" s="306">
        <f>+IF($H91=I$2,VLOOKUP($G91,Depreciation!$A$14:$L$18,7,FALSE)/2,IF($H91&lt;I$2,VLOOKUP($G91,Depreciation!$A$14:$L$18,7,FALSE),0))</f>
        <v>0</v>
      </c>
      <c r="J91" s="306">
        <f>+IF($H91=J$2,VLOOKUP($G91,Depreciation!$A$14:$L$18,8,FALSE)/2,IF($H91&lt;J$2,VLOOKUP($G91,Depreciation!$A$14:$L$18,8,FALSE),0))</f>
        <v>0</v>
      </c>
      <c r="K91" s="306">
        <f>+IF($H91=K$2,VLOOKUP($G91,Depreciation!$A$14:$L$18,9,FALSE)/2,IF($H91&lt;K$2,VLOOKUP($G91,Depreciation!$A$14:$L$18,9,FALSE),0))</f>
        <v>1.671703928371859E-2</v>
      </c>
      <c r="L91" s="306">
        <f>+IF($H91=L$2,VLOOKUP($G91,Depreciation!$A$14:$L$18,10,FALSE)/2,IF($H91&lt;L$2,VLOOKUP($G91,Depreciation!$A$14:$L$18,10,FALSE),0))</f>
        <v>3.343407856743718E-2</v>
      </c>
      <c r="M91" s="306">
        <f>+IF($H91=M$2,VLOOKUP($G91,Depreciation!$A$14:$L$18,11,FALSE)/2,IF($H91&lt;M$2,VLOOKUP($G91,Depreciation!$A$14:$L$18,11,FALSE),0))</f>
        <v>3.343407856743718E-2</v>
      </c>
      <c r="N91" s="306">
        <f>+IF($H91=N$2,VLOOKUP($G91,Depreciation!$A$14:$L$18,12,FALSE)/2,IF($H91&lt;N$2,VLOOKUP($G91,Depreciation!$A$14:$L$18,12,FALSE),0))</f>
        <v>3.343407856743718E-2</v>
      </c>
      <c r="O91" s="307">
        <f t="shared" si="9"/>
        <v>2906468.387853785</v>
      </c>
      <c r="P91" s="732">
        <f>'Func Future Subs 2015'!P91</f>
        <v>0</v>
      </c>
      <c r="Q91" s="732">
        <f>'Func Future Subs 2015'!Q91</f>
        <v>0</v>
      </c>
      <c r="R91" s="732">
        <f>'Func Future Subs 2015'!R91</f>
        <v>1</v>
      </c>
      <c r="S91" s="735">
        <f t="shared" si="10"/>
        <v>0</v>
      </c>
      <c r="T91" s="735">
        <f t="shared" si="11"/>
        <v>0</v>
      </c>
      <c r="U91" s="735">
        <f t="shared" si="12"/>
        <v>2906468.387853785</v>
      </c>
      <c r="V91" s="736">
        <f t="shared" si="13"/>
        <v>0</v>
      </c>
      <c r="W91" s="735">
        <f t="shared" si="14"/>
        <v>0</v>
      </c>
      <c r="X91" s="737">
        <f t="shared" si="15"/>
        <v>2906468.387853785</v>
      </c>
      <c r="Y91" s="738">
        <f t="shared" si="16"/>
        <v>0</v>
      </c>
    </row>
    <row r="92" spans="1:25">
      <c r="A92" s="754" t="str">
        <f>'Func Future Subs 2015'!A92</f>
        <v>Harmattan 256S</v>
      </c>
      <c r="B92" s="754">
        <f>'Func Future Subs 2015'!B92</f>
        <v>813</v>
      </c>
      <c r="C92" s="754">
        <f>'Func Future Subs 2015'!C92</f>
        <v>240</v>
      </c>
      <c r="D92" s="754">
        <f>'Func Future Subs 2015'!D92</f>
        <v>25</v>
      </c>
      <c r="E92" s="754" t="str">
        <f>'Func Future Subs 2015'!E92</f>
        <v>256S</v>
      </c>
      <c r="F92" s="754">
        <f>'Func Future Subs 2015'!F92</f>
        <v>185892.57252457447</v>
      </c>
      <c r="G92" s="754" t="str">
        <f>'Func Future Subs 2015'!G92</f>
        <v>AltaLink</v>
      </c>
      <c r="H92" s="754">
        <f>'Func Future Subs 2015'!H92</f>
        <v>2017</v>
      </c>
      <c r="I92" s="306">
        <f>+IF($H92=I$2,VLOOKUP($G92,Depreciation!$A$14:$L$18,7,FALSE)/2,IF($H92&lt;I$2,VLOOKUP($G92,Depreciation!$A$14:$L$18,7,FALSE),0))</f>
        <v>0</v>
      </c>
      <c r="J92" s="306">
        <f>+IF($H92=J$2,VLOOKUP($G92,Depreciation!$A$14:$L$18,8,FALSE)/2,IF($H92&lt;J$2,VLOOKUP($G92,Depreciation!$A$14:$L$18,8,FALSE),0))</f>
        <v>0</v>
      </c>
      <c r="K92" s="306">
        <f>+IF($H92=K$2,VLOOKUP($G92,Depreciation!$A$14:$L$18,9,FALSE)/2,IF($H92&lt;K$2,VLOOKUP($G92,Depreciation!$A$14:$L$18,9,FALSE),0))</f>
        <v>1.671703928371859E-2</v>
      </c>
      <c r="L92" s="306">
        <f>+IF($H92=L$2,VLOOKUP($G92,Depreciation!$A$14:$L$18,10,FALSE)/2,IF($H92&lt;L$2,VLOOKUP($G92,Depreciation!$A$14:$L$18,10,FALSE),0))</f>
        <v>3.343407856743718E-2</v>
      </c>
      <c r="M92" s="306">
        <f>+IF($H92=M$2,VLOOKUP($G92,Depreciation!$A$14:$L$18,11,FALSE)/2,IF($H92&lt;M$2,VLOOKUP($G92,Depreciation!$A$14:$L$18,11,FALSE),0))</f>
        <v>3.343407856743718E-2</v>
      </c>
      <c r="N92" s="306">
        <f>+IF($H92=N$2,VLOOKUP($G92,Depreciation!$A$14:$L$18,12,FALSE)/2,IF($H92&lt;N$2,VLOOKUP($G92,Depreciation!$A$14:$L$18,12,FALSE),0))</f>
        <v>3.343407856743718E-2</v>
      </c>
      <c r="O92" s="307">
        <f t="shared" si="9"/>
        <v>176673.75106670163</v>
      </c>
      <c r="P92" s="732">
        <f>'Func Future Subs 2015'!P92</f>
        <v>0.54510993176648981</v>
      </c>
      <c r="Q92" s="732">
        <f>'Func Future Subs 2015'!Q92</f>
        <v>0.45489006823351025</v>
      </c>
      <c r="R92" s="732">
        <f>'Func Future Subs 2015'!R92</f>
        <v>0</v>
      </c>
      <c r="S92" s="735">
        <f t="shared" si="10"/>
        <v>96306.616388899536</v>
      </c>
      <c r="T92" s="735">
        <f t="shared" si="11"/>
        <v>80367.134677802111</v>
      </c>
      <c r="U92" s="735">
        <f t="shared" si="12"/>
        <v>0</v>
      </c>
      <c r="V92" s="736">
        <f t="shared" si="13"/>
        <v>0</v>
      </c>
      <c r="W92" s="735">
        <f t="shared" si="14"/>
        <v>96306.616388899536</v>
      </c>
      <c r="X92" s="737">
        <f t="shared" si="15"/>
        <v>0</v>
      </c>
      <c r="Y92" s="738">
        <f t="shared" si="16"/>
        <v>80367.134677802111</v>
      </c>
    </row>
    <row r="93" spans="1:25">
      <c r="A93" s="754" t="str">
        <f>'Func Future Subs 2015'!A93</f>
        <v>Hazelwood 287S</v>
      </c>
      <c r="B93" s="754">
        <f>'Func Future Subs 2015'!B93</f>
        <v>813</v>
      </c>
      <c r="C93" s="754">
        <f>'Func Future Subs 2015'!C93</f>
        <v>240</v>
      </c>
      <c r="D93" s="754">
        <f>'Func Future Subs 2015'!D93</f>
        <v>0</v>
      </c>
      <c r="E93" s="754" t="str">
        <f>'Func Future Subs 2015'!E93</f>
        <v>287S</v>
      </c>
      <c r="F93" s="754">
        <f>'Func Future Subs 2015'!F93</f>
        <v>24486182.74754256</v>
      </c>
      <c r="G93" s="754" t="str">
        <f>'Func Future Subs 2015'!G93</f>
        <v>AltaLink</v>
      </c>
      <c r="H93" s="754">
        <f>'Func Future Subs 2015'!H93</f>
        <v>2017</v>
      </c>
      <c r="I93" s="306">
        <f>+IF($H93=I$2,VLOOKUP($G93,Depreciation!$A$14:$L$18,7,FALSE)/2,IF($H93&lt;I$2,VLOOKUP($G93,Depreciation!$A$14:$L$18,7,FALSE),0))</f>
        <v>0</v>
      </c>
      <c r="J93" s="306">
        <f>+IF($H93=J$2,VLOOKUP($G93,Depreciation!$A$14:$L$18,8,FALSE)/2,IF($H93&lt;J$2,VLOOKUP($G93,Depreciation!$A$14:$L$18,8,FALSE),0))</f>
        <v>0</v>
      </c>
      <c r="K93" s="306">
        <f>+IF($H93=K$2,VLOOKUP($G93,Depreciation!$A$14:$L$18,9,FALSE)/2,IF($H93&lt;K$2,VLOOKUP($G93,Depreciation!$A$14:$L$18,9,FALSE),0))</f>
        <v>1.671703928371859E-2</v>
      </c>
      <c r="L93" s="306">
        <f>+IF($H93=L$2,VLOOKUP($G93,Depreciation!$A$14:$L$18,10,FALSE)/2,IF($H93&lt;L$2,VLOOKUP($G93,Depreciation!$A$14:$L$18,10,FALSE),0))</f>
        <v>3.343407856743718E-2</v>
      </c>
      <c r="M93" s="306">
        <f>+IF($H93=M$2,VLOOKUP($G93,Depreciation!$A$14:$L$18,11,FALSE)/2,IF($H93&lt;M$2,VLOOKUP($G93,Depreciation!$A$14:$L$18,11,FALSE),0))</f>
        <v>3.343407856743718E-2</v>
      </c>
      <c r="N93" s="306">
        <f>+IF($H93=N$2,VLOOKUP($G93,Depreciation!$A$14:$L$18,12,FALSE)/2,IF($H93&lt;N$2,VLOOKUP($G93,Depreciation!$A$14:$L$18,12,FALSE),0))</f>
        <v>3.343407856743718E-2</v>
      </c>
      <c r="O93" s="307">
        <f t="shared" si="9"/>
        <v>23271859.098841645</v>
      </c>
      <c r="P93" s="732">
        <f>'Func Future Subs 2015'!P93</f>
        <v>0</v>
      </c>
      <c r="Q93" s="732">
        <f>'Func Future Subs 2015'!Q93</f>
        <v>0</v>
      </c>
      <c r="R93" s="732">
        <f>'Func Future Subs 2015'!R93</f>
        <v>1</v>
      </c>
      <c r="S93" s="735">
        <f t="shared" si="10"/>
        <v>0</v>
      </c>
      <c r="T93" s="735">
        <f t="shared" si="11"/>
        <v>0</v>
      </c>
      <c r="U93" s="735">
        <f t="shared" si="12"/>
        <v>23271859.098841645</v>
      </c>
      <c r="V93" s="736">
        <f t="shared" si="13"/>
        <v>23271859.098841645</v>
      </c>
      <c r="W93" s="735">
        <f t="shared" si="14"/>
        <v>0</v>
      </c>
      <c r="X93" s="737">
        <f t="shared" si="15"/>
        <v>0</v>
      </c>
      <c r="Y93" s="738">
        <f t="shared" si="16"/>
        <v>0</v>
      </c>
    </row>
    <row r="94" spans="1:25">
      <c r="A94" s="754" t="str">
        <f>'Func Future Subs 2015'!A94</f>
        <v>Innisfail 214S</v>
      </c>
      <c r="B94" s="754">
        <f>'Func Future Subs 2015'!B94</f>
        <v>813</v>
      </c>
      <c r="C94" s="754">
        <f>'Func Future Subs 2015'!C94</f>
        <v>138</v>
      </c>
      <c r="D94" s="754">
        <f>'Func Future Subs 2015'!D94</f>
        <v>25</v>
      </c>
      <c r="E94" s="754" t="str">
        <f>'Func Future Subs 2015'!E94</f>
        <v>214S</v>
      </c>
      <c r="F94" s="754">
        <f>'Func Future Subs 2015'!F94</f>
        <v>4439045.7827859037</v>
      </c>
      <c r="G94" s="754" t="str">
        <f>'Func Future Subs 2015'!G94</f>
        <v>AltaLink</v>
      </c>
      <c r="H94" s="754">
        <f>'Func Future Subs 2015'!H94</f>
        <v>2017</v>
      </c>
      <c r="I94" s="306">
        <f>+IF($H94=I$2,VLOOKUP($G94,Depreciation!$A$14:$L$18,7,FALSE)/2,IF($H94&lt;I$2,VLOOKUP($G94,Depreciation!$A$14:$L$18,7,FALSE),0))</f>
        <v>0</v>
      </c>
      <c r="J94" s="306">
        <f>+IF($H94=J$2,VLOOKUP($G94,Depreciation!$A$14:$L$18,8,FALSE)/2,IF($H94&lt;J$2,VLOOKUP($G94,Depreciation!$A$14:$L$18,8,FALSE),0))</f>
        <v>0</v>
      </c>
      <c r="K94" s="306">
        <f>+IF($H94=K$2,VLOOKUP($G94,Depreciation!$A$14:$L$18,9,FALSE)/2,IF($H94&lt;K$2,VLOOKUP($G94,Depreciation!$A$14:$L$18,9,FALSE),0))</f>
        <v>1.671703928371859E-2</v>
      </c>
      <c r="L94" s="306">
        <f>+IF($H94=L$2,VLOOKUP($G94,Depreciation!$A$14:$L$18,10,FALSE)/2,IF($H94&lt;L$2,VLOOKUP($G94,Depreciation!$A$14:$L$18,10,FALSE),0))</f>
        <v>3.343407856743718E-2</v>
      </c>
      <c r="M94" s="306">
        <f>+IF($H94=M$2,VLOOKUP($G94,Depreciation!$A$14:$L$18,11,FALSE)/2,IF($H94&lt;M$2,VLOOKUP($G94,Depreciation!$A$14:$L$18,11,FALSE),0))</f>
        <v>3.343407856743718E-2</v>
      </c>
      <c r="N94" s="306">
        <f>+IF($H94=N$2,VLOOKUP($G94,Depreciation!$A$14:$L$18,12,FALSE)/2,IF($H94&lt;N$2,VLOOKUP($G94,Depreciation!$A$14:$L$18,12,FALSE),0))</f>
        <v>3.343407856743718E-2</v>
      </c>
      <c r="O94" s="307">
        <f t="shared" si="9"/>
        <v>4218903.7407502178</v>
      </c>
      <c r="P94" s="732">
        <f>'Func Future Subs 2015'!P94</f>
        <v>0</v>
      </c>
      <c r="Q94" s="732">
        <f>'Func Future Subs 2015'!Q94</f>
        <v>1</v>
      </c>
      <c r="R94" s="732">
        <f>'Func Future Subs 2015'!R94</f>
        <v>0</v>
      </c>
      <c r="S94" s="735">
        <f t="shared" si="10"/>
        <v>0</v>
      </c>
      <c r="T94" s="735">
        <f t="shared" si="11"/>
        <v>4218903.7407502178</v>
      </c>
      <c r="U94" s="735">
        <f t="shared" si="12"/>
        <v>0</v>
      </c>
      <c r="V94" s="736">
        <f t="shared" si="13"/>
        <v>0</v>
      </c>
      <c r="W94" s="735">
        <f t="shared" si="14"/>
        <v>0</v>
      </c>
      <c r="X94" s="737">
        <f t="shared" si="15"/>
        <v>0</v>
      </c>
      <c r="Y94" s="738">
        <f t="shared" si="16"/>
        <v>4218903.7407502178</v>
      </c>
    </row>
    <row r="95" spans="1:25">
      <c r="A95" s="754" t="str">
        <f>'Func Future Subs 2015'!A95</f>
        <v>Joffre 535S</v>
      </c>
      <c r="B95" s="754">
        <f>'Func Future Subs 2015'!B95</f>
        <v>813</v>
      </c>
      <c r="C95" s="754">
        <f>'Func Future Subs 2015'!C95</f>
        <v>138</v>
      </c>
      <c r="D95" s="754">
        <f>'Func Future Subs 2015'!D95</f>
        <v>25</v>
      </c>
      <c r="E95" s="754" t="str">
        <f>'Func Future Subs 2015'!E95</f>
        <v>535S</v>
      </c>
      <c r="F95" s="754">
        <f>'Func Future Subs 2015'!F95</f>
        <v>5110999.9999999963</v>
      </c>
      <c r="G95" s="754" t="str">
        <f>'Func Future Subs 2015'!G95</f>
        <v>AltaLink</v>
      </c>
      <c r="H95" s="754">
        <f>'Func Future Subs 2015'!H95</f>
        <v>2017</v>
      </c>
      <c r="I95" s="306">
        <f>+IF($H95=I$2,VLOOKUP($G95,Depreciation!$A$14:$L$18,7,FALSE)/2,IF($H95&lt;I$2,VLOOKUP($G95,Depreciation!$A$14:$L$18,7,FALSE),0))</f>
        <v>0</v>
      </c>
      <c r="J95" s="306">
        <f>+IF($H95=J$2,VLOOKUP($G95,Depreciation!$A$14:$L$18,8,FALSE)/2,IF($H95&lt;J$2,VLOOKUP($G95,Depreciation!$A$14:$L$18,8,FALSE),0))</f>
        <v>0</v>
      </c>
      <c r="K95" s="306">
        <f>+IF($H95=K$2,VLOOKUP($G95,Depreciation!$A$14:$L$18,9,FALSE)/2,IF($H95&lt;K$2,VLOOKUP($G95,Depreciation!$A$14:$L$18,9,FALSE),0))</f>
        <v>1.671703928371859E-2</v>
      </c>
      <c r="L95" s="306">
        <f>+IF($H95=L$2,VLOOKUP($G95,Depreciation!$A$14:$L$18,10,FALSE)/2,IF($H95&lt;L$2,VLOOKUP($G95,Depreciation!$A$14:$L$18,10,FALSE),0))</f>
        <v>3.343407856743718E-2</v>
      </c>
      <c r="M95" s="306">
        <f>+IF($H95=M$2,VLOOKUP($G95,Depreciation!$A$14:$L$18,11,FALSE)/2,IF($H95&lt;M$2,VLOOKUP($G95,Depreciation!$A$14:$L$18,11,FALSE),0))</f>
        <v>3.343407856743718E-2</v>
      </c>
      <c r="N95" s="306">
        <f>+IF($H95=N$2,VLOOKUP($G95,Depreciation!$A$14:$L$18,12,FALSE)/2,IF($H95&lt;N$2,VLOOKUP($G95,Depreciation!$A$14:$L$18,12,FALSE),0))</f>
        <v>3.343407856743718E-2</v>
      </c>
      <c r="O95" s="307">
        <f t="shared" si="9"/>
        <v>4857534.2706742091</v>
      </c>
      <c r="P95" s="732">
        <f>'Func Future Subs 2015'!P95</f>
        <v>0.7403207006269098</v>
      </c>
      <c r="Q95" s="732">
        <f>'Func Future Subs 2015'!Q95</f>
        <v>0.25967929937309009</v>
      </c>
      <c r="R95" s="732">
        <f>'Func Future Subs 2015'!R95</f>
        <v>0</v>
      </c>
      <c r="S95" s="735">
        <f t="shared" si="10"/>
        <v>3596133.1745847557</v>
      </c>
      <c r="T95" s="735">
        <f t="shared" si="11"/>
        <v>1261401.0960894527</v>
      </c>
      <c r="U95" s="735">
        <f t="shared" si="12"/>
        <v>0</v>
      </c>
      <c r="V95" s="736">
        <f t="shared" si="13"/>
        <v>0</v>
      </c>
      <c r="W95" s="735">
        <f t="shared" si="14"/>
        <v>3596133.1745847557</v>
      </c>
      <c r="X95" s="737">
        <f t="shared" si="15"/>
        <v>0</v>
      </c>
      <c r="Y95" s="738">
        <f t="shared" si="16"/>
        <v>1261401.0960894527</v>
      </c>
    </row>
    <row r="96" spans="1:25">
      <c r="A96" s="754" t="str">
        <f>'Func Future Subs 2015'!A96</f>
        <v xml:space="preserve">Joffre 535S  </v>
      </c>
      <c r="B96" s="754">
        <f>'Func Future Subs 2015'!B96</f>
        <v>813</v>
      </c>
      <c r="C96" s="754">
        <f>'Func Future Subs 2015'!C96</f>
        <v>138</v>
      </c>
      <c r="D96" s="754">
        <f>'Func Future Subs 2015'!D96</f>
        <v>25</v>
      </c>
      <c r="E96" s="754" t="str">
        <f>'Func Future Subs 2015'!E96</f>
        <v>535S</v>
      </c>
      <c r="F96" s="754">
        <f>'Func Future Subs 2015'!F96</f>
        <v>974788.85374631989</v>
      </c>
      <c r="G96" s="754" t="str">
        <f>'Func Future Subs 2015'!G96</f>
        <v>AltaLink</v>
      </c>
      <c r="H96" s="754">
        <f>'Func Future Subs 2015'!H96</f>
        <v>2017</v>
      </c>
      <c r="I96" s="306">
        <f>+IF($H96=I$2,VLOOKUP($G96,Depreciation!$A$14:$L$18,7,FALSE)/2,IF($H96&lt;I$2,VLOOKUP($G96,Depreciation!$A$14:$L$18,7,FALSE),0))</f>
        <v>0</v>
      </c>
      <c r="J96" s="306">
        <f>+IF($H96=J$2,VLOOKUP($G96,Depreciation!$A$14:$L$18,8,FALSE)/2,IF($H96&lt;J$2,VLOOKUP($G96,Depreciation!$A$14:$L$18,8,FALSE),0))</f>
        <v>0</v>
      </c>
      <c r="K96" s="306">
        <f>+IF($H96=K$2,VLOOKUP($G96,Depreciation!$A$14:$L$18,9,FALSE)/2,IF($H96&lt;K$2,VLOOKUP($G96,Depreciation!$A$14:$L$18,9,FALSE),0))</f>
        <v>1.671703928371859E-2</v>
      </c>
      <c r="L96" s="306">
        <f>+IF($H96=L$2,VLOOKUP($G96,Depreciation!$A$14:$L$18,10,FALSE)/2,IF($H96&lt;L$2,VLOOKUP($G96,Depreciation!$A$14:$L$18,10,FALSE),0))</f>
        <v>3.343407856743718E-2</v>
      </c>
      <c r="M96" s="306">
        <f>+IF($H96=M$2,VLOOKUP($G96,Depreciation!$A$14:$L$18,11,FALSE)/2,IF($H96&lt;M$2,VLOOKUP($G96,Depreciation!$A$14:$L$18,11,FALSE),0))</f>
        <v>3.343407856743718E-2</v>
      </c>
      <c r="N96" s="306">
        <f>+IF($H96=N$2,VLOOKUP($G96,Depreciation!$A$14:$L$18,12,FALSE)/2,IF($H96&lt;N$2,VLOOKUP($G96,Depreciation!$A$14:$L$18,12,FALSE),0))</f>
        <v>3.343407856743718E-2</v>
      </c>
      <c r="O96" s="307">
        <f t="shared" si="9"/>
        <v>926446.93088318955</v>
      </c>
      <c r="P96" s="732">
        <f>'Func Future Subs 2015'!P96</f>
        <v>0.7403207006269098</v>
      </c>
      <c r="Q96" s="732">
        <f>'Func Future Subs 2015'!Q96</f>
        <v>0.25967929937309009</v>
      </c>
      <c r="R96" s="732">
        <f>'Func Future Subs 2015'!R96</f>
        <v>0</v>
      </c>
      <c r="S96" s="735">
        <f t="shared" si="10"/>
        <v>685867.84096509311</v>
      </c>
      <c r="T96" s="735">
        <f t="shared" si="11"/>
        <v>240579.08991809629</v>
      </c>
      <c r="U96" s="735">
        <f t="shared" si="12"/>
        <v>0</v>
      </c>
      <c r="V96" s="736">
        <f t="shared" si="13"/>
        <v>0</v>
      </c>
      <c r="W96" s="735">
        <f t="shared" si="14"/>
        <v>685867.84096509311</v>
      </c>
      <c r="X96" s="737">
        <f t="shared" si="15"/>
        <v>0</v>
      </c>
      <c r="Y96" s="738">
        <f t="shared" si="16"/>
        <v>240579.08991809629</v>
      </c>
    </row>
    <row r="97" spans="1:25">
      <c r="A97" s="754" t="str">
        <f>'Func Future Subs 2015'!A97</f>
        <v>Johnson 281S</v>
      </c>
      <c r="B97" s="754">
        <f>'Func Future Subs 2015'!B97</f>
        <v>813</v>
      </c>
      <c r="C97" s="754">
        <f>'Func Future Subs 2015'!C97</f>
        <v>240</v>
      </c>
      <c r="D97" s="754">
        <f>'Func Future Subs 2015'!D97</f>
        <v>138</v>
      </c>
      <c r="E97" s="754" t="str">
        <f>'Func Future Subs 2015'!E97</f>
        <v>281S</v>
      </c>
      <c r="F97" s="754">
        <f>'Func Future Subs 2015'!F97</f>
        <v>27577507.379525296</v>
      </c>
      <c r="G97" s="754" t="str">
        <f>'Func Future Subs 2015'!G97</f>
        <v>AltaLink</v>
      </c>
      <c r="H97" s="754">
        <f>'Func Future Subs 2015'!H97</f>
        <v>2017</v>
      </c>
      <c r="I97" s="306">
        <f>+IF($H97=I$2,VLOOKUP($G97,Depreciation!$A$14:$L$18,7,FALSE)/2,IF($H97&lt;I$2,VLOOKUP($G97,Depreciation!$A$14:$L$18,7,FALSE),0))</f>
        <v>0</v>
      </c>
      <c r="J97" s="306">
        <f>+IF($H97=J$2,VLOOKUP($G97,Depreciation!$A$14:$L$18,8,FALSE)/2,IF($H97&lt;J$2,VLOOKUP($G97,Depreciation!$A$14:$L$18,8,FALSE),0))</f>
        <v>0</v>
      </c>
      <c r="K97" s="306">
        <f>+IF($H97=K$2,VLOOKUP($G97,Depreciation!$A$14:$L$18,9,FALSE)/2,IF($H97&lt;K$2,VLOOKUP($G97,Depreciation!$A$14:$L$18,9,FALSE),0))</f>
        <v>1.671703928371859E-2</v>
      </c>
      <c r="L97" s="306">
        <f>+IF($H97=L$2,VLOOKUP($G97,Depreciation!$A$14:$L$18,10,FALSE)/2,IF($H97&lt;L$2,VLOOKUP($G97,Depreciation!$A$14:$L$18,10,FALSE),0))</f>
        <v>3.343407856743718E-2</v>
      </c>
      <c r="M97" s="306">
        <f>+IF($H97=M$2,VLOOKUP($G97,Depreciation!$A$14:$L$18,11,FALSE)/2,IF($H97&lt;M$2,VLOOKUP($G97,Depreciation!$A$14:$L$18,11,FALSE),0))</f>
        <v>3.343407856743718E-2</v>
      </c>
      <c r="N97" s="306">
        <f>+IF($H97=N$2,VLOOKUP($G97,Depreciation!$A$14:$L$18,12,FALSE)/2,IF($H97&lt;N$2,VLOOKUP($G97,Depreciation!$A$14:$L$18,12,FALSE),0))</f>
        <v>3.343407856743718E-2</v>
      </c>
      <c r="O97" s="307">
        <f t="shared" si="9"/>
        <v>26209878.14435827</v>
      </c>
      <c r="P97" s="732">
        <f>'Func Future Subs 2015'!P97</f>
        <v>0</v>
      </c>
      <c r="Q97" s="732">
        <f>'Func Future Subs 2015'!Q97</f>
        <v>0</v>
      </c>
      <c r="R97" s="732">
        <f>'Func Future Subs 2015'!R97</f>
        <v>1</v>
      </c>
      <c r="S97" s="735">
        <f t="shared" si="10"/>
        <v>0</v>
      </c>
      <c r="T97" s="735">
        <f t="shared" si="11"/>
        <v>0</v>
      </c>
      <c r="U97" s="735">
        <f t="shared" si="12"/>
        <v>26209878.14435827</v>
      </c>
      <c r="V97" s="736">
        <f t="shared" si="13"/>
        <v>0</v>
      </c>
      <c r="W97" s="735">
        <f t="shared" si="14"/>
        <v>0</v>
      </c>
      <c r="X97" s="737">
        <f t="shared" si="15"/>
        <v>26209878.14435827</v>
      </c>
      <c r="Y97" s="738">
        <f t="shared" si="16"/>
        <v>0</v>
      </c>
    </row>
    <row r="98" spans="1:25">
      <c r="A98" s="754" t="str">
        <f>'Func Future Subs 2015'!A98</f>
        <v>N.E. Lacombe 212S</v>
      </c>
      <c r="B98" s="754">
        <f>'Func Future Subs 2015'!B98</f>
        <v>813</v>
      </c>
      <c r="C98" s="754">
        <f>'Func Future Subs 2015'!C98</f>
        <v>138</v>
      </c>
      <c r="D98" s="754">
        <f>'Func Future Subs 2015'!D98</f>
        <v>25</v>
      </c>
      <c r="E98" s="754" t="str">
        <f>'Func Future Subs 2015'!E98</f>
        <v>212S</v>
      </c>
      <c r="F98" s="754">
        <f>'Func Future Subs 2015'!F98</f>
        <v>5363344.9628386488</v>
      </c>
      <c r="G98" s="754" t="str">
        <f>'Func Future Subs 2015'!G98</f>
        <v>AltaLink</v>
      </c>
      <c r="H98" s="754">
        <f>'Func Future Subs 2015'!H98</f>
        <v>2017</v>
      </c>
      <c r="I98" s="306">
        <f>+IF($H98=I$2,VLOOKUP($G98,Depreciation!$A$14:$L$18,7,FALSE)/2,IF($H98&lt;I$2,VLOOKUP($G98,Depreciation!$A$14:$L$18,7,FALSE),0))</f>
        <v>0</v>
      </c>
      <c r="J98" s="306">
        <f>+IF($H98=J$2,VLOOKUP($G98,Depreciation!$A$14:$L$18,8,FALSE)/2,IF($H98&lt;J$2,VLOOKUP($G98,Depreciation!$A$14:$L$18,8,FALSE),0))</f>
        <v>0</v>
      </c>
      <c r="K98" s="306">
        <f>+IF($H98=K$2,VLOOKUP($G98,Depreciation!$A$14:$L$18,9,FALSE)/2,IF($H98&lt;K$2,VLOOKUP($G98,Depreciation!$A$14:$L$18,9,FALSE),0))</f>
        <v>1.671703928371859E-2</v>
      </c>
      <c r="L98" s="306">
        <f>+IF($H98=L$2,VLOOKUP($G98,Depreciation!$A$14:$L$18,10,FALSE)/2,IF($H98&lt;L$2,VLOOKUP($G98,Depreciation!$A$14:$L$18,10,FALSE),0))</f>
        <v>3.343407856743718E-2</v>
      </c>
      <c r="M98" s="306">
        <f>+IF($H98=M$2,VLOOKUP($G98,Depreciation!$A$14:$L$18,11,FALSE)/2,IF($H98&lt;M$2,VLOOKUP($G98,Depreciation!$A$14:$L$18,11,FALSE),0))</f>
        <v>3.343407856743718E-2</v>
      </c>
      <c r="N98" s="306">
        <f>+IF($H98=N$2,VLOOKUP($G98,Depreciation!$A$14:$L$18,12,FALSE)/2,IF($H98&lt;N$2,VLOOKUP($G98,Depreciation!$A$14:$L$18,12,FALSE),0))</f>
        <v>3.343407856743718E-2</v>
      </c>
      <c r="O98" s="307">
        <f t="shared" si="9"/>
        <v>5097364.8918874282</v>
      </c>
      <c r="P98" s="732">
        <f>'Func Future Subs 2015'!P98</f>
        <v>0</v>
      </c>
      <c r="Q98" s="732">
        <f>'Func Future Subs 2015'!Q98</f>
        <v>1</v>
      </c>
      <c r="R98" s="732">
        <f>'Func Future Subs 2015'!R98</f>
        <v>0</v>
      </c>
      <c r="S98" s="735">
        <f t="shared" si="10"/>
        <v>0</v>
      </c>
      <c r="T98" s="735">
        <f t="shared" si="11"/>
        <v>5097364.8918874282</v>
      </c>
      <c r="U98" s="735">
        <f t="shared" si="12"/>
        <v>0</v>
      </c>
      <c r="V98" s="736">
        <f t="shared" si="13"/>
        <v>0</v>
      </c>
      <c r="W98" s="735">
        <f t="shared" si="14"/>
        <v>0</v>
      </c>
      <c r="X98" s="737">
        <f t="shared" si="15"/>
        <v>0</v>
      </c>
      <c r="Y98" s="738">
        <f t="shared" si="16"/>
        <v>5097364.8918874282</v>
      </c>
    </row>
    <row r="99" spans="1:25">
      <c r="A99" s="754" t="str">
        <f>'Func Future Subs 2015'!A99</f>
        <v>New 240/138kV Substation Hazelwood 287S</v>
      </c>
      <c r="B99" s="754">
        <f>'Func Future Subs 2015'!B99</f>
        <v>813</v>
      </c>
      <c r="C99" s="754">
        <f>'Func Future Subs 2015'!C99</f>
        <v>240</v>
      </c>
      <c r="D99" s="754">
        <f>'Func Future Subs 2015'!D99</f>
        <v>0</v>
      </c>
      <c r="E99" s="754" t="str">
        <f>'Func Future Subs 2015'!E99</f>
        <v>287S</v>
      </c>
      <c r="F99" s="754">
        <f>'Func Future Subs 2015'!F99</f>
        <v>19156315.519322906</v>
      </c>
      <c r="G99" s="754" t="str">
        <f>'Func Future Subs 2015'!G99</f>
        <v>AltaLink</v>
      </c>
      <c r="H99" s="754">
        <f>'Func Future Subs 2015'!H99</f>
        <v>2017</v>
      </c>
      <c r="I99" s="306">
        <f>+IF($H99=I$2,VLOOKUP($G99,Depreciation!$A$14:$L$18,7,FALSE)/2,IF($H99&lt;I$2,VLOOKUP($G99,Depreciation!$A$14:$L$18,7,FALSE),0))</f>
        <v>0</v>
      </c>
      <c r="J99" s="306">
        <f>+IF($H99=J$2,VLOOKUP($G99,Depreciation!$A$14:$L$18,8,FALSE)/2,IF($H99&lt;J$2,VLOOKUP($G99,Depreciation!$A$14:$L$18,8,FALSE),0))</f>
        <v>0</v>
      </c>
      <c r="K99" s="306">
        <f>+IF($H99=K$2,VLOOKUP($G99,Depreciation!$A$14:$L$18,9,FALSE)/2,IF($H99&lt;K$2,VLOOKUP($G99,Depreciation!$A$14:$L$18,9,FALSE),0))</f>
        <v>1.671703928371859E-2</v>
      </c>
      <c r="L99" s="306">
        <f>+IF($H99=L$2,VLOOKUP($G99,Depreciation!$A$14:$L$18,10,FALSE)/2,IF($H99&lt;L$2,VLOOKUP($G99,Depreciation!$A$14:$L$18,10,FALSE),0))</f>
        <v>3.343407856743718E-2</v>
      </c>
      <c r="M99" s="306">
        <f>+IF($H99=M$2,VLOOKUP($G99,Depreciation!$A$14:$L$18,11,FALSE)/2,IF($H99&lt;M$2,VLOOKUP($G99,Depreciation!$A$14:$L$18,11,FALSE),0))</f>
        <v>3.343407856743718E-2</v>
      </c>
      <c r="N99" s="306">
        <f>+IF($H99=N$2,VLOOKUP($G99,Depreciation!$A$14:$L$18,12,FALSE)/2,IF($H99&lt;N$2,VLOOKUP($G99,Depreciation!$A$14:$L$18,12,FALSE),0))</f>
        <v>3.343407856743718E-2</v>
      </c>
      <c r="O99" s="307">
        <f t="shared" si="9"/>
        <v>18206311.70709436</v>
      </c>
      <c r="P99" s="732">
        <f>'Func Future Subs 2015'!P99</f>
        <v>0</v>
      </c>
      <c r="Q99" s="732">
        <f>'Func Future Subs 2015'!Q99</f>
        <v>0</v>
      </c>
      <c r="R99" s="732">
        <f>'Func Future Subs 2015'!R99</f>
        <v>1</v>
      </c>
      <c r="S99" s="735">
        <f t="shared" si="10"/>
        <v>0</v>
      </c>
      <c r="T99" s="735">
        <f t="shared" si="11"/>
        <v>0</v>
      </c>
      <c r="U99" s="735">
        <f t="shared" si="12"/>
        <v>18206311.70709436</v>
      </c>
      <c r="V99" s="736">
        <f t="shared" si="13"/>
        <v>18206311.70709436</v>
      </c>
      <c r="W99" s="735">
        <f t="shared" si="14"/>
        <v>0</v>
      </c>
      <c r="X99" s="737">
        <f t="shared" si="15"/>
        <v>0</v>
      </c>
      <c r="Y99" s="738">
        <f t="shared" si="16"/>
        <v>0</v>
      </c>
    </row>
    <row r="100" spans="1:25">
      <c r="A100" s="754" t="str">
        <f>'Func Future Subs 2015'!A100</f>
        <v>New 240/138kV Substation Johnson 281S</v>
      </c>
      <c r="B100" s="754">
        <f>'Func Future Subs 2015'!B100</f>
        <v>813</v>
      </c>
      <c r="C100" s="754">
        <f>'Func Future Subs 2015'!C100</f>
        <v>240</v>
      </c>
      <c r="D100" s="754">
        <f>'Func Future Subs 2015'!D100</f>
        <v>138</v>
      </c>
      <c r="E100" s="754" t="str">
        <f>'Func Future Subs 2015'!E100</f>
        <v>281S</v>
      </c>
      <c r="F100" s="754">
        <f>'Func Future Subs 2015'!F100</f>
        <v>20096056.343237866</v>
      </c>
      <c r="G100" s="754" t="str">
        <f>'Func Future Subs 2015'!G100</f>
        <v>AltaLink</v>
      </c>
      <c r="H100" s="754">
        <f>'Func Future Subs 2015'!H100</f>
        <v>2017</v>
      </c>
      <c r="I100" s="306">
        <f>+IF($H100=I$2,VLOOKUP($G100,Depreciation!$A$14:$L$18,7,FALSE)/2,IF($H100&lt;I$2,VLOOKUP($G100,Depreciation!$A$14:$L$18,7,FALSE),0))</f>
        <v>0</v>
      </c>
      <c r="J100" s="306">
        <f>+IF($H100=J$2,VLOOKUP($G100,Depreciation!$A$14:$L$18,8,FALSE)/2,IF($H100&lt;J$2,VLOOKUP($G100,Depreciation!$A$14:$L$18,8,FALSE),0))</f>
        <v>0</v>
      </c>
      <c r="K100" s="306">
        <f>+IF($H100=K$2,VLOOKUP($G100,Depreciation!$A$14:$L$18,9,FALSE)/2,IF($H100&lt;K$2,VLOOKUP($G100,Depreciation!$A$14:$L$18,9,FALSE),0))</f>
        <v>1.671703928371859E-2</v>
      </c>
      <c r="L100" s="306">
        <f>+IF($H100=L$2,VLOOKUP($G100,Depreciation!$A$14:$L$18,10,FALSE)/2,IF($H100&lt;L$2,VLOOKUP($G100,Depreciation!$A$14:$L$18,10,FALSE),0))</f>
        <v>3.343407856743718E-2</v>
      </c>
      <c r="M100" s="306">
        <f>+IF($H100=M$2,VLOOKUP($G100,Depreciation!$A$14:$L$18,11,FALSE)/2,IF($H100&lt;M$2,VLOOKUP($G100,Depreciation!$A$14:$L$18,11,FALSE),0))</f>
        <v>3.343407856743718E-2</v>
      </c>
      <c r="N100" s="306">
        <f>+IF($H100=N$2,VLOOKUP($G100,Depreciation!$A$14:$L$18,12,FALSE)/2,IF($H100&lt;N$2,VLOOKUP($G100,Depreciation!$A$14:$L$18,12,FALSE),0))</f>
        <v>3.343407856743718E-2</v>
      </c>
      <c r="O100" s="307">
        <f t="shared" si="9"/>
        <v>19099448.717017774</v>
      </c>
      <c r="P100" s="732">
        <f>'Func Future Subs 2015'!P100</f>
        <v>0</v>
      </c>
      <c r="Q100" s="732">
        <f>'Func Future Subs 2015'!Q100</f>
        <v>0</v>
      </c>
      <c r="R100" s="732">
        <f>'Func Future Subs 2015'!R100</f>
        <v>1</v>
      </c>
      <c r="S100" s="735">
        <f t="shared" si="10"/>
        <v>0</v>
      </c>
      <c r="T100" s="735">
        <f t="shared" si="11"/>
        <v>0</v>
      </c>
      <c r="U100" s="735">
        <f t="shared" si="12"/>
        <v>19099448.717017774</v>
      </c>
      <c r="V100" s="736">
        <f t="shared" si="13"/>
        <v>0</v>
      </c>
      <c r="W100" s="735">
        <f t="shared" si="14"/>
        <v>0</v>
      </c>
      <c r="X100" s="737">
        <f t="shared" si="15"/>
        <v>19099448.717017774</v>
      </c>
      <c r="Y100" s="738">
        <f t="shared" si="16"/>
        <v>0</v>
      </c>
    </row>
    <row r="101" spans="1:25">
      <c r="A101" s="754" t="str">
        <f>'Func Future Subs 2015'!A101</f>
        <v>New 240/138kV Substation Wolf Creek 288S</v>
      </c>
      <c r="B101" s="754">
        <f>'Func Future Subs 2015'!B101</f>
        <v>813</v>
      </c>
      <c r="C101" s="754">
        <f>'Func Future Subs 2015'!C101</f>
        <v>240</v>
      </c>
      <c r="D101" s="754">
        <f>'Func Future Subs 2015'!D101</f>
        <v>138</v>
      </c>
      <c r="E101" s="754" t="str">
        <f>'Func Future Subs 2015'!E101</f>
        <v>288S</v>
      </c>
      <c r="F101" s="754">
        <f>'Func Future Subs 2015'!F101</f>
        <v>16806672.487195268</v>
      </c>
      <c r="G101" s="754" t="str">
        <f>'Func Future Subs 2015'!G101</f>
        <v>AltaLink</v>
      </c>
      <c r="H101" s="754">
        <f>'Func Future Subs 2015'!H101</f>
        <v>2017</v>
      </c>
      <c r="I101" s="306">
        <f>+IF($H101=I$2,VLOOKUP($G101,Depreciation!$A$14:$L$18,7,FALSE)/2,IF($H101&lt;I$2,VLOOKUP($G101,Depreciation!$A$14:$L$18,7,FALSE),0))</f>
        <v>0</v>
      </c>
      <c r="J101" s="306">
        <f>+IF($H101=J$2,VLOOKUP($G101,Depreciation!$A$14:$L$18,8,FALSE)/2,IF($H101&lt;J$2,VLOOKUP($G101,Depreciation!$A$14:$L$18,8,FALSE),0))</f>
        <v>0</v>
      </c>
      <c r="K101" s="306">
        <f>+IF($H101=K$2,VLOOKUP($G101,Depreciation!$A$14:$L$18,9,FALSE)/2,IF($H101&lt;K$2,VLOOKUP($G101,Depreciation!$A$14:$L$18,9,FALSE),0))</f>
        <v>1.671703928371859E-2</v>
      </c>
      <c r="L101" s="306">
        <f>+IF($H101=L$2,VLOOKUP($G101,Depreciation!$A$14:$L$18,10,FALSE)/2,IF($H101&lt;L$2,VLOOKUP($G101,Depreciation!$A$14:$L$18,10,FALSE),0))</f>
        <v>3.343407856743718E-2</v>
      </c>
      <c r="M101" s="306">
        <f>+IF($H101=M$2,VLOOKUP($G101,Depreciation!$A$14:$L$18,11,FALSE)/2,IF($H101&lt;M$2,VLOOKUP($G101,Depreciation!$A$14:$L$18,11,FALSE),0))</f>
        <v>3.343407856743718E-2</v>
      </c>
      <c r="N101" s="306">
        <f>+IF($H101=N$2,VLOOKUP($G101,Depreciation!$A$14:$L$18,12,FALSE)/2,IF($H101&lt;N$2,VLOOKUP($G101,Depreciation!$A$14:$L$18,12,FALSE),0))</f>
        <v>3.343407856743718E-2</v>
      </c>
      <c r="O101" s="307">
        <f t="shared" si="9"/>
        <v>15973192.639903819</v>
      </c>
      <c r="P101" s="732">
        <f>'Func Future Subs 2015'!P101</f>
        <v>0</v>
      </c>
      <c r="Q101" s="732">
        <f>'Func Future Subs 2015'!Q101</f>
        <v>0</v>
      </c>
      <c r="R101" s="732">
        <f>'Func Future Subs 2015'!R101</f>
        <v>1</v>
      </c>
      <c r="S101" s="735">
        <f t="shared" si="10"/>
        <v>0</v>
      </c>
      <c r="T101" s="735">
        <f t="shared" si="11"/>
        <v>0</v>
      </c>
      <c r="U101" s="735">
        <f t="shared" si="12"/>
        <v>15973192.639903819</v>
      </c>
      <c r="V101" s="736">
        <f t="shared" si="13"/>
        <v>0</v>
      </c>
      <c r="W101" s="735">
        <f t="shared" si="14"/>
        <v>0</v>
      </c>
      <c r="X101" s="737">
        <f t="shared" si="15"/>
        <v>15973192.639903819</v>
      </c>
      <c r="Y101" s="738">
        <f t="shared" si="16"/>
        <v>0</v>
      </c>
    </row>
    <row r="102" spans="1:25">
      <c r="A102" s="754" t="str">
        <f>'Func Future Subs 2015'!A102</f>
        <v>New additions at Gaetz 87S</v>
      </c>
      <c r="B102" s="754">
        <f>'Func Future Subs 2015'!B102</f>
        <v>813</v>
      </c>
      <c r="C102" s="754">
        <f>'Func Future Subs 2015'!C102</f>
        <v>240</v>
      </c>
      <c r="D102" s="754">
        <f>'Func Future Subs 2015'!D102</f>
        <v>138</v>
      </c>
      <c r="E102" s="754" t="str">
        <f>'Func Future Subs 2015'!E102</f>
        <v>87S</v>
      </c>
      <c r="F102" s="754">
        <f>'Func Future Subs 2015'!F102</f>
        <v>2595668.490111751</v>
      </c>
      <c r="G102" s="754" t="str">
        <f>'Func Future Subs 2015'!G102</f>
        <v>AltaLink</v>
      </c>
      <c r="H102" s="754">
        <f>'Func Future Subs 2015'!H102</f>
        <v>2017</v>
      </c>
      <c r="I102" s="306">
        <f>+IF($H102=I$2,VLOOKUP($G102,Depreciation!$A$14:$L$18,7,FALSE)/2,IF($H102&lt;I$2,VLOOKUP($G102,Depreciation!$A$14:$L$18,7,FALSE),0))</f>
        <v>0</v>
      </c>
      <c r="J102" s="306">
        <f>+IF($H102=J$2,VLOOKUP($G102,Depreciation!$A$14:$L$18,8,FALSE)/2,IF($H102&lt;J$2,VLOOKUP($G102,Depreciation!$A$14:$L$18,8,FALSE),0))</f>
        <v>0</v>
      </c>
      <c r="K102" s="306">
        <f>+IF($H102=K$2,VLOOKUP($G102,Depreciation!$A$14:$L$18,9,FALSE)/2,IF($H102&lt;K$2,VLOOKUP($G102,Depreciation!$A$14:$L$18,9,FALSE),0))</f>
        <v>1.671703928371859E-2</v>
      </c>
      <c r="L102" s="306">
        <f>+IF($H102=L$2,VLOOKUP($G102,Depreciation!$A$14:$L$18,10,FALSE)/2,IF($H102&lt;L$2,VLOOKUP($G102,Depreciation!$A$14:$L$18,10,FALSE),0))</f>
        <v>3.343407856743718E-2</v>
      </c>
      <c r="M102" s="306">
        <f>+IF($H102=M$2,VLOOKUP($G102,Depreciation!$A$14:$L$18,11,FALSE)/2,IF($H102&lt;M$2,VLOOKUP($G102,Depreciation!$A$14:$L$18,11,FALSE),0))</f>
        <v>3.343407856743718E-2</v>
      </c>
      <c r="N102" s="306">
        <f>+IF($H102=N$2,VLOOKUP($G102,Depreciation!$A$14:$L$18,12,FALSE)/2,IF($H102&lt;N$2,VLOOKUP($G102,Depreciation!$A$14:$L$18,12,FALSE),0))</f>
        <v>3.343407856743718E-2</v>
      </c>
      <c r="O102" s="307">
        <f t="shared" si="9"/>
        <v>2466943.5816918449</v>
      </c>
      <c r="P102" s="732">
        <f>'Func Future Subs 2015'!P102</f>
        <v>0</v>
      </c>
      <c r="Q102" s="732">
        <f>'Func Future Subs 2015'!Q102</f>
        <v>0</v>
      </c>
      <c r="R102" s="732">
        <f>'Func Future Subs 2015'!R102</f>
        <v>1</v>
      </c>
      <c r="S102" s="735">
        <f t="shared" si="10"/>
        <v>0</v>
      </c>
      <c r="T102" s="735">
        <f t="shared" si="11"/>
        <v>0</v>
      </c>
      <c r="U102" s="735">
        <f t="shared" si="12"/>
        <v>2466943.5816918449</v>
      </c>
      <c r="V102" s="736">
        <f t="shared" si="13"/>
        <v>0</v>
      </c>
      <c r="W102" s="735">
        <f t="shared" si="14"/>
        <v>0</v>
      </c>
      <c r="X102" s="737">
        <f t="shared" si="15"/>
        <v>2466943.5816918449</v>
      </c>
      <c r="Y102" s="738">
        <f t="shared" si="16"/>
        <v>0</v>
      </c>
    </row>
    <row r="103" spans="1:25">
      <c r="A103" s="754" t="str">
        <f>'Func Future Subs 2015'!A103</f>
        <v>New additions at N.E Lacombe 212S</v>
      </c>
      <c r="B103" s="754">
        <f>'Func Future Subs 2015'!B103</f>
        <v>813</v>
      </c>
      <c r="C103" s="754">
        <f>'Func Future Subs 2015'!C103</f>
        <v>138</v>
      </c>
      <c r="D103" s="754">
        <f>'Func Future Subs 2015'!D103</f>
        <v>25</v>
      </c>
      <c r="E103" s="754" t="str">
        <f>'Func Future Subs 2015'!E103</f>
        <v>212S</v>
      </c>
      <c r="F103" s="754">
        <f>'Func Future Subs 2015'!F103</f>
        <v>3773036.0916385679</v>
      </c>
      <c r="G103" s="754" t="str">
        <f>'Func Future Subs 2015'!G103</f>
        <v>AltaLink</v>
      </c>
      <c r="H103" s="754">
        <f>'Func Future Subs 2015'!H103</f>
        <v>2017</v>
      </c>
      <c r="I103" s="306">
        <f>+IF($H103=I$2,VLOOKUP($G103,Depreciation!$A$14:$L$18,7,FALSE)/2,IF($H103&lt;I$2,VLOOKUP($G103,Depreciation!$A$14:$L$18,7,FALSE),0))</f>
        <v>0</v>
      </c>
      <c r="J103" s="306">
        <f>+IF($H103=J$2,VLOOKUP($G103,Depreciation!$A$14:$L$18,8,FALSE)/2,IF($H103&lt;J$2,VLOOKUP($G103,Depreciation!$A$14:$L$18,8,FALSE),0))</f>
        <v>0</v>
      </c>
      <c r="K103" s="306">
        <f>+IF($H103=K$2,VLOOKUP($G103,Depreciation!$A$14:$L$18,9,FALSE)/2,IF($H103&lt;K$2,VLOOKUP($G103,Depreciation!$A$14:$L$18,9,FALSE),0))</f>
        <v>1.671703928371859E-2</v>
      </c>
      <c r="L103" s="306">
        <f>+IF($H103=L$2,VLOOKUP($G103,Depreciation!$A$14:$L$18,10,FALSE)/2,IF($H103&lt;L$2,VLOOKUP($G103,Depreciation!$A$14:$L$18,10,FALSE),0))</f>
        <v>3.343407856743718E-2</v>
      </c>
      <c r="M103" s="306">
        <f>+IF($H103=M$2,VLOOKUP($G103,Depreciation!$A$14:$L$18,11,FALSE)/2,IF($H103&lt;M$2,VLOOKUP($G103,Depreciation!$A$14:$L$18,11,FALSE),0))</f>
        <v>3.343407856743718E-2</v>
      </c>
      <c r="N103" s="306">
        <f>+IF($H103=N$2,VLOOKUP($G103,Depreciation!$A$14:$L$18,12,FALSE)/2,IF($H103&lt;N$2,VLOOKUP($G103,Depreciation!$A$14:$L$18,12,FALSE),0))</f>
        <v>3.343407856743718E-2</v>
      </c>
      <c r="O103" s="307">
        <f t="shared" si="9"/>
        <v>3585922.9347730447</v>
      </c>
      <c r="P103" s="732">
        <f>'Func Future Subs 2015'!P103</f>
        <v>0</v>
      </c>
      <c r="Q103" s="732">
        <f>'Func Future Subs 2015'!Q103</f>
        <v>1</v>
      </c>
      <c r="R103" s="732">
        <f>'Func Future Subs 2015'!R103</f>
        <v>0</v>
      </c>
      <c r="S103" s="735">
        <f t="shared" si="10"/>
        <v>0</v>
      </c>
      <c r="T103" s="735">
        <f t="shared" si="11"/>
        <v>3585922.9347730447</v>
      </c>
      <c r="U103" s="735">
        <f t="shared" si="12"/>
        <v>0</v>
      </c>
      <c r="V103" s="736">
        <f t="shared" si="13"/>
        <v>0</v>
      </c>
      <c r="W103" s="735">
        <f t="shared" si="14"/>
        <v>0</v>
      </c>
      <c r="X103" s="737">
        <f t="shared" si="15"/>
        <v>0</v>
      </c>
      <c r="Y103" s="738">
        <f t="shared" si="16"/>
        <v>3585922.9347730447</v>
      </c>
    </row>
    <row r="104" spans="1:25">
      <c r="A104" s="754" t="str">
        <f>'Func Future Subs 2015'!A104</f>
        <v>New Additions at North Red Deer 217S</v>
      </c>
      <c r="B104" s="754">
        <f>'Func Future Subs 2015'!B104</f>
        <v>813</v>
      </c>
      <c r="C104" s="754">
        <f>'Func Future Subs 2015'!C104</f>
        <v>138</v>
      </c>
      <c r="D104" s="754">
        <f>'Func Future Subs 2015'!D104</f>
        <v>25</v>
      </c>
      <c r="E104" s="754" t="str">
        <f>'Func Future Subs 2015'!E104</f>
        <v>217S</v>
      </c>
      <c r="F104" s="754">
        <f>'Func Future Subs 2015'!F104</f>
        <v>1453039.2523468195</v>
      </c>
      <c r="G104" s="754" t="str">
        <f>'Func Future Subs 2015'!G104</f>
        <v>AltaLink</v>
      </c>
      <c r="H104" s="754">
        <f>'Func Future Subs 2015'!H104</f>
        <v>2017</v>
      </c>
      <c r="I104" s="306">
        <f>+IF($H104=I$2,VLOOKUP($G104,Depreciation!$A$14:$L$18,7,FALSE)/2,IF($H104&lt;I$2,VLOOKUP($G104,Depreciation!$A$14:$L$18,7,FALSE),0))</f>
        <v>0</v>
      </c>
      <c r="J104" s="306">
        <f>+IF($H104=J$2,VLOOKUP($G104,Depreciation!$A$14:$L$18,8,FALSE)/2,IF($H104&lt;J$2,VLOOKUP($G104,Depreciation!$A$14:$L$18,8,FALSE),0))</f>
        <v>0</v>
      </c>
      <c r="K104" s="306">
        <f>+IF($H104=K$2,VLOOKUP($G104,Depreciation!$A$14:$L$18,9,FALSE)/2,IF($H104&lt;K$2,VLOOKUP($G104,Depreciation!$A$14:$L$18,9,FALSE),0))</f>
        <v>1.671703928371859E-2</v>
      </c>
      <c r="L104" s="306">
        <f>+IF($H104=L$2,VLOOKUP($G104,Depreciation!$A$14:$L$18,10,FALSE)/2,IF($H104&lt;L$2,VLOOKUP($G104,Depreciation!$A$14:$L$18,10,FALSE),0))</f>
        <v>3.343407856743718E-2</v>
      </c>
      <c r="M104" s="306">
        <f>+IF($H104=M$2,VLOOKUP($G104,Depreciation!$A$14:$L$18,11,FALSE)/2,IF($H104&lt;M$2,VLOOKUP($G104,Depreciation!$A$14:$L$18,11,FALSE),0))</f>
        <v>3.343407856743718E-2</v>
      </c>
      <c r="N104" s="306">
        <f>+IF($H104=N$2,VLOOKUP($G104,Depreciation!$A$14:$L$18,12,FALSE)/2,IF($H104&lt;N$2,VLOOKUP($G104,Depreciation!$A$14:$L$18,12,FALSE),0))</f>
        <v>3.343407856743718E-2</v>
      </c>
      <c r="O104" s="307">
        <f t="shared" si="9"/>
        <v>1380979.840522307</v>
      </c>
      <c r="P104" s="732">
        <f>'Func Future Subs 2015'!P104</f>
        <v>0</v>
      </c>
      <c r="Q104" s="732">
        <f>'Func Future Subs 2015'!Q104</f>
        <v>1</v>
      </c>
      <c r="R104" s="732">
        <f>'Func Future Subs 2015'!R104</f>
        <v>0</v>
      </c>
      <c r="S104" s="735">
        <f t="shared" si="10"/>
        <v>0</v>
      </c>
      <c r="T104" s="735">
        <f t="shared" si="11"/>
        <v>1380979.840522307</v>
      </c>
      <c r="U104" s="735">
        <f t="shared" si="12"/>
        <v>0</v>
      </c>
      <c r="V104" s="736">
        <f t="shared" si="13"/>
        <v>0</v>
      </c>
      <c r="W104" s="735">
        <f t="shared" si="14"/>
        <v>0</v>
      </c>
      <c r="X104" s="737">
        <f t="shared" si="15"/>
        <v>0</v>
      </c>
      <c r="Y104" s="738">
        <f t="shared" si="16"/>
        <v>1380979.840522307</v>
      </c>
    </row>
    <row r="105" spans="1:25">
      <c r="A105" s="754" t="str">
        <f>'Func Future Subs 2015'!A105</f>
        <v>New Additions at North Red Deer 217S (dev10)</v>
      </c>
      <c r="B105" s="754">
        <f>'Func Future Subs 2015'!B105</f>
        <v>813</v>
      </c>
      <c r="C105" s="754">
        <f>'Func Future Subs 2015'!C105</f>
        <v>138</v>
      </c>
      <c r="D105" s="754">
        <f>'Func Future Subs 2015'!D105</f>
        <v>25</v>
      </c>
      <c r="E105" s="754" t="str">
        <f>'Func Future Subs 2015'!E105</f>
        <v>217S</v>
      </c>
      <c r="F105" s="754">
        <f>'Func Future Subs 2015'!F105</f>
        <v>1479296.8070426565</v>
      </c>
      <c r="G105" s="754" t="str">
        <f>'Func Future Subs 2015'!G105</f>
        <v>AltaLink</v>
      </c>
      <c r="H105" s="754">
        <f>'Func Future Subs 2015'!H105</f>
        <v>2017</v>
      </c>
      <c r="I105" s="306">
        <f>+IF($H105=I$2,VLOOKUP($G105,Depreciation!$A$14:$L$18,7,FALSE)/2,IF($H105&lt;I$2,VLOOKUP($G105,Depreciation!$A$14:$L$18,7,FALSE),0))</f>
        <v>0</v>
      </c>
      <c r="J105" s="306">
        <f>+IF($H105=J$2,VLOOKUP($G105,Depreciation!$A$14:$L$18,8,FALSE)/2,IF($H105&lt;J$2,VLOOKUP($G105,Depreciation!$A$14:$L$18,8,FALSE),0))</f>
        <v>0</v>
      </c>
      <c r="K105" s="306">
        <f>+IF($H105=K$2,VLOOKUP($G105,Depreciation!$A$14:$L$18,9,FALSE)/2,IF($H105&lt;K$2,VLOOKUP($G105,Depreciation!$A$14:$L$18,9,FALSE),0))</f>
        <v>1.671703928371859E-2</v>
      </c>
      <c r="L105" s="306">
        <f>+IF($H105=L$2,VLOOKUP($G105,Depreciation!$A$14:$L$18,10,FALSE)/2,IF($H105&lt;L$2,VLOOKUP($G105,Depreciation!$A$14:$L$18,10,FALSE),0))</f>
        <v>3.343407856743718E-2</v>
      </c>
      <c r="M105" s="306">
        <f>+IF($H105=M$2,VLOOKUP($G105,Depreciation!$A$14:$L$18,11,FALSE)/2,IF($H105&lt;M$2,VLOOKUP($G105,Depreciation!$A$14:$L$18,11,FALSE),0))</f>
        <v>3.343407856743718E-2</v>
      </c>
      <c r="N105" s="306">
        <f>+IF($H105=N$2,VLOOKUP($G105,Depreciation!$A$14:$L$18,12,FALSE)/2,IF($H105&lt;N$2,VLOOKUP($G105,Depreciation!$A$14:$L$18,12,FALSE),0))</f>
        <v>3.343407856743718E-2</v>
      </c>
      <c r="O105" s="307">
        <f t="shared" si="9"/>
        <v>1405935.225339198</v>
      </c>
      <c r="P105" s="732">
        <f>'Func Future Subs 2015'!P105</f>
        <v>0</v>
      </c>
      <c r="Q105" s="732">
        <f>'Func Future Subs 2015'!Q105</f>
        <v>1</v>
      </c>
      <c r="R105" s="732">
        <f>'Func Future Subs 2015'!R105</f>
        <v>0</v>
      </c>
      <c r="S105" s="735">
        <f t="shared" si="10"/>
        <v>0</v>
      </c>
      <c r="T105" s="735">
        <f t="shared" si="11"/>
        <v>1405935.225339198</v>
      </c>
      <c r="U105" s="735">
        <f t="shared" si="12"/>
        <v>0</v>
      </c>
      <c r="V105" s="736">
        <f t="shared" si="13"/>
        <v>0</v>
      </c>
      <c r="W105" s="735">
        <f t="shared" si="14"/>
        <v>0</v>
      </c>
      <c r="X105" s="737">
        <f t="shared" si="15"/>
        <v>0</v>
      </c>
      <c r="Y105" s="738">
        <f t="shared" si="16"/>
        <v>1405935.225339198</v>
      </c>
    </row>
    <row r="106" spans="1:25">
      <c r="A106" s="754" t="str">
        <f>'Func Future Subs 2015'!A106</f>
        <v>North Red Deer 217S</v>
      </c>
      <c r="B106" s="754">
        <f>'Func Future Subs 2015'!B106</f>
        <v>813</v>
      </c>
      <c r="C106" s="754">
        <f>'Func Future Subs 2015'!C106</f>
        <v>138</v>
      </c>
      <c r="D106" s="754">
        <f>'Func Future Subs 2015'!D106</f>
        <v>25</v>
      </c>
      <c r="E106" s="754" t="str">
        <f>'Func Future Subs 2015'!E106</f>
        <v>217S</v>
      </c>
      <c r="F106" s="754">
        <f>'Func Future Subs 2015'!F106</f>
        <v>187594.25782528098</v>
      </c>
      <c r="G106" s="754" t="str">
        <f>'Func Future Subs 2015'!G106</f>
        <v>AltaLink</v>
      </c>
      <c r="H106" s="754">
        <f>'Func Future Subs 2015'!H106</f>
        <v>2017</v>
      </c>
      <c r="I106" s="306">
        <f>+IF($H106=I$2,VLOOKUP($G106,Depreciation!$A$14:$L$18,7,FALSE)/2,IF($H106&lt;I$2,VLOOKUP($G106,Depreciation!$A$14:$L$18,7,FALSE),0))</f>
        <v>0</v>
      </c>
      <c r="J106" s="306">
        <f>+IF($H106=J$2,VLOOKUP($G106,Depreciation!$A$14:$L$18,8,FALSE)/2,IF($H106&lt;J$2,VLOOKUP($G106,Depreciation!$A$14:$L$18,8,FALSE),0))</f>
        <v>0</v>
      </c>
      <c r="K106" s="306">
        <f>+IF($H106=K$2,VLOOKUP($G106,Depreciation!$A$14:$L$18,9,FALSE)/2,IF($H106&lt;K$2,VLOOKUP($G106,Depreciation!$A$14:$L$18,9,FALSE),0))</f>
        <v>1.671703928371859E-2</v>
      </c>
      <c r="L106" s="306">
        <f>+IF($H106=L$2,VLOOKUP($G106,Depreciation!$A$14:$L$18,10,FALSE)/2,IF($H106&lt;L$2,VLOOKUP($G106,Depreciation!$A$14:$L$18,10,FALSE),0))</f>
        <v>3.343407856743718E-2</v>
      </c>
      <c r="M106" s="306">
        <f>+IF($H106=M$2,VLOOKUP($G106,Depreciation!$A$14:$L$18,11,FALSE)/2,IF($H106&lt;M$2,VLOOKUP($G106,Depreciation!$A$14:$L$18,11,FALSE),0))</f>
        <v>3.343407856743718E-2</v>
      </c>
      <c r="N106" s="306">
        <f>+IF($H106=N$2,VLOOKUP($G106,Depreciation!$A$14:$L$18,12,FALSE)/2,IF($H106&lt;N$2,VLOOKUP($G106,Depreciation!$A$14:$L$18,12,FALSE),0))</f>
        <v>3.343407856743718E-2</v>
      </c>
      <c r="O106" s="307">
        <f t="shared" si="9"/>
        <v>178291.04605126131</v>
      </c>
      <c r="P106" s="732">
        <f>'Func Future Subs 2015'!P106</f>
        <v>0</v>
      </c>
      <c r="Q106" s="732">
        <f>'Func Future Subs 2015'!Q106</f>
        <v>1</v>
      </c>
      <c r="R106" s="732">
        <f>'Func Future Subs 2015'!R106</f>
        <v>0</v>
      </c>
      <c r="S106" s="735">
        <f t="shared" si="10"/>
        <v>0</v>
      </c>
      <c r="T106" s="735">
        <f t="shared" si="11"/>
        <v>178291.04605126131</v>
      </c>
      <c r="U106" s="735">
        <f t="shared" si="12"/>
        <v>0</v>
      </c>
      <c r="V106" s="736">
        <f t="shared" si="13"/>
        <v>0</v>
      </c>
      <c r="W106" s="735">
        <f t="shared" si="14"/>
        <v>0</v>
      </c>
      <c r="X106" s="737">
        <f t="shared" si="15"/>
        <v>0</v>
      </c>
      <c r="Y106" s="738">
        <f t="shared" si="16"/>
        <v>178291.04605126131</v>
      </c>
    </row>
    <row r="107" spans="1:25">
      <c r="A107" s="754" t="str">
        <f>'Func Future Subs 2015'!A107</f>
        <v>Olds 55S (GD Hazel)</v>
      </c>
      <c r="B107" s="754">
        <f>'Func Future Subs 2015'!B107</f>
        <v>813</v>
      </c>
      <c r="C107" s="754">
        <f>'Func Future Subs 2015'!C107</f>
        <v>138</v>
      </c>
      <c r="D107" s="754">
        <f>'Func Future Subs 2015'!D107</f>
        <v>25</v>
      </c>
      <c r="E107" s="754" t="str">
        <f>'Func Future Subs 2015'!E107</f>
        <v>55S</v>
      </c>
      <c r="F107" s="754">
        <f>'Func Future Subs 2015'!F107</f>
        <v>98109.968832414306</v>
      </c>
      <c r="G107" s="754" t="str">
        <f>'Func Future Subs 2015'!G107</f>
        <v>AltaLink</v>
      </c>
      <c r="H107" s="754">
        <f>'Func Future Subs 2015'!H107</f>
        <v>2017</v>
      </c>
      <c r="I107" s="306">
        <f>+IF($H107=I$2,VLOOKUP($G107,Depreciation!$A$14:$L$18,7,FALSE)/2,IF($H107&lt;I$2,VLOOKUP($G107,Depreciation!$A$14:$L$18,7,FALSE),0))</f>
        <v>0</v>
      </c>
      <c r="J107" s="306">
        <f>+IF($H107=J$2,VLOOKUP($G107,Depreciation!$A$14:$L$18,8,FALSE)/2,IF($H107&lt;J$2,VLOOKUP($G107,Depreciation!$A$14:$L$18,8,FALSE),0))</f>
        <v>0</v>
      </c>
      <c r="K107" s="306">
        <f>+IF($H107=K$2,VLOOKUP($G107,Depreciation!$A$14:$L$18,9,FALSE)/2,IF($H107&lt;K$2,VLOOKUP($G107,Depreciation!$A$14:$L$18,9,FALSE),0))</f>
        <v>1.671703928371859E-2</v>
      </c>
      <c r="L107" s="306">
        <f>+IF($H107=L$2,VLOOKUP($G107,Depreciation!$A$14:$L$18,10,FALSE)/2,IF($H107&lt;L$2,VLOOKUP($G107,Depreciation!$A$14:$L$18,10,FALSE),0))</f>
        <v>3.343407856743718E-2</v>
      </c>
      <c r="M107" s="306">
        <f>+IF($H107=M$2,VLOOKUP($G107,Depreciation!$A$14:$L$18,11,FALSE)/2,IF($H107&lt;M$2,VLOOKUP($G107,Depreciation!$A$14:$L$18,11,FALSE),0))</f>
        <v>3.343407856743718E-2</v>
      </c>
      <c r="N107" s="306">
        <f>+IF($H107=N$2,VLOOKUP($G107,Depreciation!$A$14:$L$18,12,FALSE)/2,IF($H107&lt;N$2,VLOOKUP($G107,Depreciation!$A$14:$L$18,12,FALSE),0))</f>
        <v>3.343407856743718E-2</v>
      </c>
      <c r="O107" s="307">
        <f t="shared" si="9"/>
        <v>93244.479729648083</v>
      </c>
      <c r="P107" s="732">
        <f>'Func Future Subs 2015'!P107</f>
        <v>0</v>
      </c>
      <c r="Q107" s="732">
        <f>'Func Future Subs 2015'!Q107</f>
        <v>1</v>
      </c>
      <c r="R107" s="732">
        <f>'Func Future Subs 2015'!R107</f>
        <v>0</v>
      </c>
      <c r="S107" s="735">
        <f t="shared" si="10"/>
        <v>0</v>
      </c>
      <c r="T107" s="735">
        <f t="shared" si="11"/>
        <v>93244.479729648083</v>
      </c>
      <c r="U107" s="735">
        <f t="shared" si="12"/>
        <v>0</v>
      </c>
      <c r="V107" s="736">
        <f t="shared" si="13"/>
        <v>0</v>
      </c>
      <c r="W107" s="735">
        <f t="shared" si="14"/>
        <v>0</v>
      </c>
      <c r="X107" s="737">
        <f t="shared" si="15"/>
        <v>0</v>
      </c>
      <c r="Y107" s="738">
        <f t="shared" si="16"/>
        <v>93244.479729648083</v>
      </c>
    </row>
    <row r="108" spans="1:25">
      <c r="A108" s="754" t="str">
        <f>'Func Future Subs 2015'!A108</f>
        <v>Olds 55S (GD Johnson)</v>
      </c>
      <c r="B108" s="754">
        <f>'Func Future Subs 2015'!B108</f>
        <v>813</v>
      </c>
      <c r="C108" s="754">
        <f>'Func Future Subs 2015'!C108</f>
        <v>240</v>
      </c>
      <c r="D108" s="754">
        <f>'Func Future Subs 2015'!D108</f>
        <v>25</v>
      </c>
      <c r="E108" s="754" t="str">
        <f>'Func Future Subs 2015'!E108</f>
        <v>55S</v>
      </c>
      <c r="F108" s="754">
        <f>'Func Future Subs 2015'!F108</f>
        <v>390718.64780628151</v>
      </c>
      <c r="G108" s="754" t="str">
        <f>'Func Future Subs 2015'!G108</f>
        <v>AltaLink</v>
      </c>
      <c r="H108" s="754">
        <f>'Func Future Subs 2015'!H108</f>
        <v>2017</v>
      </c>
      <c r="I108" s="306">
        <f>+IF($H108=I$2,VLOOKUP($G108,Depreciation!$A$14:$L$18,7,FALSE)/2,IF($H108&lt;I$2,VLOOKUP($G108,Depreciation!$A$14:$L$18,7,FALSE),0))</f>
        <v>0</v>
      </c>
      <c r="J108" s="306">
        <f>+IF($H108=J$2,VLOOKUP($G108,Depreciation!$A$14:$L$18,8,FALSE)/2,IF($H108&lt;J$2,VLOOKUP($G108,Depreciation!$A$14:$L$18,8,FALSE),0))</f>
        <v>0</v>
      </c>
      <c r="K108" s="306">
        <f>+IF($H108=K$2,VLOOKUP($G108,Depreciation!$A$14:$L$18,9,FALSE)/2,IF($H108&lt;K$2,VLOOKUP($G108,Depreciation!$A$14:$L$18,9,FALSE),0))</f>
        <v>1.671703928371859E-2</v>
      </c>
      <c r="L108" s="306">
        <f>+IF($H108=L$2,VLOOKUP($G108,Depreciation!$A$14:$L$18,10,FALSE)/2,IF($H108&lt;L$2,VLOOKUP($G108,Depreciation!$A$14:$L$18,10,FALSE),0))</f>
        <v>3.343407856743718E-2</v>
      </c>
      <c r="M108" s="306">
        <f>+IF($H108=M$2,VLOOKUP($G108,Depreciation!$A$14:$L$18,11,FALSE)/2,IF($H108&lt;M$2,VLOOKUP($G108,Depreciation!$A$14:$L$18,11,FALSE),0))</f>
        <v>3.343407856743718E-2</v>
      </c>
      <c r="N108" s="306">
        <f>+IF($H108=N$2,VLOOKUP($G108,Depreciation!$A$14:$L$18,12,FALSE)/2,IF($H108&lt;N$2,VLOOKUP($G108,Depreciation!$A$14:$L$18,12,FALSE),0))</f>
        <v>3.343407856743718E-2</v>
      </c>
      <c r="O108" s="307">
        <f t="shared" si="9"/>
        <v>371342.05085315992</v>
      </c>
      <c r="P108" s="732">
        <f>'Func Future Subs 2015'!P108</f>
        <v>0</v>
      </c>
      <c r="Q108" s="732">
        <f>'Func Future Subs 2015'!Q108</f>
        <v>1</v>
      </c>
      <c r="R108" s="732">
        <f>'Func Future Subs 2015'!R108</f>
        <v>0</v>
      </c>
      <c r="S108" s="735">
        <f t="shared" si="10"/>
        <v>0</v>
      </c>
      <c r="T108" s="735">
        <f t="shared" si="11"/>
        <v>371342.05085315992</v>
      </c>
      <c r="U108" s="735">
        <f t="shared" si="12"/>
        <v>0</v>
      </c>
      <c r="V108" s="736">
        <f t="shared" si="13"/>
        <v>0</v>
      </c>
      <c r="W108" s="735">
        <f t="shared" si="14"/>
        <v>0</v>
      </c>
      <c r="X108" s="737">
        <f t="shared" si="15"/>
        <v>0</v>
      </c>
      <c r="Y108" s="738">
        <f t="shared" si="16"/>
        <v>371342.05085315992</v>
      </c>
    </row>
    <row r="109" spans="1:25">
      <c r="A109" s="754" t="str">
        <f>'Func Future Subs 2015'!A109</f>
        <v>Piper Creek 247S</v>
      </c>
      <c r="B109" s="754">
        <f>'Func Future Subs 2015'!B109</f>
        <v>813</v>
      </c>
      <c r="C109" s="754">
        <f>'Func Future Subs 2015'!C109</f>
        <v>138</v>
      </c>
      <c r="D109" s="754">
        <f>'Func Future Subs 2015'!D109</f>
        <v>138</v>
      </c>
      <c r="E109" s="754" t="str">
        <f>'Func Future Subs 2015'!E109</f>
        <v>247S</v>
      </c>
      <c r="F109" s="754">
        <f>'Func Future Subs 2015'!F109</f>
        <v>1998667.7936525263</v>
      </c>
      <c r="G109" s="754" t="str">
        <f>'Func Future Subs 2015'!G109</f>
        <v>AltaLink</v>
      </c>
      <c r="H109" s="754">
        <f>'Func Future Subs 2015'!H109</f>
        <v>2017</v>
      </c>
      <c r="I109" s="306">
        <f>+IF($H109=I$2,VLOOKUP($G109,Depreciation!$A$14:$L$18,7,FALSE)/2,IF($H109&lt;I$2,VLOOKUP($G109,Depreciation!$A$14:$L$18,7,FALSE),0))</f>
        <v>0</v>
      </c>
      <c r="J109" s="306">
        <f>+IF($H109=J$2,VLOOKUP($G109,Depreciation!$A$14:$L$18,8,FALSE)/2,IF($H109&lt;J$2,VLOOKUP($G109,Depreciation!$A$14:$L$18,8,FALSE),0))</f>
        <v>0</v>
      </c>
      <c r="K109" s="306">
        <f>+IF($H109=K$2,VLOOKUP($G109,Depreciation!$A$14:$L$18,9,FALSE)/2,IF($H109&lt;K$2,VLOOKUP($G109,Depreciation!$A$14:$L$18,9,FALSE),0))</f>
        <v>1.671703928371859E-2</v>
      </c>
      <c r="L109" s="306">
        <f>+IF($H109=L$2,VLOOKUP($G109,Depreciation!$A$14:$L$18,10,FALSE)/2,IF($H109&lt;L$2,VLOOKUP($G109,Depreciation!$A$14:$L$18,10,FALSE),0))</f>
        <v>3.343407856743718E-2</v>
      </c>
      <c r="M109" s="306">
        <f>+IF($H109=M$2,VLOOKUP($G109,Depreciation!$A$14:$L$18,11,FALSE)/2,IF($H109&lt;M$2,VLOOKUP($G109,Depreciation!$A$14:$L$18,11,FALSE),0))</f>
        <v>3.343407856743718E-2</v>
      </c>
      <c r="N109" s="306">
        <f>+IF($H109=N$2,VLOOKUP($G109,Depreciation!$A$14:$L$18,12,FALSE)/2,IF($H109&lt;N$2,VLOOKUP($G109,Depreciation!$A$14:$L$18,12,FALSE),0))</f>
        <v>3.343407856743718E-2</v>
      </c>
      <c r="O109" s="307">
        <f t="shared" si="9"/>
        <v>1899549.462602223</v>
      </c>
      <c r="P109" s="732">
        <f>'Func Future Subs 2015'!P109</f>
        <v>0</v>
      </c>
      <c r="Q109" s="732">
        <f>'Func Future Subs 2015'!Q109</f>
        <v>0</v>
      </c>
      <c r="R109" s="732">
        <f>'Func Future Subs 2015'!R109</f>
        <v>1</v>
      </c>
      <c r="S109" s="735">
        <f t="shared" si="10"/>
        <v>0</v>
      </c>
      <c r="T109" s="735">
        <f t="shared" si="11"/>
        <v>0</v>
      </c>
      <c r="U109" s="735">
        <f t="shared" si="12"/>
        <v>1899549.462602223</v>
      </c>
      <c r="V109" s="736">
        <f t="shared" si="13"/>
        <v>0</v>
      </c>
      <c r="W109" s="735">
        <f t="shared" si="14"/>
        <v>0</v>
      </c>
      <c r="X109" s="737">
        <f t="shared" si="15"/>
        <v>1899549.462602223</v>
      </c>
      <c r="Y109" s="738">
        <f t="shared" si="16"/>
        <v>0</v>
      </c>
    </row>
    <row r="110" spans="1:25">
      <c r="A110" s="754" t="str">
        <f>'Func Future Subs 2015'!A110</f>
        <v>Ponoka 331S</v>
      </c>
      <c r="B110" s="754">
        <f>'Func Future Subs 2015'!B110</f>
        <v>813</v>
      </c>
      <c r="C110" s="754">
        <f>'Func Future Subs 2015'!C110</f>
        <v>138</v>
      </c>
      <c r="D110" s="754">
        <f>'Func Future Subs 2015'!D110</f>
        <v>25</v>
      </c>
      <c r="E110" s="754" t="str">
        <f>'Func Future Subs 2015'!E110</f>
        <v>331S</v>
      </c>
      <c r="F110" s="754">
        <f>'Func Future Subs 2015'!F110</f>
        <v>3179107.2356748986</v>
      </c>
      <c r="G110" s="754" t="str">
        <f>'Func Future Subs 2015'!G110</f>
        <v>AltaLink</v>
      </c>
      <c r="H110" s="754">
        <f>'Func Future Subs 2015'!H110</f>
        <v>2017</v>
      </c>
      <c r="I110" s="306">
        <f>+IF($H110=I$2,VLOOKUP($G110,Depreciation!$A$14:$L$18,7,FALSE)/2,IF($H110&lt;I$2,VLOOKUP($G110,Depreciation!$A$14:$L$18,7,FALSE),0))</f>
        <v>0</v>
      </c>
      <c r="J110" s="306">
        <f>+IF($H110=J$2,VLOOKUP($G110,Depreciation!$A$14:$L$18,8,FALSE)/2,IF($H110&lt;J$2,VLOOKUP($G110,Depreciation!$A$14:$L$18,8,FALSE),0))</f>
        <v>0</v>
      </c>
      <c r="K110" s="306">
        <f>+IF($H110=K$2,VLOOKUP($G110,Depreciation!$A$14:$L$18,9,FALSE)/2,IF($H110&lt;K$2,VLOOKUP($G110,Depreciation!$A$14:$L$18,9,FALSE),0))</f>
        <v>1.671703928371859E-2</v>
      </c>
      <c r="L110" s="306">
        <f>+IF($H110=L$2,VLOOKUP($G110,Depreciation!$A$14:$L$18,10,FALSE)/2,IF($H110&lt;L$2,VLOOKUP($G110,Depreciation!$A$14:$L$18,10,FALSE),0))</f>
        <v>3.343407856743718E-2</v>
      </c>
      <c r="M110" s="306">
        <f>+IF($H110=M$2,VLOOKUP($G110,Depreciation!$A$14:$L$18,11,FALSE)/2,IF($H110&lt;M$2,VLOOKUP($G110,Depreciation!$A$14:$L$18,11,FALSE),0))</f>
        <v>3.343407856743718E-2</v>
      </c>
      <c r="N110" s="306">
        <f>+IF($H110=N$2,VLOOKUP($G110,Depreciation!$A$14:$L$18,12,FALSE)/2,IF($H110&lt;N$2,VLOOKUP($G110,Depreciation!$A$14:$L$18,12,FALSE),0))</f>
        <v>3.343407856743718E-2</v>
      </c>
      <c r="O110" s="307">
        <f t="shared" si="9"/>
        <v>3021448.3168536844</v>
      </c>
      <c r="P110" s="732">
        <f>'Func Future Subs 2015'!P110</f>
        <v>0</v>
      </c>
      <c r="Q110" s="732">
        <f>'Func Future Subs 2015'!Q110</f>
        <v>1</v>
      </c>
      <c r="R110" s="732">
        <f>'Func Future Subs 2015'!R110</f>
        <v>0</v>
      </c>
      <c r="S110" s="735">
        <f t="shared" si="10"/>
        <v>0</v>
      </c>
      <c r="T110" s="735">
        <f t="shared" si="11"/>
        <v>3021448.3168536844</v>
      </c>
      <c r="U110" s="735">
        <f t="shared" si="12"/>
        <v>0</v>
      </c>
      <c r="V110" s="736">
        <f t="shared" si="13"/>
        <v>0</v>
      </c>
      <c r="W110" s="735">
        <f t="shared" si="14"/>
        <v>0</v>
      </c>
      <c r="X110" s="737">
        <f t="shared" si="15"/>
        <v>0</v>
      </c>
      <c r="Y110" s="738">
        <f t="shared" si="16"/>
        <v>3021448.3168536844</v>
      </c>
    </row>
    <row r="111" spans="1:25">
      <c r="A111" s="754" t="str">
        <f>'Func Future Subs 2015'!A111</f>
        <v>Prentiss 276S</v>
      </c>
      <c r="B111" s="754">
        <f>'Func Future Subs 2015'!B111</f>
        <v>813</v>
      </c>
      <c r="C111" s="754">
        <f>'Func Future Subs 2015'!C111</f>
        <v>138</v>
      </c>
      <c r="D111" s="754">
        <f>'Func Future Subs 2015'!D111</f>
        <v>25</v>
      </c>
      <c r="E111" s="754" t="str">
        <f>'Func Future Subs 2015'!E111</f>
        <v>276S</v>
      </c>
      <c r="F111" s="754">
        <f>'Func Future Subs 2015'!F111</f>
        <v>4288175.2445767764</v>
      </c>
      <c r="G111" s="754" t="str">
        <f>'Func Future Subs 2015'!G111</f>
        <v>AltaLink</v>
      </c>
      <c r="H111" s="754">
        <f>'Func Future Subs 2015'!H111</f>
        <v>2017</v>
      </c>
      <c r="I111" s="306">
        <f>+IF($H111=I$2,VLOOKUP($G111,Depreciation!$A$14:$L$18,7,FALSE)/2,IF($H111&lt;I$2,VLOOKUP($G111,Depreciation!$A$14:$L$18,7,FALSE),0))</f>
        <v>0</v>
      </c>
      <c r="J111" s="306">
        <f>+IF($H111=J$2,VLOOKUP($G111,Depreciation!$A$14:$L$18,8,FALSE)/2,IF($H111&lt;J$2,VLOOKUP($G111,Depreciation!$A$14:$L$18,8,FALSE),0))</f>
        <v>0</v>
      </c>
      <c r="K111" s="306">
        <f>+IF($H111=K$2,VLOOKUP($G111,Depreciation!$A$14:$L$18,9,FALSE)/2,IF($H111&lt;K$2,VLOOKUP($G111,Depreciation!$A$14:$L$18,9,FALSE),0))</f>
        <v>1.671703928371859E-2</v>
      </c>
      <c r="L111" s="306">
        <f>+IF($H111=L$2,VLOOKUP($G111,Depreciation!$A$14:$L$18,10,FALSE)/2,IF($H111&lt;L$2,VLOOKUP($G111,Depreciation!$A$14:$L$18,10,FALSE),0))</f>
        <v>3.343407856743718E-2</v>
      </c>
      <c r="M111" s="306">
        <f>+IF($H111=M$2,VLOOKUP($G111,Depreciation!$A$14:$L$18,11,FALSE)/2,IF($H111&lt;M$2,VLOOKUP($G111,Depreciation!$A$14:$L$18,11,FALSE),0))</f>
        <v>3.343407856743718E-2</v>
      </c>
      <c r="N111" s="306">
        <f>+IF($H111=N$2,VLOOKUP($G111,Depreciation!$A$14:$L$18,12,FALSE)/2,IF($H111&lt;N$2,VLOOKUP($G111,Depreciation!$A$14:$L$18,12,FALSE),0))</f>
        <v>3.343407856743718E-2</v>
      </c>
      <c r="O111" s="307">
        <f t="shared" si="9"/>
        <v>4075515.2043021847</v>
      </c>
      <c r="P111" s="732">
        <f>'Func Future Subs 2015'!P111</f>
        <v>0</v>
      </c>
      <c r="Q111" s="732">
        <f>'Func Future Subs 2015'!Q111</f>
        <v>0</v>
      </c>
      <c r="R111" s="732">
        <f>'Func Future Subs 2015'!R111</f>
        <v>1</v>
      </c>
      <c r="S111" s="735">
        <f t="shared" si="10"/>
        <v>0</v>
      </c>
      <c r="T111" s="735">
        <f t="shared" si="11"/>
        <v>0</v>
      </c>
      <c r="U111" s="735">
        <f t="shared" si="12"/>
        <v>4075515.2043021847</v>
      </c>
      <c r="V111" s="736">
        <f t="shared" si="13"/>
        <v>0</v>
      </c>
      <c r="W111" s="735">
        <f t="shared" si="14"/>
        <v>0</v>
      </c>
      <c r="X111" s="737">
        <f t="shared" si="15"/>
        <v>0</v>
      </c>
      <c r="Y111" s="738">
        <f t="shared" si="16"/>
        <v>4075515.2043021847</v>
      </c>
    </row>
    <row r="112" spans="1:25">
      <c r="A112" s="754" t="str">
        <f>'Func Future Subs 2015'!A112</f>
        <v>RAS in 256S_(v2)</v>
      </c>
      <c r="B112" s="754">
        <f>'Func Future Subs 2015'!B112</f>
        <v>813</v>
      </c>
      <c r="C112" s="754">
        <f>'Func Future Subs 2015'!C112</f>
        <v>138</v>
      </c>
      <c r="D112" s="754">
        <f>'Func Future Subs 2015'!D112</f>
        <v>25</v>
      </c>
      <c r="E112" s="754" t="str">
        <f>'Func Future Subs 2015'!E112</f>
        <v>256S</v>
      </c>
      <c r="F112" s="754">
        <f>'Func Future Subs 2015'!F112</f>
        <v>140996.12247626696</v>
      </c>
      <c r="G112" s="754" t="str">
        <f>'Func Future Subs 2015'!G112</f>
        <v>AltaLink</v>
      </c>
      <c r="H112" s="754">
        <f>'Func Future Subs 2015'!H112</f>
        <v>2017</v>
      </c>
      <c r="I112" s="306">
        <f>+IF($H112=I$2,VLOOKUP($G112,Depreciation!$A$14:$L$18,7,FALSE)/2,IF($H112&lt;I$2,VLOOKUP($G112,Depreciation!$A$14:$L$18,7,FALSE),0))</f>
        <v>0</v>
      </c>
      <c r="J112" s="306">
        <f>+IF($H112=J$2,VLOOKUP($G112,Depreciation!$A$14:$L$18,8,FALSE)/2,IF($H112&lt;J$2,VLOOKUP($G112,Depreciation!$A$14:$L$18,8,FALSE),0))</f>
        <v>0</v>
      </c>
      <c r="K112" s="306">
        <f>+IF($H112=K$2,VLOOKUP($G112,Depreciation!$A$14:$L$18,9,FALSE)/2,IF($H112&lt;K$2,VLOOKUP($G112,Depreciation!$A$14:$L$18,9,FALSE),0))</f>
        <v>1.671703928371859E-2</v>
      </c>
      <c r="L112" s="306">
        <f>+IF($H112=L$2,VLOOKUP($G112,Depreciation!$A$14:$L$18,10,FALSE)/2,IF($H112&lt;L$2,VLOOKUP($G112,Depreciation!$A$14:$L$18,10,FALSE),0))</f>
        <v>3.343407856743718E-2</v>
      </c>
      <c r="M112" s="306">
        <f>+IF($H112=M$2,VLOOKUP($G112,Depreciation!$A$14:$L$18,11,FALSE)/2,IF($H112&lt;M$2,VLOOKUP($G112,Depreciation!$A$14:$L$18,11,FALSE),0))</f>
        <v>3.343407856743718E-2</v>
      </c>
      <c r="N112" s="306">
        <f>+IF($H112=N$2,VLOOKUP($G112,Depreciation!$A$14:$L$18,12,FALSE)/2,IF($H112&lt;N$2,VLOOKUP($G112,Depreciation!$A$14:$L$18,12,FALSE),0))</f>
        <v>3.343407856743718E-2</v>
      </c>
      <c r="O112" s="307">
        <f t="shared" si="9"/>
        <v>134003.81470566333</v>
      </c>
      <c r="P112" s="732">
        <f>'Func Future Subs 2015'!P112</f>
        <v>0.54510993176648981</v>
      </c>
      <c r="Q112" s="732">
        <f>'Func Future Subs 2015'!Q112</f>
        <v>0.45489006823351025</v>
      </c>
      <c r="R112" s="732">
        <f>'Func Future Subs 2015'!R112</f>
        <v>0</v>
      </c>
      <c r="S112" s="735">
        <f t="shared" si="10"/>
        <v>73046.810290653477</v>
      </c>
      <c r="T112" s="735">
        <f t="shared" si="11"/>
        <v>60957.004415009855</v>
      </c>
      <c r="U112" s="735">
        <f t="shared" si="12"/>
        <v>0</v>
      </c>
      <c r="V112" s="736">
        <f t="shared" si="13"/>
        <v>0</v>
      </c>
      <c r="W112" s="735">
        <f t="shared" si="14"/>
        <v>73046.810290653477</v>
      </c>
      <c r="X112" s="737">
        <f t="shared" si="15"/>
        <v>0</v>
      </c>
      <c r="Y112" s="738">
        <f t="shared" si="16"/>
        <v>60957.004415009855</v>
      </c>
    </row>
    <row r="113" spans="1:25">
      <c r="A113" s="754" t="str">
        <f>'Func Future Subs 2015'!A113</f>
        <v>Red Deer 217S</v>
      </c>
      <c r="B113" s="754">
        <f>'Func Future Subs 2015'!B113</f>
        <v>813</v>
      </c>
      <c r="C113" s="754">
        <f>'Func Future Subs 2015'!C113</f>
        <v>138</v>
      </c>
      <c r="D113" s="754">
        <f>'Func Future Subs 2015'!D113</f>
        <v>25</v>
      </c>
      <c r="E113" s="754" t="str">
        <f>'Func Future Subs 2015'!E113</f>
        <v>217S</v>
      </c>
      <c r="F113" s="754">
        <f>'Func Future Subs 2015'!F113</f>
        <v>2898997.8882702999</v>
      </c>
      <c r="G113" s="754" t="str">
        <f>'Func Future Subs 2015'!G113</f>
        <v>AltaLink</v>
      </c>
      <c r="H113" s="754">
        <f>'Func Future Subs 2015'!H113</f>
        <v>2017</v>
      </c>
      <c r="I113" s="306">
        <f>+IF($H113=I$2,VLOOKUP($G113,Depreciation!$A$14:$L$18,7,FALSE)/2,IF($H113&lt;I$2,VLOOKUP($G113,Depreciation!$A$14:$L$18,7,FALSE),0))</f>
        <v>0</v>
      </c>
      <c r="J113" s="306">
        <f>+IF($H113=J$2,VLOOKUP($G113,Depreciation!$A$14:$L$18,8,FALSE)/2,IF($H113&lt;J$2,VLOOKUP($G113,Depreciation!$A$14:$L$18,8,FALSE),0))</f>
        <v>0</v>
      </c>
      <c r="K113" s="306">
        <f>+IF($H113=K$2,VLOOKUP($G113,Depreciation!$A$14:$L$18,9,FALSE)/2,IF($H113&lt;K$2,VLOOKUP($G113,Depreciation!$A$14:$L$18,9,FALSE),0))</f>
        <v>1.671703928371859E-2</v>
      </c>
      <c r="L113" s="306">
        <f>+IF($H113=L$2,VLOOKUP($G113,Depreciation!$A$14:$L$18,10,FALSE)/2,IF($H113&lt;L$2,VLOOKUP($G113,Depreciation!$A$14:$L$18,10,FALSE),0))</f>
        <v>3.343407856743718E-2</v>
      </c>
      <c r="M113" s="306">
        <f>+IF($H113=M$2,VLOOKUP($G113,Depreciation!$A$14:$L$18,11,FALSE)/2,IF($H113&lt;M$2,VLOOKUP($G113,Depreciation!$A$14:$L$18,11,FALSE),0))</f>
        <v>3.343407856743718E-2</v>
      </c>
      <c r="N113" s="306">
        <f>+IF($H113=N$2,VLOOKUP($G113,Depreciation!$A$14:$L$18,12,FALSE)/2,IF($H113&lt;N$2,VLOOKUP($G113,Depreciation!$A$14:$L$18,12,FALSE),0))</f>
        <v>3.343407856743718E-2</v>
      </c>
      <c r="O113" s="307">
        <f t="shared" si="9"/>
        <v>2755230.2079603118</v>
      </c>
      <c r="P113" s="732">
        <f>'Func Future Subs 2015'!P113</f>
        <v>0</v>
      </c>
      <c r="Q113" s="732">
        <f>'Func Future Subs 2015'!Q113</f>
        <v>1</v>
      </c>
      <c r="R113" s="732">
        <f>'Func Future Subs 2015'!R113</f>
        <v>0</v>
      </c>
      <c r="S113" s="735">
        <f t="shared" si="10"/>
        <v>0</v>
      </c>
      <c r="T113" s="735">
        <f t="shared" si="11"/>
        <v>2755230.2079603118</v>
      </c>
      <c r="U113" s="735">
        <f t="shared" si="12"/>
        <v>0</v>
      </c>
      <c r="V113" s="736">
        <f t="shared" si="13"/>
        <v>0</v>
      </c>
      <c r="W113" s="735">
        <f t="shared" si="14"/>
        <v>0</v>
      </c>
      <c r="X113" s="737">
        <f t="shared" si="15"/>
        <v>0</v>
      </c>
      <c r="Y113" s="738">
        <f t="shared" si="16"/>
        <v>2755230.2079603118</v>
      </c>
    </row>
    <row r="114" spans="1:25">
      <c r="A114" s="754" t="str">
        <f>'Func Future Subs 2015'!A114</f>
        <v>Red Deer 63S (648L)</v>
      </c>
      <c r="B114" s="754">
        <f>'Func Future Subs 2015'!B114</f>
        <v>813</v>
      </c>
      <c r="C114" s="754">
        <f>'Func Future Subs 2015'!C114</f>
        <v>138</v>
      </c>
      <c r="D114" s="754">
        <f>'Func Future Subs 2015'!D114</f>
        <v>25</v>
      </c>
      <c r="E114" s="754" t="str">
        <f>'Func Future Subs 2015'!E114</f>
        <v>63S</v>
      </c>
      <c r="F114" s="754">
        <f>'Func Future Subs 2015'!F114</f>
        <v>759143.11811538937</v>
      </c>
      <c r="G114" s="754" t="str">
        <f>'Func Future Subs 2015'!G114</f>
        <v>AltaLink</v>
      </c>
      <c r="H114" s="754">
        <f>'Func Future Subs 2015'!H114</f>
        <v>2017</v>
      </c>
      <c r="I114" s="306">
        <f>+IF($H114=I$2,VLOOKUP($G114,Depreciation!$A$14:$L$18,7,FALSE)/2,IF($H114&lt;I$2,VLOOKUP($G114,Depreciation!$A$14:$L$18,7,FALSE),0))</f>
        <v>0</v>
      </c>
      <c r="J114" s="306">
        <f>+IF($H114=J$2,VLOOKUP($G114,Depreciation!$A$14:$L$18,8,FALSE)/2,IF($H114&lt;J$2,VLOOKUP($G114,Depreciation!$A$14:$L$18,8,FALSE),0))</f>
        <v>0</v>
      </c>
      <c r="K114" s="306">
        <f>+IF($H114=K$2,VLOOKUP($G114,Depreciation!$A$14:$L$18,9,FALSE)/2,IF($H114&lt;K$2,VLOOKUP($G114,Depreciation!$A$14:$L$18,9,FALSE),0))</f>
        <v>1.671703928371859E-2</v>
      </c>
      <c r="L114" s="306">
        <f>+IF($H114=L$2,VLOOKUP($G114,Depreciation!$A$14:$L$18,10,FALSE)/2,IF($H114&lt;L$2,VLOOKUP($G114,Depreciation!$A$14:$L$18,10,FALSE),0))</f>
        <v>3.343407856743718E-2</v>
      </c>
      <c r="M114" s="306">
        <f>+IF($H114=M$2,VLOOKUP($G114,Depreciation!$A$14:$L$18,11,FALSE)/2,IF($H114&lt;M$2,VLOOKUP($G114,Depreciation!$A$14:$L$18,11,FALSE),0))</f>
        <v>3.343407856743718E-2</v>
      </c>
      <c r="N114" s="306">
        <f>+IF($H114=N$2,VLOOKUP($G114,Depreciation!$A$14:$L$18,12,FALSE)/2,IF($H114&lt;N$2,VLOOKUP($G114,Depreciation!$A$14:$L$18,12,FALSE),0))</f>
        <v>3.343407856743718E-2</v>
      </c>
      <c r="O114" s="307">
        <f t="shared" si="9"/>
        <v>721495.5414971601</v>
      </c>
      <c r="P114" s="732">
        <f>'Func Future Subs 2015'!P114</f>
        <v>0</v>
      </c>
      <c r="Q114" s="732">
        <f>'Func Future Subs 2015'!Q114</f>
        <v>1</v>
      </c>
      <c r="R114" s="732">
        <f>'Func Future Subs 2015'!R114</f>
        <v>0</v>
      </c>
      <c r="S114" s="735">
        <f t="shared" si="10"/>
        <v>0</v>
      </c>
      <c r="T114" s="735">
        <f t="shared" si="11"/>
        <v>721495.5414971601</v>
      </c>
      <c r="U114" s="735">
        <f t="shared" si="12"/>
        <v>0</v>
      </c>
      <c r="V114" s="736">
        <f t="shared" si="13"/>
        <v>0</v>
      </c>
      <c r="W114" s="735">
        <f t="shared" si="14"/>
        <v>0</v>
      </c>
      <c r="X114" s="737">
        <f t="shared" si="15"/>
        <v>0</v>
      </c>
      <c r="Y114" s="738">
        <f t="shared" si="16"/>
        <v>721495.5414971601</v>
      </c>
    </row>
    <row r="115" spans="1:25">
      <c r="A115" s="754" t="str">
        <f>'Func Future Subs 2015'!A115</f>
        <v>Red Deer 63S (755/427L)</v>
      </c>
      <c r="B115" s="754">
        <f>'Func Future Subs 2015'!B115</f>
        <v>813</v>
      </c>
      <c r="C115" s="754">
        <f>'Func Future Subs 2015'!C115</f>
        <v>138</v>
      </c>
      <c r="D115" s="754">
        <f>'Func Future Subs 2015'!D115</f>
        <v>25</v>
      </c>
      <c r="E115" s="754" t="str">
        <f>'Func Future Subs 2015'!E115</f>
        <v>63S</v>
      </c>
      <c r="F115" s="754">
        <f>'Func Future Subs 2015'!F115</f>
        <v>682001.5541498533</v>
      </c>
      <c r="G115" s="754" t="str">
        <f>'Func Future Subs 2015'!G115</f>
        <v>AltaLink</v>
      </c>
      <c r="H115" s="754">
        <f>'Func Future Subs 2015'!H115</f>
        <v>2017</v>
      </c>
      <c r="I115" s="306">
        <f>+IF($H115=I$2,VLOOKUP($G115,Depreciation!$A$14:$L$18,7,FALSE)/2,IF($H115&lt;I$2,VLOOKUP($G115,Depreciation!$A$14:$L$18,7,FALSE),0))</f>
        <v>0</v>
      </c>
      <c r="J115" s="306">
        <f>+IF($H115=J$2,VLOOKUP($G115,Depreciation!$A$14:$L$18,8,FALSE)/2,IF($H115&lt;J$2,VLOOKUP($G115,Depreciation!$A$14:$L$18,8,FALSE),0))</f>
        <v>0</v>
      </c>
      <c r="K115" s="306">
        <f>+IF($H115=K$2,VLOOKUP($G115,Depreciation!$A$14:$L$18,9,FALSE)/2,IF($H115&lt;K$2,VLOOKUP($G115,Depreciation!$A$14:$L$18,9,FALSE),0))</f>
        <v>1.671703928371859E-2</v>
      </c>
      <c r="L115" s="306">
        <f>+IF($H115=L$2,VLOOKUP($G115,Depreciation!$A$14:$L$18,10,FALSE)/2,IF($H115&lt;L$2,VLOOKUP($G115,Depreciation!$A$14:$L$18,10,FALSE),0))</f>
        <v>3.343407856743718E-2</v>
      </c>
      <c r="M115" s="306">
        <f>+IF($H115=M$2,VLOOKUP($G115,Depreciation!$A$14:$L$18,11,FALSE)/2,IF($H115&lt;M$2,VLOOKUP($G115,Depreciation!$A$14:$L$18,11,FALSE),0))</f>
        <v>3.343407856743718E-2</v>
      </c>
      <c r="N115" s="306">
        <f>+IF($H115=N$2,VLOOKUP($G115,Depreciation!$A$14:$L$18,12,FALSE)/2,IF($H115&lt;N$2,VLOOKUP($G115,Depreciation!$A$14:$L$18,12,FALSE),0))</f>
        <v>3.343407856743718E-2</v>
      </c>
      <c r="O115" s="307">
        <f t="shared" si="9"/>
        <v>648179.59732654807</v>
      </c>
      <c r="P115" s="732">
        <f>'Func Future Subs 2015'!P115</f>
        <v>0</v>
      </c>
      <c r="Q115" s="732">
        <f>'Func Future Subs 2015'!Q115</f>
        <v>1</v>
      </c>
      <c r="R115" s="732">
        <f>'Func Future Subs 2015'!R115</f>
        <v>0</v>
      </c>
      <c r="S115" s="735">
        <f t="shared" si="10"/>
        <v>0</v>
      </c>
      <c r="T115" s="735">
        <f t="shared" si="11"/>
        <v>648179.59732654807</v>
      </c>
      <c r="U115" s="735">
        <f t="shared" si="12"/>
        <v>0</v>
      </c>
      <c r="V115" s="736">
        <f t="shared" si="13"/>
        <v>0</v>
      </c>
      <c r="W115" s="735">
        <f t="shared" si="14"/>
        <v>0</v>
      </c>
      <c r="X115" s="737">
        <f t="shared" si="15"/>
        <v>0</v>
      </c>
      <c r="Y115" s="738">
        <f t="shared" si="16"/>
        <v>648179.59732654807</v>
      </c>
    </row>
    <row r="116" spans="1:25">
      <c r="A116" s="754" t="str">
        <f>'Func Future Subs 2015'!A116</f>
        <v>Red Deer 63S (80/426L)</v>
      </c>
      <c r="B116" s="754">
        <f>'Func Future Subs 2015'!B116</f>
        <v>813</v>
      </c>
      <c r="C116" s="754">
        <f>'Func Future Subs 2015'!C116</f>
        <v>138</v>
      </c>
      <c r="D116" s="754">
        <f>'Func Future Subs 2015'!D116</f>
        <v>25</v>
      </c>
      <c r="E116" s="754" t="str">
        <f>'Func Future Subs 2015'!E116</f>
        <v>63S</v>
      </c>
      <c r="F116" s="754">
        <f>'Func Future Subs 2015'!F116</f>
        <v>1044917.5482604436</v>
      </c>
      <c r="G116" s="754" t="str">
        <f>'Func Future Subs 2015'!G116</f>
        <v>AltaLink</v>
      </c>
      <c r="H116" s="754">
        <f>'Func Future Subs 2015'!H116</f>
        <v>2017</v>
      </c>
      <c r="I116" s="306">
        <f>+IF($H116=I$2,VLOOKUP($G116,Depreciation!$A$14:$L$18,7,FALSE)/2,IF($H116&lt;I$2,VLOOKUP($G116,Depreciation!$A$14:$L$18,7,FALSE),0))</f>
        <v>0</v>
      </c>
      <c r="J116" s="306">
        <f>+IF($H116=J$2,VLOOKUP($G116,Depreciation!$A$14:$L$18,8,FALSE)/2,IF($H116&lt;J$2,VLOOKUP($G116,Depreciation!$A$14:$L$18,8,FALSE),0))</f>
        <v>0</v>
      </c>
      <c r="K116" s="306">
        <f>+IF($H116=K$2,VLOOKUP($G116,Depreciation!$A$14:$L$18,9,FALSE)/2,IF($H116&lt;K$2,VLOOKUP($G116,Depreciation!$A$14:$L$18,9,FALSE),0))</f>
        <v>1.671703928371859E-2</v>
      </c>
      <c r="L116" s="306">
        <f>+IF($H116=L$2,VLOOKUP($G116,Depreciation!$A$14:$L$18,10,FALSE)/2,IF($H116&lt;L$2,VLOOKUP($G116,Depreciation!$A$14:$L$18,10,FALSE),0))</f>
        <v>3.343407856743718E-2</v>
      </c>
      <c r="M116" s="306">
        <f>+IF($H116=M$2,VLOOKUP($G116,Depreciation!$A$14:$L$18,11,FALSE)/2,IF($H116&lt;M$2,VLOOKUP($G116,Depreciation!$A$14:$L$18,11,FALSE),0))</f>
        <v>3.343407856743718E-2</v>
      </c>
      <c r="N116" s="306">
        <f>+IF($H116=N$2,VLOOKUP($G116,Depreciation!$A$14:$L$18,12,FALSE)/2,IF($H116&lt;N$2,VLOOKUP($G116,Depreciation!$A$14:$L$18,12,FALSE),0))</f>
        <v>3.343407856743718E-2</v>
      </c>
      <c r="O116" s="307">
        <f t="shared" si="9"/>
        <v>993097.78922010958</v>
      </c>
      <c r="P116" s="732">
        <f>'Func Future Subs 2015'!P116</f>
        <v>0</v>
      </c>
      <c r="Q116" s="732">
        <f>'Func Future Subs 2015'!Q116</f>
        <v>1</v>
      </c>
      <c r="R116" s="732">
        <f>'Func Future Subs 2015'!R116</f>
        <v>0</v>
      </c>
      <c r="S116" s="735">
        <f t="shared" si="10"/>
        <v>0</v>
      </c>
      <c r="T116" s="735">
        <f t="shared" si="11"/>
        <v>993097.78922010958</v>
      </c>
      <c r="U116" s="735">
        <f t="shared" si="12"/>
        <v>0</v>
      </c>
      <c r="V116" s="736">
        <f t="shared" si="13"/>
        <v>0</v>
      </c>
      <c r="W116" s="735">
        <f t="shared" si="14"/>
        <v>0</v>
      </c>
      <c r="X116" s="737">
        <f t="shared" si="15"/>
        <v>0</v>
      </c>
      <c r="Y116" s="738">
        <f t="shared" si="16"/>
        <v>993097.78922010958</v>
      </c>
    </row>
    <row r="117" spans="1:25">
      <c r="A117" s="754" t="str">
        <f>'Func Future Subs 2015'!A117</f>
        <v>Red Deer 63S (GD Hazel)</v>
      </c>
      <c r="B117" s="754">
        <f>'Func Future Subs 2015'!B117</f>
        <v>813</v>
      </c>
      <c r="C117" s="754">
        <f>'Func Future Subs 2015'!C117</f>
        <v>240</v>
      </c>
      <c r="D117" s="754">
        <f>'Func Future Subs 2015'!D117</f>
        <v>25</v>
      </c>
      <c r="E117" s="754" t="str">
        <f>'Func Future Subs 2015'!E117</f>
        <v>63S</v>
      </c>
      <c r="F117" s="754">
        <f>'Func Future Subs 2015'!F117</f>
        <v>406209.69551666273</v>
      </c>
      <c r="G117" s="754" t="str">
        <f>'Func Future Subs 2015'!G117</f>
        <v>AltaLink</v>
      </c>
      <c r="H117" s="754">
        <f>'Func Future Subs 2015'!H117</f>
        <v>2017</v>
      </c>
      <c r="I117" s="306">
        <f>+IF($H117=I$2,VLOOKUP($G117,Depreciation!$A$14:$L$18,7,FALSE)/2,IF($H117&lt;I$2,VLOOKUP($G117,Depreciation!$A$14:$L$18,7,FALSE),0))</f>
        <v>0</v>
      </c>
      <c r="J117" s="306">
        <f>+IF($H117=J$2,VLOOKUP($G117,Depreciation!$A$14:$L$18,8,FALSE)/2,IF($H117&lt;J$2,VLOOKUP($G117,Depreciation!$A$14:$L$18,8,FALSE),0))</f>
        <v>0</v>
      </c>
      <c r="K117" s="306">
        <f>+IF($H117=K$2,VLOOKUP($G117,Depreciation!$A$14:$L$18,9,FALSE)/2,IF($H117&lt;K$2,VLOOKUP($G117,Depreciation!$A$14:$L$18,9,FALSE),0))</f>
        <v>1.671703928371859E-2</v>
      </c>
      <c r="L117" s="306">
        <f>+IF($H117=L$2,VLOOKUP($G117,Depreciation!$A$14:$L$18,10,FALSE)/2,IF($H117&lt;L$2,VLOOKUP($G117,Depreciation!$A$14:$L$18,10,FALSE),0))</f>
        <v>3.343407856743718E-2</v>
      </c>
      <c r="M117" s="306">
        <f>+IF($H117=M$2,VLOOKUP($G117,Depreciation!$A$14:$L$18,11,FALSE)/2,IF($H117&lt;M$2,VLOOKUP($G117,Depreciation!$A$14:$L$18,11,FALSE),0))</f>
        <v>3.343407856743718E-2</v>
      </c>
      <c r="N117" s="306">
        <f>+IF($H117=N$2,VLOOKUP($G117,Depreciation!$A$14:$L$18,12,FALSE)/2,IF($H117&lt;N$2,VLOOKUP($G117,Depreciation!$A$14:$L$18,12,FALSE),0))</f>
        <v>3.343407856743718E-2</v>
      </c>
      <c r="O117" s="307">
        <f t="shared" si="9"/>
        <v>386064.86344205169</v>
      </c>
      <c r="P117" s="732">
        <f>'Func Future Subs 2015'!P117</f>
        <v>0</v>
      </c>
      <c r="Q117" s="732">
        <f>'Func Future Subs 2015'!Q117</f>
        <v>1</v>
      </c>
      <c r="R117" s="732">
        <f>'Func Future Subs 2015'!R117</f>
        <v>0</v>
      </c>
      <c r="S117" s="735">
        <f t="shared" si="10"/>
        <v>0</v>
      </c>
      <c r="T117" s="735">
        <f t="shared" si="11"/>
        <v>386064.86344205169</v>
      </c>
      <c r="U117" s="735">
        <f t="shared" si="12"/>
        <v>0</v>
      </c>
      <c r="V117" s="736">
        <f t="shared" si="13"/>
        <v>0</v>
      </c>
      <c r="W117" s="735">
        <f t="shared" si="14"/>
        <v>0</v>
      </c>
      <c r="X117" s="737">
        <f t="shared" si="15"/>
        <v>0</v>
      </c>
      <c r="Y117" s="738">
        <f t="shared" si="16"/>
        <v>386064.86344205169</v>
      </c>
    </row>
    <row r="118" spans="1:25">
      <c r="A118" s="754" t="str">
        <f>'Func Future Subs 2015'!A118</f>
        <v>Red Deer 63S (GD Wolf)</v>
      </c>
      <c r="B118" s="754">
        <f>'Func Future Subs 2015'!B118</f>
        <v>813</v>
      </c>
      <c r="C118" s="754">
        <f>'Func Future Subs 2015'!C118</f>
        <v>240</v>
      </c>
      <c r="D118" s="754">
        <f>'Func Future Subs 2015'!D118</f>
        <v>25</v>
      </c>
      <c r="E118" s="754" t="str">
        <f>'Func Future Subs 2015'!E118</f>
        <v>63S</v>
      </c>
      <c r="F118" s="754">
        <f>'Func Future Subs 2015'!F118</f>
        <v>89503.831215535858</v>
      </c>
      <c r="G118" s="754" t="str">
        <f>'Func Future Subs 2015'!G118</f>
        <v>AltaLink</v>
      </c>
      <c r="H118" s="754">
        <f>'Func Future Subs 2015'!H118</f>
        <v>2017</v>
      </c>
      <c r="I118" s="306">
        <f>+IF($H118=I$2,VLOOKUP($G118,Depreciation!$A$14:$L$18,7,FALSE)/2,IF($H118&lt;I$2,VLOOKUP($G118,Depreciation!$A$14:$L$18,7,FALSE),0))</f>
        <v>0</v>
      </c>
      <c r="J118" s="306">
        <f>+IF($H118=J$2,VLOOKUP($G118,Depreciation!$A$14:$L$18,8,FALSE)/2,IF($H118&lt;J$2,VLOOKUP($G118,Depreciation!$A$14:$L$18,8,FALSE),0))</f>
        <v>0</v>
      </c>
      <c r="K118" s="306">
        <f>+IF($H118=K$2,VLOOKUP($G118,Depreciation!$A$14:$L$18,9,FALSE)/2,IF($H118&lt;K$2,VLOOKUP($G118,Depreciation!$A$14:$L$18,9,FALSE),0))</f>
        <v>1.671703928371859E-2</v>
      </c>
      <c r="L118" s="306">
        <f>+IF($H118=L$2,VLOOKUP($G118,Depreciation!$A$14:$L$18,10,FALSE)/2,IF($H118&lt;L$2,VLOOKUP($G118,Depreciation!$A$14:$L$18,10,FALSE),0))</f>
        <v>3.343407856743718E-2</v>
      </c>
      <c r="M118" s="306">
        <f>+IF($H118=M$2,VLOOKUP($G118,Depreciation!$A$14:$L$18,11,FALSE)/2,IF($H118&lt;M$2,VLOOKUP($G118,Depreciation!$A$14:$L$18,11,FALSE),0))</f>
        <v>3.343407856743718E-2</v>
      </c>
      <c r="N118" s="306">
        <f>+IF($H118=N$2,VLOOKUP($G118,Depreciation!$A$14:$L$18,12,FALSE)/2,IF($H118&lt;N$2,VLOOKUP($G118,Depreciation!$A$14:$L$18,12,FALSE),0))</f>
        <v>3.343407856743718E-2</v>
      </c>
      <c r="O118" s="307">
        <f t="shared" si="9"/>
        <v>85065.139402485976</v>
      </c>
      <c r="P118" s="732">
        <f>'Func Future Subs 2015'!P118</f>
        <v>0</v>
      </c>
      <c r="Q118" s="732">
        <f>'Func Future Subs 2015'!Q118</f>
        <v>1</v>
      </c>
      <c r="R118" s="732">
        <f>'Func Future Subs 2015'!R118</f>
        <v>0</v>
      </c>
      <c r="S118" s="735">
        <f t="shared" si="10"/>
        <v>0</v>
      </c>
      <c r="T118" s="735">
        <f t="shared" si="11"/>
        <v>85065.139402485976</v>
      </c>
      <c r="U118" s="735">
        <f t="shared" si="12"/>
        <v>0</v>
      </c>
      <c r="V118" s="736">
        <f t="shared" si="13"/>
        <v>0</v>
      </c>
      <c r="W118" s="735">
        <f t="shared" si="14"/>
        <v>0</v>
      </c>
      <c r="X118" s="737">
        <f t="shared" si="15"/>
        <v>0</v>
      </c>
      <c r="Y118" s="738">
        <f t="shared" si="16"/>
        <v>85065.139402485976</v>
      </c>
    </row>
    <row r="119" spans="1:25">
      <c r="A119" s="754" t="str">
        <f>'Func Future Subs 2015'!A119</f>
        <v>Shell Caroline 378S RAS_(v2)</v>
      </c>
      <c r="B119" s="754">
        <f>'Func Future Subs 2015'!B119</f>
        <v>813</v>
      </c>
      <c r="C119" s="754">
        <f>'Func Future Subs 2015'!C119</f>
        <v>138</v>
      </c>
      <c r="D119" s="754">
        <f>'Func Future Subs 2015'!D119</f>
        <v>25</v>
      </c>
      <c r="E119" s="754" t="str">
        <f>'Func Future Subs 2015'!E119</f>
        <v>378S</v>
      </c>
      <c r="F119" s="754">
        <f>'Func Future Subs 2015'!F119</f>
        <v>107820.56424655707</v>
      </c>
      <c r="G119" s="754" t="str">
        <f>'Func Future Subs 2015'!G119</f>
        <v>AltaLink</v>
      </c>
      <c r="H119" s="754">
        <f>'Func Future Subs 2015'!H119</f>
        <v>2017</v>
      </c>
      <c r="I119" s="306">
        <f>+IF($H119=I$2,VLOOKUP($G119,Depreciation!$A$14:$L$18,7,FALSE)/2,IF($H119&lt;I$2,VLOOKUP($G119,Depreciation!$A$14:$L$18,7,FALSE),0))</f>
        <v>0</v>
      </c>
      <c r="J119" s="306">
        <f>+IF($H119=J$2,VLOOKUP($G119,Depreciation!$A$14:$L$18,8,FALSE)/2,IF($H119&lt;J$2,VLOOKUP($G119,Depreciation!$A$14:$L$18,8,FALSE),0))</f>
        <v>0</v>
      </c>
      <c r="K119" s="306">
        <f>+IF($H119=K$2,VLOOKUP($G119,Depreciation!$A$14:$L$18,9,FALSE)/2,IF($H119&lt;K$2,VLOOKUP($G119,Depreciation!$A$14:$L$18,9,FALSE),0))</f>
        <v>1.671703928371859E-2</v>
      </c>
      <c r="L119" s="306">
        <f>+IF($H119=L$2,VLOOKUP($G119,Depreciation!$A$14:$L$18,10,FALSE)/2,IF($H119&lt;L$2,VLOOKUP($G119,Depreciation!$A$14:$L$18,10,FALSE),0))</f>
        <v>3.343407856743718E-2</v>
      </c>
      <c r="M119" s="306">
        <f>+IF($H119=M$2,VLOOKUP($G119,Depreciation!$A$14:$L$18,11,FALSE)/2,IF($H119&lt;M$2,VLOOKUP($G119,Depreciation!$A$14:$L$18,11,FALSE),0))</f>
        <v>3.343407856743718E-2</v>
      </c>
      <c r="N119" s="306">
        <f>+IF($H119=N$2,VLOOKUP($G119,Depreciation!$A$14:$L$18,12,FALSE)/2,IF($H119&lt;N$2,VLOOKUP($G119,Depreciation!$A$14:$L$18,12,FALSE),0))</f>
        <v>3.343407856743718E-2</v>
      </c>
      <c r="O119" s="307">
        <f t="shared" si="9"/>
        <v>102473.50536315431</v>
      </c>
      <c r="P119" s="732">
        <f>'Func Future Subs 2015'!P119</f>
        <v>0.31207004377736086</v>
      </c>
      <c r="Q119" s="732">
        <f>'Func Future Subs 2015'!Q119</f>
        <v>0.68792995622263919</v>
      </c>
      <c r="R119" s="732">
        <f>'Func Future Subs 2015'!R119</f>
        <v>0</v>
      </c>
      <c r="S119" s="735">
        <f t="shared" si="10"/>
        <v>31978.911304699188</v>
      </c>
      <c r="T119" s="735">
        <f t="shared" si="11"/>
        <v>70494.594058455128</v>
      </c>
      <c r="U119" s="735">
        <f t="shared" si="12"/>
        <v>0</v>
      </c>
      <c r="V119" s="736">
        <f t="shared" si="13"/>
        <v>0</v>
      </c>
      <c r="W119" s="735">
        <f t="shared" si="14"/>
        <v>31978.911304699188</v>
      </c>
      <c r="X119" s="737">
        <f t="shared" si="15"/>
        <v>0</v>
      </c>
      <c r="Y119" s="738">
        <f t="shared" si="16"/>
        <v>70494.594058455128</v>
      </c>
    </row>
    <row r="120" spans="1:25">
      <c r="A120" s="754" t="str">
        <f>'Func Future Subs 2015'!A120</f>
        <v>South Red Deer 194S (80/425L)</v>
      </c>
      <c r="B120" s="754">
        <f>'Func Future Subs 2015'!B120</f>
        <v>813</v>
      </c>
      <c r="C120" s="754">
        <f>'Func Future Subs 2015'!C120</f>
        <v>138</v>
      </c>
      <c r="D120" s="754">
        <f>'Func Future Subs 2015'!D120</f>
        <v>138</v>
      </c>
      <c r="E120" s="754" t="str">
        <f>'Func Future Subs 2015'!E120</f>
        <v>194S</v>
      </c>
      <c r="F120" s="754">
        <f>'Func Future Subs 2015'!F120</f>
        <v>1236018.2408114308</v>
      </c>
      <c r="G120" s="754" t="str">
        <f>'Func Future Subs 2015'!G120</f>
        <v>AltaLink</v>
      </c>
      <c r="H120" s="754">
        <f>'Func Future Subs 2015'!H120</f>
        <v>2017</v>
      </c>
      <c r="I120" s="306">
        <f>+IF($H120=I$2,VLOOKUP($G120,Depreciation!$A$14:$L$18,7,FALSE)/2,IF($H120&lt;I$2,VLOOKUP($G120,Depreciation!$A$14:$L$18,7,FALSE),0))</f>
        <v>0</v>
      </c>
      <c r="J120" s="306">
        <f>+IF($H120=J$2,VLOOKUP($G120,Depreciation!$A$14:$L$18,8,FALSE)/2,IF($H120&lt;J$2,VLOOKUP($G120,Depreciation!$A$14:$L$18,8,FALSE),0))</f>
        <v>0</v>
      </c>
      <c r="K120" s="306">
        <f>+IF($H120=K$2,VLOOKUP($G120,Depreciation!$A$14:$L$18,9,FALSE)/2,IF($H120&lt;K$2,VLOOKUP($G120,Depreciation!$A$14:$L$18,9,FALSE),0))</f>
        <v>1.671703928371859E-2</v>
      </c>
      <c r="L120" s="306">
        <f>+IF($H120=L$2,VLOOKUP($G120,Depreciation!$A$14:$L$18,10,FALSE)/2,IF($H120&lt;L$2,VLOOKUP($G120,Depreciation!$A$14:$L$18,10,FALSE),0))</f>
        <v>3.343407856743718E-2</v>
      </c>
      <c r="M120" s="306">
        <f>+IF($H120=M$2,VLOOKUP($G120,Depreciation!$A$14:$L$18,11,FALSE)/2,IF($H120&lt;M$2,VLOOKUP($G120,Depreciation!$A$14:$L$18,11,FALSE),0))</f>
        <v>3.343407856743718E-2</v>
      </c>
      <c r="N120" s="306">
        <f>+IF($H120=N$2,VLOOKUP($G120,Depreciation!$A$14:$L$18,12,FALSE)/2,IF($H120&lt;N$2,VLOOKUP($G120,Depreciation!$A$14:$L$18,12,FALSE),0))</f>
        <v>3.343407856743718E-2</v>
      </c>
      <c r="O120" s="307">
        <f t="shared" si="9"/>
        <v>1174721.3781882171</v>
      </c>
      <c r="P120" s="732">
        <f>'Func Future Subs 2015'!P120</f>
        <v>0</v>
      </c>
      <c r="Q120" s="732">
        <f>'Func Future Subs 2015'!Q120</f>
        <v>0</v>
      </c>
      <c r="R120" s="732">
        <f>'Func Future Subs 2015'!R120</f>
        <v>1</v>
      </c>
      <c r="S120" s="735">
        <f t="shared" si="10"/>
        <v>0</v>
      </c>
      <c r="T120" s="735">
        <f t="shared" si="11"/>
        <v>0</v>
      </c>
      <c r="U120" s="735">
        <f t="shared" si="12"/>
        <v>1174721.3781882171</v>
      </c>
      <c r="V120" s="736">
        <f t="shared" si="13"/>
        <v>0</v>
      </c>
      <c r="W120" s="735">
        <f t="shared" si="14"/>
        <v>0</v>
      </c>
      <c r="X120" s="737">
        <f t="shared" si="15"/>
        <v>1174721.3781882171</v>
      </c>
      <c r="Y120" s="738">
        <f t="shared" si="16"/>
        <v>0</v>
      </c>
    </row>
    <row r="121" spans="1:25">
      <c r="A121" s="754" t="str">
        <f>'Func Future Subs 2015'!A121</f>
        <v>South Red Deer 194S (80/426L)</v>
      </c>
      <c r="B121" s="754">
        <f>'Func Future Subs 2015'!B121</f>
        <v>813</v>
      </c>
      <c r="C121" s="754">
        <f>'Func Future Subs 2015'!C121</f>
        <v>138</v>
      </c>
      <c r="D121" s="754">
        <f>'Func Future Subs 2015'!D121</f>
        <v>138</v>
      </c>
      <c r="E121" s="754" t="str">
        <f>'Func Future Subs 2015'!E121</f>
        <v>194S</v>
      </c>
      <c r="F121" s="754">
        <f>'Func Future Subs 2015'!F121</f>
        <v>1628738.9300905238</v>
      </c>
      <c r="G121" s="754" t="str">
        <f>'Func Future Subs 2015'!G121</f>
        <v>AltaLink</v>
      </c>
      <c r="H121" s="754">
        <f>'Func Future Subs 2015'!H121</f>
        <v>2017</v>
      </c>
      <c r="I121" s="306">
        <f>+IF($H121=I$2,VLOOKUP($G121,Depreciation!$A$14:$L$18,7,FALSE)/2,IF($H121&lt;I$2,VLOOKUP($G121,Depreciation!$A$14:$L$18,7,FALSE),0))</f>
        <v>0</v>
      </c>
      <c r="J121" s="306">
        <f>+IF($H121=J$2,VLOOKUP($G121,Depreciation!$A$14:$L$18,8,FALSE)/2,IF($H121&lt;J$2,VLOOKUP($G121,Depreciation!$A$14:$L$18,8,FALSE),0))</f>
        <v>0</v>
      </c>
      <c r="K121" s="306">
        <f>+IF($H121=K$2,VLOOKUP($G121,Depreciation!$A$14:$L$18,9,FALSE)/2,IF($H121&lt;K$2,VLOOKUP($G121,Depreciation!$A$14:$L$18,9,FALSE),0))</f>
        <v>1.671703928371859E-2</v>
      </c>
      <c r="L121" s="306">
        <f>+IF($H121=L$2,VLOOKUP($G121,Depreciation!$A$14:$L$18,10,FALSE)/2,IF($H121&lt;L$2,VLOOKUP($G121,Depreciation!$A$14:$L$18,10,FALSE),0))</f>
        <v>3.343407856743718E-2</v>
      </c>
      <c r="M121" s="306">
        <f>+IF($H121=M$2,VLOOKUP($G121,Depreciation!$A$14:$L$18,11,FALSE)/2,IF($H121&lt;M$2,VLOOKUP($G121,Depreciation!$A$14:$L$18,11,FALSE),0))</f>
        <v>3.343407856743718E-2</v>
      </c>
      <c r="N121" s="306">
        <f>+IF($H121=N$2,VLOOKUP($G121,Depreciation!$A$14:$L$18,12,FALSE)/2,IF($H121&lt;N$2,VLOOKUP($G121,Depreciation!$A$14:$L$18,12,FALSE),0))</f>
        <v>3.343407856743718E-2</v>
      </c>
      <c r="O121" s="307">
        <f t="shared" si="9"/>
        <v>1547966.1848749698</v>
      </c>
      <c r="P121" s="732">
        <f>'Func Future Subs 2015'!P121</f>
        <v>0</v>
      </c>
      <c r="Q121" s="732">
        <f>'Func Future Subs 2015'!Q121</f>
        <v>0</v>
      </c>
      <c r="R121" s="732">
        <f>'Func Future Subs 2015'!R121</f>
        <v>1</v>
      </c>
      <c r="S121" s="735">
        <f t="shared" si="10"/>
        <v>0</v>
      </c>
      <c r="T121" s="735">
        <f t="shared" si="11"/>
        <v>0</v>
      </c>
      <c r="U121" s="735">
        <f t="shared" si="12"/>
        <v>1547966.1848749698</v>
      </c>
      <c r="V121" s="736">
        <f t="shared" si="13"/>
        <v>0</v>
      </c>
      <c r="W121" s="735">
        <f t="shared" si="14"/>
        <v>0</v>
      </c>
      <c r="X121" s="737">
        <f t="shared" si="15"/>
        <v>1547966.1848749698</v>
      </c>
      <c r="Y121" s="738">
        <f t="shared" si="16"/>
        <v>0</v>
      </c>
    </row>
    <row r="122" spans="1:25">
      <c r="A122" s="754" t="str">
        <f>'Func Future Subs 2015'!A122</f>
        <v>Substation Harmattan 256S_(v2)</v>
      </c>
      <c r="B122" s="754">
        <f>'Func Future Subs 2015'!B122</f>
        <v>813</v>
      </c>
      <c r="C122" s="754">
        <f>'Func Future Subs 2015'!C122</f>
        <v>138</v>
      </c>
      <c r="D122" s="754">
        <f>'Func Future Subs 2015'!D122</f>
        <v>25</v>
      </c>
      <c r="E122" s="754" t="str">
        <f>'Func Future Subs 2015'!E122</f>
        <v>256S</v>
      </c>
      <c r="F122" s="754">
        <f>'Func Future Subs 2015'!F122</f>
        <v>5094521.6606498221</v>
      </c>
      <c r="G122" s="754" t="str">
        <f>'Func Future Subs 2015'!G122</f>
        <v>AltaLink</v>
      </c>
      <c r="H122" s="754">
        <f>'Func Future Subs 2015'!H122</f>
        <v>2017</v>
      </c>
      <c r="I122" s="306">
        <f>+IF($H122=I$2,VLOOKUP($G122,Depreciation!$A$14:$L$18,7,FALSE)/2,IF($H122&lt;I$2,VLOOKUP($G122,Depreciation!$A$14:$L$18,7,FALSE),0))</f>
        <v>0</v>
      </c>
      <c r="J122" s="306">
        <f>+IF($H122=J$2,VLOOKUP($G122,Depreciation!$A$14:$L$18,8,FALSE)/2,IF($H122&lt;J$2,VLOOKUP($G122,Depreciation!$A$14:$L$18,8,FALSE),0))</f>
        <v>0</v>
      </c>
      <c r="K122" s="306">
        <f>+IF($H122=K$2,VLOOKUP($G122,Depreciation!$A$14:$L$18,9,FALSE)/2,IF($H122&lt;K$2,VLOOKUP($G122,Depreciation!$A$14:$L$18,9,FALSE),0))</f>
        <v>1.671703928371859E-2</v>
      </c>
      <c r="L122" s="306">
        <f>+IF($H122=L$2,VLOOKUP($G122,Depreciation!$A$14:$L$18,10,FALSE)/2,IF($H122&lt;L$2,VLOOKUP($G122,Depreciation!$A$14:$L$18,10,FALSE),0))</f>
        <v>3.343407856743718E-2</v>
      </c>
      <c r="M122" s="306">
        <f>+IF($H122=M$2,VLOOKUP($G122,Depreciation!$A$14:$L$18,11,FALSE)/2,IF($H122&lt;M$2,VLOOKUP($G122,Depreciation!$A$14:$L$18,11,FALSE),0))</f>
        <v>3.343407856743718E-2</v>
      </c>
      <c r="N122" s="306">
        <f>+IF($H122=N$2,VLOOKUP($G122,Depreciation!$A$14:$L$18,12,FALSE)/2,IF($H122&lt;N$2,VLOOKUP($G122,Depreciation!$A$14:$L$18,12,FALSE),0))</f>
        <v>3.343407856743718E-2</v>
      </c>
      <c r="O122" s="307">
        <f t="shared" si="9"/>
        <v>4841873.128409042</v>
      </c>
      <c r="P122" s="732">
        <f>'Func Future Subs 2015'!P122</f>
        <v>0.54510993176648981</v>
      </c>
      <c r="Q122" s="732">
        <f>'Func Future Subs 2015'!Q122</f>
        <v>0.45489006823351025</v>
      </c>
      <c r="R122" s="732">
        <f>'Func Future Subs 2015'!R122</f>
        <v>0</v>
      </c>
      <c r="S122" s="735">
        <f t="shared" si="10"/>
        <v>2639353.1306490535</v>
      </c>
      <c r="T122" s="735">
        <f t="shared" si="11"/>
        <v>2202519.997759989</v>
      </c>
      <c r="U122" s="735">
        <f t="shared" si="12"/>
        <v>0</v>
      </c>
      <c r="V122" s="736">
        <f t="shared" si="13"/>
        <v>0</v>
      </c>
      <c r="W122" s="735">
        <f t="shared" si="14"/>
        <v>2639353.1306490535</v>
      </c>
      <c r="X122" s="737">
        <f t="shared" si="15"/>
        <v>0</v>
      </c>
      <c r="Y122" s="738">
        <f t="shared" si="16"/>
        <v>2202519.997759989</v>
      </c>
    </row>
    <row r="123" spans="1:25">
      <c r="A123" s="754" t="str">
        <f>'Func Future Subs 2015'!A123</f>
        <v>Substation Johnson 281S_(v2)</v>
      </c>
      <c r="B123" s="754">
        <f>'Func Future Subs 2015'!B123</f>
        <v>813</v>
      </c>
      <c r="C123" s="754">
        <f>'Func Future Subs 2015'!C123</f>
        <v>240</v>
      </c>
      <c r="D123" s="754">
        <f>'Func Future Subs 2015'!D123</f>
        <v>138</v>
      </c>
      <c r="E123" s="754" t="str">
        <f>'Func Future Subs 2015'!E123</f>
        <v>281S</v>
      </c>
      <c r="F123" s="754">
        <f>'Func Future Subs 2015'!F123</f>
        <v>841829.79007888795</v>
      </c>
      <c r="G123" s="754" t="str">
        <f>'Func Future Subs 2015'!G123</f>
        <v>AltaLink</v>
      </c>
      <c r="H123" s="754">
        <f>'Func Future Subs 2015'!H123</f>
        <v>2017</v>
      </c>
      <c r="I123" s="306">
        <f>+IF($H123=I$2,VLOOKUP($G123,Depreciation!$A$14:$L$18,7,FALSE)/2,IF($H123&lt;I$2,VLOOKUP($G123,Depreciation!$A$14:$L$18,7,FALSE),0))</f>
        <v>0</v>
      </c>
      <c r="J123" s="306">
        <f>+IF($H123=J$2,VLOOKUP($G123,Depreciation!$A$14:$L$18,8,FALSE)/2,IF($H123&lt;J$2,VLOOKUP($G123,Depreciation!$A$14:$L$18,8,FALSE),0))</f>
        <v>0</v>
      </c>
      <c r="K123" s="306">
        <f>+IF($H123=K$2,VLOOKUP($G123,Depreciation!$A$14:$L$18,9,FALSE)/2,IF($H123&lt;K$2,VLOOKUP($G123,Depreciation!$A$14:$L$18,9,FALSE),0))</f>
        <v>1.671703928371859E-2</v>
      </c>
      <c r="L123" s="306">
        <f>+IF($H123=L$2,VLOOKUP($G123,Depreciation!$A$14:$L$18,10,FALSE)/2,IF($H123&lt;L$2,VLOOKUP($G123,Depreciation!$A$14:$L$18,10,FALSE),0))</f>
        <v>3.343407856743718E-2</v>
      </c>
      <c r="M123" s="306">
        <f>+IF($H123=M$2,VLOOKUP($G123,Depreciation!$A$14:$L$18,11,FALSE)/2,IF($H123&lt;M$2,VLOOKUP($G123,Depreciation!$A$14:$L$18,11,FALSE),0))</f>
        <v>3.343407856743718E-2</v>
      </c>
      <c r="N123" s="306">
        <f>+IF($H123=N$2,VLOOKUP($G123,Depreciation!$A$14:$L$18,12,FALSE)/2,IF($H123&lt;N$2,VLOOKUP($G123,Depreciation!$A$14:$L$18,12,FALSE),0))</f>
        <v>3.343407856743718E-2</v>
      </c>
      <c r="O123" s="307">
        <f t="shared" si="9"/>
        <v>800081.59956616641</v>
      </c>
      <c r="P123" s="732">
        <f>'Func Future Subs 2015'!P123</f>
        <v>0</v>
      </c>
      <c r="Q123" s="732">
        <f>'Func Future Subs 2015'!Q123</f>
        <v>0</v>
      </c>
      <c r="R123" s="732">
        <f>'Func Future Subs 2015'!R123</f>
        <v>1</v>
      </c>
      <c r="S123" s="735">
        <f t="shared" si="10"/>
        <v>0</v>
      </c>
      <c r="T123" s="735">
        <f t="shared" si="11"/>
        <v>0</v>
      </c>
      <c r="U123" s="735">
        <f t="shared" si="12"/>
        <v>800081.59956616641</v>
      </c>
      <c r="V123" s="736">
        <f t="shared" si="13"/>
        <v>0</v>
      </c>
      <c r="W123" s="735">
        <f t="shared" si="14"/>
        <v>0</v>
      </c>
      <c r="X123" s="737">
        <f t="shared" si="15"/>
        <v>800081.59956616641</v>
      </c>
      <c r="Y123" s="738">
        <f t="shared" si="16"/>
        <v>0</v>
      </c>
    </row>
    <row r="124" spans="1:25">
      <c r="A124" s="754" t="str">
        <f>'Func Future Subs 2015'!A124</f>
        <v>Sundre 575S RAS_(v2)</v>
      </c>
      <c r="B124" s="754">
        <f>'Func Future Subs 2015'!B124</f>
        <v>813</v>
      </c>
      <c r="C124" s="754">
        <f>'Func Future Subs 2015'!C124</f>
        <v>138</v>
      </c>
      <c r="D124" s="754">
        <f>'Func Future Subs 2015'!D124</f>
        <v>25</v>
      </c>
      <c r="E124" s="754" t="str">
        <f>'Func Future Subs 2015'!E124</f>
        <v>575S</v>
      </c>
      <c r="F124" s="754">
        <f>'Func Future Subs 2015'!F124</f>
        <v>109894.03663591394</v>
      </c>
      <c r="G124" s="754" t="str">
        <f>'Func Future Subs 2015'!G124</f>
        <v>AltaLink</v>
      </c>
      <c r="H124" s="754">
        <f>'Func Future Subs 2015'!H124</f>
        <v>2017</v>
      </c>
      <c r="I124" s="306">
        <f>+IF($H124=I$2,VLOOKUP($G124,Depreciation!$A$14:$L$18,7,FALSE)/2,IF($H124&lt;I$2,VLOOKUP($G124,Depreciation!$A$14:$L$18,7,FALSE),0))</f>
        <v>0</v>
      </c>
      <c r="J124" s="306">
        <f>+IF($H124=J$2,VLOOKUP($G124,Depreciation!$A$14:$L$18,8,FALSE)/2,IF($H124&lt;J$2,VLOOKUP($G124,Depreciation!$A$14:$L$18,8,FALSE),0))</f>
        <v>0</v>
      </c>
      <c r="K124" s="306">
        <f>+IF($H124=K$2,VLOOKUP($G124,Depreciation!$A$14:$L$18,9,FALSE)/2,IF($H124&lt;K$2,VLOOKUP($G124,Depreciation!$A$14:$L$18,9,FALSE),0))</f>
        <v>1.671703928371859E-2</v>
      </c>
      <c r="L124" s="306">
        <f>+IF($H124=L$2,VLOOKUP($G124,Depreciation!$A$14:$L$18,10,FALSE)/2,IF($H124&lt;L$2,VLOOKUP($G124,Depreciation!$A$14:$L$18,10,FALSE),0))</f>
        <v>3.343407856743718E-2</v>
      </c>
      <c r="M124" s="306">
        <f>+IF($H124=M$2,VLOOKUP($G124,Depreciation!$A$14:$L$18,11,FALSE)/2,IF($H124&lt;M$2,VLOOKUP($G124,Depreciation!$A$14:$L$18,11,FALSE),0))</f>
        <v>3.343407856743718E-2</v>
      </c>
      <c r="N124" s="306">
        <f>+IF($H124=N$2,VLOOKUP($G124,Depreciation!$A$14:$L$18,12,FALSE)/2,IF($H124&lt;N$2,VLOOKUP($G124,Depreciation!$A$14:$L$18,12,FALSE),0))</f>
        <v>3.343407856743718E-2</v>
      </c>
      <c r="O124" s="307">
        <f t="shared" si="9"/>
        <v>104444.14969706112</v>
      </c>
      <c r="P124" s="732">
        <f>'Func Future Subs 2015'!P124</f>
        <v>0</v>
      </c>
      <c r="Q124" s="732">
        <f>'Func Future Subs 2015'!Q124</f>
        <v>1</v>
      </c>
      <c r="R124" s="732">
        <f>'Func Future Subs 2015'!R124</f>
        <v>0</v>
      </c>
      <c r="S124" s="735">
        <f t="shared" si="10"/>
        <v>0</v>
      </c>
      <c r="T124" s="735">
        <f t="shared" si="11"/>
        <v>104444.14969706112</v>
      </c>
      <c r="U124" s="735">
        <f t="shared" si="12"/>
        <v>0</v>
      </c>
      <c r="V124" s="736">
        <f t="shared" si="13"/>
        <v>0</v>
      </c>
      <c r="W124" s="735">
        <f t="shared" si="14"/>
        <v>0</v>
      </c>
      <c r="X124" s="737">
        <f t="shared" si="15"/>
        <v>0</v>
      </c>
      <c r="Y124" s="738">
        <f t="shared" si="16"/>
        <v>104444.14969706112</v>
      </c>
    </row>
    <row r="125" spans="1:25">
      <c r="A125" s="754" t="str">
        <f>'Func Future Subs 2015'!A125</f>
        <v>Sylvan Lake 580S</v>
      </c>
      <c r="B125" s="754">
        <f>'Func Future Subs 2015'!B125</f>
        <v>813</v>
      </c>
      <c r="C125" s="754">
        <f>'Func Future Subs 2015'!C125</f>
        <v>138</v>
      </c>
      <c r="D125" s="754">
        <f>'Func Future Subs 2015'!D125</f>
        <v>25</v>
      </c>
      <c r="E125" s="754" t="str">
        <f>'Func Future Subs 2015'!E125</f>
        <v>580S</v>
      </c>
      <c r="F125" s="754">
        <f>'Func Future Subs 2015'!F125</f>
        <v>932711.63703784568</v>
      </c>
      <c r="G125" s="754" t="str">
        <f>'Func Future Subs 2015'!G125</f>
        <v>AltaLink</v>
      </c>
      <c r="H125" s="754">
        <f>'Func Future Subs 2015'!H125</f>
        <v>2017</v>
      </c>
      <c r="I125" s="306">
        <f>+IF($H125=I$2,VLOOKUP($G125,Depreciation!$A$14:$L$18,7,FALSE)/2,IF($H125&lt;I$2,VLOOKUP($G125,Depreciation!$A$14:$L$18,7,FALSE),0))</f>
        <v>0</v>
      </c>
      <c r="J125" s="306">
        <f>+IF($H125=J$2,VLOOKUP($G125,Depreciation!$A$14:$L$18,8,FALSE)/2,IF($H125&lt;J$2,VLOOKUP($G125,Depreciation!$A$14:$L$18,8,FALSE),0))</f>
        <v>0</v>
      </c>
      <c r="K125" s="306">
        <f>+IF($H125=K$2,VLOOKUP($G125,Depreciation!$A$14:$L$18,9,FALSE)/2,IF($H125&lt;K$2,VLOOKUP($G125,Depreciation!$A$14:$L$18,9,FALSE),0))</f>
        <v>1.671703928371859E-2</v>
      </c>
      <c r="L125" s="306">
        <f>+IF($H125=L$2,VLOOKUP($G125,Depreciation!$A$14:$L$18,10,FALSE)/2,IF($H125&lt;L$2,VLOOKUP($G125,Depreciation!$A$14:$L$18,10,FALSE),0))</f>
        <v>3.343407856743718E-2</v>
      </c>
      <c r="M125" s="306">
        <f>+IF($H125=M$2,VLOOKUP($G125,Depreciation!$A$14:$L$18,11,FALSE)/2,IF($H125&lt;M$2,VLOOKUP($G125,Depreciation!$A$14:$L$18,11,FALSE),0))</f>
        <v>3.343407856743718E-2</v>
      </c>
      <c r="N125" s="306">
        <f>+IF($H125=N$2,VLOOKUP($G125,Depreciation!$A$14:$L$18,12,FALSE)/2,IF($H125&lt;N$2,VLOOKUP($G125,Depreciation!$A$14:$L$18,12,FALSE),0))</f>
        <v>3.343407856743718E-2</v>
      </c>
      <c r="O125" s="307">
        <f t="shared" si="9"/>
        <v>886456.41588103748</v>
      </c>
      <c r="P125" s="732">
        <f>'Func Future Subs 2015'!P125</f>
        <v>0</v>
      </c>
      <c r="Q125" s="732">
        <f>'Func Future Subs 2015'!Q125</f>
        <v>1</v>
      </c>
      <c r="R125" s="732">
        <f>'Func Future Subs 2015'!R125</f>
        <v>0</v>
      </c>
      <c r="S125" s="735">
        <f t="shared" si="10"/>
        <v>0</v>
      </c>
      <c r="T125" s="735">
        <f t="shared" si="11"/>
        <v>886456.41588103748</v>
      </c>
      <c r="U125" s="735">
        <f t="shared" si="12"/>
        <v>0</v>
      </c>
      <c r="V125" s="736">
        <f t="shared" si="13"/>
        <v>0</v>
      </c>
      <c r="W125" s="735">
        <f t="shared" si="14"/>
        <v>0</v>
      </c>
      <c r="X125" s="737">
        <f t="shared" si="15"/>
        <v>0</v>
      </c>
      <c r="Y125" s="738">
        <f t="shared" si="16"/>
        <v>886456.41588103748</v>
      </c>
    </row>
    <row r="126" spans="1:25">
      <c r="A126" s="754" t="str">
        <f>'Func Future Subs 2015'!A126</f>
        <v>Waiparous 639S</v>
      </c>
      <c r="B126" s="754">
        <f>'Func Future Subs 2015'!B126</f>
        <v>813</v>
      </c>
      <c r="C126" s="754">
        <f>'Func Future Subs 2015'!C126</f>
        <v>240</v>
      </c>
      <c r="D126" s="754">
        <f>'Func Future Subs 2015'!D126</f>
        <v>0</v>
      </c>
      <c r="E126" s="754" t="str">
        <f>'Func Future Subs 2015'!E126</f>
        <v>639S</v>
      </c>
      <c r="F126" s="754">
        <f>'Func Future Subs 2015'!F126</f>
        <v>957002.50299688336</v>
      </c>
      <c r="G126" s="754" t="str">
        <f>'Func Future Subs 2015'!G126</f>
        <v>AltaLink</v>
      </c>
      <c r="H126" s="754">
        <f>'Func Future Subs 2015'!H126</f>
        <v>2017</v>
      </c>
      <c r="I126" s="306">
        <f>+IF($H126=I$2,VLOOKUP($G126,Depreciation!$A$14:$L$18,7,FALSE)/2,IF($H126&lt;I$2,VLOOKUP($G126,Depreciation!$A$14:$L$18,7,FALSE),0))</f>
        <v>0</v>
      </c>
      <c r="J126" s="306">
        <f>+IF($H126=J$2,VLOOKUP($G126,Depreciation!$A$14:$L$18,8,FALSE)/2,IF($H126&lt;J$2,VLOOKUP($G126,Depreciation!$A$14:$L$18,8,FALSE),0))</f>
        <v>0</v>
      </c>
      <c r="K126" s="306">
        <f>+IF($H126=K$2,VLOOKUP($G126,Depreciation!$A$14:$L$18,9,FALSE)/2,IF($H126&lt;K$2,VLOOKUP($G126,Depreciation!$A$14:$L$18,9,FALSE),0))</f>
        <v>1.671703928371859E-2</v>
      </c>
      <c r="L126" s="306">
        <f>+IF($H126=L$2,VLOOKUP($G126,Depreciation!$A$14:$L$18,10,FALSE)/2,IF($H126&lt;L$2,VLOOKUP($G126,Depreciation!$A$14:$L$18,10,FALSE),0))</f>
        <v>3.343407856743718E-2</v>
      </c>
      <c r="M126" s="306">
        <f>+IF($H126=M$2,VLOOKUP($G126,Depreciation!$A$14:$L$18,11,FALSE)/2,IF($H126&lt;M$2,VLOOKUP($G126,Depreciation!$A$14:$L$18,11,FALSE),0))</f>
        <v>3.343407856743718E-2</v>
      </c>
      <c r="N126" s="306">
        <f>+IF($H126=N$2,VLOOKUP($G126,Depreciation!$A$14:$L$18,12,FALSE)/2,IF($H126&lt;N$2,VLOOKUP($G126,Depreciation!$A$14:$L$18,12,FALSE),0))</f>
        <v>3.343407856743718E-2</v>
      </c>
      <c r="O126" s="307">
        <f t="shared" si="9"/>
        <v>909542.64438042685</v>
      </c>
      <c r="P126" s="732">
        <f>'Func Future Subs 2015'!P126</f>
        <v>0</v>
      </c>
      <c r="Q126" s="732">
        <f>'Func Future Subs 2015'!Q126</f>
        <v>0</v>
      </c>
      <c r="R126" s="732">
        <f>'Func Future Subs 2015'!R126</f>
        <v>1</v>
      </c>
      <c r="S126" s="735">
        <f t="shared" si="10"/>
        <v>0</v>
      </c>
      <c r="T126" s="735">
        <f t="shared" si="11"/>
        <v>0</v>
      </c>
      <c r="U126" s="735">
        <f t="shared" si="12"/>
        <v>909542.64438042685</v>
      </c>
      <c r="V126" s="736">
        <f t="shared" si="13"/>
        <v>909542.64438042685</v>
      </c>
      <c r="W126" s="735">
        <f t="shared" si="14"/>
        <v>0</v>
      </c>
      <c r="X126" s="737">
        <f t="shared" si="15"/>
        <v>0</v>
      </c>
      <c r="Y126" s="738">
        <f t="shared" si="16"/>
        <v>0</v>
      </c>
    </row>
    <row r="127" spans="1:25">
      <c r="A127" s="754" t="str">
        <f>'Func Future Subs 2015'!A127</f>
        <v>Wolf Creek 288S</v>
      </c>
      <c r="B127" s="754">
        <f>'Func Future Subs 2015'!B127</f>
        <v>813</v>
      </c>
      <c r="C127" s="754">
        <f>'Func Future Subs 2015'!C127</f>
        <v>240</v>
      </c>
      <c r="D127" s="754">
        <f>'Func Future Subs 2015'!D127</f>
        <v>138</v>
      </c>
      <c r="E127" s="754" t="str">
        <f>'Func Future Subs 2015'!E127</f>
        <v>288S</v>
      </c>
      <c r="F127" s="754">
        <f>'Func Future Subs 2015'!F127</f>
        <v>35639737.099017024</v>
      </c>
      <c r="G127" s="754" t="str">
        <f>'Func Future Subs 2015'!G127</f>
        <v>AltaLink</v>
      </c>
      <c r="H127" s="754">
        <f>'Func Future Subs 2015'!H127</f>
        <v>2017</v>
      </c>
      <c r="I127" s="306">
        <f>+IF($H127=I$2,VLOOKUP($G127,Depreciation!$A$14:$L$18,7,FALSE)/2,IF($H127&lt;I$2,VLOOKUP($G127,Depreciation!$A$14:$L$18,7,FALSE),0))</f>
        <v>0</v>
      </c>
      <c r="J127" s="306">
        <f>+IF($H127=J$2,VLOOKUP($G127,Depreciation!$A$14:$L$18,8,FALSE)/2,IF($H127&lt;J$2,VLOOKUP($G127,Depreciation!$A$14:$L$18,8,FALSE),0))</f>
        <v>0</v>
      </c>
      <c r="K127" s="306">
        <f>+IF($H127=K$2,VLOOKUP($G127,Depreciation!$A$14:$L$18,9,FALSE)/2,IF($H127&lt;K$2,VLOOKUP($G127,Depreciation!$A$14:$L$18,9,FALSE),0))</f>
        <v>1.671703928371859E-2</v>
      </c>
      <c r="L127" s="306">
        <f>+IF($H127=L$2,VLOOKUP($G127,Depreciation!$A$14:$L$18,10,FALSE)/2,IF($H127&lt;L$2,VLOOKUP($G127,Depreciation!$A$14:$L$18,10,FALSE),0))</f>
        <v>3.343407856743718E-2</v>
      </c>
      <c r="M127" s="306">
        <f>+IF($H127=M$2,VLOOKUP($G127,Depreciation!$A$14:$L$18,11,FALSE)/2,IF($H127&lt;M$2,VLOOKUP($G127,Depreciation!$A$14:$L$18,11,FALSE),0))</f>
        <v>3.343407856743718E-2</v>
      </c>
      <c r="N127" s="306">
        <f>+IF($H127=N$2,VLOOKUP($G127,Depreciation!$A$14:$L$18,12,FALSE)/2,IF($H127&lt;N$2,VLOOKUP($G127,Depreciation!$A$14:$L$18,12,FALSE),0))</f>
        <v>3.343407856743718E-2</v>
      </c>
      <c r="O127" s="307">
        <f t="shared" si="9"/>
        <v>33872284.162843734</v>
      </c>
      <c r="P127" s="732">
        <f>'Func Future Subs 2015'!P127</f>
        <v>0</v>
      </c>
      <c r="Q127" s="732">
        <f>'Func Future Subs 2015'!Q127</f>
        <v>0</v>
      </c>
      <c r="R127" s="732">
        <f>'Func Future Subs 2015'!R127</f>
        <v>1</v>
      </c>
      <c r="S127" s="735">
        <f t="shared" si="10"/>
        <v>0</v>
      </c>
      <c r="T127" s="735">
        <f t="shared" si="11"/>
        <v>0</v>
      </c>
      <c r="U127" s="735">
        <f t="shared" si="12"/>
        <v>33872284.162843734</v>
      </c>
      <c r="V127" s="736">
        <f t="shared" si="13"/>
        <v>0</v>
      </c>
      <c r="W127" s="735">
        <f t="shared" si="14"/>
        <v>0</v>
      </c>
      <c r="X127" s="737">
        <f t="shared" si="15"/>
        <v>33872284.162843734</v>
      </c>
      <c r="Y127" s="738">
        <f t="shared" si="16"/>
        <v>0</v>
      </c>
    </row>
    <row r="128" spans="1:25">
      <c r="A128" s="754" t="str">
        <f>'Func Future Subs 2015'!A128</f>
        <v>Acheson 305S</v>
      </c>
      <c r="B128" s="754">
        <f>'Func Future Subs 2015'!B128</f>
        <v>850</v>
      </c>
      <c r="C128" s="754">
        <f>'Func Future Subs 2015'!C128</f>
        <v>138</v>
      </c>
      <c r="D128" s="754">
        <f>'Func Future Subs 2015'!D128</f>
        <v>25</v>
      </c>
      <c r="E128" s="754" t="str">
        <f>'Func Future Subs 2015'!E128</f>
        <v>305S</v>
      </c>
      <c r="F128" s="754">
        <f>'Func Future Subs 2015'!F128</f>
        <v>8772223.6609183215</v>
      </c>
      <c r="G128" s="754" t="str">
        <f>'Func Future Subs 2015'!G128</f>
        <v>AltaLink</v>
      </c>
      <c r="H128" s="754">
        <f>'Func Future Subs 2015'!H128</f>
        <v>2017</v>
      </c>
      <c r="I128" s="306">
        <f>+IF($H128=I$2,VLOOKUP($G128,Depreciation!$A$14:$L$18,7,FALSE)/2,IF($H128&lt;I$2,VLOOKUP($G128,Depreciation!$A$14:$L$18,7,FALSE),0))</f>
        <v>0</v>
      </c>
      <c r="J128" s="306">
        <f>+IF($H128=J$2,VLOOKUP($G128,Depreciation!$A$14:$L$18,8,FALSE)/2,IF($H128&lt;J$2,VLOOKUP($G128,Depreciation!$A$14:$L$18,8,FALSE),0))</f>
        <v>0</v>
      </c>
      <c r="K128" s="306">
        <f>+IF($H128=K$2,VLOOKUP($G128,Depreciation!$A$14:$L$18,9,FALSE)/2,IF($H128&lt;K$2,VLOOKUP($G128,Depreciation!$A$14:$L$18,9,FALSE),0))</f>
        <v>1.671703928371859E-2</v>
      </c>
      <c r="L128" s="306">
        <f>+IF($H128=L$2,VLOOKUP($G128,Depreciation!$A$14:$L$18,10,FALSE)/2,IF($H128&lt;L$2,VLOOKUP($G128,Depreciation!$A$14:$L$18,10,FALSE),0))</f>
        <v>3.343407856743718E-2</v>
      </c>
      <c r="M128" s="306">
        <f>+IF($H128=M$2,VLOOKUP($G128,Depreciation!$A$14:$L$18,11,FALSE)/2,IF($H128&lt;M$2,VLOOKUP($G128,Depreciation!$A$14:$L$18,11,FALSE),0))</f>
        <v>3.343407856743718E-2</v>
      </c>
      <c r="N128" s="306">
        <f>+IF($H128=N$2,VLOOKUP($G128,Depreciation!$A$14:$L$18,12,FALSE)/2,IF($H128&lt;N$2,VLOOKUP($G128,Depreciation!$A$14:$L$18,12,FALSE),0))</f>
        <v>3.343407856743718E-2</v>
      </c>
      <c r="O128" s="307">
        <f t="shared" si="9"/>
        <v>8337189.7990471432</v>
      </c>
      <c r="P128" s="732">
        <f>'Func Future Subs 2015'!P128</f>
        <v>0</v>
      </c>
      <c r="Q128" s="732">
        <f>'Func Future Subs 2015'!Q128</f>
        <v>1</v>
      </c>
      <c r="R128" s="732">
        <f>'Func Future Subs 2015'!R128</f>
        <v>0</v>
      </c>
      <c r="S128" s="735">
        <f t="shared" si="10"/>
        <v>0</v>
      </c>
      <c r="T128" s="735">
        <f t="shared" si="11"/>
        <v>8337189.7990471432</v>
      </c>
      <c r="U128" s="735">
        <f t="shared" si="12"/>
        <v>0</v>
      </c>
      <c r="V128" s="736">
        <f t="shared" si="13"/>
        <v>0</v>
      </c>
      <c r="W128" s="735">
        <f t="shared" si="14"/>
        <v>0</v>
      </c>
      <c r="X128" s="737">
        <f t="shared" si="15"/>
        <v>0</v>
      </c>
      <c r="Y128" s="738">
        <f t="shared" si="16"/>
        <v>8337189.7990471432</v>
      </c>
    </row>
    <row r="129" spans="1:25">
      <c r="A129" s="754" t="str">
        <f>'Func Future Subs 2015'!A129</f>
        <v xml:space="preserve">Bardo 197S </v>
      </c>
      <c r="B129" s="754">
        <f>'Func Future Subs 2015'!B129</f>
        <v>850</v>
      </c>
      <c r="C129" s="754">
        <f>'Func Future Subs 2015'!C129</f>
        <v>138</v>
      </c>
      <c r="D129" s="754">
        <f>'Func Future Subs 2015'!D129</f>
        <v>138</v>
      </c>
      <c r="E129" s="754" t="str">
        <f>'Func Future Subs 2015'!E129</f>
        <v>197S</v>
      </c>
      <c r="F129" s="754">
        <f>'Func Future Subs 2015'!F129</f>
        <v>1637012.1502390178</v>
      </c>
      <c r="G129" s="754" t="str">
        <f>'Func Future Subs 2015'!G129</f>
        <v>AltaLink</v>
      </c>
      <c r="H129" s="754">
        <f>'Func Future Subs 2015'!H129</f>
        <v>2017</v>
      </c>
      <c r="I129" s="306">
        <f>+IF($H129=I$2,VLOOKUP($G129,Depreciation!$A$14:$L$18,7,FALSE)/2,IF($H129&lt;I$2,VLOOKUP($G129,Depreciation!$A$14:$L$18,7,FALSE),0))</f>
        <v>0</v>
      </c>
      <c r="J129" s="306">
        <f>+IF($H129=J$2,VLOOKUP($G129,Depreciation!$A$14:$L$18,8,FALSE)/2,IF($H129&lt;J$2,VLOOKUP($G129,Depreciation!$A$14:$L$18,8,FALSE),0))</f>
        <v>0</v>
      </c>
      <c r="K129" s="306">
        <f>+IF($H129=K$2,VLOOKUP($G129,Depreciation!$A$14:$L$18,9,FALSE)/2,IF($H129&lt;K$2,VLOOKUP($G129,Depreciation!$A$14:$L$18,9,FALSE),0))</f>
        <v>1.671703928371859E-2</v>
      </c>
      <c r="L129" s="306">
        <f>+IF($H129=L$2,VLOOKUP($G129,Depreciation!$A$14:$L$18,10,FALSE)/2,IF($H129&lt;L$2,VLOOKUP($G129,Depreciation!$A$14:$L$18,10,FALSE),0))</f>
        <v>3.343407856743718E-2</v>
      </c>
      <c r="M129" s="306">
        <f>+IF($H129=M$2,VLOOKUP($G129,Depreciation!$A$14:$L$18,11,FALSE)/2,IF($H129&lt;M$2,VLOOKUP($G129,Depreciation!$A$14:$L$18,11,FALSE),0))</f>
        <v>3.343407856743718E-2</v>
      </c>
      <c r="N129" s="306">
        <f>+IF($H129=N$2,VLOOKUP($G129,Depreciation!$A$14:$L$18,12,FALSE)/2,IF($H129&lt;N$2,VLOOKUP($G129,Depreciation!$A$14:$L$18,12,FALSE),0))</f>
        <v>3.343407856743718E-2</v>
      </c>
      <c r="O129" s="307">
        <f t="shared" si="9"/>
        <v>1555829.1178431055</v>
      </c>
      <c r="P129" s="732">
        <f>'Func Future Subs 2015'!P129</f>
        <v>0</v>
      </c>
      <c r="Q129" s="732">
        <f>'Func Future Subs 2015'!Q129</f>
        <v>0</v>
      </c>
      <c r="R129" s="732">
        <f>'Func Future Subs 2015'!R129</f>
        <v>1</v>
      </c>
      <c r="S129" s="735">
        <f t="shared" si="10"/>
        <v>0</v>
      </c>
      <c r="T129" s="735">
        <f t="shared" si="11"/>
        <v>0</v>
      </c>
      <c r="U129" s="735">
        <f t="shared" si="12"/>
        <v>1555829.1178431055</v>
      </c>
      <c r="V129" s="736">
        <f t="shared" si="13"/>
        <v>0</v>
      </c>
      <c r="W129" s="735">
        <f t="shared" si="14"/>
        <v>0</v>
      </c>
      <c r="X129" s="737">
        <f t="shared" si="15"/>
        <v>1555829.1178431055</v>
      </c>
      <c r="Y129" s="738">
        <f t="shared" si="16"/>
        <v>0</v>
      </c>
    </row>
    <row r="130" spans="1:25">
      <c r="A130" s="754" t="str">
        <f>'Func Future Subs 2015'!A130</f>
        <v>Bigstone 86S</v>
      </c>
      <c r="B130" s="754">
        <f>'Func Future Subs 2015'!B130</f>
        <v>850</v>
      </c>
      <c r="C130" s="754">
        <f>'Func Future Subs 2015'!C130</f>
        <v>240</v>
      </c>
      <c r="D130" s="754">
        <f>'Func Future Subs 2015'!D130</f>
        <v>138</v>
      </c>
      <c r="E130" s="754" t="str">
        <f>'Func Future Subs 2015'!E130</f>
        <v>86S</v>
      </c>
      <c r="F130" s="754">
        <f>'Func Future Subs 2015'!F130</f>
        <v>413798.77575694869</v>
      </c>
      <c r="G130" s="754" t="str">
        <f>'Func Future Subs 2015'!G130</f>
        <v>AltaLink</v>
      </c>
      <c r="H130" s="754">
        <f>'Func Future Subs 2015'!H130</f>
        <v>2017</v>
      </c>
      <c r="I130" s="306">
        <f>+IF($H130=I$2,VLOOKUP($G130,Depreciation!$A$14:$L$18,7,FALSE)/2,IF($H130&lt;I$2,VLOOKUP($G130,Depreciation!$A$14:$L$18,7,FALSE),0))</f>
        <v>0</v>
      </c>
      <c r="J130" s="306">
        <f>+IF($H130=J$2,VLOOKUP($G130,Depreciation!$A$14:$L$18,8,FALSE)/2,IF($H130&lt;J$2,VLOOKUP($G130,Depreciation!$A$14:$L$18,8,FALSE),0))</f>
        <v>0</v>
      </c>
      <c r="K130" s="306">
        <f>+IF($H130=K$2,VLOOKUP($G130,Depreciation!$A$14:$L$18,9,FALSE)/2,IF($H130&lt;K$2,VLOOKUP($G130,Depreciation!$A$14:$L$18,9,FALSE),0))</f>
        <v>1.671703928371859E-2</v>
      </c>
      <c r="L130" s="306">
        <f>+IF($H130=L$2,VLOOKUP($G130,Depreciation!$A$14:$L$18,10,FALSE)/2,IF($H130&lt;L$2,VLOOKUP($G130,Depreciation!$A$14:$L$18,10,FALSE),0))</f>
        <v>3.343407856743718E-2</v>
      </c>
      <c r="M130" s="306">
        <f>+IF($H130=M$2,VLOOKUP($G130,Depreciation!$A$14:$L$18,11,FALSE)/2,IF($H130&lt;M$2,VLOOKUP($G130,Depreciation!$A$14:$L$18,11,FALSE),0))</f>
        <v>3.343407856743718E-2</v>
      </c>
      <c r="N130" s="306">
        <f>+IF($H130=N$2,VLOOKUP($G130,Depreciation!$A$14:$L$18,12,FALSE)/2,IF($H130&lt;N$2,VLOOKUP($G130,Depreciation!$A$14:$L$18,12,FALSE),0))</f>
        <v>3.343407856743718E-2</v>
      </c>
      <c r="O130" s="307">
        <f t="shared" si="9"/>
        <v>393277.5845044828</v>
      </c>
      <c r="P130" s="732">
        <f>'Func Future Subs 2015'!P130</f>
        <v>0</v>
      </c>
      <c r="Q130" s="732">
        <f>'Func Future Subs 2015'!Q130</f>
        <v>0</v>
      </c>
      <c r="R130" s="732">
        <f>'Func Future Subs 2015'!R130</f>
        <v>1</v>
      </c>
      <c r="S130" s="735">
        <f t="shared" si="10"/>
        <v>0</v>
      </c>
      <c r="T130" s="735">
        <f t="shared" si="11"/>
        <v>0</v>
      </c>
      <c r="U130" s="735">
        <f t="shared" si="12"/>
        <v>393277.5845044828</v>
      </c>
      <c r="V130" s="736">
        <f t="shared" si="13"/>
        <v>0</v>
      </c>
      <c r="W130" s="735">
        <f t="shared" si="14"/>
        <v>0</v>
      </c>
      <c r="X130" s="737">
        <f t="shared" si="15"/>
        <v>393277.5845044828</v>
      </c>
      <c r="Y130" s="738">
        <f t="shared" si="16"/>
        <v>0</v>
      </c>
    </row>
    <row r="131" spans="1:25">
      <c r="A131" s="754" t="str">
        <f>'Func Future Subs 2015'!A131</f>
        <v>Bilby 105S</v>
      </c>
      <c r="B131" s="754">
        <f>'Func Future Subs 2015'!B131</f>
        <v>850</v>
      </c>
      <c r="C131" s="754">
        <f>'Func Future Subs 2015'!C131</f>
        <v>138</v>
      </c>
      <c r="D131" s="754">
        <f>'Func Future Subs 2015'!D131</f>
        <v>25</v>
      </c>
      <c r="E131" s="754" t="str">
        <f>'Func Future Subs 2015'!E131</f>
        <v>105S</v>
      </c>
      <c r="F131" s="754">
        <f>'Func Future Subs 2015'!F131</f>
        <v>109864.19345706432</v>
      </c>
      <c r="G131" s="754" t="str">
        <f>'Func Future Subs 2015'!G131</f>
        <v>AltaLink</v>
      </c>
      <c r="H131" s="754">
        <f>'Func Future Subs 2015'!H131</f>
        <v>2017</v>
      </c>
      <c r="I131" s="306">
        <f>+IF($H131=I$2,VLOOKUP($G131,Depreciation!$A$14:$L$18,7,FALSE)/2,IF($H131&lt;I$2,VLOOKUP($G131,Depreciation!$A$14:$L$18,7,FALSE),0))</f>
        <v>0</v>
      </c>
      <c r="J131" s="306">
        <f>+IF($H131=J$2,VLOOKUP($G131,Depreciation!$A$14:$L$18,8,FALSE)/2,IF($H131&lt;J$2,VLOOKUP($G131,Depreciation!$A$14:$L$18,8,FALSE),0))</f>
        <v>0</v>
      </c>
      <c r="K131" s="306">
        <f>+IF($H131=K$2,VLOOKUP($G131,Depreciation!$A$14:$L$18,9,FALSE)/2,IF($H131&lt;K$2,VLOOKUP($G131,Depreciation!$A$14:$L$18,9,FALSE),0))</f>
        <v>1.671703928371859E-2</v>
      </c>
      <c r="L131" s="306">
        <f>+IF($H131=L$2,VLOOKUP($G131,Depreciation!$A$14:$L$18,10,FALSE)/2,IF($H131&lt;L$2,VLOOKUP($G131,Depreciation!$A$14:$L$18,10,FALSE),0))</f>
        <v>3.343407856743718E-2</v>
      </c>
      <c r="M131" s="306">
        <f>+IF($H131=M$2,VLOOKUP($G131,Depreciation!$A$14:$L$18,11,FALSE)/2,IF($H131&lt;M$2,VLOOKUP($G131,Depreciation!$A$14:$L$18,11,FALSE),0))</f>
        <v>3.343407856743718E-2</v>
      </c>
      <c r="N131" s="306">
        <f>+IF($H131=N$2,VLOOKUP($G131,Depreciation!$A$14:$L$18,12,FALSE)/2,IF($H131&lt;N$2,VLOOKUP($G131,Depreciation!$A$14:$L$18,12,FALSE),0))</f>
        <v>3.343407856743718E-2</v>
      </c>
      <c r="O131" s="307">
        <f t="shared" si="9"/>
        <v>104415.78650707719</v>
      </c>
      <c r="P131" s="732">
        <f>'Func Future Subs 2015'!P131</f>
        <v>0</v>
      </c>
      <c r="Q131" s="732">
        <f>'Func Future Subs 2015'!Q131</f>
        <v>1</v>
      </c>
      <c r="R131" s="732">
        <f>'Func Future Subs 2015'!R131</f>
        <v>0</v>
      </c>
      <c r="S131" s="735">
        <f t="shared" si="10"/>
        <v>0</v>
      </c>
      <c r="T131" s="735">
        <f t="shared" si="11"/>
        <v>104415.78650707719</v>
      </c>
      <c r="U131" s="735">
        <f t="shared" si="12"/>
        <v>0</v>
      </c>
      <c r="V131" s="736">
        <f t="shared" si="13"/>
        <v>0</v>
      </c>
      <c r="W131" s="735">
        <f t="shared" si="14"/>
        <v>0</v>
      </c>
      <c r="X131" s="737">
        <f t="shared" si="15"/>
        <v>0</v>
      </c>
      <c r="Y131" s="738">
        <f t="shared" si="16"/>
        <v>104415.78650707719</v>
      </c>
    </row>
    <row r="132" spans="1:25">
      <c r="A132" s="754" t="str">
        <f>'Func Future Subs 2015'!A132</f>
        <v>Bretona 45S</v>
      </c>
      <c r="B132" s="754">
        <f>'Func Future Subs 2015'!B132</f>
        <v>850</v>
      </c>
      <c r="C132" s="754">
        <f>'Func Future Subs 2015'!C132</f>
        <v>138</v>
      </c>
      <c r="D132" s="754">
        <f>'Func Future Subs 2015'!D132</f>
        <v>25</v>
      </c>
      <c r="E132" s="754" t="str">
        <f>'Func Future Subs 2015'!E132</f>
        <v>45S</v>
      </c>
      <c r="F132" s="754">
        <f>'Func Future Subs 2015'!F132</f>
        <v>22946.871241679786</v>
      </c>
      <c r="G132" s="754" t="str">
        <f>'Func Future Subs 2015'!G132</f>
        <v>AltaLink</v>
      </c>
      <c r="H132" s="754">
        <f>'Func Future Subs 2015'!H132</f>
        <v>2017</v>
      </c>
      <c r="I132" s="306">
        <f>+IF($H132=I$2,VLOOKUP($G132,Depreciation!$A$14:$L$18,7,FALSE)/2,IF($H132&lt;I$2,VLOOKUP($G132,Depreciation!$A$14:$L$18,7,FALSE),0))</f>
        <v>0</v>
      </c>
      <c r="J132" s="306">
        <f>+IF($H132=J$2,VLOOKUP($G132,Depreciation!$A$14:$L$18,8,FALSE)/2,IF($H132&lt;J$2,VLOOKUP($G132,Depreciation!$A$14:$L$18,8,FALSE),0))</f>
        <v>0</v>
      </c>
      <c r="K132" s="306">
        <f>+IF($H132=K$2,VLOOKUP($G132,Depreciation!$A$14:$L$18,9,FALSE)/2,IF($H132&lt;K$2,VLOOKUP($G132,Depreciation!$A$14:$L$18,9,FALSE),0))</f>
        <v>1.671703928371859E-2</v>
      </c>
      <c r="L132" s="306">
        <f>+IF($H132=L$2,VLOOKUP($G132,Depreciation!$A$14:$L$18,10,FALSE)/2,IF($H132&lt;L$2,VLOOKUP($G132,Depreciation!$A$14:$L$18,10,FALSE),0))</f>
        <v>3.343407856743718E-2</v>
      </c>
      <c r="M132" s="306">
        <f>+IF($H132=M$2,VLOOKUP($G132,Depreciation!$A$14:$L$18,11,FALSE)/2,IF($H132&lt;M$2,VLOOKUP($G132,Depreciation!$A$14:$L$18,11,FALSE),0))</f>
        <v>3.343407856743718E-2</v>
      </c>
      <c r="N132" s="306">
        <f>+IF($H132=N$2,VLOOKUP($G132,Depreciation!$A$14:$L$18,12,FALSE)/2,IF($H132&lt;N$2,VLOOKUP($G132,Depreciation!$A$14:$L$18,12,FALSE),0))</f>
        <v>3.343407856743718E-2</v>
      </c>
      <c r="O132" s="307">
        <f t="shared" ref="O132:O195" si="17">IF(H132&lt;=2018,F132*(1-I132)*(1-J132)*(1-K132)*(1-L132),0)</f>
        <v>21808.88543557192</v>
      </c>
      <c r="P132" s="732">
        <f>'Func Future Subs 2015'!P132</f>
        <v>0</v>
      </c>
      <c r="Q132" s="732">
        <f>'Func Future Subs 2015'!Q132</f>
        <v>1</v>
      </c>
      <c r="R132" s="732">
        <f>'Func Future Subs 2015'!R132</f>
        <v>0</v>
      </c>
      <c r="S132" s="735">
        <f t="shared" ref="S132:S195" si="18">+P132*$O132</f>
        <v>0</v>
      </c>
      <c r="T132" s="735">
        <f t="shared" ref="T132:T195" si="19">+Q132*$O132</f>
        <v>21808.88543557192</v>
      </c>
      <c r="U132" s="735">
        <f t="shared" ref="U132:U195" si="20">+R132*$O132</f>
        <v>0</v>
      </c>
      <c r="V132" s="736">
        <f t="shared" ref="V132:V195" si="21">IF(AND(R132=1,D132=0),O132,0)</f>
        <v>0</v>
      </c>
      <c r="W132" s="735">
        <f t="shared" ref="W132:W195" si="22">S132+IF(D132&gt;144,U132,0)</f>
        <v>0</v>
      </c>
      <c r="X132" s="737">
        <f t="shared" ref="X132:X195" si="23">IF(AND(D132&lt;=144,D132&gt;=69),U132,0)</f>
        <v>0</v>
      </c>
      <c r="Y132" s="738">
        <f t="shared" ref="Y132:Y195" si="24">T132+IF(AND(D132&lt;69,D132&gt;0),U132,0)</f>
        <v>21808.88543557192</v>
      </c>
    </row>
    <row r="133" spans="1:25">
      <c r="A133" s="754" t="str">
        <f>'Func Future Subs 2015'!A133</f>
        <v>Carvel 432S</v>
      </c>
      <c r="B133" s="754">
        <f>'Func Future Subs 2015'!B133</f>
        <v>850</v>
      </c>
      <c r="C133" s="754">
        <f>'Func Future Subs 2015'!C133</f>
        <v>138</v>
      </c>
      <c r="D133" s="754">
        <f>'Func Future Subs 2015'!D133</f>
        <v>25</v>
      </c>
      <c r="E133" s="754" t="str">
        <f>'Func Future Subs 2015'!E133</f>
        <v>432S</v>
      </c>
      <c r="F133" s="754">
        <f>'Func Future Subs 2015'!F133</f>
        <v>125476.41366771194</v>
      </c>
      <c r="G133" s="754" t="str">
        <f>'Func Future Subs 2015'!G133</f>
        <v>AltaLink</v>
      </c>
      <c r="H133" s="754">
        <f>'Func Future Subs 2015'!H133</f>
        <v>2017</v>
      </c>
      <c r="I133" s="306">
        <f>+IF($H133=I$2,VLOOKUP($G133,Depreciation!$A$14:$L$18,7,FALSE)/2,IF($H133&lt;I$2,VLOOKUP($G133,Depreciation!$A$14:$L$18,7,FALSE),0))</f>
        <v>0</v>
      </c>
      <c r="J133" s="306">
        <f>+IF($H133=J$2,VLOOKUP($G133,Depreciation!$A$14:$L$18,8,FALSE)/2,IF($H133&lt;J$2,VLOOKUP($G133,Depreciation!$A$14:$L$18,8,FALSE),0))</f>
        <v>0</v>
      </c>
      <c r="K133" s="306">
        <f>+IF($H133=K$2,VLOOKUP($G133,Depreciation!$A$14:$L$18,9,FALSE)/2,IF($H133&lt;K$2,VLOOKUP($G133,Depreciation!$A$14:$L$18,9,FALSE),0))</f>
        <v>1.671703928371859E-2</v>
      </c>
      <c r="L133" s="306">
        <f>+IF($H133=L$2,VLOOKUP($G133,Depreciation!$A$14:$L$18,10,FALSE)/2,IF($H133&lt;L$2,VLOOKUP($G133,Depreciation!$A$14:$L$18,10,FALSE),0))</f>
        <v>3.343407856743718E-2</v>
      </c>
      <c r="M133" s="306">
        <f>+IF($H133=M$2,VLOOKUP($G133,Depreciation!$A$14:$L$18,11,FALSE)/2,IF($H133&lt;M$2,VLOOKUP($G133,Depreciation!$A$14:$L$18,11,FALSE),0))</f>
        <v>3.343407856743718E-2</v>
      </c>
      <c r="N133" s="306">
        <f>+IF($H133=N$2,VLOOKUP($G133,Depreciation!$A$14:$L$18,12,FALSE)/2,IF($H133&lt;N$2,VLOOKUP($G133,Depreciation!$A$14:$L$18,12,FALSE),0))</f>
        <v>3.343407856743718E-2</v>
      </c>
      <c r="O133" s="307">
        <f t="shared" si="17"/>
        <v>119253.76238548326</v>
      </c>
      <c r="P133" s="732">
        <f>'Func Future Subs 2015'!P133</f>
        <v>0</v>
      </c>
      <c r="Q133" s="732">
        <f>'Func Future Subs 2015'!Q133</f>
        <v>1</v>
      </c>
      <c r="R133" s="732">
        <f>'Func Future Subs 2015'!R133</f>
        <v>0</v>
      </c>
      <c r="S133" s="735">
        <f t="shared" si="18"/>
        <v>0</v>
      </c>
      <c r="T133" s="735">
        <f t="shared" si="19"/>
        <v>119253.76238548326</v>
      </c>
      <c r="U133" s="735">
        <f t="shared" si="20"/>
        <v>0</v>
      </c>
      <c r="V133" s="736">
        <f t="shared" si="21"/>
        <v>0</v>
      </c>
      <c r="W133" s="735">
        <f t="shared" si="22"/>
        <v>0</v>
      </c>
      <c r="X133" s="737">
        <f t="shared" si="23"/>
        <v>0</v>
      </c>
      <c r="Y133" s="738">
        <f t="shared" si="24"/>
        <v>119253.76238548326</v>
      </c>
    </row>
    <row r="134" spans="1:25">
      <c r="A134" s="754" t="str">
        <f>'Func Future Subs 2015'!A134</f>
        <v>Cooking Lake 522S</v>
      </c>
      <c r="B134" s="754">
        <f>'Func Future Subs 2015'!B134</f>
        <v>850</v>
      </c>
      <c r="C134" s="754">
        <f>'Func Future Subs 2015'!C134</f>
        <v>138</v>
      </c>
      <c r="D134" s="754">
        <f>'Func Future Subs 2015'!D134</f>
        <v>25</v>
      </c>
      <c r="E134" s="754" t="str">
        <f>'Func Future Subs 2015'!E134</f>
        <v>522S</v>
      </c>
      <c r="F134" s="754">
        <f>'Func Future Subs 2015'!F134</f>
        <v>6420665.4815754285</v>
      </c>
      <c r="G134" s="754" t="str">
        <f>'Func Future Subs 2015'!G134</f>
        <v>AltaLink</v>
      </c>
      <c r="H134" s="754">
        <f>'Func Future Subs 2015'!H134</f>
        <v>2017</v>
      </c>
      <c r="I134" s="306">
        <f>+IF($H134=I$2,VLOOKUP($G134,Depreciation!$A$14:$L$18,7,FALSE)/2,IF($H134&lt;I$2,VLOOKUP($G134,Depreciation!$A$14:$L$18,7,FALSE),0))</f>
        <v>0</v>
      </c>
      <c r="J134" s="306">
        <f>+IF($H134=J$2,VLOOKUP($G134,Depreciation!$A$14:$L$18,8,FALSE)/2,IF($H134&lt;J$2,VLOOKUP($G134,Depreciation!$A$14:$L$18,8,FALSE),0))</f>
        <v>0</v>
      </c>
      <c r="K134" s="306">
        <f>+IF($H134=K$2,VLOOKUP($G134,Depreciation!$A$14:$L$18,9,FALSE)/2,IF($H134&lt;K$2,VLOOKUP($G134,Depreciation!$A$14:$L$18,9,FALSE),0))</f>
        <v>1.671703928371859E-2</v>
      </c>
      <c r="L134" s="306">
        <f>+IF($H134=L$2,VLOOKUP($G134,Depreciation!$A$14:$L$18,10,FALSE)/2,IF($H134&lt;L$2,VLOOKUP($G134,Depreciation!$A$14:$L$18,10,FALSE),0))</f>
        <v>3.343407856743718E-2</v>
      </c>
      <c r="M134" s="306">
        <f>+IF($H134=M$2,VLOOKUP($G134,Depreciation!$A$14:$L$18,11,FALSE)/2,IF($H134&lt;M$2,VLOOKUP($G134,Depreciation!$A$14:$L$18,11,FALSE),0))</f>
        <v>3.343407856743718E-2</v>
      </c>
      <c r="N134" s="306">
        <f>+IF($H134=N$2,VLOOKUP($G134,Depreciation!$A$14:$L$18,12,FALSE)/2,IF($H134&lt;N$2,VLOOKUP($G134,Depreciation!$A$14:$L$18,12,FALSE),0))</f>
        <v>3.343407856743718E-2</v>
      </c>
      <c r="O134" s="307">
        <f t="shared" si="17"/>
        <v>6102250.5610032463</v>
      </c>
      <c r="P134" s="732">
        <f>'Func Future Subs 2015'!P134</f>
        <v>0</v>
      </c>
      <c r="Q134" s="732">
        <f>'Func Future Subs 2015'!Q134</f>
        <v>1</v>
      </c>
      <c r="R134" s="732">
        <f>'Func Future Subs 2015'!R134</f>
        <v>0</v>
      </c>
      <c r="S134" s="735">
        <f t="shared" si="18"/>
        <v>0</v>
      </c>
      <c r="T134" s="735">
        <f t="shared" si="19"/>
        <v>6102250.5610032463</v>
      </c>
      <c r="U134" s="735">
        <f t="shared" si="20"/>
        <v>0</v>
      </c>
      <c r="V134" s="736">
        <f t="shared" si="21"/>
        <v>0</v>
      </c>
      <c r="W134" s="735">
        <f t="shared" si="22"/>
        <v>0</v>
      </c>
      <c r="X134" s="737">
        <f t="shared" si="23"/>
        <v>0</v>
      </c>
      <c r="Y134" s="738">
        <f t="shared" si="24"/>
        <v>6102250.5610032463</v>
      </c>
    </row>
    <row r="135" spans="1:25">
      <c r="A135" s="754" t="str">
        <f>'Func Future Subs 2015'!A135</f>
        <v>East Camrose 285S</v>
      </c>
      <c r="B135" s="754">
        <f>'Func Future Subs 2015'!B135</f>
        <v>850</v>
      </c>
      <c r="C135" s="754">
        <f>'Func Future Subs 2015'!C135</f>
        <v>138</v>
      </c>
      <c r="D135" s="754">
        <f>'Func Future Subs 2015'!D135</f>
        <v>25</v>
      </c>
      <c r="E135" s="754" t="str">
        <f>'Func Future Subs 2015'!E135</f>
        <v>285S</v>
      </c>
      <c r="F135" s="754">
        <f>'Func Future Subs 2015'!F135</f>
        <v>22946.871241679786</v>
      </c>
      <c r="G135" s="754" t="str">
        <f>'Func Future Subs 2015'!G135</f>
        <v>AltaLink</v>
      </c>
      <c r="H135" s="754">
        <f>'Func Future Subs 2015'!H135</f>
        <v>2017</v>
      </c>
      <c r="I135" s="306">
        <f>+IF($H135=I$2,VLOOKUP($G135,Depreciation!$A$14:$L$18,7,FALSE)/2,IF($H135&lt;I$2,VLOOKUP($G135,Depreciation!$A$14:$L$18,7,FALSE),0))</f>
        <v>0</v>
      </c>
      <c r="J135" s="306">
        <f>+IF($H135=J$2,VLOOKUP($G135,Depreciation!$A$14:$L$18,8,FALSE)/2,IF($H135&lt;J$2,VLOOKUP($G135,Depreciation!$A$14:$L$18,8,FALSE),0))</f>
        <v>0</v>
      </c>
      <c r="K135" s="306">
        <f>+IF($H135=K$2,VLOOKUP($G135,Depreciation!$A$14:$L$18,9,FALSE)/2,IF($H135&lt;K$2,VLOOKUP($G135,Depreciation!$A$14:$L$18,9,FALSE),0))</f>
        <v>1.671703928371859E-2</v>
      </c>
      <c r="L135" s="306">
        <f>+IF($H135=L$2,VLOOKUP($G135,Depreciation!$A$14:$L$18,10,FALSE)/2,IF($H135&lt;L$2,VLOOKUP($G135,Depreciation!$A$14:$L$18,10,FALSE),0))</f>
        <v>3.343407856743718E-2</v>
      </c>
      <c r="M135" s="306">
        <f>+IF($H135=M$2,VLOOKUP($G135,Depreciation!$A$14:$L$18,11,FALSE)/2,IF($H135&lt;M$2,VLOOKUP($G135,Depreciation!$A$14:$L$18,11,FALSE),0))</f>
        <v>3.343407856743718E-2</v>
      </c>
      <c r="N135" s="306">
        <f>+IF($H135=N$2,VLOOKUP($G135,Depreciation!$A$14:$L$18,12,FALSE)/2,IF($H135&lt;N$2,VLOOKUP($G135,Depreciation!$A$14:$L$18,12,FALSE),0))</f>
        <v>3.343407856743718E-2</v>
      </c>
      <c r="O135" s="307">
        <f t="shared" si="17"/>
        <v>21808.88543557192</v>
      </c>
      <c r="P135" s="732">
        <f>'Func Future Subs 2015'!P135</f>
        <v>0</v>
      </c>
      <c r="Q135" s="732">
        <f>'Func Future Subs 2015'!Q135</f>
        <v>1</v>
      </c>
      <c r="R135" s="732">
        <f>'Func Future Subs 2015'!R135</f>
        <v>0</v>
      </c>
      <c r="S135" s="735">
        <f t="shared" si="18"/>
        <v>0</v>
      </c>
      <c r="T135" s="735">
        <f t="shared" si="19"/>
        <v>21808.88543557192</v>
      </c>
      <c r="U135" s="735">
        <f t="shared" si="20"/>
        <v>0</v>
      </c>
      <c r="V135" s="736">
        <f t="shared" si="21"/>
        <v>0</v>
      </c>
      <c r="W135" s="735">
        <f t="shared" si="22"/>
        <v>0</v>
      </c>
      <c r="X135" s="737">
        <f t="shared" si="23"/>
        <v>0</v>
      </c>
      <c r="Y135" s="738">
        <f t="shared" si="24"/>
        <v>21808.88543557192</v>
      </c>
    </row>
    <row r="136" spans="1:25">
      <c r="A136" s="754" t="str">
        <f>'Func Future Subs 2015'!A136</f>
        <v>East Edmonton 38S</v>
      </c>
      <c r="B136" s="754">
        <f>'Func Future Subs 2015'!B136</f>
        <v>850</v>
      </c>
      <c r="C136" s="754">
        <f>'Func Future Subs 2015'!C136</f>
        <v>240</v>
      </c>
      <c r="D136" s="754">
        <f>'Func Future Subs 2015'!D136</f>
        <v>25</v>
      </c>
      <c r="E136" s="754" t="str">
        <f>'Func Future Subs 2015'!E136</f>
        <v>38S</v>
      </c>
      <c r="F136" s="754">
        <f>'Func Future Subs 2015'!F136</f>
        <v>101645.43808550939</v>
      </c>
      <c r="G136" s="754" t="str">
        <f>'Func Future Subs 2015'!G136</f>
        <v>AltaLink</v>
      </c>
      <c r="H136" s="754">
        <f>'Func Future Subs 2015'!H136</f>
        <v>2017</v>
      </c>
      <c r="I136" s="306">
        <f>+IF($H136=I$2,VLOOKUP($G136,Depreciation!$A$14:$L$18,7,FALSE)/2,IF($H136&lt;I$2,VLOOKUP($G136,Depreciation!$A$14:$L$18,7,FALSE),0))</f>
        <v>0</v>
      </c>
      <c r="J136" s="306">
        <f>+IF($H136=J$2,VLOOKUP($G136,Depreciation!$A$14:$L$18,8,FALSE)/2,IF($H136&lt;J$2,VLOOKUP($G136,Depreciation!$A$14:$L$18,8,FALSE),0))</f>
        <v>0</v>
      </c>
      <c r="K136" s="306">
        <f>+IF($H136=K$2,VLOOKUP($G136,Depreciation!$A$14:$L$18,9,FALSE)/2,IF($H136&lt;K$2,VLOOKUP($G136,Depreciation!$A$14:$L$18,9,FALSE),0))</f>
        <v>1.671703928371859E-2</v>
      </c>
      <c r="L136" s="306">
        <f>+IF($H136=L$2,VLOOKUP($G136,Depreciation!$A$14:$L$18,10,FALSE)/2,IF($H136&lt;L$2,VLOOKUP($G136,Depreciation!$A$14:$L$18,10,FALSE),0))</f>
        <v>3.343407856743718E-2</v>
      </c>
      <c r="M136" s="306">
        <f>+IF($H136=M$2,VLOOKUP($G136,Depreciation!$A$14:$L$18,11,FALSE)/2,IF($H136&lt;M$2,VLOOKUP($G136,Depreciation!$A$14:$L$18,11,FALSE),0))</f>
        <v>3.343407856743718E-2</v>
      </c>
      <c r="N136" s="306">
        <f>+IF($H136=N$2,VLOOKUP($G136,Depreciation!$A$14:$L$18,12,FALSE)/2,IF($H136&lt;N$2,VLOOKUP($G136,Depreciation!$A$14:$L$18,12,FALSE),0))</f>
        <v>3.343407856743718E-2</v>
      </c>
      <c r="O136" s="307">
        <f t="shared" si="17"/>
        <v>96604.6172878215</v>
      </c>
      <c r="P136" s="732">
        <f>'Func Future Subs 2015'!P136</f>
        <v>0</v>
      </c>
      <c r="Q136" s="732">
        <f>'Func Future Subs 2015'!Q136</f>
        <v>1</v>
      </c>
      <c r="R136" s="732">
        <f>'Func Future Subs 2015'!R136</f>
        <v>0</v>
      </c>
      <c r="S136" s="735">
        <f t="shared" si="18"/>
        <v>0</v>
      </c>
      <c r="T136" s="735">
        <f t="shared" si="19"/>
        <v>96604.6172878215</v>
      </c>
      <c r="U136" s="735">
        <f t="shared" si="20"/>
        <v>0</v>
      </c>
      <c r="V136" s="736">
        <f t="shared" si="21"/>
        <v>0</v>
      </c>
      <c r="W136" s="735">
        <f t="shared" si="22"/>
        <v>0</v>
      </c>
      <c r="X136" s="737">
        <f t="shared" si="23"/>
        <v>0</v>
      </c>
      <c r="Y136" s="738">
        <f t="shared" si="24"/>
        <v>96604.6172878215</v>
      </c>
    </row>
    <row r="137" spans="1:25">
      <c r="A137" s="754" t="str">
        <f>'Func Future Subs 2015'!A137</f>
        <v>East Edmonton 38S dev3</v>
      </c>
      <c r="B137" s="754">
        <f>'Func Future Subs 2015'!B137</f>
        <v>850</v>
      </c>
      <c r="C137" s="754">
        <f>'Func Future Subs 2015'!C137</f>
        <v>240</v>
      </c>
      <c r="D137" s="754">
        <f>'Func Future Subs 2015'!D137</f>
        <v>25</v>
      </c>
      <c r="E137" s="754" t="str">
        <f>'Func Future Subs 2015'!E137</f>
        <v>38S</v>
      </c>
      <c r="F137" s="754">
        <f>'Func Future Subs 2015'!F137</f>
        <v>98365.145371423874</v>
      </c>
      <c r="G137" s="754" t="str">
        <f>'Func Future Subs 2015'!G137</f>
        <v>AltaLink</v>
      </c>
      <c r="H137" s="754">
        <f>'Func Future Subs 2015'!H137</f>
        <v>2017</v>
      </c>
      <c r="I137" s="306">
        <f>+IF($H137=I$2,VLOOKUP($G137,Depreciation!$A$14:$L$18,7,FALSE)/2,IF($H137&lt;I$2,VLOOKUP($G137,Depreciation!$A$14:$L$18,7,FALSE),0))</f>
        <v>0</v>
      </c>
      <c r="J137" s="306">
        <f>+IF($H137=J$2,VLOOKUP($G137,Depreciation!$A$14:$L$18,8,FALSE)/2,IF($H137&lt;J$2,VLOOKUP($G137,Depreciation!$A$14:$L$18,8,FALSE),0))</f>
        <v>0</v>
      </c>
      <c r="K137" s="306">
        <f>+IF($H137=K$2,VLOOKUP($G137,Depreciation!$A$14:$L$18,9,FALSE)/2,IF($H137&lt;K$2,VLOOKUP($G137,Depreciation!$A$14:$L$18,9,FALSE),0))</f>
        <v>1.671703928371859E-2</v>
      </c>
      <c r="L137" s="306">
        <f>+IF($H137=L$2,VLOOKUP($G137,Depreciation!$A$14:$L$18,10,FALSE)/2,IF($H137&lt;L$2,VLOOKUP($G137,Depreciation!$A$14:$L$18,10,FALSE),0))</f>
        <v>3.343407856743718E-2</v>
      </c>
      <c r="M137" s="306">
        <f>+IF($H137=M$2,VLOOKUP($G137,Depreciation!$A$14:$L$18,11,FALSE)/2,IF($H137&lt;M$2,VLOOKUP($G137,Depreciation!$A$14:$L$18,11,FALSE),0))</f>
        <v>3.343407856743718E-2</v>
      </c>
      <c r="N137" s="306">
        <f>+IF($H137=N$2,VLOOKUP($G137,Depreciation!$A$14:$L$18,12,FALSE)/2,IF($H137&lt;N$2,VLOOKUP($G137,Depreciation!$A$14:$L$18,12,FALSE),0))</f>
        <v>3.343407856743718E-2</v>
      </c>
      <c r="O137" s="307">
        <f t="shared" si="17"/>
        <v>93487.001502943138</v>
      </c>
      <c r="P137" s="732">
        <f>'Func Future Subs 2015'!P137</f>
        <v>0</v>
      </c>
      <c r="Q137" s="732">
        <f>'Func Future Subs 2015'!Q137</f>
        <v>1</v>
      </c>
      <c r="R137" s="732">
        <f>'Func Future Subs 2015'!R137</f>
        <v>0</v>
      </c>
      <c r="S137" s="735">
        <f t="shared" si="18"/>
        <v>0</v>
      </c>
      <c r="T137" s="735">
        <f t="shared" si="19"/>
        <v>93487.001502943138</v>
      </c>
      <c r="U137" s="735">
        <f t="shared" si="20"/>
        <v>0</v>
      </c>
      <c r="V137" s="736">
        <f t="shared" si="21"/>
        <v>0</v>
      </c>
      <c r="W137" s="735">
        <f t="shared" si="22"/>
        <v>0</v>
      </c>
      <c r="X137" s="737">
        <f t="shared" si="23"/>
        <v>0</v>
      </c>
      <c r="Y137" s="738">
        <f t="shared" si="24"/>
        <v>93487.001502943138</v>
      </c>
    </row>
    <row r="138" spans="1:25">
      <c r="A138" s="754" t="str">
        <f>'Func Future Subs 2015'!A138</f>
        <v>Ellerslie 89S</v>
      </c>
      <c r="B138" s="754">
        <f>'Func Future Subs 2015'!B138</f>
        <v>850</v>
      </c>
      <c r="C138" s="754">
        <f>'Func Future Subs 2015'!C138</f>
        <v>500</v>
      </c>
      <c r="D138" s="754">
        <f>'Func Future Subs 2015'!D138</f>
        <v>240</v>
      </c>
      <c r="E138" s="754" t="str">
        <f>'Func Future Subs 2015'!E138</f>
        <v>89S</v>
      </c>
      <c r="F138" s="754">
        <f>'Func Future Subs 2015'!F138</f>
        <v>655238.94394348608</v>
      </c>
      <c r="G138" s="754" t="str">
        <f>'Func Future Subs 2015'!G138</f>
        <v>AltaLink</v>
      </c>
      <c r="H138" s="754">
        <f>'Func Future Subs 2015'!H138</f>
        <v>2017</v>
      </c>
      <c r="I138" s="306">
        <f>+IF($H138=I$2,VLOOKUP($G138,Depreciation!$A$14:$L$18,7,FALSE)/2,IF($H138&lt;I$2,VLOOKUP($G138,Depreciation!$A$14:$L$18,7,FALSE),0))</f>
        <v>0</v>
      </c>
      <c r="J138" s="306">
        <f>+IF($H138=J$2,VLOOKUP($G138,Depreciation!$A$14:$L$18,8,FALSE)/2,IF($H138&lt;J$2,VLOOKUP($G138,Depreciation!$A$14:$L$18,8,FALSE),0))</f>
        <v>0</v>
      </c>
      <c r="K138" s="306">
        <f>+IF($H138=K$2,VLOOKUP($G138,Depreciation!$A$14:$L$18,9,FALSE)/2,IF($H138&lt;K$2,VLOOKUP($G138,Depreciation!$A$14:$L$18,9,FALSE),0))</f>
        <v>1.671703928371859E-2</v>
      </c>
      <c r="L138" s="306">
        <f>+IF($H138=L$2,VLOOKUP($G138,Depreciation!$A$14:$L$18,10,FALSE)/2,IF($H138&lt;L$2,VLOOKUP($G138,Depreciation!$A$14:$L$18,10,FALSE),0))</f>
        <v>3.343407856743718E-2</v>
      </c>
      <c r="M138" s="306">
        <f>+IF($H138=M$2,VLOOKUP($G138,Depreciation!$A$14:$L$18,11,FALSE)/2,IF($H138&lt;M$2,VLOOKUP($G138,Depreciation!$A$14:$L$18,11,FALSE),0))</f>
        <v>3.343407856743718E-2</v>
      </c>
      <c r="N138" s="306">
        <f>+IF($H138=N$2,VLOOKUP($G138,Depreciation!$A$14:$L$18,12,FALSE)/2,IF($H138&lt;N$2,VLOOKUP($G138,Depreciation!$A$14:$L$18,12,FALSE),0))</f>
        <v>3.343407856743718E-2</v>
      </c>
      <c r="O138" s="307">
        <f t="shared" si="17"/>
        <v>622744.20381253434</v>
      </c>
      <c r="P138" s="732">
        <f>'Func Future Subs 2015'!P138</f>
        <v>0</v>
      </c>
      <c r="Q138" s="732">
        <f>'Func Future Subs 2015'!Q138</f>
        <v>0</v>
      </c>
      <c r="R138" s="732">
        <f>'Func Future Subs 2015'!R138</f>
        <v>1</v>
      </c>
      <c r="S138" s="735">
        <f t="shared" si="18"/>
        <v>0</v>
      </c>
      <c r="T138" s="735">
        <f t="shared" si="19"/>
        <v>0</v>
      </c>
      <c r="U138" s="735">
        <f t="shared" si="20"/>
        <v>622744.20381253434</v>
      </c>
      <c r="V138" s="736">
        <f t="shared" si="21"/>
        <v>0</v>
      </c>
      <c r="W138" s="735">
        <f t="shared" si="22"/>
        <v>622744.20381253434</v>
      </c>
      <c r="X138" s="737">
        <f t="shared" si="23"/>
        <v>0</v>
      </c>
      <c r="Y138" s="738">
        <f t="shared" si="24"/>
        <v>0</v>
      </c>
    </row>
    <row r="139" spans="1:25">
      <c r="A139" s="754" t="str">
        <f>'Func Future Subs 2015'!A139</f>
        <v>Harry smith 376S</v>
      </c>
      <c r="B139" s="754">
        <f>'Func Future Subs 2015'!B139</f>
        <v>850</v>
      </c>
      <c r="C139" s="754">
        <f>'Func Future Subs 2015'!C139</f>
        <v>240</v>
      </c>
      <c r="D139" s="754">
        <f>'Func Future Subs 2015'!D139</f>
        <v>138</v>
      </c>
      <c r="E139" s="754" t="str">
        <f>'Func Future Subs 2015'!E139</f>
        <v>376S</v>
      </c>
      <c r="F139" s="754">
        <f>'Func Future Subs 2015'!F139</f>
        <v>55595620.830533721</v>
      </c>
      <c r="G139" s="754" t="str">
        <f>'Func Future Subs 2015'!G139</f>
        <v>AltaLink</v>
      </c>
      <c r="H139" s="754">
        <f>'Func Future Subs 2015'!H139</f>
        <v>2017</v>
      </c>
      <c r="I139" s="306">
        <f>+IF($H139=I$2,VLOOKUP($G139,Depreciation!$A$14:$L$18,7,FALSE)/2,IF($H139&lt;I$2,VLOOKUP($G139,Depreciation!$A$14:$L$18,7,FALSE),0))</f>
        <v>0</v>
      </c>
      <c r="J139" s="306">
        <f>+IF($H139=J$2,VLOOKUP($G139,Depreciation!$A$14:$L$18,8,FALSE)/2,IF($H139&lt;J$2,VLOOKUP($G139,Depreciation!$A$14:$L$18,8,FALSE),0))</f>
        <v>0</v>
      </c>
      <c r="K139" s="306">
        <f>+IF($H139=K$2,VLOOKUP($G139,Depreciation!$A$14:$L$18,9,FALSE)/2,IF($H139&lt;K$2,VLOOKUP($G139,Depreciation!$A$14:$L$18,9,FALSE),0))</f>
        <v>1.671703928371859E-2</v>
      </c>
      <c r="L139" s="306">
        <f>+IF($H139=L$2,VLOOKUP($G139,Depreciation!$A$14:$L$18,10,FALSE)/2,IF($H139&lt;L$2,VLOOKUP($G139,Depreciation!$A$14:$L$18,10,FALSE),0))</f>
        <v>3.343407856743718E-2</v>
      </c>
      <c r="M139" s="306">
        <f>+IF($H139=M$2,VLOOKUP($G139,Depreciation!$A$14:$L$18,11,FALSE)/2,IF($H139&lt;M$2,VLOOKUP($G139,Depreciation!$A$14:$L$18,11,FALSE),0))</f>
        <v>3.343407856743718E-2</v>
      </c>
      <c r="N139" s="306">
        <f>+IF($H139=N$2,VLOOKUP($G139,Depreciation!$A$14:$L$18,12,FALSE)/2,IF($H139&lt;N$2,VLOOKUP($G139,Depreciation!$A$14:$L$18,12,FALSE),0))</f>
        <v>3.343407856743718E-2</v>
      </c>
      <c r="O139" s="307">
        <f t="shared" si="17"/>
        <v>52838511.736201659</v>
      </c>
      <c r="P139" s="732">
        <f>'Func Future Subs 2015'!P139</f>
        <v>0</v>
      </c>
      <c r="Q139" s="732">
        <f>'Func Future Subs 2015'!Q139</f>
        <v>0</v>
      </c>
      <c r="R139" s="732">
        <f>'Func Future Subs 2015'!R139</f>
        <v>1</v>
      </c>
      <c r="S139" s="735">
        <f t="shared" si="18"/>
        <v>0</v>
      </c>
      <c r="T139" s="735">
        <f t="shared" si="19"/>
        <v>0</v>
      </c>
      <c r="U139" s="735">
        <f t="shared" si="20"/>
        <v>52838511.736201659</v>
      </c>
      <c r="V139" s="736">
        <f t="shared" si="21"/>
        <v>0</v>
      </c>
      <c r="W139" s="735">
        <f t="shared" si="22"/>
        <v>0</v>
      </c>
      <c r="X139" s="737">
        <f t="shared" si="23"/>
        <v>52838511.736201659</v>
      </c>
      <c r="Y139" s="738">
        <f t="shared" si="24"/>
        <v>0</v>
      </c>
    </row>
    <row r="140" spans="1:25">
      <c r="A140" s="754" t="str">
        <f>'Func Future Subs 2015'!A140</f>
        <v>Keephills 320P</v>
      </c>
      <c r="B140" s="754">
        <f>'Func Future Subs 2015'!B140</f>
        <v>850</v>
      </c>
      <c r="C140" s="754">
        <f>'Func Future Subs 2015'!C140</f>
        <v>500</v>
      </c>
      <c r="D140" s="754">
        <f>'Func Future Subs 2015'!D140</f>
        <v>25</v>
      </c>
      <c r="E140" s="754" t="str">
        <f>'Func Future Subs 2015'!E140</f>
        <v>320P</v>
      </c>
      <c r="F140" s="754">
        <f>'Func Future Subs 2015'!F140</f>
        <v>507255.81398474087</v>
      </c>
      <c r="G140" s="754" t="str">
        <f>'Func Future Subs 2015'!G140</f>
        <v>AltaLink</v>
      </c>
      <c r="H140" s="754">
        <f>'Func Future Subs 2015'!H140</f>
        <v>2017</v>
      </c>
      <c r="I140" s="306">
        <f>+IF($H140=I$2,VLOOKUP($G140,Depreciation!$A$14:$L$18,7,FALSE)/2,IF($H140&lt;I$2,VLOOKUP($G140,Depreciation!$A$14:$L$18,7,FALSE),0))</f>
        <v>0</v>
      </c>
      <c r="J140" s="306">
        <f>+IF($H140=J$2,VLOOKUP($G140,Depreciation!$A$14:$L$18,8,FALSE)/2,IF($H140&lt;J$2,VLOOKUP($G140,Depreciation!$A$14:$L$18,8,FALSE),0))</f>
        <v>0</v>
      </c>
      <c r="K140" s="306">
        <f>+IF($H140=K$2,VLOOKUP($G140,Depreciation!$A$14:$L$18,9,FALSE)/2,IF($H140&lt;K$2,VLOOKUP($G140,Depreciation!$A$14:$L$18,9,FALSE),0))</f>
        <v>1.671703928371859E-2</v>
      </c>
      <c r="L140" s="306">
        <f>+IF($H140=L$2,VLOOKUP($G140,Depreciation!$A$14:$L$18,10,FALSE)/2,IF($H140&lt;L$2,VLOOKUP($G140,Depreciation!$A$14:$L$18,10,FALSE),0))</f>
        <v>3.343407856743718E-2</v>
      </c>
      <c r="M140" s="306">
        <f>+IF($H140=M$2,VLOOKUP($G140,Depreciation!$A$14:$L$18,11,FALSE)/2,IF($H140&lt;M$2,VLOOKUP($G140,Depreciation!$A$14:$L$18,11,FALSE),0))</f>
        <v>3.343407856743718E-2</v>
      </c>
      <c r="N140" s="306">
        <f>+IF($H140=N$2,VLOOKUP($G140,Depreciation!$A$14:$L$18,12,FALSE)/2,IF($H140&lt;N$2,VLOOKUP($G140,Depreciation!$A$14:$L$18,12,FALSE),0))</f>
        <v>3.343407856743718E-2</v>
      </c>
      <c r="O140" s="307">
        <f t="shared" si="17"/>
        <v>482099.88269020198</v>
      </c>
      <c r="P140" s="732">
        <f>'Func Future Subs 2015'!P140</f>
        <v>0.96203522504892369</v>
      </c>
      <c r="Q140" s="732">
        <f>'Func Future Subs 2015'!Q140</f>
        <v>3.7964774951076322E-2</v>
      </c>
      <c r="R140" s="732">
        <f>'Func Future Subs 2015'!R140</f>
        <v>0</v>
      </c>
      <c r="S140" s="735">
        <f t="shared" si="18"/>
        <v>463797.06913992815</v>
      </c>
      <c r="T140" s="735">
        <f t="shared" si="19"/>
        <v>18302.813550273811</v>
      </c>
      <c r="U140" s="735">
        <f t="shared" si="20"/>
        <v>0</v>
      </c>
      <c r="V140" s="736">
        <f t="shared" si="21"/>
        <v>0</v>
      </c>
      <c r="W140" s="735">
        <f t="shared" si="22"/>
        <v>463797.06913992815</v>
      </c>
      <c r="X140" s="737">
        <f t="shared" si="23"/>
        <v>0</v>
      </c>
      <c r="Y140" s="738">
        <f t="shared" si="24"/>
        <v>18302.813550273811</v>
      </c>
    </row>
    <row r="141" spans="1:25">
      <c r="A141" s="754" t="str">
        <f>'Func Future Subs 2015'!A141</f>
        <v>Keephills 320P</v>
      </c>
      <c r="B141" s="754">
        <f>'Func Future Subs 2015'!B141</f>
        <v>850</v>
      </c>
      <c r="C141" s="754">
        <f>'Func Future Subs 2015'!C141</f>
        <v>500</v>
      </c>
      <c r="D141" s="754">
        <f>'Func Future Subs 2015'!D141</f>
        <v>25</v>
      </c>
      <c r="E141" s="754" t="str">
        <f>'Func Future Subs 2015'!E141</f>
        <v>320P</v>
      </c>
      <c r="F141" s="754">
        <f>'Func Future Subs 2015'!F141</f>
        <v>507255.81398474087</v>
      </c>
      <c r="G141" s="754" t="str">
        <f>'Func Future Subs 2015'!G141</f>
        <v>AltaLink</v>
      </c>
      <c r="H141" s="754">
        <f>'Func Future Subs 2015'!H141</f>
        <v>2017</v>
      </c>
      <c r="I141" s="306">
        <f>+IF($H141=I$2,VLOOKUP($G141,Depreciation!$A$14:$L$18,7,FALSE)/2,IF($H141&lt;I$2,VLOOKUP($G141,Depreciation!$A$14:$L$18,7,FALSE),0))</f>
        <v>0</v>
      </c>
      <c r="J141" s="306">
        <f>+IF($H141=J$2,VLOOKUP($G141,Depreciation!$A$14:$L$18,8,FALSE)/2,IF($H141&lt;J$2,VLOOKUP($G141,Depreciation!$A$14:$L$18,8,FALSE),0))</f>
        <v>0</v>
      </c>
      <c r="K141" s="306">
        <f>+IF($H141=K$2,VLOOKUP($G141,Depreciation!$A$14:$L$18,9,FALSE)/2,IF($H141&lt;K$2,VLOOKUP($G141,Depreciation!$A$14:$L$18,9,FALSE),0))</f>
        <v>1.671703928371859E-2</v>
      </c>
      <c r="L141" s="306">
        <f>+IF($H141=L$2,VLOOKUP($G141,Depreciation!$A$14:$L$18,10,FALSE)/2,IF($H141&lt;L$2,VLOOKUP($G141,Depreciation!$A$14:$L$18,10,FALSE),0))</f>
        <v>3.343407856743718E-2</v>
      </c>
      <c r="M141" s="306">
        <f>+IF($H141=M$2,VLOOKUP($G141,Depreciation!$A$14:$L$18,11,FALSE)/2,IF($H141&lt;M$2,VLOOKUP($G141,Depreciation!$A$14:$L$18,11,FALSE),0))</f>
        <v>3.343407856743718E-2</v>
      </c>
      <c r="N141" s="306">
        <f>+IF($H141=N$2,VLOOKUP($G141,Depreciation!$A$14:$L$18,12,FALSE)/2,IF($H141&lt;N$2,VLOOKUP($G141,Depreciation!$A$14:$L$18,12,FALSE),0))</f>
        <v>3.343407856743718E-2</v>
      </c>
      <c r="O141" s="307">
        <f t="shared" si="17"/>
        <v>482099.88269020198</v>
      </c>
      <c r="P141" s="732">
        <f>'Func Future Subs 2015'!P141</f>
        <v>0.96203522504892369</v>
      </c>
      <c r="Q141" s="732">
        <f>'Func Future Subs 2015'!Q141</f>
        <v>3.7964774951076322E-2</v>
      </c>
      <c r="R141" s="732">
        <f>'Func Future Subs 2015'!R141</f>
        <v>0</v>
      </c>
      <c r="S141" s="735">
        <f t="shared" si="18"/>
        <v>463797.06913992815</v>
      </c>
      <c r="T141" s="735">
        <f t="shared" si="19"/>
        <v>18302.813550273811</v>
      </c>
      <c r="U141" s="735">
        <f t="shared" si="20"/>
        <v>0</v>
      </c>
      <c r="V141" s="736">
        <f t="shared" si="21"/>
        <v>0</v>
      </c>
      <c r="W141" s="735">
        <f t="shared" si="22"/>
        <v>463797.06913992815</v>
      </c>
      <c r="X141" s="737">
        <f t="shared" si="23"/>
        <v>0</v>
      </c>
      <c r="Y141" s="738">
        <f t="shared" si="24"/>
        <v>18302.813550273811</v>
      </c>
    </row>
    <row r="142" spans="1:25">
      <c r="A142" s="754" t="str">
        <f>'Func Future Subs 2015'!A142</f>
        <v>Leduc 325S</v>
      </c>
      <c r="B142" s="754">
        <f>'Func Future Subs 2015'!B142</f>
        <v>850</v>
      </c>
      <c r="C142" s="754">
        <f>'Func Future Subs 2015'!C142</f>
        <v>138</v>
      </c>
      <c r="D142" s="754">
        <f>'Func Future Subs 2015'!D142</f>
        <v>25</v>
      </c>
      <c r="E142" s="754" t="str">
        <f>'Func Future Subs 2015'!E142</f>
        <v>325S</v>
      </c>
      <c r="F142" s="754">
        <f>'Func Future Subs 2015'!F142</f>
        <v>3055561.3590470157</v>
      </c>
      <c r="G142" s="754" t="str">
        <f>'Func Future Subs 2015'!G142</f>
        <v>AltaLink</v>
      </c>
      <c r="H142" s="754">
        <f>'Func Future Subs 2015'!H142</f>
        <v>2017</v>
      </c>
      <c r="I142" s="306">
        <f>+IF($H142=I$2,VLOOKUP($G142,Depreciation!$A$14:$L$18,7,FALSE)/2,IF($H142&lt;I$2,VLOOKUP($G142,Depreciation!$A$14:$L$18,7,FALSE),0))</f>
        <v>0</v>
      </c>
      <c r="J142" s="306">
        <f>+IF($H142=J$2,VLOOKUP($G142,Depreciation!$A$14:$L$18,8,FALSE)/2,IF($H142&lt;J$2,VLOOKUP($G142,Depreciation!$A$14:$L$18,8,FALSE),0))</f>
        <v>0</v>
      </c>
      <c r="K142" s="306">
        <f>+IF($H142=K$2,VLOOKUP($G142,Depreciation!$A$14:$L$18,9,FALSE)/2,IF($H142&lt;K$2,VLOOKUP($G142,Depreciation!$A$14:$L$18,9,FALSE),0))</f>
        <v>1.671703928371859E-2</v>
      </c>
      <c r="L142" s="306">
        <f>+IF($H142=L$2,VLOOKUP($G142,Depreciation!$A$14:$L$18,10,FALSE)/2,IF($H142&lt;L$2,VLOOKUP($G142,Depreciation!$A$14:$L$18,10,FALSE),0))</f>
        <v>3.343407856743718E-2</v>
      </c>
      <c r="M142" s="306">
        <f>+IF($H142=M$2,VLOOKUP($G142,Depreciation!$A$14:$L$18,11,FALSE)/2,IF($H142&lt;M$2,VLOOKUP($G142,Depreciation!$A$14:$L$18,11,FALSE),0))</f>
        <v>3.343407856743718E-2</v>
      </c>
      <c r="N142" s="306">
        <f>+IF($H142=N$2,VLOOKUP($G142,Depreciation!$A$14:$L$18,12,FALSE)/2,IF($H142&lt;N$2,VLOOKUP($G142,Depreciation!$A$14:$L$18,12,FALSE),0))</f>
        <v>3.343407856743718E-2</v>
      </c>
      <c r="O142" s="307">
        <f t="shared" si="17"/>
        <v>2904029.3519308846</v>
      </c>
      <c r="P142" s="732">
        <f>'Func Future Subs 2015'!P142</f>
        <v>0</v>
      </c>
      <c r="Q142" s="732">
        <f>'Func Future Subs 2015'!Q142</f>
        <v>1</v>
      </c>
      <c r="R142" s="732">
        <f>'Func Future Subs 2015'!R142</f>
        <v>0</v>
      </c>
      <c r="S142" s="735">
        <f t="shared" si="18"/>
        <v>0</v>
      </c>
      <c r="T142" s="735">
        <f t="shared" si="19"/>
        <v>2904029.3519308846</v>
      </c>
      <c r="U142" s="735">
        <f t="shared" si="20"/>
        <v>0</v>
      </c>
      <c r="V142" s="736">
        <f t="shared" si="21"/>
        <v>0</v>
      </c>
      <c r="W142" s="735">
        <f t="shared" si="22"/>
        <v>0</v>
      </c>
      <c r="X142" s="737">
        <f t="shared" si="23"/>
        <v>0</v>
      </c>
      <c r="Y142" s="738">
        <f t="shared" si="24"/>
        <v>2904029.3519308846</v>
      </c>
    </row>
    <row r="143" spans="1:25">
      <c r="A143" s="754" t="str">
        <f>'Func Future Subs 2015'!A143</f>
        <v>Nisku 149S</v>
      </c>
      <c r="B143" s="754">
        <f>'Func Future Subs 2015'!B143</f>
        <v>850</v>
      </c>
      <c r="C143" s="754">
        <f>'Func Future Subs 2015'!C143</f>
        <v>138</v>
      </c>
      <c r="D143" s="754">
        <f>'Func Future Subs 2015'!D143</f>
        <v>25</v>
      </c>
      <c r="E143" s="754" t="str">
        <f>'Func Future Subs 2015'!E143</f>
        <v>149S</v>
      </c>
      <c r="F143" s="754">
        <f>'Func Future Subs 2015'!F143</f>
        <v>4164342.0352394478</v>
      </c>
      <c r="G143" s="754" t="str">
        <f>'Func Future Subs 2015'!G143</f>
        <v>AltaLink</v>
      </c>
      <c r="H143" s="754">
        <f>'Func Future Subs 2015'!H143</f>
        <v>2017</v>
      </c>
      <c r="I143" s="306">
        <f>+IF($H143=I$2,VLOOKUP($G143,Depreciation!$A$14:$L$18,7,FALSE)/2,IF($H143&lt;I$2,VLOOKUP($G143,Depreciation!$A$14:$L$18,7,FALSE),0))</f>
        <v>0</v>
      </c>
      <c r="J143" s="306">
        <f>+IF($H143=J$2,VLOOKUP($G143,Depreciation!$A$14:$L$18,8,FALSE)/2,IF($H143&lt;J$2,VLOOKUP($G143,Depreciation!$A$14:$L$18,8,FALSE),0))</f>
        <v>0</v>
      </c>
      <c r="K143" s="306">
        <f>+IF($H143=K$2,VLOOKUP($G143,Depreciation!$A$14:$L$18,9,FALSE)/2,IF($H143&lt;K$2,VLOOKUP($G143,Depreciation!$A$14:$L$18,9,FALSE),0))</f>
        <v>1.671703928371859E-2</v>
      </c>
      <c r="L143" s="306">
        <f>+IF($H143=L$2,VLOOKUP($G143,Depreciation!$A$14:$L$18,10,FALSE)/2,IF($H143&lt;L$2,VLOOKUP($G143,Depreciation!$A$14:$L$18,10,FALSE),0))</f>
        <v>3.343407856743718E-2</v>
      </c>
      <c r="M143" s="306">
        <f>+IF($H143=M$2,VLOOKUP($G143,Depreciation!$A$14:$L$18,11,FALSE)/2,IF($H143&lt;M$2,VLOOKUP($G143,Depreciation!$A$14:$L$18,11,FALSE),0))</f>
        <v>3.343407856743718E-2</v>
      </c>
      <c r="N143" s="306">
        <f>+IF($H143=N$2,VLOOKUP($G143,Depreciation!$A$14:$L$18,12,FALSE)/2,IF($H143&lt;N$2,VLOOKUP($G143,Depreciation!$A$14:$L$18,12,FALSE),0))</f>
        <v>3.343407856743718E-2</v>
      </c>
      <c r="O143" s="307">
        <f t="shared" si="17"/>
        <v>3957823.1561308587</v>
      </c>
      <c r="P143" s="732">
        <f>'Func Future Subs 2015'!P143</f>
        <v>0</v>
      </c>
      <c r="Q143" s="732">
        <f>'Func Future Subs 2015'!Q143</f>
        <v>1</v>
      </c>
      <c r="R143" s="732">
        <f>'Func Future Subs 2015'!R143</f>
        <v>0</v>
      </c>
      <c r="S143" s="735">
        <f t="shared" si="18"/>
        <v>0</v>
      </c>
      <c r="T143" s="735">
        <f t="shared" si="19"/>
        <v>3957823.1561308587</v>
      </c>
      <c r="U143" s="735">
        <f t="shared" si="20"/>
        <v>0</v>
      </c>
      <c r="V143" s="736">
        <f t="shared" si="21"/>
        <v>0</v>
      </c>
      <c r="W143" s="735">
        <f t="shared" si="22"/>
        <v>0</v>
      </c>
      <c r="X143" s="737">
        <f t="shared" si="23"/>
        <v>0</v>
      </c>
      <c r="Y143" s="738">
        <f t="shared" si="24"/>
        <v>3957823.1561308587</v>
      </c>
    </row>
    <row r="144" spans="1:25">
      <c r="A144" s="754" t="str">
        <f>'Func Future Subs 2015'!A144</f>
        <v>Petrolia 816S</v>
      </c>
      <c r="B144" s="754">
        <f>'Func Future Subs 2015'!B144</f>
        <v>850</v>
      </c>
      <c r="C144" s="754">
        <f>'Func Future Subs 2015'!C144</f>
        <v>240</v>
      </c>
      <c r="D144" s="754">
        <f>'Func Future Subs 2015'!D144</f>
        <v>25</v>
      </c>
      <c r="E144" s="754" t="str">
        <f>'Func Future Subs 2015'!E144</f>
        <v>816S</v>
      </c>
      <c r="F144" s="754">
        <f>'Func Future Subs 2015'!F144</f>
        <v>171568.00000000006</v>
      </c>
      <c r="G144" s="754" t="str">
        <f>'Func Future Subs 2015'!G144</f>
        <v>EPCOR</v>
      </c>
      <c r="H144" s="754">
        <f>'Func Future Subs 2015'!H144</f>
        <v>2017</v>
      </c>
      <c r="I144" s="306">
        <f>+IF($H144=I$2,VLOOKUP($G144,Depreciation!$A$14:$L$18,7,FALSE)/2,IF($H144&lt;I$2,VLOOKUP($G144,Depreciation!$A$14:$L$18,7,FALSE),0))</f>
        <v>0</v>
      </c>
      <c r="J144" s="306">
        <f>+IF($H144=J$2,VLOOKUP($G144,Depreciation!$A$14:$L$18,8,FALSE)/2,IF($H144&lt;J$2,VLOOKUP($G144,Depreciation!$A$14:$L$18,8,FALSE),0))</f>
        <v>0</v>
      </c>
      <c r="K144" s="306">
        <f>+IF($H144=K$2,VLOOKUP($G144,Depreciation!$A$14:$L$18,9,FALSE)/2,IF($H144&lt;K$2,VLOOKUP($G144,Depreciation!$A$14:$L$18,9,FALSE),0))</f>
        <v>2.0572631749329395E-2</v>
      </c>
      <c r="L144" s="306">
        <f>+IF($H144=L$2,VLOOKUP($G144,Depreciation!$A$14:$L$18,10,FALSE)/2,IF($H144&lt;L$2,VLOOKUP($G144,Depreciation!$A$14:$L$18,10,FALSE),0))</f>
        <v>4.1145263498658789E-2</v>
      </c>
      <c r="M144" s="306">
        <f>+IF($H144=M$2,VLOOKUP($G144,Depreciation!$A$14:$L$18,11,FALSE)/2,IF($H144&lt;M$2,VLOOKUP($G144,Depreciation!$A$14:$L$18,11,FALSE),0))</f>
        <v>4.1145263498658789E-2</v>
      </c>
      <c r="N144" s="306">
        <f>+IF($H144=N$2,VLOOKUP($G144,Depreciation!$A$14:$L$18,12,FALSE)/2,IF($H144&lt;N$2,VLOOKUP($G144,Depreciation!$A$14:$L$18,12,FALSE),0))</f>
        <v>4.1145263498658789E-2</v>
      </c>
      <c r="O144" s="307">
        <f t="shared" si="17"/>
        <v>161124.41068754837</v>
      </c>
      <c r="P144" s="732">
        <f>'Func Future Subs 2015'!P144</f>
        <v>0</v>
      </c>
      <c r="Q144" s="732">
        <f>'Func Future Subs 2015'!Q144</f>
        <v>0</v>
      </c>
      <c r="R144" s="732">
        <f>'Func Future Subs 2015'!R144</f>
        <v>1</v>
      </c>
      <c r="S144" s="735">
        <f t="shared" si="18"/>
        <v>0</v>
      </c>
      <c r="T144" s="735">
        <f t="shared" si="19"/>
        <v>0</v>
      </c>
      <c r="U144" s="735">
        <f t="shared" si="20"/>
        <v>161124.41068754837</v>
      </c>
      <c r="V144" s="736">
        <f t="shared" si="21"/>
        <v>0</v>
      </c>
      <c r="W144" s="735">
        <f t="shared" si="22"/>
        <v>0</v>
      </c>
      <c r="X144" s="737">
        <f t="shared" si="23"/>
        <v>0</v>
      </c>
      <c r="Y144" s="738">
        <f t="shared" si="24"/>
        <v>161124.41068754837</v>
      </c>
    </row>
    <row r="145" spans="1:25">
      <c r="A145" s="754" t="str">
        <f>'Func Future Subs 2015'!A145</f>
        <v>Saunders Lake 289S</v>
      </c>
      <c r="B145" s="754">
        <f>'Func Future Subs 2015'!B145</f>
        <v>850</v>
      </c>
      <c r="C145" s="754">
        <f>'Func Future Subs 2015'!C145</f>
        <v>240</v>
      </c>
      <c r="D145" s="754">
        <f>'Func Future Subs 2015'!D145</f>
        <v>138</v>
      </c>
      <c r="E145" s="754" t="str">
        <f>'Func Future Subs 2015'!E145</f>
        <v>289S</v>
      </c>
      <c r="F145" s="754">
        <f>'Func Future Subs 2015'!F145</f>
        <v>59647159.879132695</v>
      </c>
      <c r="G145" s="754" t="str">
        <f>'Func Future Subs 2015'!G145</f>
        <v>AltaLink</v>
      </c>
      <c r="H145" s="754">
        <f>'Func Future Subs 2015'!H145</f>
        <v>2017</v>
      </c>
      <c r="I145" s="306">
        <f>+IF($H145=I$2,VLOOKUP($G145,Depreciation!$A$14:$L$18,7,FALSE)/2,IF($H145&lt;I$2,VLOOKUP($G145,Depreciation!$A$14:$L$18,7,FALSE),0))</f>
        <v>0</v>
      </c>
      <c r="J145" s="306">
        <f>+IF($H145=J$2,VLOOKUP($G145,Depreciation!$A$14:$L$18,8,FALSE)/2,IF($H145&lt;J$2,VLOOKUP($G145,Depreciation!$A$14:$L$18,8,FALSE),0))</f>
        <v>0</v>
      </c>
      <c r="K145" s="306">
        <f>+IF($H145=K$2,VLOOKUP($G145,Depreciation!$A$14:$L$18,9,FALSE)/2,IF($H145&lt;K$2,VLOOKUP($G145,Depreciation!$A$14:$L$18,9,FALSE),0))</f>
        <v>1.671703928371859E-2</v>
      </c>
      <c r="L145" s="306">
        <f>+IF($H145=L$2,VLOOKUP($G145,Depreciation!$A$14:$L$18,10,FALSE)/2,IF($H145&lt;L$2,VLOOKUP($G145,Depreciation!$A$14:$L$18,10,FALSE),0))</f>
        <v>3.343407856743718E-2</v>
      </c>
      <c r="M145" s="306">
        <f>+IF($H145=M$2,VLOOKUP($G145,Depreciation!$A$14:$L$18,11,FALSE)/2,IF($H145&lt;M$2,VLOOKUP($G145,Depreciation!$A$14:$L$18,11,FALSE),0))</f>
        <v>3.343407856743718E-2</v>
      </c>
      <c r="N145" s="306">
        <f>+IF($H145=N$2,VLOOKUP($G145,Depreciation!$A$14:$L$18,12,FALSE)/2,IF($H145&lt;N$2,VLOOKUP($G145,Depreciation!$A$14:$L$18,12,FALSE),0))</f>
        <v>3.343407856743718E-2</v>
      </c>
      <c r="O145" s="307">
        <f t="shared" si="17"/>
        <v>56689126.053858541</v>
      </c>
      <c r="P145" s="732">
        <f>'Func Future Subs 2015'!P145</f>
        <v>0</v>
      </c>
      <c r="Q145" s="732">
        <f>'Func Future Subs 2015'!Q145</f>
        <v>0</v>
      </c>
      <c r="R145" s="732">
        <f>'Func Future Subs 2015'!R145</f>
        <v>1</v>
      </c>
      <c r="S145" s="735">
        <f t="shared" si="18"/>
        <v>0</v>
      </c>
      <c r="T145" s="735">
        <f t="shared" si="19"/>
        <v>0</v>
      </c>
      <c r="U145" s="735">
        <f t="shared" si="20"/>
        <v>56689126.053858541</v>
      </c>
      <c r="V145" s="736">
        <f t="shared" si="21"/>
        <v>0</v>
      </c>
      <c r="W145" s="735">
        <f t="shared" si="22"/>
        <v>0</v>
      </c>
      <c r="X145" s="737">
        <f t="shared" si="23"/>
        <v>56689126.053858541</v>
      </c>
      <c r="Y145" s="738">
        <f t="shared" si="24"/>
        <v>0</v>
      </c>
    </row>
    <row r="146" spans="1:25">
      <c r="A146" s="754" t="str">
        <f>'Func Future Subs 2015'!A146</f>
        <v>Spruce Grove 595S</v>
      </c>
      <c r="B146" s="754">
        <f>'Func Future Subs 2015'!B146</f>
        <v>850</v>
      </c>
      <c r="C146" s="754">
        <f>'Func Future Subs 2015'!C146</f>
        <v>138</v>
      </c>
      <c r="D146" s="754">
        <f>'Func Future Subs 2015'!D146</f>
        <v>25</v>
      </c>
      <c r="E146" s="754" t="str">
        <f>'Func Future Subs 2015'!E146</f>
        <v>595S</v>
      </c>
      <c r="F146" s="754">
        <f>'Func Future Subs 2015'!F146</f>
        <v>83551.654618630506</v>
      </c>
      <c r="G146" s="754" t="str">
        <f>'Func Future Subs 2015'!G146</f>
        <v>AltaLink</v>
      </c>
      <c r="H146" s="754">
        <f>'Func Future Subs 2015'!H146</f>
        <v>2017</v>
      </c>
      <c r="I146" s="306">
        <f>+IF($H146=I$2,VLOOKUP($G146,Depreciation!$A$14:$L$18,7,FALSE)/2,IF($H146&lt;I$2,VLOOKUP($G146,Depreciation!$A$14:$L$18,7,FALSE),0))</f>
        <v>0</v>
      </c>
      <c r="J146" s="306">
        <f>+IF($H146=J$2,VLOOKUP($G146,Depreciation!$A$14:$L$18,8,FALSE)/2,IF($H146&lt;J$2,VLOOKUP($G146,Depreciation!$A$14:$L$18,8,FALSE),0))</f>
        <v>0</v>
      </c>
      <c r="K146" s="306">
        <f>+IF($H146=K$2,VLOOKUP($G146,Depreciation!$A$14:$L$18,9,FALSE)/2,IF($H146&lt;K$2,VLOOKUP($G146,Depreciation!$A$14:$L$18,9,FALSE),0))</f>
        <v>1.671703928371859E-2</v>
      </c>
      <c r="L146" s="306">
        <f>+IF($H146=L$2,VLOOKUP($G146,Depreciation!$A$14:$L$18,10,FALSE)/2,IF($H146&lt;L$2,VLOOKUP($G146,Depreciation!$A$14:$L$18,10,FALSE),0))</f>
        <v>3.343407856743718E-2</v>
      </c>
      <c r="M146" s="306">
        <f>+IF($H146=M$2,VLOOKUP($G146,Depreciation!$A$14:$L$18,11,FALSE)/2,IF($H146&lt;M$2,VLOOKUP($G146,Depreciation!$A$14:$L$18,11,FALSE),0))</f>
        <v>3.343407856743718E-2</v>
      </c>
      <c r="N146" s="306">
        <f>+IF($H146=N$2,VLOOKUP($G146,Depreciation!$A$14:$L$18,12,FALSE)/2,IF($H146&lt;N$2,VLOOKUP($G146,Depreciation!$A$14:$L$18,12,FALSE),0))</f>
        <v>3.343407856743718E-2</v>
      </c>
      <c r="O146" s="307">
        <f t="shared" si="17"/>
        <v>79408.144332133248</v>
      </c>
      <c r="P146" s="732">
        <f>'Func Future Subs 2015'!P146</f>
        <v>0</v>
      </c>
      <c r="Q146" s="732">
        <f>'Func Future Subs 2015'!Q146</f>
        <v>1</v>
      </c>
      <c r="R146" s="732">
        <f>'Func Future Subs 2015'!R146</f>
        <v>0</v>
      </c>
      <c r="S146" s="735">
        <f t="shared" si="18"/>
        <v>0</v>
      </c>
      <c r="T146" s="735">
        <f t="shared" si="19"/>
        <v>79408.144332133248</v>
      </c>
      <c r="U146" s="735">
        <f t="shared" si="20"/>
        <v>0</v>
      </c>
      <c r="V146" s="736">
        <f t="shared" si="21"/>
        <v>0</v>
      </c>
      <c r="W146" s="735">
        <f t="shared" si="22"/>
        <v>0</v>
      </c>
      <c r="X146" s="737">
        <f t="shared" si="23"/>
        <v>0</v>
      </c>
      <c r="Y146" s="738">
        <f t="shared" si="24"/>
        <v>79408.144332133248</v>
      </c>
    </row>
    <row r="147" spans="1:25">
      <c r="A147" s="754" t="str">
        <f>'Func Future Subs 2015'!A147</f>
        <v>Stony Plain 434S</v>
      </c>
      <c r="B147" s="754">
        <f>'Func Future Subs 2015'!B147</f>
        <v>850</v>
      </c>
      <c r="C147" s="754">
        <f>'Func Future Subs 2015'!C147</f>
        <v>138</v>
      </c>
      <c r="D147" s="754">
        <f>'Func Future Subs 2015'!D147</f>
        <v>25</v>
      </c>
      <c r="E147" s="754" t="str">
        <f>'Func Future Subs 2015'!E147</f>
        <v>434S</v>
      </c>
      <c r="F147" s="754">
        <f>'Func Future Subs 2015'!F147</f>
        <v>1277016.625539762</v>
      </c>
      <c r="G147" s="754" t="str">
        <f>'Func Future Subs 2015'!G147</f>
        <v>AltaLink</v>
      </c>
      <c r="H147" s="754">
        <f>'Func Future Subs 2015'!H147</f>
        <v>2017</v>
      </c>
      <c r="I147" s="306">
        <f>+IF($H147=I$2,VLOOKUP($G147,Depreciation!$A$14:$L$18,7,FALSE)/2,IF($H147&lt;I$2,VLOOKUP($G147,Depreciation!$A$14:$L$18,7,FALSE),0))</f>
        <v>0</v>
      </c>
      <c r="J147" s="306">
        <f>+IF($H147=J$2,VLOOKUP($G147,Depreciation!$A$14:$L$18,8,FALSE)/2,IF($H147&lt;J$2,VLOOKUP($G147,Depreciation!$A$14:$L$18,8,FALSE),0))</f>
        <v>0</v>
      </c>
      <c r="K147" s="306">
        <f>+IF($H147=K$2,VLOOKUP($G147,Depreciation!$A$14:$L$18,9,FALSE)/2,IF($H147&lt;K$2,VLOOKUP($G147,Depreciation!$A$14:$L$18,9,FALSE),0))</f>
        <v>1.671703928371859E-2</v>
      </c>
      <c r="L147" s="306">
        <f>+IF($H147=L$2,VLOOKUP($G147,Depreciation!$A$14:$L$18,10,FALSE)/2,IF($H147&lt;L$2,VLOOKUP($G147,Depreciation!$A$14:$L$18,10,FALSE),0))</f>
        <v>3.343407856743718E-2</v>
      </c>
      <c r="M147" s="306">
        <f>+IF($H147=M$2,VLOOKUP($G147,Depreciation!$A$14:$L$18,11,FALSE)/2,IF($H147&lt;M$2,VLOOKUP($G147,Depreciation!$A$14:$L$18,11,FALSE),0))</f>
        <v>3.343407856743718E-2</v>
      </c>
      <c r="N147" s="306">
        <f>+IF($H147=N$2,VLOOKUP($G147,Depreciation!$A$14:$L$18,12,FALSE)/2,IF($H147&lt;N$2,VLOOKUP($G147,Depreciation!$A$14:$L$18,12,FALSE),0))</f>
        <v>3.343407856743718E-2</v>
      </c>
      <c r="O147" s="307">
        <f t="shared" si="17"/>
        <v>1213686.5628605227</v>
      </c>
      <c r="P147" s="732">
        <f>'Func Future Subs 2015'!P147</f>
        <v>0</v>
      </c>
      <c r="Q147" s="732">
        <f>'Func Future Subs 2015'!Q147</f>
        <v>1</v>
      </c>
      <c r="R147" s="732">
        <f>'Func Future Subs 2015'!R147</f>
        <v>0</v>
      </c>
      <c r="S147" s="735">
        <f t="shared" si="18"/>
        <v>0</v>
      </c>
      <c r="T147" s="735">
        <f t="shared" si="19"/>
        <v>1213686.5628605227</v>
      </c>
      <c r="U147" s="735">
        <f t="shared" si="20"/>
        <v>0</v>
      </c>
      <c r="V147" s="736">
        <f t="shared" si="21"/>
        <v>0</v>
      </c>
      <c r="W147" s="735">
        <f t="shared" si="22"/>
        <v>0</v>
      </c>
      <c r="X147" s="737">
        <f t="shared" si="23"/>
        <v>0</v>
      </c>
      <c r="Y147" s="738">
        <f t="shared" si="24"/>
        <v>1213686.5628605227</v>
      </c>
    </row>
    <row r="148" spans="1:25">
      <c r="A148" s="754" t="str">
        <f>'Func Future Subs 2015'!A148</f>
        <v>Viscount 92S</v>
      </c>
      <c r="B148" s="754">
        <f>'Func Future Subs 2015'!B148</f>
        <v>850</v>
      </c>
      <c r="C148" s="754">
        <f>'Func Future Subs 2015'!C148</f>
        <v>138</v>
      </c>
      <c r="D148" s="754">
        <f>'Func Future Subs 2015'!D148</f>
        <v>25</v>
      </c>
      <c r="E148" s="754" t="str">
        <f>'Func Future Subs 2015'!E148</f>
        <v>92S</v>
      </c>
      <c r="F148" s="754">
        <f>'Func Future Subs 2015'!F148</f>
        <v>84454.731155301823</v>
      </c>
      <c r="G148" s="754" t="str">
        <f>'Func Future Subs 2015'!G148</f>
        <v>AltaLink</v>
      </c>
      <c r="H148" s="754">
        <f>'Func Future Subs 2015'!H148</f>
        <v>2017</v>
      </c>
      <c r="I148" s="306">
        <f>+IF($H148=I$2,VLOOKUP($G148,Depreciation!$A$14:$L$18,7,FALSE)/2,IF($H148&lt;I$2,VLOOKUP($G148,Depreciation!$A$14:$L$18,7,FALSE),0))</f>
        <v>0</v>
      </c>
      <c r="J148" s="306">
        <f>+IF($H148=J$2,VLOOKUP($G148,Depreciation!$A$14:$L$18,8,FALSE)/2,IF($H148&lt;J$2,VLOOKUP($G148,Depreciation!$A$14:$L$18,8,FALSE),0))</f>
        <v>0</v>
      </c>
      <c r="K148" s="306">
        <f>+IF($H148=K$2,VLOOKUP($G148,Depreciation!$A$14:$L$18,9,FALSE)/2,IF($H148&lt;K$2,VLOOKUP($G148,Depreciation!$A$14:$L$18,9,FALSE),0))</f>
        <v>1.671703928371859E-2</v>
      </c>
      <c r="L148" s="306">
        <f>+IF($H148=L$2,VLOOKUP($G148,Depreciation!$A$14:$L$18,10,FALSE)/2,IF($H148&lt;L$2,VLOOKUP($G148,Depreciation!$A$14:$L$18,10,FALSE),0))</f>
        <v>3.343407856743718E-2</v>
      </c>
      <c r="M148" s="306">
        <f>+IF($H148=M$2,VLOOKUP($G148,Depreciation!$A$14:$L$18,11,FALSE)/2,IF($H148&lt;M$2,VLOOKUP($G148,Depreciation!$A$14:$L$18,11,FALSE),0))</f>
        <v>3.343407856743718E-2</v>
      </c>
      <c r="N148" s="306">
        <f>+IF($H148=N$2,VLOOKUP($G148,Depreciation!$A$14:$L$18,12,FALSE)/2,IF($H148&lt;N$2,VLOOKUP($G148,Depreciation!$A$14:$L$18,12,FALSE),0))</f>
        <v>3.343407856743718E-2</v>
      </c>
      <c r="O148" s="307">
        <f t="shared" si="17"/>
        <v>80266.435317443902</v>
      </c>
      <c r="P148" s="732">
        <f>'Func Future Subs 2015'!P148</f>
        <v>0</v>
      </c>
      <c r="Q148" s="732">
        <f>'Func Future Subs 2015'!Q148</f>
        <v>1</v>
      </c>
      <c r="R148" s="732">
        <f>'Func Future Subs 2015'!R148</f>
        <v>0</v>
      </c>
      <c r="S148" s="735">
        <f t="shared" si="18"/>
        <v>0</v>
      </c>
      <c r="T148" s="735">
        <f t="shared" si="19"/>
        <v>80266.435317443902</v>
      </c>
      <c r="U148" s="735">
        <f t="shared" si="20"/>
        <v>0</v>
      </c>
      <c r="V148" s="736">
        <f t="shared" si="21"/>
        <v>0</v>
      </c>
      <c r="W148" s="735">
        <f t="shared" si="22"/>
        <v>0</v>
      </c>
      <c r="X148" s="737">
        <f t="shared" si="23"/>
        <v>0</v>
      </c>
      <c r="Y148" s="738">
        <f t="shared" si="24"/>
        <v>80266.435317443902</v>
      </c>
    </row>
    <row r="149" spans="1:25">
      <c r="A149" s="754" t="str">
        <f>'Func Future Subs 2015'!A149</f>
        <v>Wetaskiwin 40S</v>
      </c>
      <c r="B149" s="754">
        <f>'Func Future Subs 2015'!B149</f>
        <v>850</v>
      </c>
      <c r="C149" s="754">
        <f>'Func Future Subs 2015'!C149</f>
        <v>138</v>
      </c>
      <c r="D149" s="754">
        <f>'Func Future Subs 2015'!D149</f>
        <v>25</v>
      </c>
      <c r="E149" s="754" t="str">
        <f>'Func Future Subs 2015'!E149</f>
        <v>40S</v>
      </c>
      <c r="F149" s="754">
        <f>'Func Future Subs 2015'!F149</f>
        <v>1153188.8957173596</v>
      </c>
      <c r="G149" s="754" t="str">
        <f>'Func Future Subs 2015'!G149</f>
        <v>AltaLink</v>
      </c>
      <c r="H149" s="754">
        <f>'Func Future Subs 2015'!H149</f>
        <v>2017</v>
      </c>
      <c r="I149" s="306">
        <f>+IF($H149=I$2,VLOOKUP($G149,Depreciation!$A$14:$L$18,7,FALSE)/2,IF($H149&lt;I$2,VLOOKUP($G149,Depreciation!$A$14:$L$18,7,FALSE),0))</f>
        <v>0</v>
      </c>
      <c r="J149" s="306">
        <f>+IF($H149=J$2,VLOOKUP($G149,Depreciation!$A$14:$L$18,8,FALSE)/2,IF($H149&lt;J$2,VLOOKUP($G149,Depreciation!$A$14:$L$18,8,FALSE),0))</f>
        <v>0</v>
      </c>
      <c r="K149" s="306">
        <f>+IF($H149=K$2,VLOOKUP($G149,Depreciation!$A$14:$L$18,9,FALSE)/2,IF($H149&lt;K$2,VLOOKUP($G149,Depreciation!$A$14:$L$18,9,FALSE),0))</f>
        <v>1.671703928371859E-2</v>
      </c>
      <c r="L149" s="306">
        <f>+IF($H149=L$2,VLOOKUP($G149,Depreciation!$A$14:$L$18,10,FALSE)/2,IF($H149&lt;L$2,VLOOKUP($G149,Depreciation!$A$14:$L$18,10,FALSE),0))</f>
        <v>3.343407856743718E-2</v>
      </c>
      <c r="M149" s="306">
        <f>+IF($H149=M$2,VLOOKUP($G149,Depreciation!$A$14:$L$18,11,FALSE)/2,IF($H149&lt;M$2,VLOOKUP($G149,Depreciation!$A$14:$L$18,11,FALSE),0))</f>
        <v>3.343407856743718E-2</v>
      </c>
      <c r="N149" s="306">
        <f>+IF($H149=N$2,VLOOKUP($G149,Depreciation!$A$14:$L$18,12,FALSE)/2,IF($H149&lt;N$2,VLOOKUP($G149,Depreciation!$A$14:$L$18,12,FALSE),0))</f>
        <v>3.343407856743718E-2</v>
      </c>
      <c r="O149" s="307">
        <f t="shared" si="17"/>
        <v>1095999.7224629279</v>
      </c>
      <c r="P149" s="732">
        <f>'Func Future Subs 2015'!P149</f>
        <v>0</v>
      </c>
      <c r="Q149" s="732">
        <f>'Func Future Subs 2015'!Q149</f>
        <v>1</v>
      </c>
      <c r="R149" s="732">
        <f>'Func Future Subs 2015'!R149</f>
        <v>0</v>
      </c>
      <c r="S149" s="735">
        <f t="shared" si="18"/>
        <v>0</v>
      </c>
      <c r="T149" s="735">
        <f t="shared" si="19"/>
        <v>1095999.7224629279</v>
      </c>
      <c r="U149" s="735">
        <f t="shared" si="20"/>
        <v>0</v>
      </c>
      <c r="V149" s="736">
        <f t="shared" si="21"/>
        <v>0</v>
      </c>
      <c r="W149" s="735">
        <f t="shared" si="22"/>
        <v>0</v>
      </c>
      <c r="X149" s="737">
        <f t="shared" si="23"/>
        <v>0</v>
      </c>
      <c r="Y149" s="738">
        <f t="shared" si="24"/>
        <v>1095999.7224629279</v>
      </c>
    </row>
    <row r="150" spans="1:25">
      <c r="A150" s="754" t="str">
        <f>'Func Future Subs 2015'!A150</f>
        <v>Wolf Creek 288S</v>
      </c>
      <c r="B150" s="754">
        <f>'Func Future Subs 2015'!B150</f>
        <v>850</v>
      </c>
      <c r="C150" s="754">
        <f>'Func Future Subs 2015'!C150</f>
        <v>240</v>
      </c>
      <c r="D150" s="754">
        <f>'Func Future Subs 2015'!D150</f>
        <v>138</v>
      </c>
      <c r="E150" s="754" t="str">
        <f>'Func Future Subs 2015'!E150</f>
        <v>288S</v>
      </c>
      <c r="F150" s="754">
        <f>'Func Future Subs 2015'!F150</f>
        <v>475507.74094974546</v>
      </c>
      <c r="G150" s="754" t="str">
        <f>'Func Future Subs 2015'!G150</f>
        <v>AltaLink</v>
      </c>
      <c r="H150" s="754">
        <f>'Func Future Subs 2015'!H150</f>
        <v>2017</v>
      </c>
      <c r="I150" s="306">
        <f>+IF($H150=I$2,VLOOKUP($G150,Depreciation!$A$14:$L$18,7,FALSE)/2,IF($H150&lt;I$2,VLOOKUP($G150,Depreciation!$A$14:$L$18,7,FALSE),0))</f>
        <v>0</v>
      </c>
      <c r="J150" s="306">
        <f>+IF($H150=J$2,VLOOKUP($G150,Depreciation!$A$14:$L$18,8,FALSE)/2,IF($H150&lt;J$2,VLOOKUP($G150,Depreciation!$A$14:$L$18,8,FALSE),0))</f>
        <v>0</v>
      </c>
      <c r="K150" s="306">
        <f>+IF($H150=K$2,VLOOKUP($G150,Depreciation!$A$14:$L$18,9,FALSE)/2,IF($H150&lt;K$2,VLOOKUP($G150,Depreciation!$A$14:$L$18,9,FALSE),0))</f>
        <v>1.671703928371859E-2</v>
      </c>
      <c r="L150" s="306">
        <f>+IF($H150=L$2,VLOOKUP($G150,Depreciation!$A$14:$L$18,10,FALSE)/2,IF($H150&lt;L$2,VLOOKUP($G150,Depreciation!$A$14:$L$18,10,FALSE),0))</f>
        <v>3.343407856743718E-2</v>
      </c>
      <c r="M150" s="306">
        <f>+IF($H150=M$2,VLOOKUP($G150,Depreciation!$A$14:$L$18,11,FALSE)/2,IF($H150&lt;M$2,VLOOKUP($G150,Depreciation!$A$14:$L$18,11,FALSE),0))</f>
        <v>3.343407856743718E-2</v>
      </c>
      <c r="N150" s="306">
        <f>+IF($H150=N$2,VLOOKUP($G150,Depreciation!$A$14:$L$18,12,FALSE)/2,IF($H150&lt;N$2,VLOOKUP($G150,Depreciation!$A$14:$L$18,12,FALSE),0))</f>
        <v>3.343407856743718E-2</v>
      </c>
      <c r="O150" s="307">
        <f t="shared" si="17"/>
        <v>451926.26641249546</v>
      </c>
      <c r="P150" s="732">
        <f>'Func Future Subs 2015'!P150</f>
        <v>0</v>
      </c>
      <c r="Q150" s="732">
        <f>'Func Future Subs 2015'!Q150</f>
        <v>0</v>
      </c>
      <c r="R150" s="732">
        <f>'Func Future Subs 2015'!R150</f>
        <v>1</v>
      </c>
      <c r="S150" s="735">
        <f t="shared" si="18"/>
        <v>0</v>
      </c>
      <c r="T150" s="735">
        <f t="shared" si="19"/>
        <v>0</v>
      </c>
      <c r="U150" s="735">
        <f t="shared" si="20"/>
        <v>451926.26641249546</v>
      </c>
      <c r="V150" s="736">
        <f t="shared" si="21"/>
        <v>0</v>
      </c>
      <c r="W150" s="735">
        <f t="shared" si="22"/>
        <v>0</v>
      </c>
      <c r="X150" s="737">
        <f t="shared" si="23"/>
        <v>451926.26641249546</v>
      </c>
      <c r="Y150" s="738">
        <f t="shared" si="24"/>
        <v>0</v>
      </c>
    </row>
    <row r="151" spans="1:25">
      <c r="A151" s="754" t="str">
        <f>'Func Future Subs 2015'!A151</f>
        <v>Enmax No. 5</v>
      </c>
      <c r="B151" s="754">
        <f>'Func Future Subs 2015'!B151</f>
        <v>859</v>
      </c>
      <c r="C151" s="754">
        <f>'Func Future Subs 2015'!C151</f>
        <v>138</v>
      </c>
      <c r="D151" s="754">
        <f>'Func Future Subs 2015'!D151</f>
        <v>25</v>
      </c>
      <c r="E151" s="754" t="str">
        <f>'Func Future Subs 2015'!E151</f>
        <v>SS-5</v>
      </c>
      <c r="F151" s="754">
        <f>'Func Future Subs 2015'!F151</f>
        <v>37991871.591546685</v>
      </c>
      <c r="G151" s="754" t="str">
        <f>'Func Future Subs 2015'!G151</f>
        <v>ENMAX</v>
      </c>
      <c r="H151" s="754">
        <f>'Func Future Subs 2015'!H151</f>
        <v>2015</v>
      </c>
      <c r="I151" s="306">
        <f>+IF($H151=I$2,VLOOKUP($G151,Depreciation!$A$14:$L$18,7,FALSE)/2,IF($H151&lt;I$2,VLOOKUP($G151,Depreciation!$A$14:$L$18,7,FALSE),0))</f>
        <v>1.3928409269726289E-2</v>
      </c>
      <c r="J151" s="306">
        <f>+IF($H151=J$2,VLOOKUP($G151,Depreciation!$A$14:$L$18,8,FALSE)/2,IF($H151&lt;J$2,VLOOKUP($G151,Depreciation!$A$14:$L$18,8,FALSE),0))</f>
        <v>2.7856818539452578E-2</v>
      </c>
      <c r="K151" s="306">
        <f>+IF($H151=K$2,VLOOKUP($G151,Depreciation!$A$14:$L$18,9,FALSE)/2,IF($H151&lt;K$2,VLOOKUP($G151,Depreciation!$A$14:$L$18,9,FALSE),0))</f>
        <v>2.7856818539452578E-2</v>
      </c>
      <c r="L151" s="306">
        <f>+IF($H151=L$2,VLOOKUP($G151,Depreciation!$A$14:$L$18,10,FALSE)/2,IF($H151&lt;L$2,VLOOKUP($G151,Depreciation!$A$14:$L$18,10,FALSE),0))</f>
        <v>2.7856818539452578E-2</v>
      </c>
      <c r="M151" s="306">
        <f>+IF($H151=M$2,VLOOKUP($G151,Depreciation!$A$14:$L$18,11,FALSE)/2,IF($H151&lt;M$2,VLOOKUP($G151,Depreciation!$A$14:$L$18,11,FALSE),0))</f>
        <v>2.7856818539452578E-2</v>
      </c>
      <c r="N151" s="306">
        <f>+IF($H151=N$2,VLOOKUP($G151,Depreciation!$A$14:$L$18,12,FALSE)/2,IF($H151&lt;N$2,VLOOKUP($G151,Depreciation!$A$14:$L$18,12,FALSE),0))</f>
        <v>2.7856818539452578E-2</v>
      </c>
      <c r="O151" s="307">
        <f t="shared" si="17"/>
        <v>34418333.519293293</v>
      </c>
      <c r="P151" s="732">
        <f>'Func Future Subs 2015'!P151</f>
        <v>0</v>
      </c>
      <c r="Q151" s="732">
        <f>'Func Future Subs 2015'!Q151</f>
        <v>1</v>
      </c>
      <c r="R151" s="732">
        <f>'Func Future Subs 2015'!R151</f>
        <v>0</v>
      </c>
      <c r="S151" s="735">
        <f t="shared" si="18"/>
        <v>0</v>
      </c>
      <c r="T151" s="735">
        <f t="shared" si="19"/>
        <v>34418333.519293293</v>
      </c>
      <c r="U151" s="735">
        <f t="shared" si="20"/>
        <v>0</v>
      </c>
      <c r="V151" s="736">
        <f t="shared" si="21"/>
        <v>0</v>
      </c>
      <c r="W151" s="735">
        <f t="shared" si="22"/>
        <v>0</v>
      </c>
      <c r="X151" s="737">
        <f t="shared" si="23"/>
        <v>0</v>
      </c>
      <c r="Y151" s="738">
        <f t="shared" si="24"/>
        <v>34418333.519293293</v>
      </c>
    </row>
    <row r="152" spans="1:25">
      <c r="A152" s="754" t="str">
        <f>'Func Future Subs 2015'!A152</f>
        <v>Foothills 237S</v>
      </c>
      <c r="B152" s="754">
        <f>'Func Future Subs 2015'!B152</f>
        <v>882</v>
      </c>
      <c r="C152" s="754">
        <f>'Func Future Subs 2015'!C152</f>
        <v>240</v>
      </c>
      <c r="D152" s="754">
        <f>'Func Future Subs 2015'!D152</f>
        <v>138</v>
      </c>
      <c r="E152" s="754" t="str">
        <f>'Func Future Subs 2015'!E152</f>
        <v>237S</v>
      </c>
      <c r="F152" s="754">
        <f>'Func Future Subs 2015'!F152</f>
        <v>358753.33155285398</v>
      </c>
      <c r="G152" s="754" t="str">
        <f>'Func Future Subs 2015'!G152</f>
        <v>AltaLink</v>
      </c>
      <c r="H152" s="754">
        <f>'Func Future Subs 2015'!H152</f>
        <v>2015</v>
      </c>
      <c r="I152" s="306">
        <f>+IF($H152=I$2,VLOOKUP($G152,Depreciation!$A$14:$L$18,7,FALSE)/2,IF($H152&lt;I$2,VLOOKUP($G152,Depreciation!$A$14:$L$18,7,FALSE),0))</f>
        <v>1.7228380322441735E-2</v>
      </c>
      <c r="J152" s="306">
        <f>+IF($H152=J$2,VLOOKUP($G152,Depreciation!$A$14:$L$18,8,FALSE)/2,IF($H152&lt;J$2,VLOOKUP($G152,Depreciation!$A$14:$L$18,8,FALSE),0))</f>
        <v>3.343407856743718E-2</v>
      </c>
      <c r="K152" s="306">
        <f>+IF($H152=K$2,VLOOKUP($G152,Depreciation!$A$14:$L$18,9,FALSE)/2,IF($H152&lt;K$2,VLOOKUP($G152,Depreciation!$A$14:$L$18,9,FALSE),0))</f>
        <v>3.343407856743718E-2</v>
      </c>
      <c r="L152" s="306">
        <f>+IF($H152=L$2,VLOOKUP($G152,Depreciation!$A$14:$L$18,10,FALSE)/2,IF($H152&lt;L$2,VLOOKUP($G152,Depreciation!$A$14:$L$18,10,FALSE),0))</f>
        <v>3.343407856743718E-2</v>
      </c>
      <c r="M152" s="306">
        <f>+IF($H152=M$2,VLOOKUP($G152,Depreciation!$A$14:$L$18,11,FALSE)/2,IF($H152&lt;M$2,VLOOKUP($G152,Depreciation!$A$14:$L$18,11,FALSE),0))</f>
        <v>3.343407856743718E-2</v>
      </c>
      <c r="N152" s="306">
        <f>+IF($H152=N$2,VLOOKUP($G152,Depreciation!$A$14:$L$18,12,FALSE)/2,IF($H152&lt;N$2,VLOOKUP($G152,Depreciation!$A$14:$L$18,12,FALSE),0))</f>
        <v>3.343407856743718E-2</v>
      </c>
      <c r="O152" s="307">
        <f t="shared" si="17"/>
        <v>318377.95312865073</v>
      </c>
      <c r="P152" s="732">
        <f>'Func Future Subs 2015'!P152</f>
        <v>0</v>
      </c>
      <c r="Q152" s="732">
        <f>'Func Future Subs 2015'!Q152</f>
        <v>0</v>
      </c>
      <c r="R152" s="732">
        <f>'Func Future Subs 2015'!R152</f>
        <v>1</v>
      </c>
      <c r="S152" s="735">
        <f t="shared" si="18"/>
        <v>0</v>
      </c>
      <c r="T152" s="735">
        <f t="shared" si="19"/>
        <v>0</v>
      </c>
      <c r="U152" s="735">
        <f t="shared" si="20"/>
        <v>318377.95312865073</v>
      </c>
      <c r="V152" s="736">
        <f t="shared" si="21"/>
        <v>0</v>
      </c>
      <c r="W152" s="735">
        <f t="shared" si="22"/>
        <v>0</v>
      </c>
      <c r="X152" s="737">
        <f t="shared" si="23"/>
        <v>318377.95312865073</v>
      </c>
      <c r="Y152" s="738">
        <f t="shared" si="24"/>
        <v>0</v>
      </c>
    </row>
    <row r="153" spans="1:25">
      <c r="A153" s="754" t="str">
        <f>'Func Future Subs 2015'!A153</f>
        <v>Peigan 59S</v>
      </c>
      <c r="B153" s="754">
        <f>'Func Future Subs 2015'!B153</f>
        <v>882</v>
      </c>
      <c r="C153" s="754">
        <f>'Func Future Subs 2015'!C153</f>
        <v>240</v>
      </c>
      <c r="D153" s="754">
        <f>'Func Future Subs 2015'!D153</f>
        <v>138</v>
      </c>
      <c r="E153" s="754" t="str">
        <f>'Func Future Subs 2015'!E153</f>
        <v>59S</v>
      </c>
      <c r="F153" s="754">
        <f>'Func Future Subs 2015'!F153</f>
        <v>309435.01757324504</v>
      </c>
      <c r="G153" s="754" t="str">
        <f>'Func Future Subs 2015'!G153</f>
        <v>AltaLink</v>
      </c>
      <c r="H153" s="754">
        <f>'Func Future Subs 2015'!H153</f>
        <v>2015</v>
      </c>
      <c r="I153" s="306">
        <f>+IF($H153=I$2,VLOOKUP($G153,Depreciation!$A$14:$L$18,7,FALSE)/2,IF($H153&lt;I$2,VLOOKUP($G153,Depreciation!$A$14:$L$18,7,FALSE),0))</f>
        <v>1.7228380322441735E-2</v>
      </c>
      <c r="J153" s="306">
        <f>+IF($H153=J$2,VLOOKUP($G153,Depreciation!$A$14:$L$18,8,FALSE)/2,IF($H153&lt;J$2,VLOOKUP($G153,Depreciation!$A$14:$L$18,8,FALSE),0))</f>
        <v>3.343407856743718E-2</v>
      </c>
      <c r="K153" s="306">
        <f>+IF($H153=K$2,VLOOKUP($G153,Depreciation!$A$14:$L$18,9,FALSE)/2,IF($H153&lt;K$2,VLOOKUP($G153,Depreciation!$A$14:$L$18,9,FALSE),0))</f>
        <v>3.343407856743718E-2</v>
      </c>
      <c r="L153" s="306">
        <f>+IF($H153=L$2,VLOOKUP($G153,Depreciation!$A$14:$L$18,10,FALSE)/2,IF($H153&lt;L$2,VLOOKUP($G153,Depreciation!$A$14:$L$18,10,FALSE),0))</f>
        <v>3.343407856743718E-2</v>
      </c>
      <c r="M153" s="306">
        <f>+IF($H153=M$2,VLOOKUP($G153,Depreciation!$A$14:$L$18,11,FALSE)/2,IF($H153&lt;M$2,VLOOKUP($G153,Depreciation!$A$14:$L$18,11,FALSE),0))</f>
        <v>3.343407856743718E-2</v>
      </c>
      <c r="N153" s="306">
        <f>+IF($H153=N$2,VLOOKUP($G153,Depreciation!$A$14:$L$18,12,FALSE)/2,IF($H153&lt;N$2,VLOOKUP($G153,Depreciation!$A$14:$L$18,12,FALSE),0))</f>
        <v>3.343407856743718E-2</v>
      </c>
      <c r="O153" s="307">
        <f t="shared" si="17"/>
        <v>274610.09796025709</v>
      </c>
      <c r="P153" s="732">
        <f>'Func Future Subs 2015'!P153</f>
        <v>0</v>
      </c>
      <c r="Q153" s="732">
        <f>'Func Future Subs 2015'!Q153</f>
        <v>0</v>
      </c>
      <c r="R153" s="732">
        <f>'Func Future Subs 2015'!R153</f>
        <v>1</v>
      </c>
      <c r="S153" s="735">
        <f t="shared" si="18"/>
        <v>0</v>
      </c>
      <c r="T153" s="735">
        <f t="shared" si="19"/>
        <v>0</v>
      </c>
      <c r="U153" s="735">
        <f t="shared" si="20"/>
        <v>274610.09796025709</v>
      </c>
      <c r="V153" s="736">
        <f t="shared" si="21"/>
        <v>0</v>
      </c>
      <c r="W153" s="735">
        <f t="shared" si="22"/>
        <v>0</v>
      </c>
      <c r="X153" s="737">
        <f t="shared" si="23"/>
        <v>274610.09796025709</v>
      </c>
      <c r="Y153" s="738">
        <f t="shared" si="24"/>
        <v>0</v>
      </c>
    </row>
    <row r="154" spans="1:25">
      <c r="A154" s="754" t="str">
        <f>'Func Future Subs 2015'!A154</f>
        <v>Station - Stavely Series Capacitor SC1 266S</v>
      </c>
      <c r="B154" s="754">
        <f>'Func Future Subs 2015'!B154</f>
        <v>882</v>
      </c>
      <c r="C154" s="754">
        <f>'Func Future Subs 2015'!C154</f>
        <v>240</v>
      </c>
      <c r="D154" s="754">
        <f>'Func Future Subs 2015'!D154</f>
        <v>240</v>
      </c>
      <c r="E154" s="754" t="str">
        <f>'Func Future Subs 2015'!E154</f>
        <v>266S</v>
      </c>
      <c r="F154" s="754">
        <f>'Func Future Subs 2015'!F154</f>
        <v>42547759.969354637</v>
      </c>
      <c r="G154" s="754" t="str">
        <f>'Func Future Subs 2015'!G154</f>
        <v>AltaLink</v>
      </c>
      <c r="H154" s="754">
        <f>'Func Future Subs 2015'!H154</f>
        <v>2015</v>
      </c>
      <c r="I154" s="306">
        <f>+IF($H154=I$2,VLOOKUP($G154,Depreciation!$A$14:$L$18,7,FALSE)/2,IF($H154&lt;I$2,VLOOKUP($G154,Depreciation!$A$14:$L$18,7,FALSE),0))</f>
        <v>1.7228380322441735E-2</v>
      </c>
      <c r="J154" s="306">
        <f>+IF($H154=J$2,VLOOKUP($G154,Depreciation!$A$14:$L$18,8,FALSE)/2,IF($H154&lt;J$2,VLOOKUP($G154,Depreciation!$A$14:$L$18,8,FALSE),0))</f>
        <v>3.343407856743718E-2</v>
      </c>
      <c r="K154" s="306">
        <f>+IF($H154=K$2,VLOOKUP($G154,Depreciation!$A$14:$L$18,9,FALSE)/2,IF($H154&lt;K$2,VLOOKUP($G154,Depreciation!$A$14:$L$18,9,FALSE),0))</f>
        <v>3.343407856743718E-2</v>
      </c>
      <c r="L154" s="306">
        <f>+IF($H154=L$2,VLOOKUP($G154,Depreciation!$A$14:$L$18,10,FALSE)/2,IF($H154&lt;L$2,VLOOKUP($G154,Depreciation!$A$14:$L$18,10,FALSE),0))</f>
        <v>3.343407856743718E-2</v>
      </c>
      <c r="M154" s="306">
        <f>+IF($H154=M$2,VLOOKUP($G154,Depreciation!$A$14:$L$18,11,FALSE)/2,IF($H154&lt;M$2,VLOOKUP($G154,Depreciation!$A$14:$L$18,11,FALSE),0))</f>
        <v>3.343407856743718E-2</v>
      </c>
      <c r="N154" s="306">
        <f>+IF($H154=N$2,VLOOKUP($G154,Depreciation!$A$14:$L$18,12,FALSE)/2,IF($H154&lt;N$2,VLOOKUP($G154,Depreciation!$A$14:$L$18,12,FALSE),0))</f>
        <v>3.343407856743718E-2</v>
      </c>
      <c r="O154" s="307">
        <f t="shared" si="17"/>
        <v>37759283.434714369</v>
      </c>
      <c r="P154" s="732">
        <f>'Func Future Subs 2015'!P154</f>
        <v>0</v>
      </c>
      <c r="Q154" s="732">
        <f>'Func Future Subs 2015'!Q154</f>
        <v>0</v>
      </c>
      <c r="R154" s="732">
        <f>'Func Future Subs 2015'!R154</f>
        <v>1</v>
      </c>
      <c r="S154" s="735">
        <f t="shared" si="18"/>
        <v>0</v>
      </c>
      <c r="T154" s="735">
        <f t="shared" si="19"/>
        <v>0</v>
      </c>
      <c r="U154" s="735">
        <f t="shared" si="20"/>
        <v>37759283.434714369</v>
      </c>
      <c r="V154" s="736">
        <f t="shared" si="21"/>
        <v>0</v>
      </c>
      <c r="W154" s="735">
        <f t="shared" si="22"/>
        <v>37759283.434714369</v>
      </c>
      <c r="X154" s="737">
        <f t="shared" si="23"/>
        <v>0</v>
      </c>
      <c r="Y154" s="738">
        <f t="shared" si="24"/>
        <v>0</v>
      </c>
    </row>
    <row r="155" spans="1:25">
      <c r="A155" s="754" t="str">
        <f>'Func Future Subs 2015'!A155</f>
        <v>Windy Flats 138S</v>
      </c>
      <c r="B155" s="754">
        <f>'Func Future Subs 2015'!B155</f>
        <v>882</v>
      </c>
      <c r="C155" s="754">
        <f>'Func Future Subs 2015'!C155</f>
        <v>240</v>
      </c>
      <c r="D155" s="754">
        <f>'Func Future Subs 2015'!D155</f>
        <v>138</v>
      </c>
      <c r="E155" s="754" t="str">
        <f>'Func Future Subs 2015'!E155</f>
        <v>138S</v>
      </c>
      <c r="F155" s="754">
        <f>'Func Future Subs 2015'!F155</f>
        <v>73372187.647627547</v>
      </c>
      <c r="G155" s="754" t="str">
        <f>'Func Future Subs 2015'!G155</f>
        <v>AltaLink</v>
      </c>
      <c r="H155" s="754">
        <f>'Func Future Subs 2015'!H155</f>
        <v>2015</v>
      </c>
      <c r="I155" s="306">
        <f>+IF($H155=I$2,VLOOKUP($G155,Depreciation!$A$14:$L$18,7,FALSE)/2,IF($H155&lt;I$2,VLOOKUP($G155,Depreciation!$A$14:$L$18,7,FALSE),0))</f>
        <v>1.7228380322441735E-2</v>
      </c>
      <c r="J155" s="306">
        <f>+IF($H155=J$2,VLOOKUP($G155,Depreciation!$A$14:$L$18,8,FALSE)/2,IF($H155&lt;J$2,VLOOKUP($G155,Depreciation!$A$14:$L$18,8,FALSE),0))</f>
        <v>3.343407856743718E-2</v>
      </c>
      <c r="K155" s="306">
        <f>+IF($H155=K$2,VLOOKUP($G155,Depreciation!$A$14:$L$18,9,FALSE)/2,IF($H155&lt;K$2,VLOOKUP($G155,Depreciation!$A$14:$L$18,9,FALSE),0))</f>
        <v>3.343407856743718E-2</v>
      </c>
      <c r="L155" s="306">
        <f>+IF($H155=L$2,VLOOKUP($G155,Depreciation!$A$14:$L$18,10,FALSE)/2,IF($H155&lt;L$2,VLOOKUP($G155,Depreciation!$A$14:$L$18,10,FALSE),0))</f>
        <v>3.343407856743718E-2</v>
      </c>
      <c r="M155" s="306">
        <f>+IF($H155=M$2,VLOOKUP($G155,Depreciation!$A$14:$L$18,11,FALSE)/2,IF($H155&lt;M$2,VLOOKUP($G155,Depreciation!$A$14:$L$18,11,FALSE),0))</f>
        <v>3.343407856743718E-2</v>
      </c>
      <c r="N155" s="306">
        <f>+IF($H155=N$2,VLOOKUP($G155,Depreciation!$A$14:$L$18,12,FALSE)/2,IF($H155&lt;N$2,VLOOKUP($G155,Depreciation!$A$14:$L$18,12,FALSE),0))</f>
        <v>3.343407856743718E-2</v>
      </c>
      <c r="O155" s="307">
        <f t="shared" si="17"/>
        <v>65114620.172889896</v>
      </c>
      <c r="P155" s="732">
        <f>'Func Future Subs 2015'!P155</f>
        <v>0</v>
      </c>
      <c r="Q155" s="732">
        <f>'Func Future Subs 2015'!Q155</f>
        <v>0</v>
      </c>
      <c r="R155" s="732">
        <f>'Func Future Subs 2015'!R155</f>
        <v>1</v>
      </c>
      <c r="S155" s="735">
        <f t="shared" si="18"/>
        <v>0</v>
      </c>
      <c r="T155" s="735">
        <f t="shared" si="19"/>
        <v>0</v>
      </c>
      <c r="U155" s="735">
        <f t="shared" si="20"/>
        <v>65114620.172889896</v>
      </c>
      <c r="V155" s="736">
        <f t="shared" si="21"/>
        <v>0</v>
      </c>
      <c r="W155" s="735">
        <f t="shared" si="22"/>
        <v>0</v>
      </c>
      <c r="X155" s="737">
        <f t="shared" si="23"/>
        <v>65114620.172889896</v>
      </c>
      <c r="Y155" s="738">
        <f t="shared" si="24"/>
        <v>0</v>
      </c>
    </row>
    <row r="156" spans="1:25">
      <c r="A156" s="754" t="str">
        <f>'Func Future Subs 2015'!A156</f>
        <v>Bowmanton 244S 138kV</v>
      </c>
      <c r="B156" s="754">
        <f>'Func Future Subs 2015'!B156</f>
        <v>888</v>
      </c>
      <c r="C156" s="754">
        <f>'Func Future Subs 2015'!C156</f>
        <v>240</v>
      </c>
      <c r="D156" s="754">
        <f>'Func Future Subs 2015'!D156</f>
        <v>138</v>
      </c>
      <c r="E156" s="754" t="str">
        <f>'Func Future Subs 2015'!E156</f>
        <v>244S</v>
      </c>
      <c r="F156" s="754">
        <f>'Func Future Subs 2015'!F156</f>
        <v>31598804.467574589</v>
      </c>
      <c r="G156" s="754" t="str">
        <f>'Func Future Subs 2015'!G156</f>
        <v>AltaLink</v>
      </c>
      <c r="H156" s="754">
        <f>'Func Future Subs 2015'!H156</f>
        <v>2016</v>
      </c>
      <c r="I156" s="306">
        <f>+IF($H156=I$2,VLOOKUP($G156,Depreciation!$A$14:$L$18,7,FALSE)/2,IF($H156&lt;I$2,VLOOKUP($G156,Depreciation!$A$14:$L$18,7,FALSE),0))</f>
        <v>0</v>
      </c>
      <c r="J156" s="306">
        <f>+IF($H156=J$2,VLOOKUP($G156,Depreciation!$A$14:$L$18,8,FALSE)/2,IF($H156&lt;J$2,VLOOKUP($G156,Depreciation!$A$14:$L$18,8,FALSE),0))</f>
        <v>1.671703928371859E-2</v>
      </c>
      <c r="K156" s="306">
        <f>+IF($H156=K$2,VLOOKUP($G156,Depreciation!$A$14:$L$18,9,FALSE)/2,IF($H156&lt;K$2,VLOOKUP($G156,Depreciation!$A$14:$L$18,9,FALSE),0))</f>
        <v>3.343407856743718E-2</v>
      </c>
      <c r="L156" s="306">
        <f>+IF($H156=L$2,VLOOKUP($G156,Depreciation!$A$14:$L$18,10,FALSE)/2,IF($H156&lt;L$2,VLOOKUP($G156,Depreciation!$A$14:$L$18,10,FALSE),0))</f>
        <v>3.343407856743718E-2</v>
      </c>
      <c r="M156" s="306">
        <f>+IF($H156=M$2,VLOOKUP($G156,Depreciation!$A$14:$L$18,11,FALSE)/2,IF($H156&lt;M$2,VLOOKUP($G156,Depreciation!$A$14:$L$18,11,FALSE),0))</f>
        <v>3.343407856743718E-2</v>
      </c>
      <c r="N156" s="306">
        <f>+IF($H156=N$2,VLOOKUP($G156,Depreciation!$A$14:$L$18,12,FALSE)/2,IF($H156&lt;N$2,VLOOKUP($G156,Depreciation!$A$14:$L$18,12,FALSE),0))</f>
        <v>3.343407856743718E-2</v>
      </c>
      <c r="O156" s="307">
        <f t="shared" si="17"/>
        <v>29027666.368855003</v>
      </c>
      <c r="P156" s="732">
        <f>'Func Future Subs 2015'!P156</f>
        <v>0</v>
      </c>
      <c r="Q156" s="732">
        <f>'Func Future Subs 2015'!Q156</f>
        <v>0</v>
      </c>
      <c r="R156" s="732">
        <f>'Func Future Subs 2015'!R156</f>
        <v>1</v>
      </c>
      <c r="S156" s="735">
        <f t="shared" si="18"/>
        <v>0</v>
      </c>
      <c r="T156" s="735">
        <f t="shared" si="19"/>
        <v>0</v>
      </c>
      <c r="U156" s="735">
        <f t="shared" si="20"/>
        <v>29027666.368855003</v>
      </c>
      <c r="V156" s="736">
        <f t="shared" si="21"/>
        <v>0</v>
      </c>
      <c r="W156" s="735">
        <f t="shared" si="22"/>
        <v>0</v>
      </c>
      <c r="X156" s="737">
        <f t="shared" si="23"/>
        <v>29027666.368855003</v>
      </c>
      <c r="Y156" s="738">
        <f t="shared" si="24"/>
        <v>0</v>
      </c>
    </row>
    <row r="157" spans="1:25">
      <c r="A157" s="754" t="str">
        <f>'Func Future Subs 2015'!A157</f>
        <v>Bullshead 523S</v>
      </c>
      <c r="B157" s="754">
        <f>'Func Future Subs 2015'!B157</f>
        <v>888</v>
      </c>
      <c r="C157" s="754">
        <f>'Func Future Subs 2015'!C157</f>
        <v>240</v>
      </c>
      <c r="D157" s="754">
        <f>'Func Future Subs 2015'!D157</f>
        <v>25</v>
      </c>
      <c r="E157" s="754" t="str">
        <f>'Func Future Subs 2015'!E157</f>
        <v>523S</v>
      </c>
      <c r="F157" s="754">
        <f>'Func Future Subs 2015'!F157</f>
        <v>1075414.0279138924</v>
      </c>
      <c r="G157" s="754" t="str">
        <f>'Func Future Subs 2015'!G157</f>
        <v>AltaLink</v>
      </c>
      <c r="H157" s="754">
        <f>'Func Future Subs 2015'!H157</f>
        <v>2016</v>
      </c>
      <c r="I157" s="306">
        <f>+IF($H157=I$2,VLOOKUP($G157,Depreciation!$A$14:$L$18,7,FALSE)/2,IF($H157&lt;I$2,VLOOKUP($G157,Depreciation!$A$14:$L$18,7,FALSE),0))</f>
        <v>0</v>
      </c>
      <c r="J157" s="306">
        <f>+IF($H157=J$2,VLOOKUP($G157,Depreciation!$A$14:$L$18,8,FALSE)/2,IF($H157&lt;J$2,VLOOKUP($G157,Depreciation!$A$14:$L$18,8,FALSE),0))</f>
        <v>1.671703928371859E-2</v>
      </c>
      <c r="K157" s="306">
        <f>+IF($H157=K$2,VLOOKUP($G157,Depreciation!$A$14:$L$18,9,FALSE)/2,IF($H157&lt;K$2,VLOOKUP($G157,Depreciation!$A$14:$L$18,9,FALSE),0))</f>
        <v>3.343407856743718E-2</v>
      </c>
      <c r="L157" s="306">
        <f>+IF($H157=L$2,VLOOKUP($G157,Depreciation!$A$14:$L$18,10,FALSE)/2,IF($H157&lt;L$2,VLOOKUP($G157,Depreciation!$A$14:$L$18,10,FALSE),0))</f>
        <v>3.343407856743718E-2</v>
      </c>
      <c r="M157" s="306">
        <f>+IF($H157=M$2,VLOOKUP($G157,Depreciation!$A$14:$L$18,11,FALSE)/2,IF($H157&lt;M$2,VLOOKUP($G157,Depreciation!$A$14:$L$18,11,FALSE),0))</f>
        <v>3.343407856743718E-2</v>
      </c>
      <c r="N157" s="306">
        <f>+IF($H157=N$2,VLOOKUP($G157,Depreciation!$A$14:$L$18,12,FALSE)/2,IF($H157&lt;N$2,VLOOKUP($G157,Depreciation!$A$14:$L$18,12,FALSE),0))</f>
        <v>3.343407856743718E-2</v>
      </c>
      <c r="O157" s="307">
        <f t="shared" si="17"/>
        <v>987909.51545981318</v>
      </c>
      <c r="P157" s="732">
        <f>'Func Future Subs 2015'!P157</f>
        <v>0</v>
      </c>
      <c r="Q157" s="732">
        <f>'Func Future Subs 2015'!Q157</f>
        <v>1</v>
      </c>
      <c r="R157" s="732">
        <f>'Func Future Subs 2015'!R157</f>
        <v>0</v>
      </c>
      <c r="S157" s="735">
        <f t="shared" si="18"/>
        <v>0</v>
      </c>
      <c r="T157" s="735">
        <f t="shared" si="19"/>
        <v>987909.51545981318</v>
      </c>
      <c r="U157" s="735">
        <f t="shared" si="20"/>
        <v>0</v>
      </c>
      <c r="V157" s="736">
        <f t="shared" si="21"/>
        <v>0</v>
      </c>
      <c r="W157" s="735">
        <f t="shared" si="22"/>
        <v>0</v>
      </c>
      <c r="X157" s="737">
        <f t="shared" si="23"/>
        <v>0</v>
      </c>
      <c r="Y157" s="738">
        <f t="shared" si="24"/>
        <v>987909.51545981318</v>
      </c>
    </row>
    <row r="158" spans="1:25">
      <c r="A158" s="754" t="str">
        <f>'Func Future Subs 2015'!A158</f>
        <v>Burdett 368S line protection</v>
      </c>
      <c r="B158" s="754">
        <f>'Func Future Subs 2015'!B158</f>
        <v>888</v>
      </c>
      <c r="C158" s="754">
        <f>'Func Future Subs 2015'!C158</f>
        <v>138</v>
      </c>
      <c r="D158" s="754">
        <f>'Func Future Subs 2015'!D158</f>
        <v>25</v>
      </c>
      <c r="E158" s="754" t="str">
        <f>'Func Future Subs 2015'!E158</f>
        <v>368S</v>
      </c>
      <c r="F158" s="754">
        <f>'Func Future Subs 2015'!F158</f>
        <v>300701.16758473852</v>
      </c>
      <c r="G158" s="754" t="str">
        <f>'Func Future Subs 2015'!G158</f>
        <v>AltaLink</v>
      </c>
      <c r="H158" s="754">
        <f>'Func Future Subs 2015'!H158</f>
        <v>2016</v>
      </c>
      <c r="I158" s="306">
        <f>+IF($H158=I$2,VLOOKUP($G158,Depreciation!$A$14:$L$18,7,FALSE)/2,IF($H158&lt;I$2,VLOOKUP($G158,Depreciation!$A$14:$L$18,7,FALSE),0))</f>
        <v>0</v>
      </c>
      <c r="J158" s="306">
        <f>+IF($H158=J$2,VLOOKUP($G158,Depreciation!$A$14:$L$18,8,FALSE)/2,IF($H158&lt;J$2,VLOOKUP($G158,Depreciation!$A$14:$L$18,8,FALSE),0))</f>
        <v>1.671703928371859E-2</v>
      </c>
      <c r="K158" s="306">
        <f>+IF($H158=K$2,VLOOKUP($G158,Depreciation!$A$14:$L$18,9,FALSE)/2,IF($H158&lt;K$2,VLOOKUP($G158,Depreciation!$A$14:$L$18,9,FALSE),0))</f>
        <v>3.343407856743718E-2</v>
      </c>
      <c r="L158" s="306">
        <f>+IF($H158=L$2,VLOOKUP($G158,Depreciation!$A$14:$L$18,10,FALSE)/2,IF($H158&lt;L$2,VLOOKUP($G158,Depreciation!$A$14:$L$18,10,FALSE),0))</f>
        <v>3.343407856743718E-2</v>
      </c>
      <c r="M158" s="306">
        <f>+IF($H158=M$2,VLOOKUP($G158,Depreciation!$A$14:$L$18,11,FALSE)/2,IF($H158&lt;M$2,VLOOKUP($G158,Depreciation!$A$14:$L$18,11,FALSE),0))</f>
        <v>3.343407856743718E-2</v>
      </c>
      <c r="N158" s="306">
        <f>+IF($H158=N$2,VLOOKUP($G158,Depreciation!$A$14:$L$18,12,FALSE)/2,IF($H158&lt;N$2,VLOOKUP($G158,Depreciation!$A$14:$L$18,12,FALSE),0))</f>
        <v>3.343407856743718E-2</v>
      </c>
      <c r="O158" s="307">
        <f t="shared" si="17"/>
        <v>276233.65239441063</v>
      </c>
      <c r="P158" s="732">
        <f>'Func Future Subs 2015'!P158</f>
        <v>0</v>
      </c>
      <c r="Q158" s="732">
        <f>'Func Future Subs 2015'!Q158</f>
        <v>1</v>
      </c>
      <c r="R158" s="732">
        <f>'Func Future Subs 2015'!R158</f>
        <v>0</v>
      </c>
      <c r="S158" s="735">
        <f t="shared" si="18"/>
        <v>0</v>
      </c>
      <c r="T158" s="735">
        <f t="shared" si="19"/>
        <v>276233.65239441063</v>
      </c>
      <c r="U158" s="735">
        <f t="shared" si="20"/>
        <v>0</v>
      </c>
      <c r="V158" s="736">
        <f t="shared" si="21"/>
        <v>0</v>
      </c>
      <c r="W158" s="735">
        <f t="shared" si="22"/>
        <v>0</v>
      </c>
      <c r="X158" s="737">
        <f t="shared" si="23"/>
        <v>0</v>
      </c>
      <c r="Y158" s="738">
        <f t="shared" si="24"/>
        <v>276233.65239441063</v>
      </c>
    </row>
    <row r="159" spans="1:25">
      <c r="A159" s="754" t="str">
        <f>'Func Future Subs 2015'!A159</f>
        <v>Chappice Lake 649S</v>
      </c>
      <c r="B159" s="754">
        <f>'Func Future Subs 2015'!B159</f>
        <v>888</v>
      </c>
      <c r="C159" s="754">
        <f>'Func Future Subs 2015'!C159</f>
        <v>138</v>
      </c>
      <c r="D159" s="754">
        <f>'Func Future Subs 2015'!D159</f>
        <v>25</v>
      </c>
      <c r="E159" s="754" t="str">
        <f>'Func Future Subs 2015'!E159</f>
        <v>649S</v>
      </c>
      <c r="F159" s="754">
        <f>'Func Future Subs 2015'!F159</f>
        <v>51845.028893920433</v>
      </c>
      <c r="G159" s="754" t="str">
        <f>'Func Future Subs 2015'!G159</f>
        <v>AltaLink</v>
      </c>
      <c r="H159" s="754">
        <f>'Func Future Subs 2015'!H159</f>
        <v>2016</v>
      </c>
      <c r="I159" s="306">
        <f>+IF($H159=I$2,VLOOKUP($G159,Depreciation!$A$14:$L$18,7,FALSE)/2,IF($H159&lt;I$2,VLOOKUP($G159,Depreciation!$A$14:$L$18,7,FALSE),0))</f>
        <v>0</v>
      </c>
      <c r="J159" s="306">
        <f>+IF($H159=J$2,VLOOKUP($G159,Depreciation!$A$14:$L$18,8,FALSE)/2,IF($H159&lt;J$2,VLOOKUP($G159,Depreciation!$A$14:$L$18,8,FALSE),0))</f>
        <v>1.671703928371859E-2</v>
      </c>
      <c r="K159" s="306">
        <f>+IF($H159=K$2,VLOOKUP($G159,Depreciation!$A$14:$L$18,9,FALSE)/2,IF($H159&lt;K$2,VLOOKUP($G159,Depreciation!$A$14:$L$18,9,FALSE),0))</f>
        <v>3.343407856743718E-2</v>
      </c>
      <c r="L159" s="306">
        <f>+IF($H159=L$2,VLOOKUP($G159,Depreciation!$A$14:$L$18,10,FALSE)/2,IF($H159&lt;L$2,VLOOKUP($G159,Depreciation!$A$14:$L$18,10,FALSE),0))</f>
        <v>3.343407856743718E-2</v>
      </c>
      <c r="M159" s="306">
        <f>+IF($H159=M$2,VLOOKUP($G159,Depreciation!$A$14:$L$18,11,FALSE)/2,IF($H159&lt;M$2,VLOOKUP($G159,Depreciation!$A$14:$L$18,11,FALSE),0))</f>
        <v>3.343407856743718E-2</v>
      </c>
      <c r="N159" s="306">
        <f>+IF($H159=N$2,VLOOKUP($G159,Depreciation!$A$14:$L$18,12,FALSE)/2,IF($H159&lt;N$2,VLOOKUP($G159,Depreciation!$A$14:$L$18,12,FALSE),0))</f>
        <v>3.343407856743718E-2</v>
      </c>
      <c r="O159" s="307">
        <f t="shared" si="17"/>
        <v>47626.491792139757</v>
      </c>
      <c r="P159" s="732">
        <f>'Func Future Subs 2015'!P159</f>
        <v>0</v>
      </c>
      <c r="Q159" s="732">
        <f>'Func Future Subs 2015'!Q159</f>
        <v>1</v>
      </c>
      <c r="R159" s="732">
        <f>'Func Future Subs 2015'!R159</f>
        <v>0</v>
      </c>
      <c r="S159" s="735">
        <f t="shared" si="18"/>
        <v>0</v>
      </c>
      <c r="T159" s="735">
        <f t="shared" si="19"/>
        <v>47626.491792139757</v>
      </c>
      <c r="U159" s="735">
        <f t="shared" si="20"/>
        <v>0</v>
      </c>
      <c r="V159" s="736">
        <f t="shared" si="21"/>
        <v>0</v>
      </c>
      <c r="W159" s="735">
        <f t="shared" si="22"/>
        <v>0</v>
      </c>
      <c r="X159" s="737">
        <f t="shared" si="23"/>
        <v>0</v>
      </c>
      <c r="Y159" s="738">
        <f t="shared" si="24"/>
        <v>47626.491792139757</v>
      </c>
    </row>
    <row r="160" spans="1:25">
      <c r="A160" s="754" t="str">
        <f>'Func Future Subs 2015'!A160</f>
        <v>Cypress 562S line protection</v>
      </c>
      <c r="B160" s="754">
        <f>'Func Future Subs 2015'!B160</f>
        <v>888</v>
      </c>
      <c r="C160" s="754">
        <f>'Func Future Subs 2015'!C160</f>
        <v>240</v>
      </c>
      <c r="D160" s="754">
        <f>'Func Future Subs 2015'!D160</f>
        <v>138</v>
      </c>
      <c r="E160" s="754" t="str">
        <f>'Func Future Subs 2015'!E160</f>
        <v>562S</v>
      </c>
      <c r="F160" s="754">
        <f>'Func Future Subs 2015'!F160</f>
        <v>142203.50782332462</v>
      </c>
      <c r="G160" s="754" t="str">
        <f>'Func Future Subs 2015'!G160</f>
        <v>AltaLink</v>
      </c>
      <c r="H160" s="754">
        <f>'Func Future Subs 2015'!H160</f>
        <v>2016</v>
      </c>
      <c r="I160" s="306">
        <f>+IF($H160=I$2,VLOOKUP($G160,Depreciation!$A$14:$L$18,7,FALSE)/2,IF($H160&lt;I$2,VLOOKUP($G160,Depreciation!$A$14:$L$18,7,FALSE),0))</f>
        <v>0</v>
      </c>
      <c r="J160" s="306">
        <f>+IF($H160=J$2,VLOOKUP($G160,Depreciation!$A$14:$L$18,8,FALSE)/2,IF($H160&lt;J$2,VLOOKUP($G160,Depreciation!$A$14:$L$18,8,FALSE),0))</f>
        <v>1.671703928371859E-2</v>
      </c>
      <c r="K160" s="306">
        <f>+IF($H160=K$2,VLOOKUP($G160,Depreciation!$A$14:$L$18,9,FALSE)/2,IF($H160&lt;K$2,VLOOKUP($G160,Depreciation!$A$14:$L$18,9,FALSE),0))</f>
        <v>3.343407856743718E-2</v>
      </c>
      <c r="L160" s="306">
        <f>+IF($H160=L$2,VLOOKUP($G160,Depreciation!$A$14:$L$18,10,FALSE)/2,IF($H160&lt;L$2,VLOOKUP($G160,Depreciation!$A$14:$L$18,10,FALSE),0))</f>
        <v>3.343407856743718E-2</v>
      </c>
      <c r="M160" s="306">
        <f>+IF($H160=M$2,VLOOKUP($G160,Depreciation!$A$14:$L$18,11,FALSE)/2,IF($H160&lt;M$2,VLOOKUP($G160,Depreciation!$A$14:$L$18,11,FALSE),0))</f>
        <v>3.343407856743718E-2</v>
      </c>
      <c r="N160" s="306">
        <f>+IF($H160=N$2,VLOOKUP($G160,Depreciation!$A$14:$L$18,12,FALSE)/2,IF($H160&lt;N$2,VLOOKUP($G160,Depreciation!$A$14:$L$18,12,FALSE),0))</f>
        <v>3.343407856743718E-2</v>
      </c>
      <c r="O160" s="307">
        <f t="shared" si="17"/>
        <v>130632.6632012976</v>
      </c>
      <c r="P160" s="732">
        <f>'Func Future Subs 2015'!P160</f>
        <v>0</v>
      </c>
      <c r="Q160" s="732">
        <f>'Func Future Subs 2015'!Q160</f>
        <v>0</v>
      </c>
      <c r="R160" s="732">
        <f>'Func Future Subs 2015'!R160</f>
        <v>1</v>
      </c>
      <c r="S160" s="735">
        <f t="shared" si="18"/>
        <v>0</v>
      </c>
      <c r="T160" s="735">
        <f t="shared" si="19"/>
        <v>0</v>
      </c>
      <c r="U160" s="735">
        <f t="shared" si="20"/>
        <v>130632.6632012976</v>
      </c>
      <c r="V160" s="736">
        <f t="shared" si="21"/>
        <v>0</v>
      </c>
      <c r="W160" s="735">
        <f t="shared" si="22"/>
        <v>0</v>
      </c>
      <c r="X160" s="737">
        <f t="shared" si="23"/>
        <v>130632.6632012976</v>
      </c>
      <c r="Y160" s="738">
        <f t="shared" si="24"/>
        <v>0</v>
      </c>
    </row>
    <row r="161" spans="1:25">
      <c r="A161" s="754" t="str">
        <f>'Func Future Subs 2015'!A161</f>
        <v>Medicine Hat 41S</v>
      </c>
      <c r="B161" s="754">
        <f>'Func Future Subs 2015'!B161</f>
        <v>888</v>
      </c>
      <c r="C161" s="754">
        <f>'Func Future Subs 2015'!C161</f>
        <v>138</v>
      </c>
      <c r="D161" s="754">
        <f>'Func Future Subs 2015'!D161</f>
        <v>69</v>
      </c>
      <c r="E161" s="754" t="str">
        <f>'Func Future Subs 2015'!E161</f>
        <v>41S</v>
      </c>
      <c r="F161" s="754">
        <f>'Func Future Subs 2015'!F161</f>
        <v>1193916.9510999962</v>
      </c>
      <c r="G161" s="754" t="str">
        <f>'Func Future Subs 2015'!G161</f>
        <v>AltaLink</v>
      </c>
      <c r="H161" s="754">
        <f>'Func Future Subs 2015'!H161</f>
        <v>2016</v>
      </c>
      <c r="I161" s="306">
        <f>+IF($H161=I$2,VLOOKUP($G161,Depreciation!$A$14:$L$18,7,FALSE)/2,IF($H161&lt;I$2,VLOOKUP($G161,Depreciation!$A$14:$L$18,7,FALSE),0))</f>
        <v>0</v>
      </c>
      <c r="J161" s="306">
        <f>+IF($H161=J$2,VLOOKUP($G161,Depreciation!$A$14:$L$18,8,FALSE)/2,IF($H161&lt;J$2,VLOOKUP($G161,Depreciation!$A$14:$L$18,8,FALSE),0))</f>
        <v>1.671703928371859E-2</v>
      </c>
      <c r="K161" s="306">
        <f>+IF($H161=K$2,VLOOKUP($G161,Depreciation!$A$14:$L$18,9,FALSE)/2,IF($H161&lt;K$2,VLOOKUP($G161,Depreciation!$A$14:$L$18,9,FALSE),0))</f>
        <v>3.343407856743718E-2</v>
      </c>
      <c r="L161" s="306">
        <f>+IF($H161=L$2,VLOOKUP($G161,Depreciation!$A$14:$L$18,10,FALSE)/2,IF($H161&lt;L$2,VLOOKUP($G161,Depreciation!$A$14:$L$18,10,FALSE),0))</f>
        <v>3.343407856743718E-2</v>
      </c>
      <c r="M161" s="306">
        <f>+IF($H161=M$2,VLOOKUP($G161,Depreciation!$A$14:$L$18,11,FALSE)/2,IF($H161&lt;M$2,VLOOKUP($G161,Depreciation!$A$14:$L$18,11,FALSE),0))</f>
        <v>3.343407856743718E-2</v>
      </c>
      <c r="N161" s="306">
        <f>+IF($H161=N$2,VLOOKUP($G161,Depreciation!$A$14:$L$18,12,FALSE)/2,IF($H161&lt;N$2,VLOOKUP($G161,Depreciation!$A$14:$L$18,12,FALSE),0))</f>
        <v>3.343407856743718E-2</v>
      </c>
      <c r="O161" s="307">
        <f t="shared" si="17"/>
        <v>1096770.0681275611</v>
      </c>
      <c r="P161" s="732">
        <f>'Func Future Subs 2015'!P161</f>
        <v>0.796875</v>
      </c>
      <c r="Q161" s="732">
        <f>'Func Future Subs 2015'!Q161</f>
        <v>0.203125</v>
      </c>
      <c r="R161" s="732">
        <f>'Func Future Subs 2015'!R161</f>
        <v>0</v>
      </c>
      <c r="S161" s="735">
        <f t="shared" si="18"/>
        <v>873988.64803915028</v>
      </c>
      <c r="T161" s="735">
        <f t="shared" si="19"/>
        <v>222781.42008841084</v>
      </c>
      <c r="U161" s="735">
        <f t="shared" si="20"/>
        <v>0</v>
      </c>
      <c r="V161" s="736">
        <f t="shared" si="21"/>
        <v>0</v>
      </c>
      <c r="W161" s="735">
        <f t="shared" si="22"/>
        <v>873988.64803915028</v>
      </c>
      <c r="X161" s="737">
        <f t="shared" si="23"/>
        <v>0</v>
      </c>
      <c r="Y161" s="738">
        <f t="shared" si="24"/>
        <v>222781.42008841084</v>
      </c>
    </row>
    <row r="162" spans="1:25">
      <c r="A162" s="754" t="str">
        <f>'Func Future Subs 2015'!A162</f>
        <v>Suffield 895S line protection</v>
      </c>
      <c r="B162" s="754">
        <f>'Func Future Subs 2015'!B162</f>
        <v>888</v>
      </c>
      <c r="C162" s="754">
        <f>'Func Future Subs 2015'!C162</f>
        <v>138</v>
      </c>
      <c r="D162" s="754">
        <f>'Func Future Subs 2015'!D162</f>
        <v>25</v>
      </c>
      <c r="E162" s="754" t="str">
        <f>'Func Future Subs 2015'!E162</f>
        <v>895S</v>
      </c>
      <c r="F162" s="754">
        <f>'Func Future Subs 2015'!F162</f>
        <v>103690.05778784087</v>
      </c>
      <c r="G162" s="754" t="str">
        <f>'Func Future Subs 2015'!G162</f>
        <v>AltaLink</v>
      </c>
      <c r="H162" s="754">
        <f>'Func Future Subs 2015'!H162</f>
        <v>2016</v>
      </c>
      <c r="I162" s="306">
        <f>+IF($H162=I$2,VLOOKUP($G162,Depreciation!$A$14:$L$18,7,FALSE)/2,IF($H162&lt;I$2,VLOOKUP($G162,Depreciation!$A$14:$L$18,7,FALSE),0))</f>
        <v>0</v>
      </c>
      <c r="J162" s="306">
        <f>+IF($H162=J$2,VLOOKUP($G162,Depreciation!$A$14:$L$18,8,FALSE)/2,IF($H162&lt;J$2,VLOOKUP($G162,Depreciation!$A$14:$L$18,8,FALSE),0))</f>
        <v>1.671703928371859E-2</v>
      </c>
      <c r="K162" s="306">
        <f>+IF($H162=K$2,VLOOKUP($G162,Depreciation!$A$14:$L$18,9,FALSE)/2,IF($H162&lt;K$2,VLOOKUP($G162,Depreciation!$A$14:$L$18,9,FALSE),0))</f>
        <v>3.343407856743718E-2</v>
      </c>
      <c r="L162" s="306">
        <f>+IF($H162=L$2,VLOOKUP($G162,Depreciation!$A$14:$L$18,10,FALSE)/2,IF($H162&lt;L$2,VLOOKUP($G162,Depreciation!$A$14:$L$18,10,FALSE),0))</f>
        <v>3.343407856743718E-2</v>
      </c>
      <c r="M162" s="306">
        <f>+IF($H162=M$2,VLOOKUP($G162,Depreciation!$A$14:$L$18,11,FALSE)/2,IF($H162&lt;M$2,VLOOKUP($G162,Depreciation!$A$14:$L$18,11,FALSE),0))</f>
        <v>3.343407856743718E-2</v>
      </c>
      <c r="N162" s="306">
        <f>+IF($H162=N$2,VLOOKUP($G162,Depreciation!$A$14:$L$18,12,FALSE)/2,IF($H162&lt;N$2,VLOOKUP($G162,Depreciation!$A$14:$L$18,12,FALSE),0))</f>
        <v>3.343407856743718E-2</v>
      </c>
      <c r="O162" s="307">
        <f t="shared" si="17"/>
        <v>95252.983584279515</v>
      </c>
      <c r="P162" s="732">
        <f>'Func Future Subs 2015'!P162</f>
        <v>0.23378141437755698</v>
      </c>
      <c r="Q162" s="732">
        <f>'Func Future Subs 2015'!Q162</f>
        <v>0.76621858562244305</v>
      </c>
      <c r="R162" s="732">
        <f>'Func Future Subs 2015'!R162</f>
        <v>0</v>
      </c>
      <c r="S162" s="735">
        <f t="shared" si="18"/>
        <v>22268.377226015084</v>
      </c>
      <c r="T162" s="735">
        <f t="shared" si="19"/>
        <v>72984.606358264442</v>
      </c>
      <c r="U162" s="735">
        <f t="shared" si="20"/>
        <v>0</v>
      </c>
      <c r="V162" s="736">
        <f t="shared" si="21"/>
        <v>0</v>
      </c>
      <c r="W162" s="735">
        <f t="shared" si="22"/>
        <v>22268.377226015084</v>
      </c>
      <c r="X162" s="737">
        <f t="shared" si="23"/>
        <v>0</v>
      </c>
      <c r="Y162" s="738">
        <f t="shared" si="24"/>
        <v>72984.606358264442</v>
      </c>
    </row>
    <row r="163" spans="1:25">
      <c r="A163" s="754" t="str">
        <f>'Func Future Subs 2015'!A163</f>
        <v>Birchwood Creek 960S</v>
      </c>
      <c r="B163" s="754">
        <f>'Func Future Subs 2015'!B163</f>
        <v>948</v>
      </c>
      <c r="C163" s="754">
        <f>'Func Future Subs 2015'!C163</f>
        <v>240</v>
      </c>
      <c r="D163" s="754">
        <f>'Func Future Subs 2015'!D163</f>
        <v>240</v>
      </c>
      <c r="E163" s="754" t="str">
        <f>'Func Future Subs 2015'!E163</f>
        <v>960S</v>
      </c>
      <c r="F163" s="754">
        <f>'Func Future Subs 2015'!F163</f>
        <v>13129855.568043312</v>
      </c>
      <c r="G163" s="754" t="str">
        <f>'Func Future Subs 2015'!G163</f>
        <v>ATCO</v>
      </c>
      <c r="H163" s="754">
        <f>'Func Future Subs 2015'!H163</f>
        <v>2015</v>
      </c>
      <c r="I163" s="306">
        <f>+IF($H163=I$2,VLOOKUP($G163,Depreciation!$A$14:$L$18,7,FALSE)/2,IF($H163&lt;I$2,VLOOKUP($G163,Depreciation!$A$14:$L$18,7,FALSE),0))</f>
        <v>1.221703683566912E-2</v>
      </c>
      <c r="J163" s="306">
        <f>+IF($H163=J$2,VLOOKUP($G163,Depreciation!$A$14:$L$18,8,FALSE)/2,IF($H163&lt;J$2,VLOOKUP($G163,Depreciation!$A$14:$L$18,8,FALSE),0))</f>
        <v>2.4632450501084719E-2</v>
      </c>
      <c r="K163" s="306">
        <f>+IF($H163=K$2,VLOOKUP($G163,Depreciation!$A$14:$L$18,9,FALSE)/2,IF($H163&lt;K$2,VLOOKUP($G163,Depreciation!$A$14:$L$18,9,FALSE),0))</f>
        <v>2.4351536427798831E-2</v>
      </c>
      <c r="L163" s="306">
        <f>+IF($H163=L$2,VLOOKUP($G163,Depreciation!$A$14:$L$18,10,FALSE)/2,IF($H163&lt;L$2,VLOOKUP($G163,Depreciation!$A$14:$L$18,10,FALSE),0))</f>
        <v>2.4351536427798831E-2</v>
      </c>
      <c r="M163" s="306">
        <f>+IF($H163=M$2,VLOOKUP($G163,Depreciation!$A$14:$L$18,11,FALSE)/2,IF($H163&lt;M$2,VLOOKUP($G163,Depreciation!$A$14:$L$18,11,FALSE),0))</f>
        <v>2.4351536427798831E-2</v>
      </c>
      <c r="N163" s="306">
        <f>+IF($H163=N$2,VLOOKUP($G163,Depreciation!$A$14:$L$18,12,FALSE)/2,IF($H163&lt;N$2,VLOOKUP($G163,Depreciation!$A$14:$L$18,12,FALSE),0))</f>
        <v>2.4351536427798831E-2</v>
      </c>
      <c r="O163" s="307">
        <f t="shared" si="17"/>
        <v>12041386.947494159</v>
      </c>
      <c r="P163" s="732">
        <f>'Func Future Subs 2015'!P163</f>
        <v>0</v>
      </c>
      <c r="Q163" s="732">
        <f>'Func Future Subs 2015'!Q163</f>
        <v>0</v>
      </c>
      <c r="R163" s="732">
        <f>'Func Future Subs 2015'!R163</f>
        <v>1</v>
      </c>
      <c r="S163" s="735">
        <f t="shared" si="18"/>
        <v>0</v>
      </c>
      <c r="T163" s="735">
        <f t="shared" si="19"/>
        <v>0</v>
      </c>
      <c r="U163" s="735">
        <f t="shared" si="20"/>
        <v>12041386.947494159</v>
      </c>
      <c r="V163" s="736">
        <f t="shared" si="21"/>
        <v>0</v>
      </c>
      <c r="W163" s="735">
        <f t="shared" si="22"/>
        <v>12041386.947494159</v>
      </c>
      <c r="X163" s="737">
        <f t="shared" si="23"/>
        <v>0</v>
      </c>
      <c r="Y163" s="738">
        <f t="shared" si="24"/>
        <v>0</v>
      </c>
    </row>
    <row r="164" spans="1:25">
      <c r="A164" s="754" t="str">
        <f>'Func Future Subs 2015'!A164</f>
        <v>0244S Bowmanton180</v>
      </c>
      <c r="B164" s="754">
        <f>'Func Future Subs 2015'!B164</f>
        <v>737</v>
      </c>
      <c r="C164" s="754">
        <f>'Func Future Subs 2015'!C164</f>
        <v>240</v>
      </c>
      <c r="D164" s="754">
        <f>'Func Future Subs 2015'!D164</f>
        <v>138</v>
      </c>
      <c r="E164" s="754" t="str">
        <f>'Func Future Subs 2015'!E164</f>
        <v>244S</v>
      </c>
      <c r="F164" s="754">
        <f>'Func Future Subs 2015'!F164</f>
        <v>598925.20531495858</v>
      </c>
      <c r="G164" s="754" t="str">
        <f>'Func Future Subs 2015'!G164</f>
        <v>AltaLink</v>
      </c>
      <c r="H164" s="754">
        <f>'Func Future Subs 2015'!H164</f>
        <v>2015</v>
      </c>
      <c r="I164" s="306">
        <f>+IF($H164=I$2,VLOOKUP($G164,Depreciation!$A$14:$L$18,7,FALSE)/2,IF($H164&lt;I$2,VLOOKUP($G164,Depreciation!$A$14:$L$18,7,FALSE),0))</f>
        <v>1.7228380322441735E-2</v>
      </c>
      <c r="J164" s="306">
        <f>+IF($H164=J$2,VLOOKUP($G164,Depreciation!$A$14:$L$18,8,FALSE)/2,IF($H164&lt;J$2,VLOOKUP($G164,Depreciation!$A$14:$L$18,8,FALSE),0))</f>
        <v>3.343407856743718E-2</v>
      </c>
      <c r="K164" s="306">
        <f>+IF($H164=K$2,VLOOKUP($G164,Depreciation!$A$14:$L$18,9,FALSE)/2,IF($H164&lt;K$2,VLOOKUP($G164,Depreciation!$A$14:$L$18,9,FALSE),0))</f>
        <v>3.343407856743718E-2</v>
      </c>
      <c r="L164" s="306">
        <f>+IF($H164=L$2,VLOOKUP($G164,Depreciation!$A$14:$L$18,10,FALSE)/2,IF($H164&lt;L$2,VLOOKUP($G164,Depreciation!$A$14:$L$18,10,FALSE),0))</f>
        <v>3.343407856743718E-2</v>
      </c>
      <c r="M164" s="306">
        <f>+IF($H164=M$2,VLOOKUP($G164,Depreciation!$A$14:$L$18,11,FALSE)/2,IF($H164&lt;M$2,VLOOKUP($G164,Depreciation!$A$14:$L$18,11,FALSE),0))</f>
        <v>3.343407856743718E-2</v>
      </c>
      <c r="N164" s="306">
        <f>+IF($H164=N$2,VLOOKUP($G164,Depreciation!$A$14:$L$18,12,FALSE)/2,IF($H164&lt;N$2,VLOOKUP($G164,Depreciation!$A$14:$L$18,12,FALSE),0))</f>
        <v>3.343407856743718E-2</v>
      </c>
      <c r="O164" s="307">
        <f t="shared" si="17"/>
        <v>531520.02831572422</v>
      </c>
      <c r="P164" s="732">
        <f>'Func Future Subs 2015'!P164</f>
        <v>0</v>
      </c>
      <c r="Q164" s="732">
        <f>'Func Future Subs 2015'!Q164</f>
        <v>0</v>
      </c>
      <c r="R164" s="732">
        <f>'Func Future Subs 2015'!R164</f>
        <v>1</v>
      </c>
      <c r="S164" s="735">
        <f t="shared" si="18"/>
        <v>0</v>
      </c>
      <c r="T164" s="735">
        <f t="shared" si="19"/>
        <v>0</v>
      </c>
      <c r="U164" s="735">
        <f t="shared" si="20"/>
        <v>531520.02831572422</v>
      </c>
      <c r="V164" s="736">
        <f t="shared" si="21"/>
        <v>0</v>
      </c>
      <c r="W164" s="735">
        <f t="shared" si="22"/>
        <v>0</v>
      </c>
      <c r="X164" s="737">
        <f t="shared" si="23"/>
        <v>531520.02831572422</v>
      </c>
      <c r="Y164" s="738">
        <f t="shared" si="24"/>
        <v>0</v>
      </c>
    </row>
    <row r="165" spans="1:25">
      <c r="A165" s="754" t="str">
        <f>'Func Future Subs 2015'!A165</f>
        <v>089S Ellerslie180</v>
      </c>
      <c r="B165" s="754">
        <f>'Func Future Subs 2015'!B165</f>
        <v>737</v>
      </c>
      <c r="C165" s="754">
        <f>'Func Future Subs 2015'!C165</f>
        <v>240</v>
      </c>
      <c r="D165" s="754">
        <f>'Func Future Subs 2015'!D165</f>
        <v>240</v>
      </c>
      <c r="E165" s="754" t="str">
        <f>'Func Future Subs 2015'!E165</f>
        <v>89S</v>
      </c>
      <c r="F165" s="754">
        <f>'Func Future Subs 2015'!F165</f>
        <v>701881.13162263809</v>
      </c>
      <c r="G165" s="754" t="str">
        <f>'Func Future Subs 2015'!G165</f>
        <v>AltaLink</v>
      </c>
      <c r="H165" s="754">
        <f>'Func Future Subs 2015'!H165</f>
        <v>2015</v>
      </c>
      <c r="I165" s="306">
        <f>+IF($H165=I$2,VLOOKUP($G165,Depreciation!$A$14:$L$18,7,FALSE)/2,IF($H165&lt;I$2,VLOOKUP($G165,Depreciation!$A$14:$L$18,7,FALSE),0))</f>
        <v>1.7228380322441735E-2</v>
      </c>
      <c r="J165" s="306">
        <f>+IF($H165=J$2,VLOOKUP($G165,Depreciation!$A$14:$L$18,8,FALSE)/2,IF($H165&lt;J$2,VLOOKUP($G165,Depreciation!$A$14:$L$18,8,FALSE),0))</f>
        <v>3.343407856743718E-2</v>
      </c>
      <c r="K165" s="306">
        <f>+IF($H165=K$2,VLOOKUP($G165,Depreciation!$A$14:$L$18,9,FALSE)/2,IF($H165&lt;K$2,VLOOKUP($G165,Depreciation!$A$14:$L$18,9,FALSE),0))</f>
        <v>3.343407856743718E-2</v>
      </c>
      <c r="L165" s="306">
        <f>+IF($H165=L$2,VLOOKUP($G165,Depreciation!$A$14:$L$18,10,FALSE)/2,IF($H165&lt;L$2,VLOOKUP($G165,Depreciation!$A$14:$L$18,10,FALSE),0))</f>
        <v>3.343407856743718E-2</v>
      </c>
      <c r="M165" s="306">
        <f>+IF($H165=M$2,VLOOKUP($G165,Depreciation!$A$14:$L$18,11,FALSE)/2,IF($H165&lt;M$2,VLOOKUP($G165,Depreciation!$A$14:$L$18,11,FALSE),0))</f>
        <v>3.343407856743718E-2</v>
      </c>
      <c r="N165" s="306">
        <f>+IF($H165=N$2,VLOOKUP($G165,Depreciation!$A$14:$L$18,12,FALSE)/2,IF($H165&lt;N$2,VLOOKUP($G165,Depreciation!$A$14:$L$18,12,FALSE),0))</f>
        <v>3.343407856743718E-2</v>
      </c>
      <c r="O165" s="307">
        <f t="shared" si="17"/>
        <v>622888.92777212965</v>
      </c>
      <c r="P165" s="732">
        <f>'Func Future Subs 2015'!P165</f>
        <v>0</v>
      </c>
      <c r="Q165" s="732">
        <f>'Func Future Subs 2015'!Q165</f>
        <v>0</v>
      </c>
      <c r="R165" s="732">
        <f>'Func Future Subs 2015'!R165</f>
        <v>1</v>
      </c>
      <c r="S165" s="735">
        <f t="shared" si="18"/>
        <v>0</v>
      </c>
      <c r="T165" s="735">
        <f t="shared" si="19"/>
        <v>0</v>
      </c>
      <c r="U165" s="735">
        <f t="shared" si="20"/>
        <v>622888.92777212965</v>
      </c>
      <c r="V165" s="736">
        <f t="shared" si="21"/>
        <v>0</v>
      </c>
      <c r="W165" s="735">
        <f t="shared" si="22"/>
        <v>622888.92777212965</v>
      </c>
      <c r="X165" s="737">
        <f t="shared" si="23"/>
        <v>0</v>
      </c>
      <c r="Y165" s="738">
        <f t="shared" si="24"/>
        <v>0</v>
      </c>
    </row>
    <row r="166" spans="1:25">
      <c r="A166" s="754" t="str">
        <f>'Func Future Subs 2015'!A166</f>
        <v>320P Keephills180</v>
      </c>
      <c r="B166" s="754">
        <f>'Func Future Subs 2015'!B166</f>
        <v>737</v>
      </c>
      <c r="C166" s="754">
        <f>'Func Future Subs 2015'!C166</f>
        <v>240</v>
      </c>
      <c r="D166" s="754">
        <f>'Func Future Subs 2015'!D166</f>
        <v>25</v>
      </c>
      <c r="E166" s="754" t="str">
        <f>'Func Future Subs 2015'!E166</f>
        <v>320P</v>
      </c>
      <c r="F166" s="754">
        <f>'Func Future Subs 2015'!F166</f>
        <v>314443.89048852649</v>
      </c>
      <c r="G166" s="754" t="str">
        <f>'Func Future Subs 2015'!G166</f>
        <v>AltaLink</v>
      </c>
      <c r="H166" s="754">
        <f>'Func Future Subs 2015'!H166</f>
        <v>2015</v>
      </c>
      <c r="I166" s="306">
        <f>+IF($H166=I$2,VLOOKUP($G166,Depreciation!$A$14:$L$18,7,FALSE)/2,IF($H166&lt;I$2,VLOOKUP($G166,Depreciation!$A$14:$L$18,7,FALSE),0))</f>
        <v>1.7228380322441735E-2</v>
      </c>
      <c r="J166" s="306">
        <f>+IF($H166=J$2,VLOOKUP($G166,Depreciation!$A$14:$L$18,8,FALSE)/2,IF($H166&lt;J$2,VLOOKUP($G166,Depreciation!$A$14:$L$18,8,FALSE),0))</f>
        <v>3.343407856743718E-2</v>
      </c>
      <c r="K166" s="306">
        <f>+IF($H166=K$2,VLOOKUP($G166,Depreciation!$A$14:$L$18,9,FALSE)/2,IF($H166&lt;K$2,VLOOKUP($G166,Depreciation!$A$14:$L$18,9,FALSE),0))</f>
        <v>3.343407856743718E-2</v>
      </c>
      <c r="L166" s="306">
        <f>+IF($H166=L$2,VLOOKUP($G166,Depreciation!$A$14:$L$18,10,FALSE)/2,IF($H166&lt;L$2,VLOOKUP($G166,Depreciation!$A$14:$L$18,10,FALSE),0))</f>
        <v>3.343407856743718E-2</v>
      </c>
      <c r="M166" s="306">
        <f>+IF($H166=M$2,VLOOKUP($G166,Depreciation!$A$14:$L$18,11,FALSE)/2,IF($H166&lt;M$2,VLOOKUP($G166,Depreciation!$A$14:$L$18,11,FALSE),0))</f>
        <v>3.343407856743718E-2</v>
      </c>
      <c r="N166" s="306">
        <f>+IF($H166=N$2,VLOOKUP($G166,Depreciation!$A$14:$L$18,12,FALSE)/2,IF($H166&lt;N$2,VLOOKUP($G166,Depreciation!$A$14:$L$18,12,FALSE),0))</f>
        <v>3.343407856743718E-2</v>
      </c>
      <c r="O166" s="307">
        <f t="shared" si="17"/>
        <v>279055.25446750445</v>
      </c>
      <c r="P166" s="732">
        <f>'Func Future Subs 2015'!P166</f>
        <v>0.96203522504892369</v>
      </c>
      <c r="Q166" s="732">
        <f>'Func Future Subs 2015'!Q166</f>
        <v>3.7964774951076322E-2</v>
      </c>
      <c r="R166" s="732">
        <f>'Func Future Subs 2015'!R166</f>
        <v>0</v>
      </c>
      <c r="S166" s="735">
        <f t="shared" si="18"/>
        <v>268460.9845327303</v>
      </c>
      <c r="T166" s="735">
        <f t="shared" si="19"/>
        <v>10594.269934774142</v>
      </c>
      <c r="U166" s="735">
        <f t="shared" si="20"/>
        <v>0</v>
      </c>
      <c r="V166" s="736">
        <f t="shared" si="21"/>
        <v>0</v>
      </c>
      <c r="W166" s="735">
        <f t="shared" si="22"/>
        <v>268460.9845327303</v>
      </c>
      <c r="X166" s="737">
        <f t="shared" si="23"/>
        <v>0</v>
      </c>
      <c r="Y166" s="738">
        <f t="shared" si="24"/>
        <v>10594.269934774142</v>
      </c>
    </row>
    <row r="167" spans="1:25">
      <c r="A167" s="754" t="str">
        <f>'Func Future Subs 2015'!A167</f>
        <v>324S Cassils180</v>
      </c>
      <c r="B167" s="754">
        <f>'Func Future Subs 2015'!B167</f>
        <v>737</v>
      </c>
      <c r="C167" s="754">
        <f>'Func Future Subs 2015'!C167</f>
        <v>240</v>
      </c>
      <c r="D167" s="754">
        <f>'Func Future Subs 2015'!D167</f>
        <v>240</v>
      </c>
      <c r="E167" s="754" t="str">
        <f>'Func Future Subs 2015'!E167</f>
        <v>324S</v>
      </c>
      <c r="F167" s="754">
        <f>'Func Future Subs 2015'!F167</f>
        <v>1228267.7960131739</v>
      </c>
      <c r="G167" s="754" t="str">
        <f>'Func Future Subs 2015'!G167</f>
        <v>AltaLink</v>
      </c>
      <c r="H167" s="754">
        <f>'Func Future Subs 2015'!H167</f>
        <v>2015</v>
      </c>
      <c r="I167" s="306">
        <f>+IF($H167=I$2,VLOOKUP($G167,Depreciation!$A$14:$L$18,7,FALSE)/2,IF($H167&lt;I$2,VLOOKUP($G167,Depreciation!$A$14:$L$18,7,FALSE),0))</f>
        <v>1.7228380322441735E-2</v>
      </c>
      <c r="J167" s="306">
        <f>+IF($H167=J$2,VLOOKUP($G167,Depreciation!$A$14:$L$18,8,FALSE)/2,IF($H167&lt;J$2,VLOOKUP($G167,Depreciation!$A$14:$L$18,8,FALSE),0))</f>
        <v>3.343407856743718E-2</v>
      </c>
      <c r="K167" s="306">
        <f>+IF($H167=K$2,VLOOKUP($G167,Depreciation!$A$14:$L$18,9,FALSE)/2,IF($H167&lt;K$2,VLOOKUP($G167,Depreciation!$A$14:$L$18,9,FALSE),0))</f>
        <v>3.343407856743718E-2</v>
      </c>
      <c r="L167" s="306">
        <f>+IF($H167=L$2,VLOOKUP($G167,Depreciation!$A$14:$L$18,10,FALSE)/2,IF($H167&lt;L$2,VLOOKUP($G167,Depreciation!$A$14:$L$18,10,FALSE),0))</f>
        <v>3.343407856743718E-2</v>
      </c>
      <c r="M167" s="306">
        <f>+IF($H167=M$2,VLOOKUP($G167,Depreciation!$A$14:$L$18,11,FALSE)/2,IF($H167&lt;M$2,VLOOKUP($G167,Depreciation!$A$14:$L$18,11,FALSE),0))</f>
        <v>3.343407856743718E-2</v>
      </c>
      <c r="N167" s="306">
        <f>+IF($H167=N$2,VLOOKUP($G167,Depreciation!$A$14:$L$18,12,FALSE)/2,IF($H167&lt;N$2,VLOOKUP($G167,Depreciation!$A$14:$L$18,12,FALSE),0))</f>
        <v>3.343407856743718E-2</v>
      </c>
      <c r="O167" s="307">
        <f t="shared" si="17"/>
        <v>1090034.1610650681</v>
      </c>
      <c r="P167" s="732">
        <f>'Func Future Subs 2015'!P167</f>
        <v>0</v>
      </c>
      <c r="Q167" s="732">
        <f>'Func Future Subs 2015'!Q167</f>
        <v>0</v>
      </c>
      <c r="R167" s="732">
        <f>'Func Future Subs 2015'!R167</f>
        <v>1</v>
      </c>
      <c r="S167" s="735">
        <f t="shared" si="18"/>
        <v>0</v>
      </c>
      <c r="T167" s="735">
        <f t="shared" si="19"/>
        <v>0</v>
      </c>
      <c r="U167" s="735">
        <f t="shared" si="20"/>
        <v>1090034.1610650681</v>
      </c>
      <c r="V167" s="736">
        <f t="shared" si="21"/>
        <v>0</v>
      </c>
      <c r="W167" s="735">
        <f t="shared" si="22"/>
        <v>1090034.1610650681</v>
      </c>
      <c r="X167" s="737">
        <f t="shared" si="23"/>
        <v>0</v>
      </c>
      <c r="Y167" s="738">
        <f t="shared" si="24"/>
        <v>0</v>
      </c>
    </row>
    <row r="168" spans="1:25">
      <c r="A168" s="754" t="str">
        <f>'Func Future Subs 2015'!A168</f>
        <v>356S Milo180</v>
      </c>
      <c r="B168" s="754">
        <f>'Func Future Subs 2015'!B168</f>
        <v>737</v>
      </c>
      <c r="C168" s="754">
        <f>'Func Future Subs 2015'!C168</f>
        <v>240</v>
      </c>
      <c r="D168" s="754">
        <f>'Func Future Subs 2015'!D168</f>
        <v>240</v>
      </c>
      <c r="E168" s="754" t="str">
        <f>'Func Future Subs 2015'!E168</f>
        <v>356S</v>
      </c>
      <c r="F168" s="754">
        <f>'Func Future Subs 2015'!F168</f>
        <v>509558.70470753126</v>
      </c>
      <c r="G168" s="754" t="str">
        <f>'Func Future Subs 2015'!G168</f>
        <v>AltaLink</v>
      </c>
      <c r="H168" s="754">
        <f>'Func Future Subs 2015'!H168</f>
        <v>2015</v>
      </c>
      <c r="I168" s="306">
        <f>+IF($H168=I$2,VLOOKUP($G168,Depreciation!$A$14:$L$18,7,FALSE)/2,IF($H168&lt;I$2,VLOOKUP($G168,Depreciation!$A$14:$L$18,7,FALSE),0))</f>
        <v>1.7228380322441735E-2</v>
      </c>
      <c r="J168" s="306">
        <f>+IF($H168=J$2,VLOOKUP($G168,Depreciation!$A$14:$L$18,8,FALSE)/2,IF($H168&lt;J$2,VLOOKUP($G168,Depreciation!$A$14:$L$18,8,FALSE),0))</f>
        <v>3.343407856743718E-2</v>
      </c>
      <c r="K168" s="306">
        <f>+IF($H168=K$2,VLOOKUP($G168,Depreciation!$A$14:$L$18,9,FALSE)/2,IF($H168&lt;K$2,VLOOKUP($G168,Depreciation!$A$14:$L$18,9,FALSE),0))</f>
        <v>3.343407856743718E-2</v>
      </c>
      <c r="L168" s="306">
        <f>+IF($H168=L$2,VLOOKUP($G168,Depreciation!$A$14:$L$18,10,FALSE)/2,IF($H168&lt;L$2,VLOOKUP($G168,Depreciation!$A$14:$L$18,10,FALSE),0))</f>
        <v>3.343407856743718E-2</v>
      </c>
      <c r="M168" s="306">
        <f>+IF($H168=M$2,VLOOKUP($G168,Depreciation!$A$14:$L$18,11,FALSE)/2,IF($H168&lt;M$2,VLOOKUP($G168,Depreciation!$A$14:$L$18,11,FALSE),0))</f>
        <v>3.343407856743718E-2</v>
      </c>
      <c r="N168" s="306">
        <f>+IF($H168=N$2,VLOOKUP($G168,Depreciation!$A$14:$L$18,12,FALSE)/2,IF($H168&lt;N$2,VLOOKUP($G168,Depreciation!$A$14:$L$18,12,FALSE),0))</f>
        <v>3.343407856743718E-2</v>
      </c>
      <c r="O168" s="307">
        <f t="shared" si="17"/>
        <v>452211.15216255264</v>
      </c>
      <c r="P168" s="732">
        <f>'Func Future Subs 2015'!P168</f>
        <v>0</v>
      </c>
      <c r="Q168" s="732">
        <f>'Func Future Subs 2015'!Q168</f>
        <v>0</v>
      </c>
      <c r="R168" s="732">
        <f>'Func Future Subs 2015'!R168</f>
        <v>1</v>
      </c>
      <c r="S168" s="735">
        <f t="shared" si="18"/>
        <v>0</v>
      </c>
      <c r="T168" s="735">
        <f t="shared" si="19"/>
        <v>0</v>
      </c>
      <c r="U168" s="735">
        <f t="shared" si="20"/>
        <v>452211.15216255264</v>
      </c>
      <c r="V168" s="736">
        <f t="shared" si="21"/>
        <v>0</v>
      </c>
      <c r="W168" s="735">
        <f t="shared" si="22"/>
        <v>452211.15216255264</v>
      </c>
      <c r="X168" s="737">
        <f t="shared" si="23"/>
        <v>0</v>
      </c>
      <c r="Y168" s="738">
        <f t="shared" si="24"/>
        <v>0</v>
      </c>
    </row>
    <row r="169" spans="1:25">
      <c r="A169" s="754" t="str">
        <f>'Func Future Subs 2015'!A169</f>
        <v>Converter Station (Heathfield 2029S)180</v>
      </c>
      <c r="B169" s="754">
        <f>'Func Future Subs 2015'!B169</f>
        <v>737</v>
      </c>
      <c r="C169" s="754">
        <f>'Func Future Subs 2015'!C169</f>
        <v>500</v>
      </c>
      <c r="D169" s="754">
        <f>'Func Future Subs 2015'!D169</f>
        <v>500</v>
      </c>
      <c r="E169" s="754" t="str">
        <f>'Func Future Subs 2015'!E169</f>
        <v>2029S</v>
      </c>
      <c r="F169" s="754">
        <f>'Func Future Subs 2015'!F169</f>
        <v>532569282.5</v>
      </c>
      <c r="G169" s="754" t="str">
        <f>'Func Future Subs 2015'!G169</f>
        <v>ATCO</v>
      </c>
      <c r="H169" s="754">
        <f>'Func Future Subs 2015'!H169</f>
        <v>2015</v>
      </c>
      <c r="I169" s="306">
        <f>+IF($H169=I$2,VLOOKUP($G169,Depreciation!$A$14:$L$18,7,FALSE)/2,IF($H169&lt;I$2,VLOOKUP($G169,Depreciation!$A$14:$L$18,7,FALSE),0))</f>
        <v>1.221703683566912E-2</v>
      </c>
      <c r="J169" s="306">
        <f>+IF($H169=J$2,VLOOKUP($G169,Depreciation!$A$14:$L$18,8,FALSE)/2,IF($H169&lt;J$2,VLOOKUP($G169,Depreciation!$A$14:$L$18,8,FALSE),0))</f>
        <v>2.4632450501084719E-2</v>
      </c>
      <c r="K169" s="306">
        <f>+IF($H169=K$2,VLOOKUP($G169,Depreciation!$A$14:$L$18,9,FALSE)/2,IF($H169&lt;K$2,VLOOKUP($G169,Depreciation!$A$14:$L$18,9,FALSE),0))</f>
        <v>2.4351536427798831E-2</v>
      </c>
      <c r="L169" s="306">
        <f>+IF($H169=L$2,VLOOKUP($G169,Depreciation!$A$14:$L$18,10,FALSE)/2,IF($H169&lt;L$2,VLOOKUP($G169,Depreciation!$A$14:$L$18,10,FALSE),0))</f>
        <v>2.4351536427798831E-2</v>
      </c>
      <c r="M169" s="306">
        <f>+IF($H169=M$2,VLOOKUP($G169,Depreciation!$A$14:$L$18,11,FALSE)/2,IF($H169&lt;M$2,VLOOKUP($G169,Depreciation!$A$14:$L$18,11,FALSE),0))</f>
        <v>2.4351536427798831E-2</v>
      </c>
      <c r="N169" s="306">
        <f>+IF($H169=N$2,VLOOKUP($G169,Depreciation!$A$14:$L$18,12,FALSE)/2,IF($H169&lt;N$2,VLOOKUP($G169,Depreciation!$A$14:$L$18,12,FALSE),0))</f>
        <v>2.4351536427798831E-2</v>
      </c>
      <c r="O169" s="307">
        <f t="shared" si="17"/>
        <v>488419143.20368361</v>
      </c>
      <c r="P169" s="732">
        <f>'Func Future Subs 2015'!P169</f>
        <v>0</v>
      </c>
      <c r="Q169" s="732">
        <f>'Func Future Subs 2015'!Q169</f>
        <v>0</v>
      </c>
      <c r="R169" s="732">
        <f>'Func Future Subs 2015'!R169</f>
        <v>1</v>
      </c>
      <c r="S169" s="735">
        <f t="shared" si="18"/>
        <v>0</v>
      </c>
      <c r="T169" s="735">
        <f t="shared" si="19"/>
        <v>0</v>
      </c>
      <c r="U169" s="735">
        <f t="shared" si="20"/>
        <v>488419143.20368361</v>
      </c>
      <c r="V169" s="736">
        <f t="shared" si="21"/>
        <v>0</v>
      </c>
      <c r="W169" s="735">
        <f t="shared" si="22"/>
        <v>488419143.20368361</v>
      </c>
      <c r="X169" s="737">
        <f t="shared" si="23"/>
        <v>0</v>
      </c>
      <c r="Y169" s="738">
        <f t="shared" si="24"/>
        <v>0</v>
      </c>
    </row>
    <row r="170" spans="1:25">
      <c r="A170" s="754" t="str">
        <f>'Func Future Subs 2015'!A170</f>
        <v>Genesee 330P 961</v>
      </c>
      <c r="B170" s="754">
        <f>'Func Future Subs 2015'!B170</f>
        <v>737</v>
      </c>
      <c r="C170" s="754">
        <f>'Func Future Subs 2015'!C170</f>
        <v>500</v>
      </c>
      <c r="D170" s="754">
        <f>'Func Future Subs 2015'!D170</f>
        <v>240</v>
      </c>
      <c r="E170" s="754" t="str">
        <f>'Func Future Subs 2015'!E170</f>
        <v>330P</v>
      </c>
      <c r="F170" s="754">
        <f>'Func Future Subs 2015'!F170</f>
        <v>107206.28193058976</v>
      </c>
      <c r="G170" s="754" t="str">
        <f>'Func Future Subs 2015'!G170</f>
        <v>EPCOR</v>
      </c>
      <c r="H170" s="754">
        <f>'Func Future Subs 2015'!H170</f>
        <v>2015</v>
      </c>
      <c r="I170" s="306">
        <f>+IF($H170=I$2,VLOOKUP($G170,Depreciation!$A$14:$L$18,7,FALSE)/2,IF($H170&lt;I$2,VLOOKUP($G170,Depreciation!$A$14:$L$18,7,FALSE),0))</f>
        <v>2.0607513622398654E-2</v>
      </c>
      <c r="J170" s="306">
        <f>+IF($H170=J$2,VLOOKUP($G170,Depreciation!$A$14:$L$18,8,FALSE)/2,IF($H170&lt;J$2,VLOOKUP($G170,Depreciation!$A$14:$L$18,8,FALSE),0))</f>
        <v>4.1600055599844914E-2</v>
      </c>
      <c r="K170" s="306">
        <f>+IF($H170=K$2,VLOOKUP($G170,Depreciation!$A$14:$L$18,9,FALSE)/2,IF($H170&lt;K$2,VLOOKUP($G170,Depreciation!$A$14:$L$18,9,FALSE),0))</f>
        <v>4.1145263498658789E-2</v>
      </c>
      <c r="L170" s="306">
        <f>+IF($H170=L$2,VLOOKUP($G170,Depreciation!$A$14:$L$18,10,FALSE)/2,IF($H170&lt;L$2,VLOOKUP($G170,Depreciation!$A$14:$L$18,10,FALSE),0))</f>
        <v>4.1145263498658789E-2</v>
      </c>
      <c r="M170" s="306">
        <f>+IF($H170=M$2,VLOOKUP($G170,Depreciation!$A$14:$L$18,11,FALSE)/2,IF($H170&lt;M$2,VLOOKUP($G170,Depreciation!$A$14:$L$18,11,FALSE),0))</f>
        <v>4.1145263498658789E-2</v>
      </c>
      <c r="N170" s="306">
        <f>+IF($H170=N$2,VLOOKUP($G170,Depreciation!$A$14:$L$18,12,FALSE)/2,IF($H170&lt;N$2,VLOOKUP($G170,Depreciation!$A$14:$L$18,12,FALSE),0))</f>
        <v>4.1145263498658789E-2</v>
      </c>
      <c r="O170" s="307">
        <f t="shared" si="17"/>
        <v>92518.677863086297</v>
      </c>
      <c r="P170" s="732">
        <f>'Func Future Subs 2015'!P170</f>
        <v>0</v>
      </c>
      <c r="Q170" s="732">
        <f>'Func Future Subs 2015'!Q170</f>
        <v>0</v>
      </c>
      <c r="R170" s="732">
        <f>'Func Future Subs 2015'!R170</f>
        <v>1</v>
      </c>
      <c r="S170" s="735">
        <f t="shared" si="18"/>
        <v>0</v>
      </c>
      <c r="T170" s="735">
        <f t="shared" si="19"/>
        <v>0</v>
      </c>
      <c r="U170" s="735">
        <f t="shared" si="20"/>
        <v>92518.677863086297</v>
      </c>
      <c r="V170" s="736">
        <f t="shared" si="21"/>
        <v>0</v>
      </c>
      <c r="W170" s="735">
        <f t="shared" si="22"/>
        <v>92518.677863086297</v>
      </c>
      <c r="X170" s="737">
        <f t="shared" si="23"/>
        <v>0</v>
      </c>
      <c r="Y170" s="738">
        <f t="shared" si="24"/>
        <v>0</v>
      </c>
    </row>
    <row r="171" spans="1:25">
      <c r="A171" s="754" t="str">
        <f>'Func Future Subs 2015'!A171</f>
        <v>Heartland 12S180</v>
      </c>
      <c r="B171" s="754">
        <f>'Func Future Subs 2015'!B171</f>
        <v>737</v>
      </c>
      <c r="C171" s="754">
        <f>'Func Future Subs 2015'!C171</f>
        <v>500</v>
      </c>
      <c r="D171" s="754">
        <f>'Func Future Subs 2015'!D171</f>
        <v>240</v>
      </c>
      <c r="E171" s="754" t="str">
        <f>'Func Future Subs 2015'!E171</f>
        <v>12S</v>
      </c>
      <c r="F171" s="754">
        <f>'Func Future Subs 2015'!F171</f>
        <v>33005662.747339312</v>
      </c>
      <c r="G171" s="754" t="str">
        <f>'Func Future Subs 2015'!G171</f>
        <v>AltaLink</v>
      </c>
      <c r="H171" s="754">
        <f>'Func Future Subs 2015'!H171</f>
        <v>2015</v>
      </c>
      <c r="I171" s="306">
        <f>+IF($H171=I$2,VLOOKUP($G171,Depreciation!$A$14:$L$18,7,FALSE)/2,IF($H171&lt;I$2,VLOOKUP($G171,Depreciation!$A$14:$L$18,7,FALSE),0))</f>
        <v>1.7228380322441735E-2</v>
      </c>
      <c r="J171" s="306">
        <f>+IF($H171=J$2,VLOOKUP($G171,Depreciation!$A$14:$L$18,8,FALSE)/2,IF($H171&lt;J$2,VLOOKUP($G171,Depreciation!$A$14:$L$18,8,FALSE),0))</f>
        <v>3.343407856743718E-2</v>
      </c>
      <c r="K171" s="306">
        <f>+IF($H171=K$2,VLOOKUP($G171,Depreciation!$A$14:$L$18,9,FALSE)/2,IF($H171&lt;K$2,VLOOKUP($G171,Depreciation!$A$14:$L$18,9,FALSE),0))</f>
        <v>3.343407856743718E-2</v>
      </c>
      <c r="L171" s="306">
        <f>+IF($H171=L$2,VLOOKUP($G171,Depreciation!$A$14:$L$18,10,FALSE)/2,IF($H171&lt;L$2,VLOOKUP($G171,Depreciation!$A$14:$L$18,10,FALSE),0))</f>
        <v>3.343407856743718E-2</v>
      </c>
      <c r="M171" s="306">
        <f>+IF($H171=M$2,VLOOKUP($G171,Depreciation!$A$14:$L$18,11,FALSE)/2,IF($H171&lt;M$2,VLOOKUP($G171,Depreciation!$A$14:$L$18,11,FALSE),0))</f>
        <v>3.343407856743718E-2</v>
      </c>
      <c r="N171" s="306">
        <f>+IF($H171=N$2,VLOOKUP($G171,Depreciation!$A$14:$L$18,12,FALSE)/2,IF($H171&lt;N$2,VLOOKUP($G171,Depreciation!$A$14:$L$18,12,FALSE),0))</f>
        <v>3.343407856743718E-2</v>
      </c>
      <c r="O171" s="307">
        <f t="shared" si="17"/>
        <v>29291087.839289643</v>
      </c>
      <c r="P171" s="732">
        <f>'Func Future Subs 2015'!P171</f>
        <v>0</v>
      </c>
      <c r="Q171" s="732">
        <f>'Func Future Subs 2015'!Q171</f>
        <v>0</v>
      </c>
      <c r="R171" s="732">
        <f>'Func Future Subs 2015'!R171</f>
        <v>1</v>
      </c>
      <c r="S171" s="735">
        <f t="shared" si="18"/>
        <v>0</v>
      </c>
      <c r="T171" s="735">
        <f t="shared" si="19"/>
        <v>0</v>
      </c>
      <c r="U171" s="735">
        <f t="shared" si="20"/>
        <v>29291087.839289643</v>
      </c>
      <c r="V171" s="736">
        <f t="shared" si="21"/>
        <v>0</v>
      </c>
      <c r="W171" s="735">
        <f t="shared" si="22"/>
        <v>29291087.839289643</v>
      </c>
      <c r="X171" s="737">
        <f t="shared" si="23"/>
        <v>0</v>
      </c>
      <c r="Y171" s="738">
        <f t="shared" si="24"/>
        <v>0</v>
      </c>
    </row>
    <row r="172" spans="1:25">
      <c r="A172" s="754" t="str">
        <f>'Func Future Subs 2015'!A172</f>
        <v>320P[2]_180</v>
      </c>
      <c r="B172" s="754">
        <f>'Func Future Subs 2015'!B172</f>
        <v>737</v>
      </c>
      <c r="C172" s="754">
        <f>'Func Future Subs 2015'!C172</f>
        <v>240</v>
      </c>
      <c r="D172" s="754">
        <f>'Func Future Subs 2015'!D172</f>
        <v>25</v>
      </c>
      <c r="E172" s="754" t="str">
        <f>'Func Future Subs 2015'!E172</f>
        <v>320P</v>
      </c>
      <c r="F172" s="754">
        <f>'Func Future Subs 2015'!F172</f>
        <v>551841.87584074528</v>
      </c>
      <c r="G172" s="754" t="str">
        <f>'Func Future Subs 2015'!G172</f>
        <v>AltaLink</v>
      </c>
      <c r="H172" s="754">
        <f>'Func Future Subs 2015'!H172</f>
        <v>2015</v>
      </c>
      <c r="I172" s="306">
        <f>+IF($H172=I$2,VLOOKUP($G172,Depreciation!$A$14:$L$18,7,FALSE)/2,IF($H172&lt;I$2,VLOOKUP($G172,Depreciation!$A$14:$L$18,7,FALSE),0))</f>
        <v>1.7228380322441735E-2</v>
      </c>
      <c r="J172" s="306">
        <f>+IF($H172=J$2,VLOOKUP($G172,Depreciation!$A$14:$L$18,8,FALSE)/2,IF($H172&lt;J$2,VLOOKUP($G172,Depreciation!$A$14:$L$18,8,FALSE),0))</f>
        <v>3.343407856743718E-2</v>
      </c>
      <c r="K172" s="306">
        <f>+IF($H172=K$2,VLOOKUP($G172,Depreciation!$A$14:$L$18,9,FALSE)/2,IF($H172&lt;K$2,VLOOKUP($G172,Depreciation!$A$14:$L$18,9,FALSE),0))</f>
        <v>3.343407856743718E-2</v>
      </c>
      <c r="L172" s="306">
        <f>+IF($H172=L$2,VLOOKUP($G172,Depreciation!$A$14:$L$18,10,FALSE)/2,IF($H172&lt;L$2,VLOOKUP($G172,Depreciation!$A$14:$L$18,10,FALSE),0))</f>
        <v>3.343407856743718E-2</v>
      </c>
      <c r="M172" s="306">
        <f>+IF($H172=M$2,VLOOKUP($G172,Depreciation!$A$14:$L$18,11,FALSE)/2,IF($H172&lt;M$2,VLOOKUP($G172,Depreciation!$A$14:$L$18,11,FALSE),0))</f>
        <v>3.343407856743718E-2</v>
      </c>
      <c r="N172" s="306">
        <f>+IF($H172=N$2,VLOOKUP($G172,Depreciation!$A$14:$L$18,12,FALSE)/2,IF($H172&lt;N$2,VLOOKUP($G172,Depreciation!$A$14:$L$18,12,FALSE),0))</f>
        <v>3.343407856743718E-2</v>
      </c>
      <c r="O172" s="307">
        <f t="shared" si="17"/>
        <v>489735.62453166227</v>
      </c>
      <c r="P172" s="732">
        <f>'Func Future Subs 2015'!P172</f>
        <v>0.96203522504892369</v>
      </c>
      <c r="Q172" s="732">
        <f>'Func Future Subs 2015'!Q172</f>
        <v>3.7964774951076322E-2</v>
      </c>
      <c r="R172" s="732">
        <f>'Func Future Subs 2015'!R172</f>
        <v>0</v>
      </c>
      <c r="S172" s="735">
        <f t="shared" si="18"/>
        <v>471142.9217607929</v>
      </c>
      <c r="T172" s="735">
        <f t="shared" si="19"/>
        <v>18592.702770869371</v>
      </c>
      <c r="U172" s="735">
        <f t="shared" si="20"/>
        <v>0</v>
      </c>
      <c r="V172" s="736">
        <f t="shared" si="21"/>
        <v>0</v>
      </c>
      <c r="W172" s="735">
        <f t="shared" si="22"/>
        <v>471142.9217607929</v>
      </c>
      <c r="X172" s="737">
        <f t="shared" si="23"/>
        <v>0</v>
      </c>
      <c r="Y172" s="738">
        <f t="shared" si="24"/>
        <v>18592.702770869371</v>
      </c>
    </row>
    <row r="173" spans="1:25">
      <c r="A173" s="754" t="str">
        <f>'Func Future Subs 2015'!A173</f>
        <v>330P_180</v>
      </c>
      <c r="B173" s="754">
        <f>'Func Future Subs 2015'!B173</f>
        <v>737</v>
      </c>
      <c r="C173" s="754">
        <f>'Func Future Subs 2015'!C173</f>
        <v>240</v>
      </c>
      <c r="D173" s="754">
        <f>'Func Future Subs 2015'!D173</f>
        <v>240</v>
      </c>
      <c r="E173" s="754" t="str">
        <f>'Func Future Subs 2015'!E173</f>
        <v>330P</v>
      </c>
      <c r="F173" s="754">
        <f>'Func Future Subs 2015'!F173</f>
        <v>223583.15265230645</v>
      </c>
      <c r="G173" s="754" t="str">
        <f>'Func Future Subs 2015'!G173</f>
        <v>AltaLink</v>
      </c>
      <c r="H173" s="754">
        <f>'Func Future Subs 2015'!H173</f>
        <v>2015</v>
      </c>
      <c r="I173" s="306">
        <f>+IF($H173=I$2,VLOOKUP($G173,Depreciation!$A$14:$L$18,7,FALSE)/2,IF($H173&lt;I$2,VLOOKUP($G173,Depreciation!$A$14:$L$18,7,FALSE),0))</f>
        <v>1.7228380322441735E-2</v>
      </c>
      <c r="J173" s="306">
        <f>+IF($H173=J$2,VLOOKUP($G173,Depreciation!$A$14:$L$18,8,FALSE)/2,IF($H173&lt;J$2,VLOOKUP($G173,Depreciation!$A$14:$L$18,8,FALSE),0))</f>
        <v>3.343407856743718E-2</v>
      </c>
      <c r="K173" s="306">
        <f>+IF($H173=K$2,VLOOKUP($G173,Depreciation!$A$14:$L$18,9,FALSE)/2,IF($H173&lt;K$2,VLOOKUP($G173,Depreciation!$A$14:$L$18,9,FALSE),0))</f>
        <v>3.343407856743718E-2</v>
      </c>
      <c r="L173" s="306">
        <f>+IF($H173=L$2,VLOOKUP($G173,Depreciation!$A$14:$L$18,10,FALSE)/2,IF($H173&lt;L$2,VLOOKUP($G173,Depreciation!$A$14:$L$18,10,FALSE),0))</f>
        <v>3.343407856743718E-2</v>
      </c>
      <c r="M173" s="306">
        <f>+IF($H173=M$2,VLOOKUP($G173,Depreciation!$A$14:$L$18,11,FALSE)/2,IF($H173&lt;M$2,VLOOKUP($G173,Depreciation!$A$14:$L$18,11,FALSE),0))</f>
        <v>3.343407856743718E-2</v>
      </c>
      <c r="N173" s="306">
        <f>+IF($H173=N$2,VLOOKUP($G173,Depreciation!$A$14:$L$18,12,FALSE)/2,IF($H173&lt;N$2,VLOOKUP($G173,Depreciation!$A$14:$L$18,12,FALSE),0))</f>
        <v>3.343407856743718E-2</v>
      </c>
      <c r="O173" s="307">
        <f t="shared" si="17"/>
        <v>198420.30786828994</v>
      </c>
      <c r="P173" s="732">
        <f>'Func Future Subs 2015'!P173</f>
        <v>0</v>
      </c>
      <c r="Q173" s="732">
        <f>'Func Future Subs 2015'!Q173</f>
        <v>0</v>
      </c>
      <c r="R173" s="732">
        <f>'Func Future Subs 2015'!R173</f>
        <v>1</v>
      </c>
      <c r="S173" s="735">
        <f t="shared" si="18"/>
        <v>0</v>
      </c>
      <c r="T173" s="735">
        <f t="shared" si="19"/>
        <v>0</v>
      </c>
      <c r="U173" s="735">
        <f t="shared" si="20"/>
        <v>198420.30786828994</v>
      </c>
      <c r="V173" s="736">
        <f t="shared" si="21"/>
        <v>0</v>
      </c>
      <c r="W173" s="735">
        <f t="shared" si="22"/>
        <v>198420.30786828994</v>
      </c>
      <c r="X173" s="737">
        <f t="shared" si="23"/>
        <v>0</v>
      </c>
      <c r="Y173" s="738">
        <f t="shared" si="24"/>
        <v>0</v>
      </c>
    </row>
    <row r="174" spans="1:25">
      <c r="A174" s="754" t="str">
        <f>'Func Future Subs 2015'!A174</f>
        <v>74S_180</v>
      </c>
      <c r="B174" s="754">
        <f>'Func Future Subs 2015'!B174</f>
        <v>737</v>
      </c>
      <c r="C174" s="754">
        <f>'Func Future Subs 2015'!C174</f>
        <v>240</v>
      </c>
      <c r="D174" s="754">
        <f>'Func Future Subs 2015'!D174</f>
        <v>138</v>
      </c>
      <c r="E174" s="754" t="str">
        <f>'Func Future Subs 2015'!E174</f>
        <v>74S</v>
      </c>
      <c r="F174" s="754">
        <f>'Func Future Subs 2015'!F174</f>
        <v>315408.50917802192</v>
      </c>
      <c r="G174" s="754" t="str">
        <f>'Func Future Subs 2015'!G174</f>
        <v>AltaLink</v>
      </c>
      <c r="H174" s="754">
        <f>'Func Future Subs 2015'!H174</f>
        <v>2015</v>
      </c>
      <c r="I174" s="306">
        <f>+IF($H174=I$2,VLOOKUP($G174,Depreciation!$A$14:$L$18,7,FALSE)/2,IF($H174&lt;I$2,VLOOKUP($G174,Depreciation!$A$14:$L$18,7,FALSE),0))</f>
        <v>1.7228380322441735E-2</v>
      </c>
      <c r="J174" s="306">
        <f>+IF($H174=J$2,VLOOKUP($G174,Depreciation!$A$14:$L$18,8,FALSE)/2,IF($H174&lt;J$2,VLOOKUP($G174,Depreciation!$A$14:$L$18,8,FALSE),0))</f>
        <v>3.343407856743718E-2</v>
      </c>
      <c r="K174" s="306">
        <f>+IF($H174=K$2,VLOOKUP($G174,Depreciation!$A$14:$L$18,9,FALSE)/2,IF($H174&lt;K$2,VLOOKUP($G174,Depreciation!$A$14:$L$18,9,FALSE),0))</f>
        <v>3.343407856743718E-2</v>
      </c>
      <c r="L174" s="306">
        <f>+IF($H174=L$2,VLOOKUP($G174,Depreciation!$A$14:$L$18,10,FALSE)/2,IF($H174&lt;L$2,VLOOKUP($G174,Depreciation!$A$14:$L$18,10,FALSE),0))</f>
        <v>3.343407856743718E-2</v>
      </c>
      <c r="M174" s="306">
        <f>+IF($H174=M$2,VLOOKUP($G174,Depreciation!$A$14:$L$18,11,FALSE)/2,IF($H174&lt;M$2,VLOOKUP($G174,Depreciation!$A$14:$L$18,11,FALSE),0))</f>
        <v>3.343407856743718E-2</v>
      </c>
      <c r="N174" s="306">
        <f>+IF($H174=N$2,VLOOKUP($G174,Depreciation!$A$14:$L$18,12,FALSE)/2,IF($H174&lt;N$2,VLOOKUP($G174,Depreciation!$A$14:$L$18,12,FALSE),0))</f>
        <v>3.343407856743718E-2</v>
      </c>
      <c r="O174" s="307">
        <f t="shared" si="17"/>
        <v>279911.31153206708</v>
      </c>
      <c r="P174" s="732">
        <f>'Func Future Subs 2015'!P174</f>
        <v>0</v>
      </c>
      <c r="Q174" s="732">
        <f>'Func Future Subs 2015'!Q174</f>
        <v>0</v>
      </c>
      <c r="R174" s="732">
        <f>'Func Future Subs 2015'!R174</f>
        <v>1</v>
      </c>
      <c r="S174" s="735">
        <f t="shared" si="18"/>
        <v>0</v>
      </c>
      <c r="T174" s="735">
        <f t="shared" si="19"/>
        <v>0</v>
      </c>
      <c r="U174" s="735">
        <f t="shared" si="20"/>
        <v>279911.31153206708</v>
      </c>
      <c r="V174" s="736">
        <f t="shared" si="21"/>
        <v>0</v>
      </c>
      <c r="W174" s="735">
        <f t="shared" si="22"/>
        <v>0</v>
      </c>
      <c r="X174" s="737">
        <f t="shared" si="23"/>
        <v>279911.31153206708</v>
      </c>
      <c r="Y174" s="738">
        <f t="shared" si="24"/>
        <v>0</v>
      </c>
    </row>
    <row r="175" spans="1:25">
      <c r="A175" s="754" t="str">
        <f>'Func Future Subs 2015'!A175</f>
        <v>89S_180</v>
      </c>
      <c r="B175" s="754">
        <f>'Func Future Subs 2015'!B175</f>
        <v>737</v>
      </c>
      <c r="C175" s="754">
        <f>'Func Future Subs 2015'!C175</f>
        <v>240</v>
      </c>
      <c r="D175" s="754">
        <f>'Func Future Subs 2015'!D175</f>
        <v>240</v>
      </c>
      <c r="E175" s="754" t="str">
        <f>'Func Future Subs 2015'!E175</f>
        <v>89S</v>
      </c>
      <c r="F175" s="754">
        <f>'Func Future Subs 2015'!F175</f>
        <v>273015.76516128465</v>
      </c>
      <c r="G175" s="754" t="str">
        <f>'Func Future Subs 2015'!G175</f>
        <v>AltaLink</v>
      </c>
      <c r="H175" s="754">
        <f>'Func Future Subs 2015'!H175</f>
        <v>2015</v>
      </c>
      <c r="I175" s="306">
        <f>+IF($H175=I$2,VLOOKUP($G175,Depreciation!$A$14:$L$18,7,FALSE)/2,IF($H175&lt;I$2,VLOOKUP($G175,Depreciation!$A$14:$L$18,7,FALSE),0))</f>
        <v>1.7228380322441735E-2</v>
      </c>
      <c r="J175" s="306">
        <f>+IF($H175=J$2,VLOOKUP($G175,Depreciation!$A$14:$L$18,8,FALSE)/2,IF($H175&lt;J$2,VLOOKUP($G175,Depreciation!$A$14:$L$18,8,FALSE),0))</f>
        <v>3.343407856743718E-2</v>
      </c>
      <c r="K175" s="306">
        <f>+IF($H175=K$2,VLOOKUP($G175,Depreciation!$A$14:$L$18,9,FALSE)/2,IF($H175&lt;K$2,VLOOKUP($G175,Depreciation!$A$14:$L$18,9,FALSE),0))</f>
        <v>3.343407856743718E-2</v>
      </c>
      <c r="L175" s="306">
        <f>+IF($H175=L$2,VLOOKUP($G175,Depreciation!$A$14:$L$18,10,FALSE)/2,IF($H175&lt;L$2,VLOOKUP($G175,Depreciation!$A$14:$L$18,10,FALSE),0))</f>
        <v>3.343407856743718E-2</v>
      </c>
      <c r="M175" s="306">
        <f>+IF($H175=M$2,VLOOKUP($G175,Depreciation!$A$14:$L$18,11,FALSE)/2,IF($H175&lt;M$2,VLOOKUP($G175,Depreciation!$A$14:$L$18,11,FALSE),0))</f>
        <v>3.343407856743718E-2</v>
      </c>
      <c r="N175" s="306">
        <f>+IF($H175=N$2,VLOOKUP($G175,Depreciation!$A$14:$L$18,12,FALSE)/2,IF($H175&lt;N$2,VLOOKUP($G175,Depreciation!$A$14:$L$18,12,FALSE),0))</f>
        <v>3.343407856743718E-2</v>
      </c>
      <c r="O175" s="307">
        <f t="shared" si="17"/>
        <v>242289.59800223127</v>
      </c>
      <c r="P175" s="732">
        <f>'Func Future Subs 2015'!P175</f>
        <v>0</v>
      </c>
      <c r="Q175" s="732">
        <f>'Func Future Subs 2015'!Q175</f>
        <v>0</v>
      </c>
      <c r="R175" s="732">
        <f>'Func Future Subs 2015'!R175</f>
        <v>1</v>
      </c>
      <c r="S175" s="735">
        <f t="shared" si="18"/>
        <v>0</v>
      </c>
      <c r="T175" s="735">
        <f t="shared" si="19"/>
        <v>0</v>
      </c>
      <c r="U175" s="735">
        <f t="shared" si="20"/>
        <v>242289.59800223127</v>
      </c>
      <c r="V175" s="736">
        <f t="shared" si="21"/>
        <v>0</v>
      </c>
      <c r="W175" s="735">
        <f t="shared" si="22"/>
        <v>242289.59800223127</v>
      </c>
      <c r="X175" s="737">
        <f t="shared" si="23"/>
        <v>0</v>
      </c>
      <c r="Y175" s="738">
        <f t="shared" si="24"/>
        <v>0</v>
      </c>
    </row>
    <row r="176" spans="1:25">
      <c r="A176" s="754" t="str">
        <f>'Func Future Subs 2015'!A176</f>
        <v>Bennett 503S Substation</v>
      </c>
      <c r="B176" s="754">
        <f>'Func Future Subs 2015'!B176</f>
        <v>737</v>
      </c>
      <c r="C176" s="754">
        <f>'Func Future Subs 2015'!C176</f>
        <v>500</v>
      </c>
      <c r="D176" s="754">
        <f>'Func Future Subs 2015'!D176</f>
        <v>0</v>
      </c>
      <c r="E176" s="754" t="str">
        <f>'Func Future Subs 2015'!E176</f>
        <v>503S</v>
      </c>
      <c r="F176" s="754">
        <f>'Func Future Subs 2015'!F176</f>
        <v>59049851.860905387</v>
      </c>
      <c r="G176" s="754" t="str">
        <f>'Func Future Subs 2015'!G176</f>
        <v>AltaLink</v>
      </c>
      <c r="H176" s="754">
        <f>'Func Future Subs 2015'!H176</f>
        <v>2015</v>
      </c>
      <c r="I176" s="306">
        <f>+IF($H176=I$2,VLOOKUP($G176,Depreciation!$A$14:$L$18,7,FALSE)/2,IF($H176&lt;I$2,VLOOKUP($G176,Depreciation!$A$14:$L$18,7,FALSE),0))</f>
        <v>1.7228380322441735E-2</v>
      </c>
      <c r="J176" s="306">
        <f>+IF($H176=J$2,VLOOKUP($G176,Depreciation!$A$14:$L$18,8,FALSE)/2,IF($H176&lt;J$2,VLOOKUP($G176,Depreciation!$A$14:$L$18,8,FALSE),0))</f>
        <v>3.343407856743718E-2</v>
      </c>
      <c r="K176" s="306">
        <f>+IF($H176=K$2,VLOOKUP($G176,Depreciation!$A$14:$L$18,9,FALSE)/2,IF($H176&lt;K$2,VLOOKUP($G176,Depreciation!$A$14:$L$18,9,FALSE),0))</f>
        <v>3.343407856743718E-2</v>
      </c>
      <c r="L176" s="306">
        <f>+IF($H176=L$2,VLOOKUP($G176,Depreciation!$A$14:$L$18,10,FALSE)/2,IF($H176&lt;L$2,VLOOKUP($G176,Depreciation!$A$14:$L$18,10,FALSE),0))</f>
        <v>3.343407856743718E-2</v>
      </c>
      <c r="M176" s="306">
        <f>+IF($H176=M$2,VLOOKUP($G176,Depreciation!$A$14:$L$18,11,FALSE)/2,IF($H176&lt;M$2,VLOOKUP($G176,Depreciation!$A$14:$L$18,11,FALSE),0))</f>
        <v>3.343407856743718E-2</v>
      </c>
      <c r="N176" s="306">
        <f>+IF($H176=N$2,VLOOKUP($G176,Depreciation!$A$14:$L$18,12,FALSE)/2,IF($H176&lt;N$2,VLOOKUP($G176,Depreciation!$A$14:$L$18,12,FALSE),0))</f>
        <v>3.343407856743718E-2</v>
      </c>
      <c r="O176" s="307">
        <f t="shared" si="17"/>
        <v>52404171.096193239</v>
      </c>
      <c r="P176" s="732">
        <f>'Func Future Subs 2015'!P176</f>
        <v>0</v>
      </c>
      <c r="Q176" s="732">
        <f>'Func Future Subs 2015'!Q176</f>
        <v>0</v>
      </c>
      <c r="R176" s="732">
        <f>'Func Future Subs 2015'!R176</f>
        <v>1</v>
      </c>
      <c r="S176" s="735">
        <f t="shared" si="18"/>
        <v>0</v>
      </c>
      <c r="T176" s="735">
        <f t="shared" si="19"/>
        <v>0</v>
      </c>
      <c r="U176" s="735">
        <f t="shared" si="20"/>
        <v>52404171.096193239</v>
      </c>
      <c r="V176" s="736">
        <f t="shared" si="21"/>
        <v>52404171.096193239</v>
      </c>
      <c r="W176" s="735">
        <f t="shared" si="22"/>
        <v>0</v>
      </c>
      <c r="X176" s="737">
        <f t="shared" si="23"/>
        <v>0</v>
      </c>
      <c r="Y176" s="738">
        <f t="shared" si="24"/>
        <v>0</v>
      </c>
    </row>
    <row r="177" spans="1:25">
      <c r="A177" s="754" t="str">
        <f>'Func Future Subs 2015'!A177</f>
        <v>Crossings 511S Substation</v>
      </c>
      <c r="B177" s="754">
        <f>'Func Future Subs 2015'!B177</f>
        <v>737</v>
      </c>
      <c r="C177" s="754">
        <f>'Func Future Subs 2015'!C177</f>
        <v>500</v>
      </c>
      <c r="D177" s="754">
        <f>'Func Future Subs 2015'!D177</f>
        <v>240</v>
      </c>
      <c r="E177" s="754" t="str">
        <f>'Func Future Subs 2015'!E177</f>
        <v>511S</v>
      </c>
      <c r="F177" s="754">
        <f>'Func Future Subs 2015'!F177</f>
        <v>248522285.09999999</v>
      </c>
      <c r="G177" s="754" t="str">
        <f>'Func Future Subs 2015'!G177</f>
        <v>AltaLink</v>
      </c>
      <c r="H177" s="754">
        <f>'Func Future Subs 2015'!H177</f>
        <v>2015</v>
      </c>
      <c r="I177" s="306">
        <f>+IF($H177=I$2,VLOOKUP($G177,Depreciation!$A$14:$L$18,7,FALSE)/2,IF($H177&lt;I$2,VLOOKUP($G177,Depreciation!$A$14:$L$18,7,FALSE),0))</f>
        <v>1.7228380322441735E-2</v>
      </c>
      <c r="J177" s="306">
        <f>+IF($H177=J$2,VLOOKUP($G177,Depreciation!$A$14:$L$18,8,FALSE)/2,IF($H177&lt;J$2,VLOOKUP($G177,Depreciation!$A$14:$L$18,8,FALSE),0))</f>
        <v>3.343407856743718E-2</v>
      </c>
      <c r="K177" s="306">
        <f>+IF($H177=K$2,VLOOKUP($G177,Depreciation!$A$14:$L$18,9,FALSE)/2,IF($H177&lt;K$2,VLOOKUP($G177,Depreciation!$A$14:$L$18,9,FALSE),0))</f>
        <v>3.343407856743718E-2</v>
      </c>
      <c r="L177" s="306">
        <f>+IF($H177=L$2,VLOOKUP($G177,Depreciation!$A$14:$L$18,10,FALSE)/2,IF($H177&lt;L$2,VLOOKUP($G177,Depreciation!$A$14:$L$18,10,FALSE),0))</f>
        <v>3.343407856743718E-2</v>
      </c>
      <c r="M177" s="306">
        <f>+IF($H177=M$2,VLOOKUP($G177,Depreciation!$A$14:$L$18,11,FALSE)/2,IF($H177&lt;M$2,VLOOKUP($G177,Depreciation!$A$14:$L$18,11,FALSE),0))</f>
        <v>3.343407856743718E-2</v>
      </c>
      <c r="N177" s="306">
        <f>+IF($H177=N$2,VLOOKUP($G177,Depreciation!$A$14:$L$18,12,FALSE)/2,IF($H177&lt;N$2,VLOOKUP($G177,Depreciation!$A$14:$L$18,12,FALSE),0))</f>
        <v>3.343407856743718E-2</v>
      </c>
      <c r="O177" s="307">
        <f t="shared" si="17"/>
        <v>220552701.47459486</v>
      </c>
      <c r="P177" s="732">
        <f>'Func Future Subs 2015'!P177</f>
        <v>0</v>
      </c>
      <c r="Q177" s="732">
        <f>'Func Future Subs 2015'!Q177</f>
        <v>0</v>
      </c>
      <c r="R177" s="732">
        <f>'Func Future Subs 2015'!R177</f>
        <v>1</v>
      </c>
      <c r="S177" s="735">
        <f t="shared" si="18"/>
        <v>0</v>
      </c>
      <c r="T177" s="735">
        <f t="shared" si="19"/>
        <v>0</v>
      </c>
      <c r="U177" s="735">
        <f t="shared" si="20"/>
        <v>220552701.47459486</v>
      </c>
      <c r="V177" s="736">
        <f t="shared" si="21"/>
        <v>0</v>
      </c>
      <c r="W177" s="735">
        <f t="shared" si="22"/>
        <v>220552701.47459486</v>
      </c>
      <c r="X177" s="737">
        <f t="shared" si="23"/>
        <v>0</v>
      </c>
      <c r="Y177" s="738">
        <f t="shared" si="24"/>
        <v>0</v>
      </c>
    </row>
    <row r="178" spans="1:25">
      <c r="A178" s="754" t="str">
        <f>'Func Future Subs 2015'!A178</f>
        <v>Genesee 330P 962</v>
      </c>
      <c r="B178" s="754">
        <f>'Func Future Subs 2015'!B178</f>
        <v>737</v>
      </c>
      <c r="C178" s="754">
        <f>'Func Future Subs 2015'!C178</f>
        <v>500</v>
      </c>
      <c r="D178" s="754">
        <f>'Func Future Subs 2015'!D178</f>
        <v>240</v>
      </c>
      <c r="E178" s="754" t="str">
        <f>'Func Future Subs 2015'!E178</f>
        <v>330P</v>
      </c>
      <c r="F178" s="754">
        <f>'Func Future Subs 2015'!F178</f>
        <v>418379.53308123141</v>
      </c>
      <c r="G178" s="754" t="str">
        <f>'Func Future Subs 2015'!G178</f>
        <v>EPCOR</v>
      </c>
      <c r="H178" s="754">
        <f>'Func Future Subs 2015'!H178</f>
        <v>2015</v>
      </c>
      <c r="I178" s="306">
        <f>+IF($H178=I$2,VLOOKUP($G178,Depreciation!$A$14:$L$18,7,FALSE)/2,IF($H178&lt;I$2,VLOOKUP($G178,Depreciation!$A$14:$L$18,7,FALSE),0))</f>
        <v>2.0607513622398654E-2</v>
      </c>
      <c r="J178" s="306">
        <f>+IF($H178=J$2,VLOOKUP($G178,Depreciation!$A$14:$L$18,8,FALSE)/2,IF($H178&lt;J$2,VLOOKUP($G178,Depreciation!$A$14:$L$18,8,FALSE),0))</f>
        <v>4.1600055599844914E-2</v>
      </c>
      <c r="K178" s="306">
        <f>+IF($H178=K$2,VLOOKUP($G178,Depreciation!$A$14:$L$18,9,FALSE)/2,IF($H178&lt;K$2,VLOOKUP($G178,Depreciation!$A$14:$L$18,9,FALSE),0))</f>
        <v>4.1145263498658789E-2</v>
      </c>
      <c r="L178" s="306">
        <f>+IF($H178=L$2,VLOOKUP($G178,Depreciation!$A$14:$L$18,10,FALSE)/2,IF($H178&lt;L$2,VLOOKUP($G178,Depreciation!$A$14:$L$18,10,FALSE),0))</f>
        <v>4.1145263498658789E-2</v>
      </c>
      <c r="M178" s="306">
        <f>+IF($H178=M$2,VLOOKUP($G178,Depreciation!$A$14:$L$18,11,FALSE)/2,IF($H178&lt;M$2,VLOOKUP($G178,Depreciation!$A$14:$L$18,11,FALSE),0))</f>
        <v>4.1145263498658789E-2</v>
      </c>
      <c r="N178" s="306">
        <f>+IF($H178=N$2,VLOOKUP($G178,Depreciation!$A$14:$L$18,12,FALSE)/2,IF($H178&lt;N$2,VLOOKUP($G178,Depreciation!$A$14:$L$18,12,FALSE),0))</f>
        <v>4.1145263498658789E-2</v>
      </c>
      <c r="O178" s="307">
        <f t="shared" si="17"/>
        <v>361060.19674026361</v>
      </c>
      <c r="P178" s="732">
        <f>'Func Future Subs 2015'!P178</f>
        <v>0</v>
      </c>
      <c r="Q178" s="732">
        <f>'Func Future Subs 2015'!Q178</f>
        <v>0</v>
      </c>
      <c r="R178" s="732">
        <f>'Func Future Subs 2015'!R178</f>
        <v>1</v>
      </c>
      <c r="S178" s="735">
        <f t="shared" si="18"/>
        <v>0</v>
      </c>
      <c r="T178" s="735">
        <f t="shared" si="19"/>
        <v>0</v>
      </c>
      <c r="U178" s="735">
        <f t="shared" si="20"/>
        <v>361060.19674026361</v>
      </c>
      <c r="V178" s="736">
        <f t="shared" si="21"/>
        <v>0</v>
      </c>
      <c r="W178" s="735">
        <f t="shared" si="22"/>
        <v>361060.19674026361</v>
      </c>
      <c r="X178" s="737">
        <f t="shared" si="23"/>
        <v>0</v>
      </c>
      <c r="Y178" s="738">
        <f t="shared" si="24"/>
        <v>0</v>
      </c>
    </row>
    <row r="179" spans="1:25">
      <c r="A179" s="754" t="str">
        <f>'Func Future Subs 2015'!A179</f>
        <v>Langdon 102S Substation</v>
      </c>
      <c r="B179" s="754">
        <f>'Func Future Subs 2015'!B179</f>
        <v>737</v>
      </c>
      <c r="C179" s="754">
        <f>'Func Future Subs 2015'!C179</f>
        <v>240</v>
      </c>
      <c r="D179" s="754">
        <f>'Func Future Subs 2015'!D179</f>
        <v>240</v>
      </c>
      <c r="E179" s="754" t="str">
        <f>'Func Future Subs 2015'!E179</f>
        <v>102S</v>
      </c>
      <c r="F179" s="754">
        <f>'Func Future Subs 2015'!F179</f>
        <v>61400098.23974175</v>
      </c>
      <c r="G179" s="754" t="str">
        <f>'Func Future Subs 2015'!G179</f>
        <v>AltaLink</v>
      </c>
      <c r="H179" s="754">
        <f>'Func Future Subs 2015'!H179</f>
        <v>2015</v>
      </c>
      <c r="I179" s="306">
        <f>+IF($H179=I$2,VLOOKUP($G179,Depreciation!$A$14:$L$18,7,FALSE)/2,IF($H179&lt;I$2,VLOOKUP($G179,Depreciation!$A$14:$L$18,7,FALSE),0))</f>
        <v>1.7228380322441735E-2</v>
      </c>
      <c r="J179" s="306">
        <f>+IF($H179=J$2,VLOOKUP($G179,Depreciation!$A$14:$L$18,8,FALSE)/2,IF($H179&lt;J$2,VLOOKUP($G179,Depreciation!$A$14:$L$18,8,FALSE),0))</f>
        <v>3.343407856743718E-2</v>
      </c>
      <c r="K179" s="306">
        <f>+IF($H179=K$2,VLOOKUP($G179,Depreciation!$A$14:$L$18,9,FALSE)/2,IF($H179&lt;K$2,VLOOKUP($G179,Depreciation!$A$14:$L$18,9,FALSE),0))</f>
        <v>3.343407856743718E-2</v>
      </c>
      <c r="L179" s="306">
        <f>+IF($H179=L$2,VLOOKUP($G179,Depreciation!$A$14:$L$18,10,FALSE)/2,IF($H179&lt;L$2,VLOOKUP($G179,Depreciation!$A$14:$L$18,10,FALSE),0))</f>
        <v>3.343407856743718E-2</v>
      </c>
      <c r="M179" s="306">
        <f>+IF($H179=M$2,VLOOKUP($G179,Depreciation!$A$14:$L$18,11,FALSE)/2,IF($H179&lt;M$2,VLOOKUP($G179,Depreciation!$A$14:$L$18,11,FALSE),0))</f>
        <v>3.343407856743718E-2</v>
      </c>
      <c r="N179" s="306">
        <f>+IF($H179=N$2,VLOOKUP($G179,Depreciation!$A$14:$L$18,12,FALSE)/2,IF($H179&lt;N$2,VLOOKUP($G179,Depreciation!$A$14:$L$18,12,FALSE),0))</f>
        <v>3.343407856743718E-2</v>
      </c>
      <c r="O179" s="307">
        <f t="shared" si="17"/>
        <v>54489912.371969245</v>
      </c>
      <c r="P179" s="732">
        <f>'Func Future Subs 2015'!P179</f>
        <v>0</v>
      </c>
      <c r="Q179" s="732">
        <f>'Func Future Subs 2015'!Q179</f>
        <v>0</v>
      </c>
      <c r="R179" s="732">
        <f>'Func Future Subs 2015'!R179</f>
        <v>1</v>
      </c>
      <c r="S179" s="735">
        <f t="shared" si="18"/>
        <v>0</v>
      </c>
      <c r="T179" s="735">
        <f t="shared" si="19"/>
        <v>0</v>
      </c>
      <c r="U179" s="735">
        <f t="shared" si="20"/>
        <v>54489912.371969245</v>
      </c>
      <c r="V179" s="736">
        <f t="shared" si="21"/>
        <v>0</v>
      </c>
      <c r="W179" s="735">
        <f t="shared" si="22"/>
        <v>54489912.371969245</v>
      </c>
      <c r="X179" s="737">
        <f t="shared" si="23"/>
        <v>0</v>
      </c>
      <c r="Y179" s="738">
        <f t="shared" si="24"/>
        <v>0</v>
      </c>
    </row>
    <row r="180" spans="1:25">
      <c r="A180" s="754" t="str">
        <f>'Func Future Subs 2015'!A180</f>
        <v>Milo 356S_180</v>
      </c>
      <c r="B180" s="754">
        <f>'Func Future Subs 2015'!B180</f>
        <v>737</v>
      </c>
      <c r="C180" s="754">
        <f>'Func Future Subs 2015'!C180</f>
        <v>240</v>
      </c>
      <c r="D180" s="754">
        <f>'Func Future Subs 2015'!D180</f>
        <v>240</v>
      </c>
      <c r="E180" s="754" t="str">
        <f>'Func Future Subs 2015'!E180</f>
        <v>356S</v>
      </c>
      <c r="F180" s="754">
        <f>'Func Future Subs 2015'!F180</f>
        <v>403965.62500399671</v>
      </c>
      <c r="G180" s="754" t="str">
        <f>'Func Future Subs 2015'!G180</f>
        <v>AltaLink</v>
      </c>
      <c r="H180" s="754">
        <f>'Func Future Subs 2015'!H180</f>
        <v>2015</v>
      </c>
      <c r="I180" s="306">
        <f>+IF($H180=I$2,VLOOKUP($G180,Depreciation!$A$14:$L$18,7,FALSE)/2,IF($H180&lt;I$2,VLOOKUP($G180,Depreciation!$A$14:$L$18,7,FALSE),0))</f>
        <v>1.7228380322441735E-2</v>
      </c>
      <c r="J180" s="306">
        <f>+IF($H180=J$2,VLOOKUP($G180,Depreciation!$A$14:$L$18,8,FALSE)/2,IF($H180&lt;J$2,VLOOKUP($G180,Depreciation!$A$14:$L$18,8,FALSE),0))</f>
        <v>3.343407856743718E-2</v>
      </c>
      <c r="K180" s="306">
        <f>+IF($H180=K$2,VLOOKUP($G180,Depreciation!$A$14:$L$18,9,FALSE)/2,IF($H180&lt;K$2,VLOOKUP($G180,Depreciation!$A$14:$L$18,9,FALSE),0))</f>
        <v>3.343407856743718E-2</v>
      </c>
      <c r="L180" s="306">
        <f>+IF($H180=L$2,VLOOKUP($G180,Depreciation!$A$14:$L$18,10,FALSE)/2,IF($H180&lt;L$2,VLOOKUP($G180,Depreciation!$A$14:$L$18,10,FALSE),0))</f>
        <v>3.343407856743718E-2</v>
      </c>
      <c r="M180" s="306">
        <f>+IF($H180=M$2,VLOOKUP($G180,Depreciation!$A$14:$L$18,11,FALSE)/2,IF($H180&lt;M$2,VLOOKUP($G180,Depreciation!$A$14:$L$18,11,FALSE),0))</f>
        <v>3.343407856743718E-2</v>
      </c>
      <c r="N180" s="306">
        <f>+IF($H180=N$2,VLOOKUP($G180,Depreciation!$A$14:$L$18,12,FALSE)/2,IF($H180&lt;N$2,VLOOKUP($G180,Depreciation!$A$14:$L$18,12,FALSE),0))</f>
        <v>3.343407856743718E-2</v>
      </c>
      <c r="O180" s="307">
        <f t="shared" si="17"/>
        <v>358501.89395149995</v>
      </c>
      <c r="P180" s="732">
        <f>'Func Future Subs 2015'!P180</f>
        <v>0</v>
      </c>
      <c r="Q180" s="732">
        <f>'Func Future Subs 2015'!Q180</f>
        <v>0</v>
      </c>
      <c r="R180" s="732">
        <f>'Func Future Subs 2015'!R180</f>
        <v>1</v>
      </c>
      <c r="S180" s="735">
        <f t="shared" si="18"/>
        <v>0</v>
      </c>
      <c r="T180" s="735">
        <f t="shared" si="19"/>
        <v>0</v>
      </c>
      <c r="U180" s="735">
        <f t="shared" si="20"/>
        <v>358501.89395149995</v>
      </c>
      <c r="V180" s="736">
        <f t="shared" si="21"/>
        <v>0</v>
      </c>
      <c r="W180" s="735">
        <f t="shared" si="22"/>
        <v>358501.89395149995</v>
      </c>
      <c r="X180" s="737">
        <f t="shared" si="23"/>
        <v>0</v>
      </c>
      <c r="Y180" s="738">
        <f t="shared" si="24"/>
        <v>0</v>
      </c>
    </row>
    <row r="181" spans="1:25">
      <c r="A181" s="754" t="str">
        <f>'Func Future Subs 2015'!A181</f>
        <v>RPT1 17S_180</v>
      </c>
      <c r="B181" s="754">
        <f>'Func Future Subs 2015'!B181</f>
        <v>737</v>
      </c>
      <c r="C181" s="754">
        <f>'Func Future Subs 2015'!C181</f>
        <v>240</v>
      </c>
      <c r="D181" s="754">
        <f>'Func Future Subs 2015'!D181</f>
        <v>25</v>
      </c>
      <c r="E181" s="754" t="str">
        <f>'Func Future Subs 2015'!E181</f>
        <v>17S</v>
      </c>
      <c r="F181" s="754">
        <f>'Func Future Subs 2015'!F181</f>
        <v>748276.10411280254</v>
      </c>
      <c r="G181" s="754" t="str">
        <f>'Func Future Subs 2015'!G181</f>
        <v>AltaLink</v>
      </c>
      <c r="H181" s="754">
        <f>'Func Future Subs 2015'!H181</f>
        <v>2015</v>
      </c>
      <c r="I181" s="306">
        <f>+IF($H181=I$2,VLOOKUP($G181,Depreciation!$A$14:$L$18,7,FALSE)/2,IF($H181&lt;I$2,VLOOKUP($G181,Depreciation!$A$14:$L$18,7,FALSE),0))</f>
        <v>1.7228380322441735E-2</v>
      </c>
      <c r="J181" s="306">
        <f>+IF($H181=J$2,VLOOKUP($G181,Depreciation!$A$14:$L$18,8,FALSE)/2,IF($H181&lt;J$2,VLOOKUP($G181,Depreciation!$A$14:$L$18,8,FALSE),0))</f>
        <v>3.343407856743718E-2</v>
      </c>
      <c r="K181" s="306">
        <f>+IF($H181=K$2,VLOOKUP($G181,Depreciation!$A$14:$L$18,9,FALSE)/2,IF($H181&lt;K$2,VLOOKUP($G181,Depreciation!$A$14:$L$18,9,FALSE),0))</f>
        <v>3.343407856743718E-2</v>
      </c>
      <c r="L181" s="306">
        <f>+IF($H181=L$2,VLOOKUP($G181,Depreciation!$A$14:$L$18,10,FALSE)/2,IF($H181&lt;L$2,VLOOKUP($G181,Depreciation!$A$14:$L$18,10,FALSE),0))</f>
        <v>3.343407856743718E-2</v>
      </c>
      <c r="M181" s="306">
        <f>+IF($H181=M$2,VLOOKUP($G181,Depreciation!$A$14:$L$18,11,FALSE)/2,IF($H181&lt;M$2,VLOOKUP($G181,Depreciation!$A$14:$L$18,11,FALSE),0))</f>
        <v>3.343407856743718E-2</v>
      </c>
      <c r="N181" s="306">
        <f>+IF($H181=N$2,VLOOKUP($G181,Depreciation!$A$14:$L$18,12,FALSE)/2,IF($H181&lt;N$2,VLOOKUP($G181,Depreciation!$A$14:$L$18,12,FALSE),0))</f>
        <v>3.343407856743718E-2</v>
      </c>
      <c r="O181" s="307">
        <f t="shared" si="17"/>
        <v>664062.44472022925</v>
      </c>
      <c r="P181" s="732">
        <f>'Func Future Subs 2015'!P181</f>
        <v>0</v>
      </c>
      <c r="Q181" s="732">
        <f>'Func Future Subs 2015'!Q181</f>
        <v>1</v>
      </c>
      <c r="R181" s="732">
        <f>'Func Future Subs 2015'!R181</f>
        <v>0</v>
      </c>
      <c r="S181" s="735">
        <f t="shared" si="18"/>
        <v>0</v>
      </c>
      <c r="T181" s="735">
        <f t="shared" si="19"/>
        <v>664062.44472022925</v>
      </c>
      <c r="U181" s="735">
        <f t="shared" si="20"/>
        <v>0</v>
      </c>
      <c r="V181" s="736">
        <f t="shared" si="21"/>
        <v>0</v>
      </c>
      <c r="W181" s="735">
        <f t="shared" si="22"/>
        <v>0</v>
      </c>
      <c r="X181" s="737">
        <f t="shared" si="23"/>
        <v>0</v>
      </c>
      <c r="Y181" s="738">
        <f t="shared" si="24"/>
        <v>664062.44472022925</v>
      </c>
    </row>
    <row r="182" spans="1:25">
      <c r="A182" s="754" t="str">
        <f>'Func Future Subs 2015'!A182</f>
        <v>RPT2- Jackville_180</v>
      </c>
      <c r="B182" s="754">
        <f>'Func Future Subs 2015'!B182</f>
        <v>737</v>
      </c>
      <c r="C182" s="754">
        <f>'Func Future Subs 2015'!C182</f>
        <v>240</v>
      </c>
      <c r="D182" s="754">
        <f>'Func Future Subs 2015'!D182</f>
        <v>0</v>
      </c>
      <c r="E182" s="754">
        <f>'Func Future Subs 2015'!E182</f>
        <v>0</v>
      </c>
      <c r="F182" s="754">
        <f>'Func Future Subs 2015'!F182</f>
        <v>440477.54930957168</v>
      </c>
      <c r="G182" s="754" t="str">
        <f>'Func Future Subs 2015'!G182</f>
        <v>AltaLink</v>
      </c>
      <c r="H182" s="754">
        <f>'Func Future Subs 2015'!H182</f>
        <v>2015</v>
      </c>
      <c r="I182" s="306">
        <f>+IF($H182=I$2,VLOOKUP($G182,Depreciation!$A$14:$L$18,7,FALSE)/2,IF($H182&lt;I$2,VLOOKUP($G182,Depreciation!$A$14:$L$18,7,FALSE),0))</f>
        <v>1.7228380322441735E-2</v>
      </c>
      <c r="J182" s="306">
        <f>+IF($H182=J$2,VLOOKUP($G182,Depreciation!$A$14:$L$18,8,FALSE)/2,IF($H182&lt;J$2,VLOOKUP($G182,Depreciation!$A$14:$L$18,8,FALSE),0))</f>
        <v>3.343407856743718E-2</v>
      </c>
      <c r="K182" s="306">
        <f>+IF($H182=K$2,VLOOKUP($G182,Depreciation!$A$14:$L$18,9,FALSE)/2,IF($H182&lt;K$2,VLOOKUP($G182,Depreciation!$A$14:$L$18,9,FALSE),0))</f>
        <v>3.343407856743718E-2</v>
      </c>
      <c r="L182" s="306">
        <f>+IF($H182=L$2,VLOOKUP($G182,Depreciation!$A$14:$L$18,10,FALSE)/2,IF($H182&lt;L$2,VLOOKUP($G182,Depreciation!$A$14:$L$18,10,FALSE),0))</f>
        <v>3.343407856743718E-2</v>
      </c>
      <c r="M182" s="306">
        <f>+IF($H182=M$2,VLOOKUP($G182,Depreciation!$A$14:$L$18,11,FALSE)/2,IF($H182&lt;M$2,VLOOKUP($G182,Depreciation!$A$14:$L$18,11,FALSE),0))</f>
        <v>3.343407856743718E-2</v>
      </c>
      <c r="N182" s="306">
        <f>+IF($H182=N$2,VLOOKUP($G182,Depreciation!$A$14:$L$18,12,FALSE)/2,IF($H182&lt;N$2,VLOOKUP($G182,Depreciation!$A$14:$L$18,12,FALSE),0))</f>
        <v>3.343407856743718E-2</v>
      </c>
      <c r="O182" s="307">
        <f t="shared" si="17"/>
        <v>390904.63617797749</v>
      </c>
      <c r="P182" s="732">
        <f>'Func Future Subs 2015'!P182</f>
        <v>0</v>
      </c>
      <c r="Q182" s="732">
        <f>'Func Future Subs 2015'!Q182</f>
        <v>0</v>
      </c>
      <c r="R182" s="732">
        <f>'Func Future Subs 2015'!R182</f>
        <v>1</v>
      </c>
      <c r="S182" s="735">
        <f t="shared" si="18"/>
        <v>0</v>
      </c>
      <c r="T182" s="735">
        <f t="shared" si="19"/>
        <v>0</v>
      </c>
      <c r="U182" s="735">
        <f t="shared" si="20"/>
        <v>390904.63617797749</v>
      </c>
      <c r="V182" s="736">
        <f t="shared" si="21"/>
        <v>390904.63617797749</v>
      </c>
      <c r="W182" s="735">
        <f t="shared" si="22"/>
        <v>0</v>
      </c>
      <c r="X182" s="737">
        <f t="shared" si="23"/>
        <v>0</v>
      </c>
      <c r="Y182" s="738">
        <f t="shared" si="24"/>
        <v>0</v>
      </c>
    </row>
    <row r="183" spans="1:25">
      <c r="A183" s="754" t="str">
        <f>'Func Future Subs 2015'!A183</f>
        <v>RPT3- Knob Hill_180</v>
      </c>
      <c r="B183" s="754">
        <f>'Func Future Subs 2015'!B183</f>
        <v>737</v>
      </c>
      <c r="C183" s="754">
        <f>'Func Future Subs 2015'!C183</f>
        <v>240</v>
      </c>
      <c r="D183" s="754">
        <f>'Func Future Subs 2015'!D183</f>
        <v>0</v>
      </c>
      <c r="E183" s="754">
        <f>'Func Future Subs 2015'!E183</f>
        <v>0</v>
      </c>
      <c r="F183" s="754">
        <f>'Func Future Subs 2015'!F183</f>
        <v>413456.98863797617</v>
      </c>
      <c r="G183" s="754" t="str">
        <f>'Func Future Subs 2015'!G183</f>
        <v>AltaLink</v>
      </c>
      <c r="H183" s="754">
        <f>'Func Future Subs 2015'!H183</f>
        <v>2015</v>
      </c>
      <c r="I183" s="306">
        <f>+IF($H183=I$2,VLOOKUP($G183,Depreciation!$A$14:$L$18,7,FALSE)/2,IF($H183&lt;I$2,VLOOKUP($G183,Depreciation!$A$14:$L$18,7,FALSE),0))</f>
        <v>1.7228380322441735E-2</v>
      </c>
      <c r="J183" s="306">
        <f>+IF($H183=J$2,VLOOKUP($G183,Depreciation!$A$14:$L$18,8,FALSE)/2,IF($H183&lt;J$2,VLOOKUP($G183,Depreciation!$A$14:$L$18,8,FALSE),0))</f>
        <v>3.343407856743718E-2</v>
      </c>
      <c r="K183" s="306">
        <f>+IF($H183=K$2,VLOOKUP($G183,Depreciation!$A$14:$L$18,9,FALSE)/2,IF($H183&lt;K$2,VLOOKUP($G183,Depreciation!$A$14:$L$18,9,FALSE),0))</f>
        <v>3.343407856743718E-2</v>
      </c>
      <c r="L183" s="306">
        <f>+IF($H183=L$2,VLOOKUP($G183,Depreciation!$A$14:$L$18,10,FALSE)/2,IF($H183&lt;L$2,VLOOKUP($G183,Depreciation!$A$14:$L$18,10,FALSE),0))</f>
        <v>3.343407856743718E-2</v>
      </c>
      <c r="M183" s="306">
        <f>+IF($H183=M$2,VLOOKUP($G183,Depreciation!$A$14:$L$18,11,FALSE)/2,IF($H183&lt;M$2,VLOOKUP($G183,Depreciation!$A$14:$L$18,11,FALSE),0))</f>
        <v>3.343407856743718E-2</v>
      </c>
      <c r="N183" s="306">
        <f>+IF($H183=N$2,VLOOKUP($G183,Depreciation!$A$14:$L$18,12,FALSE)/2,IF($H183&lt;N$2,VLOOKUP($G183,Depreciation!$A$14:$L$18,12,FALSE),0))</f>
        <v>3.343407856743718E-2</v>
      </c>
      <c r="O183" s="307">
        <f t="shared" si="17"/>
        <v>366925.06569768587</v>
      </c>
      <c r="P183" s="732">
        <f>'Func Future Subs 2015'!P183</f>
        <v>0</v>
      </c>
      <c r="Q183" s="732">
        <f>'Func Future Subs 2015'!Q183</f>
        <v>0</v>
      </c>
      <c r="R183" s="732">
        <f>'Func Future Subs 2015'!R183</f>
        <v>1</v>
      </c>
      <c r="S183" s="735">
        <f t="shared" si="18"/>
        <v>0</v>
      </c>
      <c r="T183" s="735">
        <f t="shared" si="19"/>
        <v>0</v>
      </c>
      <c r="U183" s="735">
        <f t="shared" si="20"/>
        <v>366925.06569768587</v>
      </c>
      <c r="V183" s="736">
        <f t="shared" si="21"/>
        <v>366925.06569768587</v>
      </c>
      <c r="W183" s="735">
        <f t="shared" si="22"/>
        <v>0</v>
      </c>
      <c r="X183" s="737">
        <f t="shared" si="23"/>
        <v>0</v>
      </c>
      <c r="Y183" s="738">
        <f t="shared" si="24"/>
        <v>0</v>
      </c>
    </row>
    <row r="184" spans="1:25">
      <c r="A184" s="754" t="str">
        <f>'Func Future Subs 2015'!A184</f>
        <v>Sunnybrook 510S Substation</v>
      </c>
      <c r="B184" s="754">
        <f>'Func Future Subs 2015'!B184</f>
        <v>737</v>
      </c>
      <c r="C184" s="754">
        <f>'Func Future Subs 2015'!C184</f>
        <v>500</v>
      </c>
      <c r="D184" s="754">
        <f>'Func Future Subs 2015'!D184</f>
        <v>500</v>
      </c>
      <c r="E184" s="754" t="str">
        <f>'Func Future Subs 2015'!E184</f>
        <v>510S</v>
      </c>
      <c r="F184" s="754">
        <f>'Func Future Subs 2015'!F184</f>
        <v>355813227.30000001</v>
      </c>
      <c r="G184" s="754" t="str">
        <f>'Func Future Subs 2015'!G184</f>
        <v>AltaLink</v>
      </c>
      <c r="H184" s="754">
        <f>'Func Future Subs 2015'!H184</f>
        <v>2015</v>
      </c>
      <c r="I184" s="306">
        <f>+IF($H184=I$2,VLOOKUP($G184,Depreciation!$A$14:$L$18,7,FALSE)/2,IF($H184&lt;I$2,VLOOKUP($G184,Depreciation!$A$14:$L$18,7,FALSE),0))</f>
        <v>1.7228380322441735E-2</v>
      </c>
      <c r="J184" s="306">
        <f>+IF($H184=J$2,VLOOKUP($G184,Depreciation!$A$14:$L$18,8,FALSE)/2,IF($H184&lt;J$2,VLOOKUP($G184,Depreciation!$A$14:$L$18,8,FALSE),0))</f>
        <v>3.343407856743718E-2</v>
      </c>
      <c r="K184" s="306">
        <f>+IF($H184=K$2,VLOOKUP($G184,Depreciation!$A$14:$L$18,9,FALSE)/2,IF($H184&lt;K$2,VLOOKUP($G184,Depreciation!$A$14:$L$18,9,FALSE),0))</f>
        <v>3.343407856743718E-2</v>
      </c>
      <c r="L184" s="306">
        <f>+IF($H184=L$2,VLOOKUP($G184,Depreciation!$A$14:$L$18,10,FALSE)/2,IF($H184&lt;L$2,VLOOKUP($G184,Depreciation!$A$14:$L$18,10,FALSE),0))</f>
        <v>3.343407856743718E-2</v>
      </c>
      <c r="M184" s="306">
        <f>+IF($H184=M$2,VLOOKUP($G184,Depreciation!$A$14:$L$18,11,FALSE)/2,IF($H184&lt;M$2,VLOOKUP($G184,Depreciation!$A$14:$L$18,11,FALSE),0))</f>
        <v>3.343407856743718E-2</v>
      </c>
      <c r="N184" s="306">
        <f>+IF($H184=N$2,VLOOKUP($G184,Depreciation!$A$14:$L$18,12,FALSE)/2,IF($H184&lt;N$2,VLOOKUP($G184,Depreciation!$A$14:$L$18,12,FALSE),0))</f>
        <v>3.343407856743718E-2</v>
      </c>
      <c r="O184" s="307">
        <f t="shared" si="17"/>
        <v>315768738.68607873</v>
      </c>
      <c r="P184" s="732">
        <f>'Func Future Subs 2015'!P184</f>
        <v>0</v>
      </c>
      <c r="Q184" s="732">
        <f>'Func Future Subs 2015'!Q184</f>
        <v>0</v>
      </c>
      <c r="R184" s="732">
        <f>'Func Future Subs 2015'!R184</f>
        <v>1</v>
      </c>
      <c r="S184" s="735">
        <f t="shared" si="18"/>
        <v>0</v>
      </c>
      <c r="T184" s="735">
        <f t="shared" si="19"/>
        <v>0</v>
      </c>
      <c r="U184" s="735">
        <f t="shared" si="20"/>
        <v>315768738.68607873</v>
      </c>
      <c r="V184" s="736">
        <f t="shared" si="21"/>
        <v>0</v>
      </c>
      <c r="W184" s="735">
        <f t="shared" si="22"/>
        <v>315768738.68607873</v>
      </c>
      <c r="X184" s="737">
        <f t="shared" si="23"/>
        <v>0</v>
      </c>
      <c r="Y184" s="738">
        <f t="shared" si="24"/>
        <v>0</v>
      </c>
    </row>
    <row r="185" spans="1:25">
      <c r="A185" s="754" t="str">
        <f>'Func Future Subs 2015'!A185</f>
        <v>825S Whitefish Lake_v181</v>
      </c>
      <c r="B185" s="754">
        <f>'Func Future Subs 2015'!B185</f>
        <v>1101</v>
      </c>
      <c r="C185" s="754">
        <f>'Func Future Subs 2015'!C185</f>
        <v>240</v>
      </c>
      <c r="D185" s="754">
        <f>'Func Future Subs 2015'!D185</f>
        <v>240</v>
      </c>
      <c r="E185" s="754" t="str">
        <f>'Func Future Subs 2015'!E185</f>
        <v>825S</v>
      </c>
      <c r="F185" s="754">
        <f>'Func Future Subs 2015'!F185</f>
        <v>53066.077171378703</v>
      </c>
      <c r="G185" s="754" t="str">
        <f>'Func Future Subs 2015'!G185</f>
        <v>ATCO</v>
      </c>
      <c r="H185" s="754">
        <f>'Func Future Subs 2015'!H185</f>
        <v>2016</v>
      </c>
      <c r="I185" s="306">
        <f>+IF($H185=I$2,VLOOKUP($G185,Depreciation!$A$14:$L$18,7,FALSE)/2,IF($H185&lt;I$2,VLOOKUP($G185,Depreciation!$A$14:$L$18,7,FALSE),0))</f>
        <v>0</v>
      </c>
      <c r="J185" s="306">
        <f>+IF($H185=J$2,VLOOKUP($G185,Depreciation!$A$14:$L$18,8,FALSE)/2,IF($H185&lt;J$2,VLOOKUP($G185,Depreciation!$A$14:$L$18,8,FALSE),0))</f>
        <v>1.231622525054236E-2</v>
      </c>
      <c r="K185" s="306">
        <f>+IF($H185=K$2,VLOOKUP($G185,Depreciation!$A$14:$L$18,9,FALSE)/2,IF($H185&lt;K$2,VLOOKUP($G185,Depreciation!$A$14:$L$18,9,FALSE),0))</f>
        <v>2.4351536427798831E-2</v>
      </c>
      <c r="L185" s="306">
        <f>+IF($H185=L$2,VLOOKUP($G185,Depreciation!$A$14:$L$18,10,FALSE)/2,IF($H185&lt;L$2,VLOOKUP($G185,Depreciation!$A$14:$L$18,10,FALSE),0))</f>
        <v>2.4351536427798831E-2</v>
      </c>
      <c r="M185" s="306">
        <f>+IF($H185=M$2,VLOOKUP($G185,Depreciation!$A$14:$L$18,11,FALSE)/2,IF($H185&lt;M$2,VLOOKUP($G185,Depreciation!$A$14:$L$18,11,FALSE),0))</f>
        <v>2.4351536427798831E-2</v>
      </c>
      <c r="N185" s="306">
        <f>+IF($H185=N$2,VLOOKUP($G185,Depreciation!$A$14:$L$18,12,FALSE)/2,IF($H185&lt;N$2,VLOOKUP($G185,Depreciation!$A$14:$L$18,12,FALSE),0))</f>
        <v>2.4351536427798831E-2</v>
      </c>
      <c r="O185" s="307">
        <f t="shared" si="17"/>
        <v>49890.933913958303</v>
      </c>
      <c r="P185" s="732">
        <f>'Func Future Subs 2015'!P185</f>
        <v>0</v>
      </c>
      <c r="Q185" s="732">
        <f>'Func Future Subs 2015'!Q185</f>
        <v>0</v>
      </c>
      <c r="R185" s="732">
        <f>'Func Future Subs 2015'!R185</f>
        <v>1</v>
      </c>
      <c r="S185" s="735">
        <f t="shared" si="18"/>
        <v>0</v>
      </c>
      <c r="T185" s="735">
        <f t="shared" si="19"/>
        <v>0</v>
      </c>
      <c r="U185" s="735">
        <f t="shared" si="20"/>
        <v>49890.933913958303</v>
      </c>
      <c r="V185" s="736">
        <f t="shared" si="21"/>
        <v>0</v>
      </c>
      <c r="W185" s="735">
        <f t="shared" si="22"/>
        <v>49890.933913958303</v>
      </c>
      <c r="X185" s="737">
        <f t="shared" si="23"/>
        <v>0</v>
      </c>
      <c r="Y185" s="738">
        <f t="shared" si="24"/>
        <v>0</v>
      </c>
    </row>
    <row r="186" spans="1:25">
      <c r="A186" s="754" t="str">
        <f>'Func Future Subs 2015'!A186</f>
        <v>898S Heart Lake_v181</v>
      </c>
      <c r="B186" s="754">
        <f>'Func Future Subs 2015'!B186</f>
        <v>1101</v>
      </c>
      <c r="C186" s="754">
        <f>'Func Future Subs 2015'!C186</f>
        <v>240</v>
      </c>
      <c r="D186" s="754">
        <f>'Func Future Subs 2015'!D186</f>
        <v>144</v>
      </c>
      <c r="E186" s="754" t="str">
        <f>'Func Future Subs 2015'!E186</f>
        <v>898S</v>
      </c>
      <c r="F186" s="754">
        <f>'Func Future Subs 2015'!F186</f>
        <v>16501631.680569168</v>
      </c>
      <c r="G186" s="754" t="str">
        <f>'Func Future Subs 2015'!G186</f>
        <v>ATCO</v>
      </c>
      <c r="H186" s="754">
        <f>'Func Future Subs 2015'!H186</f>
        <v>2016</v>
      </c>
      <c r="I186" s="306">
        <f>+IF($H186=I$2,VLOOKUP($G186,Depreciation!$A$14:$L$18,7,FALSE)/2,IF($H186&lt;I$2,VLOOKUP($G186,Depreciation!$A$14:$L$18,7,FALSE),0))</f>
        <v>0</v>
      </c>
      <c r="J186" s="306">
        <f>+IF($H186=J$2,VLOOKUP($G186,Depreciation!$A$14:$L$18,8,FALSE)/2,IF($H186&lt;J$2,VLOOKUP($G186,Depreciation!$A$14:$L$18,8,FALSE),0))</f>
        <v>1.231622525054236E-2</v>
      </c>
      <c r="K186" s="306">
        <f>+IF($H186=K$2,VLOOKUP($G186,Depreciation!$A$14:$L$18,9,FALSE)/2,IF($H186&lt;K$2,VLOOKUP($G186,Depreciation!$A$14:$L$18,9,FALSE),0))</f>
        <v>2.4351536427798831E-2</v>
      </c>
      <c r="L186" s="306">
        <f>+IF($H186=L$2,VLOOKUP($G186,Depreciation!$A$14:$L$18,10,FALSE)/2,IF($H186&lt;L$2,VLOOKUP($G186,Depreciation!$A$14:$L$18,10,FALSE),0))</f>
        <v>2.4351536427798831E-2</v>
      </c>
      <c r="M186" s="306">
        <f>+IF($H186=M$2,VLOOKUP($G186,Depreciation!$A$14:$L$18,11,FALSE)/2,IF($H186&lt;M$2,VLOOKUP($G186,Depreciation!$A$14:$L$18,11,FALSE),0))</f>
        <v>2.4351536427798831E-2</v>
      </c>
      <c r="N186" s="306">
        <f>+IF($H186=N$2,VLOOKUP($G186,Depreciation!$A$14:$L$18,12,FALSE)/2,IF($H186&lt;N$2,VLOOKUP($G186,Depreciation!$A$14:$L$18,12,FALSE),0))</f>
        <v>2.4351536427798831E-2</v>
      </c>
      <c r="O186" s="307">
        <f t="shared" si="17"/>
        <v>15514276.907805722</v>
      </c>
      <c r="P186" s="732">
        <f>'Func Future Subs 2015'!P186</f>
        <v>0</v>
      </c>
      <c r="Q186" s="732">
        <f>'Func Future Subs 2015'!Q186</f>
        <v>0</v>
      </c>
      <c r="R186" s="732">
        <f>'Func Future Subs 2015'!R186</f>
        <v>1</v>
      </c>
      <c r="S186" s="735">
        <f t="shared" si="18"/>
        <v>0</v>
      </c>
      <c r="T186" s="735">
        <f t="shared" si="19"/>
        <v>0</v>
      </c>
      <c r="U186" s="735">
        <f t="shared" si="20"/>
        <v>15514276.907805722</v>
      </c>
      <c r="V186" s="736">
        <f t="shared" si="21"/>
        <v>0</v>
      </c>
      <c r="W186" s="735">
        <f t="shared" si="22"/>
        <v>0</v>
      </c>
      <c r="X186" s="737">
        <f t="shared" si="23"/>
        <v>15514276.907805722</v>
      </c>
      <c r="Y186" s="738">
        <f t="shared" si="24"/>
        <v>0</v>
      </c>
    </row>
    <row r="187" spans="1:25">
      <c r="A187" s="754" t="str">
        <f>'Func Future Subs 2015'!A187</f>
        <v>Black Spruce 154S mod 180</v>
      </c>
      <c r="B187" s="754">
        <f>'Func Future Subs 2015'!B187</f>
        <v>1101</v>
      </c>
      <c r="C187" s="754">
        <f>'Func Future Subs 2015'!C187</f>
        <v>240</v>
      </c>
      <c r="D187" s="754">
        <f>'Func Future Subs 2015'!D187</f>
        <v>240</v>
      </c>
      <c r="E187" s="754" t="str">
        <f>'Func Future Subs 2015'!E187</f>
        <v>154S</v>
      </c>
      <c r="F187" s="754">
        <f>'Func Future Subs 2015'!F187</f>
        <v>412500.85892165155</v>
      </c>
      <c r="G187" s="754" t="str">
        <f>'Func Future Subs 2015'!G187</f>
        <v>AltaLink</v>
      </c>
      <c r="H187" s="754">
        <f>'Func Future Subs 2015'!H187</f>
        <v>2016</v>
      </c>
      <c r="I187" s="306">
        <f>+IF($H187=I$2,VLOOKUP($G187,Depreciation!$A$14:$L$18,7,FALSE)/2,IF($H187&lt;I$2,VLOOKUP($G187,Depreciation!$A$14:$L$18,7,FALSE),0))</f>
        <v>0</v>
      </c>
      <c r="J187" s="306">
        <f>+IF($H187=J$2,VLOOKUP($G187,Depreciation!$A$14:$L$18,8,FALSE)/2,IF($H187&lt;J$2,VLOOKUP($G187,Depreciation!$A$14:$L$18,8,FALSE),0))</f>
        <v>1.671703928371859E-2</v>
      </c>
      <c r="K187" s="306">
        <f>+IF($H187=K$2,VLOOKUP($G187,Depreciation!$A$14:$L$18,9,FALSE)/2,IF($H187&lt;K$2,VLOOKUP($G187,Depreciation!$A$14:$L$18,9,FALSE),0))</f>
        <v>3.343407856743718E-2</v>
      </c>
      <c r="L187" s="306">
        <f>+IF($H187=L$2,VLOOKUP($G187,Depreciation!$A$14:$L$18,10,FALSE)/2,IF($H187&lt;L$2,VLOOKUP($G187,Depreciation!$A$14:$L$18,10,FALSE),0))</f>
        <v>3.343407856743718E-2</v>
      </c>
      <c r="M187" s="306">
        <f>+IF($H187=M$2,VLOOKUP($G187,Depreciation!$A$14:$L$18,11,FALSE)/2,IF($H187&lt;M$2,VLOOKUP($G187,Depreciation!$A$14:$L$18,11,FALSE),0))</f>
        <v>3.343407856743718E-2</v>
      </c>
      <c r="N187" s="306">
        <f>+IF($H187=N$2,VLOOKUP($G187,Depreciation!$A$14:$L$18,12,FALSE)/2,IF($H187&lt;N$2,VLOOKUP($G187,Depreciation!$A$14:$L$18,12,FALSE),0))</f>
        <v>3.343407856743718E-2</v>
      </c>
      <c r="O187" s="307">
        <f t="shared" si="17"/>
        <v>378936.40317724663</v>
      </c>
      <c r="P187" s="732">
        <f>'Func Future Subs 2015'!P187</f>
        <v>0</v>
      </c>
      <c r="Q187" s="732">
        <f>'Func Future Subs 2015'!Q187</f>
        <v>0</v>
      </c>
      <c r="R187" s="732">
        <f>'Func Future Subs 2015'!R187</f>
        <v>1</v>
      </c>
      <c r="S187" s="735">
        <f t="shared" si="18"/>
        <v>0</v>
      </c>
      <c r="T187" s="735">
        <f t="shared" si="19"/>
        <v>0</v>
      </c>
      <c r="U187" s="735">
        <f t="shared" si="20"/>
        <v>378936.40317724663</v>
      </c>
      <c r="V187" s="736">
        <f t="shared" si="21"/>
        <v>0</v>
      </c>
      <c r="W187" s="735">
        <f t="shared" si="22"/>
        <v>378936.40317724663</v>
      </c>
      <c r="X187" s="737">
        <f t="shared" si="23"/>
        <v>0</v>
      </c>
      <c r="Y187" s="738">
        <f t="shared" si="24"/>
        <v>0</v>
      </c>
    </row>
    <row r="188" spans="1:25">
      <c r="A188" s="754" t="str">
        <f>'Func Future Subs 2015'!A188</f>
        <v>Black spruce substation 154S180</v>
      </c>
      <c r="B188" s="754">
        <f>'Func Future Subs 2015'!B188</f>
        <v>1101</v>
      </c>
      <c r="C188" s="754">
        <f>'Func Future Subs 2015'!C188</f>
        <v>240</v>
      </c>
      <c r="D188" s="754">
        <f>'Func Future Subs 2015'!D188</f>
        <v>240</v>
      </c>
      <c r="E188" s="754" t="str">
        <f>'Func Future Subs 2015'!E188</f>
        <v>154S</v>
      </c>
      <c r="F188" s="754">
        <f>'Func Future Subs 2015'!F188</f>
        <v>26377454.74440499</v>
      </c>
      <c r="G188" s="754" t="str">
        <f>'Func Future Subs 2015'!G188</f>
        <v>AltaLink</v>
      </c>
      <c r="H188" s="754">
        <f>'Func Future Subs 2015'!H188</f>
        <v>2016</v>
      </c>
      <c r="I188" s="306">
        <f>+IF($H188=I$2,VLOOKUP($G188,Depreciation!$A$14:$L$18,7,FALSE)/2,IF($H188&lt;I$2,VLOOKUP($G188,Depreciation!$A$14:$L$18,7,FALSE),0))</f>
        <v>0</v>
      </c>
      <c r="J188" s="306">
        <f>+IF($H188=J$2,VLOOKUP($G188,Depreciation!$A$14:$L$18,8,FALSE)/2,IF($H188&lt;J$2,VLOOKUP($G188,Depreciation!$A$14:$L$18,8,FALSE),0))</f>
        <v>1.671703928371859E-2</v>
      </c>
      <c r="K188" s="306">
        <f>+IF($H188=K$2,VLOOKUP($G188,Depreciation!$A$14:$L$18,9,FALSE)/2,IF($H188&lt;K$2,VLOOKUP($G188,Depreciation!$A$14:$L$18,9,FALSE),0))</f>
        <v>3.343407856743718E-2</v>
      </c>
      <c r="L188" s="306">
        <f>+IF($H188=L$2,VLOOKUP($G188,Depreciation!$A$14:$L$18,10,FALSE)/2,IF($H188&lt;L$2,VLOOKUP($G188,Depreciation!$A$14:$L$18,10,FALSE),0))</f>
        <v>3.343407856743718E-2</v>
      </c>
      <c r="M188" s="306">
        <f>+IF($H188=M$2,VLOOKUP($G188,Depreciation!$A$14:$L$18,11,FALSE)/2,IF($H188&lt;M$2,VLOOKUP($G188,Depreciation!$A$14:$L$18,11,FALSE),0))</f>
        <v>3.343407856743718E-2</v>
      </c>
      <c r="N188" s="306">
        <f>+IF($H188=N$2,VLOOKUP($G188,Depreciation!$A$14:$L$18,12,FALSE)/2,IF($H188&lt;N$2,VLOOKUP($G188,Depreciation!$A$14:$L$18,12,FALSE),0))</f>
        <v>3.343407856743718E-2</v>
      </c>
      <c r="O188" s="307">
        <f t="shared" si="17"/>
        <v>24231168.516703386</v>
      </c>
      <c r="P188" s="732">
        <f>'Func Future Subs 2015'!P188</f>
        <v>0</v>
      </c>
      <c r="Q188" s="732">
        <f>'Func Future Subs 2015'!Q188</f>
        <v>0</v>
      </c>
      <c r="R188" s="732">
        <f>'Func Future Subs 2015'!R188</f>
        <v>1</v>
      </c>
      <c r="S188" s="735">
        <f t="shared" si="18"/>
        <v>0</v>
      </c>
      <c r="T188" s="735">
        <f t="shared" si="19"/>
        <v>0</v>
      </c>
      <c r="U188" s="735">
        <f t="shared" si="20"/>
        <v>24231168.516703386</v>
      </c>
      <c r="V188" s="736">
        <f t="shared" si="21"/>
        <v>0</v>
      </c>
      <c r="W188" s="735">
        <f t="shared" si="22"/>
        <v>24231168.516703386</v>
      </c>
      <c r="X188" s="737">
        <f t="shared" si="23"/>
        <v>0</v>
      </c>
      <c r="Y188" s="738">
        <f t="shared" si="24"/>
        <v>0</v>
      </c>
    </row>
    <row r="189" spans="1:25">
      <c r="A189" s="754" t="str">
        <f>'Func Future Subs 2015'!A189</f>
        <v>Christina Lake 723S upg 180</v>
      </c>
      <c r="B189" s="754">
        <f>'Func Future Subs 2015'!B189</f>
        <v>1101</v>
      </c>
      <c r="C189" s="754">
        <f>'Func Future Subs 2015'!C189</f>
        <v>240</v>
      </c>
      <c r="D189" s="754">
        <f>'Func Future Subs 2015'!D189</f>
        <v>25</v>
      </c>
      <c r="E189" s="754" t="str">
        <f>'Func Future Subs 2015'!E189</f>
        <v>723S</v>
      </c>
      <c r="F189" s="754">
        <f>'Func Future Subs 2015'!F189</f>
        <v>3002680.4093360943</v>
      </c>
      <c r="G189" s="754" t="str">
        <f>'Func Future Subs 2015'!G189</f>
        <v>AltaLink</v>
      </c>
      <c r="H189" s="754">
        <f>'Func Future Subs 2015'!H189</f>
        <v>2016</v>
      </c>
      <c r="I189" s="306">
        <f>+IF($H189=I$2,VLOOKUP($G189,Depreciation!$A$14:$L$18,7,FALSE)/2,IF($H189&lt;I$2,VLOOKUP($G189,Depreciation!$A$14:$L$18,7,FALSE),0))</f>
        <v>0</v>
      </c>
      <c r="J189" s="306">
        <f>+IF($H189=J$2,VLOOKUP($G189,Depreciation!$A$14:$L$18,8,FALSE)/2,IF($H189&lt;J$2,VLOOKUP($G189,Depreciation!$A$14:$L$18,8,FALSE),0))</f>
        <v>1.671703928371859E-2</v>
      </c>
      <c r="K189" s="306">
        <f>+IF($H189=K$2,VLOOKUP($G189,Depreciation!$A$14:$L$18,9,FALSE)/2,IF($H189&lt;K$2,VLOOKUP($G189,Depreciation!$A$14:$L$18,9,FALSE),0))</f>
        <v>3.343407856743718E-2</v>
      </c>
      <c r="L189" s="306">
        <f>+IF($H189=L$2,VLOOKUP($G189,Depreciation!$A$14:$L$18,10,FALSE)/2,IF($H189&lt;L$2,VLOOKUP($G189,Depreciation!$A$14:$L$18,10,FALSE),0))</f>
        <v>3.343407856743718E-2</v>
      </c>
      <c r="M189" s="306">
        <f>+IF($H189=M$2,VLOOKUP($G189,Depreciation!$A$14:$L$18,11,FALSE)/2,IF($H189&lt;M$2,VLOOKUP($G189,Depreciation!$A$14:$L$18,11,FALSE),0))</f>
        <v>3.343407856743718E-2</v>
      </c>
      <c r="N189" s="306">
        <f>+IF($H189=N$2,VLOOKUP($G189,Depreciation!$A$14:$L$18,12,FALSE)/2,IF($H189&lt;N$2,VLOOKUP($G189,Depreciation!$A$14:$L$18,12,FALSE),0))</f>
        <v>3.343407856743718E-2</v>
      </c>
      <c r="O189" s="307">
        <f t="shared" si="17"/>
        <v>2758357.6848277915</v>
      </c>
      <c r="P189" s="732">
        <f>'Func Future Subs 2015'!P189</f>
        <v>0</v>
      </c>
      <c r="Q189" s="732">
        <f>'Func Future Subs 2015'!Q189</f>
        <v>1</v>
      </c>
      <c r="R189" s="732">
        <f>'Func Future Subs 2015'!R189</f>
        <v>0</v>
      </c>
      <c r="S189" s="735">
        <f t="shared" si="18"/>
        <v>0</v>
      </c>
      <c r="T189" s="735">
        <f t="shared" si="19"/>
        <v>2758357.6848277915</v>
      </c>
      <c r="U189" s="735">
        <f t="shared" si="20"/>
        <v>0</v>
      </c>
      <c r="V189" s="736">
        <f t="shared" si="21"/>
        <v>0</v>
      </c>
      <c r="W189" s="735">
        <f t="shared" si="22"/>
        <v>0</v>
      </c>
      <c r="X189" s="737">
        <f t="shared" si="23"/>
        <v>0</v>
      </c>
      <c r="Y189" s="738">
        <f t="shared" si="24"/>
        <v>2758357.6848277915</v>
      </c>
    </row>
    <row r="190" spans="1:25">
      <c r="A190" s="754" t="str">
        <f>'Func Future Subs 2015'!A190</f>
        <v>Conklin 762S180</v>
      </c>
      <c r="B190" s="754">
        <f>'Func Future Subs 2015'!B190</f>
        <v>1101</v>
      </c>
      <c r="C190" s="754">
        <f>'Func Future Subs 2015'!C190</f>
        <v>240</v>
      </c>
      <c r="D190" s="754">
        <f>'Func Future Subs 2015'!D190</f>
        <v>25</v>
      </c>
      <c r="E190" s="754" t="str">
        <f>'Func Future Subs 2015'!E190</f>
        <v>762S</v>
      </c>
      <c r="F190" s="754">
        <f>'Func Future Subs 2015'!F190</f>
        <v>17282.930052027419</v>
      </c>
      <c r="G190" s="754" t="str">
        <f>'Func Future Subs 2015'!G190</f>
        <v>AltaLink</v>
      </c>
      <c r="H190" s="754">
        <f>'Func Future Subs 2015'!H190</f>
        <v>2016</v>
      </c>
      <c r="I190" s="306">
        <f>+IF($H190=I$2,VLOOKUP($G190,Depreciation!$A$14:$L$18,7,FALSE)/2,IF($H190&lt;I$2,VLOOKUP($G190,Depreciation!$A$14:$L$18,7,FALSE),0))</f>
        <v>0</v>
      </c>
      <c r="J190" s="306">
        <f>+IF($H190=J$2,VLOOKUP($G190,Depreciation!$A$14:$L$18,8,FALSE)/2,IF($H190&lt;J$2,VLOOKUP($G190,Depreciation!$A$14:$L$18,8,FALSE),0))</f>
        <v>1.671703928371859E-2</v>
      </c>
      <c r="K190" s="306">
        <f>+IF($H190=K$2,VLOOKUP($G190,Depreciation!$A$14:$L$18,9,FALSE)/2,IF($H190&lt;K$2,VLOOKUP($G190,Depreciation!$A$14:$L$18,9,FALSE),0))</f>
        <v>3.343407856743718E-2</v>
      </c>
      <c r="L190" s="306">
        <f>+IF($H190=L$2,VLOOKUP($G190,Depreciation!$A$14:$L$18,10,FALSE)/2,IF($H190&lt;L$2,VLOOKUP($G190,Depreciation!$A$14:$L$18,10,FALSE),0))</f>
        <v>3.343407856743718E-2</v>
      </c>
      <c r="M190" s="306">
        <f>+IF($H190=M$2,VLOOKUP($G190,Depreciation!$A$14:$L$18,11,FALSE)/2,IF($H190&lt;M$2,VLOOKUP($G190,Depreciation!$A$14:$L$18,11,FALSE),0))</f>
        <v>3.343407856743718E-2</v>
      </c>
      <c r="N190" s="306">
        <f>+IF($H190=N$2,VLOOKUP($G190,Depreciation!$A$14:$L$18,12,FALSE)/2,IF($H190&lt;N$2,VLOOKUP($G190,Depreciation!$A$14:$L$18,12,FALSE),0))</f>
        <v>3.343407856743718E-2</v>
      </c>
      <c r="O190" s="307">
        <f t="shared" si="17"/>
        <v>15876.649002379714</v>
      </c>
      <c r="P190" s="732">
        <f>'Func Future Subs 2015'!P190</f>
        <v>0.92307692307692313</v>
      </c>
      <c r="Q190" s="732">
        <f>'Func Future Subs 2015'!Q190</f>
        <v>7.6923076923076927E-2</v>
      </c>
      <c r="R190" s="732">
        <f>'Func Future Subs 2015'!R190</f>
        <v>0</v>
      </c>
      <c r="S190" s="735">
        <f t="shared" si="18"/>
        <v>14655.368309888967</v>
      </c>
      <c r="T190" s="735">
        <f t="shared" si="19"/>
        <v>1221.2806924907472</v>
      </c>
      <c r="U190" s="735">
        <f t="shared" si="20"/>
        <v>0</v>
      </c>
      <c r="V190" s="736">
        <f t="shared" si="21"/>
        <v>0</v>
      </c>
      <c r="W190" s="735">
        <f t="shared" si="22"/>
        <v>14655.368309888967</v>
      </c>
      <c r="X190" s="737">
        <f t="shared" si="23"/>
        <v>0</v>
      </c>
      <c r="Y190" s="738">
        <f t="shared" si="24"/>
        <v>1221.2806924907472</v>
      </c>
    </row>
    <row r="191" spans="1:25">
      <c r="A191" s="754" t="str">
        <f>'Func Future Subs 2015'!A191</f>
        <v>Ipiatik 167S 180</v>
      </c>
      <c r="B191" s="754">
        <f>'Func Future Subs 2015'!B191</f>
        <v>1101</v>
      </c>
      <c r="C191" s="754">
        <f>'Func Future Subs 2015'!C191</f>
        <v>240</v>
      </c>
      <c r="D191" s="754">
        <f>'Func Future Subs 2015'!D191</f>
        <v>138</v>
      </c>
      <c r="E191" s="754" t="str">
        <f>'Func Future Subs 2015'!E191</f>
        <v>167S</v>
      </c>
      <c r="F191" s="754">
        <f>'Func Future Subs 2015'!F191</f>
        <v>51249492.017830744</v>
      </c>
      <c r="G191" s="754" t="str">
        <f>'Func Future Subs 2015'!G191</f>
        <v>AltaLink</v>
      </c>
      <c r="H191" s="754">
        <f>'Func Future Subs 2015'!H191</f>
        <v>2016</v>
      </c>
      <c r="I191" s="306">
        <f>+IF($H191=I$2,VLOOKUP($G191,Depreciation!$A$14:$L$18,7,FALSE)/2,IF($H191&lt;I$2,VLOOKUP($G191,Depreciation!$A$14:$L$18,7,FALSE),0))</f>
        <v>0</v>
      </c>
      <c r="J191" s="306">
        <f>+IF($H191=J$2,VLOOKUP($G191,Depreciation!$A$14:$L$18,8,FALSE)/2,IF($H191&lt;J$2,VLOOKUP($G191,Depreciation!$A$14:$L$18,8,FALSE),0))</f>
        <v>1.671703928371859E-2</v>
      </c>
      <c r="K191" s="306">
        <f>+IF($H191=K$2,VLOOKUP($G191,Depreciation!$A$14:$L$18,9,FALSE)/2,IF($H191&lt;K$2,VLOOKUP($G191,Depreciation!$A$14:$L$18,9,FALSE),0))</f>
        <v>3.343407856743718E-2</v>
      </c>
      <c r="L191" s="306">
        <f>+IF($H191=L$2,VLOOKUP($G191,Depreciation!$A$14:$L$18,10,FALSE)/2,IF($H191&lt;L$2,VLOOKUP($G191,Depreciation!$A$14:$L$18,10,FALSE),0))</f>
        <v>3.343407856743718E-2</v>
      </c>
      <c r="M191" s="306">
        <f>+IF($H191=M$2,VLOOKUP($G191,Depreciation!$A$14:$L$18,11,FALSE)/2,IF($H191&lt;M$2,VLOOKUP($G191,Depreciation!$A$14:$L$18,11,FALSE),0))</f>
        <v>3.343407856743718E-2</v>
      </c>
      <c r="N191" s="306">
        <f>+IF($H191=N$2,VLOOKUP($G191,Depreciation!$A$14:$L$18,12,FALSE)/2,IF($H191&lt;N$2,VLOOKUP($G191,Depreciation!$A$14:$L$18,12,FALSE),0))</f>
        <v>3.343407856743718E-2</v>
      </c>
      <c r="O191" s="307">
        <f t="shared" si="17"/>
        <v>47079412.684535511</v>
      </c>
      <c r="P191" s="732">
        <f>'Func Future Subs 2015'!P191</f>
        <v>0</v>
      </c>
      <c r="Q191" s="732">
        <f>'Func Future Subs 2015'!Q191</f>
        <v>0</v>
      </c>
      <c r="R191" s="732">
        <f>'Func Future Subs 2015'!R191</f>
        <v>1</v>
      </c>
      <c r="S191" s="735">
        <f t="shared" si="18"/>
        <v>0</v>
      </c>
      <c r="T191" s="735">
        <f t="shared" si="19"/>
        <v>0</v>
      </c>
      <c r="U191" s="735">
        <f t="shared" si="20"/>
        <v>47079412.684535511</v>
      </c>
      <c r="V191" s="736">
        <f t="shared" si="21"/>
        <v>0</v>
      </c>
      <c r="W191" s="735">
        <f t="shared" si="22"/>
        <v>0</v>
      </c>
      <c r="X191" s="737">
        <f t="shared" si="23"/>
        <v>47079412.684535511</v>
      </c>
      <c r="Y191" s="738">
        <f t="shared" si="24"/>
        <v>0</v>
      </c>
    </row>
    <row r="192" spans="1:25">
      <c r="A192" s="754" t="str">
        <f>'Func Future Subs 2015'!A192</f>
        <v>Jackfish 698S mod 180</v>
      </c>
      <c r="B192" s="754">
        <f>'Func Future Subs 2015'!B192</f>
        <v>1101</v>
      </c>
      <c r="C192" s="754">
        <f>'Func Future Subs 2015'!C192</f>
        <v>240</v>
      </c>
      <c r="D192" s="754">
        <f>'Func Future Subs 2015'!D192</f>
        <v>25</v>
      </c>
      <c r="E192" s="754" t="str">
        <f>'Func Future Subs 2015'!E192</f>
        <v>698S</v>
      </c>
      <c r="F192" s="754">
        <f>'Func Future Subs 2015'!F192</f>
        <v>485910.49572502839</v>
      </c>
      <c r="G192" s="754" t="str">
        <f>'Func Future Subs 2015'!G192</f>
        <v>AltaLink</v>
      </c>
      <c r="H192" s="754">
        <f>'Func Future Subs 2015'!H192</f>
        <v>2016</v>
      </c>
      <c r="I192" s="306">
        <f>+IF($H192=I$2,VLOOKUP($G192,Depreciation!$A$14:$L$18,7,FALSE)/2,IF($H192&lt;I$2,VLOOKUP($G192,Depreciation!$A$14:$L$18,7,FALSE),0))</f>
        <v>0</v>
      </c>
      <c r="J192" s="306">
        <f>+IF($H192=J$2,VLOOKUP($G192,Depreciation!$A$14:$L$18,8,FALSE)/2,IF($H192&lt;J$2,VLOOKUP($G192,Depreciation!$A$14:$L$18,8,FALSE),0))</f>
        <v>1.671703928371859E-2</v>
      </c>
      <c r="K192" s="306">
        <f>+IF($H192=K$2,VLOOKUP($G192,Depreciation!$A$14:$L$18,9,FALSE)/2,IF($H192&lt;K$2,VLOOKUP($G192,Depreciation!$A$14:$L$18,9,FALSE),0))</f>
        <v>3.343407856743718E-2</v>
      </c>
      <c r="L192" s="306">
        <f>+IF($H192=L$2,VLOOKUP($G192,Depreciation!$A$14:$L$18,10,FALSE)/2,IF($H192&lt;L$2,VLOOKUP($G192,Depreciation!$A$14:$L$18,10,FALSE),0))</f>
        <v>3.343407856743718E-2</v>
      </c>
      <c r="M192" s="306">
        <f>+IF($H192=M$2,VLOOKUP($G192,Depreciation!$A$14:$L$18,11,FALSE)/2,IF($H192&lt;M$2,VLOOKUP($G192,Depreciation!$A$14:$L$18,11,FALSE),0))</f>
        <v>3.343407856743718E-2</v>
      </c>
      <c r="N192" s="306">
        <f>+IF($H192=N$2,VLOOKUP($G192,Depreciation!$A$14:$L$18,12,FALSE)/2,IF($H192&lt;N$2,VLOOKUP($G192,Depreciation!$A$14:$L$18,12,FALSE),0))</f>
        <v>3.343407856743718E-2</v>
      </c>
      <c r="O192" s="307">
        <f t="shared" si="17"/>
        <v>446372.82937412686</v>
      </c>
      <c r="P192" s="732">
        <f>'Func Future Subs 2015'!P192</f>
        <v>0</v>
      </c>
      <c r="Q192" s="732">
        <f>'Func Future Subs 2015'!Q192</f>
        <v>0</v>
      </c>
      <c r="R192" s="732">
        <f>'Func Future Subs 2015'!R192</f>
        <v>1</v>
      </c>
      <c r="S192" s="735">
        <f t="shared" si="18"/>
        <v>0</v>
      </c>
      <c r="T192" s="735">
        <f t="shared" si="19"/>
        <v>0</v>
      </c>
      <c r="U192" s="735">
        <f t="shared" si="20"/>
        <v>446372.82937412686</v>
      </c>
      <c r="V192" s="736">
        <f t="shared" si="21"/>
        <v>0</v>
      </c>
      <c r="W192" s="735">
        <f t="shared" si="22"/>
        <v>0</v>
      </c>
      <c r="X192" s="737">
        <f t="shared" si="23"/>
        <v>0</v>
      </c>
      <c r="Y192" s="738">
        <f t="shared" si="24"/>
        <v>446372.82937412686</v>
      </c>
    </row>
    <row r="193" spans="1:25">
      <c r="A193" s="754" t="str">
        <f>'Func Future Subs 2015'!A193</f>
        <v>Jackfish 698S180</v>
      </c>
      <c r="B193" s="754">
        <f>'Func Future Subs 2015'!B193</f>
        <v>1101</v>
      </c>
      <c r="C193" s="754">
        <f>'Func Future Subs 2015'!C193</f>
        <v>240</v>
      </c>
      <c r="D193" s="754">
        <f>'Func Future Subs 2015'!D193</f>
        <v>25</v>
      </c>
      <c r="E193" s="754" t="str">
        <f>'Func Future Subs 2015'!E193</f>
        <v>698S</v>
      </c>
      <c r="F193" s="754">
        <f>'Func Future Subs 2015'!F193</f>
        <v>17282.930052027419</v>
      </c>
      <c r="G193" s="754" t="str">
        <f>'Func Future Subs 2015'!G193</f>
        <v>AltaLink</v>
      </c>
      <c r="H193" s="754">
        <f>'Func Future Subs 2015'!H193</f>
        <v>2016</v>
      </c>
      <c r="I193" s="306">
        <f>+IF($H193=I$2,VLOOKUP($G193,Depreciation!$A$14:$L$18,7,FALSE)/2,IF($H193&lt;I$2,VLOOKUP($G193,Depreciation!$A$14:$L$18,7,FALSE),0))</f>
        <v>0</v>
      </c>
      <c r="J193" s="306">
        <f>+IF($H193=J$2,VLOOKUP($G193,Depreciation!$A$14:$L$18,8,FALSE)/2,IF($H193&lt;J$2,VLOOKUP($G193,Depreciation!$A$14:$L$18,8,FALSE),0))</f>
        <v>1.671703928371859E-2</v>
      </c>
      <c r="K193" s="306">
        <f>+IF($H193=K$2,VLOOKUP($G193,Depreciation!$A$14:$L$18,9,FALSE)/2,IF($H193&lt;K$2,VLOOKUP($G193,Depreciation!$A$14:$L$18,9,FALSE),0))</f>
        <v>3.343407856743718E-2</v>
      </c>
      <c r="L193" s="306">
        <f>+IF($H193=L$2,VLOOKUP($G193,Depreciation!$A$14:$L$18,10,FALSE)/2,IF($H193&lt;L$2,VLOOKUP($G193,Depreciation!$A$14:$L$18,10,FALSE),0))</f>
        <v>3.343407856743718E-2</v>
      </c>
      <c r="M193" s="306">
        <f>+IF($H193=M$2,VLOOKUP($G193,Depreciation!$A$14:$L$18,11,FALSE)/2,IF($H193&lt;M$2,VLOOKUP($G193,Depreciation!$A$14:$L$18,11,FALSE),0))</f>
        <v>3.343407856743718E-2</v>
      </c>
      <c r="N193" s="306">
        <f>+IF($H193=N$2,VLOOKUP($G193,Depreciation!$A$14:$L$18,12,FALSE)/2,IF($H193&lt;N$2,VLOOKUP($G193,Depreciation!$A$14:$L$18,12,FALSE),0))</f>
        <v>3.343407856743718E-2</v>
      </c>
      <c r="O193" s="307">
        <f t="shared" si="17"/>
        <v>15876.649002379714</v>
      </c>
      <c r="P193" s="732">
        <f>'Func Future Subs 2015'!P193</f>
        <v>0</v>
      </c>
      <c r="Q193" s="732">
        <f>'Func Future Subs 2015'!Q193</f>
        <v>0</v>
      </c>
      <c r="R193" s="732">
        <f>'Func Future Subs 2015'!R193</f>
        <v>1</v>
      </c>
      <c r="S193" s="735">
        <f t="shared" si="18"/>
        <v>0</v>
      </c>
      <c r="T193" s="735">
        <f t="shared" si="19"/>
        <v>0</v>
      </c>
      <c r="U193" s="735">
        <f t="shared" si="20"/>
        <v>15876.649002379714</v>
      </c>
      <c r="V193" s="736">
        <f t="shared" si="21"/>
        <v>0</v>
      </c>
      <c r="W193" s="735">
        <f t="shared" si="22"/>
        <v>0</v>
      </c>
      <c r="X193" s="737">
        <f t="shared" si="23"/>
        <v>0</v>
      </c>
      <c r="Y193" s="738">
        <f t="shared" si="24"/>
        <v>15876.649002379714</v>
      </c>
    </row>
    <row r="194" spans="1:25">
      <c r="A194" s="754" t="str">
        <f>'Func Future Subs 2015'!A194</f>
        <v>Pike 170S mod 180</v>
      </c>
      <c r="B194" s="754">
        <f>'Func Future Subs 2015'!B194</f>
        <v>1101</v>
      </c>
      <c r="C194" s="754">
        <f>'Func Future Subs 2015'!C194</f>
        <v>240</v>
      </c>
      <c r="D194" s="754">
        <f>'Func Future Subs 2015'!D194</f>
        <v>138</v>
      </c>
      <c r="E194" s="754" t="str">
        <f>'Func Future Subs 2015'!E194</f>
        <v>170S</v>
      </c>
      <c r="F194" s="754">
        <f>'Func Future Subs 2015'!F194</f>
        <v>31472.735128396711</v>
      </c>
      <c r="G194" s="754" t="str">
        <f>'Func Future Subs 2015'!G194</f>
        <v>AltaLink</v>
      </c>
      <c r="H194" s="754">
        <f>'Func Future Subs 2015'!H194</f>
        <v>2016</v>
      </c>
      <c r="I194" s="306">
        <f>+IF($H194=I$2,VLOOKUP($G194,Depreciation!$A$14:$L$18,7,FALSE)/2,IF($H194&lt;I$2,VLOOKUP($G194,Depreciation!$A$14:$L$18,7,FALSE),0))</f>
        <v>0</v>
      </c>
      <c r="J194" s="306">
        <f>+IF($H194=J$2,VLOOKUP($G194,Depreciation!$A$14:$L$18,8,FALSE)/2,IF($H194&lt;J$2,VLOOKUP($G194,Depreciation!$A$14:$L$18,8,FALSE),0))</f>
        <v>1.671703928371859E-2</v>
      </c>
      <c r="K194" s="306">
        <f>+IF($H194=K$2,VLOOKUP($G194,Depreciation!$A$14:$L$18,9,FALSE)/2,IF($H194&lt;K$2,VLOOKUP($G194,Depreciation!$A$14:$L$18,9,FALSE),0))</f>
        <v>3.343407856743718E-2</v>
      </c>
      <c r="L194" s="306">
        <f>+IF($H194=L$2,VLOOKUP($G194,Depreciation!$A$14:$L$18,10,FALSE)/2,IF($H194&lt;L$2,VLOOKUP($G194,Depreciation!$A$14:$L$18,10,FALSE),0))</f>
        <v>3.343407856743718E-2</v>
      </c>
      <c r="M194" s="306">
        <f>+IF($H194=M$2,VLOOKUP($G194,Depreciation!$A$14:$L$18,11,FALSE)/2,IF($H194&lt;M$2,VLOOKUP($G194,Depreciation!$A$14:$L$18,11,FALSE),0))</f>
        <v>3.343407856743718E-2</v>
      </c>
      <c r="N194" s="306">
        <f>+IF($H194=N$2,VLOOKUP($G194,Depreciation!$A$14:$L$18,12,FALSE)/2,IF($H194&lt;N$2,VLOOKUP($G194,Depreciation!$A$14:$L$18,12,FALSE),0))</f>
        <v>3.343407856743718E-2</v>
      </c>
      <c r="O194" s="307">
        <f t="shared" si="17"/>
        <v>28911.855065906733</v>
      </c>
      <c r="P194" s="732">
        <f>'Func Future Subs 2015'!P194</f>
        <v>0</v>
      </c>
      <c r="Q194" s="732">
        <f>'Func Future Subs 2015'!Q194</f>
        <v>0</v>
      </c>
      <c r="R194" s="732">
        <f>'Func Future Subs 2015'!R194</f>
        <v>1</v>
      </c>
      <c r="S194" s="735">
        <f t="shared" si="18"/>
        <v>0</v>
      </c>
      <c r="T194" s="735">
        <f t="shared" si="19"/>
        <v>0</v>
      </c>
      <c r="U194" s="735">
        <f t="shared" si="20"/>
        <v>28911.855065906733</v>
      </c>
      <c r="V194" s="736">
        <f t="shared" si="21"/>
        <v>0</v>
      </c>
      <c r="W194" s="735">
        <f t="shared" si="22"/>
        <v>0</v>
      </c>
      <c r="X194" s="737">
        <f t="shared" si="23"/>
        <v>28911.855065906733</v>
      </c>
      <c r="Y194" s="738">
        <f t="shared" si="24"/>
        <v>0</v>
      </c>
    </row>
    <row r="195" spans="1:25">
      <c r="A195" s="754" t="str">
        <f>'Func Future Subs 2015'!A195</f>
        <v>Pike 170S180</v>
      </c>
      <c r="B195" s="754">
        <f>'Func Future Subs 2015'!B195</f>
        <v>1101</v>
      </c>
      <c r="C195" s="754">
        <f>'Func Future Subs 2015'!C195</f>
        <v>240</v>
      </c>
      <c r="D195" s="754">
        <f>'Func Future Subs 2015'!D195</f>
        <v>138</v>
      </c>
      <c r="E195" s="754" t="str">
        <f>'Func Future Subs 2015'!E195</f>
        <v>170S</v>
      </c>
      <c r="F195" s="754">
        <f>'Func Future Subs 2015'!F195</f>
        <v>49648445.339725867</v>
      </c>
      <c r="G195" s="754" t="str">
        <f>'Func Future Subs 2015'!G195</f>
        <v>AltaLink</v>
      </c>
      <c r="H195" s="754">
        <f>'Func Future Subs 2015'!H195</f>
        <v>2016</v>
      </c>
      <c r="I195" s="306">
        <f>+IF($H195=I$2,VLOOKUP($G195,Depreciation!$A$14:$L$18,7,FALSE)/2,IF($H195&lt;I$2,VLOOKUP($G195,Depreciation!$A$14:$L$18,7,FALSE),0))</f>
        <v>0</v>
      </c>
      <c r="J195" s="306">
        <f>+IF($H195=J$2,VLOOKUP($G195,Depreciation!$A$14:$L$18,8,FALSE)/2,IF($H195&lt;J$2,VLOOKUP($G195,Depreciation!$A$14:$L$18,8,FALSE),0))</f>
        <v>1.671703928371859E-2</v>
      </c>
      <c r="K195" s="306">
        <f>+IF($H195=K$2,VLOOKUP($G195,Depreciation!$A$14:$L$18,9,FALSE)/2,IF($H195&lt;K$2,VLOOKUP($G195,Depreciation!$A$14:$L$18,9,FALSE),0))</f>
        <v>3.343407856743718E-2</v>
      </c>
      <c r="L195" s="306">
        <f>+IF($H195=L$2,VLOOKUP($G195,Depreciation!$A$14:$L$18,10,FALSE)/2,IF($H195&lt;L$2,VLOOKUP($G195,Depreciation!$A$14:$L$18,10,FALSE),0))</f>
        <v>3.343407856743718E-2</v>
      </c>
      <c r="M195" s="306">
        <f>+IF($H195=M$2,VLOOKUP($G195,Depreciation!$A$14:$L$18,11,FALSE)/2,IF($H195&lt;M$2,VLOOKUP($G195,Depreciation!$A$14:$L$18,11,FALSE),0))</f>
        <v>3.343407856743718E-2</v>
      </c>
      <c r="N195" s="306">
        <f>+IF($H195=N$2,VLOOKUP($G195,Depreciation!$A$14:$L$18,12,FALSE)/2,IF($H195&lt;N$2,VLOOKUP($G195,Depreciation!$A$14:$L$18,12,FALSE),0))</f>
        <v>3.343407856743718E-2</v>
      </c>
      <c r="O195" s="307">
        <f t="shared" si="17"/>
        <v>45608640.305767752</v>
      </c>
      <c r="P195" s="732">
        <f>'Func Future Subs 2015'!P195</f>
        <v>0</v>
      </c>
      <c r="Q195" s="732">
        <f>'Func Future Subs 2015'!Q195</f>
        <v>0</v>
      </c>
      <c r="R195" s="732">
        <f>'Func Future Subs 2015'!R195</f>
        <v>1</v>
      </c>
      <c r="S195" s="735">
        <f t="shared" si="18"/>
        <v>0</v>
      </c>
      <c r="T195" s="735">
        <f t="shared" si="19"/>
        <v>0</v>
      </c>
      <c r="U195" s="735">
        <f t="shared" si="20"/>
        <v>45608640.305767752</v>
      </c>
      <c r="V195" s="736">
        <f t="shared" si="21"/>
        <v>0</v>
      </c>
      <c r="W195" s="735">
        <f t="shared" si="22"/>
        <v>0</v>
      </c>
      <c r="X195" s="737">
        <f t="shared" si="23"/>
        <v>45608640.305767752</v>
      </c>
      <c r="Y195" s="738">
        <f t="shared" si="24"/>
        <v>0</v>
      </c>
    </row>
    <row r="196" spans="1:25">
      <c r="A196" s="754" t="str">
        <f>'Func Future Subs 2015'!A196</f>
        <v>Winefred 818S mod 180</v>
      </c>
      <c r="B196" s="754">
        <f>'Func Future Subs 2015'!B196</f>
        <v>1101</v>
      </c>
      <c r="C196" s="754">
        <f>'Func Future Subs 2015'!C196</f>
        <v>240</v>
      </c>
      <c r="D196" s="754">
        <f>'Func Future Subs 2015'!D196</f>
        <v>25</v>
      </c>
      <c r="E196" s="754" t="str">
        <f>'Func Future Subs 2015'!E196</f>
        <v>818S</v>
      </c>
      <c r="F196" s="754">
        <f>'Func Future Subs 2015'!F196</f>
        <v>467632.85141133214</v>
      </c>
      <c r="G196" s="754" t="str">
        <f>'Func Future Subs 2015'!G196</f>
        <v>AltaLink</v>
      </c>
      <c r="H196" s="754">
        <f>'Func Future Subs 2015'!H196</f>
        <v>2016</v>
      </c>
      <c r="I196" s="306">
        <f>+IF($H196=I$2,VLOOKUP($G196,Depreciation!$A$14:$L$18,7,FALSE)/2,IF($H196&lt;I$2,VLOOKUP($G196,Depreciation!$A$14:$L$18,7,FALSE),0))</f>
        <v>0</v>
      </c>
      <c r="J196" s="306">
        <f>+IF($H196=J$2,VLOOKUP($G196,Depreciation!$A$14:$L$18,8,FALSE)/2,IF($H196&lt;J$2,VLOOKUP($G196,Depreciation!$A$14:$L$18,8,FALSE),0))</f>
        <v>1.671703928371859E-2</v>
      </c>
      <c r="K196" s="306">
        <f>+IF($H196=K$2,VLOOKUP($G196,Depreciation!$A$14:$L$18,9,FALSE)/2,IF($H196&lt;K$2,VLOOKUP($G196,Depreciation!$A$14:$L$18,9,FALSE),0))</f>
        <v>3.343407856743718E-2</v>
      </c>
      <c r="L196" s="306">
        <f>+IF($H196=L$2,VLOOKUP($G196,Depreciation!$A$14:$L$18,10,FALSE)/2,IF($H196&lt;L$2,VLOOKUP($G196,Depreciation!$A$14:$L$18,10,FALSE),0))</f>
        <v>3.343407856743718E-2</v>
      </c>
      <c r="M196" s="306">
        <f>+IF($H196=M$2,VLOOKUP($G196,Depreciation!$A$14:$L$18,11,FALSE)/2,IF($H196&lt;M$2,VLOOKUP($G196,Depreciation!$A$14:$L$18,11,FALSE),0))</f>
        <v>3.343407856743718E-2</v>
      </c>
      <c r="N196" s="306">
        <f>+IF($H196=N$2,VLOOKUP($G196,Depreciation!$A$14:$L$18,12,FALSE)/2,IF($H196&lt;N$2,VLOOKUP($G196,Depreciation!$A$14:$L$18,12,FALSE),0))</f>
        <v>3.343407856743718E-2</v>
      </c>
      <c r="O196" s="307">
        <f t="shared" ref="O196:O259" si="25">IF(H196&lt;=2018,F196*(1-I196)*(1-J196)*(1-K196)*(1-L196),0)</f>
        <v>429582.40422715619</v>
      </c>
      <c r="P196" s="732">
        <f>'Func Future Subs 2015'!P196</f>
        <v>0</v>
      </c>
      <c r="Q196" s="732">
        <f>'Func Future Subs 2015'!Q196</f>
        <v>1</v>
      </c>
      <c r="R196" s="732">
        <f>'Func Future Subs 2015'!R196</f>
        <v>0</v>
      </c>
      <c r="S196" s="735">
        <f t="shared" ref="S196:S259" si="26">+P196*$O196</f>
        <v>0</v>
      </c>
      <c r="T196" s="735">
        <f t="shared" ref="T196:T259" si="27">+Q196*$O196</f>
        <v>429582.40422715619</v>
      </c>
      <c r="U196" s="735">
        <f t="shared" ref="U196:U259" si="28">+R196*$O196</f>
        <v>0</v>
      </c>
      <c r="V196" s="736">
        <f t="shared" ref="V196:V259" si="29">IF(AND(R196=1,D196=0),O196,0)</f>
        <v>0</v>
      </c>
      <c r="W196" s="735">
        <f t="shared" ref="W196:W259" si="30">S196+IF(D196&gt;144,U196,0)</f>
        <v>0</v>
      </c>
      <c r="X196" s="737">
        <f t="shared" ref="X196:X259" si="31">IF(AND(D196&lt;=144,D196&gt;=69),U196,0)</f>
        <v>0</v>
      </c>
      <c r="Y196" s="738">
        <f t="shared" ref="Y196:Y259" si="32">T196+IF(AND(D196&lt;69,D196&gt;0),U196,0)</f>
        <v>429582.40422715619</v>
      </c>
    </row>
    <row r="197" spans="1:25">
      <c r="A197" s="754" t="str">
        <f>'Func Future Subs 2015'!A197</f>
        <v>ENMAX No. 47</v>
      </c>
      <c r="B197" s="754">
        <f>'Func Future Subs 2015'!B197</f>
        <v>1107</v>
      </c>
      <c r="C197" s="754">
        <f>'Func Future Subs 2015'!C197</f>
        <v>138</v>
      </c>
      <c r="D197" s="754">
        <f>'Func Future Subs 2015'!D197</f>
        <v>25</v>
      </c>
      <c r="E197" s="754" t="str">
        <f>'Func Future Subs 2015'!E197</f>
        <v>SS-47</v>
      </c>
      <c r="F197" s="754">
        <f>'Func Future Subs 2015'!F197</f>
        <v>9408587.9999999944</v>
      </c>
      <c r="G197" s="754" t="str">
        <f>'Func Future Subs 2015'!G197</f>
        <v>AltaLink</v>
      </c>
      <c r="H197" s="754">
        <f>'Func Future Subs 2015'!H197</f>
        <v>2015</v>
      </c>
      <c r="I197" s="306">
        <f>+IF($H197=I$2,VLOOKUP($G197,Depreciation!$A$14:$L$18,7,FALSE)/2,IF($H197&lt;I$2,VLOOKUP($G197,Depreciation!$A$14:$L$18,7,FALSE),0))</f>
        <v>1.7228380322441735E-2</v>
      </c>
      <c r="J197" s="306">
        <f>+IF($H197=J$2,VLOOKUP($G197,Depreciation!$A$14:$L$18,8,FALSE)/2,IF($H197&lt;J$2,VLOOKUP($G197,Depreciation!$A$14:$L$18,8,FALSE),0))</f>
        <v>3.343407856743718E-2</v>
      </c>
      <c r="K197" s="306">
        <f>+IF($H197=K$2,VLOOKUP($G197,Depreciation!$A$14:$L$18,9,FALSE)/2,IF($H197&lt;K$2,VLOOKUP($G197,Depreciation!$A$14:$L$18,9,FALSE),0))</f>
        <v>3.343407856743718E-2</v>
      </c>
      <c r="L197" s="306">
        <f>+IF($H197=L$2,VLOOKUP($G197,Depreciation!$A$14:$L$18,10,FALSE)/2,IF($H197&lt;L$2,VLOOKUP($G197,Depreciation!$A$14:$L$18,10,FALSE),0))</f>
        <v>3.343407856743718E-2</v>
      </c>
      <c r="M197" s="306">
        <f>+IF($H197=M$2,VLOOKUP($G197,Depreciation!$A$14:$L$18,11,FALSE)/2,IF($H197&lt;M$2,VLOOKUP($G197,Depreciation!$A$14:$L$18,11,FALSE),0))</f>
        <v>3.343407856743718E-2</v>
      </c>
      <c r="N197" s="306">
        <f>+IF($H197=N$2,VLOOKUP($G197,Depreciation!$A$14:$L$18,12,FALSE)/2,IF($H197&lt;N$2,VLOOKUP($G197,Depreciation!$A$14:$L$18,12,FALSE),0))</f>
        <v>3.343407856743718E-2</v>
      </c>
      <c r="O197" s="307">
        <f t="shared" si="25"/>
        <v>8349711.9770425549</v>
      </c>
      <c r="P197" s="732">
        <f>'Func Future Subs 2015'!P197</f>
        <v>0</v>
      </c>
      <c r="Q197" s="732">
        <f>'Func Future Subs 2015'!Q197</f>
        <v>0</v>
      </c>
      <c r="R197" s="732">
        <f>'Func Future Subs 2015'!R197</f>
        <v>1</v>
      </c>
      <c r="S197" s="735">
        <f t="shared" si="26"/>
        <v>0</v>
      </c>
      <c r="T197" s="735">
        <f t="shared" si="27"/>
        <v>0</v>
      </c>
      <c r="U197" s="735">
        <f t="shared" si="28"/>
        <v>8349711.9770425549</v>
      </c>
      <c r="V197" s="736">
        <f t="shared" si="29"/>
        <v>0</v>
      </c>
      <c r="W197" s="735">
        <f t="shared" si="30"/>
        <v>0</v>
      </c>
      <c r="X197" s="737">
        <f t="shared" si="31"/>
        <v>0</v>
      </c>
      <c r="Y197" s="738">
        <f t="shared" si="32"/>
        <v>8349711.9770425549</v>
      </c>
    </row>
    <row r="198" spans="1:25">
      <c r="A198" s="754" t="str">
        <f>'Func Future Subs 2015'!A198</f>
        <v>Carseland 525S_180</v>
      </c>
      <c r="B198" s="754">
        <f>'Func Future Subs 2015'!B198</f>
        <v>1117</v>
      </c>
      <c r="C198" s="754">
        <f>'Func Future Subs 2015'!C198</f>
        <v>138</v>
      </c>
      <c r="D198" s="754">
        <f>'Func Future Subs 2015'!D198</f>
        <v>25</v>
      </c>
      <c r="E198" s="754" t="str">
        <f>'Func Future Subs 2015'!E198</f>
        <v>525S</v>
      </c>
      <c r="F198" s="754">
        <f>'Func Future Subs 2015'!F198</f>
        <v>179071.02078100035</v>
      </c>
      <c r="G198" s="754" t="str">
        <f>'Func Future Subs 2015'!G198</f>
        <v>AltaLink</v>
      </c>
      <c r="H198" s="754">
        <f>'Func Future Subs 2015'!H198</f>
        <v>2015</v>
      </c>
      <c r="I198" s="306">
        <f>+IF($H198=I$2,VLOOKUP($G198,Depreciation!$A$14:$L$18,7,FALSE)/2,IF($H198&lt;I$2,VLOOKUP($G198,Depreciation!$A$14:$L$18,7,FALSE),0))</f>
        <v>1.7228380322441735E-2</v>
      </c>
      <c r="J198" s="306">
        <f>+IF($H198=J$2,VLOOKUP($G198,Depreciation!$A$14:$L$18,8,FALSE)/2,IF($H198&lt;J$2,VLOOKUP($G198,Depreciation!$A$14:$L$18,8,FALSE),0))</f>
        <v>3.343407856743718E-2</v>
      </c>
      <c r="K198" s="306">
        <f>+IF($H198=K$2,VLOOKUP($G198,Depreciation!$A$14:$L$18,9,FALSE)/2,IF($H198&lt;K$2,VLOOKUP($G198,Depreciation!$A$14:$L$18,9,FALSE),0))</f>
        <v>3.343407856743718E-2</v>
      </c>
      <c r="L198" s="306">
        <f>+IF($H198=L$2,VLOOKUP($G198,Depreciation!$A$14:$L$18,10,FALSE)/2,IF($H198&lt;L$2,VLOOKUP($G198,Depreciation!$A$14:$L$18,10,FALSE),0))</f>
        <v>3.343407856743718E-2</v>
      </c>
      <c r="M198" s="306">
        <f>+IF($H198=M$2,VLOOKUP($G198,Depreciation!$A$14:$L$18,11,FALSE)/2,IF($H198&lt;M$2,VLOOKUP($G198,Depreciation!$A$14:$L$18,11,FALSE),0))</f>
        <v>3.343407856743718E-2</v>
      </c>
      <c r="N198" s="306">
        <f>+IF($H198=N$2,VLOOKUP($G198,Depreciation!$A$14:$L$18,12,FALSE)/2,IF($H198&lt;N$2,VLOOKUP($G198,Depreciation!$A$14:$L$18,12,FALSE),0))</f>
        <v>3.343407856743718E-2</v>
      </c>
      <c r="O198" s="307">
        <f t="shared" si="25"/>
        <v>158917.72994591281</v>
      </c>
      <c r="P198" s="732">
        <f>'Func Future Subs 2015'!P198</f>
        <v>0.7346189164370982</v>
      </c>
      <c r="Q198" s="732">
        <f>'Func Future Subs 2015'!Q198</f>
        <v>0.26538108356290174</v>
      </c>
      <c r="R198" s="732">
        <f>'Func Future Subs 2015'!R198</f>
        <v>0</v>
      </c>
      <c r="S198" s="735">
        <f t="shared" si="26"/>
        <v>116743.97057550987</v>
      </c>
      <c r="T198" s="735">
        <f t="shared" si="27"/>
        <v>42173.759370402942</v>
      </c>
      <c r="U198" s="735">
        <f t="shared" si="28"/>
        <v>0</v>
      </c>
      <c r="V198" s="736">
        <f t="shared" si="29"/>
        <v>0</v>
      </c>
      <c r="W198" s="735">
        <f t="shared" si="30"/>
        <v>116743.97057550987</v>
      </c>
      <c r="X198" s="737">
        <f t="shared" si="31"/>
        <v>0</v>
      </c>
      <c r="Y198" s="738">
        <f t="shared" si="32"/>
        <v>42173.759370402942</v>
      </c>
    </row>
    <row r="199" spans="1:25">
      <c r="A199" s="754" t="str">
        <f>'Func Future Subs 2015'!A199</f>
        <v>Enmax No. 25_v180</v>
      </c>
      <c r="B199" s="754">
        <f>'Func Future Subs 2015'!B199</f>
        <v>1117</v>
      </c>
      <c r="C199" s="754">
        <f>'Func Future Subs 2015'!C199</f>
        <v>240</v>
      </c>
      <c r="D199" s="754">
        <f>'Func Future Subs 2015'!D199</f>
        <v>25</v>
      </c>
      <c r="E199" s="754" t="str">
        <f>'Func Future Subs 2015'!E199</f>
        <v>SS-25</v>
      </c>
      <c r="F199" s="754">
        <f>'Func Future Subs 2015'!F199</f>
        <v>712675.2914213459</v>
      </c>
      <c r="G199" s="754" t="str">
        <f>'Func Future Subs 2015'!G199</f>
        <v>ENMAX</v>
      </c>
      <c r="H199" s="754">
        <f>'Func Future Subs 2015'!H199</f>
        <v>2015</v>
      </c>
      <c r="I199" s="306">
        <f>+IF($H199=I$2,VLOOKUP($G199,Depreciation!$A$14:$L$18,7,FALSE)/2,IF($H199&lt;I$2,VLOOKUP($G199,Depreciation!$A$14:$L$18,7,FALSE),0))</f>
        <v>1.3928409269726289E-2</v>
      </c>
      <c r="J199" s="306">
        <f>+IF($H199=J$2,VLOOKUP($G199,Depreciation!$A$14:$L$18,8,FALSE)/2,IF($H199&lt;J$2,VLOOKUP($G199,Depreciation!$A$14:$L$18,8,FALSE),0))</f>
        <v>2.7856818539452578E-2</v>
      </c>
      <c r="K199" s="306">
        <f>+IF($H199=K$2,VLOOKUP($G199,Depreciation!$A$14:$L$18,9,FALSE)/2,IF($H199&lt;K$2,VLOOKUP($G199,Depreciation!$A$14:$L$18,9,FALSE),0))</f>
        <v>2.7856818539452578E-2</v>
      </c>
      <c r="L199" s="306">
        <f>+IF($H199=L$2,VLOOKUP($G199,Depreciation!$A$14:$L$18,10,FALSE)/2,IF($H199&lt;L$2,VLOOKUP($G199,Depreciation!$A$14:$L$18,10,FALSE),0))</f>
        <v>2.7856818539452578E-2</v>
      </c>
      <c r="M199" s="306">
        <f>+IF($H199=M$2,VLOOKUP($G199,Depreciation!$A$14:$L$18,11,FALSE)/2,IF($H199&lt;M$2,VLOOKUP($G199,Depreciation!$A$14:$L$18,11,FALSE),0))</f>
        <v>2.7856818539452578E-2</v>
      </c>
      <c r="N199" s="306">
        <f>+IF($H199=N$2,VLOOKUP($G199,Depreciation!$A$14:$L$18,12,FALSE)/2,IF($H199&lt;N$2,VLOOKUP($G199,Depreciation!$A$14:$L$18,12,FALSE),0))</f>
        <v>2.7856818539452578E-2</v>
      </c>
      <c r="O199" s="307">
        <f t="shared" si="25"/>
        <v>645640.62899594638</v>
      </c>
      <c r="P199" s="732">
        <f>'Func Future Subs 2015'!P199</f>
        <v>0.9759174311926605</v>
      </c>
      <c r="Q199" s="732">
        <f>'Func Future Subs 2015'!Q199</f>
        <v>2.4082568807339451E-2</v>
      </c>
      <c r="R199" s="732">
        <f>'Func Future Subs 2015'!R199</f>
        <v>4.8572257327350599E-17</v>
      </c>
      <c r="S199" s="735">
        <f t="shared" si="26"/>
        <v>630091.94412333751</v>
      </c>
      <c r="T199" s="735">
        <f t="shared" si="27"/>
        <v>15548.684872608801</v>
      </c>
      <c r="U199" s="735">
        <f t="shared" si="28"/>
        <v>3.1360222772583604E-11</v>
      </c>
      <c r="V199" s="736">
        <f t="shared" si="29"/>
        <v>0</v>
      </c>
      <c r="W199" s="735">
        <f t="shared" si="30"/>
        <v>630091.94412333751</v>
      </c>
      <c r="X199" s="737">
        <f t="shared" si="31"/>
        <v>0</v>
      </c>
      <c r="Y199" s="738">
        <f t="shared" si="32"/>
        <v>15548.684872608832</v>
      </c>
    </row>
    <row r="200" spans="1:25">
      <c r="A200" s="754" t="str">
        <f>'Func Future Subs 2015'!A200</f>
        <v>Enmax No. 65_v180</v>
      </c>
      <c r="B200" s="754">
        <f>'Func Future Subs 2015'!B200</f>
        <v>1117</v>
      </c>
      <c r="C200" s="754">
        <f>'Func Future Subs 2015'!C200</f>
        <v>240</v>
      </c>
      <c r="D200" s="754">
        <f>'Func Future Subs 2015'!D200</f>
        <v>138</v>
      </c>
      <c r="E200" s="754" t="str">
        <f>'Func Future Subs 2015'!E200</f>
        <v>SS-65</v>
      </c>
      <c r="F200" s="754">
        <f>'Func Future Subs 2015'!F200</f>
        <v>3684124.7085786541</v>
      </c>
      <c r="G200" s="754" t="str">
        <f>'Func Future Subs 2015'!G200</f>
        <v>ENMAX</v>
      </c>
      <c r="H200" s="754">
        <f>'Func Future Subs 2015'!H200</f>
        <v>2015</v>
      </c>
      <c r="I200" s="306">
        <f>+IF($H200=I$2,VLOOKUP($G200,Depreciation!$A$14:$L$18,7,FALSE)/2,IF($H200&lt;I$2,VLOOKUP($G200,Depreciation!$A$14:$L$18,7,FALSE),0))</f>
        <v>1.3928409269726289E-2</v>
      </c>
      <c r="J200" s="306">
        <f>+IF($H200=J$2,VLOOKUP($G200,Depreciation!$A$14:$L$18,8,FALSE)/2,IF($H200&lt;J$2,VLOOKUP($G200,Depreciation!$A$14:$L$18,8,FALSE),0))</f>
        <v>2.7856818539452578E-2</v>
      </c>
      <c r="K200" s="306">
        <f>+IF($H200=K$2,VLOOKUP($G200,Depreciation!$A$14:$L$18,9,FALSE)/2,IF($H200&lt;K$2,VLOOKUP($G200,Depreciation!$A$14:$L$18,9,FALSE),0))</f>
        <v>2.7856818539452578E-2</v>
      </c>
      <c r="L200" s="306">
        <f>+IF($H200=L$2,VLOOKUP($G200,Depreciation!$A$14:$L$18,10,FALSE)/2,IF($H200&lt;L$2,VLOOKUP($G200,Depreciation!$A$14:$L$18,10,FALSE),0))</f>
        <v>2.7856818539452578E-2</v>
      </c>
      <c r="M200" s="306">
        <f>+IF($H200=M$2,VLOOKUP($G200,Depreciation!$A$14:$L$18,11,FALSE)/2,IF($H200&lt;M$2,VLOOKUP($G200,Depreciation!$A$14:$L$18,11,FALSE),0))</f>
        <v>2.7856818539452578E-2</v>
      </c>
      <c r="N200" s="306">
        <f>+IF($H200=N$2,VLOOKUP($G200,Depreciation!$A$14:$L$18,12,FALSE)/2,IF($H200&lt;N$2,VLOOKUP($G200,Depreciation!$A$14:$L$18,12,FALSE),0))</f>
        <v>2.7856818539452578E-2</v>
      </c>
      <c r="O200" s="307">
        <f t="shared" si="25"/>
        <v>3337593.743992941</v>
      </c>
      <c r="P200" s="732">
        <f>'Func Future Subs 2015'!P200</f>
        <v>0</v>
      </c>
      <c r="Q200" s="732">
        <f>'Func Future Subs 2015'!Q200</f>
        <v>0</v>
      </c>
      <c r="R200" s="732">
        <f>'Func Future Subs 2015'!R200</f>
        <v>1</v>
      </c>
      <c r="S200" s="735">
        <f t="shared" si="26"/>
        <v>0</v>
      </c>
      <c r="T200" s="735">
        <f t="shared" si="27"/>
        <v>0</v>
      </c>
      <c r="U200" s="735">
        <f t="shared" si="28"/>
        <v>3337593.743992941</v>
      </c>
      <c r="V200" s="736">
        <f t="shared" si="29"/>
        <v>0</v>
      </c>
      <c r="W200" s="735">
        <f t="shared" si="30"/>
        <v>0</v>
      </c>
      <c r="X200" s="737">
        <f t="shared" si="31"/>
        <v>3337593.743992941</v>
      </c>
      <c r="Y200" s="738">
        <f t="shared" si="32"/>
        <v>0</v>
      </c>
    </row>
    <row r="201" spans="1:25">
      <c r="A201" s="754" t="str">
        <f>'Func Future Subs 2015'!A201</f>
        <v>Foothills 237S 138kV_180</v>
      </c>
      <c r="B201" s="754">
        <f>'Func Future Subs 2015'!B201</f>
        <v>1117</v>
      </c>
      <c r="C201" s="754">
        <f>'Func Future Subs 2015'!C201</f>
        <v>240</v>
      </c>
      <c r="D201" s="754">
        <f>'Func Future Subs 2015'!D201</f>
        <v>138</v>
      </c>
      <c r="E201" s="754" t="str">
        <f>'Func Future Subs 2015'!E201</f>
        <v>237S</v>
      </c>
      <c r="F201" s="754">
        <f>'Func Future Subs 2015'!F201</f>
        <v>50320527.637888998</v>
      </c>
      <c r="G201" s="754" t="str">
        <f>'Func Future Subs 2015'!G201</f>
        <v>AltaLink</v>
      </c>
      <c r="H201" s="754">
        <f>'Func Future Subs 2015'!H201</f>
        <v>2015</v>
      </c>
      <c r="I201" s="306">
        <f>+IF($H201=I$2,VLOOKUP($G201,Depreciation!$A$14:$L$18,7,FALSE)/2,IF($H201&lt;I$2,VLOOKUP($G201,Depreciation!$A$14:$L$18,7,FALSE),0))</f>
        <v>1.7228380322441735E-2</v>
      </c>
      <c r="J201" s="306">
        <f>+IF($H201=J$2,VLOOKUP($G201,Depreciation!$A$14:$L$18,8,FALSE)/2,IF($H201&lt;J$2,VLOOKUP($G201,Depreciation!$A$14:$L$18,8,FALSE),0))</f>
        <v>3.343407856743718E-2</v>
      </c>
      <c r="K201" s="306">
        <f>+IF($H201=K$2,VLOOKUP($G201,Depreciation!$A$14:$L$18,9,FALSE)/2,IF($H201&lt;K$2,VLOOKUP($G201,Depreciation!$A$14:$L$18,9,FALSE),0))</f>
        <v>3.343407856743718E-2</v>
      </c>
      <c r="L201" s="306">
        <f>+IF($H201=L$2,VLOOKUP($G201,Depreciation!$A$14:$L$18,10,FALSE)/2,IF($H201&lt;L$2,VLOOKUP($G201,Depreciation!$A$14:$L$18,10,FALSE),0))</f>
        <v>3.343407856743718E-2</v>
      </c>
      <c r="M201" s="306">
        <f>+IF($H201=M$2,VLOOKUP($G201,Depreciation!$A$14:$L$18,11,FALSE)/2,IF($H201&lt;M$2,VLOOKUP($G201,Depreciation!$A$14:$L$18,11,FALSE),0))</f>
        <v>3.343407856743718E-2</v>
      </c>
      <c r="N201" s="306">
        <f>+IF($H201=N$2,VLOOKUP($G201,Depreciation!$A$14:$L$18,12,FALSE)/2,IF($H201&lt;N$2,VLOOKUP($G201,Depreciation!$A$14:$L$18,12,FALSE),0))</f>
        <v>3.343407856743718E-2</v>
      </c>
      <c r="O201" s="307">
        <f t="shared" si="25"/>
        <v>44657276.129976451</v>
      </c>
      <c r="P201" s="732">
        <f>'Func Future Subs 2015'!P201</f>
        <v>0</v>
      </c>
      <c r="Q201" s="732">
        <f>'Func Future Subs 2015'!Q201</f>
        <v>0</v>
      </c>
      <c r="R201" s="732">
        <f>'Func Future Subs 2015'!R201</f>
        <v>1</v>
      </c>
      <c r="S201" s="735">
        <f t="shared" si="26"/>
        <v>0</v>
      </c>
      <c r="T201" s="735">
        <f t="shared" si="27"/>
        <v>0</v>
      </c>
      <c r="U201" s="735">
        <f t="shared" si="28"/>
        <v>44657276.129976451</v>
      </c>
      <c r="V201" s="736">
        <f t="shared" si="29"/>
        <v>0</v>
      </c>
      <c r="W201" s="735">
        <f t="shared" si="30"/>
        <v>0</v>
      </c>
      <c r="X201" s="737">
        <f t="shared" si="31"/>
        <v>44657276.129976451</v>
      </c>
      <c r="Y201" s="738">
        <f t="shared" si="32"/>
        <v>0</v>
      </c>
    </row>
    <row r="202" spans="1:25">
      <c r="A202" s="754" t="str">
        <f>'Func Future Subs 2015'!A202</f>
        <v>Foothills 237S_180</v>
      </c>
      <c r="B202" s="754">
        <f>'Func Future Subs 2015'!B202</f>
        <v>1117</v>
      </c>
      <c r="C202" s="754">
        <f>'Func Future Subs 2015'!C202</f>
        <v>240</v>
      </c>
      <c r="D202" s="754">
        <f>'Func Future Subs 2015'!D202</f>
        <v>138</v>
      </c>
      <c r="E202" s="754" t="str">
        <f>'Func Future Subs 2015'!E202</f>
        <v>237S</v>
      </c>
      <c r="F202" s="754">
        <f>'Func Future Subs 2015'!F202</f>
        <v>7942848.7389275823</v>
      </c>
      <c r="G202" s="754" t="str">
        <f>'Func Future Subs 2015'!G202</f>
        <v>AltaLink</v>
      </c>
      <c r="H202" s="754">
        <f>'Func Future Subs 2015'!H202</f>
        <v>2015</v>
      </c>
      <c r="I202" s="306">
        <f>+IF($H202=I$2,VLOOKUP($G202,Depreciation!$A$14:$L$18,7,FALSE)/2,IF($H202&lt;I$2,VLOOKUP($G202,Depreciation!$A$14:$L$18,7,FALSE),0))</f>
        <v>1.7228380322441735E-2</v>
      </c>
      <c r="J202" s="306">
        <f>+IF($H202=J$2,VLOOKUP($G202,Depreciation!$A$14:$L$18,8,FALSE)/2,IF($H202&lt;J$2,VLOOKUP($G202,Depreciation!$A$14:$L$18,8,FALSE),0))</f>
        <v>3.343407856743718E-2</v>
      </c>
      <c r="K202" s="306">
        <f>+IF($H202=K$2,VLOOKUP($G202,Depreciation!$A$14:$L$18,9,FALSE)/2,IF($H202&lt;K$2,VLOOKUP($G202,Depreciation!$A$14:$L$18,9,FALSE),0))</f>
        <v>3.343407856743718E-2</v>
      </c>
      <c r="L202" s="306">
        <f>+IF($H202=L$2,VLOOKUP($G202,Depreciation!$A$14:$L$18,10,FALSE)/2,IF($H202&lt;L$2,VLOOKUP($G202,Depreciation!$A$14:$L$18,10,FALSE),0))</f>
        <v>3.343407856743718E-2</v>
      </c>
      <c r="M202" s="306">
        <f>+IF($H202=M$2,VLOOKUP($G202,Depreciation!$A$14:$L$18,11,FALSE)/2,IF($H202&lt;M$2,VLOOKUP($G202,Depreciation!$A$14:$L$18,11,FALSE),0))</f>
        <v>3.343407856743718E-2</v>
      </c>
      <c r="N202" s="306">
        <f>+IF($H202=N$2,VLOOKUP($G202,Depreciation!$A$14:$L$18,12,FALSE)/2,IF($H202&lt;N$2,VLOOKUP($G202,Depreciation!$A$14:$L$18,12,FALSE),0))</f>
        <v>3.343407856743718E-2</v>
      </c>
      <c r="O202" s="307">
        <f t="shared" si="25"/>
        <v>7048932.2358743967</v>
      </c>
      <c r="P202" s="732">
        <f>'Func Future Subs 2015'!P202</f>
        <v>0</v>
      </c>
      <c r="Q202" s="732">
        <f>'Func Future Subs 2015'!Q202</f>
        <v>0</v>
      </c>
      <c r="R202" s="732">
        <f>'Func Future Subs 2015'!R202</f>
        <v>1</v>
      </c>
      <c r="S202" s="735">
        <f t="shared" si="26"/>
        <v>0</v>
      </c>
      <c r="T202" s="735">
        <f t="shared" si="27"/>
        <v>0</v>
      </c>
      <c r="U202" s="735">
        <f t="shared" si="28"/>
        <v>7048932.2358743967</v>
      </c>
      <c r="V202" s="736">
        <f t="shared" si="29"/>
        <v>0</v>
      </c>
      <c r="W202" s="735">
        <f t="shared" si="30"/>
        <v>0</v>
      </c>
      <c r="X202" s="737">
        <f t="shared" si="31"/>
        <v>7048932.2358743967</v>
      </c>
      <c r="Y202" s="738">
        <f t="shared" si="32"/>
        <v>0</v>
      </c>
    </row>
    <row r="203" spans="1:25">
      <c r="A203" s="754" t="str">
        <f>'Func Future Subs 2015'!A203</f>
        <v>High River 65S_180</v>
      </c>
      <c r="B203" s="754">
        <f>'Func Future Subs 2015'!B203</f>
        <v>1117</v>
      </c>
      <c r="C203" s="754">
        <f>'Func Future Subs 2015'!C203</f>
        <v>138</v>
      </c>
      <c r="D203" s="754">
        <f>'Func Future Subs 2015'!D203</f>
        <v>25</v>
      </c>
      <c r="E203" s="754" t="str">
        <f>'Func Future Subs 2015'!E203</f>
        <v>65S</v>
      </c>
      <c r="F203" s="754">
        <f>'Func Future Subs 2015'!F203</f>
        <v>7010473.3837333731</v>
      </c>
      <c r="G203" s="754" t="str">
        <f>'Func Future Subs 2015'!G203</f>
        <v>AltaLink</v>
      </c>
      <c r="H203" s="754">
        <f>'Func Future Subs 2015'!H203</f>
        <v>2015</v>
      </c>
      <c r="I203" s="306">
        <f>+IF($H203=I$2,VLOOKUP($G203,Depreciation!$A$14:$L$18,7,FALSE)/2,IF($H203&lt;I$2,VLOOKUP($G203,Depreciation!$A$14:$L$18,7,FALSE),0))</f>
        <v>1.7228380322441735E-2</v>
      </c>
      <c r="J203" s="306">
        <f>+IF($H203=J$2,VLOOKUP($G203,Depreciation!$A$14:$L$18,8,FALSE)/2,IF($H203&lt;J$2,VLOOKUP($G203,Depreciation!$A$14:$L$18,8,FALSE),0))</f>
        <v>3.343407856743718E-2</v>
      </c>
      <c r="K203" s="306">
        <f>+IF($H203=K$2,VLOOKUP($G203,Depreciation!$A$14:$L$18,9,FALSE)/2,IF($H203&lt;K$2,VLOOKUP($G203,Depreciation!$A$14:$L$18,9,FALSE),0))</f>
        <v>3.343407856743718E-2</v>
      </c>
      <c r="L203" s="306">
        <f>+IF($H203=L$2,VLOOKUP($G203,Depreciation!$A$14:$L$18,10,FALSE)/2,IF($H203&lt;L$2,VLOOKUP($G203,Depreciation!$A$14:$L$18,10,FALSE),0))</f>
        <v>3.343407856743718E-2</v>
      </c>
      <c r="M203" s="306">
        <f>+IF($H203=M$2,VLOOKUP($G203,Depreciation!$A$14:$L$18,11,FALSE)/2,IF($H203&lt;M$2,VLOOKUP($G203,Depreciation!$A$14:$L$18,11,FALSE),0))</f>
        <v>3.343407856743718E-2</v>
      </c>
      <c r="N203" s="306">
        <f>+IF($H203=N$2,VLOOKUP($G203,Depreciation!$A$14:$L$18,12,FALSE)/2,IF($H203&lt;N$2,VLOOKUP($G203,Depreciation!$A$14:$L$18,12,FALSE),0))</f>
        <v>3.343407856743718E-2</v>
      </c>
      <c r="O203" s="307">
        <f t="shared" si="25"/>
        <v>6221489.7258649878</v>
      </c>
      <c r="P203" s="732">
        <f>'Func Future Subs 2015'!P203</f>
        <v>0</v>
      </c>
      <c r="Q203" s="732">
        <f>'Func Future Subs 2015'!Q203</f>
        <v>1</v>
      </c>
      <c r="R203" s="732">
        <f>'Func Future Subs 2015'!R203</f>
        <v>0</v>
      </c>
      <c r="S203" s="735">
        <f t="shared" si="26"/>
        <v>0</v>
      </c>
      <c r="T203" s="735">
        <f t="shared" si="27"/>
        <v>6221489.7258649878</v>
      </c>
      <c r="U203" s="735">
        <f t="shared" si="28"/>
        <v>0</v>
      </c>
      <c r="V203" s="736">
        <f t="shared" si="29"/>
        <v>0</v>
      </c>
      <c r="W203" s="735">
        <f t="shared" si="30"/>
        <v>0</v>
      </c>
      <c r="X203" s="737">
        <f t="shared" si="31"/>
        <v>0</v>
      </c>
      <c r="Y203" s="738">
        <f t="shared" si="32"/>
        <v>6221489.7258649878</v>
      </c>
    </row>
    <row r="204" spans="1:25">
      <c r="A204" s="754" t="str">
        <f>'Func Future Subs 2015'!A204</f>
        <v>Janet 74S expansion_(v180)</v>
      </c>
      <c r="B204" s="754">
        <f>'Func Future Subs 2015'!B204</f>
        <v>1117</v>
      </c>
      <c r="C204" s="754">
        <f>'Func Future Subs 2015'!C204</f>
        <v>240</v>
      </c>
      <c r="D204" s="754">
        <f>'Func Future Subs 2015'!D204</f>
        <v>138</v>
      </c>
      <c r="E204" s="754" t="str">
        <f>'Func Future Subs 2015'!E204</f>
        <v>74S</v>
      </c>
      <c r="F204" s="754">
        <f>'Func Future Subs 2015'!F204</f>
        <v>26955252.769418996</v>
      </c>
      <c r="G204" s="754" t="str">
        <f>'Func Future Subs 2015'!G204</f>
        <v>AltaLink</v>
      </c>
      <c r="H204" s="754">
        <f>'Func Future Subs 2015'!H204</f>
        <v>2015</v>
      </c>
      <c r="I204" s="306">
        <f>+IF($H204=I$2,VLOOKUP($G204,Depreciation!$A$14:$L$18,7,FALSE)/2,IF($H204&lt;I$2,VLOOKUP($G204,Depreciation!$A$14:$L$18,7,FALSE),0))</f>
        <v>1.7228380322441735E-2</v>
      </c>
      <c r="J204" s="306">
        <f>+IF($H204=J$2,VLOOKUP($G204,Depreciation!$A$14:$L$18,8,FALSE)/2,IF($H204&lt;J$2,VLOOKUP($G204,Depreciation!$A$14:$L$18,8,FALSE),0))</f>
        <v>3.343407856743718E-2</v>
      </c>
      <c r="K204" s="306">
        <f>+IF($H204=K$2,VLOOKUP($G204,Depreciation!$A$14:$L$18,9,FALSE)/2,IF($H204&lt;K$2,VLOOKUP($G204,Depreciation!$A$14:$L$18,9,FALSE),0))</f>
        <v>3.343407856743718E-2</v>
      </c>
      <c r="L204" s="306">
        <f>+IF($H204=L$2,VLOOKUP($G204,Depreciation!$A$14:$L$18,10,FALSE)/2,IF($H204&lt;L$2,VLOOKUP($G204,Depreciation!$A$14:$L$18,10,FALSE),0))</f>
        <v>3.343407856743718E-2</v>
      </c>
      <c r="M204" s="306">
        <f>+IF($H204=M$2,VLOOKUP($G204,Depreciation!$A$14:$L$18,11,FALSE)/2,IF($H204&lt;M$2,VLOOKUP($G204,Depreciation!$A$14:$L$18,11,FALSE),0))</f>
        <v>3.343407856743718E-2</v>
      </c>
      <c r="N204" s="306">
        <f>+IF($H204=N$2,VLOOKUP($G204,Depreciation!$A$14:$L$18,12,FALSE)/2,IF($H204&lt;N$2,VLOOKUP($G204,Depreciation!$A$14:$L$18,12,FALSE),0))</f>
        <v>3.343407856743718E-2</v>
      </c>
      <c r="O204" s="307">
        <f t="shared" si="25"/>
        <v>23921612.562164206</v>
      </c>
      <c r="P204" s="732">
        <f>'Func Future Subs 2015'!P204</f>
        <v>0</v>
      </c>
      <c r="Q204" s="732">
        <f>'Func Future Subs 2015'!Q204</f>
        <v>0</v>
      </c>
      <c r="R204" s="732">
        <f>'Func Future Subs 2015'!R204</f>
        <v>1</v>
      </c>
      <c r="S204" s="735">
        <f t="shared" si="26"/>
        <v>0</v>
      </c>
      <c r="T204" s="735">
        <f t="shared" si="27"/>
        <v>0</v>
      </c>
      <c r="U204" s="735">
        <f t="shared" si="28"/>
        <v>23921612.562164206</v>
      </c>
      <c r="V204" s="736">
        <f t="shared" si="29"/>
        <v>0</v>
      </c>
      <c r="W204" s="735">
        <f t="shared" si="30"/>
        <v>0</v>
      </c>
      <c r="X204" s="737">
        <f t="shared" si="31"/>
        <v>23921612.562164206</v>
      </c>
      <c r="Y204" s="738">
        <f t="shared" si="32"/>
        <v>0</v>
      </c>
    </row>
    <row r="205" spans="1:25">
      <c r="A205" s="754" t="str">
        <f>'Func Future Subs 2015'!A205</f>
        <v>Langdon 102S_(v180)</v>
      </c>
      <c r="B205" s="754">
        <f>'Func Future Subs 2015'!B205</f>
        <v>1117</v>
      </c>
      <c r="C205" s="754">
        <f>'Func Future Subs 2015'!C205</f>
        <v>500</v>
      </c>
      <c r="D205" s="754">
        <f>'Func Future Subs 2015'!D205</f>
        <v>240</v>
      </c>
      <c r="E205" s="754" t="str">
        <f>'Func Future Subs 2015'!E205</f>
        <v>102S</v>
      </c>
      <c r="F205" s="754">
        <f>'Func Future Subs 2015'!F205</f>
        <v>26111161.304189671</v>
      </c>
      <c r="G205" s="754" t="str">
        <f>'Func Future Subs 2015'!G205</f>
        <v>AltaLink</v>
      </c>
      <c r="H205" s="754">
        <f>'Func Future Subs 2015'!H205</f>
        <v>2015</v>
      </c>
      <c r="I205" s="306">
        <f>+IF($H205=I$2,VLOOKUP($G205,Depreciation!$A$14:$L$18,7,FALSE)/2,IF($H205&lt;I$2,VLOOKUP($G205,Depreciation!$A$14:$L$18,7,FALSE),0))</f>
        <v>1.7228380322441735E-2</v>
      </c>
      <c r="J205" s="306">
        <f>+IF($H205=J$2,VLOOKUP($G205,Depreciation!$A$14:$L$18,8,FALSE)/2,IF($H205&lt;J$2,VLOOKUP($G205,Depreciation!$A$14:$L$18,8,FALSE),0))</f>
        <v>3.343407856743718E-2</v>
      </c>
      <c r="K205" s="306">
        <f>+IF($H205=K$2,VLOOKUP($G205,Depreciation!$A$14:$L$18,9,FALSE)/2,IF($H205&lt;K$2,VLOOKUP($G205,Depreciation!$A$14:$L$18,9,FALSE),0))</f>
        <v>3.343407856743718E-2</v>
      </c>
      <c r="L205" s="306">
        <f>+IF($H205=L$2,VLOOKUP($G205,Depreciation!$A$14:$L$18,10,FALSE)/2,IF($H205&lt;L$2,VLOOKUP($G205,Depreciation!$A$14:$L$18,10,FALSE),0))</f>
        <v>3.343407856743718E-2</v>
      </c>
      <c r="M205" s="306">
        <f>+IF($H205=M$2,VLOOKUP($G205,Depreciation!$A$14:$L$18,11,FALSE)/2,IF($H205&lt;M$2,VLOOKUP($G205,Depreciation!$A$14:$L$18,11,FALSE),0))</f>
        <v>3.343407856743718E-2</v>
      </c>
      <c r="N205" s="306">
        <f>+IF($H205=N$2,VLOOKUP($G205,Depreciation!$A$14:$L$18,12,FALSE)/2,IF($H205&lt;N$2,VLOOKUP($G205,Depreciation!$A$14:$L$18,12,FALSE),0))</f>
        <v>3.343407856743718E-2</v>
      </c>
      <c r="O205" s="307">
        <f t="shared" si="25"/>
        <v>23172518.158525243</v>
      </c>
      <c r="P205" s="732">
        <f>'Func Future Subs 2015'!P205</f>
        <v>0</v>
      </c>
      <c r="Q205" s="732">
        <f>'Func Future Subs 2015'!Q205</f>
        <v>0</v>
      </c>
      <c r="R205" s="732">
        <f>'Func Future Subs 2015'!R205</f>
        <v>1</v>
      </c>
      <c r="S205" s="735">
        <f t="shared" si="26"/>
        <v>0</v>
      </c>
      <c r="T205" s="735">
        <f t="shared" si="27"/>
        <v>0</v>
      </c>
      <c r="U205" s="735">
        <f t="shared" si="28"/>
        <v>23172518.158525243</v>
      </c>
      <c r="V205" s="736">
        <f t="shared" si="29"/>
        <v>0</v>
      </c>
      <c r="W205" s="735">
        <f t="shared" si="30"/>
        <v>23172518.158525243</v>
      </c>
      <c r="X205" s="737">
        <f t="shared" si="31"/>
        <v>0</v>
      </c>
      <c r="Y205" s="738">
        <f t="shared" si="32"/>
        <v>0</v>
      </c>
    </row>
    <row r="206" spans="1:25">
      <c r="A206" s="754" t="str">
        <f>'Func Future Subs 2015'!A206</f>
        <v>Okotok 678S_180</v>
      </c>
      <c r="B206" s="754">
        <f>'Func Future Subs 2015'!B206</f>
        <v>1117</v>
      </c>
      <c r="C206" s="754">
        <f>'Func Future Subs 2015'!C206</f>
        <v>138</v>
      </c>
      <c r="D206" s="754">
        <f>'Func Future Subs 2015'!D206</f>
        <v>25</v>
      </c>
      <c r="E206" s="754" t="str">
        <f>'Func Future Subs 2015'!E206</f>
        <v>678S</v>
      </c>
      <c r="F206" s="754">
        <f>'Func Future Subs 2015'!F206</f>
        <v>5976888.018172862</v>
      </c>
      <c r="G206" s="754" t="str">
        <f>'Func Future Subs 2015'!G206</f>
        <v>AltaLink</v>
      </c>
      <c r="H206" s="754">
        <f>'Func Future Subs 2015'!H206</f>
        <v>2015</v>
      </c>
      <c r="I206" s="306">
        <f>+IF($H206=I$2,VLOOKUP($G206,Depreciation!$A$14:$L$18,7,FALSE)/2,IF($H206&lt;I$2,VLOOKUP($G206,Depreciation!$A$14:$L$18,7,FALSE),0))</f>
        <v>1.7228380322441735E-2</v>
      </c>
      <c r="J206" s="306">
        <f>+IF($H206=J$2,VLOOKUP($G206,Depreciation!$A$14:$L$18,8,FALSE)/2,IF($H206&lt;J$2,VLOOKUP($G206,Depreciation!$A$14:$L$18,8,FALSE),0))</f>
        <v>3.343407856743718E-2</v>
      </c>
      <c r="K206" s="306">
        <f>+IF($H206=K$2,VLOOKUP($G206,Depreciation!$A$14:$L$18,9,FALSE)/2,IF($H206&lt;K$2,VLOOKUP($G206,Depreciation!$A$14:$L$18,9,FALSE),0))</f>
        <v>3.343407856743718E-2</v>
      </c>
      <c r="L206" s="306">
        <f>+IF($H206=L$2,VLOOKUP($G206,Depreciation!$A$14:$L$18,10,FALSE)/2,IF($H206&lt;L$2,VLOOKUP($G206,Depreciation!$A$14:$L$18,10,FALSE),0))</f>
        <v>3.343407856743718E-2</v>
      </c>
      <c r="M206" s="306">
        <f>+IF($H206=M$2,VLOOKUP($G206,Depreciation!$A$14:$L$18,11,FALSE)/2,IF($H206&lt;M$2,VLOOKUP($G206,Depreciation!$A$14:$L$18,11,FALSE),0))</f>
        <v>3.343407856743718E-2</v>
      </c>
      <c r="N206" s="306">
        <f>+IF($H206=N$2,VLOOKUP($G206,Depreciation!$A$14:$L$18,12,FALSE)/2,IF($H206&lt;N$2,VLOOKUP($G206,Depreciation!$A$14:$L$18,12,FALSE),0))</f>
        <v>3.343407856743718E-2</v>
      </c>
      <c r="O206" s="307">
        <f t="shared" si="25"/>
        <v>5304227.7407385791</v>
      </c>
      <c r="P206" s="732">
        <f>'Func Future Subs 2015'!P206</f>
        <v>0</v>
      </c>
      <c r="Q206" s="732">
        <f>'Func Future Subs 2015'!Q206</f>
        <v>1</v>
      </c>
      <c r="R206" s="732">
        <f>'Func Future Subs 2015'!R206</f>
        <v>0</v>
      </c>
      <c r="S206" s="735">
        <f t="shared" si="26"/>
        <v>0</v>
      </c>
      <c r="T206" s="735">
        <f t="shared" si="27"/>
        <v>5304227.7407385791</v>
      </c>
      <c r="U206" s="735">
        <f t="shared" si="28"/>
        <v>0</v>
      </c>
      <c r="V206" s="736">
        <f t="shared" si="29"/>
        <v>0</v>
      </c>
      <c r="W206" s="735">
        <f t="shared" si="30"/>
        <v>0</v>
      </c>
      <c r="X206" s="737">
        <f t="shared" si="31"/>
        <v>0</v>
      </c>
      <c r="Y206" s="738">
        <f t="shared" si="32"/>
        <v>5304227.7407385791</v>
      </c>
    </row>
    <row r="207" spans="1:25">
      <c r="A207" s="754" t="str">
        <f>'Func Future Subs 2015'!A207</f>
        <v>2060S Engstrom Substation</v>
      </c>
      <c r="B207" s="754">
        <f>'Func Future Subs 2015'!B207</f>
        <v>1128</v>
      </c>
      <c r="C207" s="754">
        <f>'Func Future Subs 2015'!C207</f>
        <v>144</v>
      </c>
      <c r="D207" s="754">
        <f>'Func Future Subs 2015'!D207</f>
        <v>25</v>
      </c>
      <c r="E207" s="754" t="str">
        <f>'Func Future Subs 2015'!E207</f>
        <v>2060S</v>
      </c>
      <c r="F207" s="754">
        <f>'Func Future Subs 2015'!F207</f>
        <v>3013835.5296935784</v>
      </c>
      <c r="G207" s="754" t="str">
        <f>'Func Future Subs 2015'!G207</f>
        <v>ATCO</v>
      </c>
      <c r="H207" s="754">
        <f>'Func Future Subs 2015'!H207</f>
        <v>2015</v>
      </c>
      <c r="I207" s="306">
        <f>+IF($H207=I$2,VLOOKUP($G207,Depreciation!$A$14:$L$18,7,FALSE)/2,IF($H207&lt;I$2,VLOOKUP($G207,Depreciation!$A$14:$L$18,7,FALSE),0))</f>
        <v>1.221703683566912E-2</v>
      </c>
      <c r="J207" s="306">
        <f>+IF($H207=J$2,VLOOKUP($G207,Depreciation!$A$14:$L$18,8,FALSE)/2,IF($H207&lt;J$2,VLOOKUP($G207,Depreciation!$A$14:$L$18,8,FALSE),0))</f>
        <v>2.4632450501084719E-2</v>
      </c>
      <c r="K207" s="306">
        <f>+IF($H207=K$2,VLOOKUP($G207,Depreciation!$A$14:$L$18,9,FALSE)/2,IF($H207&lt;K$2,VLOOKUP($G207,Depreciation!$A$14:$L$18,9,FALSE),0))</f>
        <v>2.4351536427798831E-2</v>
      </c>
      <c r="L207" s="306">
        <f>+IF($H207=L$2,VLOOKUP($G207,Depreciation!$A$14:$L$18,10,FALSE)/2,IF($H207&lt;L$2,VLOOKUP($G207,Depreciation!$A$14:$L$18,10,FALSE),0))</f>
        <v>2.4351536427798831E-2</v>
      </c>
      <c r="M207" s="306">
        <f>+IF($H207=M$2,VLOOKUP($G207,Depreciation!$A$14:$L$18,11,FALSE)/2,IF($H207&lt;M$2,VLOOKUP($G207,Depreciation!$A$14:$L$18,11,FALSE),0))</f>
        <v>2.4351536427798831E-2</v>
      </c>
      <c r="N207" s="306">
        <f>+IF($H207=N$2,VLOOKUP($G207,Depreciation!$A$14:$L$18,12,FALSE)/2,IF($H207&lt;N$2,VLOOKUP($G207,Depreciation!$A$14:$L$18,12,FALSE),0))</f>
        <v>2.4351536427798831E-2</v>
      </c>
      <c r="O207" s="307">
        <f t="shared" si="25"/>
        <v>2763987.7393224561</v>
      </c>
      <c r="P207" s="732">
        <f>'Func Future Subs 2015'!P207</f>
        <v>0</v>
      </c>
      <c r="Q207" s="732">
        <f>'Func Future Subs 2015'!Q207</f>
        <v>1</v>
      </c>
      <c r="R207" s="732">
        <f>'Func Future Subs 2015'!R207</f>
        <v>0</v>
      </c>
      <c r="S207" s="735">
        <f t="shared" si="26"/>
        <v>0</v>
      </c>
      <c r="T207" s="735">
        <f t="shared" si="27"/>
        <v>2763987.7393224561</v>
      </c>
      <c r="U207" s="735">
        <f t="shared" si="28"/>
        <v>0</v>
      </c>
      <c r="V207" s="736">
        <f t="shared" si="29"/>
        <v>0</v>
      </c>
      <c r="W207" s="735">
        <f t="shared" si="30"/>
        <v>0</v>
      </c>
      <c r="X207" s="737">
        <f t="shared" si="31"/>
        <v>0</v>
      </c>
      <c r="Y207" s="738">
        <f t="shared" si="32"/>
        <v>2763987.7393224561</v>
      </c>
    </row>
    <row r="208" spans="1:25">
      <c r="A208" s="754" t="str">
        <f>'Func Future Subs 2015'!A208</f>
        <v>856S Kinosis Substation</v>
      </c>
      <c r="B208" s="754">
        <f>'Func Future Subs 2015'!B208</f>
        <v>1128</v>
      </c>
      <c r="C208" s="754">
        <f>'Func Future Subs 2015'!C208</f>
        <v>240</v>
      </c>
      <c r="D208" s="754">
        <f>'Func Future Subs 2015'!D208</f>
        <v>25</v>
      </c>
      <c r="E208" s="754" t="str">
        <f>'Func Future Subs 2015'!E208</f>
        <v>856S</v>
      </c>
      <c r="F208" s="754">
        <f>'Func Future Subs 2015'!F208</f>
        <v>26494192.572163552</v>
      </c>
      <c r="G208" s="754" t="str">
        <f>'Func Future Subs 2015'!G208</f>
        <v>ATCO</v>
      </c>
      <c r="H208" s="754">
        <f>'Func Future Subs 2015'!H208</f>
        <v>2015</v>
      </c>
      <c r="I208" s="306">
        <f>+IF($H208=I$2,VLOOKUP($G208,Depreciation!$A$14:$L$18,7,FALSE)/2,IF($H208&lt;I$2,VLOOKUP($G208,Depreciation!$A$14:$L$18,7,FALSE),0))</f>
        <v>1.221703683566912E-2</v>
      </c>
      <c r="J208" s="306">
        <f>+IF($H208=J$2,VLOOKUP($G208,Depreciation!$A$14:$L$18,8,FALSE)/2,IF($H208&lt;J$2,VLOOKUP($G208,Depreciation!$A$14:$L$18,8,FALSE),0))</f>
        <v>2.4632450501084719E-2</v>
      </c>
      <c r="K208" s="306">
        <f>+IF($H208=K$2,VLOOKUP($G208,Depreciation!$A$14:$L$18,9,FALSE)/2,IF($H208&lt;K$2,VLOOKUP($G208,Depreciation!$A$14:$L$18,9,FALSE),0))</f>
        <v>2.4351536427798831E-2</v>
      </c>
      <c r="L208" s="306">
        <f>+IF($H208=L$2,VLOOKUP($G208,Depreciation!$A$14:$L$18,10,FALSE)/2,IF($H208&lt;L$2,VLOOKUP($G208,Depreciation!$A$14:$L$18,10,FALSE),0))</f>
        <v>2.4351536427798831E-2</v>
      </c>
      <c r="M208" s="306">
        <f>+IF($H208=M$2,VLOOKUP($G208,Depreciation!$A$14:$L$18,11,FALSE)/2,IF($H208&lt;M$2,VLOOKUP($G208,Depreciation!$A$14:$L$18,11,FALSE),0))</f>
        <v>2.4351536427798831E-2</v>
      </c>
      <c r="N208" s="306">
        <f>+IF($H208=N$2,VLOOKUP($G208,Depreciation!$A$14:$L$18,12,FALSE)/2,IF($H208&lt;N$2,VLOOKUP($G208,Depreciation!$A$14:$L$18,12,FALSE),0))</f>
        <v>2.4351536427798831E-2</v>
      </c>
      <c r="O208" s="307">
        <f t="shared" si="25"/>
        <v>24297816.755831234</v>
      </c>
      <c r="P208" s="732">
        <f>'Func Future Subs 2015'!P208</f>
        <v>0</v>
      </c>
      <c r="Q208" s="732">
        <f>'Func Future Subs 2015'!Q208</f>
        <v>1</v>
      </c>
      <c r="R208" s="732">
        <f>'Func Future Subs 2015'!R208</f>
        <v>0</v>
      </c>
      <c r="S208" s="735">
        <f t="shared" si="26"/>
        <v>0</v>
      </c>
      <c r="T208" s="735">
        <f t="shared" si="27"/>
        <v>24297816.755831234</v>
      </c>
      <c r="U208" s="735">
        <f t="shared" si="28"/>
        <v>0</v>
      </c>
      <c r="V208" s="736">
        <f t="shared" si="29"/>
        <v>0</v>
      </c>
      <c r="W208" s="735">
        <f t="shared" si="30"/>
        <v>0</v>
      </c>
      <c r="X208" s="737">
        <f t="shared" si="31"/>
        <v>0</v>
      </c>
      <c r="Y208" s="738">
        <f t="shared" si="32"/>
        <v>24297816.755831234</v>
      </c>
    </row>
    <row r="209" spans="1:25">
      <c r="A209" s="754" t="str">
        <f>'Func Future Subs 2015'!A209</f>
        <v>989S Quigley substation</v>
      </c>
      <c r="B209" s="754">
        <f>'Func Future Subs 2015'!B209</f>
        <v>1128</v>
      </c>
      <c r="C209" s="754">
        <f>'Func Future Subs 2015'!C209</f>
        <v>144</v>
      </c>
      <c r="D209" s="754">
        <f>'Func Future Subs 2015'!D209</f>
        <v>25</v>
      </c>
      <c r="E209" s="754" t="str">
        <f>'Func Future Subs 2015'!E209</f>
        <v>989S</v>
      </c>
      <c r="F209" s="754">
        <f>'Func Future Subs 2015'!F209</f>
        <v>2933649.2335773744</v>
      </c>
      <c r="G209" s="754" t="str">
        <f>'Func Future Subs 2015'!G209</f>
        <v>ATCO</v>
      </c>
      <c r="H209" s="754">
        <f>'Func Future Subs 2015'!H209</f>
        <v>2015</v>
      </c>
      <c r="I209" s="306">
        <f>+IF($H209=I$2,VLOOKUP($G209,Depreciation!$A$14:$L$18,7,FALSE)/2,IF($H209&lt;I$2,VLOOKUP($G209,Depreciation!$A$14:$L$18,7,FALSE),0))</f>
        <v>1.221703683566912E-2</v>
      </c>
      <c r="J209" s="306">
        <f>+IF($H209=J$2,VLOOKUP($G209,Depreciation!$A$14:$L$18,8,FALSE)/2,IF($H209&lt;J$2,VLOOKUP($G209,Depreciation!$A$14:$L$18,8,FALSE),0))</f>
        <v>2.4632450501084719E-2</v>
      </c>
      <c r="K209" s="306">
        <f>+IF($H209=K$2,VLOOKUP($G209,Depreciation!$A$14:$L$18,9,FALSE)/2,IF($H209&lt;K$2,VLOOKUP($G209,Depreciation!$A$14:$L$18,9,FALSE),0))</f>
        <v>2.4351536427798831E-2</v>
      </c>
      <c r="L209" s="306">
        <f>+IF($H209=L$2,VLOOKUP($G209,Depreciation!$A$14:$L$18,10,FALSE)/2,IF($H209&lt;L$2,VLOOKUP($G209,Depreciation!$A$14:$L$18,10,FALSE),0))</f>
        <v>2.4351536427798831E-2</v>
      </c>
      <c r="M209" s="306">
        <f>+IF($H209=M$2,VLOOKUP($G209,Depreciation!$A$14:$L$18,11,FALSE)/2,IF($H209&lt;M$2,VLOOKUP($G209,Depreciation!$A$14:$L$18,11,FALSE),0))</f>
        <v>2.4351536427798831E-2</v>
      </c>
      <c r="N209" s="306">
        <f>+IF($H209=N$2,VLOOKUP($G209,Depreciation!$A$14:$L$18,12,FALSE)/2,IF($H209&lt;N$2,VLOOKUP($G209,Depreciation!$A$14:$L$18,12,FALSE),0))</f>
        <v>2.4351536427798831E-2</v>
      </c>
      <c r="O209" s="307">
        <f t="shared" si="25"/>
        <v>2690448.9091032101</v>
      </c>
      <c r="P209" s="732">
        <f>'Func Future Subs 2015'!P209</f>
        <v>0</v>
      </c>
      <c r="Q209" s="732">
        <f>'Func Future Subs 2015'!Q209</f>
        <v>1</v>
      </c>
      <c r="R209" s="732">
        <f>'Func Future Subs 2015'!R209</f>
        <v>0</v>
      </c>
      <c r="S209" s="735">
        <f t="shared" si="26"/>
        <v>0</v>
      </c>
      <c r="T209" s="735">
        <f t="shared" si="27"/>
        <v>2690448.9091032101</v>
      </c>
      <c r="U209" s="735">
        <f t="shared" si="28"/>
        <v>0</v>
      </c>
      <c r="V209" s="736">
        <f t="shared" si="29"/>
        <v>0</v>
      </c>
      <c r="W209" s="735">
        <f t="shared" si="30"/>
        <v>0</v>
      </c>
      <c r="X209" s="737">
        <f t="shared" si="31"/>
        <v>0</v>
      </c>
      <c r="Y209" s="738">
        <f t="shared" si="32"/>
        <v>2690448.9091032101</v>
      </c>
    </row>
    <row r="210" spans="1:25">
      <c r="A210" s="754" t="str">
        <f>'Func Future Subs 2015'!A210</f>
        <v>Engstorm 2060S substation</v>
      </c>
      <c r="B210" s="754">
        <f>'Func Future Subs 2015'!B210</f>
        <v>1128</v>
      </c>
      <c r="C210" s="754">
        <f>'Func Future Subs 2015'!C210</f>
        <v>144</v>
      </c>
      <c r="D210" s="754">
        <f>'Func Future Subs 2015'!D210</f>
        <v>25</v>
      </c>
      <c r="E210" s="754" t="str">
        <f>'Func Future Subs 2015'!E210</f>
        <v>2060S</v>
      </c>
      <c r="F210" s="754">
        <f>'Func Future Subs 2015'!F210</f>
        <v>25809473.341965247</v>
      </c>
      <c r="G210" s="754" t="str">
        <f>'Func Future Subs 2015'!G210</f>
        <v>ATCO</v>
      </c>
      <c r="H210" s="754">
        <f>'Func Future Subs 2015'!H210</f>
        <v>2015</v>
      </c>
      <c r="I210" s="306">
        <f>+IF($H210=I$2,VLOOKUP($G210,Depreciation!$A$14:$L$18,7,FALSE)/2,IF($H210&lt;I$2,VLOOKUP($G210,Depreciation!$A$14:$L$18,7,FALSE),0))</f>
        <v>1.221703683566912E-2</v>
      </c>
      <c r="J210" s="306">
        <f>+IF($H210=J$2,VLOOKUP($G210,Depreciation!$A$14:$L$18,8,FALSE)/2,IF($H210&lt;J$2,VLOOKUP($G210,Depreciation!$A$14:$L$18,8,FALSE),0))</f>
        <v>2.4632450501084719E-2</v>
      </c>
      <c r="K210" s="306">
        <f>+IF($H210=K$2,VLOOKUP($G210,Depreciation!$A$14:$L$18,9,FALSE)/2,IF($H210&lt;K$2,VLOOKUP($G210,Depreciation!$A$14:$L$18,9,FALSE),0))</f>
        <v>2.4351536427798831E-2</v>
      </c>
      <c r="L210" s="306">
        <f>+IF($H210=L$2,VLOOKUP($G210,Depreciation!$A$14:$L$18,10,FALSE)/2,IF($H210&lt;L$2,VLOOKUP($G210,Depreciation!$A$14:$L$18,10,FALSE),0))</f>
        <v>2.4351536427798831E-2</v>
      </c>
      <c r="M210" s="306">
        <f>+IF($H210=M$2,VLOOKUP($G210,Depreciation!$A$14:$L$18,11,FALSE)/2,IF($H210&lt;M$2,VLOOKUP($G210,Depreciation!$A$14:$L$18,11,FALSE),0))</f>
        <v>2.4351536427798831E-2</v>
      </c>
      <c r="N210" s="306">
        <f>+IF($H210=N$2,VLOOKUP($G210,Depreciation!$A$14:$L$18,12,FALSE)/2,IF($H210&lt;N$2,VLOOKUP($G210,Depreciation!$A$14:$L$18,12,FALSE),0))</f>
        <v>2.4351536427798831E-2</v>
      </c>
      <c r="O210" s="307">
        <f t="shared" si="25"/>
        <v>23669860.937240552</v>
      </c>
      <c r="P210" s="732">
        <f>'Func Future Subs 2015'!P210</f>
        <v>0</v>
      </c>
      <c r="Q210" s="732">
        <f>'Func Future Subs 2015'!Q210</f>
        <v>1</v>
      </c>
      <c r="R210" s="732">
        <f>'Func Future Subs 2015'!R210</f>
        <v>0</v>
      </c>
      <c r="S210" s="735">
        <f t="shared" si="26"/>
        <v>0</v>
      </c>
      <c r="T210" s="735">
        <f t="shared" si="27"/>
        <v>23669860.937240552</v>
      </c>
      <c r="U210" s="735">
        <f t="shared" si="28"/>
        <v>0</v>
      </c>
      <c r="V210" s="736">
        <f t="shared" si="29"/>
        <v>0</v>
      </c>
      <c r="W210" s="735">
        <f t="shared" si="30"/>
        <v>0</v>
      </c>
      <c r="X210" s="737">
        <f t="shared" si="31"/>
        <v>0</v>
      </c>
      <c r="Y210" s="738">
        <f t="shared" si="32"/>
        <v>23669860.937240552</v>
      </c>
    </row>
    <row r="211" spans="1:25">
      <c r="A211" s="754" t="str">
        <f>'Func Future Subs 2015'!A211</f>
        <v>Construction of a new switching station, Birchwood Creek 2060S 180day</v>
      </c>
      <c r="B211" s="754">
        <f>'Func Future Subs 2015'!B211</f>
        <v>1180</v>
      </c>
      <c r="C211" s="754">
        <f>'Func Future Subs 2015'!C211</f>
        <v>240</v>
      </c>
      <c r="D211" s="754">
        <f>'Func Future Subs 2015'!D211</f>
        <v>25</v>
      </c>
      <c r="E211" s="754" t="str">
        <f>'Func Future Subs 2015'!E211</f>
        <v>2060S</v>
      </c>
      <c r="F211" s="754">
        <f>'Func Future Subs 2015'!F211</f>
        <v>0</v>
      </c>
      <c r="G211" s="754" t="str">
        <f>'Func Future Subs 2015'!G211</f>
        <v>ATCO</v>
      </c>
      <c r="H211" s="754">
        <f>'Func Future Subs 2015'!H211</f>
        <v>2100</v>
      </c>
      <c r="I211" s="306">
        <f>+IF($H211=I$2,VLOOKUP($G211,Depreciation!$A$14:$L$18,7,FALSE)/2,IF($H211&lt;I$2,VLOOKUP($G211,Depreciation!$A$14:$L$18,7,FALSE),0))</f>
        <v>0</v>
      </c>
      <c r="J211" s="306">
        <f>+IF($H211=J$2,VLOOKUP($G211,Depreciation!$A$14:$L$18,8,FALSE)/2,IF($H211&lt;J$2,VLOOKUP($G211,Depreciation!$A$14:$L$18,8,FALSE),0))</f>
        <v>0</v>
      </c>
      <c r="K211" s="306">
        <f>+IF($H211=K$2,VLOOKUP($G211,Depreciation!$A$14:$L$18,9,FALSE)/2,IF($H211&lt;K$2,VLOOKUP($G211,Depreciation!$A$14:$L$18,9,FALSE),0))</f>
        <v>0</v>
      </c>
      <c r="L211" s="306">
        <f>+IF($H211=L$2,VLOOKUP($G211,Depreciation!$A$14:$L$18,10,FALSE)/2,IF($H211&lt;L$2,VLOOKUP($G211,Depreciation!$A$14:$L$18,10,FALSE),0))</f>
        <v>0</v>
      </c>
      <c r="M211" s="306">
        <f>+IF($H211=M$2,VLOOKUP($G211,Depreciation!$A$14:$L$18,11,FALSE)/2,IF($H211&lt;M$2,VLOOKUP($G211,Depreciation!$A$14:$L$18,11,FALSE),0))</f>
        <v>0</v>
      </c>
      <c r="N211" s="306">
        <f>+IF($H211=N$2,VLOOKUP($G211,Depreciation!$A$14:$L$18,12,FALSE)/2,IF($H211&lt;N$2,VLOOKUP($G211,Depreciation!$A$14:$L$18,12,FALSE),0))</f>
        <v>0</v>
      </c>
      <c r="O211" s="307">
        <f t="shared" si="25"/>
        <v>0</v>
      </c>
      <c r="P211" s="732">
        <f>'Func Future Subs 2015'!P211</f>
        <v>0</v>
      </c>
      <c r="Q211" s="732">
        <f>'Func Future Subs 2015'!Q211</f>
        <v>1</v>
      </c>
      <c r="R211" s="732">
        <f>'Func Future Subs 2015'!R211</f>
        <v>0</v>
      </c>
      <c r="S211" s="735">
        <f t="shared" si="26"/>
        <v>0</v>
      </c>
      <c r="T211" s="735">
        <f t="shared" si="27"/>
        <v>0</v>
      </c>
      <c r="U211" s="735">
        <f t="shared" si="28"/>
        <v>0</v>
      </c>
      <c r="V211" s="736">
        <f t="shared" si="29"/>
        <v>0</v>
      </c>
      <c r="W211" s="735">
        <f t="shared" si="30"/>
        <v>0</v>
      </c>
      <c r="X211" s="737">
        <f t="shared" si="31"/>
        <v>0</v>
      </c>
      <c r="Y211" s="738">
        <f t="shared" si="32"/>
        <v>0</v>
      </c>
    </row>
    <row r="212" spans="1:25">
      <c r="A212" s="754" t="str">
        <f>'Func Future Subs 2015'!A212</f>
        <v>Ells River 2079S</v>
      </c>
      <c r="B212" s="754">
        <f>'Func Future Subs 2015'!B212</f>
        <v>1180</v>
      </c>
      <c r="C212" s="754">
        <f>'Func Future Subs 2015'!C212</f>
        <v>240</v>
      </c>
      <c r="D212" s="754">
        <f>'Func Future Subs 2015'!D212</f>
        <v>240</v>
      </c>
      <c r="E212" s="754" t="str">
        <f>'Func Future Subs 2015'!E212</f>
        <v>2079S</v>
      </c>
      <c r="F212" s="754">
        <f>'Func Future Subs 2015'!F212</f>
        <v>0</v>
      </c>
      <c r="G212" s="754" t="str">
        <f>'Func Future Subs 2015'!G212</f>
        <v>ATCO</v>
      </c>
      <c r="H212" s="754">
        <f>'Func Future Subs 2015'!H212</f>
        <v>2100</v>
      </c>
      <c r="I212" s="306">
        <f>+IF($H212=I$2,VLOOKUP($G212,Depreciation!$A$14:$L$18,7,FALSE)/2,IF($H212&lt;I$2,VLOOKUP($G212,Depreciation!$A$14:$L$18,7,FALSE),0))</f>
        <v>0</v>
      </c>
      <c r="J212" s="306">
        <f>+IF($H212=J$2,VLOOKUP($G212,Depreciation!$A$14:$L$18,8,FALSE)/2,IF($H212&lt;J$2,VLOOKUP($G212,Depreciation!$A$14:$L$18,8,FALSE),0))</f>
        <v>0</v>
      </c>
      <c r="K212" s="306">
        <f>+IF($H212=K$2,VLOOKUP($G212,Depreciation!$A$14:$L$18,9,FALSE)/2,IF($H212&lt;K$2,VLOOKUP($G212,Depreciation!$A$14:$L$18,9,FALSE),0))</f>
        <v>0</v>
      </c>
      <c r="L212" s="306">
        <f>+IF($H212=L$2,VLOOKUP($G212,Depreciation!$A$14:$L$18,10,FALSE)/2,IF($H212&lt;L$2,VLOOKUP($G212,Depreciation!$A$14:$L$18,10,FALSE),0))</f>
        <v>0</v>
      </c>
      <c r="M212" s="306">
        <f>+IF($H212=M$2,VLOOKUP($G212,Depreciation!$A$14:$L$18,11,FALSE)/2,IF($H212&lt;M$2,VLOOKUP($G212,Depreciation!$A$14:$L$18,11,FALSE),0))</f>
        <v>0</v>
      </c>
      <c r="N212" s="306">
        <f>+IF($H212=N$2,VLOOKUP($G212,Depreciation!$A$14:$L$18,12,FALSE)/2,IF($H212&lt;N$2,VLOOKUP($G212,Depreciation!$A$14:$L$18,12,FALSE),0))</f>
        <v>0</v>
      </c>
      <c r="O212" s="307">
        <f t="shared" si="25"/>
        <v>0</v>
      </c>
      <c r="P212" s="732">
        <f>'Func Future Subs 2015'!P212</f>
        <v>0</v>
      </c>
      <c r="Q212" s="732">
        <f>'Func Future Subs 2015'!Q212</f>
        <v>0</v>
      </c>
      <c r="R212" s="732">
        <f>'Func Future Subs 2015'!R212</f>
        <v>1</v>
      </c>
      <c r="S212" s="735">
        <f t="shared" si="26"/>
        <v>0</v>
      </c>
      <c r="T212" s="735">
        <f t="shared" si="27"/>
        <v>0</v>
      </c>
      <c r="U212" s="735">
        <f t="shared" si="28"/>
        <v>0</v>
      </c>
      <c r="V212" s="736">
        <f t="shared" si="29"/>
        <v>0</v>
      </c>
      <c r="W212" s="735">
        <f t="shared" si="30"/>
        <v>0</v>
      </c>
      <c r="X212" s="737">
        <f t="shared" si="31"/>
        <v>0</v>
      </c>
      <c r="Y212" s="738">
        <f t="shared" si="32"/>
        <v>0</v>
      </c>
    </row>
    <row r="213" spans="1:25">
      <c r="A213" s="754" t="str">
        <f>'Func Future Subs 2015'!A213</f>
        <v>Modify Dover 888S substation</v>
      </c>
      <c r="B213" s="754">
        <f>'Func Future Subs 2015'!B213</f>
        <v>1180</v>
      </c>
      <c r="C213" s="754">
        <f>'Func Future Subs 2015'!C213</f>
        <v>240</v>
      </c>
      <c r="D213" s="754">
        <f>'Func Future Subs 2015'!D213</f>
        <v>240</v>
      </c>
      <c r="E213" s="754" t="str">
        <f>'Func Future Subs 2015'!E213</f>
        <v>888S</v>
      </c>
      <c r="F213" s="754">
        <f>'Func Future Subs 2015'!F213</f>
        <v>0</v>
      </c>
      <c r="G213" s="754" t="str">
        <f>'Func Future Subs 2015'!G213</f>
        <v>ATCO</v>
      </c>
      <c r="H213" s="754">
        <f>'Func Future Subs 2015'!H213</f>
        <v>2100</v>
      </c>
      <c r="I213" s="306">
        <f>+IF($H213=I$2,VLOOKUP($G213,Depreciation!$A$14:$L$18,7,FALSE)/2,IF($H213&lt;I$2,VLOOKUP($G213,Depreciation!$A$14:$L$18,7,FALSE),0))</f>
        <v>0</v>
      </c>
      <c r="J213" s="306">
        <f>+IF($H213=J$2,VLOOKUP($G213,Depreciation!$A$14:$L$18,8,FALSE)/2,IF($H213&lt;J$2,VLOOKUP($G213,Depreciation!$A$14:$L$18,8,FALSE),0))</f>
        <v>0</v>
      </c>
      <c r="K213" s="306">
        <f>+IF($H213=K$2,VLOOKUP($G213,Depreciation!$A$14:$L$18,9,FALSE)/2,IF($H213&lt;K$2,VLOOKUP($G213,Depreciation!$A$14:$L$18,9,FALSE),0))</f>
        <v>0</v>
      </c>
      <c r="L213" s="306">
        <f>+IF($H213=L$2,VLOOKUP($G213,Depreciation!$A$14:$L$18,10,FALSE)/2,IF($H213&lt;L$2,VLOOKUP($G213,Depreciation!$A$14:$L$18,10,FALSE),0))</f>
        <v>0</v>
      </c>
      <c r="M213" s="306">
        <f>+IF($H213=M$2,VLOOKUP($G213,Depreciation!$A$14:$L$18,11,FALSE)/2,IF($H213&lt;M$2,VLOOKUP($G213,Depreciation!$A$14:$L$18,11,FALSE),0))</f>
        <v>0</v>
      </c>
      <c r="N213" s="306">
        <f>+IF($H213=N$2,VLOOKUP($G213,Depreciation!$A$14:$L$18,12,FALSE)/2,IF($H213&lt;N$2,VLOOKUP($G213,Depreciation!$A$14:$L$18,12,FALSE),0))</f>
        <v>0</v>
      </c>
      <c r="O213" s="307">
        <f t="shared" si="25"/>
        <v>0</v>
      </c>
      <c r="P213" s="732">
        <f>'Func Future Subs 2015'!P213</f>
        <v>0</v>
      </c>
      <c r="Q213" s="732">
        <f>'Func Future Subs 2015'!Q213</f>
        <v>0</v>
      </c>
      <c r="R213" s="732">
        <f>'Func Future Subs 2015'!R213</f>
        <v>1</v>
      </c>
      <c r="S213" s="735">
        <f t="shared" si="26"/>
        <v>0</v>
      </c>
      <c r="T213" s="735">
        <f t="shared" si="27"/>
        <v>0</v>
      </c>
      <c r="U213" s="735">
        <f t="shared" si="28"/>
        <v>0</v>
      </c>
      <c r="V213" s="736">
        <f t="shared" si="29"/>
        <v>0</v>
      </c>
      <c r="W213" s="735">
        <f t="shared" si="30"/>
        <v>0</v>
      </c>
      <c r="X213" s="737">
        <f t="shared" si="31"/>
        <v>0</v>
      </c>
      <c r="Y213" s="738">
        <f t="shared" si="32"/>
        <v>0</v>
      </c>
    </row>
    <row r="214" spans="1:25">
      <c r="A214" s="754" t="str">
        <f>'Func Future Subs 2015'!A214</f>
        <v>Modify Joslyn 849S substation</v>
      </c>
      <c r="B214" s="754">
        <f>'Func Future Subs 2015'!B214</f>
        <v>1180</v>
      </c>
      <c r="C214" s="754">
        <f>'Func Future Subs 2015'!C214</f>
        <v>240</v>
      </c>
      <c r="D214" s="754">
        <f>'Func Future Subs 2015'!D214</f>
        <v>25</v>
      </c>
      <c r="E214" s="754" t="str">
        <f>'Func Future Subs 2015'!E214</f>
        <v>849S</v>
      </c>
      <c r="F214" s="754">
        <f>'Func Future Subs 2015'!F214</f>
        <v>0</v>
      </c>
      <c r="G214" s="754" t="str">
        <f>'Func Future Subs 2015'!G214</f>
        <v>ATCO</v>
      </c>
      <c r="H214" s="754">
        <f>'Func Future Subs 2015'!H214</f>
        <v>2100</v>
      </c>
      <c r="I214" s="306">
        <f>+IF($H214=I$2,VLOOKUP($G214,Depreciation!$A$14:$L$18,7,FALSE)/2,IF($H214&lt;I$2,VLOOKUP($G214,Depreciation!$A$14:$L$18,7,FALSE),0))</f>
        <v>0</v>
      </c>
      <c r="J214" s="306">
        <f>+IF($H214=J$2,VLOOKUP($G214,Depreciation!$A$14:$L$18,8,FALSE)/2,IF($H214&lt;J$2,VLOOKUP($G214,Depreciation!$A$14:$L$18,8,FALSE),0))</f>
        <v>0</v>
      </c>
      <c r="K214" s="306">
        <f>+IF($H214=K$2,VLOOKUP($G214,Depreciation!$A$14:$L$18,9,FALSE)/2,IF($H214&lt;K$2,VLOOKUP($G214,Depreciation!$A$14:$L$18,9,FALSE),0))</f>
        <v>0</v>
      </c>
      <c r="L214" s="306">
        <f>+IF($H214=L$2,VLOOKUP($G214,Depreciation!$A$14:$L$18,10,FALSE)/2,IF($H214&lt;L$2,VLOOKUP($G214,Depreciation!$A$14:$L$18,10,FALSE),0))</f>
        <v>0</v>
      </c>
      <c r="M214" s="306">
        <f>+IF($H214=M$2,VLOOKUP($G214,Depreciation!$A$14:$L$18,11,FALSE)/2,IF($H214&lt;M$2,VLOOKUP($G214,Depreciation!$A$14:$L$18,11,FALSE),0))</f>
        <v>0</v>
      </c>
      <c r="N214" s="306">
        <f>+IF($H214=N$2,VLOOKUP($G214,Depreciation!$A$14:$L$18,12,FALSE)/2,IF($H214&lt;N$2,VLOOKUP($G214,Depreciation!$A$14:$L$18,12,FALSE),0))</f>
        <v>0</v>
      </c>
      <c r="O214" s="307">
        <f t="shared" si="25"/>
        <v>0</v>
      </c>
      <c r="P214" s="732">
        <f>'Func Future Subs 2015'!P214</f>
        <v>0</v>
      </c>
      <c r="Q214" s="732">
        <f>'Func Future Subs 2015'!Q214</f>
        <v>1</v>
      </c>
      <c r="R214" s="732">
        <f>'Func Future Subs 2015'!R214</f>
        <v>0</v>
      </c>
      <c r="S214" s="735">
        <f t="shared" si="26"/>
        <v>0</v>
      </c>
      <c r="T214" s="735">
        <f t="shared" si="27"/>
        <v>0</v>
      </c>
      <c r="U214" s="735">
        <f t="shared" si="28"/>
        <v>0</v>
      </c>
      <c r="V214" s="736">
        <f t="shared" si="29"/>
        <v>0</v>
      </c>
      <c r="W214" s="735">
        <f t="shared" si="30"/>
        <v>0</v>
      </c>
      <c r="X214" s="737">
        <f t="shared" si="31"/>
        <v>0</v>
      </c>
      <c r="Y214" s="738">
        <f t="shared" si="32"/>
        <v>0</v>
      </c>
    </row>
    <row r="215" spans="1:25">
      <c r="A215" s="754" t="str">
        <f>'Func Future Subs 2015'!A215</f>
        <v>New Ells River 2079S switching station</v>
      </c>
      <c r="B215" s="754">
        <f>'Func Future Subs 2015'!B215</f>
        <v>1180</v>
      </c>
      <c r="C215" s="754">
        <f>'Func Future Subs 2015'!C215</f>
        <v>240</v>
      </c>
      <c r="D215" s="754">
        <f>'Func Future Subs 2015'!D215</f>
        <v>240</v>
      </c>
      <c r="E215" s="754" t="str">
        <f>'Func Future Subs 2015'!E215</f>
        <v>2079S</v>
      </c>
      <c r="F215" s="754">
        <f>'Func Future Subs 2015'!F215</f>
        <v>0</v>
      </c>
      <c r="G215" s="754" t="str">
        <f>'Func Future Subs 2015'!G215</f>
        <v>ATCO</v>
      </c>
      <c r="H215" s="754">
        <f>'Func Future Subs 2015'!H215</f>
        <v>2100</v>
      </c>
      <c r="I215" s="306">
        <f>+IF($H215=I$2,VLOOKUP($G215,Depreciation!$A$14:$L$18,7,FALSE)/2,IF($H215&lt;I$2,VLOOKUP($G215,Depreciation!$A$14:$L$18,7,FALSE),0))</f>
        <v>0</v>
      </c>
      <c r="J215" s="306">
        <f>+IF($H215=J$2,VLOOKUP($G215,Depreciation!$A$14:$L$18,8,FALSE)/2,IF($H215&lt;J$2,VLOOKUP($G215,Depreciation!$A$14:$L$18,8,FALSE),0))</f>
        <v>0</v>
      </c>
      <c r="K215" s="306">
        <f>+IF($H215=K$2,VLOOKUP($G215,Depreciation!$A$14:$L$18,9,FALSE)/2,IF($H215&lt;K$2,VLOOKUP($G215,Depreciation!$A$14:$L$18,9,FALSE),0))</f>
        <v>0</v>
      </c>
      <c r="L215" s="306">
        <f>+IF($H215=L$2,VLOOKUP($G215,Depreciation!$A$14:$L$18,10,FALSE)/2,IF($H215&lt;L$2,VLOOKUP($G215,Depreciation!$A$14:$L$18,10,FALSE),0))</f>
        <v>0</v>
      </c>
      <c r="M215" s="306">
        <f>+IF($H215=M$2,VLOOKUP($G215,Depreciation!$A$14:$L$18,11,FALSE)/2,IF($H215&lt;M$2,VLOOKUP($G215,Depreciation!$A$14:$L$18,11,FALSE),0))</f>
        <v>0</v>
      </c>
      <c r="N215" s="306">
        <f>+IF($H215=N$2,VLOOKUP($G215,Depreciation!$A$14:$L$18,12,FALSE)/2,IF($H215&lt;N$2,VLOOKUP($G215,Depreciation!$A$14:$L$18,12,FALSE),0))</f>
        <v>0</v>
      </c>
      <c r="O215" s="307">
        <f t="shared" si="25"/>
        <v>0</v>
      </c>
      <c r="P215" s="732">
        <f>'Func Future Subs 2015'!P215</f>
        <v>0</v>
      </c>
      <c r="Q215" s="732">
        <f>'Func Future Subs 2015'!Q215</f>
        <v>0</v>
      </c>
      <c r="R215" s="732">
        <f>'Func Future Subs 2015'!R215</f>
        <v>1</v>
      </c>
      <c r="S215" s="735">
        <f t="shared" si="26"/>
        <v>0</v>
      </c>
      <c r="T215" s="735">
        <f t="shared" si="27"/>
        <v>0</v>
      </c>
      <c r="U215" s="735">
        <f t="shared" si="28"/>
        <v>0</v>
      </c>
      <c r="V215" s="736">
        <f t="shared" si="29"/>
        <v>0</v>
      </c>
      <c r="W215" s="735">
        <f t="shared" si="30"/>
        <v>0</v>
      </c>
      <c r="X215" s="737">
        <f t="shared" si="31"/>
        <v>0</v>
      </c>
      <c r="Y215" s="738">
        <f t="shared" si="32"/>
        <v>0</v>
      </c>
    </row>
    <row r="216" spans="1:25">
      <c r="A216" s="754" t="str">
        <f>'Func Future Subs 2015'!A216</f>
        <v>Dawes</v>
      </c>
      <c r="B216" s="754">
        <f>'Func Future Subs 2015'!B216</f>
        <v>1186</v>
      </c>
      <c r="C216" s="754">
        <f>'Func Future Subs 2015'!C216</f>
        <v>240</v>
      </c>
      <c r="D216" s="754">
        <f>'Func Future Subs 2015'!D216</f>
        <v>0</v>
      </c>
      <c r="E216" s="754">
        <f>'Func Future Subs 2015'!E216</f>
        <v>0</v>
      </c>
      <c r="F216" s="754">
        <f>'Func Future Subs 2015'!F216</f>
        <v>75896.276001329621</v>
      </c>
      <c r="G216" s="754" t="str">
        <f>'Func Future Subs 2015'!G216</f>
        <v>ATCO</v>
      </c>
      <c r="H216" s="754">
        <f>'Func Future Subs 2015'!H216</f>
        <v>2018</v>
      </c>
      <c r="I216" s="306">
        <f>+IF($H216=I$2,VLOOKUP($G216,Depreciation!$A$14:$L$18,7,FALSE)/2,IF($H216&lt;I$2,VLOOKUP($G216,Depreciation!$A$14:$L$18,7,FALSE),0))</f>
        <v>0</v>
      </c>
      <c r="J216" s="306">
        <f>+IF($H216=J$2,VLOOKUP($G216,Depreciation!$A$14:$L$18,8,FALSE)/2,IF($H216&lt;J$2,VLOOKUP($G216,Depreciation!$A$14:$L$18,8,FALSE),0))</f>
        <v>0</v>
      </c>
      <c r="K216" s="306">
        <f>+IF($H216=K$2,VLOOKUP($G216,Depreciation!$A$14:$L$18,9,FALSE)/2,IF($H216&lt;K$2,VLOOKUP($G216,Depreciation!$A$14:$L$18,9,FALSE),0))</f>
        <v>0</v>
      </c>
      <c r="L216" s="306">
        <f>+IF($H216=L$2,VLOOKUP($G216,Depreciation!$A$14:$L$18,10,FALSE)/2,IF($H216&lt;L$2,VLOOKUP($G216,Depreciation!$A$14:$L$18,10,FALSE),0))</f>
        <v>1.2175768213899416E-2</v>
      </c>
      <c r="M216" s="306">
        <f>+IF($H216=M$2,VLOOKUP($G216,Depreciation!$A$14:$L$18,11,FALSE)/2,IF($H216&lt;M$2,VLOOKUP($G216,Depreciation!$A$14:$L$18,11,FALSE),0))</f>
        <v>2.4351536427798831E-2</v>
      </c>
      <c r="N216" s="306">
        <f>+IF($H216=N$2,VLOOKUP($G216,Depreciation!$A$14:$L$18,12,FALSE)/2,IF($H216&lt;N$2,VLOOKUP($G216,Depreciation!$A$14:$L$18,12,FALSE),0))</f>
        <v>2.4351536427798831E-2</v>
      </c>
      <c r="O216" s="307">
        <f t="shared" si="25"/>
        <v>74972.180536439293</v>
      </c>
      <c r="P216" s="732">
        <f>'Func Future Subs 2015'!P216</f>
        <v>0</v>
      </c>
      <c r="Q216" s="732">
        <f>'Func Future Subs 2015'!Q216</f>
        <v>0</v>
      </c>
      <c r="R216" s="732">
        <f>'Func Future Subs 2015'!R216</f>
        <v>1</v>
      </c>
      <c r="S216" s="735">
        <f t="shared" si="26"/>
        <v>0</v>
      </c>
      <c r="T216" s="735">
        <f t="shared" si="27"/>
        <v>0</v>
      </c>
      <c r="U216" s="735">
        <f t="shared" si="28"/>
        <v>74972.180536439293</v>
      </c>
      <c r="V216" s="736">
        <f t="shared" si="29"/>
        <v>74972.180536439293</v>
      </c>
      <c r="W216" s="735">
        <f t="shared" si="30"/>
        <v>0</v>
      </c>
      <c r="X216" s="737">
        <f t="shared" si="31"/>
        <v>0</v>
      </c>
      <c r="Y216" s="738">
        <f t="shared" si="32"/>
        <v>0</v>
      </c>
    </row>
    <row r="217" spans="1:25">
      <c r="A217" s="754" t="str">
        <f>'Func Future Subs 2015'!A217</f>
        <v>Dover</v>
      </c>
      <c r="B217" s="754">
        <f>'Func Future Subs 2015'!B217</f>
        <v>1186</v>
      </c>
      <c r="C217" s="754">
        <f>'Func Future Subs 2015'!C217</f>
        <v>240</v>
      </c>
      <c r="D217" s="754">
        <f>'Func Future Subs 2015'!D217</f>
        <v>0</v>
      </c>
      <c r="E217" s="754">
        <f>'Func Future Subs 2015'!E217</f>
        <v>0</v>
      </c>
      <c r="F217" s="754">
        <f>'Func Future Subs 2015'!F217</f>
        <v>107010.66953091667</v>
      </c>
      <c r="G217" s="754" t="str">
        <f>'Func Future Subs 2015'!G217</f>
        <v>ATCO</v>
      </c>
      <c r="H217" s="754">
        <f>'Func Future Subs 2015'!H217</f>
        <v>2018</v>
      </c>
      <c r="I217" s="306">
        <f>+IF($H217=I$2,VLOOKUP($G217,Depreciation!$A$14:$L$18,7,FALSE)/2,IF($H217&lt;I$2,VLOOKUP($G217,Depreciation!$A$14:$L$18,7,FALSE),0))</f>
        <v>0</v>
      </c>
      <c r="J217" s="306">
        <f>+IF($H217=J$2,VLOOKUP($G217,Depreciation!$A$14:$L$18,8,FALSE)/2,IF($H217&lt;J$2,VLOOKUP($G217,Depreciation!$A$14:$L$18,8,FALSE),0))</f>
        <v>0</v>
      </c>
      <c r="K217" s="306">
        <f>+IF($H217=K$2,VLOOKUP($G217,Depreciation!$A$14:$L$18,9,FALSE)/2,IF($H217&lt;K$2,VLOOKUP($G217,Depreciation!$A$14:$L$18,9,FALSE),0))</f>
        <v>0</v>
      </c>
      <c r="L217" s="306">
        <f>+IF($H217=L$2,VLOOKUP($G217,Depreciation!$A$14:$L$18,10,FALSE)/2,IF($H217&lt;L$2,VLOOKUP($G217,Depreciation!$A$14:$L$18,10,FALSE),0))</f>
        <v>1.2175768213899416E-2</v>
      </c>
      <c r="M217" s="306">
        <f>+IF($H217=M$2,VLOOKUP($G217,Depreciation!$A$14:$L$18,11,FALSE)/2,IF($H217&lt;M$2,VLOOKUP($G217,Depreciation!$A$14:$L$18,11,FALSE),0))</f>
        <v>2.4351536427798831E-2</v>
      </c>
      <c r="N217" s="306">
        <f>+IF($H217=N$2,VLOOKUP($G217,Depreciation!$A$14:$L$18,12,FALSE)/2,IF($H217&lt;N$2,VLOOKUP($G217,Depreciation!$A$14:$L$18,12,FALSE),0))</f>
        <v>2.4351536427798831E-2</v>
      </c>
      <c r="O217" s="307">
        <f t="shared" si="25"/>
        <v>105707.73242229404</v>
      </c>
      <c r="P217" s="732">
        <f>'Func Future Subs 2015'!P217</f>
        <v>0</v>
      </c>
      <c r="Q217" s="732">
        <f>'Func Future Subs 2015'!Q217</f>
        <v>0</v>
      </c>
      <c r="R217" s="732">
        <f>'Func Future Subs 2015'!R217</f>
        <v>1</v>
      </c>
      <c r="S217" s="735">
        <f t="shared" si="26"/>
        <v>0</v>
      </c>
      <c r="T217" s="735">
        <f t="shared" si="27"/>
        <v>0</v>
      </c>
      <c r="U217" s="735">
        <f t="shared" si="28"/>
        <v>105707.73242229404</v>
      </c>
      <c r="V217" s="736">
        <f t="shared" si="29"/>
        <v>105707.73242229404</v>
      </c>
      <c r="W217" s="735">
        <f t="shared" si="30"/>
        <v>0</v>
      </c>
      <c r="X217" s="737">
        <f t="shared" si="31"/>
        <v>0</v>
      </c>
      <c r="Y217" s="738">
        <f t="shared" si="32"/>
        <v>0</v>
      </c>
    </row>
    <row r="218" spans="1:25">
      <c r="A218" s="754" t="str">
        <f>'Func Future Subs 2015'!A218</f>
        <v>Ruth Lake sub</v>
      </c>
      <c r="B218" s="754">
        <f>'Func Future Subs 2015'!B218</f>
        <v>1186</v>
      </c>
      <c r="C218" s="754">
        <f>'Func Future Subs 2015'!C218</f>
        <v>240</v>
      </c>
      <c r="D218" s="754">
        <f>'Func Future Subs 2015'!D218</f>
        <v>0</v>
      </c>
      <c r="E218" s="754">
        <f>'Func Future Subs 2015'!E218</f>
        <v>0</v>
      </c>
      <c r="F218" s="754">
        <f>'Func Future Subs 2015'!F218</f>
        <v>75646.146350743249</v>
      </c>
      <c r="G218" s="754" t="str">
        <f>'Func Future Subs 2015'!G218</f>
        <v>ATCO</v>
      </c>
      <c r="H218" s="754">
        <f>'Func Future Subs 2015'!H218</f>
        <v>2018</v>
      </c>
      <c r="I218" s="306">
        <f>+IF($H218=I$2,VLOOKUP($G218,Depreciation!$A$14:$L$18,7,FALSE)/2,IF($H218&lt;I$2,VLOOKUP($G218,Depreciation!$A$14:$L$18,7,FALSE),0))</f>
        <v>0</v>
      </c>
      <c r="J218" s="306">
        <f>+IF($H218=J$2,VLOOKUP($G218,Depreciation!$A$14:$L$18,8,FALSE)/2,IF($H218&lt;J$2,VLOOKUP($G218,Depreciation!$A$14:$L$18,8,FALSE),0))</f>
        <v>0</v>
      </c>
      <c r="K218" s="306">
        <f>+IF($H218=K$2,VLOOKUP($G218,Depreciation!$A$14:$L$18,9,FALSE)/2,IF($H218&lt;K$2,VLOOKUP($G218,Depreciation!$A$14:$L$18,9,FALSE),0))</f>
        <v>0</v>
      </c>
      <c r="L218" s="306">
        <f>+IF($H218=L$2,VLOOKUP($G218,Depreciation!$A$14:$L$18,10,FALSE)/2,IF($H218&lt;L$2,VLOOKUP($G218,Depreciation!$A$14:$L$18,10,FALSE),0))</f>
        <v>1.2175768213899416E-2</v>
      </c>
      <c r="M218" s="306">
        <f>+IF($H218=M$2,VLOOKUP($G218,Depreciation!$A$14:$L$18,11,FALSE)/2,IF($H218&lt;M$2,VLOOKUP($G218,Depreciation!$A$14:$L$18,11,FALSE),0))</f>
        <v>2.4351536427798831E-2</v>
      </c>
      <c r="N218" s="306">
        <f>+IF($H218=N$2,VLOOKUP($G218,Depreciation!$A$14:$L$18,12,FALSE)/2,IF($H218&lt;N$2,VLOOKUP($G218,Depreciation!$A$14:$L$18,12,FALSE),0))</f>
        <v>2.4351536427798831E-2</v>
      </c>
      <c r="O218" s="307">
        <f t="shared" si="25"/>
        <v>74725.096406501878</v>
      </c>
      <c r="P218" s="732">
        <f>'Func Future Subs 2015'!P218</f>
        <v>0</v>
      </c>
      <c r="Q218" s="732">
        <f>'Func Future Subs 2015'!Q218</f>
        <v>0</v>
      </c>
      <c r="R218" s="732">
        <f>'Func Future Subs 2015'!R218</f>
        <v>1</v>
      </c>
      <c r="S218" s="735">
        <f t="shared" si="26"/>
        <v>0</v>
      </c>
      <c r="T218" s="735">
        <f t="shared" si="27"/>
        <v>0</v>
      </c>
      <c r="U218" s="735">
        <f t="shared" si="28"/>
        <v>74725.096406501878</v>
      </c>
      <c r="V218" s="736">
        <f t="shared" si="29"/>
        <v>74725.096406501878</v>
      </c>
      <c r="W218" s="735">
        <f t="shared" si="30"/>
        <v>0</v>
      </c>
      <c r="X218" s="737">
        <f t="shared" si="31"/>
        <v>0</v>
      </c>
      <c r="Y218" s="738">
        <f t="shared" si="32"/>
        <v>0</v>
      </c>
    </row>
    <row r="219" spans="1:25">
      <c r="A219" s="754" t="str">
        <f>'Func Future Subs 2015'!A219</f>
        <v>Thickwood Hills 951S substation</v>
      </c>
      <c r="B219" s="754">
        <f>'Func Future Subs 2015'!B219</f>
        <v>1186</v>
      </c>
      <c r="C219" s="754">
        <f>'Func Future Subs 2015'!C219</f>
        <v>240</v>
      </c>
      <c r="D219" s="754">
        <f>'Func Future Subs 2015'!D219</f>
        <v>240</v>
      </c>
      <c r="E219" s="754" t="str">
        <f>'Func Future Subs 2015'!E219</f>
        <v>951S</v>
      </c>
      <c r="F219" s="754">
        <f>'Func Future Subs 2015'!F219</f>
        <v>36719404.285963841</v>
      </c>
      <c r="G219" s="754" t="str">
        <f>'Func Future Subs 2015'!G219</f>
        <v>ATCO</v>
      </c>
      <c r="H219" s="754">
        <f>'Func Future Subs 2015'!H219</f>
        <v>2018</v>
      </c>
      <c r="I219" s="306">
        <f>+IF($H219=I$2,VLOOKUP($G219,Depreciation!$A$14:$L$18,7,FALSE)/2,IF($H219&lt;I$2,VLOOKUP($G219,Depreciation!$A$14:$L$18,7,FALSE),0))</f>
        <v>0</v>
      </c>
      <c r="J219" s="306">
        <f>+IF($H219=J$2,VLOOKUP($G219,Depreciation!$A$14:$L$18,8,FALSE)/2,IF($H219&lt;J$2,VLOOKUP($G219,Depreciation!$A$14:$L$18,8,FALSE),0))</f>
        <v>0</v>
      </c>
      <c r="K219" s="306">
        <f>+IF($H219=K$2,VLOOKUP($G219,Depreciation!$A$14:$L$18,9,FALSE)/2,IF($H219&lt;K$2,VLOOKUP($G219,Depreciation!$A$14:$L$18,9,FALSE),0))</f>
        <v>0</v>
      </c>
      <c r="L219" s="306">
        <f>+IF($H219=L$2,VLOOKUP($G219,Depreciation!$A$14:$L$18,10,FALSE)/2,IF($H219&lt;L$2,VLOOKUP($G219,Depreciation!$A$14:$L$18,10,FALSE),0))</f>
        <v>1.2175768213899416E-2</v>
      </c>
      <c r="M219" s="306">
        <f>+IF($H219=M$2,VLOOKUP($G219,Depreciation!$A$14:$L$18,11,FALSE)/2,IF($H219&lt;M$2,VLOOKUP($G219,Depreciation!$A$14:$L$18,11,FALSE),0))</f>
        <v>2.4351536427798831E-2</v>
      </c>
      <c r="N219" s="306">
        <f>+IF($H219=N$2,VLOOKUP($G219,Depreciation!$A$14:$L$18,12,FALSE)/2,IF($H219&lt;N$2,VLOOKUP($G219,Depreciation!$A$14:$L$18,12,FALSE),0))</f>
        <v>2.4351536427798831E-2</v>
      </c>
      <c r="O219" s="307">
        <f t="shared" si="25"/>
        <v>36272317.330425479</v>
      </c>
      <c r="P219" s="732">
        <f>'Func Future Subs 2015'!P219</f>
        <v>0</v>
      </c>
      <c r="Q219" s="732">
        <f>'Func Future Subs 2015'!Q219</f>
        <v>0</v>
      </c>
      <c r="R219" s="732">
        <f>'Func Future Subs 2015'!R219</f>
        <v>1</v>
      </c>
      <c r="S219" s="735">
        <f t="shared" si="26"/>
        <v>0</v>
      </c>
      <c r="T219" s="735">
        <f t="shared" si="27"/>
        <v>0</v>
      </c>
      <c r="U219" s="735">
        <f t="shared" si="28"/>
        <v>36272317.330425479</v>
      </c>
      <c r="V219" s="736">
        <f t="shared" si="29"/>
        <v>0</v>
      </c>
      <c r="W219" s="735">
        <f t="shared" si="30"/>
        <v>36272317.330425479</v>
      </c>
      <c r="X219" s="737">
        <f t="shared" si="31"/>
        <v>0</v>
      </c>
      <c r="Y219" s="738">
        <f t="shared" si="32"/>
        <v>0</v>
      </c>
    </row>
    <row r="220" spans="1:25">
      <c r="A220" s="754" t="str">
        <f>'Func Future Subs 2015'!A220</f>
        <v>Thickwood Hills 951S substation_SVS</v>
      </c>
      <c r="B220" s="754">
        <f>'Func Future Subs 2015'!B220</f>
        <v>1186</v>
      </c>
      <c r="C220" s="754">
        <f>'Func Future Subs 2015'!C220</f>
        <v>240</v>
      </c>
      <c r="D220" s="754">
        <f>'Func Future Subs 2015'!D220</f>
        <v>240</v>
      </c>
      <c r="E220" s="754" t="str">
        <f>'Func Future Subs 2015'!E220</f>
        <v>951S</v>
      </c>
      <c r="F220" s="754">
        <f>'Func Future Subs 2015'!F220</f>
        <v>35229814.262423903</v>
      </c>
      <c r="G220" s="754" t="str">
        <f>'Func Future Subs 2015'!G220</f>
        <v>ATCO</v>
      </c>
      <c r="H220" s="754">
        <f>'Func Future Subs 2015'!H220</f>
        <v>2018</v>
      </c>
      <c r="I220" s="306">
        <f>+IF($H220=I$2,VLOOKUP($G220,Depreciation!$A$14:$L$18,7,FALSE)/2,IF($H220&lt;I$2,VLOOKUP($G220,Depreciation!$A$14:$L$18,7,FALSE),0))</f>
        <v>0</v>
      </c>
      <c r="J220" s="306">
        <f>+IF($H220=J$2,VLOOKUP($G220,Depreciation!$A$14:$L$18,8,FALSE)/2,IF($H220&lt;J$2,VLOOKUP($G220,Depreciation!$A$14:$L$18,8,FALSE),0))</f>
        <v>0</v>
      </c>
      <c r="K220" s="306">
        <f>+IF($H220=K$2,VLOOKUP($G220,Depreciation!$A$14:$L$18,9,FALSE)/2,IF($H220&lt;K$2,VLOOKUP($G220,Depreciation!$A$14:$L$18,9,FALSE),0))</f>
        <v>0</v>
      </c>
      <c r="L220" s="306">
        <f>+IF($H220=L$2,VLOOKUP($G220,Depreciation!$A$14:$L$18,10,FALSE)/2,IF($H220&lt;L$2,VLOOKUP($G220,Depreciation!$A$14:$L$18,10,FALSE),0))</f>
        <v>1.2175768213899416E-2</v>
      </c>
      <c r="M220" s="306">
        <f>+IF($H220=M$2,VLOOKUP($G220,Depreciation!$A$14:$L$18,11,FALSE)/2,IF($H220&lt;M$2,VLOOKUP($G220,Depreciation!$A$14:$L$18,11,FALSE),0))</f>
        <v>2.4351536427798831E-2</v>
      </c>
      <c r="N220" s="306">
        <f>+IF($H220=N$2,VLOOKUP($G220,Depreciation!$A$14:$L$18,12,FALSE)/2,IF($H220&lt;N$2,VLOOKUP($G220,Depreciation!$A$14:$L$18,12,FALSE),0))</f>
        <v>2.4351536427798831E-2</v>
      </c>
      <c r="O220" s="307">
        <f t="shared" si="25"/>
        <v>34800864.209745899</v>
      </c>
      <c r="P220" s="732">
        <f>'Func Future Subs 2015'!P220</f>
        <v>0</v>
      </c>
      <c r="Q220" s="732">
        <f>'Func Future Subs 2015'!Q220</f>
        <v>0</v>
      </c>
      <c r="R220" s="732">
        <f>'Func Future Subs 2015'!R220</f>
        <v>1</v>
      </c>
      <c r="S220" s="735">
        <f t="shared" si="26"/>
        <v>0</v>
      </c>
      <c r="T220" s="735">
        <f t="shared" si="27"/>
        <v>0</v>
      </c>
      <c r="U220" s="735">
        <f t="shared" si="28"/>
        <v>34800864.209745899</v>
      </c>
      <c r="V220" s="736">
        <f t="shared" si="29"/>
        <v>0</v>
      </c>
      <c r="W220" s="735">
        <f t="shared" si="30"/>
        <v>34800864.209745899</v>
      </c>
      <c r="X220" s="737">
        <f t="shared" si="31"/>
        <v>0</v>
      </c>
      <c r="Y220" s="738">
        <f t="shared" si="32"/>
        <v>0</v>
      </c>
    </row>
    <row r="221" spans="1:25">
      <c r="A221" s="754" t="str">
        <f>'Func Future Subs 2015'!A221</f>
        <v>Steele 2016S</v>
      </c>
      <c r="B221" s="754">
        <f>'Func Future Subs 2015'!B221</f>
        <v>1250</v>
      </c>
      <c r="C221" s="754">
        <f>'Func Future Subs 2015'!C221</f>
        <v>144</v>
      </c>
      <c r="D221" s="754">
        <f>'Func Future Subs 2015'!D221</f>
        <v>144</v>
      </c>
      <c r="E221" s="754" t="str">
        <f>'Func Future Subs 2015'!E221</f>
        <v>2016S</v>
      </c>
      <c r="F221" s="754">
        <f>'Func Future Subs 2015'!F221</f>
        <v>7531332.8673087647</v>
      </c>
      <c r="G221" s="754" t="str">
        <f>'Func Future Subs 2015'!G221</f>
        <v>ATCO</v>
      </c>
      <c r="H221" s="754">
        <f>'Func Future Subs 2015'!H221</f>
        <v>2017</v>
      </c>
      <c r="I221" s="306">
        <f>+IF($H221=I$2,VLOOKUP($G221,Depreciation!$A$14:$L$18,7,FALSE)/2,IF($H221&lt;I$2,VLOOKUP($G221,Depreciation!$A$14:$L$18,7,FALSE),0))</f>
        <v>0</v>
      </c>
      <c r="J221" s="306">
        <f>+IF($H221=J$2,VLOOKUP($G221,Depreciation!$A$14:$L$18,8,FALSE)/2,IF($H221&lt;J$2,VLOOKUP($G221,Depreciation!$A$14:$L$18,8,FALSE),0))</f>
        <v>0</v>
      </c>
      <c r="K221" s="306">
        <f>+IF($H221=K$2,VLOOKUP($G221,Depreciation!$A$14:$L$18,9,FALSE)/2,IF($H221&lt;K$2,VLOOKUP($G221,Depreciation!$A$14:$L$18,9,FALSE),0))</f>
        <v>1.2175768213899416E-2</v>
      </c>
      <c r="L221" s="306">
        <f>+IF($H221=L$2,VLOOKUP($G221,Depreciation!$A$14:$L$18,10,FALSE)/2,IF($H221&lt;L$2,VLOOKUP($G221,Depreciation!$A$14:$L$18,10,FALSE),0))</f>
        <v>2.4351536427798831E-2</v>
      </c>
      <c r="M221" s="306">
        <f>+IF($H221=M$2,VLOOKUP($G221,Depreciation!$A$14:$L$18,11,FALSE)/2,IF($H221&lt;M$2,VLOOKUP($G221,Depreciation!$A$14:$L$18,11,FALSE),0))</f>
        <v>2.4351536427798831E-2</v>
      </c>
      <c r="N221" s="306">
        <f>+IF($H221=N$2,VLOOKUP($G221,Depreciation!$A$14:$L$18,12,FALSE)/2,IF($H221&lt;N$2,VLOOKUP($G221,Depreciation!$A$14:$L$18,12,FALSE),0))</f>
        <v>2.4351536427798831E-2</v>
      </c>
      <c r="O221" s="307">
        <f t="shared" si="25"/>
        <v>7258466.6074337931</v>
      </c>
      <c r="P221" s="732">
        <f>'Func Future Subs 2015'!P221</f>
        <v>0</v>
      </c>
      <c r="Q221" s="732">
        <f>'Func Future Subs 2015'!Q221</f>
        <v>0</v>
      </c>
      <c r="R221" s="732">
        <f>'Func Future Subs 2015'!R221</f>
        <v>1</v>
      </c>
      <c r="S221" s="735">
        <f t="shared" si="26"/>
        <v>0</v>
      </c>
      <c r="T221" s="735">
        <f t="shared" si="27"/>
        <v>0</v>
      </c>
      <c r="U221" s="735">
        <f t="shared" si="28"/>
        <v>7258466.6074337931</v>
      </c>
      <c r="V221" s="736">
        <f t="shared" si="29"/>
        <v>0</v>
      </c>
      <c r="W221" s="735">
        <f t="shared" si="30"/>
        <v>0</v>
      </c>
      <c r="X221" s="737">
        <f t="shared" si="31"/>
        <v>7258466.6074337931</v>
      </c>
      <c r="Y221" s="738">
        <f t="shared" si="32"/>
        <v>0</v>
      </c>
    </row>
    <row r="222" spans="1:25">
      <c r="A222" s="754" t="str">
        <f>'Func Future Subs 2015'!A222</f>
        <v>Vegreville 709S</v>
      </c>
      <c r="B222" s="754">
        <f>'Func Future Subs 2015'!B222</f>
        <v>1250</v>
      </c>
      <c r="C222" s="754">
        <f>'Func Future Subs 2015'!C222</f>
        <v>138</v>
      </c>
      <c r="D222" s="754">
        <f>'Func Future Subs 2015'!D222</f>
        <v>25</v>
      </c>
      <c r="E222" s="754" t="str">
        <f>'Func Future Subs 2015'!E222</f>
        <v>709S</v>
      </c>
      <c r="F222" s="754">
        <f>'Func Future Subs 2015'!F222</f>
        <v>153452.1754973343</v>
      </c>
      <c r="G222" s="754" t="str">
        <f>'Func Future Subs 2015'!G222</f>
        <v>ATCO</v>
      </c>
      <c r="H222" s="754">
        <f>'Func Future Subs 2015'!H222</f>
        <v>2017</v>
      </c>
      <c r="I222" s="306">
        <f>+IF($H222=I$2,VLOOKUP($G222,Depreciation!$A$14:$L$18,7,FALSE)/2,IF($H222&lt;I$2,VLOOKUP($G222,Depreciation!$A$14:$L$18,7,FALSE),0))</f>
        <v>0</v>
      </c>
      <c r="J222" s="306">
        <f>+IF($H222=J$2,VLOOKUP($G222,Depreciation!$A$14:$L$18,8,FALSE)/2,IF($H222&lt;J$2,VLOOKUP($G222,Depreciation!$A$14:$L$18,8,FALSE),0))</f>
        <v>0</v>
      </c>
      <c r="K222" s="306">
        <f>+IF($H222=K$2,VLOOKUP($G222,Depreciation!$A$14:$L$18,9,FALSE)/2,IF($H222&lt;K$2,VLOOKUP($G222,Depreciation!$A$14:$L$18,9,FALSE),0))</f>
        <v>1.2175768213899416E-2</v>
      </c>
      <c r="L222" s="306">
        <f>+IF($H222=L$2,VLOOKUP($G222,Depreciation!$A$14:$L$18,10,FALSE)/2,IF($H222&lt;L$2,VLOOKUP($G222,Depreciation!$A$14:$L$18,10,FALSE),0))</f>
        <v>2.4351536427798831E-2</v>
      </c>
      <c r="M222" s="306">
        <f>+IF($H222=M$2,VLOOKUP($G222,Depreciation!$A$14:$L$18,11,FALSE)/2,IF($H222&lt;M$2,VLOOKUP($G222,Depreciation!$A$14:$L$18,11,FALSE),0))</f>
        <v>2.4351536427798831E-2</v>
      </c>
      <c r="N222" s="306">
        <f>+IF($H222=N$2,VLOOKUP($G222,Depreciation!$A$14:$L$18,12,FALSE)/2,IF($H222&lt;N$2,VLOOKUP($G222,Depreciation!$A$14:$L$18,12,FALSE),0))</f>
        <v>2.4351536427798831E-2</v>
      </c>
      <c r="O222" s="307">
        <f t="shared" si="25"/>
        <v>147892.47949991148</v>
      </c>
      <c r="P222" s="732">
        <f>'Func Future Subs 2015'!P222</f>
        <v>0</v>
      </c>
      <c r="Q222" s="732">
        <f>'Func Future Subs 2015'!Q222</f>
        <v>1</v>
      </c>
      <c r="R222" s="732">
        <f>'Func Future Subs 2015'!R222</f>
        <v>0</v>
      </c>
      <c r="S222" s="735">
        <f t="shared" si="26"/>
        <v>0</v>
      </c>
      <c r="T222" s="735">
        <f t="shared" si="27"/>
        <v>147892.47949991148</v>
      </c>
      <c r="U222" s="735">
        <f t="shared" si="28"/>
        <v>0</v>
      </c>
      <c r="V222" s="736">
        <f t="shared" si="29"/>
        <v>0</v>
      </c>
      <c r="W222" s="735">
        <f t="shared" si="30"/>
        <v>0</v>
      </c>
      <c r="X222" s="737">
        <f t="shared" si="31"/>
        <v>0</v>
      </c>
      <c r="Y222" s="738">
        <f t="shared" si="32"/>
        <v>147892.47949991148</v>
      </c>
    </row>
    <row r="223" spans="1:25">
      <c r="A223" s="754" t="str">
        <f>'Func Future Subs 2015'!A223</f>
        <v>Vermillion 710S</v>
      </c>
      <c r="B223" s="754">
        <f>'Func Future Subs 2015'!B223</f>
        <v>1250</v>
      </c>
      <c r="C223" s="754">
        <f>'Func Future Subs 2015'!C223</f>
        <v>144</v>
      </c>
      <c r="D223" s="754">
        <f>'Func Future Subs 2015'!D223</f>
        <v>25</v>
      </c>
      <c r="E223" s="754" t="str">
        <f>'Func Future Subs 2015'!E223</f>
        <v>710S</v>
      </c>
      <c r="F223" s="754">
        <f>'Func Future Subs 2015'!F223</f>
        <v>796710.45575867116</v>
      </c>
      <c r="G223" s="754" t="str">
        <f>'Func Future Subs 2015'!G223</f>
        <v>ATCO</v>
      </c>
      <c r="H223" s="754">
        <f>'Func Future Subs 2015'!H223</f>
        <v>2017</v>
      </c>
      <c r="I223" s="306">
        <f>+IF($H223=I$2,VLOOKUP($G223,Depreciation!$A$14:$L$18,7,FALSE)/2,IF($H223&lt;I$2,VLOOKUP($G223,Depreciation!$A$14:$L$18,7,FALSE),0))</f>
        <v>0</v>
      </c>
      <c r="J223" s="306">
        <f>+IF($H223=J$2,VLOOKUP($G223,Depreciation!$A$14:$L$18,8,FALSE)/2,IF($H223&lt;J$2,VLOOKUP($G223,Depreciation!$A$14:$L$18,8,FALSE),0))</f>
        <v>0</v>
      </c>
      <c r="K223" s="306">
        <f>+IF($H223=K$2,VLOOKUP($G223,Depreciation!$A$14:$L$18,9,FALSE)/2,IF($H223&lt;K$2,VLOOKUP($G223,Depreciation!$A$14:$L$18,9,FALSE),0))</f>
        <v>1.2175768213899416E-2</v>
      </c>
      <c r="L223" s="306">
        <f>+IF($H223=L$2,VLOOKUP($G223,Depreciation!$A$14:$L$18,10,FALSE)/2,IF($H223&lt;L$2,VLOOKUP($G223,Depreciation!$A$14:$L$18,10,FALSE),0))</f>
        <v>2.4351536427798831E-2</v>
      </c>
      <c r="M223" s="306">
        <f>+IF($H223=M$2,VLOOKUP($G223,Depreciation!$A$14:$L$18,11,FALSE)/2,IF($H223&lt;M$2,VLOOKUP($G223,Depreciation!$A$14:$L$18,11,FALSE),0))</f>
        <v>2.4351536427798831E-2</v>
      </c>
      <c r="N223" s="306">
        <f>+IF($H223=N$2,VLOOKUP($G223,Depreciation!$A$14:$L$18,12,FALSE)/2,IF($H223&lt;N$2,VLOOKUP($G223,Depreciation!$A$14:$L$18,12,FALSE),0))</f>
        <v>2.4351536427798831E-2</v>
      </c>
      <c r="O223" s="307">
        <f t="shared" si="25"/>
        <v>767844.99381503556</v>
      </c>
      <c r="P223" s="732">
        <f>'Func Future Subs 2015'!P223</f>
        <v>0</v>
      </c>
      <c r="Q223" s="732">
        <f>'Func Future Subs 2015'!Q223</f>
        <v>1</v>
      </c>
      <c r="R223" s="732">
        <f>'Func Future Subs 2015'!R223</f>
        <v>0</v>
      </c>
      <c r="S223" s="735">
        <f t="shared" si="26"/>
        <v>0</v>
      </c>
      <c r="T223" s="735">
        <f t="shared" si="27"/>
        <v>767844.99381503556</v>
      </c>
      <c r="U223" s="735">
        <f t="shared" si="28"/>
        <v>0</v>
      </c>
      <c r="V223" s="736">
        <f t="shared" si="29"/>
        <v>0</v>
      </c>
      <c r="W223" s="735">
        <f t="shared" si="30"/>
        <v>0</v>
      </c>
      <c r="X223" s="737">
        <f t="shared" si="31"/>
        <v>0</v>
      </c>
      <c r="Y223" s="738">
        <f t="shared" si="32"/>
        <v>767844.99381503556</v>
      </c>
    </row>
    <row r="224" spans="1:25">
      <c r="A224" s="754" t="str">
        <f>'Func Future Subs 2015'!A224</f>
        <v>Vincent 2019S</v>
      </c>
      <c r="B224" s="754">
        <f>'Func Future Subs 2015'!B224</f>
        <v>1250</v>
      </c>
      <c r="C224" s="754">
        <f>'Func Future Subs 2015'!C224</f>
        <v>144</v>
      </c>
      <c r="D224" s="754">
        <f>'Func Future Subs 2015'!D224</f>
        <v>25</v>
      </c>
      <c r="E224" s="754" t="str">
        <f>'Func Future Subs 2015'!E224</f>
        <v>2019S</v>
      </c>
      <c r="F224" s="754">
        <f>'Func Future Subs 2015'!F224</f>
        <v>2371467.6461774474</v>
      </c>
      <c r="G224" s="754" t="str">
        <f>'Func Future Subs 2015'!G224</f>
        <v>ATCO</v>
      </c>
      <c r="H224" s="754">
        <f>'Func Future Subs 2015'!H224</f>
        <v>2017</v>
      </c>
      <c r="I224" s="306">
        <f>+IF($H224=I$2,VLOOKUP($G224,Depreciation!$A$14:$L$18,7,FALSE)/2,IF($H224&lt;I$2,VLOOKUP($G224,Depreciation!$A$14:$L$18,7,FALSE),0))</f>
        <v>0</v>
      </c>
      <c r="J224" s="306">
        <f>+IF($H224=J$2,VLOOKUP($G224,Depreciation!$A$14:$L$18,8,FALSE)/2,IF($H224&lt;J$2,VLOOKUP($G224,Depreciation!$A$14:$L$18,8,FALSE),0))</f>
        <v>0</v>
      </c>
      <c r="K224" s="306">
        <f>+IF($H224=K$2,VLOOKUP($G224,Depreciation!$A$14:$L$18,9,FALSE)/2,IF($H224&lt;K$2,VLOOKUP($G224,Depreciation!$A$14:$L$18,9,FALSE),0))</f>
        <v>1.2175768213899416E-2</v>
      </c>
      <c r="L224" s="306">
        <f>+IF($H224=L$2,VLOOKUP($G224,Depreciation!$A$14:$L$18,10,FALSE)/2,IF($H224&lt;L$2,VLOOKUP($G224,Depreciation!$A$14:$L$18,10,FALSE),0))</f>
        <v>2.4351536427798831E-2</v>
      </c>
      <c r="M224" s="306">
        <f>+IF($H224=M$2,VLOOKUP($G224,Depreciation!$A$14:$L$18,11,FALSE)/2,IF($H224&lt;M$2,VLOOKUP($G224,Depreciation!$A$14:$L$18,11,FALSE),0))</f>
        <v>2.4351536427798831E-2</v>
      </c>
      <c r="N224" s="306">
        <f>+IF($H224=N$2,VLOOKUP($G224,Depreciation!$A$14:$L$18,12,FALSE)/2,IF($H224&lt;N$2,VLOOKUP($G224,Depreciation!$A$14:$L$18,12,FALSE),0))</f>
        <v>2.4351536427798831E-2</v>
      </c>
      <c r="O224" s="307">
        <f t="shared" si="25"/>
        <v>2285547.4620044995</v>
      </c>
      <c r="P224" s="732">
        <f>'Func Future Subs 2015'!P224</f>
        <v>0</v>
      </c>
      <c r="Q224" s="732">
        <f>'Func Future Subs 2015'!Q224</f>
        <v>0</v>
      </c>
      <c r="R224" s="732">
        <f>'Func Future Subs 2015'!R224</f>
        <v>1</v>
      </c>
      <c r="S224" s="735">
        <f t="shared" si="26"/>
        <v>0</v>
      </c>
      <c r="T224" s="735">
        <f t="shared" si="27"/>
        <v>0</v>
      </c>
      <c r="U224" s="735">
        <f t="shared" si="28"/>
        <v>2285547.4620044995</v>
      </c>
      <c r="V224" s="736">
        <f t="shared" si="29"/>
        <v>0</v>
      </c>
      <c r="W224" s="735">
        <f t="shared" si="30"/>
        <v>0</v>
      </c>
      <c r="X224" s="737">
        <f t="shared" si="31"/>
        <v>0</v>
      </c>
      <c r="Y224" s="738">
        <f t="shared" si="32"/>
        <v>2285547.4620044995</v>
      </c>
    </row>
    <row r="225" spans="1:25">
      <c r="A225" s="754" t="str">
        <f>'Func Future Subs 2015'!A225</f>
        <v>Grist Lake 190S Substation A</v>
      </c>
      <c r="B225" s="754">
        <f>'Func Future Subs 2015'!B225</f>
        <v>1258</v>
      </c>
      <c r="C225" s="754">
        <f>'Func Future Subs 2015'!C225</f>
        <v>138</v>
      </c>
      <c r="D225" s="754">
        <f>'Func Future Subs 2015'!D225</f>
        <v>25</v>
      </c>
      <c r="E225" s="754" t="str">
        <f>'Func Future Subs 2015'!E225</f>
        <v>190S</v>
      </c>
      <c r="F225" s="754">
        <f>'Func Future Subs 2015'!F225</f>
        <v>41252104.186539032</v>
      </c>
      <c r="G225" s="754" t="str">
        <f>'Func Future Subs 2015'!G225</f>
        <v>AltaLink</v>
      </c>
      <c r="H225" s="754">
        <f>'Func Future Subs 2015'!H225</f>
        <v>2019</v>
      </c>
      <c r="I225" s="306">
        <f>+IF($H225=I$2,VLOOKUP($G225,Depreciation!$A$14:$L$18,7,FALSE)/2,IF($H225&lt;I$2,VLOOKUP($G225,Depreciation!$A$14:$L$18,7,FALSE),0))</f>
        <v>0</v>
      </c>
      <c r="J225" s="306">
        <f>+IF($H225=J$2,VLOOKUP($G225,Depreciation!$A$14:$L$18,8,FALSE)/2,IF($H225&lt;J$2,VLOOKUP($G225,Depreciation!$A$14:$L$18,8,FALSE),0))</f>
        <v>0</v>
      </c>
      <c r="K225" s="306">
        <f>+IF($H225=K$2,VLOOKUP($G225,Depreciation!$A$14:$L$18,9,FALSE)/2,IF($H225&lt;K$2,VLOOKUP($G225,Depreciation!$A$14:$L$18,9,FALSE),0))</f>
        <v>0</v>
      </c>
      <c r="L225" s="306">
        <f>+IF($H225=L$2,VLOOKUP($G225,Depreciation!$A$14:$L$18,10,FALSE)/2,IF($H225&lt;L$2,VLOOKUP($G225,Depreciation!$A$14:$L$18,10,FALSE),0))</f>
        <v>0</v>
      </c>
      <c r="M225" s="306">
        <f>+IF($H225=M$2,VLOOKUP($G225,Depreciation!$A$14:$L$18,11,FALSE)/2,IF($H225&lt;M$2,VLOOKUP($G225,Depreciation!$A$14:$L$18,11,FALSE),0))</f>
        <v>1.671703928371859E-2</v>
      </c>
      <c r="N225" s="306">
        <f>+IF($H225=N$2,VLOOKUP($G225,Depreciation!$A$14:$L$18,12,FALSE)/2,IF($H225&lt;N$2,VLOOKUP($G225,Depreciation!$A$14:$L$18,12,FALSE),0))</f>
        <v>3.343407856743718E-2</v>
      </c>
      <c r="O225" s="307">
        <f t="shared" si="25"/>
        <v>0</v>
      </c>
      <c r="P225" s="732">
        <f>'Func Future Subs 2015'!P225</f>
        <v>0</v>
      </c>
      <c r="Q225" s="732">
        <f>'Func Future Subs 2015'!Q225</f>
        <v>0</v>
      </c>
      <c r="R225" s="732">
        <f>'Func Future Subs 2015'!R225</f>
        <v>1</v>
      </c>
      <c r="S225" s="735">
        <f t="shared" si="26"/>
        <v>0</v>
      </c>
      <c r="T225" s="735">
        <f t="shared" si="27"/>
        <v>0</v>
      </c>
      <c r="U225" s="735">
        <f t="shared" si="28"/>
        <v>0</v>
      </c>
      <c r="V225" s="736">
        <f t="shared" si="29"/>
        <v>0</v>
      </c>
      <c r="W225" s="735">
        <f t="shared" si="30"/>
        <v>0</v>
      </c>
      <c r="X225" s="737">
        <f t="shared" si="31"/>
        <v>0</v>
      </c>
      <c r="Y225" s="738">
        <f t="shared" si="32"/>
        <v>0</v>
      </c>
    </row>
    <row r="226" spans="1:25">
      <c r="A226" s="754" t="str">
        <f>'Func Future Subs 2015'!A226</f>
        <v>Pike 170S Substation A</v>
      </c>
      <c r="B226" s="754">
        <f>'Func Future Subs 2015'!B226</f>
        <v>1258</v>
      </c>
      <c r="C226" s="754">
        <f>'Func Future Subs 2015'!C226</f>
        <v>138</v>
      </c>
      <c r="D226" s="754">
        <f>'Func Future Subs 2015'!D226</f>
        <v>138</v>
      </c>
      <c r="E226" s="754" t="str">
        <f>'Func Future Subs 2015'!E226</f>
        <v>170S</v>
      </c>
      <c r="F226" s="754">
        <f>'Func Future Subs 2015'!F226</f>
        <v>4886932.8273881162</v>
      </c>
      <c r="G226" s="754" t="str">
        <f>'Func Future Subs 2015'!G226</f>
        <v>AltaLink</v>
      </c>
      <c r="H226" s="754">
        <f>'Func Future Subs 2015'!H226</f>
        <v>2019</v>
      </c>
      <c r="I226" s="306">
        <f>+IF($H226=I$2,VLOOKUP($G226,Depreciation!$A$14:$L$18,7,FALSE)/2,IF($H226&lt;I$2,VLOOKUP($G226,Depreciation!$A$14:$L$18,7,FALSE),0))</f>
        <v>0</v>
      </c>
      <c r="J226" s="306">
        <f>+IF($H226=J$2,VLOOKUP($G226,Depreciation!$A$14:$L$18,8,FALSE)/2,IF($H226&lt;J$2,VLOOKUP($G226,Depreciation!$A$14:$L$18,8,FALSE),0))</f>
        <v>0</v>
      </c>
      <c r="K226" s="306">
        <f>+IF($H226=K$2,VLOOKUP($G226,Depreciation!$A$14:$L$18,9,FALSE)/2,IF($H226&lt;K$2,VLOOKUP($G226,Depreciation!$A$14:$L$18,9,FALSE),0))</f>
        <v>0</v>
      </c>
      <c r="L226" s="306">
        <f>+IF($H226=L$2,VLOOKUP($G226,Depreciation!$A$14:$L$18,10,FALSE)/2,IF($H226&lt;L$2,VLOOKUP($G226,Depreciation!$A$14:$L$18,10,FALSE),0))</f>
        <v>0</v>
      </c>
      <c r="M226" s="306">
        <f>+IF($H226=M$2,VLOOKUP($G226,Depreciation!$A$14:$L$18,11,FALSE)/2,IF($H226&lt;M$2,VLOOKUP($G226,Depreciation!$A$14:$L$18,11,FALSE),0))</f>
        <v>1.671703928371859E-2</v>
      </c>
      <c r="N226" s="306">
        <f>+IF($H226=N$2,VLOOKUP($G226,Depreciation!$A$14:$L$18,12,FALSE)/2,IF($H226&lt;N$2,VLOOKUP($G226,Depreciation!$A$14:$L$18,12,FALSE),0))</f>
        <v>3.343407856743718E-2</v>
      </c>
      <c r="O226" s="307">
        <f t="shared" si="25"/>
        <v>0</v>
      </c>
      <c r="P226" s="732">
        <f>'Func Future Subs 2015'!P226</f>
        <v>0</v>
      </c>
      <c r="Q226" s="732">
        <f>'Func Future Subs 2015'!Q226</f>
        <v>0</v>
      </c>
      <c r="R226" s="732">
        <f>'Func Future Subs 2015'!R226</f>
        <v>1</v>
      </c>
      <c r="S226" s="735">
        <f t="shared" si="26"/>
        <v>0</v>
      </c>
      <c r="T226" s="735">
        <f t="shared" si="27"/>
        <v>0</v>
      </c>
      <c r="U226" s="735">
        <f t="shared" si="28"/>
        <v>0</v>
      </c>
      <c r="V226" s="736">
        <f t="shared" si="29"/>
        <v>0</v>
      </c>
      <c r="W226" s="735">
        <f t="shared" si="30"/>
        <v>0</v>
      </c>
      <c r="X226" s="737">
        <f t="shared" si="31"/>
        <v>0</v>
      </c>
      <c r="Y226" s="738">
        <f t="shared" si="32"/>
        <v>0</v>
      </c>
    </row>
    <row r="227" spans="1:25">
      <c r="A227" s="754" t="str">
        <f>'Func Future Subs 2015'!A227</f>
        <v>Chinook 181S substation[v180]</v>
      </c>
      <c r="B227" s="754">
        <f>'Func Future Subs 2015'!B227</f>
        <v>1260</v>
      </c>
      <c r="C227" s="754">
        <f>'Func Future Subs 2015'!C227</f>
        <v>240</v>
      </c>
      <c r="D227" s="754">
        <f>'Func Future Subs 2015'!D227</f>
        <v>25</v>
      </c>
      <c r="E227" s="754" t="str">
        <f>'Func Future Subs 2015'!E227</f>
        <v>181S</v>
      </c>
      <c r="F227" s="754">
        <f>'Func Future Subs 2015'!F227</f>
        <v>10887667.697433928</v>
      </c>
      <c r="G227" s="754" t="str">
        <f>'Func Future Subs 2015'!G227</f>
        <v>ENMAX</v>
      </c>
      <c r="H227" s="754">
        <f>'Func Future Subs 2015'!H227</f>
        <v>2016</v>
      </c>
      <c r="I227" s="306">
        <f>+IF($H227=I$2,VLOOKUP($G227,Depreciation!$A$14:$L$18,7,FALSE)/2,IF($H227&lt;I$2,VLOOKUP($G227,Depreciation!$A$14:$L$18,7,FALSE),0))</f>
        <v>0</v>
      </c>
      <c r="J227" s="306">
        <f>+IF($H227=J$2,VLOOKUP($G227,Depreciation!$A$14:$L$18,8,FALSE)/2,IF($H227&lt;J$2,VLOOKUP($G227,Depreciation!$A$14:$L$18,8,FALSE),0))</f>
        <v>1.3928409269726289E-2</v>
      </c>
      <c r="K227" s="306">
        <f>+IF($H227=K$2,VLOOKUP($G227,Depreciation!$A$14:$L$18,9,FALSE)/2,IF($H227&lt;K$2,VLOOKUP($G227,Depreciation!$A$14:$L$18,9,FALSE),0))</f>
        <v>2.7856818539452578E-2</v>
      </c>
      <c r="L227" s="306">
        <f>+IF($H227=L$2,VLOOKUP($G227,Depreciation!$A$14:$L$18,10,FALSE)/2,IF($H227&lt;L$2,VLOOKUP($G227,Depreciation!$A$14:$L$18,10,FALSE),0))</f>
        <v>2.7856818539452578E-2</v>
      </c>
      <c r="M227" s="306">
        <f>+IF($H227=M$2,VLOOKUP($G227,Depreciation!$A$14:$L$18,11,FALSE)/2,IF($H227&lt;M$2,VLOOKUP($G227,Depreciation!$A$14:$L$18,11,FALSE),0))</f>
        <v>2.7856818539452578E-2</v>
      </c>
      <c r="N227" s="306">
        <f>+IF($H227=N$2,VLOOKUP($G227,Depreciation!$A$14:$L$18,12,FALSE)/2,IF($H227&lt;N$2,VLOOKUP($G227,Depreciation!$A$14:$L$18,12,FALSE),0))</f>
        <v>2.7856818539452578E-2</v>
      </c>
      <c r="O227" s="307">
        <f t="shared" si="25"/>
        <v>10146208.271104041</v>
      </c>
      <c r="P227" s="732">
        <f>'Func Future Subs 2015'!P227</f>
        <v>0</v>
      </c>
      <c r="Q227" s="732">
        <f>'Func Future Subs 2015'!Q227</f>
        <v>0</v>
      </c>
      <c r="R227" s="732">
        <f>'Func Future Subs 2015'!R227</f>
        <v>1</v>
      </c>
      <c r="S227" s="735">
        <f t="shared" si="26"/>
        <v>0</v>
      </c>
      <c r="T227" s="735">
        <f t="shared" si="27"/>
        <v>0</v>
      </c>
      <c r="U227" s="735">
        <f t="shared" si="28"/>
        <v>10146208.271104041</v>
      </c>
      <c r="V227" s="736">
        <f t="shared" si="29"/>
        <v>0</v>
      </c>
      <c r="W227" s="735">
        <f t="shared" si="30"/>
        <v>0</v>
      </c>
      <c r="X227" s="737">
        <f t="shared" si="31"/>
        <v>0</v>
      </c>
      <c r="Y227" s="738">
        <f t="shared" si="32"/>
        <v>10146208.271104041</v>
      </c>
    </row>
    <row r="228" spans="1:25">
      <c r="A228" s="754" t="str">
        <f>'Func Future Subs 2015'!A228</f>
        <v>North Lethbridge 370s substation</v>
      </c>
      <c r="B228" s="754">
        <f>'Func Future Subs 2015'!B228</f>
        <v>1260</v>
      </c>
      <c r="C228" s="754">
        <f>'Func Future Subs 2015'!C228</f>
        <v>240</v>
      </c>
      <c r="D228" s="754">
        <f>'Func Future Subs 2015'!D228</f>
        <v>25</v>
      </c>
      <c r="E228" s="754" t="str">
        <f>'Func Future Subs 2015'!E228</f>
        <v>370S</v>
      </c>
      <c r="F228" s="754">
        <f>'Func Future Subs 2015'!F228</f>
        <v>484549.80832004856</v>
      </c>
      <c r="G228" s="754" t="str">
        <f>'Func Future Subs 2015'!G228</f>
        <v>AltaLink</v>
      </c>
      <c r="H228" s="754">
        <f>'Func Future Subs 2015'!H228</f>
        <v>2016</v>
      </c>
      <c r="I228" s="306">
        <f>+IF($H228=I$2,VLOOKUP($G228,Depreciation!$A$14:$L$18,7,FALSE)/2,IF($H228&lt;I$2,VLOOKUP($G228,Depreciation!$A$14:$L$18,7,FALSE),0))</f>
        <v>0</v>
      </c>
      <c r="J228" s="306">
        <f>+IF($H228=J$2,VLOOKUP($G228,Depreciation!$A$14:$L$18,8,FALSE)/2,IF($H228&lt;J$2,VLOOKUP($G228,Depreciation!$A$14:$L$18,8,FALSE),0))</f>
        <v>1.671703928371859E-2</v>
      </c>
      <c r="K228" s="306">
        <f>+IF($H228=K$2,VLOOKUP($G228,Depreciation!$A$14:$L$18,9,FALSE)/2,IF($H228&lt;K$2,VLOOKUP($G228,Depreciation!$A$14:$L$18,9,FALSE),0))</f>
        <v>3.343407856743718E-2</v>
      </c>
      <c r="L228" s="306">
        <f>+IF($H228=L$2,VLOOKUP($G228,Depreciation!$A$14:$L$18,10,FALSE)/2,IF($H228&lt;L$2,VLOOKUP($G228,Depreciation!$A$14:$L$18,10,FALSE),0))</f>
        <v>3.343407856743718E-2</v>
      </c>
      <c r="M228" s="306">
        <f>+IF($H228=M$2,VLOOKUP($G228,Depreciation!$A$14:$L$18,11,FALSE)/2,IF($H228&lt;M$2,VLOOKUP($G228,Depreciation!$A$14:$L$18,11,FALSE),0))</f>
        <v>3.343407856743718E-2</v>
      </c>
      <c r="N228" s="306">
        <f>+IF($H228=N$2,VLOOKUP($G228,Depreciation!$A$14:$L$18,12,FALSE)/2,IF($H228&lt;N$2,VLOOKUP($G228,Depreciation!$A$14:$L$18,12,FALSE),0))</f>
        <v>3.343407856743718E-2</v>
      </c>
      <c r="O228" s="307">
        <f t="shared" si="25"/>
        <v>445122.85866512137</v>
      </c>
      <c r="P228" s="732">
        <f>'Func Future Subs 2015'!P228</f>
        <v>0</v>
      </c>
      <c r="Q228" s="732">
        <f>'Func Future Subs 2015'!Q228</f>
        <v>1</v>
      </c>
      <c r="R228" s="732">
        <f>'Func Future Subs 2015'!R228</f>
        <v>0</v>
      </c>
      <c r="S228" s="735">
        <f t="shared" si="26"/>
        <v>0</v>
      </c>
      <c r="T228" s="735">
        <f t="shared" si="27"/>
        <v>445122.85866512137</v>
      </c>
      <c r="U228" s="735">
        <f t="shared" si="28"/>
        <v>0</v>
      </c>
      <c r="V228" s="736">
        <f t="shared" si="29"/>
        <v>0</v>
      </c>
      <c r="W228" s="735">
        <f t="shared" si="30"/>
        <v>0</v>
      </c>
      <c r="X228" s="737">
        <f t="shared" si="31"/>
        <v>0</v>
      </c>
      <c r="Y228" s="738">
        <f t="shared" si="32"/>
        <v>445122.85866512137</v>
      </c>
    </row>
    <row r="229" spans="1:25">
      <c r="A229" s="754" t="str">
        <f>'Func Future Subs 2015'!A229</f>
        <v>Gaetz 87S</v>
      </c>
      <c r="B229" s="754">
        <f>'Func Future Subs 2015'!B229</f>
        <v>1263</v>
      </c>
      <c r="C229" s="754">
        <f>'Func Future Subs 2015'!C229</f>
        <v>240</v>
      </c>
      <c r="D229" s="754">
        <f>'Func Future Subs 2015'!D229</f>
        <v>138</v>
      </c>
      <c r="E229" s="754" t="str">
        <f>'Func Future Subs 2015'!E229</f>
        <v>87S</v>
      </c>
      <c r="F229" s="754">
        <f>'Func Future Subs 2015'!F229</f>
        <v>452029.41176470619</v>
      </c>
      <c r="G229" s="754" t="str">
        <f>'Func Future Subs 2015'!G229</f>
        <v>AltaLink</v>
      </c>
      <c r="H229" s="754">
        <f>'Func Future Subs 2015'!H229</f>
        <v>2016</v>
      </c>
      <c r="I229" s="306">
        <f>+IF($H229=I$2,VLOOKUP($G229,Depreciation!$A$14:$L$18,7,FALSE)/2,IF($H229&lt;I$2,VLOOKUP($G229,Depreciation!$A$14:$L$18,7,FALSE),0))</f>
        <v>0</v>
      </c>
      <c r="J229" s="306">
        <f>+IF($H229=J$2,VLOOKUP($G229,Depreciation!$A$14:$L$18,8,FALSE)/2,IF($H229&lt;J$2,VLOOKUP($G229,Depreciation!$A$14:$L$18,8,FALSE),0))</f>
        <v>1.671703928371859E-2</v>
      </c>
      <c r="K229" s="306">
        <f>+IF($H229=K$2,VLOOKUP($G229,Depreciation!$A$14:$L$18,9,FALSE)/2,IF($H229&lt;K$2,VLOOKUP($G229,Depreciation!$A$14:$L$18,9,FALSE),0))</f>
        <v>3.343407856743718E-2</v>
      </c>
      <c r="L229" s="306">
        <f>+IF($H229=L$2,VLOOKUP($G229,Depreciation!$A$14:$L$18,10,FALSE)/2,IF($H229&lt;L$2,VLOOKUP($G229,Depreciation!$A$14:$L$18,10,FALSE),0))</f>
        <v>3.343407856743718E-2</v>
      </c>
      <c r="M229" s="306">
        <f>+IF($H229=M$2,VLOOKUP($G229,Depreciation!$A$14:$L$18,11,FALSE)/2,IF($H229&lt;M$2,VLOOKUP($G229,Depreciation!$A$14:$L$18,11,FALSE),0))</f>
        <v>3.343407856743718E-2</v>
      </c>
      <c r="N229" s="306">
        <f>+IF($H229=N$2,VLOOKUP($G229,Depreciation!$A$14:$L$18,12,FALSE)/2,IF($H229&lt;N$2,VLOOKUP($G229,Depreciation!$A$14:$L$18,12,FALSE),0))</f>
        <v>3.343407856743718E-2</v>
      </c>
      <c r="O229" s="307">
        <f t="shared" si="25"/>
        <v>415248.58850531123</v>
      </c>
      <c r="P229" s="732">
        <f>'Func Future Subs 2015'!P229</f>
        <v>0</v>
      </c>
      <c r="Q229" s="732">
        <f>'Func Future Subs 2015'!Q229</f>
        <v>0</v>
      </c>
      <c r="R229" s="732">
        <f>'Func Future Subs 2015'!R229</f>
        <v>1</v>
      </c>
      <c r="S229" s="735">
        <f t="shared" si="26"/>
        <v>0</v>
      </c>
      <c r="T229" s="735">
        <f t="shared" si="27"/>
        <v>0</v>
      </c>
      <c r="U229" s="735">
        <f t="shared" si="28"/>
        <v>415248.58850531123</v>
      </c>
      <c r="V229" s="736">
        <f t="shared" si="29"/>
        <v>0</v>
      </c>
      <c r="W229" s="735">
        <f t="shared" si="30"/>
        <v>0</v>
      </c>
      <c r="X229" s="737">
        <f t="shared" si="31"/>
        <v>415248.58850531123</v>
      </c>
      <c r="Y229" s="738">
        <f t="shared" si="32"/>
        <v>0</v>
      </c>
    </row>
    <row r="230" spans="1:25">
      <c r="A230" s="754" t="str">
        <f>'Func Future Subs 2015'!A230</f>
        <v>North Red Deer 217S</v>
      </c>
      <c r="B230" s="754">
        <f>'Func Future Subs 2015'!B230</f>
        <v>1263</v>
      </c>
      <c r="C230" s="754">
        <f>'Func Future Subs 2015'!C230</f>
        <v>138</v>
      </c>
      <c r="D230" s="754">
        <f>'Func Future Subs 2015'!D230</f>
        <v>25</v>
      </c>
      <c r="E230" s="754" t="str">
        <f>'Func Future Subs 2015'!E230</f>
        <v>217S</v>
      </c>
      <c r="F230" s="754">
        <f>'Func Future Subs 2015'!F230</f>
        <v>369088.23529411788</v>
      </c>
      <c r="G230" s="754" t="str">
        <f>'Func Future Subs 2015'!G230</f>
        <v>AltaLink</v>
      </c>
      <c r="H230" s="754">
        <f>'Func Future Subs 2015'!H230</f>
        <v>2016</v>
      </c>
      <c r="I230" s="306">
        <f>+IF($H230=I$2,VLOOKUP($G230,Depreciation!$A$14:$L$18,7,FALSE)/2,IF($H230&lt;I$2,VLOOKUP($G230,Depreciation!$A$14:$L$18,7,FALSE),0))</f>
        <v>0</v>
      </c>
      <c r="J230" s="306">
        <f>+IF($H230=J$2,VLOOKUP($G230,Depreciation!$A$14:$L$18,8,FALSE)/2,IF($H230&lt;J$2,VLOOKUP($G230,Depreciation!$A$14:$L$18,8,FALSE),0))</f>
        <v>1.671703928371859E-2</v>
      </c>
      <c r="K230" s="306">
        <f>+IF($H230=K$2,VLOOKUP($G230,Depreciation!$A$14:$L$18,9,FALSE)/2,IF($H230&lt;K$2,VLOOKUP($G230,Depreciation!$A$14:$L$18,9,FALSE),0))</f>
        <v>3.343407856743718E-2</v>
      </c>
      <c r="L230" s="306">
        <f>+IF($H230=L$2,VLOOKUP($G230,Depreciation!$A$14:$L$18,10,FALSE)/2,IF($H230&lt;L$2,VLOOKUP($G230,Depreciation!$A$14:$L$18,10,FALSE),0))</f>
        <v>3.343407856743718E-2</v>
      </c>
      <c r="M230" s="306">
        <f>+IF($H230=M$2,VLOOKUP($G230,Depreciation!$A$14:$L$18,11,FALSE)/2,IF($H230&lt;M$2,VLOOKUP($G230,Depreciation!$A$14:$L$18,11,FALSE),0))</f>
        <v>3.343407856743718E-2</v>
      </c>
      <c r="N230" s="306">
        <f>+IF($H230=N$2,VLOOKUP($G230,Depreciation!$A$14:$L$18,12,FALSE)/2,IF($H230&lt;N$2,VLOOKUP($G230,Depreciation!$A$14:$L$18,12,FALSE),0))</f>
        <v>3.343407856743718E-2</v>
      </c>
      <c r="O230" s="307">
        <f t="shared" si="25"/>
        <v>339056.18694470369</v>
      </c>
      <c r="P230" s="732">
        <f>'Func Future Subs 2015'!P230</f>
        <v>0</v>
      </c>
      <c r="Q230" s="732">
        <f>'Func Future Subs 2015'!Q230</f>
        <v>1</v>
      </c>
      <c r="R230" s="732">
        <f>'Func Future Subs 2015'!R230</f>
        <v>0</v>
      </c>
      <c r="S230" s="735">
        <f t="shared" si="26"/>
        <v>0</v>
      </c>
      <c r="T230" s="735">
        <f t="shared" si="27"/>
        <v>339056.18694470369</v>
      </c>
      <c r="U230" s="735">
        <f t="shared" si="28"/>
        <v>0</v>
      </c>
      <c r="V230" s="736">
        <f t="shared" si="29"/>
        <v>0</v>
      </c>
      <c r="W230" s="735">
        <f t="shared" si="30"/>
        <v>0</v>
      </c>
      <c r="X230" s="737">
        <f t="shared" si="31"/>
        <v>0</v>
      </c>
      <c r="Y230" s="738">
        <f t="shared" si="32"/>
        <v>339056.18694470369</v>
      </c>
    </row>
    <row r="231" spans="1:25">
      <c r="A231" s="754" t="str">
        <f>'Func Future Subs 2015'!A231</f>
        <v>Algar Substation 875S_180</v>
      </c>
      <c r="B231" s="754">
        <f>'Func Future Subs 2015'!B231</f>
        <v>1267</v>
      </c>
      <c r="C231" s="754">
        <f>'Func Future Subs 2015'!C231</f>
        <v>144</v>
      </c>
      <c r="D231" s="754">
        <f>'Func Future Subs 2015'!D231</f>
        <v>25</v>
      </c>
      <c r="E231" s="754" t="str">
        <f>'Func Future Subs 2015'!E231</f>
        <v>875S</v>
      </c>
      <c r="F231" s="754">
        <f>'Func Future Subs 2015'!F231</f>
        <v>3416800.4605387161</v>
      </c>
      <c r="G231" s="754" t="str">
        <f>'Func Future Subs 2015'!G231</f>
        <v>ATCO</v>
      </c>
      <c r="H231" s="754">
        <f>'Func Future Subs 2015'!H231</f>
        <v>2015</v>
      </c>
      <c r="I231" s="306">
        <f>+IF($H231=I$2,VLOOKUP($G231,Depreciation!$A$14:$L$18,7,FALSE)/2,IF($H231&lt;I$2,VLOOKUP($G231,Depreciation!$A$14:$L$18,7,FALSE),0))</f>
        <v>1.221703683566912E-2</v>
      </c>
      <c r="J231" s="306">
        <f>+IF($H231=J$2,VLOOKUP($G231,Depreciation!$A$14:$L$18,8,FALSE)/2,IF($H231&lt;J$2,VLOOKUP($G231,Depreciation!$A$14:$L$18,8,FALSE),0))</f>
        <v>2.4632450501084719E-2</v>
      </c>
      <c r="K231" s="306">
        <f>+IF($H231=K$2,VLOOKUP($G231,Depreciation!$A$14:$L$18,9,FALSE)/2,IF($H231&lt;K$2,VLOOKUP($G231,Depreciation!$A$14:$L$18,9,FALSE),0))</f>
        <v>2.4351536427798831E-2</v>
      </c>
      <c r="L231" s="306">
        <f>+IF($H231=L$2,VLOOKUP($G231,Depreciation!$A$14:$L$18,10,FALSE)/2,IF($H231&lt;L$2,VLOOKUP($G231,Depreciation!$A$14:$L$18,10,FALSE),0))</f>
        <v>2.4351536427798831E-2</v>
      </c>
      <c r="M231" s="306">
        <f>+IF($H231=M$2,VLOOKUP($G231,Depreciation!$A$14:$L$18,11,FALSE)/2,IF($H231&lt;M$2,VLOOKUP($G231,Depreciation!$A$14:$L$18,11,FALSE),0))</f>
        <v>2.4351536427798831E-2</v>
      </c>
      <c r="N231" s="306">
        <f>+IF($H231=N$2,VLOOKUP($G231,Depreciation!$A$14:$L$18,12,FALSE)/2,IF($H231&lt;N$2,VLOOKUP($G231,Depreciation!$A$14:$L$18,12,FALSE),0))</f>
        <v>2.4351536427798831E-2</v>
      </c>
      <c r="O231" s="307">
        <f t="shared" si="25"/>
        <v>3133546.7670993046</v>
      </c>
      <c r="P231" s="732">
        <f>'Func Future Subs 2015'!P231</f>
        <v>0</v>
      </c>
      <c r="Q231" s="732">
        <f>'Func Future Subs 2015'!Q231</f>
        <v>1</v>
      </c>
      <c r="R231" s="732">
        <f>'Func Future Subs 2015'!R231</f>
        <v>0</v>
      </c>
      <c r="S231" s="735">
        <f t="shared" si="26"/>
        <v>0</v>
      </c>
      <c r="T231" s="735">
        <f t="shared" si="27"/>
        <v>3133546.7670993046</v>
      </c>
      <c r="U231" s="735">
        <f t="shared" si="28"/>
        <v>0</v>
      </c>
      <c r="V231" s="736">
        <f t="shared" si="29"/>
        <v>0</v>
      </c>
      <c r="W231" s="735">
        <f t="shared" si="30"/>
        <v>0</v>
      </c>
      <c r="X231" s="737">
        <f t="shared" si="31"/>
        <v>0</v>
      </c>
      <c r="Y231" s="738">
        <f t="shared" si="32"/>
        <v>3133546.7670993046</v>
      </c>
    </row>
    <row r="232" spans="1:25">
      <c r="A232" s="754" t="str">
        <f>'Func Future Subs 2015'!A232</f>
        <v>Dawes Substation 2011S_180</v>
      </c>
      <c r="B232" s="754">
        <f>'Func Future Subs 2015'!B232</f>
        <v>1267</v>
      </c>
      <c r="C232" s="754">
        <f>'Func Future Subs 2015'!C232</f>
        <v>240</v>
      </c>
      <c r="D232" s="754">
        <f>'Func Future Subs 2015'!D232</f>
        <v>144</v>
      </c>
      <c r="E232" s="754" t="str">
        <f>'Func Future Subs 2015'!E232</f>
        <v>2011S</v>
      </c>
      <c r="F232" s="754">
        <f>'Func Future Subs 2015'!F232</f>
        <v>30016954.600294784</v>
      </c>
      <c r="G232" s="754" t="str">
        <f>'Func Future Subs 2015'!G232</f>
        <v>ATCO</v>
      </c>
      <c r="H232" s="754">
        <f>'Func Future Subs 2015'!H232</f>
        <v>2015</v>
      </c>
      <c r="I232" s="306">
        <f>+IF($H232=I$2,VLOOKUP($G232,Depreciation!$A$14:$L$18,7,FALSE)/2,IF($H232&lt;I$2,VLOOKUP($G232,Depreciation!$A$14:$L$18,7,FALSE),0))</f>
        <v>1.221703683566912E-2</v>
      </c>
      <c r="J232" s="306">
        <f>+IF($H232=J$2,VLOOKUP($G232,Depreciation!$A$14:$L$18,8,FALSE)/2,IF($H232&lt;J$2,VLOOKUP($G232,Depreciation!$A$14:$L$18,8,FALSE),0))</f>
        <v>2.4632450501084719E-2</v>
      </c>
      <c r="K232" s="306">
        <f>+IF($H232=K$2,VLOOKUP($G232,Depreciation!$A$14:$L$18,9,FALSE)/2,IF($H232&lt;K$2,VLOOKUP($G232,Depreciation!$A$14:$L$18,9,FALSE),0))</f>
        <v>2.4351536427798831E-2</v>
      </c>
      <c r="L232" s="306">
        <f>+IF($H232=L$2,VLOOKUP($G232,Depreciation!$A$14:$L$18,10,FALSE)/2,IF($H232&lt;L$2,VLOOKUP($G232,Depreciation!$A$14:$L$18,10,FALSE),0))</f>
        <v>2.4351536427798831E-2</v>
      </c>
      <c r="M232" s="306">
        <f>+IF($H232=M$2,VLOOKUP($G232,Depreciation!$A$14:$L$18,11,FALSE)/2,IF($H232&lt;M$2,VLOOKUP($G232,Depreciation!$A$14:$L$18,11,FALSE),0))</f>
        <v>2.4351536427798831E-2</v>
      </c>
      <c r="N232" s="306">
        <f>+IF($H232=N$2,VLOOKUP($G232,Depreciation!$A$14:$L$18,12,FALSE)/2,IF($H232&lt;N$2,VLOOKUP($G232,Depreciation!$A$14:$L$18,12,FALSE),0))</f>
        <v>2.4351536427798831E-2</v>
      </c>
      <c r="O232" s="307">
        <f t="shared" si="25"/>
        <v>27528540.847565398</v>
      </c>
      <c r="P232" s="732">
        <f>'Func Future Subs 2015'!P232</f>
        <v>0</v>
      </c>
      <c r="Q232" s="732">
        <f>'Func Future Subs 2015'!Q232</f>
        <v>0</v>
      </c>
      <c r="R232" s="732">
        <f>'Func Future Subs 2015'!R232</f>
        <v>1</v>
      </c>
      <c r="S232" s="735">
        <f t="shared" si="26"/>
        <v>0</v>
      </c>
      <c r="T232" s="735">
        <f t="shared" si="27"/>
        <v>0</v>
      </c>
      <c r="U232" s="735">
        <f t="shared" si="28"/>
        <v>27528540.847565398</v>
      </c>
      <c r="V232" s="736">
        <f t="shared" si="29"/>
        <v>0</v>
      </c>
      <c r="W232" s="735">
        <f t="shared" si="30"/>
        <v>0</v>
      </c>
      <c r="X232" s="737">
        <f t="shared" si="31"/>
        <v>27528540.847565398</v>
      </c>
      <c r="Y232" s="738">
        <f t="shared" si="32"/>
        <v>0</v>
      </c>
    </row>
    <row r="233" spans="1:25">
      <c r="A233" s="754" t="str">
        <f>'Func Future Subs 2015'!A233</f>
        <v>Dover Substation 888S_180</v>
      </c>
      <c r="B233" s="754">
        <f>'Func Future Subs 2015'!B233</f>
        <v>1267</v>
      </c>
      <c r="C233" s="754">
        <f>'Func Future Subs 2015'!C233</f>
        <v>240</v>
      </c>
      <c r="D233" s="754">
        <f>'Func Future Subs 2015'!D233</f>
        <v>240</v>
      </c>
      <c r="E233" s="754" t="str">
        <f>'Func Future Subs 2015'!E233</f>
        <v>888S</v>
      </c>
      <c r="F233" s="754">
        <f>'Func Future Subs 2015'!F233</f>
        <v>362081.23436601309</v>
      </c>
      <c r="G233" s="754" t="str">
        <f>'Func Future Subs 2015'!G233</f>
        <v>ATCO</v>
      </c>
      <c r="H233" s="754">
        <f>'Func Future Subs 2015'!H233</f>
        <v>2015</v>
      </c>
      <c r="I233" s="306">
        <f>+IF($H233=I$2,VLOOKUP($G233,Depreciation!$A$14:$L$18,7,FALSE)/2,IF($H233&lt;I$2,VLOOKUP($G233,Depreciation!$A$14:$L$18,7,FALSE),0))</f>
        <v>1.221703683566912E-2</v>
      </c>
      <c r="J233" s="306">
        <f>+IF($H233=J$2,VLOOKUP($G233,Depreciation!$A$14:$L$18,8,FALSE)/2,IF($H233&lt;J$2,VLOOKUP($G233,Depreciation!$A$14:$L$18,8,FALSE),0))</f>
        <v>2.4632450501084719E-2</v>
      </c>
      <c r="K233" s="306">
        <f>+IF($H233=K$2,VLOOKUP($G233,Depreciation!$A$14:$L$18,9,FALSE)/2,IF($H233&lt;K$2,VLOOKUP($G233,Depreciation!$A$14:$L$18,9,FALSE),0))</f>
        <v>2.4351536427798831E-2</v>
      </c>
      <c r="L233" s="306">
        <f>+IF($H233=L$2,VLOOKUP($G233,Depreciation!$A$14:$L$18,10,FALSE)/2,IF($H233&lt;L$2,VLOOKUP($G233,Depreciation!$A$14:$L$18,10,FALSE),0))</f>
        <v>2.4351536427798831E-2</v>
      </c>
      <c r="M233" s="306">
        <f>+IF($H233=M$2,VLOOKUP($G233,Depreciation!$A$14:$L$18,11,FALSE)/2,IF($H233&lt;M$2,VLOOKUP($G233,Depreciation!$A$14:$L$18,11,FALSE),0))</f>
        <v>2.4351536427798831E-2</v>
      </c>
      <c r="N233" s="306">
        <f>+IF($H233=N$2,VLOOKUP($G233,Depreciation!$A$14:$L$18,12,FALSE)/2,IF($H233&lt;N$2,VLOOKUP($G233,Depreciation!$A$14:$L$18,12,FALSE),0))</f>
        <v>2.4351536427798831E-2</v>
      </c>
      <c r="O233" s="307">
        <f t="shared" si="25"/>
        <v>332064.60092669778</v>
      </c>
      <c r="P233" s="732">
        <f>'Func Future Subs 2015'!P233</f>
        <v>0</v>
      </c>
      <c r="Q233" s="732">
        <f>'Func Future Subs 2015'!Q233</f>
        <v>0</v>
      </c>
      <c r="R233" s="732">
        <f>'Func Future Subs 2015'!R233</f>
        <v>1</v>
      </c>
      <c r="S233" s="735">
        <f t="shared" si="26"/>
        <v>0</v>
      </c>
      <c r="T233" s="735">
        <f t="shared" si="27"/>
        <v>0</v>
      </c>
      <c r="U233" s="735">
        <f t="shared" si="28"/>
        <v>332064.60092669778</v>
      </c>
      <c r="V233" s="736">
        <f t="shared" si="29"/>
        <v>0</v>
      </c>
      <c r="W233" s="735">
        <f t="shared" si="30"/>
        <v>332064.60092669778</v>
      </c>
      <c r="X233" s="737">
        <f t="shared" si="31"/>
        <v>0</v>
      </c>
      <c r="Y233" s="738">
        <f t="shared" si="32"/>
        <v>0</v>
      </c>
    </row>
    <row r="234" spans="1:25">
      <c r="A234" s="754" t="str">
        <f>'Func Future Subs 2015'!A234</f>
        <v>Gregoire Substation 883S_180</v>
      </c>
      <c r="B234" s="754">
        <f>'Func Future Subs 2015'!B234</f>
        <v>1267</v>
      </c>
      <c r="C234" s="754">
        <f>'Func Future Subs 2015'!C234</f>
        <v>138</v>
      </c>
      <c r="D234" s="754">
        <f>'Func Future Subs 2015'!D234</f>
        <v>25</v>
      </c>
      <c r="E234" s="754" t="str">
        <f>'Func Future Subs 2015'!E234</f>
        <v>883S</v>
      </c>
      <c r="F234" s="754">
        <f>'Func Future Subs 2015'!F234</f>
        <v>89644.273802190583</v>
      </c>
      <c r="G234" s="754" t="str">
        <f>'Func Future Subs 2015'!G234</f>
        <v>ATCO</v>
      </c>
      <c r="H234" s="754">
        <f>'Func Future Subs 2015'!H234</f>
        <v>2015</v>
      </c>
      <c r="I234" s="306">
        <f>+IF($H234=I$2,VLOOKUP($G234,Depreciation!$A$14:$L$18,7,FALSE)/2,IF($H234&lt;I$2,VLOOKUP($G234,Depreciation!$A$14:$L$18,7,FALSE),0))</f>
        <v>1.221703683566912E-2</v>
      </c>
      <c r="J234" s="306">
        <f>+IF($H234=J$2,VLOOKUP($G234,Depreciation!$A$14:$L$18,8,FALSE)/2,IF($H234&lt;J$2,VLOOKUP($G234,Depreciation!$A$14:$L$18,8,FALSE),0))</f>
        <v>2.4632450501084719E-2</v>
      </c>
      <c r="K234" s="306">
        <f>+IF($H234=K$2,VLOOKUP($G234,Depreciation!$A$14:$L$18,9,FALSE)/2,IF($H234&lt;K$2,VLOOKUP($G234,Depreciation!$A$14:$L$18,9,FALSE),0))</f>
        <v>2.4351536427798831E-2</v>
      </c>
      <c r="L234" s="306">
        <f>+IF($H234=L$2,VLOOKUP($G234,Depreciation!$A$14:$L$18,10,FALSE)/2,IF($H234&lt;L$2,VLOOKUP($G234,Depreciation!$A$14:$L$18,10,FALSE),0))</f>
        <v>2.4351536427798831E-2</v>
      </c>
      <c r="M234" s="306">
        <f>+IF($H234=M$2,VLOOKUP($G234,Depreciation!$A$14:$L$18,11,FALSE)/2,IF($H234&lt;M$2,VLOOKUP($G234,Depreciation!$A$14:$L$18,11,FALSE),0))</f>
        <v>2.4351536427798831E-2</v>
      </c>
      <c r="N234" s="306">
        <f>+IF($H234=N$2,VLOOKUP($G234,Depreciation!$A$14:$L$18,12,FALSE)/2,IF($H234&lt;N$2,VLOOKUP($G234,Depreciation!$A$14:$L$18,12,FALSE),0))</f>
        <v>2.4351536427798831E-2</v>
      </c>
      <c r="O234" s="307">
        <f t="shared" si="25"/>
        <v>82212.738966187637</v>
      </c>
      <c r="P234" s="732">
        <f>'Func Future Subs 2015'!P234</f>
        <v>0</v>
      </c>
      <c r="Q234" s="732">
        <f>'Func Future Subs 2015'!Q234</f>
        <v>1</v>
      </c>
      <c r="R234" s="732">
        <f>'Func Future Subs 2015'!R234</f>
        <v>0</v>
      </c>
      <c r="S234" s="735">
        <f t="shared" si="26"/>
        <v>0</v>
      </c>
      <c r="T234" s="735">
        <f t="shared" si="27"/>
        <v>82212.738966187637</v>
      </c>
      <c r="U234" s="735">
        <f t="shared" si="28"/>
        <v>0</v>
      </c>
      <c r="V234" s="736">
        <f t="shared" si="29"/>
        <v>0</v>
      </c>
      <c r="W234" s="735">
        <f t="shared" si="30"/>
        <v>0</v>
      </c>
      <c r="X234" s="737">
        <f t="shared" si="31"/>
        <v>0</v>
      </c>
      <c r="Y234" s="738">
        <f t="shared" si="32"/>
        <v>82212.738966187637</v>
      </c>
    </row>
    <row r="235" spans="1:25">
      <c r="A235" s="754" t="str">
        <f>'Func Future Subs 2015'!A235</f>
        <v>Hangingston Substation 820S_180</v>
      </c>
      <c r="B235" s="754">
        <f>'Func Future Subs 2015'!B235</f>
        <v>1267</v>
      </c>
      <c r="C235" s="754">
        <f>'Func Future Subs 2015'!C235</f>
        <v>138</v>
      </c>
      <c r="D235" s="754">
        <f>'Func Future Subs 2015'!D235</f>
        <v>25</v>
      </c>
      <c r="E235" s="754" t="str">
        <f>'Func Future Subs 2015'!E235</f>
        <v>820S</v>
      </c>
      <c r="F235" s="754">
        <f>'Func Future Subs 2015'!F235</f>
        <v>147566.79268526638</v>
      </c>
      <c r="G235" s="754" t="str">
        <f>'Func Future Subs 2015'!G235</f>
        <v>ATCO</v>
      </c>
      <c r="H235" s="754">
        <f>'Func Future Subs 2015'!H235</f>
        <v>2015</v>
      </c>
      <c r="I235" s="306">
        <f>+IF($H235=I$2,VLOOKUP($G235,Depreciation!$A$14:$L$18,7,FALSE)/2,IF($H235&lt;I$2,VLOOKUP($G235,Depreciation!$A$14:$L$18,7,FALSE),0))</f>
        <v>1.221703683566912E-2</v>
      </c>
      <c r="J235" s="306">
        <f>+IF($H235=J$2,VLOOKUP($G235,Depreciation!$A$14:$L$18,8,FALSE)/2,IF($H235&lt;J$2,VLOOKUP($G235,Depreciation!$A$14:$L$18,8,FALSE),0))</f>
        <v>2.4632450501084719E-2</v>
      </c>
      <c r="K235" s="306">
        <f>+IF($H235=K$2,VLOOKUP($G235,Depreciation!$A$14:$L$18,9,FALSE)/2,IF($H235&lt;K$2,VLOOKUP($G235,Depreciation!$A$14:$L$18,9,FALSE),0))</f>
        <v>2.4351536427798831E-2</v>
      </c>
      <c r="L235" s="306">
        <f>+IF($H235=L$2,VLOOKUP($G235,Depreciation!$A$14:$L$18,10,FALSE)/2,IF($H235&lt;L$2,VLOOKUP($G235,Depreciation!$A$14:$L$18,10,FALSE),0))</f>
        <v>2.4351536427798831E-2</v>
      </c>
      <c r="M235" s="306">
        <f>+IF($H235=M$2,VLOOKUP($G235,Depreciation!$A$14:$L$18,11,FALSE)/2,IF($H235&lt;M$2,VLOOKUP($G235,Depreciation!$A$14:$L$18,11,FALSE),0))</f>
        <v>2.4351536427798831E-2</v>
      </c>
      <c r="N235" s="306">
        <f>+IF($H235=N$2,VLOOKUP($G235,Depreciation!$A$14:$L$18,12,FALSE)/2,IF($H235&lt;N$2,VLOOKUP($G235,Depreciation!$A$14:$L$18,12,FALSE),0))</f>
        <v>2.4351536427798831E-2</v>
      </c>
      <c r="O235" s="307">
        <f t="shared" si="25"/>
        <v>135333.46517906507</v>
      </c>
      <c r="P235" s="732">
        <f>'Func Future Subs 2015'!P235</f>
        <v>0</v>
      </c>
      <c r="Q235" s="732">
        <f>'Func Future Subs 2015'!Q235</f>
        <v>1</v>
      </c>
      <c r="R235" s="732">
        <f>'Func Future Subs 2015'!R235</f>
        <v>0</v>
      </c>
      <c r="S235" s="735">
        <f t="shared" si="26"/>
        <v>0</v>
      </c>
      <c r="T235" s="735">
        <f t="shared" si="27"/>
        <v>135333.46517906507</v>
      </c>
      <c r="U235" s="735">
        <f t="shared" si="28"/>
        <v>0</v>
      </c>
      <c r="V235" s="736">
        <f t="shared" si="29"/>
        <v>0</v>
      </c>
      <c r="W235" s="735">
        <f t="shared" si="30"/>
        <v>0</v>
      </c>
      <c r="X235" s="737">
        <f t="shared" si="31"/>
        <v>0</v>
      </c>
      <c r="Y235" s="738">
        <f t="shared" si="32"/>
        <v>135333.46517906507</v>
      </c>
    </row>
    <row r="236" spans="1:25">
      <c r="A236" s="754" t="str">
        <f>'Func Future Subs 2015'!A236</f>
        <v>MacMillan Substation 885S_180</v>
      </c>
      <c r="B236" s="754">
        <f>'Func Future Subs 2015'!B236</f>
        <v>1267</v>
      </c>
      <c r="C236" s="754">
        <f>'Func Future Subs 2015'!C236</f>
        <v>240</v>
      </c>
      <c r="D236" s="754">
        <f>'Func Future Subs 2015'!D236</f>
        <v>144</v>
      </c>
      <c r="E236" s="754" t="str">
        <f>'Func Future Subs 2015'!E236</f>
        <v>885S</v>
      </c>
      <c r="F236" s="754">
        <f>'Func Future Subs 2015'!F236</f>
        <v>143610.55197275945</v>
      </c>
      <c r="G236" s="754" t="str">
        <f>'Func Future Subs 2015'!G236</f>
        <v>ATCO</v>
      </c>
      <c r="H236" s="754">
        <f>'Func Future Subs 2015'!H236</f>
        <v>2015</v>
      </c>
      <c r="I236" s="306">
        <f>+IF($H236=I$2,VLOOKUP($G236,Depreciation!$A$14:$L$18,7,FALSE)/2,IF($H236&lt;I$2,VLOOKUP($G236,Depreciation!$A$14:$L$18,7,FALSE),0))</f>
        <v>1.221703683566912E-2</v>
      </c>
      <c r="J236" s="306">
        <f>+IF($H236=J$2,VLOOKUP($G236,Depreciation!$A$14:$L$18,8,FALSE)/2,IF($H236&lt;J$2,VLOOKUP($G236,Depreciation!$A$14:$L$18,8,FALSE),0))</f>
        <v>2.4632450501084719E-2</v>
      </c>
      <c r="K236" s="306">
        <f>+IF($H236=K$2,VLOOKUP($G236,Depreciation!$A$14:$L$18,9,FALSE)/2,IF($H236&lt;K$2,VLOOKUP($G236,Depreciation!$A$14:$L$18,9,FALSE),0))</f>
        <v>2.4351536427798831E-2</v>
      </c>
      <c r="L236" s="306">
        <f>+IF($H236=L$2,VLOOKUP($G236,Depreciation!$A$14:$L$18,10,FALSE)/2,IF($H236&lt;L$2,VLOOKUP($G236,Depreciation!$A$14:$L$18,10,FALSE),0))</f>
        <v>2.4351536427798831E-2</v>
      </c>
      <c r="M236" s="306">
        <f>+IF($H236=M$2,VLOOKUP($G236,Depreciation!$A$14:$L$18,11,FALSE)/2,IF($H236&lt;M$2,VLOOKUP($G236,Depreciation!$A$14:$L$18,11,FALSE),0))</f>
        <v>2.4351536427798831E-2</v>
      </c>
      <c r="N236" s="306">
        <f>+IF($H236=N$2,VLOOKUP($G236,Depreciation!$A$14:$L$18,12,FALSE)/2,IF($H236&lt;N$2,VLOOKUP($G236,Depreciation!$A$14:$L$18,12,FALSE),0))</f>
        <v>2.4351536427798831E-2</v>
      </c>
      <c r="O236" s="307">
        <f t="shared" si="25"/>
        <v>131705.19790454354</v>
      </c>
      <c r="P236" s="732">
        <f>'Func Future Subs 2015'!P236</f>
        <v>0</v>
      </c>
      <c r="Q236" s="732">
        <f>'Func Future Subs 2015'!Q236</f>
        <v>0</v>
      </c>
      <c r="R236" s="732">
        <f>'Func Future Subs 2015'!R236</f>
        <v>1</v>
      </c>
      <c r="S236" s="735">
        <f t="shared" si="26"/>
        <v>0</v>
      </c>
      <c r="T236" s="735">
        <f t="shared" si="27"/>
        <v>0</v>
      </c>
      <c r="U236" s="735">
        <f t="shared" si="28"/>
        <v>131705.19790454354</v>
      </c>
      <c r="V236" s="736">
        <f t="shared" si="29"/>
        <v>0</v>
      </c>
      <c r="W236" s="735">
        <f t="shared" si="30"/>
        <v>0</v>
      </c>
      <c r="X236" s="737">
        <f t="shared" si="31"/>
        <v>131705.19790454354</v>
      </c>
      <c r="Y236" s="738">
        <f t="shared" si="32"/>
        <v>0</v>
      </c>
    </row>
    <row r="237" spans="1:25">
      <c r="A237" s="754" t="str">
        <f>'Func Future Subs 2015'!A237</f>
        <v>Edwards Lake 189S preferred</v>
      </c>
      <c r="B237" s="754">
        <f>'Func Future Subs 2015'!B237</f>
        <v>1287</v>
      </c>
      <c r="C237" s="754">
        <f>'Func Future Subs 2015'!C237</f>
        <v>240</v>
      </c>
      <c r="D237" s="754">
        <f>'Func Future Subs 2015'!D237</f>
        <v>25</v>
      </c>
      <c r="E237" s="754" t="str">
        <f>'Func Future Subs 2015'!E237</f>
        <v>189S</v>
      </c>
      <c r="F237" s="754">
        <f>'Func Future Subs 2015'!F237</f>
        <v>36842122.514386363</v>
      </c>
      <c r="G237" s="754" t="str">
        <f>'Func Future Subs 2015'!G237</f>
        <v>AltaLink</v>
      </c>
      <c r="H237" s="754">
        <f>'Func Future Subs 2015'!H237</f>
        <v>2019</v>
      </c>
      <c r="I237" s="306">
        <f>+IF($H237=I$2,VLOOKUP($G237,Depreciation!$A$14:$L$18,7,FALSE)/2,IF($H237&lt;I$2,VLOOKUP($G237,Depreciation!$A$14:$L$18,7,FALSE),0))</f>
        <v>0</v>
      </c>
      <c r="J237" s="306">
        <f>+IF($H237=J$2,VLOOKUP($G237,Depreciation!$A$14:$L$18,8,FALSE)/2,IF($H237&lt;J$2,VLOOKUP($G237,Depreciation!$A$14:$L$18,8,FALSE),0))</f>
        <v>0</v>
      </c>
      <c r="K237" s="306">
        <f>+IF($H237=K$2,VLOOKUP($G237,Depreciation!$A$14:$L$18,9,FALSE)/2,IF($H237&lt;K$2,VLOOKUP($G237,Depreciation!$A$14:$L$18,9,FALSE),0))</f>
        <v>0</v>
      </c>
      <c r="L237" s="306">
        <f>+IF($H237=L$2,VLOOKUP($G237,Depreciation!$A$14:$L$18,10,FALSE)/2,IF($H237&lt;L$2,VLOOKUP($G237,Depreciation!$A$14:$L$18,10,FALSE),0))</f>
        <v>0</v>
      </c>
      <c r="M237" s="306">
        <f>+IF($H237=M$2,VLOOKUP($G237,Depreciation!$A$14:$L$18,11,FALSE)/2,IF($H237&lt;M$2,VLOOKUP($G237,Depreciation!$A$14:$L$18,11,FALSE),0))</f>
        <v>1.671703928371859E-2</v>
      </c>
      <c r="N237" s="306">
        <f>+IF($H237=N$2,VLOOKUP($G237,Depreciation!$A$14:$L$18,12,FALSE)/2,IF($H237&lt;N$2,VLOOKUP($G237,Depreciation!$A$14:$L$18,12,FALSE),0))</f>
        <v>3.343407856743718E-2</v>
      </c>
      <c r="O237" s="307">
        <f t="shared" si="25"/>
        <v>0</v>
      </c>
      <c r="P237" s="732">
        <f>'Func Future Subs 2015'!P237</f>
        <v>0</v>
      </c>
      <c r="Q237" s="732">
        <f>'Func Future Subs 2015'!Q237</f>
        <v>0</v>
      </c>
      <c r="R237" s="732">
        <f>'Func Future Subs 2015'!R237</f>
        <v>1</v>
      </c>
      <c r="S237" s="735">
        <f t="shared" si="26"/>
        <v>0</v>
      </c>
      <c r="T237" s="735">
        <f t="shared" si="27"/>
        <v>0</v>
      </c>
      <c r="U237" s="735">
        <f t="shared" si="28"/>
        <v>0</v>
      </c>
      <c r="V237" s="736">
        <f t="shared" si="29"/>
        <v>0</v>
      </c>
      <c r="W237" s="735">
        <f t="shared" si="30"/>
        <v>0</v>
      </c>
      <c r="X237" s="737">
        <f t="shared" si="31"/>
        <v>0</v>
      </c>
      <c r="Y237" s="738">
        <f t="shared" si="32"/>
        <v>0</v>
      </c>
    </row>
    <row r="238" spans="1:25">
      <c r="A238" s="754" t="str">
        <f>'Func Future Subs 2015'!A238</f>
        <v>Heart Lake 898S</v>
      </c>
      <c r="B238" s="754">
        <f>'Func Future Subs 2015'!B238</f>
        <v>1287</v>
      </c>
      <c r="C238" s="754">
        <f>'Func Future Subs 2015'!C238</f>
        <v>240</v>
      </c>
      <c r="D238" s="754">
        <f>'Func Future Subs 2015'!D238</f>
        <v>144</v>
      </c>
      <c r="E238" s="754" t="str">
        <f>'Func Future Subs 2015'!E238</f>
        <v>898S</v>
      </c>
      <c r="F238" s="754">
        <f>'Func Future Subs 2015'!F238</f>
        <v>267302.36990519403</v>
      </c>
      <c r="G238" s="754" t="str">
        <f>'Func Future Subs 2015'!G238</f>
        <v>ATCO</v>
      </c>
      <c r="H238" s="754">
        <f>'Func Future Subs 2015'!H238</f>
        <v>2019</v>
      </c>
      <c r="I238" s="306">
        <f>+IF($H238=I$2,VLOOKUP($G238,Depreciation!$A$14:$L$18,7,FALSE)/2,IF($H238&lt;I$2,VLOOKUP($G238,Depreciation!$A$14:$L$18,7,FALSE),0))</f>
        <v>0</v>
      </c>
      <c r="J238" s="306">
        <f>+IF($H238=J$2,VLOOKUP($G238,Depreciation!$A$14:$L$18,8,FALSE)/2,IF($H238&lt;J$2,VLOOKUP($G238,Depreciation!$A$14:$L$18,8,FALSE),0))</f>
        <v>0</v>
      </c>
      <c r="K238" s="306">
        <f>+IF($H238=K$2,VLOOKUP($G238,Depreciation!$A$14:$L$18,9,FALSE)/2,IF($H238&lt;K$2,VLOOKUP($G238,Depreciation!$A$14:$L$18,9,FALSE),0))</f>
        <v>0</v>
      </c>
      <c r="L238" s="306">
        <f>+IF($H238=L$2,VLOOKUP($G238,Depreciation!$A$14:$L$18,10,FALSE)/2,IF($H238&lt;L$2,VLOOKUP($G238,Depreciation!$A$14:$L$18,10,FALSE),0))</f>
        <v>0</v>
      </c>
      <c r="M238" s="306">
        <f>+IF($H238=M$2,VLOOKUP($G238,Depreciation!$A$14:$L$18,11,FALSE)/2,IF($H238&lt;M$2,VLOOKUP($G238,Depreciation!$A$14:$L$18,11,FALSE),0))</f>
        <v>1.2175768213899416E-2</v>
      </c>
      <c r="N238" s="306">
        <f>+IF($H238=N$2,VLOOKUP($G238,Depreciation!$A$14:$L$18,12,FALSE)/2,IF($H238&lt;N$2,VLOOKUP($G238,Depreciation!$A$14:$L$18,12,FALSE),0))</f>
        <v>2.4351536427798831E-2</v>
      </c>
      <c r="O238" s="307">
        <f t="shared" si="25"/>
        <v>0</v>
      </c>
      <c r="P238" s="732">
        <f>'Func Future Subs 2015'!P238</f>
        <v>0</v>
      </c>
      <c r="Q238" s="732">
        <f>'Func Future Subs 2015'!Q238</f>
        <v>0</v>
      </c>
      <c r="R238" s="732">
        <f>'Func Future Subs 2015'!R238</f>
        <v>1</v>
      </c>
      <c r="S238" s="735">
        <f t="shared" si="26"/>
        <v>0</v>
      </c>
      <c r="T238" s="735">
        <f t="shared" si="27"/>
        <v>0</v>
      </c>
      <c r="U238" s="735">
        <f t="shared" si="28"/>
        <v>0</v>
      </c>
      <c r="V238" s="736">
        <f t="shared" si="29"/>
        <v>0</v>
      </c>
      <c r="W238" s="735">
        <f t="shared" si="30"/>
        <v>0</v>
      </c>
      <c r="X238" s="737">
        <f t="shared" si="31"/>
        <v>0</v>
      </c>
      <c r="Y238" s="738">
        <f t="shared" si="32"/>
        <v>0</v>
      </c>
    </row>
    <row r="239" spans="1:25">
      <c r="A239" s="754" t="str">
        <f>'Func Future Subs 2015'!A239</f>
        <v>Deerland 13S substation</v>
      </c>
      <c r="B239" s="754">
        <f>'Func Future Subs 2015'!B239</f>
        <v>1289</v>
      </c>
      <c r="C239" s="754">
        <f>'Func Future Subs 2015'!C239</f>
        <v>138</v>
      </c>
      <c r="D239" s="754">
        <f>'Func Future Subs 2015'!D239</f>
        <v>138</v>
      </c>
      <c r="E239" s="754" t="str">
        <f>'Func Future Subs 2015'!E239</f>
        <v>13S</v>
      </c>
      <c r="F239" s="754">
        <f>'Func Future Subs 2015'!F239</f>
        <v>3106833.197389883</v>
      </c>
      <c r="G239" s="754" t="str">
        <f>'Func Future Subs 2015'!G239</f>
        <v>AltaLink</v>
      </c>
      <c r="H239" s="754">
        <f>'Func Future Subs 2015'!H239</f>
        <v>2017</v>
      </c>
      <c r="I239" s="306">
        <f>+IF($H239=I$2,VLOOKUP($G239,Depreciation!$A$14:$L$18,7,FALSE)/2,IF($H239&lt;I$2,VLOOKUP($G239,Depreciation!$A$14:$L$18,7,FALSE),0))</f>
        <v>0</v>
      </c>
      <c r="J239" s="306">
        <f>+IF($H239=J$2,VLOOKUP($G239,Depreciation!$A$14:$L$18,8,FALSE)/2,IF($H239&lt;J$2,VLOOKUP($G239,Depreciation!$A$14:$L$18,8,FALSE),0))</f>
        <v>0</v>
      </c>
      <c r="K239" s="306">
        <f>+IF($H239=K$2,VLOOKUP($G239,Depreciation!$A$14:$L$18,9,FALSE)/2,IF($H239&lt;K$2,VLOOKUP($G239,Depreciation!$A$14:$L$18,9,FALSE),0))</f>
        <v>1.671703928371859E-2</v>
      </c>
      <c r="L239" s="306">
        <f>+IF($H239=L$2,VLOOKUP($G239,Depreciation!$A$14:$L$18,10,FALSE)/2,IF($H239&lt;L$2,VLOOKUP($G239,Depreciation!$A$14:$L$18,10,FALSE),0))</f>
        <v>3.343407856743718E-2</v>
      </c>
      <c r="M239" s="306">
        <f>+IF($H239=M$2,VLOOKUP($G239,Depreciation!$A$14:$L$18,11,FALSE)/2,IF($H239&lt;M$2,VLOOKUP($G239,Depreciation!$A$14:$L$18,11,FALSE),0))</f>
        <v>3.343407856743718E-2</v>
      </c>
      <c r="N239" s="306">
        <f>+IF($H239=N$2,VLOOKUP($G239,Depreciation!$A$14:$L$18,12,FALSE)/2,IF($H239&lt;N$2,VLOOKUP($G239,Depreciation!$A$14:$L$18,12,FALSE),0))</f>
        <v>3.343407856743718E-2</v>
      </c>
      <c r="O239" s="307">
        <f t="shared" si="25"/>
        <v>2952758.5070611811</v>
      </c>
      <c r="P239" s="732">
        <f>'Func Future Subs 2015'!P239</f>
        <v>0</v>
      </c>
      <c r="Q239" s="732">
        <f>'Func Future Subs 2015'!Q239</f>
        <v>0</v>
      </c>
      <c r="R239" s="732">
        <f>'Func Future Subs 2015'!R239</f>
        <v>1</v>
      </c>
      <c r="S239" s="735">
        <f t="shared" si="26"/>
        <v>0</v>
      </c>
      <c r="T239" s="735">
        <f t="shared" si="27"/>
        <v>0</v>
      </c>
      <c r="U239" s="735">
        <f t="shared" si="28"/>
        <v>2952758.5070611811</v>
      </c>
      <c r="V239" s="736">
        <f t="shared" si="29"/>
        <v>0</v>
      </c>
      <c r="W239" s="735">
        <f t="shared" si="30"/>
        <v>0</v>
      </c>
      <c r="X239" s="737">
        <f t="shared" si="31"/>
        <v>2952758.5070611811</v>
      </c>
      <c r="Y239" s="738">
        <f t="shared" si="32"/>
        <v>0</v>
      </c>
    </row>
    <row r="240" spans="1:25">
      <c r="A240" s="754" t="str">
        <f>'Func Future Subs 2015'!A240</f>
        <v>New Whitetail Peaking Station 976S(part of scope)</v>
      </c>
      <c r="B240" s="754">
        <f>'Func Future Subs 2015'!B240</f>
        <v>1290</v>
      </c>
      <c r="C240" s="754">
        <f>'Func Future Subs 2015'!C240</f>
        <v>144</v>
      </c>
      <c r="D240" s="754">
        <f>'Func Future Subs 2015'!D240</f>
        <v>144</v>
      </c>
      <c r="E240" s="754" t="str">
        <f>'Func Future Subs 2015'!E240</f>
        <v>976S</v>
      </c>
      <c r="F240" s="754">
        <f>'Func Future Subs 2015'!F240</f>
        <v>561275.46753523592</v>
      </c>
      <c r="G240" s="754" t="str">
        <f>'Func Future Subs 2015'!G240</f>
        <v>ATCO</v>
      </c>
      <c r="H240" s="754">
        <f>'Func Future Subs 2015'!H240</f>
        <v>2018</v>
      </c>
      <c r="I240" s="306">
        <f>+IF($H240=I$2,VLOOKUP($G240,Depreciation!$A$14:$L$18,7,FALSE)/2,IF($H240&lt;I$2,VLOOKUP($G240,Depreciation!$A$14:$L$18,7,FALSE),0))</f>
        <v>0</v>
      </c>
      <c r="J240" s="306">
        <f>+IF($H240=J$2,VLOOKUP($G240,Depreciation!$A$14:$L$18,8,FALSE)/2,IF($H240&lt;J$2,VLOOKUP($G240,Depreciation!$A$14:$L$18,8,FALSE),0))</f>
        <v>0</v>
      </c>
      <c r="K240" s="306">
        <f>+IF($H240=K$2,VLOOKUP($G240,Depreciation!$A$14:$L$18,9,FALSE)/2,IF($H240&lt;K$2,VLOOKUP($G240,Depreciation!$A$14:$L$18,9,FALSE),0))</f>
        <v>0</v>
      </c>
      <c r="L240" s="306">
        <f>+IF($H240=L$2,VLOOKUP($G240,Depreciation!$A$14:$L$18,10,FALSE)/2,IF($H240&lt;L$2,VLOOKUP($G240,Depreciation!$A$14:$L$18,10,FALSE),0))</f>
        <v>1.2175768213899416E-2</v>
      </c>
      <c r="M240" s="306">
        <f>+IF($H240=M$2,VLOOKUP($G240,Depreciation!$A$14:$L$18,11,FALSE)/2,IF($H240&lt;M$2,VLOOKUP($G240,Depreciation!$A$14:$L$18,11,FALSE),0))</f>
        <v>2.4351536427798831E-2</v>
      </c>
      <c r="N240" s="306">
        <f>+IF($H240=N$2,VLOOKUP($G240,Depreciation!$A$14:$L$18,12,FALSE)/2,IF($H240&lt;N$2,VLOOKUP($G240,Depreciation!$A$14:$L$18,12,FALSE),0))</f>
        <v>2.4351536427798831E-2</v>
      </c>
      <c r="O240" s="307">
        <f t="shared" si="25"/>
        <v>554441.50753837882</v>
      </c>
      <c r="P240" s="732">
        <f>'Func Future Subs 2015'!P240</f>
        <v>0</v>
      </c>
      <c r="Q240" s="732">
        <f>'Func Future Subs 2015'!Q240</f>
        <v>0</v>
      </c>
      <c r="R240" s="732">
        <f>'Func Future Subs 2015'!R240</f>
        <v>1</v>
      </c>
      <c r="S240" s="735">
        <f t="shared" si="26"/>
        <v>0</v>
      </c>
      <c r="T240" s="735">
        <f t="shared" si="27"/>
        <v>0</v>
      </c>
      <c r="U240" s="735">
        <f t="shared" si="28"/>
        <v>554441.50753837882</v>
      </c>
      <c r="V240" s="736">
        <f t="shared" si="29"/>
        <v>0</v>
      </c>
      <c r="W240" s="735">
        <f t="shared" si="30"/>
        <v>0</v>
      </c>
      <c r="X240" s="737">
        <f t="shared" si="31"/>
        <v>554441.50753837882</v>
      </c>
      <c r="Y240" s="738">
        <f t="shared" si="32"/>
        <v>0</v>
      </c>
    </row>
    <row r="241" spans="1:25">
      <c r="A241" s="754" t="str">
        <f>'Func Future Subs 2015'!A241</f>
        <v>[Final]659S substation</v>
      </c>
      <c r="B241" s="754">
        <f>'Func Future Subs 2015'!B241</f>
        <v>1294</v>
      </c>
      <c r="C241" s="754">
        <f>'Func Future Subs 2015'!C241</f>
        <v>69</v>
      </c>
      <c r="D241" s="754">
        <f>'Func Future Subs 2015'!D241</f>
        <v>25</v>
      </c>
      <c r="E241" s="754" t="str">
        <f>'Func Future Subs 2015'!E241</f>
        <v>659S</v>
      </c>
      <c r="F241" s="754">
        <f>'Func Future Subs 2015'!F241</f>
        <v>4433924</v>
      </c>
      <c r="G241" s="754" t="str">
        <f>'Func Future Subs 2015'!G241</f>
        <v>AltaLink</v>
      </c>
      <c r="H241" s="754">
        <f>'Func Future Subs 2015'!H241</f>
        <v>2015</v>
      </c>
      <c r="I241" s="306">
        <f>+IF($H241=I$2,VLOOKUP($G241,Depreciation!$A$14:$L$18,7,FALSE)/2,IF($H241&lt;I$2,VLOOKUP($G241,Depreciation!$A$14:$L$18,7,FALSE),0))</f>
        <v>1.7228380322441735E-2</v>
      </c>
      <c r="J241" s="306">
        <f>+IF($H241=J$2,VLOOKUP($G241,Depreciation!$A$14:$L$18,8,FALSE)/2,IF($H241&lt;J$2,VLOOKUP($G241,Depreciation!$A$14:$L$18,8,FALSE),0))</f>
        <v>3.343407856743718E-2</v>
      </c>
      <c r="K241" s="306">
        <f>+IF($H241=K$2,VLOOKUP($G241,Depreciation!$A$14:$L$18,9,FALSE)/2,IF($H241&lt;K$2,VLOOKUP($G241,Depreciation!$A$14:$L$18,9,FALSE),0))</f>
        <v>3.343407856743718E-2</v>
      </c>
      <c r="L241" s="306">
        <f>+IF($H241=L$2,VLOOKUP($G241,Depreciation!$A$14:$L$18,10,FALSE)/2,IF($H241&lt;L$2,VLOOKUP($G241,Depreciation!$A$14:$L$18,10,FALSE),0))</f>
        <v>3.343407856743718E-2</v>
      </c>
      <c r="M241" s="306">
        <f>+IF($H241=M$2,VLOOKUP($G241,Depreciation!$A$14:$L$18,11,FALSE)/2,IF($H241&lt;M$2,VLOOKUP($G241,Depreciation!$A$14:$L$18,11,FALSE),0))</f>
        <v>3.343407856743718E-2</v>
      </c>
      <c r="N241" s="306">
        <f>+IF($H241=N$2,VLOOKUP($G241,Depreciation!$A$14:$L$18,12,FALSE)/2,IF($H241&lt;N$2,VLOOKUP($G241,Depreciation!$A$14:$L$18,12,FALSE),0))</f>
        <v>3.343407856743718E-2</v>
      </c>
      <c r="O241" s="307">
        <f t="shared" si="25"/>
        <v>3934914.3918403536</v>
      </c>
      <c r="P241" s="732">
        <f>'Func Future Subs 2015'!P241</f>
        <v>0.54090909090909089</v>
      </c>
      <c r="Q241" s="732">
        <f>'Func Future Subs 2015'!Q241</f>
        <v>0.45909090909090905</v>
      </c>
      <c r="R241" s="732">
        <f>'Func Future Subs 2015'!R241</f>
        <v>0</v>
      </c>
      <c r="S241" s="735">
        <f t="shared" si="26"/>
        <v>2128430.9664954641</v>
      </c>
      <c r="T241" s="735">
        <f t="shared" si="27"/>
        <v>1806483.4253448895</v>
      </c>
      <c r="U241" s="735">
        <f t="shared" si="28"/>
        <v>0</v>
      </c>
      <c r="V241" s="736">
        <f t="shared" si="29"/>
        <v>0</v>
      </c>
      <c r="W241" s="735">
        <f t="shared" si="30"/>
        <v>2128430.9664954641</v>
      </c>
      <c r="X241" s="737">
        <f t="shared" si="31"/>
        <v>0</v>
      </c>
      <c r="Y241" s="738">
        <f t="shared" si="32"/>
        <v>1806483.4253448895</v>
      </c>
    </row>
    <row r="242" spans="1:25">
      <c r="A242" s="754" t="str">
        <f>'Func Future Subs 2015'!A242</f>
        <v>659S substation</v>
      </c>
      <c r="B242" s="754">
        <f>'Func Future Subs 2015'!B242</f>
        <v>1294</v>
      </c>
      <c r="C242" s="754">
        <f>'Func Future Subs 2015'!C242</f>
        <v>69</v>
      </c>
      <c r="D242" s="754">
        <f>'Func Future Subs 2015'!D242</f>
        <v>25</v>
      </c>
      <c r="E242" s="754" t="str">
        <f>'Func Future Subs 2015'!E242</f>
        <v>659S</v>
      </c>
      <c r="F242" s="754">
        <f>'Func Future Subs 2015'!F242</f>
        <v>5633000.0000000028</v>
      </c>
      <c r="G242" s="754" t="str">
        <f>'Func Future Subs 2015'!G242</f>
        <v>AltaLink</v>
      </c>
      <c r="H242" s="754">
        <f>'Func Future Subs 2015'!H242</f>
        <v>2015</v>
      </c>
      <c r="I242" s="306">
        <f>+IF($H242=I$2,VLOOKUP($G242,Depreciation!$A$14:$L$18,7,FALSE)/2,IF($H242&lt;I$2,VLOOKUP($G242,Depreciation!$A$14:$L$18,7,FALSE),0))</f>
        <v>1.7228380322441735E-2</v>
      </c>
      <c r="J242" s="306">
        <f>+IF($H242=J$2,VLOOKUP($G242,Depreciation!$A$14:$L$18,8,FALSE)/2,IF($H242&lt;J$2,VLOOKUP($G242,Depreciation!$A$14:$L$18,8,FALSE),0))</f>
        <v>3.343407856743718E-2</v>
      </c>
      <c r="K242" s="306">
        <f>+IF($H242=K$2,VLOOKUP($G242,Depreciation!$A$14:$L$18,9,FALSE)/2,IF($H242&lt;K$2,VLOOKUP($G242,Depreciation!$A$14:$L$18,9,FALSE),0))</f>
        <v>3.343407856743718E-2</v>
      </c>
      <c r="L242" s="306">
        <f>+IF($H242=L$2,VLOOKUP($G242,Depreciation!$A$14:$L$18,10,FALSE)/2,IF($H242&lt;L$2,VLOOKUP($G242,Depreciation!$A$14:$L$18,10,FALSE),0))</f>
        <v>3.343407856743718E-2</v>
      </c>
      <c r="M242" s="306">
        <f>+IF($H242=M$2,VLOOKUP($G242,Depreciation!$A$14:$L$18,11,FALSE)/2,IF($H242&lt;M$2,VLOOKUP($G242,Depreciation!$A$14:$L$18,11,FALSE),0))</f>
        <v>3.343407856743718E-2</v>
      </c>
      <c r="N242" s="306">
        <f>+IF($H242=N$2,VLOOKUP($G242,Depreciation!$A$14:$L$18,12,FALSE)/2,IF($H242&lt;N$2,VLOOKUP($G242,Depreciation!$A$14:$L$18,12,FALSE),0))</f>
        <v>3.343407856743718E-2</v>
      </c>
      <c r="O242" s="307">
        <f t="shared" si="25"/>
        <v>4999042.1056465395</v>
      </c>
      <c r="P242" s="732">
        <f>'Func Future Subs 2015'!P242</f>
        <v>0.54090909090909089</v>
      </c>
      <c r="Q242" s="732">
        <f>'Func Future Subs 2015'!Q242</f>
        <v>0.45909090909090905</v>
      </c>
      <c r="R242" s="732">
        <f>'Func Future Subs 2015'!R242</f>
        <v>0</v>
      </c>
      <c r="S242" s="735">
        <f t="shared" si="26"/>
        <v>2704027.3207815373</v>
      </c>
      <c r="T242" s="735">
        <f t="shared" si="27"/>
        <v>2295014.7848650021</v>
      </c>
      <c r="U242" s="735">
        <f t="shared" si="28"/>
        <v>0</v>
      </c>
      <c r="V242" s="736">
        <f t="shared" si="29"/>
        <v>0</v>
      </c>
      <c r="W242" s="735">
        <f t="shared" si="30"/>
        <v>2704027.3207815373</v>
      </c>
      <c r="X242" s="737">
        <f t="shared" si="31"/>
        <v>0</v>
      </c>
      <c r="Y242" s="738">
        <f t="shared" si="32"/>
        <v>2295014.7848650021</v>
      </c>
    </row>
    <row r="243" spans="1:25">
      <c r="A243" s="754" t="str">
        <f>'Func Future Subs 2015'!A243</f>
        <v>162SS</v>
      </c>
      <c r="B243" s="754">
        <f>'Func Future Subs 2015'!B243</f>
        <v>1314</v>
      </c>
      <c r="C243" s="754">
        <f>'Func Future Subs 2015'!C243</f>
        <v>138</v>
      </c>
      <c r="D243" s="754">
        <f>'Func Future Subs 2015'!D243</f>
        <v>0</v>
      </c>
      <c r="E243" s="754" t="str">
        <f>'Func Future Subs 2015'!E243</f>
        <v>162SS</v>
      </c>
      <c r="F243" s="754">
        <f>'Func Future Subs 2015'!F243</f>
        <v>16742409.726119097</v>
      </c>
      <c r="G243" s="754" t="str">
        <f>'Func Future Subs 2015'!G243</f>
        <v>ENMAX</v>
      </c>
      <c r="H243" s="754">
        <f>'Func Future Subs 2015'!H243</f>
        <v>2015</v>
      </c>
      <c r="I243" s="306">
        <f>+IF($H243=I$2,VLOOKUP($G243,Depreciation!$A$14:$L$18,7,FALSE)/2,IF($H243&lt;I$2,VLOOKUP($G243,Depreciation!$A$14:$L$18,7,FALSE),0))</f>
        <v>1.3928409269726289E-2</v>
      </c>
      <c r="J243" s="306">
        <f>+IF($H243=J$2,VLOOKUP($G243,Depreciation!$A$14:$L$18,8,FALSE)/2,IF($H243&lt;J$2,VLOOKUP($G243,Depreciation!$A$14:$L$18,8,FALSE),0))</f>
        <v>2.7856818539452578E-2</v>
      </c>
      <c r="K243" s="306">
        <f>+IF($H243=K$2,VLOOKUP($G243,Depreciation!$A$14:$L$18,9,FALSE)/2,IF($H243&lt;K$2,VLOOKUP($G243,Depreciation!$A$14:$L$18,9,FALSE),0))</f>
        <v>2.7856818539452578E-2</v>
      </c>
      <c r="L243" s="306">
        <f>+IF($H243=L$2,VLOOKUP($G243,Depreciation!$A$14:$L$18,10,FALSE)/2,IF($H243&lt;L$2,VLOOKUP($G243,Depreciation!$A$14:$L$18,10,FALSE),0))</f>
        <v>2.7856818539452578E-2</v>
      </c>
      <c r="M243" s="306">
        <f>+IF($H243=M$2,VLOOKUP($G243,Depreciation!$A$14:$L$18,11,FALSE)/2,IF($H243&lt;M$2,VLOOKUP($G243,Depreciation!$A$14:$L$18,11,FALSE),0))</f>
        <v>2.7856818539452578E-2</v>
      </c>
      <c r="N243" s="306">
        <f>+IF($H243=N$2,VLOOKUP($G243,Depreciation!$A$14:$L$18,12,FALSE)/2,IF($H243&lt;N$2,VLOOKUP($G243,Depreciation!$A$14:$L$18,12,FALSE),0))</f>
        <v>2.7856818539452578E-2</v>
      </c>
      <c r="O243" s="307">
        <f t="shared" si="25"/>
        <v>15167608.694446199</v>
      </c>
      <c r="P243" s="732">
        <f>'Func Future Subs 2015'!P243</f>
        <v>0</v>
      </c>
      <c r="Q243" s="732">
        <f>'Func Future Subs 2015'!Q243</f>
        <v>0</v>
      </c>
      <c r="R243" s="732">
        <f>'Func Future Subs 2015'!R243</f>
        <v>1</v>
      </c>
      <c r="S243" s="735">
        <f t="shared" si="26"/>
        <v>0</v>
      </c>
      <c r="T243" s="735">
        <f t="shared" si="27"/>
        <v>0</v>
      </c>
      <c r="U243" s="735">
        <f t="shared" si="28"/>
        <v>15167608.694446199</v>
      </c>
      <c r="V243" s="736">
        <f t="shared" si="29"/>
        <v>15167608.694446199</v>
      </c>
      <c r="W243" s="735">
        <f t="shared" si="30"/>
        <v>0</v>
      </c>
      <c r="X243" s="737">
        <f t="shared" si="31"/>
        <v>0</v>
      </c>
      <c r="Y243" s="738">
        <f t="shared" si="32"/>
        <v>0</v>
      </c>
    </row>
    <row r="244" spans="1:25">
      <c r="A244" s="754" t="str">
        <f>'Func Future Subs 2015'!A244</f>
        <v>Monitor 774S</v>
      </c>
      <c r="B244" s="754">
        <f>'Func Future Subs 2015'!B244</f>
        <v>1319</v>
      </c>
      <c r="C244" s="754">
        <f>'Func Future Subs 2015'!C244</f>
        <v>138</v>
      </c>
      <c r="D244" s="754">
        <f>'Func Future Subs 2015'!D244</f>
        <v>25</v>
      </c>
      <c r="E244" s="754" t="str">
        <f>'Func Future Subs 2015'!E244</f>
        <v>774S</v>
      </c>
      <c r="F244" s="754">
        <f>'Func Future Subs 2015'!F244</f>
        <v>3798763.0000000009</v>
      </c>
      <c r="G244" s="754" t="str">
        <f>'Func Future Subs 2015'!G244</f>
        <v>ATCO</v>
      </c>
      <c r="H244" s="754">
        <f>'Func Future Subs 2015'!H244</f>
        <v>2015</v>
      </c>
      <c r="I244" s="306">
        <f>+IF($H244=I$2,VLOOKUP($G244,Depreciation!$A$14:$L$18,7,FALSE)/2,IF($H244&lt;I$2,VLOOKUP($G244,Depreciation!$A$14:$L$18,7,FALSE),0))</f>
        <v>1.221703683566912E-2</v>
      </c>
      <c r="J244" s="306">
        <f>+IF($H244=J$2,VLOOKUP($G244,Depreciation!$A$14:$L$18,8,FALSE)/2,IF($H244&lt;J$2,VLOOKUP($G244,Depreciation!$A$14:$L$18,8,FALSE),0))</f>
        <v>2.4632450501084719E-2</v>
      </c>
      <c r="K244" s="306">
        <f>+IF($H244=K$2,VLOOKUP($G244,Depreciation!$A$14:$L$18,9,FALSE)/2,IF($H244&lt;K$2,VLOOKUP($G244,Depreciation!$A$14:$L$18,9,FALSE),0))</f>
        <v>2.4351536427798831E-2</v>
      </c>
      <c r="L244" s="306">
        <f>+IF($H244=L$2,VLOOKUP($G244,Depreciation!$A$14:$L$18,10,FALSE)/2,IF($H244&lt;L$2,VLOOKUP($G244,Depreciation!$A$14:$L$18,10,FALSE),0))</f>
        <v>2.4351536427798831E-2</v>
      </c>
      <c r="M244" s="306">
        <f>+IF($H244=M$2,VLOOKUP($G244,Depreciation!$A$14:$L$18,11,FALSE)/2,IF($H244&lt;M$2,VLOOKUP($G244,Depreciation!$A$14:$L$18,11,FALSE),0))</f>
        <v>2.4351536427798831E-2</v>
      </c>
      <c r="N244" s="306">
        <f>+IF($H244=N$2,VLOOKUP($G244,Depreciation!$A$14:$L$18,12,FALSE)/2,IF($H244&lt;N$2,VLOOKUP($G244,Depreciation!$A$14:$L$18,12,FALSE),0))</f>
        <v>2.4351536427798831E-2</v>
      </c>
      <c r="O244" s="307">
        <f t="shared" si="25"/>
        <v>3483844.5074868826</v>
      </c>
      <c r="P244" s="732">
        <f>'Func Future Subs 2015'!P244</f>
        <v>0</v>
      </c>
      <c r="Q244" s="732">
        <f>'Func Future Subs 2015'!Q244</f>
        <v>1</v>
      </c>
      <c r="R244" s="732">
        <f>'Func Future Subs 2015'!R244</f>
        <v>0</v>
      </c>
      <c r="S244" s="735">
        <f t="shared" si="26"/>
        <v>0</v>
      </c>
      <c r="T244" s="735">
        <f t="shared" si="27"/>
        <v>3483844.5074868826</v>
      </c>
      <c r="U244" s="735">
        <f t="shared" si="28"/>
        <v>0</v>
      </c>
      <c r="V244" s="736">
        <f t="shared" si="29"/>
        <v>0</v>
      </c>
      <c r="W244" s="735">
        <f t="shared" si="30"/>
        <v>0</v>
      </c>
      <c r="X244" s="737">
        <f t="shared" si="31"/>
        <v>0</v>
      </c>
      <c r="Y244" s="738">
        <f t="shared" si="32"/>
        <v>3483844.5074868826</v>
      </c>
    </row>
    <row r="245" spans="1:25">
      <c r="A245" s="754" t="str">
        <f>'Func Future Subs 2015'!A245</f>
        <v>Brintnell</v>
      </c>
      <c r="B245" s="754">
        <f>'Func Future Subs 2015'!B245</f>
        <v>1321</v>
      </c>
      <c r="C245" s="754">
        <f>'Func Future Subs 2015'!C245</f>
        <v>138</v>
      </c>
      <c r="D245" s="754">
        <f>'Func Future Subs 2015'!D245</f>
        <v>0</v>
      </c>
      <c r="E245" s="754">
        <f>'Func Future Subs 2015'!E245</f>
        <v>0</v>
      </c>
      <c r="F245" s="754">
        <f>'Func Future Subs 2015'!F245</f>
        <v>51372.123717071459</v>
      </c>
      <c r="G245" s="754" t="str">
        <f>'Func Future Subs 2015'!G245</f>
        <v>ATCO</v>
      </c>
      <c r="H245" s="754">
        <f>'Func Future Subs 2015'!H245</f>
        <v>2017</v>
      </c>
      <c r="I245" s="306">
        <f>+IF($H245=I$2,VLOOKUP($G245,Depreciation!$A$14:$L$18,7,FALSE)/2,IF($H245&lt;I$2,VLOOKUP($G245,Depreciation!$A$14:$L$18,7,FALSE),0))</f>
        <v>0</v>
      </c>
      <c r="J245" s="306">
        <f>+IF($H245=J$2,VLOOKUP($G245,Depreciation!$A$14:$L$18,8,FALSE)/2,IF($H245&lt;J$2,VLOOKUP($G245,Depreciation!$A$14:$L$18,8,FALSE),0))</f>
        <v>0</v>
      </c>
      <c r="K245" s="306">
        <f>+IF($H245=K$2,VLOOKUP($G245,Depreciation!$A$14:$L$18,9,FALSE)/2,IF($H245&lt;K$2,VLOOKUP($G245,Depreciation!$A$14:$L$18,9,FALSE),0))</f>
        <v>1.2175768213899416E-2</v>
      </c>
      <c r="L245" s="306">
        <f>+IF($H245=L$2,VLOOKUP($G245,Depreciation!$A$14:$L$18,10,FALSE)/2,IF($H245&lt;L$2,VLOOKUP($G245,Depreciation!$A$14:$L$18,10,FALSE),0))</f>
        <v>2.4351536427798831E-2</v>
      </c>
      <c r="M245" s="306">
        <f>+IF($H245=M$2,VLOOKUP($G245,Depreciation!$A$14:$L$18,11,FALSE)/2,IF($H245&lt;M$2,VLOOKUP($G245,Depreciation!$A$14:$L$18,11,FALSE),0))</f>
        <v>2.4351536427798831E-2</v>
      </c>
      <c r="N245" s="306">
        <f>+IF($H245=N$2,VLOOKUP($G245,Depreciation!$A$14:$L$18,12,FALSE)/2,IF($H245&lt;N$2,VLOOKUP($G245,Depreciation!$A$14:$L$18,12,FALSE),0))</f>
        <v>2.4351536427798831E-2</v>
      </c>
      <c r="O245" s="307">
        <f t="shared" si="25"/>
        <v>49510.870269974686</v>
      </c>
      <c r="P245" s="732">
        <f>'Func Future Subs 2015'!P245</f>
        <v>0</v>
      </c>
      <c r="Q245" s="732">
        <f>'Func Future Subs 2015'!Q245</f>
        <v>0</v>
      </c>
      <c r="R245" s="732">
        <f>'Func Future Subs 2015'!R245</f>
        <v>1</v>
      </c>
      <c r="S245" s="735">
        <f t="shared" si="26"/>
        <v>0</v>
      </c>
      <c r="T245" s="735">
        <f t="shared" si="27"/>
        <v>0</v>
      </c>
      <c r="U245" s="735">
        <f t="shared" si="28"/>
        <v>49510.870269974686</v>
      </c>
      <c r="V245" s="736">
        <f t="shared" si="29"/>
        <v>49510.870269974686</v>
      </c>
      <c r="W245" s="735">
        <f t="shared" si="30"/>
        <v>0</v>
      </c>
      <c r="X245" s="737">
        <f t="shared" si="31"/>
        <v>0</v>
      </c>
      <c r="Y245" s="738">
        <f t="shared" si="32"/>
        <v>0</v>
      </c>
    </row>
    <row r="246" spans="1:25">
      <c r="A246" s="754" t="str">
        <f>'Func Future Subs 2015'!A246</f>
        <v>Little Smoky 813S</v>
      </c>
      <c r="B246" s="754">
        <f>'Func Future Subs 2015'!B246</f>
        <v>1321</v>
      </c>
      <c r="C246" s="754">
        <f>'Func Future Subs 2015'!C246</f>
        <v>240</v>
      </c>
      <c r="D246" s="754">
        <f>'Func Future Subs 2015'!D246</f>
        <v>138</v>
      </c>
      <c r="E246" s="754" t="str">
        <f>'Func Future Subs 2015'!E246</f>
        <v>813S</v>
      </c>
      <c r="F246" s="754">
        <f>'Func Future Subs 2015'!F246</f>
        <v>71234.874916216097</v>
      </c>
      <c r="G246" s="754" t="str">
        <f>'Func Future Subs 2015'!G246</f>
        <v>ATCO</v>
      </c>
      <c r="H246" s="754">
        <f>'Func Future Subs 2015'!H246</f>
        <v>2017</v>
      </c>
      <c r="I246" s="306">
        <f>+IF($H246=I$2,VLOOKUP($G246,Depreciation!$A$14:$L$18,7,FALSE)/2,IF($H246&lt;I$2,VLOOKUP($G246,Depreciation!$A$14:$L$18,7,FALSE),0))</f>
        <v>0</v>
      </c>
      <c r="J246" s="306">
        <f>+IF($H246=J$2,VLOOKUP($G246,Depreciation!$A$14:$L$18,8,FALSE)/2,IF($H246&lt;J$2,VLOOKUP($G246,Depreciation!$A$14:$L$18,8,FALSE),0))</f>
        <v>0</v>
      </c>
      <c r="K246" s="306">
        <f>+IF($H246=K$2,VLOOKUP($G246,Depreciation!$A$14:$L$18,9,FALSE)/2,IF($H246&lt;K$2,VLOOKUP($G246,Depreciation!$A$14:$L$18,9,FALSE),0))</f>
        <v>1.2175768213899416E-2</v>
      </c>
      <c r="L246" s="306">
        <f>+IF($H246=L$2,VLOOKUP($G246,Depreciation!$A$14:$L$18,10,FALSE)/2,IF($H246&lt;L$2,VLOOKUP($G246,Depreciation!$A$14:$L$18,10,FALSE),0))</f>
        <v>2.4351536427798831E-2</v>
      </c>
      <c r="M246" s="306">
        <f>+IF($H246=M$2,VLOOKUP($G246,Depreciation!$A$14:$L$18,11,FALSE)/2,IF($H246&lt;M$2,VLOOKUP($G246,Depreciation!$A$14:$L$18,11,FALSE),0))</f>
        <v>2.4351536427798831E-2</v>
      </c>
      <c r="N246" s="306">
        <f>+IF($H246=N$2,VLOOKUP($G246,Depreciation!$A$14:$L$18,12,FALSE)/2,IF($H246&lt;N$2,VLOOKUP($G246,Depreciation!$A$14:$L$18,12,FALSE),0))</f>
        <v>2.4351536427798831E-2</v>
      </c>
      <c r="O246" s="307">
        <f t="shared" si="25"/>
        <v>68653.977984223879</v>
      </c>
      <c r="P246" s="732">
        <f>'Func Future Subs 2015'!P246</f>
        <v>0</v>
      </c>
      <c r="Q246" s="732">
        <f>'Func Future Subs 2015'!Q246</f>
        <v>0</v>
      </c>
      <c r="R246" s="732">
        <f>'Func Future Subs 2015'!R246</f>
        <v>1</v>
      </c>
      <c r="S246" s="735">
        <f t="shared" si="26"/>
        <v>0</v>
      </c>
      <c r="T246" s="735">
        <f t="shared" si="27"/>
        <v>0</v>
      </c>
      <c r="U246" s="735">
        <f t="shared" si="28"/>
        <v>68653.977984223879</v>
      </c>
      <c r="V246" s="736">
        <f t="shared" si="29"/>
        <v>0</v>
      </c>
      <c r="W246" s="735">
        <f t="shared" si="30"/>
        <v>0</v>
      </c>
      <c r="X246" s="737">
        <f t="shared" si="31"/>
        <v>68653.977984223879</v>
      </c>
      <c r="Y246" s="738">
        <f t="shared" si="32"/>
        <v>0</v>
      </c>
    </row>
    <row r="247" spans="1:25">
      <c r="A247" s="754" t="str">
        <f>'Func Future Subs 2015'!A247</f>
        <v>Louise Creek 809S</v>
      </c>
      <c r="B247" s="754">
        <f>'Func Future Subs 2015'!B247</f>
        <v>1321</v>
      </c>
      <c r="C247" s="754">
        <f>'Func Future Subs 2015'!C247</f>
        <v>240</v>
      </c>
      <c r="D247" s="754">
        <f>'Func Future Subs 2015'!D247</f>
        <v>144</v>
      </c>
      <c r="E247" s="754" t="str">
        <f>'Func Future Subs 2015'!E247</f>
        <v>809S</v>
      </c>
      <c r="F247" s="754">
        <f>'Func Future Subs 2015'!F247</f>
        <v>67376.674391001157</v>
      </c>
      <c r="G247" s="754" t="str">
        <f>'Func Future Subs 2015'!G247</f>
        <v>ATCO</v>
      </c>
      <c r="H247" s="754">
        <f>'Func Future Subs 2015'!H247</f>
        <v>2017</v>
      </c>
      <c r="I247" s="306">
        <f>+IF($H247=I$2,VLOOKUP($G247,Depreciation!$A$14:$L$18,7,FALSE)/2,IF($H247&lt;I$2,VLOOKUP($G247,Depreciation!$A$14:$L$18,7,FALSE),0))</f>
        <v>0</v>
      </c>
      <c r="J247" s="306">
        <f>+IF($H247=J$2,VLOOKUP($G247,Depreciation!$A$14:$L$18,8,FALSE)/2,IF($H247&lt;J$2,VLOOKUP($G247,Depreciation!$A$14:$L$18,8,FALSE),0))</f>
        <v>0</v>
      </c>
      <c r="K247" s="306">
        <f>+IF($H247=K$2,VLOOKUP($G247,Depreciation!$A$14:$L$18,9,FALSE)/2,IF($H247&lt;K$2,VLOOKUP($G247,Depreciation!$A$14:$L$18,9,FALSE),0))</f>
        <v>1.2175768213899416E-2</v>
      </c>
      <c r="L247" s="306">
        <f>+IF($H247=L$2,VLOOKUP($G247,Depreciation!$A$14:$L$18,10,FALSE)/2,IF($H247&lt;L$2,VLOOKUP($G247,Depreciation!$A$14:$L$18,10,FALSE),0))</f>
        <v>2.4351536427798831E-2</v>
      </c>
      <c r="M247" s="306">
        <f>+IF($H247=M$2,VLOOKUP($G247,Depreciation!$A$14:$L$18,11,FALSE)/2,IF($H247&lt;M$2,VLOOKUP($G247,Depreciation!$A$14:$L$18,11,FALSE),0))</f>
        <v>2.4351536427798831E-2</v>
      </c>
      <c r="N247" s="306">
        <f>+IF($H247=N$2,VLOOKUP($G247,Depreciation!$A$14:$L$18,12,FALSE)/2,IF($H247&lt;N$2,VLOOKUP($G247,Depreciation!$A$14:$L$18,12,FALSE),0))</f>
        <v>2.4351536427798831E-2</v>
      </c>
      <c r="O247" s="307">
        <f t="shared" si="25"/>
        <v>64935.563173664152</v>
      </c>
      <c r="P247" s="732">
        <f>'Func Future Subs 2015'!P247</f>
        <v>0</v>
      </c>
      <c r="Q247" s="732">
        <f>'Func Future Subs 2015'!Q247</f>
        <v>0</v>
      </c>
      <c r="R247" s="732">
        <f>'Func Future Subs 2015'!R247</f>
        <v>1</v>
      </c>
      <c r="S247" s="735">
        <f t="shared" si="26"/>
        <v>0</v>
      </c>
      <c r="T247" s="735">
        <f t="shared" si="27"/>
        <v>0</v>
      </c>
      <c r="U247" s="735">
        <f t="shared" si="28"/>
        <v>64935.563173664152</v>
      </c>
      <c r="V247" s="736">
        <f t="shared" si="29"/>
        <v>0</v>
      </c>
      <c r="W247" s="735">
        <f t="shared" si="30"/>
        <v>0</v>
      </c>
      <c r="X247" s="737">
        <f t="shared" si="31"/>
        <v>64935.563173664152</v>
      </c>
      <c r="Y247" s="738">
        <f t="shared" si="32"/>
        <v>0</v>
      </c>
    </row>
    <row r="248" spans="1:25">
      <c r="A248" s="754" t="str">
        <f>'Func Future Subs 2015'!A248</f>
        <v>Wesley 834S Substation</v>
      </c>
      <c r="B248" s="754">
        <f>'Func Future Subs 2015'!B248</f>
        <v>1321</v>
      </c>
      <c r="C248" s="754">
        <f>'Func Future Subs 2015'!C248</f>
        <v>240</v>
      </c>
      <c r="D248" s="754">
        <f>'Func Future Subs 2015'!D248</f>
        <v>144</v>
      </c>
      <c r="E248" s="754" t="str">
        <f>'Func Future Subs 2015'!E248</f>
        <v>834S</v>
      </c>
      <c r="F248" s="754">
        <f>'Func Future Subs 2015'!F248</f>
        <v>6851820.2017634856</v>
      </c>
      <c r="G248" s="754" t="str">
        <f>'Func Future Subs 2015'!G248</f>
        <v>ATCO</v>
      </c>
      <c r="H248" s="754">
        <f>'Func Future Subs 2015'!H248</f>
        <v>2017</v>
      </c>
      <c r="I248" s="306">
        <f>+IF($H248=I$2,VLOOKUP($G248,Depreciation!$A$14:$L$18,7,FALSE)/2,IF($H248&lt;I$2,VLOOKUP($G248,Depreciation!$A$14:$L$18,7,FALSE),0))</f>
        <v>0</v>
      </c>
      <c r="J248" s="306">
        <f>+IF($H248=J$2,VLOOKUP($G248,Depreciation!$A$14:$L$18,8,FALSE)/2,IF($H248&lt;J$2,VLOOKUP($G248,Depreciation!$A$14:$L$18,8,FALSE),0))</f>
        <v>0</v>
      </c>
      <c r="K248" s="306">
        <f>+IF($H248=K$2,VLOOKUP($G248,Depreciation!$A$14:$L$18,9,FALSE)/2,IF($H248&lt;K$2,VLOOKUP($G248,Depreciation!$A$14:$L$18,9,FALSE),0))</f>
        <v>1.2175768213899416E-2</v>
      </c>
      <c r="L248" s="306">
        <f>+IF($H248=L$2,VLOOKUP($G248,Depreciation!$A$14:$L$18,10,FALSE)/2,IF($H248&lt;L$2,VLOOKUP($G248,Depreciation!$A$14:$L$18,10,FALSE),0))</f>
        <v>2.4351536427798831E-2</v>
      </c>
      <c r="M248" s="306">
        <f>+IF($H248=M$2,VLOOKUP($G248,Depreciation!$A$14:$L$18,11,FALSE)/2,IF($H248&lt;M$2,VLOOKUP($G248,Depreciation!$A$14:$L$18,11,FALSE),0))</f>
        <v>2.4351536427798831E-2</v>
      </c>
      <c r="N248" s="306">
        <f>+IF($H248=N$2,VLOOKUP($G248,Depreciation!$A$14:$L$18,12,FALSE)/2,IF($H248&lt;N$2,VLOOKUP($G248,Depreciation!$A$14:$L$18,12,FALSE),0))</f>
        <v>2.4351536427798831E-2</v>
      </c>
      <c r="O248" s="307">
        <f t="shared" si="25"/>
        <v>6603573.2334338184</v>
      </c>
      <c r="P248" s="732">
        <f>'Func Future Subs 2015'!P248</f>
        <v>0</v>
      </c>
      <c r="Q248" s="732">
        <f>'Func Future Subs 2015'!Q248</f>
        <v>0</v>
      </c>
      <c r="R248" s="732">
        <f>'Func Future Subs 2015'!R248</f>
        <v>1</v>
      </c>
      <c r="S248" s="735">
        <f t="shared" si="26"/>
        <v>0</v>
      </c>
      <c r="T248" s="735">
        <f t="shared" si="27"/>
        <v>0</v>
      </c>
      <c r="U248" s="735">
        <f t="shared" si="28"/>
        <v>6603573.2334338184</v>
      </c>
      <c r="V248" s="736">
        <f t="shared" si="29"/>
        <v>0</v>
      </c>
      <c r="W248" s="735">
        <f t="shared" si="30"/>
        <v>0</v>
      </c>
      <c r="X248" s="737">
        <f t="shared" si="31"/>
        <v>6603573.2334338184</v>
      </c>
      <c r="Y248" s="738">
        <f t="shared" si="32"/>
        <v>0</v>
      </c>
    </row>
    <row r="249" spans="1:25">
      <c r="A249" s="754" t="str">
        <f>'Func Future Subs 2015'!A249</f>
        <v>West Pease A793S</v>
      </c>
      <c r="B249" s="754">
        <f>'Func Future Subs 2015'!B249</f>
        <v>1321</v>
      </c>
      <c r="C249" s="754">
        <f>'Func Future Subs 2015'!C249</f>
        <v>138</v>
      </c>
      <c r="D249" s="754">
        <f>'Func Future Subs 2015'!D249</f>
        <v>25</v>
      </c>
      <c r="E249" s="754" t="str">
        <f>'Func Future Subs 2015'!E249</f>
        <v>A793S</v>
      </c>
      <c r="F249" s="754">
        <f>'Func Future Subs 2015'!F249</f>
        <v>43376.462438149829</v>
      </c>
      <c r="G249" s="754" t="str">
        <f>'Func Future Subs 2015'!G249</f>
        <v>ATCO</v>
      </c>
      <c r="H249" s="754">
        <f>'Func Future Subs 2015'!H249</f>
        <v>2017</v>
      </c>
      <c r="I249" s="306">
        <f>+IF($H249=I$2,VLOOKUP($G249,Depreciation!$A$14:$L$18,7,FALSE)/2,IF($H249&lt;I$2,VLOOKUP($G249,Depreciation!$A$14:$L$18,7,FALSE),0))</f>
        <v>0</v>
      </c>
      <c r="J249" s="306">
        <f>+IF($H249=J$2,VLOOKUP($G249,Depreciation!$A$14:$L$18,8,FALSE)/2,IF($H249&lt;J$2,VLOOKUP($G249,Depreciation!$A$14:$L$18,8,FALSE),0))</f>
        <v>0</v>
      </c>
      <c r="K249" s="306">
        <f>+IF($H249=K$2,VLOOKUP($G249,Depreciation!$A$14:$L$18,9,FALSE)/2,IF($H249&lt;K$2,VLOOKUP($G249,Depreciation!$A$14:$L$18,9,FALSE),0))</f>
        <v>1.2175768213899416E-2</v>
      </c>
      <c r="L249" s="306">
        <f>+IF($H249=L$2,VLOOKUP($G249,Depreciation!$A$14:$L$18,10,FALSE)/2,IF($H249&lt;L$2,VLOOKUP($G249,Depreciation!$A$14:$L$18,10,FALSE),0))</f>
        <v>2.4351536427798831E-2</v>
      </c>
      <c r="M249" s="306">
        <f>+IF($H249=M$2,VLOOKUP($G249,Depreciation!$A$14:$L$18,11,FALSE)/2,IF($H249&lt;M$2,VLOOKUP($G249,Depreciation!$A$14:$L$18,11,FALSE),0))</f>
        <v>2.4351536427798831E-2</v>
      </c>
      <c r="N249" s="306">
        <f>+IF($H249=N$2,VLOOKUP($G249,Depreciation!$A$14:$L$18,12,FALSE)/2,IF($H249&lt;N$2,VLOOKUP($G249,Depreciation!$A$14:$L$18,12,FALSE),0))</f>
        <v>2.4351536427798831E-2</v>
      </c>
      <c r="O249" s="307">
        <f t="shared" si="25"/>
        <v>41804.898243519485</v>
      </c>
      <c r="P249" s="732">
        <f>'Func Future Subs 2015'!P249</f>
        <v>0</v>
      </c>
      <c r="Q249" s="732">
        <f>'Func Future Subs 2015'!Q249</f>
        <v>1</v>
      </c>
      <c r="R249" s="732">
        <f>'Func Future Subs 2015'!R249</f>
        <v>0</v>
      </c>
      <c r="S249" s="735">
        <f t="shared" si="26"/>
        <v>0</v>
      </c>
      <c r="T249" s="735">
        <f t="shared" si="27"/>
        <v>41804.898243519485</v>
      </c>
      <c r="U249" s="735">
        <f t="shared" si="28"/>
        <v>0</v>
      </c>
      <c r="V249" s="736">
        <f t="shared" si="29"/>
        <v>0</v>
      </c>
      <c r="W249" s="735">
        <f t="shared" si="30"/>
        <v>0</v>
      </c>
      <c r="X249" s="737">
        <f t="shared" si="31"/>
        <v>0</v>
      </c>
      <c r="Y249" s="738">
        <f t="shared" si="32"/>
        <v>41804.898243519485</v>
      </c>
    </row>
    <row r="250" spans="1:25">
      <c r="A250" s="754" t="str">
        <f>'Func Future Subs 2015'!A250</f>
        <v>Al Rothbauer 321S</v>
      </c>
      <c r="B250" s="754">
        <f>'Func Future Subs 2015'!B250</f>
        <v>1326</v>
      </c>
      <c r="C250" s="754">
        <f>'Func Future Subs 2015'!C250</f>
        <v>138</v>
      </c>
      <c r="D250" s="754">
        <f>'Func Future Subs 2015'!D250</f>
        <v>138</v>
      </c>
      <c r="E250" s="754" t="str">
        <f>'Func Future Subs 2015'!E250</f>
        <v>321S</v>
      </c>
      <c r="F250" s="754">
        <f>'Func Future Subs 2015'!F250</f>
        <v>6469865.2231551046</v>
      </c>
      <c r="G250" s="754" t="str">
        <f>'Func Future Subs 2015'!G250</f>
        <v>AltaLink</v>
      </c>
      <c r="H250" s="754">
        <f>'Func Future Subs 2015'!H250</f>
        <v>2017</v>
      </c>
      <c r="I250" s="306">
        <f>+IF($H250=I$2,VLOOKUP($G250,Depreciation!$A$14:$L$18,7,FALSE)/2,IF($H250&lt;I$2,VLOOKUP($G250,Depreciation!$A$14:$L$18,7,FALSE),0))</f>
        <v>0</v>
      </c>
      <c r="J250" s="306">
        <f>+IF($H250=J$2,VLOOKUP($G250,Depreciation!$A$14:$L$18,8,FALSE)/2,IF($H250&lt;J$2,VLOOKUP($G250,Depreciation!$A$14:$L$18,8,FALSE),0))</f>
        <v>0</v>
      </c>
      <c r="K250" s="306">
        <f>+IF($H250=K$2,VLOOKUP($G250,Depreciation!$A$14:$L$18,9,FALSE)/2,IF($H250&lt;K$2,VLOOKUP($G250,Depreciation!$A$14:$L$18,9,FALSE),0))</f>
        <v>1.671703928371859E-2</v>
      </c>
      <c r="L250" s="306">
        <f>+IF($H250=L$2,VLOOKUP($G250,Depreciation!$A$14:$L$18,10,FALSE)/2,IF($H250&lt;L$2,VLOOKUP($G250,Depreciation!$A$14:$L$18,10,FALSE),0))</f>
        <v>3.343407856743718E-2</v>
      </c>
      <c r="M250" s="306">
        <f>+IF($H250=M$2,VLOOKUP($G250,Depreciation!$A$14:$L$18,11,FALSE)/2,IF($H250&lt;M$2,VLOOKUP($G250,Depreciation!$A$14:$L$18,11,FALSE),0))</f>
        <v>3.343407856743718E-2</v>
      </c>
      <c r="N250" s="306">
        <f>+IF($H250=N$2,VLOOKUP($G250,Depreciation!$A$14:$L$18,12,FALSE)/2,IF($H250&lt;N$2,VLOOKUP($G250,Depreciation!$A$14:$L$18,12,FALSE),0))</f>
        <v>3.343407856743718E-2</v>
      </c>
      <c r="O250" s="307">
        <f t="shared" si="25"/>
        <v>6149010.3792054746</v>
      </c>
      <c r="P250" s="732">
        <f>'Func Future Subs 2015'!P250</f>
        <v>0</v>
      </c>
      <c r="Q250" s="732">
        <f>'Func Future Subs 2015'!Q250</f>
        <v>0</v>
      </c>
      <c r="R250" s="732">
        <f>'Func Future Subs 2015'!R250</f>
        <v>1</v>
      </c>
      <c r="S250" s="735">
        <f t="shared" si="26"/>
        <v>0</v>
      </c>
      <c r="T250" s="735">
        <f t="shared" si="27"/>
        <v>0</v>
      </c>
      <c r="U250" s="735">
        <f t="shared" si="28"/>
        <v>6149010.3792054746</v>
      </c>
      <c r="V250" s="736">
        <f t="shared" si="29"/>
        <v>0</v>
      </c>
      <c r="W250" s="735">
        <f t="shared" si="30"/>
        <v>0</v>
      </c>
      <c r="X250" s="737">
        <f t="shared" si="31"/>
        <v>6149010.3792054746</v>
      </c>
      <c r="Y250" s="738">
        <f t="shared" si="32"/>
        <v>0</v>
      </c>
    </row>
    <row r="251" spans="1:25">
      <c r="A251" s="754" t="str">
        <f>'Func Future Subs 2015'!A251</f>
        <v>Bowmanton 244S</v>
      </c>
      <c r="B251" s="754">
        <f>'Func Future Subs 2015'!B251</f>
        <v>1326</v>
      </c>
      <c r="C251" s="754">
        <f>'Func Future Subs 2015'!C251</f>
        <v>240</v>
      </c>
      <c r="D251" s="754">
        <f>'Func Future Subs 2015'!D251</f>
        <v>138</v>
      </c>
      <c r="E251" s="754" t="str">
        <f>'Func Future Subs 2015'!E251</f>
        <v>244S</v>
      </c>
      <c r="F251" s="754">
        <f>'Func Future Subs 2015'!F251</f>
        <v>14949.624392399472</v>
      </c>
      <c r="G251" s="754" t="str">
        <f>'Func Future Subs 2015'!G251</f>
        <v>AltaLink</v>
      </c>
      <c r="H251" s="754">
        <f>'Func Future Subs 2015'!H251</f>
        <v>2017</v>
      </c>
      <c r="I251" s="306">
        <f>+IF($H251=I$2,VLOOKUP($G251,Depreciation!$A$14:$L$18,7,FALSE)/2,IF($H251&lt;I$2,VLOOKUP($G251,Depreciation!$A$14:$L$18,7,FALSE),0))</f>
        <v>0</v>
      </c>
      <c r="J251" s="306">
        <f>+IF($H251=J$2,VLOOKUP($G251,Depreciation!$A$14:$L$18,8,FALSE)/2,IF($H251&lt;J$2,VLOOKUP($G251,Depreciation!$A$14:$L$18,8,FALSE),0))</f>
        <v>0</v>
      </c>
      <c r="K251" s="306">
        <f>+IF($H251=K$2,VLOOKUP($G251,Depreciation!$A$14:$L$18,9,FALSE)/2,IF($H251&lt;K$2,VLOOKUP($G251,Depreciation!$A$14:$L$18,9,FALSE),0))</f>
        <v>1.671703928371859E-2</v>
      </c>
      <c r="L251" s="306">
        <f>+IF($H251=L$2,VLOOKUP($G251,Depreciation!$A$14:$L$18,10,FALSE)/2,IF($H251&lt;L$2,VLOOKUP($G251,Depreciation!$A$14:$L$18,10,FALSE),0))</f>
        <v>3.343407856743718E-2</v>
      </c>
      <c r="M251" s="306">
        <f>+IF($H251=M$2,VLOOKUP($G251,Depreciation!$A$14:$L$18,11,FALSE)/2,IF($H251&lt;M$2,VLOOKUP($G251,Depreciation!$A$14:$L$18,11,FALSE),0))</f>
        <v>3.343407856743718E-2</v>
      </c>
      <c r="N251" s="306">
        <f>+IF($H251=N$2,VLOOKUP($G251,Depreciation!$A$14:$L$18,12,FALSE)/2,IF($H251&lt;N$2,VLOOKUP($G251,Depreciation!$A$14:$L$18,12,FALSE),0))</f>
        <v>3.343407856743718E-2</v>
      </c>
      <c r="O251" s="307">
        <f t="shared" si="25"/>
        <v>14208.239643863741</v>
      </c>
      <c r="P251" s="732">
        <f>'Func Future Subs 2015'!P251</f>
        <v>0</v>
      </c>
      <c r="Q251" s="732">
        <f>'Func Future Subs 2015'!Q251</f>
        <v>0</v>
      </c>
      <c r="R251" s="732">
        <f>'Func Future Subs 2015'!R251</f>
        <v>1</v>
      </c>
      <c r="S251" s="735">
        <f t="shared" si="26"/>
        <v>0</v>
      </c>
      <c r="T251" s="735">
        <f t="shared" si="27"/>
        <v>0</v>
      </c>
      <c r="U251" s="735">
        <f t="shared" si="28"/>
        <v>14208.239643863741</v>
      </c>
      <c r="V251" s="736">
        <f t="shared" si="29"/>
        <v>0</v>
      </c>
      <c r="W251" s="735">
        <f t="shared" si="30"/>
        <v>0</v>
      </c>
      <c r="X251" s="737">
        <f t="shared" si="31"/>
        <v>14208.239643863741</v>
      </c>
      <c r="Y251" s="738">
        <f t="shared" si="32"/>
        <v>0</v>
      </c>
    </row>
    <row r="252" spans="1:25">
      <c r="A252" s="754" t="str">
        <f>'Func Future Subs 2015'!A252</f>
        <v>Bullhead 523S</v>
      </c>
      <c r="B252" s="754">
        <f>'Func Future Subs 2015'!B252</f>
        <v>1326</v>
      </c>
      <c r="C252" s="754">
        <f>'Func Future Subs 2015'!C252</f>
        <v>240</v>
      </c>
      <c r="D252" s="754">
        <f>'Func Future Subs 2015'!D252</f>
        <v>25</v>
      </c>
      <c r="E252" s="754" t="str">
        <f>'Func Future Subs 2015'!E252</f>
        <v>523S</v>
      </c>
      <c r="F252" s="754">
        <f>'Func Future Subs 2015'!F252</f>
        <v>116274.85638532921</v>
      </c>
      <c r="G252" s="754" t="str">
        <f>'Func Future Subs 2015'!G252</f>
        <v>AltaLink</v>
      </c>
      <c r="H252" s="754">
        <f>'Func Future Subs 2015'!H252</f>
        <v>2017</v>
      </c>
      <c r="I252" s="306">
        <f>+IF($H252=I$2,VLOOKUP($G252,Depreciation!$A$14:$L$18,7,FALSE)/2,IF($H252&lt;I$2,VLOOKUP($G252,Depreciation!$A$14:$L$18,7,FALSE),0))</f>
        <v>0</v>
      </c>
      <c r="J252" s="306">
        <f>+IF($H252=J$2,VLOOKUP($G252,Depreciation!$A$14:$L$18,8,FALSE)/2,IF($H252&lt;J$2,VLOOKUP($G252,Depreciation!$A$14:$L$18,8,FALSE),0))</f>
        <v>0</v>
      </c>
      <c r="K252" s="306">
        <f>+IF($H252=K$2,VLOOKUP($G252,Depreciation!$A$14:$L$18,9,FALSE)/2,IF($H252&lt;K$2,VLOOKUP($G252,Depreciation!$A$14:$L$18,9,FALSE),0))</f>
        <v>1.671703928371859E-2</v>
      </c>
      <c r="L252" s="306">
        <f>+IF($H252=L$2,VLOOKUP($G252,Depreciation!$A$14:$L$18,10,FALSE)/2,IF($H252&lt;L$2,VLOOKUP($G252,Depreciation!$A$14:$L$18,10,FALSE),0))</f>
        <v>3.343407856743718E-2</v>
      </c>
      <c r="M252" s="306">
        <f>+IF($H252=M$2,VLOOKUP($G252,Depreciation!$A$14:$L$18,11,FALSE)/2,IF($H252&lt;M$2,VLOOKUP($G252,Depreciation!$A$14:$L$18,11,FALSE),0))</f>
        <v>3.343407856743718E-2</v>
      </c>
      <c r="N252" s="306">
        <f>+IF($H252=N$2,VLOOKUP($G252,Depreciation!$A$14:$L$18,12,FALSE)/2,IF($H252&lt;N$2,VLOOKUP($G252,Depreciation!$A$14:$L$18,12,FALSE),0))</f>
        <v>3.343407856743718E-2</v>
      </c>
      <c r="O252" s="307">
        <f t="shared" si="25"/>
        <v>110508.53056338464</v>
      </c>
      <c r="P252" s="732">
        <f>'Func Future Subs 2015'!P252</f>
        <v>0</v>
      </c>
      <c r="Q252" s="732">
        <f>'Func Future Subs 2015'!Q252</f>
        <v>1</v>
      </c>
      <c r="R252" s="732">
        <f>'Func Future Subs 2015'!R252</f>
        <v>0</v>
      </c>
      <c r="S252" s="735">
        <f t="shared" si="26"/>
        <v>0</v>
      </c>
      <c r="T252" s="735">
        <f t="shared" si="27"/>
        <v>110508.53056338464</v>
      </c>
      <c r="U252" s="735">
        <f t="shared" si="28"/>
        <v>0</v>
      </c>
      <c r="V252" s="736">
        <f t="shared" si="29"/>
        <v>0</v>
      </c>
      <c r="W252" s="735">
        <f t="shared" si="30"/>
        <v>0</v>
      </c>
      <c r="X252" s="737">
        <f t="shared" si="31"/>
        <v>0</v>
      </c>
      <c r="Y252" s="738">
        <f t="shared" si="32"/>
        <v>110508.53056338464</v>
      </c>
    </row>
    <row r="253" spans="1:25">
      <c r="A253" s="754" t="str">
        <f>'Func Future Subs 2015'!A253</f>
        <v>Fort Macleod 15S_(v1)</v>
      </c>
      <c r="B253" s="754">
        <f>'Func Future Subs 2015'!B253</f>
        <v>1336</v>
      </c>
      <c r="C253" s="754">
        <f>'Func Future Subs 2015'!C253</f>
        <v>138</v>
      </c>
      <c r="D253" s="754">
        <f>'Func Future Subs 2015'!D253</f>
        <v>25</v>
      </c>
      <c r="E253" s="754" t="str">
        <f>'Func Future Subs 2015'!E253</f>
        <v>15S</v>
      </c>
      <c r="F253" s="754">
        <f>'Func Future Subs 2015'!F253</f>
        <v>267677.39372268558</v>
      </c>
      <c r="G253" s="754" t="str">
        <f>'Func Future Subs 2015'!G253</f>
        <v>AltaLink</v>
      </c>
      <c r="H253" s="754">
        <f>'Func Future Subs 2015'!H253</f>
        <v>2018</v>
      </c>
      <c r="I253" s="306">
        <f>+IF($H253=I$2,VLOOKUP($G253,Depreciation!$A$14:$L$18,7,FALSE)/2,IF($H253&lt;I$2,VLOOKUP($G253,Depreciation!$A$14:$L$18,7,FALSE),0))</f>
        <v>0</v>
      </c>
      <c r="J253" s="306">
        <f>+IF($H253=J$2,VLOOKUP($G253,Depreciation!$A$14:$L$18,8,FALSE)/2,IF($H253&lt;J$2,VLOOKUP($G253,Depreciation!$A$14:$L$18,8,FALSE),0))</f>
        <v>0</v>
      </c>
      <c r="K253" s="306">
        <f>+IF($H253=K$2,VLOOKUP($G253,Depreciation!$A$14:$L$18,9,FALSE)/2,IF($H253&lt;K$2,VLOOKUP($G253,Depreciation!$A$14:$L$18,9,FALSE),0))</f>
        <v>0</v>
      </c>
      <c r="L253" s="306">
        <f>+IF($H253=L$2,VLOOKUP($G253,Depreciation!$A$14:$L$18,10,FALSE)/2,IF($H253&lt;L$2,VLOOKUP($G253,Depreciation!$A$14:$L$18,10,FALSE),0))</f>
        <v>1.671703928371859E-2</v>
      </c>
      <c r="M253" s="306">
        <f>+IF($H253=M$2,VLOOKUP($G253,Depreciation!$A$14:$L$18,11,FALSE)/2,IF($H253&lt;M$2,VLOOKUP($G253,Depreciation!$A$14:$L$18,11,FALSE),0))</f>
        <v>3.343407856743718E-2</v>
      </c>
      <c r="N253" s="306">
        <f>+IF($H253=N$2,VLOOKUP($G253,Depreciation!$A$14:$L$18,12,FALSE)/2,IF($H253&lt;N$2,VLOOKUP($G253,Depreciation!$A$14:$L$18,12,FALSE),0))</f>
        <v>3.343407856743718E-2</v>
      </c>
      <c r="O253" s="307">
        <f t="shared" si="25"/>
        <v>263202.62021646003</v>
      </c>
      <c r="P253" s="732">
        <f>'Func Future Subs 2015'!P253</f>
        <v>0.16326530612244897</v>
      </c>
      <c r="Q253" s="732">
        <f>'Func Future Subs 2015'!Q253</f>
        <v>0.83673469387755106</v>
      </c>
      <c r="R253" s="732">
        <f>'Func Future Subs 2015'!R253</f>
        <v>0</v>
      </c>
      <c r="S253" s="735">
        <f t="shared" si="26"/>
        <v>42971.856361871018</v>
      </c>
      <c r="T253" s="735">
        <f t="shared" si="27"/>
        <v>220230.76385458902</v>
      </c>
      <c r="U253" s="735">
        <f t="shared" si="28"/>
        <v>0</v>
      </c>
      <c r="V253" s="736">
        <f t="shared" si="29"/>
        <v>0</v>
      </c>
      <c r="W253" s="735">
        <f t="shared" si="30"/>
        <v>42971.856361871018</v>
      </c>
      <c r="X253" s="737">
        <f t="shared" si="31"/>
        <v>0</v>
      </c>
      <c r="Y253" s="738">
        <f t="shared" si="32"/>
        <v>220230.76385458902</v>
      </c>
    </row>
    <row r="254" spans="1:25">
      <c r="A254" s="754" t="str">
        <f>'Func Future Subs 2015'!A254</f>
        <v>McGregor Lake 200S_(v1)</v>
      </c>
      <c r="B254" s="754">
        <f>'Func Future Subs 2015'!B254</f>
        <v>1336</v>
      </c>
      <c r="C254" s="754">
        <f>'Func Future Subs 2015'!C254</f>
        <v>138</v>
      </c>
      <c r="D254" s="754">
        <f>'Func Future Subs 2015'!D254</f>
        <v>138</v>
      </c>
      <c r="E254" s="754" t="str">
        <f>'Func Future Subs 2015'!E254</f>
        <v>200S</v>
      </c>
      <c r="F254" s="754">
        <f>'Func Future Subs 2015'!F254</f>
        <v>732176.40047675755</v>
      </c>
      <c r="G254" s="754" t="str">
        <f>'Func Future Subs 2015'!G254</f>
        <v>AltaLink</v>
      </c>
      <c r="H254" s="754">
        <f>'Func Future Subs 2015'!H254</f>
        <v>2018</v>
      </c>
      <c r="I254" s="306">
        <f>+IF($H254=I$2,VLOOKUP($G254,Depreciation!$A$14:$L$18,7,FALSE)/2,IF($H254&lt;I$2,VLOOKUP($G254,Depreciation!$A$14:$L$18,7,FALSE),0))</f>
        <v>0</v>
      </c>
      <c r="J254" s="306">
        <f>+IF($H254=J$2,VLOOKUP($G254,Depreciation!$A$14:$L$18,8,FALSE)/2,IF($H254&lt;J$2,VLOOKUP($G254,Depreciation!$A$14:$L$18,8,FALSE),0))</f>
        <v>0</v>
      </c>
      <c r="K254" s="306">
        <f>+IF($H254=K$2,VLOOKUP($G254,Depreciation!$A$14:$L$18,9,FALSE)/2,IF($H254&lt;K$2,VLOOKUP($G254,Depreciation!$A$14:$L$18,9,FALSE),0))</f>
        <v>0</v>
      </c>
      <c r="L254" s="306">
        <f>+IF($H254=L$2,VLOOKUP($G254,Depreciation!$A$14:$L$18,10,FALSE)/2,IF($H254&lt;L$2,VLOOKUP($G254,Depreciation!$A$14:$L$18,10,FALSE),0))</f>
        <v>1.671703928371859E-2</v>
      </c>
      <c r="M254" s="306">
        <f>+IF($H254=M$2,VLOOKUP($G254,Depreciation!$A$14:$L$18,11,FALSE)/2,IF($H254&lt;M$2,VLOOKUP($G254,Depreciation!$A$14:$L$18,11,FALSE),0))</f>
        <v>3.343407856743718E-2</v>
      </c>
      <c r="N254" s="306">
        <f>+IF($H254=N$2,VLOOKUP($G254,Depreciation!$A$14:$L$18,12,FALSE)/2,IF($H254&lt;N$2,VLOOKUP($G254,Depreciation!$A$14:$L$18,12,FALSE),0))</f>
        <v>3.343407856743718E-2</v>
      </c>
      <c r="O254" s="307">
        <f t="shared" si="25"/>
        <v>719936.5788273759</v>
      </c>
      <c r="P254" s="732">
        <f>'Func Future Subs 2015'!P254</f>
        <v>0</v>
      </c>
      <c r="Q254" s="732">
        <f>'Func Future Subs 2015'!Q254</f>
        <v>0</v>
      </c>
      <c r="R254" s="732">
        <f>'Func Future Subs 2015'!R254</f>
        <v>1</v>
      </c>
      <c r="S254" s="735">
        <f t="shared" si="26"/>
        <v>0</v>
      </c>
      <c r="T254" s="735">
        <f t="shared" si="27"/>
        <v>0</v>
      </c>
      <c r="U254" s="735">
        <f t="shared" si="28"/>
        <v>719936.5788273759</v>
      </c>
      <c r="V254" s="736">
        <f t="shared" si="29"/>
        <v>0</v>
      </c>
      <c r="W254" s="735">
        <f t="shared" si="30"/>
        <v>0</v>
      </c>
      <c r="X254" s="737">
        <f t="shared" si="31"/>
        <v>719936.5788273759</v>
      </c>
      <c r="Y254" s="738">
        <f t="shared" si="32"/>
        <v>0</v>
      </c>
    </row>
    <row r="255" spans="1:25">
      <c r="A255" s="754" t="str">
        <f>'Func Future Subs 2015'!A255</f>
        <v>Queenstown 504S_(v1)</v>
      </c>
      <c r="B255" s="754">
        <f>'Func Future Subs 2015'!B255</f>
        <v>1336</v>
      </c>
      <c r="C255" s="754">
        <f>'Func Future Subs 2015'!C255</f>
        <v>138</v>
      </c>
      <c r="D255" s="754">
        <f>'Func Future Subs 2015'!D255</f>
        <v>138</v>
      </c>
      <c r="E255" s="754" t="str">
        <f>'Func Future Subs 2015'!E255</f>
        <v>504S</v>
      </c>
      <c r="F255" s="754">
        <f>'Func Future Subs 2015'!F255</f>
        <v>2125673.4207389737</v>
      </c>
      <c r="G255" s="754" t="str">
        <f>'Func Future Subs 2015'!G255</f>
        <v>AltaLink</v>
      </c>
      <c r="H255" s="754">
        <f>'Func Future Subs 2015'!H255</f>
        <v>2018</v>
      </c>
      <c r="I255" s="306">
        <f>+IF($H255=I$2,VLOOKUP($G255,Depreciation!$A$14:$L$18,7,FALSE)/2,IF($H255&lt;I$2,VLOOKUP($G255,Depreciation!$A$14:$L$18,7,FALSE),0))</f>
        <v>0</v>
      </c>
      <c r="J255" s="306">
        <f>+IF($H255=J$2,VLOOKUP($G255,Depreciation!$A$14:$L$18,8,FALSE)/2,IF($H255&lt;J$2,VLOOKUP($G255,Depreciation!$A$14:$L$18,8,FALSE),0))</f>
        <v>0</v>
      </c>
      <c r="K255" s="306">
        <f>+IF($H255=K$2,VLOOKUP($G255,Depreciation!$A$14:$L$18,9,FALSE)/2,IF($H255&lt;K$2,VLOOKUP($G255,Depreciation!$A$14:$L$18,9,FALSE),0))</f>
        <v>0</v>
      </c>
      <c r="L255" s="306">
        <f>+IF($H255=L$2,VLOOKUP($G255,Depreciation!$A$14:$L$18,10,FALSE)/2,IF($H255&lt;L$2,VLOOKUP($G255,Depreciation!$A$14:$L$18,10,FALSE),0))</f>
        <v>1.671703928371859E-2</v>
      </c>
      <c r="M255" s="306">
        <f>+IF($H255=M$2,VLOOKUP($G255,Depreciation!$A$14:$L$18,11,FALSE)/2,IF($H255&lt;M$2,VLOOKUP($G255,Depreciation!$A$14:$L$18,11,FALSE),0))</f>
        <v>3.343407856743718E-2</v>
      </c>
      <c r="N255" s="306">
        <f>+IF($H255=N$2,VLOOKUP($G255,Depreciation!$A$14:$L$18,12,FALSE)/2,IF($H255&lt;N$2,VLOOKUP($G255,Depreciation!$A$14:$L$18,12,FALSE),0))</f>
        <v>3.343407856743718E-2</v>
      </c>
      <c r="O255" s="307">
        <f t="shared" si="25"/>
        <v>2090138.4546601237</v>
      </c>
      <c r="P255" s="732">
        <f>'Func Future Subs 2015'!P255</f>
        <v>0</v>
      </c>
      <c r="Q255" s="732">
        <f>'Func Future Subs 2015'!Q255</f>
        <v>0</v>
      </c>
      <c r="R255" s="732">
        <f>'Func Future Subs 2015'!R255</f>
        <v>1</v>
      </c>
      <c r="S255" s="735">
        <f t="shared" si="26"/>
        <v>0</v>
      </c>
      <c r="T255" s="735">
        <f t="shared" si="27"/>
        <v>0</v>
      </c>
      <c r="U255" s="735">
        <f t="shared" si="28"/>
        <v>2090138.4546601237</v>
      </c>
      <c r="V255" s="736">
        <f t="shared" si="29"/>
        <v>0</v>
      </c>
      <c r="W255" s="735">
        <f t="shared" si="30"/>
        <v>0</v>
      </c>
      <c r="X255" s="737">
        <f t="shared" si="31"/>
        <v>2090138.4546601237</v>
      </c>
      <c r="Y255" s="738">
        <f t="shared" si="32"/>
        <v>0</v>
      </c>
    </row>
    <row r="256" spans="1:25">
      <c r="A256" s="754" t="str">
        <f>'Func Future Subs 2015'!A256</f>
        <v>Vulcan 255S_(v1)</v>
      </c>
      <c r="B256" s="754">
        <f>'Func Future Subs 2015'!B256</f>
        <v>1336</v>
      </c>
      <c r="C256" s="754">
        <f>'Func Future Subs 2015'!C256</f>
        <v>240</v>
      </c>
      <c r="D256" s="754">
        <f>'Func Future Subs 2015'!D256</f>
        <v>25</v>
      </c>
      <c r="E256" s="754" t="str">
        <f>'Func Future Subs 2015'!E256</f>
        <v>255S</v>
      </c>
      <c r="F256" s="754">
        <f>'Func Future Subs 2015'!F256</f>
        <v>799095.74890742893</v>
      </c>
      <c r="G256" s="754" t="str">
        <f>'Func Future Subs 2015'!G256</f>
        <v>AltaLink</v>
      </c>
      <c r="H256" s="754">
        <f>'Func Future Subs 2015'!H256</f>
        <v>2018</v>
      </c>
      <c r="I256" s="306">
        <f>+IF($H256=I$2,VLOOKUP($G256,Depreciation!$A$14:$L$18,7,FALSE)/2,IF($H256&lt;I$2,VLOOKUP($G256,Depreciation!$A$14:$L$18,7,FALSE),0))</f>
        <v>0</v>
      </c>
      <c r="J256" s="306">
        <f>+IF($H256=J$2,VLOOKUP($G256,Depreciation!$A$14:$L$18,8,FALSE)/2,IF($H256&lt;J$2,VLOOKUP($G256,Depreciation!$A$14:$L$18,8,FALSE),0))</f>
        <v>0</v>
      </c>
      <c r="K256" s="306">
        <f>+IF($H256=K$2,VLOOKUP($G256,Depreciation!$A$14:$L$18,9,FALSE)/2,IF($H256&lt;K$2,VLOOKUP($G256,Depreciation!$A$14:$L$18,9,FALSE),0))</f>
        <v>0</v>
      </c>
      <c r="L256" s="306">
        <f>+IF($H256=L$2,VLOOKUP($G256,Depreciation!$A$14:$L$18,10,FALSE)/2,IF($H256&lt;L$2,VLOOKUP($G256,Depreciation!$A$14:$L$18,10,FALSE),0))</f>
        <v>1.671703928371859E-2</v>
      </c>
      <c r="M256" s="306">
        <f>+IF($H256=M$2,VLOOKUP($G256,Depreciation!$A$14:$L$18,11,FALSE)/2,IF($H256&lt;M$2,VLOOKUP($G256,Depreciation!$A$14:$L$18,11,FALSE),0))</f>
        <v>3.343407856743718E-2</v>
      </c>
      <c r="N256" s="306">
        <f>+IF($H256=N$2,VLOOKUP($G256,Depreciation!$A$14:$L$18,12,FALSE)/2,IF($H256&lt;N$2,VLOOKUP($G256,Depreciation!$A$14:$L$18,12,FALSE),0))</f>
        <v>3.343407856743718E-2</v>
      </c>
      <c r="O256" s="307">
        <f t="shared" si="25"/>
        <v>785737.23388149089</v>
      </c>
      <c r="P256" s="732">
        <f>'Func Future Subs 2015'!P256</f>
        <v>0</v>
      </c>
      <c r="Q256" s="732">
        <f>'Func Future Subs 2015'!Q256</f>
        <v>1</v>
      </c>
      <c r="R256" s="732">
        <f>'Func Future Subs 2015'!R256</f>
        <v>0</v>
      </c>
      <c r="S256" s="735">
        <f t="shared" si="26"/>
        <v>0</v>
      </c>
      <c r="T256" s="735">
        <f t="shared" si="27"/>
        <v>785737.23388149089</v>
      </c>
      <c r="U256" s="735">
        <f t="shared" si="28"/>
        <v>0</v>
      </c>
      <c r="V256" s="736">
        <f t="shared" si="29"/>
        <v>0</v>
      </c>
      <c r="W256" s="735">
        <f t="shared" si="30"/>
        <v>0</v>
      </c>
      <c r="X256" s="737">
        <f t="shared" si="31"/>
        <v>0</v>
      </c>
      <c r="Y256" s="738">
        <f t="shared" si="32"/>
        <v>785737.23388149089</v>
      </c>
    </row>
    <row r="257" spans="1:25">
      <c r="A257" s="754" t="str">
        <f>'Func Future Subs 2015'!A257</f>
        <v>West Brooks 28S_(v1)</v>
      </c>
      <c r="B257" s="754">
        <f>'Func Future Subs 2015'!B257</f>
        <v>1336</v>
      </c>
      <c r="C257" s="754">
        <f>'Func Future Subs 2015'!C257</f>
        <v>240</v>
      </c>
      <c r="D257" s="754">
        <f>'Func Future Subs 2015'!D257</f>
        <v>25</v>
      </c>
      <c r="E257" s="754" t="str">
        <f>'Func Future Subs 2015'!E257</f>
        <v>28S</v>
      </c>
      <c r="F257" s="754">
        <f>'Func Future Subs 2015'!F257</f>
        <v>407420.73897496995</v>
      </c>
      <c r="G257" s="754" t="str">
        <f>'Func Future Subs 2015'!G257</f>
        <v>AltaLink</v>
      </c>
      <c r="H257" s="754">
        <f>'Func Future Subs 2015'!H257</f>
        <v>2018</v>
      </c>
      <c r="I257" s="306">
        <f>+IF($H257=I$2,VLOOKUP($G257,Depreciation!$A$14:$L$18,7,FALSE)/2,IF($H257&lt;I$2,VLOOKUP($G257,Depreciation!$A$14:$L$18,7,FALSE),0))</f>
        <v>0</v>
      </c>
      <c r="J257" s="306">
        <f>+IF($H257=J$2,VLOOKUP($G257,Depreciation!$A$14:$L$18,8,FALSE)/2,IF($H257&lt;J$2,VLOOKUP($G257,Depreciation!$A$14:$L$18,8,FALSE),0))</f>
        <v>0</v>
      </c>
      <c r="K257" s="306">
        <f>+IF($H257=K$2,VLOOKUP($G257,Depreciation!$A$14:$L$18,9,FALSE)/2,IF($H257&lt;K$2,VLOOKUP($G257,Depreciation!$A$14:$L$18,9,FALSE),0))</f>
        <v>0</v>
      </c>
      <c r="L257" s="306">
        <f>+IF($H257=L$2,VLOOKUP($G257,Depreciation!$A$14:$L$18,10,FALSE)/2,IF($H257&lt;L$2,VLOOKUP($G257,Depreciation!$A$14:$L$18,10,FALSE),0))</f>
        <v>1.671703928371859E-2</v>
      </c>
      <c r="M257" s="306">
        <f>+IF($H257=M$2,VLOOKUP($G257,Depreciation!$A$14:$L$18,11,FALSE)/2,IF($H257&lt;M$2,VLOOKUP($G257,Depreciation!$A$14:$L$18,11,FALSE),0))</f>
        <v>3.343407856743718E-2</v>
      </c>
      <c r="N257" s="306">
        <f>+IF($H257=N$2,VLOOKUP($G257,Depreciation!$A$14:$L$18,12,FALSE)/2,IF($H257&lt;N$2,VLOOKUP($G257,Depreciation!$A$14:$L$18,12,FALSE),0))</f>
        <v>3.343407856743718E-2</v>
      </c>
      <c r="O257" s="307">
        <f t="shared" si="25"/>
        <v>400609.87047652371</v>
      </c>
      <c r="P257" s="732">
        <f>'Func Future Subs 2015'!P257</f>
        <v>0</v>
      </c>
      <c r="Q257" s="732">
        <f>'Func Future Subs 2015'!Q257</f>
        <v>1</v>
      </c>
      <c r="R257" s="732">
        <f>'Func Future Subs 2015'!R257</f>
        <v>0</v>
      </c>
      <c r="S257" s="735">
        <f t="shared" si="26"/>
        <v>0</v>
      </c>
      <c r="T257" s="735">
        <f t="shared" si="27"/>
        <v>400609.87047652371</v>
      </c>
      <c r="U257" s="735">
        <f t="shared" si="28"/>
        <v>0</v>
      </c>
      <c r="V257" s="736">
        <f t="shared" si="29"/>
        <v>0</v>
      </c>
      <c r="W257" s="735">
        <f t="shared" si="30"/>
        <v>0</v>
      </c>
      <c r="X257" s="737">
        <f t="shared" si="31"/>
        <v>0</v>
      </c>
      <c r="Y257" s="738">
        <f t="shared" si="32"/>
        <v>400609.87047652371</v>
      </c>
    </row>
    <row r="258" spans="1:25">
      <c r="A258" s="754" t="str">
        <f>'Func Future Subs 2015'!A258</f>
        <v>Castle Rock Ridge 205S</v>
      </c>
      <c r="B258" s="754">
        <f>'Func Future Subs 2015'!B258</f>
        <v>1343</v>
      </c>
      <c r="C258" s="754">
        <f>'Func Future Subs 2015'!C258</f>
        <v>240</v>
      </c>
      <c r="D258" s="754">
        <f>'Func Future Subs 2015'!D258</f>
        <v>25</v>
      </c>
      <c r="E258" s="754" t="str">
        <f>'Func Future Subs 2015'!E258</f>
        <v>205S</v>
      </c>
      <c r="F258" s="754">
        <f>'Func Future Subs 2015'!F258</f>
        <v>296511.62301019125</v>
      </c>
      <c r="G258" s="754" t="str">
        <f>'Func Future Subs 2015'!G258</f>
        <v>AltaLink</v>
      </c>
      <c r="H258" s="754">
        <f>'Func Future Subs 2015'!H258</f>
        <v>2015</v>
      </c>
      <c r="I258" s="306">
        <f>+IF($H258=I$2,VLOOKUP($G258,Depreciation!$A$14:$L$18,7,FALSE)/2,IF($H258&lt;I$2,VLOOKUP($G258,Depreciation!$A$14:$L$18,7,FALSE),0))</f>
        <v>1.7228380322441735E-2</v>
      </c>
      <c r="J258" s="306">
        <f>+IF($H258=J$2,VLOOKUP($G258,Depreciation!$A$14:$L$18,8,FALSE)/2,IF($H258&lt;J$2,VLOOKUP($G258,Depreciation!$A$14:$L$18,8,FALSE),0))</f>
        <v>3.343407856743718E-2</v>
      </c>
      <c r="K258" s="306">
        <f>+IF($H258=K$2,VLOOKUP($G258,Depreciation!$A$14:$L$18,9,FALSE)/2,IF($H258&lt;K$2,VLOOKUP($G258,Depreciation!$A$14:$L$18,9,FALSE),0))</f>
        <v>3.343407856743718E-2</v>
      </c>
      <c r="L258" s="306">
        <f>+IF($H258=L$2,VLOOKUP($G258,Depreciation!$A$14:$L$18,10,FALSE)/2,IF($H258&lt;L$2,VLOOKUP($G258,Depreciation!$A$14:$L$18,10,FALSE),0))</f>
        <v>3.343407856743718E-2</v>
      </c>
      <c r="M258" s="306">
        <f>+IF($H258=M$2,VLOOKUP($G258,Depreciation!$A$14:$L$18,11,FALSE)/2,IF($H258&lt;M$2,VLOOKUP($G258,Depreciation!$A$14:$L$18,11,FALSE),0))</f>
        <v>3.343407856743718E-2</v>
      </c>
      <c r="N258" s="306">
        <f>+IF($H258=N$2,VLOOKUP($G258,Depreciation!$A$14:$L$18,12,FALSE)/2,IF($H258&lt;N$2,VLOOKUP($G258,Depreciation!$A$14:$L$18,12,FALSE),0))</f>
        <v>3.343407856743718E-2</v>
      </c>
      <c r="O258" s="307">
        <f t="shared" si="25"/>
        <v>263141.14827650244</v>
      </c>
      <c r="P258" s="732">
        <f>'Func Future Subs 2015'!P258</f>
        <v>0.99826388888888884</v>
      </c>
      <c r="Q258" s="732">
        <f>'Func Future Subs 2015'!Q258</f>
        <v>1.7361111111111112E-3</v>
      </c>
      <c r="R258" s="732">
        <f>'Func Future Subs 2015'!R258</f>
        <v>4.9222778630841901E-17</v>
      </c>
      <c r="S258" s="735">
        <f t="shared" si="26"/>
        <v>262684.30600518908</v>
      </c>
      <c r="T258" s="735">
        <f t="shared" si="27"/>
        <v>456.84227131337235</v>
      </c>
      <c r="U258" s="735">
        <f t="shared" si="28"/>
        <v>1.2952538490279824E-11</v>
      </c>
      <c r="V258" s="736">
        <f t="shared" si="29"/>
        <v>0</v>
      </c>
      <c r="W258" s="735">
        <f t="shared" si="30"/>
        <v>262684.30600518908</v>
      </c>
      <c r="X258" s="737">
        <f t="shared" si="31"/>
        <v>0</v>
      </c>
      <c r="Y258" s="738">
        <f t="shared" si="32"/>
        <v>456.84227131338531</v>
      </c>
    </row>
    <row r="259" spans="1:25">
      <c r="A259" s="754" t="str">
        <f>'Func Future Subs 2015'!A259</f>
        <v>Fidler 312S Stage 1</v>
      </c>
      <c r="B259" s="754">
        <f>'Func Future Subs 2015'!B259</f>
        <v>1343</v>
      </c>
      <c r="C259" s="754">
        <f>'Func Future Subs 2015'!C259</f>
        <v>240</v>
      </c>
      <c r="D259" s="754">
        <f>'Func Future Subs 2015'!D259</f>
        <v>138</v>
      </c>
      <c r="E259" s="754" t="str">
        <f>'Func Future Subs 2015'!E259</f>
        <v>312S</v>
      </c>
      <c r="F259" s="754">
        <f>'Func Future Subs 2015'!F259</f>
        <v>31755235.281731669</v>
      </c>
      <c r="G259" s="754" t="str">
        <f>'Func Future Subs 2015'!G259</f>
        <v>AltaLink</v>
      </c>
      <c r="H259" s="754">
        <f>'Func Future Subs 2015'!H259</f>
        <v>2019</v>
      </c>
      <c r="I259" s="306">
        <f>+IF($H259=I$2,VLOOKUP($G259,Depreciation!$A$14:$L$18,7,FALSE)/2,IF($H259&lt;I$2,VLOOKUP($G259,Depreciation!$A$14:$L$18,7,FALSE),0))</f>
        <v>0</v>
      </c>
      <c r="J259" s="306">
        <f>+IF($H259=J$2,VLOOKUP($G259,Depreciation!$A$14:$L$18,8,FALSE)/2,IF($H259&lt;J$2,VLOOKUP($G259,Depreciation!$A$14:$L$18,8,FALSE),0))</f>
        <v>0</v>
      </c>
      <c r="K259" s="306">
        <f>+IF($H259=K$2,VLOOKUP($G259,Depreciation!$A$14:$L$18,9,FALSE)/2,IF($H259&lt;K$2,VLOOKUP($G259,Depreciation!$A$14:$L$18,9,FALSE),0))</f>
        <v>0</v>
      </c>
      <c r="L259" s="306">
        <f>+IF($H259=L$2,VLOOKUP($G259,Depreciation!$A$14:$L$18,10,FALSE)/2,IF($H259&lt;L$2,VLOOKUP($G259,Depreciation!$A$14:$L$18,10,FALSE),0))</f>
        <v>0</v>
      </c>
      <c r="M259" s="306">
        <f>+IF($H259=M$2,VLOOKUP($G259,Depreciation!$A$14:$L$18,11,FALSE)/2,IF($H259&lt;M$2,VLOOKUP($G259,Depreciation!$A$14:$L$18,11,FALSE),0))</f>
        <v>1.671703928371859E-2</v>
      </c>
      <c r="N259" s="306">
        <f>+IF($H259=N$2,VLOOKUP($G259,Depreciation!$A$14:$L$18,12,FALSE)/2,IF($H259&lt;N$2,VLOOKUP($G259,Depreciation!$A$14:$L$18,12,FALSE),0))</f>
        <v>3.343407856743718E-2</v>
      </c>
      <c r="O259" s="307">
        <f t="shared" si="25"/>
        <v>0</v>
      </c>
      <c r="P259" s="732">
        <f>'Func Future Subs 2015'!P259</f>
        <v>0</v>
      </c>
      <c r="Q259" s="732">
        <f>'Func Future Subs 2015'!Q259</f>
        <v>0</v>
      </c>
      <c r="R259" s="732">
        <f>'Func Future Subs 2015'!R259</f>
        <v>1</v>
      </c>
      <c r="S259" s="735">
        <f t="shared" si="26"/>
        <v>0</v>
      </c>
      <c r="T259" s="735">
        <f t="shared" si="27"/>
        <v>0</v>
      </c>
      <c r="U259" s="735">
        <f t="shared" si="28"/>
        <v>0</v>
      </c>
      <c r="V259" s="736">
        <f t="shared" si="29"/>
        <v>0</v>
      </c>
      <c r="W259" s="735">
        <f t="shared" si="30"/>
        <v>0</v>
      </c>
      <c r="X259" s="737">
        <f t="shared" si="31"/>
        <v>0</v>
      </c>
      <c r="Y259" s="738">
        <f t="shared" si="32"/>
        <v>0</v>
      </c>
    </row>
    <row r="260" spans="1:25">
      <c r="A260" s="754" t="str">
        <f>'Func Future Subs 2015'!A260</f>
        <v>Fidler 312S stage 2</v>
      </c>
      <c r="B260" s="754">
        <f>'Func Future Subs 2015'!B260</f>
        <v>1343</v>
      </c>
      <c r="C260" s="754">
        <f>'Func Future Subs 2015'!C260</f>
        <v>240</v>
      </c>
      <c r="D260" s="754">
        <f>'Func Future Subs 2015'!D260</f>
        <v>138</v>
      </c>
      <c r="E260" s="754" t="str">
        <f>'Func Future Subs 2015'!E260</f>
        <v>312S</v>
      </c>
      <c r="F260" s="754">
        <f>'Func Future Subs 2015'!F260</f>
        <v>9276667.4068498276</v>
      </c>
      <c r="G260" s="754" t="str">
        <f>'Func Future Subs 2015'!G260</f>
        <v>AltaLink</v>
      </c>
      <c r="H260" s="754">
        <f>'Func Future Subs 2015'!H260</f>
        <v>2019</v>
      </c>
      <c r="I260" s="306">
        <f>+IF($H260=I$2,VLOOKUP($G260,Depreciation!$A$14:$L$18,7,FALSE)/2,IF($H260&lt;I$2,VLOOKUP($G260,Depreciation!$A$14:$L$18,7,FALSE),0))</f>
        <v>0</v>
      </c>
      <c r="J260" s="306">
        <f>+IF($H260=J$2,VLOOKUP($G260,Depreciation!$A$14:$L$18,8,FALSE)/2,IF($H260&lt;J$2,VLOOKUP($G260,Depreciation!$A$14:$L$18,8,FALSE),0))</f>
        <v>0</v>
      </c>
      <c r="K260" s="306">
        <f>+IF($H260=K$2,VLOOKUP($G260,Depreciation!$A$14:$L$18,9,FALSE)/2,IF($H260&lt;K$2,VLOOKUP($G260,Depreciation!$A$14:$L$18,9,FALSE),0))</f>
        <v>0</v>
      </c>
      <c r="L260" s="306">
        <f>+IF($H260=L$2,VLOOKUP($G260,Depreciation!$A$14:$L$18,10,FALSE)/2,IF($H260&lt;L$2,VLOOKUP($G260,Depreciation!$A$14:$L$18,10,FALSE),0))</f>
        <v>0</v>
      </c>
      <c r="M260" s="306">
        <f>+IF($H260=M$2,VLOOKUP($G260,Depreciation!$A$14:$L$18,11,FALSE)/2,IF($H260&lt;M$2,VLOOKUP($G260,Depreciation!$A$14:$L$18,11,FALSE),0))</f>
        <v>1.671703928371859E-2</v>
      </c>
      <c r="N260" s="306">
        <f>+IF($H260=N$2,VLOOKUP($G260,Depreciation!$A$14:$L$18,12,FALSE)/2,IF($H260&lt;N$2,VLOOKUP($G260,Depreciation!$A$14:$L$18,12,FALSE),0))</f>
        <v>3.343407856743718E-2</v>
      </c>
      <c r="O260" s="307">
        <f t="shared" ref="O260:O323" si="33">IF(H260&lt;=2018,F260*(1-I260)*(1-J260)*(1-K260)*(1-L260),0)</f>
        <v>0</v>
      </c>
      <c r="P260" s="732">
        <f>'Func Future Subs 2015'!P260</f>
        <v>0</v>
      </c>
      <c r="Q260" s="732">
        <f>'Func Future Subs 2015'!Q260</f>
        <v>0</v>
      </c>
      <c r="R260" s="732">
        <f>'Func Future Subs 2015'!R260</f>
        <v>1</v>
      </c>
      <c r="S260" s="735">
        <f t="shared" ref="S260:S323" si="34">+P260*$O260</f>
        <v>0</v>
      </c>
      <c r="T260" s="735">
        <f t="shared" ref="T260:T323" si="35">+Q260*$O260</f>
        <v>0</v>
      </c>
      <c r="U260" s="735">
        <f t="shared" ref="U260:U323" si="36">+R260*$O260</f>
        <v>0</v>
      </c>
      <c r="V260" s="736">
        <f t="shared" ref="V260:V323" si="37">IF(AND(R260=1,D260=0),O260,0)</f>
        <v>0</v>
      </c>
      <c r="W260" s="735">
        <f t="shared" ref="W260:W323" si="38">S260+IF(D260&gt;144,U260,0)</f>
        <v>0</v>
      </c>
      <c r="X260" s="737">
        <f t="shared" ref="X260:X323" si="39">IF(AND(D260&lt;=144,D260&gt;=69),U260,0)</f>
        <v>0</v>
      </c>
      <c r="Y260" s="738">
        <f t="shared" ref="Y260:Y323" si="40">T260+IF(AND(D260&lt;69,D260&gt;0),U260,0)</f>
        <v>0</v>
      </c>
    </row>
    <row r="261" spans="1:25">
      <c r="A261" s="754" t="str">
        <f>'Func Future Subs 2015'!A261</f>
        <v>Goose Lake 103S stage 1</v>
      </c>
      <c r="B261" s="754">
        <f>'Func Future Subs 2015'!B261</f>
        <v>1343</v>
      </c>
      <c r="C261" s="754">
        <f>'Func Future Subs 2015'!C261</f>
        <v>240</v>
      </c>
      <c r="D261" s="754">
        <f>'Func Future Subs 2015'!D261</f>
        <v>138</v>
      </c>
      <c r="E261" s="754" t="str">
        <f>'Func Future Subs 2015'!E261</f>
        <v>103S</v>
      </c>
      <c r="F261" s="754">
        <f>'Func Future Subs 2015'!F261</f>
        <v>296511.62301019125</v>
      </c>
      <c r="G261" s="754" t="str">
        <f>'Func Future Subs 2015'!G261</f>
        <v>AltaLink</v>
      </c>
      <c r="H261" s="754">
        <f>'Func Future Subs 2015'!H261</f>
        <v>2019</v>
      </c>
      <c r="I261" s="306">
        <f>+IF($H261=I$2,VLOOKUP($G261,Depreciation!$A$14:$L$18,7,FALSE)/2,IF($H261&lt;I$2,VLOOKUP($G261,Depreciation!$A$14:$L$18,7,FALSE),0))</f>
        <v>0</v>
      </c>
      <c r="J261" s="306">
        <f>+IF($H261=J$2,VLOOKUP($G261,Depreciation!$A$14:$L$18,8,FALSE)/2,IF($H261&lt;J$2,VLOOKUP($G261,Depreciation!$A$14:$L$18,8,FALSE),0))</f>
        <v>0</v>
      </c>
      <c r="K261" s="306">
        <f>+IF($H261=K$2,VLOOKUP($G261,Depreciation!$A$14:$L$18,9,FALSE)/2,IF($H261&lt;K$2,VLOOKUP($G261,Depreciation!$A$14:$L$18,9,FALSE),0))</f>
        <v>0</v>
      </c>
      <c r="L261" s="306">
        <f>+IF($H261=L$2,VLOOKUP($G261,Depreciation!$A$14:$L$18,10,FALSE)/2,IF($H261&lt;L$2,VLOOKUP($G261,Depreciation!$A$14:$L$18,10,FALSE),0))</f>
        <v>0</v>
      </c>
      <c r="M261" s="306">
        <f>+IF($H261=M$2,VLOOKUP($G261,Depreciation!$A$14:$L$18,11,FALSE)/2,IF($H261&lt;M$2,VLOOKUP($G261,Depreciation!$A$14:$L$18,11,FALSE),0))</f>
        <v>1.671703928371859E-2</v>
      </c>
      <c r="N261" s="306">
        <f>+IF($H261=N$2,VLOOKUP($G261,Depreciation!$A$14:$L$18,12,FALSE)/2,IF($H261&lt;N$2,VLOOKUP($G261,Depreciation!$A$14:$L$18,12,FALSE),0))</f>
        <v>3.343407856743718E-2</v>
      </c>
      <c r="O261" s="307">
        <f t="shared" si="33"/>
        <v>0</v>
      </c>
      <c r="P261" s="732">
        <f>'Func Future Subs 2015'!P261</f>
        <v>0</v>
      </c>
      <c r="Q261" s="732">
        <f>'Func Future Subs 2015'!Q261</f>
        <v>0</v>
      </c>
      <c r="R261" s="732">
        <f>'Func Future Subs 2015'!R261</f>
        <v>1</v>
      </c>
      <c r="S261" s="735">
        <f t="shared" si="34"/>
        <v>0</v>
      </c>
      <c r="T261" s="735">
        <f t="shared" si="35"/>
        <v>0</v>
      </c>
      <c r="U261" s="735">
        <f t="shared" si="36"/>
        <v>0</v>
      </c>
      <c r="V261" s="736">
        <f t="shared" si="37"/>
        <v>0</v>
      </c>
      <c r="W261" s="735">
        <f t="shared" si="38"/>
        <v>0</v>
      </c>
      <c r="X261" s="737">
        <f t="shared" si="39"/>
        <v>0</v>
      </c>
      <c r="Y261" s="738">
        <f t="shared" si="40"/>
        <v>0</v>
      </c>
    </row>
    <row r="262" spans="1:25">
      <c r="A262" s="754" t="str">
        <f>'Func Future Subs 2015'!A262</f>
        <v>Goose Lake stage 2</v>
      </c>
      <c r="B262" s="754">
        <f>'Func Future Subs 2015'!B262</f>
        <v>1343</v>
      </c>
      <c r="C262" s="754">
        <f>'Func Future Subs 2015'!C262</f>
        <v>240</v>
      </c>
      <c r="D262" s="754">
        <f>'Func Future Subs 2015'!D262</f>
        <v>0</v>
      </c>
      <c r="E262" s="754">
        <f>'Func Future Subs 2015'!E262</f>
        <v>0</v>
      </c>
      <c r="F262" s="754">
        <f>'Func Future Subs 2015'!F262</f>
        <v>198194.95671810306</v>
      </c>
      <c r="G262" s="754" t="str">
        <f>'Func Future Subs 2015'!G262</f>
        <v>AltaLink</v>
      </c>
      <c r="H262" s="754">
        <f>'Func Future Subs 2015'!H262</f>
        <v>2019</v>
      </c>
      <c r="I262" s="306">
        <f>+IF($H262=I$2,VLOOKUP($G262,Depreciation!$A$14:$L$18,7,FALSE)/2,IF($H262&lt;I$2,VLOOKUP($G262,Depreciation!$A$14:$L$18,7,FALSE),0))</f>
        <v>0</v>
      </c>
      <c r="J262" s="306">
        <f>+IF($H262=J$2,VLOOKUP($G262,Depreciation!$A$14:$L$18,8,FALSE)/2,IF($H262&lt;J$2,VLOOKUP($G262,Depreciation!$A$14:$L$18,8,FALSE),0))</f>
        <v>0</v>
      </c>
      <c r="K262" s="306">
        <f>+IF($H262=K$2,VLOOKUP($G262,Depreciation!$A$14:$L$18,9,FALSE)/2,IF($H262&lt;K$2,VLOOKUP($G262,Depreciation!$A$14:$L$18,9,FALSE),0))</f>
        <v>0</v>
      </c>
      <c r="L262" s="306">
        <f>+IF($H262=L$2,VLOOKUP($G262,Depreciation!$A$14:$L$18,10,FALSE)/2,IF($H262&lt;L$2,VLOOKUP($G262,Depreciation!$A$14:$L$18,10,FALSE),0))</f>
        <v>0</v>
      </c>
      <c r="M262" s="306">
        <f>+IF($H262=M$2,VLOOKUP($G262,Depreciation!$A$14:$L$18,11,FALSE)/2,IF($H262&lt;M$2,VLOOKUP($G262,Depreciation!$A$14:$L$18,11,FALSE),0))</f>
        <v>1.671703928371859E-2</v>
      </c>
      <c r="N262" s="306">
        <f>+IF($H262=N$2,VLOOKUP($G262,Depreciation!$A$14:$L$18,12,FALSE)/2,IF($H262&lt;N$2,VLOOKUP($G262,Depreciation!$A$14:$L$18,12,FALSE),0))</f>
        <v>3.343407856743718E-2</v>
      </c>
      <c r="O262" s="307">
        <f t="shared" si="33"/>
        <v>0</v>
      </c>
      <c r="P262" s="732">
        <f>'Func Future Subs 2015'!P262</f>
        <v>0</v>
      </c>
      <c r="Q262" s="732">
        <f>'Func Future Subs 2015'!Q262</f>
        <v>0</v>
      </c>
      <c r="R262" s="732">
        <f>'Func Future Subs 2015'!R262</f>
        <v>1</v>
      </c>
      <c r="S262" s="735">
        <f t="shared" si="34"/>
        <v>0</v>
      </c>
      <c r="T262" s="735">
        <f t="shared" si="35"/>
        <v>0</v>
      </c>
      <c r="U262" s="735">
        <f t="shared" si="36"/>
        <v>0</v>
      </c>
      <c r="V262" s="736">
        <f t="shared" si="37"/>
        <v>0</v>
      </c>
      <c r="W262" s="735">
        <f t="shared" si="38"/>
        <v>0</v>
      </c>
      <c r="X262" s="737">
        <f t="shared" si="39"/>
        <v>0</v>
      </c>
      <c r="Y262" s="738">
        <f t="shared" si="40"/>
        <v>0</v>
      </c>
    </row>
    <row r="263" spans="1:25">
      <c r="A263" s="754" t="str">
        <f>'Func Future Subs 2015'!A263</f>
        <v>Oldman River 806S stage 2</v>
      </c>
      <c r="B263" s="754">
        <f>'Func Future Subs 2015'!B263</f>
        <v>1343</v>
      </c>
      <c r="C263" s="754">
        <f>'Func Future Subs 2015'!C263</f>
        <v>138</v>
      </c>
      <c r="D263" s="754">
        <f>'Func Future Subs 2015'!D263</f>
        <v>25</v>
      </c>
      <c r="E263" s="754" t="str">
        <f>'Func Future Subs 2015'!E263</f>
        <v>806S</v>
      </c>
      <c r="F263" s="754">
        <f>'Func Future Subs 2015'!F263</f>
        <v>198194.95671810306</v>
      </c>
      <c r="G263" s="754" t="str">
        <f>'Func Future Subs 2015'!G263</f>
        <v>AltaLink</v>
      </c>
      <c r="H263" s="754">
        <f>'Func Future Subs 2015'!H263</f>
        <v>2015</v>
      </c>
      <c r="I263" s="306">
        <f>+IF($H263=I$2,VLOOKUP($G263,Depreciation!$A$14:$L$18,7,FALSE)/2,IF($H263&lt;I$2,VLOOKUP($G263,Depreciation!$A$14:$L$18,7,FALSE),0))</f>
        <v>1.7228380322441735E-2</v>
      </c>
      <c r="J263" s="306">
        <f>+IF($H263=J$2,VLOOKUP($G263,Depreciation!$A$14:$L$18,8,FALSE)/2,IF($H263&lt;J$2,VLOOKUP($G263,Depreciation!$A$14:$L$18,8,FALSE),0))</f>
        <v>3.343407856743718E-2</v>
      </c>
      <c r="K263" s="306">
        <f>+IF($H263=K$2,VLOOKUP($G263,Depreciation!$A$14:$L$18,9,FALSE)/2,IF($H263&lt;K$2,VLOOKUP($G263,Depreciation!$A$14:$L$18,9,FALSE),0))</f>
        <v>3.343407856743718E-2</v>
      </c>
      <c r="L263" s="306">
        <f>+IF($H263=L$2,VLOOKUP($G263,Depreciation!$A$14:$L$18,10,FALSE)/2,IF($H263&lt;L$2,VLOOKUP($G263,Depreciation!$A$14:$L$18,10,FALSE),0))</f>
        <v>3.343407856743718E-2</v>
      </c>
      <c r="M263" s="306">
        <f>+IF($H263=M$2,VLOOKUP($G263,Depreciation!$A$14:$L$18,11,FALSE)/2,IF($H263&lt;M$2,VLOOKUP($G263,Depreciation!$A$14:$L$18,11,FALSE),0))</f>
        <v>3.343407856743718E-2</v>
      </c>
      <c r="N263" s="306">
        <f>+IF($H263=N$2,VLOOKUP($G263,Depreciation!$A$14:$L$18,12,FALSE)/2,IF($H263&lt;N$2,VLOOKUP($G263,Depreciation!$A$14:$L$18,12,FALSE),0))</f>
        <v>3.343407856743718E-2</v>
      </c>
      <c r="O263" s="307">
        <f t="shared" si="33"/>
        <v>175889.38998057699</v>
      </c>
      <c r="P263" s="732">
        <f>'Func Future Subs 2015'!P263</f>
        <v>0.96969696969696972</v>
      </c>
      <c r="Q263" s="732">
        <f>'Func Future Subs 2015'!Q263</f>
        <v>3.0303030303030304E-2</v>
      </c>
      <c r="R263" s="732">
        <f>'Func Future Subs 2015'!R263</f>
        <v>-2.7755575615628914E-17</v>
      </c>
      <c r="S263" s="735">
        <f t="shared" si="34"/>
        <v>170559.40846601405</v>
      </c>
      <c r="T263" s="735">
        <f t="shared" si="35"/>
        <v>5329.9815145629391</v>
      </c>
      <c r="U263" s="735">
        <f t="shared" si="36"/>
        <v>-4.8819112635927473E-12</v>
      </c>
      <c r="V263" s="736">
        <f t="shared" si="37"/>
        <v>0</v>
      </c>
      <c r="W263" s="735">
        <f t="shared" si="38"/>
        <v>170559.40846601405</v>
      </c>
      <c r="X263" s="737">
        <f t="shared" si="39"/>
        <v>0</v>
      </c>
      <c r="Y263" s="738">
        <f t="shared" si="40"/>
        <v>5329.9815145629345</v>
      </c>
    </row>
    <row r="264" spans="1:25">
      <c r="A264" s="754" t="str">
        <f>'Func Future Subs 2015'!A264</f>
        <v>Oldman River Dam 806S stage 1</v>
      </c>
      <c r="B264" s="754">
        <f>'Func Future Subs 2015'!B264</f>
        <v>1343</v>
      </c>
      <c r="C264" s="754">
        <f>'Func Future Subs 2015'!C264</f>
        <v>138</v>
      </c>
      <c r="D264" s="754">
        <f>'Func Future Subs 2015'!D264</f>
        <v>25</v>
      </c>
      <c r="E264" s="754" t="str">
        <f>'Func Future Subs 2015'!E264</f>
        <v>806S</v>
      </c>
      <c r="F264" s="754">
        <f>'Func Future Subs 2015'!F264</f>
        <v>160679.48286027124</v>
      </c>
      <c r="G264" s="754" t="str">
        <f>'Func Future Subs 2015'!G264</f>
        <v>AltaLink</v>
      </c>
      <c r="H264" s="754">
        <f>'Func Future Subs 2015'!H264</f>
        <v>2015</v>
      </c>
      <c r="I264" s="306">
        <f>+IF($H264=I$2,VLOOKUP($G264,Depreciation!$A$14:$L$18,7,FALSE)/2,IF($H264&lt;I$2,VLOOKUP($G264,Depreciation!$A$14:$L$18,7,FALSE),0))</f>
        <v>1.7228380322441735E-2</v>
      </c>
      <c r="J264" s="306">
        <f>+IF($H264=J$2,VLOOKUP($G264,Depreciation!$A$14:$L$18,8,FALSE)/2,IF($H264&lt;J$2,VLOOKUP($G264,Depreciation!$A$14:$L$18,8,FALSE),0))</f>
        <v>3.343407856743718E-2</v>
      </c>
      <c r="K264" s="306">
        <f>+IF($H264=K$2,VLOOKUP($G264,Depreciation!$A$14:$L$18,9,FALSE)/2,IF($H264&lt;K$2,VLOOKUP($G264,Depreciation!$A$14:$L$18,9,FALSE),0))</f>
        <v>3.343407856743718E-2</v>
      </c>
      <c r="L264" s="306">
        <f>+IF($H264=L$2,VLOOKUP($G264,Depreciation!$A$14:$L$18,10,FALSE)/2,IF($H264&lt;L$2,VLOOKUP($G264,Depreciation!$A$14:$L$18,10,FALSE),0))</f>
        <v>3.343407856743718E-2</v>
      </c>
      <c r="M264" s="306">
        <f>+IF($H264=M$2,VLOOKUP($G264,Depreciation!$A$14:$L$18,11,FALSE)/2,IF($H264&lt;M$2,VLOOKUP($G264,Depreciation!$A$14:$L$18,11,FALSE),0))</f>
        <v>3.343407856743718E-2</v>
      </c>
      <c r="N264" s="306">
        <f>+IF($H264=N$2,VLOOKUP($G264,Depreciation!$A$14:$L$18,12,FALSE)/2,IF($H264&lt;N$2,VLOOKUP($G264,Depreciation!$A$14:$L$18,12,FALSE),0))</f>
        <v>3.343407856743718E-2</v>
      </c>
      <c r="O264" s="307">
        <f t="shared" si="33"/>
        <v>142596.04124480864</v>
      </c>
      <c r="P264" s="732">
        <f>'Func Future Subs 2015'!P264</f>
        <v>0.96969696969696972</v>
      </c>
      <c r="Q264" s="732">
        <f>'Func Future Subs 2015'!Q264</f>
        <v>3.0303030303030304E-2</v>
      </c>
      <c r="R264" s="732">
        <f>'Func Future Subs 2015'!R264</f>
        <v>-2.7755575615628914E-17</v>
      </c>
      <c r="S264" s="735">
        <f t="shared" si="34"/>
        <v>138274.94908587507</v>
      </c>
      <c r="T264" s="735">
        <f t="shared" si="35"/>
        <v>4321.0921589335958</v>
      </c>
      <c r="U264" s="735">
        <f t="shared" si="36"/>
        <v>-3.9578352052596256E-12</v>
      </c>
      <c r="V264" s="736">
        <f t="shared" si="37"/>
        <v>0</v>
      </c>
      <c r="W264" s="735">
        <f t="shared" si="38"/>
        <v>138274.94908587507</v>
      </c>
      <c r="X264" s="737">
        <f t="shared" si="39"/>
        <v>0</v>
      </c>
      <c r="Y264" s="738">
        <f t="shared" si="40"/>
        <v>4321.0921589335921</v>
      </c>
    </row>
    <row r="265" spans="1:25">
      <c r="A265" s="754" t="str">
        <f>'Func Future Subs 2015'!A265</f>
        <v>Summerview 354S stage 2</v>
      </c>
      <c r="B265" s="754">
        <f>'Func Future Subs 2015'!B265</f>
        <v>1343</v>
      </c>
      <c r="C265" s="754">
        <f>'Func Future Subs 2015'!C265</f>
        <v>138</v>
      </c>
      <c r="D265" s="754">
        <f>'Func Future Subs 2015'!D265</f>
        <v>25</v>
      </c>
      <c r="E265" s="754" t="str">
        <f>'Func Future Subs 2015'!E265</f>
        <v>354S</v>
      </c>
      <c r="F265" s="754">
        <f>'Func Future Subs 2015'!F265</f>
        <v>198194.95671810306</v>
      </c>
      <c r="G265" s="754" t="str">
        <f>'Func Future Subs 2015'!G265</f>
        <v>AltaLink</v>
      </c>
      <c r="H265" s="754">
        <f>'Func Future Subs 2015'!H265</f>
        <v>2015</v>
      </c>
      <c r="I265" s="306">
        <f>+IF($H265=I$2,VLOOKUP($G265,Depreciation!$A$14:$L$18,7,FALSE)/2,IF($H265&lt;I$2,VLOOKUP($G265,Depreciation!$A$14:$L$18,7,FALSE),0))</f>
        <v>1.7228380322441735E-2</v>
      </c>
      <c r="J265" s="306">
        <f>+IF($H265=J$2,VLOOKUP($G265,Depreciation!$A$14:$L$18,8,FALSE)/2,IF($H265&lt;J$2,VLOOKUP($G265,Depreciation!$A$14:$L$18,8,FALSE),0))</f>
        <v>3.343407856743718E-2</v>
      </c>
      <c r="K265" s="306">
        <f>+IF($H265=K$2,VLOOKUP($G265,Depreciation!$A$14:$L$18,9,FALSE)/2,IF($H265&lt;K$2,VLOOKUP($G265,Depreciation!$A$14:$L$18,9,FALSE),0))</f>
        <v>3.343407856743718E-2</v>
      </c>
      <c r="L265" s="306">
        <f>+IF($H265=L$2,VLOOKUP($G265,Depreciation!$A$14:$L$18,10,FALSE)/2,IF($H265&lt;L$2,VLOOKUP($G265,Depreciation!$A$14:$L$18,10,FALSE),0))</f>
        <v>3.343407856743718E-2</v>
      </c>
      <c r="M265" s="306">
        <f>+IF($H265=M$2,VLOOKUP($G265,Depreciation!$A$14:$L$18,11,FALSE)/2,IF($H265&lt;M$2,VLOOKUP($G265,Depreciation!$A$14:$L$18,11,FALSE),0))</f>
        <v>3.343407856743718E-2</v>
      </c>
      <c r="N265" s="306">
        <f>+IF($H265=N$2,VLOOKUP($G265,Depreciation!$A$14:$L$18,12,FALSE)/2,IF($H265&lt;N$2,VLOOKUP($G265,Depreciation!$A$14:$L$18,12,FALSE),0))</f>
        <v>3.343407856743718E-2</v>
      </c>
      <c r="O265" s="307">
        <f t="shared" si="33"/>
        <v>175889.38998057699</v>
      </c>
      <c r="P265" s="732">
        <f>'Func Future Subs 2015'!P265</f>
        <v>0.9882352941176471</v>
      </c>
      <c r="Q265" s="732">
        <f>'Func Future Subs 2015'!Q265</f>
        <v>1.1764705882352941E-2</v>
      </c>
      <c r="R265" s="732">
        <f>'Func Future Subs 2015'!R265</f>
        <v>-4.163336342344337E-17</v>
      </c>
      <c r="S265" s="735">
        <f t="shared" si="34"/>
        <v>173820.10303962903</v>
      </c>
      <c r="T265" s="735">
        <f t="shared" si="35"/>
        <v>2069.2869409479645</v>
      </c>
      <c r="U265" s="735">
        <f t="shared" si="36"/>
        <v>-7.3228668953891217E-12</v>
      </c>
      <c r="V265" s="736">
        <f t="shared" si="37"/>
        <v>0</v>
      </c>
      <c r="W265" s="735">
        <f t="shared" si="38"/>
        <v>173820.10303962903</v>
      </c>
      <c r="X265" s="737">
        <f t="shared" si="39"/>
        <v>0</v>
      </c>
      <c r="Y265" s="738">
        <f t="shared" si="40"/>
        <v>2069.2869409479572</v>
      </c>
    </row>
    <row r="266" spans="1:25">
      <c r="A266" s="754" t="str">
        <f>'Func Future Subs 2015'!A266</f>
        <v>Summerview 806S stage 1</v>
      </c>
      <c r="B266" s="754">
        <f>'Func Future Subs 2015'!B266</f>
        <v>1343</v>
      </c>
      <c r="C266" s="754">
        <f>'Func Future Subs 2015'!C266</f>
        <v>138</v>
      </c>
      <c r="D266" s="754">
        <f>'Func Future Subs 2015'!D266</f>
        <v>25</v>
      </c>
      <c r="E266" s="754" t="str">
        <f>'Func Future Subs 2015'!E266</f>
        <v>806S</v>
      </c>
      <c r="F266" s="754">
        <f>'Func Future Subs 2015'!F266</f>
        <v>183870.33605659907</v>
      </c>
      <c r="G266" s="754" t="str">
        <f>'Func Future Subs 2015'!G266</f>
        <v>AltaLink</v>
      </c>
      <c r="H266" s="754">
        <f>'Func Future Subs 2015'!H266</f>
        <v>2015</v>
      </c>
      <c r="I266" s="306">
        <f>+IF($H266=I$2,VLOOKUP($G266,Depreciation!$A$14:$L$18,7,FALSE)/2,IF($H266&lt;I$2,VLOOKUP($G266,Depreciation!$A$14:$L$18,7,FALSE),0))</f>
        <v>1.7228380322441735E-2</v>
      </c>
      <c r="J266" s="306">
        <f>+IF($H266=J$2,VLOOKUP($G266,Depreciation!$A$14:$L$18,8,FALSE)/2,IF($H266&lt;J$2,VLOOKUP($G266,Depreciation!$A$14:$L$18,8,FALSE),0))</f>
        <v>3.343407856743718E-2</v>
      </c>
      <c r="K266" s="306">
        <f>+IF($H266=K$2,VLOOKUP($G266,Depreciation!$A$14:$L$18,9,FALSE)/2,IF($H266&lt;K$2,VLOOKUP($G266,Depreciation!$A$14:$L$18,9,FALSE),0))</f>
        <v>3.343407856743718E-2</v>
      </c>
      <c r="L266" s="306">
        <f>+IF($H266=L$2,VLOOKUP($G266,Depreciation!$A$14:$L$18,10,FALSE)/2,IF($H266&lt;L$2,VLOOKUP($G266,Depreciation!$A$14:$L$18,10,FALSE),0))</f>
        <v>3.343407856743718E-2</v>
      </c>
      <c r="M266" s="306">
        <f>+IF($H266=M$2,VLOOKUP($G266,Depreciation!$A$14:$L$18,11,FALSE)/2,IF($H266&lt;M$2,VLOOKUP($G266,Depreciation!$A$14:$L$18,11,FALSE),0))</f>
        <v>3.343407856743718E-2</v>
      </c>
      <c r="N266" s="306">
        <f>+IF($H266=N$2,VLOOKUP($G266,Depreciation!$A$14:$L$18,12,FALSE)/2,IF($H266&lt;N$2,VLOOKUP($G266,Depreciation!$A$14:$L$18,12,FALSE),0))</f>
        <v>3.343407856743718E-2</v>
      </c>
      <c r="O266" s="307">
        <f t="shared" si="33"/>
        <v>163176.91317704905</v>
      </c>
      <c r="P266" s="732">
        <f>'Func Future Subs 2015'!P266</f>
        <v>0.96969696969696972</v>
      </c>
      <c r="Q266" s="732">
        <f>'Func Future Subs 2015'!Q266</f>
        <v>3.0303030303030304E-2</v>
      </c>
      <c r="R266" s="732">
        <f>'Func Future Subs 2015'!R266</f>
        <v>-2.7755575615628914E-17</v>
      </c>
      <c r="S266" s="735">
        <f t="shared" si="34"/>
        <v>158232.15823228998</v>
      </c>
      <c r="T266" s="735">
        <f t="shared" si="35"/>
        <v>4944.7549447590618</v>
      </c>
      <c r="U266" s="735">
        <f t="shared" si="36"/>
        <v>-4.5290691524104989E-12</v>
      </c>
      <c r="V266" s="736">
        <f t="shared" si="37"/>
        <v>0</v>
      </c>
      <c r="W266" s="735">
        <f t="shared" si="38"/>
        <v>158232.15823228998</v>
      </c>
      <c r="X266" s="737">
        <f t="shared" si="39"/>
        <v>0</v>
      </c>
      <c r="Y266" s="738">
        <f t="shared" si="40"/>
        <v>4944.7549447590573</v>
      </c>
    </row>
    <row r="267" spans="1:25">
      <c r="A267" s="754" t="str">
        <f>'Func Future Subs 2015'!A267</f>
        <v>Windy Point 112S stage 1</v>
      </c>
      <c r="B267" s="754">
        <f>'Func Future Subs 2015'!B267</f>
        <v>1343</v>
      </c>
      <c r="C267" s="754">
        <f>'Func Future Subs 2015'!C267</f>
        <v>138</v>
      </c>
      <c r="D267" s="754">
        <f>'Func Future Subs 2015'!D267</f>
        <v>25</v>
      </c>
      <c r="E267" s="754" t="str">
        <f>'Func Future Subs 2015'!E267</f>
        <v>112S</v>
      </c>
      <c r="F267" s="754">
        <f>'Func Future Subs 2015'!F267</f>
        <v>160679.48286027124</v>
      </c>
      <c r="G267" s="754" t="str">
        <f>'Func Future Subs 2015'!G267</f>
        <v>AltaLink</v>
      </c>
      <c r="H267" s="754">
        <f>'Func Future Subs 2015'!H267</f>
        <v>2015</v>
      </c>
      <c r="I267" s="306">
        <f>+IF($H267=I$2,VLOOKUP($G267,Depreciation!$A$14:$L$18,7,FALSE)/2,IF($H267&lt;I$2,VLOOKUP($G267,Depreciation!$A$14:$L$18,7,FALSE),0))</f>
        <v>1.7228380322441735E-2</v>
      </c>
      <c r="J267" s="306">
        <f>+IF($H267=J$2,VLOOKUP($G267,Depreciation!$A$14:$L$18,8,FALSE)/2,IF($H267&lt;J$2,VLOOKUP($G267,Depreciation!$A$14:$L$18,8,FALSE),0))</f>
        <v>3.343407856743718E-2</v>
      </c>
      <c r="K267" s="306">
        <f>+IF($H267=K$2,VLOOKUP($G267,Depreciation!$A$14:$L$18,9,FALSE)/2,IF($H267&lt;K$2,VLOOKUP($G267,Depreciation!$A$14:$L$18,9,FALSE),0))</f>
        <v>3.343407856743718E-2</v>
      </c>
      <c r="L267" s="306">
        <f>+IF($H267=L$2,VLOOKUP($G267,Depreciation!$A$14:$L$18,10,FALSE)/2,IF($H267&lt;L$2,VLOOKUP($G267,Depreciation!$A$14:$L$18,10,FALSE),0))</f>
        <v>3.343407856743718E-2</v>
      </c>
      <c r="M267" s="306">
        <f>+IF($H267=M$2,VLOOKUP($G267,Depreciation!$A$14:$L$18,11,FALSE)/2,IF($H267&lt;M$2,VLOOKUP($G267,Depreciation!$A$14:$L$18,11,FALSE),0))</f>
        <v>3.343407856743718E-2</v>
      </c>
      <c r="N267" s="306">
        <f>+IF($H267=N$2,VLOOKUP($G267,Depreciation!$A$14:$L$18,12,FALSE)/2,IF($H267&lt;N$2,VLOOKUP($G267,Depreciation!$A$14:$L$18,12,FALSE),0))</f>
        <v>3.343407856743718E-2</v>
      </c>
      <c r="O267" s="307">
        <f t="shared" si="33"/>
        <v>142596.04124480864</v>
      </c>
      <c r="P267" s="732">
        <f>'Func Future Subs 2015'!P267</f>
        <v>0.98712446351931327</v>
      </c>
      <c r="Q267" s="732">
        <f>'Func Future Subs 2015'!Q267</f>
        <v>1.2875536480686695E-2</v>
      </c>
      <c r="R267" s="732">
        <f>'Func Future Subs 2015'!R267</f>
        <v>3.8163916471489756E-17</v>
      </c>
      <c r="S267" s="735">
        <f t="shared" si="34"/>
        <v>140760.0407137596</v>
      </c>
      <c r="T267" s="735">
        <f t="shared" si="35"/>
        <v>1836.0005310490383</v>
      </c>
      <c r="U267" s="735">
        <f t="shared" si="36"/>
        <v>5.4420234072319854E-12</v>
      </c>
      <c r="V267" s="736">
        <f t="shared" si="37"/>
        <v>0</v>
      </c>
      <c r="W267" s="735">
        <f t="shared" si="38"/>
        <v>140760.0407137596</v>
      </c>
      <c r="X267" s="737">
        <f t="shared" si="39"/>
        <v>0</v>
      </c>
      <c r="Y267" s="738">
        <f t="shared" si="40"/>
        <v>1836.0005310490437</v>
      </c>
    </row>
    <row r="268" spans="1:25">
      <c r="A268" s="754" t="str">
        <f>'Func Future Subs 2015'!A268</f>
        <v>Windy Point 112S stage 2</v>
      </c>
      <c r="B268" s="754">
        <f>'Func Future Subs 2015'!B268</f>
        <v>1343</v>
      </c>
      <c r="C268" s="754">
        <f>'Func Future Subs 2015'!C268</f>
        <v>138</v>
      </c>
      <c r="D268" s="754">
        <f>'Func Future Subs 2015'!D268</f>
        <v>25</v>
      </c>
      <c r="E268" s="754" t="str">
        <f>'Func Future Subs 2015'!E268</f>
        <v>112S</v>
      </c>
      <c r="F268" s="754">
        <f>'Func Future Subs 2015'!F268</f>
        <v>198194.95671810306</v>
      </c>
      <c r="G268" s="754" t="str">
        <f>'Func Future Subs 2015'!G268</f>
        <v>AltaLink</v>
      </c>
      <c r="H268" s="754">
        <f>'Func Future Subs 2015'!H268</f>
        <v>2015</v>
      </c>
      <c r="I268" s="306">
        <f>+IF($H268=I$2,VLOOKUP($G268,Depreciation!$A$14:$L$18,7,FALSE)/2,IF($H268&lt;I$2,VLOOKUP($G268,Depreciation!$A$14:$L$18,7,FALSE),0))</f>
        <v>1.7228380322441735E-2</v>
      </c>
      <c r="J268" s="306">
        <f>+IF($H268=J$2,VLOOKUP($G268,Depreciation!$A$14:$L$18,8,FALSE)/2,IF($H268&lt;J$2,VLOOKUP($G268,Depreciation!$A$14:$L$18,8,FALSE),0))</f>
        <v>3.343407856743718E-2</v>
      </c>
      <c r="K268" s="306">
        <f>+IF($H268=K$2,VLOOKUP($G268,Depreciation!$A$14:$L$18,9,FALSE)/2,IF($H268&lt;K$2,VLOOKUP($G268,Depreciation!$A$14:$L$18,9,FALSE),0))</f>
        <v>3.343407856743718E-2</v>
      </c>
      <c r="L268" s="306">
        <f>+IF($H268=L$2,VLOOKUP($G268,Depreciation!$A$14:$L$18,10,FALSE)/2,IF($H268&lt;L$2,VLOOKUP($G268,Depreciation!$A$14:$L$18,10,FALSE),0))</f>
        <v>3.343407856743718E-2</v>
      </c>
      <c r="M268" s="306">
        <f>+IF($H268=M$2,VLOOKUP($G268,Depreciation!$A$14:$L$18,11,FALSE)/2,IF($H268&lt;M$2,VLOOKUP($G268,Depreciation!$A$14:$L$18,11,FALSE),0))</f>
        <v>3.343407856743718E-2</v>
      </c>
      <c r="N268" s="306">
        <f>+IF($H268=N$2,VLOOKUP($G268,Depreciation!$A$14:$L$18,12,FALSE)/2,IF($H268&lt;N$2,VLOOKUP($G268,Depreciation!$A$14:$L$18,12,FALSE),0))</f>
        <v>3.343407856743718E-2</v>
      </c>
      <c r="O268" s="307">
        <f t="shared" si="33"/>
        <v>175889.38998057699</v>
      </c>
      <c r="P268" s="732">
        <f>'Func Future Subs 2015'!P268</f>
        <v>0.98712446351931327</v>
      </c>
      <c r="Q268" s="732">
        <f>'Func Future Subs 2015'!Q268</f>
        <v>1.2875536480686695E-2</v>
      </c>
      <c r="R268" s="732">
        <f>'Func Future Subs 2015'!R268</f>
        <v>3.8163916471489756E-17</v>
      </c>
      <c r="S268" s="735">
        <f t="shared" si="34"/>
        <v>173624.71972331635</v>
      </c>
      <c r="T268" s="735">
        <f t="shared" si="35"/>
        <v>2264.6702572606478</v>
      </c>
      <c r="U268" s="735">
        <f t="shared" si="36"/>
        <v>6.7126279874400277E-12</v>
      </c>
      <c r="V268" s="736">
        <f t="shared" si="37"/>
        <v>0</v>
      </c>
      <c r="W268" s="735">
        <f t="shared" si="38"/>
        <v>173624.71972331635</v>
      </c>
      <c r="X268" s="737">
        <f t="shared" si="39"/>
        <v>0</v>
      </c>
      <c r="Y268" s="738">
        <f t="shared" si="40"/>
        <v>2264.6702572606546</v>
      </c>
    </row>
    <row r="269" spans="1:25">
      <c r="A269" s="754" t="str">
        <f>'Func Future Subs 2015'!A269</f>
        <v>Secord 2005S</v>
      </c>
      <c r="B269" s="754">
        <f>'Func Future Subs 2015'!B269</f>
        <v>1348</v>
      </c>
      <c r="C269" s="754">
        <f>'Func Future Subs 2015'!C269</f>
        <v>240</v>
      </c>
      <c r="D269" s="754">
        <f>'Func Future Subs 2015'!D269</f>
        <v>25</v>
      </c>
      <c r="E269" s="754" t="str">
        <f>'Func Future Subs 2015'!E269</f>
        <v>2005S</v>
      </c>
      <c r="F269" s="754">
        <f>'Func Future Subs 2015'!F269</f>
        <v>19212616.594896249</v>
      </c>
      <c r="G269" s="754" t="str">
        <f>'Func Future Subs 2015'!G269</f>
        <v>ATCO</v>
      </c>
      <c r="H269" s="754">
        <f>'Func Future Subs 2015'!H269</f>
        <v>2016</v>
      </c>
      <c r="I269" s="306">
        <f>+IF($H269=I$2,VLOOKUP($G269,Depreciation!$A$14:$L$18,7,FALSE)/2,IF($H269&lt;I$2,VLOOKUP($G269,Depreciation!$A$14:$L$18,7,FALSE),0))</f>
        <v>0</v>
      </c>
      <c r="J269" s="306">
        <f>+IF($H269=J$2,VLOOKUP($G269,Depreciation!$A$14:$L$18,8,FALSE)/2,IF($H269&lt;J$2,VLOOKUP($G269,Depreciation!$A$14:$L$18,8,FALSE),0))</f>
        <v>1.231622525054236E-2</v>
      </c>
      <c r="K269" s="306">
        <f>+IF($H269=K$2,VLOOKUP($G269,Depreciation!$A$14:$L$18,9,FALSE)/2,IF($H269&lt;K$2,VLOOKUP($G269,Depreciation!$A$14:$L$18,9,FALSE),0))</f>
        <v>2.4351536427798831E-2</v>
      </c>
      <c r="L269" s="306">
        <f>+IF($H269=L$2,VLOOKUP($G269,Depreciation!$A$14:$L$18,10,FALSE)/2,IF($H269&lt;L$2,VLOOKUP($G269,Depreciation!$A$14:$L$18,10,FALSE),0))</f>
        <v>2.4351536427798831E-2</v>
      </c>
      <c r="M269" s="306">
        <f>+IF($H269=M$2,VLOOKUP($G269,Depreciation!$A$14:$L$18,11,FALSE)/2,IF($H269&lt;M$2,VLOOKUP($G269,Depreciation!$A$14:$L$18,11,FALSE),0))</f>
        <v>2.4351536427798831E-2</v>
      </c>
      <c r="N269" s="306">
        <f>+IF($H269=N$2,VLOOKUP($G269,Depreciation!$A$14:$L$18,12,FALSE)/2,IF($H269&lt;N$2,VLOOKUP($G269,Depreciation!$A$14:$L$18,12,FALSE),0))</f>
        <v>2.4351536427798831E-2</v>
      </c>
      <c r="O269" s="307">
        <f t="shared" si="33"/>
        <v>18063053.384454343</v>
      </c>
      <c r="P269" s="732">
        <f>'Func Future Subs 2015'!P269</f>
        <v>0</v>
      </c>
      <c r="Q269" s="732">
        <f>'Func Future Subs 2015'!Q269</f>
        <v>1</v>
      </c>
      <c r="R269" s="732">
        <f>'Func Future Subs 2015'!R269</f>
        <v>0</v>
      </c>
      <c r="S269" s="735">
        <f t="shared" si="34"/>
        <v>0</v>
      </c>
      <c r="T269" s="735">
        <f t="shared" si="35"/>
        <v>18063053.384454343</v>
      </c>
      <c r="U269" s="735">
        <f t="shared" si="36"/>
        <v>0</v>
      </c>
      <c r="V269" s="736">
        <f t="shared" si="37"/>
        <v>0</v>
      </c>
      <c r="W269" s="735">
        <f t="shared" si="38"/>
        <v>0</v>
      </c>
      <c r="X269" s="737">
        <f t="shared" si="39"/>
        <v>0</v>
      </c>
      <c r="Y269" s="738">
        <f t="shared" si="40"/>
        <v>18063053.384454343</v>
      </c>
    </row>
    <row r="270" spans="1:25">
      <c r="A270" s="754" t="str">
        <f>'Func Future Subs 2015'!A270</f>
        <v>Substation Joslyn 849S</v>
      </c>
      <c r="B270" s="754">
        <f>'Func Future Subs 2015'!B270</f>
        <v>1348</v>
      </c>
      <c r="C270" s="754">
        <f>'Func Future Subs 2015'!C270</f>
        <v>240</v>
      </c>
      <c r="D270" s="754">
        <f>'Func Future Subs 2015'!D270</f>
        <v>25</v>
      </c>
      <c r="E270" s="754" t="str">
        <f>'Func Future Subs 2015'!E270</f>
        <v>849S</v>
      </c>
      <c r="F270" s="754">
        <f>'Func Future Subs 2015'!F270</f>
        <v>60415.913503386022</v>
      </c>
      <c r="G270" s="754" t="str">
        <f>'Func Future Subs 2015'!G270</f>
        <v>ATCO</v>
      </c>
      <c r="H270" s="754">
        <f>'Func Future Subs 2015'!H270</f>
        <v>2016</v>
      </c>
      <c r="I270" s="306">
        <f>+IF($H270=I$2,VLOOKUP($G270,Depreciation!$A$14:$L$18,7,FALSE)/2,IF($H270&lt;I$2,VLOOKUP($G270,Depreciation!$A$14:$L$18,7,FALSE),0))</f>
        <v>0</v>
      </c>
      <c r="J270" s="306">
        <f>+IF($H270=J$2,VLOOKUP($G270,Depreciation!$A$14:$L$18,8,FALSE)/2,IF($H270&lt;J$2,VLOOKUP($G270,Depreciation!$A$14:$L$18,8,FALSE),0))</f>
        <v>1.231622525054236E-2</v>
      </c>
      <c r="K270" s="306">
        <f>+IF($H270=K$2,VLOOKUP($G270,Depreciation!$A$14:$L$18,9,FALSE)/2,IF($H270&lt;K$2,VLOOKUP($G270,Depreciation!$A$14:$L$18,9,FALSE),0))</f>
        <v>2.4351536427798831E-2</v>
      </c>
      <c r="L270" s="306">
        <f>+IF($H270=L$2,VLOOKUP($G270,Depreciation!$A$14:$L$18,10,FALSE)/2,IF($H270&lt;L$2,VLOOKUP($G270,Depreciation!$A$14:$L$18,10,FALSE),0))</f>
        <v>2.4351536427798831E-2</v>
      </c>
      <c r="M270" s="306">
        <f>+IF($H270=M$2,VLOOKUP($G270,Depreciation!$A$14:$L$18,11,FALSE)/2,IF($H270&lt;M$2,VLOOKUP($G270,Depreciation!$A$14:$L$18,11,FALSE),0))</f>
        <v>2.4351536427798831E-2</v>
      </c>
      <c r="N270" s="306">
        <f>+IF($H270=N$2,VLOOKUP($G270,Depreciation!$A$14:$L$18,12,FALSE)/2,IF($H270&lt;N$2,VLOOKUP($G270,Depreciation!$A$14:$L$18,12,FALSE),0))</f>
        <v>2.4351536427798831E-2</v>
      </c>
      <c r="O270" s="307">
        <f t="shared" si="33"/>
        <v>56801.001856880634</v>
      </c>
      <c r="P270" s="732">
        <f>'Func Future Subs 2015'!P270</f>
        <v>0</v>
      </c>
      <c r="Q270" s="732">
        <f>'Func Future Subs 2015'!Q270</f>
        <v>1</v>
      </c>
      <c r="R270" s="732">
        <f>'Func Future Subs 2015'!R270</f>
        <v>0</v>
      </c>
      <c r="S270" s="735">
        <f t="shared" si="34"/>
        <v>0</v>
      </c>
      <c r="T270" s="735">
        <f t="shared" si="35"/>
        <v>56801.001856880634</v>
      </c>
      <c r="U270" s="735">
        <f t="shared" si="36"/>
        <v>0</v>
      </c>
      <c r="V270" s="736">
        <f t="shared" si="37"/>
        <v>0</v>
      </c>
      <c r="W270" s="735">
        <f t="shared" si="38"/>
        <v>0</v>
      </c>
      <c r="X270" s="737">
        <f t="shared" si="39"/>
        <v>0</v>
      </c>
      <c r="Y270" s="738">
        <f t="shared" si="40"/>
        <v>56801.001856880634</v>
      </c>
    </row>
    <row r="271" spans="1:25">
      <c r="A271" s="754" t="str">
        <f>'Func Future Subs 2015'!A271</f>
        <v>Substation McClelland 957S</v>
      </c>
      <c r="B271" s="754">
        <f>'Func Future Subs 2015'!B271</f>
        <v>1348</v>
      </c>
      <c r="C271" s="754">
        <f>'Func Future Subs 2015'!C271</f>
        <v>240</v>
      </c>
      <c r="D271" s="754">
        <f>'Func Future Subs 2015'!D271</f>
        <v>25</v>
      </c>
      <c r="E271" s="754" t="str">
        <f>'Func Future Subs 2015'!E271</f>
        <v>957S</v>
      </c>
      <c r="F271" s="754">
        <f>'Func Future Subs 2015'!F271</f>
        <v>68295.591211377177</v>
      </c>
      <c r="G271" s="754" t="str">
        <f>'Func Future Subs 2015'!G271</f>
        <v>ATCO</v>
      </c>
      <c r="H271" s="754">
        <f>'Func Future Subs 2015'!H271</f>
        <v>2016</v>
      </c>
      <c r="I271" s="306">
        <f>+IF($H271=I$2,VLOOKUP($G271,Depreciation!$A$14:$L$18,7,FALSE)/2,IF($H271&lt;I$2,VLOOKUP($G271,Depreciation!$A$14:$L$18,7,FALSE),0))</f>
        <v>0</v>
      </c>
      <c r="J271" s="306">
        <f>+IF($H271=J$2,VLOOKUP($G271,Depreciation!$A$14:$L$18,8,FALSE)/2,IF($H271&lt;J$2,VLOOKUP($G271,Depreciation!$A$14:$L$18,8,FALSE),0))</f>
        <v>1.231622525054236E-2</v>
      </c>
      <c r="K271" s="306">
        <f>+IF($H271=K$2,VLOOKUP($G271,Depreciation!$A$14:$L$18,9,FALSE)/2,IF($H271&lt;K$2,VLOOKUP($G271,Depreciation!$A$14:$L$18,9,FALSE),0))</f>
        <v>2.4351536427798831E-2</v>
      </c>
      <c r="L271" s="306">
        <f>+IF($H271=L$2,VLOOKUP($G271,Depreciation!$A$14:$L$18,10,FALSE)/2,IF($H271&lt;L$2,VLOOKUP($G271,Depreciation!$A$14:$L$18,10,FALSE),0))</f>
        <v>2.4351536427798831E-2</v>
      </c>
      <c r="M271" s="306">
        <f>+IF($H271=M$2,VLOOKUP($G271,Depreciation!$A$14:$L$18,11,FALSE)/2,IF($H271&lt;M$2,VLOOKUP($G271,Depreciation!$A$14:$L$18,11,FALSE),0))</f>
        <v>2.4351536427798831E-2</v>
      </c>
      <c r="N271" s="306">
        <f>+IF($H271=N$2,VLOOKUP($G271,Depreciation!$A$14:$L$18,12,FALSE)/2,IF($H271&lt;N$2,VLOOKUP($G271,Depreciation!$A$14:$L$18,12,FALSE),0))</f>
        <v>2.4351536427798831E-2</v>
      </c>
      <c r="O271" s="307">
        <f t="shared" si="33"/>
        <v>64209.208770745172</v>
      </c>
      <c r="P271" s="732">
        <f>'Func Future Subs 2015'!P271</f>
        <v>0</v>
      </c>
      <c r="Q271" s="732">
        <f>'Func Future Subs 2015'!Q271</f>
        <v>1</v>
      </c>
      <c r="R271" s="732">
        <f>'Func Future Subs 2015'!R271</f>
        <v>0</v>
      </c>
      <c r="S271" s="735">
        <f t="shared" si="34"/>
        <v>0</v>
      </c>
      <c r="T271" s="735">
        <f t="shared" si="35"/>
        <v>64209.208770745172</v>
      </c>
      <c r="U271" s="735">
        <f t="shared" si="36"/>
        <v>0</v>
      </c>
      <c r="V271" s="736">
        <f t="shared" si="37"/>
        <v>0</v>
      </c>
      <c r="W271" s="735">
        <f t="shared" si="38"/>
        <v>0</v>
      </c>
      <c r="X271" s="737">
        <f t="shared" si="39"/>
        <v>0</v>
      </c>
      <c r="Y271" s="738">
        <f t="shared" si="40"/>
        <v>64209.208770745172</v>
      </c>
    </row>
    <row r="272" spans="1:25">
      <c r="A272" s="754" t="str">
        <f>'Func Future Subs 2015'!A272</f>
        <v>Queensland 301S</v>
      </c>
      <c r="B272" s="754">
        <f>'Func Future Subs 2015'!B272</f>
        <v>1349</v>
      </c>
      <c r="C272" s="754">
        <f>'Func Future Subs 2015'!C272</f>
        <v>138</v>
      </c>
      <c r="D272" s="754">
        <f>'Func Future Subs 2015'!D272</f>
        <v>25</v>
      </c>
      <c r="E272" s="754" t="str">
        <f>'Func Future Subs 2015'!E272</f>
        <v>301S</v>
      </c>
      <c r="F272" s="754">
        <f>'Func Future Subs 2015'!F272</f>
        <v>9656869.9129486643</v>
      </c>
      <c r="G272" s="754" t="str">
        <f>'Func Future Subs 2015'!G272</f>
        <v>AltaLink</v>
      </c>
      <c r="H272" s="754">
        <f>'Func Future Subs 2015'!H272</f>
        <v>2015</v>
      </c>
      <c r="I272" s="306">
        <f>+IF($H272=I$2,VLOOKUP($G272,Depreciation!$A$14:$L$18,7,FALSE)/2,IF($H272&lt;I$2,VLOOKUP($G272,Depreciation!$A$14:$L$18,7,FALSE),0))</f>
        <v>1.7228380322441735E-2</v>
      </c>
      <c r="J272" s="306">
        <f>+IF($H272=J$2,VLOOKUP($G272,Depreciation!$A$14:$L$18,8,FALSE)/2,IF($H272&lt;J$2,VLOOKUP($G272,Depreciation!$A$14:$L$18,8,FALSE),0))</f>
        <v>3.343407856743718E-2</v>
      </c>
      <c r="K272" s="306">
        <f>+IF($H272=K$2,VLOOKUP($G272,Depreciation!$A$14:$L$18,9,FALSE)/2,IF($H272&lt;K$2,VLOOKUP($G272,Depreciation!$A$14:$L$18,9,FALSE),0))</f>
        <v>3.343407856743718E-2</v>
      </c>
      <c r="L272" s="306">
        <f>+IF($H272=L$2,VLOOKUP($G272,Depreciation!$A$14:$L$18,10,FALSE)/2,IF($H272&lt;L$2,VLOOKUP($G272,Depreciation!$A$14:$L$18,10,FALSE),0))</f>
        <v>3.343407856743718E-2</v>
      </c>
      <c r="M272" s="306">
        <f>+IF($H272=M$2,VLOOKUP($G272,Depreciation!$A$14:$L$18,11,FALSE)/2,IF($H272&lt;M$2,VLOOKUP($G272,Depreciation!$A$14:$L$18,11,FALSE),0))</f>
        <v>3.343407856743718E-2</v>
      </c>
      <c r="N272" s="306">
        <f>+IF($H272=N$2,VLOOKUP($G272,Depreciation!$A$14:$L$18,12,FALSE)/2,IF($H272&lt;N$2,VLOOKUP($G272,Depreciation!$A$14:$L$18,12,FALSE),0))</f>
        <v>3.343407856743718E-2</v>
      </c>
      <c r="O272" s="307">
        <f t="shared" si="33"/>
        <v>8570051.3587043453</v>
      </c>
      <c r="P272" s="732">
        <f>'Func Future Subs 2015'!P272</f>
        <v>0</v>
      </c>
      <c r="Q272" s="732">
        <f>'Func Future Subs 2015'!Q272</f>
        <v>0</v>
      </c>
      <c r="R272" s="732">
        <f>'Func Future Subs 2015'!R272</f>
        <v>1</v>
      </c>
      <c r="S272" s="735">
        <f t="shared" si="34"/>
        <v>0</v>
      </c>
      <c r="T272" s="735">
        <f t="shared" si="35"/>
        <v>0</v>
      </c>
      <c r="U272" s="735">
        <f t="shared" si="36"/>
        <v>8570051.3587043453</v>
      </c>
      <c r="V272" s="736">
        <f t="shared" si="37"/>
        <v>0</v>
      </c>
      <c r="W272" s="735">
        <f t="shared" si="38"/>
        <v>0</v>
      </c>
      <c r="X272" s="737">
        <f t="shared" si="39"/>
        <v>0</v>
      </c>
      <c r="Y272" s="738">
        <f t="shared" si="40"/>
        <v>8570051.3587043453</v>
      </c>
    </row>
    <row r="273" spans="1:25">
      <c r="A273" s="754" t="str">
        <f>'Func Future Subs 2015'!A273</f>
        <v>Strome 223S</v>
      </c>
      <c r="B273" s="754">
        <f>'Func Future Subs 2015'!B273</f>
        <v>1350</v>
      </c>
      <c r="C273" s="754">
        <f>'Func Future Subs 2015'!C273</f>
        <v>138</v>
      </c>
      <c r="D273" s="754">
        <f>'Func Future Subs 2015'!D273</f>
        <v>25</v>
      </c>
      <c r="E273" s="754" t="str">
        <f>'Func Future Subs 2015'!E273</f>
        <v>223S</v>
      </c>
      <c r="F273" s="754">
        <f>'Func Future Subs 2015'!F273</f>
        <v>6530874.9999999981</v>
      </c>
      <c r="G273" s="754" t="str">
        <f>'Func Future Subs 2015'!G273</f>
        <v>AltaLink</v>
      </c>
      <c r="H273" s="754">
        <f>'Func Future Subs 2015'!H273</f>
        <v>2015</v>
      </c>
      <c r="I273" s="306">
        <f>+IF($H273=I$2,VLOOKUP($G273,Depreciation!$A$14:$L$18,7,FALSE)/2,IF($H273&lt;I$2,VLOOKUP($G273,Depreciation!$A$14:$L$18,7,FALSE),0))</f>
        <v>1.7228380322441735E-2</v>
      </c>
      <c r="J273" s="306">
        <f>+IF($H273=J$2,VLOOKUP($G273,Depreciation!$A$14:$L$18,8,FALSE)/2,IF($H273&lt;J$2,VLOOKUP($G273,Depreciation!$A$14:$L$18,8,FALSE),0))</f>
        <v>3.343407856743718E-2</v>
      </c>
      <c r="K273" s="306">
        <f>+IF($H273=K$2,VLOOKUP($G273,Depreciation!$A$14:$L$18,9,FALSE)/2,IF($H273&lt;K$2,VLOOKUP($G273,Depreciation!$A$14:$L$18,9,FALSE),0))</f>
        <v>3.343407856743718E-2</v>
      </c>
      <c r="L273" s="306">
        <f>+IF($H273=L$2,VLOOKUP($G273,Depreciation!$A$14:$L$18,10,FALSE)/2,IF($H273&lt;L$2,VLOOKUP($G273,Depreciation!$A$14:$L$18,10,FALSE),0))</f>
        <v>3.343407856743718E-2</v>
      </c>
      <c r="M273" s="306">
        <f>+IF($H273=M$2,VLOOKUP($G273,Depreciation!$A$14:$L$18,11,FALSE)/2,IF($H273&lt;M$2,VLOOKUP($G273,Depreciation!$A$14:$L$18,11,FALSE),0))</f>
        <v>3.343407856743718E-2</v>
      </c>
      <c r="N273" s="306">
        <f>+IF($H273=N$2,VLOOKUP($G273,Depreciation!$A$14:$L$18,12,FALSE)/2,IF($H273&lt;N$2,VLOOKUP($G273,Depreciation!$A$14:$L$18,12,FALSE),0))</f>
        <v>3.343407856743718E-2</v>
      </c>
      <c r="O273" s="307">
        <f t="shared" si="33"/>
        <v>5795867.0533843981</v>
      </c>
      <c r="P273" s="732">
        <f>'Func Future Subs 2015'!P273</f>
        <v>0</v>
      </c>
      <c r="Q273" s="732">
        <f>'Func Future Subs 2015'!Q273</f>
        <v>1</v>
      </c>
      <c r="R273" s="732">
        <f>'Func Future Subs 2015'!R273</f>
        <v>0</v>
      </c>
      <c r="S273" s="735">
        <f t="shared" si="34"/>
        <v>0</v>
      </c>
      <c r="T273" s="735">
        <f t="shared" si="35"/>
        <v>5795867.0533843981</v>
      </c>
      <c r="U273" s="735">
        <f t="shared" si="36"/>
        <v>0</v>
      </c>
      <c r="V273" s="736">
        <f t="shared" si="37"/>
        <v>0</v>
      </c>
      <c r="W273" s="735">
        <f t="shared" si="38"/>
        <v>0</v>
      </c>
      <c r="X273" s="737">
        <f t="shared" si="39"/>
        <v>0</v>
      </c>
      <c r="Y273" s="738">
        <f t="shared" si="40"/>
        <v>5795867.0533843981</v>
      </c>
    </row>
    <row r="274" spans="1:25">
      <c r="A274" s="754" t="str">
        <f>'Func Future Subs 2015'!A274</f>
        <v>Substation No.26</v>
      </c>
      <c r="B274" s="754">
        <f>'Func Future Subs 2015'!B274</f>
        <v>1354</v>
      </c>
      <c r="C274" s="754">
        <f>'Func Future Subs 2015'!C274</f>
        <v>138</v>
      </c>
      <c r="D274" s="754">
        <f>'Func Future Subs 2015'!D274</f>
        <v>25</v>
      </c>
      <c r="E274" s="754" t="str">
        <f>'Func Future Subs 2015'!E274</f>
        <v>SS-26</v>
      </c>
      <c r="F274" s="754">
        <f>'Func Future Subs 2015'!F274</f>
        <v>114690.57505760195</v>
      </c>
      <c r="G274" s="754" t="str">
        <f>'Func Future Subs 2015'!G274</f>
        <v>ENMAX</v>
      </c>
      <c r="H274" s="754">
        <f>'Func Future Subs 2015'!H274</f>
        <v>2017</v>
      </c>
      <c r="I274" s="306">
        <f>+IF($H274=I$2,VLOOKUP($G274,Depreciation!$A$14:$L$18,7,FALSE)/2,IF($H274&lt;I$2,VLOOKUP($G274,Depreciation!$A$14:$L$18,7,FALSE),0))</f>
        <v>0</v>
      </c>
      <c r="J274" s="306">
        <f>+IF($H274=J$2,VLOOKUP($G274,Depreciation!$A$14:$L$18,8,FALSE)/2,IF($H274&lt;J$2,VLOOKUP($G274,Depreciation!$A$14:$L$18,8,FALSE),0))</f>
        <v>0</v>
      </c>
      <c r="K274" s="306">
        <f>+IF($H274=K$2,VLOOKUP($G274,Depreciation!$A$14:$L$18,9,FALSE)/2,IF($H274&lt;K$2,VLOOKUP($G274,Depreciation!$A$14:$L$18,9,FALSE),0))</f>
        <v>1.3928409269726289E-2</v>
      </c>
      <c r="L274" s="306">
        <f>+IF($H274=L$2,VLOOKUP($G274,Depreciation!$A$14:$L$18,10,FALSE)/2,IF($H274&lt;L$2,VLOOKUP($G274,Depreciation!$A$14:$L$18,10,FALSE),0))</f>
        <v>2.7856818539452578E-2</v>
      </c>
      <c r="M274" s="306">
        <f>+IF($H274=M$2,VLOOKUP($G274,Depreciation!$A$14:$L$18,11,FALSE)/2,IF($H274&lt;M$2,VLOOKUP($G274,Depreciation!$A$14:$L$18,11,FALSE),0))</f>
        <v>2.7856818539452578E-2</v>
      </c>
      <c r="N274" s="306">
        <f>+IF($H274=N$2,VLOOKUP($G274,Depreciation!$A$14:$L$18,12,FALSE)/2,IF($H274&lt;N$2,VLOOKUP($G274,Depreciation!$A$14:$L$18,12,FALSE),0))</f>
        <v>2.7856818539452578E-2</v>
      </c>
      <c r="O274" s="307">
        <f t="shared" si="33"/>
        <v>109942.70332851533</v>
      </c>
      <c r="P274" s="732">
        <f>'Func Future Subs 2015'!P274</f>
        <v>0</v>
      </c>
      <c r="Q274" s="732">
        <f>'Func Future Subs 2015'!Q274</f>
        <v>0</v>
      </c>
      <c r="R274" s="732">
        <f>'Func Future Subs 2015'!R274</f>
        <v>1</v>
      </c>
      <c r="S274" s="735">
        <f t="shared" si="34"/>
        <v>0</v>
      </c>
      <c r="T274" s="735">
        <f t="shared" si="35"/>
        <v>0</v>
      </c>
      <c r="U274" s="735">
        <f t="shared" si="36"/>
        <v>109942.70332851533</v>
      </c>
      <c r="V274" s="736">
        <f t="shared" si="37"/>
        <v>0</v>
      </c>
      <c r="W274" s="735">
        <f t="shared" si="38"/>
        <v>0</v>
      </c>
      <c r="X274" s="737">
        <f t="shared" si="39"/>
        <v>0</v>
      </c>
      <c r="Y274" s="738">
        <f t="shared" si="40"/>
        <v>109942.70332851533</v>
      </c>
    </row>
    <row r="275" spans="1:25">
      <c r="A275" s="754" t="str">
        <f>'Func Future Subs 2015'!A275</f>
        <v>Substation No.32</v>
      </c>
      <c r="B275" s="754">
        <f>'Func Future Subs 2015'!B275</f>
        <v>1354</v>
      </c>
      <c r="C275" s="754">
        <f>'Func Future Subs 2015'!C275</f>
        <v>138</v>
      </c>
      <c r="D275" s="754">
        <f>'Func Future Subs 2015'!D275</f>
        <v>25</v>
      </c>
      <c r="E275" s="754" t="str">
        <f>'Func Future Subs 2015'!E275</f>
        <v>SS-32</v>
      </c>
      <c r="F275" s="754">
        <f>'Func Future Subs 2015'!F275</f>
        <v>114690.57505760195</v>
      </c>
      <c r="G275" s="754" t="str">
        <f>'Func Future Subs 2015'!G275</f>
        <v>ENMAX</v>
      </c>
      <c r="H275" s="754">
        <f>'Func Future Subs 2015'!H275</f>
        <v>2017</v>
      </c>
      <c r="I275" s="306">
        <f>+IF($H275=I$2,VLOOKUP($G275,Depreciation!$A$14:$L$18,7,FALSE)/2,IF($H275&lt;I$2,VLOOKUP($G275,Depreciation!$A$14:$L$18,7,FALSE),0))</f>
        <v>0</v>
      </c>
      <c r="J275" s="306">
        <f>+IF($H275=J$2,VLOOKUP($G275,Depreciation!$A$14:$L$18,8,FALSE)/2,IF($H275&lt;J$2,VLOOKUP($G275,Depreciation!$A$14:$L$18,8,FALSE),0))</f>
        <v>0</v>
      </c>
      <c r="K275" s="306">
        <f>+IF($H275=K$2,VLOOKUP($G275,Depreciation!$A$14:$L$18,9,FALSE)/2,IF($H275&lt;K$2,VLOOKUP($G275,Depreciation!$A$14:$L$18,9,FALSE),0))</f>
        <v>1.3928409269726289E-2</v>
      </c>
      <c r="L275" s="306">
        <f>+IF($H275=L$2,VLOOKUP($G275,Depreciation!$A$14:$L$18,10,FALSE)/2,IF($H275&lt;L$2,VLOOKUP($G275,Depreciation!$A$14:$L$18,10,FALSE),0))</f>
        <v>2.7856818539452578E-2</v>
      </c>
      <c r="M275" s="306">
        <f>+IF($H275=M$2,VLOOKUP($G275,Depreciation!$A$14:$L$18,11,FALSE)/2,IF($H275&lt;M$2,VLOOKUP($G275,Depreciation!$A$14:$L$18,11,FALSE),0))</f>
        <v>2.7856818539452578E-2</v>
      </c>
      <c r="N275" s="306">
        <f>+IF($H275=N$2,VLOOKUP($G275,Depreciation!$A$14:$L$18,12,FALSE)/2,IF($H275&lt;N$2,VLOOKUP($G275,Depreciation!$A$14:$L$18,12,FALSE),0))</f>
        <v>2.7856818539452578E-2</v>
      </c>
      <c r="O275" s="307">
        <f t="shared" si="33"/>
        <v>109942.70332851533</v>
      </c>
      <c r="P275" s="732">
        <f>'Func Future Subs 2015'!P275</f>
        <v>0</v>
      </c>
      <c r="Q275" s="732">
        <f>'Func Future Subs 2015'!Q275</f>
        <v>1</v>
      </c>
      <c r="R275" s="732">
        <f>'Func Future Subs 2015'!R275</f>
        <v>0</v>
      </c>
      <c r="S275" s="735">
        <f t="shared" si="34"/>
        <v>0</v>
      </c>
      <c r="T275" s="735">
        <f t="shared" si="35"/>
        <v>109942.70332851533</v>
      </c>
      <c r="U275" s="735">
        <f t="shared" si="36"/>
        <v>0</v>
      </c>
      <c r="V275" s="736">
        <f t="shared" si="37"/>
        <v>0</v>
      </c>
      <c r="W275" s="735">
        <f t="shared" si="38"/>
        <v>0</v>
      </c>
      <c r="X275" s="737">
        <f t="shared" si="39"/>
        <v>0</v>
      </c>
      <c r="Y275" s="738">
        <f t="shared" si="40"/>
        <v>109942.70332851533</v>
      </c>
    </row>
    <row r="276" spans="1:25">
      <c r="A276" s="754" t="str">
        <f>'Func Future Subs 2015'!A276</f>
        <v>Substation No.41</v>
      </c>
      <c r="B276" s="754">
        <f>'Func Future Subs 2015'!B276</f>
        <v>1354</v>
      </c>
      <c r="C276" s="754">
        <f>'Func Future Subs 2015'!C276</f>
        <v>138</v>
      </c>
      <c r="D276" s="754">
        <f>'Func Future Subs 2015'!D276</f>
        <v>25</v>
      </c>
      <c r="E276" s="754" t="str">
        <f>'Func Future Subs 2015'!E276</f>
        <v>SS-41</v>
      </c>
      <c r="F276" s="754">
        <f>'Func Future Subs 2015'!F276</f>
        <v>2523427.6016106843</v>
      </c>
      <c r="G276" s="754" t="str">
        <f>'Func Future Subs 2015'!G276</f>
        <v>ENMAX</v>
      </c>
      <c r="H276" s="754">
        <f>'Func Future Subs 2015'!H276</f>
        <v>2017</v>
      </c>
      <c r="I276" s="306">
        <f>+IF($H276=I$2,VLOOKUP($G276,Depreciation!$A$14:$L$18,7,FALSE)/2,IF($H276&lt;I$2,VLOOKUP($G276,Depreciation!$A$14:$L$18,7,FALSE),0))</f>
        <v>0</v>
      </c>
      <c r="J276" s="306">
        <f>+IF($H276=J$2,VLOOKUP($G276,Depreciation!$A$14:$L$18,8,FALSE)/2,IF($H276&lt;J$2,VLOOKUP($G276,Depreciation!$A$14:$L$18,8,FALSE),0))</f>
        <v>0</v>
      </c>
      <c r="K276" s="306">
        <f>+IF($H276=K$2,VLOOKUP($G276,Depreciation!$A$14:$L$18,9,FALSE)/2,IF($H276&lt;K$2,VLOOKUP($G276,Depreciation!$A$14:$L$18,9,FALSE),0))</f>
        <v>1.3928409269726289E-2</v>
      </c>
      <c r="L276" s="306">
        <f>+IF($H276=L$2,VLOOKUP($G276,Depreciation!$A$14:$L$18,10,FALSE)/2,IF($H276&lt;L$2,VLOOKUP($G276,Depreciation!$A$14:$L$18,10,FALSE),0))</f>
        <v>2.7856818539452578E-2</v>
      </c>
      <c r="M276" s="306">
        <f>+IF($H276=M$2,VLOOKUP($G276,Depreciation!$A$14:$L$18,11,FALSE)/2,IF($H276&lt;M$2,VLOOKUP($G276,Depreciation!$A$14:$L$18,11,FALSE),0))</f>
        <v>2.7856818539452578E-2</v>
      </c>
      <c r="N276" s="306">
        <f>+IF($H276=N$2,VLOOKUP($G276,Depreciation!$A$14:$L$18,12,FALSE)/2,IF($H276&lt;N$2,VLOOKUP($G276,Depreciation!$A$14:$L$18,12,FALSE),0))</f>
        <v>2.7856818539452578E-2</v>
      </c>
      <c r="O276" s="307">
        <f t="shared" si="33"/>
        <v>2418964.697278162</v>
      </c>
      <c r="P276" s="732">
        <f>'Func Future Subs 2015'!P276</f>
        <v>0</v>
      </c>
      <c r="Q276" s="732">
        <f>'Func Future Subs 2015'!Q276</f>
        <v>1</v>
      </c>
      <c r="R276" s="732">
        <f>'Func Future Subs 2015'!R276</f>
        <v>0</v>
      </c>
      <c r="S276" s="735">
        <f t="shared" si="34"/>
        <v>0</v>
      </c>
      <c r="T276" s="735">
        <f t="shared" si="35"/>
        <v>2418964.697278162</v>
      </c>
      <c r="U276" s="735">
        <f t="shared" si="36"/>
        <v>0</v>
      </c>
      <c r="V276" s="736">
        <f t="shared" si="37"/>
        <v>0</v>
      </c>
      <c r="W276" s="735">
        <f t="shared" si="38"/>
        <v>0</v>
      </c>
      <c r="X276" s="737">
        <f t="shared" si="39"/>
        <v>0</v>
      </c>
      <c r="Y276" s="738">
        <f t="shared" si="40"/>
        <v>2418964.697278162</v>
      </c>
    </row>
    <row r="277" spans="1:25">
      <c r="A277" s="754" t="str">
        <f>'Func Future Subs 2015'!A277</f>
        <v>Substation No.54</v>
      </c>
      <c r="B277" s="754">
        <f>'Func Future Subs 2015'!B277</f>
        <v>1354</v>
      </c>
      <c r="C277" s="754">
        <f>'Func Future Subs 2015'!C277</f>
        <v>138</v>
      </c>
      <c r="D277" s="754">
        <f>'Func Future Subs 2015'!D277</f>
        <v>25</v>
      </c>
      <c r="E277" s="754" t="str">
        <f>'Func Future Subs 2015'!E277</f>
        <v>SS-54</v>
      </c>
      <c r="F277" s="754">
        <f>'Func Future Subs 2015'!F277</f>
        <v>114690.57505760195</v>
      </c>
      <c r="G277" s="754" t="str">
        <f>'Func Future Subs 2015'!G277</f>
        <v>ENMAX</v>
      </c>
      <c r="H277" s="754">
        <f>'Func Future Subs 2015'!H277</f>
        <v>2017</v>
      </c>
      <c r="I277" s="306">
        <f>+IF($H277=I$2,VLOOKUP($G277,Depreciation!$A$14:$L$18,7,FALSE)/2,IF($H277&lt;I$2,VLOOKUP($G277,Depreciation!$A$14:$L$18,7,FALSE),0))</f>
        <v>0</v>
      </c>
      <c r="J277" s="306">
        <f>+IF($H277=J$2,VLOOKUP($G277,Depreciation!$A$14:$L$18,8,FALSE)/2,IF($H277&lt;J$2,VLOOKUP($G277,Depreciation!$A$14:$L$18,8,FALSE),0))</f>
        <v>0</v>
      </c>
      <c r="K277" s="306">
        <f>+IF($H277=K$2,VLOOKUP($G277,Depreciation!$A$14:$L$18,9,FALSE)/2,IF($H277&lt;K$2,VLOOKUP($G277,Depreciation!$A$14:$L$18,9,FALSE),0))</f>
        <v>1.3928409269726289E-2</v>
      </c>
      <c r="L277" s="306">
        <f>+IF($H277=L$2,VLOOKUP($G277,Depreciation!$A$14:$L$18,10,FALSE)/2,IF($H277&lt;L$2,VLOOKUP($G277,Depreciation!$A$14:$L$18,10,FALSE),0))</f>
        <v>2.7856818539452578E-2</v>
      </c>
      <c r="M277" s="306">
        <f>+IF($H277=M$2,VLOOKUP($G277,Depreciation!$A$14:$L$18,11,FALSE)/2,IF($H277&lt;M$2,VLOOKUP($G277,Depreciation!$A$14:$L$18,11,FALSE),0))</f>
        <v>2.7856818539452578E-2</v>
      </c>
      <c r="N277" s="306">
        <f>+IF($H277=N$2,VLOOKUP($G277,Depreciation!$A$14:$L$18,12,FALSE)/2,IF($H277&lt;N$2,VLOOKUP($G277,Depreciation!$A$14:$L$18,12,FALSE),0))</f>
        <v>2.7856818539452578E-2</v>
      </c>
      <c r="O277" s="307">
        <f t="shared" si="33"/>
        <v>109942.70332851533</v>
      </c>
      <c r="P277" s="732">
        <f>'Func Future Subs 2015'!P277</f>
        <v>0</v>
      </c>
      <c r="Q277" s="732">
        <f>'Func Future Subs 2015'!Q277</f>
        <v>0</v>
      </c>
      <c r="R277" s="732">
        <f>'Func Future Subs 2015'!R277</f>
        <v>1</v>
      </c>
      <c r="S277" s="735">
        <f t="shared" si="34"/>
        <v>0</v>
      </c>
      <c r="T277" s="735">
        <f t="shared" si="35"/>
        <v>0</v>
      </c>
      <c r="U277" s="735">
        <f t="shared" si="36"/>
        <v>109942.70332851533</v>
      </c>
      <c r="V277" s="736">
        <f t="shared" si="37"/>
        <v>0</v>
      </c>
      <c r="W277" s="735">
        <f t="shared" si="38"/>
        <v>0</v>
      </c>
      <c r="X277" s="737">
        <f t="shared" si="39"/>
        <v>0</v>
      </c>
      <c r="Y277" s="738">
        <f t="shared" si="40"/>
        <v>109942.70332851533</v>
      </c>
    </row>
    <row r="278" spans="1:25">
      <c r="A278" s="754" t="str">
        <f>'Func Future Subs 2015'!A278</f>
        <v>Substation No.65</v>
      </c>
      <c r="B278" s="754">
        <f>'Func Future Subs 2015'!B278</f>
        <v>1354</v>
      </c>
      <c r="C278" s="754">
        <f>'Func Future Subs 2015'!C278</f>
        <v>138</v>
      </c>
      <c r="D278" s="754">
        <f>'Func Future Subs 2015'!D278</f>
        <v>138</v>
      </c>
      <c r="E278" s="754" t="str">
        <f>'Func Future Subs 2015'!E278</f>
        <v>SS-65</v>
      </c>
      <c r="F278" s="754">
        <f>'Func Future Subs 2015'!F278</f>
        <v>1396717.4283952755</v>
      </c>
      <c r="G278" s="754" t="str">
        <f>'Func Future Subs 2015'!G278</f>
        <v>ENMAX</v>
      </c>
      <c r="H278" s="754">
        <f>'Func Future Subs 2015'!H278</f>
        <v>2017</v>
      </c>
      <c r="I278" s="306">
        <f>+IF($H278=I$2,VLOOKUP($G278,Depreciation!$A$14:$L$18,7,FALSE)/2,IF($H278&lt;I$2,VLOOKUP($G278,Depreciation!$A$14:$L$18,7,FALSE),0))</f>
        <v>0</v>
      </c>
      <c r="J278" s="306">
        <f>+IF($H278=J$2,VLOOKUP($G278,Depreciation!$A$14:$L$18,8,FALSE)/2,IF($H278&lt;J$2,VLOOKUP($G278,Depreciation!$A$14:$L$18,8,FALSE),0))</f>
        <v>0</v>
      </c>
      <c r="K278" s="306">
        <f>+IF($H278=K$2,VLOOKUP($G278,Depreciation!$A$14:$L$18,9,FALSE)/2,IF($H278&lt;K$2,VLOOKUP($G278,Depreciation!$A$14:$L$18,9,FALSE),0))</f>
        <v>1.3928409269726289E-2</v>
      </c>
      <c r="L278" s="306">
        <f>+IF($H278=L$2,VLOOKUP($G278,Depreciation!$A$14:$L$18,10,FALSE)/2,IF($H278&lt;L$2,VLOOKUP($G278,Depreciation!$A$14:$L$18,10,FALSE),0))</f>
        <v>2.7856818539452578E-2</v>
      </c>
      <c r="M278" s="306">
        <f>+IF($H278=M$2,VLOOKUP($G278,Depreciation!$A$14:$L$18,11,FALSE)/2,IF($H278&lt;M$2,VLOOKUP($G278,Depreciation!$A$14:$L$18,11,FALSE),0))</f>
        <v>2.7856818539452578E-2</v>
      </c>
      <c r="N278" s="306">
        <f>+IF($H278=N$2,VLOOKUP($G278,Depreciation!$A$14:$L$18,12,FALSE)/2,IF($H278&lt;N$2,VLOOKUP($G278,Depreciation!$A$14:$L$18,12,FALSE),0))</f>
        <v>2.7856818539452578E-2</v>
      </c>
      <c r="O278" s="307">
        <f t="shared" si="33"/>
        <v>1338897.2004605045</v>
      </c>
      <c r="P278" s="732">
        <f>'Func Future Subs 2015'!P278</f>
        <v>0</v>
      </c>
      <c r="Q278" s="732">
        <f>'Func Future Subs 2015'!Q278</f>
        <v>0</v>
      </c>
      <c r="R278" s="732">
        <f>'Func Future Subs 2015'!R278</f>
        <v>1</v>
      </c>
      <c r="S278" s="735">
        <f t="shared" si="34"/>
        <v>0</v>
      </c>
      <c r="T278" s="735">
        <f t="shared" si="35"/>
        <v>0</v>
      </c>
      <c r="U278" s="735">
        <f t="shared" si="36"/>
        <v>1338897.2004605045</v>
      </c>
      <c r="V278" s="736">
        <f t="shared" si="37"/>
        <v>0</v>
      </c>
      <c r="W278" s="735">
        <f t="shared" si="38"/>
        <v>0</v>
      </c>
      <c r="X278" s="737">
        <f t="shared" si="39"/>
        <v>1338897.2004605045</v>
      </c>
      <c r="Y278" s="738">
        <f t="shared" si="40"/>
        <v>0</v>
      </c>
    </row>
    <row r="279" spans="1:25">
      <c r="A279" s="754" t="str">
        <f>'Func Future Subs 2015'!A279</f>
        <v>Bonnyville 700S</v>
      </c>
      <c r="B279" s="754">
        <f>'Func Future Subs 2015'!B279</f>
        <v>1364</v>
      </c>
      <c r="C279" s="754">
        <f>'Func Future Subs 2015'!C279</f>
        <v>138</v>
      </c>
      <c r="D279" s="754">
        <f>'Func Future Subs 2015'!D279</f>
        <v>25</v>
      </c>
      <c r="E279" s="754" t="str">
        <f>'Func Future Subs 2015'!E279</f>
        <v>700S</v>
      </c>
      <c r="F279" s="754">
        <f>'Func Future Subs 2015'!F279</f>
        <v>57289.359501696126</v>
      </c>
      <c r="G279" s="754" t="str">
        <f>'Func Future Subs 2015'!G279</f>
        <v>AltaLink</v>
      </c>
      <c r="H279" s="754">
        <f>'Func Future Subs 2015'!H279</f>
        <v>2015</v>
      </c>
      <c r="I279" s="306">
        <f>+IF($H279=I$2,VLOOKUP($G279,Depreciation!$A$14:$L$18,7,FALSE)/2,IF($H279&lt;I$2,VLOOKUP($G279,Depreciation!$A$14:$L$18,7,FALSE),0))</f>
        <v>1.7228380322441735E-2</v>
      </c>
      <c r="J279" s="306">
        <f>+IF($H279=J$2,VLOOKUP($G279,Depreciation!$A$14:$L$18,8,FALSE)/2,IF($H279&lt;J$2,VLOOKUP($G279,Depreciation!$A$14:$L$18,8,FALSE),0))</f>
        <v>3.343407856743718E-2</v>
      </c>
      <c r="K279" s="306">
        <f>+IF($H279=K$2,VLOOKUP($G279,Depreciation!$A$14:$L$18,9,FALSE)/2,IF($H279&lt;K$2,VLOOKUP($G279,Depreciation!$A$14:$L$18,9,FALSE),0))</f>
        <v>3.343407856743718E-2</v>
      </c>
      <c r="L279" s="306">
        <f>+IF($H279=L$2,VLOOKUP($G279,Depreciation!$A$14:$L$18,10,FALSE)/2,IF($H279&lt;L$2,VLOOKUP($G279,Depreciation!$A$14:$L$18,10,FALSE),0))</f>
        <v>3.343407856743718E-2</v>
      </c>
      <c r="M279" s="306">
        <f>+IF($H279=M$2,VLOOKUP($G279,Depreciation!$A$14:$L$18,11,FALSE)/2,IF($H279&lt;M$2,VLOOKUP($G279,Depreciation!$A$14:$L$18,11,FALSE),0))</f>
        <v>3.343407856743718E-2</v>
      </c>
      <c r="N279" s="306">
        <f>+IF($H279=N$2,VLOOKUP($G279,Depreciation!$A$14:$L$18,12,FALSE)/2,IF($H279&lt;N$2,VLOOKUP($G279,Depreciation!$A$14:$L$18,12,FALSE),0))</f>
        <v>3.343407856743718E-2</v>
      </c>
      <c r="O279" s="307">
        <f t="shared" si="33"/>
        <v>50841.810820965809</v>
      </c>
      <c r="P279" s="732">
        <f>'Func Future Subs 2015'!P279</f>
        <v>0</v>
      </c>
      <c r="Q279" s="732">
        <f>'Func Future Subs 2015'!Q279</f>
        <v>1</v>
      </c>
      <c r="R279" s="732">
        <f>'Func Future Subs 2015'!R279</f>
        <v>0</v>
      </c>
      <c r="S279" s="735">
        <f t="shared" si="34"/>
        <v>0</v>
      </c>
      <c r="T279" s="735">
        <f t="shared" si="35"/>
        <v>50841.810820965809</v>
      </c>
      <c r="U279" s="735">
        <f t="shared" si="36"/>
        <v>0</v>
      </c>
      <c r="V279" s="736">
        <f t="shared" si="37"/>
        <v>0</v>
      </c>
      <c r="W279" s="735">
        <f t="shared" si="38"/>
        <v>0</v>
      </c>
      <c r="X279" s="737">
        <f t="shared" si="39"/>
        <v>0</v>
      </c>
      <c r="Y279" s="738">
        <f t="shared" si="40"/>
        <v>50841.810820965809</v>
      </c>
    </row>
    <row r="280" spans="1:25">
      <c r="A280" s="754" t="str">
        <f>'Func Future Subs 2015'!A280</f>
        <v>La Corey 721S</v>
      </c>
      <c r="B280" s="754">
        <f>'Func Future Subs 2015'!B280</f>
        <v>1364</v>
      </c>
      <c r="C280" s="754">
        <f>'Func Future Subs 2015'!C280</f>
        <v>138</v>
      </c>
      <c r="D280" s="754">
        <f>'Func Future Subs 2015'!D280</f>
        <v>25</v>
      </c>
      <c r="E280" s="754" t="str">
        <f>'Func Future Subs 2015'!E280</f>
        <v>721S</v>
      </c>
      <c r="F280" s="754">
        <f>'Func Future Subs 2015'!F280</f>
        <v>8476582.5247856006</v>
      </c>
      <c r="G280" s="754" t="str">
        <f>'Func Future Subs 2015'!G280</f>
        <v>AltaLink</v>
      </c>
      <c r="H280" s="754">
        <f>'Func Future Subs 2015'!H280</f>
        <v>2015</v>
      </c>
      <c r="I280" s="306">
        <f>+IF($H280=I$2,VLOOKUP($G280,Depreciation!$A$14:$L$18,7,FALSE)/2,IF($H280&lt;I$2,VLOOKUP($G280,Depreciation!$A$14:$L$18,7,FALSE),0))</f>
        <v>1.7228380322441735E-2</v>
      </c>
      <c r="J280" s="306">
        <f>+IF($H280=J$2,VLOOKUP($G280,Depreciation!$A$14:$L$18,8,FALSE)/2,IF($H280&lt;J$2,VLOOKUP($G280,Depreciation!$A$14:$L$18,8,FALSE),0))</f>
        <v>3.343407856743718E-2</v>
      </c>
      <c r="K280" s="306">
        <f>+IF($H280=K$2,VLOOKUP($G280,Depreciation!$A$14:$L$18,9,FALSE)/2,IF($H280&lt;K$2,VLOOKUP($G280,Depreciation!$A$14:$L$18,9,FALSE),0))</f>
        <v>3.343407856743718E-2</v>
      </c>
      <c r="L280" s="306">
        <f>+IF($H280=L$2,VLOOKUP($G280,Depreciation!$A$14:$L$18,10,FALSE)/2,IF($H280&lt;L$2,VLOOKUP($G280,Depreciation!$A$14:$L$18,10,FALSE),0))</f>
        <v>3.343407856743718E-2</v>
      </c>
      <c r="M280" s="306">
        <f>+IF($H280=M$2,VLOOKUP($G280,Depreciation!$A$14:$L$18,11,FALSE)/2,IF($H280&lt;M$2,VLOOKUP($G280,Depreciation!$A$14:$L$18,11,FALSE),0))</f>
        <v>3.343407856743718E-2</v>
      </c>
      <c r="N280" s="306">
        <f>+IF($H280=N$2,VLOOKUP($G280,Depreciation!$A$14:$L$18,12,FALSE)/2,IF($H280&lt;N$2,VLOOKUP($G280,Depreciation!$A$14:$L$18,12,FALSE),0))</f>
        <v>3.343407856743718E-2</v>
      </c>
      <c r="O280" s="307">
        <f t="shared" si="33"/>
        <v>7522597.7194018904</v>
      </c>
      <c r="P280" s="732">
        <f>'Func Future Subs 2015'!P280</f>
        <v>0</v>
      </c>
      <c r="Q280" s="732">
        <f>'Func Future Subs 2015'!Q280</f>
        <v>1</v>
      </c>
      <c r="R280" s="732">
        <f>'Func Future Subs 2015'!R280</f>
        <v>0</v>
      </c>
      <c r="S280" s="735">
        <f t="shared" si="34"/>
        <v>0</v>
      </c>
      <c r="T280" s="735">
        <f t="shared" si="35"/>
        <v>7522597.7194018904</v>
      </c>
      <c r="U280" s="735">
        <f t="shared" si="36"/>
        <v>0</v>
      </c>
      <c r="V280" s="736">
        <f t="shared" si="37"/>
        <v>0</v>
      </c>
      <c r="W280" s="735">
        <f t="shared" si="38"/>
        <v>0</v>
      </c>
      <c r="X280" s="737">
        <f t="shared" si="39"/>
        <v>0</v>
      </c>
      <c r="Y280" s="738">
        <f t="shared" si="40"/>
        <v>7522597.7194018904</v>
      </c>
    </row>
    <row r="281" spans="1:25">
      <c r="A281" s="754" t="str">
        <f>'Func Future Subs 2015'!A281</f>
        <v>Marguerite Lake 826S</v>
      </c>
      <c r="B281" s="754">
        <f>'Func Future Subs 2015'!B281</f>
        <v>1364</v>
      </c>
      <c r="C281" s="754">
        <f>'Func Future Subs 2015'!C281</f>
        <v>240</v>
      </c>
      <c r="D281" s="754">
        <f>'Func Future Subs 2015'!D281</f>
        <v>138</v>
      </c>
      <c r="E281" s="754" t="str">
        <f>'Func Future Subs 2015'!E281</f>
        <v>826S</v>
      </c>
      <c r="F281" s="754">
        <f>'Func Future Subs 2015'!F281</f>
        <v>57289.359501696126</v>
      </c>
      <c r="G281" s="754" t="str">
        <f>'Func Future Subs 2015'!G281</f>
        <v>AltaLink</v>
      </c>
      <c r="H281" s="754">
        <f>'Func Future Subs 2015'!H281</f>
        <v>2015</v>
      </c>
      <c r="I281" s="306">
        <f>+IF($H281=I$2,VLOOKUP($G281,Depreciation!$A$14:$L$18,7,FALSE)/2,IF($H281&lt;I$2,VLOOKUP($G281,Depreciation!$A$14:$L$18,7,FALSE),0))</f>
        <v>1.7228380322441735E-2</v>
      </c>
      <c r="J281" s="306">
        <f>+IF($H281=J$2,VLOOKUP($G281,Depreciation!$A$14:$L$18,8,FALSE)/2,IF($H281&lt;J$2,VLOOKUP($G281,Depreciation!$A$14:$L$18,8,FALSE),0))</f>
        <v>3.343407856743718E-2</v>
      </c>
      <c r="K281" s="306">
        <f>+IF($H281=K$2,VLOOKUP($G281,Depreciation!$A$14:$L$18,9,FALSE)/2,IF($H281&lt;K$2,VLOOKUP($G281,Depreciation!$A$14:$L$18,9,FALSE),0))</f>
        <v>3.343407856743718E-2</v>
      </c>
      <c r="L281" s="306">
        <f>+IF($H281=L$2,VLOOKUP($G281,Depreciation!$A$14:$L$18,10,FALSE)/2,IF($H281&lt;L$2,VLOOKUP($G281,Depreciation!$A$14:$L$18,10,FALSE),0))</f>
        <v>3.343407856743718E-2</v>
      </c>
      <c r="M281" s="306">
        <f>+IF($H281=M$2,VLOOKUP($G281,Depreciation!$A$14:$L$18,11,FALSE)/2,IF($H281&lt;M$2,VLOOKUP($G281,Depreciation!$A$14:$L$18,11,FALSE),0))</f>
        <v>3.343407856743718E-2</v>
      </c>
      <c r="N281" s="306">
        <f>+IF($H281=N$2,VLOOKUP($G281,Depreciation!$A$14:$L$18,12,FALSE)/2,IF($H281&lt;N$2,VLOOKUP($G281,Depreciation!$A$14:$L$18,12,FALSE),0))</f>
        <v>3.343407856743718E-2</v>
      </c>
      <c r="O281" s="307">
        <f t="shared" si="33"/>
        <v>50841.810820965809</v>
      </c>
      <c r="P281" s="732">
        <f>'Func Future Subs 2015'!P281</f>
        <v>0</v>
      </c>
      <c r="Q281" s="732">
        <f>'Func Future Subs 2015'!Q281</f>
        <v>0</v>
      </c>
      <c r="R281" s="732">
        <f>'Func Future Subs 2015'!R281</f>
        <v>1</v>
      </c>
      <c r="S281" s="735">
        <f t="shared" si="34"/>
        <v>0</v>
      </c>
      <c r="T281" s="735">
        <f t="shared" si="35"/>
        <v>0</v>
      </c>
      <c r="U281" s="735">
        <f t="shared" si="36"/>
        <v>50841.810820965809</v>
      </c>
      <c r="V281" s="736">
        <f t="shared" si="37"/>
        <v>0</v>
      </c>
      <c r="W281" s="735">
        <f t="shared" si="38"/>
        <v>0</v>
      </c>
      <c r="X281" s="737">
        <f t="shared" si="39"/>
        <v>50841.810820965809</v>
      </c>
      <c r="Y281" s="738">
        <f t="shared" si="40"/>
        <v>0</v>
      </c>
    </row>
    <row r="282" spans="1:25">
      <c r="A282" s="754" t="str">
        <f>'Func Future Subs 2015'!A282</f>
        <v>Josephburg 410S upgrade_(Alt3)</v>
      </c>
      <c r="B282" s="754">
        <f>'Func Future Subs 2015'!B282</f>
        <v>1381</v>
      </c>
      <c r="C282" s="754">
        <f>'Func Future Subs 2015'!C282</f>
        <v>240</v>
      </c>
      <c r="D282" s="754">
        <f>'Func Future Subs 2015'!D282</f>
        <v>138</v>
      </c>
      <c r="E282" s="754" t="str">
        <f>'Func Future Subs 2015'!E282</f>
        <v>410S</v>
      </c>
      <c r="F282" s="754">
        <f>'Func Future Subs 2015'!F282</f>
        <v>5362918.7901881374</v>
      </c>
      <c r="G282" s="754" t="str">
        <f>'Func Future Subs 2015'!G282</f>
        <v>AltaLink</v>
      </c>
      <c r="H282" s="754">
        <f>'Func Future Subs 2015'!H282</f>
        <v>2019</v>
      </c>
      <c r="I282" s="306">
        <f>+IF($H282=I$2,VLOOKUP($G282,Depreciation!$A$14:$L$18,7,FALSE)/2,IF($H282&lt;I$2,VLOOKUP($G282,Depreciation!$A$14:$L$18,7,FALSE),0))</f>
        <v>0</v>
      </c>
      <c r="J282" s="306">
        <f>+IF($H282=J$2,VLOOKUP($G282,Depreciation!$A$14:$L$18,8,FALSE)/2,IF($H282&lt;J$2,VLOOKUP($G282,Depreciation!$A$14:$L$18,8,FALSE),0))</f>
        <v>0</v>
      </c>
      <c r="K282" s="306">
        <f>+IF($H282=K$2,VLOOKUP($G282,Depreciation!$A$14:$L$18,9,FALSE)/2,IF($H282&lt;K$2,VLOOKUP($G282,Depreciation!$A$14:$L$18,9,FALSE),0))</f>
        <v>0</v>
      </c>
      <c r="L282" s="306">
        <f>+IF($H282=L$2,VLOOKUP($G282,Depreciation!$A$14:$L$18,10,FALSE)/2,IF($H282&lt;L$2,VLOOKUP($G282,Depreciation!$A$14:$L$18,10,FALSE),0))</f>
        <v>0</v>
      </c>
      <c r="M282" s="306">
        <f>+IF($H282=M$2,VLOOKUP($G282,Depreciation!$A$14:$L$18,11,FALSE)/2,IF($H282&lt;M$2,VLOOKUP($G282,Depreciation!$A$14:$L$18,11,FALSE),0))</f>
        <v>1.671703928371859E-2</v>
      </c>
      <c r="N282" s="306">
        <f>+IF($H282=N$2,VLOOKUP($G282,Depreciation!$A$14:$L$18,12,FALSE)/2,IF($H282&lt;N$2,VLOOKUP($G282,Depreciation!$A$14:$L$18,12,FALSE),0))</f>
        <v>3.343407856743718E-2</v>
      </c>
      <c r="O282" s="307">
        <f t="shared" si="33"/>
        <v>0</v>
      </c>
      <c r="P282" s="732">
        <f>'Func Future Subs 2015'!P282</f>
        <v>0</v>
      </c>
      <c r="Q282" s="732">
        <f>'Func Future Subs 2015'!Q282</f>
        <v>0</v>
      </c>
      <c r="R282" s="732">
        <f>'Func Future Subs 2015'!R282</f>
        <v>1</v>
      </c>
      <c r="S282" s="735">
        <f t="shared" si="34"/>
        <v>0</v>
      </c>
      <c r="T282" s="735">
        <f t="shared" si="35"/>
        <v>0</v>
      </c>
      <c r="U282" s="735">
        <f t="shared" si="36"/>
        <v>0</v>
      </c>
      <c r="V282" s="736">
        <f t="shared" si="37"/>
        <v>0</v>
      </c>
      <c r="W282" s="735">
        <f t="shared" si="38"/>
        <v>0</v>
      </c>
      <c r="X282" s="737">
        <f t="shared" si="39"/>
        <v>0</v>
      </c>
      <c r="Y282" s="738">
        <f t="shared" si="40"/>
        <v>0</v>
      </c>
    </row>
    <row r="283" spans="1:25">
      <c r="A283" s="754" t="str">
        <f>'Func Future Subs 2015'!A283</f>
        <v>Red Deer 63S</v>
      </c>
      <c r="B283" s="754">
        <f>'Func Future Subs 2015'!B283</f>
        <v>1394</v>
      </c>
      <c r="C283" s="754">
        <f>'Func Future Subs 2015'!C283</f>
        <v>240</v>
      </c>
      <c r="D283" s="754">
        <f>'Func Future Subs 2015'!D283</f>
        <v>25</v>
      </c>
      <c r="E283" s="754" t="str">
        <f>'Func Future Subs 2015'!E283</f>
        <v>63S</v>
      </c>
      <c r="F283" s="754">
        <f>'Func Future Subs 2015'!F283</f>
        <v>5221999.9999999972</v>
      </c>
      <c r="G283" s="754" t="str">
        <f>'Func Future Subs 2015'!G283</f>
        <v>AltaLink</v>
      </c>
      <c r="H283" s="754">
        <f>'Func Future Subs 2015'!H283</f>
        <v>2015</v>
      </c>
      <c r="I283" s="306">
        <f>+IF($H283=I$2,VLOOKUP($G283,Depreciation!$A$14:$L$18,7,FALSE)/2,IF($H283&lt;I$2,VLOOKUP($G283,Depreciation!$A$14:$L$18,7,FALSE),0))</f>
        <v>1.7228380322441735E-2</v>
      </c>
      <c r="J283" s="306">
        <f>+IF($H283=J$2,VLOOKUP($G283,Depreciation!$A$14:$L$18,8,FALSE)/2,IF($H283&lt;J$2,VLOOKUP($G283,Depreciation!$A$14:$L$18,8,FALSE),0))</f>
        <v>3.343407856743718E-2</v>
      </c>
      <c r="K283" s="306">
        <f>+IF($H283=K$2,VLOOKUP($G283,Depreciation!$A$14:$L$18,9,FALSE)/2,IF($H283&lt;K$2,VLOOKUP($G283,Depreciation!$A$14:$L$18,9,FALSE),0))</f>
        <v>3.343407856743718E-2</v>
      </c>
      <c r="L283" s="306">
        <f>+IF($H283=L$2,VLOOKUP($G283,Depreciation!$A$14:$L$18,10,FALSE)/2,IF($H283&lt;L$2,VLOOKUP($G283,Depreciation!$A$14:$L$18,10,FALSE),0))</f>
        <v>3.343407856743718E-2</v>
      </c>
      <c r="M283" s="306">
        <f>+IF($H283=M$2,VLOOKUP($G283,Depreciation!$A$14:$L$18,11,FALSE)/2,IF($H283&lt;M$2,VLOOKUP($G283,Depreciation!$A$14:$L$18,11,FALSE),0))</f>
        <v>3.343407856743718E-2</v>
      </c>
      <c r="N283" s="306">
        <f>+IF($H283=N$2,VLOOKUP($G283,Depreciation!$A$14:$L$18,12,FALSE)/2,IF($H283&lt;N$2,VLOOKUP($G283,Depreciation!$A$14:$L$18,12,FALSE),0))</f>
        <v>3.343407856743718E-2</v>
      </c>
      <c r="O283" s="307">
        <f t="shared" si="33"/>
        <v>4634297.5103295222</v>
      </c>
      <c r="P283" s="732">
        <f>'Func Future Subs 2015'!P283</f>
        <v>0</v>
      </c>
      <c r="Q283" s="732">
        <f>'Func Future Subs 2015'!Q283</f>
        <v>1</v>
      </c>
      <c r="R283" s="732">
        <f>'Func Future Subs 2015'!R283</f>
        <v>0</v>
      </c>
      <c r="S283" s="735">
        <f t="shared" si="34"/>
        <v>0</v>
      </c>
      <c r="T283" s="735">
        <f t="shared" si="35"/>
        <v>4634297.5103295222</v>
      </c>
      <c r="U283" s="735">
        <f t="shared" si="36"/>
        <v>0</v>
      </c>
      <c r="V283" s="736">
        <f t="shared" si="37"/>
        <v>0</v>
      </c>
      <c r="W283" s="735">
        <f t="shared" si="38"/>
        <v>0</v>
      </c>
      <c r="X283" s="737">
        <f t="shared" si="39"/>
        <v>0</v>
      </c>
      <c r="Y283" s="738">
        <f t="shared" si="40"/>
        <v>4634297.5103295222</v>
      </c>
    </row>
    <row r="284" spans="1:25">
      <c r="A284" s="754" t="str">
        <f>'Func Future Subs 2015'!A284</f>
        <v>Black Spruce 154S</v>
      </c>
      <c r="B284" s="754">
        <f>'Func Future Subs 2015'!B284</f>
        <v>1404</v>
      </c>
      <c r="C284" s="754">
        <f>'Func Future Subs 2015'!C284</f>
        <v>240</v>
      </c>
      <c r="D284" s="754">
        <f>'Func Future Subs 2015'!D284</f>
        <v>240</v>
      </c>
      <c r="E284" s="754" t="str">
        <f>'Func Future Subs 2015'!E284</f>
        <v>154S</v>
      </c>
      <c r="F284" s="754">
        <f>'Func Future Subs 2015'!F284</f>
        <v>278684.58054174558</v>
      </c>
      <c r="G284" s="754" t="str">
        <f>'Func Future Subs 2015'!G284</f>
        <v>AltaLink</v>
      </c>
      <c r="H284" s="754">
        <f>'Func Future Subs 2015'!H284</f>
        <v>2017</v>
      </c>
      <c r="I284" s="306">
        <f>+IF($H284=I$2,VLOOKUP($G284,Depreciation!$A$14:$L$18,7,FALSE)/2,IF($H284&lt;I$2,VLOOKUP($G284,Depreciation!$A$14:$L$18,7,FALSE),0))</f>
        <v>0</v>
      </c>
      <c r="J284" s="306">
        <f>+IF($H284=J$2,VLOOKUP($G284,Depreciation!$A$14:$L$18,8,FALSE)/2,IF($H284&lt;J$2,VLOOKUP($G284,Depreciation!$A$14:$L$18,8,FALSE),0))</f>
        <v>0</v>
      </c>
      <c r="K284" s="306">
        <f>+IF($H284=K$2,VLOOKUP($G284,Depreciation!$A$14:$L$18,9,FALSE)/2,IF($H284&lt;K$2,VLOOKUP($G284,Depreciation!$A$14:$L$18,9,FALSE),0))</f>
        <v>1.671703928371859E-2</v>
      </c>
      <c r="L284" s="306">
        <f>+IF($H284=L$2,VLOOKUP($G284,Depreciation!$A$14:$L$18,10,FALSE)/2,IF($H284&lt;L$2,VLOOKUP($G284,Depreciation!$A$14:$L$18,10,FALSE),0))</f>
        <v>3.343407856743718E-2</v>
      </c>
      <c r="M284" s="306">
        <f>+IF($H284=M$2,VLOOKUP($G284,Depreciation!$A$14:$L$18,11,FALSE)/2,IF($H284&lt;M$2,VLOOKUP($G284,Depreciation!$A$14:$L$18,11,FALSE),0))</f>
        <v>3.343407856743718E-2</v>
      </c>
      <c r="N284" s="306">
        <f>+IF($H284=N$2,VLOOKUP($G284,Depreciation!$A$14:$L$18,12,FALSE)/2,IF($H284&lt;N$2,VLOOKUP($G284,Depreciation!$A$14:$L$18,12,FALSE),0))</f>
        <v>3.343407856743718E-2</v>
      </c>
      <c r="O284" s="307">
        <f t="shared" si="33"/>
        <v>264863.99935237662</v>
      </c>
      <c r="P284" s="732">
        <f>'Func Future Subs 2015'!P284</f>
        <v>0</v>
      </c>
      <c r="Q284" s="732">
        <f>'Func Future Subs 2015'!Q284</f>
        <v>0</v>
      </c>
      <c r="R284" s="732">
        <f>'Func Future Subs 2015'!R284</f>
        <v>1</v>
      </c>
      <c r="S284" s="735">
        <f t="shared" si="34"/>
        <v>0</v>
      </c>
      <c r="T284" s="735">
        <f t="shared" si="35"/>
        <v>0</v>
      </c>
      <c r="U284" s="735">
        <f t="shared" si="36"/>
        <v>264863.99935237662</v>
      </c>
      <c r="V284" s="736">
        <f t="shared" si="37"/>
        <v>0</v>
      </c>
      <c r="W284" s="735">
        <f t="shared" si="38"/>
        <v>264863.99935237662</v>
      </c>
      <c r="X284" s="737">
        <f t="shared" si="39"/>
        <v>0</v>
      </c>
      <c r="Y284" s="738">
        <f t="shared" si="40"/>
        <v>0</v>
      </c>
    </row>
    <row r="285" spans="1:25">
      <c r="A285" s="754" t="str">
        <f>'Func Future Subs 2015'!A285</f>
        <v>Boreal 193S</v>
      </c>
      <c r="B285" s="754">
        <f>'Func Future Subs 2015'!B285</f>
        <v>1404</v>
      </c>
      <c r="C285" s="754">
        <f>'Func Future Subs 2015'!C285</f>
        <v>240</v>
      </c>
      <c r="D285" s="754">
        <f>'Func Future Subs 2015'!D285</f>
        <v>25</v>
      </c>
      <c r="E285" s="754" t="str">
        <f>'Func Future Subs 2015'!E285</f>
        <v>193S</v>
      </c>
      <c r="F285" s="754">
        <f>'Func Future Subs 2015'!F285</f>
        <v>404849.17125705519</v>
      </c>
      <c r="G285" s="754" t="str">
        <f>'Func Future Subs 2015'!G285</f>
        <v>AltaLink</v>
      </c>
      <c r="H285" s="754">
        <f>'Func Future Subs 2015'!H285</f>
        <v>2017</v>
      </c>
      <c r="I285" s="306">
        <f>+IF($H285=I$2,VLOOKUP($G285,Depreciation!$A$14:$L$18,7,FALSE)/2,IF($H285&lt;I$2,VLOOKUP($G285,Depreciation!$A$14:$L$18,7,FALSE),0))</f>
        <v>0</v>
      </c>
      <c r="J285" s="306">
        <f>+IF($H285=J$2,VLOOKUP($G285,Depreciation!$A$14:$L$18,8,FALSE)/2,IF($H285&lt;J$2,VLOOKUP($G285,Depreciation!$A$14:$L$18,8,FALSE),0))</f>
        <v>0</v>
      </c>
      <c r="K285" s="306">
        <f>+IF($H285=K$2,VLOOKUP($G285,Depreciation!$A$14:$L$18,9,FALSE)/2,IF($H285&lt;K$2,VLOOKUP($G285,Depreciation!$A$14:$L$18,9,FALSE),0))</f>
        <v>1.671703928371859E-2</v>
      </c>
      <c r="L285" s="306">
        <f>+IF($H285=L$2,VLOOKUP($G285,Depreciation!$A$14:$L$18,10,FALSE)/2,IF($H285&lt;L$2,VLOOKUP($G285,Depreciation!$A$14:$L$18,10,FALSE),0))</f>
        <v>3.343407856743718E-2</v>
      </c>
      <c r="M285" s="306">
        <f>+IF($H285=M$2,VLOOKUP($G285,Depreciation!$A$14:$L$18,11,FALSE)/2,IF($H285&lt;M$2,VLOOKUP($G285,Depreciation!$A$14:$L$18,11,FALSE),0))</f>
        <v>3.343407856743718E-2</v>
      </c>
      <c r="N285" s="306">
        <f>+IF($H285=N$2,VLOOKUP($G285,Depreciation!$A$14:$L$18,12,FALSE)/2,IF($H285&lt;N$2,VLOOKUP($G285,Depreciation!$A$14:$L$18,12,FALSE),0))</f>
        <v>3.343407856743718E-2</v>
      </c>
      <c r="O285" s="307">
        <f t="shared" si="33"/>
        <v>384771.81057233398</v>
      </c>
      <c r="P285" s="732">
        <f>'Func Future Subs 2015'!P285</f>
        <v>0</v>
      </c>
      <c r="Q285" s="732">
        <f>'Func Future Subs 2015'!Q285</f>
        <v>0</v>
      </c>
      <c r="R285" s="732">
        <f>'Func Future Subs 2015'!R285</f>
        <v>1</v>
      </c>
      <c r="S285" s="735">
        <f t="shared" si="34"/>
        <v>0</v>
      </c>
      <c r="T285" s="735">
        <f t="shared" si="35"/>
        <v>0</v>
      </c>
      <c r="U285" s="735">
        <f t="shared" si="36"/>
        <v>384771.81057233398</v>
      </c>
      <c r="V285" s="736">
        <f t="shared" si="37"/>
        <v>0</v>
      </c>
      <c r="W285" s="735">
        <f t="shared" si="38"/>
        <v>0</v>
      </c>
      <c r="X285" s="737">
        <f t="shared" si="39"/>
        <v>0</v>
      </c>
      <c r="Y285" s="738">
        <f t="shared" si="40"/>
        <v>384771.81057233398</v>
      </c>
    </row>
    <row r="286" spans="1:25">
      <c r="A286" s="754" t="str">
        <f>'Func Future Subs 2015'!A286</f>
        <v>Conklin 762S</v>
      </c>
      <c r="B286" s="754">
        <f>'Func Future Subs 2015'!B286</f>
        <v>1404</v>
      </c>
      <c r="C286" s="754">
        <f>'Func Future Subs 2015'!C286</f>
        <v>240</v>
      </c>
      <c r="D286" s="754">
        <f>'Func Future Subs 2015'!D286</f>
        <v>25</v>
      </c>
      <c r="E286" s="754" t="str">
        <f>'Func Future Subs 2015'!E286</f>
        <v>762S</v>
      </c>
      <c r="F286" s="754">
        <f>'Func Future Subs 2015'!F286</f>
        <v>168402.5482694711</v>
      </c>
      <c r="G286" s="754" t="str">
        <f>'Func Future Subs 2015'!G286</f>
        <v>AltaLink</v>
      </c>
      <c r="H286" s="754">
        <f>'Func Future Subs 2015'!H286</f>
        <v>2017</v>
      </c>
      <c r="I286" s="306">
        <f>+IF($H286=I$2,VLOOKUP($G286,Depreciation!$A$14:$L$18,7,FALSE)/2,IF($H286&lt;I$2,VLOOKUP($G286,Depreciation!$A$14:$L$18,7,FALSE),0))</f>
        <v>0</v>
      </c>
      <c r="J286" s="306">
        <f>+IF($H286=J$2,VLOOKUP($G286,Depreciation!$A$14:$L$18,8,FALSE)/2,IF($H286&lt;J$2,VLOOKUP($G286,Depreciation!$A$14:$L$18,8,FALSE),0))</f>
        <v>0</v>
      </c>
      <c r="K286" s="306">
        <f>+IF($H286=K$2,VLOOKUP($G286,Depreciation!$A$14:$L$18,9,FALSE)/2,IF($H286&lt;K$2,VLOOKUP($G286,Depreciation!$A$14:$L$18,9,FALSE),0))</f>
        <v>1.671703928371859E-2</v>
      </c>
      <c r="L286" s="306">
        <f>+IF($H286=L$2,VLOOKUP($G286,Depreciation!$A$14:$L$18,10,FALSE)/2,IF($H286&lt;L$2,VLOOKUP($G286,Depreciation!$A$14:$L$18,10,FALSE),0))</f>
        <v>3.343407856743718E-2</v>
      </c>
      <c r="M286" s="306">
        <f>+IF($H286=M$2,VLOOKUP($G286,Depreciation!$A$14:$L$18,11,FALSE)/2,IF($H286&lt;M$2,VLOOKUP($G286,Depreciation!$A$14:$L$18,11,FALSE),0))</f>
        <v>3.343407856743718E-2</v>
      </c>
      <c r="N286" s="306">
        <f>+IF($H286=N$2,VLOOKUP($G286,Depreciation!$A$14:$L$18,12,FALSE)/2,IF($H286&lt;N$2,VLOOKUP($G286,Depreciation!$A$14:$L$18,12,FALSE),0))</f>
        <v>3.343407856743718E-2</v>
      </c>
      <c r="O286" s="307">
        <f t="shared" si="33"/>
        <v>160051.09557578244</v>
      </c>
      <c r="P286" s="732">
        <f>'Func Future Subs 2015'!P286</f>
        <v>0.92307692307692313</v>
      </c>
      <c r="Q286" s="732">
        <f>'Func Future Subs 2015'!Q286</f>
        <v>7.6923076923076927E-2</v>
      </c>
      <c r="R286" s="732">
        <f>'Func Future Subs 2015'!R286</f>
        <v>0</v>
      </c>
      <c r="S286" s="735">
        <f t="shared" si="34"/>
        <v>147739.47283918381</v>
      </c>
      <c r="T286" s="735">
        <f t="shared" si="35"/>
        <v>12311.622736598651</v>
      </c>
      <c r="U286" s="735">
        <f t="shared" si="36"/>
        <v>0</v>
      </c>
      <c r="V286" s="736">
        <f t="shared" si="37"/>
        <v>0</v>
      </c>
      <c r="W286" s="735">
        <f t="shared" si="38"/>
        <v>147739.47283918381</v>
      </c>
      <c r="X286" s="737">
        <f t="shared" si="39"/>
        <v>0</v>
      </c>
      <c r="Y286" s="738">
        <f t="shared" si="40"/>
        <v>12311.622736598651</v>
      </c>
    </row>
    <row r="287" spans="1:25">
      <c r="A287" s="754" t="str">
        <f>'Func Future Subs 2015'!A287</f>
        <v>Modify Vermillion 710S substation</v>
      </c>
      <c r="B287" s="754">
        <f>'Func Future Subs 2015'!B287</f>
        <v>1410</v>
      </c>
      <c r="C287" s="754">
        <f>'Func Future Subs 2015'!C287</f>
        <v>240</v>
      </c>
      <c r="D287" s="754">
        <f>'Func Future Subs 2015'!D287</f>
        <v>25</v>
      </c>
      <c r="E287" s="754" t="str">
        <f>'Func Future Subs 2015'!E287</f>
        <v>710S</v>
      </c>
      <c r="F287" s="754">
        <f>'Func Future Subs 2015'!F287</f>
        <v>15324.249757272422</v>
      </c>
      <c r="G287" s="754" t="str">
        <f>'Func Future Subs 2015'!G287</f>
        <v>ATCO</v>
      </c>
      <c r="H287" s="754">
        <f>'Func Future Subs 2015'!H287</f>
        <v>2017</v>
      </c>
      <c r="I287" s="306">
        <f>+IF($H287=I$2,VLOOKUP($G287,Depreciation!$A$14:$L$18,7,FALSE)/2,IF($H287&lt;I$2,VLOOKUP($G287,Depreciation!$A$14:$L$18,7,FALSE),0))</f>
        <v>0</v>
      </c>
      <c r="J287" s="306">
        <f>+IF($H287=J$2,VLOOKUP($G287,Depreciation!$A$14:$L$18,8,FALSE)/2,IF($H287&lt;J$2,VLOOKUP($G287,Depreciation!$A$14:$L$18,8,FALSE),0))</f>
        <v>0</v>
      </c>
      <c r="K287" s="306">
        <f>+IF($H287=K$2,VLOOKUP($G287,Depreciation!$A$14:$L$18,9,FALSE)/2,IF($H287&lt;K$2,VLOOKUP($G287,Depreciation!$A$14:$L$18,9,FALSE),0))</f>
        <v>1.2175768213899416E-2</v>
      </c>
      <c r="L287" s="306">
        <f>+IF($H287=L$2,VLOOKUP($G287,Depreciation!$A$14:$L$18,10,FALSE)/2,IF($H287&lt;L$2,VLOOKUP($G287,Depreciation!$A$14:$L$18,10,FALSE),0))</f>
        <v>2.4351536427798831E-2</v>
      </c>
      <c r="M287" s="306">
        <f>+IF($H287=M$2,VLOOKUP($G287,Depreciation!$A$14:$L$18,11,FALSE)/2,IF($H287&lt;M$2,VLOOKUP($G287,Depreciation!$A$14:$L$18,11,FALSE),0))</f>
        <v>2.4351536427798831E-2</v>
      </c>
      <c r="N287" s="306">
        <f>+IF($H287=N$2,VLOOKUP($G287,Depreciation!$A$14:$L$18,12,FALSE)/2,IF($H287&lt;N$2,VLOOKUP($G287,Depreciation!$A$14:$L$18,12,FALSE),0))</f>
        <v>2.4351536427798831E-2</v>
      </c>
      <c r="O287" s="307">
        <f t="shared" si="33"/>
        <v>14769.039837550594</v>
      </c>
      <c r="P287" s="732">
        <f>'Func Future Subs 2015'!P287</f>
        <v>0</v>
      </c>
      <c r="Q287" s="732">
        <f>'Func Future Subs 2015'!Q287</f>
        <v>1</v>
      </c>
      <c r="R287" s="732">
        <f>'Func Future Subs 2015'!R287</f>
        <v>0</v>
      </c>
      <c r="S287" s="735">
        <f t="shared" si="34"/>
        <v>0</v>
      </c>
      <c r="T287" s="735">
        <f t="shared" si="35"/>
        <v>14769.039837550594</v>
      </c>
      <c r="U287" s="735">
        <f t="shared" si="36"/>
        <v>0</v>
      </c>
      <c r="V287" s="736">
        <f t="shared" si="37"/>
        <v>0</v>
      </c>
      <c r="W287" s="735">
        <f t="shared" si="38"/>
        <v>0</v>
      </c>
      <c r="X287" s="737">
        <f t="shared" si="39"/>
        <v>0</v>
      </c>
      <c r="Y287" s="738">
        <f t="shared" si="40"/>
        <v>14769.039837550594</v>
      </c>
    </row>
    <row r="288" spans="1:25">
      <c r="A288" s="754" t="str">
        <f>'Func Future Subs 2015'!A288</f>
        <v>New Vincent 2019S POD substation</v>
      </c>
      <c r="B288" s="754">
        <f>'Func Future Subs 2015'!B288</f>
        <v>1410</v>
      </c>
      <c r="C288" s="754">
        <f>'Func Future Subs 2015'!C288</f>
        <v>144</v>
      </c>
      <c r="D288" s="754">
        <f>'Func Future Subs 2015'!D288</f>
        <v>25</v>
      </c>
      <c r="E288" s="754" t="str">
        <f>'Func Future Subs 2015'!E288</f>
        <v>2019S</v>
      </c>
      <c r="F288" s="754">
        <f>'Func Future Subs 2015'!F288</f>
        <v>8044760.2895575566</v>
      </c>
      <c r="G288" s="754" t="str">
        <f>'Func Future Subs 2015'!G288</f>
        <v>ATCO</v>
      </c>
      <c r="H288" s="754">
        <f>'Func Future Subs 2015'!H288</f>
        <v>2017</v>
      </c>
      <c r="I288" s="306">
        <f>+IF($H288=I$2,VLOOKUP($G288,Depreciation!$A$14:$L$18,7,FALSE)/2,IF($H288&lt;I$2,VLOOKUP($G288,Depreciation!$A$14:$L$18,7,FALSE),0))</f>
        <v>0</v>
      </c>
      <c r="J288" s="306">
        <f>+IF($H288=J$2,VLOOKUP($G288,Depreciation!$A$14:$L$18,8,FALSE)/2,IF($H288&lt;J$2,VLOOKUP($G288,Depreciation!$A$14:$L$18,8,FALSE),0))</f>
        <v>0</v>
      </c>
      <c r="K288" s="306">
        <f>+IF($H288=K$2,VLOOKUP($G288,Depreciation!$A$14:$L$18,9,FALSE)/2,IF($H288&lt;K$2,VLOOKUP($G288,Depreciation!$A$14:$L$18,9,FALSE),0))</f>
        <v>1.2175768213899416E-2</v>
      </c>
      <c r="L288" s="306">
        <f>+IF($H288=L$2,VLOOKUP($G288,Depreciation!$A$14:$L$18,10,FALSE)/2,IF($H288&lt;L$2,VLOOKUP($G288,Depreciation!$A$14:$L$18,10,FALSE),0))</f>
        <v>2.4351536427798831E-2</v>
      </c>
      <c r="M288" s="306">
        <f>+IF($H288=M$2,VLOOKUP($G288,Depreciation!$A$14:$L$18,11,FALSE)/2,IF($H288&lt;M$2,VLOOKUP($G288,Depreciation!$A$14:$L$18,11,FALSE),0))</f>
        <v>2.4351536427798831E-2</v>
      </c>
      <c r="N288" s="306">
        <f>+IF($H288=N$2,VLOOKUP($G288,Depreciation!$A$14:$L$18,12,FALSE)/2,IF($H288&lt;N$2,VLOOKUP($G288,Depreciation!$A$14:$L$18,12,FALSE),0))</f>
        <v>2.4351536427798831E-2</v>
      </c>
      <c r="O288" s="307">
        <f t="shared" si="33"/>
        <v>7753292.1403630469</v>
      </c>
      <c r="P288" s="732">
        <f>'Func Future Subs 2015'!P288</f>
        <v>0</v>
      </c>
      <c r="Q288" s="732">
        <f>'Func Future Subs 2015'!Q288</f>
        <v>0</v>
      </c>
      <c r="R288" s="732">
        <f>'Func Future Subs 2015'!R288</f>
        <v>1</v>
      </c>
      <c r="S288" s="735">
        <f t="shared" si="34"/>
        <v>0</v>
      </c>
      <c r="T288" s="735">
        <f t="shared" si="35"/>
        <v>0</v>
      </c>
      <c r="U288" s="735">
        <f t="shared" si="36"/>
        <v>7753292.1403630469</v>
      </c>
      <c r="V288" s="736">
        <f t="shared" si="37"/>
        <v>0</v>
      </c>
      <c r="W288" s="735">
        <f t="shared" si="38"/>
        <v>0</v>
      </c>
      <c r="X288" s="737">
        <f t="shared" si="39"/>
        <v>0</v>
      </c>
      <c r="Y288" s="738">
        <f t="shared" si="40"/>
        <v>7753292.1403630469</v>
      </c>
    </row>
    <row r="289" spans="1:25">
      <c r="A289" s="754" t="str">
        <f>'Func Future Subs 2015'!A289</f>
        <v>Upgrade Irish Creek 706S substation</v>
      </c>
      <c r="B289" s="754">
        <f>'Func Future Subs 2015'!B289</f>
        <v>1410</v>
      </c>
      <c r="C289" s="754">
        <f>'Func Future Subs 2015'!C289</f>
        <v>144</v>
      </c>
      <c r="D289" s="754">
        <f>'Func Future Subs 2015'!D289</f>
        <v>25</v>
      </c>
      <c r="E289" s="754" t="str">
        <f>'Func Future Subs 2015'!E289</f>
        <v>706S</v>
      </c>
      <c r="F289" s="754">
        <f>'Func Future Subs 2015'!F289</f>
        <v>3971812.508863166</v>
      </c>
      <c r="G289" s="754" t="str">
        <f>'Func Future Subs 2015'!G289</f>
        <v>ATCO</v>
      </c>
      <c r="H289" s="754">
        <f>'Func Future Subs 2015'!H289</f>
        <v>2017</v>
      </c>
      <c r="I289" s="306">
        <f>+IF($H289=I$2,VLOOKUP($G289,Depreciation!$A$14:$L$18,7,FALSE)/2,IF($H289&lt;I$2,VLOOKUP($G289,Depreciation!$A$14:$L$18,7,FALSE),0))</f>
        <v>0</v>
      </c>
      <c r="J289" s="306">
        <f>+IF($H289=J$2,VLOOKUP($G289,Depreciation!$A$14:$L$18,8,FALSE)/2,IF($H289&lt;J$2,VLOOKUP($G289,Depreciation!$A$14:$L$18,8,FALSE),0))</f>
        <v>0</v>
      </c>
      <c r="K289" s="306">
        <f>+IF($H289=K$2,VLOOKUP($G289,Depreciation!$A$14:$L$18,9,FALSE)/2,IF($H289&lt;K$2,VLOOKUP($G289,Depreciation!$A$14:$L$18,9,FALSE),0))</f>
        <v>1.2175768213899416E-2</v>
      </c>
      <c r="L289" s="306">
        <f>+IF($H289=L$2,VLOOKUP($G289,Depreciation!$A$14:$L$18,10,FALSE)/2,IF($H289&lt;L$2,VLOOKUP($G289,Depreciation!$A$14:$L$18,10,FALSE),0))</f>
        <v>2.4351536427798831E-2</v>
      </c>
      <c r="M289" s="306">
        <f>+IF($H289=M$2,VLOOKUP($G289,Depreciation!$A$14:$L$18,11,FALSE)/2,IF($H289&lt;M$2,VLOOKUP($G289,Depreciation!$A$14:$L$18,11,FALSE),0))</f>
        <v>2.4351536427798831E-2</v>
      </c>
      <c r="N289" s="306">
        <f>+IF($H289=N$2,VLOOKUP($G289,Depreciation!$A$14:$L$18,12,FALSE)/2,IF($H289&lt;N$2,VLOOKUP($G289,Depreciation!$A$14:$L$18,12,FALSE),0))</f>
        <v>2.4351536427798831E-2</v>
      </c>
      <c r="O289" s="307">
        <f t="shared" si="33"/>
        <v>3827910.5404715613</v>
      </c>
      <c r="P289" s="732">
        <f>'Func Future Subs 2015'!P289</f>
        <v>0</v>
      </c>
      <c r="Q289" s="732">
        <f>'Func Future Subs 2015'!Q289</f>
        <v>1</v>
      </c>
      <c r="R289" s="732">
        <f>'Func Future Subs 2015'!R289</f>
        <v>0</v>
      </c>
      <c r="S289" s="735">
        <f t="shared" si="34"/>
        <v>0</v>
      </c>
      <c r="T289" s="735">
        <f t="shared" si="35"/>
        <v>3827910.5404715613</v>
      </c>
      <c r="U289" s="735">
        <f t="shared" si="36"/>
        <v>0</v>
      </c>
      <c r="V289" s="736">
        <f t="shared" si="37"/>
        <v>0</v>
      </c>
      <c r="W289" s="735">
        <f t="shared" si="38"/>
        <v>0</v>
      </c>
      <c r="X289" s="737">
        <f t="shared" si="39"/>
        <v>0</v>
      </c>
      <c r="Y289" s="738">
        <f t="shared" si="40"/>
        <v>3827910.5404715613</v>
      </c>
    </row>
    <row r="290" spans="1:25">
      <c r="A290" s="754" t="str">
        <f>'Func Future Subs 2015'!A290</f>
        <v>Upgrade Vegreville 709S substation</v>
      </c>
      <c r="B290" s="754">
        <f>'Func Future Subs 2015'!B290</f>
        <v>1410</v>
      </c>
      <c r="C290" s="754">
        <f>'Func Future Subs 2015'!C290</f>
        <v>144</v>
      </c>
      <c r="D290" s="754">
        <f>'Func Future Subs 2015'!D290</f>
        <v>25</v>
      </c>
      <c r="E290" s="754" t="str">
        <f>'Func Future Subs 2015'!E290</f>
        <v>709S</v>
      </c>
      <c r="F290" s="754">
        <f>'Func Future Subs 2015'!F290</f>
        <v>775183.9038130251</v>
      </c>
      <c r="G290" s="754" t="str">
        <f>'Func Future Subs 2015'!G290</f>
        <v>ATCO</v>
      </c>
      <c r="H290" s="754">
        <f>'Func Future Subs 2015'!H290</f>
        <v>2017</v>
      </c>
      <c r="I290" s="306">
        <f>+IF($H290=I$2,VLOOKUP($G290,Depreciation!$A$14:$L$18,7,FALSE)/2,IF($H290&lt;I$2,VLOOKUP($G290,Depreciation!$A$14:$L$18,7,FALSE),0))</f>
        <v>0</v>
      </c>
      <c r="J290" s="306">
        <f>+IF($H290=J$2,VLOOKUP($G290,Depreciation!$A$14:$L$18,8,FALSE)/2,IF($H290&lt;J$2,VLOOKUP($G290,Depreciation!$A$14:$L$18,8,FALSE),0))</f>
        <v>0</v>
      </c>
      <c r="K290" s="306">
        <f>+IF($H290=K$2,VLOOKUP($G290,Depreciation!$A$14:$L$18,9,FALSE)/2,IF($H290&lt;K$2,VLOOKUP($G290,Depreciation!$A$14:$L$18,9,FALSE),0))</f>
        <v>1.2175768213899416E-2</v>
      </c>
      <c r="L290" s="306">
        <f>+IF($H290=L$2,VLOOKUP($G290,Depreciation!$A$14:$L$18,10,FALSE)/2,IF($H290&lt;L$2,VLOOKUP($G290,Depreciation!$A$14:$L$18,10,FALSE),0))</f>
        <v>2.4351536427798831E-2</v>
      </c>
      <c r="M290" s="306">
        <f>+IF($H290=M$2,VLOOKUP($G290,Depreciation!$A$14:$L$18,11,FALSE)/2,IF($H290&lt;M$2,VLOOKUP($G290,Depreciation!$A$14:$L$18,11,FALSE),0))</f>
        <v>2.4351536427798831E-2</v>
      </c>
      <c r="N290" s="306">
        <f>+IF($H290=N$2,VLOOKUP($G290,Depreciation!$A$14:$L$18,12,FALSE)/2,IF($H290&lt;N$2,VLOOKUP($G290,Depreciation!$A$14:$L$18,12,FALSE),0))</f>
        <v>2.4351536427798831E-2</v>
      </c>
      <c r="O290" s="307">
        <f t="shared" si="33"/>
        <v>747098.3661963183</v>
      </c>
      <c r="P290" s="732">
        <f>'Func Future Subs 2015'!P290</f>
        <v>0</v>
      </c>
      <c r="Q290" s="732">
        <f>'Func Future Subs 2015'!Q290</f>
        <v>1</v>
      </c>
      <c r="R290" s="732">
        <f>'Func Future Subs 2015'!R290</f>
        <v>0</v>
      </c>
      <c r="S290" s="735">
        <f t="shared" si="34"/>
        <v>0</v>
      </c>
      <c r="T290" s="735">
        <f t="shared" si="35"/>
        <v>747098.3661963183</v>
      </c>
      <c r="U290" s="735">
        <f t="shared" si="36"/>
        <v>0</v>
      </c>
      <c r="V290" s="736">
        <f t="shared" si="37"/>
        <v>0</v>
      </c>
      <c r="W290" s="735">
        <f t="shared" si="38"/>
        <v>0</v>
      </c>
      <c r="X290" s="737">
        <f t="shared" si="39"/>
        <v>0</v>
      </c>
      <c r="Y290" s="738">
        <f t="shared" si="40"/>
        <v>747098.3661963183</v>
      </c>
    </row>
    <row r="291" spans="1:25">
      <c r="A291" s="754" t="str">
        <f>'Func Future Subs 2015'!A291</f>
        <v>Gainford 165S</v>
      </c>
      <c r="B291" s="754">
        <f>'Func Future Subs 2015'!B291</f>
        <v>1412</v>
      </c>
      <c r="C291" s="754">
        <f>'Func Future Subs 2015'!C291</f>
        <v>138</v>
      </c>
      <c r="D291" s="754">
        <f>'Func Future Subs 2015'!D291</f>
        <v>25</v>
      </c>
      <c r="E291" s="754" t="str">
        <f>'Func Future Subs 2015'!E291</f>
        <v>165S</v>
      </c>
      <c r="F291" s="754">
        <f>'Func Future Subs 2015'!F291</f>
        <v>4938999.9999999953</v>
      </c>
      <c r="G291" s="754" t="str">
        <f>'Func Future Subs 2015'!G291</f>
        <v>AltaLink</v>
      </c>
      <c r="H291" s="754">
        <f>'Func Future Subs 2015'!H291</f>
        <v>2019</v>
      </c>
      <c r="I291" s="306">
        <f>+IF($H291=I$2,VLOOKUP($G291,Depreciation!$A$14:$L$18,7,FALSE)/2,IF($H291&lt;I$2,VLOOKUP($G291,Depreciation!$A$14:$L$18,7,FALSE),0))</f>
        <v>0</v>
      </c>
      <c r="J291" s="306">
        <f>+IF($H291=J$2,VLOOKUP($G291,Depreciation!$A$14:$L$18,8,FALSE)/2,IF($H291&lt;J$2,VLOOKUP($G291,Depreciation!$A$14:$L$18,8,FALSE),0))</f>
        <v>0</v>
      </c>
      <c r="K291" s="306">
        <f>+IF($H291=K$2,VLOOKUP($G291,Depreciation!$A$14:$L$18,9,FALSE)/2,IF($H291&lt;K$2,VLOOKUP($G291,Depreciation!$A$14:$L$18,9,FALSE),0))</f>
        <v>0</v>
      </c>
      <c r="L291" s="306">
        <f>+IF($H291=L$2,VLOOKUP($G291,Depreciation!$A$14:$L$18,10,FALSE)/2,IF($H291&lt;L$2,VLOOKUP($G291,Depreciation!$A$14:$L$18,10,FALSE),0))</f>
        <v>0</v>
      </c>
      <c r="M291" s="306">
        <f>+IF($H291=M$2,VLOOKUP($G291,Depreciation!$A$14:$L$18,11,FALSE)/2,IF($H291&lt;M$2,VLOOKUP($G291,Depreciation!$A$14:$L$18,11,FALSE),0))</f>
        <v>1.671703928371859E-2</v>
      </c>
      <c r="N291" s="306">
        <f>+IF($H291=N$2,VLOOKUP($G291,Depreciation!$A$14:$L$18,12,FALSE)/2,IF($H291&lt;N$2,VLOOKUP($G291,Depreciation!$A$14:$L$18,12,FALSE),0))</f>
        <v>3.343407856743718E-2</v>
      </c>
      <c r="O291" s="307">
        <f t="shared" si="33"/>
        <v>0</v>
      </c>
      <c r="P291" s="732">
        <f>'Func Future Subs 2015'!P291</f>
        <v>0</v>
      </c>
      <c r="Q291" s="732">
        <f>'Func Future Subs 2015'!Q291</f>
        <v>1</v>
      </c>
      <c r="R291" s="732">
        <f>'Func Future Subs 2015'!R291</f>
        <v>0</v>
      </c>
      <c r="S291" s="735">
        <f t="shared" si="34"/>
        <v>0</v>
      </c>
      <c r="T291" s="735">
        <f t="shared" si="35"/>
        <v>0</v>
      </c>
      <c r="U291" s="735">
        <f t="shared" si="36"/>
        <v>0</v>
      </c>
      <c r="V291" s="736">
        <f t="shared" si="37"/>
        <v>0</v>
      </c>
      <c r="W291" s="735">
        <f t="shared" si="38"/>
        <v>0</v>
      </c>
      <c r="X291" s="737">
        <f t="shared" si="39"/>
        <v>0</v>
      </c>
      <c r="Y291" s="738">
        <f t="shared" si="40"/>
        <v>0</v>
      </c>
    </row>
    <row r="292" spans="1:25">
      <c r="A292" s="754" t="str">
        <f>'Func Future Subs 2015'!A292</f>
        <v>mercer Hill 728S</v>
      </c>
      <c r="B292" s="754">
        <f>'Func Future Subs 2015'!B292</f>
        <v>1416</v>
      </c>
      <c r="C292" s="754">
        <f>'Func Future Subs 2015'!C292</f>
        <v>144</v>
      </c>
      <c r="D292" s="754">
        <f>'Func Future Subs 2015'!D292</f>
        <v>25</v>
      </c>
      <c r="E292" s="754" t="str">
        <f>'Func Future Subs 2015'!E292</f>
        <v>728S</v>
      </c>
      <c r="F292" s="754">
        <f>'Func Future Subs 2015'!F292</f>
        <v>1896908</v>
      </c>
      <c r="G292" s="754" t="str">
        <f>'Func Future Subs 2015'!G292</f>
        <v>ATCO</v>
      </c>
      <c r="H292" s="754">
        <f>'Func Future Subs 2015'!H292</f>
        <v>2015</v>
      </c>
      <c r="I292" s="306">
        <f>+IF($H292=I$2,VLOOKUP($G292,Depreciation!$A$14:$L$18,7,FALSE)/2,IF($H292&lt;I$2,VLOOKUP($G292,Depreciation!$A$14:$L$18,7,FALSE),0))</f>
        <v>1.221703683566912E-2</v>
      </c>
      <c r="J292" s="306">
        <f>+IF($H292=J$2,VLOOKUP($G292,Depreciation!$A$14:$L$18,8,FALSE)/2,IF($H292&lt;J$2,VLOOKUP($G292,Depreciation!$A$14:$L$18,8,FALSE),0))</f>
        <v>2.4632450501084719E-2</v>
      </c>
      <c r="K292" s="306">
        <f>+IF($H292=K$2,VLOOKUP($G292,Depreciation!$A$14:$L$18,9,FALSE)/2,IF($H292&lt;K$2,VLOOKUP($G292,Depreciation!$A$14:$L$18,9,FALSE),0))</f>
        <v>2.4351536427798831E-2</v>
      </c>
      <c r="L292" s="306">
        <f>+IF($H292=L$2,VLOOKUP($G292,Depreciation!$A$14:$L$18,10,FALSE)/2,IF($H292&lt;L$2,VLOOKUP($G292,Depreciation!$A$14:$L$18,10,FALSE),0))</f>
        <v>2.4351536427798831E-2</v>
      </c>
      <c r="M292" s="306">
        <f>+IF($H292=M$2,VLOOKUP($G292,Depreciation!$A$14:$L$18,11,FALSE)/2,IF($H292&lt;M$2,VLOOKUP($G292,Depreciation!$A$14:$L$18,11,FALSE),0))</f>
        <v>2.4351536427798831E-2</v>
      </c>
      <c r="N292" s="306">
        <f>+IF($H292=N$2,VLOOKUP($G292,Depreciation!$A$14:$L$18,12,FALSE)/2,IF($H292&lt;N$2,VLOOKUP($G292,Depreciation!$A$14:$L$18,12,FALSE),0))</f>
        <v>2.4351536427798831E-2</v>
      </c>
      <c r="O292" s="307">
        <f t="shared" si="33"/>
        <v>1739653.8075704977</v>
      </c>
      <c r="P292" s="732">
        <f>'Func Future Subs 2015'!P292</f>
        <v>0</v>
      </c>
      <c r="Q292" s="732">
        <f>'Func Future Subs 2015'!Q292</f>
        <v>1</v>
      </c>
      <c r="R292" s="732">
        <f>'Func Future Subs 2015'!R292</f>
        <v>0</v>
      </c>
      <c r="S292" s="735">
        <f t="shared" si="34"/>
        <v>0</v>
      </c>
      <c r="T292" s="735">
        <f t="shared" si="35"/>
        <v>1739653.8075704977</v>
      </c>
      <c r="U292" s="735">
        <f t="shared" si="36"/>
        <v>0</v>
      </c>
      <c r="V292" s="736">
        <f t="shared" si="37"/>
        <v>0</v>
      </c>
      <c r="W292" s="735">
        <f t="shared" si="38"/>
        <v>0</v>
      </c>
      <c r="X292" s="737">
        <f t="shared" si="39"/>
        <v>0</v>
      </c>
      <c r="Y292" s="738">
        <f t="shared" si="40"/>
        <v>1739653.8075704977</v>
      </c>
    </row>
    <row r="293" spans="1:25">
      <c r="A293" s="754" t="str">
        <f>'Func Future Subs 2015'!A293</f>
        <v>Lambton substation</v>
      </c>
      <c r="B293" s="754">
        <f>'Func Future Subs 2015'!B293</f>
        <v>1438</v>
      </c>
      <c r="C293" s="754">
        <f>'Func Future Subs 2015'!C293</f>
        <v>240</v>
      </c>
      <c r="D293" s="754">
        <f>'Func Future Subs 2015'!D293</f>
        <v>0</v>
      </c>
      <c r="E293" s="754">
        <f>'Func Future Subs 2015'!E293</f>
        <v>0</v>
      </c>
      <c r="F293" s="754">
        <f>'Func Future Subs 2015'!F293</f>
        <v>1059667.0000000005</v>
      </c>
      <c r="G293" s="754" t="str">
        <f>'Func Future Subs 2015'!G293</f>
        <v>EPCOR</v>
      </c>
      <c r="H293" s="754">
        <f>'Func Future Subs 2015'!H293</f>
        <v>2015</v>
      </c>
      <c r="I293" s="306">
        <f>+IF($H293=I$2,VLOOKUP($G293,Depreciation!$A$14:$L$18,7,FALSE)/2,IF($H293&lt;I$2,VLOOKUP($G293,Depreciation!$A$14:$L$18,7,FALSE),0))</f>
        <v>2.0607513622398654E-2</v>
      </c>
      <c r="J293" s="306">
        <f>+IF($H293=J$2,VLOOKUP($G293,Depreciation!$A$14:$L$18,8,FALSE)/2,IF($H293&lt;J$2,VLOOKUP($G293,Depreciation!$A$14:$L$18,8,FALSE),0))</f>
        <v>4.1600055599844914E-2</v>
      </c>
      <c r="K293" s="306">
        <f>+IF($H293=K$2,VLOOKUP($G293,Depreciation!$A$14:$L$18,9,FALSE)/2,IF($H293&lt;K$2,VLOOKUP($G293,Depreciation!$A$14:$L$18,9,FALSE),0))</f>
        <v>4.1145263498658789E-2</v>
      </c>
      <c r="L293" s="306">
        <f>+IF($H293=L$2,VLOOKUP($G293,Depreciation!$A$14:$L$18,10,FALSE)/2,IF($H293&lt;L$2,VLOOKUP($G293,Depreciation!$A$14:$L$18,10,FALSE),0))</f>
        <v>4.1145263498658789E-2</v>
      </c>
      <c r="M293" s="306">
        <f>+IF($H293=M$2,VLOOKUP($G293,Depreciation!$A$14:$L$18,11,FALSE)/2,IF($H293&lt;M$2,VLOOKUP($G293,Depreciation!$A$14:$L$18,11,FALSE),0))</f>
        <v>4.1145263498658789E-2</v>
      </c>
      <c r="N293" s="306">
        <f>+IF($H293=N$2,VLOOKUP($G293,Depreciation!$A$14:$L$18,12,FALSE)/2,IF($H293&lt;N$2,VLOOKUP($G293,Depreciation!$A$14:$L$18,12,FALSE),0))</f>
        <v>4.1145263498658789E-2</v>
      </c>
      <c r="O293" s="307">
        <f t="shared" si="33"/>
        <v>914489.2262807698</v>
      </c>
      <c r="P293" s="732">
        <f>'Func Future Subs 2015'!P293</f>
        <v>0</v>
      </c>
      <c r="Q293" s="732">
        <f>'Func Future Subs 2015'!Q293</f>
        <v>0</v>
      </c>
      <c r="R293" s="732">
        <f>'Func Future Subs 2015'!R293</f>
        <v>1</v>
      </c>
      <c r="S293" s="735">
        <f t="shared" si="34"/>
        <v>0</v>
      </c>
      <c r="T293" s="735">
        <f t="shared" si="35"/>
        <v>0</v>
      </c>
      <c r="U293" s="735">
        <f t="shared" si="36"/>
        <v>914489.2262807698</v>
      </c>
      <c r="V293" s="736">
        <f t="shared" si="37"/>
        <v>914489.2262807698</v>
      </c>
      <c r="W293" s="735">
        <f t="shared" si="38"/>
        <v>0</v>
      </c>
      <c r="X293" s="737">
        <f t="shared" si="39"/>
        <v>0</v>
      </c>
      <c r="Y293" s="738">
        <f t="shared" si="40"/>
        <v>0</v>
      </c>
    </row>
    <row r="294" spans="1:25">
      <c r="A294" s="754" t="str">
        <f>'Func Future Subs 2015'!A294</f>
        <v>Genesee 330S</v>
      </c>
      <c r="B294" s="754">
        <f>'Func Future Subs 2015'!B294</f>
        <v>1440</v>
      </c>
      <c r="C294" s="754">
        <f>'Func Future Subs 2015'!C294</f>
        <v>500</v>
      </c>
      <c r="D294" s="754">
        <f>'Func Future Subs 2015'!D294</f>
        <v>0</v>
      </c>
      <c r="E294" s="754" t="str">
        <f>'Func Future Subs 2015'!E294</f>
        <v>330S</v>
      </c>
      <c r="F294" s="754">
        <f>'Func Future Subs 2015'!F294</f>
        <v>36143375.999999993</v>
      </c>
      <c r="G294" s="754" t="str">
        <f>'Func Future Subs 2015'!G294</f>
        <v>EPCOR</v>
      </c>
      <c r="H294" s="754">
        <f>'Func Future Subs 2015'!H294</f>
        <v>2020</v>
      </c>
      <c r="I294" s="306">
        <f>+IF($H294=I$2,VLOOKUP($G294,Depreciation!$A$14:$L$18,7,FALSE)/2,IF($H294&lt;I$2,VLOOKUP($G294,Depreciation!$A$14:$L$18,7,FALSE),0))</f>
        <v>0</v>
      </c>
      <c r="J294" s="306">
        <f>+IF($H294=J$2,VLOOKUP($G294,Depreciation!$A$14:$L$18,8,FALSE)/2,IF($H294&lt;J$2,VLOOKUP($G294,Depreciation!$A$14:$L$18,8,FALSE),0))</f>
        <v>0</v>
      </c>
      <c r="K294" s="306">
        <f>+IF($H294=K$2,VLOOKUP($G294,Depreciation!$A$14:$L$18,9,FALSE)/2,IF($H294&lt;K$2,VLOOKUP($G294,Depreciation!$A$14:$L$18,9,FALSE),0))</f>
        <v>0</v>
      </c>
      <c r="L294" s="306">
        <f>+IF($H294=L$2,VLOOKUP($G294,Depreciation!$A$14:$L$18,10,FALSE)/2,IF($H294&lt;L$2,VLOOKUP($G294,Depreciation!$A$14:$L$18,10,FALSE),0))</f>
        <v>0</v>
      </c>
      <c r="M294" s="306">
        <f>+IF($H294=M$2,VLOOKUP($G294,Depreciation!$A$14:$L$18,11,FALSE)/2,IF($H294&lt;M$2,VLOOKUP($G294,Depreciation!$A$14:$L$18,11,FALSE),0))</f>
        <v>0</v>
      </c>
      <c r="N294" s="306">
        <f>+IF($H294=N$2,VLOOKUP($G294,Depreciation!$A$14:$L$18,12,FALSE)/2,IF($H294&lt;N$2,VLOOKUP($G294,Depreciation!$A$14:$L$18,12,FALSE),0))</f>
        <v>2.0572631749329395E-2</v>
      </c>
      <c r="O294" s="307">
        <f t="shared" si="33"/>
        <v>0</v>
      </c>
      <c r="P294" s="732">
        <f>'Func Future Subs 2015'!P294</f>
        <v>0.98836755406354904</v>
      </c>
      <c r="Q294" s="732">
        <f>'Func Future Subs 2015'!Q294</f>
        <v>1.1632445936450932E-2</v>
      </c>
      <c r="R294" s="732">
        <f>'Func Future Subs 2015'!R294</f>
        <v>3.1225022567582528E-17</v>
      </c>
      <c r="S294" s="735">
        <f t="shared" si="34"/>
        <v>0</v>
      </c>
      <c r="T294" s="735">
        <f t="shared" si="35"/>
        <v>0</v>
      </c>
      <c r="U294" s="735">
        <f t="shared" si="36"/>
        <v>0</v>
      </c>
      <c r="V294" s="736">
        <f t="shared" si="37"/>
        <v>0</v>
      </c>
      <c r="W294" s="735">
        <f t="shared" si="38"/>
        <v>0</v>
      </c>
      <c r="X294" s="737">
        <f t="shared" si="39"/>
        <v>0</v>
      </c>
      <c r="Y294" s="738">
        <f t="shared" si="40"/>
        <v>0</v>
      </c>
    </row>
    <row r="295" spans="1:25">
      <c r="A295" s="754" t="str">
        <f>'Func Future Subs 2015'!A295</f>
        <v>Anthony Henday 309S</v>
      </c>
      <c r="B295" s="754">
        <f>'Func Future Subs 2015'!B295</f>
        <v>1442</v>
      </c>
      <c r="C295" s="754">
        <f>'Func Future Subs 2015'!C295</f>
        <v>138</v>
      </c>
      <c r="D295" s="754">
        <f>'Func Future Subs 2015'!D295</f>
        <v>25</v>
      </c>
      <c r="E295" s="754" t="str">
        <f>'Func Future Subs 2015'!E295</f>
        <v>309S</v>
      </c>
      <c r="F295" s="754">
        <f>'Func Future Subs 2015'!F295</f>
        <v>7721658.7024087086</v>
      </c>
      <c r="G295" s="754" t="str">
        <f>'Func Future Subs 2015'!G295</f>
        <v>AltaLink</v>
      </c>
      <c r="H295" s="754">
        <f>'Func Future Subs 2015'!H295</f>
        <v>2019</v>
      </c>
      <c r="I295" s="306">
        <f>+IF($H295=I$2,VLOOKUP($G295,Depreciation!$A$14:$L$18,7,FALSE)/2,IF($H295&lt;I$2,VLOOKUP($G295,Depreciation!$A$14:$L$18,7,FALSE),0))</f>
        <v>0</v>
      </c>
      <c r="J295" s="306">
        <f>+IF($H295=J$2,VLOOKUP($G295,Depreciation!$A$14:$L$18,8,FALSE)/2,IF($H295&lt;J$2,VLOOKUP($G295,Depreciation!$A$14:$L$18,8,FALSE),0))</f>
        <v>0</v>
      </c>
      <c r="K295" s="306">
        <f>+IF($H295=K$2,VLOOKUP($G295,Depreciation!$A$14:$L$18,9,FALSE)/2,IF($H295&lt;K$2,VLOOKUP($G295,Depreciation!$A$14:$L$18,9,FALSE),0))</f>
        <v>0</v>
      </c>
      <c r="L295" s="306">
        <f>+IF($H295=L$2,VLOOKUP($G295,Depreciation!$A$14:$L$18,10,FALSE)/2,IF($H295&lt;L$2,VLOOKUP($G295,Depreciation!$A$14:$L$18,10,FALSE),0))</f>
        <v>0</v>
      </c>
      <c r="M295" s="306">
        <f>+IF($H295=M$2,VLOOKUP($G295,Depreciation!$A$14:$L$18,11,FALSE)/2,IF($H295&lt;M$2,VLOOKUP($G295,Depreciation!$A$14:$L$18,11,FALSE),0))</f>
        <v>1.671703928371859E-2</v>
      </c>
      <c r="N295" s="306">
        <f>+IF($H295=N$2,VLOOKUP($G295,Depreciation!$A$14:$L$18,12,FALSE)/2,IF($H295&lt;N$2,VLOOKUP($G295,Depreciation!$A$14:$L$18,12,FALSE),0))</f>
        <v>3.343407856743718E-2</v>
      </c>
      <c r="O295" s="307">
        <f t="shared" si="33"/>
        <v>0</v>
      </c>
      <c r="P295" s="732">
        <f>'Func Future Subs 2015'!P295</f>
        <v>0</v>
      </c>
      <c r="Q295" s="732">
        <f>'Func Future Subs 2015'!Q295</f>
        <v>0</v>
      </c>
      <c r="R295" s="732">
        <f>'Func Future Subs 2015'!R295</f>
        <v>1</v>
      </c>
      <c r="S295" s="735">
        <f t="shared" si="34"/>
        <v>0</v>
      </c>
      <c r="T295" s="735">
        <f t="shared" si="35"/>
        <v>0</v>
      </c>
      <c r="U295" s="735">
        <f t="shared" si="36"/>
        <v>0</v>
      </c>
      <c r="V295" s="736">
        <f t="shared" si="37"/>
        <v>0</v>
      </c>
      <c r="W295" s="735">
        <f t="shared" si="38"/>
        <v>0</v>
      </c>
      <c r="X295" s="737">
        <f t="shared" si="39"/>
        <v>0</v>
      </c>
      <c r="Y295" s="738">
        <f t="shared" si="40"/>
        <v>0</v>
      </c>
    </row>
    <row r="296" spans="1:25">
      <c r="A296" s="754" t="str">
        <f>'Func Future Subs 2015'!A296</f>
        <v>East Edmonton 38S</v>
      </c>
      <c r="B296" s="754">
        <f>'Func Future Subs 2015'!B296</f>
        <v>1442</v>
      </c>
      <c r="C296" s="754">
        <f>'Func Future Subs 2015'!C296</f>
        <v>240</v>
      </c>
      <c r="D296" s="754">
        <f>'Func Future Subs 2015'!D296</f>
        <v>25</v>
      </c>
      <c r="E296" s="754" t="str">
        <f>'Func Future Subs 2015'!E296</f>
        <v>38S</v>
      </c>
      <c r="F296" s="754">
        <f>'Func Future Subs 2015'!F296</f>
        <v>9142.3853923854003</v>
      </c>
      <c r="G296" s="754" t="str">
        <f>'Func Future Subs 2015'!G296</f>
        <v>AltaLink</v>
      </c>
      <c r="H296" s="754">
        <f>'Func Future Subs 2015'!H296</f>
        <v>2019</v>
      </c>
      <c r="I296" s="306">
        <f>+IF($H296=I$2,VLOOKUP($G296,Depreciation!$A$14:$L$18,7,FALSE)/2,IF($H296&lt;I$2,VLOOKUP($G296,Depreciation!$A$14:$L$18,7,FALSE),0))</f>
        <v>0</v>
      </c>
      <c r="J296" s="306">
        <f>+IF($H296=J$2,VLOOKUP($G296,Depreciation!$A$14:$L$18,8,FALSE)/2,IF($H296&lt;J$2,VLOOKUP($G296,Depreciation!$A$14:$L$18,8,FALSE),0))</f>
        <v>0</v>
      </c>
      <c r="K296" s="306">
        <f>+IF($H296=K$2,VLOOKUP($G296,Depreciation!$A$14:$L$18,9,FALSE)/2,IF($H296&lt;K$2,VLOOKUP($G296,Depreciation!$A$14:$L$18,9,FALSE),0))</f>
        <v>0</v>
      </c>
      <c r="L296" s="306">
        <f>+IF($H296=L$2,VLOOKUP($G296,Depreciation!$A$14:$L$18,10,FALSE)/2,IF($H296&lt;L$2,VLOOKUP($G296,Depreciation!$A$14:$L$18,10,FALSE),0))</f>
        <v>0</v>
      </c>
      <c r="M296" s="306">
        <f>+IF($H296=M$2,VLOOKUP($G296,Depreciation!$A$14:$L$18,11,FALSE)/2,IF($H296&lt;M$2,VLOOKUP($G296,Depreciation!$A$14:$L$18,11,FALSE),0))</f>
        <v>1.671703928371859E-2</v>
      </c>
      <c r="N296" s="306">
        <f>+IF($H296=N$2,VLOOKUP($G296,Depreciation!$A$14:$L$18,12,FALSE)/2,IF($H296&lt;N$2,VLOOKUP($G296,Depreciation!$A$14:$L$18,12,FALSE),0))</f>
        <v>3.343407856743718E-2</v>
      </c>
      <c r="O296" s="307">
        <f t="shared" si="33"/>
        <v>0</v>
      </c>
      <c r="P296" s="732">
        <f>'Func Future Subs 2015'!P296</f>
        <v>0</v>
      </c>
      <c r="Q296" s="732">
        <f>'Func Future Subs 2015'!Q296</f>
        <v>1</v>
      </c>
      <c r="R296" s="732">
        <f>'Func Future Subs 2015'!R296</f>
        <v>0</v>
      </c>
      <c r="S296" s="735">
        <f t="shared" si="34"/>
        <v>0</v>
      </c>
      <c r="T296" s="735">
        <f t="shared" si="35"/>
        <v>0</v>
      </c>
      <c r="U296" s="735">
        <f t="shared" si="36"/>
        <v>0</v>
      </c>
      <c r="V296" s="736">
        <f t="shared" si="37"/>
        <v>0</v>
      </c>
      <c r="W296" s="735">
        <f t="shared" si="38"/>
        <v>0</v>
      </c>
      <c r="X296" s="737">
        <f t="shared" si="39"/>
        <v>0</v>
      </c>
      <c r="Y296" s="738">
        <f t="shared" si="40"/>
        <v>0</v>
      </c>
    </row>
    <row r="297" spans="1:25">
      <c r="A297" s="754" t="str">
        <f>'Func Future Subs 2015'!A297</f>
        <v>Yassa 286S</v>
      </c>
      <c r="B297" s="754">
        <f>'Func Future Subs 2015'!B297</f>
        <v>1442</v>
      </c>
      <c r="C297" s="754">
        <f>'Func Future Subs 2015'!C297</f>
        <v>138</v>
      </c>
      <c r="D297" s="754">
        <f>'Func Future Subs 2015'!D297</f>
        <v>25</v>
      </c>
      <c r="E297" s="754" t="str">
        <f>'Func Future Subs 2015'!E297</f>
        <v>286S</v>
      </c>
      <c r="F297" s="754">
        <f>'Func Future Subs 2015'!F297</f>
        <v>20113.247863247878</v>
      </c>
      <c r="G297" s="754" t="str">
        <f>'Func Future Subs 2015'!G297</f>
        <v>AltaLink</v>
      </c>
      <c r="H297" s="754">
        <f>'Func Future Subs 2015'!H297</f>
        <v>2019</v>
      </c>
      <c r="I297" s="306">
        <f>+IF($H297=I$2,VLOOKUP($G297,Depreciation!$A$14:$L$18,7,FALSE)/2,IF($H297&lt;I$2,VLOOKUP($G297,Depreciation!$A$14:$L$18,7,FALSE),0))</f>
        <v>0</v>
      </c>
      <c r="J297" s="306">
        <f>+IF($H297=J$2,VLOOKUP($G297,Depreciation!$A$14:$L$18,8,FALSE)/2,IF($H297&lt;J$2,VLOOKUP($G297,Depreciation!$A$14:$L$18,8,FALSE),0))</f>
        <v>0</v>
      </c>
      <c r="K297" s="306">
        <f>+IF($H297=K$2,VLOOKUP($G297,Depreciation!$A$14:$L$18,9,FALSE)/2,IF($H297&lt;K$2,VLOOKUP($G297,Depreciation!$A$14:$L$18,9,FALSE),0))</f>
        <v>0</v>
      </c>
      <c r="L297" s="306">
        <f>+IF($H297=L$2,VLOOKUP($G297,Depreciation!$A$14:$L$18,10,FALSE)/2,IF($H297&lt;L$2,VLOOKUP($G297,Depreciation!$A$14:$L$18,10,FALSE),0))</f>
        <v>0</v>
      </c>
      <c r="M297" s="306">
        <f>+IF($H297=M$2,VLOOKUP($G297,Depreciation!$A$14:$L$18,11,FALSE)/2,IF($H297&lt;M$2,VLOOKUP($G297,Depreciation!$A$14:$L$18,11,FALSE),0))</f>
        <v>1.671703928371859E-2</v>
      </c>
      <c r="N297" s="306">
        <f>+IF($H297=N$2,VLOOKUP($G297,Depreciation!$A$14:$L$18,12,FALSE)/2,IF($H297&lt;N$2,VLOOKUP($G297,Depreciation!$A$14:$L$18,12,FALSE),0))</f>
        <v>3.343407856743718E-2</v>
      </c>
      <c r="O297" s="307">
        <f t="shared" si="33"/>
        <v>0</v>
      </c>
      <c r="P297" s="732">
        <f>'Func Future Subs 2015'!P297</f>
        <v>0</v>
      </c>
      <c r="Q297" s="732">
        <f>'Func Future Subs 2015'!Q297</f>
        <v>1</v>
      </c>
      <c r="R297" s="732">
        <f>'Func Future Subs 2015'!R297</f>
        <v>0</v>
      </c>
      <c r="S297" s="735">
        <f t="shared" si="34"/>
        <v>0</v>
      </c>
      <c r="T297" s="735">
        <f t="shared" si="35"/>
        <v>0</v>
      </c>
      <c r="U297" s="735">
        <f t="shared" si="36"/>
        <v>0</v>
      </c>
      <c r="V297" s="736">
        <f t="shared" si="37"/>
        <v>0</v>
      </c>
      <c r="W297" s="735">
        <f t="shared" si="38"/>
        <v>0</v>
      </c>
      <c r="X297" s="737">
        <f t="shared" si="39"/>
        <v>0</v>
      </c>
      <c r="Y297" s="738">
        <f t="shared" si="40"/>
        <v>0</v>
      </c>
    </row>
    <row r="298" spans="1:25">
      <c r="A298" s="754" t="str">
        <f>'Func Future Subs 2015'!A298</f>
        <v>Cochrane 291S upgrade</v>
      </c>
      <c r="B298" s="754">
        <f>'Func Future Subs 2015'!B298</f>
        <v>1450</v>
      </c>
      <c r="C298" s="754">
        <f>'Func Future Subs 2015'!C298</f>
        <v>138</v>
      </c>
      <c r="D298" s="754">
        <f>'Func Future Subs 2015'!D298</f>
        <v>25</v>
      </c>
      <c r="E298" s="754" t="str">
        <f>'Func Future Subs 2015'!E298</f>
        <v>291S</v>
      </c>
      <c r="F298" s="754">
        <f>'Func Future Subs 2015'!F298</f>
        <v>6190999.9999999963</v>
      </c>
      <c r="G298" s="754" t="str">
        <f>'Func Future Subs 2015'!G298</f>
        <v>AltaLink</v>
      </c>
      <c r="H298" s="754">
        <f>'Func Future Subs 2015'!H298</f>
        <v>2015</v>
      </c>
      <c r="I298" s="306">
        <f>+IF($H298=I$2,VLOOKUP($G298,Depreciation!$A$14:$L$18,7,FALSE)/2,IF($H298&lt;I$2,VLOOKUP($G298,Depreciation!$A$14:$L$18,7,FALSE),0))</f>
        <v>1.7228380322441735E-2</v>
      </c>
      <c r="J298" s="306">
        <f>+IF($H298=J$2,VLOOKUP($G298,Depreciation!$A$14:$L$18,8,FALSE)/2,IF($H298&lt;J$2,VLOOKUP($G298,Depreciation!$A$14:$L$18,8,FALSE),0))</f>
        <v>3.343407856743718E-2</v>
      </c>
      <c r="K298" s="306">
        <f>+IF($H298=K$2,VLOOKUP($G298,Depreciation!$A$14:$L$18,9,FALSE)/2,IF($H298&lt;K$2,VLOOKUP($G298,Depreciation!$A$14:$L$18,9,FALSE),0))</f>
        <v>3.343407856743718E-2</v>
      </c>
      <c r="L298" s="306">
        <f>+IF($H298=L$2,VLOOKUP($G298,Depreciation!$A$14:$L$18,10,FALSE)/2,IF($H298&lt;L$2,VLOOKUP($G298,Depreciation!$A$14:$L$18,10,FALSE),0))</f>
        <v>3.343407856743718E-2</v>
      </c>
      <c r="M298" s="306">
        <f>+IF($H298=M$2,VLOOKUP($G298,Depreciation!$A$14:$L$18,11,FALSE)/2,IF($H298&lt;M$2,VLOOKUP($G298,Depreciation!$A$14:$L$18,11,FALSE),0))</f>
        <v>3.343407856743718E-2</v>
      </c>
      <c r="N298" s="306">
        <f>+IF($H298=N$2,VLOOKUP($G298,Depreciation!$A$14:$L$18,12,FALSE)/2,IF($H298&lt;N$2,VLOOKUP($G298,Depreciation!$A$14:$L$18,12,FALSE),0))</f>
        <v>3.343407856743718E-2</v>
      </c>
      <c r="O298" s="307">
        <f t="shared" si="33"/>
        <v>5494242.7970988257</v>
      </c>
      <c r="P298" s="732">
        <f>'Func Future Subs 2015'!P298</f>
        <v>0</v>
      </c>
      <c r="Q298" s="732">
        <f>'Func Future Subs 2015'!Q298</f>
        <v>1</v>
      </c>
      <c r="R298" s="732">
        <f>'Func Future Subs 2015'!R298</f>
        <v>0</v>
      </c>
      <c r="S298" s="735">
        <f t="shared" si="34"/>
        <v>0</v>
      </c>
      <c r="T298" s="735">
        <f t="shared" si="35"/>
        <v>5494242.7970988257</v>
      </c>
      <c r="U298" s="735">
        <f t="shared" si="36"/>
        <v>0</v>
      </c>
      <c r="V298" s="736">
        <f t="shared" si="37"/>
        <v>0</v>
      </c>
      <c r="W298" s="735">
        <f t="shared" si="38"/>
        <v>0</v>
      </c>
      <c r="X298" s="737">
        <f t="shared" si="39"/>
        <v>0</v>
      </c>
      <c r="Y298" s="738">
        <f t="shared" si="40"/>
        <v>5494242.7970988257</v>
      </c>
    </row>
    <row r="299" spans="1:25">
      <c r="A299" s="754" t="str">
        <f>'Func Future Subs 2015'!A299</f>
        <v>Cold Creek 602S</v>
      </c>
      <c r="B299" s="754">
        <f>'Func Future Subs 2015'!B299</f>
        <v>1460</v>
      </c>
      <c r="C299" s="754">
        <f>'Func Future Subs 2015'!C299</f>
        <v>138</v>
      </c>
      <c r="D299" s="754">
        <f>'Func Future Subs 2015'!D299</f>
        <v>25</v>
      </c>
      <c r="E299" s="754" t="str">
        <f>'Func Future Subs 2015'!E299</f>
        <v>602S</v>
      </c>
      <c r="F299" s="754">
        <f>'Func Future Subs 2015'!F299</f>
        <v>68876.329787234063</v>
      </c>
      <c r="G299" s="754" t="str">
        <f>'Func Future Subs 2015'!G299</f>
        <v>AltaLink</v>
      </c>
      <c r="H299" s="754">
        <f>'Func Future Subs 2015'!H299</f>
        <v>2019</v>
      </c>
      <c r="I299" s="306">
        <f>+IF($H299=I$2,VLOOKUP($G299,Depreciation!$A$14:$L$18,7,FALSE)/2,IF($H299&lt;I$2,VLOOKUP($G299,Depreciation!$A$14:$L$18,7,FALSE),0))</f>
        <v>0</v>
      </c>
      <c r="J299" s="306">
        <f>+IF($H299=J$2,VLOOKUP($G299,Depreciation!$A$14:$L$18,8,FALSE)/2,IF($H299&lt;J$2,VLOOKUP($G299,Depreciation!$A$14:$L$18,8,FALSE),0))</f>
        <v>0</v>
      </c>
      <c r="K299" s="306">
        <f>+IF($H299=K$2,VLOOKUP($G299,Depreciation!$A$14:$L$18,9,FALSE)/2,IF($H299&lt;K$2,VLOOKUP($G299,Depreciation!$A$14:$L$18,9,FALSE),0))</f>
        <v>0</v>
      </c>
      <c r="L299" s="306">
        <f>+IF($H299=L$2,VLOOKUP($G299,Depreciation!$A$14:$L$18,10,FALSE)/2,IF($H299&lt;L$2,VLOOKUP($G299,Depreciation!$A$14:$L$18,10,FALSE),0))</f>
        <v>0</v>
      </c>
      <c r="M299" s="306">
        <f>+IF($H299=M$2,VLOOKUP($G299,Depreciation!$A$14:$L$18,11,FALSE)/2,IF($H299&lt;M$2,VLOOKUP($G299,Depreciation!$A$14:$L$18,11,FALSE),0))</f>
        <v>1.671703928371859E-2</v>
      </c>
      <c r="N299" s="306">
        <f>+IF($H299=N$2,VLOOKUP($G299,Depreciation!$A$14:$L$18,12,FALSE)/2,IF($H299&lt;N$2,VLOOKUP($G299,Depreciation!$A$14:$L$18,12,FALSE),0))</f>
        <v>3.343407856743718E-2</v>
      </c>
      <c r="O299" s="307">
        <f t="shared" si="33"/>
        <v>0</v>
      </c>
      <c r="P299" s="732">
        <f>'Func Future Subs 2015'!P299</f>
        <v>0</v>
      </c>
      <c r="Q299" s="732">
        <f>'Func Future Subs 2015'!Q299</f>
        <v>1</v>
      </c>
      <c r="R299" s="732">
        <f>'Func Future Subs 2015'!R299</f>
        <v>0</v>
      </c>
      <c r="S299" s="735">
        <f t="shared" si="34"/>
        <v>0</v>
      </c>
      <c r="T299" s="735">
        <f t="shared" si="35"/>
        <v>0</v>
      </c>
      <c r="U299" s="735">
        <f t="shared" si="36"/>
        <v>0</v>
      </c>
      <c r="V299" s="736">
        <f t="shared" si="37"/>
        <v>0</v>
      </c>
      <c r="W299" s="735">
        <f t="shared" si="38"/>
        <v>0</v>
      </c>
      <c r="X299" s="737">
        <f t="shared" si="39"/>
        <v>0</v>
      </c>
      <c r="Y299" s="738">
        <f t="shared" si="40"/>
        <v>0</v>
      </c>
    </row>
    <row r="300" spans="1:25">
      <c r="A300" s="754" t="str">
        <f>'Func Future Subs 2015'!A300</f>
        <v>Hornbeck 345S</v>
      </c>
      <c r="B300" s="754">
        <f>'Func Future Subs 2015'!B300</f>
        <v>1460</v>
      </c>
      <c r="C300" s="754">
        <f>'Func Future Subs 2015'!C300</f>
        <v>138</v>
      </c>
      <c r="D300" s="754">
        <f>'Func Future Subs 2015'!D300</f>
        <v>25</v>
      </c>
      <c r="E300" s="754" t="str">
        <f>'Func Future Subs 2015'!E300</f>
        <v>345S</v>
      </c>
      <c r="F300" s="754">
        <f>'Func Future Subs 2015'!F300</f>
        <v>8201448.9694148954</v>
      </c>
      <c r="G300" s="754" t="str">
        <f>'Func Future Subs 2015'!G300</f>
        <v>AltaLink</v>
      </c>
      <c r="H300" s="754">
        <f>'Func Future Subs 2015'!H300</f>
        <v>2019</v>
      </c>
      <c r="I300" s="306">
        <f>+IF($H300=I$2,VLOOKUP($G300,Depreciation!$A$14:$L$18,7,FALSE)/2,IF($H300&lt;I$2,VLOOKUP($G300,Depreciation!$A$14:$L$18,7,FALSE),0))</f>
        <v>0</v>
      </c>
      <c r="J300" s="306">
        <f>+IF($H300=J$2,VLOOKUP($G300,Depreciation!$A$14:$L$18,8,FALSE)/2,IF($H300&lt;J$2,VLOOKUP($G300,Depreciation!$A$14:$L$18,8,FALSE),0))</f>
        <v>0</v>
      </c>
      <c r="K300" s="306">
        <f>+IF($H300=K$2,VLOOKUP($G300,Depreciation!$A$14:$L$18,9,FALSE)/2,IF($H300&lt;K$2,VLOOKUP($G300,Depreciation!$A$14:$L$18,9,FALSE),0))</f>
        <v>0</v>
      </c>
      <c r="L300" s="306">
        <f>+IF($H300=L$2,VLOOKUP($G300,Depreciation!$A$14:$L$18,10,FALSE)/2,IF($H300&lt;L$2,VLOOKUP($G300,Depreciation!$A$14:$L$18,10,FALSE),0))</f>
        <v>0</v>
      </c>
      <c r="M300" s="306">
        <f>+IF($H300=M$2,VLOOKUP($G300,Depreciation!$A$14:$L$18,11,FALSE)/2,IF($H300&lt;M$2,VLOOKUP($G300,Depreciation!$A$14:$L$18,11,FALSE),0))</f>
        <v>1.671703928371859E-2</v>
      </c>
      <c r="N300" s="306">
        <f>+IF($H300=N$2,VLOOKUP($G300,Depreciation!$A$14:$L$18,12,FALSE)/2,IF($H300&lt;N$2,VLOOKUP($G300,Depreciation!$A$14:$L$18,12,FALSE),0))</f>
        <v>3.343407856743718E-2</v>
      </c>
      <c r="O300" s="307">
        <f t="shared" si="33"/>
        <v>0</v>
      </c>
      <c r="P300" s="732">
        <f>'Func Future Subs 2015'!P300</f>
        <v>0</v>
      </c>
      <c r="Q300" s="732">
        <f>'Func Future Subs 2015'!Q300</f>
        <v>0</v>
      </c>
      <c r="R300" s="732">
        <f>'Func Future Subs 2015'!R300</f>
        <v>1</v>
      </c>
      <c r="S300" s="735">
        <f t="shared" si="34"/>
        <v>0</v>
      </c>
      <c r="T300" s="735">
        <f t="shared" si="35"/>
        <v>0</v>
      </c>
      <c r="U300" s="735">
        <f t="shared" si="36"/>
        <v>0</v>
      </c>
      <c r="V300" s="736">
        <f t="shared" si="37"/>
        <v>0</v>
      </c>
      <c r="W300" s="735">
        <f t="shared" si="38"/>
        <v>0</v>
      </c>
      <c r="X300" s="737">
        <f t="shared" si="39"/>
        <v>0</v>
      </c>
      <c r="Y300" s="738">
        <f t="shared" si="40"/>
        <v>0</v>
      </c>
    </row>
    <row r="301" spans="1:25">
      <c r="A301" s="754" t="str">
        <f>'Func Future Subs 2015'!A301</f>
        <v>Norcen 812S substation upgrade</v>
      </c>
      <c r="B301" s="754">
        <f>'Func Future Subs 2015'!B301</f>
        <v>1466</v>
      </c>
      <c r="C301" s="754">
        <f>'Func Future Subs 2015'!C301</f>
        <v>138</v>
      </c>
      <c r="D301" s="754">
        <f>'Func Future Subs 2015'!D301</f>
        <v>25</v>
      </c>
      <c r="E301" s="754" t="str">
        <f>'Func Future Subs 2015'!E301</f>
        <v>812s</v>
      </c>
      <c r="F301" s="754">
        <f>'Func Future Subs 2015'!F301</f>
        <v>6820539.9999999963</v>
      </c>
      <c r="G301" s="754" t="str">
        <f>'Func Future Subs 2015'!G301</f>
        <v>ATCO</v>
      </c>
      <c r="H301" s="754">
        <f>'Func Future Subs 2015'!H301</f>
        <v>2016</v>
      </c>
      <c r="I301" s="306">
        <f>+IF($H301=I$2,VLOOKUP($G301,Depreciation!$A$14:$L$18,7,FALSE)/2,IF($H301&lt;I$2,VLOOKUP($G301,Depreciation!$A$14:$L$18,7,FALSE),0))</f>
        <v>0</v>
      </c>
      <c r="J301" s="306">
        <f>+IF($H301=J$2,VLOOKUP($G301,Depreciation!$A$14:$L$18,8,FALSE)/2,IF($H301&lt;J$2,VLOOKUP($G301,Depreciation!$A$14:$L$18,8,FALSE),0))</f>
        <v>1.231622525054236E-2</v>
      </c>
      <c r="K301" s="306">
        <f>+IF($H301=K$2,VLOOKUP($G301,Depreciation!$A$14:$L$18,9,FALSE)/2,IF($H301&lt;K$2,VLOOKUP($G301,Depreciation!$A$14:$L$18,9,FALSE),0))</f>
        <v>2.4351536427798831E-2</v>
      </c>
      <c r="L301" s="306">
        <f>+IF($H301=L$2,VLOOKUP($G301,Depreciation!$A$14:$L$18,10,FALSE)/2,IF($H301&lt;L$2,VLOOKUP($G301,Depreciation!$A$14:$L$18,10,FALSE),0))</f>
        <v>2.4351536427798831E-2</v>
      </c>
      <c r="M301" s="306">
        <f>+IF($H301=M$2,VLOOKUP($G301,Depreciation!$A$14:$L$18,11,FALSE)/2,IF($H301&lt;M$2,VLOOKUP($G301,Depreciation!$A$14:$L$18,11,FALSE),0))</f>
        <v>2.4351536427798831E-2</v>
      </c>
      <c r="N301" s="306">
        <f>+IF($H301=N$2,VLOOKUP($G301,Depreciation!$A$14:$L$18,12,FALSE)/2,IF($H301&lt;N$2,VLOOKUP($G301,Depreciation!$A$14:$L$18,12,FALSE),0))</f>
        <v>2.4351536427798831E-2</v>
      </c>
      <c r="O301" s="307">
        <f t="shared" si="33"/>
        <v>6412441.4039227553</v>
      </c>
      <c r="P301" s="732">
        <f>'Func Future Subs 2015'!P301</f>
        <v>0</v>
      </c>
      <c r="Q301" s="732">
        <f>'Func Future Subs 2015'!Q301</f>
        <v>1</v>
      </c>
      <c r="R301" s="732">
        <f>'Func Future Subs 2015'!R301</f>
        <v>0</v>
      </c>
      <c r="S301" s="735">
        <f t="shared" si="34"/>
        <v>0</v>
      </c>
      <c r="T301" s="735">
        <f t="shared" si="35"/>
        <v>6412441.4039227553</v>
      </c>
      <c r="U301" s="735">
        <f t="shared" si="36"/>
        <v>0</v>
      </c>
      <c r="V301" s="736">
        <f t="shared" si="37"/>
        <v>0</v>
      </c>
      <c r="W301" s="735">
        <f t="shared" si="38"/>
        <v>0</v>
      </c>
      <c r="X301" s="737">
        <f t="shared" si="39"/>
        <v>0</v>
      </c>
      <c r="Y301" s="738">
        <f t="shared" si="40"/>
        <v>6412441.4039227553</v>
      </c>
    </row>
    <row r="302" spans="1:25">
      <c r="A302" s="754" t="str">
        <f>'Func Future Subs 2015'!A302</f>
        <v>Enmax Sub11 modify</v>
      </c>
      <c r="B302" s="754">
        <f>'Func Future Subs 2015'!B302</f>
        <v>1480</v>
      </c>
      <c r="C302" s="754">
        <f>'Func Future Subs 2015'!C302</f>
        <v>25</v>
      </c>
      <c r="D302" s="754">
        <f>'Func Future Subs 2015'!D302</f>
        <v>25</v>
      </c>
      <c r="E302" s="754" t="str">
        <f>'Func Future Subs 2015'!E302</f>
        <v>SS-11</v>
      </c>
      <c r="F302" s="754">
        <f>'Func Future Subs 2015'!F302</f>
        <v>1181844.0000000002</v>
      </c>
      <c r="G302" s="754" t="str">
        <f>'Func Future Subs 2015'!G302</f>
        <v>ENMAX</v>
      </c>
      <c r="H302" s="754">
        <f>'Func Future Subs 2015'!H302</f>
        <v>2016</v>
      </c>
      <c r="I302" s="306">
        <f>+IF($H302=I$2,VLOOKUP($G302,Depreciation!$A$14:$L$18,7,FALSE)/2,IF($H302&lt;I$2,VLOOKUP($G302,Depreciation!$A$14:$L$18,7,FALSE),0))</f>
        <v>0</v>
      </c>
      <c r="J302" s="306">
        <f>+IF($H302=J$2,VLOOKUP($G302,Depreciation!$A$14:$L$18,8,FALSE)/2,IF($H302&lt;J$2,VLOOKUP($G302,Depreciation!$A$14:$L$18,8,FALSE),0))</f>
        <v>1.3928409269726289E-2</v>
      </c>
      <c r="K302" s="306">
        <f>+IF($H302=K$2,VLOOKUP($G302,Depreciation!$A$14:$L$18,9,FALSE)/2,IF($H302&lt;K$2,VLOOKUP($G302,Depreciation!$A$14:$L$18,9,FALSE),0))</f>
        <v>2.7856818539452578E-2</v>
      </c>
      <c r="L302" s="306">
        <f>+IF($H302=L$2,VLOOKUP($G302,Depreciation!$A$14:$L$18,10,FALSE)/2,IF($H302&lt;L$2,VLOOKUP($G302,Depreciation!$A$14:$L$18,10,FALSE),0))</f>
        <v>2.7856818539452578E-2</v>
      </c>
      <c r="M302" s="306">
        <f>+IF($H302=M$2,VLOOKUP($G302,Depreciation!$A$14:$L$18,11,FALSE)/2,IF($H302&lt;M$2,VLOOKUP($G302,Depreciation!$A$14:$L$18,11,FALSE),0))</f>
        <v>2.7856818539452578E-2</v>
      </c>
      <c r="N302" s="306">
        <f>+IF($H302=N$2,VLOOKUP($G302,Depreciation!$A$14:$L$18,12,FALSE)/2,IF($H302&lt;N$2,VLOOKUP($G302,Depreciation!$A$14:$L$18,12,FALSE),0))</f>
        <v>2.7856818539452578E-2</v>
      </c>
      <c r="O302" s="307">
        <f t="shared" si="33"/>
        <v>1101359.4188570664</v>
      </c>
      <c r="P302" s="732">
        <f>'Func Future Subs 2015'!P302</f>
        <v>0</v>
      </c>
      <c r="Q302" s="732">
        <f>'Func Future Subs 2015'!Q302</f>
        <v>1</v>
      </c>
      <c r="R302" s="732">
        <f>'Func Future Subs 2015'!R302</f>
        <v>0</v>
      </c>
      <c r="S302" s="735">
        <f t="shared" si="34"/>
        <v>0</v>
      </c>
      <c r="T302" s="735">
        <f t="shared" si="35"/>
        <v>1101359.4188570664</v>
      </c>
      <c r="U302" s="735">
        <f t="shared" si="36"/>
        <v>0</v>
      </c>
      <c r="V302" s="736">
        <f t="shared" si="37"/>
        <v>0</v>
      </c>
      <c r="W302" s="735">
        <f t="shared" si="38"/>
        <v>0</v>
      </c>
      <c r="X302" s="737">
        <f t="shared" si="39"/>
        <v>0</v>
      </c>
      <c r="Y302" s="738">
        <f t="shared" si="40"/>
        <v>1101359.4188570664</v>
      </c>
    </row>
    <row r="303" spans="1:25">
      <c r="A303" s="754" t="str">
        <f>'Func Future Subs 2015'!A303</f>
        <v>Amelia 108S substation</v>
      </c>
      <c r="B303" s="754">
        <f>'Func Future Subs 2015'!B303</f>
        <v>1481</v>
      </c>
      <c r="C303" s="754">
        <f>'Func Future Subs 2015'!C303</f>
        <v>240</v>
      </c>
      <c r="D303" s="754">
        <f>'Func Future Subs 2015'!D303</f>
        <v>25</v>
      </c>
      <c r="E303" s="754" t="str">
        <f>'Func Future Subs 2015'!E303</f>
        <v>108S</v>
      </c>
      <c r="F303" s="754">
        <f>'Func Future Subs 2015'!F303</f>
        <v>1115000</v>
      </c>
      <c r="G303" s="754" t="str">
        <f>'Func Future Subs 2015'!G303</f>
        <v>AltaLink</v>
      </c>
      <c r="H303" s="754">
        <f>'Func Future Subs 2015'!H303</f>
        <v>2015</v>
      </c>
      <c r="I303" s="306">
        <f>+IF($H303=I$2,VLOOKUP($G303,Depreciation!$A$14:$L$18,7,FALSE)/2,IF($H303&lt;I$2,VLOOKUP($G303,Depreciation!$A$14:$L$18,7,FALSE),0))</f>
        <v>1.7228380322441735E-2</v>
      </c>
      <c r="J303" s="306">
        <f>+IF($H303=J$2,VLOOKUP($G303,Depreciation!$A$14:$L$18,8,FALSE)/2,IF($H303&lt;J$2,VLOOKUP($G303,Depreciation!$A$14:$L$18,8,FALSE),0))</f>
        <v>3.343407856743718E-2</v>
      </c>
      <c r="K303" s="306">
        <f>+IF($H303=K$2,VLOOKUP($G303,Depreciation!$A$14:$L$18,9,FALSE)/2,IF($H303&lt;K$2,VLOOKUP($G303,Depreciation!$A$14:$L$18,9,FALSE),0))</f>
        <v>3.343407856743718E-2</v>
      </c>
      <c r="L303" s="306">
        <f>+IF($H303=L$2,VLOOKUP($G303,Depreciation!$A$14:$L$18,10,FALSE)/2,IF($H303&lt;L$2,VLOOKUP($G303,Depreciation!$A$14:$L$18,10,FALSE),0))</f>
        <v>3.343407856743718E-2</v>
      </c>
      <c r="M303" s="306">
        <f>+IF($H303=M$2,VLOOKUP($G303,Depreciation!$A$14:$L$18,11,FALSE)/2,IF($H303&lt;M$2,VLOOKUP($G303,Depreciation!$A$14:$L$18,11,FALSE),0))</f>
        <v>3.343407856743718E-2</v>
      </c>
      <c r="N303" s="306">
        <f>+IF($H303=N$2,VLOOKUP($G303,Depreciation!$A$14:$L$18,12,FALSE)/2,IF($H303&lt;N$2,VLOOKUP($G303,Depreciation!$A$14:$L$18,12,FALSE),0))</f>
        <v>3.343407856743718E-2</v>
      </c>
      <c r="O303" s="307">
        <f t="shared" si="33"/>
        <v>989513.9264682919</v>
      </c>
      <c r="P303" s="732">
        <f>'Func Future Subs 2015'!P303</f>
        <v>0</v>
      </c>
      <c r="Q303" s="732">
        <f>'Func Future Subs 2015'!Q303</f>
        <v>1</v>
      </c>
      <c r="R303" s="732">
        <f>'Func Future Subs 2015'!R303</f>
        <v>0</v>
      </c>
      <c r="S303" s="735">
        <f t="shared" si="34"/>
        <v>0</v>
      </c>
      <c r="T303" s="735">
        <f t="shared" si="35"/>
        <v>989513.9264682919</v>
      </c>
      <c r="U303" s="735">
        <f t="shared" si="36"/>
        <v>0</v>
      </c>
      <c r="V303" s="736">
        <f t="shared" si="37"/>
        <v>0</v>
      </c>
      <c r="W303" s="735">
        <f t="shared" si="38"/>
        <v>0</v>
      </c>
      <c r="X303" s="737">
        <f t="shared" si="39"/>
        <v>0</v>
      </c>
      <c r="Y303" s="738">
        <f t="shared" si="40"/>
        <v>989513.9264682919</v>
      </c>
    </row>
    <row r="304" spans="1:25">
      <c r="A304" s="754" t="str">
        <f>'Func Future Subs 2015'!A304</f>
        <v>Birchwood creek substation</v>
      </c>
      <c r="B304" s="754">
        <f>'Func Future Subs 2015'!B304</f>
        <v>1482</v>
      </c>
      <c r="C304" s="754">
        <f>'Func Future Subs 2015'!C304</f>
        <v>240</v>
      </c>
      <c r="D304" s="754">
        <f>'Func Future Subs 2015'!D304</f>
        <v>0</v>
      </c>
      <c r="E304" s="754">
        <f>'Func Future Subs 2015'!E304</f>
        <v>0</v>
      </c>
      <c r="F304" s="754">
        <f>'Func Future Subs 2015'!F304</f>
        <v>2387527.4359669439</v>
      </c>
      <c r="G304" s="754" t="str">
        <f>'Func Future Subs 2015'!G304</f>
        <v>ATCO</v>
      </c>
      <c r="H304" s="754">
        <f>'Func Future Subs 2015'!H304</f>
        <v>2016</v>
      </c>
      <c r="I304" s="306">
        <f>+IF($H304=I$2,VLOOKUP($G304,Depreciation!$A$14:$L$18,7,FALSE)/2,IF($H304&lt;I$2,VLOOKUP($G304,Depreciation!$A$14:$L$18,7,FALSE),0))</f>
        <v>0</v>
      </c>
      <c r="J304" s="306">
        <f>+IF($H304=J$2,VLOOKUP($G304,Depreciation!$A$14:$L$18,8,FALSE)/2,IF($H304&lt;J$2,VLOOKUP($G304,Depreciation!$A$14:$L$18,8,FALSE),0))</f>
        <v>1.231622525054236E-2</v>
      </c>
      <c r="K304" s="306">
        <f>+IF($H304=K$2,VLOOKUP($G304,Depreciation!$A$14:$L$18,9,FALSE)/2,IF($H304&lt;K$2,VLOOKUP($G304,Depreciation!$A$14:$L$18,9,FALSE),0))</f>
        <v>2.4351536427798831E-2</v>
      </c>
      <c r="L304" s="306">
        <f>+IF($H304=L$2,VLOOKUP($G304,Depreciation!$A$14:$L$18,10,FALSE)/2,IF($H304&lt;L$2,VLOOKUP($G304,Depreciation!$A$14:$L$18,10,FALSE),0))</f>
        <v>2.4351536427798831E-2</v>
      </c>
      <c r="M304" s="306">
        <f>+IF($H304=M$2,VLOOKUP($G304,Depreciation!$A$14:$L$18,11,FALSE)/2,IF($H304&lt;M$2,VLOOKUP($G304,Depreciation!$A$14:$L$18,11,FALSE),0))</f>
        <v>2.4351536427798831E-2</v>
      </c>
      <c r="N304" s="306">
        <f>+IF($H304=N$2,VLOOKUP($G304,Depreciation!$A$14:$L$18,12,FALSE)/2,IF($H304&lt;N$2,VLOOKUP($G304,Depreciation!$A$14:$L$18,12,FALSE),0))</f>
        <v>2.4351536427798831E-2</v>
      </c>
      <c r="O304" s="307">
        <f t="shared" si="33"/>
        <v>2244672.6774413725</v>
      </c>
      <c r="P304" s="732">
        <f>'Func Future Subs 2015'!P304</f>
        <v>0</v>
      </c>
      <c r="Q304" s="732">
        <f>'Func Future Subs 2015'!Q304</f>
        <v>0</v>
      </c>
      <c r="R304" s="732">
        <f>'Func Future Subs 2015'!R304</f>
        <v>1</v>
      </c>
      <c r="S304" s="735">
        <f t="shared" si="34"/>
        <v>0</v>
      </c>
      <c r="T304" s="735">
        <f t="shared" si="35"/>
        <v>0</v>
      </c>
      <c r="U304" s="735">
        <f t="shared" si="36"/>
        <v>2244672.6774413725</v>
      </c>
      <c r="V304" s="736">
        <f t="shared" si="37"/>
        <v>2244672.6774413725</v>
      </c>
      <c r="W304" s="735">
        <f t="shared" si="38"/>
        <v>0</v>
      </c>
      <c r="X304" s="737">
        <f t="shared" si="39"/>
        <v>0</v>
      </c>
      <c r="Y304" s="738">
        <f t="shared" si="40"/>
        <v>0</v>
      </c>
    </row>
    <row r="305" spans="1:25">
      <c r="A305" s="754" t="str">
        <f>'Func Future Subs 2015'!A305</f>
        <v>Yeo substation</v>
      </c>
      <c r="B305" s="754">
        <f>'Func Future Subs 2015'!B305</f>
        <v>1482</v>
      </c>
      <c r="C305" s="754">
        <f>'Func Future Subs 2015'!C305</f>
        <v>240</v>
      </c>
      <c r="D305" s="754">
        <f>'Func Future Subs 2015'!D305</f>
        <v>0</v>
      </c>
      <c r="E305" s="754">
        <f>'Func Future Subs 2015'!E305</f>
        <v>0</v>
      </c>
      <c r="F305" s="754">
        <f>'Func Future Subs 2015'!F305</f>
        <v>15506138.00545691</v>
      </c>
      <c r="G305" s="754" t="str">
        <f>'Func Future Subs 2015'!G305</f>
        <v>ATCO</v>
      </c>
      <c r="H305" s="754">
        <f>'Func Future Subs 2015'!H305</f>
        <v>2016</v>
      </c>
      <c r="I305" s="306">
        <f>+IF($H305=I$2,VLOOKUP($G305,Depreciation!$A$14:$L$18,7,FALSE)/2,IF($H305&lt;I$2,VLOOKUP($G305,Depreciation!$A$14:$L$18,7,FALSE),0))</f>
        <v>0</v>
      </c>
      <c r="J305" s="306">
        <f>+IF($H305=J$2,VLOOKUP($G305,Depreciation!$A$14:$L$18,8,FALSE)/2,IF($H305&lt;J$2,VLOOKUP($G305,Depreciation!$A$14:$L$18,8,FALSE),0))</f>
        <v>1.231622525054236E-2</v>
      </c>
      <c r="K305" s="306">
        <f>+IF($H305=K$2,VLOOKUP($G305,Depreciation!$A$14:$L$18,9,FALSE)/2,IF($H305&lt;K$2,VLOOKUP($G305,Depreciation!$A$14:$L$18,9,FALSE),0))</f>
        <v>2.4351536427798831E-2</v>
      </c>
      <c r="L305" s="306">
        <f>+IF($H305=L$2,VLOOKUP($G305,Depreciation!$A$14:$L$18,10,FALSE)/2,IF($H305&lt;L$2,VLOOKUP($G305,Depreciation!$A$14:$L$18,10,FALSE),0))</f>
        <v>2.4351536427798831E-2</v>
      </c>
      <c r="M305" s="306">
        <f>+IF($H305=M$2,VLOOKUP($G305,Depreciation!$A$14:$L$18,11,FALSE)/2,IF($H305&lt;M$2,VLOOKUP($G305,Depreciation!$A$14:$L$18,11,FALSE),0))</f>
        <v>2.4351536427798831E-2</v>
      </c>
      <c r="N305" s="306">
        <f>+IF($H305=N$2,VLOOKUP($G305,Depreciation!$A$14:$L$18,12,FALSE)/2,IF($H305&lt;N$2,VLOOKUP($G305,Depreciation!$A$14:$L$18,12,FALSE),0))</f>
        <v>2.4351536427798831E-2</v>
      </c>
      <c r="O305" s="307">
        <f t="shared" si="33"/>
        <v>14578347.368556179</v>
      </c>
      <c r="P305" s="732">
        <f>'Func Future Subs 2015'!P305</f>
        <v>0</v>
      </c>
      <c r="Q305" s="732">
        <f>'Func Future Subs 2015'!Q305</f>
        <v>0</v>
      </c>
      <c r="R305" s="732">
        <f>'Func Future Subs 2015'!R305</f>
        <v>1</v>
      </c>
      <c r="S305" s="735">
        <f t="shared" si="34"/>
        <v>0</v>
      </c>
      <c r="T305" s="735">
        <f t="shared" si="35"/>
        <v>0</v>
      </c>
      <c r="U305" s="735">
        <f t="shared" si="36"/>
        <v>14578347.368556179</v>
      </c>
      <c r="V305" s="736">
        <f t="shared" si="37"/>
        <v>14578347.368556179</v>
      </c>
      <c r="W305" s="735">
        <f t="shared" si="38"/>
        <v>0</v>
      </c>
      <c r="X305" s="737">
        <f t="shared" si="39"/>
        <v>0</v>
      </c>
      <c r="Y305" s="738">
        <f t="shared" si="40"/>
        <v>0</v>
      </c>
    </row>
    <row r="306" spans="1:25">
      <c r="A306" s="754" t="str">
        <f>'Func Future Subs 2015'!A306</f>
        <v>Wabasca 720S</v>
      </c>
      <c r="B306" s="754">
        <f>'Func Future Subs 2015'!B306</f>
        <v>1491</v>
      </c>
      <c r="C306" s="754">
        <f>'Func Future Subs 2015'!C306</f>
        <v>240</v>
      </c>
      <c r="D306" s="754">
        <f>'Func Future Subs 2015'!D306</f>
        <v>25</v>
      </c>
      <c r="E306" s="754" t="str">
        <f>'Func Future Subs 2015'!E306</f>
        <v>720S</v>
      </c>
      <c r="F306" s="754">
        <f>'Func Future Subs 2015'!F306</f>
        <v>2147023.9999999977</v>
      </c>
      <c r="G306" s="754" t="str">
        <f>'Func Future Subs 2015'!G306</f>
        <v>ATCO</v>
      </c>
      <c r="H306" s="754">
        <f>'Func Future Subs 2015'!H306</f>
        <v>2018</v>
      </c>
      <c r="I306" s="306">
        <f>+IF($H306=I$2,VLOOKUP($G306,Depreciation!$A$14:$L$18,7,FALSE)/2,IF($H306&lt;I$2,VLOOKUP($G306,Depreciation!$A$14:$L$18,7,FALSE),0))</f>
        <v>0</v>
      </c>
      <c r="J306" s="306">
        <f>+IF($H306=J$2,VLOOKUP($G306,Depreciation!$A$14:$L$18,8,FALSE)/2,IF($H306&lt;J$2,VLOOKUP($G306,Depreciation!$A$14:$L$18,8,FALSE),0))</f>
        <v>0</v>
      </c>
      <c r="K306" s="306">
        <f>+IF($H306=K$2,VLOOKUP($G306,Depreciation!$A$14:$L$18,9,FALSE)/2,IF($H306&lt;K$2,VLOOKUP($G306,Depreciation!$A$14:$L$18,9,FALSE),0))</f>
        <v>0</v>
      </c>
      <c r="L306" s="306">
        <f>+IF($H306=L$2,VLOOKUP($G306,Depreciation!$A$14:$L$18,10,FALSE)/2,IF($H306&lt;L$2,VLOOKUP($G306,Depreciation!$A$14:$L$18,10,FALSE),0))</f>
        <v>1.2175768213899416E-2</v>
      </c>
      <c r="M306" s="306">
        <f>+IF($H306=M$2,VLOOKUP($G306,Depreciation!$A$14:$L$18,11,FALSE)/2,IF($H306&lt;M$2,VLOOKUP($G306,Depreciation!$A$14:$L$18,11,FALSE),0))</f>
        <v>2.4351536427798831E-2</v>
      </c>
      <c r="N306" s="306">
        <f>+IF($H306=N$2,VLOOKUP($G306,Depreciation!$A$14:$L$18,12,FALSE)/2,IF($H306&lt;N$2,VLOOKUP($G306,Depreciation!$A$14:$L$18,12,FALSE),0))</f>
        <v>2.4351536427798831E-2</v>
      </c>
      <c r="O306" s="307">
        <f t="shared" si="33"/>
        <v>2120882.3334263186</v>
      </c>
      <c r="P306" s="732">
        <f>'Func Future Subs 2015'!P306</f>
        <v>0</v>
      </c>
      <c r="Q306" s="732">
        <f>'Func Future Subs 2015'!Q306</f>
        <v>1</v>
      </c>
      <c r="R306" s="732">
        <f>'Func Future Subs 2015'!R306</f>
        <v>0</v>
      </c>
      <c r="S306" s="735">
        <f t="shared" si="34"/>
        <v>0</v>
      </c>
      <c r="T306" s="735">
        <f t="shared" si="35"/>
        <v>2120882.3334263186</v>
      </c>
      <c r="U306" s="735">
        <f t="shared" si="36"/>
        <v>0</v>
      </c>
      <c r="V306" s="736">
        <f t="shared" si="37"/>
        <v>0</v>
      </c>
      <c r="W306" s="735">
        <f t="shared" si="38"/>
        <v>0</v>
      </c>
      <c r="X306" s="737">
        <f t="shared" si="39"/>
        <v>0</v>
      </c>
      <c r="Y306" s="738">
        <f t="shared" si="40"/>
        <v>2120882.3334263186</v>
      </c>
    </row>
    <row r="307" spans="1:25">
      <c r="A307" s="754" t="str">
        <f>'Func Future Subs 2015'!A307</f>
        <v xml:space="preserve">v180 - Fortis 263S substation upgrade </v>
      </c>
      <c r="B307" s="754">
        <f>'Func Future Subs 2015'!B307</f>
        <v>1494</v>
      </c>
      <c r="C307" s="754">
        <f>'Func Future Subs 2015'!C307</f>
        <v>138</v>
      </c>
      <c r="D307" s="754">
        <f>'Func Future Subs 2015'!D307</f>
        <v>25</v>
      </c>
      <c r="E307" s="754" t="str">
        <f>'Func Future Subs 2015'!E307</f>
        <v>263S</v>
      </c>
      <c r="F307" s="754">
        <f>'Func Future Subs 2015'!F307</f>
        <v>7308312.4068950815</v>
      </c>
      <c r="G307" s="754" t="str">
        <f>'Func Future Subs 2015'!G307</f>
        <v>AltaLink</v>
      </c>
      <c r="H307" s="754">
        <f>'Func Future Subs 2015'!H307</f>
        <v>2015</v>
      </c>
      <c r="I307" s="306">
        <f>+IF($H307=I$2,VLOOKUP($G307,Depreciation!$A$14:$L$18,7,FALSE)/2,IF($H307&lt;I$2,VLOOKUP($G307,Depreciation!$A$14:$L$18,7,FALSE),0))</f>
        <v>1.7228380322441735E-2</v>
      </c>
      <c r="J307" s="306">
        <f>+IF($H307=J$2,VLOOKUP($G307,Depreciation!$A$14:$L$18,8,FALSE)/2,IF($H307&lt;J$2,VLOOKUP($G307,Depreciation!$A$14:$L$18,8,FALSE),0))</f>
        <v>3.343407856743718E-2</v>
      </c>
      <c r="K307" s="306">
        <f>+IF($H307=K$2,VLOOKUP($G307,Depreciation!$A$14:$L$18,9,FALSE)/2,IF($H307&lt;K$2,VLOOKUP($G307,Depreciation!$A$14:$L$18,9,FALSE),0))</f>
        <v>3.343407856743718E-2</v>
      </c>
      <c r="L307" s="306">
        <f>+IF($H307=L$2,VLOOKUP($G307,Depreciation!$A$14:$L$18,10,FALSE)/2,IF($H307&lt;L$2,VLOOKUP($G307,Depreciation!$A$14:$L$18,10,FALSE),0))</f>
        <v>3.343407856743718E-2</v>
      </c>
      <c r="M307" s="306">
        <f>+IF($H307=M$2,VLOOKUP($G307,Depreciation!$A$14:$L$18,11,FALSE)/2,IF($H307&lt;M$2,VLOOKUP($G307,Depreciation!$A$14:$L$18,11,FALSE),0))</f>
        <v>3.343407856743718E-2</v>
      </c>
      <c r="N307" s="306">
        <f>+IF($H307=N$2,VLOOKUP($G307,Depreciation!$A$14:$L$18,12,FALSE)/2,IF($H307&lt;N$2,VLOOKUP($G307,Depreciation!$A$14:$L$18,12,FALSE),0))</f>
        <v>3.343407856743718E-2</v>
      </c>
      <c r="O307" s="307">
        <f t="shared" si="33"/>
        <v>6485808.883949494</v>
      </c>
      <c r="P307" s="732">
        <f>'Func Future Subs 2015'!P307</f>
        <v>0</v>
      </c>
      <c r="Q307" s="732">
        <f>'Func Future Subs 2015'!Q307</f>
        <v>1</v>
      </c>
      <c r="R307" s="732">
        <f>'Func Future Subs 2015'!R307</f>
        <v>0</v>
      </c>
      <c r="S307" s="735">
        <f t="shared" si="34"/>
        <v>0</v>
      </c>
      <c r="T307" s="735">
        <f t="shared" si="35"/>
        <v>6485808.883949494</v>
      </c>
      <c r="U307" s="735">
        <f t="shared" si="36"/>
        <v>0</v>
      </c>
      <c r="V307" s="736">
        <f t="shared" si="37"/>
        <v>0</v>
      </c>
      <c r="W307" s="735">
        <f t="shared" si="38"/>
        <v>0</v>
      </c>
      <c r="X307" s="737">
        <f t="shared" si="39"/>
        <v>0</v>
      </c>
      <c r="Y307" s="738">
        <f t="shared" si="40"/>
        <v>6485808.883949494</v>
      </c>
    </row>
    <row r="308" spans="1:25">
      <c r="A308" s="754" t="str">
        <f>'Func Future Subs 2015'!A308</f>
        <v>[Final]Hayter 277s substation</v>
      </c>
      <c r="B308" s="754">
        <f>'Func Future Subs 2015'!B308</f>
        <v>1495</v>
      </c>
      <c r="C308" s="754">
        <f>'Func Future Subs 2015'!C308</f>
        <v>138</v>
      </c>
      <c r="D308" s="754">
        <f>'Func Future Subs 2015'!D308</f>
        <v>25</v>
      </c>
      <c r="E308" s="754" t="str">
        <f>'Func Future Subs 2015'!E308</f>
        <v>277S</v>
      </c>
      <c r="F308" s="754">
        <f>'Func Future Subs 2015'!F308</f>
        <v>4998436.9999999991</v>
      </c>
      <c r="G308" s="754" t="str">
        <f>'Func Future Subs 2015'!G308</f>
        <v>AltaLink</v>
      </c>
      <c r="H308" s="754">
        <f>'Func Future Subs 2015'!H308</f>
        <v>2015</v>
      </c>
      <c r="I308" s="306">
        <f>+IF($H308=I$2,VLOOKUP($G308,Depreciation!$A$14:$L$18,7,FALSE)/2,IF($H308&lt;I$2,VLOOKUP($G308,Depreciation!$A$14:$L$18,7,FALSE),0))</f>
        <v>1.7228380322441735E-2</v>
      </c>
      <c r="J308" s="306">
        <f>+IF($H308=J$2,VLOOKUP($G308,Depreciation!$A$14:$L$18,8,FALSE)/2,IF($H308&lt;J$2,VLOOKUP($G308,Depreciation!$A$14:$L$18,8,FALSE),0))</f>
        <v>3.343407856743718E-2</v>
      </c>
      <c r="K308" s="306">
        <f>+IF($H308=K$2,VLOOKUP($G308,Depreciation!$A$14:$L$18,9,FALSE)/2,IF($H308&lt;K$2,VLOOKUP($G308,Depreciation!$A$14:$L$18,9,FALSE),0))</f>
        <v>3.343407856743718E-2</v>
      </c>
      <c r="L308" s="306">
        <f>+IF($H308=L$2,VLOOKUP($G308,Depreciation!$A$14:$L$18,10,FALSE)/2,IF($H308&lt;L$2,VLOOKUP($G308,Depreciation!$A$14:$L$18,10,FALSE),0))</f>
        <v>3.343407856743718E-2</v>
      </c>
      <c r="M308" s="306">
        <f>+IF($H308=M$2,VLOOKUP($G308,Depreciation!$A$14:$L$18,11,FALSE)/2,IF($H308&lt;M$2,VLOOKUP($G308,Depreciation!$A$14:$L$18,11,FALSE),0))</f>
        <v>3.343407856743718E-2</v>
      </c>
      <c r="N308" s="306">
        <f>+IF($H308=N$2,VLOOKUP($G308,Depreciation!$A$14:$L$18,12,FALSE)/2,IF($H308&lt;N$2,VLOOKUP($G308,Depreciation!$A$14:$L$18,12,FALSE),0))</f>
        <v>3.343407856743718E-2</v>
      </c>
      <c r="O308" s="307">
        <f t="shared" si="33"/>
        <v>4435895.0870622322</v>
      </c>
      <c r="P308" s="732">
        <f>'Func Future Subs 2015'!P308</f>
        <v>0.2544529262086514</v>
      </c>
      <c r="Q308" s="732">
        <f>'Func Future Subs 2015'!Q308</f>
        <v>0.74554707379134866</v>
      </c>
      <c r="R308" s="732">
        <f>'Func Future Subs 2015'!R308</f>
        <v>0</v>
      </c>
      <c r="S308" s="735">
        <f t="shared" si="34"/>
        <v>1128726.4852575655</v>
      </c>
      <c r="T308" s="735">
        <f t="shared" si="35"/>
        <v>3307168.6018046672</v>
      </c>
      <c r="U308" s="735">
        <f t="shared" si="36"/>
        <v>0</v>
      </c>
      <c r="V308" s="736">
        <f t="shared" si="37"/>
        <v>0</v>
      </c>
      <c r="W308" s="735">
        <f t="shared" si="38"/>
        <v>1128726.4852575655</v>
      </c>
      <c r="X308" s="737">
        <f t="shared" si="39"/>
        <v>0</v>
      </c>
      <c r="Y308" s="738">
        <f t="shared" si="40"/>
        <v>3307168.6018046672</v>
      </c>
    </row>
    <row r="309" spans="1:25">
      <c r="A309" s="754" t="str">
        <f>'Func Future Subs 2015'!A309</f>
        <v>Hayter 277s substation</v>
      </c>
      <c r="B309" s="754">
        <f>'Func Future Subs 2015'!B309</f>
        <v>1495</v>
      </c>
      <c r="C309" s="754">
        <f>'Func Future Subs 2015'!C309</f>
        <v>138</v>
      </c>
      <c r="D309" s="754">
        <f>'Func Future Subs 2015'!D309</f>
        <v>25</v>
      </c>
      <c r="E309" s="754" t="str">
        <f>'Func Future Subs 2015'!E309</f>
        <v>277S</v>
      </c>
      <c r="F309" s="754">
        <f>'Func Future Subs 2015'!F309</f>
        <v>6860894.0285954578</v>
      </c>
      <c r="G309" s="754" t="str">
        <f>'Func Future Subs 2015'!G309</f>
        <v>AltaLink</v>
      </c>
      <c r="H309" s="754">
        <f>'Func Future Subs 2015'!H309</f>
        <v>2015</v>
      </c>
      <c r="I309" s="306">
        <f>+IF($H309=I$2,VLOOKUP($G309,Depreciation!$A$14:$L$18,7,FALSE)/2,IF($H309&lt;I$2,VLOOKUP($G309,Depreciation!$A$14:$L$18,7,FALSE),0))</f>
        <v>1.7228380322441735E-2</v>
      </c>
      <c r="J309" s="306">
        <f>+IF($H309=J$2,VLOOKUP($G309,Depreciation!$A$14:$L$18,8,FALSE)/2,IF($H309&lt;J$2,VLOOKUP($G309,Depreciation!$A$14:$L$18,8,FALSE),0))</f>
        <v>3.343407856743718E-2</v>
      </c>
      <c r="K309" s="306">
        <f>+IF($H309=K$2,VLOOKUP($G309,Depreciation!$A$14:$L$18,9,FALSE)/2,IF($H309&lt;K$2,VLOOKUP($G309,Depreciation!$A$14:$L$18,9,FALSE),0))</f>
        <v>3.343407856743718E-2</v>
      </c>
      <c r="L309" s="306">
        <f>+IF($H309=L$2,VLOOKUP($G309,Depreciation!$A$14:$L$18,10,FALSE)/2,IF($H309&lt;L$2,VLOOKUP($G309,Depreciation!$A$14:$L$18,10,FALSE),0))</f>
        <v>3.343407856743718E-2</v>
      </c>
      <c r="M309" s="306">
        <f>+IF($H309=M$2,VLOOKUP($G309,Depreciation!$A$14:$L$18,11,FALSE)/2,IF($H309&lt;M$2,VLOOKUP($G309,Depreciation!$A$14:$L$18,11,FALSE),0))</f>
        <v>3.343407856743718E-2</v>
      </c>
      <c r="N309" s="306">
        <f>+IF($H309=N$2,VLOOKUP($G309,Depreciation!$A$14:$L$18,12,FALSE)/2,IF($H309&lt;N$2,VLOOKUP($G309,Depreciation!$A$14:$L$18,12,FALSE),0))</f>
        <v>3.343407856743718E-2</v>
      </c>
      <c r="O309" s="307">
        <f t="shared" si="33"/>
        <v>6088744.5644110758</v>
      </c>
      <c r="P309" s="732">
        <f>'Func Future Subs 2015'!P309</f>
        <v>0.2544529262086514</v>
      </c>
      <c r="Q309" s="732">
        <f>'Func Future Subs 2015'!Q309</f>
        <v>0.74554707379134866</v>
      </c>
      <c r="R309" s="732">
        <f>'Func Future Subs 2015'!R309</f>
        <v>0</v>
      </c>
      <c r="S309" s="735">
        <f t="shared" si="34"/>
        <v>1549298.8713514188</v>
      </c>
      <c r="T309" s="735">
        <f t="shared" si="35"/>
        <v>4539445.6930596577</v>
      </c>
      <c r="U309" s="735">
        <f t="shared" si="36"/>
        <v>0</v>
      </c>
      <c r="V309" s="736">
        <f t="shared" si="37"/>
        <v>0</v>
      </c>
      <c r="W309" s="735">
        <f t="shared" si="38"/>
        <v>1549298.8713514188</v>
      </c>
      <c r="X309" s="737">
        <f t="shared" si="39"/>
        <v>0</v>
      </c>
      <c r="Y309" s="738">
        <f t="shared" si="40"/>
        <v>4539445.6930596577</v>
      </c>
    </row>
    <row r="310" spans="1:25">
      <c r="A310" s="754" t="str">
        <f>'Func Future Subs 2015'!A310</f>
        <v>Upgrade Scotford 409S substation</v>
      </c>
      <c r="B310" s="754">
        <f>'Func Future Subs 2015'!B310</f>
        <v>1503</v>
      </c>
      <c r="C310" s="754">
        <f>'Func Future Subs 2015'!C310</f>
        <v>240</v>
      </c>
      <c r="D310" s="754">
        <f>'Func Future Subs 2015'!D310</f>
        <v>25</v>
      </c>
      <c r="E310" s="754" t="str">
        <f>'Func Future Subs 2015'!E310</f>
        <v>409S</v>
      </c>
      <c r="F310" s="754">
        <f>'Func Future Subs 2015'!F310</f>
        <v>5335410.2564102598</v>
      </c>
      <c r="G310" s="754" t="str">
        <f>'Func Future Subs 2015'!G310</f>
        <v>AltaLink</v>
      </c>
      <c r="H310" s="754">
        <f>'Func Future Subs 2015'!H310</f>
        <v>2016</v>
      </c>
      <c r="I310" s="306">
        <f>+IF($H310=I$2,VLOOKUP($G310,Depreciation!$A$14:$L$18,7,FALSE)/2,IF($H310&lt;I$2,VLOOKUP($G310,Depreciation!$A$14:$L$18,7,FALSE),0))</f>
        <v>0</v>
      </c>
      <c r="J310" s="306">
        <f>+IF($H310=J$2,VLOOKUP($G310,Depreciation!$A$14:$L$18,8,FALSE)/2,IF($H310&lt;J$2,VLOOKUP($G310,Depreciation!$A$14:$L$18,8,FALSE),0))</f>
        <v>1.671703928371859E-2</v>
      </c>
      <c r="K310" s="306">
        <f>+IF($H310=K$2,VLOOKUP($G310,Depreciation!$A$14:$L$18,9,FALSE)/2,IF($H310&lt;K$2,VLOOKUP($G310,Depreciation!$A$14:$L$18,9,FALSE),0))</f>
        <v>3.343407856743718E-2</v>
      </c>
      <c r="L310" s="306">
        <f>+IF($H310=L$2,VLOOKUP($G310,Depreciation!$A$14:$L$18,10,FALSE)/2,IF($H310&lt;L$2,VLOOKUP($G310,Depreciation!$A$14:$L$18,10,FALSE),0))</f>
        <v>3.343407856743718E-2</v>
      </c>
      <c r="M310" s="306">
        <f>+IF($H310=M$2,VLOOKUP($G310,Depreciation!$A$14:$L$18,11,FALSE)/2,IF($H310&lt;M$2,VLOOKUP($G310,Depreciation!$A$14:$L$18,11,FALSE),0))</f>
        <v>3.343407856743718E-2</v>
      </c>
      <c r="N310" s="306">
        <f>+IF($H310=N$2,VLOOKUP($G310,Depreciation!$A$14:$L$18,12,FALSE)/2,IF($H310&lt;N$2,VLOOKUP($G310,Depreciation!$A$14:$L$18,12,FALSE),0))</f>
        <v>3.343407856743718E-2</v>
      </c>
      <c r="O310" s="307">
        <f t="shared" si="33"/>
        <v>4901277.4841836207</v>
      </c>
      <c r="P310" s="732">
        <f>'Func Future Subs 2015'!P310</f>
        <v>0.29078014184397161</v>
      </c>
      <c r="Q310" s="732">
        <f>'Func Future Subs 2015'!Q310</f>
        <v>0.70921985815602839</v>
      </c>
      <c r="R310" s="732">
        <f>'Func Future Subs 2015'!R310</f>
        <v>0</v>
      </c>
      <c r="S310" s="735">
        <f t="shared" si="34"/>
        <v>1425194.1620675775</v>
      </c>
      <c r="T310" s="735">
        <f t="shared" si="35"/>
        <v>3476083.322116043</v>
      </c>
      <c r="U310" s="735">
        <f t="shared" si="36"/>
        <v>0</v>
      </c>
      <c r="V310" s="736">
        <f t="shared" si="37"/>
        <v>0</v>
      </c>
      <c r="W310" s="735">
        <f t="shared" si="38"/>
        <v>1425194.1620675775</v>
      </c>
      <c r="X310" s="737">
        <f t="shared" si="39"/>
        <v>0</v>
      </c>
      <c r="Y310" s="738">
        <f t="shared" si="40"/>
        <v>3476083.322116043</v>
      </c>
    </row>
    <row r="311" spans="1:25">
      <c r="A311" s="754" t="str">
        <f>'Func Future Subs 2015'!A311</f>
        <v>North ST Albert 99S substation[180D]</v>
      </c>
      <c r="B311" s="754">
        <f>'Func Future Subs 2015'!B311</f>
        <v>1510</v>
      </c>
      <c r="C311" s="754">
        <f>'Func Future Subs 2015'!C311</f>
        <v>138</v>
      </c>
      <c r="D311" s="754">
        <f>'Func Future Subs 2015'!D311</f>
        <v>25</v>
      </c>
      <c r="E311" s="754" t="str">
        <f>'Func Future Subs 2015'!E311</f>
        <v>99S</v>
      </c>
      <c r="F311" s="754">
        <f>'Func Future Subs 2015'!F311</f>
        <v>968000.00000000012</v>
      </c>
      <c r="G311" s="754" t="str">
        <f>'Func Future Subs 2015'!G311</f>
        <v>AltaLink</v>
      </c>
      <c r="H311" s="754">
        <f>'Func Future Subs 2015'!H311</f>
        <v>2015</v>
      </c>
      <c r="I311" s="306">
        <f>+IF($H311=I$2,VLOOKUP($G311,Depreciation!$A$14:$L$18,7,FALSE)/2,IF($H311&lt;I$2,VLOOKUP($G311,Depreciation!$A$14:$L$18,7,FALSE),0))</f>
        <v>1.7228380322441735E-2</v>
      </c>
      <c r="J311" s="306">
        <f>+IF($H311=J$2,VLOOKUP($G311,Depreciation!$A$14:$L$18,8,FALSE)/2,IF($H311&lt;J$2,VLOOKUP($G311,Depreciation!$A$14:$L$18,8,FALSE),0))</f>
        <v>3.343407856743718E-2</v>
      </c>
      <c r="K311" s="306">
        <f>+IF($H311=K$2,VLOOKUP($G311,Depreciation!$A$14:$L$18,9,FALSE)/2,IF($H311&lt;K$2,VLOOKUP($G311,Depreciation!$A$14:$L$18,9,FALSE),0))</f>
        <v>3.343407856743718E-2</v>
      </c>
      <c r="L311" s="306">
        <f>+IF($H311=L$2,VLOOKUP($G311,Depreciation!$A$14:$L$18,10,FALSE)/2,IF($H311&lt;L$2,VLOOKUP($G311,Depreciation!$A$14:$L$18,10,FALSE),0))</f>
        <v>3.343407856743718E-2</v>
      </c>
      <c r="M311" s="306">
        <f>+IF($H311=M$2,VLOOKUP($G311,Depreciation!$A$14:$L$18,11,FALSE)/2,IF($H311&lt;M$2,VLOOKUP($G311,Depreciation!$A$14:$L$18,11,FALSE),0))</f>
        <v>3.343407856743718E-2</v>
      </c>
      <c r="N311" s="306">
        <f>+IF($H311=N$2,VLOOKUP($G311,Depreciation!$A$14:$L$18,12,FALSE)/2,IF($H311&lt;N$2,VLOOKUP($G311,Depreciation!$A$14:$L$18,12,FALSE),0))</f>
        <v>3.343407856743718E-2</v>
      </c>
      <c r="O311" s="307">
        <f t="shared" si="33"/>
        <v>859057.83033301041</v>
      </c>
      <c r="P311" s="732">
        <f>'Func Future Subs 2015'!P311</f>
        <v>0</v>
      </c>
      <c r="Q311" s="732">
        <f>'Func Future Subs 2015'!Q311</f>
        <v>1</v>
      </c>
      <c r="R311" s="732">
        <f>'Func Future Subs 2015'!R311</f>
        <v>0</v>
      </c>
      <c r="S311" s="735">
        <f t="shared" si="34"/>
        <v>0</v>
      </c>
      <c r="T311" s="735">
        <f t="shared" si="35"/>
        <v>859057.83033301041</v>
      </c>
      <c r="U311" s="735">
        <f t="shared" si="36"/>
        <v>0</v>
      </c>
      <c r="V311" s="736">
        <f t="shared" si="37"/>
        <v>0</v>
      </c>
      <c r="W311" s="735">
        <f t="shared" si="38"/>
        <v>0</v>
      </c>
      <c r="X311" s="737">
        <f t="shared" si="39"/>
        <v>0</v>
      </c>
      <c r="Y311" s="738">
        <f t="shared" si="40"/>
        <v>859057.83033301041</v>
      </c>
    </row>
    <row r="312" spans="1:25">
      <c r="A312" s="754" t="str">
        <f>'Func Future Subs 2015'!A312</f>
        <v>Modify P&amp;C at Benbow 397S</v>
      </c>
      <c r="B312" s="754">
        <f>'Func Future Subs 2015'!B312</f>
        <v>1515</v>
      </c>
      <c r="C312" s="754">
        <f>'Func Future Subs 2015'!C312</f>
        <v>138</v>
      </c>
      <c r="D312" s="754">
        <f>'Func Future Subs 2015'!D312</f>
        <v>25</v>
      </c>
      <c r="E312" s="754" t="str">
        <f>'Func Future Subs 2015'!E312</f>
        <v>397S</v>
      </c>
      <c r="F312" s="754">
        <f>'Func Future Subs 2015'!F312</f>
        <v>10972.383408553622</v>
      </c>
      <c r="G312" s="754" t="str">
        <f>'Func Future Subs 2015'!G312</f>
        <v>AltaLink</v>
      </c>
      <c r="H312" s="754">
        <f>'Func Future Subs 2015'!H312</f>
        <v>2016</v>
      </c>
      <c r="I312" s="306">
        <f>+IF($H312=I$2,VLOOKUP($G312,Depreciation!$A$14:$L$18,7,FALSE)/2,IF($H312&lt;I$2,VLOOKUP($G312,Depreciation!$A$14:$L$18,7,FALSE),0))</f>
        <v>0</v>
      </c>
      <c r="J312" s="306">
        <f>+IF($H312=J$2,VLOOKUP($G312,Depreciation!$A$14:$L$18,8,FALSE)/2,IF($H312&lt;J$2,VLOOKUP($G312,Depreciation!$A$14:$L$18,8,FALSE),0))</f>
        <v>1.671703928371859E-2</v>
      </c>
      <c r="K312" s="306">
        <f>+IF($H312=K$2,VLOOKUP($G312,Depreciation!$A$14:$L$18,9,FALSE)/2,IF($H312&lt;K$2,VLOOKUP($G312,Depreciation!$A$14:$L$18,9,FALSE),0))</f>
        <v>3.343407856743718E-2</v>
      </c>
      <c r="L312" s="306">
        <f>+IF($H312=L$2,VLOOKUP($G312,Depreciation!$A$14:$L$18,10,FALSE)/2,IF($H312&lt;L$2,VLOOKUP($G312,Depreciation!$A$14:$L$18,10,FALSE),0))</f>
        <v>3.343407856743718E-2</v>
      </c>
      <c r="M312" s="306">
        <f>+IF($H312=M$2,VLOOKUP($G312,Depreciation!$A$14:$L$18,11,FALSE)/2,IF($H312&lt;M$2,VLOOKUP($G312,Depreciation!$A$14:$L$18,11,FALSE),0))</f>
        <v>3.343407856743718E-2</v>
      </c>
      <c r="N312" s="306">
        <f>+IF($H312=N$2,VLOOKUP($G312,Depreciation!$A$14:$L$18,12,FALSE)/2,IF($H312&lt;N$2,VLOOKUP($G312,Depreciation!$A$14:$L$18,12,FALSE),0))</f>
        <v>3.343407856743718E-2</v>
      </c>
      <c r="O312" s="307">
        <f t="shared" si="33"/>
        <v>10079.580231634685</v>
      </c>
      <c r="P312" s="732">
        <f>'Func Future Subs 2015'!P312</f>
        <v>0</v>
      </c>
      <c r="Q312" s="732">
        <f>'Func Future Subs 2015'!Q312</f>
        <v>1</v>
      </c>
      <c r="R312" s="732">
        <f>'Func Future Subs 2015'!R312</f>
        <v>0</v>
      </c>
      <c r="S312" s="735">
        <f t="shared" si="34"/>
        <v>0</v>
      </c>
      <c r="T312" s="735">
        <f t="shared" si="35"/>
        <v>10079.580231634685</v>
      </c>
      <c r="U312" s="735">
        <f t="shared" si="36"/>
        <v>0</v>
      </c>
      <c r="V312" s="736">
        <f t="shared" si="37"/>
        <v>0</v>
      </c>
      <c r="W312" s="735">
        <f t="shared" si="38"/>
        <v>0</v>
      </c>
      <c r="X312" s="737">
        <f t="shared" si="39"/>
        <v>0</v>
      </c>
      <c r="Y312" s="738">
        <f t="shared" si="40"/>
        <v>10079.580231634685</v>
      </c>
    </row>
    <row r="313" spans="1:25">
      <c r="A313" s="754" t="str">
        <f>'Func Future Subs 2015'!A313</f>
        <v>Modify P&amp;C at Bickerdike 39S</v>
      </c>
      <c r="B313" s="754">
        <f>'Func Future Subs 2015'!B313</f>
        <v>1515</v>
      </c>
      <c r="C313" s="754">
        <f>'Func Future Subs 2015'!C313</f>
        <v>240</v>
      </c>
      <c r="D313" s="754">
        <f>'Func Future Subs 2015'!D313</f>
        <v>138</v>
      </c>
      <c r="E313" s="754" t="str">
        <f>'Func Future Subs 2015'!E313</f>
        <v>39S</v>
      </c>
      <c r="F313" s="754">
        <f>'Func Future Subs 2015'!F313</f>
        <v>10972.383408553622</v>
      </c>
      <c r="G313" s="754" t="str">
        <f>'Func Future Subs 2015'!G313</f>
        <v>AltaLink</v>
      </c>
      <c r="H313" s="754">
        <f>'Func Future Subs 2015'!H313</f>
        <v>2016</v>
      </c>
      <c r="I313" s="306">
        <f>+IF($H313=I$2,VLOOKUP($G313,Depreciation!$A$14:$L$18,7,FALSE)/2,IF($H313&lt;I$2,VLOOKUP($G313,Depreciation!$A$14:$L$18,7,FALSE),0))</f>
        <v>0</v>
      </c>
      <c r="J313" s="306">
        <f>+IF($H313=J$2,VLOOKUP($G313,Depreciation!$A$14:$L$18,8,FALSE)/2,IF($H313&lt;J$2,VLOOKUP($G313,Depreciation!$A$14:$L$18,8,FALSE),0))</f>
        <v>1.671703928371859E-2</v>
      </c>
      <c r="K313" s="306">
        <f>+IF($H313=K$2,VLOOKUP($G313,Depreciation!$A$14:$L$18,9,FALSE)/2,IF($H313&lt;K$2,VLOOKUP($G313,Depreciation!$A$14:$L$18,9,FALSE),0))</f>
        <v>3.343407856743718E-2</v>
      </c>
      <c r="L313" s="306">
        <f>+IF($H313=L$2,VLOOKUP($G313,Depreciation!$A$14:$L$18,10,FALSE)/2,IF($H313&lt;L$2,VLOOKUP($G313,Depreciation!$A$14:$L$18,10,FALSE),0))</f>
        <v>3.343407856743718E-2</v>
      </c>
      <c r="M313" s="306">
        <f>+IF($H313=M$2,VLOOKUP($G313,Depreciation!$A$14:$L$18,11,FALSE)/2,IF($H313&lt;M$2,VLOOKUP($G313,Depreciation!$A$14:$L$18,11,FALSE),0))</f>
        <v>3.343407856743718E-2</v>
      </c>
      <c r="N313" s="306">
        <f>+IF($H313=N$2,VLOOKUP($G313,Depreciation!$A$14:$L$18,12,FALSE)/2,IF($H313&lt;N$2,VLOOKUP($G313,Depreciation!$A$14:$L$18,12,FALSE),0))</f>
        <v>3.343407856743718E-2</v>
      </c>
      <c r="O313" s="307">
        <f t="shared" si="33"/>
        <v>10079.580231634685</v>
      </c>
      <c r="P313" s="732">
        <f>'Func Future Subs 2015'!P313</f>
        <v>0</v>
      </c>
      <c r="Q313" s="732">
        <f>'Func Future Subs 2015'!Q313</f>
        <v>0</v>
      </c>
      <c r="R313" s="732">
        <f>'Func Future Subs 2015'!R313</f>
        <v>1</v>
      </c>
      <c r="S313" s="735">
        <f t="shared" si="34"/>
        <v>0</v>
      </c>
      <c r="T313" s="735">
        <f t="shared" si="35"/>
        <v>0</v>
      </c>
      <c r="U313" s="735">
        <f t="shared" si="36"/>
        <v>10079.580231634685</v>
      </c>
      <c r="V313" s="736">
        <f t="shared" si="37"/>
        <v>0</v>
      </c>
      <c r="W313" s="735">
        <f t="shared" si="38"/>
        <v>0</v>
      </c>
      <c r="X313" s="737">
        <f t="shared" si="39"/>
        <v>10079.580231634685</v>
      </c>
      <c r="Y313" s="738">
        <f t="shared" si="40"/>
        <v>0</v>
      </c>
    </row>
    <row r="314" spans="1:25">
      <c r="A314" s="754" t="str">
        <f>'Func Future Subs 2015'!A314</f>
        <v>Modify P&amp;C at Marlboro 348S</v>
      </c>
      <c r="B314" s="754">
        <f>'Func Future Subs 2015'!B314</f>
        <v>1515</v>
      </c>
      <c r="C314" s="754">
        <f>'Func Future Subs 2015'!C314</f>
        <v>138</v>
      </c>
      <c r="D314" s="754">
        <f>'Func Future Subs 2015'!D314</f>
        <v>25</v>
      </c>
      <c r="E314" s="754" t="str">
        <f>'Func Future Subs 2015'!E314</f>
        <v>348S</v>
      </c>
      <c r="F314" s="754">
        <f>'Func Future Subs 2015'!F314</f>
        <v>6269.9333763163559</v>
      </c>
      <c r="G314" s="754" t="str">
        <f>'Func Future Subs 2015'!G314</f>
        <v>AltaLink</v>
      </c>
      <c r="H314" s="754">
        <f>'Func Future Subs 2015'!H314</f>
        <v>2016</v>
      </c>
      <c r="I314" s="306">
        <f>+IF($H314=I$2,VLOOKUP($G314,Depreciation!$A$14:$L$18,7,FALSE)/2,IF($H314&lt;I$2,VLOOKUP($G314,Depreciation!$A$14:$L$18,7,FALSE),0))</f>
        <v>0</v>
      </c>
      <c r="J314" s="306">
        <f>+IF($H314=J$2,VLOOKUP($G314,Depreciation!$A$14:$L$18,8,FALSE)/2,IF($H314&lt;J$2,VLOOKUP($G314,Depreciation!$A$14:$L$18,8,FALSE),0))</f>
        <v>1.671703928371859E-2</v>
      </c>
      <c r="K314" s="306">
        <f>+IF($H314=K$2,VLOOKUP($G314,Depreciation!$A$14:$L$18,9,FALSE)/2,IF($H314&lt;K$2,VLOOKUP($G314,Depreciation!$A$14:$L$18,9,FALSE),0))</f>
        <v>3.343407856743718E-2</v>
      </c>
      <c r="L314" s="306">
        <f>+IF($H314=L$2,VLOOKUP($G314,Depreciation!$A$14:$L$18,10,FALSE)/2,IF($H314&lt;L$2,VLOOKUP($G314,Depreciation!$A$14:$L$18,10,FALSE),0))</f>
        <v>3.343407856743718E-2</v>
      </c>
      <c r="M314" s="306">
        <f>+IF($H314=M$2,VLOOKUP($G314,Depreciation!$A$14:$L$18,11,FALSE)/2,IF($H314&lt;M$2,VLOOKUP($G314,Depreciation!$A$14:$L$18,11,FALSE),0))</f>
        <v>3.343407856743718E-2</v>
      </c>
      <c r="N314" s="306">
        <f>+IF($H314=N$2,VLOOKUP($G314,Depreciation!$A$14:$L$18,12,FALSE)/2,IF($H314&lt;N$2,VLOOKUP($G314,Depreciation!$A$14:$L$18,12,FALSE),0))</f>
        <v>3.343407856743718E-2</v>
      </c>
      <c r="O314" s="307">
        <f t="shared" si="33"/>
        <v>5759.7601323626777</v>
      </c>
      <c r="P314" s="732">
        <f>'Func Future Subs 2015'!P314</f>
        <v>0</v>
      </c>
      <c r="Q314" s="732">
        <f>'Func Future Subs 2015'!Q314</f>
        <v>1</v>
      </c>
      <c r="R314" s="732">
        <f>'Func Future Subs 2015'!R314</f>
        <v>0</v>
      </c>
      <c r="S314" s="735">
        <f t="shared" si="34"/>
        <v>0</v>
      </c>
      <c r="T314" s="735">
        <f t="shared" si="35"/>
        <v>5759.7601323626777</v>
      </c>
      <c r="U314" s="735">
        <f t="shared" si="36"/>
        <v>0</v>
      </c>
      <c r="V314" s="736">
        <f t="shared" si="37"/>
        <v>0</v>
      </c>
      <c r="W314" s="735">
        <f t="shared" si="38"/>
        <v>0</v>
      </c>
      <c r="X314" s="737">
        <f t="shared" si="39"/>
        <v>0</v>
      </c>
      <c r="Y314" s="738">
        <f t="shared" si="40"/>
        <v>5759.7601323626777</v>
      </c>
    </row>
    <row r="315" spans="1:25">
      <c r="A315" s="754" t="str">
        <f>'Func Future Subs 2015'!A315</f>
        <v>New Deerhill 1012S substation</v>
      </c>
      <c r="B315" s="754">
        <f>'Func Future Subs 2015'!B315</f>
        <v>1515</v>
      </c>
      <c r="C315" s="754">
        <f>'Func Future Subs 2015'!C315</f>
        <v>138</v>
      </c>
      <c r="D315" s="754">
        <f>'Func Future Subs 2015'!D315</f>
        <v>25</v>
      </c>
      <c r="E315" s="754" t="str">
        <f>'Func Future Subs 2015'!E315</f>
        <v>1012S</v>
      </c>
      <c r="F315" s="754">
        <f>'Func Future Subs 2015'!F315</f>
        <v>13162157.64023211</v>
      </c>
      <c r="G315" s="754" t="str">
        <f>'Func Future Subs 2015'!G315</f>
        <v>AltaLink</v>
      </c>
      <c r="H315" s="754">
        <f>'Func Future Subs 2015'!H315</f>
        <v>2016</v>
      </c>
      <c r="I315" s="306">
        <f>+IF($H315=I$2,VLOOKUP($G315,Depreciation!$A$14:$L$18,7,FALSE)/2,IF($H315&lt;I$2,VLOOKUP($G315,Depreciation!$A$14:$L$18,7,FALSE),0))</f>
        <v>0</v>
      </c>
      <c r="J315" s="306">
        <f>+IF($H315=J$2,VLOOKUP($G315,Depreciation!$A$14:$L$18,8,FALSE)/2,IF($H315&lt;J$2,VLOOKUP($G315,Depreciation!$A$14:$L$18,8,FALSE),0))</f>
        <v>1.671703928371859E-2</v>
      </c>
      <c r="K315" s="306">
        <f>+IF($H315=K$2,VLOOKUP($G315,Depreciation!$A$14:$L$18,9,FALSE)/2,IF($H315&lt;K$2,VLOOKUP($G315,Depreciation!$A$14:$L$18,9,FALSE),0))</f>
        <v>3.343407856743718E-2</v>
      </c>
      <c r="L315" s="306">
        <f>+IF($H315=L$2,VLOOKUP($G315,Depreciation!$A$14:$L$18,10,FALSE)/2,IF($H315&lt;L$2,VLOOKUP($G315,Depreciation!$A$14:$L$18,10,FALSE),0))</f>
        <v>3.343407856743718E-2</v>
      </c>
      <c r="M315" s="306">
        <f>+IF($H315=M$2,VLOOKUP($G315,Depreciation!$A$14:$L$18,11,FALSE)/2,IF($H315&lt;M$2,VLOOKUP($G315,Depreciation!$A$14:$L$18,11,FALSE),0))</f>
        <v>3.343407856743718E-2</v>
      </c>
      <c r="N315" s="306">
        <f>+IF($H315=N$2,VLOOKUP($G315,Depreciation!$A$14:$L$18,12,FALSE)/2,IF($H315&lt;N$2,VLOOKUP($G315,Depreciation!$A$14:$L$18,12,FALSE),0))</f>
        <v>3.343407856743718E-2</v>
      </c>
      <c r="O315" s="307">
        <f t="shared" si="33"/>
        <v>12091176.457862353</v>
      </c>
      <c r="P315" s="732">
        <f>'Func Future Subs 2015'!P315</f>
        <v>0</v>
      </c>
      <c r="Q315" s="732">
        <f>'Func Future Subs 2015'!Q315</f>
        <v>1</v>
      </c>
      <c r="R315" s="732">
        <f>'Func Future Subs 2015'!R315</f>
        <v>0</v>
      </c>
      <c r="S315" s="735">
        <f t="shared" si="34"/>
        <v>0</v>
      </c>
      <c r="T315" s="735">
        <f t="shared" si="35"/>
        <v>12091176.457862353</v>
      </c>
      <c r="U315" s="735">
        <f t="shared" si="36"/>
        <v>0</v>
      </c>
      <c r="V315" s="736">
        <f t="shared" si="37"/>
        <v>0</v>
      </c>
      <c r="W315" s="735">
        <f t="shared" si="38"/>
        <v>0</v>
      </c>
      <c r="X315" s="737">
        <f t="shared" si="39"/>
        <v>0</v>
      </c>
      <c r="Y315" s="738">
        <f t="shared" si="40"/>
        <v>12091176.457862353</v>
      </c>
    </row>
    <row r="316" spans="1:25">
      <c r="A316" s="754" t="str">
        <f>'Func Future Subs 2015'!A316</f>
        <v>Halsbury 306S</v>
      </c>
      <c r="B316" s="754">
        <f>'Func Future Subs 2015'!B316</f>
        <v>1533</v>
      </c>
      <c r="C316" s="754">
        <f>'Func Future Subs 2015'!C316</f>
        <v>34</v>
      </c>
      <c r="D316" s="754">
        <f>'Func Future Subs 2015'!D316</f>
        <v>240</v>
      </c>
      <c r="E316" s="754" t="str">
        <f>'Func Future Subs 2015'!E316</f>
        <v>306S</v>
      </c>
      <c r="F316" s="754">
        <f>'Func Future Subs 2015'!F316</f>
        <v>121881.13948919451</v>
      </c>
      <c r="G316" s="754" t="str">
        <f>'Func Future Subs 2015'!G316</f>
        <v>AltaLink</v>
      </c>
      <c r="H316" s="754">
        <f>'Func Future Subs 2015'!H316</f>
        <v>2017</v>
      </c>
      <c r="I316" s="306">
        <f>+IF($H316=I$2,VLOOKUP($G316,Depreciation!$A$14:$L$18,7,FALSE)/2,IF($H316&lt;I$2,VLOOKUP($G316,Depreciation!$A$14:$L$18,7,FALSE),0))</f>
        <v>0</v>
      </c>
      <c r="J316" s="306">
        <f>+IF($H316=J$2,VLOOKUP($G316,Depreciation!$A$14:$L$18,8,FALSE)/2,IF($H316&lt;J$2,VLOOKUP($G316,Depreciation!$A$14:$L$18,8,FALSE),0))</f>
        <v>0</v>
      </c>
      <c r="K316" s="306">
        <f>+IF($H316=K$2,VLOOKUP($G316,Depreciation!$A$14:$L$18,9,FALSE)/2,IF($H316&lt;K$2,VLOOKUP($G316,Depreciation!$A$14:$L$18,9,FALSE),0))</f>
        <v>1.671703928371859E-2</v>
      </c>
      <c r="L316" s="306">
        <f>+IF($H316=L$2,VLOOKUP($G316,Depreciation!$A$14:$L$18,10,FALSE)/2,IF($H316&lt;L$2,VLOOKUP($G316,Depreciation!$A$14:$L$18,10,FALSE),0))</f>
        <v>3.343407856743718E-2</v>
      </c>
      <c r="M316" s="306">
        <f>+IF($H316=M$2,VLOOKUP($G316,Depreciation!$A$14:$L$18,11,FALSE)/2,IF($H316&lt;M$2,VLOOKUP($G316,Depreciation!$A$14:$L$18,11,FALSE),0))</f>
        <v>3.343407856743718E-2</v>
      </c>
      <c r="N316" s="306">
        <f>+IF($H316=N$2,VLOOKUP($G316,Depreciation!$A$14:$L$18,12,FALSE)/2,IF($H316&lt;N$2,VLOOKUP($G316,Depreciation!$A$14:$L$18,12,FALSE),0))</f>
        <v>3.343407856743718E-2</v>
      </c>
      <c r="O316" s="307">
        <f t="shared" si="33"/>
        <v>115836.78575965298</v>
      </c>
      <c r="P316" s="732">
        <f>'Func Future Subs 2015'!P316</f>
        <v>0</v>
      </c>
      <c r="Q316" s="732">
        <f>'Func Future Subs 2015'!Q316</f>
        <v>0</v>
      </c>
      <c r="R316" s="732">
        <f>'Func Future Subs 2015'!R316</f>
        <v>1</v>
      </c>
      <c r="S316" s="735">
        <f t="shared" si="34"/>
        <v>0</v>
      </c>
      <c r="T316" s="735">
        <f t="shared" si="35"/>
        <v>0</v>
      </c>
      <c r="U316" s="735">
        <f t="shared" si="36"/>
        <v>115836.78575965298</v>
      </c>
      <c r="V316" s="736">
        <f t="shared" si="37"/>
        <v>0</v>
      </c>
      <c r="W316" s="735">
        <f t="shared" si="38"/>
        <v>115836.78575965298</v>
      </c>
      <c r="X316" s="737">
        <f t="shared" si="39"/>
        <v>0</v>
      </c>
      <c r="Y316" s="738">
        <f t="shared" si="40"/>
        <v>0</v>
      </c>
    </row>
    <row r="317" spans="1:25">
      <c r="A317" s="754" t="str">
        <f>'Func Future Subs 2015'!A317</f>
        <v>Jenner 275S</v>
      </c>
      <c r="B317" s="754">
        <f>'Func Future Subs 2015'!B317</f>
        <v>1533</v>
      </c>
      <c r="C317" s="754">
        <f>'Func Future Subs 2015'!C317</f>
        <v>240</v>
      </c>
      <c r="D317" s="754">
        <f>'Func Future Subs 2015'!D317</f>
        <v>25</v>
      </c>
      <c r="E317" s="754" t="str">
        <f>'Func Future Subs 2015'!E317</f>
        <v>275S</v>
      </c>
      <c r="F317" s="754">
        <f>'Func Future Subs 2015'!F317</f>
        <v>4711112.3117223317</v>
      </c>
      <c r="G317" s="754" t="str">
        <f>'Func Future Subs 2015'!G317</f>
        <v>AltaLink</v>
      </c>
      <c r="H317" s="754">
        <f>'Func Future Subs 2015'!H317</f>
        <v>2017</v>
      </c>
      <c r="I317" s="306">
        <f>+IF($H317=I$2,VLOOKUP($G317,Depreciation!$A$14:$L$18,7,FALSE)/2,IF($H317&lt;I$2,VLOOKUP($G317,Depreciation!$A$14:$L$18,7,FALSE),0))</f>
        <v>0</v>
      </c>
      <c r="J317" s="306">
        <f>+IF($H317=J$2,VLOOKUP($G317,Depreciation!$A$14:$L$18,8,FALSE)/2,IF($H317&lt;J$2,VLOOKUP($G317,Depreciation!$A$14:$L$18,8,FALSE),0))</f>
        <v>0</v>
      </c>
      <c r="K317" s="306">
        <f>+IF($H317=K$2,VLOOKUP($G317,Depreciation!$A$14:$L$18,9,FALSE)/2,IF($H317&lt;K$2,VLOOKUP($G317,Depreciation!$A$14:$L$18,9,FALSE),0))</f>
        <v>1.671703928371859E-2</v>
      </c>
      <c r="L317" s="306">
        <f>+IF($H317=L$2,VLOOKUP($G317,Depreciation!$A$14:$L$18,10,FALSE)/2,IF($H317&lt;L$2,VLOOKUP($G317,Depreciation!$A$14:$L$18,10,FALSE),0))</f>
        <v>3.343407856743718E-2</v>
      </c>
      <c r="M317" s="306">
        <f>+IF($H317=M$2,VLOOKUP($G317,Depreciation!$A$14:$L$18,11,FALSE)/2,IF($H317&lt;M$2,VLOOKUP($G317,Depreciation!$A$14:$L$18,11,FALSE),0))</f>
        <v>3.343407856743718E-2</v>
      </c>
      <c r="N317" s="306">
        <f>+IF($H317=N$2,VLOOKUP($G317,Depreciation!$A$14:$L$18,12,FALSE)/2,IF($H317&lt;N$2,VLOOKUP($G317,Depreciation!$A$14:$L$18,12,FALSE),0))</f>
        <v>3.343407856743718E-2</v>
      </c>
      <c r="O317" s="307">
        <f t="shared" si="33"/>
        <v>4477477.8922297871</v>
      </c>
      <c r="P317" s="732">
        <f>'Func Future Subs 2015'!P317</f>
        <v>0</v>
      </c>
      <c r="Q317" s="732">
        <f>'Func Future Subs 2015'!Q317</f>
        <v>1</v>
      </c>
      <c r="R317" s="732">
        <f>'Func Future Subs 2015'!R317</f>
        <v>0</v>
      </c>
      <c r="S317" s="735">
        <f t="shared" si="34"/>
        <v>0</v>
      </c>
      <c r="T317" s="735">
        <f t="shared" si="35"/>
        <v>4477477.8922297871</v>
      </c>
      <c r="U317" s="735">
        <f t="shared" si="36"/>
        <v>0</v>
      </c>
      <c r="V317" s="736">
        <f t="shared" si="37"/>
        <v>0</v>
      </c>
      <c r="W317" s="735">
        <f t="shared" si="38"/>
        <v>0</v>
      </c>
      <c r="X317" s="737">
        <f t="shared" si="39"/>
        <v>0</v>
      </c>
      <c r="Y317" s="738">
        <f t="shared" si="40"/>
        <v>4477477.8922297871</v>
      </c>
    </row>
    <row r="318" spans="1:25">
      <c r="A318" s="754" t="str">
        <f>'Func Future Subs 2015'!A318</f>
        <v>Upgrade Bauer 918S substation</v>
      </c>
      <c r="B318" s="754">
        <f>'Func Future Subs 2015'!B318</f>
        <v>1554</v>
      </c>
      <c r="C318" s="754">
        <f>'Func Future Subs 2015'!C318</f>
        <v>144</v>
      </c>
      <c r="D318" s="754">
        <f>'Func Future Subs 2015'!D318</f>
        <v>25</v>
      </c>
      <c r="E318" s="754" t="str">
        <f>'Func Future Subs 2015'!E318</f>
        <v>918S</v>
      </c>
      <c r="F318" s="754">
        <f>'Func Future Subs 2015'!F318</f>
        <v>5879941.0000000009</v>
      </c>
      <c r="G318" s="754" t="str">
        <f>'Func Future Subs 2015'!G318</f>
        <v>ATCO</v>
      </c>
      <c r="H318" s="754">
        <f>'Func Future Subs 2015'!H318</f>
        <v>2016</v>
      </c>
      <c r="I318" s="306">
        <f>+IF($H318=I$2,VLOOKUP($G318,Depreciation!$A$14:$L$18,7,FALSE)/2,IF($H318&lt;I$2,VLOOKUP($G318,Depreciation!$A$14:$L$18,7,FALSE),0))</f>
        <v>0</v>
      </c>
      <c r="J318" s="306">
        <f>+IF($H318=J$2,VLOOKUP($G318,Depreciation!$A$14:$L$18,8,FALSE)/2,IF($H318&lt;J$2,VLOOKUP($G318,Depreciation!$A$14:$L$18,8,FALSE),0))</f>
        <v>1.231622525054236E-2</v>
      </c>
      <c r="K318" s="306">
        <f>+IF($H318=K$2,VLOOKUP($G318,Depreciation!$A$14:$L$18,9,FALSE)/2,IF($H318&lt;K$2,VLOOKUP($G318,Depreciation!$A$14:$L$18,9,FALSE),0))</f>
        <v>2.4351536427798831E-2</v>
      </c>
      <c r="L318" s="306">
        <f>+IF($H318=L$2,VLOOKUP($G318,Depreciation!$A$14:$L$18,10,FALSE)/2,IF($H318&lt;L$2,VLOOKUP($G318,Depreciation!$A$14:$L$18,10,FALSE),0))</f>
        <v>2.4351536427798831E-2</v>
      </c>
      <c r="M318" s="306">
        <f>+IF($H318=M$2,VLOOKUP($G318,Depreciation!$A$14:$L$18,11,FALSE)/2,IF($H318&lt;M$2,VLOOKUP($G318,Depreciation!$A$14:$L$18,11,FALSE),0))</f>
        <v>2.4351536427798831E-2</v>
      </c>
      <c r="N318" s="306">
        <f>+IF($H318=N$2,VLOOKUP($G318,Depreciation!$A$14:$L$18,12,FALSE)/2,IF($H318&lt;N$2,VLOOKUP($G318,Depreciation!$A$14:$L$18,12,FALSE),0))</f>
        <v>2.4351536427798831E-2</v>
      </c>
      <c r="O318" s="307">
        <f t="shared" si="33"/>
        <v>5528121.9846262904</v>
      </c>
      <c r="P318" s="732">
        <f>'Func Future Subs 2015'!P318</f>
        <v>0</v>
      </c>
      <c r="Q318" s="732">
        <f>'Func Future Subs 2015'!Q318</f>
        <v>1</v>
      </c>
      <c r="R318" s="732">
        <f>'Func Future Subs 2015'!R318</f>
        <v>0</v>
      </c>
      <c r="S318" s="735">
        <f t="shared" si="34"/>
        <v>0</v>
      </c>
      <c r="T318" s="735">
        <f t="shared" si="35"/>
        <v>5528121.9846262904</v>
      </c>
      <c r="U318" s="735">
        <f t="shared" si="36"/>
        <v>0</v>
      </c>
      <c r="V318" s="736">
        <f t="shared" si="37"/>
        <v>0</v>
      </c>
      <c r="W318" s="735">
        <f t="shared" si="38"/>
        <v>0</v>
      </c>
      <c r="X318" s="737">
        <f t="shared" si="39"/>
        <v>0</v>
      </c>
      <c r="Y318" s="738">
        <f t="shared" si="40"/>
        <v>5528121.9846262904</v>
      </c>
    </row>
    <row r="319" spans="1:25">
      <c r="A319" s="754" t="str">
        <f>'Func Future Subs 2015'!A319</f>
        <v>Hardisty 377S</v>
      </c>
      <c r="B319" s="754">
        <f>'Func Future Subs 2015'!B319</f>
        <v>1558</v>
      </c>
      <c r="C319" s="754">
        <f>'Func Future Subs 2015'!C319</f>
        <v>138</v>
      </c>
      <c r="D319" s="754">
        <f>'Func Future Subs 2015'!D319</f>
        <v>25</v>
      </c>
      <c r="E319" s="754" t="str">
        <f>'Func Future Subs 2015'!E319</f>
        <v>377S</v>
      </c>
      <c r="F319" s="754">
        <f>'Func Future Subs 2015'!F319</f>
        <v>40190.931633014516</v>
      </c>
      <c r="G319" s="754" t="str">
        <f>'Func Future Subs 2015'!G319</f>
        <v>AltaLink</v>
      </c>
      <c r="H319" s="754">
        <f>'Func Future Subs 2015'!H319</f>
        <v>2018</v>
      </c>
      <c r="I319" s="306">
        <f>+IF($H319=I$2,VLOOKUP($G319,Depreciation!$A$14:$L$18,7,FALSE)/2,IF($H319&lt;I$2,VLOOKUP($G319,Depreciation!$A$14:$L$18,7,FALSE),0))</f>
        <v>0</v>
      </c>
      <c r="J319" s="306">
        <f>+IF($H319=J$2,VLOOKUP($G319,Depreciation!$A$14:$L$18,8,FALSE)/2,IF($H319&lt;J$2,VLOOKUP($G319,Depreciation!$A$14:$L$18,8,FALSE),0))</f>
        <v>0</v>
      </c>
      <c r="K319" s="306">
        <f>+IF($H319=K$2,VLOOKUP($G319,Depreciation!$A$14:$L$18,9,FALSE)/2,IF($H319&lt;K$2,VLOOKUP($G319,Depreciation!$A$14:$L$18,9,FALSE),0))</f>
        <v>0</v>
      </c>
      <c r="L319" s="306">
        <f>+IF($H319=L$2,VLOOKUP($G319,Depreciation!$A$14:$L$18,10,FALSE)/2,IF($H319&lt;L$2,VLOOKUP($G319,Depreciation!$A$14:$L$18,10,FALSE),0))</f>
        <v>1.671703928371859E-2</v>
      </c>
      <c r="M319" s="306">
        <f>+IF($H319=M$2,VLOOKUP($G319,Depreciation!$A$14:$L$18,11,FALSE)/2,IF($H319&lt;M$2,VLOOKUP($G319,Depreciation!$A$14:$L$18,11,FALSE),0))</f>
        <v>3.343407856743718E-2</v>
      </c>
      <c r="N319" s="306">
        <f>+IF($H319=N$2,VLOOKUP($G319,Depreciation!$A$14:$L$18,12,FALSE)/2,IF($H319&lt;N$2,VLOOKUP($G319,Depreciation!$A$14:$L$18,12,FALSE),0))</f>
        <v>3.343407856743718E-2</v>
      </c>
      <c r="O319" s="307">
        <f t="shared" si="33"/>
        <v>39519.058250056165</v>
      </c>
      <c r="P319" s="732">
        <f>'Func Future Subs 2015'!P319</f>
        <v>0</v>
      </c>
      <c r="Q319" s="732">
        <f>'Func Future Subs 2015'!Q319</f>
        <v>1</v>
      </c>
      <c r="R319" s="732">
        <f>'Func Future Subs 2015'!R319</f>
        <v>0</v>
      </c>
      <c r="S319" s="735">
        <f t="shared" si="34"/>
        <v>0</v>
      </c>
      <c r="T319" s="735">
        <f t="shared" si="35"/>
        <v>39519.058250056165</v>
      </c>
      <c r="U319" s="735">
        <f t="shared" si="36"/>
        <v>0</v>
      </c>
      <c r="V319" s="736">
        <f t="shared" si="37"/>
        <v>0</v>
      </c>
      <c r="W319" s="735">
        <f t="shared" si="38"/>
        <v>0</v>
      </c>
      <c r="X319" s="737">
        <f t="shared" si="39"/>
        <v>0</v>
      </c>
      <c r="Y319" s="738">
        <f t="shared" si="40"/>
        <v>39519.058250056165</v>
      </c>
    </row>
    <row r="320" spans="1:25">
      <c r="A320" s="754" t="str">
        <f>'Func Future Subs 2015'!A320</f>
        <v>Rosyth 296S</v>
      </c>
      <c r="B320" s="754">
        <f>'Func Future Subs 2015'!B320</f>
        <v>1558</v>
      </c>
      <c r="C320" s="754">
        <f>'Func Future Subs 2015'!C320</f>
        <v>138</v>
      </c>
      <c r="D320" s="754">
        <f>'Func Future Subs 2015'!D320</f>
        <v>25</v>
      </c>
      <c r="E320" s="754" t="str">
        <f>'Func Future Subs 2015'!E320</f>
        <v>296S</v>
      </c>
      <c r="F320" s="754">
        <f>'Func Future Subs 2015'!F320</f>
        <v>1504538.7885228479</v>
      </c>
      <c r="G320" s="754" t="str">
        <f>'Func Future Subs 2015'!G320</f>
        <v>AltaLink</v>
      </c>
      <c r="H320" s="754">
        <f>'Func Future Subs 2015'!H320</f>
        <v>2018</v>
      </c>
      <c r="I320" s="306">
        <f>+IF($H320=I$2,VLOOKUP($G320,Depreciation!$A$14:$L$18,7,FALSE)/2,IF($H320&lt;I$2,VLOOKUP($G320,Depreciation!$A$14:$L$18,7,FALSE),0))</f>
        <v>0</v>
      </c>
      <c r="J320" s="306">
        <f>+IF($H320=J$2,VLOOKUP($G320,Depreciation!$A$14:$L$18,8,FALSE)/2,IF($H320&lt;J$2,VLOOKUP($G320,Depreciation!$A$14:$L$18,8,FALSE),0))</f>
        <v>0</v>
      </c>
      <c r="K320" s="306">
        <f>+IF($H320=K$2,VLOOKUP($G320,Depreciation!$A$14:$L$18,9,FALSE)/2,IF($H320&lt;K$2,VLOOKUP($G320,Depreciation!$A$14:$L$18,9,FALSE),0))</f>
        <v>0</v>
      </c>
      <c r="L320" s="306">
        <f>+IF($H320=L$2,VLOOKUP($G320,Depreciation!$A$14:$L$18,10,FALSE)/2,IF($H320&lt;L$2,VLOOKUP($G320,Depreciation!$A$14:$L$18,10,FALSE),0))</f>
        <v>1.671703928371859E-2</v>
      </c>
      <c r="M320" s="306">
        <f>+IF($H320=M$2,VLOOKUP($G320,Depreciation!$A$14:$L$18,11,FALSE)/2,IF($H320&lt;M$2,VLOOKUP($G320,Depreciation!$A$14:$L$18,11,FALSE),0))</f>
        <v>3.343407856743718E-2</v>
      </c>
      <c r="N320" s="306">
        <f>+IF($H320=N$2,VLOOKUP($G320,Depreciation!$A$14:$L$18,12,FALSE)/2,IF($H320&lt;N$2,VLOOKUP($G320,Depreciation!$A$14:$L$18,12,FALSE),0))</f>
        <v>3.343407856743718E-2</v>
      </c>
      <c r="O320" s="307">
        <f t="shared" si="33"/>
        <v>1479387.3544912331</v>
      </c>
      <c r="P320" s="732">
        <f>'Func Future Subs 2015'!P320</f>
        <v>0</v>
      </c>
      <c r="Q320" s="732">
        <f>'Func Future Subs 2015'!Q320</f>
        <v>0</v>
      </c>
      <c r="R320" s="732">
        <f>'Func Future Subs 2015'!R320</f>
        <v>1</v>
      </c>
      <c r="S320" s="735">
        <f t="shared" si="34"/>
        <v>0</v>
      </c>
      <c r="T320" s="735">
        <f t="shared" si="35"/>
        <v>0</v>
      </c>
      <c r="U320" s="735">
        <f t="shared" si="36"/>
        <v>1479387.3544912331</v>
      </c>
      <c r="V320" s="736">
        <f t="shared" si="37"/>
        <v>0</v>
      </c>
      <c r="W320" s="735">
        <f t="shared" si="38"/>
        <v>0</v>
      </c>
      <c r="X320" s="737">
        <f t="shared" si="39"/>
        <v>0</v>
      </c>
      <c r="Y320" s="738">
        <f t="shared" si="40"/>
        <v>1479387.3544912331</v>
      </c>
    </row>
    <row r="321" spans="1:25">
      <c r="A321" s="754" t="str">
        <f>'Func Future Subs 2015'!A321</f>
        <v>Blackfalds 198S</v>
      </c>
      <c r="B321" s="754">
        <f>'Func Future Subs 2015'!B321</f>
        <v>1568</v>
      </c>
      <c r="C321" s="754">
        <f>'Func Future Subs 2015'!C321</f>
        <v>138</v>
      </c>
      <c r="D321" s="754">
        <f>'Func Future Subs 2015'!D321</f>
        <v>25</v>
      </c>
      <c r="E321" s="754" t="str">
        <f>'Func Future Subs 2015'!E321</f>
        <v>198S</v>
      </c>
      <c r="F321" s="754">
        <f>'Func Future Subs 2015'!F321</f>
        <v>6213000</v>
      </c>
      <c r="G321" s="754" t="str">
        <f>'Func Future Subs 2015'!G321</f>
        <v>AltaLink</v>
      </c>
      <c r="H321" s="754">
        <f>'Func Future Subs 2015'!H321</f>
        <v>2016</v>
      </c>
      <c r="I321" s="306">
        <f>+IF($H321=I$2,VLOOKUP($G321,Depreciation!$A$14:$L$18,7,FALSE)/2,IF($H321&lt;I$2,VLOOKUP($G321,Depreciation!$A$14:$L$18,7,FALSE),0))</f>
        <v>0</v>
      </c>
      <c r="J321" s="306">
        <f>+IF($H321=J$2,VLOOKUP($G321,Depreciation!$A$14:$L$18,8,FALSE)/2,IF($H321&lt;J$2,VLOOKUP($G321,Depreciation!$A$14:$L$18,8,FALSE),0))</f>
        <v>1.671703928371859E-2</v>
      </c>
      <c r="K321" s="306">
        <f>+IF($H321=K$2,VLOOKUP($G321,Depreciation!$A$14:$L$18,9,FALSE)/2,IF($H321&lt;K$2,VLOOKUP($G321,Depreciation!$A$14:$L$18,9,FALSE),0))</f>
        <v>3.343407856743718E-2</v>
      </c>
      <c r="L321" s="306">
        <f>+IF($H321=L$2,VLOOKUP($G321,Depreciation!$A$14:$L$18,10,FALSE)/2,IF($H321&lt;L$2,VLOOKUP($G321,Depreciation!$A$14:$L$18,10,FALSE),0))</f>
        <v>3.343407856743718E-2</v>
      </c>
      <c r="M321" s="306">
        <f>+IF($H321=M$2,VLOOKUP($G321,Depreciation!$A$14:$L$18,11,FALSE)/2,IF($H321&lt;M$2,VLOOKUP($G321,Depreciation!$A$14:$L$18,11,FALSE),0))</f>
        <v>3.343407856743718E-2</v>
      </c>
      <c r="N321" s="306">
        <f>+IF($H321=N$2,VLOOKUP($G321,Depreciation!$A$14:$L$18,12,FALSE)/2,IF($H321&lt;N$2,VLOOKUP($G321,Depreciation!$A$14:$L$18,12,FALSE),0))</f>
        <v>3.343407856743718E-2</v>
      </c>
      <c r="O321" s="307">
        <f t="shared" si="33"/>
        <v>5707459.3228602316</v>
      </c>
      <c r="P321" s="732">
        <f>'Func Future Subs 2015'!P321</f>
        <v>0</v>
      </c>
      <c r="Q321" s="732">
        <f>'Func Future Subs 2015'!Q321</f>
        <v>1</v>
      </c>
      <c r="R321" s="732">
        <f>'Func Future Subs 2015'!R321</f>
        <v>0</v>
      </c>
      <c r="S321" s="735">
        <f t="shared" si="34"/>
        <v>0</v>
      </c>
      <c r="T321" s="735">
        <f t="shared" si="35"/>
        <v>5707459.3228602316</v>
      </c>
      <c r="U321" s="735">
        <f t="shared" si="36"/>
        <v>0</v>
      </c>
      <c r="V321" s="736">
        <f t="shared" si="37"/>
        <v>0</v>
      </c>
      <c r="W321" s="735">
        <f t="shared" si="38"/>
        <v>0</v>
      </c>
      <c r="X321" s="737">
        <f t="shared" si="39"/>
        <v>0</v>
      </c>
      <c r="Y321" s="738">
        <f t="shared" si="40"/>
        <v>5707459.3228602316</v>
      </c>
    </row>
    <row r="322" spans="1:25">
      <c r="A322" s="754" t="str">
        <f>'Func Future Subs 2015'!A322</f>
        <v>Colinton 159S</v>
      </c>
      <c r="B322" s="754">
        <f>'Func Future Subs 2015'!B322</f>
        <v>1569</v>
      </c>
      <c r="C322" s="754">
        <f>'Func Future Subs 2015'!C322</f>
        <v>138</v>
      </c>
      <c r="D322" s="754">
        <f>'Func Future Subs 2015'!D322</f>
        <v>25</v>
      </c>
      <c r="E322" s="754" t="str">
        <f>'Func Future Subs 2015'!E322</f>
        <v>159S</v>
      </c>
      <c r="F322" s="754">
        <f>'Func Future Subs 2015'!F322</f>
        <v>5247000.0000000019</v>
      </c>
      <c r="G322" s="754" t="str">
        <f>'Func Future Subs 2015'!G322</f>
        <v>AltaLink</v>
      </c>
      <c r="H322" s="754">
        <f>'Func Future Subs 2015'!H322</f>
        <v>2016</v>
      </c>
      <c r="I322" s="306">
        <f>+IF($H322=I$2,VLOOKUP($G322,Depreciation!$A$14:$L$18,7,FALSE)/2,IF($H322&lt;I$2,VLOOKUP($G322,Depreciation!$A$14:$L$18,7,FALSE),0))</f>
        <v>0</v>
      </c>
      <c r="J322" s="306">
        <f>+IF($H322=J$2,VLOOKUP($G322,Depreciation!$A$14:$L$18,8,FALSE)/2,IF($H322&lt;J$2,VLOOKUP($G322,Depreciation!$A$14:$L$18,8,FALSE),0))</f>
        <v>1.671703928371859E-2</v>
      </c>
      <c r="K322" s="306">
        <f>+IF($H322=K$2,VLOOKUP($G322,Depreciation!$A$14:$L$18,9,FALSE)/2,IF($H322&lt;K$2,VLOOKUP($G322,Depreciation!$A$14:$L$18,9,FALSE),0))</f>
        <v>3.343407856743718E-2</v>
      </c>
      <c r="L322" s="306">
        <f>+IF($H322=L$2,VLOOKUP($G322,Depreciation!$A$14:$L$18,10,FALSE)/2,IF($H322&lt;L$2,VLOOKUP($G322,Depreciation!$A$14:$L$18,10,FALSE),0))</f>
        <v>3.343407856743718E-2</v>
      </c>
      <c r="M322" s="306">
        <f>+IF($H322=M$2,VLOOKUP($G322,Depreciation!$A$14:$L$18,11,FALSE)/2,IF($H322&lt;M$2,VLOOKUP($G322,Depreciation!$A$14:$L$18,11,FALSE),0))</f>
        <v>3.343407856743718E-2</v>
      </c>
      <c r="N322" s="306">
        <f>+IF($H322=N$2,VLOOKUP($G322,Depreciation!$A$14:$L$18,12,FALSE)/2,IF($H322&lt;N$2,VLOOKUP($G322,Depreciation!$A$14:$L$18,12,FALSE),0))</f>
        <v>3.343407856743718E-2</v>
      </c>
      <c r="O322" s="307">
        <f t="shared" si="33"/>
        <v>4820061.0119181797</v>
      </c>
      <c r="P322" s="732">
        <f>'Func Future Subs 2015'!P322</f>
        <v>0</v>
      </c>
      <c r="Q322" s="732">
        <f>'Func Future Subs 2015'!Q322</f>
        <v>1</v>
      </c>
      <c r="R322" s="732">
        <f>'Func Future Subs 2015'!R322</f>
        <v>0</v>
      </c>
      <c r="S322" s="735">
        <f t="shared" si="34"/>
        <v>0</v>
      </c>
      <c r="T322" s="735">
        <f t="shared" si="35"/>
        <v>4820061.0119181797</v>
      </c>
      <c r="U322" s="735">
        <f t="shared" si="36"/>
        <v>0</v>
      </c>
      <c r="V322" s="736">
        <f t="shared" si="37"/>
        <v>0</v>
      </c>
      <c r="W322" s="735">
        <f t="shared" si="38"/>
        <v>0</v>
      </c>
      <c r="X322" s="737">
        <f t="shared" si="39"/>
        <v>0</v>
      </c>
      <c r="Y322" s="738">
        <f t="shared" si="40"/>
        <v>4820061.0119181797</v>
      </c>
    </row>
    <row r="323" spans="1:25">
      <c r="A323" s="754" t="str">
        <f>'Func Future Subs 2015'!A323</f>
        <v>Bohn 931S</v>
      </c>
      <c r="B323" s="754">
        <f>'Func Future Subs 2015'!B323</f>
        <v>1570</v>
      </c>
      <c r="C323" s="754">
        <f>'Func Future Subs 2015'!C323</f>
        <v>240</v>
      </c>
      <c r="D323" s="754">
        <f>'Func Future Subs 2015'!D323</f>
        <v>25</v>
      </c>
      <c r="E323" s="754" t="str">
        <f>'Func Future Subs 2015'!E323</f>
        <v>931S</v>
      </c>
      <c r="F323" s="754">
        <f>'Func Future Subs 2015'!F323</f>
        <v>6197779.730344899</v>
      </c>
      <c r="G323" s="754" t="str">
        <f>'Func Future Subs 2015'!G323</f>
        <v>ATCO</v>
      </c>
      <c r="H323" s="754">
        <f>'Func Future Subs 2015'!H323</f>
        <v>2017</v>
      </c>
      <c r="I323" s="306">
        <f>+IF($H323=I$2,VLOOKUP($G323,Depreciation!$A$14:$L$18,7,FALSE)/2,IF($H323&lt;I$2,VLOOKUP($G323,Depreciation!$A$14:$L$18,7,FALSE),0))</f>
        <v>0</v>
      </c>
      <c r="J323" s="306">
        <f>+IF($H323=J$2,VLOOKUP($G323,Depreciation!$A$14:$L$18,8,FALSE)/2,IF($H323&lt;J$2,VLOOKUP($G323,Depreciation!$A$14:$L$18,8,FALSE),0))</f>
        <v>0</v>
      </c>
      <c r="K323" s="306">
        <f>+IF($H323=K$2,VLOOKUP($G323,Depreciation!$A$14:$L$18,9,FALSE)/2,IF($H323&lt;K$2,VLOOKUP($G323,Depreciation!$A$14:$L$18,9,FALSE),0))</f>
        <v>1.2175768213899416E-2</v>
      </c>
      <c r="L323" s="306">
        <f>+IF($H323=L$2,VLOOKUP($G323,Depreciation!$A$14:$L$18,10,FALSE)/2,IF($H323&lt;L$2,VLOOKUP($G323,Depreciation!$A$14:$L$18,10,FALSE),0))</f>
        <v>2.4351536427798831E-2</v>
      </c>
      <c r="M323" s="306">
        <f>+IF($H323=M$2,VLOOKUP($G323,Depreciation!$A$14:$L$18,11,FALSE)/2,IF($H323&lt;M$2,VLOOKUP($G323,Depreciation!$A$14:$L$18,11,FALSE),0))</f>
        <v>2.4351536427798831E-2</v>
      </c>
      <c r="N323" s="306">
        <f>+IF($H323=N$2,VLOOKUP($G323,Depreciation!$A$14:$L$18,12,FALSE)/2,IF($H323&lt;N$2,VLOOKUP($G323,Depreciation!$A$14:$L$18,12,FALSE),0))</f>
        <v>2.4351536427798831E-2</v>
      </c>
      <c r="O323" s="307">
        <f t="shared" si="33"/>
        <v>5973229.1754372865</v>
      </c>
      <c r="P323" s="732">
        <f>'Func Future Subs 2015'!P323</f>
        <v>0</v>
      </c>
      <c r="Q323" s="732">
        <f>'Func Future Subs 2015'!Q323</f>
        <v>1</v>
      </c>
      <c r="R323" s="732">
        <f>'Func Future Subs 2015'!R323</f>
        <v>0</v>
      </c>
      <c r="S323" s="735">
        <f t="shared" si="34"/>
        <v>0</v>
      </c>
      <c r="T323" s="735">
        <f t="shared" si="35"/>
        <v>5973229.1754372865</v>
      </c>
      <c r="U323" s="735">
        <f t="shared" si="36"/>
        <v>0</v>
      </c>
      <c r="V323" s="736">
        <f t="shared" si="37"/>
        <v>0</v>
      </c>
      <c r="W323" s="735">
        <f t="shared" si="38"/>
        <v>0</v>
      </c>
      <c r="X323" s="737">
        <f t="shared" si="39"/>
        <v>0</v>
      </c>
      <c r="Y323" s="738">
        <f t="shared" si="40"/>
        <v>5973229.1754372865</v>
      </c>
    </row>
    <row r="324" spans="1:25">
      <c r="A324" s="754" t="str">
        <f>'Func Future Subs 2015'!A324</f>
        <v>Mahihkan 837S</v>
      </c>
      <c r="B324" s="754">
        <f>'Func Future Subs 2015'!B324</f>
        <v>1571</v>
      </c>
      <c r="C324" s="754">
        <f>'Func Future Subs 2015'!C324</f>
        <v>138</v>
      </c>
      <c r="D324" s="754">
        <f>'Func Future Subs 2015'!D324</f>
        <v>25</v>
      </c>
      <c r="E324" s="754" t="str">
        <f>'Func Future Subs 2015'!E324</f>
        <v>837S</v>
      </c>
      <c r="F324" s="754">
        <f>'Func Future Subs 2015'!F324</f>
        <v>1810761.9999999988</v>
      </c>
      <c r="G324" s="754" t="str">
        <f>'Func Future Subs 2015'!G324</f>
        <v>ATCO</v>
      </c>
      <c r="H324" s="754">
        <f>'Func Future Subs 2015'!H324</f>
        <v>2017</v>
      </c>
      <c r="I324" s="306">
        <f>+IF($H324=I$2,VLOOKUP($G324,Depreciation!$A$14:$L$18,7,FALSE)/2,IF($H324&lt;I$2,VLOOKUP($G324,Depreciation!$A$14:$L$18,7,FALSE),0))</f>
        <v>0</v>
      </c>
      <c r="J324" s="306">
        <f>+IF($H324=J$2,VLOOKUP($G324,Depreciation!$A$14:$L$18,8,FALSE)/2,IF($H324&lt;J$2,VLOOKUP($G324,Depreciation!$A$14:$L$18,8,FALSE),0))</f>
        <v>0</v>
      </c>
      <c r="K324" s="306">
        <f>+IF($H324=K$2,VLOOKUP($G324,Depreciation!$A$14:$L$18,9,FALSE)/2,IF($H324&lt;K$2,VLOOKUP($G324,Depreciation!$A$14:$L$18,9,FALSE),0))</f>
        <v>1.2175768213899416E-2</v>
      </c>
      <c r="L324" s="306">
        <f>+IF($H324=L$2,VLOOKUP($G324,Depreciation!$A$14:$L$18,10,FALSE)/2,IF($H324&lt;L$2,VLOOKUP($G324,Depreciation!$A$14:$L$18,10,FALSE),0))</f>
        <v>2.4351536427798831E-2</v>
      </c>
      <c r="M324" s="306">
        <f>+IF($H324=M$2,VLOOKUP($G324,Depreciation!$A$14:$L$18,11,FALSE)/2,IF($H324&lt;M$2,VLOOKUP($G324,Depreciation!$A$14:$L$18,11,FALSE),0))</f>
        <v>2.4351536427798831E-2</v>
      </c>
      <c r="N324" s="306">
        <f>+IF($H324=N$2,VLOOKUP($G324,Depreciation!$A$14:$L$18,12,FALSE)/2,IF($H324&lt;N$2,VLOOKUP($G324,Depreciation!$A$14:$L$18,12,FALSE),0))</f>
        <v>2.4351536427798831E-2</v>
      </c>
      <c r="O324" s="307">
        <f t="shared" ref="O324:O354" si="41">IF(H324&lt;=2018,F324*(1-I324)*(1-J324)*(1-K324)*(1-L324),0)</f>
        <v>1745156.6333047561</v>
      </c>
      <c r="P324" s="732">
        <f>'Func Future Subs 2015'!P324</f>
        <v>0</v>
      </c>
      <c r="Q324" s="732">
        <f>'Func Future Subs 2015'!Q324</f>
        <v>1</v>
      </c>
      <c r="R324" s="732">
        <f>'Func Future Subs 2015'!R324</f>
        <v>0</v>
      </c>
      <c r="S324" s="735">
        <f t="shared" ref="S324:S354" si="42">+P324*$O324</f>
        <v>0</v>
      </c>
      <c r="T324" s="735">
        <f t="shared" ref="T324:T354" si="43">+Q324*$O324</f>
        <v>1745156.6333047561</v>
      </c>
      <c r="U324" s="735">
        <f t="shared" ref="U324:U354" si="44">+R324*$O324</f>
        <v>0</v>
      </c>
      <c r="V324" s="736">
        <f t="shared" ref="V324:V354" si="45">IF(AND(R324=1,D324=0),O324,0)</f>
        <v>0</v>
      </c>
      <c r="W324" s="735">
        <f t="shared" ref="W324:W354" si="46">S324+IF(D324&gt;144,U324,0)</f>
        <v>0</v>
      </c>
      <c r="X324" s="737">
        <f t="shared" ref="X324:X354" si="47">IF(AND(D324&lt;=144,D324&gt;=69),U324,0)</f>
        <v>0</v>
      </c>
      <c r="Y324" s="738">
        <f t="shared" ref="Y324:Y354" si="48">T324+IF(AND(D324&lt;69,D324&gt;0),U324,0)</f>
        <v>1745156.6333047561</v>
      </c>
    </row>
    <row r="325" spans="1:25">
      <c r="A325" s="754" t="str">
        <f>'Func Future Subs 2015'!A325</f>
        <v>Leduc 325S 180D</v>
      </c>
      <c r="B325" s="754">
        <f>'Func Future Subs 2015'!B325</f>
        <v>1574</v>
      </c>
      <c r="C325" s="754">
        <f>'Func Future Subs 2015'!C325</f>
        <v>138</v>
      </c>
      <c r="D325" s="754">
        <f>'Func Future Subs 2015'!D325</f>
        <v>25</v>
      </c>
      <c r="E325" s="754" t="str">
        <f>'Func Future Subs 2015'!E325</f>
        <v>325S</v>
      </c>
      <c r="F325" s="754">
        <f>'Func Future Subs 2015'!F325</f>
        <v>6315643.0000000047</v>
      </c>
      <c r="G325" s="754" t="str">
        <f>'Func Future Subs 2015'!G325</f>
        <v>AltaLink</v>
      </c>
      <c r="H325" s="754">
        <f>'Func Future Subs 2015'!H325</f>
        <v>2016</v>
      </c>
      <c r="I325" s="306">
        <f>+IF($H325=I$2,VLOOKUP($G325,Depreciation!$A$14:$L$18,7,FALSE)/2,IF($H325&lt;I$2,VLOOKUP($G325,Depreciation!$A$14:$L$18,7,FALSE),0))</f>
        <v>0</v>
      </c>
      <c r="J325" s="306">
        <f>+IF($H325=J$2,VLOOKUP($G325,Depreciation!$A$14:$L$18,8,FALSE)/2,IF($H325&lt;J$2,VLOOKUP($G325,Depreciation!$A$14:$L$18,8,FALSE),0))</f>
        <v>1.671703928371859E-2</v>
      </c>
      <c r="K325" s="306">
        <f>+IF($H325=K$2,VLOOKUP($G325,Depreciation!$A$14:$L$18,9,FALSE)/2,IF($H325&lt;K$2,VLOOKUP($G325,Depreciation!$A$14:$L$18,9,FALSE),0))</f>
        <v>3.343407856743718E-2</v>
      </c>
      <c r="L325" s="306">
        <f>+IF($H325=L$2,VLOOKUP($G325,Depreciation!$A$14:$L$18,10,FALSE)/2,IF($H325&lt;L$2,VLOOKUP($G325,Depreciation!$A$14:$L$18,10,FALSE),0))</f>
        <v>3.343407856743718E-2</v>
      </c>
      <c r="M325" s="306">
        <f>+IF($H325=M$2,VLOOKUP($G325,Depreciation!$A$14:$L$18,11,FALSE)/2,IF($H325&lt;M$2,VLOOKUP($G325,Depreciation!$A$14:$L$18,11,FALSE),0))</f>
        <v>3.343407856743718E-2</v>
      </c>
      <c r="N325" s="306">
        <f>+IF($H325=N$2,VLOOKUP($G325,Depreciation!$A$14:$L$18,12,FALSE)/2,IF($H325&lt;N$2,VLOOKUP($G325,Depreciation!$A$14:$L$18,12,FALSE),0))</f>
        <v>3.343407856743718E-2</v>
      </c>
      <c r="O325" s="307">
        <f t="shared" si="41"/>
        <v>5801750.4458726849</v>
      </c>
      <c r="P325" s="732">
        <f>'Func Future Subs 2015'!P325</f>
        <v>0</v>
      </c>
      <c r="Q325" s="732">
        <f>'Func Future Subs 2015'!Q325</f>
        <v>1</v>
      </c>
      <c r="R325" s="732">
        <f>'Func Future Subs 2015'!R325</f>
        <v>0</v>
      </c>
      <c r="S325" s="735">
        <f t="shared" si="42"/>
        <v>0</v>
      </c>
      <c r="T325" s="735">
        <f t="shared" si="43"/>
        <v>5801750.4458726849</v>
      </c>
      <c r="U325" s="735">
        <f t="shared" si="44"/>
        <v>0</v>
      </c>
      <c r="V325" s="736">
        <f t="shared" si="45"/>
        <v>0</v>
      </c>
      <c r="W325" s="735">
        <f t="shared" si="46"/>
        <v>0</v>
      </c>
      <c r="X325" s="737">
        <f t="shared" si="47"/>
        <v>0</v>
      </c>
      <c r="Y325" s="738">
        <f t="shared" si="48"/>
        <v>5801750.4458726849</v>
      </c>
    </row>
    <row r="326" spans="1:25">
      <c r="A326" s="754" t="str">
        <f>'Func Future Subs 2015'!A326</f>
        <v>Modify Vilna 777S</v>
      </c>
      <c r="B326" s="754">
        <f>'Func Future Subs 2015'!B326</f>
        <v>1579</v>
      </c>
      <c r="C326" s="754">
        <f>'Func Future Subs 2015'!C326</f>
        <v>138</v>
      </c>
      <c r="D326" s="754">
        <f>'Func Future Subs 2015'!D326</f>
        <v>25</v>
      </c>
      <c r="E326" s="754" t="str">
        <f>'Func Future Subs 2015'!E326</f>
        <v>777S</v>
      </c>
      <c r="F326" s="754">
        <f>'Func Future Subs 2015'!F326</f>
        <v>196941.99999999985</v>
      </c>
      <c r="G326" s="754" t="str">
        <f>'Func Future Subs 2015'!G326</f>
        <v>ATCO</v>
      </c>
      <c r="H326" s="754">
        <f>'Func Future Subs 2015'!H326</f>
        <v>2015</v>
      </c>
      <c r="I326" s="306">
        <f>+IF($H326=I$2,VLOOKUP($G326,Depreciation!$A$14:$L$18,7,FALSE)/2,IF($H326&lt;I$2,VLOOKUP($G326,Depreciation!$A$14:$L$18,7,FALSE),0))</f>
        <v>1.221703683566912E-2</v>
      </c>
      <c r="J326" s="306">
        <f>+IF($H326=J$2,VLOOKUP($G326,Depreciation!$A$14:$L$18,8,FALSE)/2,IF($H326&lt;J$2,VLOOKUP($G326,Depreciation!$A$14:$L$18,8,FALSE),0))</f>
        <v>2.4632450501084719E-2</v>
      </c>
      <c r="K326" s="306">
        <f>+IF($H326=K$2,VLOOKUP($G326,Depreciation!$A$14:$L$18,9,FALSE)/2,IF($H326&lt;K$2,VLOOKUP($G326,Depreciation!$A$14:$L$18,9,FALSE),0))</f>
        <v>2.4351536427798831E-2</v>
      </c>
      <c r="L326" s="306">
        <f>+IF($H326=L$2,VLOOKUP($G326,Depreciation!$A$14:$L$18,10,FALSE)/2,IF($H326&lt;L$2,VLOOKUP($G326,Depreciation!$A$14:$L$18,10,FALSE),0))</f>
        <v>2.4351536427798831E-2</v>
      </c>
      <c r="M326" s="306">
        <f>+IF($H326=M$2,VLOOKUP($G326,Depreciation!$A$14:$L$18,11,FALSE)/2,IF($H326&lt;M$2,VLOOKUP($G326,Depreciation!$A$14:$L$18,11,FALSE),0))</f>
        <v>2.4351536427798831E-2</v>
      </c>
      <c r="N326" s="306">
        <f>+IF($H326=N$2,VLOOKUP($G326,Depreciation!$A$14:$L$18,12,FALSE)/2,IF($H326&lt;N$2,VLOOKUP($G326,Depreciation!$A$14:$L$18,12,FALSE),0))</f>
        <v>2.4351536427798831E-2</v>
      </c>
      <c r="O326" s="307">
        <f t="shared" si="41"/>
        <v>180615.45429222117</v>
      </c>
      <c r="P326" s="732">
        <f>'Func Future Subs 2015'!P326</f>
        <v>0</v>
      </c>
      <c r="Q326" s="732">
        <f>'Func Future Subs 2015'!Q326</f>
        <v>1</v>
      </c>
      <c r="R326" s="732">
        <f>'Func Future Subs 2015'!R326</f>
        <v>0</v>
      </c>
      <c r="S326" s="735">
        <f t="shared" si="42"/>
        <v>0</v>
      </c>
      <c r="T326" s="735">
        <f t="shared" si="43"/>
        <v>180615.45429222117</v>
      </c>
      <c r="U326" s="735">
        <f t="shared" si="44"/>
        <v>0</v>
      </c>
      <c r="V326" s="736">
        <f t="shared" si="45"/>
        <v>0</v>
      </c>
      <c r="W326" s="735">
        <f t="shared" si="46"/>
        <v>0</v>
      </c>
      <c r="X326" s="737">
        <f t="shared" si="47"/>
        <v>0</v>
      </c>
      <c r="Y326" s="738">
        <f t="shared" si="48"/>
        <v>180615.45429222117</v>
      </c>
    </row>
    <row r="327" spans="1:25">
      <c r="A327" s="754" t="str">
        <f>'Func Future Subs 2015'!A327</f>
        <v>Upgrade Simonette 733S</v>
      </c>
      <c r="B327" s="754">
        <f>'Func Future Subs 2015'!B327</f>
        <v>1581</v>
      </c>
      <c r="C327" s="754">
        <f>'Func Future Subs 2015'!C327</f>
        <v>144</v>
      </c>
      <c r="D327" s="754">
        <f>'Func Future Subs 2015'!D327</f>
        <v>25</v>
      </c>
      <c r="E327" s="754" t="str">
        <f>'Func Future Subs 2015'!E327</f>
        <v>733S</v>
      </c>
      <c r="F327" s="754">
        <f>'Func Future Subs 2015'!F327</f>
        <v>6524690.9999999991</v>
      </c>
      <c r="G327" s="754" t="str">
        <f>'Func Future Subs 2015'!G327</f>
        <v>ATCO</v>
      </c>
      <c r="H327" s="754">
        <f>'Func Future Subs 2015'!H327</f>
        <v>2016</v>
      </c>
      <c r="I327" s="306">
        <f>+IF($H327=I$2,VLOOKUP($G327,Depreciation!$A$14:$L$18,7,FALSE)/2,IF($H327&lt;I$2,VLOOKUP($G327,Depreciation!$A$14:$L$18,7,FALSE),0))</f>
        <v>0</v>
      </c>
      <c r="J327" s="306">
        <f>+IF($H327=J$2,VLOOKUP($G327,Depreciation!$A$14:$L$18,8,FALSE)/2,IF($H327&lt;J$2,VLOOKUP($G327,Depreciation!$A$14:$L$18,8,FALSE),0))</f>
        <v>1.231622525054236E-2</v>
      </c>
      <c r="K327" s="306">
        <f>+IF($H327=K$2,VLOOKUP($G327,Depreciation!$A$14:$L$18,9,FALSE)/2,IF($H327&lt;K$2,VLOOKUP($G327,Depreciation!$A$14:$L$18,9,FALSE),0))</f>
        <v>2.4351536427798831E-2</v>
      </c>
      <c r="L327" s="306">
        <f>+IF($H327=L$2,VLOOKUP($G327,Depreciation!$A$14:$L$18,10,FALSE)/2,IF($H327&lt;L$2,VLOOKUP($G327,Depreciation!$A$14:$L$18,10,FALSE),0))</f>
        <v>2.4351536427798831E-2</v>
      </c>
      <c r="M327" s="306">
        <f>+IF($H327=M$2,VLOOKUP($G327,Depreciation!$A$14:$L$18,11,FALSE)/2,IF($H327&lt;M$2,VLOOKUP($G327,Depreciation!$A$14:$L$18,11,FALSE),0))</f>
        <v>2.4351536427798831E-2</v>
      </c>
      <c r="N327" s="306">
        <f>+IF($H327=N$2,VLOOKUP($G327,Depreciation!$A$14:$L$18,12,FALSE)/2,IF($H327&lt;N$2,VLOOKUP($G327,Depreciation!$A$14:$L$18,12,FALSE),0))</f>
        <v>2.4351536427798831E-2</v>
      </c>
      <c r="O327" s="307">
        <f t="shared" si="41"/>
        <v>6134294.1638348559</v>
      </c>
      <c r="P327" s="732">
        <f>'Func Future Subs 2015'!P327</f>
        <v>0</v>
      </c>
      <c r="Q327" s="732">
        <f>'Func Future Subs 2015'!Q327</f>
        <v>1</v>
      </c>
      <c r="R327" s="732">
        <f>'Func Future Subs 2015'!R327</f>
        <v>0</v>
      </c>
      <c r="S327" s="735">
        <f t="shared" si="42"/>
        <v>0</v>
      </c>
      <c r="T327" s="735">
        <f t="shared" si="43"/>
        <v>6134294.1638348559</v>
      </c>
      <c r="U327" s="735">
        <f t="shared" si="44"/>
        <v>0</v>
      </c>
      <c r="V327" s="736">
        <f t="shared" si="45"/>
        <v>0</v>
      </c>
      <c r="W327" s="735">
        <f t="shared" si="46"/>
        <v>0</v>
      </c>
      <c r="X327" s="737">
        <f t="shared" si="47"/>
        <v>0</v>
      </c>
      <c r="Y327" s="738">
        <f t="shared" si="48"/>
        <v>6134294.1638348559</v>
      </c>
    </row>
    <row r="328" spans="1:25">
      <c r="A328" s="754" t="str">
        <f>'Func Future Subs 2015'!A328</f>
        <v>Jarrow 252S</v>
      </c>
      <c r="B328" s="754">
        <f>'Func Future Subs 2015'!B328</f>
        <v>1594</v>
      </c>
      <c r="C328" s="754">
        <f>'Func Future Subs 2015'!C328</f>
        <v>138</v>
      </c>
      <c r="D328" s="754">
        <f>'Func Future Subs 2015'!D328</f>
        <v>25</v>
      </c>
      <c r="E328" s="754" t="str">
        <f>'Func Future Subs 2015'!E328</f>
        <v>252S</v>
      </c>
      <c r="F328" s="754">
        <f>'Func Future Subs 2015'!F328</f>
        <v>13928.712350388019</v>
      </c>
      <c r="G328" s="754" t="str">
        <f>'Func Future Subs 2015'!G328</f>
        <v>AltaLink</v>
      </c>
      <c r="H328" s="754">
        <f>'Func Future Subs 2015'!H328</f>
        <v>2018</v>
      </c>
      <c r="I328" s="306">
        <f>+IF($H328=I$2,VLOOKUP($G328,Depreciation!$A$14:$L$18,7,FALSE)/2,IF($H328&lt;I$2,VLOOKUP($G328,Depreciation!$A$14:$L$18,7,FALSE),0))</f>
        <v>0</v>
      </c>
      <c r="J328" s="306">
        <f>+IF($H328=J$2,VLOOKUP($G328,Depreciation!$A$14:$L$18,8,FALSE)/2,IF($H328&lt;J$2,VLOOKUP($G328,Depreciation!$A$14:$L$18,8,FALSE),0))</f>
        <v>0</v>
      </c>
      <c r="K328" s="306">
        <f>+IF($H328=K$2,VLOOKUP($G328,Depreciation!$A$14:$L$18,9,FALSE)/2,IF($H328&lt;K$2,VLOOKUP($G328,Depreciation!$A$14:$L$18,9,FALSE),0))</f>
        <v>0</v>
      </c>
      <c r="L328" s="306">
        <f>+IF($H328=L$2,VLOOKUP($G328,Depreciation!$A$14:$L$18,10,FALSE)/2,IF($H328&lt;L$2,VLOOKUP($G328,Depreciation!$A$14:$L$18,10,FALSE),0))</f>
        <v>1.671703928371859E-2</v>
      </c>
      <c r="M328" s="306">
        <f>+IF($H328=M$2,VLOOKUP($G328,Depreciation!$A$14:$L$18,11,FALSE)/2,IF($H328&lt;M$2,VLOOKUP($G328,Depreciation!$A$14:$L$18,11,FALSE),0))</f>
        <v>3.343407856743718E-2</v>
      </c>
      <c r="N328" s="306">
        <f>+IF($H328=N$2,VLOOKUP($G328,Depreciation!$A$14:$L$18,12,FALSE)/2,IF($H328&lt;N$2,VLOOKUP($G328,Depreciation!$A$14:$L$18,12,FALSE),0))</f>
        <v>3.343407856743718E-2</v>
      </c>
      <c r="O328" s="307">
        <f t="shared" si="41"/>
        <v>13695.865518854967</v>
      </c>
      <c r="P328" s="732">
        <f>'Func Future Subs 2015'!P328</f>
        <v>0</v>
      </c>
      <c r="Q328" s="732">
        <f>'Func Future Subs 2015'!Q328</f>
        <v>1</v>
      </c>
      <c r="R328" s="732">
        <f>'Func Future Subs 2015'!R328</f>
        <v>0</v>
      </c>
      <c r="S328" s="735">
        <f t="shared" si="42"/>
        <v>0</v>
      </c>
      <c r="T328" s="735">
        <f t="shared" si="43"/>
        <v>13695.865518854967</v>
      </c>
      <c r="U328" s="735">
        <f t="shared" si="44"/>
        <v>0</v>
      </c>
      <c r="V328" s="736">
        <f t="shared" si="45"/>
        <v>0</v>
      </c>
      <c r="W328" s="735">
        <f t="shared" si="46"/>
        <v>0</v>
      </c>
      <c r="X328" s="737">
        <f t="shared" si="47"/>
        <v>0</v>
      </c>
      <c r="Y328" s="738">
        <f t="shared" si="48"/>
        <v>13695.865518854967</v>
      </c>
    </row>
    <row r="329" spans="1:25">
      <c r="A329" s="754" t="str">
        <f>'Func Future Subs 2015'!A329</f>
        <v>Tucuman 478S</v>
      </c>
      <c r="B329" s="754">
        <f>'Func Future Subs 2015'!B329</f>
        <v>1594</v>
      </c>
      <c r="C329" s="754">
        <f>'Func Future Subs 2015'!C329</f>
        <v>138</v>
      </c>
      <c r="D329" s="754">
        <f>'Func Future Subs 2015'!D329</f>
        <v>25</v>
      </c>
      <c r="E329" s="754" t="str">
        <f>'Func Future Subs 2015'!E329</f>
        <v>478S</v>
      </c>
      <c r="F329" s="754">
        <f>'Func Future Subs 2015'!F329</f>
        <v>13928.712350388019</v>
      </c>
      <c r="G329" s="754" t="str">
        <f>'Func Future Subs 2015'!G329</f>
        <v>AltaLink</v>
      </c>
      <c r="H329" s="754">
        <f>'Func Future Subs 2015'!H329</f>
        <v>2018</v>
      </c>
      <c r="I329" s="306">
        <f>+IF($H329=I$2,VLOOKUP($G329,Depreciation!$A$14:$L$18,7,FALSE)/2,IF($H329&lt;I$2,VLOOKUP($G329,Depreciation!$A$14:$L$18,7,FALSE),0))</f>
        <v>0</v>
      </c>
      <c r="J329" s="306">
        <f>+IF($H329=J$2,VLOOKUP($G329,Depreciation!$A$14:$L$18,8,FALSE)/2,IF($H329&lt;J$2,VLOOKUP($G329,Depreciation!$A$14:$L$18,8,FALSE),0))</f>
        <v>0</v>
      </c>
      <c r="K329" s="306">
        <f>+IF($H329=K$2,VLOOKUP($G329,Depreciation!$A$14:$L$18,9,FALSE)/2,IF($H329&lt;K$2,VLOOKUP($G329,Depreciation!$A$14:$L$18,9,FALSE),0))</f>
        <v>0</v>
      </c>
      <c r="L329" s="306">
        <f>+IF($H329=L$2,VLOOKUP($G329,Depreciation!$A$14:$L$18,10,FALSE)/2,IF($H329&lt;L$2,VLOOKUP($G329,Depreciation!$A$14:$L$18,10,FALSE),0))</f>
        <v>1.671703928371859E-2</v>
      </c>
      <c r="M329" s="306">
        <f>+IF($H329=M$2,VLOOKUP($G329,Depreciation!$A$14:$L$18,11,FALSE)/2,IF($H329&lt;M$2,VLOOKUP($G329,Depreciation!$A$14:$L$18,11,FALSE),0))</f>
        <v>3.343407856743718E-2</v>
      </c>
      <c r="N329" s="306">
        <f>+IF($H329=N$2,VLOOKUP($G329,Depreciation!$A$14:$L$18,12,FALSE)/2,IF($H329&lt;N$2,VLOOKUP($G329,Depreciation!$A$14:$L$18,12,FALSE),0))</f>
        <v>3.343407856743718E-2</v>
      </c>
      <c r="O329" s="307">
        <f t="shared" si="41"/>
        <v>13695.865518854967</v>
      </c>
      <c r="P329" s="732">
        <f>'Func Future Subs 2015'!P329</f>
        <v>0</v>
      </c>
      <c r="Q329" s="732">
        <f>'Func Future Subs 2015'!Q329</f>
        <v>1</v>
      </c>
      <c r="R329" s="732">
        <f>'Func Future Subs 2015'!R329</f>
        <v>0</v>
      </c>
      <c r="S329" s="735">
        <f t="shared" si="42"/>
        <v>0</v>
      </c>
      <c r="T329" s="735">
        <f t="shared" si="43"/>
        <v>13695.865518854967</v>
      </c>
      <c r="U329" s="735">
        <f t="shared" si="44"/>
        <v>0</v>
      </c>
      <c r="V329" s="736">
        <f t="shared" si="45"/>
        <v>0</v>
      </c>
      <c r="W329" s="735">
        <f t="shared" si="46"/>
        <v>0</v>
      </c>
      <c r="X329" s="737">
        <f t="shared" si="47"/>
        <v>0</v>
      </c>
      <c r="Y329" s="738">
        <f t="shared" si="48"/>
        <v>13695.865518854967</v>
      </c>
    </row>
    <row r="330" spans="1:25">
      <c r="A330" s="754" t="str">
        <f>'Func Future Subs 2015'!A330</f>
        <v>Wainwright 51S</v>
      </c>
      <c r="B330" s="754">
        <f>'Func Future Subs 2015'!B330</f>
        <v>1594</v>
      </c>
      <c r="C330" s="754">
        <f>'Func Future Subs 2015'!C330</f>
        <v>138</v>
      </c>
      <c r="D330" s="754">
        <f>'Func Future Subs 2015'!D330</f>
        <v>25</v>
      </c>
      <c r="E330" s="754" t="str">
        <f>'Func Future Subs 2015'!E330</f>
        <v>51S</v>
      </c>
      <c r="F330" s="754">
        <f>'Func Future Subs 2015'!F330</f>
        <v>3535571.4849401587</v>
      </c>
      <c r="G330" s="754" t="str">
        <f>'Func Future Subs 2015'!G330</f>
        <v>AltaLink</v>
      </c>
      <c r="H330" s="754">
        <f>'Func Future Subs 2015'!H330</f>
        <v>2018</v>
      </c>
      <c r="I330" s="306">
        <f>+IF($H330=I$2,VLOOKUP($G330,Depreciation!$A$14:$L$18,7,FALSE)/2,IF($H330&lt;I$2,VLOOKUP($G330,Depreciation!$A$14:$L$18,7,FALSE),0))</f>
        <v>0</v>
      </c>
      <c r="J330" s="306">
        <f>+IF($H330=J$2,VLOOKUP($G330,Depreciation!$A$14:$L$18,8,FALSE)/2,IF($H330&lt;J$2,VLOOKUP($G330,Depreciation!$A$14:$L$18,8,FALSE),0))</f>
        <v>0</v>
      </c>
      <c r="K330" s="306">
        <f>+IF($H330=K$2,VLOOKUP($G330,Depreciation!$A$14:$L$18,9,FALSE)/2,IF($H330&lt;K$2,VLOOKUP($G330,Depreciation!$A$14:$L$18,9,FALSE),0))</f>
        <v>0</v>
      </c>
      <c r="L330" s="306">
        <f>+IF($H330=L$2,VLOOKUP($G330,Depreciation!$A$14:$L$18,10,FALSE)/2,IF($H330&lt;L$2,VLOOKUP($G330,Depreciation!$A$14:$L$18,10,FALSE),0))</f>
        <v>1.671703928371859E-2</v>
      </c>
      <c r="M330" s="306">
        <f>+IF($H330=M$2,VLOOKUP($G330,Depreciation!$A$14:$L$18,11,FALSE)/2,IF($H330&lt;M$2,VLOOKUP($G330,Depreciation!$A$14:$L$18,11,FALSE),0))</f>
        <v>3.343407856743718E-2</v>
      </c>
      <c r="N330" s="306">
        <f>+IF($H330=N$2,VLOOKUP($G330,Depreciation!$A$14:$L$18,12,FALSE)/2,IF($H330&lt;N$2,VLOOKUP($G330,Depreciation!$A$14:$L$18,12,FALSE),0))</f>
        <v>3.343407856743718E-2</v>
      </c>
      <c r="O330" s="307">
        <f t="shared" si="41"/>
        <v>3476467.1975360187</v>
      </c>
      <c r="P330" s="732">
        <f>'Func Future Subs 2015'!P330</f>
        <v>0</v>
      </c>
      <c r="Q330" s="732">
        <f>'Func Future Subs 2015'!Q330</f>
        <v>1</v>
      </c>
      <c r="R330" s="732">
        <f>'Func Future Subs 2015'!R330</f>
        <v>0</v>
      </c>
      <c r="S330" s="735">
        <f t="shared" si="42"/>
        <v>0</v>
      </c>
      <c r="T330" s="735">
        <f t="shared" si="43"/>
        <v>3476467.1975360187</v>
      </c>
      <c r="U330" s="735">
        <f t="shared" si="44"/>
        <v>0</v>
      </c>
      <c r="V330" s="736">
        <f t="shared" si="45"/>
        <v>0</v>
      </c>
      <c r="W330" s="735">
        <f t="shared" si="46"/>
        <v>0</v>
      </c>
      <c r="X330" s="737">
        <f t="shared" si="47"/>
        <v>0</v>
      </c>
      <c r="Y330" s="738">
        <f t="shared" si="48"/>
        <v>3476467.1975360187</v>
      </c>
    </row>
    <row r="331" spans="1:25">
      <c r="A331" s="754" t="str">
        <f>'Func Future Subs 2015'!A331</f>
        <v>Fortis Broadmoor 420S</v>
      </c>
      <c r="B331" s="754">
        <f>'Func Future Subs 2015'!B331</f>
        <v>1597</v>
      </c>
      <c r="C331" s="754">
        <f>'Func Future Subs 2015'!C331</f>
        <v>138</v>
      </c>
      <c r="D331" s="754">
        <f>'Func Future Subs 2015'!D331</f>
        <v>25</v>
      </c>
      <c r="E331" s="754" t="str">
        <f>'Func Future Subs 2015'!E331</f>
        <v>420S</v>
      </c>
      <c r="F331" s="754">
        <f>'Func Future Subs 2015'!F331</f>
        <v>5892730</v>
      </c>
      <c r="G331" s="754" t="str">
        <f>'Func Future Subs 2015'!G331</f>
        <v>AltaLink</v>
      </c>
      <c r="H331" s="754">
        <f>'Func Future Subs 2015'!H331</f>
        <v>2016</v>
      </c>
      <c r="I331" s="306">
        <f>+IF($H331=I$2,VLOOKUP($G331,Depreciation!$A$14:$L$18,7,FALSE)/2,IF($H331&lt;I$2,VLOOKUP($G331,Depreciation!$A$14:$L$18,7,FALSE),0))</f>
        <v>0</v>
      </c>
      <c r="J331" s="306">
        <f>+IF($H331=J$2,VLOOKUP($G331,Depreciation!$A$14:$L$18,8,FALSE)/2,IF($H331&lt;J$2,VLOOKUP($G331,Depreciation!$A$14:$L$18,8,FALSE),0))</f>
        <v>1.671703928371859E-2</v>
      </c>
      <c r="K331" s="306">
        <f>+IF($H331=K$2,VLOOKUP($G331,Depreciation!$A$14:$L$18,9,FALSE)/2,IF($H331&lt;K$2,VLOOKUP($G331,Depreciation!$A$14:$L$18,9,FALSE),0))</f>
        <v>3.343407856743718E-2</v>
      </c>
      <c r="L331" s="306">
        <f>+IF($H331=L$2,VLOOKUP($G331,Depreciation!$A$14:$L$18,10,FALSE)/2,IF($H331&lt;L$2,VLOOKUP($G331,Depreciation!$A$14:$L$18,10,FALSE),0))</f>
        <v>3.343407856743718E-2</v>
      </c>
      <c r="M331" s="306">
        <f>+IF($H331=M$2,VLOOKUP($G331,Depreciation!$A$14:$L$18,11,FALSE)/2,IF($H331&lt;M$2,VLOOKUP($G331,Depreciation!$A$14:$L$18,11,FALSE),0))</f>
        <v>3.343407856743718E-2</v>
      </c>
      <c r="N331" s="306">
        <f>+IF($H331=N$2,VLOOKUP($G331,Depreciation!$A$14:$L$18,12,FALSE)/2,IF($H331&lt;N$2,VLOOKUP($G331,Depreciation!$A$14:$L$18,12,FALSE),0))</f>
        <v>3.343407856743718E-2</v>
      </c>
      <c r="O331" s="307">
        <f t="shared" si="41"/>
        <v>5413249.1188794747</v>
      </c>
      <c r="P331" s="732">
        <f>'Func Future Subs 2015'!P331</f>
        <v>0</v>
      </c>
      <c r="Q331" s="732">
        <f>'Func Future Subs 2015'!Q331</f>
        <v>1</v>
      </c>
      <c r="R331" s="732">
        <f>'Func Future Subs 2015'!R331</f>
        <v>0</v>
      </c>
      <c r="S331" s="735">
        <f t="shared" si="42"/>
        <v>0</v>
      </c>
      <c r="T331" s="735">
        <f t="shared" si="43"/>
        <v>5413249.1188794747</v>
      </c>
      <c r="U331" s="735">
        <f t="shared" si="44"/>
        <v>0</v>
      </c>
      <c r="V331" s="736">
        <f t="shared" si="45"/>
        <v>0</v>
      </c>
      <c r="W331" s="735">
        <f t="shared" si="46"/>
        <v>0</v>
      </c>
      <c r="X331" s="737">
        <f t="shared" si="47"/>
        <v>0</v>
      </c>
      <c r="Y331" s="738">
        <f t="shared" si="48"/>
        <v>5413249.1188794747</v>
      </c>
    </row>
    <row r="332" spans="1:25">
      <c r="A332" s="754" t="str">
        <f>'Func Future Subs 2015'!A332</f>
        <v>Upgrade Broadmoor 420S</v>
      </c>
      <c r="B332" s="754">
        <f>'Func Future Subs 2015'!B332</f>
        <v>1597</v>
      </c>
      <c r="C332" s="754">
        <f>'Func Future Subs 2015'!C332</f>
        <v>138</v>
      </c>
      <c r="D332" s="754">
        <f>'Func Future Subs 2015'!D332</f>
        <v>25</v>
      </c>
      <c r="E332" s="754" t="str">
        <f>'Func Future Subs 2015'!E332</f>
        <v>420S</v>
      </c>
      <c r="F332" s="754">
        <f>'Func Future Subs 2015'!F332</f>
        <v>4899999.9999999991</v>
      </c>
      <c r="G332" s="754" t="str">
        <f>'Func Future Subs 2015'!G332</f>
        <v>AltaLink</v>
      </c>
      <c r="H332" s="754">
        <f>'Func Future Subs 2015'!H332</f>
        <v>2016</v>
      </c>
      <c r="I332" s="306">
        <f>+IF($H332=I$2,VLOOKUP($G332,Depreciation!$A$14:$L$18,7,FALSE)/2,IF($H332&lt;I$2,VLOOKUP($G332,Depreciation!$A$14:$L$18,7,FALSE),0))</f>
        <v>0</v>
      </c>
      <c r="J332" s="306">
        <f>+IF($H332=J$2,VLOOKUP($G332,Depreciation!$A$14:$L$18,8,FALSE)/2,IF($H332&lt;J$2,VLOOKUP($G332,Depreciation!$A$14:$L$18,8,FALSE),0))</f>
        <v>1.671703928371859E-2</v>
      </c>
      <c r="K332" s="306">
        <f>+IF($H332=K$2,VLOOKUP($G332,Depreciation!$A$14:$L$18,9,FALSE)/2,IF($H332&lt;K$2,VLOOKUP($G332,Depreciation!$A$14:$L$18,9,FALSE),0))</f>
        <v>3.343407856743718E-2</v>
      </c>
      <c r="L332" s="306">
        <f>+IF($H332=L$2,VLOOKUP($G332,Depreciation!$A$14:$L$18,10,FALSE)/2,IF($H332&lt;L$2,VLOOKUP($G332,Depreciation!$A$14:$L$18,10,FALSE),0))</f>
        <v>3.343407856743718E-2</v>
      </c>
      <c r="M332" s="306">
        <f>+IF($H332=M$2,VLOOKUP($G332,Depreciation!$A$14:$L$18,11,FALSE)/2,IF($H332&lt;M$2,VLOOKUP($G332,Depreciation!$A$14:$L$18,11,FALSE),0))</f>
        <v>3.343407856743718E-2</v>
      </c>
      <c r="N332" s="306">
        <f>+IF($H332=N$2,VLOOKUP($G332,Depreciation!$A$14:$L$18,12,FALSE)/2,IF($H332&lt;N$2,VLOOKUP($G332,Depreciation!$A$14:$L$18,12,FALSE),0))</f>
        <v>3.343407856743718E-2</v>
      </c>
      <c r="O332" s="307">
        <f t="shared" si="41"/>
        <v>4501295.7801408553</v>
      </c>
      <c r="P332" s="732">
        <f>'Func Future Subs 2015'!P332</f>
        <v>0</v>
      </c>
      <c r="Q332" s="732">
        <f>'Func Future Subs 2015'!Q332</f>
        <v>1</v>
      </c>
      <c r="R332" s="732">
        <f>'Func Future Subs 2015'!R332</f>
        <v>0</v>
      </c>
      <c r="S332" s="735">
        <f t="shared" si="42"/>
        <v>0</v>
      </c>
      <c r="T332" s="735">
        <f t="shared" si="43"/>
        <v>4501295.7801408553</v>
      </c>
      <c r="U332" s="735">
        <f t="shared" si="44"/>
        <v>0</v>
      </c>
      <c r="V332" s="736">
        <f t="shared" si="45"/>
        <v>0</v>
      </c>
      <c r="W332" s="735">
        <f t="shared" si="46"/>
        <v>0</v>
      </c>
      <c r="X332" s="737">
        <f t="shared" si="47"/>
        <v>0</v>
      </c>
      <c r="Y332" s="738">
        <f t="shared" si="48"/>
        <v>4501295.7801408553</v>
      </c>
    </row>
    <row r="333" spans="1:25">
      <c r="A333" s="754" t="str">
        <f>'Func Future Subs 2015'!A333</f>
        <v>Fox Creek 741S</v>
      </c>
      <c r="B333" s="754">
        <f>'Func Future Subs 2015'!B333</f>
        <v>1616</v>
      </c>
      <c r="C333" s="754">
        <f>'Func Future Subs 2015'!C333</f>
        <v>138</v>
      </c>
      <c r="D333" s="754">
        <f>'Func Future Subs 2015'!D333</f>
        <v>25</v>
      </c>
      <c r="E333" s="754" t="str">
        <f>'Func Future Subs 2015'!E333</f>
        <v>741S</v>
      </c>
      <c r="F333" s="754">
        <f>'Func Future Subs 2015'!F333</f>
        <v>1395036.0000000014</v>
      </c>
      <c r="G333" s="754" t="str">
        <f>'Func Future Subs 2015'!G333</f>
        <v>ATCO</v>
      </c>
      <c r="H333" s="754">
        <f>'Func Future Subs 2015'!H333</f>
        <v>2016</v>
      </c>
      <c r="I333" s="306">
        <f>+IF($H333=I$2,VLOOKUP($G333,Depreciation!$A$14:$L$18,7,FALSE)/2,IF($H333&lt;I$2,VLOOKUP($G333,Depreciation!$A$14:$L$18,7,FALSE),0))</f>
        <v>0</v>
      </c>
      <c r="J333" s="306">
        <f>+IF($H333=J$2,VLOOKUP($G333,Depreciation!$A$14:$L$18,8,FALSE)/2,IF($H333&lt;J$2,VLOOKUP($G333,Depreciation!$A$14:$L$18,8,FALSE),0))</f>
        <v>1.231622525054236E-2</v>
      </c>
      <c r="K333" s="306">
        <f>+IF($H333=K$2,VLOOKUP($G333,Depreciation!$A$14:$L$18,9,FALSE)/2,IF($H333&lt;K$2,VLOOKUP($G333,Depreciation!$A$14:$L$18,9,FALSE),0))</f>
        <v>2.4351536427798831E-2</v>
      </c>
      <c r="L333" s="306">
        <f>+IF($H333=L$2,VLOOKUP($G333,Depreciation!$A$14:$L$18,10,FALSE)/2,IF($H333&lt;L$2,VLOOKUP($G333,Depreciation!$A$14:$L$18,10,FALSE),0))</f>
        <v>2.4351536427798831E-2</v>
      </c>
      <c r="M333" s="306">
        <f>+IF($H333=M$2,VLOOKUP($G333,Depreciation!$A$14:$L$18,11,FALSE)/2,IF($H333&lt;M$2,VLOOKUP($G333,Depreciation!$A$14:$L$18,11,FALSE),0))</f>
        <v>2.4351536427798831E-2</v>
      </c>
      <c r="N333" s="306">
        <f>+IF($H333=N$2,VLOOKUP($G333,Depreciation!$A$14:$L$18,12,FALSE)/2,IF($H333&lt;N$2,VLOOKUP($G333,Depreciation!$A$14:$L$18,12,FALSE),0))</f>
        <v>2.4351536427798831E-2</v>
      </c>
      <c r="O333" s="307">
        <f t="shared" si="41"/>
        <v>1311565.7420618895</v>
      </c>
      <c r="P333" s="732">
        <f>'Func Future Subs 2015'!P333</f>
        <v>0</v>
      </c>
      <c r="Q333" s="732">
        <f>'Func Future Subs 2015'!Q333</f>
        <v>1</v>
      </c>
      <c r="R333" s="732">
        <f>'Func Future Subs 2015'!R333</f>
        <v>0</v>
      </c>
      <c r="S333" s="735">
        <f t="shared" si="42"/>
        <v>0</v>
      </c>
      <c r="T333" s="735">
        <f t="shared" si="43"/>
        <v>1311565.7420618895</v>
      </c>
      <c r="U333" s="735">
        <f t="shared" si="44"/>
        <v>0</v>
      </c>
      <c r="V333" s="736">
        <f t="shared" si="45"/>
        <v>0</v>
      </c>
      <c r="W333" s="735">
        <f t="shared" si="46"/>
        <v>0</v>
      </c>
      <c r="X333" s="737">
        <f t="shared" si="47"/>
        <v>0</v>
      </c>
      <c r="Y333" s="738">
        <f t="shared" si="48"/>
        <v>1311565.7420618895</v>
      </c>
    </row>
    <row r="334" spans="1:25">
      <c r="A334" s="754" t="str">
        <f>'Func Future Subs 2015'!A334</f>
        <v>Clairmont Lake 811S</v>
      </c>
      <c r="B334" s="754">
        <f>'Func Future Subs 2015'!B334</f>
        <v>1618</v>
      </c>
      <c r="C334" s="754">
        <f>'Func Future Subs 2015'!C334</f>
        <v>138</v>
      </c>
      <c r="D334" s="754">
        <f>'Func Future Subs 2015'!D334</f>
        <v>138</v>
      </c>
      <c r="E334" s="754" t="str">
        <f>'Func Future Subs 2015'!E334</f>
        <v>811S</v>
      </c>
      <c r="F334" s="754">
        <f>'Func Future Subs 2015'!F334</f>
        <v>400830.59344754874</v>
      </c>
      <c r="G334" s="754" t="str">
        <f>'Func Future Subs 2015'!G334</f>
        <v>ATCO</v>
      </c>
      <c r="H334" s="754">
        <f>'Func Future Subs 2015'!H334</f>
        <v>2017</v>
      </c>
      <c r="I334" s="306">
        <f>+IF($H334=I$2,VLOOKUP($G334,Depreciation!$A$14:$L$18,7,FALSE)/2,IF($H334&lt;I$2,VLOOKUP($G334,Depreciation!$A$14:$L$18,7,FALSE),0))</f>
        <v>0</v>
      </c>
      <c r="J334" s="306">
        <f>+IF($H334=J$2,VLOOKUP($G334,Depreciation!$A$14:$L$18,8,FALSE)/2,IF($H334&lt;J$2,VLOOKUP($G334,Depreciation!$A$14:$L$18,8,FALSE),0))</f>
        <v>0</v>
      </c>
      <c r="K334" s="306">
        <f>+IF($H334=K$2,VLOOKUP($G334,Depreciation!$A$14:$L$18,9,FALSE)/2,IF($H334&lt;K$2,VLOOKUP($G334,Depreciation!$A$14:$L$18,9,FALSE),0))</f>
        <v>1.2175768213899416E-2</v>
      </c>
      <c r="L334" s="306">
        <f>+IF($H334=L$2,VLOOKUP($G334,Depreciation!$A$14:$L$18,10,FALSE)/2,IF($H334&lt;L$2,VLOOKUP($G334,Depreciation!$A$14:$L$18,10,FALSE),0))</f>
        <v>2.4351536427798831E-2</v>
      </c>
      <c r="M334" s="306">
        <f>+IF($H334=M$2,VLOOKUP($G334,Depreciation!$A$14:$L$18,11,FALSE)/2,IF($H334&lt;M$2,VLOOKUP($G334,Depreciation!$A$14:$L$18,11,FALSE),0))</f>
        <v>2.4351536427798831E-2</v>
      </c>
      <c r="N334" s="306">
        <f>+IF($H334=N$2,VLOOKUP($G334,Depreciation!$A$14:$L$18,12,FALSE)/2,IF($H334&lt;N$2,VLOOKUP($G334,Depreciation!$A$14:$L$18,12,FALSE),0))</f>
        <v>2.4351536427798831E-2</v>
      </c>
      <c r="O334" s="307">
        <f t="shared" si="41"/>
        <v>386308.17798610317</v>
      </c>
      <c r="P334" s="732">
        <f>'Func Future Subs 2015'!P334</f>
        <v>0</v>
      </c>
      <c r="Q334" s="732">
        <f>'Func Future Subs 2015'!Q334</f>
        <v>0</v>
      </c>
      <c r="R334" s="732">
        <f>'Func Future Subs 2015'!R334</f>
        <v>1</v>
      </c>
      <c r="S334" s="735">
        <f t="shared" si="42"/>
        <v>0</v>
      </c>
      <c r="T334" s="735">
        <f t="shared" si="43"/>
        <v>0</v>
      </c>
      <c r="U334" s="735">
        <f t="shared" si="44"/>
        <v>386308.17798610317</v>
      </c>
      <c r="V334" s="736">
        <f t="shared" si="45"/>
        <v>0</v>
      </c>
      <c r="W334" s="735">
        <f t="shared" si="46"/>
        <v>0</v>
      </c>
      <c r="X334" s="737">
        <f t="shared" si="47"/>
        <v>386308.17798610317</v>
      </c>
      <c r="Y334" s="738">
        <f t="shared" si="48"/>
        <v>0</v>
      </c>
    </row>
    <row r="335" spans="1:25">
      <c r="A335" s="754" t="str">
        <f>'Func Future Subs 2015'!A335</f>
        <v>Mowat 233S</v>
      </c>
      <c r="B335" s="754">
        <f>'Func Future Subs 2015'!B335</f>
        <v>1618</v>
      </c>
      <c r="C335" s="754">
        <f>'Func Future Subs 2015'!C335</f>
        <v>144</v>
      </c>
      <c r="D335" s="754">
        <f>'Func Future Subs 2015'!D335</f>
        <v>25</v>
      </c>
      <c r="E335" s="754" t="str">
        <f>'Func Future Subs 2015'!E335</f>
        <v>233S</v>
      </c>
      <c r="F335" s="754">
        <f>'Func Future Subs 2015'!F335</f>
        <v>13185051.811204772</v>
      </c>
      <c r="G335" s="754" t="str">
        <f>'Func Future Subs 2015'!G335</f>
        <v>ATCO</v>
      </c>
      <c r="H335" s="754">
        <f>'Func Future Subs 2015'!H335</f>
        <v>2017</v>
      </c>
      <c r="I335" s="306">
        <f>+IF($H335=I$2,VLOOKUP($G335,Depreciation!$A$14:$L$18,7,FALSE)/2,IF($H335&lt;I$2,VLOOKUP($G335,Depreciation!$A$14:$L$18,7,FALSE),0))</f>
        <v>0</v>
      </c>
      <c r="J335" s="306">
        <f>+IF($H335=J$2,VLOOKUP($G335,Depreciation!$A$14:$L$18,8,FALSE)/2,IF($H335&lt;J$2,VLOOKUP($G335,Depreciation!$A$14:$L$18,8,FALSE),0))</f>
        <v>0</v>
      </c>
      <c r="K335" s="306">
        <f>+IF($H335=K$2,VLOOKUP($G335,Depreciation!$A$14:$L$18,9,FALSE)/2,IF($H335&lt;K$2,VLOOKUP($G335,Depreciation!$A$14:$L$18,9,FALSE),0))</f>
        <v>1.2175768213899416E-2</v>
      </c>
      <c r="L335" s="306">
        <f>+IF($H335=L$2,VLOOKUP($G335,Depreciation!$A$14:$L$18,10,FALSE)/2,IF($H335&lt;L$2,VLOOKUP($G335,Depreciation!$A$14:$L$18,10,FALSE),0))</f>
        <v>2.4351536427798831E-2</v>
      </c>
      <c r="M335" s="306">
        <f>+IF($H335=M$2,VLOOKUP($G335,Depreciation!$A$14:$L$18,11,FALSE)/2,IF($H335&lt;M$2,VLOOKUP($G335,Depreciation!$A$14:$L$18,11,FALSE),0))</f>
        <v>2.4351536427798831E-2</v>
      </c>
      <c r="N335" s="306">
        <f>+IF($H335=N$2,VLOOKUP($G335,Depreciation!$A$14:$L$18,12,FALSE)/2,IF($H335&lt;N$2,VLOOKUP($G335,Depreciation!$A$14:$L$18,12,FALSE),0))</f>
        <v>2.4351536427798831E-2</v>
      </c>
      <c r="O335" s="307">
        <f t="shared" si="41"/>
        <v>12707346.757216528</v>
      </c>
      <c r="P335" s="732">
        <f>'Func Future Subs 2015'!P335</f>
        <v>0</v>
      </c>
      <c r="Q335" s="732">
        <f>'Func Future Subs 2015'!Q335</f>
        <v>1</v>
      </c>
      <c r="R335" s="732">
        <f>'Func Future Subs 2015'!R335</f>
        <v>0</v>
      </c>
      <c r="S335" s="735">
        <f t="shared" si="42"/>
        <v>0</v>
      </c>
      <c r="T335" s="735">
        <f t="shared" si="43"/>
        <v>12707346.757216528</v>
      </c>
      <c r="U335" s="735">
        <f t="shared" si="44"/>
        <v>0</v>
      </c>
      <c r="V335" s="736">
        <f t="shared" si="45"/>
        <v>0</v>
      </c>
      <c r="W335" s="735">
        <f t="shared" si="46"/>
        <v>0</v>
      </c>
      <c r="X335" s="737">
        <f t="shared" si="47"/>
        <v>0</v>
      </c>
      <c r="Y335" s="738">
        <f t="shared" si="48"/>
        <v>12707346.757216528</v>
      </c>
    </row>
    <row r="336" spans="1:25">
      <c r="A336" s="754" t="str">
        <f>'Func Future Subs 2015'!A336</f>
        <v xml:space="preserve">Rycroft 730S </v>
      </c>
      <c r="B336" s="754">
        <f>'Func Future Subs 2015'!B336</f>
        <v>1618</v>
      </c>
      <c r="C336" s="754">
        <f>'Func Future Subs 2015'!C336</f>
        <v>144</v>
      </c>
      <c r="D336" s="754">
        <f>'Func Future Subs 2015'!D336</f>
        <v>25</v>
      </c>
      <c r="E336" s="754" t="str">
        <f>'Func Future Subs 2015'!E336</f>
        <v>730S</v>
      </c>
      <c r="F336" s="754">
        <f>'Func Future Subs 2015'!F336</f>
        <v>1174290.4338164157</v>
      </c>
      <c r="G336" s="754" t="str">
        <f>'Func Future Subs 2015'!G336</f>
        <v>ATCO</v>
      </c>
      <c r="H336" s="754">
        <f>'Func Future Subs 2015'!H336</f>
        <v>2017</v>
      </c>
      <c r="I336" s="306">
        <f>+IF($H336=I$2,VLOOKUP($G336,Depreciation!$A$14:$L$18,7,FALSE)/2,IF($H336&lt;I$2,VLOOKUP($G336,Depreciation!$A$14:$L$18,7,FALSE),0))</f>
        <v>0</v>
      </c>
      <c r="J336" s="306">
        <f>+IF($H336=J$2,VLOOKUP($G336,Depreciation!$A$14:$L$18,8,FALSE)/2,IF($H336&lt;J$2,VLOOKUP($G336,Depreciation!$A$14:$L$18,8,FALSE),0))</f>
        <v>0</v>
      </c>
      <c r="K336" s="306">
        <f>+IF($H336=K$2,VLOOKUP($G336,Depreciation!$A$14:$L$18,9,FALSE)/2,IF($H336&lt;K$2,VLOOKUP($G336,Depreciation!$A$14:$L$18,9,FALSE),0))</f>
        <v>1.2175768213899416E-2</v>
      </c>
      <c r="L336" s="306">
        <f>+IF($H336=L$2,VLOOKUP($G336,Depreciation!$A$14:$L$18,10,FALSE)/2,IF($H336&lt;L$2,VLOOKUP($G336,Depreciation!$A$14:$L$18,10,FALSE),0))</f>
        <v>2.4351536427798831E-2</v>
      </c>
      <c r="M336" s="306">
        <f>+IF($H336=M$2,VLOOKUP($G336,Depreciation!$A$14:$L$18,11,FALSE)/2,IF($H336&lt;M$2,VLOOKUP($G336,Depreciation!$A$14:$L$18,11,FALSE),0))</f>
        <v>2.4351536427798831E-2</v>
      </c>
      <c r="N336" s="306">
        <f>+IF($H336=N$2,VLOOKUP($G336,Depreciation!$A$14:$L$18,12,FALSE)/2,IF($H336&lt;N$2,VLOOKUP($G336,Depreciation!$A$14:$L$18,12,FALSE),0))</f>
        <v>2.4351536427798831E-2</v>
      </c>
      <c r="O336" s="307">
        <f t="shared" si="41"/>
        <v>1131744.9449464034</v>
      </c>
      <c r="P336" s="732">
        <f>'Func Future Subs 2015'!P336</f>
        <v>0</v>
      </c>
      <c r="Q336" s="732">
        <f>'Func Future Subs 2015'!Q336</f>
        <v>1</v>
      </c>
      <c r="R336" s="732">
        <f>'Func Future Subs 2015'!R336</f>
        <v>0</v>
      </c>
      <c r="S336" s="735">
        <f t="shared" si="42"/>
        <v>0</v>
      </c>
      <c r="T336" s="735">
        <f t="shared" si="43"/>
        <v>1131744.9449464034</v>
      </c>
      <c r="U336" s="735">
        <f t="shared" si="44"/>
        <v>0</v>
      </c>
      <c r="V336" s="736">
        <f t="shared" si="45"/>
        <v>0</v>
      </c>
      <c r="W336" s="735">
        <f t="shared" si="46"/>
        <v>0</v>
      </c>
      <c r="X336" s="737">
        <f t="shared" si="47"/>
        <v>0</v>
      </c>
      <c r="Y336" s="738">
        <f t="shared" si="48"/>
        <v>1131744.9449464034</v>
      </c>
    </row>
    <row r="337" spans="1:25">
      <c r="A337" s="754" t="str">
        <f>'Func Future Subs 2015'!A337</f>
        <v>Dome 810S_(v1)</v>
      </c>
      <c r="B337" s="754">
        <f>'Func Future Subs 2015'!B337</f>
        <v>1634</v>
      </c>
      <c r="C337" s="754">
        <f>'Func Future Subs 2015'!C337</f>
        <v>138</v>
      </c>
      <c r="D337" s="754">
        <f>'Func Future Subs 2015'!D337</f>
        <v>25</v>
      </c>
      <c r="E337" s="754" t="str">
        <f>'Func Future Subs 2015'!E337</f>
        <v>810S</v>
      </c>
      <c r="F337" s="754">
        <f>'Func Future Subs 2015'!F337</f>
        <v>39972.664599992102</v>
      </c>
      <c r="G337" s="754" t="str">
        <f>'Func Future Subs 2015'!G337</f>
        <v>ATCO</v>
      </c>
      <c r="H337" s="754">
        <f>'Func Future Subs 2015'!H337</f>
        <v>2016</v>
      </c>
      <c r="I337" s="306">
        <f>+IF($H337=I$2,VLOOKUP($G337,Depreciation!$A$14:$L$18,7,FALSE)/2,IF($H337&lt;I$2,VLOOKUP($G337,Depreciation!$A$14:$L$18,7,FALSE),0))</f>
        <v>0</v>
      </c>
      <c r="J337" s="306">
        <f>+IF($H337=J$2,VLOOKUP($G337,Depreciation!$A$14:$L$18,8,FALSE)/2,IF($H337&lt;J$2,VLOOKUP($G337,Depreciation!$A$14:$L$18,8,FALSE),0))</f>
        <v>1.231622525054236E-2</v>
      </c>
      <c r="K337" s="306">
        <f>+IF($H337=K$2,VLOOKUP($G337,Depreciation!$A$14:$L$18,9,FALSE)/2,IF($H337&lt;K$2,VLOOKUP($G337,Depreciation!$A$14:$L$18,9,FALSE),0))</f>
        <v>2.4351536427798831E-2</v>
      </c>
      <c r="L337" s="306">
        <f>+IF($H337=L$2,VLOOKUP($G337,Depreciation!$A$14:$L$18,10,FALSE)/2,IF($H337&lt;L$2,VLOOKUP($G337,Depreciation!$A$14:$L$18,10,FALSE),0))</f>
        <v>2.4351536427798831E-2</v>
      </c>
      <c r="M337" s="306">
        <f>+IF($H337=M$2,VLOOKUP($G337,Depreciation!$A$14:$L$18,11,FALSE)/2,IF($H337&lt;M$2,VLOOKUP($G337,Depreciation!$A$14:$L$18,11,FALSE),0))</f>
        <v>2.4351536427798831E-2</v>
      </c>
      <c r="N337" s="306">
        <f>+IF($H337=N$2,VLOOKUP($G337,Depreciation!$A$14:$L$18,12,FALSE)/2,IF($H337&lt;N$2,VLOOKUP($G337,Depreciation!$A$14:$L$18,12,FALSE),0))</f>
        <v>2.4351536427798831E-2</v>
      </c>
      <c r="O337" s="307">
        <f t="shared" si="41"/>
        <v>37580.94952981831</v>
      </c>
      <c r="P337" s="732">
        <f>'Func Future Subs 2015'!P337</f>
        <v>0</v>
      </c>
      <c r="Q337" s="732">
        <f>'Func Future Subs 2015'!Q337</f>
        <v>1</v>
      </c>
      <c r="R337" s="732">
        <f>'Func Future Subs 2015'!R337</f>
        <v>0</v>
      </c>
      <c r="S337" s="735">
        <f t="shared" si="42"/>
        <v>0</v>
      </c>
      <c r="T337" s="735">
        <f t="shared" si="43"/>
        <v>37580.94952981831</v>
      </c>
      <c r="U337" s="735">
        <f t="shared" si="44"/>
        <v>0</v>
      </c>
      <c r="V337" s="736">
        <f t="shared" si="45"/>
        <v>0</v>
      </c>
      <c r="W337" s="735">
        <f t="shared" si="46"/>
        <v>0</v>
      </c>
      <c r="X337" s="737">
        <f t="shared" si="47"/>
        <v>0</v>
      </c>
      <c r="Y337" s="738">
        <f t="shared" si="48"/>
        <v>37580.94952981831</v>
      </c>
    </row>
    <row r="338" spans="1:25">
      <c r="A338" s="754" t="str">
        <f>'Func Future Subs 2015'!A338</f>
        <v>HR Milner 740S_(v1)</v>
      </c>
      <c r="B338" s="754">
        <f>'Func Future Subs 2015'!B338</f>
        <v>1634</v>
      </c>
      <c r="C338" s="754">
        <f>'Func Future Subs 2015'!C338</f>
        <v>240</v>
      </c>
      <c r="D338" s="754">
        <f>'Func Future Subs 2015'!D338</f>
        <v>25</v>
      </c>
      <c r="E338" s="754" t="str">
        <f>'Func Future Subs 2015'!E338</f>
        <v>740S</v>
      </c>
      <c r="F338" s="754">
        <f>'Func Future Subs 2015'!F338</f>
        <v>56242.040999609831</v>
      </c>
      <c r="G338" s="754" t="str">
        <f>'Func Future Subs 2015'!G338</f>
        <v>ATCO</v>
      </c>
      <c r="H338" s="754">
        <f>'Func Future Subs 2015'!H338</f>
        <v>2016</v>
      </c>
      <c r="I338" s="306">
        <f>+IF($H338=I$2,VLOOKUP($G338,Depreciation!$A$14:$L$18,7,FALSE)/2,IF($H338&lt;I$2,VLOOKUP($G338,Depreciation!$A$14:$L$18,7,FALSE),0))</f>
        <v>0</v>
      </c>
      <c r="J338" s="306">
        <f>+IF($H338=J$2,VLOOKUP($G338,Depreciation!$A$14:$L$18,8,FALSE)/2,IF($H338&lt;J$2,VLOOKUP($G338,Depreciation!$A$14:$L$18,8,FALSE),0))</f>
        <v>1.231622525054236E-2</v>
      </c>
      <c r="K338" s="306">
        <f>+IF($H338=K$2,VLOOKUP($G338,Depreciation!$A$14:$L$18,9,FALSE)/2,IF($H338&lt;K$2,VLOOKUP($G338,Depreciation!$A$14:$L$18,9,FALSE),0))</f>
        <v>2.4351536427798831E-2</v>
      </c>
      <c r="L338" s="306">
        <f>+IF($H338=L$2,VLOOKUP($G338,Depreciation!$A$14:$L$18,10,FALSE)/2,IF($H338&lt;L$2,VLOOKUP($G338,Depreciation!$A$14:$L$18,10,FALSE),0))</f>
        <v>2.4351536427798831E-2</v>
      </c>
      <c r="M338" s="306">
        <f>+IF($H338=M$2,VLOOKUP($G338,Depreciation!$A$14:$L$18,11,FALSE)/2,IF($H338&lt;M$2,VLOOKUP($G338,Depreciation!$A$14:$L$18,11,FALSE),0))</f>
        <v>2.4351536427798831E-2</v>
      </c>
      <c r="N338" s="306">
        <f>+IF($H338=N$2,VLOOKUP($G338,Depreciation!$A$14:$L$18,12,FALSE)/2,IF($H338&lt;N$2,VLOOKUP($G338,Depreciation!$A$14:$L$18,12,FALSE),0))</f>
        <v>2.4351536427798831E-2</v>
      </c>
      <c r="O338" s="307">
        <f t="shared" si="41"/>
        <v>52876.867864863998</v>
      </c>
      <c r="P338" s="732">
        <f>'Func Future Subs 2015'!P338</f>
        <v>0.89437344274894326</v>
      </c>
      <c r="Q338" s="732">
        <f>'Func Future Subs 2015'!Q338</f>
        <v>0.10562655725105677</v>
      </c>
      <c r="R338" s="732">
        <f>'Func Future Subs 2015'!R338</f>
        <v>0</v>
      </c>
      <c r="S338" s="735">
        <f t="shared" si="42"/>
        <v>47291.666354079382</v>
      </c>
      <c r="T338" s="735">
        <f t="shared" si="43"/>
        <v>5585.201510784621</v>
      </c>
      <c r="U338" s="735">
        <f t="shared" si="44"/>
        <v>0</v>
      </c>
      <c r="V338" s="736">
        <f t="shared" si="45"/>
        <v>0</v>
      </c>
      <c r="W338" s="735">
        <f t="shared" si="46"/>
        <v>47291.666354079382</v>
      </c>
      <c r="X338" s="737">
        <f t="shared" si="47"/>
        <v>0</v>
      </c>
      <c r="Y338" s="738">
        <f t="shared" si="48"/>
        <v>5585.201510784621</v>
      </c>
    </row>
    <row r="339" spans="1:25">
      <c r="A339" s="754" t="str">
        <f>'Func Future Subs 2015'!A339</f>
        <v>Thorton POD 2091S_(v1)</v>
      </c>
      <c r="B339" s="754">
        <f>'Func Future Subs 2015'!B339</f>
        <v>1634</v>
      </c>
      <c r="C339" s="754">
        <f>'Func Future Subs 2015'!C339</f>
        <v>144</v>
      </c>
      <c r="D339" s="754">
        <f>'Func Future Subs 2015'!D339</f>
        <v>25</v>
      </c>
      <c r="E339" s="754" t="str">
        <f>'Func Future Subs 2015'!E339</f>
        <v>2091S</v>
      </c>
      <c r="F339" s="754">
        <f>'Func Future Subs 2015'!F339</f>
        <v>12550982.644961169</v>
      </c>
      <c r="G339" s="754" t="str">
        <f>'Func Future Subs 2015'!G339</f>
        <v>ATCO</v>
      </c>
      <c r="H339" s="754">
        <f>'Func Future Subs 2015'!H339</f>
        <v>2016</v>
      </c>
      <c r="I339" s="306">
        <f>+IF($H339=I$2,VLOOKUP($G339,Depreciation!$A$14:$L$18,7,FALSE)/2,IF($H339&lt;I$2,VLOOKUP($G339,Depreciation!$A$14:$L$18,7,FALSE),0))</f>
        <v>0</v>
      </c>
      <c r="J339" s="306">
        <f>+IF($H339=J$2,VLOOKUP($G339,Depreciation!$A$14:$L$18,8,FALSE)/2,IF($H339&lt;J$2,VLOOKUP($G339,Depreciation!$A$14:$L$18,8,FALSE),0))</f>
        <v>1.231622525054236E-2</v>
      </c>
      <c r="K339" s="306">
        <f>+IF($H339=K$2,VLOOKUP($G339,Depreciation!$A$14:$L$18,9,FALSE)/2,IF($H339&lt;K$2,VLOOKUP($G339,Depreciation!$A$14:$L$18,9,FALSE),0))</f>
        <v>2.4351536427798831E-2</v>
      </c>
      <c r="L339" s="306">
        <f>+IF($H339=L$2,VLOOKUP($G339,Depreciation!$A$14:$L$18,10,FALSE)/2,IF($H339&lt;L$2,VLOOKUP($G339,Depreciation!$A$14:$L$18,10,FALSE),0))</f>
        <v>2.4351536427798831E-2</v>
      </c>
      <c r="M339" s="306">
        <f>+IF($H339=M$2,VLOOKUP($G339,Depreciation!$A$14:$L$18,11,FALSE)/2,IF($H339&lt;M$2,VLOOKUP($G339,Depreciation!$A$14:$L$18,11,FALSE),0))</f>
        <v>2.4351536427798831E-2</v>
      </c>
      <c r="N339" s="306">
        <f>+IF($H339=N$2,VLOOKUP($G339,Depreciation!$A$14:$L$18,12,FALSE)/2,IF($H339&lt;N$2,VLOOKUP($G339,Depreciation!$A$14:$L$18,12,FALSE),0))</f>
        <v>2.4351536427798831E-2</v>
      </c>
      <c r="O339" s="307">
        <f t="shared" si="41"/>
        <v>11800010.083140776</v>
      </c>
      <c r="P339" s="732">
        <f>'Func Future Subs 2015'!P339</f>
        <v>0</v>
      </c>
      <c r="Q339" s="732">
        <f>'Func Future Subs 2015'!Q339</f>
        <v>0</v>
      </c>
      <c r="R339" s="732">
        <f>'Func Future Subs 2015'!R339</f>
        <v>1</v>
      </c>
      <c r="S339" s="735">
        <f t="shared" si="42"/>
        <v>0</v>
      </c>
      <c r="T339" s="735">
        <f t="shared" si="43"/>
        <v>0</v>
      </c>
      <c r="U339" s="735">
        <f t="shared" si="44"/>
        <v>11800010.083140776</v>
      </c>
      <c r="V339" s="736">
        <f t="shared" si="45"/>
        <v>0</v>
      </c>
      <c r="W339" s="735">
        <f t="shared" si="46"/>
        <v>0</v>
      </c>
      <c r="X339" s="737">
        <f t="shared" si="47"/>
        <v>0</v>
      </c>
      <c r="Y339" s="738">
        <f t="shared" si="48"/>
        <v>11800010.083140776</v>
      </c>
    </row>
    <row r="340" spans="1:25">
      <c r="A340" s="754" t="str">
        <f>'Func Future Subs 2015'!A340</f>
        <v>Boyle 56S substation</v>
      </c>
      <c r="B340" s="754">
        <f>'Func Future Subs 2015'!B340</f>
        <v>1636</v>
      </c>
      <c r="C340" s="754">
        <f>'Func Future Subs 2015'!C340</f>
        <v>138</v>
      </c>
      <c r="D340" s="754">
        <f>'Func Future Subs 2015'!D340</f>
        <v>25</v>
      </c>
      <c r="E340" s="754" t="str">
        <f>'Func Future Subs 2015'!E340</f>
        <v>56S</v>
      </c>
      <c r="F340" s="754">
        <f>'Func Future Subs 2015'!F340</f>
        <v>6332999.3866284983</v>
      </c>
      <c r="G340" s="754" t="str">
        <f>'Func Future Subs 2015'!G340</f>
        <v>AltaLink</v>
      </c>
      <c r="H340" s="754">
        <f>'Func Future Subs 2015'!H340</f>
        <v>2016</v>
      </c>
      <c r="I340" s="306">
        <f>+IF($H340=I$2,VLOOKUP($G340,Depreciation!$A$14:$L$18,7,FALSE)/2,IF($H340&lt;I$2,VLOOKUP($G340,Depreciation!$A$14:$L$18,7,FALSE),0))</f>
        <v>0</v>
      </c>
      <c r="J340" s="306">
        <f>+IF($H340=J$2,VLOOKUP($G340,Depreciation!$A$14:$L$18,8,FALSE)/2,IF($H340&lt;J$2,VLOOKUP($G340,Depreciation!$A$14:$L$18,8,FALSE),0))</f>
        <v>1.671703928371859E-2</v>
      </c>
      <c r="K340" s="306">
        <f>+IF($H340=K$2,VLOOKUP($G340,Depreciation!$A$14:$L$18,9,FALSE)/2,IF($H340&lt;K$2,VLOOKUP($G340,Depreciation!$A$14:$L$18,9,FALSE),0))</f>
        <v>3.343407856743718E-2</v>
      </c>
      <c r="L340" s="306">
        <f>+IF($H340=L$2,VLOOKUP($G340,Depreciation!$A$14:$L$18,10,FALSE)/2,IF($H340&lt;L$2,VLOOKUP($G340,Depreciation!$A$14:$L$18,10,FALSE),0))</f>
        <v>3.343407856743718E-2</v>
      </c>
      <c r="M340" s="306">
        <f>+IF($H340=M$2,VLOOKUP($G340,Depreciation!$A$14:$L$18,11,FALSE)/2,IF($H340&lt;M$2,VLOOKUP($G340,Depreciation!$A$14:$L$18,11,FALSE),0))</f>
        <v>3.343407856743718E-2</v>
      </c>
      <c r="N340" s="306">
        <f>+IF($H340=N$2,VLOOKUP($G340,Depreciation!$A$14:$L$18,12,FALSE)/2,IF($H340&lt;N$2,VLOOKUP($G340,Depreciation!$A$14:$L$18,12,FALSE),0))</f>
        <v>3.343407856743718E-2</v>
      </c>
      <c r="O340" s="307">
        <f t="shared" si="41"/>
        <v>5817694.5744215278</v>
      </c>
      <c r="P340" s="732">
        <f>'Func Future Subs 2015'!P340</f>
        <v>0</v>
      </c>
      <c r="Q340" s="732">
        <f>'Func Future Subs 2015'!Q340</f>
        <v>1</v>
      </c>
      <c r="R340" s="732">
        <f>'Func Future Subs 2015'!R340</f>
        <v>0</v>
      </c>
      <c r="S340" s="735">
        <f t="shared" si="42"/>
        <v>0</v>
      </c>
      <c r="T340" s="735">
        <f t="shared" si="43"/>
        <v>5817694.5744215278</v>
      </c>
      <c r="U340" s="735">
        <f t="shared" si="44"/>
        <v>0</v>
      </c>
      <c r="V340" s="736">
        <f t="shared" si="45"/>
        <v>0</v>
      </c>
      <c r="W340" s="735">
        <f t="shared" si="46"/>
        <v>0</v>
      </c>
      <c r="X340" s="737">
        <f t="shared" si="47"/>
        <v>0</v>
      </c>
      <c r="Y340" s="738">
        <f t="shared" si="48"/>
        <v>5817694.5744215278</v>
      </c>
    </row>
    <row r="341" spans="1:25">
      <c r="A341" s="754" t="str">
        <f>'Func Future Subs 2015'!A341</f>
        <v>Upgrade Benbow 397S</v>
      </c>
      <c r="B341" s="754">
        <f>'Func Future Subs 2015'!B341</f>
        <v>1638</v>
      </c>
      <c r="C341" s="754">
        <f>'Func Future Subs 2015'!C341</f>
        <v>138</v>
      </c>
      <c r="D341" s="754">
        <f>'Func Future Subs 2015'!D341</f>
        <v>25</v>
      </c>
      <c r="E341" s="754" t="str">
        <f>'Func Future Subs 2015'!E341</f>
        <v>397S</v>
      </c>
      <c r="F341" s="754">
        <f>'Func Future Subs 2015'!F341</f>
        <v>2192000.0000000009</v>
      </c>
      <c r="G341" s="754" t="str">
        <f>'Func Future Subs 2015'!G341</f>
        <v>AltaLink</v>
      </c>
      <c r="H341" s="754">
        <f>'Func Future Subs 2015'!H341</f>
        <v>2016</v>
      </c>
      <c r="I341" s="306">
        <f>+IF($H341=I$2,VLOOKUP($G341,Depreciation!$A$14:$L$18,7,FALSE)/2,IF($H341&lt;I$2,VLOOKUP($G341,Depreciation!$A$14:$L$18,7,FALSE),0))</f>
        <v>0</v>
      </c>
      <c r="J341" s="306">
        <f>+IF($H341=J$2,VLOOKUP($G341,Depreciation!$A$14:$L$18,8,FALSE)/2,IF($H341&lt;J$2,VLOOKUP($G341,Depreciation!$A$14:$L$18,8,FALSE),0))</f>
        <v>1.671703928371859E-2</v>
      </c>
      <c r="K341" s="306">
        <f>+IF($H341=K$2,VLOOKUP($G341,Depreciation!$A$14:$L$18,9,FALSE)/2,IF($H341&lt;K$2,VLOOKUP($G341,Depreciation!$A$14:$L$18,9,FALSE),0))</f>
        <v>3.343407856743718E-2</v>
      </c>
      <c r="L341" s="306">
        <f>+IF($H341=L$2,VLOOKUP($G341,Depreciation!$A$14:$L$18,10,FALSE)/2,IF($H341&lt;L$2,VLOOKUP($G341,Depreciation!$A$14:$L$18,10,FALSE),0))</f>
        <v>3.343407856743718E-2</v>
      </c>
      <c r="M341" s="306">
        <f>+IF($H341=M$2,VLOOKUP($G341,Depreciation!$A$14:$L$18,11,FALSE)/2,IF($H341&lt;M$2,VLOOKUP($G341,Depreciation!$A$14:$L$18,11,FALSE),0))</f>
        <v>3.343407856743718E-2</v>
      </c>
      <c r="N341" s="306">
        <f>+IF($H341=N$2,VLOOKUP($G341,Depreciation!$A$14:$L$18,12,FALSE)/2,IF($H341&lt;N$2,VLOOKUP($G341,Depreciation!$A$14:$L$18,12,FALSE),0))</f>
        <v>3.343407856743718E-2</v>
      </c>
      <c r="O341" s="307">
        <f t="shared" si="41"/>
        <v>2013640.8877691347</v>
      </c>
      <c r="P341" s="732">
        <f>'Func Future Subs 2015'!P341</f>
        <v>0</v>
      </c>
      <c r="Q341" s="732">
        <f>'Func Future Subs 2015'!Q341</f>
        <v>1</v>
      </c>
      <c r="R341" s="732">
        <f>'Func Future Subs 2015'!R341</f>
        <v>0</v>
      </c>
      <c r="S341" s="735">
        <f t="shared" si="42"/>
        <v>0</v>
      </c>
      <c r="T341" s="735">
        <f t="shared" si="43"/>
        <v>2013640.8877691347</v>
      </c>
      <c r="U341" s="735">
        <f t="shared" si="44"/>
        <v>0</v>
      </c>
      <c r="V341" s="736">
        <f t="shared" si="45"/>
        <v>0</v>
      </c>
      <c r="W341" s="735">
        <f t="shared" si="46"/>
        <v>0</v>
      </c>
      <c r="X341" s="737">
        <f t="shared" si="47"/>
        <v>0</v>
      </c>
      <c r="Y341" s="738">
        <f t="shared" si="48"/>
        <v>2013640.8877691347</v>
      </c>
    </row>
    <row r="342" spans="1:25">
      <c r="A342" s="754" t="str">
        <f>'Func Future Subs 2015'!A342</f>
        <v>Plamondon 353S</v>
      </c>
      <c r="B342" s="754">
        <f>'Func Future Subs 2015'!B342</f>
        <v>1640</v>
      </c>
      <c r="C342" s="754">
        <f>'Func Future Subs 2015'!C342</f>
        <v>138</v>
      </c>
      <c r="D342" s="754">
        <f>'Func Future Subs 2015'!D342</f>
        <v>25</v>
      </c>
      <c r="E342" s="754" t="str">
        <f>'Func Future Subs 2015'!E342</f>
        <v>353S</v>
      </c>
      <c r="F342" s="754">
        <f>'Func Future Subs 2015'!F342</f>
        <v>8107602.9999999944</v>
      </c>
      <c r="G342" s="754" t="str">
        <f>'Func Future Subs 2015'!G342</f>
        <v>AltaLink</v>
      </c>
      <c r="H342" s="754">
        <f>'Func Future Subs 2015'!H342</f>
        <v>2016</v>
      </c>
      <c r="I342" s="306">
        <f>+IF($H342=I$2,VLOOKUP($G342,Depreciation!$A$14:$L$18,7,FALSE)/2,IF($H342&lt;I$2,VLOOKUP($G342,Depreciation!$A$14:$L$18,7,FALSE),0))</f>
        <v>0</v>
      </c>
      <c r="J342" s="306">
        <f>+IF($H342=J$2,VLOOKUP($G342,Depreciation!$A$14:$L$18,8,FALSE)/2,IF($H342&lt;J$2,VLOOKUP($G342,Depreciation!$A$14:$L$18,8,FALSE),0))</f>
        <v>1.671703928371859E-2</v>
      </c>
      <c r="K342" s="306">
        <f>+IF($H342=K$2,VLOOKUP($G342,Depreciation!$A$14:$L$18,9,FALSE)/2,IF($H342&lt;K$2,VLOOKUP($G342,Depreciation!$A$14:$L$18,9,FALSE),0))</f>
        <v>3.343407856743718E-2</v>
      </c>
      <c r="L342" s="306">
        <f>+IF($H342=L$2,VLOOKUP($G342,Depreciation!$A$14:$L$18,10,FALSE)/2,IF($H342&lt;L$2,VLOOKUP($G342,Depreciation!$A$14:$L$18,10,FALSE),0))</f>
        <v>3.343407856743718E-2</v>
      </c>
      <c r="M342" s="306">
        <f>+IF($H342=M$2,VLOOKUP($G342,Depreciation!$A$14:$L$18,11,FALSE)/2,IF($H342&lt;M$2,VLOOKUP($G342,Depreciation!$A$14:$L$18,11,FALSE),0))</f>
        <v>3.343407856743718E-2</v>
      </c>
      <c r="N342" s="306">
        <f>+IF($H342=N$2,VLOOKUP($G342,Depreciation!$A$14:$L$18,12,FALSE)/2,IF($H342&lt;N$2,VLOOKUP($G342,Depreciation!$A$14:$L$18,12,FALSE),0))</f>
        <v>3.343407856743718E-2</v>
      </c>
      <c r="O342" s="307">
        <f t="shared" si="41"/>
        <v>7447901.8716239426</v>
      </c>
      <c r="P342" s="732">
        <f>'Func Future Subs 2015'!P342</f>
        <v>0</v>
      </c>
      <c r="Q342" s="732">
        <f>'Func Future Subs 2015'!Q342</f>
        <v>1</v>
      </c>
      <c r="R342" s="732">
        <f>'Func Future Subs 2015'!R342</f>
        <v>0</v>
      </c>
      <c r="S342" s="735">
        <f t="shared" si="42"/>
        <v>0</v>
      </c>
      <c r="T342" s="735">
        <f t="shared" si="43"/>
        <v>7447901.8716239426</v>
      </c>
      <c r="U342" s="735">
        <f t="shared" si="44"/>
        <v>0</v>
      </c>
      <c r="V342" s="736">
        <f t="shared" si="45"/>
        <v>0</v>
      </c>
      <c r="W342" s="735">
        <f t="shared" si="46"/>
        <v>0</v>
      </c>
      <c r="X342" s="737">
        <f t="shared" si="47"/>
        <v>0</v>
      </c>
      <c r="Y342" s="738">
        <f t="shared" si="48"/>
        <v>7447901.8716239426</v>
      </c>
    </row>
    <row r="343" spans="1:25">
      <c r="A343" s="754" t="str">
        <f>'Func Future Subs 2015'!A343</f>
        <v>Hughenden 213S</v>
      </c>
      <c r="B343" s="754">
        <f>'Func Future Subs 2015'!B343</f>
        <v>1642</v>
      </c>
      <c r="C343" s="754">
        <f>'Func Future Subs 2015'!C343</f>
        <v>138</v>
      </c>
      <c r="D343" s="754">
        <f>'Func Future Subs 2015'!D343</f>
        <v>25</v>
      </c>
      <c r="E343" s="754" t="str">
        <f>'Func Future Subs 2015'!E343</f>
        <v>213S</v>
      </c>
      <c r="F343" s="754">
        <f>'Func Future Subs 2015'!F343</f>
        <v>9130743.8789546061</v>
      </c>
      <c r="G343" s="754" t="str">
        <f>'Func Future Subs 2015'!G343</f>
        <v>AltaLink</v>
      </c>
      <c r="H343" s="754">
        <f>'Func Future Subs 2015'!H343</f>
        <v>2016</v>
      </c>
      <c r="I343" s="306">
        <f>+IF($H343=I$2,VLOOKUP($G343,Depreciation!$A$14:$L$18,7,FALSE)/2,IF($H343&lt;I$2,VLOOKUP($G343,Depreciation!$A$14:$L$18,7,FALSE),0))</f>
        <v>0</v>
      </c>
      <c r="J343" s="306">
        <f>+IF($H343=J$2,VLOOKUP($G343,Depreciation!$A$14:$L$18,8,FALSE)/2,IF($H343&lt;J$2,VLOOKUP($G343,Depreciation!$A$14:$L$18,8,FALSE),0))</f>
        <v>1.671703928371859E-2</v>
      </c>
      <c r="K343" s="306">
        <f>+IF($H343=K$2,VLOOKUP($G343,Depreciation!$A$14:$L$18,9,FALSE)/2,IF($H343&lt;K$2,VLOOKUP($G343,Depreciation!$A$14:$L$18,9,FALSE),0))</f>
        <v>3.343407856743718E-2</v>
      </c>
      <c r="L343" s="306">
        <f>+IF($H343=L$2,VLOOKUP($G343,Depreciation!$A$14:$L$18,10,FALSE)/2,IF($H343&lt;L$2,VLOOKUP($G343,Depreciation!$A$14:$L$18,10,FALSE),0))</f>
        <v>3.343407856743718E-2</v>
      </c>
      <c r="M343" s="306">
        <f>+IF($H343=M$2,VLOOKUP($G343,Depreciation!$A$14:$L$18,11,FALSE)/2,IF($H343&lt;M$2,VLOOKUP($G343,Depreciation!$A$14:$L$18,11,FALSE),0))</f>
        <v>3.343407856743718E-2</v>
      </c>
      <c r="N343" s="306">
        <f>+IF($H343=N$2,VLOOKUP($G343,Depreciation!$A$14:$L$18,12,FALSE)/2,IF($H343&lt;N$2,VLOOKUP($G343,Depreciation!$A$14:$L$18,12,FALSE),0))</f>
        <v>3.343407856743718E-2</v>
      </c>
      <c r="O343" s="307">
        <f t="shared" si="41"/>
        <v>8387791.6105888393</v>
      </c>
      <c r="P343" s="732">
        <f>'Func Future Subs 2015'!P343</f>
        <v>0</v>
      </c>
      <c r="Q343" s="732">
        <f>'Func Future Subs 2015'!Q343</f>
        <v>1</v>
      </c>
      <c r="R343" s="732">
        <f>'Func Future Subs 2015'!R343</f>
        <v>0</v>
      </c>
      <c r="S343" s="735">
        <f t="shared" si="42"/>
        <v>0</v>
      </c>
      <c r="T343" s="735">
        <f t="shared" si="43"/>
        <v>8387791.6105888393</v>
      </c>
      <c r="U343" s="735">
        <f t="shared" si="44"/>
        <v>0</v>
      </c>
      <c r="V343" s="736">
        <f t="shared" si="45"/>
        <v>0</v>
      </c>
      <c r="W343" s="735">
        <f t="shared" si="46"/>
        <v>0</v>
      </c>
      <c r="X343" s="737">
        <f t="shared" si="47"/>
        <v>0</v>
      </c>
      <c r="Y343" s="738">
        <f t="shared" si="48"/>
        <v>8387791.6105888393</v>
      </c>
    </row>
    <row r="344" spans="1:25">
      <c r="A344" s="754" t="str">
        <f>'Func Future Subs 2015'!A344</f>
        <v>Sunnybrook 510S</v>
      </c>
      <c r="B344" s="754">
        <f>'Func Future Subs 2015'!B344</f>
        <v>1655</v>
      </c>
      <c r="C344" s="754">
        <f>'Func Future Subs 2015'!C344</f>
        <v>500</v>
      </c>
      <c r="D344" s="754">
        <f>'Func Future Subs 2015'!D344</f>
        <v>500</v>
      </c>
      <c r="E344" s="754" t="str">
        <f>'Func Future Subs 2015'!E344</f>
        <v>510S</v>
      </c>
      <c r="F344" s="754">
        <f>'Func Future Subs 2015'!F344</f>
        <v>33890666.715976343</v>
      </c>
      <c r="G344" s="754" t="str">
        <f>'Func Future Subs 2015'!G344</f>
        <v>AltaLink</v>
      </c>
      <c r="H344" s="754">
        <f>'Func Future Subs 2015'!H344</f>
        <v>2018</v>
      </c>
      <c r="I344" s="306">
        <f>+IF($H344=I$2,VLOOKUP($G344,Depreciation!$A$14:$L$18,7,FALSE)/2,IF($H344&lt;I$2,VLOOKUP($G344,Depreciation!$A$14:$L$18,7,FALSE),0))</f>
        <v>0</v>
      </c>
      <c r="J344" s="306">
        <f>+IF($H344=J$2,VLOOKUP($G344,Depreciation!$A$14:$L$18,8,FALSE)/2,IF($H344&lt;J$2,VLOOKUP($G344,Depreciation!$A$14:$L$18,8,FALSE),0))</f>
        <v>0</v>
      </c>
      <c r="K344" s="306">
        <f>+IF($H344=K$2,VLOOKUP($G344,Depreciation!$A$14:$L$18,9,FALSE)/2,IF($H344&lt;K$2,VLOOKUP($G344,Depreciation!$A$14:$L$18,9,FALSE),0))</f>
        <v>0</v>
      </c>
      <c r="L344" s="306">
        <f>+IF($H344=L$2,VLOOKUP($G344,Depreciation!$A$14:$L$18,10,FALSE)/2,IF($H344&lt;L$2,VLOOKUP($G344,Depreciation!$A$14:$L$18,10,FALSE),0))</f>
        <v>1.671703928371859E-2</v>
      </c>
      <c r="M344" s="306">
        <f>+IF($H344=M$2,VLOOKUP($G344,Depreciation!$A$14:$L$18,11,FALSE)/2,IF($H344&lt;M$2,VLOOKUP($G344,Depreciation!$A$14:$L$18,11,FALSE),0))</f>
        <v>3.343407856743718E-2</v>
      </c>
      <c r="N344" s="306">
        <f>+IF($H344=N$2,VLOOKUP($G344,Depreciation!$A$14:$L$18,12,FALSE)/2,IF($H344&lt;N$2,VLOOKUP($G344,Depreciation!$A$14:$L$18,12,FALSE),0))</f>
        <v>3.343407856743718E-2</v>
      </c>
      <c r="O344" s="307">
        <f t="shared" si="41"/>
        <v>33324115.109133951</v>
      </c>
      <c r="P344" s="732">
        <f>'Func Future Subs 2015'!P344</f>
        <v>0</v>
      </c>
      <c r="Q344" s="732">
        <f>'Func Future Subs 2015'!Q344</f>
        <v>0</v>
      </c>
      <c r="R344" s="732">
        <f>'Func Future Subs 2015'!R344</f>
        <v>1</v>
      </c>
      <c r="S344" s="735">
        <f t="shared" si="42"/>
        <v>0</v>
      </c>
      <c r="T344" s="735">
        <f t="shared" si="43"/>
        <v>0</v>
      </c>
      <c r="U344" s="735">
        <f t="shared" si="44"/>
        <v>33324115.109133951</v>
      </c>
      <c r="V344" s="736">
        <f t="shared" si="45"/>
        <v>0</v>
      </c>
      <c r="W344" s="735">
        <f t="shared" si="46"/>
        <v>33324115.109133951</v>
      </c>
      <c r="X344" s="737">
        <f t="shared" si="47"/>
        <v>0</v>
      </c>
      <c r="Y344" s="738">
        <f t="shared" si="48"/>
        <v>0</v>
      </c>
    </row>
    <row r="345" spans="1:25">
      <c r="A345" s="754" t="str">
        <f>'Func Future Subs 2015'!A345</f>
        <v>High river 65S</v>
      </c>
      <c r="B345" s="754">
        <f>'Func Future Subs 2015'!B345</f>
        <v>1670</v>
      </c>
      <c r="C345" s="754">
        <f>'Func Future Subs 2015'!C345</f>
        <v>138</v>
      </c>
      <c r="D345" s="754">
        <f>'Func Future Subs 2015'!D345</f>
        <v>25</v>
      </c>
      <c r="E345" s="754" t="str">
        <f>'Func Future Subs 2015'!E345</f>
        <v>65S</v>
      </c>
      <c r="F345" s="754">
        <f>'Func Future Subs 2015'!F345</f>
        <v>2865685.0135288215</v>
      </c>
      <c r="G345" s="754" t="str">
        <f>'Func Future Subs 2015'!G345</f>
        <v>AltaLink</v>
      </c>
      <c r="H345" s="754">
        <f>'Func Future Subs 2015'!H345</f>
        <v>2018</v>
      </c>
      <c r="I345" s="306">
        <f>+IF($H345=I$2,VLOOKUP($G345,Depreciation!$A$14:$L$18,7,FALSE)/2,IF($H345&lt;I$2,VLOOKUP($G345,Depreciation!$A$14:$L$18,7,FALSE),0))</f>
        <v>0</v>
      </c>
      <c r="J345" s="306">
        <f>+IF($H345=J$2,VLOOKUP($G345,Depreciation!$A$14:$L$18,8,FALSE)/2,IF($H345&lt;J$2,VLOOKUP($G345,Depreciation!$A$14:$L$18,8,FALSE),0))</f>
        <v>0</v>
      </c>
      <c r="K345" s="306">
        <f>+IF($H345=K$2,VLOOKUP($G345,Depreciation!$A$14:$L$18,9,FALSE)/2,IF($H345&lt;K$2,VLOOKUP($G345,Depreciation!$A$14:$L$18,9,FALSE),0))</f>
        <v>0</v>
      </c>
      <c r="L345" s="306">
        <f>+IF($H345=L$2,VLOOKUP($G345,Depreciation!$A$14:$L$18,10,FALSE)/2,IF($H345&lt;L$2,VLOOKUP($G345,Depreciation!$A$14:$L$18,10,FALSE),0))</f>
        <v>1.671703928371859E-2</v>
      </c>
      <c r="M345" s="306">
        <f>+IF($H345=M$2,VLOOKUP($G345,Depreciation!$A$14:$L$18,11,FALSE)/2,IF($H345&lt;M$2,VLOOKUP($G345,Depreciation!$A$14:$L$18,11,FALSE),0))</f>
        <v>3.343407856743718E-2</v>
      </c>
      <c r="N345" s="306">
        <f>+IF($H345=N$2,VLOOKUP($G345,Depreciation!$A$14:$L$18,12,FALSE)/2,IF($H345&lt;N$2,VLOOKUP($G345,Depreciation!$A$14:$L$18,12,FALSE),0))</f>
        <v>3.343407856743718E-2</v>
      </c>
      <c r="O345" s="307">
        <f t="shared" si="41"/>
        <v>2817779.2445828966</v>
      </c>
      <c r="P345" s="732">
        <f>'Func Future Subs 2015'!P345</f>
        <v>0</v>
      </c>
      <c r="Q345" s="732">
        <f>'Func Future Subs 2015'!Q345</f>
        <v>1</v>
      </c>
      <c r="R345" s="732">
        <f>'Func Future Subs 2015'!R345</f>
        <v>0</v>
      </c>
      <c r="S345" s="735">
        <f t="shared" si="42"/>
        <v>0</v>
      </c>
      <c r="T345" s="735">
        <f t="shared" si="43"/>
        <v>2817779.2445828966</v>
      </c>
      <c r="U345" s="735">
        <f t="shared" si="44"/>
        <v>0</v>
      </c>
      <c r="V345" s="736">
        <f t="shared" si="45"/>
        <v>0</v>
      </c>
      <c r="W345" s="735">
        <f t="shared" si="46"/>
        <v>0</v>
      </c>
      <c r="X345" s="737">
        <f t="shared" si="47"/>
        <v>0</v>
      </c>
      <c r="Y345" s="738">
        <f t="shared" si="48"/>
        <v>2817779.2445828966</v>
      </c>
    </row>
    <row r="346" spans="1:25">
      <c r="A346" s="754" t="str">
        <f>'Func Future Subs 2015'!A346</f>
        <v>Okotoks 678S</v>
      </c>
      <c r="B346" s="754">
        <f>'Func Future Subs 2015'!B346</f>
        <v>1670</v>
      </c>
      <c r="C346" s="754">
        <f>'Func Future Subs 2015'!C346</f>
        <v>138</v>
      </c>
      <c r="D346" s="754">
        <f>'Func Future Subs 2015'!D346</f>
        <v>25</v>
      </c>
      <c r="E346" s="754" t="str">
        <f>'Func Future Subs 2015'!E346</f>
        <v>678S</v>
      </c>
      <c r="F346" s="754">
        <f>'Func Future Subs 2015'!F346</f>
        <v>17512173.986471187</v>
      </c>
      <c r="G346" s="754" t="str">
        <f>'Func Future Subs 2015'!G346</f>
        <v>AltaLink</v>
      </c>
      <c r="H346" s="754">
        <f>'Func Future Subs 2015'!H346</f>
        <v>2018</v>
      </c>
      <c r="I346" s="306">
        <f>+IF($H346=I$2,VLOOKUP($G346,Depreciation!$A$14:$L$18,7,FALSE)/2,IF($H346&lt;I$2,VLOOKUP($G346,Depreciation!$A$14:$L$18,7,FALSE),0))</f>
        <v>0</v>
      </c>
      <c r="J346" s="306">
        <f>+IF($H346=J$2,VLOOKUP($G346,Depreciation!$A$14:$L$18,8,FALSE)/2,IF($H346&lt;J$2,VLOOKUP($G346,Depreciation!$A$14:$L$18,8,FALSE),0))</f>
        <v>0</v>
      </c>
      <c r="K346" s="306">
        <f>+IF($H346=K$2,VLOOKUP($G346,Depreciation!$A$14:$L$18,9,FALSE)/2,IF($H346&lt;K$2,VLOOKUP($G346,Depreciation!$A$14:$L$18,9,FALSE),0))</f>
        <v>0</v>
      </c>
      <c r="L346" s="306">
        <f>+IF($H346=L$2,VLOOKUP($G346,Depreciation!$A$14:$L$18,10,FALSE)/2,IF($H346&lt;L$2,VLOOKUP($G346,Depreciation!$A$14:$L$18,10,FALSE),0))</f>
        <v>1.671703928371859E-2</v>
      </c>
      <c r="M346" s="306">
        <f>+IF($H346=M$2,VLOOKUP($G346,Depreciation!$A$14:$L$18,11,FALSE)/2,IF($H346&lt;M$2,VLOOKUP($G346,Depreciation!$A$14:$L$18,11,FALSE),0))</f>
        <v>3.343407856743718E-2</v>
      </c>
      <c r="N346" s="306">
        <f>+IF($H346=N$2,VLOOKUP($G346,Depreciation!$A$14:$L$18,12,FALSE)/2,IF($H346&lt;N$2,VLOOKUP($G346,Depreciation!$A$14:$L$18,12,FALSE),0))</f>
        <v>3.343407856743718E-2</v>
      </c>
      <c r="O346" s="307">
        <f t="shared" si="41"/>
        <v>17219422.285996035</v>
      </c>
      <c r="P346" s="732">
        <f>'Func Future Subs 2015'!P346</f>
        <v>0</v>
      </c>
      <c r="Q346" s="732">
        <f>'Func Future Subs 2015'!Q346</f>
        <v>1</v>
      </c>
      <c r="R346" s="732">
        <f>'Func Future Subs 2015'!R346</f>
        <v>0</v>
      </c>
      <c r="S346" s="735">
        <f t="shared" si="42"/>
        <v>0</v>
      </c>
      <c r="T346" s="735">
        <f t="shared" si="43"/>
        <v>17219422.285996035</v>
      </c>
      <c r="U346" s="735">
        <f t="shared" si="44"/>
        <v>0</v>
      </c>
      <c r="V346" s="736">
        <f t="shared" si="45"/>
        <v>0</v>
      </c>
      <c r="W346" s="735">
        <f t="shared" si="46"/>
        <v>0</v>
      </c>
      <c r="X346" s="737">
        <f t="shared" si="47"/>
        <v>0</v>
      </c>
      <c r="Y346" s="738">
        <f t="shared" si="48"/>
        <v>17219422.285996035</v>
      </c>
    </row>
    <row r="347" spans="1:25">
      <c r="A347" s="754" t="str">
        <f>'Func Future Subs 2015'!A347</f>
        <v>Cooking Lake 522S</v>
      </c>
      <c r="B347" s="754">
        <f>'Func Future Subs 2015'!B347</f>
        <v>1674</v>
      </c>
      <c r="C347" s="754">
        <f>'Func Future Subs 2015'!C347</f>
        <v>138</v>
      </c>
      <c r="D347" s="754">
        <f>'Func Future Subs 2015'!D347</f>
        <v>25</v>
      </c>
      <c r="E347" s="754" t="str">
        <f>'Func Future Subs 2015'!E347</f>
        <v>522S</v>
      </c>
      <c r="F347" s="754">
        <f>'Func Future Subs 2015'!F347</f>
        <v>9946465.9999999963</v>
      </c>
      <c r="G347" s="754" t="str">
        <f>'Func Future Subs 2015'!G347</f>
        <v>AltaLink</v>
      </c>
      <c r="H347" s="754">
        <f>'Func Future Subs 2015'!H347</f>
        <v>2018</v>
      </c>
      <c r="I347" s="306">
        <f>+IF($H347=I$2,VLOOKUP($G347,Depreciation!$A$14:$L$18,7,FALSE)/2,IF($H347&lt;I$2,VLOOKUP($G347,Depreciation!$A$14:$L$18,7,FALSE),0))</f>
        <v>0</v>
      </c>
      <c r="J347" s="306">
        <f>+IF($H347=J$2,VLOOKUP($G347,Depreciation!$A$14:$L$18,8,FALSE)/2,IF($H347&lt;J$2,VLOOKUP($G347,Depreciation!$A$14:$L$18,8,FALSE),0))</f>
        <v>0</v>
      </c>
      <c r="K347" s="306">
        <f>+IF($H347=K$2,VLOOKUP($G347,Depreciation!$A$14:$L$18,9,FALSE)/2,IF($H347&lt;K$2,VLOOKUP($G347,Depreciation!$A$14:$L$18,9,FALSE),0))</f>
        <v>0</v>
      </c>
      <c r="L347" s="306">
        <f>+IF($H347=L$2,VLOOKUP($G347,Depreciation!$A$14:$L$18,10,FALSE)/2,IF($H347&lt;L$2,VLOOKUP($G347,Depreciation!$A$14:$L$18,10,FALSE),0))</f>
        <v>1.671703928371859E-2</v>
      </c>
      <c r="M347" s="306">
        <f>+IF($H347=M$2,VLOOKUP($G347,Depreciation!$A$14:$L$18,11,FALSE)/2,IF($H347&lt;M$2,VLOOKUP($G347,Depreciation!$A$14:$L$18,11,FALSE),0))</f>
        <v>3.343407856743718E-2</v>
      </c>
      <c r="N347" s="306">
        <f>+IF($H347=N$2,VLOOKUP($G347,Depreciation!$A$14:$L$18,12,FALSE)/2,IF($H347&lt;N$2,VLOOKUP($G347,Depreciation!$A$14:$L$18,12,FALSE),0))</f>
        <v>3.343407856743718E-2</v>
      </c>
      <c r="O347" s="307">
        <f t="shared" si="41"/>
        <v>9780190.5371438246</v>
      </c>
      <c r="P347" s="732">
        <f>'Func Future Subs 2015'!P347</f>
        <v>0</v>
      </c>
      <c r="Q347" s="732">
        <f>'Func Future Subs 2015'!Q347</f>
        <v>1</v>
      </c>
      <c r="R347" s="732">
        <f>'Func Future Subs 2015'!R347</f>
        <v>0</v>
      </c>
      <c r="S347" s="735">
        <f t="shared" si="42"/>
        <v>0</v>
      </c>
      <c r="T347" s="735">
        <f t="shared" si="43"/>
        <v>9780190.5371438246</v>
      </c>
      <c r="U347" s="735">
        <f t="shared" si="44"/>
        <v>0</v>
      </c>
      <c r="V347" s="736">
        <f t="shared" si="45"/>
        <v>0</v>
      </c>
      <c r="W347" s="735">
        <f t="shared" si="46"/>
        <v>0</v>
      </c>
      <c r="X347" s="737">
        <f t="shared" si="47"/>
        <v>0</v>
      </c>
      <c r="Y347" s="738">
        <f t="shared" si="48"/>
        <v>9780190.5371438246</v>
      </c>
    </row>
    <row r="348" spans="1:25">
      <c r="A348" s="754" t="str">
        <f>'Func Future Subs 2015'!A348</f>
        <v>Empress 394S</v>
      </c>
      <c r="B348" s="754">
        <f>'Func Future Subs 2015'!B348</f>
        <v>1679</v>
      </c>
      <c r="C348" s="754">
        <f>'Func Future Subs 2015'!C348</f>
        <v>138</v>
      </c>
      <c r="D348" s="754">
        <f>'Func Future Subs 2015'!D348</f>
        <v>25</v>
      </c>
      <c r="E348" s="754" t="str">
        <f>'Func Future Subs 2015'!E348</f>
        <v>394S</v>
      </c>
      <c r="F348" s="754">
        <f>'Func Future Subs 2015'!F348</f>
        <v>2923999.9999999986</v>
      </c>
      <c r="G348" s="754" t="str">
        <f>'Func Future Subs 2015'!G348</f>
        <v>AltaLink</v>
      </c>
      <c r="H348" s="754">
        <f>'Func Future Subs 2015'!H348</f>
        <v>2017</v>
      </c>
      <c r="I348" s="306">
        <f>+IF($H348=I$2,VLOOKUP($G348,Depreciation!$A$14:$L$18,7,FALSE)/2,IF($H348&lt;I$2,VLOOKUP($G348,Depreciation!$A$14:$L$18,7,FALSE),0))</f>
        <v>0</v>
      </c>
      <c r="J348" s="306">
        <f>+IF($H348=J$2,VLOOKUP($G348,Depreciation!$A$14:$L$18,8,FALSE)/2,IF($H348&lt;J$2,VLOOKUP($G348,Depreciation!$A$14:$L$18,8,FALSE),0))</f>
        <v>0</v>
      </c>
      <c r="K348" s="306">
        <f>+IF($H348=K$2,VLOOKUP($G348,Depreciation!$A$14:$L$18,9,FALSE)/2,IF($H348&lt;K$2,VLOOKUP($G348,Depreciation!$A$14:$L$18,9,FALSE),0))</f>
        <v>1.671703928371859E-2</v>
      </c>
      <c r="L348" s="306">
        <f>+IF($H348=L$2,VLOOKUP($G348,Depreciation!$A$14:$L$18,10,FALSE)/2,IF($H348&lt;L$2,VLOOKUP($G348,Depreciation!$A$14:$L$18,10,FALSE),0))</f>
        <v>3.343407856743718E-2</v>
      </c>
      <c r="M348" s="306">
        <f>+IF($H348=M$2,VLOOKUP($G348,Depreciation!$A$14:$L$18,11,FALSE)/2,IF($H348&lt;M$2,VLOOKUP($G348,Depreciation!$A$14:$L$18,11,FALSE),0))</f>
        <v>3.343407856743718E-2</v>
      </c>
      <c r="N348" s="306">
        <f>+IF($H348=N$2,VLOOKUP($G348,Depreciation!$A$14:$L$18,12,FALSE)/2,IF($H348&lt;N$2,VLOOKUP($G348,Depreciation!$A$14:$L$18,12,FALSE),0))</f>
        <v>3.343407856743718E-2</v>
      </c>
      <c r="O348" s="307">
        <f t="shared" si="41"/>
        <v>2778992.4099885328</v>
      </c>
      <c r="P348" s="732">
        <f>'Func Future Subs 2015'!P348</f>
        <v>0</v>
      </c>
      <c r="Q348" s="732">
        <f>'Func Future Subs 2015'!Q348</f>
        <v>1</v>
      </c>
      <c r="R348" s="732">
        <f>'Func Future Subs 2015'!R348</f>
        <v>0</v>
      </c>
      <c r="S348" s="735">
        <f t="shared" si="42"/>
        <v>0</v>
      </c>
      <c r="T348" s="735">
        <f t="shared" si="43"/>
        <v>2778992.4099885328</v>
      </c>
      <c r="U348" s="735">
        <f t="shared" si="44"/>
        <v>0</v>
      </c>
      <c r="V348" s="736">
        <f t="shared" si="45"/>
        <v>0</v>
      </c>
      <c r="W348" s="735">
        <f t="shared" si="46"/>
        <v>0</v>
      </c>
      <c r="X348" s="737">
        <f t="shared" si="47"/>
        <v>0</v>
      </c>
      <c r="Y348" s="738">
        <f t="shared" si="48"/>
        <v>2778992.4099885328</v>
      </c>
    </row>
    <row r="349" spans="1:25">
      <c r="A349" s="754" t="str">
        <f>'Func Future Subs 2015'!A349</f>
        <v>Fortis Bullhead 523S</v>
      </c>
      <c r="B349" s="754">
        <f>'Func Future Subs 2015'!B349</f>
        <v>1681</v>
      </c>
      <c r="C349" s="754">
        <f>'Func Future Subs 2015'!C349</f>
        <v>138</v>
      </c>
      <c r="D349" s="754">
        <f>'Func Future Subs 2015'!D349</f>
        <v>25</v>
      </c>
      <c r="E349" s="754" t="str">
        <f>'Func Future Subs 2015'!E349</f>
        <v>523S</v>
      </c>
      <c r="F349" s="754">
        <f>'Func Future Subs 2015'!F349</f>
        <v>5565999.9999999972</v>
      </c>
      <c r="G349" s="754" t="str">
        <f>'Func Future Subs 2015'!G349</f>
        <v>AltaLink</v>
      </c>
      <c r="H349" s="754">
        <f>'Func Future Subs 2015'!H349</f>
        <v>2017</v>
      </c>
      <c r="I349" s="306">
        <f>+IF($H349=I$2,VLOOKUP($G349,Depreciation!$A$14:$L$18,7,FALSE)/2,IF($H349&lt;I$2,VLOOKUP($G349,Depreciation!$A$14:$L$18,7,FALSE),0))</f>
        <v>0</v>
      </c>
      <c r="J349" s="306">
        <f>+IF($H349=J$2,VLOOKUP($G349,Depreciation!$A$14:$L$18,8,FALSE)/2,IF($H349&lt;J$2,VLOOKUP($G349,Depreciation!$A$14:$L$18,8,FALSE),0))</f>
        <v>0</v>
      </c>
      <c r="K349" s="306">
        <f>+IF($H349=K$2,VLOOKUP($G349,Depreciation!$A$14:$L$18,9,FALSE)/2,IF($H349&lt;K$2,VLOOKUP($G349,Depreciation!$A$14:$L$18,9,FALSE),0))</f>
        <v>1.671703928371859E-2</v>
      </c>
      <c r="L349" s="306">
        <f>+IF($H349=L$2,VLOOKUP($G349,Depreciation!$A$14:$L$18,10,FALSE)/2,IF($H349&lt;L$2,VLOOKUP($G349,Depreciation!$A$14:$L$18,10,FALSE),0))</f>
        <v>3.343407856743718E-2</v>
      </c>
      <c r="M349" s="306">
        <f>+IF($H349=M$2,VLOOKUP($G349,Depreciation!$A$14:$L$18,11,FALSE)/2,IF($H349&lt;M$2,VLOOKUP($G349,Depreciation!$A$14:$L$18,11,FALSE),0))</f>
        <v>3.343407856743718E-2</v>
      </c>
      <c r="N349" s="306">
        <f>+IF($H349=N$2,VLOOKUP($G349,Depreciation!$A$14:$L$18,12,FALSE)/2,IF($H349&lt;N$2,VLOOKUP($G349,Depreciation!$A$14:$L$18,12,FALSE),0))</f>
        <v>3.343407856743718E-2</v>
      </c>
      <c r="O349" s="307">
        <f t="shared" si="41"/>
        <v>5289969.8201081306</v>
      </c>
      <c r="P349" s="732">
        <f>'Func Future Subs 2015'!P349</f>
        <v>0</v>
      </c>
      <c r="Q349" s="732">
        <f>'Func Future Subs 2015'!Q349</f>
        <v>1</v>
      </c>
      <c r="R349" s="732">
        <f>'Func Future Subs 2015'!R349</f>
        <v>0</v>
      </c>
      <c r="S349" s="735">
        <f t="shared" si="42"/>
        <v>0</v>
      </c>
      <c r="T349" s="735">
        <f t="shared" si="43"/>
        <v>5289969.8201081306</v>
      </c>
      <c r="U349" s="735">
        <f t="shared" si="44"/>
        <v>0</v>
      </c>
      <c r="V349" s="736">
        <f t="shared" si="45"/>
        <v>0</v>
      </c>
      <c r="W349" s="735">
        <f t="shared" si="46"/>
        <v>0</v>
      </c>
      <c r="X349" s="737">
        <f t="shared" si="47"/>
        <v>0</v>
      </c>
      <c r="Y349" s="738">
        <f t="shared" si="48"/>
        <v>5289969.8201081306</v>
      </c>
    </row>
    <row r="350" spans="1:25">
      <c r="A350" s="754" t="str">
        <f>'Func Future Subs 2015'!A350</f>
        <v>Fox creek substation</v>
      </c>
      <c r="B350" s="754">
        <f>'Func Future Subs 2015'!B350</f>
        <v>1722</v>
      </c>
      <c r="C350" s="754">
        <f>'Func Future Subs 2015'!C350</f>
        <v>144</v>
      </c>
      <c r="D350" s="754">
        <f>'Func Future Subs 2015'!D350</f>
        <v>0</v>
      </c>
      <c r="E350" s="754">
        <f>'Func Future Subs 2015'!E350</f>
        <v>0</v>
      </c>
      <c r="F350" s="754">
        <f>'Func Future Subs 2015'!F350</f>
        <v>4905391.5342857111</v>
      </c>
      <c r="G350" s="754" t="str">
        <f>'Func Future Subs 2015'!G350</f>
        <v>ATCO</v>
      </c>
      <c r="H350" s="754">
        <f>'Func Future Subs 2015'!H350</f>
        <v>2017</v>
      </c>
      <c r="I350" s="306">
        <f>+IF($H350=I$2,VLOOKUP($G350,Depreciation!$A$14:$L$18,7,FALSE)/2,IF($H350&lt;I$2,VLOOKUP($G350,Depreciation!$A$14:$L$18,7,FALSE),0))</f>
        <v>0</v>
      </c>
      <c r="J350" s="306">
        <f>+IF($H350=J$2,VLOOKUP($G350,Depreciation!$A$14:$L$18,8,FALSE)/2,IF($H350&lt;J$2,VLOOKUP($G350,Depreciation!$A$14:$L$18,8,FALSE),0))</f>
        <v>0</v>
      </c>
      <c r="K350" s="306">
        <f>+IF($H350=K$2,VLOOKUP($G350,Depreciation!$A$14:$L$18,9,FALSE)/2,IF($H350&lt;K$2,VLOOKUP($G350,Depreciation!$A$14:$L$18,9,FALSE),0))</f>
        <v>1.2175768213899416E-2</v>
      </c>
      <c r="L350" s="306">
        <f>+IF($H350=L$2,VLOOKUP($G350,Depreciation!$A$14:$L$18,10,FALSE)/2,IF($H350&lt;L$2,VLOOKUP($G350,Depreciation!$A$14:$L$18,10,FALSE),0))</f>
        <v>2.4351536427798831E-2</v>
      </c>
      <c r="M350" s="306">
        <f>+IF($H350=M$2,VLOOKUP($G350,Depreciation!$A$14:$L$18,11,FALSE)/2,IF($H350&lt;M$2,VLOOKUP($G350,Depreciation!$A$14:$L$18,11,FALSE),0))</f>
        <v>2.4351536427798831E-2</v>
      </c>
      <c r="N350" s="306">
        <f>+IF($H350=N$2,VLOOKUP($G350,Depreciation!$A$14:$L$18,12,FALSE)/2,IF($H350&lt;N$2,VLOOKUP($G350,Depreciation!$A$14:$L$18,12,FALSE),0))</f>
        <v>2.4351536427798831E-2</v>
      </c>
      <c r="O350" s="307">
        <f t="shared" si="41"/>
        <v>4727665.2453584243</v>
      </c>
      <c r="P350" s="732">
        <f>'Func Future Subs 2015'!P350</f>
        <v>0</v>
      </c>
      <c r="Q350" s="732">
        <f>'Func Future Subs 2015'!Q350</f>
        <v>0</v>
      </c>
      <c r="R350" s="732">
        <f>'Func Future Subs 2015'!R350</f>
        <v>1</v>
      </c>
      <c r="S350" s="735">
        <f t="shared" si="42"/>
        <v>0</v>
      </c>
      <c r="T350" s="735">
        <f t="shared" si="43"/>
        <v>0</v>
      </c>
      <c r="U350" s="735">
        <f t="shared" si="44"/>
        <v>4727665.2453584243</v>
      </c>
      <c r="V350" s="736">
        <f t="shared" si="45"/>
        <v>4727665.2453584243</v>
      </c>
      <c r="W350" s="735">
        <f t="shared" si="46"/>
        <v>0</v>
      </c>
      <c r="X350" s="737">
        <f t="shared" si="47"/>
        <v>0</v>
      </c>
      <c r="Y350" s="738">
        <f t="shared" si="48"/>
        <v>0</v>
      </c>
    </row>
    <row r="351" spans="1:25">
      <c r="A351" s="754" t="str">
        <f>'Func Future Subs 2015'!A351</f>
        <v>New Muir POD</v>
      </c>
      <c r="B351" s="754">
        <f>'Func Future Subs 2015'!B351</f>
        <v>1722</v>
      </c>
      <c r="C351" s="754">
        <f>'Func Future Subs 2015'!C351</f>
        <v>144</v>
      </c>
      <c r="D351" s="754">
        <f>'Func Future Subs 2015'!D351</f>
        <v>0</v>
      </c>
      <c r="E351" s="754">
        <f>'Func Future Subs 2015'!E351</f>
        <v>0</v>
      </c>
      <c r="F351" s="754">
        <f>'Func Future Subs 2015'!F351</f>
        <v>12202149.6335527</v>
      </c>
      <c r="G351" s="754" t="str">
        <f>'Func Future Subs 2015'!G351</f>
        <v>ATCO</v>
      </c>
      <c r="H351" s="754">
        <f>'Func Future Subs 2015'!H351</f>
        <v>2017</v>
      </c>
      <c r="I351" s="306">
        <f>+IF($H351=I$2,VLOOKUP($G351,Depreciation!$A$14:$L$18,7,FALSE)/2,IF($H351&lt;I$2,VLOOKUP($G351,Depreciation!$A$14:$L$18,7,FALSE),0))</f>
        <v>0</v>
      </c>
      <c r="J351" s="306">
        <f>+IF($H351=J$2,VLOOKUP($G351,Depreciation!$A$14:$L$18,8,FALSE)/2,IF($H351&lt;J$2,VLOOKUP($G351,Depreciation!$A$14:$L$18,8,FALSE),0))</f>
        <v>0</v>
      </c>
      <c r="K351" s="306">
        <f>+IF($H351=K$2,VLOOKUP($G351,Depreciation!$A$14:$L$18,9,FALSE)/2,IF($H351&lt;K$2,VLOOKUP($G351,Depreciation!$A$14:$L$18,9,FALSE),0))</f>
        <v>1.2175768213899416E-2</v>
      </c>
      <c r="L351" s="306">
        <f>+IF($H351=L$2,VLOOKUP($G351,Depreciation!$A$14:$L$18,10,FALSE)/2,IF($H351&lt;L$2,VLOOKUP($G351,Depreciation!$A$14:$L$18,10,FALSE),0))</f>
        <v>2.4351536427798831E-2</v>
      </c>
      <c r="M351" s="306">
        <f>+IF($H351=M$2,VLOOKUP($G351,Depreciation!$A$14:$L$18,11,FALSE)/2,IF($H351&lt;M$2,VLOOKUP($G351,Depreciation!$A$14:$L$18,11,FALSE),0))</f>
        <v>2.4351536427798831E-2</v>
      </c>
      <c r="N351" s="306">
        <f>+IF($H351=N$2,VLOOKUP($G351,Depreciation!$A$14:$L$18,12,FALSE)/2,IF($H351&lt;N$2,VLOOKUP($G351,Depreciation!$A$14:$L$18,12,FALSE),0))</f>
        <v>2.4351536427798831E-2</v>
      </c>
      <c r="O351" s="307">
        <f t="shared" si="41"/>
        <v>11760055.917658813</v>
      </c>
      <c r="P351" s="732">
        <f>'Func Future Subs 2015'!P351</f>
        <v>0</v>
      </c>
      <c r="Q351" s="732">
        <f>'Func Future Subs 2015'!Q351</f>
        <v>0</v>
      </c>
      <c r="R351" s="732">
        <f>'Func Future Subs 2015'!R351</f>
        <v>1</v>
      </c>
      <c r="S351" s="735">
        <f t="shared" si="42"/>
        <v>0</v>
      </c>
      <c r="T351" s="735">
        <f t="shared" si="43"/>
        <v>0</v>
      </c>
      <c r="U351" s="735">
        <f t="shared" si="44"/>
        <v>11760055.917658813</v>
      </c>
      <c r="V351" s="736">
        <f t="shared" si="45"/>
        <v>11760055.917658813</v>
      </c>
      <c r="W351" s="735">
        <f t="shared" si="46"/>
        <v>0</v>
      </c>
      <c r="X351" s="737">
        <f t="shared" si="47"/>
        <v>0</v>
      </c>
      <c r="Y351" s="738">
        <f t="shared" si="48"/>
        <v>0</v>
      </c>
    </row>
    <row r="352" spans="1:25">
      <c r="A352" s="754" t="str">
        <f>'Func Future Subs 2015'!A352</f>
        <v>Calgary Downtown</v>
      </c>
      <c r="B352" s="754">
        <f>'Func Future Subs 2015'!B352</f>
        <v>1456</v>
      </c>
      <c r="C352" s="754">
        <f>'Func Future Subs 2015'!C352</f>
        <v>138</v>
      </c>
      <c r="D352" s="754">
        <f>'Func Future Subs 2015'!D352</f>
        <v>25</v>
      </c>
      <c r="E352" s="754" t="str">
        <f>'Func Future Subs 2015'!E352</f>
        <v>SS-2</v>
      </c>
      <c r="F352" s="754">
        <f>'Func Future Subs 2015'!F352</f>
        <v>70361149.105234668</v>
      </c>
      <c r="G352" s="754" t="str">
        <f>'Func Future Subs 2015'!G352</f>
        <v>ENMAX</v>
      </c>
      <c r="H352" s="754">
        <f>'Func Future Subs 2015'!H352</f>
        <v>2020</v>
      </c>
      <c r="I352" s="306">
        <f>+IF($H352=I$2,VLOOKUP($G352,Depreciation!$A$14:$L$18,7,FALSE)/2,IF($H352&lt;I$2,VLOOKUP($G352,Depreciation!$A$14:$L$18,7,FALSE),0))</f>
        <v>0</v>
      </c>
      <c r="J352" s="306">
        <f>+IF($H352=J$2,VLOOKUP($G352,Depreciation!$A$14:$L$18,8,FALSE)/2,IF($H352&lt;J$2,VLOOKUP($G352,Depreciation!$A$14:$L$18,8,FALSE),0))</f>
        <v>0</v>
      </c>
      <c r="K352" s="306">
        <f>+IF($H352=K$2,VLOOKUP($G352,Depreciation!$A$14:$L$18,9,FALSE)/2,IF($H352&lt;K$2,VLOOKUP($G352,Depreciation!$A$14:$L$18,9,FALSE),0))</f>
        <v>0</v>
      </c>
      <c r="L352" s="306">
        <f>+IF($H352=L$2,VLOOKUP($G352,Depreciation!$A$14:$L$18,10,FALSE)/2,IF($H352&lt;L$2,VLOOKUP($G352,Depreciation!$A$14:$L$18,10,FALSE),0))</f>
        <v>0</v>
      </c>
      <c r="M352" s="306">
        <f>+IF($H352=M$2,VLOOKUP($G352,Depreciation!$A$14:$L$18,11,FALSE)/2,IF($H352&lt;M$2,VLOOKUP($G352,Depreciation!$A$14:$L$18,11,FALSE),0))</f>
        <v>0</v>
      </c>
      <c r="N352" s="306">
        <f>+IF($H352=N$2,VLOOKUP($G352,Depreciation!$A$14:$L$18,12,FALSE)/2,IF($H352&lt;N$2,VLOOKUP($G352,Depreciation!$A$14:$L$18,12,FALSE),0))</f>
        <v>1.3928409269726289E-2</v>
      </c>
      <c r="O352" s="307">
        <f t="shared" si="41"/>
        <v>0</v>
      </c>
      <c r="P352" s="732">
        <f>'Func Future Subs 2015'!P352</f>
        <v>0</v>
      </c>
      <c r="Q352" s="732">
        <f>'Func Future Subs 2015'!Q352</f>
        <v>1</v>
      </c>
      <c r="R352" s="732">
        <f>'Func Future Subs 2015'!R352</f>
        <v>0</v>
      </c>
      <c r="S352" s="735">
        <f t="shared" si="42"/>
        <v>0</v>
      </c>
      <c r="T352" s="735">
        <f t="shared" si="43"/>
        <v>0</v>
      </c>
      <c r="U352" s="735">
        <f t="shared" si="44"/>
        <v>0</v>
      </c>
      <c r="V352" s="736">
        <f t="shared" si="45"/>
        <v>0</v>
      </c>
      <c r="W352" s="735">
        <f t="shared" si="46"/>
        <v>0</v>
      </c>
      <c r="X352" s="737">
        <f t="shared" si="47"/>
        <v>0</v>
      </c>
      <c r="Y352" s="738">
        <f t="shared" si="48"/>
        <v>0</v>
      </c>
    </row>
    <row r="353" spans="1:25">
      <c r="A353" s="754" t="str">
        <f>'Func Future Subs 2015'!A353</f>
        <v>PENV</v>
      </c>
      <c r="B353" s="754">
        <f>'Func Future Subs 2015'!B353</f>
        <v>1781</v>
      </c>
      <c r="C353" s="754">
        <f>'Func Future Subs 2015'!C353</f>
        <v>240</v>
      </c>
      <c r="D353" s="754">
        <f>'Func Future Subs 2015'!D353</f>
        <v>144</v>
      </c>
      <c r="E353" s="754">
        <f>'Func Future Subs 2015'!E353</f>
        <v>0</v>
      </c>
      <c r="F353" s="754">
        <f>'Func Future Subs 2015'!F353</f>
        <v>25938027.308870837</v>
      </c>
      <c r="G353" s="754" t="str">
        <f>'Func Future Subs 2015'!G353</f>
        <v>AltaLink</v>
      </c>
      <c r="H353" s="754">
        <f>'Func Future Subs 2015'!H353</f>
        <v>2021</v>
      </c>
      <c r="I353" s="306">
        <f>+IF($H353=I$2,VLOOKUP($G353,Depreciation!$A$14:$L$18,7,FALSE)/2,IF($H353&lt;I$2,VLOOKUP($G353,Depreciation!$A$14:$L$18,7,FALSE),0))</f>
        <v>0</v>
      </c>
      <c r="J353" s="306">
        <f>+IF($H353=J$2,VLOOKUP($G353,Depreciation!$A$14:$L$18,8,FALSE)/2,IF($H353&lt;J$2,VLOOKUP($G353,Depreciation!$A$14:$L$18,8,FALSE),0))</f>
        <v>0</v>
      </c>
      <c r="K353" s="306">
        <f>+IF($H353=K$2,VLOOKUP($G353,Depreciation!$A$14:$L$18,9,FALSE)/2,IF($H353&lt;K$2,VLOOKUP($G353,Depreciation!$A$14:$L$18,9,FALSE),0))</f>
        <v>0</v>
      </c>
      <c r="L353" s="306">
        <f>+IF($H353=L$2,VLOOKUP($G353,Depreciation!$A$14:$L$18,10,FALSE)/2,IF($H353&lt;L$2,VLOOKUP($G353,Depreciation!$A$14:$L$18,10,FALSE),0))</f>
        <v>0</v>
      </c>
      <c r="M353" s="306">
        <f>+IF($H353=M$2,VLOOKUP($G353,Depreciation!$A$14:$L$18,11,FALSE)/2,IF($H353&lt;M$2,VLOOKUP($G353,Depreciation!$A$14:$L$18,11,FALSE),0))</f>
        <v>0</v>
      </c>
      <c r="N353" s="306">
        <f>+IF($H353=N$2,VLOOKUP($G353,Depreciation!$A$14:$L$18,12,FALSE)/2,IF($H353&lt;N$2,VLOOKUP($G353,Depreciation!$A$14:$L$18,12,FALSE),0))</f>
        <v>0</v>
      </c>
      <c r="O353" s="307">
        <f t="shared" si="41"/>
        <v>0</v>
      </c>
      <c r="P353" s="732">
        <f>'Func Future Subs 2015'!P353</f>
        <v>0</v>
      </c>
      <c r="Q353" s="732">
        <f>'Func Future Subs 2015'!Q353</f>
        <v>0</v>
      </c>
      <c r="R353" s="732">
        <f>'Func Future Subs 2015'!R353</f>
        <v>1</v>
      </c>
      <c r="S353" s="735">
        <f t="shared" si="42"/>
        <v>0</v>
      </c>
      <c r="T353" s="735">
        <f t="shared" si="43"/>
        <v>0</v>
      </c>
      <c r="U353" s="735">
        <f t="shared" si="44"/>
        <v>0</v>
      </c>
      <c r="V353" s="736">
        <f t="shared" si="45"/>
        <v>0</v>
      </c>
      <c r="W353" s="735">
        <f t="shared" si="46"/>
        <v>0</v>
      </c>
      <c r="X353" s="737">
        <f t="shared" si="47"/>
        <v>0</v>
      </c>
      <c r="Y353" s="738">
        <f t="shared" si="48"/>
        <v>0</v>
      </c>
    </row>
    <row r="354" spans="1:25">
      <c r="A354" s="754" t="str">
        <f>'Func Future Subs 2015'!A354</f>
        <v>PENV</v>
      </c>
      <c r="B354" s="754">
        <f>'Func Future Subs 2015'!B354</f>
        <v>1781</v>
      </c>
      <c r="C354" s="754">
        <f>'Func Future Subs 2015'!C354</f>
        <v>240</v>
      </c>
      <c r="D354" s="754">
        <f>'Func Future Subs 2015'!D354</f>
        <v>144</v>
      </c>
      <c r="E354" s="754">
        <f>'Func Future Subs 2015'!E354</f>
        <v>0</v>
      </c>
      <c r="F354" s="754">
        <f>'Func Future Subs 2015'!F354</f>
        <v>22116340.596381165</v>
      </c>
      <c r="G354" s="754" t="str">
        <f>'Func Future Subs 2015'!G354</f>
        <v>ATCO</v>
      </c>
      <c r="H354" s="754">
        <f>'Func Future Subs 2015'!H354</f>
        <v>2021</v>
      </c>
      <c r="I354" s="306">
        <f>+IF($H354=I$2,VLOOKUP($G354,Depreciation!$A$14:$L$18,7,FALSE)/2,IF($H354&lt;I$2,VLOOKUP($G354,Depreciation!$A$14:$L$18,7,FALSE),0))</f>
        <v>0</v>
      </c>
      <c r="J354" s="306">
        <f>+IF($H354=J$2,VLOOKUP($G354,Depreciation!$A$14:$L$18,8,FALSE)/2,IF($H354&lt;J$2,VLOOKUP($G354,Depreciation!$A$14:$L$18,8,FALSE),0))</f>
        <v>0</v>
      </c>
      <c r="K354" s="306">
        <f>+IF($H354=K$2,VLOOKUP($G354,Depreciation!$A$14:$L$18,9,FALSE)/2,IF($H354&lt;K$2,VLOOKUP($G354,Depreciation!$A$14:$L$18,9,FALSE),0))</f>
        <v>0</v>
      </c>
      <c r="L354" s="306">
        <f>+IF($H354=L$2,VLOOKUP($G354,Depreciation!$A$14:$L$18,10,FALSE)/2,IF($H354&lt;L$2,VLOOKUP($G354,Depreciation!$A$14:$L$18,10,FALSE),0))</f>
        <v>0</v>
      </c>
      <c r="M354" s="306">
        <f>+IF($H354=M$2,VLOOKUP($G354,Depreciation!$A$14:$L$18,11,FALSE)/2,IF($H354&lt;M$2,VLOOKUP($G354,Depreciation!$A$14:$L$18,11,FALSE),0))</f>
        <v>0</v>
      </c>
      <c r="N354" s="306">
        <f>+IF($H354=N$2,VLOOKUP($G354,Depreciation!$A$14:$L$18,12,FALSE)/2,IF($H354&lt;N$2,VLOOKUP($G354,Depreciation!$A$14:$L$18,12,FALSE),0))</f>
        <v>0</v>
      </c>
      <c r="O354" s="307">
        <f t="shared" si="41"/>
        <v>0</v>
      </c>
      <c r="P354" s="732">
        <f>'Func Future Subs 2015'!P354</f>
        <v>0</v>
      </c>
      <c r="Q354" s="732">
        <f>'Func Future Subs 2015'!Q354</f>
        <v>0</v>
      </c>
      <c r="R354" s="732">
        <f>'Func Future Subs 2015'!R354</f>
        <v>1</v>
      </c>
      <c r="S354" s="735">
        <f t="shared" si="42"/>
        <v>0</v>
      </c>
      <c r="T354" s="735">
        <f t="shared" si="43"/>
        <v>0</v>
      </c>
      <c r="U354" s="735">
        <f t="shared" si="44"/>
        <v>0</v>
      </c>
      <c r="V354" s="736">
        <f t="shared" si="45"/>
        <v>0</v>
      </c>
      <c r="W354" s="735">
        <f t="shared" si="46"/>
        <v>0</v>
      </c>
      <c r="X354" s="737">
        <f t="shared" si="47"/>
        <v>0</v>
      </c>
      <c r="Y354" s="738">
        <f t="shared" si="48"/>
        <v>0</v>
      </c>
    </row>
    <row r="355" spans="1:25">
      <c r="A355" s="757"/>
      <c r="B355" s="757"/>
      <c r="C355" s="757"/>
      <c r="D355" s="757"/>
      <c r="E355" s="757"/>
      <c r="F355" s="757"/>
      <c r="G355" s="757"/>
      <c r="H355" s="757"/>
      <c r="P355" s="627"/>
      <c r="Q355" s="627"/>
      <c r="R355" s="627"/>
      <c r="S355" s="627"/>
      <c r="T355" s="627"/>
      <c r="U355" s="627"/>
      <c r="V355" s="627"/>
      <c r="W355" s="627"/>
      <c r="X355" s="627"/>
      <c r="Y355" s="627"/>
    </row>
    <row r="356" spans="1:25">
      <c r="F356" s="322">
        <f>SUM(F3:F355)</f>
        <v>3497345536.4569278</v>
      </c>
      <c r="O356" s="601">
        <f>SUM(O3:O355)</f>
        <v>2884331405.453095</v>
      </c>
      <c r="P356" s="601"/>
      <c r="Q356" s="601"/>
      <c r="R356" s="601"/>
      <c r="S356" s="601">
        <f>SUM(S3:S355)</f>
        <v>47187065.967033148</v>
      </c>
      <c r="T356" s="601">
        <f>SUM(T3:T355)</f>
        <v>549783094.11515319</v>
      </c>
      <c r="U356" s="601">
        <f>SUM(U3:U355)</f>
        <v>2287361245.3709092</v>
      </c>
      <c r="V356" s="601">
        <f>SUM(V3:V355)</f>
        <v>211489465.5757319</v>
      </c>
      <c r="W356" s="601">
        <f t="shared" ref="W356:Y356" si="49">SUM(W3:W355)</f>
        <v>1472832860.3645513</v>
      </c>
      <c r="X356" s="601">
        <f t="shared" si="49"/>
        <v>590195397.62864721</v>
      </c>
      <c r="Y356" s="601">
        <f t="shared" si="49"/>
        <v>609813681.88416541</v>
      </c>
    </row>
    <row r="357" spans="1:25">
      <c r="F357" s="322">
        <f>SUMIF(H3:H355,"&lt;=2018",F3:F355)</f>
        <v>3147696590.1273589</v>
      </c>
      <c r="O357" s="601"/>
      <c r="P357" s="601"/>
      <c r="Q357" s="601"/>
      <c r="R357" s="601"/>
      <c r="S357" s="601"/>
      <c r="T357" s="601"/>
      <c r="U357" s="601"/>
      <c r="V357" s="601"/>
      <c r="W357" s="601"/>
      <c r="X357" s="601"/>
      <c r="Y357" s="601"/>
    </row>
    <row r="358" spans="1:25">
      <c r="O358" s="601"/>
      <c r="P358" s="601"/>
      <c r="Q358" s="601"/>
      <c r="R358" s="601"/>
      <c r="S358" s="601"/>
      <c r="T358" s="601"/>
      <c r="U358" s="601"/>
      <c r="V358" s="601">
        <f>SUM(S356:U356)-V356</f>
        <v>2672841939.8773637</v>
      </c>
      <c r="W358" s="601"/>
      <c r="X358" s="601"/>
      <c r="Y358" s="601">
        <f>SUM(W356:Y356)</f>
        <v>2672841939.8773637</v>
      </c>
    </row>
    <row r="359" spans="1:25">
      <c r="P359" s="627"/>
      <c r="Q359" s="627"/>
      <c r="R359" s="627"/>
      <c r="S359" s="627"/>
      <c r="T359" s="627"/>
      <c r="U359" s="627"/>
      <c r="V359" s="627"/>
      <c r="W359" s="627"/>
      <c r="X359" s="627"/>
      <c r="Y359" s="627"/>
    </row>
    <row r="360" spans="1:25">
      <c r="P360" s="627"/>
      <c r="Q360" s="627"/>
      <c r="R360" s="627"/>
      <c r="S360" s="627"/>
      <c r="T360" s="627"/>
      <c r="U360" s="627"/>
      <c r="V360" s="627"/>
      <c r="W360" s="627"/>
      <c r="X360" s="627"/>
      <c r="Y360" s="627"/>
    </row>
  </sheetData>
  <autoFilter ref="A2:AE352">
    <filterColumn colId="1">
      <filters>
        <filter val="1180"/>
      </filters>
    </filterColumn>
  </autoFilter>
  <mergeCells count="7">
    <mergeCell ref="AA8:AD8"/>
    <mergeCell ref="A1:F1"/>
    <mergeCell ref="G1:O1"/>
    <mergeCell ref="P1:R1"/>
    <mergeCell ref="S1:U1"/>
    <mergeCell ref="W1:Y1"/>
    <mergeCell ref="AA1:AD1"/>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D389"/>
  <sheetViews>
    <sheetView showGridLines="0" zoomScale="70" zoomScaleNormal="70" workbookViewId="0">
      <pane ySplit="2" topLeftCell="A3" activePane="bottomLeft" state="frozen"/>
      <selection activeCell="O24" sqref="A1:XFD1048576"/>
      <selection pane="bottomLeft" activeCell="Y356" sqref="A1:Y356"/>
    </sheetView>
  </sheetViews>
  <sheetFormatPr defaultColWidth="9.109375" defaultRowHeight="13.8"/>
  <cols>
    <col min="1" max="1" width="43.88671875" style="286" customWidth="1"/>
    <col min="2" max="2" width="22.109375" style="286" bestFit="1" customWidth="1"/>
    <col min="3" max="3" width="20.33203125" style="286" bestFit="1" customWidth="1"/>
    <col min="4" max="4" width="25" style="286" bestFit="1" customWidth="1"/>
    <col min="5" max="5" width="17" style="286" bestFit="1" customWidth="1"/>
    <col min="6" max="6" width="16.5546875" style="286" bestFit="1" customWidth="1"/>
    <col min="7" max="7" width="9.109375" style="286"/>
    <col min="8" max="8" width="19.109375" style="286" customWidth="1"/>
    <col min="9" max="9" width="19" style="286" customWidth="1"/>
    <col min="10" max="10" width="21.44140625" style="286" customWidth="1"/>
    <col min="11" max="14" width="17.6640625" style="286" customWidth="1"/>
    <col min="15" max="15" width="25" style="286" bestFit="1" customWidth="1"/>
    <col min="16" max="16" width="19.5546875" style="4" customWidth="1"/>
    <col min="17" max="17" width="16.44140625" style="4" customWidth="1"/>
    <col min="18" max="18" width="12.109375" style="4" customWidth="1"/>
    <col min="19" max="19" width="15.6640625" style="4" bestFit="1" customWidth="1"/>
    <col min="20" max="20" width="22.44140625" style="4" customWidth="1"/>
    <col min="21" max="21" width="16.109375" style="4" bestFit="1" customWidth="1"/>
    <col min="22" max="22" width="22.33203125" style="4" customWidth="1"/>
    <col min="23" max="23" width="17.88671875" style="4" bestFit="1" customWidth="1"/>
    <col min="24" max="24" width="15.33203125" style="4" bestFit="1" customWidth="1"/>
    <col min="25" max="25" width="16.109375" style="4" bestFit="1" customWidth="1"/>
    <col min="26" max="26" width="19.44140625" style="286" customWidth="1"/>
    <col min="27" max="27" width="29.44140625" style="286" bestFit="1" customWidth="1"/>
    <col min="28" max="28" width="20.33203125" style="286" bestFit="1" customWidth="1"/>
    <col min="29" max="29" width="18.6640625" style="286" bestFit="1" customWidth="1"/>
    <col min="30" max="30" width="24" style="286" bestFit="1" customWidth="1"/>
    <col min="31" max="16384" width="9.109375" style="286"/>
  </cols>
  <sheetData>
    <row r="1" spans="1:30" ht="14.4" thickBot="1">
      <c r="A1" s="1015" t="s">
        <v>2066</v>
      </c>
      <c r="B1" s="1016"/>
      <c r="C1" s="1016"/>
      <c r="D1" s="1016"/>
      <c r="E1" s="1016"/>
      <c r="F1" s="1017"/>
      <c r="G1" s="1018" t="s">
        <v>51</v>
      </c>
      <c r="H1" s="1019"/>
      <c r="I1" s="1019"/>
      <c r="J1" s="1019"/>
      <c r="K1" s="1019"/>
      <c r="L1" s="1019"/>
      <c r="M1" s="1019"/>
      <c r="N1" s="1019"/>
      <c r="O1" s="1019"/>
      <c r="P1" s="993" t="s">
        <v>101</v>
      </c>
      <c r="Q1" s="994"/>
      <c r="R1" s="995"/>
      <c r="S1" s="990" t="s">
        <v>103</v>
      </c>
      <c r="T1" s="991"/>
      <c r="U1" s="992"/>
      <c r="V1" s="285" t="s">
        <v>725</v>
      </c>
      <c r="W1" s="987" t="s">
        <v>45</v>
      </c>
      <c r="X1" s="988"/>
      <c r="Y1" s="989"/>
      <c r="AA1" s="1014" t="s">
        <v>147</v>
      </c>
      <c r="AB1" s="1014"/>
      <c r="AC1" s="1014"/>
      <c r="AD1" s="1014"/>
    </row>
    <row r="2" spans="1:30" ht="27.6">
      <c r="A2" s="287" t="s">
        <v>135</v>
      </c>
      <c r="B2" s="288" t="s">
        <v>136</v>
      </c>
      <c r="C2" s="288" t="s">
        <v>1496</v>
      </c>
      <c r="D2" s="289" t="s">
        <v>142</v>
      </c>
      <c r="E2" s="289" t="s">
        <v>1679</v>
      </c>
      <c r="F2" s="290" t="s">
        <v>141</v>
      </c>
      <c r="G2" s="291" t="s">
        <v>30</v>
      </c>
      <c r="H2" s="292" t="s">
        <v>137</v>
      </c>
      <c r="I2" s="292">
        <v>2015</v>
      </c>
      <c r="J2" s="292">
        <v>2016</v>
      </c>
      <c r="K2" s="292">
        <v>2017</v>
      </c>
      <c r="L2" s="292">
        <v>2018</v>
      </c>
      <c r="M2" s="293">
        <v>2019</v>
      </c>
      <c r="N2" s="293">
        <v>2020</v>
      </c>
      <c r="O2" s="294" t="s">
        <v>1505</v>
      </c>
      <c r="P2" s="295" t="s">
        <v>99</v>
      </c>
      <c r="Q2" s="296" t="s">
        <v>100</v>
      </c>
      <c r="R2" s="297" t="s">
        <v>102</v>
      </c>
      <c r="S2" s="298" t="s">
        <v>53</v>
      </c>
      <c r="T2" s="299" t="s">
        <v>50</v>
      </c>
      <c r="U2" s="300" t="s">
        <v>102</v>
      </c>
      <c r="V2" s="301" t="s">
        <v>725</v>
      </c>
      <c r="W2" s="302" t="s">
        <v>104</v>
      </c>
      <c r="X2" s="303" t="s">
        <v>74</v>
      </c>
      <c r="Y2" s="304" t="s">
        <v>50</v>
      </c>
      <c r="AA2" s="305"/>
      <c r="AB2" s="305" t="s">
        <v>49</v>
      </c>
      <c r="AC2" s="305" t="s">
        <v>74</v>
      </c>
      <c r="AD2" s="305" t="s">
        <v>146</v>
      </c>
    </row>
    <row r="3" spans="1:30">
      <c r="A3" s="754" t="str">
        <f>'Func Future Subs 2015'!A3</f>
        <v>Brintnell 876S</v>
      </c>
      <c r="B3" s="754">
        <f>'Func Future Subs 2015'!B3</f>
        <v>437</v>
      </c>
      <c r="C3" s="754">
        <f>'Func Future Subs 2015'!C3</f>
        <v>240</v>
      </c>
      <c r="D3" s="754">
        <f>'Func Future Subs 2015'!D3</f>
        <v>25</v>
      </c>
      <c r="E3" s="754" t="str">
        <f>'Func Future Subs 2015'!E3</f>
        <v>876S</v>
      </c>
      <c r="F3" s="754">
        <f>'Func Future Subs 2015'!F3</f>
        <v>2902755.0596147967</v>
      </c>
      <c r="G3" s="754" t="str">
        <f>'Func Future Subs 2015'!G3</f>
        <v>ATCO</v>
      </c>
      <c r="H3" s="754">
        <f>'Func Future Subs 2015'!H3</f>
        <v>2016</v>
      </c>
      <c r="I3" s="306">
        <f>+IF($H3=I$2,VLOOKUP($G3,Depreciation!$A$14:$L$18,7,FALSE)/2,IF($H3&lt;I$2,VLOOKUP($G3,Depreciation!$A$14:$L$18,7,FALSE),0))</f>
        <v>0</v>
      </c>
      <c r="J3" s="306">
        <f>+IF($H3=J$2,VLOOKUP($G3,Depreciation!$A$14:$L$18,8,FALSE)/2,IF($H3&lt;J$2,VLOOKUP($G3,Depreciation!$A$14:$L$18,8,FALSE),0))</f>
        <v>1.231622525054236E-2</v>
      </c>
      <c r="K3" s="306">
        <f>+IF($H3=K$2,VLOOKUP($G3,Depreciation!$A$14:$L$18,9,FALSE)/2,IF($H3&lt;K$2,VLOOKUP($G3,Depreciation!$A$14:$L$18,9,FALSE),0))</f>
        <v>2.4351536427798831E-2</v>
      </c>
      <c r="L3" s="306">
        <f>+IF($H3=L$2,VLOOKUP($G3,Depreciation!$A$14:$L$18,10,FALSE)/2,IF($H3&lt;L$2,VLOOKUP($G3,Depreciation!$A$14:$L$18,10,FALSE),0))</f>
        <v>2.4351536427798831E-2</v>
      </c>
      <c r="M3" s="306">
        <f>+IF($H3=M$2,VLOOKUP($G3,Depreciation!$A$14:$L$18,11,FALSE)/2,IF($H3&lt;M$2,VLOOKUP($G3,Depreciation!$A$14:$L$18,11,FALSE),0))</f>
        <v>2.4351536427798831E-2</v>
      </c>
      <c r="N3" s="306">
        <f>+IF($H3=N$2,VLOOKUP($G3,Depreciation!$A$14:$L$18,12,FALSE)/2,IF($H3&lt;N$2,VLOOKUP($G3,Depreciation!$A$14:$L$18,12,FALSE),0))</f>
        <v>2.4351536427798831E-2</v>
      </c>
      <c r="O3" s="307">
        <f>IF(H3&lt;=2019,F3*(1-I3)*(1-J3)*(1-K3)*(1-L3)*(1-M3),0)</f>
        <v>2662615.1885589114</v>
      </c>
      <c r="P3" s="732">
        <f>'Func Future Subs 2015'!P3</f>
        <v>0</v>
      </c>
      <c r="Q3" s="732">
        <f>'Func Future Subs 2015'!Q3</f>
        <v>1</v>
      </c>
      <c r="R3" s="732">
        <f>'Func Future Subs 2015'!R3</f>
        <v>0</v>
      </c>
      <c r="S3" s="735">
        <f>+P3*$O3</f>
        <v>0</v>
      </c>
      <c r="T3" s="735">
        <f t="shared" ref="T3:U3" si="0">+Q3*$O3</f>
        <v>2662615.1885589114</v>
      </c>
      <c r="U3" s="735">
        <f t="shared" si="0"/>
        <v>0</v>
      </c>
      <c r="V3" s="736">
        <f>IF(AND(R3=1,D3=0),O3,0)</f>
        <v>0</v>
      </c>
      <c r="W3" s="735">
        <f>S3+IF(D3&gt;144,U3,0)</f>
        <v>0</v>
      </c>
      <c r="X3" s="737">
        <f>IF(AND(D3&lt;=144,D3&gt;=69),U3,0)</f>
        <v>0</v>
      </c>
      <c r="Y3" s="738">
        <f>T3+IF(AND(D3&lt;69,D3&gt;0),U3,0)</f>
        <v>2662615.1885589114</v>
      </c>
      <c r="Z3" s="627"/>
      <c r="AA3" s="313" t="s">
        <v>108</v>
      </c>
      <c r="AB3" s="314">
        <f>W356</f>
        <v>1465433591.9810929</v>
      </c>
      <c r="AC3" s="314">
        <f>X356</f>
        <v>628327015.38724279</v>
      </c>
      <c r="AD3" s="314">
        <f>Y356</f>
        <v>689065213.09840333</v>
      </c>
    </row>
    <row r="4" spans="1:30">
      <c r="A4" s="754" t="str">
        <f>'Func Future Subs 2015'!A4</f>
        <v>Paintearth 863S</v>
      </c>
      <c r="B4" s="754">
        <f>'Func Future Subs 2015'!B4</f>
        <v>437</v>
      </c>
      <c r="C4" s="754">
        <f>'Func Future Subs 2015'!C4</f>
        <v>240</v>
      </c>
      <c r="D4" s="754">
        <f>'Func Future Subs 2015'!D4</f>
        <v>25</v>
      </c>
      <c r="E4" s="754" t="str">
        <f>'Func Future Subs 2015'!E4</f>
        <v>863S</v>
      </c>
      <c r="F4" s="754">
        <f>'Func Future Subs 2015'!F4</f>
        <v>1919444.9403852033</v>
      </c>
      <c r="G4" s="754" t="str">
        <f>'Func Future Subs 2015'!G4</f>
        <v>ATCO</v>
      </c>
      <c r="H4" s="754">
        <f>'Func Future Subs 2015'!H4</f>
        <v>2016</v>
      </c>
      <c r="I4" s="306">
        <f>+IF($H4=I$2,VLOOKUP($G4,Depreciation!$A$14:$L$18,7,FALSE)/2,IF($H4&lt;I$2,VLOOKUP($G4,Depreciation!$A$14:$L$18,7,FALSE),0))</f>
        <v>0</v>
      </c>
      <c r="J4" s="306">
        <f>+IF($H4=J$2,VLOOKUP($G4,Depreciation!$A$14:$L$18,8,FALSE)/2,IF($H4&lt;J$2,VLOOKUP($G4,Depreciation!$A$14:$L$18,8,FALSE),0))</f>
        <v>1.231622525054236E-2</v>
      </c>
      <c r="K4" s="306">
        <f>+IF($H4=K$2,VLOOKUP($G4,Depreciation!$A$14:$L$18,9,FALSE)/2,IF($H4&lt;K$2,VLOOKUP($G4,Depreciation!$A$14:$L$18,9,FALSE),0))</f>
        <v>2.4351536427798831E-2</v>
      </c>
      <c r="L4" s="306">
        <f>+IF($H4=L$2,VLOOKUP($G4,Depreciation!$A$14:$L$18,10,FALSE)/2,IF($H4&lt;L$2,VLOOKUP($G4,Depreciation!$A$14:$L$18,10,FALSE),0))</f>
        <v>2.4351536427798831E-2</v>
      </c>
      <c r="M4" s="306">
        <f>+IF($H4=M$2,VLOOKUP($G4,Depreciation!$A$14:$L$18,11,FALSE)/2,IF($H4&lt;M$2,VLOOKUP($G4,Depreciation!$A$14:$L$18,11,FALSE),0))</f>
        <v>2.4351536427798831E-2</v>
      </c>
      <c r="N4" s="306">
        <f>+IF($H4=N$2,VLOOKUP($G4,Depreciation!$A$14:$L$18,12,FALSE)/2,IF($H4&lt;N$2,VLOOKUP($G4,Depreciation!$A$14:$L$18,12,FALSE),0))</f>
        <v>2.4351536427798831E-2</v>
      </c>
      <c r="O4" s="307">
        <f t="shared" ref="O4:O67" si="1">IF(H4&lt;=2019,F4*(1-I4)*(1-J4)*(1-K4)*(1-L4)*(1-M4),0)</f>
        <v>1760652.6030998998</v>
      </c>
      <c r="P4" s="732">
        <f>'Func Future Subs 2015'!P4</f>
        <v>0</v>
      </c>
      <c r="Q4" s="732">
        <f>'Func Future Subs 2015'!Q4</f>
        <v>1</v>
      </c>
      <c r="R4" s="732">
        <f>'Func Future Subs 2015'!R4</f>
        <v>0</v>
      </c>
      <c r="S4" s="735">
        <f t="shared" ref="S4:S67" si="2">+P4*$O4</f>
        <v>0</v>
      </c>
      <c r="T4" s="735">
        <f t="shared" ref="T4:T67" si="3">+Q4*$O4</f>
        <v>1760652.6030998998</v>
      </c>
      <c r="U4" s="735">
        <f t="shared" ref="U4:U67" si="4">+R4*$O4</f>
        <v>0</v>
      </c>
      <c r="V4" s="736">
        <f t="shared" ref="V4:V67" si="5">IF(AND(R4=1,D4=0),O4,0)</f>
        <v>0</v>
      </c>
      <c r="W4" s="735">
        <f t="shared" ref="W4:W67" si="6">S4+IF(D4&gt;144,U4,0)</f>
        <v>0</v>
      </c>
      <c r="X4" s="737">
        <f t="shared" ref="X4:X67" si="7">IF(AND(D4&lt;=144,D4&gt;=69),U4,0)</f>
        <v>0</v>
      </c>
      <c r="Y4" s="738">
        <f t="shared" ref="Y4:Y67" si="8">T4+IF(AND(D4&lt;69,D4&gt;0),U4,0)</f>
        <v>1760652.6030998998</v>
      </c>
      <c r="Z4" s="627"/>
      <c r="AA4" s="313" t="s">
        <v>109</v>
      </c>
      <c r="AB4" s="315">
        <f>+AB3/SUM($AB$3:$AD$3)</f>
        <v>0.52659910699524426</v>
      </c>
      <c r="AC4" s="315">
        <f>+AC3/SUM($AB$3:$AD$3)</f>
        <v>0.22578740313752693</v>
      </c>
      <c r="AD4" s="315">
        <f>+AD3/SUM($AB$3:$AD$3)</f>
        <v>0.2476134898672287</v>
      </c>
    </row>
    <row r="5" spans="1:30">
      <c r="A5" s="754" t="str">
        <f>'Func Future Subs 2015'!A5</f>
        <v>Bowmanton 244S_(v1)</v>
      </c>
      <c r="B5" s="754">
        <f>'Func Future Subs 2015'!B5</f>
        <v>479</v>
      </c>
      <c r="C5" s="754">
        <f>'Func Future Subs 2015'!C5</f>
        <v>240</v>
      </c>
      <c r="D5" s="754">
        <f>'Func Future Subs 2015'!D5</f>
        <v>138</v>
      </c>
      <c r="E5" s="754" t="str">
        <f>'Func Future Subs 2015'!E5</f>
        <v>244S</v>
      </c>
      <c r="F5" s="754">
        <f>'Func Future Subs 2015'!F5</f>
        <v>6192429.956324066</v>
      </c>
      <c r="G5" s="754" t="str">
        <f>'Func Future Subs 2015'!G5</f>
        <v>AltaLink</v>
      </c>
      <c r="H5" s="754">
        <f>'Func Future Subs 2015'!H5</f>
        <v>2019</v>
      </c>
      <c r="I5" s="306">
        <f>+IF($H5=I$2,VLOOKUP($G5,Depreciation!$A$14:$L$18,7,FALSE)/2,IF($H5&lt;I$2,VLOOKUP($G5,Depreciation!$A$14:$L$18,7,FALSE),0))</f>
        <v>0</v>
      </c>
      <c r="J5" s="306">
        <f>+IF($H5=J$2,VLOOKUP($G5,Depreciation!$A$14:$L$18,8,FALSE)/2,IF($H5&lt;J$2,VLOOKUP($G5,Depreciation!$A$14:$L$18,8,FALSE),0))</f>
        <v>0</v>
      </c>
      <c r="K5" s="306">
        <f>+IF($H5=K$2,VLOOKUP($G5,Depreciation!$A$14:$L$18,9,FALSE)/2,IF($H5&lt;K$2,VLOOKUP($G5,Depreciation!$A$14:$L$18,9,FALSE),0))</f>
        <v>0</v>
      </c>
      <c r="L5" s="306">
        <f>+IF($H5=L$2,VLOOKUP($G5,Depreciation!$A$14:$L$18,10,FALSE)/2,IF($H5&lt;L$2,VLOOKUP($G5,Depreciation!$A$14:$L$18,10,FALSE),0))</f>
        <v>0</v>
      </c>
      <c r="M5" s="306">
        <f>+IF($H5=M$2,VLOOKUP($G5,Depreciation!$A$14:$L$18,11,FALSE)/2,IF($H5&lt;M$2,VLOOKUP($G5,Depreciation!$A$14:$L$18,11,FALSE),0))</f>
        <v>1.671703928371859E-2</v>
      </c>
      <c r="N5" s="306">
        <f>+IF($H5=N$2,VLOOKUP($G5,Depreciation!$A$14:$L$18,12,FALSE)/2,IF($H5&lt;N$2,VLOOKUP($G5,Depreciation!$A$14:$L$18,12,FALSE),0))</f>
        <v>3.343407856743718E-2</v>
      </c>
      <c r="O5" s="307">
        <f t="shared" si="1"/>
        <v>6088910.8614825206</v>
      </c>
      <c r="P5" s="732">
        <f>'Func Future Subs 2015'!P5</f>
        <v>0</v>
      </c>
      <c r="Q5" s="732">
        <f>'Func Future Subs 2015'!Q5</f>
        <v>0</v>
      </c>
      <c r="R5" s="732">
        <f>'Func Future Subs 2015'!R5</f>
        <v>1</v>
      </c>
      <c r="S5" s="735">
        <f t="shared" si="2"/>
        <v>0</v>
      </c>
      <c r="T5" s="735">
        <f t="shared" si="3"/>
        <v>0</v>
      </c>
      <c r="U5" s="735">
        <f t="shared" si="4"/>
        <v>6088910.8614825206</v>
      </c>
      <c r="V5" s="736">
        <f t="shared" si="5"/>
        <v>0</v>
      </c>
      <c r="W5" s="735">
        <f t="shared" si="6"/>
        <v>0</v>
      </c>
      <c r="X5" s="737">
        <f t="shared" si="7"/>
        <v>6088910.8614825206</v>
      </c>
      <c r="Y5" s="738">
        <f t="shared" si="8"/>
        <v>0</v>
      </c>
    </row>
    <row r="6" spans="1:30">
      <c r="A6" s="754" t="str">
        <f>'Func Future Subs 2015'!A6</f>
        <v>Elkwater 264S_(v1)</v>
      </c>
      <c r="B6" s="754">
        <f>'Func Future Subs 2015'!B6</f>
        <v>479</v>
      </c>
      <c r="C6" s="754">
        <f>'Func Future Subs 2015'!C6</f>
        <v>240</v>
      </c>
      <c r="D6" s="754">
        <f>'Func Future Subs 2015'!D6</f>
        <v>240</v>
      </c>
      <c r="E6" s="754" t="str">
        <f>'Func Future Subs 2015'!E6</f>
        <v>264S</v>
      </c>
      <c r="F6" s="754">
        <f>'Func Future Subs 2015'!F6</f>
        <v>3207190.9954739143</v>
      </c>
      <c r="G6" s="754" t="str">
        <f>'Func Future Subs 2015'!G6</f>
        <v>AltaLink</v>
      </c>
      <c r="H6" s="754">
        <f>'Func Future Subs 2015'!H6</f>
        <v>2019</v>
      </c>
      <c r="I6" s="306">
        <f>+IF($H6=I$2,VLOOKUP($G6,Depreciation!$A$14:$L$18,7,FALSE)/2,IF($H6&lt;I$2,VLOOKUP($G6,Depreciation!$A$14:$L$18,7,FALSE),0))</f>
        <v>0</v>
      </c>
      <c r="J6" s="306">
        <f>+IF($H6=J$2,VLOOKUP($G6,Depreciation!$A$14:$L$18,8,FALSE)/2,IF($H6&lt;J$2,VLOOKUP($G6,Depreciation!$A$14:$L$18,8,FALSE),0))</f>
        <v>0</v>
      </c>
      <c r="K6" s="306">
        <f>+IF($H6=K$2,VLOOKUP($G6,Depreciation!$A$14:$L$18,9,FALSE)/2,IF($H6&lt;K$2,VLOOKUP($G6,Depreciation!$A$14:$L$18,9,FALSE),0))</f>
        <v>0</v>
      </c>
      <c r="L6" s="306">
        <f>+IF($H6=L$2,VLOOKUP($G6,Depreciation!$A$14:$L$18,10,FALSE)/2,IF($H6&lt;L$2,VLOOKUP($G6,Depreciation!$A$14:$L$18,10,FALSE),0))</f>
        <v>0</v>
      </c>
      <c r="M6" s="306">
        <f>+IF($H6=M$2,VLOOKUP($G6,Depreciation!$A$14:$L$18,11,FALSE)/2,IF($H6&lt;M$2,VLOOKUP($G6,Depreciation!$A$14:$L$18,11,FALSE),0))</f>
        <v>1.671703928371859E-2</v>
      </c>
      <c r="N6" s="306">
        <f>+IF($H6=N$2,VLOOKUP($G6,Depreciation!$A$14:$L$18,12,FALSE)/2,IF($H6&lt;N$2,VLOOKUP($G6,Depreciation!$A$14:$L$18,12,FALSE),0))</f>
        <v>3.343407856743718E-2</v>
      </c>
      <c r="O6" s="307">
        <f t="shared" si="1"/>
        <v>3153576.2576121883</v>
      </c>
      <c r="P6" s="732">
        <f>'Func Future Subs 2015'!P6</f>
        <v>0</v>
      </c>
      <c r="Q6" s="732">
        <f>'Func Future Subs 2015'!Q6</f>
        <v>0</v>
      </c>
      <c r="R6" s="732">
        <f>'Func Future Subs 2015'!R6</f>
        <v>1</v>
      </c>
      <c r="S6" s="735">
        <f t="shared" si="2"/>
        <v>0</v>
      </c>
      <c r="T6" s="735">
        <f t="shared" si="3"/>
        <v>0</v>
      </c>
      <c r="U6" s="735">
        <f t="shared" si="4"/>
        <v>3153576.2576121883</v>
      </c>
      <c r="V6" s="736">
        <f t="shared" si="5"/>
        <v>0</v>
      </c>
      <c r="W6" s="735">
        <f t="shared" si="6"/>
        <v>3153576.2576121883</v>
      </c>
      <c r="X6" s="737">
        <f t="shared" si="7"/>
        <v>0</v>
      </c>
      <c r="Y6" s="738">
        <f t="shared" si="8"/>
        <v>0</v>
      </c>
      <c r="AA6" s="286" t="s">
        <v>180</v>
      </c>
      <c r="AB6" s="316">
        <f>+O356</f>
        <v>2989052297.3272977</v>
      </c>
    </row>
    <row r="7" spans="1:30">
      <c r="A7" s="754" t="str">
        <f>'Func Future Subs 2015'!A7</f>
        <v>WildRose1 547S_(v1)</v>
      </c>
      <c r="B7" s="754">
        <f>'Func Future Subs 2015'!B7</f>
        <v>479</v>
      </c>
      <c r="C7" s="754">
        <f>'Func Future Subs 2015'!C7</f>
        <v>240</v>
      </c>
      <c r="D7" s="754">
        <f>'Func Future Subs 2015'!D7</f>
        <v>0</v>
      </c>
      <c r="E7" s="754" t="str">
        <f>'Func Future Subs 2015'!E7</f>
        <v>547S</v>
      </c>
      <c r="F7" s="754">
        <f>'Func Future Subs 2015'!F7</f>
        <v>694965.93628763652</v>
      </c>
      <c r="G7" s="754" t="str">
        <f>'Func Future Subs 2015'!G7</f>
        <v>AltaLink</v>
      </c>
      <c r="H7" s="754">
        <f>'Func Future Subs 2015'!H7</f>
        <v>2019</v>
      </c>
      <c r="I7" s="306">
        <f>+IF($H7=I$2,VLOOKUP($G7,Depreciation!$A$14:$L$18,7,FALSE)/2,IF($H7&lt;I$2,VLOOKUP($G7,Depreciation!$A$14:$L$18,7,FALSE),0))</f>
        <v>0</v>
      </c>
      <c r="J7" s="306">
        <f>+IF($H7=J$2,VLOOKUP($G7,Depreciation!$A$14:$L$18,8,FALSE)/2,IF($H7&lt;J$2,VLOOKUP($G7,Depreciation!$A$14:$L$18,8,FALSE),0))</f>
        <v>0</v>
      </c>
      <c r="K7" s="306">
        <f>+IF($H7=K$2,VLOOKUP($G7,Depreciation!$A$14:$L$18,9,FALSE)/2,IF($H7&lt;K$2,VLOOKUP($G7,Depreciation!$A$14:$L$18,9,FALSE),0))</f>
        <v>0</v>
      </c>
      <c r="L7" s="306">
        <f>+IF($H7=L$2,VLOOKUP($G7,Depreciation!$A$14:$L$18,10,FALSE)/2,IF($H7&lt;L$2,VLOOKUP($G7,Depreciation!$A$14:$L$18,10,FALSE),0))</f>
        <v>0</v>
      </c>
      <c r="M7" s="306">
        <f>+IF($H7=M$2,VLOOKUP($G7,Depreciation!$A$14:$L$18,11,FALSE)/2,IF($H7&lt;M$2,VLOOKUP($G7,Depreciation!$A$14:$L$18,11,FALSE),0))</f>
        <v>1.671703928371859E-2</v>
      </c>
      <c r="N7" s="306">
        <f>+IF($H7=N$2,VLOOKUP($G7,Depreciation!$A$14:$L$18,12,FALSE)/2,IF($H7&lt;N$2,VLOOKUP($G7,Depreciation!$A$14:$L$18,12,FALSE),0))</f>
        <v>3.343407856743718E-2</v>
      </c>
      <c r="O7" s="307">
        <f t="shared" si="1"/>
        <v>683348.1634298698</v>
      </c>
      <c r="P7" s="732">
        <f>'Func Future Subs 2015'!P7</f>
        <v>0</v>
      </c>
      <c r="Q7" s="732">
        <f>'Func Future Subs 2015'!Q7</f>
        <v>0</v>
      </c>
      <c r="R7" s="732">
        <f>'Func Future Subs 2015'!R7</f>
        <v>1</v>
      </c>
      <c r="S7" s="735">
        <f t="shared" si="2"/>
        <v>0</v>
      </c>
      <c r="T7" s="735">
        <f t="shared" si="3"/>
        <v>0</v>
      </c>
      <c r="U7" s="735">
        <f t="shared" si="4"/>
        <v>683348.1634298698</v>
      </c>
      <c r="V7" s="736">
        <f t="shared" si="5"/>
        <v>683348.1634298698</v>
      </c>
      <c r="W7" s="735">
        <f t="shared" si="6"/>
        <v>0</v>
      </c>
      <c r="X7" s="737">
        <f t="shared" si="7"/>
        <v>0</v>
      </c>
      <c r="Y7" s="738">
        <f t="shared" si="8"/>
        <v>0</v>
      </c>
    </row>
    <row r="8" spans="1:30">
      <c r="A8" s="754" t="str">
        <f>'Func Future Subs 2015'!A8</f>
        <v>Bullshead 532S</v>
      </c>
      <c r="B8" s="754">
        <f>'Func Future Subs 2015'!B8</f>
        <v>513</v>
      </c>
      <c r="C8" s="754">
        <f>'Func Future Subs 2015'!C8</f>
        <v>145</v>
      </c>
      <c r="D8" s="754">
        <f>'Func Future Subs 2015'!D8</f>
        <v>0</v>
      </c>
      <c r="E8" s="754" t="str">
        <f>'Func Future Subs 2015'!E8</f>
        <v>532S</v>
      </c>
      <c r="F8" s="754">
        <f>'Func Future Subs 2015'!F8</f>
        <v>637591.72154280276</v>
      </c>
      <c r="G8" s="754" t="str">
        <f>'Func Future Subs 2015'!G8</f>
        <v>AltaLink</v>
      </c>
      <c r="H8" s="754">
        <f>'Func Future Subs 2015'!H8</f>
        <v>2017</v>
      </c>
      <c r="I8" s="306">
        <f>+IF($H8=I$2,VLOOKUP($G8,Depreciation!$A$14:$L$18,7,FALSE)/2,IF($H8&lt;I$2,VLOOKUP($G8,Depreciation!$A$14:$L$18,7,FALSE),0))</f>
        <v>0</v>
      </c>
      <c r="J8" s="306">
        <f>+IF($H8=J$2,VLOOKUP($G8,Depreciation!$A$14:$L$18,8,FALSE)/2,IF($H8&lt;J$2,VLOOKUP($G8,Depreciation!$A$14:$L$18,8,FALSE),0))</f>
        <v>0</v>
      </c>
      <c r="K8" s="306">
        <f>+IF($H8=K$2,VLOOKUP($G8,Depreciation!$A$14:$L$18,9,FALSE)/2,IF($H8&lt;K$2,VLOOKUP($G8,Depreciation!$A$14:$L$18,9,FALSE),0))</f>
        <v>1.671703928371859E-2</v>
      </c>
      <c r="L8" s="306">
        <f>+IF($H8=L$2,VLOOKUP($G8,Depreciation!$A$14:$L$18,10,FALSE)/2,IF($H8&lt;L$2,VLOOKUP($G8,Depreciation!$A$14:$L$18,10,FALSE),0))</f>
        <v>3.343407856743718E-2</v>
      </c>
      <c r="M8" s="306">
        <f>+IF($H8=M$2,VLOOKUP($G8,Depreciation!$A$14:$L$18,11,FALSE)/2,IF($H8&lt;M$2,VLOOKUP($G8,Depreciation!$A$14:$L$18,11,FALSE),0))</f>
        <v>3.343407856743718E-2</v>
      </c>
      <c r="N8" s="306">
        <f>+IF($H8=N$2,VLOOKUP($G8,Depreciation!$A$14:$L$18,12,FALSE)/2,IF($H8&lt;N$2,VLOOKUP($G8,Depreciation!$A$14:$L$18,12,FALSE),0))</f>
        <v>3.343407856743718E-2</v>
      </c>
      <c r="O8" s="307">
        <f t="shared" si="1"/>
        <v>585712.02563946159</v>
      </c>
      <c r="P8" s="732">
        <f>'Func Future Subs 2015'!P8</f>
        <v>0</v>
      </c>
      <c r="Q8" s="732">
        <f>'Func Future Subs 2015'!Q8</f>
        <v>0</v>
      </c>
      <c r="R8" s="732">
        <f>'Func Future Subs 2015'!R8</f>
        <v>1</v>
      </c>
      <c r="S8" s="735">
        <f t="shared" si="2"/>
        <v>0</v>
      </c>
      <c r="T8" s="735">
        <f t="shared" si="3"/>
        <v>0</v>
      </c>
      <c r="U8" s="735">
        <f t="shared" si="4"/>
        <v>585712.02563946159</v>
      </c>
      <c r="V8" s="736">
        <f t="shared" si="5"/>
        <v>585712.02563946159</v>
      </c>
      <c r="W8" s="735">
        <f t="shared" si="6"/>
        <v>0</v>
      </c>
      <c r="X8" s="737">
        <f t="shared" si="7"/>
        <v>0</v>
      </c>
      <c r="Y8" s="738">
        <f t="shared" si="8"/>
        <v>0</v>
      </c>
      <c r="AA8" s="1014" t="s">
        <v>147</v>
      </c>
      <c r="AB8" s="1014"/>
      <c r="AC8" s="1014"/>
      <c r="AD8" s="1014"/>
    </row>
    <row r="9" spans="1:30">
      <c r="A9" s="754" t="str">
        <f>'Func Future Subs 2015'!A9</f>
        <v>Medicine Hat 41S</v>
      </c>
      <c r="B9" s="754">
        <f>'Func Future Subs 2015'!B9</f>
        <v>513</v>
      </c>
      <c r="C9" s="754">
        <f>'Func Future Subs 2015'!C9</f>
        <v>240</v>
      </c>
      <c r="D9" s="754">
        <f>'Func Future Subs 2015'!D9</f>
        <v>69</v>
      </c>
      <c r="E9" s="754" t="str">
        <f>'Func Future Subs 2015'!E9</f>
        <v>41S</v>
      </c>
      <c r="F9" s="754">
        <f>'Func Future Subs 2015'!F9</f>
        <v>338720.60206961393</v>
      </c>
      <c r="G9" s="754" t="str">
        <f>'Func Future Subs 2015'!G9</f>
        <v>AltaLink</v>
      </c>
      <c r="H9" s="754">
        <f>'Func Future Subs 2015'!H9</f>
        <v>2017</v>
      </c>
      <c r="I9" s="306">
        <f>+IF($H9=I$2,VLOOKUP($G9,Depreciation!$A$14:$L$18,7,FALSE)/2,IF($H9&lt;I$2,VLOOKUP($G9,Depreciation!$A$14:$L$18,7,FALSE),0))</f>
        <v>0</v>
      </c>
      <c r="J9" s="306">
        <f>+IF($H9=J$2,VLOOKUP($G9,Depreciation!$A$14:$L$18,8,FALSE)/2,IF($H9&lt;J$2,VLOOKUP($G9,Depreciation!$A$14:$L$18,8,FALSE),0))</f>
        <v>0</v>
      </c>
      <c r="K9" s="306">
        <f>+IF($H9=K$2,VLOOKUP($G9,Depreciation!$A$14:$L$18,9,FALSE)/2,IF($H9&lt;K$2,VLOOKUP($G9,Depreciation!$A$14:$L$18,9,FALSE),0))</f>
        <v>1.671703928371859E-2</v>
      </c>
      <c r="L9" s="306">
        <f>+IF($H9=L$2,VLOOKUP($G9,Depreciation!$A$14:$L$18,10,FALSE)/2,IF($H9&lt;L$2,VLOOKUP($G9,Depreciation!$A$14:$L$18,10,FALSE),0))</f>
        <v>3.343407856743718E-2</v>
      </c>
      <c r="M9" s="306">
        <f>+IF($H9=M$2,VLOOKUP($G9,Depreciation!$A$14:$L$18,11,FALSE)/2,IF($H9&lt;M$2,VLOOKUP($G9,Depreciation!$A$14:$L$18,11,FALSE),0))</f>
        <v>3.343407856743718E-2</v>
      </c>
      <c r="N9" s="306">
        <f>+IF($H9=N$2,VLOOKUP($G9,Depreciation!$A$14:$L$18,12,FALSE)/2,IF($H9&lt;N$2,VLOOKUP($G9,Depreciation!$A$14:$L$18,12,FALSE),0))</f>
        <v>3.343407856743718E-2</v>
      </c>
      <c r="O9" s="307">
        <f t="shared" si="1"/>
        <v>311159.51362096396</v>
      </c>
      <c r="P9" s="732">
        <f>'Func Future Subs 2015'!P9</f>
        <v>0.796875</v>
      </c>
      <c r="Q9" s="732">
        <f>'Func Future Subs 2015'!Q9</f>
        <v>0.203125</v>
      </c>
      <c r="R9" s="732">
        <f>'Func Future Subs 2015'!R9</f>
        <v>0</v>
      </c>
      <c r="S9" s="735">
        <f t="shared" si="2"/>
        <v>247955.23741670567</v>
      </c>
      <c r="T9" s="735">
        <f t="shared" si="3"/>
        <v>63204.276204258305</v>
      </c>
      <c r="U9" s="735">
        <f t="shared" si="4"/>
        <v>0</v>
      </c>
      <c r="V9" s="736">
        <f t="shared" si="5"/>
        <v>0</v>
      </c>
      <c r="W9" s="735">
        <f t="shared" si="6"/>
        <v>247955.23741670567</v>
      </c>
      <c r="X9" s="737">
        <f t="shared" si="7"/>
        <v>0</v>
      </c>
      <c r="Y9" s="738">
        <f t="shared" si="8"/>
        <v>63204.276204258305</v>
      </c>
      <c r="AA9" s="305"/>
      <c r="AB9" s="305" t="s">
        <v>49</v>
      </c>
      <c r="AC9" s="305" t="s">
        <v>74</v>
      </c>
      <c r="AD9" s="305" t="s">
        <v>146</v>
      </c>
    </row>
    <row r="10" spans="1:30">
      <c r="A10" s="754" t="str">
        <f>'Func Future Subs 2015'!A10</f>
        <v>Taber 83S</v>
      </c>
      <c r="B10" s="754">
        <f>'Func Future Subs 2015'!B10</f>
        <v>513</v>
      </c>
      <c r="C10" s="754">
        <f>'Func Future Subs 2015'!C10</f>
        <v>240</v>
      </c>
      <c r="D10" s="754">
        <f>'Func Future Subs 2015'!D10</f>
        <v>25</v>
      </c>
      <c r="E10" s="754" t="str">
        <f>'Func Future Subs 2015'!E10</f>
        <v>83S</v>
      </c>
      <c r="F10" s="754">
        <f>'Func Future Subs 2015'!F10</f>
        <v>282267.16839134495</v>
      </c>
      <c r="G10" s="754" t="str">
        <f>'Func Future Subs 2015'!G10</f>
        <v>AltaLink</v>
      </c>
      <c r="H10" s="754">
        <f>'Func Future Subs 2015'!H10</f>
        <v>2017</v>
      </c>
      <c r="I10" s="306">
        <f>+IF($H10=I$2,VLOOKUP($G10,Depreciation!$A$14:$L$18,7,FALSE)/2,IF($H10&lt;I$2,VLOOKUP($G10,Depreciation!$A$14:$L$18,7,FALSE),0))</f>
        <v>0</v>
      </c>
      <c r="J10" s="306">
        <f>+IF($H10=J$2,VLOOKUP($G10,Depreciation!$A$14:$L$18,8,FALSE)/2,IF($H10&lt;J$2,VLOOKUP($G10,Depreciation!$A$14:$L$18,8,FALSE),0))</f>
        <v>0</v>
      </c>
      <c r="K10" s="306">
        <f>+IF($H10=K$2,VLOOKUP($G10,Depreciation!$A$14:$L$18,9,FALSE)/2,IF($H10&lt;K$2,VLOOKUP($G10,Depreciation!$A$14:$L$18,9,FALSE),0))</f>
        <v>1.671703928371859E-2</v>
      </c>
      <c r="L10" s="306">
        <f>+IF($H10=L$2,VLOOKUP($G10,Depreciation!$A$14:$L$18,10,FALSE)/2,IF($H10&lt;L$2,VLOOKUP($G10,Depreciation!$A$14:$L$18,10,FALSE),0))</f>
        <v>3.343407856743718E-2</v>
      </c>
      <c r="M10" s="306">
        <f>+IF($H10=M$2,VLOOKUP($G10,Depreciation!$A$14:$L$18,11,FALSE)/2,IF($H10&lt;M$2,VLOOKUP($G10,Depreciation!$A$14:$L$18,11,FALSE),0))</f>
        <v>3.343407856743718E-2</v>
      </c>
      <c r="N10" s="306">
        <f>+IF($H10=N$2,VLOOKUP($G10,Depreciation!$A$14:$L$18,12,FALSE)/2,IF($H10&lt;N$2,VLOOKUP($G10,Depreciation!$A$14:$L$18,12,FALSE),0))</f>
        <v>3.343407856743718E-2</v>
      </c>
      <c r="O10" s="307">
        <f t="shared" si="1"/>
        <v>259299.59468413659</v>
      </c>
      <c r="P10" s="732">
        <f>'Func Future Subs 2015'!P10</f>
        <v>0</v>
      </c>
      <c r="Q10" s="732">
        <f>'Func Future Subs 2015'!Q10</f>
        <v>1</v>
      </c>
      <c r="R10" s="732">
        <f>'Func Future Subs 2015'!R10</f>
        <v>0</v>
      </c>
      <c r="S10" s="735">
        <f t="shared" si="2"/>
        <v>0</v>
      </c>
      <c r="T10" s="735">
        <f t="shared" si="3"/>
        <v>259299.59468413659</v>
      </c>
      <c r="U10" s="735">
        <f t="shared" si="4"/>
        <v>0</v>
      </c>
      <c r="V10" s="736">
        <f t="shared" si="5"/>
        <v>0</v>
      </c>
      <c r="W10" s="735">
        <f t="shared" si="6"/>
        <v>0</v>
      </c>
      <c r="X10" s="737">
        <f t="shared" si="7"/>
        <v>0</v>
      </c>
      <c r="Y10" s="738">
        <f t="shared" si="8"/>
        <v>259299.59468413659</v>
      </c>
      <c r="AA10" s="313" t="s">
        <v>1681</v>
      </c>
      <c r="AB10" s="314">
        <f>AB4*$AB$6</f>
        <v>1574032270.5346384</v>
      </c>
      <c r="AC10" s="314">
        <f>AC4*$AB$6</f>
        <v>674890356.05578959</v>
      </c>
      <c r="AD10" s="314">
        <f>AD4*$AB$6</f>
        <v>740129670.73686945</v>
      </c>
    </row>
    <row r="11" spans="1:30">
      <c r="A11" s="754" t="str">
        <f>'Func Future Subs 2015'!A11</f>
        <v>Tothill 219S</v>
      </c>
      <c r="B11" s="754">
        <f>'Func Future Subs 2015'!B11</f>
        <v>513</v>
      </c>
      <c r="C11" s="754">
        <f>'Func Future Subs 2015'!C11</f>
        <v>138</v>
      </c>
      <c r="D11" s="754">
        <f>'Func Future Subs 2015'!D11</f>
        <v>0</v>
      </c>
      <c r="E11" s="754" t="str">
        <f>'Func Future Subs 2015'!E11</f>
        <v>219S</v>
      </c>
      <c r="F11" s="754">
        <f>'Func Future Subs 2015'!F11</f>
        <v>597742.23894637753</v>
      </c>
      <c r="G11" s="754" t="str">
        <f>'Func Future Subs 2015'!G11</f>
        <v>AltaLink</v>
      </c>
      <c r="H11" s="754">
        <f>'Func Future Subs 2015'!H11</f>
        <v>2017</v>
      </c>
      <c r="I11" s="306">
        <f>+IF($H11=I$2,VLOOKUP($G11,Depreciation!$A$14:$L$18,7,FALSE)/2,IF($H11&lt;I$2,VLOOKUP($G11,Depreciation!$A$14:$L$18,7,FALSE),0))</f>
        <v>0</v>
      </c>
      <c r="J11" s="306">
        <f>+IF($H11=J$2,VLOOKUP($G11,Depreciation!$A$14:$L$18,8,FALSE)/2,IF($H11&lt;J$2,VLOOKUP($G11,Depreciation!$A$14:$L$18,8,FALSE),0))</f>
        <v>0</v>
      </c>
      <c r="K11" s="306">
        <f>+IF($H11=K$2,VLOOKUP($G11,Depreciation!$A$14:$L$18,9,FALSE)/2,IF($H11&lt;K$2,VLOOKUP($G11,Depreciation!$A$14:$L$18,9,FALSE),0))</f>
        <v>1.671703928371859E-2</v>
      </c>
      <c r="L11" s="306">
        <f>+IF($H11=L$2,VLOOKUP($G11,Depreciation!$A$14:$L$18,10,FALSE)/2,IF($H11&lt;L$2,VLOOKUP($G11,Depreciation!$A$14:$L$18,10,FALSE),0))</f>
        <v>3.343407856743718E-2</v>
      </c>
      <c r="M11" s="306">
        <f>+IF($H11=M$2,VLOOKUP($G11,Depreciation!$A$14:$L$18,11,FALSE)/2,IF($H11&lt;M$2,VLOOKUP($G11,Depreciation!$A$14:$L$18,11,FALSE),0))</f>
        <v>3.343407856743718E-2</v>
      </c>
      <c r="N11" s="306">
        <f>+IF($H11=N$2,VLOOKUP($G11,Depreciation!$A$14:$L$18,12,FALSE)/2,IF($H11&lt;N$2,VLOOKUP($G11,Depreciation!$A$14:$L$18,12,FALSE),0))</f>
        <v>3.343407856743718E-2</v>
      </c>
      <c r="O11" s="307">
        <f t="shared" si="1"/>
        <v>549105.02403699514</v>
      </c>
      <c r="P11" s="732">
        <f>'Func Future Subs 2015'!P11</f>
        <v>0</v>
      </c>
      <c r="Q11" s="732">
        <f>'Func Future Subs 2015'!Q11</f>
        <v>0</v>
      </c>
      <c r="R11" s="732">
        <f>'Func Future Subs 2015'!R11</f>
        <v>1</v>
      </c>
      <c r="S11" s="735">
        <f t="shared" si="2"/>
        <v>0</v>
      </c>
      <c r="T11" s="735">
        <f t="shared" si="3"/>
        <v>0</v>
      </c>
      <c r="U11" s="735">
        <f t="shared" si="4"/>
        <v>549105.02403699514</v>
      </c>
      <c r="V11" s="736">
        <f t="shared" si="5"/>
        <v>549105.02403699514</v>
      </c>
      <c r="W11" s="735">
        <f t="shared" si="6"/>
        <v>0</v>
      </c>
      <c r="X11" s="737">
        <f t="shared" si="7"/>
        <v>0</v>
      </c>
      <c r="Y11" s="738">
        <f t="shared" si="8"/>
        <v>0</v>
      </c>
    </row>
    <row r="12" spans="1:30">
      <c r="A12" s="754" t="str">
        <f>'Func Future Subs 2015'!A12</f>
        <v>Castle Rock Ridge 205S Substation</v>
      </c>
      <c r="B12" s="754">
        <f>'Func Future Subs 2015'!B12</f>
        <v>524</v>
      </c>
      <c r="C12" s="754">
        <f>'Func Future Subs 2015'!C12</f>
        <v>240</v>
      </c>
      <c r="D12" s="754">
        <f>'Func Future Subs 2015'!D12</f>
        <v>25</v>
      </c>
      <c r="E12" s="754" t="str">
        <f>'Func Future Subs 2015'!E12</f>
        <v>205S</v>
      </c>
      <c r="F12" s="754">
        <f>'Func Future Subs 2015'!F12</f>
        <v>3365840.0000000009</v>
      </c>
      <c r="G12" s="754" t="str">
        <f>'Func Future Subs 2015'!G12</f>
        <v>AltaLink</v>
      </c>
      <c r="H12" s="754">
        <f>'Func Future Subs 2015'!H12</f>
        <v>2017</v>
      </c>
      <c r="I12" s="306">
        <f>+IF($H12=I$2,VLOOKUP($G12,Depreciation!$A$14:$L$18,7,FALSE)/2,IF($H12&lt;I$2,VLOOKUP($G12,Depreciation!$A$14:$L$18,7,FALSE),0))</f>
        <v>0</v>
      </c>
      <c r="J12" s="306">
        <f>+IF($H12=J$2,VLOOKUP($G12,Depreciation!$A$14:$L$18,8,FALSE)/2,IF($H12&lt;J$2,VLOOKUP($G12,Depreciation!$A$14:$L$18,8,FALSE),0))</f>
        <v>0</v>
      </c>
      <c r="K12" s="306">
        <f>+IF($H12=K$2,VLOOKUP($G12,Depreciation!$A$14:$L$18,9,FALSE)/2,IF($H12&lt;K$2,VLOOKUP($G12,Depreciation!$A$14:$L$18,9,FALSE),0))</f>
        <v>1.671703928371859E-2</v>
      </c>
      <c r="L12" s="306">
        <f>+IF($H12=L$2,VLOOKUP($G12,Depreciation!$A$14:$L$18,10,FALSE)/2,IF($H12&lt;L$2,VLOOKUP($G12,Depreciation!$A$14:$L$18,10,FALSE),0))</f>
        <v>3.343407856743718E-2</v>
      </c>
      <c r="M12" s="306">
        <f>+IF($H12=M$2,VLOOKUP($G12,Depreciation!$A$14:$L$18,11,FALSE)/2,IF($H12&lt;M$2,VLOOKUP($G12,Depreciation!$A$14:$L$18,11,FALSE),0))</f>
        <v>3.343407856743718E-2</v>
      </c>
      <c r="N12" s="306">
        <f>+IF($H12=N$2,VLOOKUP($G12,Depreciation!$A$14:$L$18,12,FALSE)/2,IF($H12&lt;N$2,VLOOKUP($G12,Depreciation!$A$14:$L$18,12,FALSE),0))</f>
        <v>3.343407856743718E-2</v>
      </c>
      <c r="O12" s="307">
        <f t="shared" si="1"/>
        <v>3091967.6303325105</v>
      </c>
      <c r="P12" s="732">
        <f>'Func Future Subs 2015'!P12</f>
        <v>0.99826388888888884</v>
      </c>
      <c r="Q12" s="732">
        <f>'Func Future Subs 2015'!Q12</f>
        <v>1.7361111111111112E-3</v>
      </c>
      <c r="R12" s="732">
        <f>'Func Future Subs 2015'!R12</f>
        <v>4.9222778630841901E-17</v>
      </c>
      <c r="S12" s="735">
        <f t="shared" si="2"/>
        <v>3086599.6309742942</v>
      </c>
      <c r="T12" s="735">
        <f t="shared" si="3"/>
        <v>5367.9993582161642</v>
      </c>
      <c r="U12" s="735">
        <f t="shared" si="4"/>
        <v>1.5219523820158596E-10</v>
      </c>
      <c r="V12" s="736">
        <f t="shared" si="5"/>
        <v>0</v>
      </c>
      <c r="W12" s="735">
        <f t="shared" si="6"/>
        <v>3086599.6309742942</v>
      </c>
      <c r="X12" s="737">
        <f t="shared" si="7"/>
        <v>0</v>
      </c>
      <c r="Y12" s="738">
        <f t="shared" si="8"/>
        <v>5367.9993582163161</v>
      </c>
    </row>
    <row r="13" spans="1:30">
      <c r="A13" s="754" t="str">
        <f>'Func Future Subs 2015'!A13</f>
        <v>Bannerman 681S</v>
      </c>
      <c r="B13" s="754">
        <f>'Func Future Subs 2015'!B13</f>
        <v>559</v>
      </c>
      <c r="C13" s="754">
        <f>'Func Future Subs 2015'!C13</f>
        <v>240</v>
      </c>
      <c r="D13" s="754">
        <f>'Func Future Subs 2015'!D13</f>
        <v>25</v>
      </c>
      <c r="E13" s="754" t="str">
        <f>'Func Future Subs 2015'!E13</f>
        <v>681S</v>
      </c>
      <c r="F13" s="754">
        <f>'Func Future Subs 2015'!F13</f>
        <v>40330685.047325686</v>
      </c>
      <c r="G13" s="754" t="str">
        <f>'Func Future Subs 2015'!G13</f>
        <v>AltaLink</v>
      </c>
      <c r="H13" s="754">
        <f>'Func Future Subs 2015'!H13</f>
        <v>2015</v>
      </c>
      <c r="I13" s="306">
        <f>+IF($H13=I$2,VLOOKUP($G13,Depreciation!$A$14:$L$18,7,FALSE)/2,IF($H13&lt;I$2,VLOOKUP($G13,Depreciation!$A$14:$L$18,7,FALSE),0))</f>
        <v>1.7228380322441735E-2</v>
      </c>
      <c r="J13" s="306">
        <f>+IF($H13=J$2,VLOOKUP($G13,Depreciation!$A$14:$L$18,8,FALSE)/2,IF($H13&lt;J$2,VLOOKUP($G13,Depreciation!$A$14:$L$18,8,FALSE),0))</f>
        <v>3.343407856743718E-2</v>
      </c>
      <c r="K13" s="306">
        <f>+IF($H13=K$2,VLOOKUP($G13,Depreciation!$A$14:$L$18,9,FALSE)/2,IF($H13&lt;K$2,VLOOKUP($G13,Depreciation!$A$14:$L$18,9,FALSE),0))</f>
        <v>3.343407856743718E-2</v>
      </c>
      <c r="L13" s="306">
        <f>+IF($H13=L$2,VLOOKUP($G13,Depreciation!$A$14:$L$18,10,FALSE)/2,IF($H13&lt;L$2,VLOOKUP($G13,Depreciation!$A$14:$L$18,10,FALSE),0))</f>
        <v>3.343407856743718E-2</v>
      </c>
      <c r="M13" s="306">
        <f>+IF($H13=M$2,VLOOKUP($G13,Depreciation!$A$14:$L$18,11,FALSE)/2,IF($H13&lt;M$2,VLOOKUP($G13,Depreciation!$A$14:$L$18,11,FALSE),0))</f>
        <v>3.343407856743718E-2</v>
      </c>
      <c r="N13" s="306">
        <f>+IF($H13=N$2,VLOOKUP($G13,Depreciation!$A$14:$L$18,12,FALSE)/2,IF($H13&lt;N$2,VLOOKUP($G13,Depreciation!$A$14:$L$18,12,FALSE),0))</f>
        <v>3.343407856743718E-2</v>
      </c>
      <c r="O13" s="307">
        <f t="shared" si="1"/>
        <v>34595062.645414956</v>
      </c>
      <c r="P13" s="732">
        <f>'Func Future Subs 2015'!P13</f>
        <v>0</v>
      </c>
      <c r="Q13" s="732">
        <f>'Func Future Subs 2015'!Q13</f>
        <v>1</v>
      </c>
      <c r="R13" s="732">
        <f>'Func Future Subs 2015'!R13</f>
        <v>0</v>
      </c>
      <c r="S13" s="735">
        <f t="shared" si="2"/>
        <v>0</v>
      </c>
      <c r="T13" s="735">
        <f t="shared" si="3"/>
        <v>34595062.645414956</v>
      </c>
      <c r="U13" s="735">
        <f t="shared" si="4"/>
        <v>0</v>
      </c>
      <c r="V13" s="736">
        <f t="shared" si="5"/>
        <v>0</v>
      </c>
      <c r="W13" s="735">
        <f t="shared" si="6"/>
        <v>0</v>
      </c>
      <c r="X13" s="737">
        <f t="shared" si="7"/>
        <v>0</v>
      </c>
      <c r="Y13" s="738">
        <f t="shared" si="8"/>
        <v>34595062.645414956</v>
      </c>
    </row>
    <row r="14" spans="1:30">
      <c r="A14" s="754" t="str">
        <f>'Func Future Subs 2015'!A14</f>
        <v>Deerland 013S</v>
      </c>
      <c r="B14" s="754">
        <f>'Func Future Subs 2015'!B14</f>
        <v>559</v>
      </c>
      <c r="C14" s="754">
        <f>'Func Future Subs 2015'!C14</f>
        <v>240</v>
      </c>
      <c r="D14" s="754">
        <f>'Func Future Subs 2015'!D14</f>
        <v>138</v>
      </c>
      <c r="E14" s="754" t="str">
        <f>'Func Future Subs 2015'!E14</f>
        <v>13S</v>
      </c>
      <c r="F14" s="754">
        <f>'Func Future Subs 2015'!F14</f>
        <v>5142.2812693605028</v>
      </c>
      <c r="G14" s="754" t="str">
        <f>'Func Future Subs 2015'!G14</f>
        <v>AltaLink</v>
      </c>
      <c r="H14" s="754">
        <f>'Func Future Subs 2015'!H14</f>
        <v>2015</v>
      </c>
      <c r="I14" s="306">
        <f>+IF($H14=I$2,VLOOKUP($G14,Depreciation!$A$14:$L$18,7,FALSE)/2,IF($H14&lt;I$2,VLOOKUP($G14,Depreciation!$A$14:$L$18,7,FALSE),0))</f>
        <v>1.7228380322441735E-2</v>
      </c>
      <c r="J14" s="306">
        <f>+IF($H14=J$2,VLOOKUP($G14,Depreciation!$A$14:$L$18,8,FALSE)/2,IF($H14&lt;J$2,VLOOKUP($G14,Depreciation!$A$14:$L$18,8,FALSE),0))</f>
        <v>3.343407856743718E-2</v>
      </c>
      <c r="K14" s="306">
        <f>+IF($H14=K$2,VLOOKUP($G14,Depreciation!$A$14:$L$18,9,FALSE)/2,IF($H14&lt;K$2,VLOOKUP($G14,Depreciation!$A$14:$L$18,9,FALSE),0))</f>
        <v>3.343407856743718E-2</v>
      </c>
      <c r="L14" s="306">
        <f>+IF($H14=L$2,VLOOKUP($G14,Depreciation!$A$14:$L$18,10,FALSE)/2,IF($H14&lt;L$2,VLOOKUP($G14,Depreciation!$A$14:$L$18,10,FALSE),0))</f>
        <v>3.343407856743718E-2</v>
      </c>
      <c r="M14" s="306">
        <f>+IF($H14=M$2,VLOOKUP($G14,Depreciation!$A$14:$L$18,11,FALSE)/2,IF($H14&lt;M$2,VLOOKUP($G14,Depreciation!$A$14:$L$18,11,FALSE),0))</f>
        <v>3.343407856743718E-2</v>
      </c>
      <c r="N14" s="306">
        <f>+IF($H14=N$2,VLOOKUP($G14,Depreciation!$A$14:$L$18,12,FALSE)/2,IF($H14&lt;N$2,VLOOKUP($G14,Depreciation!$A$14:$L$18,12,FALSE),0))</f>
        <v>3.343407856743718E-2</v>
      </c>
      <c r="O14" s="307">
        <f t="shared" si="1"/>
        <v>4410.9725000980834</v>
      </c>
      <c r="P14" s="732">
        <f>'Func Future Subs 2015'!P14</f>
        <v>0</v>
      </c>
      <c r="Q14" s="732">
        <f>'Func Future Subs 2015'!Q14</f>
        <v>0</v>
      </c>
      <c r="R14" s="732">
        <f>'Func Future Subs 2015'!R14</f>
        <v>1</v>
      </c>
      <c r="S14" s="735">
        <f t="shared" si="2"/>
        <v>0</v>
      </c>
      <c r="T14" s="735">
        <f t="shared" si="3"/>
        <v>0</v>
      </c>
      <c r="U14" s="735">
        <f t="shared" si="4"/>
        <v>4410.9725000980834</v>
      </c>
      <c r="V14" s="736">
        <f t="shared" si="5"/>
        <v>0</v>
      </c>
      <c r="W14" s="735">
        <f t="shared" si="6"/>
        <v>0</v>
      </c>
      <c r="X14" s="737">
        <f t="shared" si="7"/>
        <v>4410.9725000980834</v>
      </c>
      <c r="Y14" s="738">
        <f t="shared" si="8"/>
        <v>0</v>
      </c>
    </row>
    <row r="15" spans="1:30">
      <c r="A15" s="754" t="str">
        <f>'Func Future Subs 2015'!A15</f>
        <v>Lamoureux 071S</v>
      </c>
      <c r="B15" s="754">
        <f>'Func Future Subs 2015'!B15</f>
        <v>559</v>
      </c>
      <c r="C15" s="754">
        <f>'Func Future Subs 2015'!C15</f>
        <v>240</v>
      </c>
      <c r="D15" s="754">
        <f>'Func Future Subs 2015'!D15</f>
        <v>138</v>
      </c>
      <c r="E15" s="754" t="str">
        <f>'Func Future Subs 2015'!E15</f>
        <v>71S</v>
      </c>
      <c r="F15" s="754">
        <f>'Func Future Subs 2015'!F15</f>
        <v>80730.150925862225</v>
      </c>
      <c r="G15" s="754" t="str">
        <f>'Func Future Subs 2015'!G15</f>
        <v>AltaLink</v>
      </c>
      <c r="H15" s="754">
        <f>'Func Future Subs 2015'!H15</f>
        <v>2015</v>
      </c>
      <c r="I15" s="306">
        <f>+IF($H15=I$2,VLOOKUP($G15,Depreciation!$A$14:$L$18,7,FALSE)/2,IF($H15&lt;I$2,VLOOKUP($G15,Depreciation!$A$14:$L$18,7,FALSE),0))</f>
        <v>1.7228380322441735E-2</v>
      </c>
      <c r="J15" s="306">
        <f>+IF($H15=J$2,VLOOKUP($G15,Depreciation!$A$14:$L$18,8,FALSE)/2,IF($H15&lt;J$2,VLOOKUP($G15,Depreciation!$A$14:$L$18,8,FALSE),0))</f>
        <v>3.343407856743718E-2</v>
      </c>
      <c r="K15" s="306">
        <f>+IF($H15=K$2,VLOOKUP($G15,Depreciation!$A$14:$L$18,9,FALSE)/2,IF($H15&lt;K$2,VLOOKUP($G15,Depreciation!$A$14:$L$18,9,FALSE),0))</f>
        <v>3.343407856743718E-2</v>
      </c>
      <c r="L15" s="306">
        <f>+IF($H15=L$2,VLOOKUP($G15,Depreciation!$A$14:$L$18,10,FALSE)/2,IF($H15&lt;L$2,VLOOKUP($G15,Depreciation!$A$14:$L$18,10,FALSE),0))</f>
        <v>3.343407856743718E-2</v>
      </c>
      <c r="M15" s="306">
        <f>+IF($H15=M$2,VLOOKUP($G15,Depreciation!$A$14:$L$18,11,FALSE)/2,IF($H15&lt;M$2,VLOOKUP($G15,Depreciation!$A$14:$L$18,11,FALSE),0))</f>
        <v>3.343407856743718E-2</v>
      </c>
      <c r="N15" s="306">
        <f>+IF($H15=N$2,VLOOKUP($G15,Depreciation!$A$14:$L$18,12,FALSE)/2,IF($H15&lt;N$2,VLOOKUP($G15,Depreciation!$A$14:$L$18,12,FALSE),0))</f>
        <v>3.343407856743718E-2</v>
      </c>
      <c r="O15" s="307">
        <f t="shared" si="1"/>
        <v>69249.124466315057</v>
      </c>
      <c r="P15" s="732">
        <f>'Func Future Subs 2015'!P15</f>
        <v>0</v>
      </c>
      <c r="Q15" s="732">
        <f>'Func Future Subs 2015'!Q15</f>
        <v>0</v>
      </c>
      <c r="R15" s="732">
        <f>'Func Future Subs 2015'!R15</f>
        <v>1</v>
      </c>
      <c r="S15" s="735">
        <f t="shared" si="2"/>
        <v>0</v>
      </c>
      <c r="T15" s="735">
        <f t="shared" si="3"/>
        <v>0</v>
      </c>
      <c r="U15" s="735">
        <f t="shared" si="4"/>
        <v>69249.124466315057</v>
      </c>
      <c r="V15" s="736">
        <f t="shared" si="5"/>
        <v>0</v>
      </c>
      <c r="W15" s="735">
        <f t="shared" si="6"/>
        <v>0</v>
      </c>
      <c r="X15" s="737">
        <f t="shared" si="7"/>
        <v>69249.124466315057</v>
      </c>
      <c r="Y15" s="738">
        <f t="shared" si="8"/>
        <v>0</v>
      </c>
    </row>
    <row r="16" spans="1:30">
      <c r="A16" s="754" t="str">
        <f>'Func Future Subs 2015'!A16</f>
        <v>Bannerman 681S</v>
      </c>
      <c r="B16" s="754">
        <f>'Func Future Subs 2015'!B16</f>
        <v>629</v>
      </c>
      <c r="C16" s="754">
        <f>'Func Future Subs 2015'!C16</f>
        <v>240</v>
      </c>
      <c r="D16" s="754">
        <f>'Func Future Subs 2015'!D16</f>
        <v>25</v>
      </c>
      <c r="E16" s="754" t="str">
        <f>'Func Future Subs 2015'!E16</f>
        <v>681S</v>
      </c>
      <c r="F16" s="754">
        <f>'Func Future Subs 2015'!F16</f>
        <v>10135.432206033322</v>
      </c>
      <c r="G16" s="754" t="str">
        <f>'Func Future Subs 2015'!G16</f>
        <v>AltaLink</v>
      </c>
      <c r="H16" s="754">
        <f>'Func Future Subs 2015'!H16</f>
        <v>2015</v>
      </c>
      <c r="I16" s="306">
        <f>+IF($H16=I$2,VLOOKUP($G16,Depreciation!$A$14:$L$18,7,FALSE)/2,IF($H16&lt;I$2,VLOOKUP($G16,Depreciation!$A$14:$L$18,7,FALSE),0))</f>
        <v>1.7228380322441735E-2</v>
      </c>
      <c r="J16" s="306">
        <f>+IF($H16=J$2,VLOOKUP($G16,Depreciation!$A$14:$L$18,8,FALSE)/2,IF($H16&lt;J$2,VLOOKUP($G16,Depreciation!$A$14:$L$18,8,FALSE),0))</f>
        <v>3.343407856743718E-2</v>
      </c>
      <c r="K16" s="306">
        <f>+IF($H16=K$2,VLOOKUP($G16,Depreciation!$A$14:$L$18,9,FALSE)/2,IF($H16&lt;K$2,VLOOKUP($G16,Depreciation!$A$14:$L$18,9,FALSE),0))</f>
        <v>3.343407856743718E-2</v>
      </c>
      <c r="L16" s="306">
        <f>+IF($H16=L$2,VLOOKUP($G16,Depreciation!$A$14:$L$18,10,FALSE)/2,IF($H16&lt;L$2,VLOOKUP($G16,Depreciation!$A$14:$L$18,10,FALSE),0))</f>
        <v>3.343407856743718E-2</v>
      </c>
      <c r="M16" s="306">
        <f>+IF($H16=M$2,VLOOKUP($G16,Depreciation!$A$14:$L$18,11,FALSE)/2,IF($H16&lt;M$2,VLOOKUP($G16,Depreciation!$A$14:$L$18,11,FALSE),0))</f>
        <v>3.343407856743718E-2</v>
      </c>
      <c r="N16" s="306">
        <f>+IF($H16=N$2,VLOOKUP($G16,Depreciation!$A$14:$L$18,12,FALSE)/2,IF($H16&lt;N$2,VLOOKUP($G16,Depreciation!$A$14:$L$18,12,FALSE),0))</f>
        <v>3.343407856743718E-2</v>
      </c>
      <c r="O16" s="307">
        <f t="shared" si="1"/>
        <v>8694.0232156887105</v>
      </c>
      <c r="P16" s="732">
        <f>'Func Future Subs 2015'!P16</f>
        <v>0</v>
      </c>
      <c r="Q16" s="732">
        <f>'Func Future Subs 2015'!Q16</f>
        <v>1</v>
      </c>
      <c r="R16" s="732">
        <f>'Func Future Subs 2015'!R16</f>
        <v>0</v>
      </c>
      <c r="S16" s="735">
        <f t="shared" si="2"/>
        <v>0</v>
      </c>
      <c r="T16" s="735">
        <f t="shared" si="3"/>
        <v>8694.0232156887105</v>
      </c>
      <c r="U16" s="735">
        <f t="shared" si="4"/>
        <v>0</v>
      </c>
      <c r="V16" s="736">
        <f t="shared" si="5"/>
        <v>0</v>
      </c>
      <c r="W16" s="735">
        <f t="shared" si="6"/>
        <v>0</v>
      </c>
      <c r="X16" s="737">
        <f t="shared" si="7"/>
        <v>0</v>
      </c>
      <c r="Y16" s="738">
        <f t="shared" si="8"/>
        <v>8694.0232156887105</v>
      </c>
    </row>
    <row r="17" spans="1:25">
      <c r="A17" s="754" t="str">
        <f>'Func Future Subs 2015'!A17</f>
        <v>Deerland 013S</v>
      </c>
      <c r="B17" s="754">
        <f>'Func Future Subs 2015'!B17</f>
        <v>629</v>
      </c>
      <c r="C17" s="754">
        <f>'Func Future Subs 2015'!C17</f>
        <v>240</v>
      </c>
      <c r="D17" s="754">
        <f>'Func Future Subs 2015'!D17</f>
        <v>138</v>
      </c>
      <c r="E17" s="754" t="str">
        <f>'Func Future Subs 2015'!E17</f>
        <v>13S</v>
      </c>
      <c r="F17" s="754">
        <f>'Func Future Subs 2015'!F17</f>
        <v>516260.4179627226</v>
      </c>
      <c r="G17" s="754" t="str">
        <f>'Func Future Subs 2015'!G17</f>
        <v>AltaLink</v>
      </c>
      <c r="H17" s="754">
        <f>'Func Future Subs 2015'!H17</f>
        <v>2015</v>
      </c>
      <c r="I17" s="306">
        <f>+IF($H17=I$2,VLOOKUP($G17,Depreciation!$A$14:$L$18,7,FALSE)/2,IF($H17&lt;I$2,VLOOKUP($G17,Depreciation!$A$14:$L$18,7,FALSE),0))</f>
        <v>1.7228380322441735E-2</v>
      </c>
      <c r="J17" s="306">
        <f>+IF($H17=J$2,VLOOKUP($G17,Depreciation!$A$14:$L$18,8,FALSE)/2,IF($H17&lt;J$2,VLOOKUP($G17,Depreciation!$A$14:$L$18,8,FALSE),0))</f>
        <v>3.343407856743718E-2</v>
      </c>
      <c r="K17" s="306">
        <f>+IF($H17=K$2,VLOOKUP($G17,Depreciation!$A$14:$L$18,9,FALSE)/2,IF($H17&lt;K$2,VLOOKUP($G17,Depreciation!$A$14:$L$18,9,FALSE),0))</f>
        <v>3.343407856743718E-2</v>
      </c>
      <c r="L17" s="306">
        <f>+IF($H17=L$2,VLOOKUP($G17,Depreciation!$A$14:$L$18,10,FALSE)/2,IF($H17&lt;L$2,VLOOKUP($G17,Depreciation!$A$14:$L$18,10,FALSE),0))</f>
        <v>3.343407856743718E-2</v>
      </c>
      <c r="M17" s="306">
        <f>+IF($H17=M$2,VLOOKUP($G17,Depreciation!$A$14:$L$18,11,FALSE)/2,IF($H17&lt;M$2,VLOOKUP($G17,Depreciation!$A$14:$L$18,11,FALSE),0))</f>
        <v>3.343407856743718E-2</v>
      </c>
      <c r="N17" s="306">
        <f>+IF($H17=N$2,VLOOKUP($G17,Depreciation!$A$14:$L$18,12,FALSE)/2,IF($H17&lt;N$2,VLOOKUP($G17,Depreciation!$A$14:$L$18,12,FALSE),0))</f>
        <v>3.343407856743718E-2</v>
      </c>
      <c r="O17" s="307">
        <f t="shared" si="1"/>
        <v>442840.51906906039</v>
      </c>
      <c r="P17" s="732">
        <f>'Func Future Subs 2015'!P17</f>
        <v>0</v>
      </c>
      <c r="Q17" s="732">
        <f>'Func Future Subs 2015'!Q17</f>
        <v>0</v>
      </c>
      <c r="R17" s="732">
        <f>'Func Future Subs 2015'!R17</f>
        <v>1</v>
      </c>
      <c r="S17" s="735">
        <f t="shared" si="2"/>
        <v>0</v>
      </c>
      <c r="T17" s="735">
        <f t="shared" si="3"/>
        <v>0</v>
      </c>
      <c r="U17" s="735">
        <f t="shared" si="4"/>
        <v>442840.51906906039</v>
      </c>
      <c r="V17" s="736">
        <f t="shared" si="5"/>
        <v>0</v>
      </c>
      <c r="W17" s="735">
        <f t="shared" si="6"/>
        <v>0</v>
      </c>
      <c r="X17" s="737">
        <f t="shared" si="7"/>
        <v>442840.51906906039</v>
      </c>
      <c r="Y17" s="738">
        <f t="shared" si="8"/>
        <v>0</v>
      </c>
    </row>
    <row r="18" spans="1:25">
      <c r="A18" s="754" t="str">
        <f>'Func Future Subs 2015'!A18</f>
        <v>Ellerslie 089S</v>
      </c>
      <c r="B18" s="754">
        <f>'Func Future Subs 2015'!B18</f>
        <v>629</v>
      </c>
      <c r="C18" s="754">
        <f>'Func Future Subs 2015'!C18</f>
        <v>500</v>
      </c>
      <c r="D18" s="754">
        <f>'Func Future Subs 2015'!D18</f>
        <v>240</v>
      </c>
      <c r="E18" s="754" t="str">
        <f>'Func Future Subs 2015'!E18</f>
        <v>89S</v>
      </c>
      <c r="F18" s="754">
        <f>'Func Future Subs 2015'!F18</f>
        <v>23778913.961869717</v>
      </c>
      <c r="G18" s="754" t="str">
        <f>'Func Future Subs 2015'!G18</f>
        <v>AltaLink</v>
      </c>
      <c r="H18" s="754">
        <f>'Func Future Subs 2015'!H18</f>
        <v>2015</v>
      </c>
      <c r="I18" s="306">
        <f>+IF($H18=I$2,VLOOKUP($G18,Depreciation!$A$14:$L$18,7,FALSE)/2,IF($H18&lt;I$2,VLOOKUP($G18,Depreciation!$A$14:$L$18,7,FALSE),0))</f>
        <v>1.7228380322441735E-2</v>
      </c>
      <c r="J18" s="306">
        <f>+IF($H18=J$2,VLOOKUP($G18,Depreciation!$A$14:$L$18,8,FALSE)/2,IF($H18&lt;J$2,VLOOKUP($G18,Depreciation!$A$14:$L$18,8,FALSE),0))</f>
        <v>3.343407856743718E-2</v>
      </c>
      <c r="K18" s="306">
        <f>+IF($H18=K$2,VLOOKUP($G18,Depreciation!$A$14:$L$18,9,FALSE)/2,IF($H18&lt;K$2,VLOOKUP($G18,Depreciation!$A$14:$L$18,9,FALSE),0))</f>
        <v>3.343407856743718E-2</v>
      </c>
      <c r="L18" s="306">
        <f>+IF($H18=L$2,VLOOKUP($G18,Depreciation!$A$14:$L$18,10,FALSE)/2,IF($H18&lt;L$2,VLOOKUP($G18,Depreciation!$A$14:$L$18,10,FALSE),0))</f>
        <v>3.343407856743718E-2</v>
      </c>
      <c r="M18" s="306">
        <f>+IF($H18=M$2,VLOOKUP($G18,Depreciation!$A$14:$L$18,11,FALSE)/2,IF($H18&lt;M$2,VLOOKUP($G18,Depreciation!$A$14:$L$18,11,FALSE),0))</f>
        <v>3.343407856743718E-2</v>
      </c>
      <c r="N18" s="306">
        <f>+IF($H18=N$2,VLOOKUP($G18,Depreciation!$A$14:$L$18,12,FALSE)/2,IF($H18&lt;N$2,VLOOKUP($G18,Depreciation!$A$14:$L$18,12,FALSE),0))</f>
        <v>3.343407856743718E-2</v>
      </c>
      <c r="O18" s="307">
        <f t="shared" si="1"/>
        <v>20397199.233920865</v>
      </c>
      <c r="P18" s="732">
        <f>'Func Future Subs 2015'!P18</f>
        <v>0</v>
      </c>
      <c r="Q18" s="732">
        <f>'Func Future Subs 2015'!Q18</f>
        <v>0</v>
      </c>
      <c r="R18" s="732">
        <f>'Func Future Subs 2015'!R18</f>
        <v>1</v>
      </c>
      <c r="S18" s="735">
        <f t="shared" si="2"/>
        <v>0</v>
      </c>
      <c r="T18" s="735">
        <f t="shared" si="3"/>
        <v>0</v>
      </c>
      <c r="U18" s="735">
        <f t="shared" si="4"/>
        <v>20397199.233920865</v>
      </c>
      <c r="V18" s="736">
        <f t="shared" si="5"/>
        <v>0</v>
      </c>
      <c r="W18" s="735">
        <f t="shared" si="6"/>
        <v>20397199.233920865</v>
      </c>
      <c r="X18" s="737">
        <f t="shared" si="7"/>
        <v>0</v>
      </c>
      <c r="Y18" s="738">
        <f t="shared" si="8"/>
        <v>0</v>
      </c>
    </row>
    <row r="19" spans="1:25">
      <c r="A19" s="754" t="str">
        <f>'Func Future Subs 2015'!A19</f>
        <v>Heartland 012S_(v199)</v>
      </c>
      <c r="B19" s="754">
        <f>'Func Future Subs 2015'!B19</f>
        <v>629</v>
      </c>
      <c r="C19" s="754">
        <f>'Func Future Subs 2015'!C19</f>
        <v>500</v>
      </c>
      <c r="D19" s="754">
        <f>'Func Future Subs 2015'!D19</f>
        <v>240</v>
      </c>
      <c r="E19" s="754" t="str">
        <f>'Func Future Subs 2015'!E19</f>
        <v>12S</v>
      </c>
      <c r="F19" s="754">
        <f>'Func Future Subs 2015'!F19</f>
        <v>66671500.436580472</v>
      </c>
      <c r="G19" s="754" t="str">
        <f>'Func Future Subs 2015'!G19</f>
        <v>AltaLink</v>
      </c>
      <c r="H19" s="754">
        <f>'Func Future Subs 2015'!H19</f>
        <v>2015</v>
      </c>
      <c r="I19" s="306">
        <f>+IF($H19=I$2,VLOOKUP($G19,Depreciation!$A$14:$L$18,7,FALSE)/2,IF($H19&lt;I$2,VLOOKUP($G19,Depreciation!$A$14:$L$18,7,FALSE),0))</f>
        <v>1.7228380322441735E-2</v>
      </c>
      <c r="J19" s="306">
        <f>+IF($H19=J$2,VLOOKUP($G19,Depreciation!$A$14:$L$18,8,FALSE)/2,IF($H19&lt;J$2,VLOOKUP($G19,Depreciation!$A$14:$L$18,8,FALSE),0))</f>
        <v>3.343407856743718E-2</v>
      </c>
      <c r="K19" s="306">
        <f>+IF($H19=K$2,VLOOKUP($G19,Depreciation!$A$14:$L$18,9,FALSE)/2,IF($H19&lt;K$2,VLOOKUP($G19,Depreciation!$A$14:$L$18,9,FALSE),0))</f>
        <v>3.343407856743718E-2</v>
      </c>
      <c r="L19" s="306">
        <f>+IF($H19=L$2,VLOOKUP($G19,Depreciation!$A$14:$L$18,10,FALSE)/2,IF($H19&lt;L$2,VLOOKUP($G19,Depreciation!$A$14:$L$18,10,FALSE),0))</f>
        <v>3.343407856743718E-2</v>
      </c>
      <c r="M19" s="306">
        <f>+IF($H19=M$2,VLOOKUP($G19,Depreciation!$A$14:$L$18,11,FALSE)/2,IF($H19&lt;M$2,VLOOKUP($G19,Depreciation!$A$14:$L$18,11,FALSE),0))</f>
        <v>3.343407856743718E-2</v>
      </c>
      <c r="N19" s="306">
        <f>+IF($H19=N$2,VLOOKUP($G19,Depreciation!$A$14:$L$18,12,FALSE)/2,IF($H19&lt;N$2,VLOOKUP($G19,Depreciation!$A$14:$L$18,12,FALSE),0))</f>
        <v>3.343407856743718E-2</v>
      </c>
      <c r="O19" s="307">
        <f t="shared" si="1"/>
        <v>57189822.874587052</v>
      </c>
      <c r="P19" s="732">
        <f>'Func Future Subs 2015'!P19</f>
        <v>0</v>
      </c>
      <c r="Q19" s="732">
        <f>'Func Future Subs 2015'!Q19</f>
        <v>0</v>
      </c>
      <c r="R19" s="732">
        <f>'Func Future Subs 2015'!R19</f>
        <v>1</v>
      </c>
      <c r="S19" s="735">
        <f t="shared" si="2"/>
        <v>0</v>
      </c>
      <c r="T19" s="735">
        <f t="shared" si="3"/>
        <v>0</v>
      </c>
      <c r="U19" s="735">
        <f t="shared" si="4"/>
        <v>57189822.874587052</v>
      </c>
      <c r="V19" s="736">
        <f t="shared" si="5"/>
        <v>0</v>
      </c>
      <c r="W19" s="735">
        <f t="shared" si="6"/>
        <v>57189822.874587052</v>
      </c>
      <c r="X19" s="737">
        <f t="shared" si="7"/>
        <v>0</v>
      </c>
      <c r="Y19" s="738">
        <f t="shared" si="8"/>
        <v>0</v>
      </c>
    </row>
    <row r="20" spans="1:25">
      <c r="A20" s="754" t="str">
        <f>'Func Future Subs 2015'!A20</f>
        <v>Lamoureux 071S_(v199)</v>
      </c>
      <c r="B20" s="754">
        <f>'Func Future Subs 2015'!B20</f>
        <v>629</v>
      </c>
      <c r="C20" s="754">
        <f>'Func Future Subs 2015'!C20</f>
        <v>240</v>
      </c>
      <c r="D20" s="754">
        <f>'Func Future Subs 2015'!D20</f>
        <v>138</v>
      </c>
      <c r="E20" s="754" t="str">
        <f>'Func Future Subs 2015'!E20</f>
        <v>71S</v>
      </c>
      <c r="F20" s="754">
        <f>'Func Future Subs 2015'!F20</f>
        <v>706122.92894576001</v>
      </c>
      <c r="G20" s="754" t="str">
        <f>'Func Future Subs 2015'!G20</f>
        <v>AltaLink</v>
      </c>
      <c r="H20" s="754">
        <f>'Func Future Subs 2015'!H20</f>
        <v>2015</v>
      </c>
      <c r="I20" s="306">
        <f>+IF($H20=I$2,VLOOKUP($G20,Depreciation!$A$14:$L$18,7,FALSE)/2,IF($H20&lt;I$2,VLOOKUP($G20,Depreciation!$A$14:$L$18,7,FALSE),0))</f>
        <v>1.7228380322441735E-2</v>
      </c>
      <c r="J20" s="306">
        <f>+IF($H20=J$2,VLOOKUP($G20,Depreciation!$A$14:$L$18,8,FALSE)/2,IF($H20&lt;J$2,VLOOKUP($G20,Depreciation!$A$14:$L$18,8,FALSE),0))</f>
        <v>3.343407856743718E-2</v>
      </c>
      <c r="K20" s="306">
        <f>+IF($H20=K$2,VLOOKUP($G20,Depreciation!$A$14:$L$18,9,FALSE)/2,IF($H20&lt;K$2,VLOOKUP($G20,Depreciation!$A$14:$L$18,9,FALSE),0))</f>
        <v>3.343407856743718E-2</v>
      </c>
      <c r="L20" s="306">
        <f>+IF($H20=L$2,VLOOKUP($G20,Depreciation!$A$14:$L$18,10,FALSE)/2,IF($H20&lt;L$2,VLOOKUP($G20,Depreciation!$A$14:$L$18,10,FALSE),0))</f>
        <v>3.343407856743718E-2</v>
      </c>
      <c r="M20" s="306">
        <f>+IF($H20=M$2,VLOOKUP($G20,Depreciation!$A$14:$L$18,11,FALSE)/2,IF($H20&lt;M$2,VLOOKUP($G20,Depreciation!$A$14:$L$18,11,FALSE),0))</f>
        <v>3.343407856743718E-2</v>
      </c>
      <c r="N20" s="306">
        <f>+IF($H20=N$2,VLOOKUP($G20,Depreciation!$A$14:$L$18,12,FALSE)/2,IF($H20&lt;N$2,VLOOKUP($G20,Depreciation!$A$14:$L$18,12,FALSE),0))</f>
        <v>3.343407856743718E-2</v>
      </c>
      <c r="O20" s="307">
        <f t="shared" si="1"/>
        <v>605701.76116714138</v>
      </c>
      <c r="P20" s="732">
        <f>'Func Future Subs 2015'!P20</f>
        <v>0</v>
      </c>
      <c r="Q20" s="732">
        <f>'Func Future Subs 2015'!Q20</f>
        <v>0</v>
      </c>
      <c r="R20" s="732">
        <f>'Func Future Subs 2015'!R20</f>
        <v>1</v>
      </c>
      <c r="S20" s="735">
        <f t="shared" si="2"/>
        <v>0</v>
      </c>
      <c r="T20" s="735">
        <f t="shared" si="3"/>
        <v>0</v>
      </c>
      <c r="U20" s="735">
        <f t="shared" si="4"/>
        <v>605701.76116714138</v>
      </c>
      <c r="V20" s="736">
        <f t="shared" si="5"/>
        <v>0</v>
      </c>
      <c r="W20" s="735">
        <f t="shared" si="6"/>
        <v>0</v>
      </c>
      <c r="X20" s="737">
        <f t="shared" si="7"/>
        <v>605701.76116714138</v>
      </c>
      <c r="Y20" s="738">
        <f t="shared" si="8"/>
        <v>0</v>
      </c>
    </row>
    <row r="21" spans="1:25">
      <c r="A21" s="754" t="str">
        <f>'Func Future Subs 2015'!A21</f>
        <v>Mother Moutain 2055S Switching Substation</v>
      </c>
      <c r="B21" s="754">
        <f>'Func Future Subs 2015'!B21</f>
        <v>635</v>
      </c>
      <c r="C21" s="754">
        <f>'Func Future Subs 2015'!C21</f>
        <v>240</v>
      </c>
      <c r="D21" s="754">
        <f>'Func Future Subs 2015'!D21</f>
        <v>240</v>
      </c>
      <c r="E21" s="754" t="str">
        <f>'Func Future Subs 2015'!E21</f>
        <v>2055S</v>
      </c>
      <c r="F21" s="754">
        <f>'Func Future Subs 2015'!F21</f>
        <v>17584069.1948951</v>
      </c>
      <c r="G21" s="754" t="str">
        <f>'Func Future Subs 2015'!G21</f>
        <v>ATCO</v>
      </c>
      <c r="H21" s="754">
        <f>'Func Future Subs 2015'!H21</f>
        <v>2019</v>
      </c>
      <c r="I21" s="306">
        <f>+IF($H21=I$2,VLOOKUP($G21,Depreciation!$A$14:$L$18,7,FALSE)/2,IF($H21&lt;I$2,VLOOKUP($G21,Depreciation!$A$14:$L$18,7,FALSE),0))</f>
        <v>0</v>
      </c>
      <c r="J21" s="306">
        <f>+IF($H21=J$2,VLOOKUP($G21,Depreciation!$A$14:$L$18,8,FALSE)/2,IF($H21&lt;J$2,VLOOKUP($G21,Depreciation!$A$14:$L$18,8,FALSE),0))</f>
        <v>0</v>
      </c>
      <c r="K21" s="306">
        <f>+IF($H21=K$2,VLOOKUP($G21,Depreciation!$A$14:$L$18,9,FALSE)/2,IF($H21&lt;K$2,VLOOKUP($G21,Depreciation!$A$14:$L$18,9,FALSE),0))</f>
        <v>0</v>
      </c>
      <c r="L21" s="306">
        <f>+IF($H21=L$2,VLOOKUP($G21,Depreciation!$A$14:$L$18,10,FALSE)/2,IF($H21&lt;L$2,VLOOKUP($G21,Depreciation!$A$14:$L$18,10,FALSE),0))</f>
        <v>0</v>
      </c>
      <c r="M21" s="306">
        <f>+IF($H21=M$2,VLOOKUP($G21,Depreciation!$A$14:$L$18,11,FALSE)/2,IF($H21&lt;M$2,VLOOKUP($G21,Depreciation!$A$14:$L$18,11,FALSE),0))</f>
        <v>1.2175768213899416E-2</v>
      </c>
      <c r="N21" s="306">
        <f>+IF($H21=N$2,VLOOKUP($G21,Depreciation!$A$14:$L$18,12,FALSE)/2,IF($H21&lt;N$2,VLOOKUP($G21,Depreciation!$A$14:$L$18,12,FALSE),0))</f>
        <v>2.4351536427798831E-2</v>
      </c>
      <c r="O21" s="307">
        <f t="shared" si="1"/>
        <v>17369969.644120887</v>
      </c>
      <c r="P21" s="732">
        <f>'Func Future Subs 2015'!P21</f>
        <v>0</v>
      </c>
      <c r="Q21" s="732">
        <f>'Func Future Subs 2015'!Q21</f>
        <v>0</v>
      </c>
      <c r="R21" s="732">
        <f>'Func Future Subs 2015'!R21</f>
        <v>1</v>
      </c>
      <c r="S21" s="735">
        <f t="shared" si="2"/>
        <v>0</v>
      </c>
      <c r="T21" s="735">
        <f t="shared" si="3"/>
        <v>0</v>
      </c>
      <c r="U21" s="735">
        <f t="shared" si="4"/>
        <v>17369969.644120887</v>
      </c>
      <c r="V21" s="736">
        <f t="shared" si="5"/>
        <v>0</v>
      </c>
      <c r="W21" s="735">
        <f t="shared" si="6"/>
        <v>17369969.644120887</v>
      </c>
      <c r="X21" s="737">
        <f t="shared" si="7"/>
        <v>0</v>
      </c>
      <c r="Y21" s="738">
        <f t="shared" si="8"/>
        <v>0</v>
      </c>
    </row>
    <row r="22" spans="1:25">
      <c r="A22" s="754" t="str">
        <f>'Func Future Subs 2015'!A22</f>
        <v>Coyote Lake 963S version 2</v>
      </c>
      <c r="B22" s="754">
        <f>'Func Future Subs 2015'!B22</f>
        <v>678</v>
      </c>
      <c r="C22" s="754">
        <f>'Func Future Subs 2015'!C22</f>
        <v>240</v>
      </c>
      <c r="D22" s="754">
        <f>'Func Future Subs 2015'!D22</f>
        <v>138</v>
      </c>
      <c r="E22" s="754" t="str">
        <f>'Func Future Subs 2015'!E22</f>
        <v>963S</v>
      </c>
      <c r="F22" s="754">
        <f>'Func Future Subs 2015'!F22</f>
        <v>5823406.5519853365</v>
      </c>
      <c r="G22" s="754" t="str">
        <f>'Func Future Subs 2015'!G22</f>
        <v>ATCO</v>
      </c>
      <c r="H22" s="754">
        <f>'Func Future Subs 2015'!H22</f>
        <v>2018</v>
      </c>
      <c r="I22" s="306">
        <f>+IF($H22=I$2,VLOOKUP($G22,Depreciation!$A$14:$L$18,7,FALSE)/2,IF($H22&lt;I$2,VLOOKUP($G22,Depreciation!$A$14:$L$18,7,FALSE),0))</f>
        <v>0</v>
      </c>
      <c r="J22" s="306">
        <f>+IF($H22=J$2,VLOOKUP($G22,Depreciation!$A$14:$L$18,8,FALSE)/2,IF($H22&lt;J$2,VLOOKUP($G22,Depreciation!$A$14:$L$18,8,FALSE),0))</f>
        <v>0</v>
      </c>
      <c r="K22" s="306">
        <f>+IF($H22=K$2,VLOOKUP($G22,Depreciation!$A$14:$L$18,9,FALSE)/2,IF($H22&lt;K$2,VLOOKUP($G22,Depreciation!$A$14:$L$18,9,FALSE),0))</f>
        <v>0</v>
      </c>
      <c r="L22" s="306">
        <f>+IF($H22=L$2,VLOOKUP($G22,Depreciation!$A$14:$L$18,10,FALSE)/2,IF($H22&lt;L$2,VLOOKUP($G22,Depreciation!$A$14:$L$18,10,FALSE),0))</f>
        <v>1.2175768213899416E-2</v>
      </c>
      <c r="M22" s="306">
        <f>+IF($H22=M$2,VLOOKUP($G22,Depreciation!$A$14:$L$18,11,FALSE)/2,IF($H22&lt;M$2,VLOOKUP($G22,Depreciation!$A$14:$L$18,11,FALSE),0))</f>
        <v>2.4351536427798831E-2</v>
      </c>
      <c r="N22" s="306">
        <f>+IF($H22=N$2,VLOOKUP($G22,Depreciation!$A$14:$L$18,12,FALSE)/2,IF($H22&lt;N$2,VLOOKUP($G22,Depreciation!$A$14:$L$18,12,FALSE),0))</f>
        <v>2.4351536427798831E-2</v>
      </c>
      <c r="O22" s="307">
        <f t="shared" si="1"/>
        <v>5612419.8390664235</v>
      </c>
      <c r="P22" s="732">
        <f>'Func Future Subs 2015'!P22</f>
        <v>0</v>
      </c>
      <c r="Q22" s="732">
        <f>'Func Future Subs 2015'!Q22</f>
        <v>0</v>
      </c>
      <c r="R22" s="732">
        <f>'Func Future Subs 2015'!R22</f>
        <v>1</v>
      </c>
      <c r="S22" s="735">
        <f t="shared" si="2"/>
        <v>0</v>
      </c>
      <c r="T22" s="735">
        <f t="shared" si="3"/>
        <v>0</v>
      </c>
      <c r="U22" s="735">
        <f t="shared" si="4"/>
        <v>5612419.8390664235</v>
      </c>
      <c r="V22" s="736">
        <f t="shared" si="5"/>
        <v>0</v>
      </c>
      <c r="W22" s="735">
        <f t="shared" si="6"/>
        <v>0</v>
      </c>
      <c r="X22" s="737">
        <f t="shared" si="7"/>
        <v>5612419.8390664235</v>
      </c>
      <c r="Y22" s="738">
        <f t="shared" si="8"/>
        <v>0</v>
      </c>
    </row>
    <row r="23" spans="1:25">
      <c r="A23" s="754" t="str">
        <f>'Func Future Subs 2015'!A23</f>
        <v>Cassils 324S_(v1)</v>
      </c>
      <c r="B23" s="754">
        <f>'Func Future Subs 2015'!B23</f>
        <v>693</v>
      </c>
      <c r="C23" s="754">
        <f>'Func Future Subs 2015'!C23</f>
        <v>240</v>
      </c>
      <c r="D23" s="754">
        <f>'Func Future Subs 2015'!D23</f>
        <v>240</v>
      </c>
      <c r="E23" s="754" t="str">
        <f>'Func Future Subs 2015'!E23</f>
        <v>324S</v>
      </c>
      <c r="F23" s="754">
        <f>'Func Future Subs 2015'!F23</f>
        <v>113408.37728544539</v>
      </c>
      <c r="G23" s="754" t="str">
        <f>'Func Future Subs 2015'!G23</f>
        <v>AltaLink</v>
      </c>
      <c r="H23" s="754">
        <f>'Func Future Subs 2015'!H23</f>
        <v>2019</v>
      </c>
      <c r="I23" s="306">
        <f>+IF($H23=I$2,VLOOKUP($G23,Depreciation!$A$14:$L$18,7,FALSE)/2,IF($H23&lt;I$2,VLOOKUP($G23,Depreciation!$A$14:$L$18,7,FALSE),0))</f>
        <v>0</v>
      </c>
      <c r="J23" s="306">
        <f>+IF($H23=J$2,VLOOKUP($G23,Depreciation!$A$14:$L$18,8,FALSE)/2,IF($H23&lt;J$2,VLOOKUP($G23,Depreciation!$A$14:$L$18,8,FALSE),0))</f>
        <v>0</v>
      </c>
      <c r="K23" s="306">
        <f>+IF($H23=K$2,VLOOKUP($G23,Depreciation!$A$14:$L$18,9,FALSE)/2,IF($H23&lt;K$2,VLOOKUP($G23,Depreciation!$A$14:$L$18,9,FALSE),0))</f>
        <v>0</v>
      </c>
      <c r="L23" s="306">
        <f>+IF($H23=L$2,VLOOKUP($G23,Depreciation!$A$14:$L$18,10,FALSE)/2,IF($H23&lt;L$2,VLOOKUP($G23,Depreciation!$A$14:$L$18,10,FALSE),0))</f>
        <v>0</v>
      </c>
      <c r="M23" s="306">
        <f>+IF($H23=M$2,VLOOKUP($G23,Depreciation!$A$14:$L$18,11,FALSE)/2,IF($H23&lt;M$2,VLOOKUP($G23,Depreciation!$A$14:$L$18,11,FALSE),0))</f>
        <v>1.671703928371859E-2</v>
      </c>
      <c r="N23" s="306">
        <f>+IF($H23=N$2,VLOOKUP($G23,Depreciation!$A$14:$L$18,12,FALSE)/2,IF($H23&lt;N$2,VLOOKUP($G23,Depreciation!$A$14:$L$18,12,FALSE),0))</f>
        <v>3.343407856743718E-2</v>
      </c>
      <c r="O23" s="307">
        <f t="shared" si="1"/>
        <v>111512.52498726182</v>
      </c>
      <c r="P23" s="732">
        <f>'Func Future Subs 2015'!P23</f>
        <v>0</v>
      </c>
      <c r="Q23" s="732">
        <f>'Func Future Subs 2015'!Q23</f>
        <v>0</v>
      </c>
      <c r="R23" s="732">
        <f>'Func Future Subs 2015'!R23</f>
        <v>1</v>
      </c>
      <c r="S23" s="735">
        <f t="shared" si="2"/>
        <v>0</v>
      </c>
      <c r="T23" s="735">
        <f t="shared" si="3"/>
        <v>0</v>
      </c>
      <c r="U23" s="735">
        <f t="shared" si="4"/>
        <v>111512.52498726182</v>
      </c>
      <c r="V23" s="736">
        <f t="shared" si="5"/>
        <v>0</v>
      </c>
      <c r="W23" s="735">
        <f t="shared" si="6"/>
        <v>111512.52498726182</v>
      </c>
      <c r="X23" s="737">
        <f t="shared" si="7"/>
        <v>0</v>
      </c>
      <c r="Y23" s="738">
        <f t="shared" si="8"/>
        <v>0</v>
      </c>
    </row>
    <row r="24" spans="1:25">
      <c r="A24" s="754" t="str">
        <f>'Func Future Subs 2015'!A24</f>
        <v>Eagle Buttle 274S_(v1)</v>
      </c>
      <c r="B24" s="754">
        <f>'Func Future Subs 2015'!B24</f>
        <v>693</v>
      </c>
      <c r="C24" s="754">
        <f>'Func Future Subs 2015'!C24</f>
        <v>240</v>
      </c>
      <c r="D24" s="754">
        <f>'Func Future Subs 2015'!D24</f>
        <v>240</v>
      </c>
      <c r="E24" s="754" t="str">
        <f>'Func Future Subs 2015'!E24</f>
        <v>274S</v>
      </c>
      <c r="F24" s="754">
        <f>'Func Future Subs 2015'!F24</f>
        <v>201366.13092386365</v>
      </c>
      <c r="G24" s="754" t="str">
        <f>'Func Future Subs 2015'!G24</f>
        <v>AltaLink</v>
      </c>
      <c r="H24" s="754">
        <f>'Func Future Subs 2015'!H24</f>
        <v>2019</v>
      </c>
      <c r="I24" s="306">
        <f>+IF($H24=I$2,VLOOKUP($G24,Depreciation!$A$14:$L$18,7,FALSE)/2,IF($H24&lt;I$2,VLOOKUP($G24,Depreciation!$A$14:$L$18,7,FALSE),0))</f>
        <v>0</v>
      </c>
      <c r="J24" s="306">
        <f>+IF($H24=J$2,VLOOKUP($G24,Depreciation!$A$14:$L$18,8,FALSE)/2,IF($H24&lt;J$2,VLOOKUP($G24,Depreciation!$A$14:$L$18,8,FALSE),0))</f>
        <v>0</v>
      </c>
      <c r="K24" s="306">
        <f>+IF($H24=K$2,VLOOKUP($G24,Depreciation!$A$14:$L$18,9,FALSE)/2,IF($H24&lt;K$2,VLOOKUP($G24,Depreciation!$A$14:$L$18,9,FALSE),0))</f>
        <v>0</v>
      </c>
      <c r="L24" s="306">
        <f>+IF($H24=L$2,VLOOKUP($G24,Depreciation!$A$14:$L$18,10,FALSE)/2,IF($H24&lt;L$2,VLOOKUP($G24,Depreciation!$A$14:$L$18,10,FALSE),0))</f>
        <v>0</v>
      </c>
      <c r="M24" s="306">
        <f>+IF($H24=M$2,VLOOKUP($G24,Depreciation!$A$14:$L$18,11,FALSE)/2,IF($H24&lt;M$2,VLOOKUP($G24,Depreciation!$A$14:$L$18,11,FALSE),0))</f>
        <v>1.671703928371859E-2</v>
      </c>
      <c r="N24" s="306">
        <f>+IF($H24=N$2,VLOOKUP($G24,Depreciation!$A$14:$L$18,12,FALSE)/2,IF($H24&lt;N$2,VLOOKUP($G24,Depreciation!$A$14:$L$18,12,FALSE),0))</f>
        <v>3.343407856743718E-2</v>
      </c>
      <c r="O24" s="307">
        <f t="shared" si="1"/>
        <v>197999.885402799</v>
      </c>
      <c r="P24" s="732">
        <f>'Func Future Subs 2015'!P24</f>
        <v>0</v>
      </c>
      <c r="Q24" s="732">
        <f>'Func Future Subs 2015'!Q24</f>
        <v>0</v>
      </c>
      <c r="R24" s="732">
        <f>'Func Future Subs 2015'!R24</f>
        <v>1</v>
      </c>
      <c r="S24" s="735">
        <f t="shared" si="2"/>
        <v>0</v>
      </c>
      <c r="T24" s="735">
        <f t="shared" si="3"/>
        <v>0</v>
      </c>
      <c r="U24" s="735">
        <f t="shared" si="4"/>
        <v>197999.885402799</v>
      </c>
      <c r="V24" s="736">
        <f t="shared" si="5"/>
        <v>0</v>
      </c>
      <c r="W24" s="735">
        <f t="shared" si="6"/>
        <v>197999.885402799</v>
      </c>
      <c r="X24" s="737">
        <f t="shared" si="7"/>
        <v>0</v>
      </c>
      <c r="Y24" s="738">
        <f t="shared" si="8"/>
        <v>0</v>
      </c>
    </row>
    <row r="25" spans="1:25">
      <c r="A25" s="754" t="str">
        <f>'Func Future Subs 2015'!A25</f>
        <v>Elkwater 264S_(v1)</v>
      </c>
      <c r="B25" s="754">
        <f>'Func Future Subs 2015'!B25</f>
        <v>693</v>
      </c>
      <c r="C25" s="754">
        <f>'Func Future Subs 2015'!C25</f>
        <v>240</v>
      </c>
      <c r="D25" s="754">
        <f>'Func Future Subs 2015'!D25</f>
        <v>240</v>
      </c>
      <c r="E25" s="754" t="str">
        <f>'Func Future Subs 2015'!E25</f>
        <v>264S</v>
      </c>
      <c r="F25" s="754">
        <f>'Func Future Subs 2015'!F25</f>
        <v>15828490.515206028</v>
      </c>
      <c r="G25" s="754" t="str">
        <f>'Func Future Subs 2015'!G25</f>
        <v>AltaLink</v>
      </c>
      <c r="H25" s="754">
        <f>'Func Future Subs 2015'!H25</f>
        <v>2019</v>
      </c>
      <c r="I25" s="306">
        <f>+IF($H25=I$2,VLOOKUP($G25,Depreciation!$A$14:$L$18,7,FALSE)/2,IF($H25&lt;I$2,VLOOKUP($G25,Depreciation!$A$14:$L$18,7,FALSE),0))</f>
        <v>0</v>
      </c>
      <c r="J25" s="306">
        <f>+IF($H25=J$2,VLOOKUP($G25,Depreciation!$A$14:$L$18,8,FALSE)/2,IF($H25&lt;J$2,VLOOKUP($G25,Depreciation!$A$14:$L$18,8,FALSE),0))</f>
        <v>0</v>
      </c>
      <c r="K25" s="306">
        <f>+IF($H25=K$2,VLOOKUP($G25,Depreciation!$A$14:$L$18,9,FALSE)/2,IF($H25&lt;K$2,VLOOKUP($G25,Depreciation!$A$14:$L$18,9,FALSE),0))</f>
        <v>0</v>
      </c>
      <c r="L25" s="306">
        <f>+IF($H25=L$2,VLOOKUP($G25,Depreciation!$A$14:$L$18,10,FALSE)/2,IF($H25&lt;L$2,VLOOKUP($G25,Depreciation!$A$14:$L$18,10,FALSE),0))</f>
        <v>0</v>
      </c>
      <c r="M25" s="306">
        <f>+IF($H25=M$2,VLOOKUP($G25,Depreciation!$A$14:$L$18,11,FALSE)/2,IF($H25&lt;M$2,VLOOKUP($G25,Depreciation!$A$14:$L$18,11,FALSE),0))</f>
        <v>1.671703928371859E-2</v>
      </c>
      <c r="N25" s="306">
        <f>+IF($H25=N$2,VLOOKUP($G25,Depreciation!$A$14:$L$18,12,FALSE)/2,IF($H25&lt;N$2,VLOOKUP($G25,Depreciation!$A$14:$L$18,12,FALSE),0))</f>
        <v>3.343407856743718E-2</v>
      </c>
      <c r="O25" s="307">
        <f t="shared" si="1"/>
        <v>15563885.017461361</v>
      </c>
      <c r="P25" s="732">
        <f>'Func Future Subs 2015'!P25</f>
        <v>0</v>
      </c>
      <c r="Q25" s="732">
        <f>'Func Future Subs 2015'!Q25</f>
        <v>0</v>
      </c>
      <c r="R25" s="732">
        <f>'Func Future Subs 2015'!R25</f>
        <v>1</v>
      </c>
      <c r="S25" s="735">
        <f t="shared" si="2"/>
        <v>0</v>
      </c>
      <c r="T25" s="735">
        <f t="shared" si="3"/>
        <v>0</v>
      </c>
      <c r="U25" s="735">
        <f t="shared" si="4"/>
        <v>15563885.017461361</v>
      </c>
      <c r="V25" s="736">
        <f t="shared" si="5"/>
        <v>0</v>
      </c>
      <c r="W25" s="735">
        <f t="shared" si="6"/>
        <v>15563885.017461361</v>
      </c>
      <c r="X25" s="737">
        <f t="shared" si="7"/>
        <v>0</v>
      </c>
      <c r="Y25" s="738">
        <f t="shared" si="8"/>
        <v>0</v>
      </c>
    </row>
    <row r="26" spans="1:25">
      <c r="A26" s="754" t="str">
        <f>'Func Future Subs 2015'!A26</f>
        <v>Whitla 251S_(v1)</v>
      </c>
      <c r="B26" s="754">
        <f>'Func Future Subs 2015'!B26</f>
        <v>693</v>
      </c>
      <c r="C26" s="754">
        <f>'Func Future Subs 2015'!C26</f>
        <v>240</v>
      </c>
      <c r="D26" s="754">
        <f>'Func Future Subs 2015'!D26</f>
        <v>240</v>
      </c>
      <c r="E26" s="754" t="str">
        <f>'Func Future Subs 2015'!E26</f>
        <v>251S</v>
      </c>
      <c r="F26" s="754">
        <f>'Func Future Subs 2015'!F26</f>
        <v>169902.62110316977</v>
      </c>
      <c r="G26" s="754" t="str">
        <f>'Func Future Subs 2015'!G26</f>
        <v>AltaLink</v>
      </c>
      <c r="H26" s="754">
        <f>'Func Future Subs 2015'!H26</f>
        <v>2019</v>
      </c>
      <c r="I26" s="306">
        <f>+IF($H26=I$2,VLOOKUP($G26,Depreciation!$A$14:$L$18,7,FALSE)/2,IF($H26&lt;I$2,VLOOKUP($G26,Depreciation!$A$14:$L$18,7,FALSE),0))</f>
        <v>0</v>
      </c>
      <c r="J26" s="306">
        <f>+IF($H26=J$2,VLOOKUP($G26,Depreciation!$A$14:$L$18,8,FALSE)/2,IF($H26&lt;J$2,VLOOKUP($G26,Depreciation!$A$14:$L$18,8,FALSE),0))</f>
        <v>0</v>
      </c>
      <c r="K26" s="306">
        <f>+IF($H26=K$2,VLOOKUP($G26,Depreciation!$A$14:$L$18,9,FALSE)/2,IF($H26&lt;K$2,VLOOKUP($G26,Depreciation!$A$14:$L$18,9,FALSE),0))</f>
        <v>0</v>
      </c>
      <c r="L26" s="306">
        <f>+IF($H26=L$2,VLOOKUP($G26,Depreciation!$A$14:$L$18,10,FALSE)/2,IF($H26&lt;L$2,VLOOKUP($G26,Depreciation!$A$14:$L$18,10,FALSE),0))</f>
        <v>0</v>
      </c>
      <c r="M26" s="306">
        <f>+IF($H26=M$2,VLOOKUP($G26,Depreciation!$A$14:$L$18,11,FALSE)/2,IF($H26&lt;M$2,VLOOKUP($G26,Depreciation!$A$14:$L$18,11,FALSE),0))</f>
        <v>1.671703928371859E-2</v>
      </c>
      <c r="N26" s="306">
        <f>+IF($H26=N$2,VLOOKUP($G26,Depreciation!$A$14:$L$18,12,FALSE)/2,IF($H26&lt;N$2,VLOOKUP($G26,Depreciation!$A$14:$L$18,12,FALSE),0))</f>
        <v>3.343407856743718E-2</v>
      </c>
      <c r="O26" s="307">
        <f t="shared" si="1"/>
        <v>167062.35231178132</v>
      </c>
      <c r="P26" s="732">
        <f>'Func Future Subs 2015'!P26</f>
        <v>0</v>
      </c>
      <c r="Q26" s="732">
        <f>'Func Future Subs 2015'!Q26</f>
        <v>0</v>
      </c>
      <c r="R26" s="732">
        <f>'Func Future Subs 2015'!R26</f>
        <v>1</v>
      </c>
      <c r="S26" s="735">
        <f t="shared" si="2"/>
        <v>0</v>
      </c>
      <c r="T26" s="735">
        <f t="shared" si="3"/>
        <v>0</v>
      </c>
      <c r="U26" s="735">
        <f t="shared" si="4"/>
        <v>167062.35231178132</v>
      </c>
      <c r="V26" s="736">
        <f t="shared" si="5"/>
        <v>0</v>
      </c>
      <c r="W26" s="735">
        <f t="shared" si="6"/>
        <v>167062.35231178132</v>
      </c>
      <c r="X26" s="737">
        <f t="shared" si="7"/>
        <v>0</v>
      </c>
      <c r="Y26" s="738">
        <f t="shared" si="8"/>
        <v>0</v>
      </c>
    </row>
    <row r="27" spans="1:25">
      <c r="A27" s="754" t="str">
        <f>'Func Future Subs 2015'!A27</f>
        <v>East Calgary 5S</v>
      </c>
      <c r="B27" s="754">
        <f>'Func Future Subs 2015'!B27</f>
        <v>719</v>
      </c>
      <c r="C27" s="754">
        <f>'Func Future Subs 2015'!C27</f>
        <v>240</v>
      </c>
      <c r="D27" s="754">
        <f>'Func Future Subs 2015'!D27</f>
        <v>240</v>
      </c>
      <c r="E27" s="754" t="str">
        <f>'Func Future Subs 2015'!E27</f>
        <v>5S</v>
      </c>
      <c r="F27" s="754">
        <f>'Func Future Subs 2015'!F27</f>
        <v>33632105.5811226</v>
      </c>
      <c r="G27" s="754" t="str">
        <f>'Func Future Subs 2015'!G27</f>
        <v>AltaLink</v>
      </c>
      <c r="H27" s="754">
        <f>'Func Future Subs 2015'!H27</f>
        <v>2015</v>
      </c>
      <c r="I27" s="306">
        <f>+IF($H27=I$2,VLOOKUP($G27,Depreciation!$A$14:$L$18,7,FALSE)/2,IF($H27&lt;I$2,VLOOKUP($G27,Depreciation!$A$14:$L$18,7,FALSE),0))</f>
        <v>1.7228380322441735E-2</v>
      </c>
      <c r="J27" s="306">
        <f>+IF($H27=J$2,VLOOKUP($G27,Depreciation!$A$14:$L$18,8,FALSE)/2,IF($H27&lt;J$2,VLOOKUP($G27,Depreciation!$A$14:$L$18,8,FALSE),0))</f>
        <v>3.343407856743718E-2</v>
      </c>
      <c r="K27" s="306">
        <f>+IF($H27=K$2,VLOOKUP($G27,Depreciation!$A$14:$L$18,9,FALSE)/2,IF($H27&lt;K$2,VLOOKUP($G27,Depreciation!$A$14:$L$18,9,FALSE),0))</f>
        <v>3.343407856743718E-2</v>
      </c>
      <c r="L27" s="306">
        <f>+IF($H27=L$2,VLOOKUP($G27,Depreciation!$A$14:$L$18,10,FALSE)/2,IF($H27&lt;L$2,VLOOKUP($G27,Depreciation!$A$14:$L$18,10,FALSE),0))</f>
        <v>3.343407856743718E-2</v>
      </c>
      <c r="M27" s="306">
        <f>+IF($H27=M$2,VLOOKUP($G27,Depreciation!$A$14:$L$18,11,FALSE)/2,IF($H27&lt;M$2,VLOOKUP($G27,Depreciation!$A$14:$L$18,11,FALSE),0))</f>
        <v>3.343407856743718E-2</v>
      </c>
      <c r="N27" s="306">
        <f>+IF($H27=N$2,VLOOKUP($G27,Depreciation!$A$14:$L$18,12,FALSE)/2,IF($H27&lt;N$2,VLOOKUP($G27,Depreciation!$A$14:$L$18,12,FALSE),0))</f>
        <v>3.343407856743718E-2</v>
      </c>
      <c r="O27" s="307">
        <f t="shared" si="1"/>
        <v>28849120.666084446</v>
      </c>
      <c r="P27" s="732">
        <f>'Func Future Subs 2015'!P27</f>
        <v>0</v>
      </c>
      <c r="Q27" s="732">
        <f>'Func Future Subs 2015'!Q27</f>
        <v>0</v>
      </c>
      <c r="R27" s="732">
        <f>'Func Future Subs 2015'!R27</f>
        <v>1</v>
      </c>
      <c r="S27" s="735">
        <f t="shared" si="2"/>
        <v>0</v>
      </c>
      <c r="T27" s="735">
        <f t="shared" si="3"/>
        <v>0</v>
      </c>
      <c r="U27" s="735">
        <f t="shared" si="4"/>
        <v>28849120.666084446</v>
      </c>
      <c r="V27" s="736">
        <f t="shared" si="5"/>
        <v>0</v>
      </c>
      <c r="W27" s="735">
        <f t="shared" si="6"/>
        <v>28849120.666084446</v>
      </c>
      <c r="X27" s="737">
        <f t="shared" si="7"/>
        <v>0</v>
      </c>
      <c r="Y27" s="738">
        <f t="shared" si="8"/>
        <v>0</v>
      </c>
    </row>
    <row r="28" spans="1:25">
      <c r="A28" s="754" t="str">
        <f>'Func Future Subs 2015'!A28</f>
        <v>Enmax No. 2</v>
      </c>
      <c r="B28" s="754">
        <f>'Func Future Subs 2015'!B28</f>
        <v>719</v>
      </c>
      <c r="C28" s="754">
        <f>'Func Future Subs 2015'!C28</f>
        <v>138</v>
      </c>
      <c r="D28" s="754">
        <f>'Func Future Subs 2015'!D28</f>
        <v>25</v>
      </c>
      <c r="E28" s="754" t="str">
        <f>'Func Future Subs 2015'!E28</f>
        <v>SS-2</v>
      </c>
      <c r="F28" s="754">
        <f>'Func Future Subs 2015'!F28</f>
        <v>37801368.20335371</v>
      </c>
      <c r="G28" s="754" t="str">
        <f>'Func Future Subs 2015'!G28</f>
        <v>ENMAX</v>
      </c>
      <c r="H28" s="754">
        <f>'Func Future Subs 2015'!H28</f>
        <v>2015</v>
      </c>
      <c r="I28" s="306">
        <f>+IF($H28=I$2,VLOOKUP($G28,Depreciation!$A$14:$L$18,7,FALSE)/2,IF($H28&lt;I$2,VLOOKUP($G28,Depreciation!$A$14:$L$18,7,FALSE),0))</f>
        <v>1.3928409269726289E-2</v>
      </c>
      <c r="J28" s="306">
        <f>+IF($H28=J$2,VLOOKUP($G28,Depreciation!$A$14:$L$18,8,FALSE)/2,IF($H28&lt;J$2,VLOOKUP($G28,Depreciation!$A$14:$L$18,8,FALSE),0))</f>
        <v>2.7856818539452578E-2</v>
      </c>
      <c r="K28" s="306">
        <f>+IF($H28=K$2,VLOOKUP($G28,Depreciation!$A$14:$L$18,9,FALSE)/2,IF($H28&lt;K$2,VLOOKUP($G28,Depreciation!$A$14:$L$18,9,FALSE),0))</f>
        <v>2.7856818539452578E-2</v>
      </c>
      <c r="L28" s="306">
        <f>+IF($H28=L$2,VLOOKUP($G28,Depreciation!$A$14:$L$18,10,FALSE)/2,IF($H28&lt;L$2,VLOOKUP($G28,Depreciation!$A$14:$L$18,10,FALSE),0))</f>
        <v>2.7856818539452578E-2</v>
      </c>
      <c r="M28" s="306">
        <f>+IF($H28=M$2,VLOOKUP($G28,Depreciation!$A$14:$L$18,11,FALSE)/2,IF($H28&lt;M$2,VLOOKUP($G28,Depreciation!$A$14:$L$18,11,FALSE),0))</f>
        <v>2.7856818539452578E-2</v>
      </c>
      <c r="N28" s="306">
        <f>+IF($H28=N$2,VLOOKUP($G28,Depreciation!$A$14:$L$18,12,FALSE)/2,IF($H28&lt;N$2,VLOOKUP($G28,Depreciation!$A$14:$L$18,12,FALSE),0))</f>
        <v>2.7856818539452578E-2</v>
      </c>
      <c r="O28" s="307">
        <f t="shared" si="1"/>
        <v>33291771.377816427</v>
      </c>
      <c r="P28" s="732">
        <f>'Func Future Subs 2015'!P28</f>
        <v>0</v>
      </c>
      <c r="Q28" s="732">
        <f>'Func Future Subs 2015'!Q28</f>
        <v>1</v>
      </c>
      <c r="R28" s="732">
        <f>'Func Future Subs 2015'!R28</f>
        <v>0</v>
      </c>
      <c r="S28" s="735">
        <f t="shared" si="2"/>
        <v>0</v>
      </c>
      <c r="T28" s="735">
        <f t="shared" si="3"/>
        <v>33291771.377816427</v>
      </c>
      <c r="U28" s="735">
        <f t="shared" si="4"/>
        <v>0</v>
      </c>
      <c r="V28" s="736">
        <f t="shared" si="5"/>
        <v>0</v>
      </c>
      <c r="W28" s="735">
        <f t="shared" si="6"/>
        <v>0</v>
      </c>
      <c r="X28" s="737">
        <f t="shared" si="7"/>
        <v>0</v>
      </c>
      <c r="Y28" s="738">
        <f t="shared" si="8"/>
        <v>33291771.377816427</v>
      </c>
    </row>
    <row r="29" spans="1:25">
      <c r="A29" s="754" t="str">
        <f>'Func Future Subs 2015'!A29</f>
        <v>Enmax No. 23</v>
      </c>
      <c r="B29" s="754">
        <f>'Func Future Subs 2015'!B29</f>
        <v>719</v>
      </c>
      <c r="C29" s="754">
        <f>'Func Future Subs 2015'!C29</f>
        <v>138</v>
      </c>
      <c r="D29" s="754">
        <f>'Func Future Subs 2015'!D29</f>
        <v>25</v>
      </c>
      <c r="E29" s="754" t="str">
        <f>'Func Future Subs 2015'!E29</f>
        <v>SS-23</v>
      </c>
      <c r="F29" s="754">
        <f>'Func Future Subs 2015'!F29</f>
        <v>822893.43442026142</v>
      </c>
      <c r="G29" s="754" t="str">
        <f>'Func Future Subs 2015'!G29</f>
        <v>ENMAX</v>
      </c>
      <c r="H29" s="754">
        <f>'Func Future Subs 2015'!H29</f>
        <v>2015</v>
      </c>
      <c r="I29" s="306">
        <f>+IF($H29=I$2,VLOOKUP($G29,Depreciation!$A$14:$L$18,7,FALSE)/2,IF($H29&lt;I$2,VLOOKUP($G29,Depreciation!$A$14:$L$18,7,FALSE),0))</f>
        <v>1.3928409269726289E-2</v>
      </c>
      <c r="J29" s="306">
        <f>+IF($H29=J$2,VLOOKUP($G29,Depreciation!$A$14:$L$18,8,FALSE)/2,IF($H29&lt;J$2,VLOOKUP($G29,Depreciation!$A$14:$L$18,8,FALSE),0))</f>
        <v>2.7856818539452578E-2</v>
      </c>
      <c r="K29" s="306">
        <f>+IF($H29=K$2,VLOOKUP($G29,Depreciation!$A$14:$L$18,9,FALSE)/2,IF($H29&lt;K$2,VLOOKUP($G29,Depreciation!$A$14:$L$18,9,FALSE),0))</f>
        <v>2.7856818539452578E-2</v>
      </c>
      <c r="L29" s="306">
        <f>+IF($H29=L$2,VLOOKUP($G29,Depreciation!$A$14:$L$18,10,FALSE)/2,IF($H29&lt;L$2,VLOOKUP($G29,Depreciation!$A$14:$L$18,10,FALSE),0))</f>
        <v>2.7856818539452578E-2</v>
      </c>
      <c r="M29" s="306">
        <f>+IF($H29=M$2,VLOOKUP($G29,Depreciation!$A$14:$L$18,11,FALSE)/2,IF($H29&lt;M$2,VLOOKUP($G29,Depreciation!$A$14:$L$18,11,FALSE),0))</f>
        <v>2.7856818539452578E-2</v>
      </c>
      <c r="N29" s="306">
        <f>+IF($H29=N$2,VLOOKUP($G29,Depreciation!$A$14:$L$18,12,FALSE)/2,IF($H29&lt;N$2,VLOOKUP($G29,Depreciation!$A$14:$L$18,12,FALSE),0))</f>
        <v>2.7856818539452578E-2</v>
      </c>
      <c r="O29" s="307">
        <f t="shared" si="1"/>
        <v>724724.56392715964</v>
      </c>
      <c r="P29" s="732">
        <f>'Func Future Subs 2015'!P29</f>
        <v>0</v>
      </c>
      <c r="Q29" s="732">
        <f>'Func Future Subs 2015'!Q29</f>
        <v>1</v>
      </c>
      <c r="R29" s="732">
        <f>'Func Future Subs 2015'!R29</f>
        <v>0</v>
      </c>
      <c r="S29" s="735">
        <f t="shared" si="2"/>
        <v>0</v>
      </c>
      <c r="T29" s="735">
        <f t="shared" si="3"/>
        <v>724724.56392715964</v>
      </c>
      <c r="U29" s="735">
        <f t="shared" si="4"/>
        <v>0</v>
      </c>
      <c r="V29" s="736">
        <f t="shared" si="5"/>
        <v>0</v>
      </c>
      <c r="W29" s="735">
        <f t="shared" si="6"/>
        <v>0</v>
      </c>
      <c r="X29" s="737">
        <f t="shared" si="7"/>
        <v>0</v>
      </c>
      <c r="Y29" s="738">
        <f t="shared" si="8"/>
        <v>724724.56392715964</v>
      </c>
    </row>
    <row r="30" spans="1:25">
      <c r="A30" s="754" t="str">
        <f>'Func Future Subs 2015'!A30</f>
        <v>Enmax No. 25</v>
      </c>
      <c r="B30" s="754">
        <f>'Func Future Subs 2015'!B30</f>
        <v>719</v>
      </c>
      <c r="C30" s="754">
        <f>'Func Future Subs 2015'!C30</f>
        <v>240</v>
      </c>
      <c r="D30" s="754">
        <f>'Func Future Subs 2015'!D30</f>
        <v>25</v>
      </c>
      <c r="E30" s="754" t="str">
        <f>'Func Future Subs 2015'!E30</f>
        <v>SS-25</v>
      </c>
      <c r="F30" s="754">
        <f>'Func Future Subs 2015'!F30</f>
        <v>17323675</v>
      </c>
      <c r="G30" s="754" t="str">
        <f>'Func Future Subs 2015'!G30</f>
        <v>ENMAX</v>
      </c>
      <c r="H30" s="754">
        <f>'Func Future Subs 2015'!H30</f>
        <v>2015</v>
      </c>
      <c r="I30" s="306">
        <f>+IF($H30=I$2,VLOOKUP($G30,Depreciation!$A$14:$L$18,7,FALSE)/2,IF($H30&lt;I$2,VLOOKUP($G30,Depreciation!$A$14:$L$18,7,FALSE),0))</f>
        <v>1.3928409269726289E-2</v>
      </c>
      <c r="J30" s="306">
        <f>+IF($H30=J$2,VLOOKUP($G30,Depreciation!$A$14:$L$18,8,FALSE)/2,IF($H30&lt;J$2,VLOOKUP($G30,Depreciation!$A$14:$L$18,8,FALSE),0))</f>
        <v>2.7856818539452578E-2</v>
      </c>
      <c r="K30" s="306">
        <f>+IF($H30=K$2,VLOOKUP($G30,Depreciation!$A$14:$L$18,9,FALSE)/2,IF($H30&lt;K$2,VLOOKUP($G30,Depreciation!$A$14:$L$18,9,FALSE),0))</f>
        <v>2.7856818539452578E-2</v>
      </c>
      <c r="L30" s="306">
        <f>+IF($H30=L$2,VLOOKUP($G30,Depreciation!$A$14:$L$18,10,FALSE)/2,IF($H30&lt;L$2,VLOOKUP($G30,Depreciation!$A$14:$L$18,10,FALSE),0))</f>
        <v>2.7856818539452578E-2</v>
      </c>
      <c r="M30" s="306">
        <f>+IF($H30=M$2,VLOOKUP($G30,Depreciation!$A$14:$L$18,11,FALSE)/2,IF($H30&lt;M$2,VLOOKUP($G30,Depreciation!$A$14:$L$18,11,FALSE),0))</f>
        <v>2.7856818539452578E-2</v>
      </c>
      <c r="N30" s="306">
        <f>+IF($H30=N$2,VLOOKUP($G30,Depreciation!$A$14:$L$18,12,FALSE)/2,IF($H30&lt;N$2,VLOOKUP($G30,Depreciation!$A$14:$L$18,12,FALSE),0))</f>
        <v>2.7856818539452578E-2</v>
      </c>
      <c r="O30" s="307">
        <f t="shared" si="1"/>
        <v>15257009.334186651</v>
      </c>
      <c r="P30" s="732">
        <f>'Func Future Subs 2015'!P30</f>
        <v>0.9759174311926605</v>
      </c>
      <c r="Q30" s="732">
        <f>'Func Future Subs 2015'!Q30</f>
        <v>2.4082568807339451E-2</v>
      </c>
      <c r="R30" s="732">
        <f>'Func Future Subs 2015'!R30</f>
        <v>4.8572257327350599E-17</v>
      </c>
      <c r="S30" s="735">
        <f t="shared" si="2"/>
        <v>14889581.35710188</v>
      </c>
      <c r="T30" s="735">
        <f t="shared" si="3"/>
        <v>367427.97708477027</v>
      </c>
      <c r="U30" s="735">
        <f t="shared" si="4"/>
        <v>7.4106738342590408E-10</v>
      </c>
      <c r="V30" s="736">
        <f t="shared" si="5"/>
        <v>0</v>
      </c>
      <c r="W30" s="735">
        <f t="shared" si="6"/>
        <v>14889581.35710188</v>
      </c>
      <c r="X30" s="737">
        <f t="shared" si="7"/>
        <v>0</v>
      </c>
      <c r="Y30" s="738">
        <f t="shared" si="8"/>
        <v>367427.97708477103</v>
      </c>
    </row>
    <row r="31" spans="1:25">
      <c r="A31" s="754" t="str">
        <f>'Func Future Subs 2015'!A31</f>
        <v>Janet 74S</v>
      </c>
      <c r="B31" s="754">
        <f>'Func Future Subs 2015'!B31</f>
        <v>719</v>
      </c>
      <c r="C31" s="754">
        <f>'Func Future Subs 2015'!C31</f>
        <v>240</v>
      </c>
      <c r="D31" s="754">
        <f>'Func Future Subs 2015'!D31</f>
        <v>138</v>
      </c>
      <c r="E31" s="754" t="str">
        <f>'Func Future Subs 2015'!E31</f>
        <v>74S</v>
      </c>
      <c r="F31" s="754">
        <f>'Func Future Subs 2015'!F31</f>
        <v>1242846.8878267198</v>
      </c>
      <c r="G31" s="754" t="str">
        <f>'Func Future Subs 2015'!G31</f>
        <v>AltaLink</v>
      </c>
      <c r="H31" s="754">
        <f>'Func Future Subs 2015'!H31</f>
        <v>2015</v>
      </c>
      <c r="I31" s="306">
        <f>+IF($H31=I$2,VLOOKUP($G31,Depreciation!$A$14:$L$18,7,FALSE)/2,IF($H31&lt;I$2,VLOOKUP($G31,Depreciation!$A$14:$L$18,7,FALSE),0))</f>
        <v>1.7228380322441735E-2</v>
      </c>
      <c r="J31" s="306">
        <f>+IF($H31=J$2,VLOOKUP($G31,Depreciation!$A$14:$L$18,8,FALSE)/2,IF($H31&lt;J$2,VLOOKUP($G31,Depreciation!$A$14:$L$18,8,FALSE),0))</f>
        <v>3.343407856743718E-2</v>
      </c>
      <c r="K31" s="306">
        <f>+IF($H31=K$2,VLOOKUP($G31,Depreciation!$A$14:$L$18,9,FALSE)/2,IF($H31&lt;K$2,VLOOKUP($G31,Depreciation!$A$14:$L$18,9,FALSE),0))</f>
        <v>3.343407856743718E-2</v>
      </c>
      <c r="L31" s="306">
        <f>+IF($H31=L$2,VLOOKUP($G31,Depreciation!$A$14:$L$18,10,FALSE)/2,IF($H31&lt;L$2,VLOOKUP($G31,Depreciation!$A$14:$L$18,10,FALSE),0))</f>
        <v>3.343407856743718E-2</v>
      </c>
      <c r="M31" s="306">
        <f>+IF($H31=M$2,VLOOKUP($G31,Depreciation!$A$14:$L$18,11,FALSE)/2,IF($H31&lt;M$2,VLOOKUP($G31,Depreciation!$A$14:$L$18,11,FALSE),0))</f>
        <v>3.343407856743718E-2</v>
      </c>
      <c r="N31" s="306">
        <f>+IF($H31=N$2,VLOOKUP($G31,Depreciation!$A$14:$L$18,12,FALSE)/2,IF($H31&lt;N$2,VLOOKUP($G31,Depreciation!$A$14:$L$18,12,FALSE),0))</f>
        <v>3.343407856743718E-2</v>
      </c>
      <c r="O31" s="307">
        <f t="shared" si="1"/>
        <v>1066095.6017129561</v>
      </c>
      <c r="P31" s="732">
        <f>'Func Future Subs 2015'!P31</f>
        <v>0</v>
      </c>
      <c r="Q31" s="732">
        <f>'Func Future Subs 2015'!Q31</f>
        <v>0</v>
      </c>
      <c r="R31" s="732">
        <f>'Func Future Subs 2015'!R31</f>
        <v>1</v>
      </c>
      <c r="S31" s="735">
        <f t="shared" si="2"/>
        <v>0</v>
      </c>
      <c r="T31" s="735">
        <f t="shared" si="3"/>
        <v>0</v>
      </c>
      <c r="U31" s="735">
        <f t="shared" si="4"/>
        <v>1066095.6017129561</v>
      </c>
      <c r="V31" s="736">
        <f t="shared" si="5"/>
        <v>0</v>
      </c>
      <c r="W31" s="735">
        <f t="shared" si="6"/>
        <v>0</v>
      </c>
      <c r="X31" s="737">
        <f t="shared" si="7"/>
        <v>1066095.6017129561</v>
      </c>
      <c r="Y31" s="738">
        <f t="shared" si="8"/>
        <v>0</v>
      </c>
    </row>
    <row r="32" spans="1:25">
      <c r="A32" s="754" t="str">
        <f>'Func Future Subs 2015'!A32</f>
        <v>Langdon 102S substation</v>
      </c>
      <c r="B32" s="754">
        <f>'Func Future Subs 2015'!B32</f>
        <v>719</v>
      </c>
      <c r="C32" s="754">
        <f>'Func Future Subs 2015'!C32</f>
        <v>240</v>
      </c>
      <c r="D32" s="754">
        <f>'Func Future Subs 2015'!D32</f>
        <v>240</v>
      </c>
      <c r="E32" s="754" t="str">
        <f>'Func Future Subs 2015'!E32</f>
        <v>102S</v>
      </c>
      <c r="F32" s="754">
        <f>'Func Future Subs 2015'!F32</f>
        <v>11146.608859432465</v>
      </c>
      <c r="G32" s="754" t="str">
        <f>'Func Future Subs 2015'!G32</f>
        <v>AltaLink</v>
      </c>
      <c r="H32" s="754">
        <f>'Func Future Subs 2015'!H32</f>
        <v>2015</v>
      </c>
      <c r="I32" s="306">
        <f>+IF($H32=I$2,VLOOKUP($G32,Depreciation!$A$14:$L$18,7,FALSE)/2,IF($H32&lt;I$2,VLOOKUP($G32,Depreciation!$A$14:$L$18,7,FALSE),0))</f>
        <v>1.7228380322441735E-2</v>
      </c>
      <c r="J32" s="306">
        <f>+IF($H32=J$2,VLOOKUP($G32,Depreciation!$A$14:$L$18,8,FALSE)/2,IF($H32&lt;J$2,VLOOKUP($G32,Depreciation!$A$14:$L$18,8,FALSE),0))</f>
        <v>3.343407856743718E-2</v>
      </c>
      <c r="K32" s="306">
        <f>+IF($H32=K$2,VLOOKUP($G32,Depreciation!$A$14:$L$18,9,FALSE)/2,IF($H32&lt;K$2,VLOOKUP($G32,Depreciation!$A$14:$L$18,9,FALSE),0))</f>
        <v>3.343407856743718E-2</v>
      </c>
      <c r="L32" s="306">
        <f>+IF($H32=L$2,VLOOKUP($G32,Depreciation!$A$14:$L$18,10,FALSE)/2,IF($H32&lt;L$2,VLOOKUP($G32,Depreciation!$A$14:$L$18,10,FALSE),0))</f>
        <v>3.343407856743718E-2</v>
      </c>
      <c r="M32" s="306">
        <f>+IF($H32=M$2,VLOOKUP($G32,Depreciation!$A$14:$L$18,11,FALSE)/2,IF($H32&lt;M$2,VLOOKUP($G32,Depreciation!$A$14:$L$18,11,FALSE),0))</f>
        <v>3.343407856743718E-2</v>
      </c>
      <c r="N32" s="306">
        <f>+IF($H32=N$2,VLOOKUP($G32,Depreciation!$A$14:$L$18,12,FALSE)/2,IF($H32&lt;N$2,VLOOKUP($G32,Depreciation!$A$14:$L$18,12,FALSE),0))</f>
        <v>3.343407856743718E-2</v>
      </c>
      <c r="O32" s="307">
        <f t="shared" si="1"/>
        <v>9561.3955310579004</v>
      </c>
      <c r="P32" s="732">
        <f>'Func Future Subs 2015'!P32</f>
        <v>0</v>
      </c>
      <c r="Q32" s="732">
        <f>'Func Future Subs 2015'!Q32</f>
        <v>0</v>
      </c>
      <c r="R32" s="732">
        <f>'Func Future Subs 2015'!R32</f>
        <v>1</v>
      </c>
      <c r="S32" s="735">
        <f t="shared" si="2"/>
        <v>0</v>
      </c>
      <c r="T32" s="735">
        <f t="shared" si="3"/>
        <v>0</v>
      </c>
      <c r="U32" s="735">
        <f t="shared" si="4"/>
        <v>9561.3955310579004</v>
      </c>
      <c r="V32" s="736">
        <f t="shared" si="5"/>
        <v>0</v>
      </c>
      <c r="W32" s="735">
        <f t="shared" si="6"/>
        <v>9561.3955310579004</v>
      </c>
      <c r="X32" s="737">
        <f t="shared" si="7"/>
        <v>0</v>
      </c>
      <c r="Y32" s="738">
        <f t="shared" si="8"/>
        <v>0</v>
      </c>
    </row>
    <row r="33" spans="1:25">
      <c r="A33" s="754" t="str">
        <f>'Func Future Subs 2015'!A33</f>
        <v>Peigan 59S substation</v>
      </c>
      <c r="B33" s="754">
        <f>'Func Future Subs 2015'!B33</f>
        <v>719</v>
      </c>
      <c r="C33" s="754">
        <f>'Func Future Subs 2015'!C33</f>
        <v>240</v>
      </c>
      <c r="D33" s="754">
        <f>'Func Future Subs 2015'!D33</f>
        <v>138</v>
      </c>
      <c r="E33" s="754" t="str">
        <f>'Func Future Subs 2015'!E33</f>
        <v>59S</v>
      </c>
      <c r="F33" s="754">
        <f>'Func Future Subs 2015'!F33</f>
        <v>13933.26107429058</v>
      </c>
      <c r="G33" s="754" t="str">
        <f>'Func Future Subs 2015'!G33</f>
        <v>AltaLink</v>
      </c>
      <c r="H33" s="754">
        <f>'Func Future Subs 2015'!H33</f>
        <v>2015</v>
      </c>
      <c r="I33" s="306">
        <f>+IF($H33=I$2,VLOOKUP($G33,Depreciation!$A$14:$L$18,7,FALSE)/2,IF($H33&lt;I$2,VLOOKUP($G33,Depreciation!$A$14:$L$18,7,FALSE),0))</f>
        <v>1.7228380322441735E-2</v>
      </c>
      <c r="J33" s="306">
        <f>+IF($H33=J$2,VLOOKUP($G33,Depreciation!$A$14:$L$18,8,FALSE)/2,IF($H33&lt;J$2,VLOOKUP($G33,Depreciation!$A$14:$L$18,8,FALSE),0))</f>
        <v>3.343407856743718E-2</v>
      </c>
      <c r="K33" s="306">
        <f>+IF($H33=K$2,VLOOKUP($G33,Depreciation!$A$14:$L$18,9,FALSE)/2,IF($H33&lt;K$2,VLOOKUP($G33,Depreciation!$A$14:$L$18,9,FALSE),0))</f>
        <v>3.343407856743718E-2</v>
      </c>
      <c r="L33" s="306">
        <f>+IF($H33=L$2,VLOOKUP($G33,Depreciation!$A$14:$L$18,10,FALSE)/2,IF($H33&lt;L$2,VLOOKUP($G33,Depreciation!$A$14:$L$18,10,FALSE),0))</f>
        <v>3.343407856743718E-2</v>
      </c>
      <c r="M33" s="306">
        <f>+IF($H33=M$2,VLOOKUP($G33,Depreciation!$A$14:$L$18,11,FALSE)/2,IF($H33&lt;M$2,VLOOKUP($G33,Depreciation!$A$14:$L$18,11,FALSE),0))</f>
        <v>3.343407856743718E-2</v>
      </c>
      <c r="N33" s="306">
        <f>+IF($H33=N$2,VLOOKUP($G33,Depreciation!$A$14:$L$18,12,FALSE)/2,IF($H33&lt;N$2,VLOOKUP($G33,Depreciation!$A$14:$L$18,12,FALSE),0))</f>
        <v>3.343407856743718E-2</v>
      </c>
      <c r="O33" s="307">
        <f t="shared" si="1"/>
        <v>11951.744413822375</v>
      </c>
      <c r="P33" s="732">
        <f>'Func Future Subs 2015'!P33</f>
        <v>0</v>
      </c>
      <c r="Q33" s="732">
        <f>'Func Future Subs 2015'!Q33</f>
        <v>0</v>
      </c>
      <c r="R33" s="732">
        <f>'Func Future Subs 2015'!R33</f>
        <v>1</v>
      </c>
      <c r="S33" s="735">
        <f t="shared" si="2"/>
        <v>0</v>
      </c>
      <c r="T33" s="735">
        <f t="shared" si="3"/>
        <v>0</v>
      </c>
      <c r="U33" s="735">
        <f t="shared" si="4"/>
        <v>11951.744413822375</v>
      </c>
      <c r="V33" s="736">
        <f t="shared" si="5"/>
        <v>0</v>
      </c>
      <c r="W33" s="735">
        <f t="shared" si="6"/>
        <v>0</v>
      </c>
      <c r="X33" s="737">
        <f t="shared" si="7"/>
        <v>11951.744413822375</v>
      </c>
      <c r="Y33" s="738">
        <f t="shared" si="8"/>
        <v>0</v>
      </c>
    </row>
    <row r="34" spans="1:25">
      <c r="A34" s="754" t="str">
        <f>'Func Future Subs 2015'!A34</f>
        <v>S.42S</v>
      </c>
      <c r="B34" s="754">
        <f>'Func Future Subs 2015'!B34</f>
        <v>719</v>
      </c>
      <c r="C34" s="754">
        <f>'Func Future Subs 2015'!C34</f>
        <v>240</v>
      </c>
      <c r="D34" s="754">
        <f>'Func Future Subs 2015'!D34</f>
        <v>138</v>
      </c>
      <c r="E34" s="754" t="str">
        <f>'Func Future Subs 2015'!E34</f>
        <v>42S</v>
      </c>
      <c r="F34" s="754">
        <f>'Func Future Subs 2015'!F34</f>
        <v>128186.00188347333</v>
      </c>
      <c r="G34" s="754" t="str">
        <f>'Func Future Subs 2015'!G34</f>
        <v>AltaLink</v>
      </c>
      <c r="H34" s="754">
        <f>'Func Future Subs 2015'!H34</f>
        <v>2015</v>
      </c>
      <c r="I34" s="306">
        <f>+IF($H34=I$2,VLOOKUP($G34,Depreciation!$A$14:$L$18,7,FALSE)/2,IF($H34&lt;I$2,VLOOKUP($G34,Depreciation!$A$14:$L$18,7,FALSE),0))</f>
        <v>1.7228380322441735E-2</v>
      </c>
      <c r="J34" s="306">
        <f>+IF($H34=J$2,VLOOKUP($G34,Depreciation!$A$14:$L$18,8,FALSE)/2,IF($H34&lt;J$2,VLOOKUP($G34,Depreciation!$A$14:$L$18,8,FALSE),0))</f>
        <v>3.343407856743718E-2</v>
      </c>
      <c r="K34" s="306">
        <f>+IF($H34=K$2,VLOOKUP($G34,Depreciation!$A$14:$L$18,9,FALSE)/2,IF($H34&lt;K$2,VLOOKUP($G34,Depreciation!$A$14:$L$18,9,FALSE),0))</f>
        <v>3.343407856743718E-2</v>
      </c>
      <c r="L34" s="306">
        <f>+IF($H34=L$2,VLOOKUP($G34,Depreciation!$A$14:$L$18,10,FALSE)/2,IF($H34&lt;L$2,VLOOKUP($G34,Depreciation!$A$14:$L$18,10,FALSE),0))</f>
        <v>3.343407856743718E-2</v>
      </c>
      <c r="M34" s="306">
        <f>+IF($H34=M$2,VLOOKUP($G34,Depreciation!$A$14:$L$18,11,FALSE)/2,IF($H34&lt;M$2,VLOOKUP($G34,Depreciation!$A$14:$L$18,11,FALSE),0))</f>
        <v>3.343407856743718E-2</v>
      </c>
      <c r="N34" s="306">
        <f>+IF($H34=N$2,VLOOKUP($G34,Depreciation!$A$14:$L$18,12,FALSE)/2,IF($H34&lt;N$2,VLOOKUP($G34,Depreciation!$A$14:$L$18,12,FALSE),0))</f>
        <v>3.343407856743718E-2</v>
      </c>
      <c r="O34" s="307">
        <f t="shared" si="1"/>
        <v>109956.04860716584</v>
      </c>
      <c r="P34" s="732">
        <f>'Func Future Subs 2015'!P34</f>
        <v>0</v>
      </c>
      <c r="Q34" s="732">
        <f>'Func Future Subs 2015'!Q34</f>
        <v>0</v>
      </c>
      <c r="R34" s="732">
        <f>'Func Future Subs 2015'!R34</f>
        <v>1</v>
      </c>
      <c r="S34" s="735">
        <f t="shared" si="2"/>
        <v>0</v>
      </c>
      <c r="T34" s="735">
        <f t="shared" si="3"/>
        <v>0</v>
      </c>
      <c r="U34" s="735">
        <f t="shared" si="4"/>
        <v>109956.04860716584</v>
      </c>
      <c r="V34" s="736">
        <f t="shared" si="5"/>
        <v>0</v>
      </c>
      <c r="W34" s="735">
        <f t="shared" si="6"/>
        <v>0</v>
      </c>
      <c r="X34" s="737">
        <f t="shared" si="7"/>
        <v>109956.04860716584</v>
      </c>
      <c r="Y34" s="738">
        <f t="shared" si="8"/>
        <v>0</v>
      </c>
    </row>
    <row r="35" spans="1:25">
      <c r="A35" s="754" t="str">
        <f>'Func Future Subs 2015'!A35</f>
        <v>805S Jasper Sub</v>
      </c>
      <c r="B35" s="754">
        <f>'Func Future Subs 2015'!B35</f>
        <v>786</v>
      </c>
      <c r="C35" s="754">
        <f>'Func Future Subs 2015'!C35</f>
        <v>240</v>
      </c>
      <c r="D35" s="754">
        <f>'Func Future Subs 2015'!D35</f>
        <v>0</v>
      </c>
      <c r="E35" s="754" t="str">
        <f>'Func Future Subs 2015'!E35</f>
        <v>805S</v>
      </c>
      <c r="F35" s="754">
        <f>'Func Future Subs 2015'!F35</f>
        <v>977096.32405747706</v>
      </c>
      <c r="G35" s="754" t="str">
        <f>'Func Future Subs 2015'!G35</f>
        <v>EPCOR</v>
      </c>
      <c r="H35" s="754">
        <f>'Func Future Subs 2015'!H35</f>
        <v>2016</v>
      </c>
      <c r="I35" s="306">
        <f>+IF($H35=I$2,VLOOKUP($G35,Depreciation!$A$14:$L$18,7,FALSE)/2,IF($H35&lt;I$2,VLOOKUP($G35,Depreciation!$A$14:$L$18,7,FALSE),0))</f>
        <v>0</v>
      </c>
      <c r="J35" s="306">
        <f>+IF($H35=J$2,VLOOKUP($G35,Depreciation!$A$14:$L$18,8,FALSE)/2,IF($H35&lt;J$2,VLOOKUP($G35,Depreciation!$A$14:$L$18,8,FALSE),0))</f>
        <v>2.0800027799922457E-2</v>
      </c>
      <c r="K35" s="306">
        <f>+IF($H35=K$2,VLOOKUP($G35,Depreciation!$A$14:$L$18,9,FALSE)/2,IF($H35&lt;K$2,VLOOKUP($G35,Depreciation!$A$14:$L$18,9,FALSE),0))</f>
        <v>4.1145263498658789E-2</v>
      </c>
      <c r="L35" s="306">
        <f>+IF($H35=L$2,VLOOKUP($G35,Depreciation!$A$14:$L$18,10,FALSE)/2,IF($H35&lt;L$2,VLOOKUP($G35,Depreciation!$A$14:$L$18,10,FALSE),0))</f>
        <v>4.1145263498658789E-2</v>
      </c>
      <c r="M35" s="306">
        <f>+IF($H35=M$2,VLOOKUP($G35,Depreciation!$A$14:$L$18,11,FALSE)/2,IF($H35&lt;M$2,VLOOKUP($G35,Depreciation!$A$14:$L$18,11,FALSE),0))</f>
        <v>4.1145263498658789E-2</v>
      </c>
      <c r="N35" s="306">
        <f>+IF($H35=N$2,VLOOKUP($G35,Depreciation!$A$14:$L$18,12,FALSE)/2,IF($H35&lt;N$2,VLOOKUP($G35,Depreciation!$A$14:$L$18,12,FALSE),0))</f>
        <v>4.1145263498658789E-2</v>
      </c>
      <c r="O35" s="307">
        <f t="shared" si="1"/>
        <v>843465.30987187196</v>
      </c>
      <c r="P35" s="732">
        <f>'Func Future Subs 2015'!P35</f>
        <v>0</v>
      </c>
      <c r="Q35" s="732">
        <f>'Func Future Subs 2015'!Q35</f>
        <v>0</v>
      </c>
      <c r="R35" s="732">
        <f>'Func Future Subs 2015'!R35</f>
        <v>1</v>
      </c>
      <c r="S35" s="735">
        <f t="shared" si="2"/>
        <v>0</v>
      </c>
      <c r="T35" s="735">
        <f t="shared" si="3"/>
        <v>0</v>
      </c>
      <c r="U35" s="735">
        <f t="shared" si="4"/>
        <v>843465.30987187196</v>
      </c>
      <c r="V35" s="736">
        <f t="shared" si="5"/>
        <v>843465.30987187196</v>
      </c>
      <c r="W35" s="735">
        <f t="shared" si="6"/>
        <v>0</v>
      </c>
      <c r="X35" s="737">
        <f t="shared" si="7"/>
        <v>0</v>
      </c>
      <c r="Y35" s="738">
        <f t="shared" si="8"/>
        <v>0</v>
      </c>
    </row>
    <row r="36" spans="1:25">
      <c r="A36" s="754" t="str">
        <f>'Func Future Subs 2015'!A36</f>
        <v>816S Petrolia Sub</v>
      </c>
      <c r="B36" s="754">
        <f>'Func Future Subs 2015'!B36</f>
        <v>786</v>
      </c>
      <c r="C36" s="754">
        <f>'Func Future Subs 2015'!C36</f>
        <v>240</v>
      </c>
      <c r="D36" s="754">
        <f>'Func Future Subs 2015'!D36</f>
        <v>25</v>
      </c>
      <c r="E36" s="754" t="str">
        <f>'Func Future Subs 2015'!E36</f>
        <v>816S</v>
      </c>
      <c r="F36" s="754">
        <f>'Func Future Subs 2015'!F36</f>
        <v>1459886.8313876344</v>
      </c>
      <c r="G36" s="754" t="str">
        <f>'Func Future Subs 2015'!G36</f>
        <v>EPCOR</v>
      </c>
      <c r="H36" s="754">
        <f>'Func Future Subs 2015'!H36</f>
        <v>2016</v>
      </c>
      <c r="I36" s="306">
        <f>+IF($H36=I$2,VLOOKUP($G36,Depreciation!$A$14:$L$18,7,FALSE)/2,IF($H36&lt;I$2,VLOOKUP($G36,Depreciation!$A$14:$L$18,7,FALSE),0))</f>
        <v>0</v>
      </c>
      <c r="J36" s="306">
        <f>+IF($H36=J$2,VLOOKUP($G36,Depreciation!$A$14:$L$18,8,FALSE)/2,IF($H36&lt;J$2,VLOOKUP($G36,Depreciation!$A$14:$L$18,8,FALSE),0))</f>
        <v>2.0800027799922457E-2</v>
      </c>
      <c r="K36" s="306">
        <f>+IF($H36=K$2,VLOOKUP($G36,Depreciation!$A$14:$L$18,9,FALSE)/2,IF($H36&lt;K$2,VLOOKUP($G36,Depreciation!$A$14:$L$18,9,FALSE),0))</f>
        <v>4.1145263498658789E-2</v>
      </c>
      <c r="L36" s="306">
        <f>+IF($H36=L$2,VLOOKUP($G36,Depreciation!$A$14:$L$18,10,FALSE)/2,IF($H36&lt;L$2,VLOOKUP($G36,Depreciation!$A$14:$L$18,10,FALSE),0))</f>
        <v>4.1145263498658789E-2</v>
      </c>
      <c r="M36" s="306">
        <f>+IF($H36=M$2,VLOOKUP($G36,Depreciation!$A$14:$L$18,11,FALSE)/2,IF($H36&lt;M$2,VLOOKUP($G36,Depreciation!$A$14:$L$18,11,FALSE),0))</f>
        <v>4.1145263498658789E-2</v>
      </c>
      <c r="N36" s="306">
        <f>+IF($H36=N$2,VLOOKUP($G36,Depreciation!$A$14:$L$18,12,FALSE)/2,IF($H36&lt;N$2,VLOOKUP($G36,Depreciation!$A$14:$L$18,12,FALSE),0))</f>
        <v>4.1145263498658789E-2</v>
      </c>
      <c r="O36" s="307">
        <f t="shared" si="1"/>
        <v>1260227.7465346418</v>
      </c>
      <c r="P36" s="732">
        <f>'Func Future Subs 2015'!P36</f>
        <v>0</v>
      </c>
      <c r="Q36" s="732">
        <f>'Func Future Subs 2015'!Q36</f>
        <v>0</v>
      </c>
      <c r="R36" s="732">
        <f>'Func Future Subs 2015'!R36</f>
        <v>1</v>
      </c>
      <c r="S36" s="735">
        <f t="shared" si="2"/>
        <v>0</v>
      </c>
      <c r="T36" s="735">
        <f t="shared" si="3"/>
        <v>0</v>
      </c>
      <c r="U36" s="735">
        <f t="shared" si="4"/>
        <v>1260227.7465346418</v>
      </c>
      <c r="V36" s="736">
        <f t="shared" si="5"/>
        <v>0</v>
      </c>
      <c r="W36" s="735">
        <f t="shared" si="6"/>
        <v>0</v>
      </c>
      <c r="X36" s="737">
        <f t="shared" si="7"/>
        <v>0</v>
      </c>
      <c r="Y36" s="738">
        <f t="shared" si="8"/>
        <v>1260227.7465346418</v>
      </c>
    </row>
    <row r="37" spans="1:25">
      <c r="A37" s="754" t="str">
        <f>'Func Future Subs 2015'!A37</f>
        <v>Bellamy 814S</v>
      </c>
      <c r="B37" s="754">
        <f>'Func Future Subs 2015'!B37</f>
        <v>786</v>
      </c>
      <c r="C37" s="754">
        <f>'Func Future Subs 2015'!C37</f>
        <v>240</v>
      </c>
      <c r="D37" s="754">
        <f>'Func Future Subs 2015'!D37</f>
        <v>0</v>
      </c>
      <c r="E37" s="754" t="str">
        <f>'Func Future Subs 2015'!E37</f>
        <v>814S</v>
      </c>
      <c r="F37" s="754">
        <f>'Func Future Subs 2015'!F37</f>
        <v>700514.65499403654</v>
      </c>
      <c r="G37" s="754" t="str">
        <f>'Func Future Subs 2015'!G37</f>
        <v>EPCOR</v>
      </c>
      <c r="H37" s="754">
        <f>'Func Future Subs 2015'!H37</f>
        <v>2016</v>
      </c>
      <c r="I37" s="306">
        <f>+IF($H37=I$2,VLOOKUP($G37,Depreciation!$A$14:$L$18,7,FALSE)/2,IF($H37&lt;I$2,VLOOKUP($G37,Depreciation!$A$14:$L$18,7,FALSE),0))</f>
        <v>0</v>
      </c>
      <c r="J37" s="306">
        <f>+IF($H37=J$2,VLOOKUP($G37,Depreciation!$A$14:$L$18,8,FALSE)/2,IF($H37&lt;J$2,VLOOKUP($G37,Depreciation!$A$14:$L$18,8,FALSE),0))</f>
        <v>2.0800027799922457E-2</v>
      </c>
      <c r="K37" s="306">
        <f>+IF($H37=K$2,VLOOKUP($G37,Depreciation!$A$14:$L$18,9,FALSE)/2,IF($H37&lt;K$2,VLOOKUP($G37,Depreciation!$A$14:$L$18,9,FALSE),0))</f>
        <v>4.1145263498658789E-2</v>
      </c>
      <c r="L37" s="306">
        <f>+IF($H37=L$2,VLOOKUP($G37,Depreciation!$A$14:$L$18,10,FALSE)/2,IF($H37&lt;L$2,VLOOKUP($G37,Depreciation!$A$14:$L$18,10,FALSE),0))</f>
        <v>4.1145263498658789E-2</v>
      </c>
      <c r="M37" s="306">
        <f>+IF($H37=M$2,VLOOKUP($G37,Depreciation!$A$14:$L$18,11,FALSE)/2,IF($H37&lt;M$2,VLOOKUP($G37,Depreciation!$A$14:$L$18,11,FALSE),0))</f>
        <v>4.1145263498658789E-2</v>
      </c>
      <c r="N37" s="306">
        <f>+IF($H37=N$2,VLOOKUP($G37,Depreciation!$A$14:$L$18,12,FALSE)/2,IF($H37&lt;N$2,VLOOKUP($G37,Depreciation!$A$14:$L$18,12,FALSE),0))</f>
        <v>4.1145263498658789E-2</v>
      </c>
      <c r="O37" s="307">
        <f t="shared" si="1"/>
        <v>604709.88990188402</v>
      </c>
      <c r="P37" s="732">
        <f>'Func Future Subs 2015'!P37</f>
        <v>0</v>
      </c>
      <c r="Q37" s="732">
        <f>'Func Future Subs 2015'!Q37</f>
        <v>0</v>
      </c>
      <c r="R37" s="732">
        <f>'Func Future Subs 2015'!R37</f>
        <v>1</v>
      </c>
      <c r="S37" s="735">
        <f t="shared" si="2"/>
        <v>0</v>
      </c>
      <c r="T37" s="735">
        <f t="shared" si="3"/>
        <v>0</v>
      </c>
      <c r="U37" s="735">
        <f t="shared" si="4"/>
        <v>604709.88990188402</v>
      </c>
      <c r="V37" s="736">
        <f t="shared" si="5"/>
        <v>604709.88990188402</v>
      </c>
      <c r="W37" s="735">
        <f t="shared" si="6"/>
        <v>0</v>
      </c>
      <c r="X37" s="737">
        <f t="shared" si="7"/>
        <v>0</v>
      </c>
      <c r="Y37" s="738">
        <f t="shared" si="8"/>
        <v>0</v>
      </c>
    </row>
    <row r="38" spans="1:25">
      <c r="A38" s="754" t="str">
        <f>'Func Future Subs 2015'!A38</f>
        <v>Dome 665S</v>
      </c>
      <c r="B38" s="754">
        <f>'Func Future Subs 2015'!B38</f>
        <v>786</v>
      </c>
      <c r="C38" s="754">
        <f>'Func Future Subs 2015'!C38</f>
        <v>240</v>
      </c>
      <c r="D38" s="754">
        <f>'Func Future Subs 2015'!D38</f>
        <v>0</v>
      </c>
      <c r="E38" s="754" t="str">
        <f>'Func Future Subs 2015'!E38</f>
        <v>665S</v>
      </c>
      <c r="F38" s="754">
        <f>'Func Future Subs 2015'!F38</f>
        <v>616310.21693290537</v>
      </c>
      <c r="G38" s="754" t="str">
        <f>'Func Future Subs 2015'!G38</f>
        <v>EPCOR</v>
      </c>
      <c r="H38" s="754">
        <f>'Func Future Subs 2015'!H38</f>
        <v>2016</v>
      </c>
      <c r="I38" s="306">
        <f>+IF($H38=I$2,VLOOKUP($G38,Depreciation!$A$14:$L$18,7,FALSE)/2,IF($H38&lt;I$2,VLOOKUP($G38,Depreciation!$A$14:$L$18,7,FALSE),0))</f>
        <v>0</v>
      </c>
      <c r="J38" s="306">
        <f>+IF($H38=J$2,VLOOKUP($G38,Depreciation!$A$14:$L$18,8,FALSE)/2,IF($H38&lt;J$2,VLOOKUP($G38,Depreciation!$A$14:$L$18,8,FALSE),0))</f>
        <v>2.0800027799922457E-2</v>
      </c>
      <c r="K38" s="306">
        <f>+IF($H38=K$2,VLOOKUP($G38,Depreciation!$A$14:$L$18,9,FALSE)/2,IF($H38&lt;K$2,VLOOKUP($G38,Depreciation!$A$14:$L$18,9,FALSE),0))</f>
        <v>4.1145263498658789E-2</v>
      </c>
      <c r="L38" s="306">
        <f>+IF($H38=L$2,VLOOKUP($G38,Depreciation!$A$14:$L$18,10,FALSE)/2,IF($H38&lt;L$2,VLOOKUP($G38,Depreciation!$A$14:$L$18,10,FALSE),0))</f>
        <v>4.1145263498658789E-2</v>
      </c>
      <c r="M38" s="306">
        <f>+IF($H38=M$2,VLOOKUP($G38,Depreciation!$A$14:$L$18,11,FALSE)/2,IF($H38&lt;M$2,VLOOKUP($G38,Depreciation!$A$14:$L$18,11,FALSE),0))</f>
        <v>4.1145263498658789E-2</v>
      </c>
      <c r="N38" s="306">
        <f>+IF($H38=N$2,VLOOKUP($G38,Depreciation!$A$14:$L$18,12,FALSE)/2,IF($H38&lt;N$2,VLOOKUP($G38,Depreciation!$A$14:$L$18,12,FALSE),0))</f>
        <v>4.1145263498658789E-2</v>
      </c>
      <c r="O38" s="307">
        <f t="shared" si="1"/>
        <v>532021.53697994526</v>
      </c>
      <c r="P38" s="732">
        <f>'Func Future Subs 2015'!P38</f>
        <v>0</v>
      </c>
      <c r="Q38" s="732">
        <f>'Func Future Subs 2015'!Q38</f>
        <v>0</v>
      </c>
      <c r="R38" s="732">
        <f>'Func Future Subs 2015'!R38</f>
        <v>1</v>
      </c>
      <c r="S38" s="735">
        <f t="shared" si="2"/>
        <v>0</v>
      </c>
      <c r="T38" s="735">
        <f t="shared" si="3"/>
        <v>0</v>
      </c>
      <c r="U38" s="735">
        <f t="shared" si="4"/>
        <v>532021.53697994526</v>
      </c>
      <c r="V38" s="736">
        <f t="shared" si="5"/>
        <v>532021.53697994526</v>
      </c>
      <c r="W38" s="735">
        <f t="shared" si="6"/>
        <v>0</v>
      </c>
      <c r="X38" s="737">
        <f t="shared" si="7"/>
        <v>0</v>
      </c>
      <c r="Y38" s="738">
        <f t="shared" si="8"/>
        <v>0</v>
      </c>
    </row>
    <row r="39" spans="1:25">
      <c r="A39" s="754" t="str">
        <f>'Func Future Subs 2015'!A39</f>
        <v>Genesee 330P</v>
      </c>
      <c r="B39" s="754">
        <f>'Func Future Subs 2015'!B39</f>
        <v>786</v>
      </c>
      <c r="C39" s="754">
        <f>'Func Future Subs 2015'!C39</f>
        <v>500</v>
      </c>
      <c r="D39" s="754">
        <f>'Func Future Subs 2015'!D39</f>
        <v>240</v>
      </c>
      <c r="E39" s="754" t="str">
        <f>'Func Future Subs 2015'!E39</f>
        <v>330P</v>
      </c>
      <c r="F39" s="754">
        <f>'Func Future Subs 2015'!F39</f>
        <v>112557.4943276488</v>
      </c>
      <c r="G39" s="754" t="str">
        <f>'Func Future Subs 2015'!G39</f>
        <v>EPCOR</v>
      </c>
      <c r="H39" s="754">
        <f>'Func Future Subs 2015'!H39</f>
        <v>2016</v>
      </c>
      <c r="I39" s="306">
        <f>+IF($H39=I$2,VLOOKUP($G39,Depreciation!$A$14:$L$18,7,FALSE)/2,IF($H39&lt;I$2,VLOOKUP($G39,Depreciation!$A$14:$L$18,7,FALSE),0))</f>
        <v>0</v>
      </c>
      <c r="J39" s="306">
        <f>+IF($H39=J$2,VLOOKUP($G39,Depreciation!$A$14:$L$18,8,FALSE)/2,IF($H39&lt;J$2,VLOOKUP($G39,Depreciation!$A$14:$L$18,8,FALSE),0))</f>
        <v>2.0800027799922457E-2</v>
      </c>
      <c r="K39" s="306">
        <f>+IF($H39=K$2,VLOOKUP($G39,Depreciation!$A$14:$L$18,9,FALSE)/2,IF($H39&lt;K$2,VLOOKUP($G39,Depreciation!$A$14:$L$18,9,FALSE),0))</f>
        <v>4.1145263498658789E-2</v>
      </c>
      <c r="L39" s="306">
        <f>+IF($H39=L$2,VLOOKUP($G39,Depreciation!$A$14:$L$18,10,FALSE)/2,IF($H39&lt;L$2,VLOOKUP($G39,Depreciation!$A$14:$L$18,10,FALSE),0))</f>
        <v>4.1145263498658789E-2</v>
      </c>
      <c r="M39" s="306">
        <f>+IF($H39=M$2,VLOOKUP($G39,Depreciation!$A$14:$L$18,11,FALSE)/2,IF($H39&lt;M$2,VLOOKUP($G39,Depreciation!$A$14:$L$18,11,FALSE),0))</f>
        <v>4.1145263498658789E-2</v>
      </c>
      <c r="N39" s="306">
        <f>+IF($H39=N$2,VLOOKUP($G39,Depreciation!$A$14:$L$18,12,FALSE)/2,IF($H39&lt;N$2,VLOOKUP($G39,Depreciation!$A$14:$L$18,12,FALSE),0))</f>
        <v>4.1145263498658789E-2</v>
      </c>
      <c r="O39" s="307">
        <f t="shared" si="1"/>
        <v>97163.74884845753</v>
      </c>
      <c r="P39" s="732">
        <f>'Func Future Subs 2015'!P39</f>
        <v>0</v>
      </c>
      <c r="Q39" s="732">
        <f>'Func Future Subs 2015'!Q39</f>
        <v>0</v>
      </c>
      <c r="R39" s="732">
        <f>'Func Future Subs 2015'!R39</f>
        <v>1</v>
      </c>
      <c r="S39" s="735">
        <f t="shared" si="2"/>
        <v>0</v>
      </c>
      <c r="T39" s="735">
        <f t="shared" si="3"/>
        <v>0</v>
      </c>
      <c r="U39" s="735">
        <f t="shared" si="4"/>
        <v>97163.74884845753</v>
      </c>
      <c r="V39" s="736">
        <f t="shared" si="5"/>
        <v>0</v>
      </c>
      <c r="W39" s="735">
        <f t="shared" si="6"/>
        <v>97163.74884845753</v>
      </c>
      <c r="X39" s="737">
        <f t="shared" si="7"/>
        <v>0</v>
      </c>
      <c r="Y39" s="738">
        <f t="shared" si="8"/>
        <v>0</v>
      </c>
    </row>
    <row r="40" spans="1:25">
      <c r="A40" s="754" t="str">
        <f>'Func Future Subs 2015'!A40</f>
        <v>Keephills 320P</v>
      </c>
      <c r="B40" s="754">
        <f>'Func Future Subs 2015'!B40</f>
        <v>786</v>
      </c>
      <c r="C40" s="754">
        <f>'Func Future Subs 2015'!C40</f>
        <v>240</v>
      </c>
      <c r="D40" s="754">
        <f>'Func Future Subs 2015'!D40</f>
        <v>25</v>
      </c>
      <c r="E40" s="754" t="str">
        <f>'Func Future Subs 2015'!E40</f>
        <v>320P</v>
      </c>
      <c r="F40" s="754">
        <f>'Func Future Subs 2015'!F40</f>
        <v>5431229.6126103988</v>
      </c>
      <c r="G40" s="754" t="str">
        <f>'Func Future Subs 2015'!G40</f>
        <v>AltaLink</v>
      </c>
      <c r="H40" s="754">
        <f>'Func Future Subs 2015'!H40</f>
        <v>2016</v>
      </c>
      <c r="I40" s="306">
        <f>+IF($H40=I$2,VLOOKUP($G40,Depreciation!$A$14:$L$18,7,FALSE)/2,IF($H40&lt;I$2,VLOOKUP($G40,Depreciation!$A$14:$L$18,7,FALSE),0))</f>
        <v>0</v>
      </c>
      <c r="J40" s="306">
        <f>+IF($H40=J$2,VLOOKUP($G40,Depreciation!$A$14:$L$18,8,FALSE)/2,IF($H40&lt;J$2,VLOOKUP($G40,Depreciation!$A$14:$L$18,8,FALSE),0))</f>
        <v>1.671703928371859E-2</v>
      </c>
      <c r="K40" s="306">
        <f>+IF($H40=K$2,VLOOKUP($G40,Depreciation!$A$14:$L$18,9,FALSE)/2,IF($H40&lt;K$2,VLOOKUP($G40,Depreciation!$A$14:$L$18,9,FALSE),0))</f>
        <v>3.343407856743718E-2</v>
      </c>
      <c r="L40" s="306">
        <f>+IF($H40=L$2,VLOOKUP($G40,Depreciation!$A$14:$L$18,10,FALSE)/2,IF($H40&lt;L$2,VLOOKUP($G40,Depreciation!$A$14:$L$18,10,FALSE),0))</f>
        <v>3.343407856743718E-2</v>
      </c>
      <c r="M40" s="306">
        <f>+IF($H40=M$2,VLOOKUP($G40,Depreciation!$A$14:$L$18,11,FALSE)/2,IF($H40&lt;M$2,VLOOKUP($G40,Depreciation!$A$14:$L$18,11,FALSE),0))</f>
        <v>3.343407856743718E-2</v>
      </c>
      <c r="N40" s="306">
        <f>+IF($H40=N$2,VLOOKUP($G40,Depreciation!$A$14:$L$18,12,FALSE)/2,IF($H40&lt;N$2,VLOOKUP($G40,Depreciation!$A$14:$L$18,12,FALSE),0))</f>
        <v>3.343407856743718E-2</v>
      </c>
      <c r="O40" s="307">
        <f t="shared" si="1"/>
        <v>4822487.5364805507</v>
      </c>
      <c r="P40" s="732">
        <f>'Func Future Subs 2015'!P40</f>
        <v>0.96203522504892369</v>
      </c>
      <c r="Q40" s="732">
        <f>'Func Future Subs 2015'!Q40</f>
        <v>3.7964774951076322E-2</v>
      </c>
      <c r="R40" s="732">
        <f>'Func Future Subs 2015'!R40</f>
        <v>0</v>
      </c>
      <c r="S40" s="735">
        <f t="shared" si="2"/>
        <v>4639402.8824536959</v>
      </c>
      <c r="T40" s="735">
        <f t="shared" si="3"/>
        <v>183084.65402685458</v>
      </c>
      <c r="U40" s="735">
        <f t="shared" si="4"/>
        <v>0</v>
      </c>
      <c r="V40" s="736">
        <f t="shared" si="5"/>
        <v>0</v>
      </c>
      <c r="W40" s="735">
        <f t="shared" si="6"/>
        <v>4639402.8824536959</v>
      </c>
      <c r="X40" s="737">
        <f t="shared" si="7"/>
        <v>0</v>
      </c>
      <c r="Y40" s="738">
        <f t="shared" si="8"/>
        <v>183084.65402685458</v>
      </c>
    </row>
    <row r="41" spans="1:25">
      <c r="A41" s="754" t="str">
        <f>'Func Future Subs 2015'!A41</f>
        <v>lambton E803S</v>
      </c>
      <c r="B41" s="754">
        <f>'Func Future Subs 2015'!B41</f>
        <v>786</v>
      </c>
      <c r="C41" s="754">
        <f>'Func Future Subs 2015'!C41</f>
        <v>240</v>
      </c>
      <c r="D41" s="754">
        <f>'Func Future Subs 2015'!D41</f>
        <v>25</v>
      </c>
      <c r="E41" s="754" t="str">
        <f>'Func Future Subs 2015'!E41</f>
        <v>803S</v>
      </c>
      <c r="F41" s="754">
        <f>'Func Future Subs 2015'!F41</f>
        <v>681829.47830029717</v>
      </c>
      <c r="G41" s="754" t="str">
        <f>'Func Future Subs 2015'!G41</f>
        <v>EPCOR</v>
      </c>
      <c r="H41" s="754">
        <f>'Func Future Subs 2015'!H41</f>
        <v>2016</v>
      </c>
      <c r="I41" s="306">
        <f>+IF($H41=I$2,VLOOKUP($G41,Depreciation!$A$14:$L$18,7,FALSE)/2,IF($H41&lt;I$2,VLOOKUP($G41,Depreciation!$A$14:$L$18,7,FALSE),0))</f>
        <v>0</v>
      </c>
      <c r="J41" s="306">
        <f>+IF($H41=J$2,VLOOKUP($G41,Depreciation!$A$14:$L$18,8,FALSE)/2,IF($H41&lt;J$2,VLOOKUP($G41,Depreciation!$A$14:$L$18,8,FALSE),0))</f>
        <v>2.0800027799922457E-2</v>
      </c>
      <c r="K41" s="306">
        <f>+IF($H41=K$2,VLOOKUP($G41,Depreciation!$A$14:$L$18,9,FALSE)/2,IF($H41&lt;K$2,VLOOKUP($G41,Depreciation!$A$14:$L$18,9,FALSE),0))</f>
        <v>4.1145263498658789E-2</v>
      </c>
      <c r="L41" s="306">
        <f>+IF($H41=L$2,VLOOKUP($G41,Depreciation!$A$14:$L$18,10,FALSE)/2,IF($H41&lt;L$2,VLOOKUP($G41,Depreciation!$A$14:$L$18,10,FALSE),0))</f>
        <v>4.1145263498658789E-2</v>
      </c>
      <c r="M41" s="306">
        <f>+IF($H41=M$2,VLOOKUP($G41,Depreciation!$A$14:$L$18,11,FALSE)/2,IF($H41&lt;M$2,VLOOKUP($G41,Depreciation!$A$14:$L$18,11,FALSE),0))</f>
        <v>4.1145263498658789E-2</v>
      </c>
      <c r="N41" s="306">
        <f>+IF($H41=N$2,VLOOKUP($G41,Depreciation!$A$14:$L$18,12,FALSE)/2,IF($H41&lt;N$2,VLOOKUP($G41,Depreciation!$A$14:$L$18,12,FALSE),0))</f>
        <v>4.1145263498658789E-2</v>
      </c>
      <c r="O41" s="307">
        <f t="shared" si="1"/>
        <v>588580.16147905099</v>
      </c>
      <c r="P41" s="732">
        <f>'Func Future Subs 2015'!P41</f>
        <v>0</v>
      </c>
      <c r="Q41" s="732">
        <f>'Func Future Subs 2015'!Q41</f>
        <v>1</v>
      </c>
      <c r="R41" s="732">
        <f>'Func Future Subs 2015'!R41</f>
        <v>0</v>
      </c>
      <c r="S41" s="735">
        <f t="shared" si="2"/>
        <v>0</v>
      </c>
      <c r="T41" s="735">
        <f t="shared" si="3"/>
        <v>588580.16147905099</v>
      </c>
      <c r="U41" s="735">
        <f t="shared" si="4"/>
        <v>0</v>
      </c>
      <c r="V41" s="736">
        <f t="shared" si="5"/>
        <v>0</v>
      </c>
      <c r="W41" s="735">
        <f t="shared" si="6"/>
        <v>0</v>
      </c>
      <c r="X41" s="737">
        <f t="shared" si="7"/>
        <v>0</v>
      </c>
      <c r="Y41" s="738">
        <f t="shared" si="8"/>
        <v>588580.16147905099</v>
      </c>
    </row>
    <row r="42" spans="1:25">
      <c r="A42" s="754" t="str">
        <f>'Func Future Subs 2015'!A42</f>
        <v>Livock PST</v>
      </c>
      <c r="B42" s="754">
        <f>'Func Future Subs 2015'!B42</f>
        <v>786</v>
      </c>
      <c r="C42" s="754">
        <f>'Func Future Subs 2015'!C42</f>
        <v>240</v>
      </c>
      <c r="D42" s="754">
        <f>'Func Future Subs 2015'!D42</f>
        <v>0</v>
      </c>
      <c r="E42" s="754">
        <f>'Func Future Subs 2015'!E42</f>
        <v>0</v>
      </c>
      <c r="F42" s="754">
        <f>'Func Future Subs 2015'!F42</f>
        <v>31168613.741793498</v>
      </c>
      <c r="G42" s="754" t="str">
        <f>'Func Future Subs 2015'!G42</f>
        <v>ATCO</v>
      </c>
      <c r="H42" s="754">
        <f>'Func Future Subs 2015'!H42</f>
        <v>2016</v>
      </c>
      <c r="I42" s="306">
        <f>+IF($H42=I$2,VLOOKUP($G42,Depreciation!$A$14:$L$18,7,FALSE)/2,IF($H42&lt;I$2,VLOOKUP($G42,Depreciation!$A$14:$L$18,7,FALSE),0))</f>
        <v>0</v>
      </c>
      <c r="J42" s="306">
        <f>+IF($H42=J$2,VLOOKUP($G42,Depreciation!$A$14:$L$18,8,FALSE)/2,IF($H42&lt;J$2,VLOOKUP($G42,Depreciation!$A$14:$L$18,8,FALSE),0))</f>
        <v>1.231622525054236E-2</v>
      </c>
      <c r="K42" s="306">
        <f>+IF($H42=K$2,VLOOKUP($G42,Depreciation!$A$14:$L$18,9,FALSE)/2,IF($H42&lt;K$2,VLOOKUP($G42,Depreciation!$A$14:$L$18,9,FALSE),0))</f>
        <v>2.4351536427798831E-2</v>
      </c>
      <c r="L42" s="306">
        <f>+IF($H42=L$2,VLOOKUP($G42,Depreciation!$A$14:$L$18,10,FALSE)/2,IF($H42&lt;L$2,VLOOKUP($G42,Depreciation!$A$14:$L$18,10,FALSE),0))</f>
        <v>2.4351536427798831E-2</v>
      </c>
      <c r="M42" s="306">
        <f>+IF($H42=M$2,VLOOKUP($G42,Depreciation!$A$14:$L$18,11,FALSE)/2,IF($H42&lt;M$2,VLOOKUP($G42,Depreciation!$A$14:$L$18,11,FALSE),0))</f>
        <v>2.4351536427798831E-2</v>
      </c>
      <c r="N42" s="306">
        <f>+IF($H42=N$2,VLOOKUP($G42,Depreciation!$A$14:$L$18,12,FALSE)/2,IF($H42&lt;N$2,VLOOKUP($G42,Depreciation!$A$14:$L$18,12,FALSE),0))</f>
        <v>2.4351536427798831E-2</v>
      </c>
      <c r="O42" s="307">
        <f t="shared" si="1"/>
        <v>28590088.605766952</v>
      </c>
      <c r="P42" s="732">
        <f>'Func Future Subs 2015'!P42</f>
        <v>0</v>
      </c>
      <c r="Q42" s="732">
        <f>'Func Future Subs 2015'!Q42</f>
        <v>0</v>
      </c>
      <c r="R42" s="732">
        <f>'Func Future Subs 2015'!R42</f>
        <v>1</v>
      </c>
      <c r="S42" s="735">
        <f t="shared" si="2"/>
        <v>0</v>
      </c>
      <c r="T42" s="735">
        <f t="shared" si="3"/>
        <v>0</v>
      </c>
      <c r="U42" s="735">
        <f t="shared" si="4"/>
        <v>28590088.605766952</v>
      </c>
      <c r="V42" s="736">
        <f t="shared" si="5"/>
        <v>28590088.605766952</v>
      </c>
      <c r="W42" s="735">
        <f t="shared" si="6"/>
        <v>0</v>
      </c>
      <c r="X42" s="737">
        <f t="shared" si="7"/>
        <v>0</v>
      </c>
      <c r="Y42" s="738">
        <f t="shared" si="8"/>
        <v>0</v>
      </c>
    </row>
    <row r="43" spans="1:25">
      <c r="A43" s="754" t="str">
        <f>'Func Future Subs 2015'!A43</f>
        <v>Sundance 310P</v>
      </c>
      <c r="B43" s="754">
        <f>'Func Future Subs 2015'!B43</f>
        <v>786</v>
      </c>
      <c r="C43" s="754">
        <f>'Func Future Subs 2015'!C43</f>
        <v>240</v>
      </c>
      <c r="D43" s="754">
        <f>'Func Future Subs 2015'!D43</f>
        <v>25</v>
      </c>
      <c r="E43" s="754" t="str">
        <f>'Func Future Subs 2015'!E43</f>
        <v>310P</v>
      </c>
      <c r="F43" s="754">
        <f>'Func Future Subs 2015'!F43</f>
        <v>314796.88531681657</v>
      </c>
      <c r="G43" s="754" t="str">
        <f>'Func Future Subs 2015'!G43</f>
        <v>AltaLink</v>
      </c>
      <c r="H43" s="754">
        <f>'Func Future Subs 2015'!H43</f>
        <v>2016</v>
      </c>
      <c r="I43" s="306">
        <f>+IF($H43=I$2,VLOOKUP($G43,Depreciation!$A$14:$L$18,7,FALSE)/2,IF($H43&lt;I$2,VLOOKUP($G43,Depreciation!$A$14:$L$18,7,FALSE),0))</f>
        <v>0</v>
      </c>
      <c r="J43" s="306">
        <f>+IF($H43=J$2,VLOOKUP($G43,Depreciation!$A$14:$L$18,8,FALSE)/2,IF($H43&lt;J$2,VLOOKUP($G43,Depreciation!$A$14:$L$18,8,FALSE),0))</f>
        <v>1.671703928371859E-2</v>
      </c>
      <c r="K43" s="306">
        <f>+IF($H43=K$2,VLOOKUP($G43,Depreciation!$A$14:$L$18,9,FALSE)/2,IF($H43&lt;K$2,VLOOKUP($G43,Depreciation!$A$14:$L$18,9,FALSE),0))</f>
        <v>3.343407856743718E-2</v>
      </c>
      <c r="L43" s="306">
        <f>+IF($H43=L$2,VLOOKUP($G43,Depreciation!$A$14:$L$18,10,FALSE)/2,IF($H43&lt;L$2,VLOOKUP($G43,Depreciation!$A$14:$L$18,10,FALSE),0))</f>
        <v>3.343407856743718E-2</v>
      </c>
      <c r="M43" s="306">
        <f>+IF($H43=M$2,VLOOKUP($G43,Depreciation!$A$14:$L$18,11,FALSE)/2,IF($H43&lt;M$2,VLOOKUP($G43,Depreciation!$A$14:$L$18,11,FALSE),0))</f>
        <v>3.343407856743718E-2</v>
      </c>
      <c r="N43" s="306">
        <f>+IF($H43=N$2,VLOOKUP($G43,Depreciation!$A$14:$L$18,12,FALSE)/2,IF($H43&lt;N$2,VLOOKUP($G43,Depreciation!$A$14:$L$18,12,FALSE),0))</f>
        <v>3.343407856743718E-2</v>
      </c>
      <c r="O43" s="307">
        <f t="shared" si="1"/>
        <v>279513.87885322754</v>
      </c>
      <c r="P43" s="732">
        <f>'Func Future Subs 2015'!P43</f>
        <v>1</v>
      </c>
      <c r="Q43" s="732">
        <f>'Func Future Subs 2015'!Q43</f>
        <v>0</v>
      </c>
      <c r="R43" s="732">
        <f>'Func Future Subs 2015'!R43</f>
        <v>0</v>
      </c>
      <c r="S43" s="735">
        <f t="shared" si="2"/>
        <v>279513.87885322754</v>
      </c>
      <c r="T43" s="735">
        <f t="shared" si="3"/>
        <v>0</v>
      </c>
      <c r="U43" s="735">
        <f t="shared" si="4"/>
        <v>0</v>
      </c>
      <c r="V43" s="736">
        <f t="shared" si="5"/>
        <v>0</v>
      </c>
      <c r="W43" s="735">
        <f t="shared" si="6"/>
        <v>279513.87885322754</v>
      </c>
      <c r="X43" s="737">
        <f t="shared" si="7"/>
        <v>0</v>
      </c>
      <c r="Y43" s="738">
        <f t="shared" si="8"/>
        <v>0</v>
      </c>
    </row>
    <row r="44" spans="1:25">
      <c r="A44" s="754" t="str">
        <f>'Func Future Subs 2015'!A44</f>
        <v>Wabamun 19S</v>
      </c>
      <c r="B44" s="754">
        <f>'Func Future Subs 2015'!B44</f>
        <v>786</v>
      </c>
      <c r="C44" s="754">
        <f>'Func Future Subs 2015'!C44</f>
        <v>240</v>
      </c>
      <c r="D44" s="754">
        <f>'Func Future Subs 2015'!D44</f>
        <v>138</v>
      </c>
      <c r="E44" s="754" t="str">
        <f>'Func Future Subs 2015'!E44</f>
        <v>19S</v>
      </c>
      <c r="F44" s="754">
        <f>'Func Future Subs 2015'!F44</f>
        <v>314793.33534968545</v>
      </c>
      <c r="G44" s="754" t="str">
        <f>'Func Future Subs 2015'!G44</f>
        <v>AltaLink</v>
      </c>
      <c r="H44" s="754">
        <f>'Func Future Subs 2015'!H44</f>
        <v>2016</v>
      </c>
      <c r="I44" s="306">
        <f>+IF($H44=I$2,VLOOKUP($G44,Depreciation!$A$14:$L$18,7,FALSE)/2,IF($H44&lt;I$2,VLOOKUP($G44,Depreciation!$A$14:$L$18,7,FALSE),0))</f>
        <v>0</v>
      </c>
      <c r="J44" s="306">
        <f>+IF($H44=J$2,VLOOKUP($G44,Depreciation!$A$14:$L$18,8,FALSE)/2,IF($H44&lt;J$2,VLOOKUP($G44,Depreciation!$A$14:$L$18,8,FALSE),0))</f>
        <v>1.671703928371859E-2</v>
      </c>
      <c r="K44" s="306">
        <f>+IF($H44=K$2,VLOOKUP($G44,Depreciation!$A$14:$L$18,9,FALSE)/2,IF($H44&lt;K$2,VLOOKUP($G44,Depreciation!$A$14:$L$18,9,FALSE),0))</f>
        <v>3.343407856743718E-2</v>
      </c>
      <c r="L44" s="306">
        <f>+IF($H44=L$2,VLOOKUP($G44,Depreciation!$A$14:$L$18,10,FALSE)/2,IF($H44&lt;L$2,VLOOKUP($G44,Depreciation!$A$14:$L$18,10,FALSE),0))</f>
        <v>3.343407856743718E-2</v>
      </c>
      <c r="M44" s="306">
        <f>+IF($H44=M$2,VLOOKUP($G44,Depreciation!$A$14:$L$18,11,FALSE)/2,IF($H44&lt;M$2,VLOOKUP($G44,Depreciation!$A$14:$L$18,11,FALSE),0))</f>
        <v>3.343407856743718E-2</v>
      </c>
      <c r="N44" s="306">
        <f>+IF($H44=N$2,VLOOKUP($G44,Depreciation!$A$14:$L$18,12,FALSE)/2,IF($H44&lt;N$2,VLOOKUP($G44,Depreciation!$A$14:$L$18,12,FALSE),0))</f>
        <v>3.343407856743718E-2</v>
      </c>
      <c r="O44" s="307">
        <f t="shared" si="1"/>
        <v>279510.72677285789</v>
      </c>
      <c r="P44" s="732">
        <f>'Func Future Subs 2015'!P44</f>
        <v>0</v>
      </c>
      <c r="Q44" s="732">
        <f>'Func Future Subs 2015'!Q44</f>
        <v>0</v>
      </c>
      <c r="R44" s="732">
        <f>'Func Future Subs 2015'!R44</f>
        <v>1</v>
      </c>
      <c r="S44" s="735">
        <f t="shared" si="2"/>
        <v>0</v>
      </c>
      <c r="T44" s="735">
        <f t="shared" si="3"/>
        <v>0</v>
      </c>
      <c r="U44" s="735">
        <f t="shared" si="4"/>
        <v>279510.72677285789</v>
      </c>
      <c r="V44" s="736">
        <f t="shared" si="5"/>
        <v>0</v>
      </c>
      <c r="W44" s="735">
        <f t="shared" si="6"/>
        <v>0</v>
      </c>
      <c r="X44" s="737">
        <f t="shared" si="7"/>
        <v>279510.72677285789</v>
      </c>
      <c r="Y44" s="738">
        <f t="shared" si="8"/>
        <v>0</v>
      </c>
    </row>
    <row r="45" spans="1:25">
      <c r="A45" s="754" t="str">
        <f>'Func Future Subs 2015'!A45</f>
        <v>Arcenciel 930S</v>
      </c>
      <c r="B45" s="754">
        <f>'Func Future Subs 2015'!B45</f>
        <v>803</v>
      </c>
      <c r="C45" s="754">
        <f>'Func Future Subs 2015'!C45</f>
        <v>138</v>
      </c>
      <c r="D45" s="754">
        <f>'Func Future Subs 2015'!D45</f>
        <v>138</v>
      </c>
      <c r="E45" s="754" t="str">
        <f>'Func Future Subs 2015'!E45</f>
        <v>930S</v>
      </c>
      <c r="F45" s="754">
        <f>'Func Future Subs 2015'!F45</f>
        <v>119288.54647463236</v>
      </c>
      <c r="G45" s="754" t="str">
        <f>'Func Future Subs 2015'!G45</f>
        <v>ATCO</v>
      </c>
      <c r="H45" s="754">
        <f>'Func Future Subs 2015'!H45</f>
        <v>2017</v>
      </c>
      <c r="I45" s="306">
        <f>+IF($H45=I$2,VLOOKUP($G45,Depreciation!$A$14:$L$18,7,FALSE)/2,IF($H45&lt;I$2,VLOOKUP($G45,Depreciation!$A$14:$L$18,7,FALSE),0))</f>
        <v>0</v>
      </c>
      <c r="J45" s="306">
        <f>+IF($H45=J$2,VLOOKUP($G45,Depreciation!$A$14:$L$18,8,FALSE)/2,IF($H45&lt;J$2,VLOOKUP($G45,Depreciation!$A$14:$L$18,8,FALSE),0))</f>
        <v>0</v>
      </c>
      <c r="K45" s="306">
        <f>+IF($H45=K$2,VLOOKUP($G45,Depreciation!$A$14:$L$18,9,FALSE)/2,IF($H45&lt;K$2,VLOOKUP($G45,Depreciation!$A$14:$L$18,9,FALSE),0))</f>
        <v>1.2175768213899416E-2</v>
      </c>
      <c r="L45" s="306">
        <f>+IF($H45=L$2,VLOOKUP($G45,Depreciation!$A$14:$L$18,10,FALSE)/2,IF($H45&lt;L$2,VLOOKUP($G45,Depreciation!$A$14:$L$18,10,FALSE),0))</f>
        <v>2.4351536427798831E-2</v>
      </c>
      <c r="M45" s="306">
        <f>+IF($H45=M$2,VLOOKUP($G45,Depreciation!$A$14:$L$18,11,FALSE)/2,IF($H45&lt;M$2,VLOOKUP($G45,Depreciation!$A$14:$L$18,11,FALSE),0))</f>
        <v>2.4351536427798831E-2</v>
      </c>
      <c r="N45" s="306">
        <f>+IF($H45=N$2,VLOOKUP($G45,Depreciation!$A$14:$L$18,12,FALSE)/2,IF($H45&lt;N$2,VLOOKUP($G45,Depreciation!$A$14:$L$18,12,FALSE),0))</f>
        <v>2.4351536427798831E-2</v>
      </c>
      <c r="O45" s="307">
        <f t="shared" si="1"/>
        <v>112167.01230372537</v>
      </c>
      <c r="P45" s="732">
        <f>'Func Future Subs 2015'!P45</f>
        <v>0</v>
      </c>
      <c r="Q45" s="732">
        <f>'Func Future Subs 2015'!Q45</f>
        <v>0</v>
      </c>
      <c r="R45" s="732">
        <f>'Func Future Subs 2015'!R45</f>
        <v>1</v>
      </c>
      <c r="S45" s="735">
        <f t="shared" si="2"/>
        <v>0</v>
      </c>
      <c r="T45" s="735">
        <f t="shared" si="3"/>
        <v>0</v>
      </c>
      <c r="U45" s="735">
        <f t="shared" si="4"/>
        <v>112167.01230372537</v>
      </c>
      <c r="V45" s="736">
        <f t="shared" si="5"/>
        <v>0</v>
      </c>
      <c r="W45" s="735">
        <f t="shared" si="6"/>
        <v>0</v>
      </c>
      <c r="X45" s="737">
        <f t="shared" si="7"/>
        <v>112167.01230372537</v>
      </c>
      <c r="Y45" s="738">
        <f t="shared" si="8"/>
        <v>0</v>
      </c>
    </row>
    <row r="46" spans="1:25">
      <c r="A46" s="754" t="str">
        <f>'Func Future Subs 2015'!A46</f>
        <v>Blumenort substation 832S</v>
      </c>
      <c r="B46" s="754">
        <f>'Func Future Subs 2015'!B46</f>
        <v>803</v>
      </c>
      <c r="C46" s="754">
        <f>'Func Future Subs 2015'!C46</f>
        <v>138</v>
      </c>
      <c r="D46" s="754">
        <f>'Func Future Subs 2015'!D46</f>
        <v>25</v>
      </c>
      <c r="E46" s="754" t="str">
        <f>'Func Future Subs 2015'!E46</f>
        <v>832S</v>
      </c>
      <c r="F46" s="754">
        <f>'Func Future Subs 2015'!F46</f>
        <v>3476988.1419072561</v>
      </c>
      <c r="G46" s="754" t="str">
        <f>'Func Future Subs 2015'!G46</f>
        <v>ATCO</v>
      </c>
      <c r="H46" s="754">
        <f>'Func Future Subs 2015'!H46</f>
        <v>2017</v>
      </c>
      <c r="I46" s="306">
        <f>+IF($H46=I$2,VLOOKUP($G46,Depreciation!$A$14:$L$18,7,FALSE)/2,IF($H46&lt;I$2,VLOOKUP($G46,Depreciation!$A$14:$L$18,7,FALSE),0))</f>
        <v>0</v>
      </c>
      <c r="J46" s="306">
        <f>+IF($H46=J$2,VLOOKUP($G46,Depreciation!$A$14:$L$18,8,FALSE)/2,IF($H46&lt;J$2,VLOOKUP($G46,Depreciation!$A$14:$L$18,8,FALSE),0))</f>
        <v>0</v>
      </c>
      <c r="K46" s="306">
        <f>+IF($H46=K$2,VLOOKUP($G46,Depreciation!$A$14:$L$18,9,FALSE)/2,IF($H46&lt;K$2,VLOOKUP($G46,Depreciation!$A$14:$L$18,9,FALSE),0))</f>
        <v>1.2175768213899416E-2</v>
      </c>
      <c r="L46" s="306">
        <f>+IF($H46=L$2,VLOOKUP($G46,Depreciation!$A$14:$L$18,10,FALSE)/2,IF($H46&lt;L$2,VLOOKUP($G46,Depreciation!$A$14:$L$18,10,FALSE),0))</f>
        <v>2.4351536427798831E-2</v>
      </c>
      <c r="M46" s="306">
        <f>+IF($H46=M$2,VLOOKUP($G46,Depreciation!$A$14:$L$18,11,FALSE)/2,IF($H46&lt;M$2,VLOOKUP($G46,Depreciation!$A$14:$L$18,11,FALSE),0))</f>
        <v>2.4351536427798831E-2</v>
      </c>
      <c r="N46" s="306">
        <f>+IF($H46=N$2,VLOOKUP($G46,Depreciation!$A$14:$L$18,12,FALSE)/2,IF($H46&lt;N$2,VLOOKUP($G46,Depreciation!$A$14:$L$18,12,FALSE),0))</f>
        <v>2.4351536427798831E-2</v>
      </c>
      <c r="O46" s="307">
        <f t="shared" si="1"/>
        <v>3269411.71821685</v>
      </c>
      <c r="P46" s="732">
        <f>'Func Future Subs 2015'!P46</f>
        <v>0</v>
      </c>
      <c r="Q46" s="732">
        <f>'Func Future Subs 2015'!Q46</f>
        <v>1</v>
      </c>
      <c r="R46" s="732">
        <f>'Func Future Subs 2015'!R46</f>
        <v>0</v>
      </c>
      <c r="S46" s="735">
        <f t="shared" si="2"/>
        <v>0</v>
      </c>
      <c r="T46" s="735">
        <f t="shared" si="3"/>
        <v>3269411.71821685</v>
      </c>
      <c r="U46" s="735">
        <f t="shared" si="4"/>
        <v>0</v>
      </c>
      <c r="V46" s="736">
        <f t="shared" si="5"/>
        <v>0</v>
      </c>
      <c r="W46" s="735">
        <f t="shared" si="6"/>
        <v>0</v>
      </c>
      <c r="X46" s="737">
        <f t="shared" si="7"/>
        <v>0</v>
      </c>
      <c r="Y46" s="738">
        <f t="shared" si="8"/>
        <v>3269411.71821685</v>
      </c>
    </row>
    <row r="47" spans="1:25">
      <c r="A47" s="754" t="str">
        <f>'Func Future Subs 2015'!A47</f>
        <v>High Level substation</v>
      </c>
      <c r="B47" s="754">
        <f>'Func Future Subs 2015'!B47</f>
        <v>803</v>
      </c>
      <c r="C47" s="754">
        <f>'Func Future Subs 2015'!C47</f>
        <v>138</v>
      </c>
      <c r="D47" s="754">
        <f>'Func Future Subs 2015'!D47</f>
        <v>0</v>
      </c>
      <c r="E47" s="754">
        <f>'Func Future Subs 2015'!E47</f>
        <v>0</v>
      </c>
      <c r="F47" s="754">
        <f>'Func Future Subs 2015'!F47</f>
        <v>660698.13426418137</v>
      </c>
      <c r="G47" s="754" t="str">
        <f>'Func Future Subs 2015'!G47</f>
        <v>ATCO</v>
      </c>
      <c r="H47" s="754">
        <f>'Func Future Subs 2015'!H47</f>
        <v>2017</v>
      </c>
      <c r="I47" s="306">
        <f>+IF($H47=I$2,VLOOKUP($G47,Depreciation!$A$14:$L$18,7,FALSE)/2,IF($H47&lt;I$2,VLOOKUP($G47,Depreciation!$A$14:$L$18,7,FALSE),0))</f>
        <v>0</v>
      </c>
      <c r="J47" s="306">
        <f>+IF($H47=J$2,VLOOKUP($G47,Depreciation!$A$14:$L$18,8,FALSE)/2,IF($H47&lt;J$2,VLOOKUP($G47,Depreciation!$A$14:$L$18,8,FALSE),0))</f>
        <v>0</v>
      </c>
      <c r="K47" s="306">
        <f>+IF($H47=K$2,VLOOKUP($G47,Depreciation!$A$14:$L$18,9,FALSE)/2,IF($H47&lt;K$2,VLOOKUP($G47,Depreciation!$A$14:$L$18,9,FALSE),0))</f>
        <v>1.2175768213899416E-2</v>
      </c>
      <c r="L47" s="306">
        <f>+IF($H47=L$2,VLOOKUP($G47,Depreciation!$A$14:$L$18,10,FALSE)/2,IF($H47&lt;L$2,VLOOKUP($G47,Depreciation!$A$14:$L$18,10,FALSE),0))</f>
        <v>2.4351536427798831E-2</v>
      </c>
      <c r="M47" s="306">
        <f>+IF($H47=M$2,VLOOKUP($G47,Depreciation!$A$14:$L$18,11,FALSE)/2,IF($H47&lt;M$2,VLOOKUP($G47,Depreciation!$A$14:$L$18,11,FALSE),0))</f>
        <v>2.4351536427798831E-2</v>
      </c>
      <c r="N47" s="306">
        <f>+IF($H47=N$2,VLOOKUP($G47,Depreciation!$A$14:$L$18,12,FALSE)/2,IF($H47&lt;N$2,VLOOKUP($G47,Depreciation!$A$14:$L$18,12,FALSE),0))</f>
        <v>2.4351536427798831E-2</v>
      </c>
      <c r="O47" s="307">
        <f t="shared" si="1"/>
        <v>621254.41163639782</v>
      </c>
      <c r="P47" s="732">
        <f>'Func Future Subs 2015'!P47</f>
        <v>0</v>
      </c>
      <c r="Q47" s="732">
        <f>'Func Future Subs 2015'!Q47</f>
        <v>0</v>
      </c>
      <c r="R47" s="732">
        <f>'Func Future Subs 2015'!R47</f>
        <v>1</v>
      </c>
      <c r="S47" s="735">
        <f t="shared" si="2"/>
        <v>0</v>
      </c>
      <c r="T47" s="735">
        <f t="shared" si="3"/>
        <v>0</v>
      </c>
      <c r="U47" s="735">
        <f t="shared" si="4"/>
        <v>621254.41163639782</v>
      </c>
      <c r="V47" s="736">
        <f t="shared" si="5"/>
        <v>621254.41163639782</v>
      </c>
      <c r="W47" s="735">
        <f t="shared" si="6"/>
        <v>0</v>
      </c>
      <c r="X47" s="737">
        <f t="shared" si="7"/>
        <v>0</v>
      </c>
      <c r="Y47" s="738">
        <f t="shared" si="8"/>
        <v>0</v>
      </c>
    </row>
    <row r="48" spans="1:25">
      <c r="A48" s="754" t="str">
        <f>'Func Future Subs 2015'!A48</f>
        <v>Keg River 789S</v>
      </c>
      <c r="B48" s="754">
        <f>'Func Future Subs 2015'!B48</f>
        <v>803</v>
      </c>
      <c r="C48" s="754">
        <f>'Func Future Subs 2015'!C48</f>
        <v>138</v>
      </c>
      <c r="D48" s="754">
        <f>'Func Future Subs 2015'!D48</f>
        <v>138</v>
      </c>
      <c r="E48" s="754" t="str">
        <f>'Func Future Subs 2015'!E48</f>
        <v>789S</v>
      </c>
      <c r="F48" s="754">
        <f>'Func Future Subs 2015'!F48</f>
        <v>242204.41402375777</v>
      </c>
      <c r="G48" s="754" t="str">
        <f>'Func Future Subs 2015'!G48</f>
        <v>ATCO</v>
      </c>
      <c r="H48" s="754">
        <f>'Func Future Subs 2015'!H48</f>
        <v>2017</v>
      </c>
      <c r="I48" s="306">
        <f>+IF($H48=I$2,VLOOKUP($G48,Depreciation!$A$14:$L$18,7,FALSE)/2,IF($H48&lt;I$2,VLOOKUP($G48,Depreciation!$A$14:$L$18,7,FALSE),0))</f>
        <v>0</v>
      </c>
      <c r="J48" s="306">
        <f>+IF($H48=J$2,VLOOKUP($G48,Depreciation!$A$14:$L$18,8,FALSE)/2,IF($H48&lt;J$2,VLOOKUP($G48,Depreciation!$A$14:$L$18,8,FALSE),0))</f>
        <v>0</v>
      </c>
      <c r="K48" s="306">
        <f>+IF($H48=K$2,VLOOKUP($G48,Depreciation!$A$14:$L$18,9,FALSE)/2,IF($H48&lt;K$2,VLOOKUP($G48,Depreciation!$A$14:$L$18,9,FALSE),0))</f>
        <v>1.2175768213899416E-2</v>
      </c>
      <c r="L48" s="306">
        <f>+IF($H48=L$2,VLOOKUP($G48,Depreciation!$A$14:$L$18,10,FALSE)/2,IF($H48&lt;L$2,VLOOKUP($G48,Depreciation!$A$14:$L$18,10,FALSE),0))</f>
        <v>2.4351536427798831E-2</v>
      </c>
      <c r="M48" s="306">
        <f>+IF($H48=M$2,VLOOKUP($G48,Depreciation!$A$14:$L$18,11,FALSE)/2,IF($H48&lt;M$2,VLOOKUP($G48,Depreciation!$A$14:$L$18,11,FALSE),0))</f>
        <v>2.4351536427798831E-2</v>
      </c>
      <c r="N48" s="306">
        <f>+IF($H48=N$2,VLOOKUP($G48,Depreciation!$A$14:$L$18,12,FALSE)/2,IF($H48&lt;N$2,VLOOKUP($G48,Depreciation!$A$14:$L$18,12,FALSE),0))</f>
        <v>2.4351536427798831E-2</v>
      </c>
      <c r="O48" s="307">
        <f t="shared" si="1"/>
        <v>227744.7943721636</v>
      </c>
      <c r="P48" s="732">
        <f>'Func Future Subs 2015'!P48</f>
        <v>0</v>
      </c>
      <c r="Q48" s="732">
        <f>'Func Future Subs 2015'!Q48</f>
        <v>0</v>
      </c>
      <c r="R48" s="732">
        <f>'Func Future Subs 2015'!R48</f>
        <v>1</v>
      </c>
      <c r="S48" s="735">
        <f t="shared" si="2"/>
        <v>0</v>
      </c>
      <c r="T48" s="735">
        <f t="shared" si="3"/>
        <v>0</v>
      </c>
      <c r="U48" s="735">
        <f t="shared" si="4"/>
        <v>227744.7943721636</v>
      </c>
      <c r="V48" s="736">
        <f t="shared" si="5"/>
        <v>0</v>
      </c>
      <c r="W48" s="735">
        <f t="shared" si="6"/>
        <v>0</v>
      </c>
      <c r="X48" s="737">
        <f t="shared" si="7"/>
        <v>227744.7943721636</v>
      </c>
      <c r="Y48" s="738">
        <f t="shared" si="8"/>
        <v>0</v>
      </c>
    </row>
    <row r="49" spans="1:27">
      <c r="A49" s="754" t="str">
        <f>'Func Future Subs 2015'!A49</f>
        <v>Ring Creek 853S</v>
      </c>
      <c r="B49" s="754">
        <f>'Func Future Subs 2015'!B49</f>
        <v>803</v>
      </c>
      <c r="C49" s="754">
        <f>'Func Future Subs 2015'!C49</f>
        <v>138</v>
      </c>
      <c r="D49" s="754">
        <f>'Func Future Subs 2015'!D49</f>
        <v>25</v>
      </c>
      <c r="E49" s="754" t="str">
        <f>'Func Future Subs 2015'!E49</f>
        <v>853S</v>
      </c>
      <c r="F49" s="754">
        <f>'Func Future Subs 2015'!F49</f>
        <v>85463.58970544675</v>
      </c>
      <c r="G49" s="754" t="str">
        <f>'Func Future Subs 2015'!G49</f>
        <v>ATCO</v>
      </c>
      <c r="H49" s="754">
        <f>'Func Future Subs 2015'!H49</f>
        <v>2017</v>
      </c>
      <c r="I49" s="306">
        <f>+IF($H49=I$2,VLOOKUP($G49,Depreciation!$A$14:$L$18,7,FALSE)/2,IF($H49&lt;I$2,VLOOKUP($G49,Depreciation!$A$14:$L$18,7,FALSE),0))</f>
        <v>0</v>
      </c>
      <c r="J49" s="306">
        <f>+IF($H49=J$2,VLOOKUP($G49,Depreciation!$A$14:$L$18,8,FALSE)/2,IF($H49&lt;J$2,VLOOKUP($G49,Depreciation!$A$14:$L$18,8,FALSE),0))</f>
        <v>0</v>
      </c>
      <c r="K49" s="306">
        <f>+IF($H49=K$2,VLOOKUP($G49,Depreciation!$A$14:$L$18,9,FALSE)/2,IF($H49&lt;K$2,VLOOKUP($G49,Depreciation!$A$14:$L$18,9,FALSE),0))</f>
        <v>1.2175768213899416E-2</v>
      </c>
      <c r="L49" s="306">
        <f>+IF($H49=L$2,VLOOKUP($G49,Depreciation!$A$14:$L$18,10,FALSE)/2,IF($H49&lt;L$2,VLOOKUP($G49,Depreciation!$A$14:$L$18,10,FALSE),0))</f>
        <v>2.4351536427798831E-2</v>
      </c>
      <c r="M49" s="306">
        <f>+IF($H49=M$2,VLOOKUP($G49,Depreciation!$A$14:$L$18,11,FALSE)/2,IF($H49&lt;M$2,VLOOKUP($G49,Depreciation!$A$14:$L$18,11,FALSE),0))</f>
        <v>2.4351536427798831E-2</v>
      </c>
      <c r="N49" s="306">
        <f>+IF($H49=N$2,VLOOKUP($G49,Depreciation!$A$14:$L$18,12,FALSE)/2,IF($H49&lt;N$2,VLOOKUP($G49,Depreciation!$A$14:$L$18,12,FALSE),0))</f>
        <v>2.4351536427798831E-2</v>
      </c>
      <c r="O49" s="307">
        <f t="shared" si="1"/>
        <v>80361.407706899685</v>
      </c>
      <c r="P49" s="732">
        <f>'Func Future Subs 2015'!P49</f>
        <v>0</v>
      </c>
      <c r="Q49" s="732">
        <f>'Func Future Subs 2015'!Q49</f>
        <v>1</v>
      </c>
      <c r="R49" s="732">
        <f>'Func Future Subs 2015'!R49</f>
        <v>0</v>
      </c>
      <c r="S49" s="735">
        <f t="shared" si="2"/>
        <v>0</v>
      </c>
      <c r="T49" s="735">
        <f t="shared" si="3"/>
        <v>80361.407706899685</v>
      </c>
      <c r="U49" s="735">
        <f t="shared" si="4"/>
        <v>0</v>
      </c>
      <c r="V49" s="736">
        <f t="shared" si="5"/>
        <v>0</v>
      </c>
      <c r="W49" s="735">
        <f t="shared" si="6"/>
        <v>0</v>
      </c>
      <c r="X49" s="737">
        <f t="shared" si="7"/>
        <v>0</v>
      </c>
      <c r="Y49" s="738">
        <f t="shared" si="8"/>
        <v>80361.407706899685</v>
      </c>
    </row>
    <row r="50" spans="1:27">
      <c r="A50" s="754" t="str">
        <f>'Func Future Subs 2015'!A50</f>
        <v>Sulphur Point 828S</v>
      </c>
      <c r="B50" s="754">
        <f>'Func Future Subs 2015'!B50</f>
        <v>803</v>
      </c>
      <c r="C50" s="754">
        <f>'Func Future Subs 2015'!C50</f>
        <v>138</v>
      </c>
      <c r="D50" s="754">
        <f>'Func Future Subs 2015'!D50</f>
        <v>25</v>
      </c>
      <c r="E50" s="754" t="str">
        <f>'Func Future Subs 2015'!E50</f>
        <v>828S</v>
      </c>
      <c r="F50" s="754">
        <f>'Func Future Subs 2015'!F50</f>
        <v>66376.971670614337</v>
      </c>
      <c r="G50" s="754" t="str">
        <f>'Func Future Subs 2015'!G50</f>
        <v>ATCO</v>
      </c>
      <c r="H50" s="754">
        <f>'Func Future Subs 2015'!H50</f>
        <v>2017</v>
      </c>
      <c r="I50" s="306">
        <f>+IF($H50=I$2,VLOOKUP($G50,Depreciation!$A$14:$L$18,7,FALSE)/2,IF($H50&lt;I$2,VLOOKUP($G50,Depreciation!$A$14:$L$18,7,FALSE),0))</f>
        <v>0</v>
      </c>
      <c r="J50" s="306">
        <f>+IF($H50=J$2,VLOOKUP($G50,Depreciation!$A$14:$L$18,8,FALSE)/2,IF($H50&lt;J$2,VLOOKUP($G50,Depreciation!$A$14:$L$18,8,FALSE),0))</f>
        <v>0</v>
      </c>
      <c r="K50" s="306">
        <f>+IF($H50=K$2,VLOOKUP($G50,Depreciation!$A$14:$L$18,9,FALSE)/2,IF($H50&lt;K$2,VLOOKUP($G50,Depreciation!$A$14:$L$18,9,FALSE),0))</f>
        <v>1.2175768213899416E-2</v>
      </c>
      <c r="L50" s="306">
        <f>+IF($H50=L$2,VLOOKUP($G50,Depreciation!$A$14:$L$18,10,FALSE)/2,IF($H50&lt;L$2,VLOOKUP($G50,Depreciation!$A$14:$L$18,10,FALSE),0))</f>
        <v>2.4351536427798831E-2</v>
      </c>
      <c r="M50" s="306">
        <f>+IF($H50=M$2,VLOOKUP($G50,Depreciation!$A$14:$L$18,11,FALSE)/2,IF($H50&lt;M$2,VLOOKUP($G50,Depreciation!$A$14:$L$18,11,FALSE),0))</f>
        <v>2.4351536427798831E-2</v>
      </c>
      <c r="N50" s="306">
        <f>+IF($H50=N$2,VLOOKUP($G50,Depreciation!$A$14:$L$18,12,FALSE)/2,IF($H50&lt;N$2,VLOOKUP($G50,Depreciation!$A$14:$L$18,12,FALSE),0))</f>
        <v>2.4351536427798831E-2</v>
      </c>
      <c r="O50" s="307">
        <f t="shared" si="1"/>
        <v>62414.262040196205</v>
      </c>
      <c r="P50" s="732">
        <f>'Func Future Subs 2015'!P50</f>
        <v>0</v>
      </c>
      <c r="Q50" s="732">
        <f>'Func Future Subs 2015'!Q50</f>
        <v>1</v>
      </c>
      <c r="R50" s="732">
        <f>'Func Future Subs 2015'!R50</f>
        <v>0</v>
      </c>
      <c r="S50" s="735">
        <f t="shared" si="2"/>
        <v>0</v>
      </c>
      <c r="T50" s="735">
        <f t="shared" si="3"/>
        <v>62414.262040196205</v>
      </c>
      <c r="U50" s="735">
        <f t="shared" si="4"/>
        <v>0</v>
      </c>
      <c r="V50" s="736">
        <f t="shared" si="5"/>
        <v>0</v>
      </c>
      <c r="W50" s="735">
        <f t="shared" si="6"/>
        <v>0</v>
      </c>
      <c r="X50" s="737">
        <f t="shared" si="7"/>
        <v>0</v>
      </c>
      <c r="Y50" s="738">
        <f t="shared" si="8"/>
        <v>62414.262040196205</v>
      </c>
    </row>
    <row r="51" spans="1:27">
      <c r="A51" s="754" t="str">
        <f>'Func Future Subs 2015'!A51</f>
        <v>Bourque 970S(180)</v>
      </c>
      <c r="B51" s="754">
        <f>'Func Future Subs 2015'!B51</f>
        <v>811</v>
      </c>
      <c r="C51" s="754">
        <f>'Func Future Subs 2015'!C51</f>
        <v>144</v>
      </c>
      <c r="D51" s="754">
        <f>'Func Future Subs 2015'!D51</f>
        <v>144</v>
      </c>
      <c r="E51" s="754" t="str">
        <f>'Func Future Subs 2015'!E51</f>
        <v>970S</v>
      </c>
      <c r="F51" s="754">
        <f>'Func Future Subs 2015'!F51</f>
        <v>20557692.682692483</v>
      </c>
      <c r="G51" s="754" t="str">
        <f>'Func Future Subs 2015'!G51</f>
        <v>ATCO</v>
      </c>
      <c r="H51" s="754">
        <f>'Func Future Subs 2015'!H51</f>
        <v>2017</v>
      </c>
      <c r="I51" s="306">
        <f>+IF($H51=I$2,VLOOKUP($G51,Depreciation!$A$14:$L$18,7,FALSE)/2,IF($H51&lt;I$2,VLOOKUP($G51,Depreciation!$A$14:$L$18,7,FALSE),0))</f>
        <v>0</v>
      </c>
      <c r="J51" s="306">
        <f>+IF($H51=J$2,VLOOKUP($G51,Depreciation!$A$14:$L$18,8,FALSE)/2,IF($H51&lt;J$2,VLOOKUP($G51,Depreciation!$A$14:$L$18,8,FALSE),0))</f>
        <v>0</v>
      </c>
      <c r="K51" s="306">
        <f>+IF($H51=K$2,VLOOKUP($G51,Depreciation!$A$14:$L$18,9,FALSE)/2,IF($H51&lt;K$2,VLOOKUP($G51,Depreciation!$A$14:$L$18,9,FALSE),0))</f>
        <v>1.2175768213899416E-2</v>
      </c>
      <c r="L51" s="306">
        <f>+IF($H51=L$2,VLOOKUP($G51,Depreciation!$A$14:$L$18,10,FALSE)/2,IF($H51&lt;L$2,VLOOKUP($G51,Depreciation!$A$14:$L$18,10,FALSE),0))</f>
        <v>2.4351536427798831E-2</v>
      </c>
      <c r="M51" s="306">
        <f>+IF($H51=M$2,VLOOKUP($G51,Depreciation!$A$14:$L$18,11,FALSE)/2,IF($H51&lt;M$2,VLOOKUP($G51,Depreciation!$A$14:$L$18,11,FALSE),0))</f>
        <v>2.4351536427798831E-2</v>
      </c>
      <c r="N51" s="306">
        <f>+IF($H51=N$2,VLOOKUP($G51,Depreciation!$A$14:$L$18,12,FALSE)/2,IF($H51&lt;N$2,VLOOKUP($G51,Depreciation!$A$14:$L$18,12,FALSE),0))</f>
        <v>2.4351536427798831E-2</v>
      </c>
      <c r="O51" s="307">
        <f t="shared" si="1"/>
        <v>19330397.060091089</v>
      </c>
      <c r="P51" s="732">
        <f>'Func Future Subs 2015'!P51</f>
        <v>0</v>
      </c>
      <c r="Q51" s="732">
        <f>'Func Future Subs 2015'!Q51</f>
        <v>0</v>
      </c>
      <c r="R51" s="732">
        <f>'Func Future Subs 2015'!R51</f>
        <v>1</v>
      </c>
      <c r="S51" s="735">
        <f t="shared" si="2"/>
        <v>0</v>
      </c>
      <c r="T51" s="735">
        <f t="shared" si="3"/>
        <v>0</v>
      </c>
      <c r="U51" s="735">
        <f t="shared" si="4"/>
        <v>19330397.060091089</v>
      </c>
      <c r="V51" s="736">
        <f t="shared" si="5"/>
        <v>0</v>
      </c>
      <c r="W51" s="735">
        <f t="shared" si="6"/>
        <v>0</v>
      </c>
      <c r="X51" s="737">
        <f t="shared" si="7"/>
        <v>19330397.060091089</v>
      </c>
      <c r="Y51" s="738">
        <f t="shared" si="8"/>
        <v>0</v>
      </c>
    </row>
    <row r="52" spans="1:27">
      <c r="A52" s="754" t="str">
        <f>'Func Future Subs 2015'!A52</f>
        <v>Heisler 764S180</v>
      </c>
      <c r="B52" s="754">
        <f>'Func Future Subs 2015'!B52</f>
        <v>811</v>
      </c>
      <c r="C52" s="754">
        <f>'Func Future Subs 2015'!C52</f>
        <v>144</v>
      </c>
      <c r="D52" s="754">
        <f>'Func Future Subs 2015'!D52</f>
        <v>25</v>
      </c>
      <c r="E52" s="754" t="str">
        <f>'Func Future Subs 2015'!E52</f>
        <v>764S</v>
      </c>
      <c r="F52" s="754">
        <f>'Func Future Subs 2015'!F52</f>
        <v>14655875.320036264</v>
      </c>
      <c r="G52" s="754" t="str">
        <f>'Func Future Subs 2015'!G52</f>
        <v>ATCO</v>
      </c>
      <c r="H52" s="754">
        <f>'Func Future Subs 2015'!H52</f>
        <v>2017</v>
      </c>
      <c r="I52" s="306">
        <f>+IF($H52=I$2,VLOOKUP($G52,Depreciation!$A$14:$L$18,7,FALSE)/2,IF($H52&lt;I$2,VLOOKUP($G52,Depreciation!$A$14:$L$18,7,FALSE),0))</f>
        <v>0</v>
      </c>
      <c r="J52" s="306">
        <f>+IF($H52=J$2,VLOOKUP($G52,Depreciation!$A$14:$L$18,8,FALSE)/2,IF($H52&lt;J$2,VLOOKUP($G52,Depreciation!$A$14:$L$18,8,FALSE),0))</f>
        <v>0</v>
      </c>
      <c r="K52" s="306">
        <f>+IF($H52=K$2,VLOOKUP($G52,Depreciation!$A$14:$L$18,9,FALSE)/2,IF($H52&lt;K$2,VLOOKUP($G52,Depreciation!$A$14:$L$18,9,FALSE),0))</f>
        <v>1.2175768213899416E-2</v>
      </c>
      <c r="L52" s="306">
        <f>+IF($H52=L$2,VLOOKUP($G52,Depreciation!$A$14:$L$18,10,FALSE)/2,IF($H52&lt;L$2,VLOOKUP($G52,Depreciation!$A$14:$L$18,10,FALSE),0))</f>
        <v>2.4351536427798831E-2</v>
      </c>
      <c r="M52" s="306">
        <f>+IF($H52=M$2,VLOOKUP($G52,Depreciation!$A$14:$L$18,11,FALSE)/2,IF($H52&lt;M$2,VLOOKUP($G52,Depreciation!$A$14:$L$18,11,FALSE),0))</f>
        <v>2.4351536427798831E-2</v>
      </c>
      <c r="N52" s="306">
        <f>+IF($H52=N$2,VLOOKUP($G52,Depreciation!$A$14:$L$18,12,FALSE)/2,IF($H52&lt;N$2,VLOOKUP($G52,Depreciation!$A$14:$L$18,12,FALSE),0))</f>
        <v>2.4351536427798831E-2</v>
      </c>
      <c r="O52" s="307">
        <f t="shared" si="1"/>
        <v>13780918.587133273</v>
      </c>
      <c r="P52" s="732">
        <f>'Func Future Subs 2015'!P52</f>
        <v>0</v>
      </c>
      <c r="Q52" s="732">
        <f>'Func Future Subs 2015'!Q52</f>
        <v>1</v>
      </c>
      <c r="R52" s="732">
        <f>'Func Future Subs 2015'!R52</f>
        <v>0</v>
      </c>
      <c r="S52" s="735">
        <f t="shared" si="2"/>
        <v>0</v>
      </c>
      <c r="T52" s="735">
        <f t="shared" si="3"/>
        <v>13780918.587133273</v>
      </c>
      <c r="U52" s="735">
        <f t="shared" si="4"/>
        <v>0</v>
      </c>
      <c r="V52" s="736">
        <f t="shared" si="5"/>
        <v>0</v>
      </c>
      <c r="W52" s="735">
        <f t="shared" si="6"/>
        <v>0</v>
      </c>
      <c r="X52" s="737">
        <f t="shared" si="7"/>
        <v>0</v>
      </c>
      <c r="Y52" s="738">
        <f t="shared" si="8"/>
        <v>13780918.587133273</v>
      </c>
    </row>
    <row r="53" spans="1:27">
      <c r="A53" s="754" t="str">
        <f>'Func Future Subs 2015'!A53</f>
        <v>Kitscoty 705S180</v>
      </c>
      <c r="B53" s="754">
        <f>'Func Future Subs 2015'!B53</f>
        <v>811</v>
      </c>
      <c r="C53" s="754">
        <f>'Func Future Subs 2015'!C53</f>
        <v>144</v>
      </c>
      <c r="D53" s="754">
        <f>'Func Future Subs 2015'!D53</f>
        <v>25</v>
      </c>
      <c r="E53" s="754" t="str">
        <f>'Func Future Subs 2015'!E53</f>
        <v>705S</v>
      </c>
      <c r="F53" s="754">
        <f>'Func Future Subs 2015'!F53</f>
        <v>13565760.579394037</v>
      </c>
      <c r="G53" s="754" t="str">
        <f>'Func Future Subs 2015'!G53</f>
        <v>ATCO</v>
      </c>
      <c r="H53" s="754">
        <f>'Func Future Subs 2015'!H53</f>
        <v>2017</v>
      </c>
      <c r="I53" s="306">
        <f>+IF($H53=I$2,VLOOKUP($G53,Depreciation!$A$14:$L$18,7,FALSE)/2,IF($H53&lt;I$2,VLOOKUP($G53,Depreciation!$A$14:$L$18,7,FALSE),0))</f>
        <v>0</v>
      </c>
      <c r="J53" s="306">
        <f>+IF($H53=J$2,VLOOKUP($G53,Depreciation!$A$14:$L$18,8,FALSE)/2,IF($H53&lt;J$2,VLOOKUP($G53,Depreciation!$A$14:$L$18,8,FALSE),0))</f>
        <v>0</v>
      </c>
      <c r="K53" s="306">
        <f>+IF($H53=K$2,VLOOKUP($G53,Depreciation!$A$14:$L$18,9,FALSE)/2,IF($H53&lt;K$2,VLOOKUP($G53,Depreciation!$A$14:$L$18,9,FALSE),0))</f>
        <v>1.2175768213899416E-2</v>
      </c>
      <c r="L53" s="306">
        <f>+IF($H53=L$2,VLOOKUP($G53,Depreciation!$A$14:$L$18,10,FALSE)/2,IF($H53&lt;L$2,VLOOKUP($G53,Depreciation!$A$14:$L$18,10,FALSE),0))</f>
        <v>2.4351536427798831E-2</v>
      </c>
      <c r="M53" s="306">
        <f>+IF($H53=M$2,VLOOKUP($G53,Depreciation!$A$14:$L$18,11,FALSE)/2,IF($H53&lt;M$2,VLOOKUP($G53,Depreciation!$A$14:$L$18,11,FALSE),0))</f>
        <v>2.4351536427798831E-2</v>
      </c>
      <c r="N53" s="306">
        <f>+IF($H53=N$2,VLOOKUP($G53,Depreciation!$A$14:$L$18,12,FALSE)/2,IF($H53&lt;N$2,VLOOKUP($G53,Depreciation!$A$14:$L$18,12,FALSE),0))</f>
        <v>2.4351536427798831E-2</v>
      </c>
      <c r="O53" s="307">
        <f t="shared" si="1"/>
        <v>12755883.769125061</v>
      </c>
      <c r="P53" s="732">
        <f>'Func Future Subs 2015'!P53</f>
        <v>0</v>
      </c>
      <c r="Q53" s="732">
        <f>'Func Future Subs 2015'!Q53</f>
        <v>1</v>
      </c>
      <c r="R53" s="732">
        <f>'Func Future Subs 2015'!R53</f>
        <v>0</v>
      </c>
      <c r="S53" s="735">
        <f t="shared" si="2"/>
        <v>0</v>
      </c>
      <c r="T53" s="735">
        <f t="shared" si="3"/>
        <v>12755883.769125061</v>
      </c>
      <c r="U53" s="735">
        <f t="shared" si="4"/>
        <v>0</v>
      </c>
      <c r="V53" s="736">
        <f t="shared" si="5"/>
        <v>0</v>
      </c>
      <c r="W53" s="735">
        <f t="shared" si="6"/>
        <v>0</v>
      </c>
      <c r="X53" s="737">
        <f t="shared" si="7"/>
        <v>0</v>
      </c>
      <c r="Y53" s="738">
        <f t="shared" si="8"/>
        <v>12755883.769125061</v>
      </c>
    </row>
    <row r="54" spans="1:27">
      <c r="A54" s="754" t="str">
        <f>'Func Future Subs 2015'!A54</f>
        <v>Leming Lake 715S(180)</v>
      </c>
      <c r="B54" s="754">
        <f>'Func Future Subs 2015'!B54</f>
        <v>811</v>
      </c>
      <c r="C54" s="754">
        <f>'Func Future Subs 2015'!C54</f>
        <v>144</v>
      </c>
      <c r="D54" s="754">
        <f>'Func Future Subs 2015'!D54</f>
        <v>25</v>
      </c>
      <c r="E54" s="754" t="str">
        <f>'Func Future Subs 2015'!E54</f>
        <v>715S</v>
      </c>
      <c r="F54" s="754">
        <f>'Func Future Subs 2015'!F54</f>
        <v>267528.16210213065</v>
      </c>
      <c r="G54" s="754" t="str">
        <f>'Func Future Subs 2015'!G54</f>
        <v>ATCO</v>
      </c>
      <c r="H54" s="754">
        <f>'Func Future Subs 2015'!H54</f>
        <v>2017</v>
      </c>
      <c r="I54" s="306">
        <f>+IF($H54=I$2,VLOOKUP($G54,Depreciation!$A$14:$L$18,7,FALSE)/2,IF($H54&lt;I$2,VLOOKUP($G54,Depreciation!$A$14:$L$18,7,FALSE),0))</f>
        <v>0</v>
      </c>
      <c r="J54" s="306">
        <f>+IF($H54=J$2,VLOOKUP($G54,Depreciation!$A$14:$L$18,8,FALSE)/2,IF($H54&lt;J$2,VLOOKUP($G54,Depreciation!$A$14:$L$18,8,FALSE),0))</f>
        <v>0</v>
      </c>
      <c r="K54" s="306">
        <f>+IF($H54=K$2,VLOOKUP($G54,Depreciation!$A$14:$L$18,9,FALSE)/2,IF($H54&lt;K$2,VLOOKUP($G54,Depreciation!$A$14:$L$18,9,FALSE),0))</f>
        <v>1.2175768213899416E-2</v>
      </c>
      <c r="L54" s="306">
        <f>+IF($H54=L$2,VLOOKUP($G54,Depreciation!$A$14:$L$18,10,FALSE)/2,IF($H54&lt;L$2,VLOOKUP($G54,Depreciation!$A$14:$L$18,10,FALSE),0))</f>
        <v>2.4351536427798831E-2</v>
      </c>
      <c r="M54" s="306">
        <f>+IF($H54=M$2,VLOOKUP($G54,Depreciation!$A$14:$L$18,11,FALSE)/2,IF($H54&lt;M$2,VLOOKUP($G54,Depreciation!$A$14:$L$18,11,FALSE),0))</f>
        <v>2.4351536427798831E-2</v>
      </c>
      <c r="N54" s="306">
        <f>+IF($H54=N$2,VLOOKUP($G54,Depreciation!$A$14:$L$18,12,FALSE)/2,IF($H54&lt;N$2,VLOOKUP($G54,Depreciation!$A$14:$L$18,12,FALSE),0))</f>
        <v>2.4351536427798831E-2</v>
      </c>
      <c r="O54" s="307">
        <f t="shared" si="1"/>
        <v>251556.71300332359</v>
      </c>
      <c r="P54" s="732">
        <f>'Func Future Subs 2015'!P54</f>
        <v>0</v>
      </c>
      <c r="Q54" s="732">
        <f>'Func Future Subs 2015'!Q54</f>
        <v>1</v>
      </c>
      <c r="R54" s="732">
        <f>'Func Future Subs 2015'!R54</f>
        <v>0</v>
      </c>
      <c r="S54" s="735">
        <f t="shared" si="2"/>
        <v>0</v>
      </c>
      <c r="T54" s="735">
        <f t="shared" si="3"/>
        <v>251556.71300332359</v>
      </c>
      <c r="U54" s="735">
        <f t="shared" si="4"/>
        <v>0</v>
      </c>
      <c r="V54" s="736">
        <f t="shared" si="5"/>
        <v>0</v>
      </c>
      <c r="W54" s="735">
        <f t="shared" si="6"/>
        <v>0</v>
      </c>
      <c r="X54" s="737">
        <f t="shared" si="7"/>
        <v>0</v>
      </c>
      <c r="Y54" s="738">
        <f t="shared" si="8"/>
        <v>251556.71300332359</v>
      </c>
      <c r="AA54" s="317"/>
    </row>
    <row r="55" spans="1:27">
      <c r="A55" s="754" t="str">
        <f>'Func Future Subs 2015'!A55</f>
        <v>Mahihkan 837S(180)</v>
      </c>
      <c r="B55" s="754">
        <f>'Func Future Subs 2015'!B55</f>
        <v>811</v>
      </c>
      <c r="C55" s="754">
        <f>'Func Future Subs 2015'!C55</f>
        <v>144</v>
      </c>
      <c r="D55" s="754">
        <f>'Func Future Subs 2015'!D55</f>
        <v>25</v>
      </c>
      <c r="E55" s="754" t="str">
        <f>'Func Future Subs 2015'!E55</f>
        <v>837S</v>
      </c>
      <c r="F55" s="754">
        <f>'Func Future Subs 2015'!F55</f>
        <v>1431346.4418924579</v>
      </c>
      <c r="G55" s="754" t="str">
        <f>'Func Future Subs 2015'!G55</f>
        <v>ATCO</v>
      </c>
      <c r="H55" s="754">
        <f>'Func Future Subs 2015'!H55</f>
        <v>2017</v>
      </c>
      <c r="I55" s="306">
        <f>+IF($H55=I$2,VLOOKUP($G55,Depreciation!$A$14:$L$18,7,FALSE)/2,IF($H55&lt;I$2,VLOOKUP($G55,Depreciation!$A$14:$L$18,7,FALSE),0))</f>
        <v>0</v>
      </c>
      <c r="J55" s="306">
        <f>+IF($H55=J$2,VLOOKUP($G55,Depreciation!$A$14:$L$18,8,FALSE)/2,IF($H55&lt;J$2,VLOOKUP($G55,Depreciation!$A$14:$L$18,8,FALSE),0))</f>
        <v>0</v>
      </c>
      <c r="K55" s="306">
        <f>+IF($H55=K$2,VLOOKUP($G55,Depreciation!$A$14:$L$18,9,FALSE)/2,IF($H55&lt;K$2,VLOOKUP($G55,Depreciation!$A$14:$L$18,9,FALSE),0))</f>
        <v>1.2175768213899416E-2</v>
      </c>
      <c r="L55" s="306">
        <f>+IF($H55=L$2,VLOOKUP($G55,Depreciation!$A$14:$L$18,10,FALSE)/2,IF($H55&lt;L$2,VLOOKUP($G55,Depreciation!$A$14:$L$18,10,FALSE),0))</f>
        <v>2.4351536427798831E-2</v>
      </c>
      <c r="M55" s="306">
        <f>+IF($H55=M$2,VLOOKUP($G55,Depreciation!$A$14:$L$18,11,FALSE)/2,IF($H55&lt;M$2,VLOOKUP($G55,Depreciation!$A$14:$L$18,11,FALSE),0))</f>
        <v>2.4351536427798831E-2</v>
      </c>
      <c r="N55" s="306">
        <f>+IF($H55=N$2,VLOOKUP($G55,Depreciation!$A$14:$L$18,12,FALSE)/2,IF($H55&lt;N$2,VLOOKUP($G55,Depreciation!$A$14:$L$18,12,FALSE),0))</f>
        <v>2.4351536427798831E-2</v>
      </c>
      <c r="O55" s="307">
        <f t="shared" si="1"/>
        <v>1345894.9639627559</v>
      </c>
      <c r="P55" s="732">
        <f>'Func Future Subs 2015'!P55</f>
        <v>0</v>
      </c>
      <c r="Q55" s="732">
        <f>'Func Future Subs 2015'!Q55</f>
        <v>1</v>
      </c>
      <c r="R55" s="732">
        <f>'Func Future Subs 2015'!R55</f>
        <v>0</v>
      </c>
      <c r="S55" s="735">
        <f t="shared" si="2"/>
        <v>0</v>
      </c>
      <c r="T55" s="735">
        <f t="shared" si="3"/>
        <v>1345894.9639627559</v>
      </c>
      <c r="U55" s="735">
        <f t="shared" si="4"/>
        <v>0</v>
      </c>
      <c r="V55" s="736">
        <f t="shared" si="5"/>
        <v>0</v>
      </c>
      <c r="W55" s="735">
        <f t="shared" si="6"/>
        <v>0</v>
      </c>
      <c r="X55" s="737">
        <f t="shared" si="7"/>
        <v>0</v>
      </c>
      <c r="Y55" s="738">
        <f t="shared" si="8"/>
        <v>1345894.9639627559</v>
      </c>
    </row>
    <row r="56" spans="1:27">
      <c r="A56" s="754" t="str">
        <f>'Func Future Subs 2015'!A56</f>
        <v>Marguerite Lake 826S(180)</v>
      </c>
      <c r="B56" s="754">
        <f>'Func Future Subs 2015'!B56</f>
        <v>811</v>
      </c>
      <c r="C56" s="754">
        <f>'Func Future Subs 2015'!C56</f>
        <v>144</v>
      </c>
      <c r="D56" s="754">
        <f>'Func Future Subs 2015'!D56</f>
        <v>138</v>
      </c>
      <c r="E56" s="754" t="str">
        <f>'Func Future Subs 2015'!E56</f>
        <v>826S</v>
      </c>
      <c r="F56" s="754">
        <f>'Func Future Subs 2015'!F56</f>
        <v>688730.2425556964</v>
      </c>
      <c r="G56" s="754" t="str">
        <f>'Func Future Subs 2015'!G56</f>
        <v>ATCO</v>
      </c>
      <c r="H56" s="754">
        <f>'Func Future Subs 2015'!H56</f>
        <v>2017</v>
      </c>
      <c r="I56" s="306">
        <f>+IF($H56=I$2,VLOOKUP($G56,Depreciation!$A$14:$L$18,7,FALSE)/2,IF($H56&lt;I$2,VLOOKUP($G56,Depreciation!$A$14:$L$18,7,FALSE),0))</f>
        <v>0</v>
      </c>
      <c r="J56" s="306">
        <f>+IF($H56=J$2,VLOOKUP($G56,Depreciation!$A$14:$L$18,8,FALSE)/2,IF($H56&lt;J$2,VLOOKUP($G56,Depreciation!$A$14:$L$18,8,FALSE),0))</f>
        <v>0</v>
      </c>
      <c r="K56" s="306">
        <f>+IF($H56=K$2,VLOOKUP($G56,Depreciation!$A$14:$L$18,9,FALSE)/2,IF($H56&lt;K$2,VLOOKUP($G56,Depreciation!$A$14:$L$18,9,FALSE),0))</f>
        <v>1.2175768213899416E-2</v>
      </c>
      <c r="L56" s="306">
        <f>+IF($H56=L$2,VLOOKUP($G56,Depreciation!$A$14:$L$18,10,FALSE)/2,IF($H56&lt;L$2,VLOOKUP($G56,Depreciation!$A$14:$L$18,10,FALSE),0))</f>
        <v>2.4351536427798831E-2</v>
      </c>
      <c r="M56" s="306">
        <f>+IF($H56=M$2,VLOOKUP($G56,Depreciation!$A$14:$L$18,11,FALSE)/2,IF($H56&lt;M$2,VLOOKUP($G56,Depreciation!$A$14:$L$18,11,FALSE),0))</f>
        <v>2.4351536427798831E-2</v>
      </c>
      <c r="N56" s="306">
        <f>+IF($H56=N$2,VLOOKUP($G56,Depreciation!$A$14:$L$18,12,FALSE)/2,IF($H56&lt;N$2,VLOOKUP($G56,Depreciation!$A$14:$L$18,12,FALSE),0))</f>
        <v>2.4351536427798831E-2</v>
      </c>
      <c r="O56" s="307">
        <f t="shared" si="1"/>
        <v>647613.0011955587</v>
      </c>
      <c r="P56" s="732">
        <f>'Func Future Subs 2015'!P56</f>
        <v>0</v>
      </c>
      <c r="Q56" s="732">
        <f>'Func Future Subs 2015'!Q56</f>
        <v>0</v>
      </c>
      <c r="R56" s="732">
        <f>'Func Future Subs 2015'!R56</f>
        <v>1</v>
      </c>
      <c r="S56" s="735">
        <f t="shared" si="2"/>
        <v>0</v>
      </c>
      <c r="T56" s="735">
        <f t="shared" si="3"/>
        <v>0</v>
      </c>
      <c r="U56" s="735">
        <f t="shared" si="4"/>
        <v>647613.0011955587</v>
      </c>
      <c r="V56" s="736">
        <f t="shared" si="5"/>
        <v>0</v>
      </c>
      <c r="W56" s="735">
        <f t="shared" si="6"/>
        <v>0</v>
      </c>
      <c r="X56" s="737">
        <f t="shared" si="7"/>
        <v>647613.0011955587</v>
      </c>
      <c r="Y56" s="738">
        <f t="shared" si="8"/>
        <v>0</v>
      </c>
    </row>
    <row r="57" spans="1:27">
      <c r="A57" s="754" t="str">
        <f>'Func Future Subs 2015'!A57</f>
        <v>unknown sub St.Paul</v>
      </c>
      <c r="B57" s="754">
        <f>'Func Future Subs 2015'!B57</f>
        <v>811</v>
      </c>
      <c r="C57" s="754">
        <f>'Func Future Subs 2015'!C57</f>
        <v>0</v>
      </c>
      <c r="D57" s="754">
        <f>'Func Future Subs 2015'!D57</f>
        <v>0</v>
      </c>
      <c r="E57" s="754">
        <f>'Func Future Subs 2015'!E57</f>
        <v>0</v>
      </c>
      <c r="F57" s="754">
        <f>'Func Future Subs 2015'!F57</f>
        <v>33228963.973278571</v>
      </c>
      <c r="G57" s="754" t="str">
        <f>'Func Future Subs 2015'!G57</f>
        <v>ATCO</v>
      </c>
      <c r="H57" s="754">
        <f>'Func Future Subs 2015'!H57</f>
        <v>2017</v>
      </c>
      <c r="I57" s="306">
        <f>+IF($H57=I$2,VLOOKUP($G57,Depreciation!$A$14:$L$18,7,FALSE)/2,IF($H57&lt;I$2,VLOOKUP($G57,Depreciation!$A$14:$L$18,7,FALSE),0))</f>
        <v>0</v>
      </c>
      <c r="J57" s="306">
        <f>+IF($H57=J$2,VLOOKUP($G57,Depreciation!$A$14:$L$18,8,FALSE)/2,IF($H57&lt;J$2,VLOOKUP($G57,Depreciation!$A$14:$L$18,8,FALSE),0))</f>
        <v>0</v>
      </c>
      <c r="K57" s="306">
        <f>+IF($H57=K$2,VLOOKUP($G57,Depreciation!$A$14:$L$18,9,FALSE)/2,IF($H57&lt;K$2,VLOOKUP($G57,Depreciation!$A$14:$L$18,9,FALSE),0))</f>
        <v>1.2175768213899416E-2</v>
      </c>
      <c r="L57" s="306">
        <f>+IF($H57=L$2,VLOOKUP($G57,Depreciation!$A$14:$L$18,10,FALSE)/2,IF($H57&lt;L$2,VLOOKUP($G57,Depreciation!$A$14:$L$18,10,FALSE),0))</f>
        <v>2.4351536427798831E-2</v>
      </c>
      <c r="M57" s="306">
        <f>+IF($H57=M$2,VLOOKUP($G57,Depreciation!$A$14:$L$18,11,FALSE)/2,IF($H57&lt;M$2,VLOOKUP($G57,Depreciation!$A$14:$L$18,11,FALSE),0))</f>
        <v>2.4351536427798831E-2</v>
      </c>
      <c r="N57" s="306">
        <f>+IF($H57=N$2,VLOOKUP($G57,Depreciation!$A$14:$L$18,12,FALSE)/2,IF($H57&lt;N$2,VLOOKUP($G57,Depreciation!$A$14:$L$18,12,FALSE),0))</f>
        <v>2.4351536427798831E-2</v>
      </c>
      <c r="O57" s="307">
        <f t="shared" si="1"/>
        <v>31245192.610536177</v>
      </c>
      <c r="P57" s="732">
        <f>'Func Future Subs 2015'!P57</f>
        <v>0</v>
      </c>
      <c r="Q57" s="732">
        <f>'Func Future Subs 2015'!Q57</f>
        <v>0</v>
      </c>
      <c r="R57" s="732">
        <f>'Func Future Subs 2015'!R57</f>
        <v>1</v>
      </c>
      <c r="S57" s="735">
        <f t="shared" si="2"/>
        <v>0</v>
      </c>
      <c r="T57" s="735">
        <f t="shared" si="3"/>
        <v>0</v>
      </c>
      <c r="U57" s="735">
        <f t="shared" si="4"/>
        <v>31245192.610536177</v>
      </c>
      <c r="V57" s="736">
        <f t="shared" si="5"/>
        <v>31245192.610536177</v>
      </c>
      <c r="W57" s="735">
        <f t="shared" si="6"/>
        <v>0</v>
      </c>
      <c r="X57" s="737">
        <f t="shared" si="7"/>
        <v>0</v>
      </c>
      <c r="Y57" s="738">
        <f t="shared" si="8"/>
        <v>0</v>
      </c>
    </row>
    <row r="58" spans="1:27">
      <c r="A58" s="754" t="str">
        <f>'Func Future Subs 2015'!A58</f>
        <v>unknown sub Vermilion 710S</v>
      </c>
      <c r="B58" s="754">
        <f>'Func Future Subs 2015'!B58</f>
        <v>811</v>
      </c>
      <c r="C58" s="754">
        <f>'Func Future Subs 2015'!C58</f>
        <v>0</v>
      </c>
      <c r="D58" s="754">
        <f>'Func Future Subs 2015'!D58</f>
        <v>25</v>
      </c>
      <c r="E58" s="754" t="str">
        <f>'Func Future Subs 2015'!E58</f>
        <v>710S</v>
      </c>
      <c r="F58" s="754">
        <f>'Func Future Subs 2015'!F58</f>
        <v>8709690</v>
      </c>
      <c r="G58" s="754" t="str">
        <f>'Func Future Subs 2015'!G58</f>
        <v>ATCO</v>
      </c>
      <c r="H58" s="754">
        <f>'Func Future Subs 2015'!H58</f>
        <v>2017</v>
      </c>
      <c r="I58" s="306">
        <f>+IF($H58=I$2,VLOOKUP($G58,Depreciation!$A$14:$L$18,7,FALSE)/2,IF($H58&lt;I$2,VLOOKUP($G58,Depreciation!$A$14:$L$18,7,FALSE),0))</f>
        <v>0</v>
      </c>
      <c r="J58" s="306">
        <f>+IF($H58=J$2,VLOOKUP($G58,Depreciation!$A$14:$L$18,8,FALSE)/2,IF($H58&lt;J$2,VLOOKUP($G58,Depreciation!$A$14:$L$18,8,FALSE),0))</f>
        <v>0</v>
      </c>
      <c r="K58" s="306">
        <f>+IF($H58=K$2,VLOOKUP($G58,Depreciation!$A$14:$L$18,9,FALSE)/2,IF($H58&lt;K$2,VLOOKUP($G58,Depreciation!$A$14:$L$18,9,FALSE),0))</f>
        <v>1.2175768213899416E-2</v>
      </c>
      <c r="L58" s="306">
        <f>+IF($H58=L$2,VLOOKUP($G58,Depreciation!$A$14:$L$18,10,FALSE)/2,IF($H58&lt;L$2,VLOOKUP($G58,Depreciation!$A$14:$L$18,10,FALSE),0))</f>
        <v>2.4351536427798831E-2</v>
      </c>
      <c r="M58" s="306">
        <f>+IF($H58=M$2,VLOOKUP($G58,Depreciation!$A$14:$L$18,11,FALSE)/2,IF($H58&lt;M$2,VLOOKUP($G58,Depreciation!$A$14:$L$18,11,FALSE),0))</f>
        <v>2.4351536427798831E-2</v>
      </c>
      <c r="N58" s="306">
        <f>+IF($H58=N$2,VLOOKUP($G58,Depreciation!$A$14:$L$18,12,FALSE)/2,IF($H58&lt;N$2,VLOOKUP($G58,Depreciation!$A$14:$L$18,12,FALSE),0))</f>
        <v>2.4351536427798831E-2</v>
      </c>
      <c r="O58" s="307">
        <f t="shared" si="1"/>
        <v>8189720.9268065607</v>
      </c>
      <c r="P58" s="732">
        <f>'Func Future Subs 2015'!P58</f>
        <v>0</v>
      </c>
      <c r="Q58" s="732">
        <f>'Func Future Subs 2015'!Q58</f>
        <v>1</v>
      </c>
      <c r="R58" s="732">
        <f>'Func Future Subs 2015'!R58</f>
        <v>0</v>
      </c>
      <c r="S58" s="735">
        <f t="shared" si="2"/>
        <v>0</v>
      </c>
      <c r="T58" s="735">
        <f t="shared" si="3"/>
        <v>8189720.9268065607</v>
      </c>
      <c r="U58" s="735">
        <f t="shared" si="4"/>
        <v>0</v>
      </c>
      <c r="V58" s="736">
        <f t="shared" si="5"/>
        <v>0</v>
      </c>
      <c r="W58" s="735">
        <f t="shared" si="6"/>
        <v>0</v>
      </c>
      <c r="X58" s="737">
        <f t="shared" si="7"/>
        <v>0</v>
      </c>
      <c r="Y58" s="738">
        <f t="shared" si="8"/>
        <v>8189720.9268065607</v>
      </c>
    </row>
    <row r="59" spans="1:27">
      <c r="A59" s="754" t="str">
        <f>'Func Future Subs 2015'!A59</f>
        <v>Wolf Lake 822S(180)</v>
      </c>
      <c r="B59" s="754">
        <f>'Func Future Subs 2015'!B59</f>
        <v>811</v>
      </c>
      <c r="C59" s="754">
        <f>'Func Future Subs 2015'!C59</f>
        <v>144</v>
      </c>
      <c r="D59" s="754">
        <f>'Func Future Subs 2015'!D59</f>
        <v>25</v>
      </c>
      <c r="E59" s="754" t="str">
        <f>'Func Future Subs 2015'!E59</f>
        <v>822S</v>
      </c>
      <c r="F59" s="754">
        <f>'Func Future Subs 2015'!F59</f>
        <v>1030247.2205012403</v>
      </c>
      <c r="G59" s="754" t="str">
        <f>'Func Future Subs 2015'!G59</f>
        <v>ATCO</v>
      </c>
      <c r="H59" s="754">
        <f>'Func Future Subs 2015'!H59</f>
        <v>2017</v>
      </c>
      <c r="I59" s="306">
        <f>+IF($H59=I$2,VLOOKUP($G59,Depreciation!$A$14:$L$18,7,FALSE)/2,IF($H59&lt;I$2,VLOOKUP($G59,Depreciation!$A$14:$L$18,7,FALSE),0))</f>
        <v>0</v>
      </c>
      <c r="J59" s="306">
        <f>+IF($H59=J$2,VLOOKUP($G59,Depreciation!$A$14:$L$18,8,FALSE)/2,IF($H59&lt;J$2,VLOOKUP($G59,Depreciation!$A$14:$L$18,8,FALSE),0))</f>
        <v>0</v>
      </c>
      <c r="K59" s="306">
        <f>+IF($H59=K$2,VLOOKUP($G59,Depreciation!$A$14:$L$18,9,FALSE)/2,IF($H59&lt;K$2,VLOOKUP($G59,Depreciation!$A$14:$L$18,9,FALSE),0))</f>
        <v>1.2175768213899416E-2</v>
      </c>
      <c r="L59" s="306">
        <f>+IF($H59=L$2,VLOOKUP($G59,Depreciation!$A$14:$L$18,10,FALSE)/2,IF($H59&lt;L$2,VLOOKUP($G59,Depreciation!$A$14:$L$18,10,FALSE),0))</f>
        <v>2.4351536427798831E-2</v>
      </c>
      <c r="M59" s="306">
        <f>+IF($H59=M$2,VLOOKUP($G59,Depreciation!$A$14:$L$18,11,FALSE)/2,IF($H59&lt;M$2,VLOOKUP($G59,Depreciation!$A$14:$L$18,11,FALSE),0))</f>
        <v>2.4351536427798831E-2</v>
      </c>
      <c r="N59" s="306">
        <f>+IF($H59=N$2,VLOOKUP($G59,Depreciation!$A$14:$L$18,12,FALSE)/2,IF($H59&lt;N$2,VLOOKUP($G59,Depreciation!$A$14:$L$18,12,FALSE),0))</f>
        <v>2.4351536427798831E-2</v>
      </c>
      <c r="O59" s="307">
        <f t="shared" si="1"/>
        <v>968741.39280770055</v>
      </c>
      <c r="P59" s="732">
        <f>'Func Future Subs 2015'!P59</f>
        <v>0</v>
      </c>
      <c r="Q59" s="732">
        <f>'Func Future Subs 2015'!Q59</f>
        <v>1</v>
      </c>
      <c r="R59" s="732">
        <f>'Func Future Subs 2015'!R59</f>
        <v>0</v>
      </c>
      <c r="S59" s="735">
        <f t="shared" si="2"/>
        <v>0</v>
      </c>
      <c r="T59" s="735">
        <f t="shared" si="3"/>
        <v>968741.39280770055</v>
      </c>
      <c r="U59" s="735">
        <f t="shared" si="4"/>
        <v>0</v>
      </c>
      <c r="V59" s="736">
        <f t="shared" si="5"/>
        <v>0</v>
      </c>
      <c r="W59" s="735">
        <f t="shared" si="6"/>
        <v>0</v>
      </c>
      <c r="X59" s="737">
        <f t="shared" si="7"/>
        <v>0</v>
      </c>
      <c r="Y59" s="738">
        <f t="shared" si="8"/>
        <v>968741.39280770055</v>
      </c>
    </row>
    <row r="60" spans="1:27">
      <c r="A60" s="754" t="str">
        <f>'Func Future Subs 2015'!A60</f>
        <v>74S</v>
      </c>
      <c r="B60" s="754">
        <f>'Func Future Subs 2015'!B60</f>
        <v>813</v>
      </c>
      <c r="C60" s="754">
        <f>'Func Future Subs 2015'!C60</f>
        <v>240</v>
      </c>
      <c r="D60" s="754">
        <f>'Func Future Subs 2015'!D60</f>
        <v>138</v>
      </c>
      <c r="E60" s="754" t="str">
        <f>'Func Future Subs 2015'!E60</f>
        <v>74S</v>
      </c>
      <c r="F60" s="754">
        <f>'Func Future Subs 2015'!F60</f>
        <v>395882.33037640859</v>
      </c>
      <c r="G60" s="754" t="str">
        <f>'Func Future Subs 2015'!G60</f>
        <v>AltaLink</v>
      </c>
      <c r="H60" s="754">
        <f>'Func Future Subs 2015'!H60</f>
        <v>2017</v>
      </c>
      <c r="I60" s="306">
        <f>+IF($H60=I$2,VLOOKUP($G60,Depreciation!$A$14:$L$18,7,FALSE)/2,IF($H60&lt;I$2,VLOOKUP($G60,Depreciation!$A$14:$L$18,7,FALSE),0))</f>
        <v>0</v>
      </c>
      <c r="J60" s="306">
        <f>+IF($H60=J$2,VLOOKUP($G60,Depreciation!$A$14:$L$18,8,FALSE)/2,IF($H60&lt;J$2,VLOOKUP($G60,Depreciation!$A$14:$L$18,8,FALSE),0))</f>
        <v>0</v>
      </c>
      <c r="K60" s="306">
        <f>+IF($H60=K$2,VLOOKUP($G60,Depreciation!$A$14:$L$18,9,FALSE)/2,IF($H60&lt;K$2,VLOOKUP($G60,Depreciation!$A$14:$L$18,9,FALSE),0))</f>
        <v>1.671703928371859E-2</v>
      </c>
      <c r="L60" s="306">
        <f>+IF($H60=L$2,VLOOKUP($G60,Depreciation!$A$14:$L$18,10,FALSE)/2,IF($H60&lt;L$2,VLOOKUP($G60,Depreciation!$A$14:$L$18,10,FALSE),0))</f>
        <v>3.343407856743718E-2</v>
      </c>
      <c r="M60" s="306">
        <f>+IF($H60=M$2,VLOOKUP($G60,Depreciation!$A$14:$L$18,11,FALSE)/2,IF($H60&lt;M$2,VLOOKUP($G60,Depreciation!$A$14:$L$18,11,FALSE),0))</f>
        <v>3.343407856743718E-2</v>
      </c>
      <c r="N60" s="306">
        <f>+IF($H60=N$2,VLOOKUP($G60,Depreciation!$A$14:$L$18,12,FALSE)/2,IF($H60&lt;N$2,VLOOKUP($G60,Depreciation!$A$14:$L$18,12,FALSE),0))</f>
        <v>3.343407856743718E-2</v>
      </c>
      <c r="O60" s="307">
        <f t="shared" si="1"/>
        <v>363670.09452156245</v>
      </c>
      <c r="P60" s="732">
        <f>'Func Future Subs 2015'!P60</f>
        <v>0</v>
      </c>
      <c r="Q60" s="732">
        <f>'Func Future Subs 2015'!Q60</f>
        <v>0</v>
      </c>
      <c r="R60" s="732">
        <f>'Func Future Subs 2015'!R60</f>
        <v>1</v>
      </c>
      <c r="S60" s="735">
        <f t="shared" si="2"/>
        <v>0</v>
      </c>
      <c r="T60" s="735">
        <f t="shared" si="3"/>
        <v>0</v>
      </c>
      <c r="U60" s="735">
        <f t="shared" si="4"/>
        <v>363670.09452156245</v>
      </c>
      <c r="V60" s="736">
        <f t="shared" si="5"/>
        <v>0</v>
      </c>
      <c r="W60" s="735">
        <f t="shared" si="6"/>
        <v>0</v>
      </c>
      <c r="X60" s="737">
        <f t="shared" si="7"/>
        <v>363670.09452156245</v>
      </c>
      <c r="Y60" s="738">
        <f t="shared" si="8"/>
        <v>0</v>
      </c>
    </row>
    <row r="61" spans="1:27">
      <c r="A61" s="754" t="str">
        <f>'Func Future Subs 2015'!A61</f>
        <v>Beddington 162S</v>
      </c>
      <c r="B61" s="754">
        <f>'Func Future Subs 2015'!B61</f>
        <v>813</v>
      </c>
      <c r="C61" s="754">
        <f>'Func Future Subs 2015'!C61</f>
        <v>240</v>
      </c>
      <c r="D61" s="754">
        <f>'Func Future Subs 2015'!D61</f>
        <v>25</v>
      </c>
      <c r="E61" s="754" t="str">
        <f>'Func Future Subs 2015'!E61</f>
        <v>162S</v>
      </c>
      <c r="F61" s="754">
        <f>'Func Future Subs 2015'!F61</f>
        <v>39588.233037640857</v>
      </c>
      <c r="G61" s="754" t="str">
        <f>'Func Future Subs 2015'!G61</f>
        <v>AltaLink</v>
      </c>
      <c r="H61" s="754">
        <f>'Func Future Subs 2015'!H61</f>
        <v>2017</v>
      </c>
      <c r="I61" s="306">
        <f>+IF($H61=I$2,VLOOKUP($G61,Depreciation!$A$14:$L$18,7,FALSE)/2,IF($H61&lt;I$2,VLOOKUP($G61,Depreciation!$A$14:$L$18,7,FALSE),0))</f>
        <v>0</v>
      </c>
      <c r="J61" s="306">
        <f>+IF($H61=J$2,VLOOKUP($G61,Depreciation!$A$14:$L$18,8,FALSE)/2,IF($H61&lt;J$2,VLOOKUP($G61,Depreciation!$A$14:$L$18,8,FALSE),0))</f>
        <v>0</v>
      </c>
      <c r="K61" s="306">
        <f>+IF($H61=K$2,VLOOKUP($G61,Depreciation!$A$14:$L$18,9,FALSE)/2,IF($H61&lt;K$2,VLOOKUP($G61,Depreciation!$A$14:$L$18,9,FALSE),0))</f>
        <v>1.671703928371859E-2</v>
      </c>
      <c r="L61" s="306">
        <f>+IF($H61=L$2,VLOOKUP($G61,Depreciation!$A$14:$L$18,10,FALSE)/2,IF($H61&lt;L$2,VLOOKUP($G61,Depreciation!$A$14:$L$18,10,FALSE),0))</f>
        <v>3.343407856743718E-2</v>
      </c>
      <c r="M61" s="306">
        <f>+IF($H61=M$2,VLOOKUP($G61,Depreciation!$A$14:$L$18,11,FALSE)/2,IF($H61&lt;M$2,VLOOKUP($G61,Depreciation!$A$14:$L$18,11,FALSE),0))</f>
        <v>3.343407856743718E-2</v>
      </c>
      <c r="N61" s="306">
        <f>+IF($H61=N$2,VLOOKUP($G61,Depreciation!$A$14:$L$18,12,FALSE)/2,IF($H61&lt;N$2,VLOOKUP($G61,Depreciation!$A$14:$L$18,12,FALSE),0))</f>
        <v>3.343407856743718E-2</v>
      </c>
      <c r="O61" s="307">
        <f t="shared" si="1"/>
        <v>36367.009452156242</v>
      </c>
      <c r="P61" s="732">
        <f>'Func Future Subs 2015'!P61</f>
        <v>0.9116809116809117</v>
      </c>
      <c r="Q61" s="732">
        <f>'Func Future Subs 2015'!Q61</f>
        <v>8.8319088319088315E-2</v>
      </c>
      <c r="R61" s="732">
        <f>'Func Future Subs 2015'!R61</f>
        <v>0</v>
      </c>
      <c r="S61" s="735">
        <f t="shared" si="2"/>
        <v>33155.108332450138</v>
      </c>
      <c r="T61" s="735">
        <f t="shared" si="3"/>
        <v>3211.9011197061068</v>
      </c>
      <c r="U61" s="735">
        <f t="shared" si="4"/>
        <v>0</v>
      </c>
      <c r="V61" s="736">
        <f t="shared" si="5"/>
        <v>0</v>
      </c>
      <c r="W61" s="735">
        <f t="shared" si="6"/>
        <v>33155.108332450138</v>
      </c>
      <c r="X61" s="737">
        <f t="shared" si="7"/>
        <v>0</v>
      </c>
      <c r="Y61" s="738">
        <f t="shared" si="8"/>
        <v>3211.9011197061068</v>
      </c>
    </row>
    <row r="62" spans="1:27">
      <c r="A62" s="754" t="str">
        <f>'Func Future Subs 2015'!A62</f>
        <v>Benalto 17S</v>
      </c>
      <c r="B62" s="754">
        <f>'Func Future Subs 2015'!B62</f>
        <v>813</v>
      </c>
      <c r="C62" s="754">
        <f>'Func Future Subs 2015'!C62</f>
        <v>240</v>
      </c>
      <c r="D62" s="754">
        <f>'Func Future Subs 2015'!D62</f>
        <v>25</v>
      </c>
      <c r="E62" s="754" t="str">
        <f>'Func Future Subs 2015'!E62</f>
        <v>17S</v>
      </c>
      <c r="F62" s="754">
        <f>'Func Future Subs 2015'!F62</f>
        <v>8444000.0000000019</v>
      </c>
      <c r="G62" s="754" t="str">
        <f>'Func Future Subs 2015'!G62</f>
        <v>AltaLink</v>
      </c>
      <c r="H62" s="754">
        <f>'Func Future Subs 2015'!H62</f>
        <v>2017</v>
      </c>
      <c r="I62" s="306">
        <f>+IF($H62=I$2,VLOOKUP($G62,Depreciation!$A$14:$L$18,7,FALSE)/2,IF($H62&lt;I$2,VLOOKUP($G62,Depreciation!$A$14:$L$18,7,FALSE),0))</f>
        <v>0</v>
      </c>
      <c r="J62" s="306">
        <f>+IF($H62=J$2,VLOOKUP($G62,Depreciation!$A$14:$L$18,8,FALSE)/2,IF($H62&lt;J$2,VLOOKUP($G62,Depreciation!$A$14:$L$18,8,FALSE),0))</f>
        <v>0</v>
      </c>
      <c r="K62" s="306">
        <f>+IF($H62=K$2,VLOOKUP($G62,Depreciation!$A$14:$L$18,9,FALSE)/2,IF($H62&lt;K$2,VLOOKUP($G62,Depreciation!$A$14:$L$18,9,FALSE),0))</f>
        <v>1.671703928371859E-2</v>
      </c>
      <c r="L62" s="306">
        <f>+IF($H62=L$2,VLOOKUP($G62,Depreciation!$A$14:$L$18,10,FALSE)/2,IF($H62&lt;L$2,VLOOKUP($G62,Depreciation!$A$14:$L$18,10,FALSE),0))</f>
        <v>3.343407856743718E-2</v>
      </c>
      <c r="M62" s="306">
        <f>+IF($H62=M$2,VLOOKUP($G62,Depreciation!$A$14:$L$18,11,FALSE)/2,IF($H62&lt;M$2,VLOOKUP($G62,Depreciation!$A$14:$L$18,11,FALSE),0))</f>
        <v>3.343407856743718E-2</v>
      </c>
      <c r="N62" s="306">
        <f>+IF($H62=N$2,VLOOKUP($G62,Depreciation!$A$14:$L$18,12,FALSE)/2,IF($H62&lt;N$2,VLOOKUP($G62,Depreciation!$A$14:$L$18,12,FALSE),0))</f>
        <v>3.343407856743718E-2</v>
      </c>
      <c r="O62" s="307">
        <f t="shared" si="1"/>
        <v>7756926.8505121218</v>
      </c>
      <c r="P62" s="732">
        <f>'Func Future Subs 2015'!P62</f>
        <v>0</v>
      </c>
      <c r="Q62" s="732">
        <f>'Func Future Subs 2015'!Q62</f>
        <v>1</v>
      </c>
      <c r="R62" s="732">
        <f>'Func Future Subs 2015'!R62</f>
        <v>0</v>
      </c>
      <c r="S62" s="735">
        <f t="shared" si="2"/>
        <v>0</v>
      </c>
      <c r="T62" s="735">
        <f t="shared" si="3"/>
        <v>7756926.8505121218</v>
      </c>
      <c r="U62" s="735">
        <f t="shared" si="4"/>
        <v>0</v>
      </c>
      <c r="V62" s="736">
        <f t="shared" si="5"/>
        <v>0</v>
      </c>
      <c r="W62" s="735">
        <f t="shared" si="6"/>
        <v>0</v>
      </c>
      <c r="X62" s="737">
        <f t="shared" si="7"/>
        <v>0</v>
      </c>
      <c r="Y62" s="738">
        <f t="shared" si="8"/>
        <v>7756926.8505121218</v>
      </c>
    </row>
    <row r="63" spans="1:27">
      <c r="A63" s="754" t="str">
        <f>'Func Future Subs 2015'!A63</f>
        <v>Benalto 17S (GD - Johnson)</v>
      </c>
      <c r="B63" s="754">
        <f>'Func Future Subs 2015'!B63</f>
        <v>813</v>
      </c>
      <c r="C63" s="754">
        <f>'Func Future Subs 2015'!C63</f>
        <v>240</v>
      </c>
      <c r="D63" s="754">
        <f>'Func Future Subs 2015'!D63</f>
        <v>25</v>
      </c>
      <c r="E63" s="754" t="str">
        <f>'Func Future Subs 2015'!E63</f>
        <v>17S</v>
      </c>
      <c r="F63" s="754">
        <f>'Func Future Subs 2015'!F63</f>
        <v>134255.74682330378</v>
      </c>
      <c r="G63" s="754" t="str">
        <f>'Func Future Subs 2015'!G63</f>
        <v>AltaLink</v>
      </c>
      <c r="H63" s="754">
        <f>'Func Future Subs 2015'!H63</f>
        <v>2017</v>
      </c>
      <c r="I63" s="306">
        <f>+IF($H63=I$2,VLOOKUP($G63,Depreciation!$A$14:$L$18,7,FALSE)/2,IF($H63&lt;I$2,VLOOKUP($G63,Depreciation!$A$14:$L$18,7,FALSE),0))</f>
        <v>0</v>
      </c>
      <c r="J63" s="306">
        <f>+IF($H63=J$2,VLOOKUP($G63,Depreciation!$A$14:$L$18,8,FALSE)/2,IF($H63&lt;J$2,VLOOKUP($G63,Depreciation!$A$14:$L$18,8,FALSE),0))</f>
        <v>0</v>
      </c>
      <c r="K63" s="306">
        <f>+IF($H63=K$2,VLOOKUP($G63,Depreciation!$A$14:$L$18,9,FALSE)/2,IF($H63&lt;K$2,VLOOKUP($G63,Depreciation!$A$14:$L$18,9,FALSE),0))</f>
        <v>1.671703928371859E-2</v>
      </c>
      <c r="L63" s="306">
        <f>+IF($H63=L$2,VLOOKUP($G63,Depreciation!$A$14:$L$18,10,FALSE)/2,IF($H63&lt;L$2,VLOOKUP($G63,Depreciation!$A$14:$L$18,10,FALSE),0))</f>
        <v>3.343407856743718E-2</v>
      </c>
      <c r="M63" s="306">
        <f>+IF($H63=M$2,VLOOKUP($G63,Depreciation!$A$14:$L$18,11,FALSE)/2,IF($H63&lt;M$2,VLOOKUP($G63,Depreciation!$A$14:$L$18,11,FALSE),0))</f>
        <v>3.343407856743718E-2</v>
      </c>
      <c r="N63" s="306">
        <f>+IF($H63=N$2,VLOOKUP($G63,Depreciation!$A$14:$L$18,12,FALSE)/2,IF($H63&lt;N$2,VLOOKUP($G63,Depreciation!$A$14:$L$18,12,FALSE),0))</f>
        <v>3.343407856743718E-2</v>
      </c>
      <c r="O63" s="307">
        <f t="shared" si="1"/>
        <v>123331.59727252988</v>
      </c>
      <c r="P63" s="732">
        <f>'Func Future Subs 2015'!P63</f>
        <v>0</v>
      </c>
      <c r="Q63" s="732">
        <f>'Func Future Subs 2015'!Q63</f>
        <v>1</v>
      </c>
      <c r="R63" s="732">
        <f>'Func Future Subs 2015'!R63</f>
        <v>0</v>
      </c>
      <c r="S63" s="735">
        <f t="shared" si="2"/>
        <v>0</v>
      </c>
      <c r="T63" s="735">
        <f t="shared" si="3"/>
        <v>123331.59727252988</v>
      </c>
      <c r="U63" s="735">
        <f t="shared" si="4"/>
        <v>0</v>
      </c>
      <c r="V63" s="736">
        <f t="shared" si="5"/>
        <v>0</v>
      </c>
      <c r="W63" s="735">
        <f t="shared" si="6"/>
        <v>0</v>
      </c>
      <c r="X63" s="737">
        <f t="shared" si="7"/>
        <v>0</v>
      </c>
      <c r="Y63" s="738">
        <f t="shared" si="8"/>
        <v>123331.59727252988</v>
      </c>
    </row>
    <row r="64" spans="1:27">
      <c r="A64" s="754" t="str">
        <f>'Func Future Subs 2015'!A64</f>
        <v>Benalto 17S (GD Hazel)</v>
      </c>
      <c r="B64" s="754">
        <f>'Func Future Subs 2015'!B64</f>
        <v>813</v>
      </c>
      <c r="C64" s="754">
        <f>'Func Future Subs 2015'!C64</f>
        <v>240</v>
      </c>
      <c r="D64" s="754">
        <f>'Func Future Subs 2015'!D64</f>
        <v>25</v>
      </c>
      <c r="E64" s="754" t="str">
        <f>'Func Future Subs 2015'!E64</f>
        <v>17S</v>
      </c>
      <c r="F64" s="754">
        <f>'Func Future Subs 2015'!F64</f>
        <v>20654.730280508273</v>
      </c>
      <c r="G64" s="754" t="str">
        <f>'Func Future Subs 2015'!G64</f>
        <v>AltaLink</v>
      </c>
      <c r="H64" s="754">
        <f>'Func Future Subs 2015'!H64</f>
        <v>2017</v>
      </c>
      <c r="I64" s="306">
        <f>+IF($H64=I$2,VLOOKUP($G64,Depreciation!$A$14:$L$18,7,FALSE)/2,IF($H64&lt;I$2,VLOOKUP($G64,Depreciation!$A$14:$L$18,7,FALSE),0))</f>
        <v>0</v>
      </c>
      <c r="J64" s="306">
        <f>+IF($H64=J$2,VLOOKUP($G64,Depreciation!$A$14:$L$18,8,FALSE)/2,IF($H64&lt;J$2,VLOOKUP($G64,Depreciation!$A$14:$L$18,8,FALSE),0))</f>
        <v>0</v>
      </c>
      <c r="K64" s="306">
        <f>+IF($H64=K$2,VLOOKUP($G64,Depreciation!$A$14:$L$18,9,FALSE)/2,IF($H64&lt;K$2,VLOOKUP($G64,Depreciation!$A$14:$L$18,9,FALSE),0))</f>
        <v>1.671703928371859E-2</v>
      </c>
      <c r="L64" s="306">
        <f>+IF($H64=L$2,VLOOKUP($G64,Depreciation!$A$14:$L$18,10,FALSE)/2,IF($H64&lt;L$2,VLOOKUP($G64,Depreciation!$A$14:$L$18,10,FALSE),0))</f>
        <v>3.343407856743718E-2</v>
      </c>
      <c r="M64" s="306">
        <f>+IF($H64=M$2,VLOOKUP($G64,Depreciation!$A$14:$L$18,11,FALSE)/2,IF($H64&lt;M$2,VLOOKUP($G64,Depreciation!$A$14:$L$18,11,FALSE),0))</f>
        <v>3.343407856743718E-2</v>
      </c>
      <c r="N64" s="306">
        <f>+IF($H64=N$2,VLOOKUP($G64,Depreciation!$A$14:$L$18,12,FALSE)/2,IF($H64&lt;N$2,VLOOKUP($G64,Depreciation!$A$14:$L$18,12,FALSE),0))</f>
        <v>3.343407856743718E-2</v>
      </c>
      <c r="O64" s="307">
        <f t="shared" si="1"/>
        <v>18974.091888081522</v>
      </c>
      <c r="P64" s="732">
        <f>'Func Future Subs 2015'!P64</f>
        <v>0</v>
      </c>
      <c r="Q64" s="732">
        <f>'Func Future Subs 2015'!Q64</f>
        <v>1</v>
      </c>
      <c r="R64" s="732">
        <f>'Func Future Subs 2015'!R64</f>
        <v>0</v>
      </c>
      <c r="S64" s="735">
        <f t="shared" si="2"/>
        <v>0</v>
      </c>
      <c r="T64" s="735">
        <f t="shared" si="3"/>
        <v>18974.091888081522</v>
      </c>
      <c r="U64" s="735">
        <f t="shared" si="4"/>
        <v>0</v>
      </c>
      <c r="V64" s="736">
        <f t="shared" si="5"/>
        <v>0</v>
      </c>
      <c r="W64" s="735">
        <f t="shared" si="6"/>
        <v>0</v>
      </c>
      <c r="X64" s="737">
        <f t="shared" si="7"/>
        <v>0</v>
      </c>
      <c r="Y64" s="738">
        <f t="shared" si="8"/>
        <v>18974.091888081522</v>
      </c>
    </row>
    <row r="65" spans="1:25">
      <c r="A65" s="754" t="str">
        <f>'Func Future Subs 2015'!A65</f>
        <v>Benalto 17S (LR)</v>
      </c>
      <c r="B65" s="754">
        <f>'Func Future Subs 2015'!B65</f>
        <v>813</v>
      </c>
      <c r="C65" s="754">
        <f>'Func Future Subs 2015'!C65</f>
        <v>138</v>
      </c>
      <c r="D65" s="754">
        <f>'Func Future Subs 2015'!D65</f>
        <v>25</v>
      </c>
      <c r="E65" s="754" t="str">
        <f>'Func Future Subs 2015'!E65</f>
        <v>17S</v>
      </c>
      <c r="F65" s="754">
        <f>'Func Future Subs 2015'!F65</f>
        <v>655703.2937070569</v>
      </c>
      <c r="G65" s="754" t="str">
        <f>'Func Future Subs 2015'!G65</f>
        <v>AltaLink</v>
      </c>
      <c r="H65" s="754">
        <f>'Func Future Subs 2015'!H65</f>
        <v>2017</v>
      </c>
      <c r="I65" s="306">
        <f>+IF($H65=I$2,VLOOKUP($G65,Depreciation!$A$14:$L$18,7,FALSE)/2,IF($H65&lt;I$2,VLOOKUP($G65,Depreciation!$A$14:$L$18,7,FALSE),0))</f>
        <v>0</v>
      </c>
      <c r="J65" s="306">
        <f>+IF($H65=J$2,VLOOKUP($G65,Depreciation!$A$14:$L$18,8,FALSE)/2,IF($H65&lt;J$2,VLOOKUP($G65,Depreciation!$A$14:$L$18,8,FALSE),0))</f>
        <v>0</v>
      </c>
      <c r="K65" s="306">
        <f>+IF($H65=K$2,VLOOKUP($G65,Depreciation!$A$14:$L$18,9,FALSE)/2,IF($H65&lt;K$2,VLOOKUP($G65,Depreciation!$A$14:$L$18,9,FALSE),0))</f>
        <v>1.671703928371859E-2</v>
      </c>
      <c r="L65" s="306">
        <f>+IF($H65=L$2,VLOOKUP($G65,Depreciation!$A$14:$L$18,10,FALSE)/2,IF($H65&lt;L$2,VLOOKUP($G65,Depreciation!$A$14:$L$18,10,FALSE),0))</f>
        <v>3.343407856743718E-2</v>
      </c>
      <c r="M65" s="306">
        <f>+IF($H65=M$2,VLOOKUP($G65,Depreciation!$A$14:$L$18,11,FALSE)/2,IF($H65&lt;M$2,VLOOKUP($G65,Depreciation!$A$14:$L$18,11,FALSE),0))</f>
        <v>3.343407856743718E-2</v>
      </c>
      <c r="N65" s="306">
        <f>+IF($H65=N$2,VLOOKUP($G65,Depreciation!$A$14:$L$18,12,FALSE)/2,IF($H65&lt;N$2,VLOOKUP($G65,Depreciation!$A$14:$L$18,12,FALSE),0))</f>
        <v>3.343407856743718E-2</v>
      </c>
      <c r="O65" s="307">
        <f t="shared" si="1"/>
        <v>602349.89163021126</v>
      </c>
      <c r="P65" s="732">
        <f>'Func Future Subs 2015'!P65</f>
        <v>0</v>
      </c>
      <c r="Q65" s="732">
        <f>'Func Future Subs 2015'!Q65</f>
        <v>1</v>
      </c>
      <c r="R65" s="732">
        <f>'Func Future Subs 2015'!R65</f>
        <v>0</v>
      </c>
      <c r="S65" s="735">
        <f t="shared" si="2"/>
        <v>0</v>
      </c>
      <c r="T65" s="735">
        <f t="shared" si="3"/>
        <v>602349.89163021126</v>
      </c>
      <c r="U65" s="735">
        <f t="shared" si="4"/>
        <v>0</v>
      </c>
      <c r="V65" s="736">
        <f t="shared" si="5"/>
        <v>0</v>
      </c>
      <c r="W65" s="735">
        <f t="shared" si="6"/>
        <v>0</v>
      </c>
      <c r="X65" s="737">
        <f t="shared" si="7"/>
        <v>0</v>
      </c>
      <c r="Y65" s="738">
        <f t="shared" si="8"/>
        <v>602349.89163021126</v>
      </c>
    </row>
    <row r="66" spans="1:25">
      <c r="A66" s="754" t="str">
        <f>'Func Future Subs 2015'!A66</f>
        <v>Capacitor Bank at Joffre 535S</v>
      </c>
      <c r="B66" s="754">
        <f>'Func Future Subs 2015'!B66</f>
        <v>813</v>
      </c>
      <c r="C66" s="754">
        <f>'Func Future Subs 2015'!C66</f>
        <v>138</v>
      </c>
      <c r="D66" s="754">
        <f>'Func Future Subs 2015'!D66</f>
        <v>25</v>
      </c>
      <c r="E66" s="754" t="str">
        <f>'Func Future Subs 2015'!E66</f>
        <v>535S</v>
      </c>
      <c r="F66" s="754">
        <f>'Func Future Subs 2015'!F66</f>
        <v>2796588.4995215004</v>
      </c>
      <c r="G66" s="754" t="str">
        <f>'Func Future Subs 2015'!G66</f>
        <v>AltaLink</v>
      </c>
      <c r="H66" s="754">
        <f>'Func Future Subs 2015'!H66</f>
        <v>2017</v>
      </c>
      <c r="I66" s="306">
        <f>+IF($H66=I$2,VLOOKUP($G66,Depreciation!$A$14:$L$18,7,FALSE)/2,IF($H66&lt;I$2,VLOOKUP($G66,Depreciation!$A$14:$L$18,7,FALSE),0))</f>
        <v>0</v>
      </c>
      <c r="J66" s="306">
        <f>+IF($H66=J$2,VLOOKUP($G66,Depreciation!$A$14:$L$18,8,FALSE)/2,IF($H66&lt;J$2,VLOOKUP($G66,Depreciation!$A$14:$L$18,8,FALSE),0))</f>
        <v>0</v>
      </c>
      <c r="K66" s="306">
        <f>+IF($H66=K$2,VLOOKUP($G66,Depreciation!$A$14:$L$18,9,FALSE)/2,IF($H66&lt;K$2,VLOOKUP($G66,Depreciation!$A$14:$L$18,9,FALSE),0))</f>
        <v>1.671703928371859E-2</v>
      </c>
      <c r="L66" s="306">
        <f>+IF($H66=L$2,VLOOKUP($G66,Depreciation!$A$14:$L$18,10,FALSE)/2,IF($H66&lt;L$2,VLOOKUP($G66,Depreciation!$A$14:$L$18,10,FALSE),0))</f>
        <v>3.343407856743718E-2</v>
      </c>
      <c r="M66" s="306">
        <f>+IF($H66=M$2,VLOOKUP($G66,Depreciation!$A$14:$L$18,11,FALSE)/2,IF($H66&lt;M$2,VLOOKUP($G66,Depreciation!$A$14:$L$18,11,FALSE),0))</f>
        <v>3.343407856743718E-2</v>
      </c>
      <c r="N66" s="306">
        <f>+IF($H66=N$2,VLOOKUP($G66,Depreciation!$A$14:$L$18,12,FALSE)/2,IF($H66&lt;N$2,VLOOKUP($G66,Depreciation!$A$14:$L$18,12,FALSE),0))</f>
        <v>3.343407856743718E-2</v>
      </c>
      <c r="O66" s="307">
        <f t="shared" si="1"/>
        <v>2569035.1044258322</v>
      </c>
      <c r="P66" s="732">
        <f>'Func Future Subs 2015'!P66</f>
        <v>0.7403207006269098</v>
      </c>
      <c r="Q66" s="732">
        <f>'Func Future Subs 2015'!Q66</f>
        <v>0.25967929937309009</v>
      </c>
      <c r="R66" s="732">
        <f>'Func Future Subs 2015'!R66</f>
        <v>0</v>
      </c>
      <c r="S66" s="735">
        <f t="shared" si="2"/>
        <v>1901909.8684436583</v>
      </c>
      <c r="T66" s="735">
        <f t="shared" si="3"/>
        <v>667125.23598217347</v>
      </c>
      <c r="U66" s="735">
        <f t="shared" si="4"/>
        <v>0</v>
      </c>
      <c r="V66" s="736">
        <f t="shared" si="5"/>
        <v>0</v>
      </c>
      <c r="W66" s="735">
        <f t="shared" si="6"/>
        <v>1901909.8684436583</v>
      </c>
      <c r="X66" s="737">
        <f t="shared" si="7"/>
        <v>0</v>
      </c>
      <c r="Y66" s="738">
        <f t="shared" si="8"/>
        <v>667125.23598217347</v>
      </c>
    </row>
    <row r="67" spans="1:25">
      <c r="A67" s="754" t="str">
        <f>'Func Future Subs 2015'!A67</f>
        <v>Capacitor Bank at Joffre 535S (dev12)</v>
      </c>
      <c r="B67" s="754">
        <f>'Func Future Subs 2015'!B67</f>
        <v>813</v>
      </c>
      <c r="C67" s="754">
        <f>'Func Future Subs 2015'!C67</f>
        <v>138</v>
      </c>
      <c r="D67" s="754">
        <f>'Func Future Subs 2015'!D67</f>
        <v>25</v>
      </c>
      <c r="E67" s="754" t="str">
        <f>'Func Future Subs 2015'!E67</f>
        <v>535S</v>
      </c>
      <c r="F67" s="754">
        <f>'Func Future Subs 2015'!F67</f>
        <v>323419.86019997793</v>
      </c>
      <c r="G67" s="754" t="str">
        <f>'Func Future Subs 2015'!G67</f>
        <v>AltaLink</v>
      </c>
      <c r="H67" s="754">
        <f>'Func Future Subs 2015'!H67</f>
        <v>2017</v>
      </c>
      <c r="I67" s="306">
        <f>+IF($H67=I$2,VLOOKUP($G67,Depreciation!$A$14:$L$18,7,FALSE)/2,IF($H67&lt;I$2,VLOOKUP($G67,Depreciation!$A$14:$L$18,7,FALSE),0))</f>
        <v>0</v>
      </c>
      <c r="J67" s="306">
        <f>+IF($H67=J$2,VLOOKUP($G67,Depreciation!$A$14:$L$18,8,FALSE)/2,IF($H67&lt;J$2,VLOOKUP($G67,Depreciation!$A$14:$L$18,8,FALSE),0))</f>
        <v>0</v>
      </c>
      <c r="K67" s="306">
        <f>+IF($H67=K$2,VLOOKUP($G67,Depreciation!$A$14:$L$18,9,FALSE)/2,IF($H67&lt;K$2,VLOOKUP($G67,Depreciation!$A$14:$L$18,9,FALSE),0))</f>
        <v>1.671703928371859E-2</v>
      </c>
      <c r="L67" s="306">
        <f>+IF($H67=L$2,VLOOKUP($G67,Depreciation!$A$14:$L$18,10,FALSE)/2,IF($H67&lt;L$2,VLOOKUP($G67,Depreciation!$A$14:$L$18,10,FALSE),0))</f>
        <v>3.343407856743718E-2</v>
      </c>
      <c r="M67" s="306">
        <f>+IF($H67=M$2,VLOOKUP($G67,Depreciation!$A$14:$L$18,11,FALSE)/2,IF($H67&lt;M$2,VLOOKUP($G67,Depreciation!$A$14:$L$18,11,FALSE),0))</f>
        <v>3.343407856743718E-2</v>
      </c>
      <c r="N67" s="306">
        <f>+IF($H67=N$2,VLOOKUP($G67,Depreciation!$A$14:$L$18,12,FALSE)/2,IF($H67&lt;N$2,VLOOKUP($G67,Depreciation!$A$14:$L$18,12,FALSE),0))</f>
        <v>3.343407856743718E-2</v>
      </c>
      <c r="O67" s="307">
        <f t="shared" si="1"/>
        <v>297103.76570038905</v>
      </c>
      <c r="P67" s="732">
        <f>'Func Future Subs 2015'!P67</f>
        <v>0.7403207006269098</v>
      </c>
      <c r="Q67" s="732">
        <f>'Func Future Subs 2015'!Q67</f>
        <v>0.25967929937309009</v>
      </c>
      <c r="R67" s="732">
        <f>'Func Future Subs 2015'!R67</f>
        <v>0</v>
      </c>
      <c r="S67" s="735">
        <f t="shared" si="2"/>
        <v>219952.06798220528</v>
      </c>
      <c r="T67" s="735">
        <f t="shared" si="3"/>
        <v>77151.697718183743</v>
      </c>
      <c r="U67" s="735">
        <f t="shared" si="4"/>
        <v>0</v>
      </c>
      <c r="V67" s="736">
        <f t="shared" si="5"/>
        <v>0</v>
      </c>
      <c r="W67" s="735">
        <f t="shared" si="6"/>
        <v>219952.06798220528</v>
      </c>
      <c r="X67" s="737">
        <f t="shared" si="7"/>
        <v>0</v>
      </c>
      <c r="Y67" s="738">
        <f t="shared" si="8"/>
        <v>77151.697718183743</v>
      </c>
    </row>
    <row r="68" spans="1:25">
      <c r="A68" s="754" t="str">
        <f>'Func Future Subs 2015'!A68</f>
        <v>Development at Beddington 162S</v>
      </c>
      <c r="B68" s="754">
        <f>'Func Future Subs 2015'!B68</f>
        <v>813</v>
      </c>
      <c r="C68" s="754">
        <f>'Func Future Subs 2015'!C68</f>
        <v>240</v>
      </c>
      <c r="D68" s="754">
        <f>'Func Future Subs 2015'!D68</f>
        <v>25</v>
      </c>
      <c r="E68" s="754" t="str">
        <f>'Func Future Subs 2015'!E68</f>
        <v>162S</v>
      </c>
      <c r="F68" s="754">
        <f>'Func Future Subs 2015'!F68</f>
        <v>36791.145939886468</v>
      </c>
      <c r="G68" s="754" t="str">
        <f>'Func Future Subs 2015'!G68</f>
        <v>AltaLink</v>
      </c>
      <c r="H68" s="754">
        <f>'Func Future Subs 2015'!H68</f>
        <v>2017</v>
      </c>
      <c r="I68" s="306">
        <f>+IF($H68=I$2,VLOOKUP($G68,Depreciation!$A$14:$L$18,7,FALSE)/2,IF($H68&lt;I$2,VLOOKUP($G68,Depreciation!$A$14:$L$18,7,FALSE),0))</f>
        <v>0</v>
      </c>
      <c r="J68" s="306">
        <f>+IF($H68=J$2,VLOOKUP($G68,Depreciation!$A$14:$L$18,8,FALSE)/2,IF($H68&lt;J$2,VLOOKUP($G68,Depreciation!$A$14:$L$18,8,FALSE),0))</f>
        <v>0</v>
      </c>
      <c r="K68" s="306">
        <f>+IF($H68=K$2,VLOOKUP($G68,Depreciation!$A$14:$L$18,9,FALSE)/2,IF($H68&lt;K$2,VLOOKUP($G68,Depreciation!$A$14:$L$18,9,FALSE),0))</f>
        <v>1.671703928371859E-2</v>
      </c>
      <c r="L68" s="306">
        <f>+IF($H68=L$2,VLOOKUP($G68,Depreciation!$A$14:$L$18,10,FALSE)/2,IF($H68&lt;L$2,VLOOKUP($G68,Depreciation!$A$14:$L$18,10,FALSE),0))</f>
        <v>3.343407856743718E-2</v>
      </c>
      <c r="M68" s="306">
        <f>+IF($H68=M$2,VLOOKUP($G68,Depreciation!$A$14:$L$18,11,FALSE)/2,IF($H68&lt;M$2,VLOOKUP($G68,Depreciation!$A$14:$L$18,11,FALSE),0))</f>
        <v>3.343407856743718E-2</v>
      </c>
      <c r="N68" s="306">
        <f>+IF($H68=N$2,VLOOKUP($G68,Depreciation!$A$14:$L$18,12,FALSE)/2,IF($H68&lt;N$2,VLOOKUP($G68,Depreciation!$A$14:$L$18,12,FALSE),0))</f>
        <v>3.343407856743718E-2</v>
      </c>
      <c r="O68" s="307">
        <f t="shared" ref="O68:O131" si="9">IF(H68&lt;=2019,F68*(1-I68)*(1-J68)*(1-K68)*(1-L68)*(1-M68),0)</f>
        <v>33797.516319542316</v>
      </c>
      <c r="P68" s="732">
        <f>'Func Future Subs 2015'!P68</f>
        <v>0.9116809116809117</v>
      </c>
      <c r="Q68" s="732">
        <f>'Func Future Subs 2015'!Q68</f>
        <v>8.8319088319088315E-2</v>
      </c>
      <c r="R68" s="732">
        <f>'Func Future Subs 2015'!R68</f>
        <v>0</v>
      </c>
      <c r="S68" s="735">
        <f t="shared" ref="S68:S131" si="10">+P68*$O68</f>
        <v>30812.550490750829</v>
      </c>
      <c r="T68" s="735">
        <f t="shared" ref="T68:T131" si="11">+Q68*$O68</f>
        <v>2984.9658287914863</v>
      </c>
      <c r="U68" s="735">
        <f t="shared" ref="U68:U131" si="12">+R68*$O68</f>
        <v>0</v>
      </c>
      <c r="V68" s="736">
        <f t="shared" ref="V68:V131" si="13">IF(AND(R68=1,D68=0),O68,0)</f>
        <v>0</v>
      </c>
      <c r="W68" s="735">
        <f t="shared" ref="W68:W131" si="14">S68+IF(D68&gt;144,U68,0)</f>
        <v>30812.550490750829</v>
      </c>
      <c r="X68" s="737">
        <f t="shared" ref="X68:X131" si="15">IF(AND(D68&lt;=144,D68&gt;=69),U68,0)</f>
        <v>0</v>
      </c>
      <c r="Y68" s="738">
        <f t="shared" ref="Y68:Y131" si="16">T68+IF(AND(D68&lt;69,D68&gt;0),U68,0)</f>
        <v>2984.9658287914863</v>
      </c>
    </row>
    <row r="69" spans="1:25">
      <c r="A69" s="754" t="str">
        <f>'Func Future Subs 2015'!A69</f>
        <v>Development at Benalto 17S</v>
      </c>
      <c r="B69" s="754">
        <f>'Func Future Subs 2015'!B69</f>
        <v>813</v>
      </c>
      <c r="C69" s="754">
        <f>'Func Future Subs 2015'!C69</f>
        <v>240</v>
      </c>
      <c r="D69" s="754">
        <f>'Func Future Subs 2015'!D69</f>
        <v>25</v>
      </c>
      <c r="E69" s="754" t="str">
        <f>'Func Future Subs 2015'!E69</f>
        <v>17S</v>
      </c>
      <c r="F69" s="754">
        <f>'Func Future Subs 2015'!F69</f>
        <v>5892088.7617147239</v>
      </c>
      <c r="G69" s="754" t="str">
        <f>'Func Future Subs 2015'!G69</f>
        <v>AltaLink</v>
      </c>
      <c r="H69" s="754">
        <f>'Func Future Subs 2015'!H69</f>
        <v>2017</v>
      </c>
      <c r="I69" s="306">
        <f>+IF($H69=I$2,VLOOKUP($G69,Depreciation!$A$14:$L$18,7,FALSE)/2,IF($H69&lt;I$2,VLOOKUP($G69,Depreciation!$A$14:$L$18,7,FALSE),0))</f>
        <v>0</v>
      </c>
      <c r="J69" s="306">
        <f>+IF($H69=J$2,VLOOKUP($G69,Depreciation!$A$14:$L$18,8,FALSE)/2,IF($H69&lt;J$2,VLOOKUP($G69,Depreciation!$A$14:$L$18,8,FALSE),0))</f>
        <v>0</v>
      </c>
      <c r="K69" s="306">
        <f>+IF($H69=K$2,VLOOKUP($G69,Depreciation!$A$14:$L$18,9,FALSE)/2,IF($H69&lt;K$2,VLOOKUP($G69,Depreciation!$A$14:$L$18,9,FALSE),0))</f>
        <v>1.671703928371859E-2</v>
      </c>
      <c r="L69" s="306">
        <f>+IF($H69=L$2,VLOOKUP($G69,Depreciation!$A$14:$L$18,10,FALSE)/2,IF($H69&lt;L$2,VLOOKUP($G69,Depreciation!$A$14:$L$18,10,FALSE),0))</f>
        <v>3.343407856743718E-2</v>
      </c>
      <c r="M69" s="306">
        <f>+IF($H69=M$2,VLOOKUP($G69,Depreciation!$A$14:$L$18,11,FALSE)/2,IF($H69&lt;M$2,VLOOKUP($G69,Depreciation!$A$14:$L$18,11,FALSE),0))</f>
        <v>3.343407856743718E-2</v>
      </c>
      <c r="N69" s="306">
        <f>+IF($H69=N$2,VLOOKUP($G69,Depreciation!$A$14:$L$18,12,FALSE)/2,IF($H69&lt;N$2,VLOOKUP($G69,Depreciation!$A$14:$L$18,12,FALSE),0))</f>
        <v>3.343407856743718E-2</v>
      </c>
      <c r="O69" s="307">
        <f t="shared" si="9"/>
        <v>5412660.0570044592</v>
      </c>
      <c r="P69" s="732">
        <f>'Func Future Subs 2015'!P69</f>
        <v>0</v>
      </c>
      <c r="Q69" s="732">
        <f>'Func Future Subs 2015'!Q69</f>
        <v>1</v>
      </c>
      <c r="R69" s="732">
        <f>'Func Future Subs 2015'!R69</f>
        <v>0</v>
      </c>
      <c r="S69" s="735">
        <f t="shared" si="10"/>
        <v>0</v>
      </c>
      <c r="T69" s="735">
        <f t="shared" si="11"/>
        <v>5412660.0570044592</v>
      </c>
      <c r="U69" s="735">
        <f t="shared" si="12"/>
        <v>0</v>
      </c>
      <c r="V69" s="736">
        <f t="shared" si="13"/>
        <v>0</v>
      </c>
      <c r="W69" s="735">
        <f t="shared" si="14"/>
        <v>0</v>
      </c>
      <c r="X69" s="737">
        <f t="shared" si="15"/>
        <v>0</v>
      </c>
      <c r="Y69" s="738">
        <f t="shared" si="16"/>
        <v>5412660.0570044592</v>
      </c>
    </row>
    <row r="70" spans="1:25">
      <c r="A70" s="754" t="str">
        <f>'Func Future Subs 2015'!A70</f>
        <v>Development at Benalto 17S (dev2)</v>
      </c>
      <c r="B70" s="754">
        <f>'Func Future Subs 2015'!B70</f>
        <v>813</v>
      </c>
      <c r="C70" s="754">
        <f>'Func Future Subs 2015'!C70</f>
        <v>240</v>
      </c>
      <c r="D70" s="754">
        <f>'Func Future Subs 2015'!D70</f>
        <v>25</v>
      </c>
      <c r="E70" s="754" t="str">
        <f>'Func Future Subs 2015'!E70</f>
        <v>17S</v>
      </c>
      <c r="F70" s="754">
        <f>'Func Future Subs 2015'!F70</f>
        <v>36791.145939886468</v>
      </c>
      <c r="G70" s="754" t="str">
        <f>'Func Future Subs 2015'!G70</f>
        <v>AltaLink</v>
      </c>
      <c r="H70" s="754">
        <f>'Func Future Subs 2015'!H70</f>
        <v>2017</v>
      </c>
      <c r="I70" s="306">
        <f>+IF($H70=I$2,VLOOKUP($G70,Depreciation!$A$14:$L$18,7,FALSE)/2,IF($H70&lt;I$2,VLOOKUP($G70,Depreciation!$A$14:$L$18,7,FALSE),0))</f>
        <v>0</v>
      </c>
      <c r="J70" s="306">
        <f>+IF($H70=J$2,VLOOKUP($G70,Depreciation!$A$14:$L$18,8,FALSE)/2,IF($H70&lt;J$2,VLOOKUP($G70,Depreciation!$A$14:$L$18,8,FALSE),0))</f>
        <v>0</v>
      </c>
      <c r="K70" s="306">
        <f>+IF($H70=K$2,VLOOKUP($G70,Depreciation!$A$14:$L$18,9,FALSE)/2,IF($H70&lt;K$2,VLOOKUP($G70,Depreciation!$A$14:$L$18,9,FALSE),0))</f>
        <v>1.671703928371859E-2</v>
      </c>
      <c r="L70" s="306">
        <f>+IF($H70=L$2,VLOOKUP($G70,Depreciation!$A$14:$L$18,10,FALSE)/2,IF($H70&lt;L$2,VLOOKUP($G70,Depreciation!$A$14:$L$18,10,FALSE),0))</f>
        <v>3.343407856743718E-2</v>
      </c>
      <c r="M70" s="306">
        <f>+IF($H70=M$2,VLOOKUP($G70,Depreciation!$A$14:$L$18,11,FALSE)/2,IF($H70&lt;M$2,VLOOKUP($G70,Depreciation!$A$14:$L$18,11,FALSE),0))</f>
        <v>3.343407856743718E-2</v>
      </c>
      <c r="N70" s="306">
        <f>+IF($H70=N$2,VLOOKUP($G70,Depreciation!$A$14:$L$18,12,FALSE)/2,IF($H70&lt;N$2,VLOOKUP($G70,Depreciation!$A$14:$L$18,12,FALSE),0))</f>
        <v>3.343407856743718E-2</v>
      </c>
      <c r="O70" s="307">
        <f t="shared" si="9"/>
        <v>33797.516319542316</v>
      </c>
      <c r="P70" s="732">
        <f>'Func Future Subs 2015'!P70</f>
        <v>0</v>
      </c>
      <c r="Q70" s="732">
        <f>'Func Future Subs 2015'!Q70</f>
        <v>1</v>
      </c>
      <c r="R70" s="732">
        <f>'Func Future Subs 2015'!R70</f>
        <v>0</v>
      </c>
      <c r="S70" s="735">
        <f t="shared" si="10"/>
        <v>0</v>
      </c>
      <c r="T70" s="735">
        <f t="shared" si="11"/>
        <v>33797.516319542316</v>
      </c>
      <c r="U70" s="735">
        <f t="shared" si="12"/>
        <v>0</v>
      </c>
      <c r="V70" s="736">
        <f t="shared" si="13"/>
        <v>0</v>
      </c>
      <c r="W70" s="735">
        <f t="shared" si="14"/>
        <v>0</v>
      </c>
      <c r="X70" s="737">
        <f t="shared" si="15"/>
        <v>0</v>
      </c>
      <c r="Y70" s="738">
        <f t="shared" si="16"/>
        <v>33797.516319542316</v>
      </c>
    </row>
    <row r="71" spans="1:25">
      <c r="A71" s="754" t="str">
        <f>'Func Future Subs 2015'!A71</f>
        <v>Development at Benalto 17S (dev21)</v>
      </c>
      <c r="B71" s="754">
        <f>'Func Future Subs 2015'!B71</f>
        <v>813</v>
      </c>
      <c r="C71" s="754">
        <f>'Func Future Subs 2015'!C71</f>
        <v>240</v>
      </c>
      <c r="D71" s="754">
        <f>'Func Future Subs 2015'!D71</f>
        <v>25</v>
      </c>
      <c r="E71" s="754" t="str">
        <f>'Func Future Subs 2015'!E71</f>
        <v>17S</v>
      </c>
      <c r="F71" s="754">
        <f>'Func Future Subs 2015'!F71</f>
        <v>350767.67769415543</v>
      </c>
      <c r="G71" s="754" t="str">
        <f>'Func Future Subs 2015'!G71</f>
        <v>AltaLink</v>
      </c>
      <c r="H71" s="754">
        <f>'Func Future Subs 2015'!H71</f>
        <v>2017</v>
      </c>
      <c r="I71" s="306">
        <f>+IF($H71=I$2,VLOOKUP($G71,Depreciation!$A$14:$L$18,7,FALSE)/2,IF($H71&lt;I$2,VLOOKUP($G71,Depreciation!$A$14:$L$18,7,FALSE),0))</f>
        <v>0</v>
      </c>
      <c r="J71" s="306">
        <f>+IF($H71=J$2,VLOOKUP($G71,Depreciation!$A$14:$L$18,8,FALSE)/2,IF($H71&lt;J$2,VLOOKUP($G71,Depreciation!$A$14:$L$18,8,FALSE),0))</f>
        <v>0</v>
      </c>
      <c r="K71" s="306">
        <f>+IF($H71=K$2,VLOOKUP($G71,Depreciation!$A$14:$L$18,9,FALSE)/2,IF($H71&lt;K$2,VLOOKUP($G71,Depreciation!$A$14:$L$18,9,FALSE),0))</f>
        <v>1.671703928371859E-2</v>
      </c>
      <c r="L71" s="306">
        <f>+IF($H71=L$2,VLOOKUP($G71,Depreciation!$A$14:$L$18,10,FALSE)/2,IF($H71&lt;L$2,VLOOKUP($G71,Depreciation!$A$14:$L$18,10,FALSE),0))</f>
        <v>3.343407856743718E-2</v>
      </c>
      <c r="M71" s="306">
        <f>+IF($H71=M$2,VLOOKUP($G71,Depreciation!$A$14:$L$18,11,FALSE)/2,IF($H71&lt;M$2,VLOOKUP($G71,Depreciation!$A$14:$L$18,11,FALSE),0))</f>
        <v>3.343407856743718E-2</v>
      </c>
      <c r="N71" s="306">
        <f>+IF($H71=N$2,VLOOKUP($G71,Depreciation!$A$14:$L$18,12,FALSE)/2,IF($H71&lt;N$2,VLOOKUP($G71,Depreciation!$A$14:$L$18,12,FALSE),0))</f>
        <v>3.343407856743718E-2</v>
      </c>
      <c r="O71" s="307">
        <f t="shared" si="9"/>
        <v>322226.34028867545</v>
      </c>
      <c r="P71" s="732">
        <f>'Func Future Subs 2015'!P71</f>
        <v>0</v>
      </c>
      <c r="Q71" s="732">
        <f>'Func Future Subs 2015'!Q71</f>
        <v>1</v>
      </c>
      <c r="R71" s="732">
        <f>'Func Future Subs 2015'!R71</f>
        <v>0</v>
      </c>
      <c r="S71" s="735">
        <f t="shared" si="10"/>
        <v>0</v>
      </c>
      <c r="T71" s="735">
        <f t="shared" si="11"/>
        <v>322226.34028867545</v>
      </c>
      <c r="U71" s="735">
        <f t="shared" si="12"/>
        <v>0</v>
      </c>
      <c r="V71" s="736">
        <f t="shared" si="13"/>
        <v>0</v>
      </c>
      <c r="W71" s="735">
        <f t="shared" si="14"/>
        <v>0</v>
      </c>
      <c r="X71" s="737">
        <f t="shared" si="15"/>
        <v>0</v>
      </c>
      <c r="Y71" s="738">
        <f t="shared" si="16"/>
        <v>322226.34028867545</v>
      </c>
    </row>
    <row r="72" spans="1:25">
      <c r="A72" s="754" t="str">
        <f>'Func Future Subs 2015'!A72</f>
        <v>Development at Didsbury 152S</v>
      </c>
      <c r="B72" s="754">
        <f>'Func Future Subs 2015'!B72</f>
        <v>813</v>
      </c>
      <c r="C72" s="754">
        <f>'Func Future Subs 2015'!C72</f>
        <v>240</v>
      </c>
      <c r="D72" s="754">
        <f>'Func Future Subs 2015'!D72</f>
        <v>0</v>
      </c>
      <c r="E72" s="754" t="str">
        <f>'Func Future Subs 2015'!E72</f>
        <v>152S</v>
      </c>
      <c r="F72" s="754">
        <f>'Func Future Subs 2015'!F72</f>
        <v>447651.4772203879</v>
      </c>
      <c r="G72" s="754" t="str">
        <f>'Func Future Subs 2015'!G72</f>
        <v>AltaLink</v>
      </c>
      <c r="H72" s="754">
        <f>'Func Future Subs 2015'!H72</f>
        <v>2017</v>
      </c>
      <c r="I72" s="306">
        <f>+IF($H72=I$2,VLOOKUP($G72,Depreciation!$A$14:$L$18,7,FALSE)/2,IF($H72&lt;I$2,VLOOKUP($G72,Depreciation!$A$14:$L$18,7,FALSE),0))</f>
        <v>0</v>
      </c>
      <c r="J72" s="306">
        <f>+IF($H72=J$2,VLOOKUP($G72,Depreciation!$A$14:$L$18,8,FALSE)/2,IF($H72&lt;J$2,VLOOKUP($G72,Depreciation!$A$14:$L$18,8,FALSE),0))</f>
        <v>0</v>
      </c>
      <c r="K72" s="306">
        <f>+IF($H72=K$2,VLOOKUP($G72,Depreciation!$A$14:$L$18,9,FALSE)/2,IF($H72&lt;K$2,VLOOKUP($G72,Depreciation!$A$14:$L$18,9,FALSE),0))</f>
        <v>1.671703928371859E-2</v>
      </c>
      <c r="L72" s="306">
        <f>+IF($H72=L$2,VLOOKUP($G72,Depreciation!$A$14:$L$18,10,FALSE)/2,IF($H72&lt;L$2,VLOOKUP($G72,Depreciation!$A$14:$L$18,10,FALSE),0))</f>
        <v>3.343407856743718E-2</v>
      </c>
      <c r="M72" s="306">
        <f>+IF($H72=M$2,VLOOKUP($G72,Depreciation!$A$14:$L$18,11,FALSE)/2,IF($H72&lt;M$2,VLOOKUP($G72,Depreciation!$A$14:$L$18,11,FALSE),0))</f>
        <v>3.343407856743718E-2</v>
      </c>
      <c r="N72" s="306">
        <f>+IF($H72=N$2,VLOOKUP($G72,Depreciation!$A$14:$L$18,12,FALSE)/2,IF($H72&lt;N$2,VLOOKUP($G72,Depreciation!$A$14:$L$18,12,FALSE),0))</f>
        <v>3.343407856743718E-2</v>
      </c>
      <c r="O72" s="307">
        <f t="shared" si="9"/>
        <v>411226.87865019438</v>
      </c>
      <c r="P72" s="732">
        <f>'Func Future Subs 2015'!P72</f>
        <v>0</v>
      </c>
      <c r="Q72" s="732">
        <f>'Func Future Subs 2015'!Q72</f>
        <v>0</v>
      </c>
      <c r="R72" s="732">
        <f>'Func Future Subs 2015'!R72</f>
        <v>1</v>
      </c>
      <c r="S72" s="735">
        <f t="shared" si="10"/>
        <v>0</v>
      </c>
      <c r="T72" s="735">
        <f t="shared" si="11"/>
        <v>0</v>
      </c>
      <c r="U72" s="735">
        <f t="shared" si="12"/>
        <v>411226.87865019438</v>
      </c>
      <c r="V72" s="736">
        <f t="shared" si="13"/>
        <v>411226.87865019438</v>
      </c>
      <c r="W72" s="735">
        <f t="shared" si="14"/>
        <v>0</v>
      </c>
      <c r="X72" s="737">
        <f t="shared" si="15"/>
        <v>0</v>
      </c>
      <c r="Y72" s="738">
        <f t="shared" si="16"/>
        <v>0</v>
      </c>
    </row>
    <row r="73" spans="1:25">
      <c r="A73" s="754" t="str">
        <f>'Func Future Subs 2015'!A73</f>
        <v>Development at Ellis 332S</v>
      </c>
      <c r="B73" s="754">
        <f>'Func Future Subs 2015'!B73</f>
        <v>813</v>
      </c>
      <c r="C73" s="754">
        <f>'Func Future Subs 2015'!C73</f>
        <v>138</v>
      </c>
      <c r="D73" s="754">
        <f>'Func Future Subs 2015'!D73</f>
        <v>25</v>
      </c>
      <c r="E73" s="754" t="str">
        <f>'Func Future Subs 2015'!E73</f>
        <v>332S</v>
      </c>
      <c r="F73" s="754">
        <f>'Func Future Subs 2015'!F73</f>
        <v>3030739.6252496969</v>
      </c>
      <c r="G73" s="754" t="str">
        <f>'Func Future Subs 2015'!G73</f>
        <v>AltaLink</v>
      </c>
      <c r="H73" s="754">
        <f>'Func Future Subs 2015'!H73</f>
        <v>2017</v>
      </c>
      <c r="I73" s="306">
        <f>+IF($H73=I$2,VLOOKUP($G73,Depreciation!$A$14:$L$18,7,FALSE)/2,IF($H73&lt;I$2,VLOOKUP($G73,Depreciation!$A$14:$L$18,7,FALSE),0))</f>
        <v>0</v>
      </c>
      <c r="J73" s="306">
        <f>+IF($H73=J$2,VLOOKUP($G73,Depreciation!$A$14:$L$18,8,FALSE)/2,IF($H73&lt;J$2,VLOOKUP($G73,Depreciation!$A$14:$L$18,8,FALSE),0))</f>
        <v>0</v>
      </c>
      <c r="K73" s="306">
        <f>+IF($H73=K$2,VLOOKUP($G73,Depreciation!$A$14:$L$18,9,FALSE)/2,IF($H73&lt;K$2,VLOOKUP($G73,Depreciation!$A$14:$L$18,9,FALSE),0))</f>
        <v>1.671703928371859E-2</v>
      </c>
      <c r="L73" s="306">
        <f>+IF($H73=L$2,VLOOKUP($G73,Depreciation!$A$14:$L$18,10,FALSE)/2,IF($H73&lt;L$2,VLOOKUP($G73,Depreciation!$A$14:$L$18,10,FALSE),0))</f>
        <v>3.343407856743718E-2</v>
      </c>
      <c r="M73" s="306">
        <f>+IF($H73=M$2,VLOOKUP($G73,Depreciation!$A$14:$L$18,11,FALSE)/2,IF($H73&lt;M$2,VLOOKUP($G73,Depreciation!$A$14:$L$18,11,FALSE),0))</f>
        <v>3.343407856743718E-2</v>
      </c>
      <c r="N73" s="306">
        <f>+IF($H73=N$2,VLOOKUP($G73,Depreciation!$A$14:$L$18,12,FALSE)/2,IF($H73&lt;N$2,VLOOKUP($G73,Depreciation!$A$14:$L$18,12,FALSE),0))</f>
        <v>3.343407856743718E-2</v>
      </c>
      <c r="O73" s="307">
        <f t="shared" si="9"/>
        <v>2784133.7726208451</v>
      </c>
      <c r="P73" s="732">
        <f>'Func Future Subs 2015'!P73</f>
        <v>0</v>
      </c>
      <c r="Q73" s="732">
        <f>'Func Future Subs 2015'!Q73</f>
        <v>1</v>
      </c>
      <c r="R73" s="732">
        <f>'Func Future Subs 2015'!R73</f>
        <v>0</v>
      </c>
      <c r="S73" s="735">
        <f t="shared" si="10"/>
        <v>0</v>
      </c>
      <c r="T73" s="735">
        <f t="shared" si="11"/>
        <v>2784133.7726208451</v>
      </c>
      <c r="U73" s="735">
        <f t="shared" si="12"/>
        <v>0</v>
      </c>
      <c r="V73" s="736">
        <f t="shared" si="13"/>
        <v>0</v>
      </c>
      <c r="W73" s="735">
        <f t="shared" si="14"/>
        <v>0</v>
      </c>
      <c r="X73" s="737">
        <f t="shared" si="15"/>
        <v>0</v>
      </c>
      <c r="Y73" s="738">
        <f t="shared" si="16"/>
        <v>2784133.7726208451</v>
      </c>
    </row>
    <row r="74" spans="1:25">
      <c r="A74" s="754" t="str">
        <f>'Func Future Subs 2015'!A74</f>
        <v>Development at Ellis 332S (dev3)</v>
      </c>
      <c r="B74" s="754">
        <f>'Func Future Subs 2015'!B74</f>
        <v>813</v>
      </c>
      <c r="C74" s="754">
        <f>'Func Future Subs 2015'!C74</f>
        <v>138</v>
      </c>
      <c r="D74" s="754">
        <f>'Func Future Subs 2015'!D74</f>
        <v>25</v>
      </c>
      <c r="E74" s="754" t="str">
        <f>'Func Future Subs 2015'!E74</f>
        <v>332S</v>
      </c>
      <c r="F74" s="754">
        <f>'Func Future Subs 2015'!F74</f>
        <v>2498374.023488957</v>
      </c>
      <c r="G74" s="754" t="str">
        <f>'Func Future Subs 2015'!G74</f>
        <v>AltaLink</v>
      </c>
      <c r="H74" s="754">
        <f>'Func Future Subs 2015'!H74</f>
        <v>2017</v>
      </c>
      <c r="I74" s="306">
        <f>+IF($H74=I$2,VLOOKUP($G74,Depreciation!$A$14:$L$18,7,FALSE)/2,IF($H74&lt;I$2,VLOOKUP($G74,Depreciation!$A$14:$L$18,7,FALSE),0))</f>
        <v>0</v>
      </c>
      <c r="J74" s="306">
        <f>+IF($H74=J$2,VLOOKUP($G74,Depreciation!$A$14:$L$18,8,FALSE)/2,IF($H74&lt;J$2,VLOOKUP($G74,Depreciation!$A$14:$L$18,8,FALSE),0))</f>
        <v>0</v>
      </c>
      <c r="K74" s="306">
        <f>+IF($H74=K$2,VLOOKUP($G74,Depreciation!$A$14:$L$18,9,FALSE)/2,IF($H74&lt;K$2,VLOOKUP($G74,Depreciation!$A$14:$L$18,9,FALSE),0))</f>
        <v>1.671703928371859E-2</v>
      </c>
      <c r="L74" s="306">
        <f>+IF($H74=L$2,VLOOKUP($G74,Depreciation!$A$14:$L$18,10,FALSE)/2,IF($H74&lt;L$2,VLOOKUP($G74,Depreciation!$A$14:$L$18,10,FALSE),0))</f>
        <v>3.343407856743718E-2</v>
      </c>
      <c r="M74" s="306">
        <f>+IF($H74=M$2,VLOOKUP($G74,Depreciation!$A$14:$L$18,11,FALSE)/2,IF($H74&lt;M$2,VLOOKUP($G74,Depreciation!$A$14:$L$18,11,FALSE),0))</f>
        <v>3.343407856743718E-2</v>
      </c>
      <c r="N74" s="306">
        <f>+IF($H74=N$2,VLOOKUP($G74,Depreciation!$A$14:$L$18,12,FALSE)/2,IF($H74&lt;N$2,VLOOKUP($G74,Depreciation!$A$14:$L$18,12,FALSE),0))</f>
        <v>3.343407856743718E-2</v>
      </c>
      <c r="O74" s="307">
        <f t="shared" si="9"/>
        <v>2295085.8059478314</v>
      </c>
      <c r="P74" s="732">
        <f>'Func Future Subs 2015'!P74</f>
        <v>0</v>
      </c>
      <c r="Q74" s="732">
        <f>'Func Future Subs 2015'!Q74</f>
        <v>1</v>
      </c>
      <c r="R74" s="732">
        <f>'Func Future Subs 2015'!R74</f>
        <v>0</v>
      </c>
      <c r="S74" s="735">
        <f t="shared" si="10"/>
        <v>0</v>
      </c>
      <c r="T74" s="735">
        <f t="shared" si="11"/>
        <v>2295085.8059478314</v>
      </c>
      <c r="U74" s="735">
        <f t="shared" si="12"/>
        <v>0</v>
      </c>
      <c r="V74" s="736">
        <f t="shared" si="13"/>
        <v>0</v>
      </c>
      <c r="W74" s="735">
        <f t="shared" si="14"/>
        <v>0</v>
      </c>
      <c r="X74" s="737">
        <f t="shared" si="15"/>
        <v>0</v>
      </c>
      <c r="Y74" s="738">
        <f t="shared" si="16"/>
        <v>2295085.8059478314</v>
      </c>
    </row>
    <row r="75" spans="1:25">
      <c r="A75" s="754" t="str">
        <f>'Func Future Subs 2015'!A75</f>
        <v>Development at Harmattan 256S</v>
      </c>
      <c r="B75" s="754">
        <f>'Func Future Subs 2015'!B75</f>
        <v>813</v>
      </c>
      <c r="C75" s="754">
        <f>'Func Future Subs 2015'!C75</f>
        <v>138</v>
      </c>
      <c r="D75" s="754">
        <f>'Func Future Subs 2015'!D75</f>
        <v>25</v>
      </c>
      <c r="E75" s="754" t="str">
        <f>'Func Future Subs 2015'!E75</f>
        <v>256S</v>
      </c>
      <c r="F75" s="754">
        <f>'Func Future Subs 2015'!F75</f>
        <v>446170.86016879894</v>
      </c>
      <c r="G75" s="754" t="str">
        <f>'Func Future Subs 2015'!G75</f>
        <v>AltaLink</v>
      </c>
      <c r="H75" s="754">
        <f>'Func Future Subs 2015'!H75</f>
        <v>2017</v>
      </c>
      <c r="I75" s="306">
        <f>+IF($H75=I$2,VLOOKUP($G75,Depreciation!$A$14:$L$18,7,FALSE)/2,IF($H75&lt;I$2,VLOOKUP($G75,Depreciation!$A$14:$L$18,7,FALSE),0))</f>
        <v>0</v>
      </c>
      <c r="J75" s="306">
        <f>+IF($H75=J$2,VLOOKUP($G75,Depreciation!$A$14:$L$18,8,FALSE)/2,IF($H75&lt;J$2,VLOOKUP($G75,Depreciation!$A$14:$L$18,8,FALSE),0))</f>
        <v>0</v>
      </c>
      <c r="K75" s="306">
        <f>+IF($H75=K$2,VLOOKUP($G75,Depreciation!$A$14:$L$18,9,FALSE)/2,IF($H75&lt;K$2,VLOOKUP($G75,Depreciation!$A$14:$L$18,9,FALSE),0))</f>
        <v>1.671703928371859E-2</v>
      </c>
      <c r="L75" s="306">
        <f>+IF($H75=L$2,VLOOKUP($G75,Depreciation!$A$14:$L$18,10,FALSE)/2,IF($H75&lt;L$2,VLOOKUP($G75,Depreciation!$A$14:$L$18,10,FALSE),0))</f>
        <v>3.343407856743718E-2</v>
      </c>
      <c r="M75" s="306">
        <f>+IF($H75=M$2,VLOOKUP($G75,Depreciation!$A$14:$L$18,11,FALSE)/2,IF($H75&lt;M$2,VLOOKUP($G75,Depreciation!$A$14:$L$18,11,FALSE),0))</f>
        <v>3.343407856743718E-2</v>
      </c>
      <c r="N75" s="306">
        <f>+IF($H75=N$2,VLOOKUP($G75,Depreciation!$A$14:$L$18,12,FALSE)/2,IF($H75&lt;N$2,VLOOKUP($G75,Depreciation!$A$14:$L$18,12,FALSE),0))</f>
        <v>3.343407856743718E-2</v>
      </c>
      <c r="O75" s="307">
        <f t="shared" si="9"/>
        <v>409866.73675502662</v>
      </c>
      <c r="P75" s="732">
        <f>'Func Future Subs 2015'!P75</f>
        <v>0.54510993176648981</v>
      </c>
      <c r="Q75" s="732">
        <f>'Func Future Subs 2015'!Q75</f>
        <v>0.45489006823351025</v>
      </c>
      <c r="R75" s="732">
        <f>'Func Future Subs 2015'!R75</f>
        <v>0</v>
      </c>
      <c r="S75" s="735">
        <f t="shared" si="10"/>
        <v>223422.42890588639</v>
      </c>
      <c r="T75" s="735">
        <f t="shared" si="11"/>
        <v>186444.30784914026</v>
      </c>
      <c r="U75" s="735">
        <f t="shared" si="12"/>
        <v>0</v>
      </c>
      <c r="V75" s="736">
        <f t="shared" si="13"/>
        <v>0</v>
      </c>
      <c r="W75" s="735">
        <f t="shared" si="14"/>
        <v>223422.42890588639</v>
      </c>
      <c r="X75" s="737">
        <f t="shared" si="15"/>
        <v>0</v>
      </c>
      <c r="Y75" s="738">
        <f t="shared" si="16"/>
        <v>186444.30784914026</v>
      </c>
    </row>
    <row r="76" spans="1:25">
      <c r="A76" s="754" t="str">
        <f>'Func Future Subs 2015'!A76</f>
        <v>Development at Innisfail 214S</v>
      </c>
      <c r="B76" s="754">
        <f>'Func Future Subs 2015'!B76</f>
        <v>813</v>
      </c>
      <c r="C76" s="754">
        <f>'Func Future Subs 2015'!C76</f>
        <v>240</v>
      </c>
      <c r="D76" s="754">
        <f>'Func Future Subs 2015'!D76</f>
        <v>25</v>
      </c>
      <c r="E76" s="754" t="str">
        <f>'Func Future Subs 2015'!E76</f>
        <v>214S</v>
      </c>
      <c r="F76" s="754">
        <f>'Func Future Subs 2015'!F76</f>
        <v>3173918.3394682109</v>
      </c>
      <c r="G76" s="754" t="str">
        <f>'Func Future Subs 2015'!G76</f>
        <v>AltaLink</v>
      </c>
      <c r="H76" s="754">
        <f>'Func Future Subs 2015'!H76</f>
        <v>2017</v>
      </c>
      <c r="I76" s="306">
        <f>+IF($H76=I$2,VLOOKUP($G76,Depreciation!$A$14:$L$18,7,FALSE)/2,IF($H76&lt;I$2,VLOOKUP($G76,Depreciation!$A$14:$L$18,7,FALSE),0))</f>
        <v>0</v>
      </c>
      <c r="J76" s="306">
        <f>+IF($H76=J$2,VLOOKUP($G76,Depreciation!$A$14:$L$18,8,FALSE)/2,IF($H76&lt;J$2,VLOOKUP($G76,Depreciation!$A$14:$L$18,8,FALSE),0))</f>
        <v>0</v>
      </c>
      <c r="K76" s="306">
        <f>+IF($H76=K$2,VLOOKUP($G76,Depreciation!$A$14:$L$18,9,FALSE)/2,IF($H76&lt;K$2,VLOOKUP($G76,Depreciation!$A$14:$L$18,9,FALSE),0))</f>
        <v>1.671703928371859E-2</v>
      </c>
      <c r="L76" s="306">
        <f>+IF($H76=L$2,VLOOKUP($G76,Depreciation!$A$14:$L$18,10,FALSE)/2,IF($H76&lt;L$2,VLOOKUP($G76,Depreciation!$A$14:$L$18,10,FALSE),0))</f>
        <v>3.343407856743718E-2</v>
      </c>
      <c r="M76" s="306">
        <f>+IF($H76=M$2,VLOOKUP($G76,Depreciation!$A$14:$L$18,11,FALSE)/2,IF($H76&lt;M$2,VLOOKUP($G76,Depreciation!$A$14:$L$18,11,FALSE),0))</f>
        <v>3.343407856743718E-2</v>
      </c>
      <c r="N76" s="306">
        <f>+IF($H76=N$2,VLOOKUP($G76,Depreciation!$A$14:$L$18,12,FALSE)/2,IF($H76&lt;N$2,VLOOKUP($G76,Depreciation!$A$14:$L$18,12,FALSE),0))</f>
        <v>3.343407856743718E-2</v>
      </c>
      <c r="O76" s="307">
        <f t="shared" si="9"/>
        <v>2915662.2914203936</v>
      </c>
      <c r="P76" s="732">
        <f>'Func Future Subs 2015'!P76</f>
        <v>0</v>
      </c>
      <c r="Q76" s="732">
        <f>'Func Future Subs 2015'!Q76</f>
        <v>1</v>
      </c>
      <c r="R76" s="732">
        <f>'Func Future Subs 2015'!R76</f>
        <v>0</v>
      </c>
      <c r="S76" s="735">
        <f t="shared" si="10"/>
        <v>0</v>
      </c>
      <c r="T76" s="735">
        <f t="shared" si="11"/>
        <v>2915662.2914203936</v>
      </c>
      <c r="U76" s="735">
        <f t="shared" si="12"/>
        <v>0</v>
      </c>
      <c r="V76" s="736">
        <f t="shared" si="13"/>
        <v>0</v>
      </c>
      <c r="W76" s="735">
        <f t="shared" si="14"/>
        <v>0</v>
      </c>
      <c r="X76" s="737">
        <f t="shared" si="15"/>
        <v>0</v>
      </c>
      <c r="Y76" s="738">
        <f t="shared" si="16"/>
        <v>2915662.2914203936</v>
      </c>
    </row>
    <row r="77" spans="1:25">
      <c r="A77" s="754" t="str">
        <f>'Func Future Subs 2015'!A77</f>
        <v>Development at Piper Creek 247S</v>
      </c>
      <c r="B77" s="754">
        <f>'Func Future Subs 2015'!B77</f>
        <v>813</v>
      </c>
      <c r="C77" s="754">
        <f>'Func Future Subs 2015'!C77</f>
        <v>138</v>
      </c>
      <c r="D77" s="754">
        <f>'Func Future Subs 2015'!D77</f>
        <v>138</v>
      </c>
      <c r="E77" s="754" t="str">
        <f>'Func Future Subs 2015'!E77</f>
        <v>247S</v>
      </c>
      <c r="F77" s="754">
        <f>'Func Future Subs 2015'!F77</f>
        <v>624990.21387200279</v>
      </c>
      <c r="G77" s="754" t="str">
        <f>'Func Future Subs 2015'!G77</f>
        <v>AltaLink</v>
      </c>
      <c r="H77" s="754">
        <f>'Func Future Subs 2015'!H77</f>
        <v>2017</v>
      </c>
      <c r="I77" s="306">
        <f>+IF($H77=I$2,VLOOKUP($G77,Depreciation!$A$14:$L$18,7,FALSE)/2,IF($H77&lt;I$2,VLOOKUP($G77,Depreciation!$A$14:$L$18,7,FALSE),0))</f>
        <v>0</v>
      </c>
      <c r="J77" s="306">
        <f>+IF($H77=J$2,VLOOKUP($G77,Depreciation!$A$14:$L$18,8,FALSE)/2,IF($H77&lt;J$2,VLOOKUP($G77,Depreciation!$A$14:$L$18,8,FALSE),0))</f>
        <v>0</v>
      </c>
      <c r="K77" s="306">
        <f>+IF($H77=K$2,VLOOKUP($G77,Depreciation!$A$14:$L$18,9,FALSE)/2,IF($H77&lt;K$2,VLOOKUP($G77,Depreciation!$A$14:$L$18,9,FALSE),0))</f>
        <v>1.671703928371859E-2</v>
      </c>
      <c r="L77" s="306">
        <f>+IF($H77=L$2,VLOOKUP($G77,Depreciation!$A$14:$L$18,10,FALSE)/2,IF($H77&lt;L$2,VLOOKUP($G77,Depreciation!$A$14:$L$18,10,FALSE),0))</f>
        <v>3.343407856743718E-2</v>
      </c>
      <c r="M77" s="306">
        <f>+IF($H77=M$2,VLOOKUP($G77,Depreciation!$A$14:$L$18,11,FALSE)/2,IF($H77&lt;M$2,VLOOKUP($G77,Depreciation!$A$14:$L$18,11,FALSE),0))</f>
        <v>3.343407856743718E-2</v>
      </c>
      <c r="N77" s="306">
        <f>+IF($H77=N$2,VLOOKUP($G77,Depreciation!$A$14:$L$18,12,FALSE)/2,IF($H77&lt;N$2,VLOOKUP($G77,Depreciation!$A$14:$L$18,12,FALSE),0))</f>
        <v>3.343407856743718E-2</v>
      </c>
      <c r="O77" s="307">
        <f t="shared" si="9"/>
        <v>574135.88006762788</v>
      </c>
      <c r="P77" s="732">
        <f>'Func Future Subs 2015'!P77</f>
        <v>0</v>
      </c>
      <c r="Q77" s="732">
        <f>'Func Future Subs 2015'!Q77</f>
        <v>0</v>
      </c>
      <c r="R77" s="732">
        <f>'Func Future Subs 2015'!R77</f>
        <v>1</v>
      </c>
      <c r="S77" s="735">
        <f t="shared" si="10"/>
        <v>0</v>
      </c>
      <c r="T77" s="735">
        <f t="shared" si="11"/>
        <v>0</v>
      </c>
      <c r="U77" s="735">
        <f t="shared" si="12"/>
        <v>574135.88006762788</v>
      </c>
      <c r="V77" s="736">
        <f t="shared" si="13"/>
        <v>0</v>
      </c>
      <c r="W77" s="735">
        <f t="shared" si="14"/>
        <v>0</v>
      </c>
      <c r="X77" s="737">
        <f t="shared" si="15"/>
        <v>574135.88006762788</v>
      </c>
      <c r="Y77" s="738">
        <f t="shared" si="16"/>
        <v>0</v>
      </c>
    </row>
    <row r="78" spans="1:25">
      <c r="A78" s="754" t="str">
        <f>'Func Future Subs 2015'!A78</f>
        <v>Development at Ponoka 331S</v>
      </c>
      <c r="B78" s="754">
        <f>'Func Future Subs 2015'!B78</f>
        <v>813</v>
      </c>
      <c r="C78" s="754">
        <f>'Func Future Subs 2015'!C78</f>
        <v>138</v>
      </c>
      <c r="D78" s="754">
        <f>'Func Future Subs 2015'!D78</f>
        <v>25</v>
      </c>
      <c r="E78" s="754" t="str">
        <f>'Func Future Subs 2015'!E78</f>
        <v>331S</v>
      </c>
      <c r="F78" s="754">
        <f>'Func Future Subs 2015'!F78</f>
        <v>3065380.5529317935</v>
      </c>
      <c r="G78" s="754" t="str">
        <f>'Func Future Subs 2015'!G78</f>
        <v>AltaLink</v>
      </c>
      <c r="H78" s="754">
        <f>'Func Future Subs 2015'!H78</f>
        <v>2017</v>
      </c>
      <c r="I78" s="306">
        <f>+IF($H78=I$2,VLOOKUP($G78,Depreciation!$A$14:$L$18,7,FALSE)/2,IF($H78&lt;I$2,VLOOKUP($G78,Depreciation!$A$14:$L$18,7,FALSE),0))</f>
        <v>0</v>
      </c>
      <c r="J78" s="306">
        <f>+IF($H78=J$2,VLOOKUP($G78,Depreciation!$A$14:$L$18,8,FALSE)/2,IF($H78&lt;J$2,VLOOKUP($G78,Depreciation!$A$14:$L$18,8,FALSE),0))</f>
        <v>0</v>
      </c>
      <c r="K78" s="306">
        <f>+IF($H78=K$2,VLOOKUP($G78,Depreciation!$A$14:$L$18,9,FALSE)/2,IF($H78&lt;K$2,VLOOKUP($G78,Depreciation!$A$14:$L$18,9,FALSE),0))</f>
        <v>1.671703928371859E-2</v>
      </c>
      <c r="L78" s="306">
        <f>+IF($H78=L$2,VLOOKUP($G78,Depreciation!$A$14:$L$18,10,FALSE)/2,IF($H78&lt;L$2,VLOOKUP($G78,Depreciation!$A$14:$L$18,10,FALSE),0))</f>
        <v>3.343407856743718E-2</v>
      </c>
      <c r="M78" s="306">
        <f>+IF($H78=M$2,VLOOKUP($G78,Depreciation!$A$14:$L$18,11,FALSE)/2,IF($H78&lt;M$2,VLOOKUP($G78,Depreciation!$A$14:$L$18,11,FALSE),0))</f>
        <v>3.343407856743718E-2</v>
      </c>
      <c r="N78" s="306">
        <f>+IF($H78=N$2,VLOOKUP($G78,Depreciation!$A$14:$L$18,12,FALSE)/2,IF($H78&lt;N$2,VLOOKUP($G78,Depreciation!$A$14:$L$18,12,FALSE),0))</f>
        <v>3.343407856743718E-2</v>
      </c>
      <c r="O78" s="307">
        <f t="shared" si="9"/>
        <v>2815956.0300893318</v>
      </c>
      <c r="P78" s="732">
        <f>'Func Future Subs 2015'!P78</f>
        <v>0</v>
      </c>
      <c r="Q78" s="732">
        <f>'Func Future Subs 2015'!Q78</f>
        <v>1</v>
      </c>
      <c r="R78" s="732">
        <f>'Func Future Subs 2015'!R78</f>
        <v>0</v>
      </c>
      <c r="S78" s="735">
        <f t="shared" si="10"/>
        <v>0</v>
      </c>
      <c r="T78" s="735">
        <f t="shared" si="11"/>
        <v>2815956.0300893318</v>
      </c>
      <c r="U78" s="735">
        <f t="shared" si="12"/>
        <v>0</v>
      </c>
      <c r="V78" s="736">
        <f t="shared" si="13"/>
        <v>0</v>
      </c>
      <c r="W78" s="735">
        <f t="shared" si="14"/>
        <v>0</v>
      </c>
      <c r="X78" s="737">
        <f t="shared" si="15"/>
        <v>0</v>
      </c>
      <c r="Y78" s="738">
        <f t="shared" si="16"/>
        <v>2815956.0300893318</v>
      </c>
    </row>
    <row r="79" spans="1:25">
      <c r="A79" s="754" t="str">
        <f>'Func Future Subs 2015'!A79</f>
        <v>Development at Prentiss 276S</v>
      </c>
      <c r="B79" s="754">
        <f>'Func Future Subs 2015'!B79</f>
        <v>813</v>
      </c>
      <c r="C79" s="754">
        <f>'Func Future Subs 2015'!C79</f>
        <v>138</v>
      </c>
      <c r="D79" s="754">
        <f>'Func Future Subs 2015'!D79</f>
        <v>25</v>
      </c>
      <c r="E79" s="754" t="str">
        <f>'Func Future Subs 2015'!E79</f>
        <v>276S</v>
      </c>
      <c r="F79" s="754">
        <f>'Func Future Subs 2015'!F79</f>
        <v>3186555.949000001</v>
      </c>
      <c r="G79" s="754" t="str">
        <f>'Func Future Subs 2015'!G79</f>
        <v>AltaLink</v>
      </c>
      <c r="H79" s="754">
        <f>'Func Future Subs 2015'!H79</f>
        <v>2017</v>
      </c>
      <c r="I79" s="306">
        <f>+IF($H79=I$2,VLOOKUP($G79,Depreciation!$A$14:$L$18,7,FALSE)/2,IF($H79&lt;I$2,VLOOKUP($G79,Depreciation!$A$14:$L$18,7,FALSE),0))</f>
        <v>0</v>
      </c>
      <c r="J79" s="306">
        <f>+IF($H79=J$2,VLOOKUP($G79,Depreciation!$A$14:$L$18,8,FALSE)/2,IF($H79&lt;J$2,VLOOKUP($G79,Depreciation!$A$14:$L$18,8,FALSE),0))</f>
        <v>0</v>
      </c>
      <c r="K79" s="306">
        <f>+IF($H79=K$2,VLOOKUP($G79,Depreciation!$A$14:$L$18,9,FALSE)/2,IF($H79&lt;K$2,VLOOKUP($G79,Depreciation!$A$14:$L$18,9,FALSE),0))</f>
        <v>1.671703928371859E-2</v>
      </c>
      <c r="L79" s="306">
        <f>+IF($H79=L$2,VLOOKUP($G79,Depreciation!$A$14:$L$18,10,FALSE)/2,IF($H79&lt;L$2,VLOOKUP($G79,Depreciation!$A$14:$L$18,10,FALSE),0))</f>
        <v>3.343407856743718E-2</v>
      </c>
      <c r="M79" s="306">
        <f>+IF($H79=M$2,VLOOKUP($G79,Depreciation!$A$14:$L$18,11,FALSE)/2,IF($H79&lt;M$2,VLOOKUP($G79,Depreciation!$A$14:$L$18,11,FALSE),0))</f>
        <v>3.343407856743718E-2</v>
      </c>
      <c r="N79" s="306">
        <f>+IF($H79=N$2,VLOOKUP($G79,Depreciation!$A$14:$L$18,12,FALSE)/2,IF($H79&lt;N$2,VLOOKUP($G79,Depreciation!$A$14:$L$18,12,FALSE),0))</f>
        <v>3.343407856743718E-2</v>
      </c>
      <c r="O79" s="307">
        <f t="shared" si="9"/>
        <v>2927271.6013094783</v>
      </c>
      <c r="P79" s="732">
        <f>'Func Future Subs 2015'!P79</f>
        <v>0</v>
      </c>
      <c r="Q79" s="732">
        <f>'Func Future Subs 2015'!Q79</f>
        <v>0</v>
      </c>
      <c r="R79" s="732">
        <f>'Func Future Subs 2015'!R79</f>
        <v>1</v>
      </c>
      <c r="S79" s="735">
        <f t="shared" si="10"/>
        <v>0</v>
      </c>
      <c r="T79" s="735">
        <f t="shared" si="11"/>
        <v>0</v>
      </c>
      <c r="U79" s="735">
        <f t="shared" si="12"/>
        <v>2927271.6013094783</v>
      </c>
      <c r="V79" s="736">
        <f t="shared" si="13"/>
        <v>0</v>
      </c>
      <c r="W79" s="735">
        <f t="shared" si="14"/>
        <v>0</v>
      </c>
      <c r="X79" s="737">
        <f t="shared" si="15"/>
        <v>0</v>
      </c>
      <c r="Y79" s="738">
        <f t="shared" si="16"/>
        <v>2927271.6013094783</v>
      </c>
    </row>
    <row r="80" spans="1:25">
      <c r="A80" s="754" t="str">
        <f>'Func Future Subs 2015'!A80</f>
        <v>Development at Red Deer 63S</v>
      </c>
      <c r="B80" s="754">
        <f>'Func Future Subs 2015'!B80</f>
        <v>813</v>
      </c>
      <c r="C80" s="754">
        <f>'Func Future Subs 2015'!C80</f>
        <v>240</v>
      </c>
      <c r="D80" s="754">
        <f>'Func Future Subs 2015'!D80</f>
        <v>25</v>
      </c>
      <c r="E80" s="754" t="str">
        <f>'Func Future Subs 2015'!E80</f>
        <v>63S</v>
      </c>
      <c r="F80" s="754">
        <f>'Func Future Subs 2015'!F80</f>
        <v>1318872.5453853337</v>
      </c>
      <c r="G80" s="754" t="str">
        <f>'Func Future Subs 2015'!G80</f>
        <v>AltaLink</v>
      </c>
      <c r="H80" s="754">
        <f>'Func Future Subs 2015'!H80</f>
        <v>2017</v>
      </c>
      <c r="I80" s="306">
        <f>+IF($H80=I$2,VLOOKUP($G80,Depreciation!$A$14:$L$18,7,FALSE)/2,IF($H80&lt;I$2,VLOOKUP($G80,Depreciation!$A$14:$L$18,7,FALSE),0))</f>
        <v>0</v>
      </c>
      <c r="J80" s="306">
        <f>+IF($H80=J$2,VLOOKUP($G80,Depreciation!$A$14:$L$18,8,FALSE)/2,IF($H80&lt;J$2,VLOOKUP($G80,Depreciation!$A$14:$L$18,8,FALSE),0))</f>
        <v>0</v>
      </c>
      <c r="K80" s="306">
        <f>+IF($H80=K$2,VLOOKUP($G80,Depreciation!$A$14:$L$18,9,FALSE)/2,IF($H80&lt;K$2,VLOOKUP($G80,Depreciation!$A$14:$L$18,9,FALSE),0))</f>
        <v>1.671703928371859E-2</v>
      </c>
      <c r="L80" s="306">
        <f>+IF($H80=L$2,VLOOKUP($G80,Depreciation!$A$14:$L$18,10,FALSE)/2,IF($H80&lt;L$2,VLOOKUP($G80,Depreciation!$A$14:$L$18,10,FALSE),0))</f>
        <v>3.343407856743718E-2</v>
      </c>
      <c r="M80" s="306">
        <f>+IF($H80=M$2,VLOOKUP($G80,Depreciation!$A$14:$L$18,11,FALSE)/2,IF($H80&lt;M$2,VLOOKUP($G80,Depreciation!$A$14:$L$18,11,FALSE),0))</f>
        <v>3.343407856743718E-2</v>
      </c>
      <c r="N80" s="306">
        <f>+IF($H80=N$2,VLOOKUP($G80,Depreciation!$A$14:$L$18,12,FALSE)/2,IF($H80&lt;N$2,VLOOKUP($G80,Depreciation!$A$14:$L$18,12,FALSE),0))</f>
        <v>3.343407856743718E-2</v>
      </c>
      <c r="O80" s="307">
        <f t="shared" si="9"/>
        <v>1211558.2496095167</v>
      </c>
      <c r="P80" s="732">
        <f>'Func Future Subs 2015'!P80</f>
        <v>0</v>
      </c>
      <c r="Q80" s="732">
        <f>'Func Future Subs 2015'!Q80</f>
        <v>1</v>
      </c>
      <c r="R80" s="732">
        <f>'Func Future Subs 2015'!R80</f>
        <v>0</v>
      </c>
      <c r="S80" s="735">
        <f t="shared" si="10"/>
        <v>0</v>
      </c>
      <c r="T80" s="735">
        <f t="shared" si="11"/>
        <v>1211558.2496095167</v>
      </c>
      <c r="U80" s="735">
        <f t="shared" si="12"/>
        <v>0</v>
      </c>
      <c r="V80" s="736">
        <f t="shared" si="13"/>
        <v>0</v>
      </c>
      <c r="W80" s="735">
        <f t="shared" si="14"/>
        <v>0</v>
      </c>
      <c r="X80" s="737">
        <f t="shared" si="15"/>
        <v>0</v>
      </c>
      <c r="Y80" s="738">
        <f t="shared" si="16"/>
        <v>1211558.2496095167</v>
      </c>
    </row>
    <row r="81" spans="1:25">
      <c r="A81" s="754" t="str">
        <f>'Func Future Subs 2015'!A81</f>
        <v>Development at Red Deer 63S (dev12)</v>
      </c>
      <c r="B81" s="754">
        <f>'Func Future Subs 2015'!B81</f>
        <v>813</v>
      </c>
      <c r="C81" s="754">
        <f>'Func Future Subs 2015'!C81</f>
        <v>240</v>
      </c>
      <c r="D81" s="754">
        <f>'Func Future Subs 2015'!D81</f>
        <v>25</v>
      </c>
      <c r="E81" s="754" t="str">
        <f>'Func Future Subs 2015'!E81</f>
        <v>63S</v>
      </c>
      <c r="F81" s="754">
        <f>'Func Future Subs 2015'!F81</f>
        <v>437105.37992401363</v>
      </c>
      <c r="G81" s="754" t="str">
        <f>'Func Future Subs 2015'!G81</f>
        <v>AltaLink</v>
      </c>
      <c r="H81" s="754">
        <f>'Func Future Subs 2015'!H81</f>
        <v>2017</v>
      </c>
      <c r="I81" s="306">
        <f>+IF($H81=I$2,VLOOKUP($G81,Depreciation!$A$14:$L$18,7,FALSE)/2,IF($H81&lt;I$2,VLOOKUP($G81,Depreciation!$A$14:$L$18,7,FALSE),0))</f>
        <v>0</v>
      </c>
      <c r="J81" s="306">
        <f>+IF($H81=J$2,VLOOKUP($G81,Depreciation!$A$14:$L$18,8,FALSE)/2,IF($H81&lt;J$2,VLOOKUP($G81,Depreciation!$A$14:$L$18,8,FALSE),0))</f>
        <v>0</v>
      </c>
      <c r="K81" s="306">
        <f>+IF($H81=K$2,VLOOKUP($G81,Depreciation!$A$14:$L$18,9,FALSE)/2,IF($H81&lt;K$2,VLOOKUP($G81,Depreciation!$A$14:$L$18,9,FALSE),0))</f>
        <v>1.671703928371859E-2</v>
      </c>
      <c r="L81" s="306">
        <f>+IF($H81=L$2,VLOOKUP($G81,Depreciation!$A$14:$L$18,10,FALSE)/2,IF($H81&lt;L$2,VLOOKUP($G81,Depreciation!$A$14:$L$18,10,FALSE),0))</f>
        <v>3.343407856743718E-2</v>
      </c>
      <c r="M81" s="306">
        <f>+IF($H81=M$2,VLOOKUP($G81,Depreciation!$A$14:$L$18,11,FALSE)/2,IF($H81&lt;M$2,VLOOKUP($G81,Depreciation!$A$14:$L$18,11,FALSE),0))</f>
        <v>3.343407856743718E-2</v>
      </c>
      <c r="N81" s="306">
        <f>+IF($H81=N$2,VLOOKUP($G81,Depreciation!$A$14:$L$18,12,FALSE)/2,IF($H81&lt;N$2,VLOOKUP($G81,Depreciation!$A$14:$L$18,12,FALSE),0))</f>
        <v>3.343407856743718E-2</v>
      </c>
      <c r="O81" s="307">
        <f t="shared" si="9"/>
        <v>401538.89839363837</v>
      </c>
      <c r="P81" s="732">
        <f>'Func Future Subs 2015'!P81</f>
        <v>0</v>
      </c>
      <c r="Q81" s="732">
        <f>'Func Future Subs 2015'!Q81</f>
        <v>1</v>
      </c>
      <c r="R81" s="732">
        <f>'Func Future Subs 2015'!R81</f>
        <v>0</v>
      </c>
      <c r="S81" s="735">
        <f t="shared" si="10"/>
        <v>0</v>
      </c>
      <c r="T81" s="735">
        <f t="shared" si="11"/>
        <v>401538.89839363837</v>
      </c>
      <c r="U81" s="735">
        <f t="shared" si="12"/>
        <v>0</v>
      </c>
      <c r="V81" s="736">
        <f t="shared" si="13"/>
        <v>0</v>
      </c>
      <c r="W81" s="735">
        <f t="shared" si="14"/>
        <v>0</v>
      </c>
      <c r="X81" s="737">
        <f t="shared" si="15"/>
        <v>0</v>
      </c>
      <c r="Y81" s="738">
        <f t="shared" si="16"/>
        <v>401538.89839363837</v>
      </c>
    </row>
    <row r="82" spans="1:25">
      <c r="A82" s="754" t="str">
        <f>'Func Future Subs 2015'!A82</f>
        <v>Development at Red Deer 63S (dev21)</v>
      </c>
      <c r="B82" s="754">
        <f>'Func Future Subs 2015'!B82</f>
        <v>813</v>
      </c>
      <c r="C82" s="754">
        <f>'Func Future Subs 2015'!C82</f>
        <v>240</v>
      </c>
      <c r="D82" s="754">
        <f>'Func Future Subs 2015'!D82</f>
        <v>25</v>
      </c>
      <c r="E82" s="754" t="str">
        <f>'Func Future Subs 2015'!E82</f>
        <v>63S</v>
      </c>
      <c r="F82" s="754">
        <f>'Func Future Subs 2015'!F82</f>
        <v>335873.21742754214</v>
      </c>
      <c r="G82" s="754" t="str">
        <f>'Func Future Subs 2015'!G82</f>
        <v>AltaLink</v>
      </c>
      <c r="H82" s="754">
        <f>'Func Future Subs 2015'!H82</f>
        <v>2017</v>
      </c>
      <c r="I82" s="306">
        <f>+IF($H82=I$2,VLOOKUP($G82,Depreciation!$A$14:$L$18,7,FALSE)/2,IF($H82&lt;I$2,VLOOKUP($G82,Depreciation!$A$14:$L$18,7,FALSE),0))</f>
        <v>0</v>
      </c>
      <c r="J82" s="306">
        <f>+IF($H82=J$2,VLOOKUP($G82,Depreciation!$A$14:$L$18,8,FALSE)/2,IF($H82&lt;J$2,VLOOKUP($G82,Depreciation!$A$14:$L$18,8,FALSE),0))</f>
        <v>0</v>
      </c>
      <c r="K82" s="306">
        <f>+IF($H82=K$2,VLOOKUP($G82,Depreciation!$A$14:$L$18,9,FALSE)/2,IF($H82&lt;K$2,VLOOKUP($G82,Depreciation!$A$14:$L$18,9,FALSE),0))</f>
        <v>1.671703928371859E-2</v>
      </c>
      <c r="L82" s="306">
        <f>+IF($H82=L$2,VLOOKUP($G82,Depreciation!$A$14:$L$18,10,FALSE)/2,IF($H82&lt;L$2,VLOOKUP($G82,Depreciation!$A$14:$L$18,10,FALSE),0))</f>
        <v>3.343407856743718E-2</v>
      </c>
      <c r="M82" s="306">
        <f>+IF($H82=M$2,VLOOKUP($G82,Depreciation!$A$14:$L$18,11,FALSE)/2,IF($H82&lt;M$2,VLOOKUP($G82,Depreciation!$A$14:$L$18,11,FALSE),0))</f>
        <v>3.343407856743718E-2</v>
      </c>
      <c r="N82" s="306">
        <f>+IF($H82=N$2,VLOOKUP($G82,Depreciation!$A$14:$L$18,12,FALSE)/2,IF($H82&lt;N$2,VLOOKUP($G82,Depreciation!$A$14:$L$18,12,FALSE),0))</f>
        <v>3.343407856743718E-2</v>
      </c>
      <c r="O82" s="307">
        <f t="shared" si="9"/>
        <v>308543.81556508725</v>
      </c>
      <c r="P82" s="732">
        <f>'Func Future Subs 2015'!P82</f>
        <v>0</v>
      </c>
      <c r="Q82" s="732">
        <f>'Func Future Subs 2015'!Q82</f>
        <v>1</v>
      </c>
      <c r="R82" s="732">
        <f>'Func Future Subs 2015'!R82</f>
        <v>0</v>
      </c>
      <c r="S82" s="735">
        <f t="shared" si="10"/>
        <v>0</v>
      </c>
      <c r="T82" s="735">
        <f t="shared" si="11"/>
        <v>308543.81556508725</v>
      </c>
      <c r="U82" s="735">
        <f t="shared" si="12"/>
        <v>0</v>
      </c>
      <c r="V82" s="736">
        <f t="shared" si="13"/>
        <v>0</v>
      </c>
      <c r="W82" s="735">
        <f t="shared" si="14"/>
        <v>0</v>
      </c>
      <c r="X82" s="737">
        <f t="shared" si="15"/>
        <v>0</v>
      </c>
      <c r="Y82" s="738">
        <f t="shared" si="16"/>
        <v>308543.81556508725</v>
      </c>
    </row>
    <row r="83" spans="1:25">
      <c r="A83" s="754" t="str">
        <f>'Func Future Subs 2015'!A83</f>
        <v>Development at South Red Deer 194S</v>
      </c>
      <c r="B83" s="754">
        <f>'Func Future Subs 2015'!B83</f>
        <v>813</v>
      </c>
      <c r="C83" s="754">
        <f>'Func Future Subs 2015'!C83</f>
        <v>138</v>
      </c>
      <c r="D83" s="754">
        <f>'Func Future Subs 2015'!D83</f>
        <v>138</v>
      </c>
      <c r="E83" s="754" t="str">
        <f>'Func Future Subs 2015'!E83</f>
        <v>194S</v>
      </c>
      <c r="F83" s="754">
        <f>'Func Future Subs 2015'!F83</f>
        <v>1494037.1072305865</v>
      </c>
      <c r="G83" s="754" t="str">
        <f>'Func Future Subs 2015'!G83</f>
        <v>AltaLink</v>
      </c>
      <c r="H83" s="754">
        <f>'Func Future Subs 2015'!H83</f>
        <v>2017</v>
      </c>
      <c r="I83" s="306">
        <f>+IF($H83=I$2,VLOOKUP($G83,Depreciation!$A$14:$L$18,7,FALSE)/2,IF($H83&lt;I$2,VLOOKUP($G83,Depreciation!$A$14:$L$18,7,FALSE),0))</f>
        <v>0</v>
      </c>
      <c r="J83" s="306">
        <f>+IF($H83=J$2,VLOOKUP($G83,Depreciation!$A$14:$L$18,8,FALSE)/2,IF($H83&lt;J$2,VLOOKUP($G83,Depreciation!$A$14:$L$18,8,FALSE),0))</f>
        <v>0</v>
      </c>
      <c r="K83" s="306">
        <f>+IF($H83=K$2,VLOOKUP($G83,Depreciation!$A$14:$L$18,9,FALSE)/2,IF($H83&lt;K$2,VLOOKUP($G83,Depreciation!$A$14:$L$18,9,FALSE),0))</f>
        <v>1.671703928371859E-2</v>
      </c>
      <c r="L83" s="306">
        <f>+IF($H83=L$2,VLOOKUP($G83,Depreciation!$A$14:$L$18,10,FALSE)/2,IF($H83&lt;L$2,VLOOKUP($G83,Depreciation!$A$14:$L$18,10,FALSE),0))</f>
        <v>3.343407856743718E-2</v>
      </c>
      <c r="M83" s="306">
        <f>+IF($H83=M$2,VLOOKUP($G83,Depreciation!$A$14:$L$18,11,FALSE)/2,IF($H83&lt;M$2,VLOOKUP($G83,Depreciation!$A$14:$L$18,11,FALSE),0))</f>
        <v>3.343407856743718E-2</v>
      </c>
      <c r="N83" s="306">
        <f>+IF($H83=N$2,VLOOKUP($G83,Depreciation!$A$14:$L$18,12,FALSE)/2,IF($H83&lt;N$2,VLOOKUP($G83,Depreciation!$A$14:$L$18,12,FALSE),0))</f>
        <v>3.343407856743718E-2</v>
      </c>
      <c r="O83" s="307">
        <f t="shared" si="9"/>
        <v>1372469.984928753</v>
      </c>
      <c r="P83" s="732">
        <f>'Func Future Subs 2015'!P83</f>
        <v>0</v>
      </c>
      <c r="Q83" s="732">
        <f>'Func Future Subs 2015'!Q83</f>
        <v>0</v>
      </c>
      <c r="R83" s="732">
        <f>'Func Future Subs 2015'!R83</f>
        <v>1</v>
      </c>
      <c r="S83" s="735">
        <f t="shared" si="10"/>
        <v>0</v>
      </c>
      <c r="T83" s="735">
        <f t="shared" si="11"/>
        <v>0</v>
      </c>
      <c r="U83" s="735">
        <f t="shared" si="12"/>
        <v>1372469.984928753</v>
      </c>
      <c r="V83" s="736">
        <f t="shared" si="13"/>
        <v>0</v>
      </c>
      <c r="W83" s="735">
        <f t="shared" si="14"/>
        <v>0</v>
      </c>
      <c r="X83" s="737">
        <f t="shared" si="15"/>
        <v>1372469.984928753</v>
      </c>
      <c r="Y83" s="738">
        <f t="shared" si="16"/>
        <v>0</v>
      </c>
    </row>
    <row r="84" spans="1:25">
      <c r="A84" s="754" t="str">
        <f>'Func Future Subs 2015'!A84</f>
        <v>Development at South Red Deer 194S (dev11)</v>
      </c>
      <c r="B84" s="754">
        <f>'Func Future Subs 2015'!B84</f>
        <v>813</v>
      </c>
      <c r="C84" s="754">
        <f>'Func Future Subs 2015'!C84</f>
        <v>138</v>
      </c>
      <c r="D84" s="754">
        <f>'Func Future Subs 2015'!D84</f>
        <v>138</v>
      </c>
      <c r="E84" s="754" t="str">
        <f>'Func Future Subs 2015'!E84</f>
        <v>194S</v>
      </c>
      <c r="F84" s="754">
        <f>'Func Future Subs 2015'!F84</f>
        <v>1533469.4238101142</v>
      </c>
      <c r="G84" s="754" t="str">
        <f>'Func Future Subs 2015'!G84</f>
        <v>AltaLink</v>
      </c>
      <c r="H84" s="754">
        <f>'Func Future Subs 2015'!H84</f>
        <v>2017</v>
      </c>
      <c r="I84" s="306">
        <f>+IF($H84=I$2,VLOOKUP($G84,Depreciation!$A$14:$L$18,7,FALSE)/2,IF($H84&lt;I$2,VLOOKUP($G84,Depreciation!$A$14:$L$18,7,FALSE),0))</f>
        <v>0</v>
      </c>
      <c r="J84" s="306">
        <f>+IF($H84=J$2,VLOOKUP($G84,Depreciation!$A$14:$L$18,8,FALSE)/2,IF($H84&lt;J$2,VLOOKUP($G84,Depreciation!$A$14:$L$18,8,FALSE),0))</f>
        <v>0</v>
      </c>
      <c r="K84" s="306">
        <f>+IF($H84=K$2,VLOOKUP($G84,Depreciation!$A$14:$L$18,9,FALSE)/2,IF($H84&lt;K$2,VLOOKUP($G84,Depreciation!$A$14:$L$18,9,FALSE),0))</f>
        <v>1.671703928371859E-2</v>
      </c>
      <c r="L84" s="306">
        <f>+IF($H84=L$2,VLOOKUP($G84,Depreciation!$A$14:$L$18,10,FALSE)/2,IF($H84&lt;L$2,VLOOKUP($G84,Depreciation!$A$14:$L$18,10,FALSE),0))</f>
        <v>3.343407856743718E-2</v>
      </c>
      <c r="M84" s="306">
        <f>+IF($H84=M$2,VLOOKUP($G84,Depreciation!$A$14:$L$18,11,FALSE)/2,IF($H84&lt;M$2,VLOOKUP($G84,Depreciation!$A$14:$L$18,11,FALSE),0))</f>
        <v>3.343407856743718E-2</v>
      </c>
      <c r="N84" s="306">
        <f>+IF($H84=N$2,VLOOKUP($G84,Depreciation!$A$14:$L$18,12,FALSE)/2,IF($H84&lt;N$2,VLOOKUP($G84,Depreciation!$A$14:$L$18,12,FALSE),0))</f>
        <v>3.343407856743718E-2</v>
      </c>
      <c r="O84" s="307">
        <f t="shared" si="9"/>
        <v>1408693.7645656115</v>
      </c>
      <c r="P84" s="732">
        <f>'Func Future Subs 2015'!P84</f>
        <v>0</v>
      </c>
      <c r="Q84" s="732">
        <f>'Func Future Subs 2015'!Q84</f>
        <v>0</v>
      </c>
      <c r="R84" s="732">
        <f>'Func Future Subs 2015'!R84</f>
        <v>1</v>
      </c>
      <c r="S84" s="735">
        <f t="shared" si="10"/>
        <v>0</v>
      </c>
      <c r="T84" s="735">
        <f t="shared" si="11"/>
        <v>0</v>
      </c>
      <c r="U84" s="735">
        <f t="shared" si="12"/>
        <v>1408693.7645656115</v>
      </c>
      <c r="V84" s="736">
        <f t="shared" si="13"/>
        <v>0</v>
      </c>
      <c r="W84" s="735">
        <f t="shared" si="14"/>
        <v>0</v>
      </c>
      <c r="X84" s="737">
        <f t="shared" si="15"/>
        <v>1408693.7645656115</v>
      </c>
      <c r="Y84" s="738">
        <f t="shared" si="16"/>
        <v>0</v>
      </c>
    </row>
    <row r="85" spans="1:25">
      <c r="A85" s="754" t="str">
        <f>'Func Future Subs 2015'!A85</f>
        <v>Development at Sylvan Lake 580S</v>
      </c>
      <c r="B85" s="754">
        <f>'Func Future Subs 2015'!B85</f>
        <v>813</v>
      </c>
      <c r="C85" s="754">
        <f>'Func Future Subs 2015'!C85</f>
        <v>138</v>
      </c>
      <c r="D85" s="754">
        <f>'Func Future Subs 2015'!D85</f>
        <v>25</v>
      </c>
      <c r="E85" s="754" t="str">
        <f>'Func Future Subs 2015'!E85</f>
        <v>580S</v>
      </c>
      <c r="F85" s="754">
        <f>'Func Future Subs 2015'!F85</f>
        <v>517837.0121000802</v>
      </c>
      <c r="G85" s="754" t="str">
        <f>'Func Future Subs 2015'!G85</f>
        <v>AltaLink</v>
      </c>
      <c r="H85" s="754">
        <f>'Func Future Subs 2015'!H85</f>
        <v>2017</v>
      </c>
      <c r="I85" s="306">
        <f>+IF($H85=I$2,VLOOKUP($G85,Depreciation!$A$14:$L$18,7,FALSE)/2,IF($H85&lt;I$2,VLOOKUP($G85,Depreciation!$A$14:$L$18,7,FALSE),0))</f>
        <v>0</v>
      </c>
      <c r="J85" s="306">
        <f>+IF($H85=J$2,VLOOKUP($G85,Depreciation!$A$14:$L$18,8,FALSE)/2,IF($H85&lt;J$2,VLOOKUP($G85,Depreciation!$A$14:$L$18,8,FALSE),0))</f>
        <v>0</v>
      </c>
      <c r="K85" s="306">
        <f>+IF($H85=K$2,VLOOKUP($G85,Depreciation!$A$14:$L$18,9,FALSE)/2,IF($H85&lt;K$2,VLOOKUP($G85,Depreciation!$A$14:$L$18,9,FALSE),0))</f>
        <v>1.671703928371859E-2</v>
      </c>
      <c r="L85" s="306">
        <f>+IF($H85=L$2,VLOOKUP($G85,Depreciation!$A$14:$L$18,10,FALSE)/2,IF($H85&lt;L$2,VLOOKUP($G85,Depreciation!$A$14:$L$18,10,FALSE),0))</f>
        <v>3.343407856743718E-2</v>
      </c>
      <c r="M85" s="306">
        <f>+IF($H85=M$2,VLOOKUP($G85,Depreciation!$A$14:$L$18,11,FALSE)/2,IF($H85&lt;M$2,VLOOKUP($G85,Depreciation!$A$14:$L$18,11,FALSE),0))</f>
        <v>3.343407856743718E-2</v>
      </c>
      <c r="N85" s="306">
        <f>+IF($H85=N$2,VLOOKUP($G85,Depreciation!$A$14:$L$18,12,FALSE)/2,IF($H85&lt;N$2,VLOOKUP($G85,Depreciation!$A$14:$L$18,12,FALSE),0))</f>
        <v>3.343407856743718E-2</v>
      </c>
      <c r="O85" s="307">
        <f t="shared" si="9"/>
        <v>475701.54231976334</v>
      </c>
      <c r="P85" s="732">
        <f>'Func Future Subs 2015'!P85</f>
        <v>0</v>
      </c>
      <c r="Q85" s="732">
        <f>'Func Future Subs 2015'!Q85</f>
        <v>1</v>
      </c>
      <c r="R85" s="732">
        <f>'Func Future Subs 2015'!R85</f>
        <v>0</v>
      </c>
      <c r="S85" s="735">
        <f t="shared" si="10"/>
        <v>0</v>
      </c>
      <c r="T85" s="735">
        <f t="shared" si="11"/>
        <v>475701.54231976334</v>
      </c>
      <c r="U85" s="735">
        <f t="shared" si="12"/>
        <v>0</v>
      </c>
      <c r="V85" s="736">
        <f t="shared" si="13"/>
        <v>0</v>
      </c>
      <c r="W85" s="735">
        <f t="shared" si="14"/>
        <v>0</v>
      </c>
      <c r="X85" s="737">
        <f t="shared" si="15"/>
        <v>0</v>
      </c>
      <c r="Y85" s="738">
        <f t="shared" si="16"/>
        <v>475701.54231976334</v>
      </c>
    </row>
    <row r="86" spans="1:25">
      <c r="A86" s="754" t="str">
        <f>'Func Future Subs 2015'!A86</f>
        <v>Didsbury 152S</v>
      </c>
      <c r="B86" s="754">
        <f>'Func Future Subs 2015'!B86</f>
        <v>813</v>
      </c>
      <c r="C86" s="754">
        <f>'Func Future Subs 2015'!C86</f>
        <v>240</v>
      </c>
      <c r="D86" s="754">
        <f>'Func Future Subs 2015'!D86</f>
        <v>0</v>
      </c>
      <c r="E86" s="754" t="str">
        <f>'Func Future Subs 2015'!E86</f>
        <v>152S</v>
      </c>
      <c r="F86" s="754">
        <f>'Func Future Subs 2015'!F86</f>
        <v>89503.831215535858</v>
      </c>
      <c r="G86" s="754" t="str">
        <f>'Func Future Subs 2015'!G86</f>
        <v>AltaLink</v>
      </c>
      <c r="H86" s="754">
        <f>'Func Future Subs 2015'!H86</f>
        <v>2017</v>
      </c>
      <c r="I86" s="306">
        <f>+IF($H86=I$2,VLOOKUP($G86,Depreciation!$A$14:$L$18,7,FALSE)/2,IF($H86&lt;I$2,VLOOKUP($G86,Depreciation!$A$14:$L$18,7,FALSE),0))</f>
        <v>0</v>
      </c>
      <c r="J86" s="306">
        <f>+IF($H86=J$2,VLOOKUP($G86,Depreciation!$A$14:$L$18,8,FALSE)/2,IF($H86&lt;J$2,VLOOKUP($G86,Depreciation!$A$14:$L$18,8,FALSE),0))</f>
        <v>0</v>
      </c>
      <c r="K86" s="306">
        <f>+IF($H86=K$2,VLOOKUP($G86,Depreciation!$A$14:$L$18,9,FALSE)/2,IF($H86&lt;K$2,VLOOKUP($G86,Depreciation!$A$14:$L$18,9,FALSE),0))</f>
        <v>1.671703928371859E-2</v>
      </c>
      <c r="L86" s="306">
        <f>+IF($H86=L$2,VLOOKUP($G86,Depreciation!$A$14:$L$18,10,FALSE)/2,IF($H86&lt;L$2,VLOOKUP($G86,Depreciation!$A$14:$L$18,10,FALSE),0))</f>
        <v>3.343407856743718E-2</v>
      </c>
      <c r="M86" s="306">
        <f>+IF($H86=M$2,VLOOKUP($G86,Depreciation!$A$14:$L$18,11,FALSE)/2,IF($H86&lt;M$2,VLOOKUP($G86,Depreciation!$A$14:$L$18,11,FALSE),0))</f>
        <v>3.343407856743718E-2</v>
      </c>
      <c r="N86" s="306">
        <f>+IF($H86=N$2,VLOOKUP($G86,Depreciation!$A$14:$L$18,12,FALSE)/2,IF($H86&lt;N$2,VLOOKUP($G86,Depreciation!$A$14:$L$18,12,FALSE),0))</f>
        <v>3.343407856743718E-2</v>
      </c>
      <c r="O86" s="307">
        <f t="shared" si="9"/>
        <v>82221.064848353257</v>
      </c>
      <c r="P86" s="732">
        <f>'Func Future Subs 2015'!P86</f>
        <v>0</v>
      </c>
      <c r="Q86" s="732">
        <f>'Func Future Subs 2015'!Q86</f>
        <v>0</v>
      </c>
      <c r="R86" s="732">
        <f>'Func Future Subs 2015'!R86</f>
        <v>1</v>
      </c>
      <c r="S86" s="735">
        <f t="shared" si="10"/>
        <v>0</v>
      </c>
      <c r="T86" s="735">
        <f t="shared" si="11"/>
        <v>0</v>
      </c>
      <c r="U86" s="735">
        <f t="shared" si="12"/>
        <v>82221.064848353257</v>
      </c>
      <c r="V86" s="736">
        <f t="shared" si="13"/>
        <v>82221.064848353257</v>
      </c>
      <c r="W86" s="735">
        <f t="shared" si="14"/>
        <v>0</v>
      </c>
      <c r="X86" s="737">
        <f t="shared" si="15"/>
        <v>0</v>
      </c>
      <c r="Y86" s="738">
        <f t="shared" si="16"/>
        <v>0</v>
      </c>
    </row>
    <row r="87" spans="1:25">
      <c r="A87" s="754" t="str">
        <f>'Func Future Subs 2015'!A87</f>
        <v>Eagle Hill 9433R (GD Hazel)</v>
      </c>
      <c r="B87" s="754">
        <f>'Func Future Subs 2015'!B87</f>
        <v>813</v>
      </c>
      <c r="C87" s="754">
        <f>'Func Future Subs 2015'!C87</f>
        <v>240</v>
      </c>
      <c r="D87" s="754">
        <f>'Func Future Subs 2015'!D87</f>
        <v>0</v>
      </c>
      <c r="E87" s="754">
        <f>'Func Future Subs 2015'!E87</f>
        <v>0</v>
      </c>
      <c r="F87" s="754">
        <f>'Func Future Subs 2015'!F87</f>
        <v>554235.26252697199</v>
      </c>
      <c r="G87" s="754" t="str">
        <f>'Func Future Subs 2015'!G87</f>
        <v>AltaLink</v>
      </c>
      <c r="H87" s="754">
        <f>'Func Future Subs 2015'!H87</f>
        <v>2017</v>
      </c>
      <c r="I87" s="306">
        <f>+IF($H87=I$2,VLOOKUP($G87,Depreciation!$A$14:$L$18,7,FALSE)/2,IF($H87&lt;I$2,VLOOKUP($G87,Depreciation!$A$14:$L$18,7,FALSE),0))</f>
        <v>0</v>
      </c>
      <c r="J87" s="306">
        <f>+IF($H87=J$2,VLOOKUP($G87,Depreciation!$A$14:$L$18,8,FALSE)/2,IF($H87&lt;J$2,VLOOKUP($G87,Depreciation!$A$14:$L$18,8,FALSE),0))</f>
        <v>0</v>
      </c>
      <c r="K87" s="306">
        <f>+IF($H87=K$2,VLOOKUP($G87,Depreciation!$A$14:$L$18,9,FALSE)/2,IF($H87&lt;K$2,VLOOKUP($G87,Depreciation!$A$14:$L$18,9,FALSE),0))</f>
        <v>1.671703928371859E-2</v>
      </c>
      <c r="L87" s="306">
        <f>+IF($H87=L$2,VLOOKUP($G87,Depreciation!$A$14:$L$18,10,FALSE)/2,IF($H87&lt;L$2,VLOOKUP($G87,Depreciation!$A$14:$L$18,10,FALSE),0))</f>
        <v>3.343407856743718E-2</v>
      </c>
      <c r="M87" s="306">
        <f>+IF($H87=M$2,VLOOKUP($G87,Depreciation!$A$14:$L$18,11,FALSE)/2,IF($H87&lt;M$2,VLOOKUP($G87,Depreciation!$A$14:$L$18,11,FALSE),0))</f>
        <v>3.343407856743718E-2</v>
      </c>
      <c r="N87" s="306">
        <f>+IF($H87=N$2,VLOOKUP($G87,Depreciation!$A$14:$L$18,12,FALSE)/2,IF($H87&lt;N$2,VLOOKUP($G87,Depreciation!$A$14:$L$18,12,FALSE),0))</f>
        <v>3.343407856743718E-2</v>
      </c>
      <c r="O87" s="307">
        <f t="shared" si="9"/>
        <v>509138.13233018742</v>
      </c>
      <c r="P87" s="732">
        <f>'Func Future Subs 2015'!P87</f>
        <v>0</v>
      </c>
      <c r="Q87" s="732">
        <f>'Func Future Subs 2015'!Q87</f>
        <v>0</v>
      </c>
      <c r="R87" s="732">
        <f>'Func Future Subs 2015'!R87</f>
        <v>1</v>
      </c>
      <c r="S87" s="735">
        <f t="shared" si="10"/>
        <v>0</v>
      </c>
      <c r="T87" s="735">
        <f t="shared" si="11"/>
        <v>0</v>
      </c>
      <c r="U87" s="735">
        <f t="shared" si="12"/>
        <v>509138.13233018742</v>
      </c>
      <c r="V87" s="736">
        <f t="shared" si="13"/>
        <v>509138.13233018742</v>
      </c>
      <c r="W87" s="735">
        <f t="shared" si="14"/>
        <v>0</v>
      </c>
      <c r="X87" s="737">
        <f t="shared" si="15"/>
        <v>0</v>
      </c>
      <c r="Y87" s="738">
        <f t="shared" si="16"/>
        <v>0</v>
      </c>
    </row>
    <row r="88" spans="1:25">
      <c r="A88" s="754" t="str">
        <f>'Func Future Subs 2015'!A88</f>
        <v>Ellerslie 89S</v>
      </c>
      <c r="B88" s="754">
        <f>'Func Future Subs 2015'!B88</f>
        <v>813</v>
      </c>
      <c r="C88" s="754">
        <f>'Func Future Subs 2015'!C88</f>
        <v>240</v>
      </c>
      <c r="D88" s="754">
        <f>'Func Future Subs 2015'!D88</f>
        <v>240</v>
      </c>
      <c r="E88" s="754" t="str">
        <f>'Func Future Subs 2015'!E88</f>
        <v>89S</v>
      </c>
      <c r="F88" s="754">
        <f>'Func Future Subs 2015'!F88</f>
        <v>117043.47158954688</v>
      </c>
      <c r="G88" s="754" t="str">
        <f>'Func Future Subs 2015'!G88</f>
        <v>AltaLink</v>
      </c>
      <c r="H88" s="754">
        <f>'Func Future Subs 2015'!H88</f>
        <v>2017</v>
      </c>
      <c r="I88" s="306">
        <f>+IF($H88=I$2,VLOOKUP($G88,Depreciation!$A$14:$L$18,7,FALSE)/2,IF($H88&lt;I$2,VLOOKUP($G88,Depreciation!$A$14:$L$18,7,FALSE),0))</f>
        <v>0</v>
      </c>
      <c r="J88" s="306">
        <f>+IF($H88=J$2,VLOOKUP($G88,Depreciation!$A$14:$L$18,8,FALSE)/2,IF($H88&lt;J$2,VLOOKUP($G88,Depreciation!$A$14:$L$18,8,FALSE),0))</f>
        <v>0</v>
      </c>
      <c r="K88" s="306">
        <f>+IF($H88=K$2,VLOOKUP($G88,Depreciation!$A$14:$L$18,9,FALSE)/2,IF($H88&lt;K$2,VLOOKUP($G88,Depreciation!$A$14:$L$18,9,FALSE),0))</f>
        <v>1.671703928371859E-2</v>
      </c>
      <c r="L88" s="306">
        <f>+IF($H88=L$2,VLOOKUP($G88,Depreciation!$A$14:$L$18,10,FALSE)/2,IF($H88&lt;L$2,VLOOKUP($G88,Depreciation!$A$14:$L$18,10,FALSE),0))</f>
        <v>3.343407856743718E-2</v>
      </c>
      <c r="M88" s="306">
        <f>+IF($H88=M$2,VLOOKUP($G88,Depreciation!$A$14:$L$18,11,FALSE)/2,IF($H88&lt;M$2,VLOOKUP($G88,Depreciation!$A$14:$L$18,11,FALSE),0))</f>
        <v>3.343407856743718E-2</v>
      </c>
      <c r="N88" s="306">
        <f>+IF($H88=N$2,VLOOKUP($G88,Depreciation!$A$14:$L$18,12,FALSE)/2,IF($H88&lt;N$2,VLOOKUP($G88,Depreciation!$A$14:$L$18,12,FALSE),0))</f>
        <v>3.343407856743718E-2</v>
      </c>
      <c r="O88" s="307">
        <f t="shared" si="9"/>
        <v>107519.85403246194</v>
      </c>
      <c r="P88" s="732">
        <f>'Func Future Subs 2015'!P88</f>
        <v>0</v>
      </c>
      <c r="Q88" s="732">
        <f>'Func Future Subs 2015'!Q88</f>
        <v>0</v>
      </c>
      <c r="R88" s="732">
        <f>'Func Future Subs 2015'!R88</f>
        <v>1</v>
      </c>
      <c r="S88" s="735">
        <f t="shared" si="10"/>
        <v>0</v>
      </c>
      <c r="T88" s="735">
        <f t="shared" si="11"/>
        <v>0</v>
      </c>
      <c r="U88" s="735">
        <f t="shared" si="12"/>
        <v>107519.85403246194</v>
      </c>
      <c r="V88" s="736">
        <f t="shared" si="13"/>
        <v>0</v>
      </c>
      <c r="W88" s="735">
        <f t="shared" si="14"/>
        <v>107519.85403246194</v>
      </c>
      <c r="X88" s="737">
        <f t="shared" si="15"/>
        <v>0</v>
      </c>
      <c r="Y88" s="738">
        <f t="shared" si="16"/>
        <v>0</v>
      </c>
    </row>
    <row r="89" spans="1:25">
      <c r="A89" s="754" t="str">
        <f>'Func Future Subs 2015'!A89</f>
        <v>Ellis 332S</v>
      </c>
      <c r="B89" s="754">
        <f>'Func Future Subs 2015'!B89</f>
        <v>813</v>
      </c>
      <c r="C89" s="754">
        <f>'Func Future Subs 2015'!C89</f>
        <v>138</v>
      </c>
      <c r="D89" s="754">
        <f>'Func Future Subs 2015'!D89</f>
        <v>25</v>
      </c>
      <c r="E89" s="754" t="str">
        <f>'Func Future Subs 2015'!E89</f>
        <v>332S</v>
      </c>
      <c r="F89" s="754">
        <f>'Func Future Subs 2015'!F89</f>
        <v>4802999.9999999981</v>
      </c>
      <c r="G89" s="754" t="str">
        <f>'Func Future Subs 2015'!G89</f>
        <v>AltaLink</v>
      </c>
      <c r="H89" s="754">
        <f>'Func Future Subs 2015'!H89</f>
        <v>2017</v>
      </c>
      <c r="I89" s="306">
        <f>+IF($H89=I$2,VLOOKUP($G89,Depreciation!$A$14:$L$18,7,FALSE)/2,IF($H89&lt;I$2,VLOOKUP($G89,Depreciation!$A$14:$L$18,7,FALSE),0))</f>
        <v>0</v>
      </c>
      <c r="J89" s="306">
        <f>+IF($H89=J$2,VLOOKUP($G89,Depreciation!$A$14:$L$18,8,FALSE)/2,IF($H89&lt;J$2,VLOOKUP($G89,Depreciation!$A$14:$L$18,8,FALSE),0))</f>
        <v>0</v>
      </c>
      <c r="K89" s="306">
        <f>+IF($H89=K$2,VLOOKUP($G89,Depreciation!$A$14:$L$18,9,FALSE)/2,IF($H89&lt;K$2,VLOOKUP($G89,Depreciation!$A$14:$L$18,9,FALSE),0))</f>
        <v>1.671703928371859E-2</v>
      </c>
      <c r="L89" s="306">
        <f>+IF($H89=L$2,VLOOKUP($G89,Depreciation!$A$14:$L$18,10,FALSE)/2,IF($H89&lt;L$2,VLOOKUP($G89,Depreciation!$A$14:$L$18,10,FALSE),0))</f>
        <v>3.343407856743718E-2</v>
      </c>
      <c r="M89" s="306">
        <f>+IF($H89=M$2,VLOOKUP($G89,Depreciation!$A$14:$L$18,11,FALSE)/2,IF($H89&lt;M$2,VLOOKUP($G89,Depreciation!$A$14:$L$18,11,FALSE),0))</f>
        <v>3.343407856743718E-2</v>
      </c>
      <c r="N89" s="306">
        <f>+IF($H89=N$2,VLOOKUP($G89,Depreciation!$A$14:$L$18,12,FALSE)/2,IF($H89&lt;N$2,VLOOKUP($G89,Depreciation!$A$14:$L$18,12,FALSE),0))</f>
        <v>3.343407856743718E-2</v>
      </c>
      <c r="O89" s="307">
        <f t="shared" si="9"/>
        <v>4412188.4963299027</v>
      </c>
      <c r="P89" s="732">
        <f>'Func Future Subs 2015'!P89</f>
        <v>0</v>
      </c>
      <c r="Q89" s="732">
        <f>'Func Future Subs 2015'!Q89</f>
        <v>1</v>
      </c>
      <c r="R89" s="732">
        <f>'Func Future Subs 2015'!R89</f>
        <v>0</v>
      </c>
      <c r="S89" s="735">
        <f t="shared" si="10"/>
        <v>0</v>
      </c>
      <c r="T89" s="735">
        <f t="shared" si="11"/>
        <v>4412188.4963299027</v>
      </c>
      <c r="U89" s="735">
        <f t="shared" si="12"/>
        <v>0</v>
      </c>
      <c r="V89" s="736">
        <f t="shared" si="13"/>
        <v>0</v>
      </c>
      <c r="W89" s="735">
        <f t="shared" si="14"/>
        <v>0</v>
      </c>
      <c r="X89" s="737">
        <f t="shared" si="15"/>
        <v>0</v>
      </c>
      <c r="Y89" s="738">
        <f t="shared" si="16"/>
        <v>4412188.4963299027</v>
      </c>
    </row>
    <row r="90" spans="1:25">
      <c r="A90" s="754" t="str">
        <f>'Func Future Subs 2015'!A90</f>
        <v>Ellis 332S (GD)</v>
      </c>
      <c r="B90" s="754">
        <f>'Func Future Subs 2015'!B90</f>
        <v>813</v>
      </c>
      <c r="C90" s="754">
        <f>'Func Future Subs 2015'!C90</f>
        <v>138</v>
      </c>
      <c r="D90" s="754">
        <f>'Func Future Subs 2015'!D90</f>
        <v>25</v>
      </c>
      <c r="E90" s="754" t="str">
        <f>'Func Future Subs 2015'!E90</f>
        <v>332S</v>
      </c>
      <c r="F90" s="754">
        <f>'Func Future Subs 2015'!F90</f>
        <v>1561153.3637017503</v>
      </c>
      <c r="G90" s="754" t="str">
        <f>'Func Future Subs 2015'!G90</f>
        <v>AltaLink</v>
      </c>
      <c r="H90" s="754">
        <f>'Func Future Subs 2015'!H90</f>
        <v>2017</v>
      </c>
      <c r="I90" s="306">
        <f>+IF($H90=I$2,VLOOKUP($G90,Depreciation!$A$14:$L$18,7,FALSE)/2,IF($H90&lt;I$2,VLOOKUP($G90,Depreciation!$A$14:$L$18,7,FALSE),0))</f>
        <v>0</v>
      </c>
      <c r="J90" s="306">
        <f>+IF($H90=J$2,VLOOKUP($G90,Depreciation!$A$14:$L$18,8,FALSE)/2,IF($H90&lt;J$2,VLOOKUP($G90,Depreciation!$A$14:$L$18,8,FALSE),0))</f>
        <v>0</v>
      </c>
      <c r="K90" s="306">
        <f>+IF($H90=K$2,VLOOKUP($G90,Depreciation!$A$14:$L$18,9,FALSE)/2,IF($H90&lt;K$2,VLOOKUP($G90,Depreciation!$A$14:$L$18,9,FALSE),0))</f>
        <v>1.671703928371859E-2</v>
      </c>
      <c r="L90" s="306">
        <f>+IF($H90=L$2,VLOOKUP($G90,Depreciation!$A$14:$L$18,10,FALSE)/2,IF($H90&lt;L$2,VLOOKUP($G90,Depreciation!$A$14:$L$18,10,FALSE),0))</f>
        <v>3.343407856743718E-2</v>
      </c>
      <c r="M90" s="306">
        <f>+IF($H90=M$2,VLOOKUP($G90,Depreciation!$A$14:$L$18,11,FALSE)/2,IF($H90&lt;M$2,VLOOKUP($G90,Depreciation!$A$14:$L$18,11,FALSE),0))</f>
        <v>3.343407856743718E-2</v>
      </c>
      <c r="N90" s="306">
        <f>+IF($H90=N$2,VLOOKUP($G90,Depreciation!$A$14:$L$18,12,FALSE)/2,IF($H90&lt;N$2,VLOOKUP($G90,Depreciation!$A$14:$L$18,12,FALSE),0))</f>
        <v>3.343407856743718E-2</v>
      </c>
      <c r="O90" s="307">
        <f t="shared" si="9"/>
        <v>1434125.1118741615</v>
      </c>
      <c r="P90" s="732">
        <f>'Func Future Subs 2015'!P90</f>
        <v>0</v>
      </c>
      <c r="Q90" s="732">
        <f>'Func Future Subs 2015'!Q90</f>
        <v>1</v>
      </c>
      <c r="R90" s="732">
        <f>'Func Future Subs 2015'!R90</f>
        <v>0</v>
      </c>
      <c r="S90" s="735">
        <f t="shared" si="10"/>
        <v>0</v>
      </c>
      <c r="T90" s="735">
        <f t="shared" si="11"/>
        <v>1434125.1118741615</v>
      </c>
      <c r="U90" s="735">
        <f t="shared" si="12"/>
        <v>0</v>
      </c>
      <c r="V90" s="736">
        <f t="shared" si="13"/>
        <v>0</v>
      </c>
      <c r="W90" s="735">
        <f t="shared" si="14"/>
        <v>0</v>
      </c>
      <c r="X90" s="737">
        <f t="shared" si="15"/>
        <v>0</v>
      </c>
      <c r="Y90" s="738">
        <f t="shared" si="16"/>
        <v>1434125.1118741615</v>
      </c>
    </row>
    <row r="91" spans="1:25">
      <c r="A91" s="754" t="str">
        <f>'Func Future Subs 2015'!A91</f>
        <v>Gaetz 87S</v>
      </c>
      <c r="B91" s="754">
        <f>'Func Future Subs 2015'!B91</f>
        <v>813</v>
      </c>
      <c r="C91" s="754">
        <f>'Func Future Subs 2015'!C91</f>
        <v>240</v>
      </c>
      <c r="D91" s="754">
        <f>'Func Future Subs 2015'!D91</f>
        <v>138</v>
      </c>
      <c r="E91" s="754" t="str">
        <f>'Func Future Subs 2015'!E91</f>
        <v>87S</v>
      </c>
      <c r="F91" s="754">
        <f>'Func Future Subs 2015'!F91</f>
        <v>3058127.6636590497</v>
      </c>
      <c r="G91" s="754" t="str">
        <f>'Func Future Subs 2015'!G91</f>
        <v>AltaLink</v>
      </c>
      <c r="H91" s="754">
        <f>'Func Future Subs 2015'!H91</f>
        <v>2017</v>
      </c>
      <c r="I91" s="306">
        <f>+IF($H91=I$2,VLOOKUP($G91,Depreciation!$A$14:$L$18,7,FALSE)/2,IF($H91&lt;I$2,VLOOKUP($G91,Depreciation!$A$14:$L$18,7,FALSE),0))</f>
        <v>0</v>
      </c>
      <c r="J91" s="306">
        <f>+IF($H91=J$2,VLOOKUP($G91,Depreciation!$A$14:$L$18,8,FALSE)/2,IF($H91&lt;J$2,VLOOKUP($G91,Depreciation!$A$14:$L$18,8,FALSE),0))</f>
        <v>0</v>
      </c>
      <c r="K91" s="306">
        <f>+IF($H91=K$2,VLOOKUP($G91,Depreciation!$A$14:$L$18,9,FALSE)/2,IF($H91&lt;K$2,VLOOKUP($G91,Depreciation!$A$14:$L$18,9,FALSE),0))</f>
        <v>1.671703928371859E-2</v>
      </c>
      <c r="L91" s="306">
        <f>+IF($H91=L$2,VLOOKUP($G91,Depreciation!$A$14:$L$18,10,FALSE)/2,IF($H91&lt;L$2,VLOOKUP($G91,Depreciation!$A$14:$L$18,10,FALSE),0))</f>
        <v>3.343407856743718E-2</v>
      </c>
      <c r="M91" s="306">
        <f>+IF($H91=M$2,VLOOKUP($G91,Depreciation!$A$14:$L$18,11,FALSE)/2,IF($H91&lt;M$2,VLOOKUP($G91,Depreciation!$A$14:$L$18,11,FALSE),0))</f>
        <v>3.343407856743718E-2</v>
      </c>
      <c r="N91" s="306">
        <f>+IF($H91=N$2,VLOOKUP($G91,Depreciation!$A$14:$L$18,12,FALSE)/2,IF($H91&lt;N$2,VLOOKUP($G91,Depreciation!$A$14:$L$18,12,FALSE),0))</f>
        <v>3.343407856743718E-2</v>
      </c>
      <c r="O91" s="307">
        <f t="shared" si="9"/>
        <v>2809293.2954205088</v>
      </c>
      <c r="P91" s="732">
        <f>'Func Future Subs 2015'!P91</f>
        <v>0</v>
      </c>
      <c r="Q91" s="732">
        <f>'Func Future Subs 2015'!Q91</f>
        <v>0</v>
      </c>
      <c r="R91" s="732">
        <f>'Func Future Subs 2015'!R91</f>
        <v>1</v>
      </c>
      <c r="S91" s="735">
        <f t="shared" si="10"/>
        <v>0</v>
      </c>
      <c r="T91" s="735">
        <f t="shared" si="11"/>
        <v>0</v>
      </c>
      <c r="U91" s="735">
        <f t="shared" si="12"/>
        <v>2809293.2954205088</v>
      </c>
      <c r="V91" s="736">
        <f t="shared" si="13"/>
        <v>0</v>
      </c>
      <c r="W91" s="735">
        <f t="shared" si="14"/>
        <v>0</v>
      </c>
      <c r="X91" s="737">
        <f t="shared" si="15"/>
        <v>2809293.2954205088</v>
      </c>
      <c r="Y91" s="738">
        <f t="shared" si="16"/>
        <v>0</v>
      </c>
    </row>
    <row r="92" spans="1:25">
      <c r="A92" s="754" t="str">
        <f>'Func Future Subs 2015'!A92</f>
        <v>Harmattan 256S</v>
      </c>
      <c r="B92" s="754">
        <f>'Func Future Subs 2015'!B92</f>
        <v>813</v>
      </c>
      <c r="C92" s="754">
        <f>'Func Future Subs 2015'!C92</f>
        <v>240</v>
      </c>
      <c r="D92" s="754">
        <f>'Func Future Subs 2015'!D92</f>
        <v>25</v>
      </c>
      <c r="E92" s="754" t="str">
        <f>'Func Future Subs 2015'!E92</f>
        <v>256S</v>
      </c>
      <c r="F92" s="754">
        <f>'Func Future Subs 2015'!F92</f>
        <v>185892.57252457447</v>
      </c>
      <c r="G92" s="754" t="str">
        <f>'Func Future Subs 2015'!G92</f>
        <v>AltaLink</v>
      </c>
      <c r="H92" s="754">
        <f>'Func Future Subs 2015'!H92</f>
        <v>2017</v>
      </c>
      <c r="I92" s="306">
        <f>+IF($H92=I$2,VLOOKUP($G92,Depreciation!$A$14:$L$18,7,FALSE)/2,IF($H92&lt;I$2,VLOOKUP($G92,Depreciation!$A$14:$L$18,7,FALSE),0))</f>
        <v>0</v>
      </c>
      <c r="J92" s="306">
        <f>+IF($H92=J$2,VLOOKUP($G92,Depreciation!$A$14:$L$18,8,FALSE)/2,IF($H92&lt;J$2,VLOOKUP($G92,Depreciation!$A$14:$L$18,8,FALSE),0))</f>
        <v>0</v>
      </c>
      <c r="K92" s="306">
        <f>+IF($H92=K$2,VLOOKUP($G92,Depreciation!$A$14:$L$18,9,FALSE)/2,IF($H92&lt;K$2,VLOOKUP($G92,Depreciation!$A$14:$L$18,9,FALSE),0))</f>
        <v>1.671703928371859E-2</v>
      </c>
      <c r="L92" s="306">
        <f>+IF($H92=L$2,VLOOKUP($G92,Depreciation!$A$14:$L$18,10,FALSE)/2,IF($H92&lt;L$2,VLOOKUP($G92,Depreciation!$A$14:$L$18,10,FALSE),0))</f>
        <v>3.343407856743718E-2</v>
      </c>
      <c r="M92" s="306">
        <f>+IF($H92=M$2,VLOOKUP($G92,Depreciation!$A$14:$L$18,11,FALSE)/2,IF($H92&lt;M$2,VLOOKUP($G92,Depreciation!$A$14:$L$18,11,FALSE),0))</f>
        <v>3.343407856743718E-2</v>
      </c>
      <c r="N92" s="306">
        <f>+IF($H92=N$2,VLOOKUP($G92,Depreciation!$A$14:$L$18,12,FALSE)/2,IF($H92&lt;N$2,VLOOKUP($G92,Depreciation!$A$14:$L$18,12,FALSE),0))</f>
        <v>3.343407856743718E-2</v>
      </c>
      <c r="O92" s="307">
        <f t="shared" si="9"/>
        <v>170766.8269927337</v>
      </c>
      <c r="P92" s="732">
        <f>'Func Future Subs 2015'!P92</f>
        <v>0.54510993176648981</v>
      </c>
      <c r="Q92" s="732">
        <f>'Func Future Subs 2015'!Q92</f>
        <v>0.45489006823351025</v>
      </c>
      <c r="R92" s="732">
        <f>'Func Future Subs 2015'!R92</f>
        <v>0</v>
      </c>
      <c r="S92" s="735">
        <f t="shared" si="10"/>
        <v>93086.693409989035</v>
      </c>
      <c r="T92" s="735">
        <f t="shared" si="11"/>
        <v>77680.133582744675</v>
      </c>
      <c r="U92" s="735">
        <f t="shared" si="12"/>
        <v>0</v>
      </c>
      <c r="V92" s="736">
        <f t="shared" si="13"/>
        <v>0</v>
      </c>
      <c r="W92" s="735">
        <f t="shared" si="14"/>
        <v>93086.693409989035</v>
      </c>
      <c r="X92" s="737">
        <f t="shared" si="15"/>
        <v>0</v>
      </c>
      <c r="Y92" s="738">
        <f t="shared" si="16"/>
        <v>77680.133582744675</v>
      </c>
    </row>
    <row r="93" spans="1:25">
      <c r="A93" s="754" t="str">
        <f>'Func Future Subs 2015'!A93</f>
        <v>Hazelwood 287S</v>
      </c>
      <c r="B93" s="754">
        <f>'Func Future Subs 2015'!B93</f>
        <v>813</v>
      </c>
      <c r="C93" s="754">
        <f>'Func Future Subs 2015'!C93</f>
        <v>240</v>
      </c>
      <c r="D93" s="754">
        <f>'Func Future Subs 2015'!D93</f>
        <v>0</v>
      </c>
      <c r="E93" s="754" t="str">
        <f>'Func Future Subs 2015'!E93</f>
        <v>287S</v>
      </c>
      <c r="F93" s="754">
        <f>'Func Future Subs 2015'!F93</f>
        <v>24486182.74754256</v>
      </c>
      <c r="G93" s="754" t="str">
        <f>'Func Future Subs 2015'!G93</f>
        <v>AltaLink</v>
      </c>
      <c r="H93" s="754">
        <f>'Func Future Subs 2015'!H93</f>
        <v>2017</v>
      </c>
      <c r="I93" s="306">
        <f>+IF($H93=I$2,VLOOKUP($G93,Depreciation!$A$14:$L$18,7,FALSE)/2,IF($H93&lt;I$2,VLOOKUP($G93,Depreciation!$A$14:$L$18,7,FALSE),0))</f>
        <v>0</v>
      </c>
      <c r="J93" s="306">
        <f>+IF($H93=J$2,VLOOKUP($G93,Depreciation!$A$14:$L$18,8,FALSE)/2,IF($H93&lt;J$2,VLOOKUP($G93,Depreciation!$A$14:$L$18,8,FALSE),0))</f>
        <v>0</v>
      </c>
      <c r="K93" s="306">
        <f>+IF($H93=K$2,VLOOKUP($G93,Depreciation!$A$14:$L$18,9,FALSE)/2,IF($H93&lt;K$2,VLOOKUP($G93,Depreciation!$A$14:$L$18,9,FALSE),0))</f>
        <v>1.671703928371859E-2</v>
      </c>
      <c r="L93" s="306">
        <f>+IF($H93=L$2,VLOOKUP($G93,Depreciation!$A$14:$L$18,10,FALSE)/2,IF($H93&lt;L$2,VLOOKUP($G93,Depreciation!$A$14:$L$18,10,FALSE),0))</f>
        <v>3.343407856743718E-2</v>
      </c>
      <c r="M93" s="306">
        <f>+IF($H93=M$2,VLOOKUP($G93,Depreciation!$A$14:$L$18,11,FALSE)/2,IF($H93&lt;M$2,VLOOKUP($G93,Depreciation!$A$14:$L$18,11,FALSE),0))</f>
        <v>3.343407856743718E-2</v>
      </c>
      <c r="N93" s="306">
        <f>+IF($H93=N$2,VLOOKUP($G93,Depreciation!$A$14:$L$18,12,FALSE)/2,IF($H93&lt;N$2,VLOOKUP($G93,Depreciation!$A$14:$L$18,12,FALSE),0))</f>
        <v>3.343407856743718E-2</v>
      </c>
      <c r="O93" s="307">
        <f t="shared" si="9"/>
        <v>22493785.933320645</v>
      </c>
      <c r="P93" s="732">
        <f>'Func Future Subs 2015'!P93</f>
        <v>0</v>
      </c>
      <c r="Q93" s="732">
        <f>'Func Future Subs 2015'!Q93</f>
        <v>0</v>
      </c>
      <c r="R93" s="732">
        <f>'Func Future Subs 2015'!R93</f>
        <v>1</v>
      </c>
      <c r="S93" s="735">
        <f t="shared" si="10"/>
        <v>0</v>
      </c>
      <c r="T93" s="735">
        <f t="shared" si="11"/>
        <v>0</v>
      </c>
      <c r="U93" s="735">
        <f t="shared" si="12"/>
        <v>22493785.933320645</v>
      </c>
      <c r="V93" s="736">
        <f t="shared" si="13"/>
        <v>22493785.933320645</v>
      </c>
      <c r="W93" s="735">
        <f t="shared" si="14"/>
        <v>0</v>
      </c>
      <c r="X93" s="737">
        <f t="shared" si="15"/>
        <v>0</v>
      </c>
      <c r="Y93" s="738">
        <f t="shared" si="16"/>
        <v>0</v>
      </c>
    </row>
    <row r="94" spans="1:25">
      <c r="A94" s="754" t="str">
        <f>'Func Future Subs 2015'!A94</f>
        <v>Innisfail 214S</v>
      </c>
      <c r="B94" s="754">
        <f>'Func Future Subs 2015'!B94</f>
        <v>813</v>
      </c>
      <c r="C94" s="754">
        <f>'Func Future Subs 2015'!C94</f>
        <v>138</v>
      </c>
      <c r="D94" s="754">
        <f>'Func Future Subs 2015'!D94</f>
        <v>25</v>
      </c>
      <c r="E94" s="754" t="str">
        <f>'Func Future Subs 2015'!E94</f>
        <v>214S</v>
      </c>
      <c r="F94" s="754">
        <f>'Func Future Subs 2015'!F94</f>
        <v>4439045.7827859037</v>
      </c>
      <c r="G94" s="754" t="str">
        <f>'Func Future Subs 2015'!G94</f>
        <v>AltaLink</v>
      </c>
      <c r="H94" s="754">
        <f>'Func Future Subs 2015'!H94</f>
        <v>2017</v>
      </c>
      <c r="I94" s="306">
        <f>+IF($H94=I$2,VLOOKUP($G94,Depreciation!$A$14:$L$18,7,FALSE)/2,IF($H94&lt;I$2,VLOOKUP($G94,Depreciation!$A$14:$L$18,7,FALSE),0))</f>
        <v>0</v>
      </c>
      <c r="J94" s="306">
        <f>+IF($H94=J$2,VLOOKUP($G94,Depreciation!$A$14:$L$18,8,FALSE)/2,IF($H94&lt;J$2,VLOOKUP($G94,Depreciation!$A$14:$L$18,8,FALSE),0))</f>
        <v>0</v>
      </c>
      <c r="K94" s="306">
        <f>+IF($H94=K$2,VLOOKUP($G94,Depreciation!$A$14:$L$18,9,FALSE)/2,IF($H94&lt;K$2,VLOOKUP($G94,Depreciation!$A$14:$L$18,9,FALSE),0))</f>
        <v>1.671703928371859E-2</v>
      </c>
      <c r="L94" s="306">
        <f>+IF($H94=L$2,VLOOKUP($G94,Depreciation!$A$14:$L$18,10,FALSE)/2,IF($H94&lt;L$2,VLOOKUP($G94,Depreciation!$A$14:$L$18,10,FALSE),0))</f>
        <v>3.343407856743718E-2</v>
      </c>
      <c r="M94" s="306">
        <f>+IF($H94=M$2,VLOOKUP($G94,Depreciation!$A$14:$L$18,11,FALSE)/2,IF($H94&lt;M$2,VLOOKUP($G94,Depreciation!$A$14:$L$18,11,FALSE),0))</f>
        <v>3.343407856743718E-2</v>
      </c>
      <c r="N94" s="306">
        <f>+IF($H94=N$2,VLOOKUP($G94,Depreciation!$A$14:$L$18,12,FALSE)/2,IF($H94&lt;N$2,VLOOKUP($G94,Depreciation!$A$14:$L$18,12,FALSE),0))</f>
        <v>3.343407856743718E-2</v>
      </c>
      <c r="O94" s="307">
        <f t="shared" si="9"/>
        <v>4077848.5816135202</v>
      </c>
      <c r="P94" s="732">
        <f>'Func Future Subs 2015'!P94</f>
        <v>0</v>
      </c>
      <c r="Q94" s="732">
        <f>'Func Future Subs 2015'!Q94</f>
        <v>1</v>
      </c>
      <c r="R94" s="732">
        <f>'Func Future Subs 2015'!R94</f>
        <v>0</v>
      </c>
      <c r="S94" s="735">
        <f t="shared" si="10"/>
        <v>0</v>
      </c>
      <c r="T94" s="735">
        <f t="shared" si="11"/>
        <v>4077848.5816135202</v>
      </c>
      <c r="U94" s="735">
        <f t="shared" si="12"/>
        <v>0</v>
      </c>
      <c r="V94" s="736">
        <f t="shared" si="13"/>
        <v>0</v>
      </c>
      <c r="W94" s="735">
        <f t="shared" si="14"/>
        <v>0</v>
      </c>
      <c r="X94" s="737">
        <f t="shared" si="15"/>
        <v>0</v>
      </c>
      <c r="Y94" s="738">
        <f t="shared" si="16"/>
        <v>4077848.5816135202</v>
      </c>
    </row>
    <row r="95" spans="1:25">
      <c r="A95" s="754" t="str">
        <f>'Func Future Subs 2015'!A95</f>
        <v>Joffre 535S</v>
      </c>
      <c r="B95" s="754">
        <f>'Func Future Subs 2015'!B95</f>
        <v>813</v>
      </c>
      <c r="C95" s="754">
        <f>'Func Future Subs 2015'!C95</f>
        <v>138</v>
      </c>
      <c r="D95" s="754">
        <f>'Func Future Subs 2015'!D95</f>
        <v>25</v>
      </c>
      <c r="E95" s="754" t="str">
        <f>'Func Future Subs 2015'!E95</f>
        <v>535S</v>
      </c>
      <c r="F95" s="754">
        <f>'Func Future Subs 2015'!F95</f>
        <v>5110999.9999999963</v>
      </c>
      <c r="G95" s="754" t="str">
        <f>'Func Future Subs 2015'!G95</f>
        <v>AltaLink</v>
      </c>
      <c r="H95" s="754">
        <f>'Func Future Subs 2015'!H95</f>
        <v>2017</v>
      </c>
      <c r="I95" s="306">
        <f>+IF($H95=I$2,VLOOKUP($G95,Depreciation!$A$14:$L$18,7,FALSE)/2,IF($H95&lt;I$2,VLOOKUP($G95,Depreciation!$A$14:$L$18,7,FALSE),0))</f>
        <v>0</v>
      </c>
      <c r="J95" s="306">
        <f>+IF($H95=J$2,VLOOKUP($G95,Depreciation!$A$14:$L$18,8,FALSE)/2,IF($H95&lt;J$2,VLOOKUP($G95,Depreciation!$A$14:$L$18,8,FALSE),0))</f>
        <v>0</v>
      </c>
      <c r="K95" s="306">
        <f>+IF($H95=K$2,VLOOKUP($G95,Depreciation!$A$14:$L$18,9,FALSE)/2,IF($H95&lt;K$2,VLOOKUP($G95,Depreciation!$A$14:$L$18,9,FALSE),0))</f>
        <v>1.671703928371859E-2</v>
      </c>
      <c r="L95" s="306">
        <f>+IF($H95=L$2,VLOOKUP($G95,Depreciation!$A$14:$L$18,10,FALSE)/2,IF($H95&lt;L$2,VLOOKUP($G95,Depreciation!$A$14:$L$18,10,FALSE),0))</f>
        <v>3.343407856743718E-2</v>
      </c>
      <c r="M95" s="306">
        <f>+IF($H95=M$2,VLOOKUP($G95,Depreciation!$A$14:$L$18,11,FALSE)/2,IF($H95&lt;M$2,VLOOKUP($G95,Depreciation!$A$14:$L$18,11,FALSE),0))</f>
        <v>3.343407856743718E-2</v>
      </c>
      <c r="N95" s="306">
        <f>+IF($H95=N$2,VLOOKUP($G95,Depreciation!$A$14:$L$18,12,FALSE)/2,IF($H95&lt;N$2,VLOOKUP($G95,Depreciation!$A$14:$L$18,12,FALSE),0))</f>
        <v>3.343407856743718E-2</v>
      </c>
      <c r="O95" s="307">
        <f t="shared" si="9"/>
        <v>4695127.0882244688</v>
      </c>
      <c r="P95" s="732">
        <f>'Func Future Subs 2015'!P95</f>
        <v>0.7403207006269098</v>
      </c>
      <c r="Q95" s="732">
        <f>'Func Future Subs 2015'!Q95</f>
        <v>0.25967929937309009</v>
      </c>
      <c r="R95" s="732">
        <f>'Func Future Subs 2015'!R95</f>
        <v>0</v>
      </c>
      <c r="S95" s="735">
        <f t="shared" si="10"/>
        <v>3475899.7754867217</v>
      </c>
      <c r="T95" s="735">
        <f t="shared" si="11"/>
        <v>1219227.3127377466</v>
      </c>
      <c r="U95" s="735">
        <f t="shared" si="12"/>
        <v>0</v>
      </c>
      <c r="V95" s="736">
        <f t="shared" si="13"/>
        <v>0</v>
      </c>
      <c r="W95" s="735">
        <f t="shared" si="14"/>
        <v>3475899.7754867217</v>
      </c>
      <c r="X95" s="737">
        <f t="shared" si="15"/>
        <v>0</v>
      </c>
      <c r="Y95" s="738">
        <f t="shared" si="16"/>
        <v>1219227.3127377466</v>
      </c>
    </row>
    <row r="96" spans="1:25">
      <c r="A96" s="754" t="str">
        <f>'Func Future Subs 2015'!A96</f>
        <v xml:space="preserve">Joffre 535S  </v>
      </c>
      <c r="B96" s="754">
        <f>'Func Future Subs 2015'!B96</f>
        <v>813</v>
      </c>
      <c r="C96" s="754">
        <f>'Func Future Subs 2015'!C96</f>
        <v>138</v>
      </c>
      <c r="D96" s="754">
        <f>'Func Future Subs 2015'!D96</f>
        <v>25</v>
      </c>
      <c r="E96" s="754" t="str">
        <f>'Func Future Subs 2015'!E96</f>
        <v>535S</v>
      </c>
      <c r="F96" s="754">
        <f>'Func Future Subs 2015'!F96</f>
        <v>974788.85374631989</v>
      </c>
      <c r="G96" s="754" t="str">
        <f>'Func Future Subs 2015'!G96</f>
        <v>AltaLink</v>
      </c>
      <c r="H96" s="754">
        <f>'Func Future Subs 2015'!H96</f>
        <v>2017</v>
      </c>
      <c r="I96" s="306">
        <f>+IF($H96=I$2,VLOOKUP($G96,Depreciation!$A$14:$L$18,7,FALSE)/2,IF($H96&lt;I$2,VLOOKUP($G96,Depreciation!$A$14:$L$18,7,FALSE),0))</f>
        <v>0</v>
      </c>
      <c r="J96" s="306">
        <f>+IF($H96=J$2,VLOOKUP($G96,Depreciation!$A$14:$L$18,8,FALSE)/2,IF($H96&lt;J$2,VLOOKUP($G96,Depreciation!$A$14:$L$18,8,FALSE),0))</f>
        <v>0</v>
      </c>
      <c r="K96" s="306">
        <f>+IF($H96=K$2,VLOOKUP($G96,Depreciation!$A$14:$L$18,9,FALSE)/2,IF($H96&lt;K$2,VLOOKUP($G96,Depreciation!$A$14:$L$18,9,FALSE),0))</f>
        <v>1.671703928371859E-2</v>
      </c>
      <c r="L96" s="306">
        <f>+IF($H96=L$2,VLOOKUP($G96,Depreciation!$A$14:$L$18,10,FALSE)/2,IF($H96&lt;L$2,VLOOKUP($G96,Depreciation!$A$14:$L$18,10,FALSE),0))</f>
        <v>3.343407856743718E-2</v>
      </c>
      <c r="M96" s="306">
        <f>+IF($H96=M$2,VLOOKUP($G96,Depreciation!$A$14:$L$18,11,FALSE)/2,IF($H96&lt;M$2,VLOOKUP($G96,Depreciation!$A$14:$L$18,11,FALSE),0))</f>
        <v>3.343407856743718E-2</v>
      </c>
      <c r="N96" s="306">
        <f>+IF($H96=N$2,VLOOKUP($G96,Depreciation!$A$14:$L$18,12,FALSE)/2,IF($H96&lt;N$2,VLOOKUP($G96,Depreciation!$A$14:$L$18,12,FALSE),0))</f>
        <v>3.343407856743718E-2</v>
      </c>
      <c r="O96" s="307">
        <f t="shared" si="9"/>
        <v>895472.0314074799</v>
      </c>
      <c r="P96" s="732">
        <f>'Func Future Subs 2015'!P96</f>
        <v>0.7403207006269098</v>
      </c>
      <c r="Q96" s="732">
        <f>'Func Future Subs 2015'!Q96</f>
        <v>0.25967929937309009</v>
      </c>
      <c r="R96" s="732">
        <f>'Func Future Subs 2015'!R96</f>
        <v>0</v>
      </c>
      <c r="S96" s="735">
        <f t="shared" si="10"/>
        <v>662936.48168338765</v>
      </c>
      <c r="T96" s="735">
        <f t="shared" si="11"/>
        <v>232535.5497240921</v>
      </c>
      <c r="U96" s="735">
        <f t="shared" si="12"/>
        <v>0</v>
      </c>
      <c r="V96" s="736">
        <f t="shared" si="13"/>
        <v>0</v>
      </c>
      <c r="W96" s="735">
        <f t="shared" si="14"/>
        <v>662936.48168338765</v>
      </c>
      <c r="X96" s="737">
        <f t="shared" si="15"/>
        <v>0</v>
      </c>
      <c r="Y96" s="738">
        <f t="shared" si="16"/>
        <v>232535.5497240921</v>
      </c>
    </row>
    <row r="97" spans="1:25">
      <c r="A97" s="754" t="str">
        <f>'Func Future Subs 2015'!A97</f>
        <v>Johnson 281S</v>
      </c>
      <c r="B97" s="754">
        <f>'Func Future Subs 2015'!B97</f>
        <v>813</v>
      </c>
      <c r="C97" s="754">
        <f>'Func Future Subs 2015'!C97</f>
        <v>240</v>
      </c>
      <c r="D97" s="754">
        <f>'Func Future Subs 2015'!D97</f>
        <v>138</v>
      </c>
      <c r="E97" s="754" t="str">
        <f>'Func Future Subs 2015'!E97</f>
        <v>281S</v>
      </c>
      <c r="F97" s="754">
        <f>'Func Future Subs 2015'!F97</f>
        <v>27577507.379525296</v>
      </c>
      <c r="G97" s="754" t="str">
        <f>'Func Future Subs 2015'!G97</f>
        <v>AltaLink</v>
      </c>
      <c r="H97" s="754">
        <f>'Func Future Subs 2015'!H97</f>
        <v>2017</v>
      </c>
      <c r="I97" s="306">
        <f>+IF($H97=I$2,VLOOKUP($G97,Depreciation!$A$14:$L$18,7,FALSE)/2,IF($H97&lt;I$2,VLOOKUP($G97,Depreciation!$A$14:$L$18,7,FALSE),0))</f>
        <v>0</v>
      </c>
      <c r="J97" s="306">
        <f>+IF($H97=J$2,VLOOKUP($G97,Depreciation!$A$14:$L$18,8,FALSE)/2,IF($H97&lt;J$2,VLOOKUP($G97,Depreciation!$A$14:$L$18,8,FALSE),0))</f>
        <v>0</v>
      </c>
      <c r="K97" s="306">
        <f>+IF($H97=K$2,VLOOKUP($G97,Depreciation!$A$14:$L$18,9,FALSE)/2,IF($H97&lt;K$2,VLOOKUP($G97,Depreciation!$A$14:$L$18,9,FALSE),0))</f>
        <v>1.671703928371859E-2</v>
      </c>
      <c r="L97" s="306">
        <f>+IF($H97=L$2,VLOOKUP($G97,Depreciation!$A$14:$L$18,10,FALSE)/2,IF($H97&lt;L$2,VLOOKUP($G97,Depreciation!$A$14:$L$18,10,FALSE),0))</f>
        <v>3.343407856743718E-2</v>
      </c>
      <c r="M97" s="306">
        <f>+IF($H97=M$2,VLOOKUP($G97,Depreciation!$A$14:$L$18,11,FALSE)/2,IF($H97&lt;M$2,VLOOKUP($G97,Depreciation!$A$14:$L$18,11,FALSE),0))</f>
        <v>3.343407856743718E-2</v>
      </c>
      <c r="N97" s="306">
        <f>+IF($H97=N$2,VLOOKUP($G97,Depreciation!$A$14:$L$18,12,FALSE)/2,IF($H97&lt;N$2,VLOOKUP($G97,Depreciation!$A$14:$L$18,12,FALSE),0))</f>
        <v>3.343407856743718E-2</v>
      </c>
      <c r="O97" s="307">
        <f t="shared" si="9"/>
        <v>25333575.01923684</v>
      </c>
      <c r="P97" s="732">
        <f>'Func Future Subs 2015'!P97</f>
        <v>0</v>
      </c>
      <c r="Q97" s="732">
        <f>'Func Future Subs 2015'!Q97</f>
        <v>0</v>
      </c>
      <c r="R97" s="732">
        <f>'Func Future Subs 2015'!R97</f>
        <v>1</v>
      </c>
      <c r="S97" s="735">
        <f t="shared" si="10"/>
        <v>0</v>
      </c>
      <c r="T97" s="735">
        <f t="shared" si="11"/>
        <v>0</v>
      </c>
      <c r="U97" s="735">
        <f t="shared" si="12"/>
        <v>25333575.01923684</v>
      </c>
      <c r="V97" s="736">
        <f t="shared" si="13"/>
        <v>0</v>
      </c>
      <c r="W97" s="735">
        <f t="shared" si="14"/>
        <v>0</v>
      </c>
      <c r="X97" s="737">
        <f t="shared" si="15"/>
        <v>25333575.01923684</v>
      </c>
      <c r="Y97" s="738">
        <f t="shared" si="16"/>
        <v>0</v>
      </c>
    </row>
    <row r="98" spans="1:25">
      <c r="A98" s="754" t="str">
        <f>'Func Future Subs 2015'!A98</f>
        <v>N.E. Lacombe 212S</v>
      </c>
      <c r="B98" s="754">
        <f>'Func Future Subs 2015'!B98</f>
        <v>813</v>
      </c>
      <c r="C98" s="754">
        <f>'Func Future Subs 2015'!C98</f>
        <v>138</v>
      </c>
      <c r="D98" s="754">
        <f>'Func Future Subs 2015'!D98</f>
        <v>25</v>
      </c>
      <c r="E98" s="754" t="str">
        <f>'Func Future Subs 2015'!E98</f>
        <v>212S</v>
      </c>
      <c r="F98" s="754">
        <f>'Func Future Subs 2015'!F98</f>
        <v>5363344.9628386488</v>
      </c>
      <c r="G98" s="754" t="str">
        <f>'Func Future Subs 2015'!G98</f>
        <v>AltaLink</v>
      </c>
      <c r="H98" s="754">
        <f>'Func Future Subs 2015'!H98</f>
        <v>2017</v>
      </c>
      <c r="I98" s="306">
        <f>+IF($H98=I$2,VLOOKUP($G98,Depreciation!$A$14:$L$18,7,FALSE)/2,IF($H98&lt;I$2,VLOOKUP($G98,Depreciation!$A$14:$L$18,7,FALSE),0))</f>
        <v>0</v>
      </c>
      <c r="J98" s="306">
        <f>+IF($H98=J$2,VLOOKUP($G98,Depreciation!$A$14:$L$18,8,FALSE)/2,IF($H98&lt;J$2,VLOOKUP($G98,Depreciation!$A$14:$L$18,8,FALSE),0))</f>
        <v>0</v>
      </c>
      <c r="K98" s="306">
        <f>+IF($H98=K$2,VLOOKUP($G98,Depreciation!$A$14:$L$18,9,FALSE)/2,IF($H98&lt;K$2,VLOOKUP($G98,Depreciation!$A$14:$L$18,9,FALSE),0))</f>
        <v>1.671703928371859E-2</v>
      </c>
      <c r="L98" s="306">
        <f>+IF($H98=L$2,VLOOKUP($G98,Depreciation!$A$14:$L$18,10,FALSE)/2,IF($H98&lt;L$2,VLOOKUP($G98,Depreciation!$A$14:$L$18,10,FALSE),0))</f>
        <v>3.343407856743718E-2</v>
      </c>
      <c r="M98" s="306">
        <f>+IF($H98=M$2,VLOOKUP($G98,Depreciation!$A$14:$L$18,11,FALSE)/2,IF($H98&lt;M$2,VLOOKUP($G98,Depreciation!$A$14:$L$18,11,FALSE),0))</f>
        <v>3.343407856743718E-2</v>
      </c>
      <c r="N98" s="306">
        <f>+IF($H98=N$2,VLOOKUP($G98,Depreciation!$A$14:$L$18,12,FALSE)/2,IF($H98&lt;N$2,VLOOKUP($G98,Depreciation!$A$14:$L$18,12,FALSE),0))</f>
        <v>3.343407856743718E-2</v>
      </c>
      <c r="O98" s="307">
        <f t="shared" si="9"/>
        <v>4926939.1936051678</v>
      </c>
      <c r="P98" s="732">
        <f>'Func Future Subs 2015'!P98</f>
        <v>0</v>
      </c>
      <c r="Q98" s="732">
        <f>'Func Future Subs 2015'!Q98</f>
        <v>1</v>
      </c>
      <c r="R98" s="732">
        <f>'Func Future Subs 2015'!R98</f>
        <v>0</v>
      </c>
      <c r="S98" s="735">
        <f t="shared" si="10"/>
        <v>0</v>
      </c>
      <c r="T98" s="735">
        <f t="shared" si="11"/>
        <v>4926939.1936051678</v>
      </c>
      <c r="U98" s="735">
        <f t="shared" si="12"/>
        <v>0</v>
      </c>
      <c r="V98" s="736">
        <f t="shared" si="13"/>
        <v>0</v>
      </c>
      <c r="W98" s="735">
        <f t="shared" si="14"/>
        <v>0</v>
      </c>
      <c r="X98" s="737">
        <f t="shared" si="15"/>
        <v>0</v>
      </c>
      <c r="Y98" s="738">
        <f t="shared" si="16"/>
        <v>4926939.1936051678</v>
      </c>
    </row>
    <row r="99" spans="1:25">
      <c r="A99" s="754" t="str">
        <f>'Func Future Subs 2015'!A99</f>
        <v>New 240/138kV Substation Hazelwood 287S</v>
      </c>
      <c r="B99" s="754">
        <f>'Func Future Subs 2015'!B99</f>
        <v>813</v>
      </c>
      <c r="C99" s="754">
        <f>'Func Future Subs 2015'!C99</f>
        <v>240</v>
      </c>
      <c r="D99" s="754">
        <f>'Func Future Subs 2015'!D99</f>
        <v>0</v>
      </c>
      <c r="E99" s="754" t="str">
        <f>'Func Future Subs 2015'!E99</f>
        <v>287S</v>
      </c>
      <c r="F99" s="754">
        <f>'Func Future Subs 2015'!F99</f>
        <v>19156315.519322906</v>
      </c>
      <c r="G99" s="754" t="str">
        <f>'Func Future Subs 2015'!G99</f>
        <v>AltaLink</v>
      </c>
      <c r="H99" s="754">
        <f>'Func Future Subs 2015'!H99</f>
        <v>2017</v>
      </c>
      <c r="I99" s="306">
        <f>+IF($H99=I$2,VLOOKUP($G99,Depreciation!$A$14:$L$18,7,FALSE)/2,IF($H99&lt;I$2,VLOOKUP($G99,Depreciation!$A$14:$L$18,7,FALSE),0))</f>
        <v>0</v>
      </c>
      <c r="J99" s="306">
        <f>+IF($H99=J$2,VLOOKUP($G99,Depreciation!$A$14:$L$18,8,FALSE)/2,IF($H99&lt;J$2,VLOOKUP($G99,Depreciation!$A$14:$L$18,8,FALSE),0))</f>
        <v>0</v>
      </c>
      <c r="K99" s="306">
        <f>+IF($H99=K$2,VLOOKUP($G99,Depreciation!$A$14:$L$18,9,FALSE)/2,IF($H99&lt;K$2,VLOOKUP($G99,Depreciation!$A$14:$L$18,9,FALSE),0))</f>
        <v>1.671703928371859E-2</v>
      </c>
      <c r="L99" s="306">
        <f>+IF($H99=L$2,VLOOKUP($G99,Depreciation!$A$14:$L$18,10,FALSE)/2,IF($H99&lt;L$2,VLOOKUP($G99,Depreciation!$A$14:$L$18,10,FALSE),0))</f>
        <v>3.343407856743718E-2</v>
      </c>
      <c r="M99" s="306">
        <f>+IF($H99=M$2,VLOOKUP($G99,Depreciation!$A$14:$L$18,11,FALSE)/2,IF($H99&lt;M$2,VLOOKUP($G99,Depreciation!$A$14:$L$18,11,FALSE),0))</f>
        <v>3.343407856743718E-2</v>
      </c>
      <c r="N99" s="306">
        <f>+IF($H99=N$2,VLOOKUP($G99,Depreciation!$A$14:$L$18,12,FALSE)/2,IF($H99&lt;N$2,VLOOKUP($G99,Depreciation!$A$14:$L$18,12,FALSE),0))</f>
        <v>3.343407856743718E-2</v>
      </c>
      <c r="O99" s="307">
        <f t="shared" si="9"/>
        <v>17597600.451056115</v>
      </c>
      <c r="P99" s="732">
        <f>'Func Future Subs 2015'!P99</f>
        <v>0</v>
      </c>
      <c r="Q99" s="732">
        <f>'Func Future Subs 2015'!Q99</f>
        <v>0</v>
      </c>
      <c r="R99" s="732">
        <f>'Func Future Subs 2015'!R99</f>
        <v>1</v>
      </c>
      <c r="S99" s="735">
        <f t="shared" si="10"/>
        <v>0</v>
      </c>
      <c r="T99" s="735">
        <f t="shared" si="11"/>
        <v>0</v>
      </c>
      <c r="U99" s="735">
        <f t="shared" si="12"/>
        <v>17597600.451056115</v>
      </c>
      <c r="V99" s="736">
        <f t="shared" si="13"/>
        <v>17597600.451056115</v>
      </c>
      <c r="W99" s="735">
        <f t="shared" si="14"/>
        <v>0</v>
      </c>
      <c r="X99" s="737">
        <f t="shared" si="15"/>
        <v>0</v>
      </c>
      <c r="Y99" s="738">
        <f t="shared" si="16"/>
        <v>0</v>
      </c>
    </row>
    <row r="100" spans="1:25">
      <c r="A100" s="754" t="str">
        <f>'Func Future Subs 2015'!A100</f>
        <v>New 240/138kV Substation Johnson 281S</v>
      </c>
      <c r="B100" s="754">
        <f>'Func Future Subs 2015'!B100</f>
        <v>813</v>
      </c>
      <c r="C100" s="754">
        <f>'Func Future Subs 2015'!C100</f>
        <v>240</v>
      </c>
      <c r="D100" s="754">
        <f>'Func Future Subs 2015'!D100</f>
        <v>138</v>
      </c>
      <c r="E100" s="754" t="str">
        <f>'Func Future Subs 2015'!E100</f>
        <v>281S</v>
      </c>
      <c r="F100" s="754">
        <f>'Func Future Subs 2015'!F100</f>
        <v>20096056.343237866</v>
      </c>
      <c r="G100" s="754" t="str">
        <f>'Func Future Subs 2015'!G100</f>
        <v>AltaLink</v>
      </c>
      <c r="H100" s="754">
        <f>'Func Future Subs 2015'!H100</f>
        <v>2017</v>
      </c>
      <c r="I100" s="306">
        <f>+IF($H100=I$2,VLOOKUP($G100,Depreciation!$A$14:$L$18,7,FALSE)/2,IF($H100&lt;I$2,VLOOKUP($G100,Depreciation!$A$14:$L$18,7,FALSE),0))</f>
        <v>0</v>
      </c>
      <c r="J100" s="306">
        <f>+IF($H100=J$2,VLOOKUP($G100,Depreciation!$A$14:$L$18,8,FALSE)/2,IF($H100&lt;J$2,VLOOKUP($G100,Depreciation!$A$14:$L$18,8,FALSE),0))</f>
        <v>0</v>
      </c>
      <c r="K100" s="306">
        <f>+IF($H100=K$2,VLOOKUP($G100,Depreciation!$A$14:$L$18,9,FALSE)/2,IF($H100&lt;K$2,VLOOKUP($G100,Depreciation!$A$14:$L$18,9,FALSE),0))</f>
        <v>1.671703928371859E-2</v>
      </c>
      <c r="L100" s="306">
        <f>+IF($H100=L$2,VLOOKUP($G100,Depreciation!$A$14:$L$18,10,FALSE)/2,IF($H100&lt;L$2,VLOOKUP($G100,Depreciation!$A$14:$L$18,10,FALSE),0))</f>
        <v>3.343407856743718E-2</v>
      </c>
      <c r="M100" s="306">
        <f>+IF($H100=M$2,VLOOKUP($G100,Depreciation!$A$14:$L$18,11,FALSE)/2,IF($H100&lt;M$2,VLOOKUP($G100,Depreciation!$A$14:$L$18,11,FALSE),0))</f>
        <v>3.343407856743718E-2</v>
      </c>
      <c r="N100" s="306">
        <f>+IF($H100=N$2,VLOOKUP($G100,Depreciation!$A$14:$L$18,12,FALSE)/2,IF($H100&lt;N$2,VLOOKUP($G100,Depreciation!$A$14:$L$18,12,FALSE),0))</f>
        <v>3.343407856743718E-2</v>
      </c>
      <c r="O100" s="307">
        <f t="shared" si="9"/>
        <v>18460876.248018265</v>
      </c>
      <c r="P100" s="732">
        <f>'Func Future Subs 2015'!P100</f>
        <v>0</v>
      </c>
      <c r="Q100" s="732">
        <f>'Func Future Subs 2015'!Q100</f>
        <v>0</v>
      </c>
      <c r="R100" s="732">
        <f>'Func Future Subs 2015'!R100</f>
        <v>1</v>
      </c>
      <c r="S100" s="735">
        <f t="shared" si="10"/>
        <v>0</v>
      </c>
      <c r="T100" s="735">
        <f t="shared" si="11"/>
        <v>0</v>
      </c>
      <c r="U100" s="735">
        <f t="shared" si="12"/>
        <v>18460876.248018265</v>
      </c>
      <c r="V100" s="736">
        <f t="shared" si="13"/>
        <v>0</v>
      </c>
      <c r="W100" s="735">
        <f t="shared" si="14"/>
        <v>0</v>
      </c>
      <c r="X100" s="737">
        <f t="shared" si="15"/>
        <v>18460876.248018265</v>
      </c>
      <c r="Y100" s="738">
        <f t="shared" si="16"/>
        <v>0</v>
      </c>
    </row>
    <row r="101" spans="1:25">
      <c r="A101" s="754" t="str">
        <f>'Func Future Subs 2015'!A101</f>
        <v>New 240/138kV Substation Wolf Creek 288S</v>
      </c>
      <c r="B101" s="754">
        <f>'Func Future Subs 2015'!B101</f>
        <v>813</v>
      </c>
      <c r="C101" s="754">
        <f>'Func Future Subs 2015'!C101</f>
        <v>240</v>
      </c>
      <c r="D101" s="754">
        <f>'Func Future Subs 2015'!D101</f>
        <v>138</v>
      </c>
      <c r="E101" s="754" t="str">
        <f>'Func Future Subs 2015'!E101</f>
        <v>288S</v>
      </c>
      <c r="F101" s="754">
        <f>'Func Future Subs 2015'!F101</f>
        <v>16806672.487195268</v>
      </c>
      <c r="G101" s="754" t="str">
        <f>'Func Future Subs 2015'!G101</f>
        <v>AltaLink</v>
      </c>
      <c r="H101" s="754">
        <f>'Func Future Subs 2015'!H101</f>
        <v>2017</v>
      </c>
      <c r="I101" s="306">
        <f>+IF($H101=I$2,VLOOKUP($G101,Depreciation!$A$14:$L$18,7,FALSE)/2,IF($H101&lt;I$2,VLOOKUP($G101,Depreciation!$A$14:$L$18,7,FALSE),0))</f>
        <v>0</v>
      </c>
      <c r="J101" s="306">
        <f>+IF($H101=J$2,VLOOKUP($G101,Depreciation!$A$14:$L$18,8,FALSE)/2,IF($H101&lt;J$2,VLOOKUP($G101,Depreciation!$A$14:$L$18,8,FALSE),0))</f>
        <v>0</v>
      </c>
      <c r="K101" s="306">
        <f>+IF($H101=K$2,VLOOKUP($G101,Depreciation!$A$14:$L$18,9,FALSE)/2,IF($H101&lt;K$2,VLOOKUP($G101,Depreciation!$A$14:$L$18,9,FALSE),0))</f>
        <v>1.671703928371859E-2</v>
      </c>
      <c r="L101" s="306">
        <f>+IF($H101=L$2,VLOOKUP($G101,Depreciation!$A$14:$L$18,10,FALSE)/2,IF($H101&lt;L$2,VLOOKUP($G101,Depreciation!$A$14:$L$18,10,FALSE),0))</f>
        <v>3.343407856743718E-2</v>
      </c>
      <c r="M101" s="306">
        <f>+IF($H101=M$2,VLOOKUP($G101,Depreciation!$A$14:$L$18,11,FALSE)/2,IF($H101&lt;M$2,VLOOKUP($G101,Depreciation!$A$14:$L$18,11,FALSE),0))</f>
        <v>3.343407856743718E-2</v>
      </c>
      <c r="N101" s="306">
        <f>+IF($H101=N$2,VLOOKUP($G101,Depreciation!$A$14:$L$18,12,FALSE)/2,IF($H101&lt;N$2,VLOOKUP($G101,Depreciation!$A$14:$L$18,12,FALSE),0))</f>
        <v>3.343407856743718E-2</v>
      </c>
      <c r="O101" s="307">
        <f t="shared" si="9"/>
        <v>15439143.662208466</v>
      </c>
      <c r="P101" s="732">
        <f>'Func Future Subs 2015'!P101</f>
        <v>0</v>
      </c>
      <c r="Q101" s="732">
        <f>'Func Future Subs 2015'!Q101</f>
        <v>0</v>
      </c>
      <c r="R101" s="732">
        <f>'Func Future Subs 2015'!R101</f>
        <v>1</v>
      </c>
      <c r="S101" s="735">
        <f t="shared" si="10"/>
        <v>0</v>
      </c>
      <c r="T101" s="735">
        <f t="shared" si="11"/>
        <v>0</v>
      </c>
      <c r="U101" s="735">
        <f t="shared" si="12"/>
        <v>15439143.662208466</v>
      </c>
      <c r="V101" s="736">
        <f t="shared" si="13"/>
        <v>0</v>
      </c>
      <c r="W101" s="735">
        <f t="shared" si="14"/>
        <v>0</v>
      </c>
      <c r="X101" s="737">
        <f t="shared" si="15"/>
        <v>15439143.662208466</v>
      </c>
      <c r="Y101" s="738">
        <f t="shared" si="16"/>
        <v>0</v>
      </c>
    </row>
    <row r="102" spans="1:25">
      <c r="A102" s="754" t="str">
        <f>'Func Future Subs 2015'!A102</f>
        <v>New additions at Gaetz 87S</v>
      </c>
      <c r="B102" s="754">
        <f>'Func Future Subs 2015'!B102</f>
        <v>813</v>
      </c>
      <c r="C102" s="754">
        <f>'Func Future Subs 2015'!C102</f>
        <v>240</v>
      </c>
      <c r="D102" s="754">
        <f>'Func Future Subs 2015'!D102</f>
        <v>138</v>
      </c>
      <c r="E102" s="754" t="str">
        <f>'Func Future Subs 2015'!E102</f>
        <v>87S</v>
      </c>
      <c r="F102" s="754">
        <f>'Func Future Subs 2015'!F102</f>
        <v>2595668.490111751</v>
      </c>
      <c r="G102" s="754" t="str">
        <f>'Func Future Subs 2015'!G102</f>
        <v>AltaLink</v>
      </c>
      <c r="H102" s="754">
        <f>'Func Future Subs 2015'!H102</f>
        <v>2017</v>
      </c>
      <c r="I102" s="306">
        <f>+IF($H102=I$2,VLOOKUP($G102,Depreciation!$A$14:$L$18,7,FALSE)/2,IF($H102&lt;I$2,VLOOKUP($G102,Depreciation!$A$14:$L$18,7,FALSE),0))</f>
        <v>0</v>
      </c>
      <c r="J102" s="306">
        <f>+IF($H102=J$2,VLOOKUP($G102,Depreciation!$A$14:$L$18,8,FALSE)/2,IF($H102&lt;J$2,VLOOKUP($G102,Depreciation!$A$14:$L$18,8,FALSE),0))</f>
        <v>0</v>
      </c>
      <c r="K102" s="306">
        <f>+IF($H102=K$2,VLOOKUP($G102,Depreciation!$A$14:$L$18,9,FALSE)/2,IF($H102&lt;K$2,VLOOKUP($G102,Depreciation!$A$14:$L$18,9,FALSE),0))</f>
        <v>1.671703928371859E-2</v>
      </c>
      <c r="L102" s="306">
        <f>+IF($H102=L$2,VLOOKUP($G102,Depreciation!$A$14:$L$18,10,FALSE)/2,IF($H102&lt;L$2,VLOOKUP($G102,Depreciation!$A$14:$L$18,10,FALSE),0))</f>
        <v>3.343407856743718E-2</v>
      </c>
      <c r="M102" s="306">
        <f>+IF($H102=M$2,VLOOKUP($G102,Depreciation!$A$14:$L$18,11,FALSE)/2,IF($H102&lt;M$2,VLOOKUP($G102,Depreciation!$A$14:$L$18,11,FALSE),0))</f>
        <v>3.343407856743718E-2</v>
      </c>
      <c r="N102" s="306">
        <f>+IF($H102=N$2,VLOOKUP($G102,Depreciation!$A$14:$L$18,12,FALSE)/2,IF($H102&lt;N$2,VLOOKUP($G102,Depreciation!$A$14:$L$18,12,FALSE),0))</f>
        <v>3.343407856743718E-2</v>
      </c>
      <c r="O102" s="307">
        <f t="shared" si="9"/>
        <v>2384463.596160125</v>
      </c>
      <c r="P102" s="732">
        <f>'Func Future Subs 2015'!P102</f>
        <v>0</v>
      </c>
      <c r="Q102" s="732">
        <f>'Func Future Subs 2015'!Q102</f>
        <v>0</v>
      </c>
      <c r="R102" s="732">
        <f>'Func Future Subs 2015'!R102</f>
        <v>1</v>
      </c>
      <c r="S102" s="735">
        <f t="shared" si="10"/>
        <v>0</v>
      </c>
      <c r="T102" s="735">
        <f t="shared" si="11"/>
        <v>0</v>
      </c>
      <c r="U102" s="735">
        <f t="shared" si="12"/>
        <v>2384463.596160125</v>
      </c>
      <c r="V102" s="736">
        <f t="shared" si="13"/>
        <v>0</v>
      </c>
      <c r="W102" s="735">
        <f t="shared" si="14"/>
        <v>0</v>
      </c>
      <c r="X102" s="737">
        <f t="shared" si="15"/>
        <v>2384463.596160125</v>
      </c>
      <c r="Y102" s="738">
        <f t="shared" si="16"/>
        <v>0</v>
      </c>
    </row>
    <row r="103" spans="1:25">
      <c r="A103" s="754" t="str">
        <f>'Func Future Subs 2015'!A103</f>
        <v>New additions at N.E Lacombe 212S</v>
      </c>
      <c r="B103" s="754">
        <f>'Func Future Subs 2015'!B103</f>
        <v>813</v>
      </c>
      <c r="C103" s="754">
        <f>'Func Future Subs 2015'!C103</f>
        <v>138</v>
      </c>
      <c r="D103" s="754">
        <f>'Func Future Subs 2015'!D103</f>
        <v>25</v>
      </c>
      <c r="E103" s="754" t="str">
        <f>'Func Future Subs 2015'!E103</f>
        <v>212S</v>
      </c>
      <c r="F103" s="754">
        <f>'Func Future Subs 2015'!F103</f>
        <v>3773036.0916385679</v>
      </c>
      <c r="G103" s="754" t="str">
        <f>'Func Future Subs 2015'!G103</f>
        <v>AltaLink</v>
      </c>
      <c r="H103" s="754">
        <f>'Func Future Subs 2015'!H103</f>
        <v>2017</v>
      </c>
      <c r="I103" s="306">
        <f>+IF($H103=I$2,VLOOKUP($G103,Depreciation!$A$14:$L$18,7,FALSE)/2,IF($H103&lt;I$2,VLOOKUP($G103,Depreciation!$A$14:$L$18,7,FALSE),0))</f>
        <v>0</v>
      </c>
      <c r="J103" s="306">
        <f>+IF($H103=J$2,VLOOKUP($G103,Depreciation!$A$14:$L$18,8,FALSE)/2,IF($H103&lt;J$2,VLOOKUP($G103,Depreciation!$A$14:$L$18,8,FALSE),0))</f>
        <v>0</v>
      </c>
      <c r="K103" s="306">
        <f>+IF($H103=K$2,VLOOKUP($G103,Depreciation!$A$14:$L$18,9,FALSE)/2,IF($H103&lt;K$2,VLOOKUP($G103,Depreciation!$A$14:$L$18,9,FALSE),0))</f>
        <v>1.671703928371859E-2</v>
      </c>
      <c r="L103" s="306">
        <f>+IF($H103=L$2,VLOOKUP($G103,Depreciation!$A$14:$L$18,10,FALSE)/2,IF($H103&lt;L$2,VLOOKUP($G103,Depreciation!$A$14:$L$18,10,FALSE),0))</f>
        <v>3.343407856743718E-2</v>
      </c>
      <c r="M103" s="306">
        <f>+IF($H103=M$2,VLOOKUP($G103,Depreciation!$A$14:$L$18,11,FALSE)/2,IF($H103&lt;M$2,VLOOKUP($G103,Depreciation!$A$14:$L$18,11,FALSE),0))</f>
        <v>3.343407856743718E-2</v>
      </c>
      <c r="N103" s="306">
        <f>+IF($H103=N$2,VLOOKUP($G103,Depreciation!$A$14:$L$18,12,FALSE)/2,IF($H103&lt;N$2,VLOOKUP($G103,Depreciation!$A$14:$L$18,12,FALSE),0))</f>
        <v>3.343407856743718E-2</v>
      </c>
      <c r="O103" s="307">
        <f t="shared" si="9"/>
        <v>3466030.9056350677</v>
      </c>
      <c r="P103" s="732">
        <f>'Func Future Subs 2015'!P103</f>
        <v>0</v>
      </c>
      <c r="Q103" s="732">
        <f>'Func Future Subs 2015'!Q103</f>
        <v>1</v>
      </c>
      <c r="R103" s="732">
        <f>'Func Future Subs 2015'!R103</f>
        <v>0</v>
      </c>
      <c r="S103" s="735">
        <f t="shared" si="10"/>
        <v>0</v>
      </c>
      <c r="T103" s="735">
        <f t="shared" si="11"/>
        <v>3466030.9056350677</v>
      </c>
      <c r="U103" s="735">
        <f t="shared" si="12"/>
        <v>0</v>
      </c>
      <c r="V103" s="736">
        <f t="shared" si="13"/>
        <v>0</v>
      </c>
      <c r="W103" s="735">
        <f t="shared" si="14"/>
        <v>0</v>
      </c>
      <c r="X103" s="737">
        <f t="shared" si="15"/>
        <v>0</v>
      </c>
      <c r="Y103" s="738">
        <f t="shared" si="16"/>
        <v>3466030.9056350677</v>
      </c>
    </row>
    <row r="104" spans="1:25">
      <c r="A104" s="754" t="str">
        <f>'Func Future Subs 2015'!A104</f>
        <v>New Additions at North Red Deer 217S</v>
      </c>
      <c r="B104" s="754">
        <f>'Func Future Subs 2015'!B104</f>
        <v>813</v>
      </c>
      <c r="C104" s="754">
        <f>'Func Future Subs 2015'!C104</f>
        <v>138</v>
      </c>
      <c r="D104" s="754">
        <f>'Func Future Subs 2015'!D104</f>
        <v>25</v>
      </c>
      <c r="E104" s="754" t="str">
        <f>'Func Future Subs 2015'!E104</f>
        <v>217S</v>
      </c>
      <c r="F104" s="754">
        <f>'Func Future Subs 2015'!F104</f>
        <v>1453039.2523468195</v>
      </c>
      <c r="G104" s="754" t="str">
        <f>'Func Future Subs 2015'!G104</f>
        <v>AltaLink</v>
      </c>
      <c r="H104" s="754">
        <f>'Func Future Subs 2015'!H104</f>
        <v>2017</v>
      </c>
      <c r="I104" s="306">
        <f>+IF($H104=I$2,VLOOKUP($G104,Depreciation!$A$14:$L$18,7,FALSE)/2,IF($H104&lt;I$2,VLOOKUP($G104,Depreciation!$A$14:$L$18,7,FALSE),0))</f>
        <v>0</v>
      </c>
      <c r="J104" s="306">
        <f>+IF($H104=J$2,VLOOKUP($G104,Depreciation!$A$14:$L$18,8,FALSE)/2,IF($H104&lt;J$2,VLOOKUP($G104,Depreciation!$A$14:$L$18,8,FALSE),0))</f>
        <v>0</v>
      </c>
      <c r="K104" s="306">
        <f>+IF($H104=K$2,VLOOKUP($G104,Depreciation!$A$14:$L$18,9,FALSE)/2,IF($H104&lt;K$2,VLOOKUP($G104,Depreciation!$A$14:$L$18,9,FALSE),0))</f>
        <v>1.671703928371859E-2</v>
      </c>
      <c r="L104" s="306">
        <f>+IF($H104=L$2,VLOOKUP($G104,Depreciation!$A$14:$L$18,10,FALSE)/2,IF($H104&lt;L$2,VLOOKUP($G104,Depreciation!$A$14:$L$18,10,FALSE),0))</f>
        <v>3.343407856743718E-2</v>
      </c>
      <c r="M104" s="306">
        <f>+IF($H104=M$2,VLOOKUP($G104,Depreciation!$A$14:$L$18,11,FALSE)/2,IF($H104&lt;M$2,VLOOKUP($G104,Depreciation!$A$14:$L$18,11,FALSE),0))</f>
        <v>3.343407856743718E-2</v>
      </c>
      <c r="N104" s="306">
        <f>+IF($H104=N$2,VLOOKUP($G104,Depreciation!$A$14:$L$18,12,FALSE)/2,IF($H104&lt;N$2,VLOOKUP($G104,Depreciation!$A$14:$L$18,12,FALSE),0))</f>
        <v>3.343407856743718E-2</v>
      </c>
      <c r="O104" s="307">
        <f t="shared" si="9"/>
        <v>1334808.0520342372</v>
      </c>
      <c r="P104" s="732">
        <f>'Func Future Subs 2015'!P104</f>
        <v>0</v>
      </c>
      <c r="Q104" s="732">
        <f>'Func Future Subs 2015'!Q104</f>
        <v>1</v>
      </c>
      <c r="R104" s="732">
        <f>'Func Future Subs 2015'!R104</f>
        <v>0</v>
      </c>
      <c r="S104" s="735">
        <f t="shared" si="10"/>
        <v>0</v>
      </c>
      <c r="T104" s="735">
        <f t="shared" si="11"/>
        <v>1334808.0520342372</v>
      </c>
      <c r="U104" s="735">
        <f t="shared" si="12"/>
        <v>0</v>
      </c>
      <c r="V104" s="736">
        <f t="shared" si="13"/>
        <v>0</v>
      </c>
      <c r="W104" s="735">
        <f t="shared" si="14"/>
        <v>0</v>
      </c>
      <c r="X104" s="737">
        <f t="shared" si="15"/>
        <v>0</v>
      </c>
      <c r="Y104" s="738">
        <f t="shared" si="16"/>
        <v>1334808.0520342372</v>
      </c>
    </row>
    <row r="105" spans="1:25">
      <c r="A105" s="754" t="str">
        <f>'Func Future Subs 2015'!A105</f>
        <v>New Additions at North Red Deer 217S (dev10)</v>
      </c>
      <c r="B105" s="754">
        <f>'Func Future Subs 2015'!B105</f>
        <v>813</v>
      </c>
      <c r="C105" s="754">
        <f>'Func Future Subs 2015'!C105</f>
        <v>138</v>
      </c>
      <c r="D105" s="754">
        <f>'Func Future Subs 2015'!D105</f>
        <v>25</v>
      </c>
      <c r="E105" s="754" t="str">
        <f>'Func Future Subs 2015'!E105</f>
        <v>217S</v>
      </c>
      <c r="F105" s="754">
        <f>'Func Future Subs 2015'!F105</f>
        <v>1479296.8070426565</v>
      </c>
      <c r="G105" s="754" t="str">
        <f>'Func Future Subs 2015'!G105</f>
        <v>AltaLink</v>
      </c>
      <c r="H105" s="754">
        <f>'Func Future Subs 2015'!H105</f>
        <v>2017</v>
      </c>
      <c r="I105" s="306">
        <f>+IF($H105=I$2,VLOOKUP($G105,Depreciation!$A$14:$L$18,7,FALSE)/2,IF($H105&lt;I$2,VLOOKUP($G105,Depreciation!$A$14:$L$18,7,FALSE),0))</f>
        <v>0</v>
      </c>
      <c r="J105" s="306">
        <f>+IF($H105=J$2,VLOOKUP($G105,Depreciation!$A$14:$L$18,8,FALSE)/2,IF($H105&lt;J$2,VLOOKUP($G105,Depreciation!$A$14:$L$18,8,FALSE),0))</f>
        <v>0</v>
      </c>
      <c r="K105" s="306">
        <f>+IF($H105=K$2,VLOOKUP($G105,Depreciation!$A$14:$L$18,9,FALSE)/2,IF($H105&lt;K$2,VLOOKUP($G105,Depreciation!$A$14:$L$18,9,FALSE),0))</f>
        <v>1.671703928371859E-2</v>
      </c>
      <c r="L105" s="306">
        <f>+IF($H105=L$2,VLOOKUP($G105,Depreciation!$A$14:$L$18,10,FALSE)/2,IF($H105&lt;L$2,VLOOKUP($G105,Depreciation!$A$14:$L$18,10,FALSE),0))</f>
        <v>3.343407856743718E-2</v>
      </c>
      <c r="M105" s="306">
        <f>+IF($H105=M$2,VLOOKUP($G105,Depreciation!$A$14:$L$18,11,FALSE)/2,IF($H105&lt;M$2,VLOOKUP($G105,Depreciation!$A$14:$L$18,11,FALSE),0))</f>
        <v>3.343407856743718E-2</v>
      </c>
      <c r="N105" s="306">
        <f>+IF($H105=N$2,VLOOKUP($G105,Depreciation!$A$14:$L$18,12,FALSE)/2,IF($H105&lt;N$2,VLOOKUP($G105,Depreciation!$A$14:$L$18,12,FALSE),0))</f>
        <v>3.343407856743718E-2</v>
      </c>
      <c r="O105" s="307">
        <f t="shared" si="9"/>
        <v>1358929.0765544798</v>
      </c>
      <c r="P105" s="732">
        <f>'Func Future Subs 2015'!P105</f>
        <v>0</v>
      </c>
      <c r="Q105" s="732">
        <f>'Func Future Subs 2015'!Q105</f>
        <v>1</v>
      </c>
      <c r="R105" s="732">
        <f>'Func Future Subs 2015'!R105</f>
        <v>0</v>
      </c>
      <c r="S105" s="735">
        <f t="shared" si="10"/>
        <v>0</v>
      </c>
      <c r="T105" s="735">
        <f t="shared" si="11"/>
        <v>1358929.0765544798</v>
      </c>
      <c r="U105" s="735">
        <f t="shared" si="12"/>
        <v>0</v>
      </c>
      <c r="V105" s="736">
        <f t="shared" si="13"/>
        <v>0</v>
      </c>
      <c r="W105" s="735">
        <f t="shared" si="14"/>
        <v>0</v>
      </c>
      <c r="X105" s="737">
        <f t="shared" si="15"/>
        <v>0</v>
      </c>
      <c r="Y105" s="738">
        <f t="shared" si="16"/>
        <v>1358929.0765544798</v>
      </c>
    </row>
    <row r="106" spans="1:25">
      <c r="A106" s="754" t="str">
        <f>'Func Future Subs 2015'!A106</f>
        <v>North Red Deer 217S</v>
      </c>
      <c r="B106" s="754">
        <f>'Func Future Subs 2015'!B106</f>
        <v>813</v>
      </c>
      <c r="C106" s="754">
        <f>'Func Future Subs 2015'!C106</f>
        <v>138</v>
      </c>
      <c r="D106" s="754">
        <f>'Func Future Subs 2015'!D106</f>
        <v>25</v>
      </c>
      <c r="E106" s="754" t="str">
        <f>'Func Future Subs 2015'!E106</f>
        <v>217S</v>
      </c>
      <c r="F106" s="754">
        <f>'Func Future Subs 2015'!F106</f>
        <v>187594.25782528098</v>
      </c>
      <c r="G106" s="754" t="str">
        <f>'Func Future Subs 2015'!G106</f>
        <v>AltaLink</v>
      </c>
      <c r="H106" s="754">
        <f>'Func Future Subs 2015'!H106</f>
        <v>2017</v>
      </c>
      <c r="I106" s="306">
        <f>+IF($H106=I$2,VLOOKUP($G106,Depreciation!$A$14:$L$18,7,FALSE)/2,IF($H106&lt;I$2,VLOOKUP($G106,Depreciation!$A$14:$L$18,7,FALSE),0))</f>
        <v>0</v>
      </c>
      <c r="J106" s="306">
        <f>+IF($H106=J$2,VLOOKUP($G106,Depreciation!$A$14:$L$18,8,FALSE)/2,IF($H106&lt;J$2,VLOOKUP($G106,Depreciation!$A$14:$L$18,8,FALSE),0))</f>
        <v>0</v>
      </c>
      <c r="K106" s="306">
        <f>+IF($H106=K$2,VLOOKUP($G106,Depreciation!$A$14:$L$18,9,FALSE)/2,IF($H106&lt;K$2,VLOOKUP($G106,Depreciation!$A$14:$L$18,9,FALSE),0))</f>
        <v>1.671703928371859E-2</v>
      </c>
      <c r="L106" s="306">
        <f>+IF($H106=L$2,VLOOKUP($G106,Depreciation!$A$14:$L$18,10,FALSE)/2,IF($H106&lt;L$2,VLOOKUP($G106,Depreciation!$A$14:$L$18,10,FALSE),0))</f>
        <v>3.343407856743718E-2</v>
      </c>
      <c r="M106" s="306">
        <f>+IF($H106=M$2,VLOOKUP($G106,Depreciation!$A$14:$L$18,11,FALSE)/2,IF($H106&lt;M$2,VLOOKUP($G106,Depreciation!$A$14:$L$18,11,FALSE),0))</f>
        <v>3.343407856743718E-2</v>
      </c>
      <c r="N106" s="306">
        <f>+IF($H106=N$2,VLOOKUP($G106,Depreciation!$A$14:$L$18,12,FALSE)/2,IF($H106&lt;N$2,VLOOKUP($G106,Depreciation!$A$14:$L$18,12,FALSE),0))</f>
        <v>3.343407856743718E-2</v>
      </c>
      <c r="O106" s="307">
        <f t="shared" si="9"/>
        <v>172330.04920971289</v>
      </c>
      <c r="P106" s="732">
        <f>'Func Future Subs 2015'!P106</f>
        <v>0</v>
      </c>
      <c r="Q106" s="732">
        <f>'Func Future Subs 2015'!Q106</f>
        <v>1</v>
      </c>
      <c r="R106" s="732">
        <f>'Func Future Subs 2015'!R106</f>
        <v>0</v>
      </c>
      <c r="S106" s="735">
        <f t="shared" si="10"/>
        <v>0</v>
      </c>
      <c r="T106" s="735">
        <f t="shared" si="11"/>
        <v>172330.04920971289</v>
      </c>
      <c r="U106" s="735">
        <f t="shared" si="12"/>
        <v>0</v>
      </c>
      <c r="V106" s="736">
        <f t="shared" si="13"/>
        <v>0</v>
      </c>
      <c r="W106" s="735">
        <f t="shared" si="14"/>
        <v>0</v>
      </c>
      <c r="X106" s="737">
        <f t="shared" si="15"/>
        <v>0</v>
      </c>
      <c r="Y106" s="738">
        <f t="shared" si="16"/>
        <v>172330.04920971289</v>
      </c>
    </row>
    <row r="107" spans="1:25">
      <c r="A107" s="754" t="str">
        <f>'Func Future Subs 2015'!A107</f>
        <v>Olds 55S (GD Hazel)</v>
      </c>
      <c r="B107" s="754">
        <f>'Func Future Subs 2015'!B107</f>
        <v>813</v>
      </c>
      <c r="C107" s="754">
        <f>'Func Future Subs 2015'!C107</f>
        <v>138</v>
      </c>
      <c r="D107" s="754">
        <f>'Func Future Subs 2015'!D107</f>
        <v>25</v>
      </c>
      <c r="E107" s="754" t="str">
        <f>'Func Future Subs 2015'!E107</f>
        <v>55S</v>
      </c>
      <c r="F107" s="754">
        <f>'Func Future Subs 2015'!F107</f>
        <v>98109.968832414306</v>
      </c>
      <c r="G107" s="754" t="str">
        <f>'Func Future Subs 2015'!G107</f>
        <v>AltaLink</v>
      </c>
      <c r="H107" s="754">
        <f>'Func Future Subs 2015'!H107</f>
        <v>2017</v>
      </c>
      <c r="I107" s="306">
        <f>+IF($H107=I$2,VLOOKUP($G107,Depreciation!$A$14:$L$18,7,FALSE)/2,IF($H107&lt;I$2,VLOOKUP($G107,Depreciation!$A$14:$L$18,7,FALSE),0))</f>
        <v>0</v>
      </c>
      <c r="J107" s="306">
        <f>+IF($H107=J$2,VLOOKUP($G107,Depreciation!$A$14:$L$18,8,FALSE)/2,IF($H107&lt;J$2,VLOOKUP($G107,Depreciation!$A$14:$L$18,8,FALSE),0))</f>
        <v>0</v>
      </c>
      <c r="K107" s="306">
        <f>+IF($H107=K$2,VLOOKUP($G107,Depreciation!$A$14:$L$18,9,FALSE)/2,IF($H107&lt;K$2,VLOOKUP($G107,Depreciation!$A$14:$L$18,9,FALSE),0))</f>
        <v>1.671703928371859E-2</v>
      </c>
      <c r="L107" s="306">
        <f>+IF($H107=L$2,VLOOKUP($G107,Depreciation!$A$14:$L$18,10,FALSE)/2,IF($H107&lt;L$2,VLOOKUP($G107,Depreciation!$A$14:$L$18,10,FALSE),0))</f>
        <v>3.343407856743718E-2</v>
      </c>
      <c r="M107" s="306">
        <f>+IF($H107=M$2,VLOOKUP($G107,Depreciation!$A$14:$L$18,11,FALSE)/2,IF($H107&lt;M$2,VLOOKUP($G107,Depreciation!$A$14:$L$18,11,FALSE),0))</f>
        <v>3.343407856743718E-2</v>
      </c>
      <c r="N107" s="306">
        <f>+IF($H107=N$2,VLOOKUP($G107,Depreciation!$A$14:$L$18,12,FALSE)/2,IF($H107&lt;N$2,VLOOKUP($G107,Depreciation!$A$14:$L$18,12,FALSE),0))</f>
        <v>3.343407856743718E-2</v>
      </c>
      <c r="O107" s="307">
        <f t="shared" si="9"/>
        <v>90126.936468387226</v>
      </c>
      <c r="P107" s="732">
        <f>'Func Future Subs 2015'!P107</f>
        <v>0</v>
      </c>
      <c r="Q107" s="732">
        <f>'Func Future Subs 2015'!Q107</f>
        <v>1</v>
      </c>
      <c r="R107" s="732">
        <f>'Func Future Subs 2015'!R107</f>
        <v>0</v>
      </c>
      <c r="S107" s="735">
        <f t="shared" si="10"/>
        <v>0</v>
      </c>
      <c r="T107" s="735">
        <f t="shared" si="11"/>
        <v>90126.936468387226</v>
      </c>
      <c r="U107" s="735">
        <f t="shared" si="12"/>
        <v>0</v>
      </c>
      <c r="V107" s="736">
        <f t="shared" si="13"/>
        <v>0</v>
      </c>
      <c r="W107" s="735">
        <f t="shared" si="14"/>
        <v>0</v>
      </c>
      <c r="X107" s="737">
        <f t="shared" si="15"/>
        <v>0</v>
      </c>
      <c r="Y107" s="738">
        <f t="shared" si="16"/>
        <v>90126.936468387226</v>
      </c>
    </row>
    <row r="108" spans="1:25">
      <c r="A108" s="754" t="str">
        <f>'Func Future Subs 2015'!A108</f>
        <v>Olds 55S (GD Johnson)</v>
      </c>
      <c r="B108" s="754">
        <f>'Func Future Subs 2015'!B108</f>
        <v>813</v>
      </c>
      <c r="C108" s="754">
        <f>'Func Future Subs 2015'!C108</f>
        <v>240</v>
      </c>
      <c r="D108" s="754">
        <f>'Func Future Subs 2015'!D108</f>
        <v>25</v>
      </c>
      <c r="E108" s="754" t="str">
        <f>'Func Future Subs 2015'!E108</f>
        <v>55S</v>
      </c>
      <c r="F108" s="754">
        <f>'Func Future Subs 2015'!F108</f>
        <v>390718.64780628151</v>
      </c>
      <c r="G108" s="754" t="str">
        <f>'Func Future Subs 2015'!G108</f>
        <v>AltaLink</v>
      </c>
      <c r="H108" s="754">
        <f>'Func Future Subs 2015'!H108</f>
        <v>2017</v>
      </c>
      <c r="I108" s="306">
        <f>+IF($H108=I$2,VLOOKUP($G108,Depreciation!$A$14:$L$18,7,FALSE)/2,IF($H108&lt;I$2,VLOOKUP($G108,Depreciation!$A$14:$L$18,7,FALSE),0))</f>
        <v>0</v>
      </c>
      <c r="J108" s="306">
        <f>+IF($H108=J$2,VLOOKUP($G108,Depreciation!$A$14:$L$18,8,FALSE)/2,IF($H108&lt;J$2,VLOOKUP($G108,Depreciation!$A$14:$L$18,8,FALSE),0))</f>
        <v>0</v>
      </c>
      <c r="K108" s="306">
        <f>+IF($H108=K$2,VLOOKUP($G108,Depreciation!$A$14:$L$18,9,FALSE)/2,IF($H108&lt;K$2,VLOOKUP($G108,Depreciation!$A$14:$L$18,9,FALSE),0))</f>
        <v>1.671703928371859E-2</v>
      </c>
      <c r="L108" s="306">
        <f>+IF($H108=L$2,VLOOKUP($G108,Depreciation!$A$14:$L$18,10,FALSE)/2,IF($H108&lt;L$2,VLOOKUP($G108,Depreciation!$A$14:$L$18,10,FALSE),0))</f>
        <v>3.343407856743718E-2</v>
      </c>
      <c r="M108" s="306">
        <f>+IF($H108=M$2,VLOOKUP($G108,Depreciation!$A$14:$L$18,11,FALSE)/2,IF($H108&lt;M$2,VLOOKUP($G108,Depreciation!$A$14:$L$18,11,FALSE),0))</f>
        <v>3.343407856743718E-2</v>
      </c>
      <c r="N108" s="306">
        <f>+IF($H108=N$2,VLOOKUP($G108,Depreciation!$A$14:$L$18,12,FALSE)/2,IF($H108&lt;N$2,VLOOKUP($G108,Depreciation!$A$14:$L$18,12,FALSE),0))</f>
        <v>3.343407856743718E-2</v>
      </c>
      <c r="O108" s="307">
        <f t="shared" si="9"/>
        <v>358926.57154954213</v>
      </c>
      <c r="P108" s="732">
        <f>'Func Future Subs 2015'!P108</f>
        <v>0</v>
      </c>
      <c r="Q108" s="732">
        <f>'Func Future Subs 2015'!Q108</f>
        <v>1</v>
      </c>
      <c r="R108" s="732">
        <f>'Func Future Subs 2015'!R108</f>
        <v>0</v>
      </c>
      <c r="S108" s="735">
        <f t="shared" si="10"/>
        <v>0</v>
      </c>
      <c r="T108" s="735">
        <f t="shared" si="11"/>
        <v>358926.57154954213</v>
      </c>
      <c r="U108" s="735">
        <f t="shared" si="12"/>
        <v>0</v>
      </c>
      <c r="V108" s="736">
        <f t="shared" si="13"/>
        <v>0</v>
      </c>
      <c r="W108" s="735">
        <f t="shared" si="14"/>
        <v>0</v>
      </c>
      <c r="X108" s="737">
        <f t="shared" si="15"/>
        <v>0</v>
      </c>
      <c r="Y108" s="738">
        <f t="shared" si="16"/>
        <v>358926.57154954213</v>
      </c>
    </row>
    <row r="109" spans="1:25">
      <c r="A109" s="754" t="str">
        <f>'Func Future Subs 2015'!A109</f>
        <v>Piper Creek 247S</v>
      </c>
      <c r="B109" s="754">
        <f>'Func Future Subs 2015'!B109</f>
        <v>813</v>
      </c>
      <c r="C109" s="754">
        <f>'Func Future Subs 2015'!C109</f>
        <v>138</v>
      </c>
      <c r="D109" s="754">
        <f>'Func Future Subs 2015'!D109</f>
        <v>138</v>
      </c>
      <c r="E109" s="754" t="str">
        <f>'Func Future Subs 2015'!E109</f>
        <v>247S</v>
      </c>
      <c r="F109" s="754">
        <f>'Func Future Subs 2015'!F109</f>
        <v>1998667.7936525263</v>
      </c>
      <c r="G109" s="754" t="str">
        <f>'Func Future Subs 2015'!G109</f>
        <v>AltaLink</v>
      </c>
      <c r="H109" s="754">
        <f>'Func Future Subs 2015'!H109</f>
        <v>2017</v>
      </c>
      <c r="I109" s="306">
        <f>+IF($H109=I$2,VLOOKUP($G109,Depreciation!$A$14:$L$18,7,FALSE)/2,IF($H109&lt;I$2,VLOOKUP($G109,Depreciation!$A$14:$L$18,7,FALSE),0))</f>
        <v>0</v>
      </c>
      <c r="J109" s="306">
        <f>+IF($H109=J$2,VLOOKUP($G109,Depreciation!$A$14:$L$18,8,FALSE)/2,IF($H109&lt;J$2,VLOOKUP($G109,Depreciation!$A$14:$L$18,8,FALSE),0))</f>
        <v>0</v>
      </c>
      <c r="K109" s="306">
        <f>+IF($H109=K$2,VLOOKUP($G109,Depreciation!$A$14:$L$18,9,FALSE)/2,IF($H109&lt;K$2,VLOOKUP($G109,Depreciation!$A$14:$L$18,9,FALSE),0))</f>
        <v>1.671703928371859E-2</v>
      </c>
      <c r="L109" s="306">
        <f>+IF($H109=L$2,VLOOKUP($G109,Depreciation!$A$14:$L$18,10,FALSE)/2,IF($H109&lt;L$2,VLOOKUP($G109,Depreciation!$A$14:$L$18,10,FALSE),0))</f>
        <v>3.343407856743718E-2</v>
      </c>
      <c r="M109" s="306">
        <f>+IF($H109=M$2,VLOOKUP($G109,Depreciation!$A$14:$L$18,11,FALSE)/2,IF($H109&lt;M$2,VLOOKUP($G109,Depreciation!$A$14:$L$18,11,FALSE),0))</f>
        <v>3.343407856743718E-2</v>
      </c>
      <c r="N109" s="306">
        <f>+IF($H109=N$2,VLOOKUP($G109,Depreciation!$A$14:$L$18,12,FALSE)/2,IF($H109&lt;N$2,VLOOKUP($G109,Depreciation!$A$14:$L$18,12,FALSE),0))</f>
        <v>3.343407856743718E-2</v>
      </c>
      <c r="O109" s="307">
        <f t="shared" si="9"/>
        <v>1836039.7766268472</v>
      </c>
      <c r="P109" s="732">
        <f>'Func Future Subs 2015'!P109</f>
        <v>0</v>
      </c>
      <c r="Q109" s="732">
        <f>'Func Future Subs 2015'!Q109</f>
        <v>0</v>
      </c>
      <c r="R109" s="732">
        <f>'Func Future Subs 2015'!R109</f>
        <v>1</v>
      </c>
      <c r="S109" s="735">
        <f t="shared" si="10"/>
        <v>0</v>
      </c>
      <c r="T109" s="735">
        <f t="shared" si="11"/>
        <v>0</v>
      </c>
      <c r="U109" s="735">
        <f t="shared" si="12"/>
        <v>1836039.7766268472</v>
      </c>
      <c r="V109" s="736">
        <f t="shared" si="13"/>
        <v>0</v>
      </c>
      <c r="W109" s="735">
        <f t="shared" si="14"/>
        <v>0</v>
      </c>
      <c r="X109" s="737">
        <f t="shared" si="15"/>
        <v>1836039.7766268472</v>
      </c>
      <c r="Y109" s="738">
        <f t="shared" si="16"/>
        <v>0</v>
      </c>
    </row>
    <row r="110" spans="1:25">
      <c r="A110" s="754" t="str">
        <f>'Func Future Subs 2015'!A110</f>
        <v>Ponoka 331S</v>
      </c>
      <c r="B110" s="754">
        <f>'Func Future Subs 2015'!B110</f>
        <v>813</v>
      </c>
      <c r="C110" s="754">
        <f>'Func Future Subs 2015'!C110</f>
        <v>138</v>
      </c>
      <c r="D110" s="754">
        <f>'Func Future Subs 2015'!D110</f>
        <v>25</v>
      </c>
      <c r="E110" s="754" t="str">
        <f>'Func Future Subs 2015'!E110</f>
        <v>331S</v>
      </c>
      <c r="F110" s="754">
        <f>'Func Future Subs 2015'!F110</f>
        <v>3179107.2356748986</v>
      </c>
      <c r="G110" s="754" t="str">
        <f>'Func Future Subs 2015'!G110</f>
        <v>AltaLink</v>
      </c>
      <c r="H110" s="754">
        <f>'Func Future Subs 2015'!H110</f>
        <v>2017</v>
      </c>
      <c r="I110" s="306">
        <f>+IF($H110=I$2,VLOOKUP($G110,Depreciation!$A$14:$L$18,7,FALSE)/2,IF($H110&lt;I$2,VLOOKUP($G110,Depreciation!$A$14:$L$18,7,FALSE),0))</f>
        <v>0</v>
      </c>
      <c r="J110" s="306">
        <f>+IF($H110=J$2,VLOOKUP($G110,Depreciation!$A$14:$L$18,8,FALSE)/2,IF($H110&lt;J$2,VLOOKUP($G110,Depreciation!$A$14:$L$18,8,FALSE),0))</f>
        <v>0</v>
      </c>
      <c r="K110" s="306">
        <f>+IF($H110=K$2,VLOOKUP($G110,Depreciation!$A$14:$L$18,9,FALSE)/2,IF($H110&lt;K$2,VLOOKUP($G110,Depreciation!$A$14:$L$18,9,FALSE),0))</f>
        <v>1.671703928371859E-2</v>
      </c>
      <c r="L110" s="306">
        <f>+IF($H110=L$2,VLOOKUP($G110,Depreciation!$A$14:$L$18,10,FALSE)/2,IF($H110&lt;L$2,VLOOKUP($G110,Depreciation!$A$14:$L$18,10,FALSE),0))</f>
        <v>3.343407856743718E-2</v>
      </c>
      <c r="M110" s="306">
        <f>+IF($H110=M$2,VLOOKUP($G110,Depreciation!$A$14:$L$18,11,FALSE)/2,IF($H110&lt;M$2,VLOOKUP($G110,Depreciation!$A$14:$L$18,11,FALSE),0))</f>
        <v>3.343407856743718E-2</v>
      </c>
      <c r="N110" s="306">
        <f>+IF($H110=N$2,VLOOKUP($G110,Depreciation!$A$14:$L$18,12,FALSE)/2,IF($H110&lt;N$2,VLOOKUP($G110,Depreciation!$A$14:$L$18,12,FALSE),0))</f>
        <v>3.343407856743718E-2</v>
      </c>
      <c r="O110" s="307">
        <f t="shared" si="9"/>
        <v>2920428.9764405475</v>
      </c>
      <c r="P110" s="732">
        <f>'Func Future Subs 2015'!P110</f>
        <v>0</v>
      </c>
      <c r="Q110" s="732">
        <f>'Func Future Subs 2015'!Q110</f>
        <v>1</v>
      </c>
      <c r="R110" s="732">
        <f>'Func Future Subs 2015'!R110</f>
        <v>0</v>
      </c>
      <c r="S110" s="735">
        <f t="shared" si="10"/>
        <v>0</v>
      </c>
      <c r="T110" s="735">
        <f t="shared" si="11"/>
        <v>2920428.9764405475</v>
      </c>
      <c r="U110" s="735">
        <f t="shared" si="12"/>
        <v>0</v>
      </c>
      <c r="V110" s="736">
        <f t="shared" si="13"/>
        <v>0</v>
      </c>
      <c r="W110" s="735">
        <f t="shared" si="14"/>
        <v>0</v>
      </c>
      <c r="X110" s="737">
        <f t="shared" si="15"/>
        <v>0</v>
      </c>
      <c r="Y110" s="738">
        <f t="shared" si="16"/>
        <v>2920428.9764405475</v>
      </c>
    </row>
    <row r="111" spans="1:25">
      <c r="A111" s="754" t="str">
        <f>'Func Future Subs 2015'!A111</f>
        <v>Prentiss 276S</v>
      </c>
      <c r="B111" s="754">
        <f>'Func Future Subs 2015'!B111</f>
        <v>813</v>
      </c>
      <c r="C111" s="754">
        <f>'Func Future Subs 2015'!C111</f>
        <v>138</v>
      </c>
      <c r="D111" s="754">
        <f>'Func Future Subs 2015'!D111</f>
        <v>25</v>
      </c>
      <c r="E111" s="754" t="str">
        <f>'Func Future Subs 2015'!E111</f>
        <v>276S</v>
      </c>
      <c r="F111" s="754">
        <f>'Func Future Subs 2015'!F111</f>
        <v>4288175.2445767764</v>
      </c>
      <c r="G111" s="754" t="str">
        <f>'Func Future Subs 2015'!G111</f>
        <v>AltaLink</v>
      </c>
      <c r="H111" s="754">
        <f>'Func Future Subs 2015'!H111</f>
        <v>2017</v>
      </c>
      <c r="I111" s="306">
        <f>+IF($H111=I$2,VLOOKUP($G111,Depreciation!$A$14:$L$18,7,FALSE)/2,IF($H111&lt;I$2,VLOOKUP($G111,Depreciation!$A$14:$L$18,7,FALSE),0))</f>
        <v>0</v>
      </c>
      <c r="J111" s="306">
        <f>+IF($H111=J$2,VLOOKUP($G111,Depreciation!$A$14:$L$18,8,FALSE)/2,IF($H111&lt;J$2,VLOOKUP($G111,Depreciation!$A$14:$L$18,8,FALSE),0))</f>
        <v>0</v>
      </c>
      <c r="K111" s="306">
        <f>+IF($H111=K$2,VLOOKUP($G111,Depreciation!$A$14:$L$18,9,FALSE)/2,IF($H111&lt;K$2,VLOOKUP($G111,Depreciation!$A$14:$L$18,9,FALSE),0))</f>
        <v>1.671703928371859E-2</v>
      </c>
      <c r="L111" s="306">
        <f>+IF($H111=L$2,VLOOKUP($G111,Depreciation!$A$14:$L$18,10,FALSE)/2,IF($H111&lt;L$2,VLOOKUP($G111,Depreciation!$A$14:$L$18,10,FALSE),0))</f>
        <v>3.343407856743718E-2</v>
      </c>
      <c r="M111" s="306">
        <f>+IF($H111=M$2,VLOOKUP($G111,Depreciation!$A$14:$L$18,11,FALSE)/2,IF($H111&lt;M$2,VLOOKUP($G111,Depreciation!$A$14:$L$18,11,FALSE),0))</f>
        <v>3.343407856743718E-2</v>
      </c>
      <c r="N111" s="306">
        <f>+IF($H111=N$2,VLOOKUP($G111,Depreciation!$A$14:$L$18,12,FALSE)/2,IF($H111&lt;N$2,VLOOKUP($G111,Depreciation!$A$14:$L$18,12,FALSE),0))</f>
        <v>3.343407856743718E-2</v>
      </c>
      <c r="O111" s="307">
        <f t="shared" si="9"/>
        <v>3939254.1087587606</v>
      </c>
      <c r="P111" s="732">
        <f>'Func Future Subs 2015'!P111</f>
        <v>0</v>
      </c>
      <c r="Q111" s="732">
        <f>'Func Future Subs 2015'!Q111</f>
        <v>0</v>
      </c>
      <c r="R111" s="732">
        <f>'Func Future Subs 2015'!R111</f>
        <v>1</v>
      </c>
      <c r="S111" s="735">
        <f t="shared" si="10"/>
        <v>0</v>
      </c>
      <c r="T111" s="735">
        <f t="shared" si="11"/>
        <v>0</v>
      </c>
      <c r="U111" s="735">
        <f t="shared" si="12"/>
        <v>3939254.1087587606</v>
      </c>
      <c r="V111" s="736">
        <f t="shared" si="13"/>
        <v>0</v>
      </c>
      <c r="W111" s="735">
        <f t="shared" si="14"/>
        <v>0</v>
      </c>
      <c r="X111" s="737">
        <f t="shared" si="15"/>
        <v>0</v>
      </c>
      <c r="Y111" s="738">
        <f t="shared" si="16"/>
        <v>3939254.1087587606</v>
      </c>
    </row>
    <row r="112" spans="1:25">
      <c r="A112" s="754" t="str">
        <f>'Func Future Subs 2015'!A112</f>
        <v>RAS in 256S_(v2)</v>
      </c>
      <c r="B112" s="754">
        <f>'Func Future Subs 2015'!B112</f>
        <v>813</v>
      </c>
      <c r="C112" s="754">
        <f>'Func Future Subs 2015'!C112</f>
        <v>138</v>
      </c>
      <c r="D112" s="754">
        <f>'Func Future Subs 2015'!D112</f>
        <v>25</v>
      </c>
      <c r="E112" s="754" t="str">
        <f>'Func Future Subs 2015'!E112</f>
        <v>256S</v>
      </c>
      <c r="F112" s="754">
        <f>'Func Future Subs 2015'!F112</f>
        <v>140996.12247626696</v>
      </c>
      <c r="G112" s="754" t="str">
        <f>'Func Future Subs 2015'!G112</f>
        <v>AltaLink</v>
      </c>
      <c r="H112" s="754">
        <f>'Func Future Subs 2015'!H112</f>
        <v>2017</v>
      </c>
      <c r="I112" s="306">
        <f>+IF($H112=I$2,VLOOKUP($G112,Depreciation!$A$14:$L$18,7,FALSE)/2,IF($H112&lt;I$2,VLOOKUP($G112,Depreciation!$A$14:$L$18,7,FALSE),0))</f>
        <v>0</v>
      </c>
      <c r="J112" s="306">
        <f>+IF($H112=J$2,VLOOKUP($G112,Depreciation!$A$14:$L$18,8,FALSE)/2,IF($H112&lt;J$2,VLOOKUP($G112,Depreciation!$A$14:$L$18,8,FALSE),0))</f>
        <v>0</v>
      </c>
      <c r="K112" s="306">
        <f>+IF($H112=K$2,VLOOKUP($G112,Depreciation!$A$14:$L$18,9,FALSE)/2,IF($H112&lt;K$2,VLOOKUP($G112,Depreciation!$A$14:$L$18,9,FALSE),0))</f>
        <v>1.671703928371859E-2</v>
      </c>
      <c r="L112" s="306">
        <f>+IF($H112=L$2,VLOOKUP($G112,Depreciation!$A$14:$L$18,10,FALSE)/2,IF($H112&lt;L$2,VLOOKUP($G112,Depreciation!$A$14:$L$18,10,FALSE),0))</f>
        <v>3.343407856743718E-2</v>
      </c>
      <c r="M112" s="306">
        <f>+IF($H112=M$2,VLOOKUP($G112,Depreciation!$A$14:$L$18,11,FALSE)/2,IF($H112&lt;M$2,VLOOKUP($G112,Depreciation!$A$14:$L$18,11,FALSE),0))</f>
        <v>3.343407856743718E-2</v>
      </c>
      <c r="N112" s="306">
        <f>+IF($H112=N$2,VLOOKUP($G112,Depreciation!$A$14:$L$18,12,FALSE)/2,IF($H112&lt;N$2,VLOOKUP($G112,Depreciation!$A$14:$L$18,12,FALSE),0))</f>
        <v>3.343407856743718E-2</v>
      </c>
      <c r="O112" s="307">
        <f t="shared" si="9"/>
        <v>129523.52063645789</v>
      </c>
      <c r="P112" s="732">
        <f>'Func Future Subs 2015'!P112</f>
        <v>0.54510993176648981</v>
      </c>
      <c r="Q112" s="732">
        <f>'Func Future Subs 2015'!Q112</f>
        <v>0.45489006823351025</v>
      </c>
      <c r="R112" s="732">
        <f>'Func Future Subs 2015'!R112</f>
        <v>0</v>
      </c>
      <c r="S112" s="735">
        <f t="shared" si="10"/>
        <v>70604.557496295092</v>
      </c>
      <c r="T112" s="735">
        <f t="shared" si="11"/>
        <v>58918.963140162799</v>
      </c>
      <c r="U112" s="735">
        <f t="shared" si="12"/>
        <v>0</v>
      </c>
      <c r="V112" s="736">
        <f t="shared" si="13"/>
        <v>0</v>
      </c>
      <c r="W112" s="735">
        <f t="shared" si="14"/>
        <v>70604.557496295092</v>
      </c>
      <c r="X112" s="737">
        <f t="shared" si="15"/>
        <v>0</v>
      </c>
      <c r="Y112" s="738">
        <f t="shared" si="16"/>
        <v>58918.963140162799</v>
      </c>
    </row>
    <row r="113" spans="1:25">
      <c r="A113" s="754" t="str">
        <f>'Func Future Subs 2015'!A113</f>
        <v>Red Deer 217S</v>
      </c>
      <c r="B113" s="754">
        <f>'Func Future Subs 2015'!B113</f>
        <v>813</v>
      </c>
      <c r="C113" s="754">
        <f>'Func Future Subs 2015'!C113</f>
        <v>138</v>
      </c>
      <c r="D113" s="754">
        <f>'Func Future Subs 2015'!D113</f>
        <v>25</v>
      </c>
      <c r="E113" s="754" t="str">
        <f>'Func Future Subs 2015'!E113</f>
        <v>217S</v>
      </c>
      <c r="F113" s="754">
        <f>'Func Future Subs 2015'!F113</f>
        <v>2898997.8882702999</v>
      </c>
      <c r="G113" s="754" t="str">
        <f>'Func Future Subs 2015'!G113</f>
        <v>AltaLink</v>
      </c>
      <c r="H113" s="754">
        <f>'Func Future Subs 2015'!H113</f>
        <v>2017</v>
      </c>
      <c r="I113" s="306">
        <f>+IF($H113=I$2,VLOOKUP($G113,Depreciation!$A$14:$L$18,7,FALSE)/2,IF($H113&lt;I$2,VLOOKUP($G113,Depreciation!$A$14:$L$18,7,FALSE),0))</f>
        <v>0</v>
      </c>
      <c r="J113" s="306">
        <f>+IF($H113=J$2,VLOOKUP($G113,Depreciation!$A$14:$L$18,8,FALSE)/2,IF($H113&lt;J$2,VLOOKUP($G113,Depreciation!$A$14:$L$18,8,FALSE),0))</f>
        <v>0</v>
      </c>
      <c r="K113" s="306">
        <f>+IF($H113=K$2,VLOOKUP($G113,Depreciation!$A$14:$L$18,9,FALSE)/2,IF($H113&lt;K$2,VLOOKUP($G113,Depreciation!$A$14:$L$18,9,FALSE),0))</f>
        <v>1.671703928371859E-2</v>
      </c>
      <c r="L113" s="306">
        <f>+IF($H113=L$2,VLOOKUP($G113,Depreciation!$A$14:$L$18,10,FALSE)/2,IF($H113&lt;L$2,VLOOKUP($G113,Depreciation!$A$14:$L$18,10,FALSE),0))</f>
        <v>3.343407856743718E-2</v>
      </c>
      <c r="M113" s="306">
        <f>+IF($H113=M$2,VLOOKUP($G113,Depreciation!$A$14:$L$18,11,FALSE)/2,IF($H113&lt;M$2,VLOOKUP($G113,Depreciation!$A$14:$L$18,11,FALSE),0))</f>
        <v>3.343407856743718E-2</v>
      </c>
      <c r="N113" s="306">
        <f>+IF($H113=N$2,VLOOKUP($G113,Depreciation!$A$14:$L$18,12,FALSE)/2,IF($H113&lt;N$2,VLOOKUP($G113,Depreciation!$A$14:$L$18,12,FALSE),0))</f>
        <v>3.343407856743718E-2</v>
      </c>
      <c r="O113" s="307">
        <f t="shared" si="9"/>
        <v>2663111.6247159904</v>
      </c>
      <c r="P113" s="732">
        <f>'Func Future Subs 2015'!P113</f>
        <v>0</v>
      </c>
      <c r="Q113" s="732">
        <f>'Func Future Subs 2015'!Q113</f>
        <v>1</v>
      </c>
      <c r="R113" s="732">
        <f>'Func Future Subs 2015'!R113</f>
        <v>0</v>
      </c>
      <c r="S113" s="735">
        <f t="shared" si="10"/>
        <v>0</v>
      </c>
      <c r="T113" s="735">
        <f t="shared" si="11"/>
        <v>2663111.6247159904</v>
      </c>
      <c r="U113" s="735">
        <f t="shared" si="12"/>
        <v>0</v>
      </c>
      <c r="V113" s="736">
        <f t="shared" si="13"/>
        <v>0</v>
      </c>
      <c r="W113" s="735">
        <f t="shared" si="14"/>
        <v>0</v>
      </c>
      <c r="X113" s="737">
        <f t="shared" si="15"/>
        <v>0</v>
      </c>
      <c r="Y113" s="738">
        <f t="shared" si="16"/>
        <v>2663111.6247159904</v>
      </c>
    </row>
    <row r="114" spans="1:25">
      <c r="A114" s="754" t="str">
        <f>'Func Future Subs 2015'!A114</f>
        <v>Red Deer 63S (648L)</v>
      </c>
      <c r="B114" s="754">
        <f>'Func Future Subs 2015'!B114</f>
        <v>813</v>
      </c>
      <c r="C114" s="754">
        <f>'Func Future Subs 2015'!C114</f>
        <v>138</v>
      </c>
      <c r="D114" s="754">
        <f>'Func Future Subs 2015'!D114</f>
        <v>25</v>
      </c>
      <c r="E114" s="754" t="str">
        <f>'Func Future Subs 2015'!E114</f>
        <v>63S</v>
      </c>
      <c r="F114" s="754">
        <f>'Func Future Subs 2015'!F114</f>
        <v>759143.11811538937</v>
      </c>
      <c r="G114" s="754" t="str">
        <f>'Func Future Subs 2015'!G114</f>
        <v>AltaLink</v>
      </c>
      <c r="H114" s="754">
        <f>'Func Future Subs 2015'!H114</f>
        <v>2017</v>
      </c>
      <c r="I114" s="306">
        <f>+IF($H114=I$2,VLOOKUP($G114,Depreciation!$A$14:$L$18,7,FALSE)/2,IF($H114&lt;I$2,VLOOKUP($G114,Depreciation!$A$14:$L$18,7,FALSE),0))</f>
        <v>0</v>
      </c>
      <c r="J114" s="306">
        <f>+IF($H114=J$2,VLOOKUP($G114,Depreciation!$A$14:$L$18,8,FALSE)/2,IF($H114&lt;J$2,VLOOKUP($G114,Depreciation!$A$14:$L$18,8,FALSE),0))</f>
        <v>0</v>
      </c>
      <c r="K114" s="306">
        <f>+IF($H114=K$2,VLOOKUP($G114,Depreciation!$A$14:$L$18,9,FALSE)/2,IF($H114&lt;K$2,VLOOKUP($G114,Depreciation!$A$14:$L$18,9,FALSE),0))</f>
        <v>1.671703928371859E-2</v>
      </c>
      <c r="L114" s="306">
        <f>+IF($H114=L$2,VLOOKUP($G114,Depreciation!$A$14:$L$18,10,FALSE)/2,IF($H114&lt;L$2,VLOOKUP($G114,Depreciation!$A$14:$L$18,10,FALSE),0))</f>
        <v>3.343407856743718E-2</v>
      </c>
      <c r="M114" s="306">
        <f>+IF($H114=M$2,VLOOKUP($G114,Depreciation!$A$14:$L$18,11,FALSE)/2,IF($H114&lt;M$2,VLOOKUP($G114,Depreciation!$A$14:$L$18,11,FALSE),0))</f>
        <v>3.343407856743718E-2</v>
      </c>
      <c r="N114" s="306">
        <f>+IF($H114=N$2,VLOOKUP($G114,Depreciation!$A$14:$L$18,12,FALSE)/2,IF($H114&lt;N$2,VLOOKUP($G114,Depreciation!$A$14:$L$18,12,FALSE),0))</f>
        <v>3.343407856743718E-2</v>
      </c>
      <c r="O114" s="307">
        <f t="shared" si="9"/>
        <v>697373.00287668838</v>
      </c>
      <c r="P114" s="732">
        <f>'Func Future Subs 2015'!P114</f>
        <v>0</v>
      </c>
      <c r="Q114" s="732">
        <f>'Func Future Subs 2015'!Q114</f>
        <v>1</v>
      </c>
      <c r="R114" s="732">
        <f>'Func Future Subs 2015'!R114</f>
        <v>0</v>
      </c>
      <c r="S114" s="735">
        <f t="shared" si="10"/>
        <v>0</v>
      </c>
      <c r="T114" s="735">
        <f t="shared" si="11"/>
        <v>697373.00287668838</v>
      </c>
      <c r="U114" s="735">
        <f t="shared" si="12"/>
        <v>0</v>
      </c>
      <c r="V114" s="736">
        <f t="shared" si="13"/>
        <v>0</v>
      </c>
      <c r="W114" s="735">
        <f t="shared" si="14"/>
        <v>0</v>
      </c>
      <c r="X114" s="737">
        <f t="shared" si="15"/>
        <v>0</v>
      </c>
      <c r="Y114" s="738">
        <f t="shared" si="16"/>
        <v>697373.00287668838</v>
      </c>
    </row>
    <row r="115" spans="1:25">
      <c r="A115" s="754" t="str">
        <f>'Func Future Subs 2015'!A115</f>
        <v>Red Deer 63S (755/427L)</v>
      </c>
      <c r="B115" s="754">
        <f>'Func Future Subs 2015'!B115</f>
        <v>813</v>
      </c>
      <c r="C115" s="754">
        <f>'Func Future Subs 2015'!C115</f>
        <v>138</v>
      </c>
      <c r="D115" s="754">
        <f>'Func Future Subs 2015'!D115</f>
        <v>25</v>
      </c>
      <c r="E115" s="754" t="str">
        <f>'Func Future Subs 2015'!E115</f>
        <v>63S</v>
      </c>
      <c r="F115" s="754">
        <f>'Func Future Subs 2015'!F115</f>
        <v>682001.5541498533</v>
      </c>
      <c r="G115" s="754" t="str">
        <f>'Func Future Subs 2015'!G115</f>
        <v>AltaLink</v>
      </c>
      <c r="H115" s="754">
        <f>'Func Future Subs 2015'!H115</f>
        <v>2017</v>
      </c>
      <c r="I115" s="306">
        <f>+IF($H115=I$2,VLOOKUP($G115,Depreciation!$A$14:$L$18,7,FALSE)/2,IF($H115&lt;I$2,VLOOKUP($G115,Depreciation!$A$14:$L$18,7,FALSE),0))</f>
        <v>0</v>
      </c>
      <c r="J115" s="306">
        <f>+IF($H115=J$2,VLOOKUP($G115,Depreciation!$A$14:$L$18,8,FALSE)/2,IF($H115&lt;J$2,VLOOKUP($G115,Depreciation!$A$14:$L$18,8,FALSE),0))</f>
        <v>0</v>
      </c>
      <c r="K115" s="306">
        <f>+IF($H115=K$2,VLOOKUP($G115,Depreciation!$A$14:$L$18,9,FALSE)/2,IF($H115&lt;K$2,VLOOKUP($G115,Depreciation!$A$14:$L$18,9,FALSE),0))</f>
        <v>1.671703928371859E-2</v>
      </c>
      <c r="L115" s="306">
        <f>+IF($H115=L$2,VLOOKUP($G115,Depreciation!$A$14:$L$18,10,FALSE)/2,IF($H115&lt;L$2,VLOOKUP($G115,Depreciation!$A$14:$L$18,10,FALSE),0))</f>
        <v>3.343407856743718E-2</v>
      </c>
      <c r="M115" s="306">
        <f>+IF($H115=M$2,VLOOKUP($G115,Depreciation!$A$14:$L$18,11,FALSE)/2,IF($H115&lt;M$2,VLOOKUP($G115,Depreciation!$A$14:$L$18,11,FALSE),0))</f>
        <v>3.343407856743718E-2</v>
      </c>
      <c r="N115" s="306">
        <f>+IF($H115=N$2,VLOOKUP($G115,Depreciation!$A$14:$L$18,12,FALSE)/2,IF($H115&lt;N$2,VLOOKUP($G115,Depreciation!$A$14:$L$18,12,FALSE),0))</f>
        <v>3.343407856743718E-2</v>
      </c>
      <c r="O115" s="307">
        <f t="shared" si="9"/>
        <v>626508.30974372244</v>
      </c>
      <c r="P115" s="732">
        <f>'Func Future Subs 2015'!P115</f>
        <v>0</v>
      </c>
      <c r="Q115" s="732">
        <f>'Func Future Subs 2015'!Q115</f>
        <v>1</v>
      </c>
      <c r="R115" s="732">
        <f>'Func Future Subs 2015'!R115</f>
        <v>0</v>
      </c>
      <c r="S115" s="735">
        <f t="shared" si="10"/>
        <v>0</v>
      </c>
      <c r="T115" s="735">
        <f t="shared" si="11"/>
        <v>626508.30974372244</v>
      </c>
      <c r="U115" s="735">
        <f t="shared" si="12"/>
        <v>0</v>
      </c>
      <c r="V115" s="736">
        <f t="shared" si="13"/>
        <v>0</v>
      </c>
      <c r="W115" s="735">
        <f t="shared" si="14"/>
        <v>0</v>
      </c>
      <c r="X115" s="737">
        <f t="shared" si="15"/>
        <v>0</v>
      </c>
      <c r="Y115" s="738">
        <f t="shared" si="16"/>
        <v>626508.30974372244</v>
      </c>
    </row>
    <row r="116" spans="1:25">
      <c r="A116" s="754" t="str">
        <f>'Func Future Subs 2015'!A116</f>
        <v>Red Deer 63S (80/426L)</v>
      </c>
      <c r="B116" s="754">
        <f>'Func Future Subs 2015'!B116</f>
        <v>813</v>
      </c>
      <c r="C116" s="754">
        <f>'Func Future Subs 2015'!C116</f>
        <v>138</v>
      </c>
      <c r="D116" s="754">
        <f>'Func Future Subs 2015'!D116</f>
        <v>25</v>
      </c>
      <c r="E116" s="754" t="str">
        <f>'Func Future Subs 2015'!E116</f>
        <v>63S</v>
      </c>
      <c r="F116" s="754">
        <f>'Func Future Subs 2015'!F116</f>
        <v>1044917.5482604436</v>
      </c>
      <c r="G116" s="754" t="str">
        <f>'Func Future Subs 2015'!G116</f>
        <v>AltaLink</v>
      </c>
      <c r="H116" s="754">
        <f>'Func Future Subs 2015'!H116</f>
        <v>2017</v>
      </c>
      <c r="I116" s="306">
        <f>+IF($H116=I$2,VLOOKUP($G116,Depreciation!$A$14:$L$18,7,FALSE)/2,IF($H116&lt;I$2,VLOOKUP($G116,Depreciation!$A$14:$L$18,7,FALSE),0))</f>
        <v>0</v>
      </c>
      <c r="J116" s="306">
        <f>+IF($H116=J$2,VLOOKUP($G116,Depreciation!$A$14:$L$18,8,FALSE)/2,IF($H116&lt;J$2,VLOOKUP($G116,Depreciation!$A$14:$L$18,8,FALSE),0))</f>
        <v>0</v>
      </c>
      <c r="K116" s="306">
        <f>+IF($H116=K$2,VLOOKUP($G116,Depreciation!$A$14:$L$18,9,FALSE)/2,IF($H116&lt;K$2,VLOOKUP($G116,Depreciation!$A$14:$L$18,9,FALSE),0))</f>
        <v>1.671703928371859E-2</v>
      </c>
      <c r="L116" s="306">
        <f>+IF($H116=L$2,VLOOKUP($G116,Depreciation!$A$14:$L$18,10,FALSE)/2,IF($H116&lt;L$2,VLOOKUP($G116,Depreciation!$A$14:$L$18,10,FALSE),0))</f>
        <v>3.343407856743718E-2</v>
      </c>
      <c r="M116" s="306">
        <f>+IF($H116=M$2,VLOOKUP($G116,Depreciation!$A$14:$L$18,11,FALSE)/2,IF($H116&lt;M$2,VLOOKUP($G116,Depreciation!$A$14:$L$18,11,FALSE),0))</f>
        <v>3.343407856743718E-2</v>
      </c>
      <c r="N116" s="306">
        <f>+IF($H116=N$2,VLOOKUP($G116,Depreciation!$A$14:$L$18,12,FALSE)/2,IF($H116&lt;N$2,VLOOKUP($G116,Depreciation!$A$14:$L$18,12,FALSE),0))</f>
        <v>3.343407856743718E-2</v>
      </c>
      <c r="O116" s="307">
        <f t="shared" si="9"/>
        <v>959894.47971017624</v>
      </c>
      <c r="P116" s="732">
        <f>'Func Future Subs 2015'!P116</f>
        <v>0</v>
      </c>
      <c r="Q116" s="732">
        <f>'Func Future Subs 2015'!Q116</f>
        <v>1</v>
      </c>
      <c r="R116" s="732">
        <f>'Func Future Subs 2015'!R116</f>
        <v>0</v>
      </c>
      <c r="S116" s="735">
        <f t="shared" si="10"/>
        <v>0</v>
      </c>
      <c r="T116" s="735">
        <f t="shared" si="11"/>
        <v>959894.47971017624</v>
      </c>
      <c r="U116" s="735">
        <f t="shared" si="12"/>
        <v>0</v>
      </c>
      <c r="V116" s="736">
        <f t="shared" si="13"/>
        <v>0</v>
      </c>
      <c r="W116" s="735">
        <f t="shared" si="14"/>
        <v>0</v>
      </c>
      <c r="X116" s="737">
        <f t="shared" si="15"/>
        <v>0</v>
      </c>
      <c r="Y116" s="738">
        <f t="shared" si="16"/>
        <v>959894.47971017624</v>
      </c>
    </row>
    <row r="117" spans="1:25">
      <c r="A117" s="754" t="str">
        <f>'Func Future Subs 2015'!A117</f>
        <v>Red Deer 63S (GD Hazel)</v>
      </c>
      <c r="B117" s="754">
        <f>'Func Future Subs 2015'!B117</f>
        <v>813</v>
      </c>
      <c r="C117" s="754">
        <f>'Func Future Subs 2015'!C117</f>
        <v>240</v>
      </c>
      <c r="D117" s="754">
        <f>'Func Future Subs 2015'!D117</f>
        <v>25</v>
      </c>
      <c r="E117" s="754" t="str">
        <f>'Func Future Subs 2015'!E117</f>
        <v>63S</v>
      </c>
      <c r="F117" s="754">
        <f>'Func Future Subs 2015'!F117</f>
        <v>406209.69551666273</v>
      </c>
      <c r="G117" s="754" t="str">
        <f>'Func Future Subs 2015'!G117</f>
        <v>AltaLink</v>
      </c>
      <c r="H117" s="754">
        <f>'Func Future Subs 2015'!H117</f>
        <v>2017</v>
      </c>
      <c r="I117" s="306">
        <f>+IF($H117=I$2,VLOOKUP($G117,Depreciation!$A$14:$L$18,7,FALSE)/2,IF($H117&lt;I$2,VLOOKUP($G117,Depreciation!$A$14:$L$18,7,FALSE),0))</f>
        <v>0</v>
      </c>
      <c r="J117" s="306">
        <f>+IF($H117=J$2,VLOOKUP($G117,Depreciation!$A$14:$L$18,8,FALSE)/2,IF($H117&lt;J$2,VLOOKUP($G117,Depreciation!$A$14:$L$18,8,FALSE),0))</f>
        <v>0</v>
      </c>
      <c r="K117" s="306">
        <f>+IF($H117=K$2,VLOOKUP($G117,Depreciation!$A$14:$L$18,9,FALSE)/2,IF($H117&lt;K$2,VLOOKUP($G117,Depreciation!$A$14:$L$18,9,FALSE),0))</f>
        <v>1.671703928371859E-2</v>
      </c>
      <c r="L117" s="306">
        <f>+IF($H117=L$2,VLOOKUP($G117,Depreciation!$A$14:$L$18,10,FALSE)/2,IF($H117&lt;L$2,VLOOKUP($G117,Depreciation!$A$14:$L$18,10,FALSE),0))</f>
        <v>3.343407856743718E-2</v>
      </c>
      <c r="M117" s="306">
        <f>+IF($H117=M$2,VLOOKUP($G117,Depreciation!$A$14:$L$18,11,FALSE)/2,IF($H117&lt;M$2,VLOOKUP($G117,Depreciation!$A$14:$L$18,11,FALSE),0))</f>
        <v>3.343407856743718E-2</v>
      </c>
      <c r="N117" s="306">
        <f>+IF($H117=N$2,VLOOKUP($G117,Depreciation!$A$14:$L$18,12,FALSE)/2,IF($H117&lt;N$2,VLOOKUP($G117,Depreciation!$A$14:$L$18,12,FALSE),0))</f>
        <v>3.343407856743718E-2</v>
      </c>
      <c r="O117" s="307">
        <f t="shared" si="9"/>
        <v>373157.14046560321</v>
      </c>
      <c r="P117" s="732">
        <f>'Func Future Subs 2015'!P117</f>
        <v>0</v>
      </c>
      <c r="Q117" s="732">
        <f>'Func Future Subs 2015'!Q117</f>
        <v>1</v>
      </c>
      <c r="R117" s="732">
        <f>'Func Future Subs 2015'!R117</f>
        <v>0</v>
      </c>
      <c r="S117" s="735">
        <f t="shared" si="10"/>
        <v>0</v>
      </c>
      <c r="T117" s="735">
        <f t="shared" si="11"/>
        <v>373157.14046560321</v>
      </c>
      <c r="U117" s="735">
        <f t="shared" si="12"/>
        <v>0</v>
      </c>
      <c r="V117" s="736">
        <f t="shared" si="13"/>
        <v>0</v>
      </c>
      <c r="W117" s="735">
        <f t="shared" si="14"/>
        <v>0</v>
      </c>
      <c r="X117" s="737">
        <f t="shared" si="15"/>
        <v>0</v>
      </c>
      <c r="Y117" s="738">
        <f t="shared" si="16"/>
        <v>373157.14046560321</v>
      </c>
    </row>
    <row r="118" spans="1:25">
      <c r="A118" s="754" t="str">
        <f>'Func Future Subs 2015'!A118</f>
        <v>Red Deer 63S (GD Wolf)</v>
      </c>
      <c r="B118" s="754">
        <f>'Func Future Subs 2015'!B118</f>
        <v>813</v>
      </c>
      <c r="C118" s="754">
        <f>'Func Future Subs 2015'!C118</f>
        <v>240</v>
      </c>
      <c r="D118" s="754">
        <f>'Func Future Subs 2015'!D118</f>
        <v>25</v>
      </c>
      <c r="E118" s="754" t="str">
        <f>'Func Future Subs 2015'!E118</f>
        <v>63S</v>
      </c>
      <c r="F118" s="754">
        <f>'Func Future Subs 2015'!F118</f>
        <v>89503.831215535858</v>
      </c>
      <c r="G118" s="754" t="str">
        <f>'Func Future Subs 2015'!G118</f>
        <v>AltaLink</v>
      </c>
      <c r="H118" s="754">
        <f>'Func Future Subs 2015'!H118</f>
        <v>2017</v>
      </c>
      <c r="I118" s="306">
        <f>+IF($H118=I$2,VLOOKUP($G118,Depreciation!$A$14:$L$18,7,FALSE)/2,IF($H118&lt;I$2,VLOOKUP($G118,Depreciation!$A$14:$L$18,7,FALSE),0))</f>
        <v>0</v>
      </c>
      <c r="J118" s="306">
        <f>+IF($H118=J$2,VLOOKUP($G118,Depreciation!$A$14:$L$18,8,FALSE)/2,IF($H118&lt;J$2,VLOOKUP($G118,Depreciation!$A$14:$L$18,8,FALSE),0))</f>
        <v>0</v>
      </c>
      <c r="K118" s="306">
        <f>+IF($H118=K$2,VLOOKUP($G118,Depreciation!$A$14:$L$18,9,FALSE)/2,IF($H118&lt;K$2,VLOOKUP($G118,Depreciation!$A$14:$L$18,9,FALSE),0))</f>
        <v>1.671703928371859E-2</v>
      </c>
      <c r="L118" s="306">
        <f>+IF($H118=L$2,VLOOKUP($G118,Depreciation!$A$14:$L$18,10,FALSE)/2,IF($H118&lt;L$2,VLOOKUP($G118,Depreciation!$A$14:$L$18,10,FALSE),0))</f>
        <v>3.343407856743718E-2</v>
      </c>
      <c r="M118" s="306">
        <f>+IF($H118=M$2,VLOOKUP($G118,Depreciation!$A$14:$L$18,11,FALSE)/2,IF($H118&lt;M$2,VLOOKUP($G118,Depreciation!$A$14:$L$18,11,FALSE),0))</f>
        <v>3.343407856743718E-2</v>
      </c>
      <c r="N118" s="306">
        <f>+IF($H118=N$2,VLOOKUP($G118,Depreciation!$A$14:$L$18,12,FALSE)/2,IF($H118&lt;N$2,VLOOKUP($G118,Depreciation!$A$14:$L$18,12,FALSE),0))</f>
        <v>3.343407856743718E-2</v>
      </c>
      <c r="O118" s="307">
        <f t="shared" si="9"/>
        <v>82221.064848353257</v>
      </c>
      <c r="P118" s="732">
        <f>'Func Future Subs 2015'!P118</f>
        <v>0</v>
      </c>
      <c r="Q118" s="732">
        <f>'Func Future Subs 2015'!Q118</f>
        <v>1</v>
      </c>
      <c r="R118" s="732">
        <f>'Func Future Subs 2015'!R118</f>
        <v>0</v>
      </c>
      <c r="S118" s="735">
        <f t="shared" si="10"/>
        <v>0</v>
      </c>
      <c r="T118" s="735">
        <f t="shared" si="11"/>
        <v>82221.064848353257</v>
      </c>
      <c r="U118" s="735">
        <f t="shared" si="12"/>
        <v>0</v>
      </c>
      <c r="V118" s="736">
        <f t="shared" si="13"/>
        <v>0</v>
      </c>
      <c r="W118" s="735">
        <f t="shared" si="14"/>
        <v>0</v>
      </c>
      <c r="X118" s="737">
        <f t="shared" si="15"/>
        <v>0</v>
      </c>
      <c r="Y118" s="738">
        <f t="shared" si="16"/>
        <v>82221.064848353257</v>
      </c>
    </row>
    <row r="119" spans="1:25">
      <c r="A119" s="754" t="str">
        <f>'Func Future Subs 2015'!A119</f>
        <v>Shell Caroline 378S RAS_(v2)</v>
      </c>
      <c r="B119" s="754">
        <f>'Func Future Subs 2015'!B119</f>
        <v>813</v>
      </c>
      <c r="C119" s="754">
        <f>'Func Future Subs 2015'!C119</f>
        <v>138</v>
      </c>
      <c r="D119" s="754">
        <f>'Func Future Subs 2015'!D119</f>
        <v>25</v>
      </c>
      <c r="E119" s="754" t="str">
        <f>'Func Future Subs 2015'!E119</f>
        <v>378S</v>
      </c>
      <c r="F119" s="754">
        <f>'Func Future Subs 2015'!F119</f>
        <v>107820.56424655707</v>
      </c>
      <c r="G119" s="754" t="str">
        <f>'Func Future Subs 2015'!G119</f>
        <v>AltaLink</v>
      </c>
      <c r="H119" s="754">
        <f>'Func Future Subs 2015'!H119</f>
        <v>2017</v>
      </c>
      <c r="I119" s="306">
        <f>+IF($H119=I$2,VLOOKUP($G119,Depreciation!$A$14:$L$18,7,FALSE)/2,IF($H119&lt;I$2,VLOOKUP($G119,Depreciation!$A$14:$L$18,7,FALSE),0))</f>
        <v>0</v>
      </c>
      <c r="J119" s="306">
        <f>+IF($H119=J$2,VLOOKUP($G119,Depreciation!$A$14:$L$18,8,FALSE)/2,IF($H119&lt;J$2,VLOOKUP($G119,Depreciation!$A$14:$L$18,8,FALSE),0))</f>
        <v>0</v>
      </c>
      <c r="K119" s="306">
        <f>+IF($H119=K$2,VLOOKUP($G119,Depreciation!$A$14:$L$18,9,FALSE)/2,IF($H119&lt;K$2,VLOOKUP($G119,Depreciation!$A$14:$L$18,9,FALSE),0))</f>
        <v>1.671703928371859E-2</v>
      </c>
      <c r="L119" s="306">
        <f>+IF($H119=L$2,VLOOKUP($G119,Depreciation!$A$14:$L$18,10,FALSE)/2,IF($H119&lt;L$2,VLOOKUP($G119,Depreciation!$A$14:$L$18,10,FALSE),0))</f>
        <v>3.343407856743718E-2</v>
      </c>
      <c r="M119" s="306">
        <f>+IF($H119=M$2,VLOOKUP($G119,Depreciation!$A$14:$L$18,11,FALSE)/2,IF($H119&lt;M$2,VLOOKUP($G119,Depreciation!$A$14:$L$18,11,FALSE),0))</f>
        <v>3.343407856743718E-2</v>
      </c>
      <c r="N119" s="306">
        <f>+IF($H119=N$2,VLOOKUP($G119,Depreciation!$A$14:$L$18,12,FALSE)/2,IF($H119&lt;N$2,VLOOKUP($G119,Depreciation!$A$14:$L$18,12,FALSE),0))</f>
        <v>3.343407856743718E-2</v>
      </c>
      <c r="O119" s="307">
        <f t="shared" si="9"/>
        <v>99047.398133761919</v>
      </c>
      <c r="P119" s="732">
        <f>'Func Future Subs 2015'!P119</f>
        <v>0.31207004377736086</v>
      </c>
      <c r="Q119" s="732">
        <f>'Func Future Subs 2015'!Q119</f>
        <v>0.68792995622263919</v>
      </c>
      <c r="R119" s="732">
        <f>'Func Future Subs 2015'!R119</f>
        <v>0</v>
      </c>
      <c r="S119" s="735">
        <f t="shared" si="10"/>
        <v>30909.725871636772</v>
      </c>
      <c r="T119" s="735">
        <f t="shared" si="11"/>
        <v>68137.672262125154</v>
      </c>
      <c r="U119" s="735">
        <f t="shared" si="12"/>
        <v>0</v>
      </c>
      <c r="V119" s="736">
        <f t="shared" si="13"/>
        <v>0</v>
      </c>
      <c r="W119" s="735">
        <f t="shared" si="14"/>
        <v>30909.725871636772</v>
      </c>
      <c r="X119" s="737">
        <f t="shared" si="15"/>
        <v>0</v>
      </c>
      <c r="Y119" s="738">
        <f t="shared" si="16"/>
        <v>68137.672262125154</v>
      </c>
    </row>
    <row r="120" spans="1:25">
      <c r="A120" s="754" t="str">
        <f>'Func Future Subs 2015'!A120</f>
        <v>South Red Deer 194S (80/425L)</v>
      </c>
      <c r="B120" s="754">
        <f>'Func Future Subs 2015'!B120</f>
        <v>813</v>
      </c>
      <c r="C120" s="754">
        <f>'Func Future Subs 2015'!C120</f>
        <v>138</v>
      </c>
      <c r="D120" s="754">
        <f>'Func Future Subs 2015'!D120</f>
        <v>138</v>
      </c>
      <c r="E120" s="754" t="str">
        <f>'Func Future Subs 2015'!E120</f>
        <v>194S</v>
      </c>
      <c r="F120" s="754">
        <f>'Func Future Subs 2015'!F120</f>
        <v>1236018.2408114308</v>
      </c>
      <c r="G120" s="754" t="str">
        <f>'Func Future Subs 2015'!G120</f>
        <v>AltaLink</v>
      </c>
      <c r="H120" s="754">
        <f>'Func Future Subs 2015'!H120</f>
        <v>2017</v>
      </c>
      <c r="I120" s="306">
        <f>+IF($H120=I$2,VLOOKUP($G120,Depreciation!$A$14:$L$18,7,FALSE)/2,IF($H120&lt;I$2,VLOOKUP($G120,Depreciation!$A$14:$L$18,7,FALSE),0))</f>
        <v>0</v>
      </c>
      <c r="J120" s="306">
        <f>+IF($H120=J$2,VLOOKUP($G120,Depreciation!$A$14:$L$18,8,FALSE)/2,IF($H120&lt;J$2,VLOOKUP($G120,Depreciation!$A$14:$L$18,8,FALSE),0))</f>
        <v>0</v>
      </c>
      <c r="K120" s="306">
        <f>+IF($H120=K$2,VLOOKUP($G120,Depreciation!$A$14:$L$18,9,FALSE)/2,IF($H120&lt;K$2,VLOOKUP($G120,Depreciation!$A$14:$L$18,9,FALSE),0))</f>
        <v>1.671703928371859E-2</v>
      </c>
      <c r="L120" s="306">
        <f>+IF($H120=L$2,VLOOKUP($G120,Depreciation!$A$14:$L$18,10,FALSE)/2,IF($H120&lt;L$2,VLOOKUP($G120,Depreciation!$A$14:$L$18,10,FALSE),0))</f>
        <v>3.343407856743718E-2</v>
      </c>
      <c r="M120" s="306">
        <f>+IF($H120=M$2,VLOOKUP($G120,Depreciation!$A$14:$L$18,11,FALSE)/2,IF($H120&lt;M$2,VLOOKUP($G120,Depreciation!$A$14:$L$18,11,FALSE),0))</f>
        <v>3.343407856743718E-2</v>
      </c>
      <c r="N120" s="306">
        <f>+IF($H120=N$2,VLOOKUP($G120,Depreciation!$A$14:$L$18,12,FALSE)/2,IF($H120&lt;N$2,VLOOKUP($G120,Depreciation!$A$14:$L$18,12,FALSE),0))</f>
        <v>3.343407856743718E-2</v>
      </c>
      <c r="O120" s="307">
        <f t="shared" si="9"/>
        <v>1135445.651335024</v>
      </c>
      <c r="P120" s="732">
        <f>'Func Future Subs 2015'!P120</f>
        <v>0</v>
      </c>
      <c r="Q120" s="732">
        <f>'Func Future Subs 2015'!Q120</f>
        <v>0</v>
      </c>
      <c r="R120" s="732">
        <f>'Func Future Subs 2015'!R120</f>
        <v>1</v>
      </c>
      <c r="S120" s="735">
        <f t="shared" si="10"/>
        <v>0</v>
      </c>
      <c r="T120" s="735">
        <f t="shared" si="11"/>
        <v>0</v>
      </c>
      <c r="U120" s="735">
        <f t="shared" si="12"/>
        <v>1135445.651335024</v>
      </c>
      <c r="V120" s="736">
        <f t="shared" si="13"/>
        <v>0</v>
      </c>
      <c r="W120" s="735">
        <f t="shared" si="14"/>
        <v>0</v>
      </c>
      <c r="X120" s="737">
        <f t="shared" si="15"/>
        <v>1135445.651335024</v>
      </c>
      <c r="Y120" s="738">
        <f t="shared" si="16"/>
        <v>0</v>
      </c>
    </row>
    <row r="121" spans="1:25">
      <c r="A121" s="754" t="str">
        <f>'Func Future Subs 2015'!A121</f>
        <v>South Red Deer 194S (80/426L)</v>
      </c>
      <c r="B121" s="754">
        <f>'Func Future Subs 2015'!B121</f>
        <v>813</v>
      </c>
      <c r="C121" s="754">
        <f>'Func Future Subs 2015'!C121</f>
        <v>138</v>
      </c>
      <c r="D121" s="754">
        <f>'Func Future Subs 2015'!D121</f>
        <v>138</v>
      </c>
      <c r="E121" s="754" t="str">
        <f>'Func Future Subs 2015'!E121</f>
        <v>194S</v>
      </c>
      <c r="F121" s="754">
        <f>'Func Future Subs 2015'!F121</f>
        <v>1628738.9300905238</v>
      </c>
      <c r="G121" s="754" t="str">
        <f>'Func Future Subs 2015'!G121</f>
        <v>AltaLink</v>
      </c>
      <c r="H121" s="754">
        <f>'Func Future Subs 2015'!H121</f>
        <v>2017</v>
      </c>
      <c r="I121" s="306">
        <f>+IF($H121=I$2,VLOOKUP($G121,Depreciation!$A$14:$L$18,7,FALSE)/2,IF($H121&lt;I$2,VLOOKUP($G121,Depreciation!$A$14:$L$18,7,FALSE),0))</f>
        <v>0</v>
      </c>
      <c r="J121" s="306">
        <f>+IF($H121=J$2,VLOOKUP($G121,Depreciation!$A$14:$L$18,8,FALSE)/2,IF($H121&lt;J$2,VLOOKUP($G121,Depreciation!$A$14:$L$18,8,FALSE),0))</f>
        <v>0</v>
      </c>
      <c r="K121" s="306">
        <f>+IF($H121=K$2,VLOOKUP($G121,Depreciation!$A$14:$L$18,9,FALSE)/2,IF($H121&lt;K$2,VLOOKUP($G121,Depreciation!$A$14:$L$18,9,FALSE),0))</f>
        <v>1.671703928371859E-2</v>
      </c>
      <c r="L121" s="306">
        <f>+IF($H121=L$2,VLOOKUP($G121,Depreciation!$A$14:$L$18,10,FALSE)/2,IF($H121&lt;L$2,VLOOKUP($G121,Depreciation!$A$14:$L$18,10,FALSE),0))</f>
        <v>3.343407856743718E-2</v>
      </c>
      <c r="M121" s="306">
        <f>+IF($H121=M$2,VLOOKUP($G121,Depreciation!$A$14:$L$18,11,FALSE)/2,IF($H121&lt;M$2,VLOOKUP($G121,Depreciation!$A$14:$L$18,11,FALSE),0))</f>
        <v>3.343407856743718E-2</v>
      </c>
      <c r="N121" s="306">
        <f>+IF($H121=N$2,VLOOKUP($G121,Depreciation!$A$14:$L$18,12,FALSE)/2,IF($H121&lt;N$2,VLOOKUP($G121,Depreciation!$A$14:$L$18,12,FALSE),0))</f>
        <v>3.343407856743718E-2</v>
      </c>
      <c r="O121" s="307">
        <f t="shared" si="9"/>
        <v>1496211.3618301239</v>
      </c>
      <c r="P121" s="732">
        <f>'Func Future Subs 2015'!P121</f>
        <v>0</v>
      </c>
      <c r="Q121" s="732">
        <f>'Func Future Subs 2015'!Q121</f>
        <v>0</v>
      </c>
      <c r="R121" s="732">
        <f>'Func Future Subs 2015'!R121</f>
        <v>1</v>
      </c>
      <c r="S121" s="735">
        <f t="shared" si="10"/>
        <v>0</v>
      </c>
      <c r="T121" s="735">
        <f t="shared" si="11"/>
        <v>0</v>
      </c>
      <c r="U121" s="735">
        <f t="shared" si="12"/>
        <v>1496211.3618301239</v>
      </c>
      <c r="V121" s="736">
        <f t="shared" si="13"/>
        <v>0</v>
      </c>
      <c r="W121" s="735">
        <f t="shared" si="14"/>
        <v>0</v>
      </c>
      <c r="X121" s="737">
        <f t="shared" si="15"/>
        <v>1496211.3618301239</v>
      </c>
      <c r="Y121" s="738">
        <f t="shared" si="16"/>
        <v>0</v>
      </c>
    </row>
    <row r="122" spans="1:25">
      <c r="A122" s="754" t="str">
        <f>'Func Future Subs 2015'!A122</f>
        <v>Substation Harmattan 256S_(v2)</v>
      </c>
      <c r="B122" s="754">
        <f>'Func Future Subs 2015'!B122</f>
        <v>813</v>
      </c>
      <c r="C122" s="754">
        <f>'Func Future Subs 2015'!C122</f>
        <v>138</v>
      </c>
      <c r="D122" s="754">
        <f>'Func Future Subs 2015'!D122</f>
        <v>25</v>
      </c>
      <c r="E122" s="754" t="str">
        <f>'Func Future Subs 2015'!E122</f>
        <v>256S</v>
      </c>
      <c r="F122" s="754">
        <f>'Func Future Subs 2015'!F122</f>
        <v>5094521.6606498221</v>
      </c>
      <c r="G122" s="754" t="str">
        <f>'Func Future Subs 2015'!G122</f>
        <v>AltaLink</v>
      </c>
      <c r="H122" s="754">
        <f>'Func Future Subs 2015'!H122</f>
        <v>2017</v>
      </c>
      <c r="I122" s="306">
        <f>+IF($H122=I$2,VLOOKUP($G122,Depreciation!$A$14:$L$18,7,FALSE)/2,IF($H122&lt;I$2,VLOOKUP($G122,Depreciation!$A$14:$L$18,7,FALSE),0))</f>
        <v>0</v>
      </c>
      <c r="J122" s="306">
        <f>+IF($H122=J$2,VLOOKUP($G122,Depreciation!$A$14:$L$18,8,FALSE)/2,IF($H122&lt;J$2,VLOOKUP($G122,Depreciation!$A$14:$L$18,8,FALSE),0))</f>
        <v>0</v>
      </c>
      <c r="K122" s="306">
        <f>+IF($H122=K$2,VLOOKUP($G122,Depreciation!$A$14:$L$18,9,FALSE)/2,IF($H122&lt;K$2,VLOOKUP($G122,Depreciation!$A$14:$L$18,9,FALSE),0))</f>
        <v>1.671703928371859E-2</v>
      </c>
      <c r="L122" s="306">
        <f>+IF($H122=L$2,VLOOKUP($G122,Depreciation!$A$14:$L$18,10,FALSE)/2,IF($H122&lt;L$2,VLOOKUP($G122,Depreciation!$A$14:$L$18,10,FALSE),0))</f>
        <v>3.343407856743718E-2</v>
      </c>
      <c r="M122" s="306">
        <f>+IF($H122=M$2,VLOOKUP($G122,Depreciation!$A$14:$L$18,11,FALSE)/2,IF($H122&lt;M$2,VLOOKUP($G122,Depreciation!$A$14:$L$18,11,FALSE),0))</f>
        <v>3.343407856743718E-2</v>
      </c>
      <c r="N122" s="306">
        <f>+IF($H122=N$2,VLOOKUP($G122,Depreciation!$A$14:$L$18,12,FALSE)/2,IF($H122&lt;N$2,VLOOKUP($G122,Depreciation!$A$14:$L$18,12,FALSE),0))</f>
        <v>3.343407856743718E-2</v>
      </c>
      <c r="O122" s="307">
        <f t="shared" si="9"/>
        <v>4679989.5618202509</v>
      </c>
      <c r="P122" s="732">
        <f>'Func Future Subs 2015'!P122</f>
        <v>0.54510993176648981</v>
      </c>
      <c r="Q122" s="732">
        <f>'Func Future Subs 2015'!Q122</f>
        <v>0.45489006823351025</v>
      </c>
      <c r="R122" s="732">
        <f>'Func Future Subs 2015'!R122</f>
        <v>0</v>
      </c>
      <c r="S122" s="735">
        <f t="shared" si="10"/>
        <v>2551108.7907117214</v>
      </c>
      <c r="T122" s="735">
        <f t="shared" si="11"/>
        <v>2128880.7711085295</v>
      </c>
      <c r="U122" s="735">
        <f t="shared" si="12"/>
        <v>0</v>
      </c>
      <c r="V122" s="736">
        <f t="shared" si="13"/>
        <v>0</v>
      </c>
      <c r="W122" s="735">
        <f t="shared" si="14"/>
        <v>2551108.7907117214</v>
      </c>
      <c r="X122" s="737">
        <f t="shared" si="15"/>
        <v>0</v>
      </c>
      <c r="Y122" s="738">
        <f t="shared" si="16"/>
        <v>2128880.7711085295</v>
      </c>
    </row>
    <row r="123" spans="1:25">
      <c r="A123" s="754" t="str">
        <f>'Func Future Subs 2015'!A123</f>
        <v>Substation Johnson 281S_(v2)</v>
      </c>
      <c r="B123" s="754">
        <f>'Func Future Subs 2015'!B123</f>
        <v>813</v>
      </c>
      <c r="C123" s="754">
        <f>'Func Future Subs 2015'!C123</f>
        <v>240</v>
      </c>
      <c r="D123" s="754">
        <f>'Func Future Subs 2015'!D123</f>
        <v>138</v>
      </c>
      <c r="E123" s="754" t="str">
        <f>'Func Future Subs 2015'!E123</f>
        <v>281S</v>
      </c>
      <c r="F123" s="754">
        <f>'Func Future Subs 2015'!F123</f>
        <v>841829.79007888795</v>
      </c>
      <c r="G123" s="754" t="str">
        <f>'Func Future Subs 2015'!G123</f>
        <v>AltaLink</v>
      </c>
      <c r="H123" s="754">
        <f>'Func Future Subs 2015'!H123</f>
        <v>2017</v>
      </c>
      <c r="I123" s="306">
        <f>+IF($H123=I$2,VLOOKUP($G123,Depreciation!$A$14:$L$18,7,FALSE)/2,IF($H123&lt;I$2,VLOOKUP($G123,Depreciation!$A$14:$L$18,7,FALSE),0))</f>
        <v>0</v>
      </c>
      <c r="J123" s="306">
        <f>+IF($H123=J$2,VLOOKUP($G123,Depreciation!$A$14:$L$18,8,FALSE)/2,IF($H123&lt;J$2,VLOOKUP($G123,Depreciation!$A$14:$L$18,8,FALSE),0))</f>
        <v>0</v>
      </c>
      <c r="K123" s="306">
        <f>+IF($H123=K$2,VLOOKUP($G123,Depreciation!$A$14:$L$18,9,FALSE)/2,IF($H123&lt;K$2,VLOOKUP($G123,Depreciation!$A$14:$L$18,9,FALSE),0))</f>
        <v>1.671703928371859E-2</v>
      </c>
      <c r="L123" s="306">
        <f>+IF($H123=L$2,VLOOKUP($G123,Depreciation!$A$14:$L$18,10,FALSE)/2,IF($H123&lt;L$2,VLOOKUP($G123,Depreciation!$A$14:$L$18,10,FALSE),0))</f>
        <v>3.343407856743718E-2</v>
      </c>
      <c r="M123" s="306">
        <f>+IF($H123=M$2,VLOOKUP($G123,Depreciation!$A$14:$L$18,11,FALSE)/2,IF($H123&lt;M$2,VLOOKUP($G123,Depreciation!$A$14:$L$18,11,FALSE),0))</f>
        <v>3.343407856743718E-2</v>
      </c>
      <c r="N123" s="306">
        <f>+IF($H123=N$2,VLOOKUP($G123,Depreciation!$A$14:$L$18,12,FALSE)/2,IF($H123&lt;N$2,VLOOKUP($G123,Depreciation!$A$14:$L$18,12,FALSE),0))</f>
        <v>3.343407856743718E-2</v>
      </c>
      <c r="O123" s="307">
        <f t="shared" si="9"/>
        <v>773331.60850591038</v>
      </c>
      <c r="P123" s="732">
        <f>'Func Future Subs 2015'!P123</f>
        <v>0</v>
      </c>
      <c r="Q123" s="732">
        <f>'Func Future Subs 2015'!Q123</f>
        <v>0</v>
      </c>
      <c r="R123" s="732">
        <f>'Func Future Subs 2015'!R123</f>
        <v>1</v>
      </c>
      <c r="S123" s="735">
        <f t="shared" si="10"/>
        <v>0</v>
      </c>
      <c r="T123" s="735">
        <f t="shared" si="11"/>
        <v>0</v>
      </c>
      <c r="U123" s="735">
        <f t="shared" si="12"/>
        <v>773331.60850591038</v>
      </c>
      <c r="V123" s="736">
        <f t="shared" si="13"/>
        <v>0</v>
      </c>
      <c r="W123" s="735">
        <f t="shared" si="14"/>
        <v>0</v>
      </c>
      <c r="X123" s="737">
        <f t="shared" si="15"/>
        <v>773331.60850591038</v>
      </c>
      <c r="Y123" s="738">
        <f t="shared" si="16"/>
        <v>0</v>
      </c>
    </row>
    <row r="124" spans="1:25">
      <c r="A124" s="754" t="str">
        <f>'Func Future Subs 2015'!A124</f>
        <v>Sundre 575S RAS_(v2)</v>
      </c>
      <c r="B124" s="754">
        <f>'Func Future Subs 2015'!B124</f>
        <v>813</v>
      </c>
      <c r="C124" s="754">
        <f>'Func Future Subs 2015'!C124</f>
        <v>138</v>
      </c>
      <c r="D124" s="754">
        <f>'Func Future Subs 2015'!D124</f>
        <v>25</v>
      </c>
      <c r="E124" s="754" t="str">
        <f>'Func Future Subs 2015'!E124</f>
        <v>575S</v>
      </c>
      <c r="F124" s="754">
        <f>'Func Future Subs 2015'!F124</f>
        <v>109894.03663591394</v>
      </c>
      <c r="G124" s="754" t="str">
        <f>'Func Future Subs 2015'!G124</f>
        <v>AltaLink</v>
      </c>
      <c r="H124" s="754">
        <f>'Func Future Subs 2015'!H124</f>
        <v>2017</v>
      </c>
      <c r="I124" s="306">
        <f>+IF($H124=I$2,VLOOKUP($G124,Depreciation!$A$14:$L$18,7,FALSE)/2,IF($H124&lt;I$2,VLOOKUP($G124,Depreciation!$A$14:$L$18,7,FALSE),0))</f>
        <v>0</v>
      </c>
      <c r="J124" s="306">
        <f>+IF($H124=J$2,VLOOKUP($G124,Depreciation!$A$14:$L$18,8,FALSE)/2,IF($H124&lt;J$2,VLOOKUP($G124,Depreciation!$A$14:$L$18,8,FALSE),0))</f>
        <v>0</v>
      </c>
      <c r="K124" s="306">
        <f>+IF($H124=K$2,VLOOKUP($G124,Depreciation!$A$14:$L$18,9,FALSE)/2,IF($H124&lt;K$2,VLOOKUP($G124,Depreciation!$A$14:$L$18,9,FALSE),0))</f>
        <v>1.671703928371859E-2</v>
      </c>
      <c r="L124" s="306">
        <f>+IF($H124=L$2,VLOOKUP($G124,Depreciation!$A$14:$L$18,10,FALSE)/2,IF($H124&lt;L$2,VLOOKUP($G124,Depreciation!$A$14:$L$18,10,FALSE),0))</f>
        <v>3.343407856743718E-2</v>
      </c>
      <c r="M124" s="306">
        <f>+IF($H124=M$2,VLOOKUP($G124,Depreciation!$A$14:$L$18,11,FALSE)/2,IF($H124&lt;M$2,VLOOKUP($G124,Depreciation!$A$14:$L$18,11,FALSE),0))</f>
        <v>3.343407856743718E-2</v>
      </c>
      <c r="N124" s="306">
        <f>+IF($H124=N$2,VLOOKUP($G124,Depreciation!$A$14:$L$18,12,FALSE)/2,IF($H124&lt;N$2,VLOOKUP($G124,Depreciation!$A$14:$L$18,12,FALSE),0))</f>
        <v>3.343407856743718E-2</v>
      </c>
      <c r="O124" s="307">
        <f t="shared" si="9"/>
        <v>100952.1557901804</v>
      </c>
      <c r="P124" s="732">
        <f>'Func Future Subs 2015'!P124</f>
        <v>0</v>
      </c>
      <c r="Q124" s="732">
        <f>'Func Future Subs 2015'!Q124</f>
        <v>1</v>
      </c>
      <c r="R124" s="732">
        <f>'Func Future Subs 2015'!R124</f>
        <v>0</v>
      </c>
      <c r="S124" s="735">
        <f t="shared" si="10"/>
        <v>0</v>
      </c>
      <c r="T124" s="735">
        <f t="shared" si="11"/>
        <v>100952.1557901804</v>
      </c>
      <c r="U124" s="735">
        <f t="shared" si="12"/>
        <v>0</v>
      </c>
      <c r="V124" s="736">
        <f t="shared" si="13"/>
        <v>0</v>
      </c>
      <c r="W124" s="735">
        <f t="shared" si="14"/>
        <v>0</v>
      </c>
      <c r="X124" s="737">
        <f t="shared" si="15"/>
        <v>0</v>
      </c>
      <c r="Y124" s="738">
        <f t="shared" si="16"/>
        <v>100952.1557901804</v>
      </c>
    </row>
    <row r="125" spans="1:25">
      <c r="A125" s="754" t="str">
        <f>'Func Future Subs 2015'!A125</f>
        <v>Sylvan Lake 580S</v>
      </c>
      <c r="B125" s="754">
        <f>'Func Future Subs 2015'!B125</f>
        <v>813</v>
      </c>
      <c r="C125" s="754">
        <f>'Func Future Subs 2015'!C125</f>
        <v>138</v>
      </c>
      <c r="D125" s="754">
        <f>'Func Future Subs 2015'!D125</f>
        <v>25</v>
      </c>
      <c r="E125" s="754" t="str">
        <f>'Func Future Subs 2015'!E125</f>
        <v>580S</v>
      </c>
      <c r="F125" s="754">
        <f>'Func Future Subs 2015'!F125</f>
        <v>932711.63703784568</v>
      </c>
      <c r="G125" s="754" t="str">
        <f>'Func Future Subs 2015'!G125</f>
        <v>AltaLink</v>
      </c>
      <c r="H125" s="754">
        <f>'Func Future Subs 2015'!H125</f>
        <v>2017</v>
      </c>
      <c r="I125" s="306">
        <f>+IF($H125=I$2,VLOOKUP($G125,Depreciation!$A$14:$L$18,7,FALSE)/2,IF($H125&lt;I$2,VLOOKUP($G125,Depreciation!$A$14:$L$18,7,FALSE),0))</f>
        <v>0</v>
      </c>
      <c r="J125" s="306">
        <f>+IF($H125=J$2,VLOOKUP($G125,Depreciation!$A$14:$L$18,8,FALSE)/2,IF($H125&lt;J$2,VLOOKUP($G125,Depreciation!$A$14:$L$18,8,FALSE),0))</f>
        <v>0</v>
      </c>
      <c r="K125" s="306">
        <f>+IF($H125=K$2,VLOOKUP($G125,Depreciation!$A$14:$L$18,9,FALSE)/2,IF($H125&lt;K$2,VLOOKUP($G125,Depreciation!$A$14:$L$18,9,FALSE),0))</f>
        <v>1.671703928371859E-2</v>
      </c>
      <c r="L125" s="306">
        <f>+IF($H125=L$2,VLOOKUP($G125,Depreciation!$A$14:$L$18,10,FALSE)/2,IF($H125&lt;L$2,VLOOKUP($G125,Depreciation!$A$14:$L$18,10,FALSE),0))</f>
        <v>3.343407856743718E-2</v>
      </c>
      <c r="M125" s="306">
        <f>+IF($H125=M$2,VLOOKUP($G125,Depreciation!$A$14:$L$18,11,FALSE)/2,IF($H125&lt;M$2,VLOOKUP($G125,Depreciation!$A$14:$L$18,11,FALSE),0))</f>
        <v>3.343407856743718E-2</v>
      </c>
      <c r="N125" s="306">
        <f>+IF($H125=N$2,VLOOKUP($G125,Depreciation!$A$14:$L$18,12,FALSE)/2,IF($H125&lt;N$2,VLOOKUP($G125,Depreciation!$A$14:$L$18,12,FALSE),0))</f>
        <v>3.343407856743718E-2</v>
      </c>
      <c r="O125" s="307">
        <f t="shared" si="9"/>
        <v>856818.56242586207</v>
      </c>
      <c r="P125" s="732">
        <f>'Func Future Subs 2015'!P125</f>
        <v>0</v>
      </c>
      <c r="Q125" s="732">
        <f>'Func Future Subs 2015'!Q125</f>
        <v>1</v>
      </c>
      <c r="R125" s="732">
        <f>'Func Future Subs 2015'!R125</f>
        <v>0</v>
      </c>
      <c r="S125" s="735">
        <f t="shared" si="10"/>
        <v>0</v>
      </c>
      <c r="T125" s="735">
        <f t="shared" si="11"/>
        <v>856818.56242586207</v>
      </c>
      <c r="U125" s="735">
        <f t="shared" si="12"/>
        <v>0</v>
      </c>
      <c r="V125" s="736">
        <f t="shared" si="13"/>
        <v>0</v>
      </c>
      <c r="W125" s="735">
        <f t="shared" si="14"/>
        <v>0</v>
      </c>
      <c r="X125" s="737">
        <f t="shared" si="15"/>
        <v>0</v>
      </c>
      <c r="Y125" s="738">
        <f t="shared" si="16"/>
        <v>856818.56242586207</v>
      </c>
    </row>
    <row r="126" spans="1:25">
      <c r="A126" s="754" t="str">
        <f>'Func Future Subs 2015'!A126</f>
        <v>Waiparous 639S</v>
      </c>
      <c r="B126" s="754">
        <f>'Func Future Subs 2015'!B126</f>
        <v>813</v>
      </c>
      <c r="C126" s="754">
        <f>'Func Future Subs 2015'!C126</f>
        <v>240</v>
      </c>
      <c r="D126" s="754">
        <f>'Func Future Subs 2015'!D126</f>
        <v>0</v>
      </c>
      <c r="E126" s="754" t="str">
        <f>'Func Future Subs 2015'!E126</f>
        <v>639S</v>
      </c>
      <c r="F126" s="754">
        <f>'Func Future Subs 2015'!F126</f>
        <v>957002.50299688336</v>
      </c>
      <c r="G126" s="754" t="str">
        <f>'Func Future Subs 2015'!G126</f>
        <v>AltaLink</v>
      </c>
      <c r="H126" s="754">
        <f>'Func Future Subs 2015'!H126</f>
        <v>2017</v>
      </c>
      <c r="I126" s="306">
        <f>+IF($H126=I$2,VLOOKUP($G126,Depreciation!$A$14:$L$18,7,FALSE)/2,IF($H126&lt;I$2,VLOOKUP($G126,Depreciation!$A$14:$L$18,7,FALSE),0))</f>
        <v>0</v>
      </c>
      <c r="J126" s="306">
        <f>+IF($H126=J$2,VLOOKUP($G126,Depreciation!$A$14:$L$18,8,FALSE)/2,IF($H126&lt;J$2,VLOOKUP($G126,Depreciation!$A$14:$L$18,8,FALSE),0))</f>
        <v>0</v>
      </c>
      <c r="K126" s="306">
        <f>+IF($H126=K$2,VLOOKUP($G126,Depreciation!$A$14:$L$18,9,FALSE)/2,IF($H126&lt;K$2,VLOOKUP($G126,Depreciation!$A$14:$L$18,9,FALSE),0))</f>
        <v>1.671703928371859E-2</v>
      </c>
      <c r="L126" s="306">
        <f>+IF($H126=L$2,VLOOKUP($G126,Depreciation!$A$14:$L$18,10,FALSE)/2,IF($H126&lt;L$2,VLOOKUP($G126,Depreciation!$A$14:$L$18,10,FALSE),0))</f>
        <v>3.343407856743718E-2</v>
      </c>
      <c r="M126" s="306">
        <f>+IF($H126=M$2,VLOOKUP($G126,Depreciation!$A$14:$L$18,11,FALSE)/2,IF($H126&lt;M$2,VLOOKUP($G126,Depreciation!$A$14:$L$18,11,FALSE),0))</f>
        <v>3.343407856743718E-2</v>
      </c>
      <c r="N126" s="306">
        <f>+IF($H126=N$2,VLOOKUP($G126,Depreciation!$A$14:$L$18,12,FALSE)/2,IF($H126&lt;N$2,VLOOKUP($G126,Depreciation!$A$14:$L$18,12,FALSE),0))</f>
        <v>3.343407856743718E-2</v>
      </c>
      <c r="O126" s="307">
        <f t="shared" si="9"/>
        <v>879132.92414777703</v>
      </c>
      <c r="P126" s="732">
        <f>'Func Future Subs 2015'!P126</f>
        <v>0</v>
      </c>
      <c r="Q126" s="732">
        <f>'Func Future Subs 2015'!Q126</f>
        <v>0</v>
      </c>
      <c r="R126" s="732">
        <f>'Func Future Subs 2015'!R126</f>
        <v>1</v>
      </c>
      <c r="S126" s="735">
        <f t="shared" si="10"/>
        <v>0</v>
      </c>
      <c r="T126" s="735">
        <f t="shared" si="11"/>
        <v>0</v>
      </c>
      <c r="U126" s="735">
        <f t="shared" si="12"/>
        <v>879132.92414777703</v>
      </c>
      <c r="V126" s="736">
        <f t="shared" si="13"/>
        <v>879132.92414777703</v>
      </c>
      <c r="W126" s="735">
        <f t="shared" si="14"/>
        <v>0</v>
      </c>
      <c r="X126" s="737">
        <f t="shared" si="15"/>
        <v>0</v>
      </c>
      <c r="Y126" s="738">
        <f t="shared" si="16"/>
        <v>0</v>
      </c>
    </row>
    <row r="127" spans="1:25">
      <c r="A127" s="754" t="str">
        <f>'Func Future Subs 2015'!A127</f>
        <v>Wolf Creek 288S</v>
      </c>
      <c r="B127" s="754">
        <f>'Func Future Subs 2015'!B127</f>
        <v>813</v>
      </c>
      <c r="C127" s="754">
        <f>'Func Future Subs 2015'!C127</f>
        <v>240</v>
      </c>
      <c r="D127" s="754">
        <f>'Func Future Subs 2015'!D127</f>
        <v>138</v>
      </c>
      <c r="E127" s="754" t="str">
        <f>'Func Future Subs 2015'!E127</f>
        <v>288S</v>
      </c>
      <c r="F127" s="754">
        <f>'Func Future Subs 2015'!F127</f>
        <v>35639737.099017024</v>
      </c>
      <c r="G127" s="754" t="str">
        <f>'Func Future Subs 2015'!G127</f>
        <v>AltaLink</v>
      </c>
      <c r="H127" s="754">
        <f>'Func Future Subs 2015'!H127</f>
        <v>2017</v>
      </c>
      <c r="I127" s="306">
        <f>+IF($H127=I$2,VLOOKUP($G127,Depreciation!$A$14:$L$18,7,FALSE)/2,IF($H127&lt;I$2,VLOOKUP($G127,Depreciation!$A$14:$L$18,7,FALSE),0))</f>
        <v>0</v>
      </c>
      <c r="J127" s="306">
        <f>+IF($H127=J$2,VLOOKUP($G127,Depreciation!$A$14:$L$18,8,FALSE)/2,IF($H127&lt;J$2,VLOOKUP($G127,Depreciation!$A$14:$L$18,8,FALSE),0))</f>
        <v>0</v>
      </c>
      <c r="K127" s="306">
        <f>+IF($H127=K$2,VLOOKUP($G127,Depreciation!$A$14:$L$18,9,FALSE)/2,IF($H127&lt;K$2,VLOOKUP($G127,Depreciation!$A$14:$L$18,9,FALSE),0))</f>
        <v>1.671703928371859E-2</v>
      </c>
      <c r="L127" s="306">
        <f>+IF($H127=L$2,VLOOKUP($G127,Depreciation!$A$14:$L$18,10,FALSE)/2,IF($H127&lt;L$2,VLOOKUP($G127,Depreciation!$A$14:$L$18,10,FALSE),0))</f>
        <v>3.343407856743718E-2</v>
      </c>
      <c r="M127" s="306">
        <f>+IF($H127=M$2,VLOOKUP($G127,Depreciation!$A$14:$L$18,11,FALSE)/2,IF($H127&lt;M$2,VLOOKUP($G127,Depreciation!$A$14:$L$18,11,FALSE),0))</f>
        <v>3.343407856743718E-2</v>
      </c>
      <c r="N127" s="306">
        <f>+IF($H127=N$2,VLOOKUP($G127,Depreciation!$A$14:$L$18,12,FALSE)/2,IF($H127&lt;N$2,VLOOKUP($G127,Depreciation!$A$14:$L$18,12,FALSE),0))</f>
        <v>3.343407856743718E-2</v>
      </c>
      <c r="O127" s="307">
        <f t="shared" si="9"/>
        <v>32739795.552884657</v>
      </c>
      <c r="P127" s="732">
        <f>'Func Future Subs 2015'!P127</f>
        <v>0</v>
      </c>
      <c r="Q127" s="732">
        <f>'Func Future Subs 2015'!Q127</f>
        <v>0</v>
      </c>
      <c r="R127" s="732">
        <f>'Func Future Subs 2015'!R127</f>
        <v>1</v>
      </c>
      <c r="S127" s="735">
        <f t="shared" si="10"/>
        <v>0</v>
      </c>
      <c r="T127" s="735">
        <f t="shared" si="11"/>
        <v>0</v>
      </c>
      <c r="U127" s="735">
        <f t="shared" si="12"/>
        <v>32739795.552884657</v>
      </c>
      <c r="V127" s="736">
        <f t="shared" si="13"/>
        <v>0</v>
      </c>
      <c r="W127" s="735">
        <f t="shared" si="14"/>
        <v>0</v>
      </c>
      <c r="X127" s="737">
        <f t="shared" si="15"/>
        <v>32739795.552884657</v>
      </c>
      <c r="Y127" s="738">
        <f t="shared" si="16"/>
        <v>0</v>
      </c>
    </row>
    <row r="128" spans="1:25">
      <c r="A128" s="754" t="str">
        <f>'Func Future Subs 2015'!A128</f>
        <v>Acheson 305S</v>
      </c>
      <c r="B128" s="754">
        <f>'Func Future Subs 2015'!B128</f>
        <v>850</v>
      </c>
      <c r="C128" s="754">
        <f>'Func Future Subs 2015'!C128</f>
        <v>138</v>
      </c>
      <c r="D128" s="754">
        <f>'Func Future Subs 2015'!D128</f>
        <v>25</v>
      </c>
      <c r="E128" s="754" t="str">
        <f>'Func Future Subs 2015'!E128</f>
        <v>305S</v>
      </c>
      <c r="F128" s="754">
        <f>'Func Future Subs 2015'!F128</f>
        <v>8772223.6609183215</v>
      </c>
      <c r="G128" s="754" t="str">
        <f>'Func Future Subs 2015'!G128</f>
        <v>AltaLink</v>
      </c>
      <c r="H128" s="754">
        <f>'Func Future Subs 2015'!H128</f>
        <v>2017</v>
      </c>
      <c r="I128" s="306">
        <f>+IF($H128=I$2,VLOOKUP($G128,Depreciation!$A$14:$L$18,7,FALSE)/2,IF($H128&lt;I$2,VLOOKUP($G128,Depreciation!$A$14:$L$18,7,FALSE),0))</f>
        <v>0</v>
      </c>
      <c r="J128" s="306">
        <f>+IF($H128=J$2,VLOOKUP($G128,Depreciation!$A$14:$L$18,8,FALSE)/2,IF($H128&lt;J$2,VLOOKUP($G128,Depreciation!$A$14:$L$18,8,FALSE),0))</f>
        <v>0</v>
      </c>
      <c r="K128" s="306">
        <f>+IF($H128=K$2,VLOOKUP($G128,Depreciation!$A$14:$L$18,9,FALSE)/2,IF($H128&lt;K$2,VLOOKUP($G128,Depreciation!$A$14:$L$18,9,FALSE),0))</f>
        <v>1.671703928371859E-2</v>
      </c>
      <c r="L128" s="306">
        <f>+IF($H128=L$2,VLOOKUP($G128,Depreciation!$A$14:$L$18,10,FALSE)/2,IF($H128&lt;L$2,VLOOKUP($G128,Depreciation!$A$14:$L$18,10,FALSE),0))</f>
        <v>3.343407856743718E-2</v>
      </c>
      <c r="M128" s="306">
        <f>+IF($H128=M$2,VLOOKUP($G128,Depreciation!$A$14:$L$18,11,FALSE)/2,IF($H128&lt;M$2,VLOOKUP($G128,Depreciation!$A$14:$L$18,11,FALSE),0))</f>
        <v>3.343407856743718E-2</v>
      </c>
      <c r="N128" s="306">
        <f>+IF($H128=N$2,VLOOKUP($G128,Depreciation!$A$14:$L$18,12,FALSE)/2,IF($H128&lt;N$2,VLOOKUP($G128,Depreciation!$A$14:$L$18,12,FALSE),0))</f>
        <v>3.343407856743718E-2</v>
      </c>
      <c r="O128" s="307">
        <f t="shared" si="9"/>
        <v>8058443.5402741656</v>
      </c>
      <c r="P128" s="732">
        <f>'Func Future Subs 2015'!P128</f>
        <v>0</v>
      </c>
      <c r="Q128" s="732">
        <f>'Func Future Subs 2015'!Q128</f>
        <v>1</v>
      </c>
      <c r="R128" s="732">
        <f>'Func Future Subs 2015'!R128</f>
        <v>0</v>
      </c>
      <c r="S128" s="735">
        <f t="shared" si="10"/>
        <v>0</v>
      </c>
      <c r="T128" s="735">
        <f t="shared" si="11"/>
        <v>8058443.5402741656</v>
      </c>
      <c r="U128" s="735">
        <f t="shared" si="12"/>
        <v>0</v>
      </c>
      <c r="V128" s="736">
        <f t="shared" si="13"/>
        <v>0</v>
      </c>
      <c r="W128" s="735">
        <f t="shared" si="14"/>
        <v>0</v>
      </c>
      <c r="X128" s="737">
        <f t="shared" si="15"/>
        <v>0</v>
      </c>
      <c r="Y128" s="738">
        <f t="shared" si="16"/>
        <v>8058443.5402741656</v>
      </c>
    </row>
    <row r="129" spans="1:25">
      <c r="A129" s="754" t="str">
        <f>'Func Future Subs 2015'!A129</f>
        <v xml:space="preserve">Bardo 197S </v>
      </c>
      <c r="B129" s="754">
        <f>'Func Future Subs 2015'!B129</f>
        <v>850</v>
      </c>
      <c r="C129" s="754">
        <f>'Func Future Subs 2015'!C129</f>
        <v>138</v>
      </c>
      <c r="D129" s="754">
        <f>'Func Future Subs 2015'!D129</f>
        <v>138</v>
      </c>
      <c r="E129" s="754" t="str">
        <f>'Func Future Subs 2015'!E129</f>
        <v>197S</v>
      </c>
      <c r="F129" s="754">
        <f>'Func Future Subs 2015'!F129</f>
        <v>1637012.1502390178</v>
      </c>
      <c r="G129" s="754" t="str">
        <f>'Func Future Subs 2015'!G129</f>
        <v>AltaLink</v>
      </c>
      <c r="H129" s="754">
        <f>'Func Future Subs 2015'!H129</f>
        <v>2017</v>
      </c>
      <c r="I129" s="306">
        <f>+IF($H129=I$2,VLOOKUP($G129,Depreciation!$A$14:$L$18,7,FALSE)/2,IF($H129&lt;I$2,VLOOKUP($G129,Depreciation!$A$14:$L$18,7,FALSE),0))</f>
        <v>0</v>
      </c>
      <c r="J129" s="306">
        <f>+IF($H129=J$2,VLOOKUP($G129,Depreciation!$A$14:$L$18,8,FALSE)/2,IF($H129&lt;J$2,VLOOKUP($G129,Depreciation!$A$14:$L$18,8,FALSE),0))</f>
        <v>0</v>
      </c>
      <c r="K129" s="306">
        <f>+IF($H129=K$2,VLOOKUP($G129,Depreciation!$A$14:$L$18,9,FALSE)/2,IF($H129&lt;K$2,VLOOKUP($G129,Depreciation!$A$14:$L$18,9,FALSE),0))</f>
        <v>1.671703928371859E-2</v>
      </c>
      <c r="L129" s="306">
        <f>+IF($H129=L$2,VLOOKUP($G129,Depreciation!$A$14:$L$18,10,FALSE)/2,IF($H129&lt;L$2,VLOOKUP($G129,Depreciation!$A$14:$L$18,10,FALSE),0))</f>
        <v>3.343407856743718E-2</v>
      </c>
      <c r="M129" s="306">
        <f>+IF($H129=M$2,VLOOKUP($G129,Depreciation!$A$14:$L$18,11,FALSE)/2,IF($H129&lt;M$2,VLOOKUP($G129,Depreciation!$A$14:$L$18,11,FALSE),0))</f>
        <v>3.343407856743718E-2</v>
      </c>
      <c r="N129" s="306">
        <f>+IF($H129=N$2,VLOOKUP($G129,Depreciation!$A$14:$L$18,12,FALSE)/2,IF($H129&lt;N$2,VLOOKUP($G129,Depreciation!$A$14:$L$18,12,FALSE),0))</f>
        <v>3.343407856743718E-2</v>
      </c>
      <c r="O129" s="307">
        <f t="shared" si="9"/>
        <v>1503811.4048796326</v>
      </c>
      <c r="P129" s="732">
        <f>'Func Future Subs 2015'!P129</f>
        <v>0</v>
      </c>
      <c r="Q129" s="732">
        <f>'Func Future Subs 2015'!Q129</f>
        <v>0</v>
      </c>
      <c r="R129" s="732">
        <f>'Func Future Subs 2015'!R129</f>
        <v>1</v>
      </c>
      <c r="S129" s="735">
        <f t="shared" si="10"/>
        <v>0</v>
      </c>
      <c r="T129" s="735">
        <f t="shared" si="11"/>
        <v>0</v>
      </c>
      <c r="U129" s="735">
        <f t="shared" si="12"/>
        <v>1503811.4048796326</v>
      </c>
      <c r="V129" s="736">
        <f t="shared" si="13"/>
        <v>0</v>
      </c>
      <c r="W129" s="735">
        <f t="shared" si="14"/>
        <v>0</v>
      </c>
      <c r="X129" s="737">
        <f t="shared" si="15"/>
        <v>1503811.4048796326</v>
      </c>
      <c r="Y129" s="738">
        <f t="shared" si="16"/>
        <v>0</v>
      </c>
    </row>
    <row r="130" spans="1:25">
      <c r="A130" s="754" t="str">
        <f>'Func Future Subs 2015'!A130</f>
        <v>Bigstone 86S</v>
      </c>
      <c r="B130" s="754">
        <f>'Func Future Subs 2015'!B130</f>
        <v>850</v>
      </c>
      <c r="C130" s="754">
        <f>'Func Future Subs 2015'!C130</f>
        <v>240</v>
      </c>
      <c r="D130" s="754">
        <f>'Func Future Subs 2015'!D130</f>
        <v>138</v>
      </c>
      <c r="E130" s="754" t="str">
        <f>'Func Future Subs 2015'!E130</f>
        <v>86S</v>
      </c>
      <c r="F130" s="754">
        <f>'Func Future Subs 2015'!F130</f>
        <v>413798.77575694869</v>
      </c>
      <c r="G130" s="754" t="str">
        <f>'Func Future Subs 2015'!G130</f>
        <v>AltaLink</v>
      </c>
      <c r="H130" s="754">
        <f>'Func Future Subs 2015'!H130</f>
        <v>2017</v>
      </c>
      <c r="I130" s="306">
        <f>+IF($H130=I$2,VLOOKUP($G130,Depreciation!$A$14:$L$18,7,FALSE)/2,IF($H130&lt;I$2,VLOOKUP($G130,Depreciation!$A$14:$L$18,7,FALSE),0))</f>
        <v>0</v>
      </c>
      <c r="J130" s="306">
        <f>+IF($H130=J$2,VLOOKUP($G130,Depreciation!$A$14:$L$18,8,FALSE)/2,IF($H130&lt;J$2,VLOOKUP($G130,Depreciation!$A$14:$L$18,8,FALSE),0))</f>
        <v>0</v>
      </c>
      <c r="K130" s="306">
        <f>+IF($H130=K$2,VLOOKUP($G130,Depreciation!$A$14:$L$18,9,FALSE)/2,IF($H130&lt;K$2,VLOOKUP($G130,Depreciation!$A$14:$L$18,9,FALSE),0))</f>
        <v>1.671703928371859E-2</v>
      </c>
      <c r="L130" s="306">
        <f>+IF($H130=L$2,VLOOKUP($G130,Depreciation!$A$14:$L$18,10,FALSE)/2,IF($H130&lt;L$2,VLOOKUP($G130,Depreciation!$A$14:$L$18,10,FALSE),0))</f>
        <v>3.343407856743718E-2</v>
      </c>
      <c r="M130" s="306">
        <f>+IF($H130=M$2,VLOOKUP($G130,Depreciation!$A$14:$L$18,11,FALSE)/2,IF($H130&lt;M$2,VLOOKUP($G130,Depreciation!$A$14:$L$18,11,FALSE),0))</f>
        <v>3.343407856743718E-2</v>
      </c>
      <c r="N130" s="306">
        <f>+IF($H130=N$2,VLOOKUP($G130,Depreciation!$A$14:$L$18,12,FALSE)/2,IF($H130&lt;N$2,VLOOKUP($G130,Depreciation!$A$14:$L$18,12,FALSE),0))</f>
        <v>3.343407856743718E-2</v>
      </c>
      <c r="O130" s="307">
        <f t="shared" si="9"/>
        <v>380128.71084534802</v>
      </c>
      <c r="P130" s="732">
        <f>'Func Future Subs 2015'!P130</f>
        <v>0</v>
      </c>
      <c r="Q130" s="732">
        <f>'Func Future Subs 2015'!Q130</f>
        <v>0</v>
      </c>
      <c r="R130" s="732">
        <f>'Func Future Subs 2015'!R130</f>
        <v>1</v>
      </c>
      <c r="S130" s="735">
        <f t="shared" si="10"/>
        <v>0</v>
      </c>
      <c r="T130" s="735">
        <f t="shared" si="11"/>
        <v>0</v>
      </c>
      <c r="U130" s="735">
        <f t="shared" si="12"/>
        <v>380128.71084534802</v>
      </c>
      <c r="V130" s="736">
        <f t="shared" si="13"/>
        <v>0</v>
      </c>
      <c r="W130" s="735">
        <f t="shared" si="14"/>
        <v>0</v>
      </c>
      <c r="X130" s="737">
        <f t="shared" si="15"/>
        <v>380128.71084534802</v>
      </c>
      <c r="Y130" s="738">
        <f t="shared" si="16"/>
        <v>0</v>
      </c>
    </row>
    <row r="131" spans="1:25">
      <c r="A131" s="754" t="str">
        <f>'Func Future Subs 2015'!A131</f>
        <v>Bilby 105S</v>
      </c>
      <c r="B131" s="754">
        <f>'Func Future Subs 2015'!B131</f>
        <v>850</v>
      </c>
      <c r="C131" s="754">
        <f>'Func Future Subs 2015'!C131</f>
        <v>138</v>
      </c>
      <c r="D131" s="754">
        <f>'Func Future Subs 2015'!D131</f>
        <v>25</v>
      </c>
      <c r="E131" s="754" t="str">
        <f>'Func Future Subs 2015'!E131</f>
        <v>105S</v>
      </c>
      <c r="F131" s="754">
        <f>'Func Future Subs 2015'!F131</f>
        <v>109864.19345706432</v>
      </c>
      <c r="G131" s="754" t="str">
        <f>'Func Future Subs 2015'!G131</f>
        <v>AltaLink</v>
      </c>
      <c r="H131" s="754">
        <f>'Func Future Subs 2015'!H131</f>
        <v>2017</v>
      </c>
      <c r="I131" s="306">
        <f>+IF($H131=I$2,VLOOKUP($G131,Depreciation!$A$14:$L$18,7,FALSE)/2,IF($H131&lt;I$2,VLOOKUP($G131,Depreciation!$A$14:$L$18,7,FALSE),0))</f>
        <v>0</v>
      </c>
      <c r="J131" s="306">
        <f>+IF($H131=J$2,VLOOKUP($G131,Depreciation!$A$14:$L$18,8,FALSE)/2,IF($H131&lt;J$2,VLOOKUP($G131,Depreciation!$A$14:$L$18,8,FALSE),0))</f>
        <v>0</v>
      </c>
      <c r="K131" s="306">
        <f>+IF($H131=K$2,VLOOKUP($G131,Depreciation!$A$14:$L$18,9,FALSE)/2,IF($H131&lt;K$2,VLOOKUP($G131,Depreciation!$A$14:$L$18,9,FALSE),0))</f>
        <v>1.671703928371859E-2</v>
      </c>
      <c r="L131" s="306">
        <f>+IF($H131=L$2,VLOOKUP($G131,Depreciation!$A$14:$L$18,10,FALSE)/2,IF($H131&lt;L$2,VLOOKUP($G131,Depreciation!$A$14:$L$18,10,FALSE),0))</f>
        <v>3.343407856743718E-2</v>
      </c>
      <c r="M131" s="306">
        <f>+IF($H131=M$2,VLOOKUP($G131,Depreciation!$A$14:$L$18,11,FALSE)/2,IF($H131&lt;M$2,VLOOKUP($G131,Depreciation!$A$14:$L$18,11,FALSE),0))</f>
        <v>3.343407856743718E-2</v>
      </c>
      <c r="N131" s="306">
        <f>+IF($H131=N$2,VLOOKUP($G131,Depreciation!$A$14:$L$18,12,FALSE)/2,IF($H131&lt;N$2,VLOOKUP($G131,Depreciation!$A$14:$L$18,12,FALSE),0))</f>
        <v>3.343407856743718E-2</v>
      </c>
      <c r="O131" s="307">
        <f t="shared" si="9"/>
        <v>100924.74089731883</v>
      </c>
      <c r="P131" s="732">
        <f>'Func Future Subs 2015'!P131</f>
        <v>0</v>
      </c>
      <c r="Q131" s="732">
        <f>'Func Future Subs 2015'!Q131</f>
        <v>1</v>
      </c>
      <c r="R131" s="732">
        <f>'Func Future Subs 2015'!R131</f>
        <v>0</v>
      </c>
      <c r="S131" s="735">
        <f t="shared" si="10"/>
        <v>0</v>
      </c>
      <c r="T131" s="735">
        <f t="shared" si="11"/>
        <v>100924.74089731883</v>
      </c>
      <c r="U131" s="735">
        <f t="shared" si="12"/>
        <v>0</v>
      </c>
      <c r="V131" s="736">
        <f t="shared" si="13"/>
        <v>0</v>
      </c>
      <c r="W131" s="735">
        <f t="shared" si="14"/>
        <v>0</v>
      </c>
      <c r="X131" s="737">
        <f t="shared" si="15"/>
        <v>0</v>
      </c>
      <c r="Y131" s="738">
        <f t="shared" si="16"/>
        <v>100924.74089731883</v>
      </c>
    </row>
    <row r="132" spans="1:25">
      <c r="A132" s="754" t="str">
        <f>'Func Future Subs 2015'!A132</f>
        <v>Bretona 45S</v>
      </c>
      <c r="B132" s="754">
        <f>'Func Future Subs 2015'!B132</f>
        <v>850</v>
      </c>
      <c r="C132" s="754">
        <f>'Func Future Subs 2015'!C132</f>
        <v>138</v>
      </c>
      <c r="D132" s="754">
        <f>'Func Future Subs 2015'!D132</f>
        <v>25</v>
      </c>
      <c r="E132" s="754" t="str">
        <f>'Func Future Subs 2015'!E132</f>
        <v>45S</v>
      </c>
      <c r="F132" s="754">
        <f>'Func Future Subs 2015'!F132</f>
        <v>22946.871241679786</v>
      </c>
      <c r="G132" s="754" t="str">
        <f>'Func Future Subs 2015'!G132</f>
        <v>AltaLink</v>
      </c>
      <c r="H132" s="754">
        <f>'Func Future Subs 2015'!H132</f>
        <v>2017</v>
      </c>
      <c r="I132" s="306">
        <f>+IF($H132=I$2,VLOOKUP($G132,Depreciation!$A$14:$L$18,7,FALSE)/2,IF($H132&lt;I$2,VLOOKUP($G132,Depreciation!$A$14:$L$18,7,FALSE),0))</f>
        <v>0</v>
      </c>
      <c r="J132" s="306">
        <f>+IF($H132=J$2,VLOOKUP($G132,Depreciation!$A$14:$L$18,8,FALSE)/2,IF($H132&lt;J$2,VLOOKUP($G132,Depreciation!$A$14:$L$18,8,FALSE),0))</f>
        <v>0</v>
      </c>
      <c r="K132" s="306">
        <f>+IF($H132=K$2,VLOOKUP($G132,Depreciation!$A$14:$L$18,9,FALSE)/2,IF($H132&lt;K$2,VLOOKUP($G132,Depreciation!$A$14:$L$18,9,FALSE),0))</f>
        <v>1.671703928371859E-2</v>
      </c>
      <c r="L132" s="306">
        <f>+IF($H132=L$2,VLOOKUP($G132,Depreciation!$A$14:$L$18,10,FALSE)/2,IF($H132&lt;L$2,VLOOKUP($G132,Depreciation!$A$14:$L$18,10,FALSE),0))</f>
        <v>3.343407856743718E-2</v>
      </c>
      <c r="M132" s="306">
        <f>+IF($H132=M$2,VLOOKUP($G132,Depreciation!$A$14:$L$18,11,FALSE)/2,IF($H132&lt;M$2,VLOOKUP($G132,Depreciation!$A$14:$L$18,11,FALSE),0))</f>
        <v>3.343407856743718E-2</v>
      </c>
      <c r="N132" s="306">
        <f>+IF($H132=N$2,VLOOKUP($G132,Depreciation!$A$14:$L$18,12,FALSE)/2,IF($H132&lt;N$2,VLOOKUP($G132,Depreciation!$A$14:$L$18,12,FALSE),0))</f>
        <v>3.343407856743718E-2</v>
      </c>
      <c r="O132" s="307">
        <f t="shared" ref="O132:O195" si="17">IF(H132&lt;=2019,F132*(1-I132)*(1-J132)*(1-K132)*(1-L132)*(1-M132),0)</f>
        <v>21079.725446450771</v>
      </c>
      <c r="P132" s="732">
        <f>'Func Future Subs 2015'!P132</f>
        <v>0</v>
      </c>
      <c r="Q132" s="732">
        <f>'Func Future Subs 2015'!Q132</f>
        <v>1</v>
      </c>
      <c r="R132" s="732">
        <f>'Func Future Subs 2015'!R132</f>
        <v>0</v>
      </c>
      <c r="S132" s="735">
        <f t="shared" ref="S132:S195" si="18">+P132*$O132</f>
        <v>0</v>
      </c>
      <c r="T132" s="735">
        <f t="shared" ref="T132:T195" si="19">+Q132*$O132</f>
        <v>21079.725446450771</v>
      </c>
      <c r="U132" s="735">
        <f t="shared" ref="U132:U195" si="20">+R132*$O132</f>
        <v>0</v>
      </c>
      <c r="V132" s="736">
        <f t="shared" ref="V132:V195" si="21">IF(AND(R132=1,D132=0),O132,0)</f>
        <v>0</v>
      </c>
      <c r="W132" s="735">
        <f t="shared" ref="W132:W195" si="22">S132+IF(D132&gt;144,U132,0)</f>
        <v>0</v>
      </c>
      <c r="X132" s="737">
        <f t="shared" ref="X132:X195" si="23">IF(AND(D132&lt;=144,D132&gt;=69),U132,0)</f>
        <v>0</v>
      </c>
      <c r="Y132" s="738">
        <f t="shared" ref="Y132:Y195" si="24">T132+IF(AND(D132&lt;69,D132&gt;0),U132,0)</f>
        <v>21079.725446450771</v>
      </c>
    </row>
    <row r="133" spans="1:25">
      <c r="A133" s="754" t="str">
        <f>'Func Future Subs 2015'!A133</f>
        <v>Carvel 432S</v>
      </c>
      <c r="B133" s="754">
        <f>'Func Future Subs 2015'!B133</f>
        <v>850</v>
      </c>
      <c r="C133" s="754">
        <f>'Func Future Subs 2015'!C133</f>
        <v>138</v>
      </c>
      <c r="D133" s="754">
        <f>'Func Future Subs 2015'!D133</f>
        <v>25</v>
      </c>
      <c r="E133" s="754" t="str">
        <f>'Func Future Subs 2015'!E133</f>
        <v>432S</v>
      </c>
      <c r="F133" s="754">
        <f>'Func Future Subs 2015'!F133</f>
        <v>125476.41366771194</v>
      </c>
      <c r="G133" s="754" t="str">
        <f>'Func Future Subs 2015'!G133</f>
        <v>AltaLink</v>
      </c>
      <c r="H133" s="754">
        <f>'Func Future Subs 2015'!H133</f>
        <v>2017</v>
      </c>
      <c r="I133" s="306">
        <f>+IF($H133=I$2,VLOOKUP($G133,Depreciation!$A$14:$L$18,7,FALSE)/2,IF($H133&lt;I$2,VLOOKUP($G133,Depreciation!$A$14:$L$18,7,FALSE),0))</f>
        <v>0</v>
      </c>
      <c r="J133" s="306">
        <f>+IF($H133=J$2,VLOOKUP($G133,Depreciation!$A$14:$L$18,8,FALSE)/2,IF($H133&lt;J$2,VLOOKUP($G133,Depreciation!$A$14:$L$18,8,FALSE),0))</f>
        <v>0</v>
      </c>
      <c r="K133" s="306">
        <f>+IF($H133=K$2,VLOOKUP($G133,Depreciation!$A$14:$L$18,9,FALSE)/2,IF($H133&lt;K$2,VLOOKUP($G133,Depreciation!$A$14:$L$18,9,FALSE),0))</f>
        <v>1.671703928371859E-2</v>
      </c>
      <c r="L133" s="306">
        <f>+IF($H133=L$2,VLOOKUP($G133,Depreciation!$A$14:$L$18,10,FALSE)/2,IF($H133&lt;L$2,VLOOKUP($G133,Depreciation!$A$14:$L$18,10,FALSE),0))</f>
        <v>3.343407856743718E-2</v>
      </c>
      <c r="M133" s="306">
        <f>+IF($H133=M$2,VLOOKUP($G133,Depreciation!$A$14:$L$18,11,FALSE)/2,IF($H133&lt;M$2,VLOOKUP($G133,Depreciation!$A$14:$L$18,11,FALSE),0))</f>
        <v>3.343407856743718E-2</v>
      </c>
      <c r="N133" s="306">
        <f>+IF($H133=N$2,VLOOKUP($G133,Depreciation!$A$14:$L$18,12,FALSE)/2,IF($H133&lt;N$2,VLOOKUP($G133,Depreciation!$A$14:$L$18,12,FALSE),0))</f>
        <v>3.343407856743718E-2</v>
      </c>
      <c r="O133" s="307">
        <f t="shared" si="17"/>
        <v>115266.62272442452</v>
      </c>
      <c r="P133" s="732">
        <f>'Func Future Subs 2015'!P133</f>
        <v>0</v>
      </c>
      <c r="Q133" s="732">
        <f>'Func Future Subs 2015'!Q133</f>
        <v>1</v>
      </c>
      <c r="R133" s="732">
        <f>'Func Future Subs 2015'!R133</f>
        <v>0</v>
      </c>
      <c r="S133" s="735">
        <f t="shared" si="18"/>
        <v>0</v>
      </c>
      <c r="T133" s="735">
        <f t="shared" si="19"/>
        <v>115266.62272442452</v>
      </c>
      <c r="U133" s="735">
        <f t="shared" si="20"/>
        <v>0</v>
      </c>
      <c r="V133" s="736">
        <f t="shared" si="21"/>
        <v>0</v>
      </c>
      <c r="W133" s="735">
        <f t="shared" si="22"/>
        <v>0</v>
      </c>
      <c r="X133" s="737">
        <f t="shared" si="23"/>
        <v>0</v>
      </c>
      <c r="Y133" s="738">
        <f t="shared" si="24"/>
        <v>115266.62272442452</v>
      </c>
    </row>
    <row r="134" spans="1:25">
      <c r="A134" s="754" t="str">
        <f>'Func Future Subs 2015'!A134</f>
        <v>Cooking Lake 522S</v>
      </c>
      <c r="B134" s="754">
        <f>'Func Future Subs 2015'!B134</f>
        <v>850</v>
      </c>
      <c r="C134" s="754">
        <f>'Func Future Subs 2015'!C134</f>
        <v>138</v>
      </c>
      <c r="D134" s="754">
        <f>'Func Future Subs 2015'!D134</f>
        <v>25</v>
      </c>
      <c r="E134" s="754" t="str">
        <f>'Func Future Subs 2015'!E134</f>
        <v>522S</v>
      </c>
      <c r="F134" s="754">
        <f>'Func Future Subs 2015'!F134</f>
        <v>6420665.4815754285</v>
      </c>
      <c r="G134" s="754" t="str">
        <f>'Func Future Subs 2015'!G134</f>
        <v>AltaLink</v>
      </c>
      <c r="H134" s="754">
        <f>'Func Future Subs 2015'!H134</f>
        <v>2017</v>
      </c>
      <c r="I134" s="306">
        <f>+IF($H134=I$2,VLOOKUP($G134,Depreciation!$A$14:$L$18,7,FALSE)/2,IF($H134&lt;I$2,VLOOKUP($G134,Depreciation!$A$14:$L$18,7,FALSE),0))</f>
        <v>0</v>
      </c>
      <c r="J134" s="306">
        <f>+IF($H134=J$2,VLOOKUP($G134,Depreciation!$A$14:$L$18,8,FALSE)/2,IF($H134&lt;J$2,VLOOKUP($G134,Depreciation!$A$14:$L$18,8,FALSE),0))</f>
        <v>0</v>
      </c>
      <c r="K134" s="306">
        <f>+IF($H134=K$2,VLOOKUP($G134,Depreciation!$A$14:$L$18,9,FALSE)/2,IF($H134&lt;K$2,VLOOKUP($G134,Depreciation!$A$14:$L$18,9,FALSE),0))</f>
        <v>1.671703928371859E-2</v>
      </c>
      <c r="L134" s="306">
        <f>+IF($H134=L$2,VLOOKUP($G134,Depreciation!$A$14:$L$18,10,FALSE)/2,IF($H134&lt;L$2,VLOOKUP($G134,Depreciation!$A$14:$L$18,10,FALSE),0))</f>
        <v>3.343407856743718E-2</v>
      </c>
      <c r="M134" s="306">
        <f>+IF($H134=M$2,VLOOKUP($G134,Depreciation!$A$14:$L$18,11,FALSE)/2,IF($H134&lt;M$2,VLOOKUP($G134,Depreciation!$A$14:$L$18,11,FALSE),0))</f>
        <v>3.343407856743718E-2</v>
      </c>
      <c r="N134" s="306">
        <f>+IF($H134=N$2,VLOOKUP($G134,Depreciation!$A$14:$L$18,12,FALSE)/2,IF($H134&lt;N$2,VLOOKUP($G134,Depreciation!$A$14:$L$18,12,FALSE),0))</f>
        <v>3.343407856743718E-2</v>
      </c>
      <c r="O134" s="307">
        <f t="shared" si="17"/>
        <v>5898227.4363084761</v>
      </c>
      <c r="P134" s="732">
        <f>'Func Future Subs 2015'!P134</f>
        <v>0</v>
      </c>
      <c r="Q134" s="732">
        <f>'Func Future Subs 2015'!Q134</f>
        <v>1</v>
      </c>
      <c r="R134" s="732">
        <f>'Func Future Subs 2015'!R134</f>
        <v>0</v>
      </c>
      <c r="S134" s="735">
        <f t="shared" si="18"/>
        <v>0</v>
      </c>
      <c r="T134" s="735">
        <f t="shared" si="19"/>
        <v>5898227.4363084761</v>
      </c>
      <c r="U134" s="735">
        <f t="shared" si="20"/>
        <v>0</v>
      </c>
      <c r="V134" s="736">
        <f t="shared" si="21"/>
        <v>0</v>
      </c>
      <c r="W134" s="735">
        <f t="shared" si="22"/>
        <v>0</v>
      </c>
      <c r="X134" s="737">
        <f t="shared" si="23"/>
        <v>0</v>
      </c>
      <c r="Y134" s="738">
        <f t="shared" si="24"/>
        <v>5898227.4363084761</v>
      </c>
    </row>
    <row r="135" spans="1:25">
      <c r="A135" s="754" t="str">
        <f>'Func Future Subs 2015'!A135</f>
        <v>East Camrose 285S</v>
      </c>
      <c r="B135" s="754">
        <f>'Func Future Subs 2015'!B135</f>
        <v>850</v>
      </c>
      <c r="C135" s="754">
        <f>'Func Future Subs 2015'!C135</f>
        <v>138</v>
      </c>
      <c r="D135" s="754">
        <f>'Func Future Subs 2015'!D135</f>
        <v>25</v>
      </c>
      <c r="E135" s="754" t="str">
        <f>'Func Future Subs 2015'!E135</f>
        <v>285S</v>
      </c>
      <c r="F135" s="754">
        <f>'Func Future Subs 2015'!F135</f>
        <v>22946.871241679786</v>
      </c>
      <c r="G135" s="754" t="str">
        <f>'Func Future Subs 2015'!G135</f>
        <v>AltaLink</v>
      </c>
      <c r="H135" s="754">
        <f>'Func Future Subs 2015'!H135</f>
        <v>2017</v>
      </c>
      <c r="I135" s="306">
        <f>+IF($H135=I$2,VLOOKUP($G135,Depreciation!$A$14:$L$18,7,FALSE)/2,IF($H135&lt;I$2,VLOOKUP($G135,Depreciation!$A$14:$L$18,7,FALSE),0))</f>
        <v>0</v>
      </c>
      <c r="J135" s="306">
        <f>+IF($H135=J$2,VLOOKUP($G135,Depreciation!$A$14:$L$18,8,FALSE)/2,IF($H135&lt;J$2,VLOOKUP($G135,Depreciation!$A$14:$L$18,8,FALSE),0))</f>
        <v>0</v>
      </c>
      <c r="K135" s="306">
        <f>+IF($H135=K$2,VLOOKUP($G135,Depreciation!$A$14:$L$18,9,FALSE)/2,IF($H135&lt;K$2,VLOOKUP($G135,Depreciation!$A$14:$L$18,9,FALSE),0))</f>
        <v>1.671703928371859E-2</v>
      </c>
      <c r="L135" s="306">
        <f>+IF($H135=L$2,VLOOKUP($G135,Depreciation!$A$14:$L$18,10,FALSE)/2,IF($H135&lt;L$2,VLOOKUP($G135,Depreciation!$A$14:$L$18,10,FALSE),0))</f>
        <v>3.343407856743718E-2</v>
      </c>
      <c r="M135" s="306">
        <f>+IF($H135=M$2,VLOOKUP($G135,Depreciation!$A$14:$L$18,11,FALSE)/2,IF($H135&lt;M$2,VLOOKUP($G135,Depreciation!$A$14:$L$18,11,FALSE),0))</f>
        <v>3.343407856743718E-2</v>
      </c>
      <c r="N135" s="306">
        <f>+IF($H135=N$2,VLOOKUP($G135,Depreciation!$A$14:$L$18,12,FALSE)/2,IF($H135&lt;N$2,VLOOKUP($G135,Depreciation!$A$14:$L$18,12,FALSE),0))</f>
        <v>3.343407856743718E-2</v>
      </c>
      <c r="O135" s="307">
        <f t="shared" si="17"/>
        <v>21079.725446450771</v>
      </c>
      <c r="P135" s="732">
        <f>'Func Future Subs 2015'!P135</f>
        <v>0</v>
      </c>
      <c r="Q135" s="732">
        <f>'Func Future Subs 2015'!Q135</f>
        <v>1</v>
      </c>
      <c r="R135" s="732">
        <f>'Func Future Subs 2015'!R135</f>
        <v>0</v>
      </c>
      <c r="S135" s="735">
        <f t="shared" si="18"/>
        <v>0</v>
      </c>
      <c r="T135" s="735">
        <f t="shared" si="19"/>
        <v>21079.725446450771</v>
      </c>
      <c r="U135" s="735">
        <f t="shared" si="20"/>
        <v>0</v>
      </c>
      <c r="V135" s="736">
        <f t="shared" si="21"/>
        <v>0</v>
      </c>
      <c r="W135" s="735">
        <f t="shared" si="22"/>
        <v>0</v>
      </c>
      <c r="X135" s="737">
        <f t="shared" si="23"/>
        <v>0</v>
      </c>
      <c r="Y135" s="738">
        <f t="shared" si="24"/>
        <v>21079.725446450771</v>
      </c>
    </row>
    <row r="136" spans="1:25">
      <c r="A136" s="754" t="str">
        <f>'Func Future Subs 2015'!A136</f>
        <v>East Edmonton 38S</v>
      </c>
      <c r="B136" s="754">
        <f>'Func Future Subs 2015'!B136</f>
        <v>850</v>
      </c>
      <c r="C136" s="754">
        <f>'Func Future Subs 2015'!C136</f>
        <v>240</v>
      </c>
      <c r="D136" s="754">
        <f>'Func Future Subs 2015'!D136</f>
        <v>25</v>
      </c>
      <c r="E136" s="754" t="str">
        <f>'Func Future Subs 2015'!E136</f>
        <v>38S</v>
      </c>
      <c r="F136" s="754">
        <f>'Func Future Subs 2015'!F136</f>
        <v>101645.43808550939</v>
      </c>
      <c r="G136" s="754" t="str">
        <f>'Func Future Subs 2015'!G136</f>
        <v>AltaLink</v>
      </c>
      <c r="H136" s="754">
        <f>'Func Future Subs 2015'!H136</f>
        <v>2017</v>
      </c>
      <c r="I136" s="306">
        <f>+IF($H136=I$2,VLOOKUP($G136,Depreciation!$A$14:$L$18,7,FALSE)/2,IF($H136&lt;I$2,VLOOKUP($G136,Depreciation!$A$14:$L$18,7,FALSE),0))</f>
        <v>0</v>
      </c>
      <c r="J136" s="306">
        <f>+IF($H136=J$2,VLOOKUP($G136,Depreciation!$A$14:$L$18,8,FALSE)/2,IF($H136&lt;J$2,VLOOKUP($G136,Depreciation!$A$14:$L$18,8,FALSE),0))</f>
        <v>0</v>
      </c>
      <c r="K136" s="306">
        <f>+IF($H136=K$2,VLOOKUP($G136,Depreciation!$A$14:$L$18,9,FALSE)/2,IF($H136&lt;K$2,VLOOKUP($G136,Depreciation!$A$14:$L$18,9,FALSE),0))</f>
        <v>1.671703928371859E-2</v>
      </c>
      <c r="L136" s="306">
        <f>+IF($H136=L$2,VLOOKUP($G136,Depreciation!$A$14:$L$18,10,FALSE)/2,IF($H136&lt;L$2,VLOOKUP($G136,Depreciation!$A$14:$L$18,10,FALSE),0))</f>
        <v>3.343407856743718E-2</v>
      </c>
      <c r="M136" s="306">
        <f>+IF($H136=M$2,VLOOKUP($G136,Depreciation!$A$14:$L$18,11,FALSE)/2,IF($H136&lt;M$2,VLOOKUP($G136,Depreciation!$A$14:$L$18,11,FALSE),0))</f>
        <v>3.343407856743718E-2</v>
      </c>
      <c r="N136" s="306">
        <f>+IF($H136=N$2,VLOOKUP($G136,Depreciation!$A$14:$L$18,12,FALSE)/2,IF($H136&lt;N$2,VLOOKUP($G136,Depreciation!$A$14:$L$18,12,FALSE),0))</f>
        <v>3.343407856743718E-2</v>
      </c>
      <c r="O136" s="307">
        <f t="shared" si="17"/>
        <v>93374.730923443276</v>
      </c>
      <c r="P136" s="732">
        <f>'Func Future Subs 2015'!P136</f>
        <v>0</v>
      </c>
      <c r="Q136" s="732">
        <f>'Func Future Subs 2015'!Q136</f>
        <v>1</v>
      </c>
      <c r="R136" s="732">
        <f>'Func Future Subs 2015'!R136</f>
        <v>0</v>
      </c>
      <c r="S136" s="735">
        <f t="shared" si="18"/>
        <v>0</v>
      </c>
      <c r="T136" s="735">
        <f t="shared" si="19"/>
        <v>93374.730923443276</v>
      </c>
      <c r="U136" s="735">
        <f t="shared" si="20"/>
        <v>0</v>
      </c>
      <c r="V136" s="736">
        <f t="shared" si="21"/>
        <v>0</v>
      </c>
      <c r="W136" s="735">
        <f t="shared" si="22"/>
        <v>0</v>
      </c>
      <c r="X136" s="737">
        <f t="shared" si="23"/>
        <v>0</v>
      </c>
      <c r="Y136" s="738">
        <f t="shared" si="24"/>
        <v>93374.730923443276</v>
      </c>
    </row>
    <row r="137" spans="1:25">
      <c r="A137" s="754" t="str">
        <f>'Func Future Subs 2015'!A137</f>
        <v>East Edmonton 38S dev3</v>
      </c>
      <c r="B137" s="754">
        <f>'Func Future Subs 2015'!B137</f>
        <v>850</v>
      </c>
      <c r="C137" s="754">
        <f>'Func Future Subs 2015'!C137</f>
        <v>240</v>
      </c>
      <c r="D137" s="754">
        <f>'Func Future Subs 2015'!D137</f>
        <v>25</v>
      </c>
      <c r="E137" s="754" t="str">
        <f>'Func Future Subs 2015'!E137</f>
        <v>38S</v>
      </c>
      <c r="F137" s="754">
        <f>'Func Future Subs 2015'!F137</f>
        <v>98365.145371423874</v>
      </c>
      <c r="G137" s="754" t="str">
        <f>'Func Future Subs 2015'!G137</f>
        <v>AltaLink</v>
      </c>
      <c r="H137" s="754">
        <f>'Func Future Subs 2015'!H137</f>
        <v>2017</v>
      </c>
      <c r="I137" s="306">
        <f>+IF($H137=I$2,VLOOKUP($G137,Depreciation!$A$14:$L$18,7,FALSE)/2,IF($H137&lt;I$2,VLOOKUP($G137,Depreciation!$A$14:$L$18,7,FALSE),0))</f>
        <v>0</v>
      </c>
      <c r="J137" s="306">
        <f>+IF($H137=J$2,VLOOKUP($G137,Depreciation!$A$14:$L$18,8,FALSE)/2,IF($H137&lt;J$2,VLOOKUP($G137,Depreciation!$A$14:$L$18,8,FALSE),0))</f>
        <v>0</v>
      </c>
      <c r="K137" s="306">
        <f>+IF($H137=K$2,VLOOKUP($G137,Depreciation!$A$14:$L$18,9,FALSE)/2,IF($H137&lt;K$2,VLOOKUP($G137,Depreciation!$A$14:$L$18,9,FALSE),0))</f>
        <v>1.671703928371859E-2</v>
      </c>
      <c r="L137" s="306">
        <f>+IF($H137=L$2,VLOOKUP($G137,Depreciation!$A$14:$L$18,10,FALSE)/2,IF($H137&lt;L$2,VLOOKUP($G137,Depreciation!$A$14:$L$18,10,FALSE),0))</f>
        <v>3.343407856743718E-2</v>
      </c>
      <c r="M137" s="306">
        <f>+IF($H137=M$2,VLOOKUP($G137,Depreciation!$A$14:$L$18,11,FALSE)/2,IF($H137&lt;M$2,VLOOKUP($G137,Depreciation!$A$14:$L$18,11,FALSE),0))</f>
        <v>3.343407856743718E-2</v>
      </c>
      <c r="N137" s="306">
        <f>+IF($H137=N$2,VLOOKUP($G137,Depreciation!$A$14:$L$18,12,FALSE)/2,IF($H137&lt;N$2,VLOOKUP($G137,Depreciation!$A$14:$L$18,12,FALSE),0))</f>
        <v>3.343407856743718E-2</v>
      </c>
      <c r="O137" s="307">
        <f t="shared" si="17"/>
        <v>90361.349749659625</v>
      </c>
      <c r="P137" s="732">
        <f>'Func Future Subs 2015'!P137</f>
        <v>0</v>
      </c>
      <c r="Q137" s="732">
        <f>'Func Future Subs 2015'!Q137</f>
        <v>1</v>
      </c>
      <c r="R137" s="732">
        <f>'Func Future Subs 2015'!R137</f>
        <v>0</v>
      </c>
      <c r="S137" s="735">
        <f t="shared" si="18"/>
        <v>0</v>
      </c>
      <c r="T137" s="735">
        <f t="shared" si="19"/>
        <v>90361.349749659625</v>
      </c>
      <c r="U137" s="735">
        <f t="shared" si="20"/>
        <v>0</v>
      </c>
      <c r="V137" s="736">
        <f t="shared" si="21"/>
        <v>0</v>
      </c>
      <c r="W137" s="735">
        <f t="shared" si="22"/>
        <v>0</v>
      </c>
      <c r="X137" s="737">
        <f t="shared" si="23"/>
        <v>0</v>
      </c>
      <c r="Y137" s="738">
        <f t="shared" si="24"/>
        <v>90361.349749659625</v>
      </c>
    </row>
    <row r="138" spans="1:25">
      <c r="A138" s="754" t="str">
        <f>'Func Future Subs 2015'!A138</f>
        <v>Ellerslie 89S</v>
      </c>
      <c r="B138" s="754">
        <f>'Func Future Subs 2015'!B138</f>
        <v>850</v>
      </c>
      <c r="C138" s="754">
        <f>'Func Future Subs 2015'!C138</f>
        <v>500</v>
      </c>
      <c r="D138" s="754">
        <f>'Func Future Subs 2015'!D138</f>
        <v>240</v>
      </c>
      <c r="E138" s="754" t="str">
        <f>'Func Future Subs 2015'!E138</f>
        <v>89S</v>
      </c>
      <c r="F138" s="754">
        <f>'Func Future Subs 2015'!F138</f>
        <v>655238.94394348608</v>
      </c>
      <c r="G138" s="754" t="str">
        <f>'Func Future Subs 2015'!G138</f>
        <v>AltaLink</v>
      </c>
      <c r="H138" s="754">
        <f>'Func Future Subs 2015'!H138</f>
        <v>2017</v>
      </c>
      <c r="I138" s="306">
        <f>+IF($H138=I$2,VLOOKUP($G138,Depreciation!$A$14:$L$18,7,FALSE)/2,IF($H138&lt;I$2,VLOOKUP($G138,Depreciation!$A$14:$L$18,7,FALSE),0))</f>
        <v>0</v>
      </c>
      <c r="J138" s="306">
        <f>+IF($H138=J$2,VLOOKUP($G138,Depreciation!$A$14:$L$18,8,FALSE)/2,IF($H138&lt;J$2,VLOOKUP($G138,Depreciation!$A$14:$L$18,8,FALSE),0))</f>
        <v>0</v>
      </c>
      <c r="K138" s="306">
        <f>+IF($H138=K$2,VLOOKUP($G138,Depreciation!$A$14:$L$18,9,FALSE)/2,IF($H138&lt;K$2,VLOOKUP($G138,Depreciation!$A$14:$L$18,9,FALSE),0))</f>
        <v>1.671703928371859E-2</v>
      </c>
      <c r="L138" s="306">
        <f>+IF($H138=L$2,VLOOKUP($G138,Depreciation!$A$14:$L$18,10,FALSE)/2,IF($H138&lt;L$2,VLOOKUP($G138,Depreciation!$A$14:$L$18,10,FALSE),0))</f>
        <v>3.343407856743718E-2</v>
      </c>
      <c r="M138" s="306">
        <f>+IF($H138=M$2,VLOOKUP($G138,Depreciation!$A$14:$L$18,11,FALSE)/2,IF($H138&lt;M$2,VLOOKUP($G138,Depreciation!$A$14:$L$18,11,FALSE),0))</f>
        <v>3.343407856743718E-2</v>
      </c>
      <c r="N138" s="306">
        <f>+IF($H138=N$2,VLOOKUP($G138,Depreciation!$A$14:$L$18,12,FALSE)/2,IF($H138&lt;N$2,VLOOKUP($G138,Depreciation!$A$14:$L$18,12,FALSE),0))</f>
        <v>3.343407856743718E-2</v>
      </c>
      <c r="O138" s="307">
        <f t="shared" si="17"/>
        <v>601923.32517484995</v>
      </c>
      <c r="P138" s="732">
        <f>'Func Future Subs 2015'!P138</f>
        <v>0</v>
      </c>
      <c r="Q138" s="732">
        <f>'Func Future Subs 2015'!Q138</f>
        <v>0</v>
      </c>
      <c r="R138" s="732">
        <f>'Func Future Subs 2015'!R138</f>
        <v>1</v>
      </c>
      <c r="S138" s="735">
        <f t="shared" si="18"/>
        <v>0</v>
      </c>
      <c r="T138" s="735">
        <f t="shared" si="19"/>
        <v>0</v>
      </c>
      <c r="U138" s="735">
        <f t="shared" si="20"/>
        <v>601923.32517484995</v>
      </c>
      <c r="V138" s="736">
        <f t="shared" si="21"/>
        <v>0</v>
      </c>
      <c r="W138" s="735">
        <f t="shared" si="22"/>
        <v>601923.32517484995</v>
      </c>
      <c r="X138" s="737">
        <f t="shared" si="23"/>
        <v>0</v>
      </c>
      <c r="Y138" s="738">
        <f t="shared" si="24"/>
        <v>0</v>
      </c>
    </row>
    <row r="139" spans="1:25">
      <c r="A139" s="754" t="str">
        <f>'Func Future Subs 2015'!A139</f>
        <v>Harry smith 376S</v>
      </c>
      <c r="B139" s="754">
        <f>'Func Future Subs 2015'!B139</f>
        <v>850</v>
      </c>
      <c r="C139" s="754">
        <f>'Func Future Subs 2015'!C139</f>
        <v>240</v>
      </c>
      <c r="D139" s="754">
        <f>'Func Future Subs 2015'!D139</f>
        <v>138</v>
      </c>
      <c r="E139" s="754" t="str">
        <f>'Func Future Subs 2015'!E139</f>
        <v>376S</v>
      </c>
      <c r="F139" s="754">
        <f>'Func Future Subs 2015'!F139</f>
        <v>55595620.830533721</v>
      </c>
      <c r="G139" s="754" t="str">
        <f>'Func Future Subs 2015'!G139</f>
        <v>AltaLink</v>
      </c>
      <c r="H139" s="754">
        <f>'Func Future Subs 2015'!H139</f>
        <v>2017</v>
      </c>
      <c r="I139" s="306">
        <f>+IF($H139=I$2,VLOOKUP($G139,Depreciation!$A$14:$L$18,7,FALSE)/2,IF($H139&lt;I$2,VLOOKUP($G139,Depreciation!$A$14:$L$18,7,FALSE),0))</f>
        <v>0</v>
      </c>
      <c r="J139" s="306">
        <f>+IF($H139=J$2,VLOOKUP($G139,Depreciation!$A$14:$L$18,8,FALSE)/2,IF($H139&lt;J$2,VLOOKUP($G139,Depreciation!$A$14:$L$18,8,FALSE),0))</f>
        <v>0</v>
      </c>
      <c r="K139" s="306">
        <f>+IF($H139=K$2,VLOOKUP($G139,Depreciation!$A$14:$L$18,9,FALSE)/2,IF($H139&lt;K$2,VLOOKUP($G139,Depreciation!$A$14:$L$18,9,FALSE),0))</f>
        <v>1.671703928371859E-2</v>
      </c>
      <c r="L139" s="306">
        <f>+IF($H139=L$2,VLOOKUP($G139,Depreciation!$A$14:$L$18,10,FALSE)/2,IF($H139&lt;L$2,VLOOKUP($G139,Depreciation!$A$14:$L$18,10,FALSE),0))</f>
        <v>3.343407856743718E-2</v>
      </c>
      <c r="M139" s="306">
        <f>+IF($H139=M$2,VLOOKUP($G139,Depreciation!$A$14:$L$18,11,FALSE)/2,IF($H139&lt;M$2,VLOOKUP($G139,Depreciation!$A$14:$L$18,11,FALSE),0))</f>
        <v>3.343407856743718E-2</v>
      </c>
      <c r="N139" s="306">
        <f>+IF($H139=N$2,VLOOKUP($G139,Depreciation!$A$14:$L$18,12,FALSE)/2,IF($H139&lt;N$2,VLOOKUP($G139,Depreciation!$A$14:$L$18,12,FALSE),0))</f>
        <v>3.343407856743718E-2</v>
      </c>
      <c r="O139" s="307">
        <f t="shared" si="17"/>
        <v>51071904.783427037</v>
      </c>
      <c r="P139" s="732">
        <f>'Func Future Subs 2015'!P139</f>
        <v>0</v>
      </c>
      <c r="Q139" s="732">
        <f>'Func Future Subs 2015'!Q139</f>
        <v>0</v>
      </c>
      <c r="R139" s="732">
        <f>'Func Future Subs 2015'!R139</f>
        <v>1</v>
      </c>
      <c r="S139" s="735">
        <f t="shared" si="18"/>
        <v>0</v>
      </c>
      <c r="T139" s="735">
        <f t="shared" si="19"/>
        <v>0</v>
      </c>
      <c r="U139" s="735">
        <f t="shared" si="20"/>
        <v>51071904.783427037</v>
      </c>
      <c r="V139" s="736">
        <f t="shared" si="21"/>
        <v>0</v>
      </c>
      <c r="W139" s="735">
        <f t="shared" si="22"/>
        <v>0</v>
      </c>
      <c r="X139" s="737">
        <f t="shared" si="23"/>
        <v>51071904.783427037</v>
      </c>
      <c r="Y139" s="738">
        <f t="shared" si="24"/>
        <v>0</v>
      </c>
    </row>
    <row r="140" spans="1:25">
      <c r="A140" s="754" t="str">
        <f>'Func Future Subs 2015'!A140</f>
        <v>Keephills 320P</v>
      </c>
      <c r="B140" s="754">
        <f>'Func Future Subs 2015'!B140</f>
        <v>850</v>
      </c>
      <c r="C140" s="754">
        <f>'Func Future Subs 2015'!C140</f>
        <v>500</v>
      </c>
      <c r="D140" s="754">
        <f>'Func Future Subs 2015'!D140</f>
        <v>25</v>
      </c>
      <c r="E140" s="754" t="str">
        <f>'Func Future Subs 2015'!E140</f>
        <v>320P</v>
      </c>
      <c r="F140" s="754">
        <f>'Func Future Subs 2015'!F140</f>
        <v>507255.81398474087</v>
      </c>
      <c r="G140" s="754" t="str">
        <f>'Func Future Subs 2015'!G140</f>
        <v>AltaLink</v>
      </c>
      <c r="H140" s="754">
        <f>'Func Future Subs 2015'!H140</f>
        <v>2017</v>
      </c>
      <c r="I140" s="306">
        <f>+IF($H140=I$2,VLOOKUP($G140,Depreciation!$A$14:$L$18,7,FALSE)/2,IF($H140&lt;I$2,VLOOKUP($G140,Depreciation!$A$14:$L$18,7,FALSE),0))</f>
        <v>0</v>
      </c>
      <c r="J140" s="306">
        <f>+IF($H140=J$2,VLOOKUP($G140,Depreciation!$A$14:$L$18,8,FALSE)/2,IF($H140&lt;J$2,VLOOKUP($G140,Depreciation!$A$14:$L$18,8,FALSE),0))</f>
        <v>0</v>
      </c>
      <c r="K140" s="306">
        <f>+IF($H140=K$2,VLOOKUP($G140,Depreciation!$A$14:$L$18,9,FALSE)/2,IF($H140&lt;K$2,VLOOKUP($G140,Depreciation!$A$14:$L$18,9,FALSE),0))</f>
        <v>1.671703928371859E-2</v>
      </c>
      <c r="L140" s="306">
        <f>+IF($H140=L$2,VLOOKUP($G140,Depreciation!$A$14:$L$18,10,FALSE)/2,IF($H140&lt;L$2,VLOOKUP($G140,Depreciation!$A$14:$L$18,10,FALSE),0))</f>
        <v>3.343407856743718E-2</v>
      </c>
      <c r="M140" s="306">
        <f>+IF($H140=M$2,VLOOKUP($G140,Depreciation!$A$14:$L$18,11,FALSE)/2,IF($H140&lt;M$2,VLOOKUP($G140,Depreciation!$A$14:$L$18,11,FALSE),0))</f>
        <v>3.343407856743718E-2</v>
      </c>
      <c r="N140" s="306">
        <f>+IF($H140=N$2,VLOOKUP($G140,Depreciation!$A$14:$L$18,12,FALSE)/2,IF($H140&lt;N$2,VLOOKUP($G140,Depreciation!$A$14:$L$18,12,FALSE),0))</f>
        <v>3.343407856743718E-2</v>
      </c>
      <c r="O140" s="307">
        <f t="shared" si="17"/>
        <v>465981.31733498554</v>
      </c>
      <c r="P140" s="732">
        <f>'Func Future Subs 2015'!P140</f>
        <v>0.96203522504892369</v>
      </c>
      <c r="Q140" s="732">
        <f>'Func Future Subs 2015'!Q140</f>
        <v>3.7964774951076322E-2</v>
      </c>
      <c r="R140" s="732">
        <f>'Func Future Subs 2015'!R140</f>
        <v>0</v>
      </c>
      <c r="S140" s="735">
        <f t="shared" si="18"/>
        <v>448290.44149095676</v>
      </c>
      <c r="T140" s="735">
        <f t="shared" si="19"/>
        <v>17690.875844028804</v>
      </c>
      <c r="U140" s="735">
        <f t="shared" si="20"/>
        <v>0</v>
      </c>
      <c r="V140" s="736">
        <f t="shared" si="21"/>
        <v>0</v>
      </c>
      <c r="W140" s="735">
        <f t="shared" si="22"/>
        <v>448290.44149095676</v>
      </c>
      <c r="X140" s="737">
        <f t="shared" si="23"/>
        <v>0</v>
      </c>
      <c r="Y140" s="738">
        <f t="shared" si="24"/>
        <v>17690.875844028804</v>
      </c>
    </row>
    <row r="141" spans="1:25">
      <c r="A141" s="754" t="str">
        <f>'Func Future Subs 2015'!A141</f>
        <v>Keephills 320P</v>
      </c>
      <c r="B141" s="754">
        <f>'Func Future Subs 2015'!B141</f>
        <v>850</v>
      </c>
      <c r="C141" s="754">
        <f>'Func Future Subs 2015'!C141</f>
        <v>500</v>
      </c>
      <c r="D141" s="754">
        <f>'Func Future Subs 2015'!D141</f>
        <v>25</v>
      </c>
      <c r="E141" s="754" t="str">
        <f>'Func Future Subs 2015'!E141</f>
        <v>320P</v>
      </c>
      <c r="F141" s="754">
        <f>'Func Future Subs 2015'!F141</f>
        <v>507255.81398474087</v>
      </c>
      <c r="G141" s="754" t="str">
        <f>'Func Future Subs 2015'!G141</f>
        <v>AltaLink</v>
      </c>
      <c r="H141" s="754">
        <f>'Func Future Subs 2015'!H141</f>
        <v>2017</v>
      </c>
      <c r="I141" s="306">
        <f>+IF($H141=I$2,VLOOKUP($G141,Depreciation!$A$14:$L$18,7,FALSE)/2,IF($H141&lt;I$2,VLOOKUP($G141,Depreciation!$A$14:$L$18,7,FALSE),0))</f>
        <v>0</v>
      </c>
      <c r="J141" s="306">
        <f>+IF($H141=J$2,VLOOKUP($G141,Depreciation!$A$14:$L$18,8,FALSE)/2,IF($H141&lt;J$2,VLOOKUP($G141,Depreciation!$A$14:$L$18,8,FALSE),0))</f>
        <v>0</v>
      </c>
      <c r="K141" s="306">
        <f>+IF($H141=K$2,VLOOKUP($G141,Depreciation!$A$14:$L$18,9,FALSE)/2,IF($H141&lt;K$2,VLOOKUP($G141,Depreciation!$A$14:$L$18,9,FALSE),0))</f>
        <v>1.671703928371859E-2</v>
      </c>
      <c r="L141" s="306">
        <f>+IF($H141=L$2,VLOOKUP($G141,Depreciation!$A$14:$L$18,10,FALSE)/2,IF($H141&lt;L$2,VLOOKUP($G141,Depreciation!$A$14:$L$18,10,FALSE),0))</f>
        <v>3.343407856743718E-2</v>
      </c>
      <c r="M141" s="306">
        <f>+IF($H141=M$2,VLOOKUP($G141,Depreciation!$A$14:$L$18,11,FALSE)/2,IF($H141&lt;M$2,VLOOKUP($G141,Depreciation!$A$14:$L$18,11,FALSE),0))</f>
        <v>3.343407856743718E-2</v>
      </c>
      <c r="N141" s="306">
        <f>+IF($H141=N$2,VLOOKUP($G141,Depreciation!$A$14:$L$18,12,FALSE)/2,IF($H141&lt;N$2,VLOOKUP($G141,Depreciation!$A$14:$L$18,12,FALSE),0))</f>
        <v>3.343407856743718E-2</v>
      </c>
      <c r="O141" s="307">
        <f t="shared" si="17"/>
        <v>465981.31733498554</v>
      </c>
      <c r="P141" s="732">
        <f>'Func Future Subs 2015'!P141</f>
        <v>0.96203522504892369</v>
      </c>
      <c r="Q141" s="732">
        <f>'Func Future Subs 2015'!Q141</f>
        <v>3.7964774951076322E-2</v>
      </c>
      <c r="R141" s="732">
        <f>'Func Future Subs 2015'!R141</f>
        <v>0</v>
      </c>
      <c r="S141" s="735">
        <f t="shared" si="18"/>
        <v>448290.44149095676</v>
      </c>
      <c r="T141" s="735">
        <f t="shared" si="19"/>
        <v>17690.875844028804</v>
      </c>
      <c r="U141" s="735">
        <f t="shared" si="20"/>
        <v>0</v>
      </c>
      <c r="V141" s="736">
        <f t="shared" si="21"/>
        <v>0</v>
      </c>
      <c r="W141" s="735">
        <f t="shared" si="22"/>
        <v>448290.44149095676</v>
      </c>
      <c r="X141" s="737">
        <f t="shared" si="23"/>
        <v>0</v>
      </c>
      <c r="Y141" s="738">
        <f t="shared" si="24"/>
        <v>17690.875844028804</v>
      </c>
    </row>
    <row r="142" spans="1:25">
      <c r="A142" s="754" t="str">
        <f>'Func Future Subs 2015'!A142</f>
        <v>Leduc 325S</v>
      </c>
      <c r="B142" s="754">
        <f>'Func Future Subs 2015'!B142</f>
        <v>850</v>
      </c>
      <c r="C142" s="754">
        <f>'Func Future Subs 2015'!C142</f>
        <v>138</v>
      </c>
      <c r="D142" s="754">
        <f>'Func Future Subs 2015'!D142</f>
        <v>25</v>
      </c>
      <c r="E142" s="754" t="str">
        <f>'Func Future Subs 2015'!E142</f>
        <v>325S</v>
      </c>
      <c r="F142" s="754">
        <f>'Func Future Subs 2015'!F142</f>
        <v>3055561.3590470157</v>
      </c>
      <c r="G142" s="754" t="str">
        <f>'Func Future Subs 2015'!G142</f>
        <v>AltaLink</v>
      </c>
      <c r="H142" s="754">
        <f>'Func Future Subs 2015'!H142</f>
        <v>2017</v>
      </c>
      <c r="I142" s="306">
        <f>+IF($H142=I$2,VLOOKUP($G142,Depreciation!$A$14:$L$18,7,FALSE)/2,IF($H142&lt;I$2,VLOOKUP($G142,Depreciation!$A$14:$L$18,7,FALSE),0))</f>
        <v>0</v>
      </c>
      <c r="J142" s="306">
        <f>+IF($H142=J$2,VLOOKUP($G142,Depreciation!$A$14:$L$18,8,FALSE)/2,IF($H142&lt;J$2,VLOOKUP($G142,Depreciation!$A$14:$L$18,8,FALSE),0))</f>
        <v>0</v>
      </c>
      <c r="K142" s="306">
        <f>+IF($H142=K$2,VLOOKUP($G142,Depreciation!$A$14:$L$18,9,FALSE)/2,IF($H142&lt;K$2,VLOOKUP($G142,Depreciation!$A$14:$L$18,9,FALSE),0))</f>
        <v>1.671703928371859E-2</v>
      </c>
      <c r="L142" s="306">
        <f>+IF($H142=L$2,VLOOKUP($G142,Depreciation!$A$14:$L$18,10,FALSE)/2,IF($H142&lt;L$2,VLOOKUP($G142,Depreciation!$A$14:$L$18,10,FALSE),0))</f>
        <v>3.343407856743718E-2</v>
      </c>
      <c r="M142" s="306">
        <f>+IF($H142=M$2,VLOOKUP($G142,Depreciation!$A$14:$L$18,11,FALSE)/2,IF($H142&lt;M$2,VLOOKUP($G142,Depreciation!$A$14:$L$18,11,FALSE),0))</f>
        <v>3.343407856743718E-2</v>
      </c>
      <c r="N142" s="306">
        <f>+IF($H142=N$2,VLOOKUP($G142,Depreciation!$A$14:$L$18,12,FALSE)/2,IF($H142&lt;N$2,VLOOKUP($G142,Depreciation!$A$14:$L$18,12,FALSE),0))</f>
        <v>3.343407856743718E-2</v>
      </c>
      <c r="O142" s="307">
        <f t="shared" si="17"/>
        <v>2806935.8064162838</v>
      </c>
      <c r="P142" s="732">
        <f>'Func Future Subs 2015'!P142</f>
        <v>0</v>
      </c>
      <c r="Q142" s="732">
        <f>'Func Future Subs 2015'!Q142</f>
        <v>1</v>
      </c>
      <c r="R142" s="732">
        <f>'Func Future Subs 2015'!R142</f>
        <v>0</v>
      </c>
      <c r="S142" s="735">
        <f t="shared" si="18"/>
        <v>0</v>
      </c>
      <c r="T142" s="735">
        <f t="shared" si="19"/>
        <v>2806935.8064162838</v>
      </c>
      <c r="U142" s="735">
        <f t="shared" si="20"/>
        <v>0</v>
      </c>
      <c r="V142" s="736">
        <f t="shared" si="21"/>
        <v>0</v>
      </c>
      <c r="W142" s="735">
        <f t="shared" si="22"/>
        <v>0</v>
      </c>
      <c r="X142" s="737">
        <f t="shared" si="23"/>
        <v>0</v>
      </c>
      <c r="Y142" s="738">
        <f t="shared" si="24"/>
        <v>2806935.8064162838</v>
      </c>
    </row>
    <row r="143" spans="1:25">
      <c r="A143" s="754" t="str">
        <f>'Func Future Subs 2015'!A143</f>
        <v>Nisku 149S</v>
      </c>
      <c r="B143" s="754">
        <f>'Func Future Subs 2015'!B143</f>
        <v>850</v>
      </c>
      <c r="C143" s="754">
        <f>'Func Future Subs 2015'!C143</f>
        <v>138</v>
      </c>
      <c r="D143" s="754">
        <f>'Func Future Subs 2015'!D143</f>
        <v>25</v>
      </c>
      <c r="E143" s="754" t="str">
        <f>'Func Future Subs 2015'!E143</f>
        <v>149S</v>
      </c>
      <c r="F143" s="754">
        <f>'Func Future Subs 2015'!F143</f>
        <v>4164342.0352394478</v>
      </c>
      <c r="G143" s="754" t="str">
        <f>'Func Future Subs 2015'!G143</f>
        <v>AltaLink</v>
      </c>
      <c r="H143" s="754">
        <f>'Func Future Subs 2015'!H143</f>
        <v>2017</v>
      </c>
      <c r="I143" s="306">
        <f>+IF($H143=I$2,VLOOKUP($G143,Depreciation!$A$14:$L$18,7,FALSE)/2,IF($H143&lt;I$2,VLOOKUP($G143,Depreciation!$A$14:$L$18,7,FALSE),0))</f>
        <v>0</v>
      </c>
      <c r="J143" s="306">
        <f>+IF($H143=J$2,VLOOKUP($G143,Depreciation!$A$14:$L$18,8,FALSE)/2,IF($H143&lt;J$2,VLOOKUP($G143,Depreciation!$A$14:$L$18,8,FALSE),0))</f>
        <v>0</v>
      </c>
      <c r="K143" s="306">
        <f>+IF($H143=K$2,VLOOKUP($G143,Depreciation!$A$14:$L$18,9,FALSE)/2,IF($H143&lt;K$2,VLOOKUP($G143,Depreciation!$A$14:$L$18,9,FALSE),0))</f>
        <v>1.671703928371859E-2</v>
      </c>
      <c r="L143" s="306">
        <f>+IF($H143=L$2,VLOOKUP($G143,Depreciation!$A$14:$L$18,10,FALSE)/2,IF($H143&lt;L$2,VLOOKUP($G143,Depreciation!$A$14:$L$18,10,FALSE),0))</f>
        <v>3.343407856743718E-2</v>
      </c>
      <c r="M143" s="306">
        <f>+IF($H143=M$2,VLOOKUP($G143,Depreciation!$A$14:$L$18,11,FALSE)/2,IF($H143&lt;M$2,VLOOKUP($G143,Depreciation!$A$14:$L$18,11,FALSE),0))</f>
        <v>3.343407856743718E-2</v>
      </c>
      <c r="N143" s="306">
        <f>+IF($H143=N$2,VLOOKUP($G143,Depreciation!$A$14:$L$18,12,FALSE)/2,IF($H143&lt;N$2,VLOOKUP($G143,Depreciation!$A$14:$L$18,12,FALSE),0))</f>
        <v>3.343407856743718E-2</v>
      </c>
      <c r="O143" s="307">
        <f t="shared" si="17"/>
        <v>3825496.9857727573</v>
      </c>
      <c r="P143" s="732">
        <f>'Func Future Subs 2015'!P143</f>
        <v>0</v>
      </c>
      <c r="Q143" s="732">
        <f>'Func Future Subs 2015'!Q143</f>
        <v>1</v>
      </c>
      <c r="R143" s="732">
        <f>'Func Future Subs 2015'!R143</f>
        <v>0</v>
      </c>
      <c r="S143" s="735">
        <f t="shared" si="18"/>
        <v>0</v>
      </c>
      <c r="T143" s="735">
        <f t="shared" si="19"/>
        <v>3825496.9857727573</v>
      </c>
      <c r="U143" s="735">
        <f t="shared" si="20"/>
        <v>0</v>
      </c>
      <c r="V143" s="736">
        <f t="shared" si="21"/>
        <v>0</v>
      </c>
      <c r="W143" s="735">
        <f t="shared" si="22"/>
        <v>0</v>
      </c>
      <c r="X143" s="737">
        <f t="shared" si="23"/>
        <v>0</v>
      </c>
      <c r="Y143" s="738">
        <f t="shared" si="24"/>
        <v>3825496.9857727573</v>
      </c>
    </row>
    <row r="144" spans="1:25">
      <c r="A144" s="754" t="str">
        <f>'Func Future Subs 2015'!A144</f>
        <v>Petrolia 816S</v>
      </c>
      <c r="B144" s="754">
        <f>'Func Future Subs 2015'!B144</f>
        <v>850</v>
      </c>
      <c r="C144" s="754">
        <f>'Func Future Subs 2015'!C144</f>
        <v>240</v>
      </c>
      <c r="D144" s="754">
        <f>'Func Future Subs 2015'!D144</f>
        <v>25</v>
      </c>
      <c r="E144" s="754" t="str">
        <f>'Func Future Subs 2015'!E144</f>
        <v>816S</v>
      </c>
      <c r="F144" s="754">
        <f>'Func Future Subs 2015'!F144</f>
        <v>171568.00000000006</v>
      </c>
      <c r="G144" s="754" t="str">
        <f>'Func Future Subs 2015'!G144</f>
        <v>EPCOR</v>
      </c>
      <c r="H144" s="754">
        <f>'Func Future Subs 2015'!H144</f>
        <v>2017</v>
      </c>
      <c r="I144" s="306">
        <f>+IF($H144=I$2,VLOOKUP($G144,Depreciation!$A$14:$L$18,7,FALSE)/2,IF($H144&lt;I$2,VLOOKUP($G144,Depreciation!$A$14:$L$18,7,FALSE),0))</f>
        <v>0</v>
      </c>
      <c r="J144" s="306">
        <f>+IF($H144=J$2,VLOOKUP($G144,Depreciation!$A$14:$L$18,8,FALSE)/2,IF($H144&lt;J$2,VLOOKUP($G144,Depreciation!$A$14:$L$18,8,FALSE),0))</f>
        <v>0</v>
      </c>
      <c r="K144" s="306">
        <f>+IF($H144=K$2,VLOOKUP($G144,Depreciation!$A$14:$L$18,9,FALSE)/2,IF($H144&lt;K$2,VLOOKUP($G144,Depreciation!$A$14:$L$18,9,FALSE),0))</f>
        <v>2.0572631749329395E-2</v>
      </c>
      <c r="L144" s="306">
        <f>+IF($H144=L$2,VLOOKUP($G144,Depreciation!$A$14:$L$18,10,FALSE)/2,IF($H144&lt;L$2,VLOOKUP($G144,Depreciation!$A$14:$L$18,10,FALSE),0))</f>
        <v>4.1145263498658789E-2</v>
      </c>
      <c r="M144" s="306">
        <f>+IF($H144=M$2,VLOOKUP($G144,Depreciation!$A$14:$L$18,11,FALSE)/2,IF($H144&lt;M$2,VLOOKUP($G144,Depreciation!$A$14:$L$18,11,FALSE),0))</f>
        <v>4.1145263498658789E-2</v>
      </c>
      <c r="N144" s="306">
        <f>+IF($H144=N$2,VLOOKUP($G144,Depreciation!$A$14:$L$18,12,FALSE)/2,IF($H144&lt;N$2,VLOOKUP($G144,Depreciation!$A$14:$L$18,12,FALSE),0))</f>
        <v>4.1145263498658789E-2</v>
      </c>
      <c r="O144" s="307">
        <f t="shared" si="17"/>
        <v>154494.90435374307</v>
      </c>
      <c r="P144" s="732">
        <f>'Func Future Subs 2015'!P144</f>
        <v>0</v>
      </c>
      <c r="Q144" s="732">
        <f>'Func Future Subs 2015'!Q144</f>
        <v>0</v>
      </c>
      <c r="R144" s="732">
        <f>'Func Future Subs 2015'!R144</f>
        <v>1</v>
      </c>
      <c r="S144" s="735">
        <f t="shared" si="18"/>
        <v>0</v>
      </c>
      <c r="T144" s="735">
        <f t="shared" si="19"/>
        <v>0</v>
      </c>
      <c r="U144" s="735">
        <f t="shared" si="20"/>
        <v>154494.90435374307</v>
      </c>
      <c r="V144" s="736">
        <f t="shared" si="21"/>
        <v>0</v>
      </c>
      <c r="W144" s="735">
        <f t="shared" si="22"/>
        <v>0</v>
      </c>
      <c r="X144" s="737">
        <f t="shared" si="23"/>
        <v>0</v>
      </c>
      <c r="Y144" s="738">
        <f t="shared" si="24"/>
        <v>154494.90435374307</v>
      </c>
    </row>
    <row r="145" spans="1:25">
      <c r="A145" s="754" t="str">
        <f>'Func Future Subs 2015'!A145</f>
        <v>Saunders Lake 289S</v>
      </c>
      <c r="B145" s="754">
        <f>'Func Future Subs 2015'!B145</f>
        <v>850</v>
      </c>
      <c r="C145" s="754">
        <f>'Func Future Subs 2015'!C145</f>
        <v>240</v>
      </c>
      <c r="D145" s="754">
        <f>'Func Future Subs 2015'!D145</f>
        <v>138</v>
      </c>
      <c r="E145" s="754" t="str">
        <f>'Func Future Subs 2015'!E145</f>
        <v>289S</v>
      </c>
      <c r="F145" s="754">
        <f>'Func Future Subs 2015'!F145</f>
        <v>59647159.879132695</v>
      </c>
      <c r="G145" s="754" t="str">
        <f>'Func Future Subs 2015'!G145</f>
        <v>AltaLink</v>
      </c>
      <c r="H145" s="754">
        <f>'Func Future Subs 2015'!H145</f>
        <v>2017</v>
      </c>
      <c r="I145" s="306">
        <f>+IF($H145=I$2,VLOOKUP($G145,Depreciation!$A$14:$L$18,7,FALSE)/2,IF($H145&lt;I$2,VLOOKUP($G145,Depreciation!$A$14:$L$18,7,FALSE),0))</f>
        <v>0</v>
      </c>
      <c r="J145" s="306">
        <f>+IF($H145=J$2,VLOOKUP($G145,Depreciation!$A$14:$L$18,8,FALSE)/2,IF($H145&lt;J$2,VLOOKUP($G145,Depreciation!$A$14:$L$18,8,FALSE),0))</f>
        <v>0</v>
      </c>
      <c r="K145" s="306">
        <f>+IF($H145=K$2,VLOOKUP($G145,Depreciation!$A$14:$L$18,9,FALSE)/2,IF($H145&lt;K$2,VLOOKUP($G145,Depreciation!$A$14:$L$18,9,FALSE),0))</f>
        <v>1.671703928371859E-2</v>
      </c>
      <c r="L145" s="306">
        <f>+IF($H145=L$2,VLOOKUP($G145,Depreciation!$A$14:$L$18,10,FALSE)/2,IF($H145&lt;L$2,VLOOKUP($G145,Depreciation!$A$14:$L$18,10,FALSE),0))</f>
        <v>3.343407856743718E-2</v>
      </c>
      <c r="M145" s="306">
        <f>+IF($H145=M$2,VLOOKUP($G145,Depreciation!$A$14:$L$18,11,FALSE)/2,IF($H145&lt;M$2,VLOOKUP($G145,Depreciation!$A$14:$L$18,11,FALSE),0))</f>
        <v>3.343407856743718E-2</v>
      </c>
      <c r="N145" s="306">
        <f>+IF($H145=N$2,VLOOKUP($G145,Depreciation!$A$14:$L$18,12,FALSE)/2,IF($H145&lt;N$2,VLOOKUP($G145,Depreciation!$A$14:$L$18,12,FALSE),0))</f>
        <v>3.343407856743718E-2</v>
      </c>
      <c r="O145" s="307">
        <f t="shared" si="17"/>
        <v>54793777.359454483</v>
      </c>
      <c r="P145" s="732">
        <f>'Func Future Subs 2015'!P145</f>
        <v>0</v>
      </c>
      <c r="Q145" s="732">
        <f>'Func Future Subs 2015'!Q145</f>
        <v>0</v>
      </c>
      <c r="R145" s="732">
        <f>'Func Future Subs 2015'!R145</f>
        <v>1</v>
      </c>
      <c r="S145" s="735">
        <f t="shared" si="18"/>
        <v>0</v>
      </c>
      <c r="T145" s="735">
        <f t="shared" si="19"/>
        <v>0</v>
      </c>
      <c r="U145" s="735">
        <f t="shared" si="20"/>
        <v>54793777.359454483</v>
      </c>
      <c r="V145" s="736">
        <f t="shared" si="21"/>
        <v>0</v>
      </c>
      <c r="W145" s="735">
        <f t="shared" si="22"/>
        <v>0</v>
      </c>
      <c r="X145" s="737">
        <f t="shared" si="23"/>
        <v>54793777.359454483</v>
      </c>
      <c r="Y145" s="738">
        <f t="shared" si="24"/>
        <v>0</v>
      </c>
    </row>
    <row r="146" spans="1:25">
      <c r="A146" s="754" t="str">
        <f>'Func Future Subs 2015'!A146</f>
        <v>Spruce Grove 595S</v>
      </c>
      <c r="B146" s="754">
        <f>'Func Future Subs 2015'!B146</f>
        <v>850</v>
      </c>
      <c r="C146" s="754">
        <f>'Func Future Subs 2015'!C146</f>
        <v>138</v>
      </c>
      <c r="D146" s="754">
        <f>'Func Future Subs 2015'!D146</f>
        <v>25</v>
      </c>
      <c r="E146" s="754" t="str">
        <f>'Func Future Subs 2015'!E146</f>
        <v>595S</v>
      </c>
      <c r="F146" s="754">
        <f>'Func Future Subs 2015'!F146</f>
        <v>83551.654618630506</v>
      </c>
      <c r="G146" s="754" t="str">
        <f>'Func Future Subs 2015'!G146</f>
        <v>AltaLink</v>
      </c>
      <c r="H146" s="754">
        <f>'Func Future Subs 2015'!H146</f>
        <v>2017</v>
      </c>
      <c r="I146" s="306">
        <f>+IF($H146=I$2,VLOOKUP($G146,Depreciation!$A$14:$L$18,7,FALSE)/2,IF($H146&lt;I$2,VLOOKUP($G146,Depreciation!$A$14:$L$18,7,FALSE),0))</f>
        <v>0</v>
      </c>
      <c r="J146" s="306">
        <f>+IF($H146=J$2,VLOOKUP($G146,Depreciation!$A$14:$L$18,8,FALSE)/2,IF($H146&lt;J$2,VLOOKUP($G146,Depreciation!$A$14:$L$18,8,FALSE),0))</f>
        <v>0</v>
      </c>
      <c r="K146" s="306">
        <f>+IF($H146=K$2,VLOOKUP($G146,Depreciation!$A$14:$L$18,9,FALSE)/2,IF($H146&lt;K$2,VLOOKUP($G146,Depreciation!$A$14:$L$18,9,FALSE),0))</f>
        <v>1.671703928371859E-2</v>
      </c>
      <c r="L146" s="306">
        <f>+IF($H146=L$2,VLOOKUP($G146,Depreciation!$A$14:$L$18,10,FALSE)/2,IF($H146&lt;L$2,VLOOKUP($G146,Depreciation!$A$14:$L$18,10,FALSE),0))</f>
        <v>3.343407856743718E-2</v>
      </c>
      <c r="M146" s="306">
        <f>+IF($H146=M$2,VLOOKUP($G146,Depreciation!$A$14:$L$18,11,FALSE)/2,IF($H146&lt;M$2,VLOOKUP($G146,Depreciation!$A$14:$L$18,11,FALSE),0))</f>
        <v>3.343407856743718E-2</v>
      </c>
      <c r="N146" s="306">
        <f>+IF($H146=N$2,VLOOKUP($G146,Depreciation!$A$14:$L$18,12,FALSE)/2,IF($H146&lt;N$2,VLOOKUP($G146,Depreciation!$A$14:$L$18,12,FALSE),0))</f>
        <v>3.343407856743718E-2</v>
      </c>
      <c r="O146" s="307">
        <f t="shared" si="17"/>
        <v>76753.206195638311</v>
      </c>
      <c r="P146" s="732">
        <f>'Func Future Subs 2015'!P146</f>
        <v>0</v>
      </c>
      <c r="Q146" s="732">
        <f>'Func Future Subs 2015'!Q146</f>
        <v>1</v>
      </c>
      <c r="R146" s="732">
        <f>'Func Future Subs 2015'!R146</f>
        <v>0</v>
      </c>
      <c r="S146" s="735">
        <f t="shared" si="18"/>
        <v>0</v>
      </c>
      <c r="T146" s="735">
        <f t="shared" si="19"/>
        <v>76753.206195638311</v>
      </c>
      <c r="U146" s="735">
        <f t="shared" si="20"/>
        <v>0</v>
      </c>
      <c r="V146" s="736">
        <f t="shared" si="21"/>
        <v>0</v>
      </c>
      <c r="W146" s="735">
        <f t="shared" si="22"/>
        <v>0</v>
      </c>
      <c r="X146" s="737">
        <f t="shared" si="23"/>
        <v>0</v>
      </c>
      <c r="Y146" s="738">
        <f t="shared" si="24"/>
        <v>76753.206195638311</v>
      </c>
    </row>
    <row r="147" spans="1:25">
      <c r="A147" s="754" t="str">
        <f>'Func Future Subs 2015'!A147</f>
        <v>Stony Plain 434S</v>
      </c>
      <c r="B147" s="754">
        <f>'Func Future Subs 2015'!B147</f>
        <v>850</v>
      </c>
      <c r="C147" s="754">
        <f>'Func Future Subs 2015'!C147</f>
        <v>138</v>
      </c>
      <c r="D147" s="754">
        <f>'Func Future Subs 2015'!D147</f>
        <v>25</v>
      </c>
      <c r="E147" s="754" t="str">
        <f>'Func Future Subs 2015'!E147</f>
        <v>434S</v>
      </c>
      <c r="F147" s="754">
        <f>'Func Future Subs 2015'!F147</f>
        <v>1277016.625539762</v>
      </c>
      <c r="G147" s="754" t="str">
        <f>'Func Future Subs 2015'!G147</f>
        <v>AltaLink</v>
      </c>
      <c r="H147" s="754">
        <f>'Func Future Subs 2015'!H147</f>
        <v>2017</v>
      </c>
      <c r="I147" s="306">
        <f>+IF($H147=I$2,VLOOKUP($G147,Depreciation!$A$14:$L$18,7,FALSE)/2,IF($H147&lt;I$2,VLOOKUP($G147,Depreciation!$A$14:$L$18,7,FALSE),0))</f>
        <v>0</v>
      </c>
      <c r="J147" s="306">
        <f>+IF($H147=J$2,VLOOKUP($G147,Depreciation!$A$14:$L$18,8,FALSE)/2,IF($H147&lt;J$2,VLOOKUP($G147,Depreciation!$A$14:$L$18,8,FALSE),0))</f>
        <v>0</v>
      </c>
      <c r="K147" s="306">
        <f>+IF($H147=K$2,VLOOKUP($G147,Depreciation!$A$14:$L$18,9,FALSE)/2,IF($H147&lt;K$2,VLOOKUP($G147,Depreciation!$A$14:$L$18,9,FALSE),0))</f>
        <v>1.671703928371859E-2</v>
      </c>
      <c r="L147" s="306">
        <f>+IF($H147=L$2,VLOOKUP($G147,Depreciation!$A$14:$L$18,10,FALSE)/2,IF($H147&lt;L$2,VLOOKUP($G147,Depreciation!$A$14:$L$18,10,FALSE),0))</f>
        <v>3.343407856743718E-2</v>
      </c>
      <c r="M147" s="306">
        <f>+IF($H147=M$2,VLOOKUP($G147,Depreciation!$A$14:$L$18,11,FALSE)/2,IF($H147&lt;M$2,VLOOKUP($G147,Depreciation!$A$14:$L$18,11,FALSE),0))</f>
        <v>3.343407856743718E-2</v>
      </c>
      <c r="N147" s="306">
        <f>+IF($H147=N$2,VLOOKUP($G147,Depreciation!$A$14:$L$18,12,FALSE)/2,IF($H147&lt;N$2,VLOOKUP($G147,Depreciation!$A$14:$L$18,12,FALSE),0))</f>
        <v>3.343407856743718E-2</v>
      </c>
      <c r="O147" s="307">
        <f t="shared" si="17"/>
        <v>1173108.0709616011</v>
      </c>
      <c r="P147" s="732">
        <f>'Func Future Subs 2015'!P147</f>
        <v>0</v>
      </c>
      <c r="Q147" s="732">
        <f>'Func Future Subs 2015'!Q147</f>
        <v>1</v>
      </c>
      <c r="R147" s="732">
        <f>'Func Future Subs 2015'!R147</f>
        <v>0</v>
      </c>
      <c r="S147" s="735">
        <f t="shared" si="18"/>
        <v>0</v>
      </c>
      <c r="T147" s="735">
        <f t="shared" si="19"/>
        <v>1173108.0709616011</v>
      </c>
      <c r="U147" s="735">
        <f t="shared" si="20"/>
        <v>0</v>
      </c>
      <c r="V147" s="736">
        <f t="shared" si="21"/>
        <v>0</v>
      </c>
      <c r="W147" s="735">
        <f t="shared" si="22"/>
        <v>0</v>
      </c>
      <c r="X147" s="737">
        <f t="shared" si="23"/>
        <v>0</v>
      </c>
      <c r="Y147" s="738">
        <f t="shared" si="24"/>
        <v>1173108.0709616011</v>
      </c>
    </row>
    <row r="148" spans="1:25">
      <c r="A148" s="754" t="str">
        <f>'Func Future Subs 2015'!A148</f>
        <v>Viscount 92S</v>
      </c>
      <c r="B148" s="754">
        <f>'Func Future Subs 2015'!B148</f>
        <v>850</v>
      </c>
      <c r="C148" s="754">
        <f>'Func Future Subs 2015'!C148</f>
        <v>138</v>
      </c>
      <c r="D148" s="754">
        <f>'Func Future Subs 2015'!D148</f>
        <v>25</v>
      </c>
      <c r="E148" s="754" t="str">
        <f>'Func Future Subs 2015'!E148</f>
        <v>92S</v>
      </c>
      <c r="F148" s="754">
        <f>'Func Future Subs 2015'!F148</f>
        <v>84454.731155301823</v>
      </c>
      <c r="G148" s="754" t="str">
        <f>'Func Future Subs 2015'!G148</f>
        <v>AltaLink</v>
      </c>
      <c r="H148" s="754">
        <f>'Func Future Subs 2015'!H148</f>
        <v>2017</v>
      </c>
      <c r="I148" s="306">
        <f>+IF($H148=I$2,VLOOKUP($G148,Depreciation!$A$14:$L$18,7,FALSE)/2,IF($H148&lt;I$2,VLOOKUP($G148,Depreciation!$A$14:$L$18,7,FALSE),0))</f>
        <v>0</v>
      </c>
      <c r="J148" s="306">
        <f>+IF($H148=J$2,VLOOKUP($G148,Depreciation!$A$14:$L$18,8,FALSE)/2,IF($H148&lt;J$2,VLOOKUP($G148,Depreciation!$A$14:$L$18,8,FALSE),0))</f>
        <v>0</v>
      </c>
      <c r="K148" s="306">
        <f>+IF($H148=K$2,VLOOKUP($G148,Depreciation!$A$14:$L$18,9,FALSE)/2,IF($H148&lt;K$2,VLOOKUP($G148,Depreciation!$A$14:$L$18,9,FALSE),0))</f>
        <v>1.671703928371859E-2</v>
      </c>
      <c r="L148" s="306">
        <f>+IF($H148=L$2,VLOOKUP($G148,Depreciation!$A$14:$L$18,10,FALSE)/2,IF($H148&lt;L$2,VLOOKUP($G148,Depreciation!$A$14:$L$18,10,FALSE),0))</f>
        <v>3.343407856743718E-2</v>
      </c>
      <c r="M148" s="306">
        <f>+IF($H148=M$2,VLOOKUP($G148,Depreciation!$A$14:$L$18,11,FALSE)/2,IF($H148&lt;M$2,VLOOKUP($G148,Depreciation!$A$14:$L$18,11,FALSE),0))</f>
        <v>3.343407856743718E-2</v>
      </c>
      <c r="N148" s="306">
        <f>+IF($H148=N$2,VLOOKUP($G148,Depreciation!$A$14:$L$18,12,FALSE)/2,IF($H148&lt;N$2,VLOOKUP($G148,Depreciation!$A$14:$L$18,12,FALSE),0))</f>
        <v>3.343407856743718E-2</v>
      </c>
      <c r="O148" s="307">
        <f t="shared" si="17"/>
        <v>77582.801012712371</v>
      </c>
      <c r="P148" s="732">
        <f>'Func Future Subs 2015'!P148</f>
        <v>0</v>
      </c>
      <c r="Q148" s="732">
        <f>'Func Future Subs 2015'!Q148</f>
        <v>1</v>
      </c>
      <c r="R148" s="732">
        <f>'Func Future Subs 2015'!R148</f>
        <v>0</v>
      </c>
      <c r="S148" s="735">
        <f t="shared" si="18"/>
        <v>0</v>
      </c>
      <c r="T148" s="735">
        <f t="shared" si="19"/>
        <v>77582.801012712371</v>
      </c>
      <c r="U148" s="735">
        <f t="shared" si="20"/>
        <v>0</v>
      </c>
      <c r="V148" s="736">
        <f t="shared" si="21"/>
        <v>0</v>
      </c>
      <c r="W148" s="735">
        <f t="shared" si="22"/>
        <v>0</v>
      </c>
      <c r="X148" s="737">
        <f t="shared" si="23"/>
        <v>0</v>
      </c>
      <c r="Y148" s="738">
        <f t="shared" si="24"/>
        <v>77582.801012712371</v>
      </c>
    </row>
    <row r="149" spans="1:25">
      <c r="A149" s="754" t="str">
        <f>'Func Future Subs 2015'!A149</f>
        <v>Wetaskiwin 40S</v>
      </c>
      <c r="B149" s="754">
        <f>'Func Future Subs 2015'!B149</f>
        <v>850</v>
      </c>
      <c r="C149" s="754">
        <f>'Func Future Subs 2015'!C149</f>
        <v>138</v>
      </c>
      <c r="D149" s="754">
        <f>'Func Future Subs 2015'!D149</f>
        <v>25</v>
      </c>
      <c r="E149" s="754" t="str">
        <f>'Func Future Subs 2015'!E149</f>
        <v>40S</v>
      </c>
      <c r="F149" s="754">
        <f>'Func Future Subs 2015'!F149</f>
        <v>1153188.8957173596</v>
      </c>
      <c r="G149" s="754" t="str">
        <f>'Func Future Subs 2015'!G149</f>
        <v>AltaLink</v>
      </c>
      <c r="H149" s="754">
        <f>'Func Future Subs 2015'!H149</f>
        <v>2017</v>
      </c>
      <c r="I149" s="306">
        <f>+IF($H149=I$2,VLOOKUP($G149,Depreciation!$A$14:$L$18,7,FALSE)/2,IF($H149&lt;I$2,VLOOKUP($G149,Depreciation!$A$14:$L$18,7,FALSE),0))</f>
        <v>0</v>
      </c>
      <c r="J149" s="306">
        <f>+IF($H149=J$2,VLOOKUP($G149,Depreciation!$A$14:$L$18,8,FALSE)/2,IF($H149&lt;J$2,VLOOKUP($G149,Depreciation!$A$14:$L$18,8,FALSE),0))</f>
        <v>0</v>
      </c>
      <c r="K149" s="306">
        <f>+IF($H149=K$2,VLOOKUP($G149,Depreciation!$A$14:$L$18,9,FALSE)/2,IF($H149&lt;K$2,VLOOKUP($G149,Depreciation!$A$14:$L$18,9,FALSE),0))</f>
        <v>1.671703928371859E-2</v>
      </c>
      <c r="L149" s="306">
        <f>+IF($H149=L$2,VLOOKUP($G149,Depreciation!$A$14:$L$18,10,FALSE)/2,IF($H149&lt;L$2,VLOOKUP($G149,Depreciation!$A$14:$L$18,10,FALSE),0))</f>
        <v>3.343407856743718E-2</v>
      </c>
      <c r="M149" s="306">
        <f>+IF($H149=M$2,VLOOKUP($G149,Depreciation!$A$14:$L$18,11,FALSE)/2,IF($H149&lt;M$2,VLOOKUP($G149,Depreciation!$A$14:$L$18,11,FALSE),0))</f>
        <v>3.343407856743718E-2</v>
      </c>
      <c r="N149" s="306">
        <f>+IF($H149=N$2,VLOOKUP($G149,Depreciation!$A$14:$L$18,12,FALSE)/2,IF($H149&lt;N$2,VLOOKUP($G149,Depreciation!$A$14:$L$18,12,FALSE),0))</f>
        <v>3.343407856743718E-2</v>
      </c>
      <c r="O149" s="307">
        <f t="shared" si="17"/>
        <v>1059355.9816322131</v>
      </c>
      <c r="P149" s="732">
        <f>'Func Future Subs 2015'!P149</f>
        <v>0</v>
      </c>
      <c r="Q149" s="732">
        <f>'Func Future Subs 2015'!Q149</f>
        <v>1</v>
      </c>
      <c r="R149" s="732">
        <f>'Func Future Subs 2015'!R149</f>
        <v>0</v>
      </c>
      <c r="S149" s="735">
        <f t="shared" si="18"/>
        <v>0</v>
      </c>
      <c r="T149" s="735">
        <f t="shared" si="19"/>
        <v>1059355.9816322131</v>
      </c>
      <c r="U149" s="735">
        <f t="shared" si="20"/>
        <v>0</v>
      </c>
      <c r="V149" s="736">
        <f t="shared" si="21"/>
        <v>0</v>
      </c>
      <c r="W149" s="735">
        <f t="shared" si="22"/>
        <v>0</v>
      </c>
      <c r="X149" s="737">
        <f t="shared" si="23"/>
        <v>0</v>
      </c>
      <c r="Y149" s="738">
        <f t="shared" si="24"/>
        <v>1059355.9816322131</v>
      </c>
    </row>
    <row r="150" spans="1:25">
      <c r="A150" s="754" t="str">
        <f>'Func Future Subs 2015'!A150</f>
        <v>Wolf Creek 288S</v>
      </c>
      <c r="B150" s="754">
        <f>'Func Future Subs 2015'!B150</f>
        <v>850</v>
      </c>
      <c r="C150" s="754">
        <f>'Func Future Subs 2015'!C150</f>
        <v>240</v>
      </c>
      <c r="D150" s="754">
        <f>'Func Future Subs 2015'!D150</f>
        <v>138</v>
      </c>
      <c r="E150" s="754" t="str">
        <f>'Func Future Subs 2015'!E150</f>
        <v>288S</v>
      </c>
      <c r="F150" s="754">
        <f>'Func Future Subs 2015'!F150</f>
        <v>475507.74094974546</v>
      </c>
      <c r="G150" s="754" t="str">
        <f>'Func Future Subs 2015'!G150</f>
        <v>AltaLink</v>
      </c>
      <c r="H150" s="754">
        <f>'Func Future Subs 2015'!H150</f>
        <v>2017</v>
      </c>
      <c r="I150" s="306">
        <f>+IF($H150=I$2,VLOOKUP($G150,Depreciation!$A$14:$L$18,7,FALSE)/2,IF($H150&lt;I$2,VLOOKUP($G150,Depreciation!$A$14:$L$18,7,FALSE),0))</f>
        <v>0</v>
      </c>
      <c r="J150" s="306">
        <f>+IF($H150=J$2,VLOOKUP($G150,Depreciation!$A$14:$L$18,8,FALSE)/2,IF($H150&lt;J$2,VLOOKUP($G150,Depreciation!$A$14:$L$18,8,FALSE),0))</f>
        <v>0</v>
      </c>
      <c r="K150" s="306">
        <f>+IF($H150=K$2,VLOOKUP($G150,Depreciation!$A$14:$L$18,9,FALSE)/2,IF($H150&lt;K$2,VLOOKUP($G150,Depreciation!$A$14:$L$18,9,FALSE),0))</f>
        <v>1.671703928371859E-2</v>
      </c>
      <c r="L150" s="306">
        <f>+IF($H150=L$2,VLOOKUP($G150,Depreciation!$A$14:$L$18,10,FALSE)/2,IF($H150&lt;L$2,VLOOKUP($G150,Depreciation!$A$14:$L$18,10,FALSE),0))</f>
        <v>3.343407856743718E-2</v>
      </c>
      <c r="M150" s="306">
        <f>+IF($H150=M$2,VLOOKUP($G150,Depreciation!$A$14:$L$18,11,FALSE)/2,IF($H150&lt;M$2,VLOOKUP($G150,Depreciation!$A$14:$L$18,11,FALSE),0))</f>
        <v>3.343407856743718E-2</v>
      </c>
      <c r="N150" s="306">
        <f>+IF($H150=N$2,VLOOKUP($G150,Depreciation!$A$14:$L$18,12,FALSE)/2,IF($H150&lt;N$2,VLOOKUP($G150,Depreciation!$A$14:$L$18,12,FALSE),0))</f>
        <v>3.343407856743718E-2</v>
      </c>
      <c r="O150" s="307">
        <f t="shared" si="17"/>
        <v>436816.52811457153</v>
      </c>
      <c r="P150" s="732">
        <f>'Func Future Subs 2015'!P150</f>
        <v>0</v>
      </c>
      <c r="Q150" s="732">
        <f>'Func Future Subs 2015'!Q150</f>
        <v>0</v>
      </c>
      <c r="R150" s="732">
        <f>'Func Future Subs 2015'!R150</f>
        <v>1</v>
      </c>
      <c r="S150" s="735">
        <f t="shared" si="18"/>
        <v>0</v>
      </c>
      <c r="T150" s="735">
        <f t="shared" si="19"/>
        <v>0</v>
      </c>
      <c r="U150" s="735">
        <f t="shared" si="20"/>
        <v>436816.52811457153</v>
      </c>
      <c r="V150" s="736">
        <f t="shared" si="21"/>
        <v>0</v>
      </c>
      <c r="W150" s="735">
        <f t="shared" si="22"/>
        <v>0</v>
      </c>
      <c r="X150" s="737">
        <f t="shared" si="23"/>
        <v>436816.52811457153</v>
      </c>
      <c r="Y150" s="738">
        <f t="shared" si="24"/>
        <v>0</v>
      </c>
    </row>
    <row r="151" spans="1:25">
      <c r="A151" s="754" t="str">
        <f>'Func Future Subs 2015'!A151</f>
        <v>Enmax No. 5</v>
      </c>
      <c r="B151" s="754">
        <f>'Func Future Subs 2015'!B151</f>
        <v>859</v>
      </c>
      <c r="C151" s="754">
        <f>'Func Future Subs 2015'!C151</f>
        <v>138</v>
      </c>
      <c r="D151" s="754">
        <f>'Func Future Subs 2015'!D151</f>
        <v>25</v>
      </c>
      <c r="E151" s="754" t="str">
        <f>'Func Future Subs 2015'!E151</f>
        <v>SS-5</v>
      </c>
      <c r="F151" s="754">
        <f>'Func Future Subs 2015'!F151</f>
        <v>37991871.591546685</v>
      </c>
      <c r="G151" s="754" t="str">
        <f>'Func Future Subs 2015'!G151</f>
        <v>ENMAX</v>
      </c>
      <c r="H151" s="754">
        <f>'Func Future Subs 2015'!H151</f>
        <v>2015</v>
      </c>
      <c r="I151" s="306">
        <f>+IF($H151=I$2,VLOOKUP($G151,Depreciation!$A$14:$L$18,7,FALSE)/2,IF($H151&lt;I$2,VLOOKUP($G151,Depreciation!$A$14:$L$18,7,FALSE),0))</f>
        <v>1.3928409269726289E-2</v>
      </c>
      <c r="J151" s="306">
        <f>+IF($H151=J$2,VLOOKUP($G151,Depreciation!$A$14:$L$18,8,FALSE)/2,IF($H151&lt;J$2,VLOOKUP($G151,Depreciation!$A$14:$L$18,8,FALSE),0))</f>
        <v>2.7856818539452578E-2</v>
      </c>
      <c r="K151" s="306">
        <f>+IF($H151=K$2,VLOOKUP($G151,Depreciation!$A$14:$L$18,9,FALSE)/2,IF($H151&lt;K$2,VLOOKUP($G151,Depreciation!$A$14:$L$18,9,FALSE),0))</f>
        <v>2.7856818539452578E-2</v>
      </c>
      <c r="L151" s="306">
        <f>+IF($H151=L$2,VLOOKUP($G151,Depreciation!$A$14:$L$18,10,FALSE)/2,IF($H151&lt;L$2,VLOOKUP($G151,Depreciation!$A$14:$L$18,10,FALSE),0))</f>
        <v>2.7856818539452578E-2</v>
      </c>
      <c r="M151" s="306">
        <f>+IF($H151=M$2,VLOOKUP($G151,Depreciation!$A$14:$L$18,11,FALSE)/2,IF($H151&lt;M$2,VLOOKUP($G151,Depreciation!$A$14:$L$18,11,FALSE),0))</f>
        <v>2.7856818539452578E-2</v>
      </c>
      <c r="N151" s="306">
        <f>+IF($H151=N$2,VLOOKUP($G151,Depreciation!$A$14:$L$18,12,FALSE)/2,IF($H151&lt;N$2,VLOOKUP($G151,Depreciation!$A$14:$L$18,12,FALSE),0))</f>
        <v>2.7856818539452578E-2</v>
      </c>
      <c r="O151" s="307">
        <f t="shared" si="17"/>
        <v>33459548.248015985</v>
      </c>
      <c r="P151" s="732">
        <f>'Func Future Subs 2015'!P151</f>
        <v>0</v>
      </c>
      <c r="Q151" s="732">
        <f>'Func Future Subs 2015'!Q151</f>
        <v>1</v>
      </c>
      <c r="R151" s="732">
        <f>'Func Future Subs 2015'!R151</f>
        <v>0</v>
      </c>
      <c r="S151" s="735">
        <f t="shared" si="18"/>
        <v>0</v>
      </c>
      <c r="T151" s="735">
        <f t="shared" si="19"/>
        <v>33459548.248015985</v>
      </c>
      <c r="U151" s="735">
        <f t="shared" si="20"/>
        <v>0</v>
      </c>
      <c r="V151" s="736">
        <f t="shared" si="21"/>
        <v>0</v>
      </c>
      <c r="W151" s="735">
        <f t="shared" si="22"/>
        <v>0</v>
      </c>
      <c r="X151" s="737">
        <f t="shared" si="23"/>
        <v>0</v>
      </c>
      <c r="Y151" s="738">
        <f t="shared" si="24"/>
        <v>33459548.248015985</v>
      </c>
    </row>
    <row r="152" spans="1:25">
      <c r="A152" s="754" t="str">
        <f>'Func Future Subs 2015'!A152</f>
        <v>Foothills 237S</v>
      </c>
      <c r="B152" s="754">
        <f>'Func Future Subs 2015'!B152</f>
        <v>882</v>
      </c>
      <c r="C152" s="754">
        <f>'Func Future Subs 2015'!C152</f>
        <v>240</v>
      </c>
      <c r="D152" s="754">
        <f>'Func Future Subs 2015'!D152</f>
        <v>138</v>
      </c>
      <c r="E152" s="754" t="str">
        <f>'Func Future Subs 2015'!E152</f>
        <v>237S</v>
      </c>
      <c r="F152" s="754">
        <f>'Func Future Subs 2015'!F152</f>
        <v>358753.33155285398</v>
      </c>
      <c r="G152" s="754" t="str">
        <f>'Func Future Subs 2015'!G152</f>
        <v>AltaLink</v>
      </c>
      <c r="H152" s="754">
        <f>'Func Future Subs 2015'!H152</f>
        <v>2015</v>
      </c>
      <c r="I152" s="306">
        <f>+IF($H152=I$2,VLOOKUP($G152,Depreciation!$A$14:$L$18,7,FALSE)/2,IF($H152&lt;I$2,VLOOKUP($G152,Depreciation!$A$14:$L$18,7,FALSE),0))</f>
        <v>1.7228380322441735E-2</v>
      </c>
      <c r="J152" s="306">
        <f>+IF($H152=J$2,VLOOKUP($G152,Depreciation!$A$14:$L$18,8,FALSE)/2,IF($H152&lt;J$2,VLOOKUP($G152,Depreciation!$A$14:$L$18,8,FALSE),0))</f>
        <v>3.343407856743718E-2</v>
      </c>
      <c r="K152" s="306">
        <f>+IF($H152=K$2,VLOOKUP($G152,Depreciation!$A$14:$L$18,9,FALSE)/2,IF($H152&lt;K$2,VLOOKUP($G152,Depreciation!$A$14:$L$18,9,FALSE),0))</f>
        <v>3.343407856743718E-2</v>
      </c>
      <c r="L152" s="306">
        <f>+IF($H152=L$2,VLOOKUP($G152,Depreciation!$A$14:$L$18,10,FALSE)/2,IF($H152&lt;L$2,VLOOKUP($G152,Depreciation!$A$14:$L$18,10,FALSE),0))</f>
        <v>3.343407856743718E-2</v>
      </c>
      <c r="M152" s="306">
        <f>+IF($H152=M$2,VLOOKUP($G152,Depreciation!$A$14:$L$18,11,FALSE)/2,IF($H152&lt;M$2,VLOOKUP($G152,Depreciation!$A$14:$L$18,11,FALSE),0))</f>
        <v>3.343407856743718E-2</v>
      </c>
      <c r="N152" s="306">
        <f>+IF($H152=N$2,VLOOKUP($G152,Depreciation!$A$14:$L$18,12,FALSE)/2,IF($H152&lt;N$2,VLOOKUP($G152,Depreciation!$A$14:$L$18,12,FALSE),0))</f>
        <v>3.343407856743718E-2</v>
      </c>
      <c r="O152" s="307">
        <f t="shared" si="17"/>
        <v>307733.27962960757</v>
      </c>
      <c r="P152" s="732">
        <f>'Func Future Subs 2015'!P152</f>
        <v>0</v>
      </c>
      <c r="Q152" s="732">
        <f>'Func Future Subs 2015'!Q152</f>
        <v>0</v>
      </c>
      <c r="R152" s="732">
        <f>'Func Future Subs 2015'!R152</f>
        <v>1</v>
      </c>
      <c r="S152" s="735">
        <f t="shared" si="18"/>
        <v>0</v>
      </c>
      <c r="T152" s="735">
        <f t="shared" si="19"/>
        <v>0</v>
      </c>
      <c r="U152" s="735">
        <f t="shared" si="20"/>
        <v>307733.27962960757</v>
      </c>
      <c r="V152" s="736">
        <f t="shared" si="21"/>
        <v>0</v>
      </c>
      <c r="W152" s="735">
        <f t="shared" si="22"/>
        <v>0</v>
      </c>
      <c r="X152" s="737">
        <f t="shared" si="23"/>
        <v>307733.27962960757</v>
      </c>
      <c r="Y152" s="738">
        <f t="shared" si="24"/>
        <v>0</v>
      </c>
    </row>
    <row r="153" spans="1:25">
      <c r="A153" s="754" t="str">
        <f>'Func Future Subs 2015'!A153</f>
        <v>Peigan 59S</v>
      </c>
      <c r="B153" s="754">
        <f>'Func Future Subs 2015'!B153</f>
        <v>882</v>
      </c>
      <c r="C153" s="754">
        <f>'Func Future Subs 2015'!C153</f>
        <v>240</v>
      </c>
      <c r="D153" s="754">
        <f>'Func Future Subs 2015'!D153</f>
        <v>138</v>
      </c>
      <c r="E153" s="754" t="str">
        <f>'Func Future Subs 2015'!E153</f>
        <v>59S</v>
      </c>
      <c r="F153" s="754">
        <f>'Func Future Subs 2015'!F153</f>
        <v>309435.01757324504</v>
      </c>
      <c r="G153" s="754" t="str">
        <f>'Func Future Subs 2015'!G153</f>
        <v>AltaLink</v>
      </c>
      <c r="H153" s="754">
        <f>'Func Future Subs 2015'!H153</f>
        <v>2015</v>
      </c>
      <c r="I153" s="306">
        <f>+IF($H153=I$2,VLOOKUP($G153,Depreciation!$A$14:$L$18,7,FALSE)/2,IF($H153&lt;I$2,VLOOKUP($G153,Depreciation!$A$14:$L$18,7,FALSE),0))</f>
        <v>1.7228380322441735E-2</v>
      </c>
      <c r="J153" s="306">
        <f>+IF($H153=J$2,VLOOKUP($G153,Depreciation!$A$14:$L$18,8,FALSE)/2,IF($H153&lt;J$2,VLOOKUP($G153,Depreciation!$A$14:$L$18,8,FALSE),0))</f>
        <v>3.343407856743718E-2</v>
      </c>
      <c r="K153" s="306">
        <f>+IF($H153=K$2,VLOOKUP($G153,Depreciation!$A$14:$L$18,9,FALSE)/2,IF($H153&lt;K$2,VLOOKUP($G153,Depreciation!$A$14:$L$18,9,FALSE),0))</f>
        <v>3.343407856743718E-2</v>
      </c>
      <c r="L153" s="306">
        <f>+IF($H153=L$2,VLOOKUP($G153,Depreciation!$A$14:$L$18,10,FALSE)/2,IF($H153&lt;L$2,VLOOKUP($G153,Depreciation!$A$14:$L$18,10,FALSE),0))</f>
        <v>3.343407856743718E-2</v>
      </c>
      <c r="M153" s="306">
        <f>+IF($H153=M$2,VLOOKUP($G153,Depreciation!$A$14:$L$18,11,FALSE)/2,IF($H153&lt;M$2,VLOOKUP($G153,Depreciation!$A$14:$L$18,11,FALSE),0))</f>
        <v>3.343407856743718E-2</v>
      </c>
      <c r="N153" s="306">
        <f>+IF($H153=N$2,VLOOKUP($G153,Depreciation!$A$14:$L$18,12,FALSE)/2,IF($H153&lt;N$2,VLOOKUP($G153,Depreciation!$A$14:$L$18,12,FALSE),0))</f>
        <v>3.343407856743718E-2</v>
      </c>
      <c r="O153" s="307">
        <f t="shared" si="17"/>
        <v>265428.76236964221</v>
      </c>
      <c r="P153" s="732">
        <f>'Func Future Subs 2015'!P153</f>
        <v>0</v>
      </c>
      <c r="Q153" s="732">
        <f>'Func Future Subs 2015'!Q153</f>
        <v>0</v>
      </c>
      <c r="R153" s="732">
        <f>'Func Future Subs 2015'!R153</f>
        <v>1</v>
      </c>
      <c r="S153" s="735">
        <f t="shared" si="18"/>
        <v>0</v>
      </c>
      <c r="T153" s="735">
        <f t="shared" si="19"/>
        <v>0</v>
      </c>
      <c r="U153" s="735">
        <f t="shared" si="20"/>
        <v>265428.76236964221</v>
      </c>
      <c r="V153" s="736">
        <f t="shared" si="21"/>
        <v>0</v>
      </c>
      <c r="W153" s="735">
        <f t="shared" si="22"/>
        <v>0</v>
      </c>
      <c r="X153" s="737">
        <f t="shared" si="23"/>
        <v>265428.76236964221</v>
      </c>
      <c r="Y153" s="738">
        <f t="shared" si="24"/>
        <v>0</v>
      </c>
    </row>
    <row r="154" spans="1:25">
      <c r="A154" s="754" t="str">
        <f>'Func Future Subs 2015'!A154</f>
        <v>Station - Stavely Series Capacitor SC1 266S</v>
      </c>
      <c r="B154" s="754">
        <f>'Func Future Subs 2015'!B154</f>
        <v>882</v>
      </c>
      <c r="C154" s="754">
        <f>'Func Future Subs 2015'!C154</f>
        <v>240</v>
      </c>
      <c r="D154" s="754">
        <f>'Func Future Subs 2015'!D154</f>
        <v>240</v>
      </c>
      <c r="E154" s="754" t="str">
        <f>'Func Future Subs 2015'!E154</f>
        <v>266S</v>
      </c>
      <c r="F154" s="754">
        <f>'Func Future Subs 2015'!F154</f>
        <v>42547759.969354637</v>
      </c>
      <c r="G154" s="754" t="str">
        <f>'Func Future Subs 2015'!G154</f>
        <v>AltaLink</v>
      </c>
      <c r="H154" s="754">
        <f>'Func Future Subs 2015'!H154</f>
        <v>2015</v>
      </c>
      <c r="I154" s="306">
        <f>+IF($H154=I$2,VLOOKUP($G154,Depreciation!$A$14:$L$18,7,FALSE)/2,IF($H154&lt;I$2,VLOOKUP($G154,Depreciation!$A$14:$L$18,7,FALSE),0))</f>
        <v>1.7228380322441735E-2</v>
      </c>
      <c r="J154" s="306">
        <f>+IF($H154=J$2,VLOOKUP($G154,Depreciation!$A$14:$L$18,8,FALSE)/2,IF($H154&lt;J$2,VLOOKUP($G154,Depreciation!$A$14:$L$18,8,FALSE),0))</f>
        <v>3.343407856743718E-2</v>
      </c>
      <c r="K154" s="306">
        <f>+IF($H154=K$2,VLOOKUP($G154,Depreciation!$A$14:$L$18,9,FALSE)/2,IF($H154&lt;K$2,VLOOKUP($G154,Depreciation!$A$14:$L$18,9,FALSE),0))</f>
        <v>3.343407856743718E-2</v>
      </c>
      <c r="L154" s="306">
        <f>+IF($H154=L$2,VLOOKUP($G154,Depreciation!$A$14:$L$18,10,FALSE)/2,IF($H154&lt;L$2,VLOOKUP($G154,Depreciation!$A$14:$L$18,10,FALSE),0))</f>
        <v>3.343407856743718E-2</v>
      </c>
      <c r="M154" s="306">
        <f>+IF($H154=M$2,VLOOKUP($G154,Depreciation!$A$14:$L$18,11,FALSE)/2,IF($H154&lt;M$2,VLOOKUP($G154,Depreciation!$A$14:$L$18,11,FALSE),0))</f>
        <v>3.343407856743718E-2</v>
      </c>
      <c r="N154" s="306">
        <f>+IF($H154=N$2,VLOOKUP($G154,Depreciation!$A$14:$L$18,12,FALSE)/2,IF($H154&lt;N$2,VLOOKUP($G154,Depreciation!$A$14:$L$18,12,FALSE),0))</f>
        <v>3.343407856743718E-2</v>
      </c>
      <c r="O154" s="307">
        <f t="shared" si="17"/>
        <v>36496836.585708</v>
      </c>
      <c r="P154" s="732">
        <f>'Func Future Subs 2015'!P154</f>
        <v>0</v>
      </c>
      <c r="Q154" s="732">
        <f>'Func Future Subs 2015'!Q154</f>
        <v>0</v>
      </c>
      <c r="R154" s="732">
        <f>'Func Future Subs 2015'!R154</f>
        <v>1</v>
      </c>
      <c r="S154" s="735">
        <f t="shared" si="18"/>
        <v>0</v>
      </c>
      <c r="T154" s="735">
        <f t="shared" si="19"/>
        <v>0</v>
      </c>
      <c r="U154" s="735">
        <f t="shared" si="20"/>
        <v>36496836.585708</v>
      </c>
      <c r="V154" s="736">
        <f t="shared" si="21"/>
        <v>0</v>
      </c>
      <c r="W154" s="735">
        <f t="shared" si="22"/>
        <v>36496836.585708</v>
      </c>
      <c r="X154" s="737">
        <f t="shared" si="23"/>
        <v>0</v>
      </c>
      <c r="Y154" s="738">
        <f t="shared" si="24"/>
        <v>0</v>
      </c>
    </row>
    <row r="155" spans="1:25">
      <c r="A155" s="754" t="str">
        <f>'Func Future Subs 2015'!A155</f>
        <v>Windy Flats 138S</v>
      </c>
      <c r="B155" s="754">
        <f>'Func Future Subs 2015'!B155</f>
        <v>882</v>
      </c>
      <c r="C155" s="754">
        <f>'Func Future Subs 2015'!C155</f>
        <v>240</v>
      </c>
      <c r="D155" s="754">
        <f>'Func Future Subs 2015'!D155</f>
        <v>138</v>
      </c>
      <c r="E155" s="754" t="str">
        <f>'Func Future Subs 2015'!E155</f>
        <v>138S</v>
      </c>
      <c r="F155" s="754">
        <f>'Func Future Subs 2015'!F155</f>
        <v>73372187.647627547</v>
      </c>
      <c r="G155" s="754" t="str">
        <f>'Func Future Subs 2015'!G155</f>
        <v>AltaLink</v>
      </c>
      <c r="H155" s="754">
        <f>'Func Future Subs 2015'!H155</f>
        <v>2015</v>
      </c>
      <c r="I155" s="306">
        <f>+IF($H155=I$2,VLOOKUP($G155,Depreciation!$A$14:$L$18,7,FALSE)/2,IF($H155&lt;I$2,VLOOKUP($G155,Depreciation!$A$14:$L$18,7,FALSE),0))</f>
        <v>1.7228380322441735E-2</v>
      </c>
      <c r="J155" s="306">
        <f>+IF($H155=J$2,VLOOKUP($G155,Depreciation!$A$14:$L$18,8,FALSE)/2,IF($H155&lt;J$2,VLOOKUP($G155,Depreciation!$A$14:$L$18,8,FALSE),0))</f>
        <v>3.343407856743718E-2</v>
      </c>
      <c r="K155" s="306">
        <f>+IF($H155=K$2,VLOOKUP($G155,Depreciation!$A$14:$L$18,9,FALSE)/2,IF($H155&lt;K$2,VLOOKUP($G155,Depreciation!$A$14:$L$18,9,FALSE),0))</f>
        <v>3.343407856743718E-2</v>
      </c>
      <c r="L155" s="306">
        <f>+IF($H155=L$2,VLOOKUP($G155,Depreciation!$A$14:$L$18,10,FALSE)/2,IF($H155&lt;L$2,VLOOKUP($G155,Depreciation!$A$14:$L$18,10,FALSE),0))</f>
        <v>3.343407856743718E-2</v>
      </c>
      <c r="M155" s="306">
        <f>+IF($H155=M$2,VLOOKUP($G155,Depreciation!$A$14:$L$18,11,FALSE)/2,IF($H155&lt;M$2,VLOOKUP($G155,Depreciation!$A$14:$L$18,11,FALSE),0))</f>
        <v>3.343407856743718E-2</v>
      </c>
      <c r="N155" s="306">
        <f>+IF($H155=N$2,VLOOKUP($G155,Depreciation!$A$14:$L$18,12,FALSE)/2,IF($H155&lt;N$2,VLOOKUP($G155,Depreciation!$A$14:$L$18,12,FALSE),0))</f>
        <v>3.343407856743718E-2</v>
      </c>
      <c r="O155" s="307">
        <f t="shared" si="17"/>
        <v>62937572.846140668</v>
      </c>
      <c r="P155" s="732">
        <f>'Func Future Subs 2015'!P155</f>
        <v>0</v>
      </c>
      <c r="Q155" s="732">
        <f>'Func Future Subs 2015'!Q155</f>
        <v>0</v>
      </c>
      <c r="R155" s="732">
        <f>'Func Future Subs 2015'!R155</f>
        <v>1</v>
      </c>
      <c r="S155" s="735">
        <f t="shared" si="18"/>
        <v>0</v>
      </c>
      <c r="T155" s="735">
        <f t="shared" si="19"/>
        <v>0</v>
      </c>
      <c r="U155" s="735">
        <f t="shared" si="20"/>
        <v>62937572.846140668</v>
      </c>
      <c r="V155" s="736">
        <f t="shared" si="21"/>
        <v>0</v>
      </c>
      <c r="W155" s="735">
        <f t="shared" si="22"/>
        <v>0</v>
      </c>
      <c r="X155" s="737">
        <f t="shared" si="23"/>
        <v>62937572.846140668</v>
      </c>
      <c r="Y155" s="738">
        <f t="shared" si="24"/>
        <v>0</v>
      </c>
    </row>
    <row r="156" spans="1:25">
      <c r="A156" s="754" t="str">
        <f>'Func Future Subs 2015'!A156</f>
        <v>Bowmanton 244S 138kV</v>
      </c>
      <c r="B156" s="754">
        <f>'Func Future Subs 2015'!B156</f>
        <v>888</v>
      </c>
      <c r="C156" s="754">
        <f>'Func Future Subs 2015'!C156</f>
        <v>240</v>
      </c>
      <c r="D156" s="754">
        <f>'Func Future Subs 2015'!D156</f>
        <v>138</v>
      </c>
      <c r="E156" s="754" t="str">
        <f>'Func Future Subs 2015'!E156</f>
        <v>244S</v>
      </c>
      <c r="F156" s="754">
        <f>'Func Future Subs 2015'!F156</f>
        <v>31598804.467574589</v>
      </c>
      <c r="G156" s="754" t="str">
        <f>'Func Future Subs 2015'!G156</f>
        <v>AltaLink</v>
      </c>
      <c r="H156" s="754">
        <f>'Func Future Subs 2015'!H156</f>
        <v>2016</v>
      </c>
      <c r="I156" s="306">
        <f>+IF($H156=I$2,VLOOKUP($G156,Depreciation!$A$14:$L$18,7,FALSE)/2,IF($H156&lt;I$2,VLOOKUP($G156,Depreciation!$A$14:$L$18,7,FALSE),0))</f>
        <v>0</v>
      </c>
      <c r="J156" s="306">
        <f>+IF($H156=J$2,VLOOKUP($G156,Depreciation!$A$14:$L$18,8,FALSE)/2,IF($H156&lt;J$2,VLOOKUP($G156,Depreciation!$A$14:$L$18,8,FALSE),0))</f>
        <v>1.671703928371859E-2</v>
      </c>
      <c r="K156" s="306">
        <f>+IF($H156=K$2,VLOOKUP($G156,Depreciation!$A$14:$L$18,9,FALSE)/2,IF($H156&lt;K$2,VLOOKUP($G156,Depreciation!$A$14:$L$18,9,FALSE),0))</f>
        <v>3.343407856743718E-2</v>
      </c>
      <c r="L156" s="306">
        <f>+IF($H156=L$2,VLOOKUP($G156,Depreciation!$A$14:$L$18,10,FALSE)/2,IF($H156&lt;L$2,VLOOKUP($G156,Depreciation!$A$14:$L$18,10,FALSE),0))</f>
        <v>3.343407856743718E-2</v>
      </c>
      <c r="M156" s="306">
        <f>+IF($H156=M$2,VLOOKUP($G156,Depreciation!$A$14:$L$18,11,FALSE)/2,IF($H156&lt;M$2,VLOOKUP($G156,Depreciation!$A$14:$L$18,11,FALSE),0))</f>
        <v>3.343407856743718E-2</v>
      </c>
      <c r="N156" s="306">
        <f>+IF($H156=N$2,VLOOKUP($G156,Depreciation!$A$14:$L$18,12,FALSE)/2,IF($H156&lt;N$2,VLOOKUP($G156,Depreciation!$A$14:$L$18,12,FALSE),0))</f>
        <v>3.343407856743718E-2</v>
      </c>
      <c r="O156" s="307">
        <f t="shared" si="17"/>
        <v>28057153.090849351</v>
      </c>
      <c r="P156" s="732">
        <f>'Func Future Subs 2015'!P156</f>
        <v>0</v>
      </c>
      <c r="Q156" s="732">
        <f>'Func Future Subs 2015'!Q156</f>
        <v>0</v>
      </c>
      <c r="R156" s="732">
        <f>'Func Future Subs 2015'!R156</f>
        <v>1</v>
      </c>
      <c r="S156" s="735">
        <f t="shared" si="18"/>
        <v>0</v>
      </c>
      <c r="T156" s="735">
        <f t="shared" si="19"/>
        <v>0</v>
      </c>
      <c r="U156" s="735">
        <f t="shared" si="20"/>
        <v>28057153.090849351</v>
      </c>
      <c r="V156" s="736">
        <f t="shared" si="21"/>
        <v>0</v>
      </c>
      <c r="W156" s="735">
        <f t="shared" si="22"/>
        <v>0</v>
      </c>
      <c r="X156" s="737">
        <f t="shared" si="23"/>
        <v>28057153.090849351</v>
      </c>
      <c r="Y156" s="738">
        <f t="shared" si="24"/>
        <v>0</v>
      </c>
    </row>
    <row r="157" spans="1:25">
      <c r="A157" s="754" t="str">
        <f>'Func Future Subs 2015'!A157</f>
        <v>Bullshead 523S</v>
      </c>
      <c r="B157" s="754">
        <f>'Func Future Subs 2015'!B157</f>
        <v>888</v>
      </c>
      <c r="C157" s="754">
        <f>'Func Future Subs 2015'!C157</f>
        <v>240</v>
      </c>
      <c r="D157" s="754">
        <f>'Func Future Subs 2015'!D157</f>
        <v>25</v>
      </c>
      <c r="E157" s="754" t="str">
        <f>'Func Future Subs 2015'!E157</f>
        <v>523S</v>
      </c>
      <c r="F157" s="754">
        <f>'Func Future Subs 2015'!F157</f>
        <v>1075414.0279138924</v>
      </c>
      <c r="G157" s="754" t="str">
        <f>'Func Future Subs 2015'!G157</f>
        <v>AltaLink</v>
      </c>
      <c r="H157" s="754">
        <f>'Func Future Subs 2015'!H157</f>
        <v>2016</v>
      </c>
      <c r="I157" s="306">
        <f>+IF($H157=I$2,VLOOKUP($G157,Depreciation!$A$14:$L$18,7,FALSE)/2,IF($H157&lt;I$2,VLOOKUP($G157,Depreciation!$A$14:$L$18,7,FALSE),0))</f>
        <v>0</v>
      </c>
      <c r="J157" s="306">
        <f>+IF($H157=J$2,VLOOKUP($G157,Depreciation!$A$14:$L$18,8,FALSE)/2,IF($H157&lt;J$2,VLOOKUP($G157,Depreciation!$A$14:$L$18,8,FALSE),0))</f>
        <v>1.671703928371859E-2</v>
      </c>
      <c r="K157" s="306">
        <f>+IF($H157=K$2,VLOOKUP($G157,Depreciation!$A$14:$L$18,9,FALSE)/2,IF($H157&lt;K$2,VLOOKUP($G157,Depreciation!$A$14:$L$18,9,FALSE),0))</f>
        <v>3.343407856743718E-2</v>
      </c>
      <c r="L157" s="306">
        <f>+IF($H157=L$2,VLOOKUP($G157,Depreciation!$A$14:$L$18,10,FALSE)/2,IF($H157&lt;L$2,VLOOKUP($G157,Depreciation!$A$14:$L$18,10,FALSE),0))</f>
        <v>3.343407856743718E-2</v>
      </c>
      <c r="M157" s="306">
        <f>+IF($H157=M$2,VLOOKUP($G157,Depreciation!$A$14:$L$18,11,FALSE)/2,IF($H157&lt;M$2,VLOOKUP($G157,Depreciation!$A$14:$L$18,11,FALSE),0))</f>
        <v>3.343407856743718E-2</v>
      </c>
      <c r="N157" s="306">
        <f>+IF($H157=N$2,VLOOKUP($G157,Depreciation!$A$14:$L$18,12,FALSE)/2,IF($H157&lt;N$2,VLOOKUP($G157,Depreciation!$A$14:$L$18,12,FALSE),0))</f>
        <v>3.343407856743718E-2</v>
      </c>
      <c r="O157" s="307">
        <f t="shared" si="17"/>
        <v>954879.671102411</v>
      </c>
      <c r="P157" s="732">
        <f>'Func Future Subs 2015'!P157</f>
        <v>0</v>
      </c>
      <c r="Q157" s="732">
        <f>'Func Future Subs 2015'!Q157</f>
        <v>1</v>
      </c>
      <c r="R157" s="732">
        <f>'Func Future Subs 2015'!R157</f>
        <v>0</v>
      </c>
      <c r="S157" s="735">
        <f t="shared" si="18"/>
        <v>0</v>
      </c>
      <c r="T157" s="735">
        <f t="shared" si="19"/>
        <v>954879.671102411</v>
      </c>
      <c r="U157" s="735">
        <f t="shared" si="20"/>
        <v>0</v>
      </c>
      <c r="V157" s="736">
        <f t="shared" si="21"/>
        <v>0</v>
      </c>
      <c r="W157" s="735">
        <f t="shared" si="22"/>
        <v>0</v>
      </c>
      <c r="X157" s="737">
        <f t="shared" si="23"/>
        <v>0</v>
      </c>
      <c r="Y157" s="738">
        <f t="shared" si="24"/>
        <v>954879.671102411</v>
      </c>
    </row>
    <row r="158" spans="1:25">
      <c r="A158" s="754" t="str">
        <f>'Func Future Subs 2015'!A158</f>
        <v>Burdett 368S line protection</v>
      </c>
      <c r="B158" s="754">
        <f>'Func Future Subs 2015'!B158</f>
        <v>888</v>
      </c>
      <c r="C158" s="754">
        <f>'Func Future Subs 2015'!C158</f>
        <v>138</v>
      </c>
      <c r="D158" s="754">
        <f>'Func Future Subs 2015'!D158</f>
        <v>25</v>
      </c>
      <c r="E158" s="754" t="str">
        <f>'Func Future Subs 2015'!E158</f>
        <v>368S</v>
      </c>
      <c r="F158" s="754">
        <f>'Func Future Subs 2015'!F158</f>
        <v>300701.16758473852</v>
      </c>
      <c r="G158" s="754" t="str">
        <f>'Func Future Subs 2015'!G158</f>
        <v>AltaLink</v>
      </c>
      <c r="H158" s="754">
        <f>'Func Future Subs 2015'!H158</f>
        <v>2016</v>
      </c>
      <c r="I158" s="306">
        <f>+IF($H158=I$2,VLOOKUP($G158,Depreciation!$A$14:$L$18,7,FALSE)/2,IF($H158&lt;I$2,VLOOKUP($G158,Depreciation!$A$14:$L$18,7,FALSE),0))</f>
        <v>0</v>
      </c>
      <c r="J158" s="306">
        <f>+IF($H158=J$2,VLOOKUP($G158,Depreciation!$A$14:$L$18,8,FALSE)/2,IF($H158&lt;J$2,VLOOKUP($G158,Depreciation!$A$14:$L$18,8,FALSE),0))</f>
        <v>1.671703928371859E-2</v>
      </c>
      <c r="K158" s="306">
        <f>+IF($H158=K$2,VLOOKUP($G158,Depreciation!$A$14:$L$18,9,FALSE)/2,IF($H158&lt;K$2,VLOOKUP($G158,Depreciation!$A$14:$L$18,9,FALSE),0))</f>
        <v>3.343407856743718E-2</v>
      </c>
      <c r="L158" s="306">
        <f>+IF($H158=L$2,VLOOKUP($G158,Depreciation!$A$14:$L$18,10,FALSE)/2,IF($H158&lt;L$2,VLOOKUP($G158,Depreciation!$A$14:$L$18,10,FALSE),0))</f>
        <v>3.343407856743718E-2</v>
      </c>
      <c r="M158" s="306">
        <f>+IF($H158=M$2,VLOOKUP($G158,Depreciation!$A$14:$L$18,11,FALSE)/2,IF($H158&lt;M$2,VLOOKUP($G158,Depreciation!$A$14:$L$18,11,FALSE),0))</f>
        <v>3.343407856743718E-2</v>
      </c>
      <c r="N158" s="306">
        <f>+IF($H158=N$2,VLOOKUP($G158,Depreciation!$A$14:$L$18,12,FALSE)/2,IF($H158&lt;N$2,VLOOKUP($G158,Depreciation!$A$14:$L$18,12,FALSE),0))</f>
        <v>3.343407856743718E-2</v>
      </c>
      <c r="O158" s="307">
        <f t="shared" si="17"/>
        <v>266998.03475728579</v>
      </c>
      <c r="P158" s="732">
        <f>'Func Future Subs 2015'!P158</f>
        <v>0</v>
      </c>
      <c r="Q158" s="732">
        <f>'Func Future Subs 2015'!Q158</f>
        <v>1</v>
      </c>
      <c r="R158" s="732">
        <f>'Func Future Subs 2015'!R158</f>
        <v>0</v>
      </c>
      <c r="S158" s="735">
        <f t="shared" si="18"/>
        <v>0</v>
      </c>
      <c r="T158" s="735">
        <f t="shared" si="19"/>
        <v>266998.03475728579</v>
      </c>
      <c r="U158" s="735">
        <f t="shared" si="20"/>
        <v>0</v>
      </c>
      <c r="V158" s="736">
        <f t="shared" si="21"/>
        <v>0</v>
      </c>
      <c r="W158" s="735">
        <f t="shared" si="22"/>
        <v>0</v>
      </c>
      <c r="X158" s="737">
        <f t="shared" si="23"/>
        <v>0</v>
      </c>
      <c r="Y158" s="738">
        <f t="shared" si="24"/>
        <v>266998.03475728579</v>
      </c>
    </row>
    <row r="159" spans="1:25">
      <c r="A159" s="754" t="str">
        <f>'Func Future Subs 2015'!A159</f>
        <v>Chappice Lake 649S</v>
      </c>
      <c r="B159" s="754">
        <f>'Func Future Subs 2015'!B159</f>
        <v>888</v>
      </c>
      <c r="C159" s="754">
        <f>'Func Future Subs 2015'!C159</f>
        <v>138</v>
      </c>
      <c r="D159" s="754">
        <f>'Func Future Subs 2015'!D159</f>
        <v>25</v>
      </c>
      <c r="E159" s="754" t="str">
        <f>'Func Future Subs 2015'!E159</f>
        <v>649S</v>
      </c>
      <c r="F159" s="754">
        <f>'Func Future Subs 2015'!F159</f>
        <v>51845.028893920433</v>
      </c>
      <c r="G159" s="754" t="str">
        <f>'Func Future Subs 2015'!G159</f>
        <v>AltaLink</v>
      </c>
      <c r="H159" s="754">
        <f>'Func Future Subs 2015'!H159</f>
        <v>2016</v>
      </c>
      <c r="I159" s="306">
        <f>+IF($H159=I$2,VLOOKUP($G159,Depreciation!$A$14:$L$18,7,FALSE)/2,IF($H159&lt;I$2,VLOOKUP($G159,Depreciation!$A$14:$L$18,7,FALSE),0))</f>
        <v>0</v>
      </c>
      <c r="J159" s="306">
        <f>+IF($H159=J$2,VLOOKUP($G159,Depreciation!$A$14:$L$18,8,FALSE)/2,IF($H159&lt;J$2,VLOOKUP($G159,Depreciation!$A$14:$L$18,8,FALSE),0))</f>
        <v>1.671703928371859E-2</v>
      </c>
      <c r="K159" s="306">
        <f>+IF($H159=K$2,VLOOKUP($G159,Depreciation!$A$14:$L$18,9,FALSE)/2,IF($H159&lt;K$2,VLOOKUP($G159,Depreciation!$A$14:$L$18,9,FALSE),0))</f>
        <v>3.343407856743718E-2</v>
      </c>
      <c r="L159" s="306">
        <f>+IF($H159=L$2,VLOOKUP($G159,Depreciation!$A$14:$L$18,10,FALSE)/2,IF($H159&lt;L$2,VLOOKUP($G159,Depreciation!$A$14:$L$18,10,FALSE),0))</f>
        <v>3.343407856743718E-2</v>
      </c>
      <c r="M159" s="306">
        <f>+IF($H159=M$2,VLOOKUP($G159,Depreciation!$A$14:$L$18,11,FALSE)/2,IF($H159&lt;M$2,VLOOKUP($G159,Depreciation!$A$14:$L$18,11,FALSE),0))</f>
        <v>3.343407856743718E-2</v>
      </c>
      <c r="N159" s="306">
        <f>+IF($H159=N$2,VLOOKUP($G159,Depreciation!$A$14:$L$18,12,FALSE)/2,IF($H159&lt;N$2,VLOOKUP($G159,Depreciation!$A$14:$L$18,12,FALSE),0))</f>
        <v>3.343407856743718E-2</v>
      </c>
      <c r="O159" s="307">
        <f t="shared" si="17"/>
        <v>46034.143923669952</v>
      </c>
      <c r="P159" s="732">
        <f>'Func Future Subs 2015'!P159</f>
        <v>0</v>
      </c>
      <c r="Q159" s="732">
        <f>'Func Future Subs 2015'!Q159</f>
        <v>1</v>
      </c>
      <c r="R159" s="732">
        <f>'Func Future Subs 2015'!R159</f>
        <v>0</v>
      </c>
      <c r="S159" s="735">
        <f t="shared" si="18"/>
        <v>0</v>
      </c>
      <c r="T159" s="735">
        <f t="shared" si="19"/>
        <v>46034.143923669952</v>
      </c>
      <c r="U159" s="735">
        <f t="shared" si="20"/>
        <v>0</v>
      </c>
      <c r="V159" s="736">
        <f t="shared" si="21"/>
        <v>0</v>
      </c>
      <c r="W159" s="735">
        <f t="shared" si="22"/>
        <v>0</v>
      </c>
      <c r="X159" s="737">
        <f t="shared" si="23"/>
        <v>0</v>
      </c>
      <c r="Y159" s="738">
        <f t="shared" si="24"/>
        <v>46034.143923669952</v>
      </c>
    </row>
    <row r="160" spans="1:25">
      <c r="A160" s="754" t="str">
        <f>'Func Future Subs 2015'!A160</f>
        <v>Cypress 562S line protection</v>
      </c>
      <c r="B160" s="754">
        <f>'Func Future Subs 2015'!B160</f>
        <v>888</v>
      </c>
      <c r="C160" s="754">
        <f>'Func Future Subs 2015'!C160</f>
        <v>240</v>
      </c>
      <c r="D160" s="754">
        <f>'Func Future Subs 2015'!D160</f>
        <v>138</v>
      </c>
      <c r="E160" s="754" t="str">
        <f>'Func Future Subs 2015'!E160</f>
        <v>562S</v>
      </c>
      <c r="F160" s="754">
        <f>'Func Future Subs 2015'!F160</f>
        <v>142203.50782332462</v>
      </c>
      <c r="G160" s="754" t="str">
        <f>'Func Future Subs 2015'!G160</f>
        <v>AltaLink</v>
      </c>
      <c r="H160" s="754">
        <f>'Func Future Subs 2015'!H160</f>
        <v>2016</v>
      </c>
      <c r="I160" s="306">
        <f>+IF($H160=I$2,VLOOKUP($G160,Depreciation!$A$14:$L$18,7,FALSE)/2,IF($H160&lt;I$2,VLOOKUP($G160,Depreciation!$A$14:$L$18,7,FALSE),0))</f>
        <v>0</v>
      </c>
      <c r="J160" s="306">
        <f>+IF($H160=J$2,VLOOKUP($G160,Depreciation!$A$14:$L$18,8,FALSE)/2,IF($H160&lt;J$2,VLOOKUP($G160,Depreciation!$A$14:$L$18,8,FALSE),0))</f>
        <v>1.671703928371859E-2</v>
      </c>
      <c r="K160" s="306">
        <f>+IF($H160=K$2,VLOOKUP($G160,Depreciation!$A$14:$L$18,9,FALSE)/2,IF($H160&lt;K$2,VLOOKUP($G160,Depreciation!$A$14:$L$18,9,FALSE),0))</f>
        <v>3.343407856743718E-2</v>
      </c>
      <c r="L160" s="306">
        <f>+IF($H160=L$2,VLOOKUP($G160,Depreciation!$A$14:$L$18,10,FALSE)/2,IF($H160&lt;L$2,VLOOKUP($G160,Depreciation!$A$14:$L$18,10,FALSE),0))</f>
        <v>3.343407856743718E-2</v>
      </c>
      <c r="M160" s="306">
        <f>+IF($H160=M$2,VLOOKUP($G160,Depreciation!$A$14:$L$18,11,FALSE)/2,IF($H160&lt;M$2,VLOOKUP($G160,Depreciation!$A$14:$L$18,11,FALSE),0))</f>
        <v>3.343407856743718E-2</v>
      </c>
      <c r="N160" s="306">
        <f>+IF($H160=N$2,VLOOKUP($G160,Depreciation!$A$14:$L$18,12,FALSE)/2,IF($H160&lt;N$2,VLOOKUP($G160,Depreciation!$A$14:$L$18,12,FALSE),0))</f>
        <v>3.343407856743718E-2</v>
      </c>
      <c r="O160" s="307">
        <f t="shared" si="17"/>
        <v>126265.08047635185</v>
      </c>
      <c r="P160" s="732">
        <f>'Func Future Subs 2015'!P160</f>
        <v>0</v>
      </c>
      <c r="Q160" s="732">
        <f>'Func Future Subs 2015'!Q160</f>
        <v>0</v>
      </c>
      <c r="R160" s="732">
        <f>'Func Future Subs 2015'!R160</f>
        <v>1</v>
      </c>
      <c r="S160" s="735">
        <f t="shared" si="18"/>
        <v>0</v>
      </c>
      <c r="T160" s="735">
        <f t="shared" si="19"/>
        <v>0</v>
      </c>
      <c r="U160" s="735">
        <f t="shared" si="20"/>
        <v>126265.08047635185</v>
      </c>
      <c r="V160" s="736">
        <f t="shared" si="21"/>
        <v>0</v>
      </c>
      <c r="W160" s="735">
        <f t="shared" si="22"/>
        <v>0</v>
      </c>
      <c r="X160" s="737">
        <f t="shared" si="23"/>
        <v>126265.08047635185</v>
      </c>
      <c r="Y160" s="738">
        <f t="shared" si="24"/>
        <v>0</v>
      </c>
    </row>
    <row r="161" spans="1:25">
      <c r="A161" s="754" t="str">
        <f>'Func Future Subs 2015'!A161</f>
        <v>Medicine Hat 41S</v>
      </c>
      <c r="B161" s="754">
        <f>'Func Future Subs 2015'!B161</f>
        <v>888</v>
      </c>
      <c r="C161" s="754">
        <f>'Func Future Subs 2015'!C161</f>
        <v>138</v>
      </c>
      <c r="D161" s="754">
        <f>'Func Future Subs 2015'!D161</f>
        <v>69</v>
      </c>
      <c r="E161" s="754" t="str">
        <f>'Func Future Subs 2015'!E161</f>
        <v>41S</v>
      </c>
      <c r="F161" s="754">
        <f>'Func Future Subs 2015'!F161</f>
        <v>1193916.9510999962</v>
      </c>
      <c r="G161" s="754" t="str">
        <f>'Func Future Subs 2015'!G161</f>
        <v>AltaLink</v>
      </c>
      <c r="H161" s="754">
        <f>'Func Future Subs 2015'!H161</f>
        <v>2016</v>
      </c>
      <c r="I161" s="306">
        <f>+IF($H161=I$2,VLOOKUP($G161,Depreciation!$A$14:$L$18,7,FALSE)/2,IF($H161&lt;I$2,VLOOKUP($G161,Depreciation!$A$14:$L$18,7,FALSE),0))</f>
        <v>0</v>
      </c>
      <c r="J161" s="306">
        <f>+IF($H161=J$2,VLOOKUP($G161,Depreciation!$A$14:$L$18,8,FALSE)/2,IF($H161&lt;J$2,VLOOKUP($G161,Depreciation!$A$14:$L$18,8,FALSE),0))</f>
        <v>1.671703928371859E-2</v>
      </c>
      <c r="K161" s="306">
        <f>+IF($H161=K$2,VLOOKUP($G161,Depreciation!$A$14:$L$18,9,FALSE)/2,IF($H161&lt;K$2,VLOOKUP($G161,Depreciation!$A$14:$L$18,9,FALSE),0))</f>
        <v>3.343407856743718E-2</v>
      </c>
      <c r="L161" s="306">
        <f>+IF($H161=L$2,VLOOKUP($G161,Depreciation!$A$14:$L$18,10,FALSE)/2,IF($H161&lt;L$2,VLOOKUP($G161,Depreciation!$A$14:$L$18,10,FALSE),0))</f>
        <v>3.343407856743718E-2</v>
      </c>
      <c r="M161" s="306">
        <f>+IF($H161=M$2,VLOOKUP($G161,Depreciation!$A$14:$L$18,11,FALSE)/2,IF($H161&lt;M$2,VLOOKUP($G161,Depreciation!$A$14:$L$18,11,FALSE),0))</f>
        <v>3.343407856743718E-2</v>
      </c>
      <c r="N161" s="306">
        <f>+IF($H161=N$2,VLOOKUP($G161,Depreciation!$A$14:$L$18,12,FALSE)/2,IF($H161&lt;N$2,VLOOKUP($G161,Depreciation!$A$14:$L$18,12,FALSE),0))</f>
        <v>3.343407856743718E-2</v>
      </c>
      <c r="O161" s="307">
        <f t="shared" si="17"/>
        <v>1060100.5714993707</v>
      </c>
      <c r="P161" s="732">
        <f>'Func Future Subs 2015'!P161</f>
        <v>0.796875</v>
      </c>
      <c r="Q161" s="732">
        <f>'Func Future Subs 2015'!Q161</f>
        <v>0.203125</v>
      </c>
      <c r="R161" s="732">
        <f>'Func Future Subs 2015'!R161</f>
        <v>0</v>
      </c>
      <c r="S161" s="735">
        <f t="shared" si="18"/>
        <v>844767.64291356108</v>
      </c>
      <c r="T161" s="735">
        <f t="shared" si="19"/>
        <v>215332.92858580968</v>
      </c>
      <c r="U161" s="735">
        <f t="shared" si="20"/>
        <v>0</v>
      </c>
      <c r="V161" s="736">
        <f t="shared" si="21"/>
        <v>0</v>
      </c>
      <c r="W161" s="735">
        <f t="shared" si="22"/>
        <v>844767.64291356108</v>
      </c>
      <c r="X161" s="737">
        <f t="shared" si="23"/>
        <v>0</v>
      </c>
      <c r="Y161" s="738">
        <f t="shared" si="24"/>
        <v>215332.92858580968</v>
      </c>
    </row>
    <row r="162" spans="1:25">
      <c r="A162" s="754" t="str">
        <f>'Func Future Subs 2015'!A162</f>
        <v>Suffield 895S line protection</v>
      </c>
      <c r="B162" s="754">
        <f>'Func Future Subs 2015'!B162</f>
        <v>888</v>
      </c>
      <c r="C162" s="754">
        <f>'Func Future Subs 2015'!C162</f>
        <v>138</v>
      </c>
      <c r="D162" s="754">
        <f>'Func Future Subs 2015'!D162</f>
        <v>25</v>
      </c>
      <c r="E162" s="754" t="str">
        <f>'Func Future Subs 2015'!E162</f>
        <v>895S</v>
      </c>
      <c r="F162" s="754">
        <f>'Func Future Subs 2015'!F162</f>
        <v>103690.05778784087</v>
      </c>
      <c r="G162" s="754" t="str">
        <f>'Func Future Subs 2015'!G162</f>
        <v>AltaLink</v>
      </c>
      <c r="H162" s="754">
        <f>'Func Future Subs 2015'!H162</f>
        <v>2016</v>
      </c>
      <c r="I162" s="306">
        <f>+IF($H162=I$2,VLOOKUP($G162,Depreciation!$A$14:$L$18,7,FALSE)/2,IF($H162&lt;I$2,VLOOKUP($G162,Depreciation!$A$14:$L$18,7,FALSE),0))</f>
        <v>0</v>
      </c>
      <c r="J162" s="306">
        <f>+IF($H162=J$2,VLOOKUP($G162,Depreciation!$A$14:$L$18,8,FALSE)/2,IF($H162&lt;J$2,VLOOKUP($G162,Depreciation!$A$14:$L$18,8,FALSE),0))</f>
        <v>1.671703928371859E-2</v>
      </c>
      <c r="K162" s="306">
        <f>+IF($H162=K$2,VLOOKUP($G162,Depreciation!$A$14:$L$18,9,FALSE)/2,IF($H162&lt;K$2,VLOOKUP($G162,Depreciation!$A$14:$L$18,9,FALSE),0))</f>
        <v>3.343407856743718E-2</v>
      </c>
      <c r="L162" s="306">
        <f>+IF($H162=L$2,VLOOKUP($G162,Depreciation!$A$14:$L$18,10,FALSE)/2,IF($H162&lt;L$2,VLOOKUP($G162,Depreciation!$A$14:$L$18,10,FALSE),0))</f>
        <v>3.343407856743718E-2</v>
      </c>
      <c r="M162" s="306">
        <f>+IF($H162=M$2,VLOOKUP($G162,Depreciation!$A$14:$L$18,11,FALSE)/2,IF($H162&lt;M$2,VLOOKUP($G162,Depreciation!$A$14:$L$18,11,FALSE),0))</f>
        <v>3.343407856743718E-2</v>
      </c>
      <c r="N162" s="306">
        <f>+IF($H162=N$2,VLOOKUP($G162,Depreciation!$A$14:$L$18,12,FALSE)/2,IF($H162&lt;N$2,VLOOKUP($G162,Depreciation!$A$14:$L$18,12,FALSE),0))</f>
        <v>3.343407856743718E-2</v>
      </c>
      <c r="O162" s="307">
        <f t="shared" si="17"/>
        <v>92068.287847339903</v>
      </c>
      <c r="P162" s="732">
        <f>'Func Future Subs 2015'!P162</f>
        <v>0.23378141437755698</v>
      </c>
      <c r="Q162" s="732">
        <f>'Func Future Subs 2015'!Q162</f>
        <v>0.76621858562244305</v>
      </c>
      <c r="R162" s="732">
        <f>'Func Future Subs 2015'!R162</f>
        <v>0</v>
      </c>
      <c r="S162" s="735">
        <f t="shared" si="18"/>
        <v>21523.854552271165</v>
      </c>
      <c r="T162" s="735">
        <f t="shared" si="19"/>
        <v>70544.433295068739</v>
      </c>
      <c r="U162" s="735">
        <f t="shared" si="20"/>
        <v>0</v>
      </c>
      <c r="V162" s="736">
        <f t="shared" si="21"/>
        <v>0</v>
      </c>
      <c r="W162" s="735">
        <f t="shared" si="22"/>
        <v>21523.854552271165</v>
      </c>
      <c r="X162" s="737">
        <f t="shared" si="23"/>
        <v>0</v>
      </c>
      <c r="Y162" s="738">
        <f t="shared" si="24"/>
        <v>70544.433295068739</v>
      </c>
    </row>
    <row r="163" spans="1:25">
      <c r="A163" s="754" t="str">
        <f>'Func Future Subs 2015'!A163</f>
        <v>Birchwood Creek 960S</v>
      </c>
      <c r="B163" s="754">
        <f>'Func Future Subs 2015'!B163</f>
        <v>948</v>
      </c>
      <c r="C163" s="754">
        <f>'Func Future Subs 2015'!C163</f>
        <v>240</v>
      </c>
      <c r="D163" s="754">
        <f>'Func Future Subs 2015'!D163</f>
        <v>240</v>
      </c>
      <c r="E163" s="754" t="str">
        <f>'Func Future Subs 2015'!E163</f>
        <v>960S</v>
      </c>
      <c r="F163" s="754">
        <f>'Func Future Subs 2015'!F163</f>
        <v>13129855.568043312</v>
      </c>
      <c r="G163" s="754" t="str">
        <f>'Func Future Subs 2015'!G163</f>
        <v>ATCO</v>
      </c>
      <c r="H163" s="754">
        <f>'Func Future Subs 2015'!H163</f>
        <v>2015</v>
      </c>
      <c r="I163" s="306">
        <f>+IF($H163=I$2,VLOOKUP($G163,Depreciation!$A$14:$L$18,7,FALSE)/2,IF($H163&lt;I$2,VLOOKUP($G163,Depreciation!$A$14:$L$18,7,FALSE),0))</f>
        <v>1.221703683566912E-2</v>
      </c>
      <c r="J163" s="306">
        <f>+IF($H163=J$2,VLOOKUP($G163,Depreciation!$A$14:$L$18,8,FALSE)/2,IF($H163&lt;J$2,VLOOKUP($G163,Depreciation!$A$14:$L$18,8,FALSE),0))</f>
        <v>2.4632450501084719E-2</v>
      </c>
      <c r="K163" s="306">
        <f>+IF($H163=K$2,VLOOKUP($G163,Depreciation!$A$14:$L$18,9,FALSE)/2,IF($H163&lt;K$2,VLOOKUP($G163,Depreciation!$A$14:$L$18,9,FALSE),0))</f>
        <v>2.4351536427798831E-2</v>
      </c>
      <c r="L163" s="306">
        <f>+IF($H163=L$2,VLOOKUP($G163,Depreciation!$A$14:$L$18,10,FALSE)/2,IF($H163&lt;L$2,VLOOKUP($G163,Depreciation!$A$14:$L$18,10,FALSE),0))</f>
        <v>2.4351536427798831E-2</v>
      </c>
      <c r="M163" s="306">
        <f>+IF($H163=M$2,VLOOKUP($G163,Depreciation!$A$14:$L$18,11,FALSE)/2,IF($H163&lt;M$2,VLOOKUP($G163,Depreciation!$A$14:$L$18,11,FALSE),0))</f>
        <v>2.4351536427798831E-2</v>
      </c>
      <c r="N163" s="306">
        <f>+IF($H163=N$2,VLOOKUP($G163,Depreciation!$A$14:$L$18,12,FALSE)/2,IF($H163&lt;N$2,VLOOKUP($G163,Depreciation!$A$14:$L$18,12,FALSE),0))</f>
        <v>2.4351536427798831E-2</v>
      </c>
      <c r="O163" s="307">
        <f t="shared" si="17"/>
        <v>11748160.674601033</v>
      </c>
      <c r="P163" s="732">
        <f>'Func Future Subs 2015'!P163</f>
        <v>0</v>
      </c>
      <c r="Q163" s="732">
        <f>'Func Future Subs 2015'!Q163</f>
        <v>0</v>
      </c>
      <c r="R163" s="732">
        <f>'Func Future Subs 2015'!R163</f>
        <v>1</v>
      </c>
      <c r="S163" s="735">
        <f t="shared" si="18"/>
        <v>0</v>
      </c>
      <c r="T163" s="735">
        <f t="shared" si="19"/>
        <v>0</v>
      </c>
      <c r="U163" s="735">
        <f t="shared" si="20"/>
        <v>11748160.674601033</v>
      </c>
      <c r="V163" s="736">
        <f t="shared" si="21"/>
        <v>0</v>
      </c>
      <c r="W163" s="735">
        <f t="shared" si="22"/>
        <v>11748160.674601033</v>
      </c>
      <c r="X163" s="737">
        <f t="shared" si="23"/>
        <v>0</v>
      </c>
      <c r="Y163" s="738">
        <f t="shared" si="24"/>
        <v>0</v>
      </c>
    </row>
    <row r="164" spans="1:25">
      <c r="A164" s="754" t="str">
        <f>'Func Future Subs 2015'!A164</f>
        <v>0244S Bowmanton180</v>
      </c>
      <c r="B164" s="754">
        <f>'Func Future Subs 2015'!B164</f>
        <v>737</v>
      </c>
      <c r="C164" s="754">
        <f>'Func Future Subs 2015'!C164</f>
        <v>240</v>
      </c>
      <c r="D164" s="754">
        <f>'Func Future Subs 2015'!D164</f>
        <v>138</v>
      </c>
      <c r="E164" s="754" t="str">
        <f>'Func Future Subs 2015'!E164</f>
        <v>244S</v>
      </c>
      <c r="F164" s="754">
        <f>'Func Future Subs 2015'!F164</f>
        <v>598925.20531495858</v>
      </c>
      <c r="G164" s="754" t="str">
        <f>'Func Future Subs 2015'!G164</f>
        <v>AltaLink</v>
      </c>
      <c r="H164" s="754">
        <f>'Func Future Subs 2015'!H164</f>
        <v>2015</v>
      </c>
      <c r="I164" s="306">
        <f>+IF($H164=I$2,VLOOKUP($G164,Depreciation!$A$14:$L$18,7,FALSE)/2,IF($H164&lt;I$2,VLOOKUP($G164,Depreciation!$A$14:$L$18,7,FALSE),0))</f>
        <v>1.7228380322441735E-2</v>
      </c>
      <c r="J164" s="306">
        <f>+IF($H164=J$2,VLOOKUP($G164,Depreciation!$A$14:$L$18,8,FALSE)/2,IF($H164&lt;J$2,VLOOKUP($G164,Depreciation!$A$14:$L$18,8,FALSE),0))</f>
        <v>3.343407856743718E-2</v>
      </c>
      <c r="K164" s="306">
        <f>+IF($H164=K$2,VLOOKUP($G164,Depreciation!$A$14:$L$18,9,FALSE)/2,IF($H164&lt;K$2,VLOOKUP($G164,Depreciation!$A$14:$L$18,9,FALSE),0))</f>
        <v>3.343407856743718E-2</v>
      </c>
      <c r="L164" s="306">
        <f>+IF($H164=L$2,VLOOKUP($G164,Depreciation!$A$14:$L$18,10,FALSE)/2,IF($H164&lt;L$2,VLOOKUP($G164,Depreciation!$A$14:$L$18,10,FALSE),0))</f>
        <v>3.343407856743718E-2</v>
      </c>
      <c r="M164" s="306">
        <f>+IF($H164=M$2,VLOOKUP($G164,Depreciation!$A$14:$L$18,11,FALSE)/2,IF($H164&lt;M$2,VLOOKUP($G164,Depreciation!$A$14:$L$18,11,FALSE),0))</f>
        <v>3.343407856743718E-2</v>
      </c>
      <c r="N164" s="306">
        <f>+IF($H164=N$2,VLOOKUP($G164,Depreciation!$A$14:$L$18,12,FALSE)/2,IF($H164&lt;N$2,VLOOKUP($G164,Depreciation!$A$14:$L$18,12,FALSE),0))</f>
        <v>3.343407856743718E-2</v>
      </c>
      <c r="O164" s="307">
        <f t="shared" si="17"/>
        <v>513749.14592884987</v>
      </c>
      <c r="P164" s="732">
        <f>'Func Future Subs 2015'!P164</f>
        <v>0</v>
      </c>
      <c r="Q164" s="732">
        <f>'Func Future Subs 2015'!Q164</f>
        <v>0</v>
      </c>
      <c r="R164" s="732">
        <f>'Func Future Subs 2015'!R164</f>
        <v>1</v>
      </c>
      <c r="S164" s="735">
        <f t="shared" si="18"/>
        <v>0</v>
      </c>
      <c r="T164" s="735">
        <f t="shared" si="19"/>
        <v>0</v>
      </c>
      <c r="U164" s="735">
        <f t="shared" si="20"/>
        <v>513749.14592884987</v>
      </c>
      <c r="V164" s="736">
        <f t="shared" si="21"/>
        <v>0</v>
      </c>
      <c r="W164" s="735">
        <f t="shared" si="22"/>
        <v>0</v>
      </c>
      <c r="X164" s="737">
        <f t="shared" si="23"/>
        <v>513749.14592884987</v>
      </c>
      <c r="Y164" s="738">
        <f t="shared" si="24"/>
        <v>0</v>
      </c>
    </row>
    <row r="165" spans="1:25">
      <c r="A165" s="754" t="str">
        <f>'Func Future Subs 2015'!A165</f>
        <v>089S Ellerslie180</v>
      </c>
      <c r="B165" s="754">
        <f>'Func Future Subs 2015'!B165</f>
        <v>737</v>
      </c>
      <c r="C165" s="754">
        <f>'Func Future Subs 2015'!C165</f>
        <v>240</v>
      </c>
      <c r="D165" s="754">
        <f>'Func Future Subs 2015'!D165</f>
        <v>240</v>
      </c>
      <c r="E165" s="754" t="str">
        <f>'Func Future Subs 2015'!E165</f>
        <v>89S</v>
      </c>
      <c r="F165" s="754">
        <f>'Func Future Subs 2015'!F165</f>
        <v>701881.13162263809</v>
      </c>
      <c r="G165" s="754" t="str">
        <f>'Func Future Subs 2015'!G165</f>
        <v>AltaLink</v>
      </c>
      <c r="H165" s="754">
        <f>'Func Future Subs 2015'!H165</f>
        <v>2015</v>
      </c>
      <c r="I165" s="306">
        <f>+IF($H165=I$2,VLOOKUP($G165,Depreciation!$A$14:$L$18,7,FALSE)/2,IF($H165&lt;I$2,VLOOKUP($G165,Depreciation!$A$14:$L$18,7,FALSE),0))</f>
        <v>1.7228380322441735E-2</v>
      </c>
      <c r="J165" s="306">
        <f>+IF($H165=J$2,VLOOKUP($G165,Depreciation!$A$14:$L$18,8,FALSE)/2,IF($H165&lt;J$2,VLOOKUP($G165,Depreciation!$A$14:$L$18,8,FALSE),0))</f>
        <v>3.343407856743718E-2</v>
      </c>
      <c r="K165" s="306">
        <f>+IF($H165=K$2,VLOOKUP($G165,Depreciation!$A$14:$L$18,9,FALSE)/2,IF($H165&lt;K$2,VLOOKUP($G165,Depreciation!$A$14:$L$18,9,FALSE),0))</f>
        <v>3.343407856743718E-2</v>
      </c>
      <c r="L165" s="306">
        <f>+IF($H165=L$2,VLOOKUP($G165,Depreciation!$A$14:$L$18,10,FALSE)/2,IF($H165&lt;L$2,VLOOKUP($G165,Depreciation!$A$14:$L$18,10,FALSE),0))</f>
        <v>3.343407856743718E-2</v>
      </c>
      <c r="M165" s="306">
        <f>+IF($H165=M$2,VLOOKUP($G165,Depreciation!$A$14:$L$18,11,FALSE)/2,IF($H165&lt;M$2,VLOOKUP($G165,Depreciation!$A$14:$L$18,11,FALSE),0))</f>
        <v>3.343407856743718E-2</v>
      </c>
      <c r="N165" s="306">
        <f>+IF($H165=N$2,VLOOKUP($G165,Depreciation!$A$14:$L$18,12,FALSE)/2,IF($H165&lt;N$2,VLOOKUP($G165,Depreciation!$A$14:$L$18,12,FALSE),0))</f>
        <v>3.343407856743718E-2</v>
      </c>
      <c r="O165" s="307">
        <f t="shared" si="17"/>
        <v>602063.21042220958</v>
      </c>
      <c r="P165" s="732">
        <f>'Func Future Subs 2015'!P165</f>
        <v>0</v>
      </c>
      <c r="Q165" s="732">
        <f>'Func Future Subs 2015'!Q165</f>
        <v>0</v>
      </c>
      <c r="R165" s="732">
        <f>'Func Future Subs 2015'!R165</f>
        <v>1</v>
      </c>
      <c r="S165" s="735">
        <f t="shared" si="18"/>
        <v>0</v>
      </c>
      <c r="T165" s="735">
        <f t="shared" si="19"/>
        <v>0</v>
      </c>
      <c r="U165" s="735">
        <f t="shared" si="20"/>
        <v>602063.21042220958</v>
      </c>
      <c r="V165" s="736">
        <f t="shared" si="21"/>
        <v>0</v>
      </c>
      <c r="W165" s="735">
        <f t="shared" si="22"/>
        <v>602063.21042220958</v>
      </c>
      <c r="X165" s="737">
        <f t="shared" si="23"/>
        <v>0</v>
      </c>
      <c r="Y165" s="738">
        <f t="shared" si="24"/>
        <v>0</v>
      </c>
    </row>
    <row r="166" spans="1:25">
      <c r="A166" s="754" t="str">
        <f>'Func Future Subs 2015'!A166</f>
        <v>320P Keephills180</v>
      </c>
      <c r="B166" s="754">
        <f>'Func Future Subs 2015'!B166</f>
        <v>737</v>
      </c>
      <c r="C166" s="754">
        <f>'Func Future Subs 2015'!C166</f>
        <v>240</v>
      </c>
      <c r="D166" s="754">
        <f>'Func Future Subs 2015'!D166</f>
        <v>25</v>
      </c>
      <c r="E166" s="754" t="str">
        <f>'Func Future Subs 2015'!E166</f>
        <v>320P</v>
      </c>
      <c r="F166" s="754">
        <f>'Func Future Subs 2015'!F166</f>
        <v>314443.89048852649</v>
      </c>
      <c r="G166" s="754" t="str">
        <f>'Func Future Subs 2015'!G166</f>
        <v>AltaLink</v>
      </c>
      <c r="H166" s="754">
        <f>'Func Future Subs 2015'!H166</f>
        <v>2015</v>
      </c>
      <c r="I166" s="306">
        <f>+IF($H166=I$2,VLOOKUP($G166,Depreciation!$A$14:$L$18,7,FALSE)/2,IF($H166&lt;I$2,VLOOKUP($G166,Depreciation!$A$14:$L$18,7,FALSE),0))</f>
        <v>1.7228380322441735E-2</v>
      </c>
      <c r="J166" s="306">
        <f>+IF($H166=J$2,VLOOKUP($G166,Depreciation!$A$14:$L$18,8,FALSE)/2,IF($H166&lt;J$2,VLOOKUP($G166,Depreciation!$A$14:$L$18,8,FALSE),0))</f>
        <v>3.343407856743718E-2</v>
      </c>
      <c r="K166" s="306">
        <f>+IF($H166=K$2,VLOOKUP($G166,Depreciation!$A$14:$L$18,9,FALSE)/2,IF($H166&lt;K$2,VLOOKUP($G166,Depreciation!$A$14:$L$18,9,FALSE),0))</f>
        <v>3.343407856743718E-2</v>
      </c>
      <c r="L166" s="306">
        <f>+IF($H166=L$2,VLOOKUP($G166,Depreciation!$A$14:$L$18,10,FALSE)/2,IF($H166&lt;L$2,VLOOKUP($G166,Depreciation!$A$14:$L$18,10,FALSE),0))</f>
        <v>3.343407856743718E-2</v>
      </c>
      <c r="M166" s="306">
        <f>+IF($H166=M$2,VLOOKUP($G166,Depreciation!$A$14:$L$18,11,FALSE)/2,IF($H166&lt;M$2,VLOOKUP($G166,Depreciation!$A$14:$L$18,11,FALSE),0))</f>
        <v>3.343407856743718E-2</v>
      </c>
      <c r="N166" s="306">
        <f>+IF($H166=N$2,VLOOKUP($G166,Depreciation!$A$14:$L$18,12,FALSE)/2,IF($H166&lt;N$2,VLOOKUP($G166,Depreciation!$A$14:$L$18,12,FALSE),0))</f>
        <v>3.343407856743718E-2</v>
      </c>
      <c r="O166" s="307">
        <f t="shared" si="17"/>
        <v>269725.29916498176</v>
      </c>
      <c r="P166" s="732">
        <f>'Func Future Subs 2015'!P166</f>
        <v>0.96203522504892369</v>
      </c>
      <c r="Q166" s="732">
        <f>'Func Future Subs 2015'!Q166</f>
        <v>3.7964774951076322E-2</v>
      </c>
      <c r="R166" s="732">
        <f>'Func Future Subs 2015'!R166</f>
        <v>0</v>
      </c>
      <c r="S166" s="735">
        <f t="shared" si="18"/>
        <v>259485.2388835715</v>
      </c>
      <c r="T166" s="735">
        <f t="shared" si="19"/>
        <v>10240.060281410266</v>
      </c>
      <c r="U166" s="735">
        <f t="shared" si="20"/>
        <v>0</v>
      </c>
      <c r="V166" s="736">
        <f t="shared" si="21"/>
        <v>0</v>
      </c>
      <c r="W166" s="735">
        <f t="shared" si="22"/>
        <v>259485.2388835715</v>
      </c>
      <c r="X166" s="737">
        <f t="shared" si="23"/>
        <v>0</v>
      </c>
      <c r="Y166" s="738">
        <f t="shared" si="24"/>
        <v>10240.060281410266</v>
      </c>
    </row>
    <row r="167" spans="1:25">
      <c r="A167" s="754" t="str">
        <f>'Func Future Subs 2015'!A167</f>
        <v>324S Cassils180</v>
      </c>
      <c r="B167" s="754">
        <f>'Func Future Subs 2015'!B167</f>
        <v>737</v>
      </c>
      <c r="C167" s="754">
        <f>'Func Future Subs 2015'!C167</f>
        <v>240</v>
      </c>
      <c r="D167" s="754">
        <f>'Func Future Subs 2015'!D167</f>
        <v>240</v>
      </c>
      <c r="E167" s="754" t="str">
        <f>'Func Future Subs 2015'!E167</f>
        <v>324S</v>
      </c>
      <c r="F167" s="754">
        <f>'Func Future Subs 2015'!F167</f>
        <v>1228267.7960131739</v>
      </c>
      <c r="G167" s="754" t="str">
        <f>'Func Future Subs 2015'!G167</f>
        <v>AltaLink</v>
      </c>
      <c r="H167" s="754">
        <f>'Func Future Subs 2015'!H167</f>
        <v>2015</v>
      </c>
      <c r="I167" s="306">
        <f>+IF($H167=I$2,VLOOKUP($G167,Depreciation!$A$14:$L$18,7,FALSE)/2,IF($H167&lt;I$2,VLOOKUP($G167,Depreciation!$A$14:$L$18,7,FALSE),0))</f>
        <v>1.7228380322441735E-2</v>
      </c>
      <c r="J167" s="306">
        <f>+IF($H167=J$2,VLOOKUP($G167,Depreciation!$A$14:$L$18,8,FALSE)/2,IF($H167&lt;J$2,VLOOKUP($G167,Depreciation!$A$14:$L$18,8,FALSE),0))</f>
        <v>3.343407856743718E-2</v>
      </c>
      <c r="K167" s="306">
        <f>+IF($H167=K$2,VLOOKUP($G167,Depreciation!$A$14:$L$18,9,FALSE)/2,IF($H167&lt;K$2,VLOOKUP($G167,Depreciation!$A$14:$L$18,9,FALSE),0))</f>
        <v>3.343407856743718E-2</v>
      </c>
      <c r="L167" s="306">
        <f>+IF($H167=L$2,VLOOKUP($G167,Depreciation!$A$14:$L$18,10,FALSE)/2,IF($H167&lt;L$2,VLOOKUP($G167,Depreciation!$A$14:$L$18,10,FALSE),0))</f>
        <v>3.343407856743718E-2</v>
      </c>
      <c r="M167" s="306">
        <f>+IF($H167=M$2,VLOOKUP($G167,Depreciation!$A$14:$L$18,11,FALSE)/2,IF($H167&lt;M$2,VLOOKUP($G167,Depreciation!$A$14:$L$18,11,FALSE),0))</f>
        <v>3.343407856743718E-2</v>
      </c>
      <c r="N167" s="306">
        <f>+IF($H167=N$2,VLOOKUP($G167,Depreciation!$A$14:$L$18,12,FALSE)/2,IF($H167&lt;N$2,VLOOKUP($G167,Depreciation!$A$14:$L$18,12,FALSE),0))</f>
        <v>3.343407856743718E-2</v>
      </c>
      <c r="O167" s="307">
        <f t="shared" si="17"/>
        <v>1053589.8732828281</v>
      </c>
      <c r="P167" s="732">
        <f>'Func Future Subs 2015'!P167</f>
        <v>0</v>
      </c>
      <c r="Q167" s="732">
        <f>'Func Future Subs 2015'!Q167</f>
        <v>0</v>
      </c>
      <c r="R167" s="732">
        <f>'Func Future Subs 2015'!R167</f>
        <v>1</v>
      </c>
      <c r="S167" s="735">
        <f t="shared" si="18"/>
        <v>0</v>
      </c>
      <c r="T167" s="735">
        <f t="shared" si="19"/>
        <v>0</v>
      </c>
      <c r="U167" s="735">
        <f t="shared" si="20"/>
        <v>1053589.8732828281</v>
      </c>
      <c r="V167" s="736">
        <f t="shared" si="21"/>
        <v>0</v>
      </c>
      <c r="W167" s="735">
        <f t="shared" si="22"/>
        <v>1053589.8732828281</v>
      </c>
      <c r="X167" s="737">
        <f t="shared" si="23"/>
        <v>0</v>
      </c>
      <c r="Y167" s="738">
        <f t="shared" si="24"/>
        <v>0</v>
      </c>
    </row>
    <row r="168" spans="1:25">
      <c r="A168" s="754" t="str">
        <f>'Func Future Subs 2015'!A168</f>
        <v>356S Milo180</v>
      </c>
      <c r="B168" s="754">
        <f>'Func Future Subs 2015'!B168</f>
        <v>737</v>
      </c>
      <c r="C168" s="754">
        <f>'Func Future Subs 2015'!C168</f>
        <v>240</v>
      </c>
      <c r="D168" s="754">
        <f>'Func Future Subs 2015'!D168</f>
        <v>240</v>
      </c>
      <c r="E168" s="754" t="str">
        <f>'Func Future Subs 2015'!E168</f>
        <v>356S</v>
      </c>
      <c r="F168" s="754">
        <f>'Func Future Subs 2015'!F168</f>
        <v>509558.70470753126</v>
      </c>
      <c r="G168" s="754" t="str">
        <f>'Func Future Subs 2015'!G168</f>
        <v>AltaLink</v>
      </c>
      <c r="H168" s="754">
        <f>'Func Future Subs 2015'!H168</f>
        <v>2015</v>
      </c>
      <c r="I168" s="306">
        <f>+IF($H168=I$2,VLOOKUP($G168,Depreciation!$A$14:$L$18,7,FALSE)/2,IF($H168&lt;I$2,VLOOKUP($G168,Depreciation!$A$14:$L$18,7,FALSE),0))</f>
        <v>1.7228380322441735E-2</v>
      </c>
      <c r="J168" s="306">
        <f>+IF($H168=J$2,VLOOKUP($G168,Depreciation!$A$14:$L$18,8,FALSE)/2,IF($H168&lt;J$2,VLOOKUP($G168,Depreciation!$A$14:$L$18,8,FALSE),0))</f>
        <v>3.343407856743718E-2</v>
      </c>
      <c r="K168" s="306">
        <f>+IF($H168=K$2,VLOOKUP($G168,Depreciation!$A$14:$L$18,9,FALSE)/2,IF($H168&lt;K$2,VLOOKUP($G168,Depreciation!$A$14:$L$18,9,FALSE),0))</f>
        <v>3.343407856743718E-2</v>
      </c>
      <c r="L168" s="306">
        <f>+IF($H168=L$2,VLOOKUP($G168,Depreciation!$A$14:$L$18,10,FALSE)/2,IF($H168&lt;L$2,VLOOKUP($G168,Depreciation!$A$14:$L$18,10,FALSE),0))</f>
        <v>3.343407856743718E-2</v>
      </c>
      <c r="M168" s="306">
        <f>+IF($H168=M$2,VLOOKUP($G168,Depreciation!$A$14:$L$18,11,FALSE)/2,IF($H168&lt;M$2,VLOOKUP($G168,Depreciation!$A$14:$L$18,11,FALSE),0))</f>
        <v>3.343407856743718E-2</v>
      </c>
      <c r="N168" s="306">
        <f>+IF($H168=N$2,VLOOKUP($G168,Depreciation!$A$14:$L$18,12,FALSE)/2,IF($H168&lt;N$2,VLOOKUP($G168,Depreciation!$A$14:$L$18,12,FALSE),0))</f>
        <v>3.343407856743718E-2</v>
      </c>
      <c r="O168" s="307">
        <f t="shared" si="17"/>
        <v>437091.88897207857</v>
      </c>
      <c r="P168" s="732">
        <f>'Func Future Subs 2015'!P168</f>
        <v>0</v>
      </c>
      <c r="Q168" s="732">
        <f>'Func Future Subs 2015'!Q168</f>
        <v>0</v>
      </c>
      <c r="R168" s="732">
        <f>'Func Future Subs 2015'!R168</f>
        <v>1</v>
      </c>
      <c r="S168" s="735">
        <f t="shared" si="18"/>
        <v>0</v>
      </c>
      <c r="T168" s="735">
        <f t="shared" si="19"/>
        <v>0</v>
      </c>
      <c r="U168" s="735">
        <f t="shared" si="20"/>
        <v>437091.88897207857</v>
      </c>
      <c r="V168" s="736">
        <f t="shared" si="21"/>
        <v>0</v>
      </c>
      <c r="W168" s="735">
        <f t="shared" si="22"/>
        <v>437091.88897207857</v>
      </c>
      <c r="X168" s="737">
        <f t="shared" si="23"/>
        <v>0</v>
      </c>
      <c r="Y168" s="738">
        <f t="shared" si="24"/>
        <v>0</v>
      </c>
    </row>
    <row r="169" spans="1:25">
      <c r="A169" s="754" t="str">
        <f>'Func Future Subs 2015'!A169</f>
        <v>Converter Station (Heathfield 2029S)180</v>
      </c>
      <c r="B169" s="754">
        <f>'Func Future Subs 2015'!B169</f>
        <v>737</v>
      </c>
      <c r="C169" s="754">
        <f>'Func Future Subs 2015'!C169</f>
        <v>500</v>
      </c>
      <c r="D169" s="754">
        <f>'Func Future Subs 2015'!D169</f>
        <v>500</v>
      </c>
      <c r="E169" s="754" t="str">
        <f>'Func Future Subs 2015'!E169</f>
        <v>2029S</v>
      </c>
      <c r="F169" s="754">
        <f>'Func Future Subs 2015'!F169</f>
        <v>532569282.5</v>
      </c>
      <c r="G169" s="754" t="str">
        <f>'Func Future Subs 2015'!G169</f>
        <v>ATCO</v>
      </c>
      <c r="H169" s="754">
        <f>'Func Future Subs 2015'!H169</f>
        <v>2015</v>
      </c>
      <c r="I169" s="306">
        <f>+IF($H169=I$2,VLOOKUP($G169,Depreciation!$A$14:$L$18,7,FALSE)/2,IF($H169&lt;I$2,VLOOKUP($G169,Depreciation!$A$14:$L$18,7,FALSE),0))</f>
        <v>1.221703683566912E-2</v>
      </c>
      <c r="J169" s="306">
        <f>+IF($H169=J$2,VLOOKUP($G169,Depreciation!$A$14:$L$18,8,FALSE)/2,IF($H169&lt;J$2,VLOOKUP($G169,Depreciation!$A$14:$L$18,8,FALSE),0))</f>
        <v>2.4632450501084719E-2</v>
      </c>
      <c r="K169" s="306">
        <f>+IF($H169=K$2,VLOOKUP($G169,Depreciation!$A$14:$L$18,9,FALSE)/2,IF($H169&lt;K$2,VLOOKUP($G169,Depreciation!$A$14:$L$18,9,FALSE),0))</f>
        <v>2.4351536427798831E-2</v>
      </c>
      <c r="L169" s="306">
        <f>+IF($H169=L$2,VLOOKUP($G169,Depreciation!$A$14:$L$18,10,FALSE)/2,IF($H169&lt;L$2,VLOOKUP($G169,Depreciation!$A$14:$L$18,10,FALSE),0))</f>
        <v>2.4351536427798831E-2</v>
      </c>
      <c r="M169" s="306">
        <f>+IF($H169=M$2,VLOOKUP($G169,Depreciation!$A$14:$L$18,11,FALSE)/2,IF($H169&lt;M$2,VLOOKUP($G169,Depreciation!$A$14:$L$18,11,FALSE),0))</f>
        <v>2.4351536427798831E-2</v>
      </c>
      <c r="N169" s="306">
        <f>+IF($H169=N$2,VLOOKUP($G169,Depreciation!$A$14:$L$18,12,FALSE)/2,IF($H169&lt;N$2,VLOOKUP($G169,Depreciation!$A$14:$L$18,12,FALSE),0))</f>
        <v>2.4351536427798831E-2</v>
      </c>
      <c r="O169" s="307">
        <f t="shared" si="17"/>
        <v>476525386.64592481</v>
      </c>
      <c r="P169" s="732">
        <f>'Func Future Subs 2015'!P169</f>
        <v>0</v>
      </c>
      <c r="Q169" s="732">
        <f>'Func Future Subs 2015'!Q169</f>
        <v>0</v>
      </c>
      <c r="R169" s="732">
        <f>'Func Future Subs 2015'!R169</f>
        <v>1</v>
      </c>
      <c r="S169" s="735">
        <f t="shared" si="18"/>
        <v>0</v>
      </c>
      <c r="T169" s="735">
        <f t="shared" si="19"/>
        <v>0</v>
      </c>
      <c r="U169" s="735">
        <f t="shared" si="20"/>
        <v>476525386.64592481</v>
      </c>
      <c r="V169" s="736">
        <f t="shared" si="21"/>
        <v>0</v>
      </c>
      <c r="W169" s="735">
        <f t="shared" si="22"/>
        <v>476525386.64592481</v>
      </c>
      <c r="X169" s="737">
        <f t="shared" si="23"/>
        <v>0</v>
      </c>
      <c r="Y169" s="738">
        <f t="shared" si="24"/>
        <v>0</v>
      </c>
    </row>
    <row r="170" spans="1:25">
      <c r="A170" s="754" t="str">
        <f>'Func Future Subs 2015'!A170</f>
        <v>Genesee 330P 961</v>
      </c>
      <c r="B170" s="754">
        <f>'Func Future Subs 2015'!B170</f>
        <v>737</v>
      </c>
      <c r="C170" s="754">
        <f>'Func Future Subs 2015'!C170</f>
        <v>500</v>
      </c>
      <c r="D170" s="754">
        <f>'Func Future Subs 2015'!D170</f>
        <v>240</v>
      </c>
      <c r="E170" s="754" t="str">
        <f>'Func Future Subs 2015'!E170</f>
        <v>330P</v>
      </c>
      <c r="F170" s="754">
        <f>'Func Future Subs 2015'!F170</f>
        <v>107206.28193058976</v>
      </c>
      <c r="G170" s="754" t="str">
        <f>'Func Future Subs 2015'!G170</f>
        <v>EPCOR</v>
      </c>
      <c r="H170" s="754">
        <f>'Func Future Subs 2015'!H170</f>
        <v>2015</v>
      </c>
      <c r="I170" s="306">
        <f>+IF($H170=I$2,VLOOKUP($G170,Depreciation!$A$14:$L$18,7,FALSE)/2,IF($H170&lt;I$2,VLOOKUP($G170,Depreciation!$A$14:$L$18,7,FALSE),0))</f>
        <v>2.0607513622398654E-2</v>
      </c>
      <c r="J170" s="306">
        <f>+IF($H170=J$2,VLOOKUP($G170,Depreciation!$A$14:$L$18,8,FALSE)/2,IF($H170&lt;J$2,VLOOKUP($G170,Depreciation!$A$14:$L$18,8,FALSE),0))</f>
        <v>4.1600055599844914E-2</v>
      </c>
      <c r="K170" s="306">
        <f>+IF($H170=K$2,VLOOKUP($G170,Depreciation!$A$14:$L$18,9,FALSE)/2,IF($H170&lt;K$2,VLOOKUP($G170,Depreciation!$A$14:$L$18,9,FALSE),0))</f>
        <v>4.1145263498658789E-2</v>
      </c>
      <c r="L170" s="306">
        <f>+IF($H170=L$2,VLOOKUP($G170,Depreciation!$A$14:$L$18,10,FALSE)/2,IF($H170&lt;L$2,VLOOKUP($G170,Depreciation!$A$14:$L$18,10,FALSE),0))</f>
        <v>4.1145263498658789E-2</v>
      </c>
      <c r="M170" s="306">
        <f>+IF($H170=M$2,VLOOKUP($G170,Depreciation!$A$14:$L$18,11,FALSE)/2,IF($H170&lt;M$2,VLOOKUP($G170,Depreciation!$A$14:$L$18,11,FALSE),0))</f>
        <v>4.1145263498658789E-2</v>
      </c>
      <c r="N170" s="306">
        <f>+IF($H170=N$2,VLOOKUP($G170,Depreciation!$A$14:$L$18,12,FALSE)/2,IF($H170&lt;N$2,VLOOKUP($G170,Depreciation!$A$14:$L$18,12,FALSE),0))</f>
        <v>4.1145263498658789E-2</v>
      </c>
      <c r="O170" s="307">
        <f t="shared" si="17"/>
        <v>88711.97248386209</v>
      </c>
      <c r="P170" s="732">
        <f>'Func Future Subs 2015'!P170</f>
        <v>0</v>
      </c>
      <c r="Q170" s="732">
        <f>'Func Future Subs 2015'!Q170</f>
        <v>0</v>
      </c>
      <c r="R170" s="732">
        <f>'Func Future Subs 2015'!R170</f>
        <v>1</v>
      </c>
      <c r="S170" s="735">
        <f t="shared" si="18"/>
        <v>0</v>
      </c>
      <c r="T170" s="735">
        <f t="shared" si="19"/>
        <v>0</v>
      </c>
      <c r="U170" s="735">
        <f t="shared" si="20"/>
        <v>88711.97248386209</v>
      </c>
      <c r="V170" s="736">
        <f t="shared" si="21"/>
        <v>0</v>
      </c>
      <c r="W170" s="735">
        <f t="shared" si="22"/>
        <v>88711.97248386209</v>
      </c>
      <c r="X170" s="737">
        <f t="shared" si="23"/>
        <v>0</v>
      </c>
      <c r="Y170" s="738">
        <f t="shared" si="24"/>
        <v>0</v>
      </c>
    </row>
    <row r="171" spans="1:25">
      <c r="A171" s="754" t="str">
        <f>'Func Future Subs 2015'!A171</f>
        <v>Heartland 12S180</v>
      </c>
      <c r="B171" s="754">
        <f>'Func Future Subs 2015'!B171</f>
        <v>737</v>
      </c>
      <c r="C171" s="754">
        <f>'Func Future Subs 2015'!C171</f>
        <v>500</v>
      </c>
      <c r="D171" s="754">
        <f>'Func Future Subs 2015'!D171</f>
        <v>240</v>
      </c>
      <c r="E171" s="754" t="str">
        <f>'Func Future Subs 2015'!E171</f>
        <v>12S</v>
      </c>
      <c r="F171" s="754">
        <f>'Func Future Subs 2015'!F171</f>
        <v>33005662.747339312</v>
      </c>
      <c r="G171" s="754" t="str">
        <f>'Func Future Subs 2015'!G171</f>
        <v>AltaLink</v>
      </c>
      <c r="H171" s="754">
        <f>'Func Future Subs 2015'!H171</f>
        <v>2015</v>
      </c>
      <c r="I171" s="306">
        <f>+IF($H171=I$2,VLOOKUP($G171,Depreciation!$A$14:$L$18,7,FALSE)/2,IF($H171&lt;I$2,VLOOKUP($G171,Depreciation!$A$14:$L$18,7,FALSE),0))</f>
        <v>1.7228380322441735E-2</v>
      </c>
      <c r="J171" s="306">
        <f>+IF($H171=J$2,VLOOKUP($G171,Depreciation!$A$14:$L$18,8,FALSE)/2,IF($H171&lt;J$2,VLOOKUP($G171,Depreciation!$A$14:$L$18,8,FALSE),0))</f>
        <v>3.343407856743718E-2</v>
      </c>
      <c r="K171" s="306">
        <f>+IF($H171=K$2,VLOOKUP($G171,Depreciation!$A$14:$L$18,9,FALSE)/2,IF($H171&lt;K$2,VLOOKUP($G171,Depreciation!$A$14:$L$18,9,FALSE),0))</f>
        <v>3.343407856743718E-2</v>
      </c>
      <c r="L171" s="306">
        <f>+IF($H171=L$2,VLOOKUP($G171,Depreciation!$A$14:$L$18,10,FALSE)/2,IF($H171&lt;L$2,VLOOKUP($G171,Depreciation!$A$14:$L$18,10,FALSE),0))</f>
        <v>3.343407856743718E-2</v>
      </c>
      <c r="M171" s="306">
        <f>+IF($H171=M$2,VLOOKUP($G171,Depreciation!$A$14:$L$18,11,FALSE)/2,IF($H171&lt;M$2,VLOOKUP($G171,Depreciation!$A$14:$L$18,11,FALSE),0))</f>
        <v>3.343407856743718E-2</v>
      </c>
      <c r="N171" s="306">
        <f>+IF($H171=N$2,VLOOKUP($G171,Depreciation!$A$14:$L$18,12,FALSE)/2,IF($H171&lt;N$2,VLOOKUP($G171,Depreciation!$A$14:$L$18,12,FALSE),0))</f>
        <v>3.343407856743718E-2</v>
      </c>
      <c r="O171" s="307">
        <f t="shared" si="17"/>
        <v>28311767.30714513</v>
      </c>
      <c r="P171" s="732">
        <f>'Func Future Subs 2015'!P171</f>
        <v>0</v>
      </c>
      <c r="Q171" s="732">
        <f>'Func Future Subs 2015'!Q171</f>
        <v>0</v>
      </c>
      <c r="R171" s="732">
        <f>'Func Future Subs 2015'!R171</f>
        <v>1</v>
      </c>
      <c r="S171" s="735">
        <f t="shared" si="18"/>
        <v>0</v>
      </c>
      <c r="T171" s="735">
        <f t="shared" si="19"/>
        <v>0</v>
      </c>
      <c r="U171" s="735">
        <f t="shared" si="20"/>
        <v>28311767.30714513</v>
      </c>
      <c r="V171" s="736">
        <f t="shared" si="21"/>
        <v>0</v>
      </c>
      <c r="W171" s="735">
        <f t="shared" si="22"/>
        <v>28311767.30714513</v>
      </c>
      <c r="X171" s="737">
        <f t="shared" si="23"/>
        <v>0</v>
      </c>
      <c r="Y171" s="738">
        <f t="shared" si="24"/>
        <v>0</v>
      </c>
    </row>
    <row r="172" spans="1:25">
      <c r="A172" s="754" t="str">
        <f>'Func Future Subs 2015'!A172</f>
        <v>320P[2]_180</v>
      </c>
      <c r="B172" s="754">
        <f>'Func Future Subs 2015'!B172</f>
        <v>737</v>
      </c>
      <c r="C172" s="754">
        <f>'Func Future Subs 2015'!C172</f>
        <v>240</v>
      </c>
      <c r="D172" s="754">
        <f>'Func Future Subs 2015'!D172</f>
        <v>25</v>
      </c>
      <c r="E172" s="754" t="str">
        <f>'Func Future Subs 2015'!E172</f>
        <v>320P</v>
      </c>
      <c r="F172" s="754">
        <f>'Func Future Subs 2015'!F172</f>
        <v>551841.87584074528</v>
      </c>
      <c r="G172" s="754" t="str">
        <f>'Func Future Subs 2015'!G172</f>
        <v>AltaLink</v>
      </c>
      <c r="H172" s="754">
        <f>'Func Future Subs 2015'!H172</f>
        <v>2015</v>
      </c>
      <c r="I172" s="306">
        <f>+IF($H172=I$2,VLOOKUP($G172,Depreciation!$A$14:$L$18,7,FALSE)/2,IF($H172&lt;I$2,VLOOKUP($G172,Depreciation!$A$14:$L$18,7,FALSE),0))</f>
        <v>1.7228380322441735E-2</v>
      </c>
      <c r="J172" s="306">
        <f>+IF($H172=J$2,VLOOKUP($G172,Depreciation!$A$14:$L$18,8,FALSE)/2,IF($H172&lt;J$2,VLOOKUP($G172,Depreciation!$A$14:$L$18,8,FALSE),0))</f>
        <v>3.343407856743718E-2</v>
      </c>
      <c r="K172" s="306">
        <f>+IF($H172=K$2,VLOOKUP($G172,Depreciation!$A$14:$L$18,9,FALSE)/2,IF($H172&lt;K$2,VLOOKUP($G172,Depreciation!$A$14:$L$18,9,FALSE),0))</f>
        <v>3.343407856743718E-2</v>
      </c>
      <c r="L172" s="306">
        <f>+IF($H172=L$2,VLOOKUP($G172,Depreciation!$A$14:$L$18,10,FALSE)/2,IF($H172&lt;L$2,VLOOKUP($G172,Depreciation!$A$14:$L$18,10,FALSE),0))</f>
        <v>3.343407856743718E-2</v>
      </c>
      <c r="M172" s="306">
        <f>+IF($H172=M$2,VLOOKUP($G172,Depreciation!$A$14:$L$18,11,FALSE)/2,IF($H172&lt;M$2,VLOOKUP($G172,Depreciation!$A$14:$L$18,11,FALSE),0))</f>
        <v>3.343407856743718E-2</v>
      </c>
      <c r="N172" s="306">
        <f>+IF($H172=N$2,VLOOKUP($G172,Depreciation!$A$14:$L$18,12,FALSE)/2,IF($H172&lt;N$2,VLOOKUP($G172,Depreciation!$A$14:$L$18,12,FALSE),0))</f>
        <v>3.343407856743718E-2</v>
      </c>
      <c r="O172" s="307">
        <f t="shared" si="17"/>
        <v>473361.76518379775</v>
      </c>
      <c r="P172" s="732">
        <f>'Func Future Subs 2015'!P172</f>
        <v>0.96203522504892369</v>
      </c>
      <c r="Q172" s="732">
        <f>'Func Future Subs 2015'!Q172</f>
        <v>3.7964774951076322E-2</v>
      </c>
      <c r="R172" s="732">
        <f>'Func Future Subs 2015'!R172</f>
        <v>0</v>
      </c>
      <c r="S172" s="735">
        <f t="shared" si="18"/>
        <v>455390.69229815062</v>
      </c>
      <c r="T172" s="735">
        <f t="shared" si="19"/>
        <v>17971.072885647118</v>
      </c>
      <c r="U172" s="735">
        <f t="shared" si="20"/>
        <v>0</v>
      </c>
      <c r="V172" s="736">
        <f t="shared" si="21"/>
        <v>0</v>
      </c>
      <c r="W172" s="735">
        <f t="shared" si="22"/>
        <v>455390.69229815062</v>
      </c>
      <c r="X172" s="737">
        <f t="shared" si="23"/>
        <v>0</v>
      </c>
      <c r="Y172" s="738">
        <f t="shared" si="24"/>
        <v>17971.072885647118</v>
      </c>
    </row>
    <row r="173" spans="1:25">
      <c r="A173" s="754" t="str">
        <f>'Func Future Subs 2015'!A173</f>
        <v>330P_180</v>
      </c>
      <c r="B173" s="754">
        <f>'Func Future Subs 2015'!B173</f>
        <v>737</v>
      </c>
      <c r="C173" s="754">
        <f>'Func Future Subs 2015'!C173</f>
        <v>240</v>
      </c>
      <c r="D173" s="754">
        <f>'Func Future Subs 2015'!D173</f>
        <v>240</v>
      </c>
      <c r="E173" s="754" t="str">
        <f>'Func Future Subs 2015'!E173</f>
        <v>330P</v>
      </c>
      <c r="F173" s="754">
        <f>'Func Future Subs 2015'!F173</f>
        <v>223583.15265230645</v>
      </c>
      <c r="G173" s="754" t="str">
        <f>'Func Future Subs 2015'!G173</f>
        <v>AltaLink</v>
      </c>
      <c r="H173" s="754">
        <f>'Func Future Subs 2015'!H173</f>
        <v>2015</v>
      </c>
      <c r="I173" s="306">
        <f>+IF($H173=I$2,VLOOKUP($G173,Depreciation!$A$14:$L$18,7,FALSE)/2,IF($H173&lt;I$2,VLOOKUP($G173,Depreciation!$A$14:$L$18,7,FALSE),0))</f>
        <v>1.7228380322441735E-2</v>
      </c>
      <c r="J173" s="306">
        <f>+IF($H173=J$2,VLOOKUP($G173,Depreciation!$A$14:$L$18,8,FALSE)/2,IF($H173&lt;J$2,VLOOKUP($G173,Depreciation!$A$14:$L$18,8,FALSE),0))</f>
        <v>3.343407856743718E-2</v>
      </c>
      <c r="K173" s="306">
        <f>+IF($H173=K$2,VLOOKUP($G173,Depreciation!$A$14:$L$18,9,FALSE)/2,IF($H173&lt;K$2,VLOOKUP($G173,Depreciation!$A$14:$L$18,9,FALSE),0))</f>
        <v>3.343407856743718E-2</v>
      </c>
      <c r="L173" s="306">
        <f>+IF($H173=L$2,VLOOKUP($G173,Depreciation!$A$14:$L$18,10,FALSE)/2,IF($H173&lt;L$2,VLOOKUP($G173,Depreciation!$A$14:$L$18,10,FALSE),0))</f>
        <v>3.343407856743718E-2</v>
      </c>
      <c r="M173" s="306">
        <f>+IF($H173=M$2,VLOOKUP($G173,Depreciation!$A$14:$L$18,11,FALSE)/2,IF($H173&lt;M$2,VLOOKUP($G173,Depreciation!$A$14:$L$18,11,FALSE),0))</f>
        <v>3.343407856743718E-2</v>
      </c>
      <c r="N173" s="306">
        <f>+IF($H173=N$2,VLOOKUP($G173,Depreciation!$A$14:$L$18,12,FALSE)/2,IF($H173&lt;N$2,VLOOKUP($G173,Depreciation!$A$14:$L$18,12,FALSE),0))</f>
        <v>3.343407856743718E-2</v>
      </c>
      <c r="O173" s="307">
        <f t="shared" si="17"/>
        <v>191786.30770564647</v>
      </c>
      <c r="P173" s="732">
        <f>'Func Future Subs 2015'!P173</f>
        <v>0</v>
      </c>
      <c r="Q173" s="732">
        <f>'Func Future Subs 2015'!Q173</f>
        <v>0</v>
      </c>
      <c r="R173" s="732">
        <f>'Func Future Subs 2015'!R173</f>
        <v>1</v>
      </c>
      <c r="S173" s="735">
        <f t="shared" si="18"/>
        <v>0</v>
      </c>
      <c r="T173" s="735">
        <f t="shared" si="19"/>
        <v>0</v>
      </c>
      <c r="U173" s="735">
        <f t="shared" si="20"/>
        <v>191786.30770564647</v>
      </c>
      <c r="V173" s="736">
        <f t="shared" si="21"/>
        <v>0</v>
      </c>
      <c r="W173" s="735">
        <f t="shared" si="22"/>
        <v>191786.30770564647</v>
      </c>
      <c r="X173" s="737">
        <f t="shared" si="23"/>
        <v>0</v>
      </c>
      <c r="Y173" s="738">
        <f t="shared" si="24"/>
        <v>0</v>
      </c>
    </row>
    <row r="174" spans="1:25">
      <c r="A174" s="754" t="str">
        <f>'Func Future Subs 2015'!A174</f>
        <v>74S_180</v>
      </c>
      <c r="B174" s="754">
        <f>'Func Future Subs 2015'!B174</f>
        <v>737</v>
      </c>
      <c r="C174" s="754">
        <f>'Func Future Subs 2015'!C174</f>
        <v>240</v>
      </c>
      <c r="D174" s="754">
        <f>'Func Future Subs 2015'!D174</f>
        <v>138</v>
      </c>
      <c r="E174" s="754" t="str">
        <f>'Func Future Subs 2015'!E174</f>
        <v>74S</v>
      </c>
      <c r="F174" s="754">
        <f>'Func Future Subs 2015'!F174</f>
        <v>315408.50917802192</v>
      </c>
      <c r="G174" s="754" t="str">
        <f>'Func Future Subs 2015'!G174</f>
        <v>AltaLink</v>
      </c>
      <c r="H174" s="754">
        <f>'Func Future Subs 2015'!H174</f>
        <v>2015</v>
      </c>
      <c r="I174" s="306">
        <f>+IF($H174=I$2,VLOOKUP($G174,Depreciation!$A$14:$L$18,7,FALSE)/2,IF($H174&lt;I$2,VLOOKUP($G174,Depreciation!$A$14:$L$18,7,FALSE),0))</f>
        <v>1.7228380322441735E-2</v>
      </c>
      <c r="J174" s="306">
        <f>+IF($H174=J$2,VLOOKUP($G174,Depreciation!$A$14:$L$18,8,FALSE)/2,IF($H174&lt;J$2,VLOOKUP($G174,Depreciation!$A$14:$L$18,8,FALSE),0))</f>
        <v>3.343407856743718E-2</v>
      </c>
      <c r="K174" s="306">
        <f>+IF($H174=K$2,VLOOKUP($G174,Depreciation!$A$14:$L$18,9,FALSE)/2,IF($H174&lt;K$2,VLOOKUP($G174,Depreciation!$A$14:$L$18,9,FALSE),0))</f>
        <v>3.343407856743718E-2</v>
      </c>
      <c r="L174" s="306">
        <f>+IF($H174=L$2,VLOOKUP($G174,Depreciation!$A$14:$L$18,10,FALSE)/2,IF($H174&lt;L$2,VLOOKUP($G174,Depreciation!$A$14:$L$18,10,FALSE),0))</f>
        <v>3.343407856743718E-2</v>
      </c>
      <c r="M174" s="306">
        <f>+IF($H174=M$2,VLOOKUP($G174,Depreciation!$A$14:$L$18,11,FALSE)/2,IF($H174&lt;M$2,VLOOKUP($G174,Depreciation!$A$14:$L$18,11,FALSE),0))</f>
        <v>3.343407856743718E-2</v>
      </c>
      <c r="N174" s="306">
        <f>+IF($H174=N$2,VLOOKUP($G174,Depreciation!$A$14:$L$18,12,FALSE)/2,IF($H174&lt;N$2,VLOOKUP($G174,Depreciation!$A$14:$L$18,12,FALSE),0))</f>
        <v>3.343407856743718E-2</v>
      </c>
      <c r="O174" s="307">
        <f t="shared" si="17"/>
        <v>270552.73475038959</v>
      </c>
      <c r="P174" s="732">
        <f>'Func Future Subs 2015'!P174</f>
        <v>0</v>
      </c>
      <c r="Q174" s="732">
        <f>'Func Future Subs 2015'!Q174</f>
        <v>0</v>
      </c>
      <c r="R174" s="732">
        <f>'Func Future Subs 2015'!R174</f>
        <v>1</v>
      </c>
      <c r="S174" s="735">
        <f t="shared" si="18"/>
        <v>0</v>
      </c>
      <c r="T174" s="735">
        <f t="shared" si="19"/>
        <v>0</v>
      </c>
      <c r="U174" s="735">
        <f t="shared" si="20"/>
        <v>270552.73475038959</v>
      </c>
      <c r="V174" s="736">
        <f t="shared" si="21"/>
        <v>0</v>
      </c>
      <c r="W174" s="735">
        <f t="shared" si="22"/>
        <v>0</v>
      </c>
      <c r="X174" s="737">
        <f t="shared" si="23"/>
        <v>270552.73475038959</v>
      </c>
      <c r="Y174" s="738">
        <f t="shared" si="24"/>
        <v>0</v>
      </c>
    </row>
    <row r="175" spans="1:25">
      <c r="A175" s="754" t="str">
        <f>'Func Future Subs 2015'!A175</f>
        <v>89S_180</v>
      </c>
      <c r="B175" s="754">
        <f>'Func Future Subs 2015'!B175</f>
        <v>737</v>
      </c>
      <c r="C175" s="754">
        <f>'Func Future Subs 2015'!C175</f>
        <v>240</v>
      </c>
      <c r="D175" s="754">
        <f>'Func Future Subs 2015'!D175</f>
        <v>240</v>
      </c>
      <c r="E175" s="754" t="str">
        <f>'Func Future Subs 2015'!E175</f>
        <v>89S</v>
      </c>
      <c r="F175" s="754">
        <f>'Func Future Subs 2015'!F175</f>
        <v>273015.76516128465</v>
      </c>
      <c r="G175" s="754" t="str">
        <f>'Func Future Subs 2015'!G175</f>
        <v>AltaLink</v>
      </c>
      <c r="H175" s="754">
        <f>'Func Future Subs 2015'!H175</f>
        <v>2015</v>
      </c>
      <c r="I175" s="306">
        <f>+IF($H175=I$2,VLOOKUP($G175,Depreciation!$A$14:$L$18,7,FALSE)/2,IF($H175&lt;I$2,VLOOKUP($G175,Depreciation!$A$14:$L$18,7,FALSE),0))</f>
        <v>1.7228380322441735E-2</v>
      </c>
      <c r="J175" s="306">
        <f>+IF($H175=J$2,VLOOKUP($G175,Depreciation!$A$14:$L$18,8,FALSE)/2,IF($H175&lt;J$2,VLOOKUP($G175,Depreciation!$A$14:$L$18,8,FALSE),0))</f>
        <v>3.343407856743718E-2</v>
      </c>
      <c r="K175" s="306">
        <f>+IF($H175=K$2,VLOOKUP($G175,Depreciation!$A$14:$L$18,9,FALSE)/2,IF($H175&lt;K$2,VLOOKUP($G175,Depreciation!$A$14:$L$18,9,FALSE),0))</f>
        <v>3.343407856743718E-2</v>
      </c>
      <c r="L175" s="306">
        <f>+IF($H175=L$2,VLOOKUP($G175,Depreciation!$A$14:$L$18,10,FALSE)/2,IF($H175&lt;L$2,VLOOKUP($G175,Depreciation!$A$14:$L$18,10,FALSE),0))</f>
        <v>3.343407856743718E-2</v>
      </c>
      <c r="M175" s="306">
        <f>+IF($H175=M$2,VLOOKUP($G175,Depreciation!$A$14:$L$18,11,FALSE)/2,IF($H175&lt;M$2,VLOOKUP($G175,Depreciation!$A$14:$L$18,11,FALSE),0))</f>
        <v>3.343407856743718E-2</v>
      </c>
      <c r="N175" s="306">
        <f>+IF($H175=N$2,VLOOKUP($G175,Depreciation!$A$14:$L$18,12,FALSE)/2,IF($H175&lt;N$2,VLOOKUP($G175,Depreciation!$A$14:$L$18,12,FALSE),0))</f>
        <v>3.343407856743718E-2</v>
      </c>
      <c r="O175" s="307">
        <f t="shared" si="17"/>
        <v>234188.86854655191</v>
      </c>
      <c r="P175" s="732">
        <f>'Func Future Subs 2015'!P175</f>
        <v>0</v>
      </c>
      <c r="Q175" s="732">
        <f>'Func Future Subs 2015'!Q175</f>
        <v>0</v>
      </c>
      <c r="R175" s="732">
        <f>'Func Future Subs 2015'!R175</f>
        <v>1</v>
      </c>
      <c r="S175" s="735">
        <f t="shared" si="18"/>
        <v>0</v>
      </c>
      <c r="T175" s="735">
        <f t="shared" si="19"/>
        <v>0</v>
      </c>
      <c r="U175" s="735">
        <f t="shared" si="20"/>
        <v>234188.86854655191</v>
      </c>
      <c r="V175" s="736">
        <f t="shared" si="21"/>
        <v>0</v>
      </c>
      <c r="W175" s="735">
        <f t="shared" si="22"/>
        <v>234188.86854655191</v>
      </c>
      <c r="X175" s="737">
        <f t="shared" si="23"/>
        <v>0</v>
      </c>
      <c r="Y175" s="738">
        <f t="shared" si="24"/>
        <v>0</v>
      </c>
    </row>
    <row r="176" spans="1:25">
      <c r="A176" s="754" t="str">
        <f>'Func Future Subs 2015'!A176</f>
        <v>Bennett 503S Substation</v>
      </c>
      <c r="B176" s="754">
        <f>'Func Future Subs 2015'!B176</f>
        <v>737</v>
      </c>
      <c r="C176" s="754">
        <f>'Func Future Subs 2015'!C176</f>
        <v>500</v>
      </c>
      <c r="D176" s="754">
        <f>'Func Future Subs 2015'!D176</f>
        <v>0</v>
      </c>
      <c r="E176" s="754" t="str">
        <f>'Func Future Subs 2015'!E176</f>
        <v>503S</v>
      </c>
      <c r="F176" s="754">
        <f>'Func Future Subs 2015'!F176</f>
        <v>59049851.860905387</v>
      </c>
      <c r="G176" s="754" t="str">
        <f>'Func Future Subs 2015'!G176</f>
        <v>AltaLink</v>
      </c>
      <c r="H176" s="754">
        <f>'Func Future Subs 2015'!H176</f>
        <v>2015</v>
      </c>
      <c r="I176" s="306">
        <f>+IF($H176=I$2,VLOOKUP($G176,Depreciation!$A$14:$L$18,7,FALSE)/2,IF($H176&lt;I$2,VLOOKUP($G176,Depreciation!$A$14:$L$18,7,FALSE),0))</f>
        <v>1.7228380322441735E-2</v>
      </c>
      <c r="J176" s="306">
        <f>+IF($H176=J$2,VLOOKUP($G176,Depreciation!$A$14:$L$18,8,FALSE)/2,IF($H176&lt;J$2,VLOOKUP($G176,Depreciation!$A$14:$L$18,8,FALSE),0))</f>
        <v>3.343407856743718E-2</v>
      </c>
      <c r="K176" s="306">
        <f>+IF($H176=K$2,VLOOKUP($G176,Depreciation!$A$14:$L$18,9,FALSE)/2,IF($H176&lt;K$2,VLOOKUP($G176,Depreciation!$A$14:$L$18,9,FALSE),0))</f>
        <v>3.343407856743718E-2</v>
      </c>
      <c r="L176" s="306">
        <f>+IF($H176=L$2,VLOOKUP($G176,Depreciation!$A$14:$L$18,10,FALSE)/2,IF($H176&lt;L$2,VLOOKUP($G176,Depreciation!$A$14:$L$18,10,FALSE),0))</f>
        <v>3.343407856743718E-2</v>
      </c>
      <c r="M176" s="306">
        <f>+IF($H176=M$2,VLOOKUP($G176,Depreciation!$A$14:$L$18,11,FALSE)/2,IF($H176&lt;M$2,VLOOKUP($G176,Depreciation!$A$14:$L$18,11,FALSE),0))</f>
        <v>3.343407856743718E-2</v>
      </c>
      <c r="N176" s="306">
        <f>+IF($H176=N$2,VLOOKUP($G176,Depreciation!$A$14:$L$18,12,FALSE)/2,IF($H176&lt;N$2,VLOOKUP($G176,Depreciation!$A$14:$L$18,12,FALSE),0))</f>
        <v>3.343407856743718E-2</v>
      </c>
      <c r="O176" s="307">
        <f t="shared" si="17"/>
        <v>50652085.922501691</v>
      </c>
      <c r="P176" s="732">
        <f>'Func Future Subs 2015'!P176</f>
        <v>0</v>
      </c>
      <c r="Q176" s="732">
        <f>'Func Future Subs 2015'!Q176</f>
        <v>0</v>
      </c>
      <c r="R176" s="732">
        <f>'Func Future Subs 2015'!R176</f>
        <v>1</v>
      </c>
      <c r="S176" s="735">
        <f t="shared" si="18"/>
        <v>0</v>
      </c>
      <c r="T176" s="735">
        <f t="shared" si="19"/>
        <v>0</v>
      </c>
      <c r="U176" s="735">
        <f t="shared" si="20"/>
        <v>50652085.922501691</v>
      </c>
      <c r="V176" s="736">
        <f t="shared" si="21"/>
        <v>50652085.922501691</v>
      </c>
      <c r="W176" s="735">
        <f t="shared" si="22"/>
        <v>0</v>
      </c>
      <c r="X176" s="737">
        <f t="shared" si="23"/>
        <v>0</v>
      </c>
      <c r="Y176" s="738">
        <f t="shared" si="24"/>
        <v>0</v>
      </c>
    </row>
    <row r="177" spans="1:25">
      <c r="A177" s="754" t="str">
        <f>'Func Future Subs 2015'!A177</f>
        <v>Crossings 511S Substation</v>
      </c>
      <c r="B177" s="754">
        <f>'Func Future Subs 2015'!B177</f>
        <v>737</v>
      </c>
      <c r="C177" s="754">
        <f>'Func Future Subs 2015'!C177</f>
        <v>500</v>
      </c>
      <c r="D177" s="754">
        <f>'Func Future Subs 2015'!D177</f>
        <v>240</v>
      </c>
      <c r="E177" s="754" t="str">
        <f>'Func Future Subs 2015'!E177</f>
        <v>511S</v>
      </c>
      <c r="F177" s="754">
        <f>'Func Future Subs 2015'!F177</f>
        <v>248522285.09999999</v>
      </c>
      <c r="G177" s="754" t="str">
        <f>'Func Future Subs 2015'!G177</f>
        <v>AltaLink</v>
      </c>
      <c r="H177" s="754">
        <f>'Func Future Subs 2015'!H177</f>
        <v>2015</v>
      </c>
      <c r="I177" s="306">
        <f>+IF($H177=I$2,VLOOKUP($G177,Depreciation!$A$14:$L$18,7,FALSE)/2,IF($H177&lt;I$2,VLOOKUP($G177,Depreciation!$A$14:$L$18,7,FALSE),0))</f>
        <v>1.7228380322441735E-2</v>
      </c>
      <c r="J177" s="306">
        <f>+IF($H177=J$2,VLOOKUP($G177,Depreciation!$A$14:$L$18,8,FALSE)/2,IF($H177&lt;J$2,VLOOKUP($G177,Depreciation!$A$14:$L$18,8,FALSE),0))</f>
        <v>3.343407856743718E-2</v>
      </c>
      <c r="K177" s="306">
        <f>+IF($H177=K$2,VLOOKUP($G177,Depreciation!$A$14:$L$18,9,FALSE)/2,IF($H177&lt;K$2,VLOOKUP($G177,Depreciation!$A$14:$L$18,9,FALSE),0))</f>
        <v>3.343407856743718E-2</v>
      </c>
      <c r="L177" s="306">
        <f>+IF($H177=L$2,VLOOKUP($G177,Depreciation!$A$14:$L$18,10,FALSE)/2,IF($H177&lt;L$2,VLOOKUP($G177,Depreciation!$A$14:$L$18,10,FALSE),0))</f>
        <v>3.343407856743718E-2</v>
      </c>
      <c r="M177" s="306">
        <f>+IF($H177=M$2,VLOOKUP($G177,Depreciation!$A$14:$L$18,11,FALSE)/2,IF($H177&lt;M$2,VLOOKUP($G177,Depreciation!$A$14:$L$18,11,FALSE),0))</f>
        <v>3.343407856743718E-2</v>
      </c>
      <c r="N177" s="306">
        <f>+IF($H177=N$2,VLOOKUP($G177,Depreciation!$A$14:$L$18,12,FALSE)/2,IF($H177&lt;N$2,VLOOKUP($G177,Depreciation!$A$14:$L$18,12,FALSE),0))</f>
        <v>3.343407856743718E-2</v>
      </c>
      <c r="O177" s="307">
        <f t="shared" si="17"/>
        <v>213178725.12523273</v>
      </c>
      <c r="P177" s="732">
        <f>'Func Future Subs 2015'!P177</f>
        <v>0</v>
      </c>
      <c r="Q177" s="732">
        <f>'Func Future Subs 2015'!Q177</f>
        <v>0</v>
      </c>
      <c r="R177" s="732">
        <f>'Func Future Subs 2015'!R177</f>
        <v>1</v>
      </c>
      <c r="S177" s="735">
        <f t="shared" si="18"/>
        <v>0</v>
      </c>
      <c r="T177" s="735">
        <f t="shared" si="19"/>
        <v>0</v>
      </c>
      <c r="U177" s="735">
        <f t="shared" si="20"/>
        <v>213178725.12523273</v>
      </c>
      <c r="V177" s="736">
        <f t="shared" si="21"/>
        <v>0</v>
      </c>
      <c r="W177" s="735">
        <f t="shared" si="22"/>
        <v>213178725.12523273</v>
      </c>
      <c r="X177" s="737">
        <f t="shared" si="23"/>
        <v>0</v>
      </c>
      <c r="Y177" s="738">
        <f t="shared" si="24"/>
        <v>0</v>
      </c>
    </row>
    <row r="178" spans="1:25">
      <c r="A178" s="754" t="str">
        <f>'Func Future Subs 2015'!A178</f>
        <v>Genesee 330P 962</v>
      </c>
      <c r="B178" s="754">
        <f>'Func Future Subs 2015'!B178</f>
        <v>737</v>
      </c>
      <c r="C178" s="754">
        <f>'Func Future Subs 2015'!C178</f>
        <v>500</v>
      </c>
      <c r="D178" s="754">
        <f>'Func Future Subs 2015'!D178</f>
        <v>240</v>
      </c>
      <c r="E178" s="754" t="str">
        <f>'Func Future Subs 2015'!E178</f>
        <v>330P</v>
      </c>
      <c r="F178" s="754">
        <f>'Func Future Subs 2015'!F178</f>
        <v>418379.53308123141</v>
      </c>
      <c r="G178" s="754" t="str">
        <f>'Func Future Subs 2015'!G178</f>
        <v>EPCOR</v>
      </c>
      <c r="H178" s="754">
        <f>'Func Future Subs 2015'!H178</f>
        <v>2015</v>
      </c>
      <c r="I178" s="306">
        <f>+IF($H178=I$2,VLOOKUP($G178,Depreciation!$A$14:$L$18,7,FALSE)/2,IF($H178&lt;I$2,VLOOKUP($G178,Depreciation!$A$14:$L$18,7,FALSE),0))</f>
        <v>2.0607513622398654E-2</v>
      </c>
      <c r="J178" s="306">
        <f>+IF($H178=J$2,VLOOKUP($G178,Depreciation!$A$14:$L$18,8,FALSE)/2,IF($H178&lt;J$2,VLOOKUP($G178,Depreciation!$A$14:$L$18,8,FALSE),0))</f>
        <v>4.1600055599844914E-2</v>
      </c>
      <c r="K178" s="306">
        <f>+IF($H178=K$2,VLOOKUP($G178,Depreciation!$A$14:$L$18,9,FALSE)/2,IF($H178&lt;K$2,VLOOKUP($G178,Depreciation!$A$14:$L$18,9,FALSE),0))</f>
        <v>4.1145263498658789E-2</v>
      </c>
      <c r="L178" s="306">
        <f>+IF($H178=L$2,VLOOKUP($G178,Depreciation!$A$14:$L$18,10,FALSE)/2,IF($H178&lt;L$2,VLOOKUP($G178,Depreciation!$A$14:$L$18,10,FALSE),0))</f>
        <v>4.1145263498658789E-2</v>
      </c>
      <c r="M178" s="306">
        <f>+IF($H178=M$2,VLOOKUP($G178,Depreciation!$A$14:$L$18,11,FALSE)/2,IF($H178&lt;M$2,VLOOKUP($G178,Depreciation!$A$14:$L$18,11,FALSE),0))</f>
        <v>4.1145263498658789E-2</v>
      </c>
      <c r="N178" s="306">
        <f>+IF($H178=N$2,VLOOKUP($G178,Depreciation!$A$14:$L$18,12,FALSE)/2,IF($H178&lt;N$2,VLOOKUP($G178,Depreciation!$A$14:$L$18,12,FALSE),0))</f>
        <v>4.1145263498658789E-2</v>
      </c>
      <c r="O178" s="307">
        <f t="shared" si="17"/>
        <v>346204.27980650787</v>
      </c>
      <c r="P178" s="732">
        <f>'Func Future Subs 2015'!P178</f>
        <v>0</v>
      </c>
      <c r="Q178" s="732">
        <f>'Func Future Subs 2015'!Q178</f>
        <v>0</v>
      </c>
      <c r="R178" s="732">
        <f>'Func Future Subs 2015'!R178</f>
        <v>1</v>
      </c>
      <c r="S178" s="735">
        <f t="shared" si="18"/>
        <v>0</v>
      </c>
      <c r="T178" s="735">
        <f t="shared" si="19"/>
        <v>0</v>
      </c>
      <c r="U178" s="735">
        <f t="shared" si="20"/>
        <v>346204.27980650787</v>
      </c>
      <c r="V178" s="736">
        <f t="shared" si="21"/>
        <v>0</v>
      </c>
      <c r="W178" s="735">
        <f t="shared" si="22"/>
        <v>346204.27980650787</v>
      </c>
      <c r="X178" s="737">
        <f t="shared" si="23"/>
        <v>0</v>
      </c>
      <c r="Y178" s="738">
        <f t="shared" si="24"/>
        <v>0</v>
      </c>
    </row>
    <row r="179" spans="1:25">
      <c r="A179" s="754" t="str">
        <f>'Func Future Subs 2015'!A179</f>
        <v>Langdon 102S Substation</v>
      </c>
      <c r="B179" s="754">
        <f>'Func Future Subs 2015'!B179</f>
        <v>737</v>
      </c>
      <c r="C179" s="754">
        <f>'Func Future Subs 2015'!C179</f>
        <v>240</v>
      </c>
      <c r="D179" s="754">
        <f>'Func Future Subs 2015'!D179</f>
        <v>240</v>
      </c>
      <c r="E179" s="754" t="str">
        <f>'Func Future Subs 2015'!E179</f>
        <v>102S</v>
      </c>
      <c r="F179" s="754">
        <f>'Func Future Subs 2015'!F179</f>
        <v>61400098.23974175</v>
      </c>
      <c r="G179" s="754" t="str">
        <f>'Func Future Subs 2015'!G179</f>
        <v>AltaLink</v>
      </c>
      <c r="H179" s="754">
        <f>'Func Future Subs 2015'!H179</f>
        <v>2015</v>
      </c>
      <c r="I179" s="306">
        <f>+IF($H179=I$2,VLOOKUP($G179,Depreciation!$A$14:$L$18,7,FALSE)/2,IF($H179&lt;I$2,VLOOKUP($G179,Depreciation!$A$14:$L$18,7,FALSE),0))</f>
        <v>1.7228380322441735E-2</v>
      </c>
      <c r="J179" s="306">
        <f>+IF($H179=J$2,VLOOKUP($G179,Depreciation!$A$14:$L$18,8,FALSE)/2,IF($H179&lt;J$2,VLOOKUP($G179,Depreciation!$A$14:$L$18,8,FALSE),0))</f>
        <v>3.343407856743718E-2</v>
      </c>
      <c r="K179" s="306">
        <f>+IF($H179=K$2,VLOOKUP($G179,Depreciation!$A$14:$L$18,9,FALSE)/2,IF($H179&lt;K$2,VLOOKUP($G179,Depreciation!$A$14:$L$18,9,FALSE),0))</f>
        <v>3.343407856743718E-2</v>
      </c>
      <c r="L179" s="306">
        <f>+IF($H179=L$2,VLOOKUP($G179,Depreciation!$A$14:$L$18,10,FALSE)/2,IF($H179&lt;L$2,VLOOKUP($G179,Depreciation!$A$14:$L$18,10,FALSE),0))</f>
        <v>3.343407856743718E-2</v>
      </c>
      <c r="M179" s="306">
        <f>+IF($H179=M$2,VLOOKUP($G179,Depreciation!$A$14:$L$18,11,FALSE)/2,IF($H179&lt;M$2,VLOOKUP($G179,Depreciation!$A$14:$L$18,11,FALSE),0))</f>
        <v>3.343407856743718E-2</v>
      </c>
      <c r="N179" s="306">
        <f>+IF($H179=N$2,VLOOKUP($G179,Depreciation!$A$14:$L$18,12,FALSE)/2,IF($H179&lt;N$2,VLOOKUP($G179,Depreciation!$A$14:$L$18,12,FALSE),0))</f>
        <v>3.343407856743718E-2</v>
      </c>
      <c r="O179" s="307">
        <f t="shared" si="17"/>
        <v>52668092.36059206</v>
      </c>
      <c r="P179" s="732">
        <f>'Func Future Subs 2015'!P179</f>
        <v>0</v>
      </c>
      <c r="Q179" s="732">
        <f>'Func Future Subs 2015'!Q179</f>
        <v>0</v>
      </c>
      <c r="R179" s="732">
        <f>'Func Future Subs 2015'!R179</f>
        <v>1</v>
      </c>
      <c r="S179" s="735">
        <f t="shared" si="18"/>
        <v>0</v>
      </c>
      <c r="T179" s="735">
        <f t="shared" si="19"/>
        <v>0</v>
      </c>
      <c r="U179" s="735">
        <f t="shared" si="20"/>
        <v>52668092.36059206</v>
      </c>
      <c r="V179" s="736">
        <f t="shared" si="21"/>
        <v>0</v>
      </c>
      <c r="W179" s="735">
        <f t="shared" si="22"/>
        <v>52668092.36059206</v>
      </c>
      <c r="X179" s="737">
        <f t="shared" si="23"/>
        <v>0</v>
      </c>
      <c r="Y179" s="738">
        <f t="shared" si="24"/>
        <v>0</v>
      </c>
    </row>
    <row r="180" spans="1:25">
      <c r="A180" s="754" t="str">
        <f>'Func Future Subs 2015'!A180</f>
        <v>Milo 356S_180</v>
      </c>
      <c r="B180" s="754">
        <f>'Func Future Subs 2015'!B180</f>
        <v>737</v>
      </c>
      <c r="C180" s="754">
        <f>'Func Future Subs 2015'!C180</f>
        <v>240</v>
      </c>
      <c r="D180" s="754">
        <f>'Func Future Subs 2015'!D180</f>
        <v>240</v>
      </c>
      <c r="E180" s="754" t="str">
        <f>'Func Future Subs 2015'!E180</f>
        <v>356S</v>
      </c>
      <c r="F180" s="754">
        <f>'Func Future Subs 2015'!F180</f>
        <v>403965.62500399671</v>
      </c>
      <c r="G180" s="754" t="str">
        <f>'Func Future Subs 2015'!G180</f>
        <v>AltaLink</v>
      </c>
      <c r="H180" s="754">
        <f>'Func Future Subs 2015'!H180</f>
        <v>2015</v>
      </c>
      <c r="I180" s="306">
        <f>+IF($H180=I$2,VLOOKUP($G180,Depreciation!$A$14:$L$18,7,FALSE)/2,IF($H180&lt;I$2,VLOOKUP($G180,Depreciation!$A$14:$L$18,7,FALSE),0))</f>
        <v>1.7228380322441735E-2</v>
      </c>
      <c r="J180" s="306">
        <f>+IF($H180=J$2,VLOOKUP($G180,Depreciation!$A$14:$L$18,8,FALSE)/2,IF($H180&lt;J$2,VLOOKUP($G180,Depreciation!$A$14:$L$18,8,FALSE),0))</f>
        <v>3.343407856743718E-2</v>
      </c>
      <c r="K180" s="306">
        <f>+IF($H180=K$2,VLOOKUP($G180,Depreciation!$A$14:$L$18,9,FALSE)/2,IF($H180&lt;K$2,VLOOKUP($G180,Depreciation!$A$14:$L$18,9,FALSE),0))</f>
        <v>3.343407856743718E-2</v>
      </c>
      <c r="L180" s="306">
        <f>+IF($H180=L$2,VLOOKUP($G180,Depreciation!$A$14:$L$18,10,FALSE)/2,IF($H180&lt;L$2,VLOOKUP($G180,Depreciation!$A$14:$L$18,10,FALSE),0))</f>
        <v>3.343407856743718E-2</v>
      </c>
      <c r="M180" s="306">
        <f>+IF($H180=M$2,VLOOKUP($G180,Depreciation!$A$14:$L$18,11,FALSE)/2,IF($H180&lt;M$2,VLOOKUP($G180,Depreciation!$A$14:$L$18,11,FALSE),0))</f>
        <v>3.343407856743718E-2</v>
      </c>
      <c r="N180" s="306">
        <f>+IF($H180=N$2,VLOOKUP($G180,Depreciation!$A$14:$L$18,12,FALSE)/2,IF($H180&lt;N$2,VLOOKUP($G180,Depreciation!$A$14:$L$18,12,FALSE),0))</f>
        <v>3.343407856743718E-2</v>
      </c>
      <c r="O180" s="307">
        <f t="shared" si="17"/>
        <v>346515.71346255048</v>
      </c>
      <c r="P180" s="732">
        <f>'Func Future Subs 2015'!P180</f>
        <v>0</v>
      </c>
      <c r="Q180" s="732">
        <f>'Func Future Subs 2015'!Q180</f>
        <v>0</v>
      </c>
      <c r="R180" s="732">
        <f>'Func Future Subs 2015'!R180</f>
        <v>1</v>
      </c>
      <c r="S180" s="735">
        <f t="shared" si="18"/>
        <v>0</v>
      </c>
      <c r="T180" s="735">
        <f t="shared" si="19"/>
        <v>0</v>
      </c>
      <c r="U180" s="735">
        <f t="shared" si="20"/>
        <v>346515.71346255048</v>
      </c>
      <c r="V180" s="736">
        <f t="shared" si="21"/>
        <v>0</v>
      </c>
      <c r="W180" s="735">
        <f t="shared" si="22"/>
        <v>346515.71346255048</v>
      </c>
      <c r="X180" s="737">
        <f t="shared" si="23"/>
        <v>0</v>
      </c>
      <c r="Y180" s="738">
        <f t="shared" si="24"/>
        <v>0</v>
      </c>
    </row>
    <row r="181" spans="1:25">
      <c r="A181" s="754" t="str">
        <f>'Func Future Subs 2015'!A181</f>
        <v>RPT1 17S_180</v>
      </c>
      <c r="B181" s="754">
        <f>'Func Future Subs 2015'!B181</f>
        <v>737</v>
      </c>
      <c r="C181" s="754">
        <f>'Func Future Subs 2015'!C181</f>
        <v>240</v>
      </c>
      <c r="D181" s="754">
        <f>'Func Future Subs 2015'!D181</f>
        <v>25</v>
      </c>
      <c r="E181" s="754" t="str">
        <f>'Func Future Subs 2015'!E181</f>
        <v>17S</v>
      </c>
      <c r="F181" s="754">
        <f>'Func Future Subs 2015'!F181</f>
        <v>748276.10411280254</v>
      </c>
      <c r="G181" s="754" t="str">
        <f>'Func Future Subs 2015'!G181</f>
        <v>AltaLink</v>
      </c>
      <c r="H181" s="754">
        <f>'Func Future Subs 2015'!H181</f>
        <v>2015</v>
      </c>
      <c r="I181" s="306">
        <f>+IF($H181=I$2,VLOOKUP($G181,Depreciation!$A$14:$L$18,7,FALSE)/2,IF($H181&lt;I$2,VLOOKUP($G181,Depreciation!$A$14:$L$18,7,FALSE),0))</f>
        <v>1.7228380322441735E-2</v>
      </c>
      <c r="J181" s="306">
        <f>+IF($H181=J$2,VLOOKUP($G181,Depreciation!$A$14:$L$18,8,FALSE)/2,IF($H181&lt;J$2,VLOOKUP($G181,Depreciation!$A$14:$L$18,8,FALSE),0))</f>
        <v>3.343407856743718E-2</v>
      </c>
      <c r="K181" s="306">
        <f>+IF($H181=K$2,VLOOKUP($G181,Depreciation!$A$14:$L$18,9,FALSE)/2,IF($H181&lt;K$2,VLOOKUP($G181,Depreciation!$A$14:$L$18,9,FALSE),0))</f>
        <v>3.343407856743718E-2</v>
      </c>
      <c r="L181" s="306">
        <f>+IF($H181=L$2,VLOOKUP($G181,Depreciation!$A$14:$L$18,10,FALSE)/2,IF($H181&lt;L$2,VLOOKUP($G181,Depreciation!$A$14:$L$18,10,FALSE),0))</f>
        <v>3.343407856743718E-2</v>
      </c>
      <c r="M181" s="306">
        <f>+IF($H181=M$2,VLOOKUP($G181,Depreciation!$A$14:$L$18,11,FALSE)/2,IF($H181&lt;M$2,VLOOKUP($G181,Depreciation!$A$14:$L$18,11,FALSE),0))</f>
        <v>3.343407856743718E-2</v>
      </c>
      <c r="N181" s="306">
        <f>+IF($H181=N$2,VLOOKUP($G181,Depreciation!$A$14:$L$18,12,FALSE)/2,IF($H181&lt;N$2,VLOOKUP($G181,Depreciation!$A$14:$L$18,12,FALSE),0))</f>
        <v>3.343407856743718E-2</v>
      </c>
      <c r="O181" s="307">
        <f t="shared" si="17"/>
        <v>641860.12876976863</v>
      </c>
      <c r="P181" s="732">
        <f>'Func Future Subs 2015'!P181</f>
        <v>0</v>
      </c>
      <c r="Q181" s="732">
        <f>'Func Future Subs 2015'!Q181</f>
        <v>1</v>
      </c>
      <c r="R181" s="732">
        <f>'Func Future Subs 2015'!R181</f>
        <v>0</v>
      </c>
      <c r="S181" s="735">
        <f t="shared" si="18"/>
        <v>0</v>
      </c>
      <c r="T181" s="735">
        <f t="shared" si="19"/>
        <v>641860.12876976863</v>
      </c>
      <c r="U181" s="735">
        <f t="shared" si="20"/>
        <v>0</v>
      </c>
      <c r="V181" s="736">
        <f t="shared" si="21"/>
        <v>0</v>
      </c>
      <c r="W181" s="735">
        <f t="shared" si="22"/>
        <v>0</v>
      </c>
      <c r="X181" s="737">
        <f t="shared" si="23"/>
        <v>0</v>
      </c>
      <c r="Y181" s="738">
        <f t="shared" si="24"/>
        <v>641860.12876976863</v>
      </c>
    </row>
    <row r="182" spans="1:25">
      <c r="A182" s="754" t="str">
        <f>'Func Future Subs 2015'!A182</f>
        <v>RPT2- Jackville_180</v>
      </c>
      <c r="B182" s="754">
        <f>'Func Future Subs 2015'!B182</f>
        <v>737</v>
      </c>
      <c r="C182" s="754">
        <f>'Func Future Subs 2015'!C182</f>
        <v>240</v>
      </c>
      <c r="D182" s="754">
        <f>'Func Future Subs 2015'!D182</f>
        <v>0</v>
      </c>
      <c r="E182" s="754">
        <f>'Func Future Subs 2015'!E182</f>
        <v>0</v>
      </c>
      <c r="F182" s="754">
        <f>'Func Future Subs 2015'!F182</f>
        <v>440477.54930957168</v>
      </c>
      <c r="G182" s="754" t="str">
        <f>'Func Future Subs 2015'!G182</f>
        <v>AltaLink</v>
      </c>
      <c r="H182" s="754">
        <f>'Func Future Subs 2015'!H182</f>
        <v>2015</v>
      </c>
      <c r="I182" s="306">
        <f>+IF($H182=I$2,VLOOKUP($G182,Depreciation!$A$14:$L$18,7,FALSE)/2,IF($H182&lt;I$2,VLOOKUP($G182,Depreciation!$A$14:$L$18,7,FALSE),0))</f>
        <v>1.7228380322441735E-2</v>
      </c>
      <c r="J182" s="306">
        <f>+IF($H182=J$2,VLOOKUP($G182,Depreciation!$A$14:$L$18,8,FALSE)/2,IF($H182&lt;J$2,VLOOKUP($G182,Depreciation!$A$14:$L$18,8,FALSE),0))</f>
        <v>3.343407856743718E-2</v>
      </c>
      <c r="K182" s="306">
        <f>+IF($H182=K$2,VLOOKUP($G182,Depreciation!$A$14:$L$18,9,FALSE)/2,IF($H182&lt;K$2,VLOOKUP($G182,Depreciation!$A$14:$L$18,9,FALSE),0))</f>
        <v>3.343407856743718E-2</v>
      </c>
      <c r="L182" s="306">
        <f>+IF($H182=L$2,VLOOKUP($G182,Depreciation!$A$14:$L$18,10,FALSE)/2,IF($H182&lt;L$2,VLOOKUP($G182,Depreciation!$A$14:$L$18,10,FALSE),0))</f>
        <v>3.343407856743718E-2</v>
      </c>
      <c r="M182" s="306">
        <f>+IF($H182=M$2,VLOOKUP($G182,Depreciation!$A$14:$L$18,11,FALSE)/2,IF($H182&lt;M$2,VLOOKUP($G182,Depreciation!$A$14:$L$18,11,FALSE),0))</f>
        <v>3.343407856743718E-2</v>
      </c>
      <c r="N182" s="306">
        <f>+IF($H182=N$2,VLOOKUP($G182,Depreciation!$A$14:$L$18,12,FALSE)/2,IF($H182&lt;N$2,VLOOKUP($G182,Depreciation!$A$14:$L$18,12,FALSE),0))</f>
        <v>3.343407856743718E-2</v>
      </c>
      <c r="O182" s="307">
        <f t="shared" si="17"/>
        <v>377835.09985962755</v>
      </c>
      <c r="P182" s="732">
        <f>'Func Future Subs 2015'!P182</f>
        <v>0</v>
      </c>
      <c r="Q182" s="732">
        <f>'Func Future Subs 2015'!Q182</f>
        <v>0</v>
      </c>
      <c r="R182" s="732">
        <f>'Func Future Subs 2015'!R182</f>
        <v>1</v>
      </c>
      <c r="S182" s="735">
        <f t="shared" si="18"/>
        <v>0</v>
      </c>
      <c r="T182" s="735">
        <f t="shared" si="19"/>
        <v>0</v>
      </c>
      <c r="U182" s="735">
        <f t="shared" si="20"/>
        <v>377835.09985962755</v>
      </c>
      <c r="V182" s="736">
        <f t="shared" si="21"/>
        <v>377835.09985962755</v>
      </c>
      <c r="W182" s="735">
        <f t="shared" si="22"/>
        <v>0</v>
      </c>
      <c r="X182" s="737">
        <f t="shared" si="23"/>
        <v>0</v>
      </c>
      <c r="Y182" s="738">
        <f t="shared" si="24"/>
        <v>0</v>
      </c>
    </row>
    <row r="183" spans="1:25">
      <c r="A183" s="754" t="str">
        <f>'Func Future Subs 2015'!A183</f>
        <v>RPT3- Knob Hill_180</v>
      </c>
      <c r="B183" s="754">
        <f>'Func Future Subs 2015'!B183</f>
        <v>737</v>
      </c>
      <c r="C183" s="754">
        <f>'Func Future Subs 2015'!C183</f>
        <v>240</v>
      </c>
      <c r="D183" s="754">
        <f>'Func Future Subs 2015'!D183</f>
        <v>0</v>
      </c>
      <c r="E183" s="754">
        <f>'Func Future Subs 2015'!E183</f>
        <v>0</v>
      </c>
      <c r="F183" s="754">
        <f>'Func Future Subs 2015'!F183</f>
        <v>413456.98863797617</v>
      </c>
      <c r="G183" s="754" t="str">
        <f>'Func Future Subs 2015'!G183</f>
        <v>AltaLink</v>
      </c>
      <c r="H183" s="754">
        <f>'Func Future Subs 2015'!H183</f>
        <v>2015</v>
      </c>
      <c r="I183" s="306">
        <f>+IF($H183=I$2,VLOOKUP($G183,Depreciation!$A$14:$L$18,7,FALSE)/2,IF($H183&lt;I$2,VLOOKUP($G183,Depreciation!$A$14:$L$18,7,FALSE),0))</f>
        <v>1.7228380322441735E-2</v>
      </c>
      <c r="J183" s="306">
        <f>+IF($H183=J$2,VLOOKUP($G183,Depreciation!$A$14:$L$18,8,FALSE)/2,IF($H183&lt;J$2,VLOOKUP($G183,Depreciation!$A$14:$L$18,8,FALSE),0))</f>
        <v>3.343407856743718E-2</v>
      </c>
      <c r="K183" s="306">
        <f>+IF($H183=K$2,VLOOKUP($G183,Depreciation!$A$14:$L$18,9,FALSE)/2,IF($H183&lt;K$2,VLOOKUP($G183,Depreciation!$A$14:$L$18,9,FALSE),0))</f>
        <v>3.343407856743718E-2</v>
      </c>
      <c r="L183" s="306">
        <f>+IF($H183=L$2,VLOOKUP($G183,Depreciation!$A$14:$L$18,10,FALSE)/2,IF($H183&lt;L$2,VLOOKUP($G183,Depreciation!$A$14:$L$18,10,FALSE),0))</f>
        <v>3.343407856743718E-2</v>
      </c>
      <c r="M183" s="306">
        <f>+IF($H183=M$2,VLOOKUP($G183,Depreciation!$A$14:$L$18,11,FALSE)/2,IF($H183&lt;M$2,VLOOKUP($G183,Depreciation!$A$14:$L$18,11,FALSE),0))</f>
        <v>3.343407856743718E-2</v>
      </c>
      <c r="N183" s="306">
        <f>+IF($H183=N$2,VLOOKUP($G183,Depreciation!$A$14:$L$18,12,FALSE)/2,IF($H183&lt;N$2,VLOOKUP($G183,Depreciation!$A$14:$L$18,12,FALSE),0))</f>
        <v>3.343407856743718E-2</v>
      </c>
      <c r="O183" s="307">
        <f t="shared" si="17"/>
        <v>354657.2642227874</v>
      </c>
      <c r="P183" s="732">
        <f>'Func Future Subs 2015'!P183</f>
        <v>0</v>
      </c>
      <c r="Q183" s="732">
        <f>'Func Future Subs 2015'!Q183</f>
        <v>0</v>
      </c>
      <c r="R183" s="732">
        <f>'Func Future Subs 2015'!R183</f>
        <v>1</v>
      </c>
      <c r="S183" s="735">
        <f t="shared" si="18"/>
        <v>0</v>
      </c>
      <c r="T183" s="735">
        <f t="shared" si="19"/>
        <v>0</v>
      </c>
      <c r="U183" s="735">
        <f t="shared" si="20"/>
        <v>354657.2642227874</v>
      </c>
      <c r="V183" s="736">
        <f t="shared" si="21"/>
        <v>354657.2642227874</v>
      </c>
      <c r="W183" s="735">
        <f t="shared" si="22"/>
        <v>0</v>
      </c>
      <c r="X183" s="737">
        <f t="shared" si="23"/>
        <v>0</v>
      </c>
      <c r="Y183" s="738">
        <f t="shared" si="24"/>
        <v>0</v>
      </c>
    </row>
    <row r="184" spans="1:25">
      <c r="A184" s="754" t="str">
        <f>'Func Future Subs 2015'!A184</f>
        <v>Sunnybrook 510S Substation</v>
      </c>
      <c r="B184" s="754">
        <f>'Func Future Subs 2015'!B184</f>
        <v>737</v>
      </c>
      <c r="C184" s="754">
        <f>'Func Future Subs 2015'!C184</f>
        <v>500</v>
      </c>
      <c r="D184" s="754">
        <f>'Func Future Subs 2015'!D184</f>
        <v>500</v>
      </c>
      <c r="E184" s="754" t="str">
        <f>'Func Future Subs 2015'!E184</f>
        <v>510S</v>
      </c>
      <c r="F184" s="754">
        <f>'Func Future Subs 2015'!F184</f>
        <v>355813227.30000001</v>
      </c>
      <c r="G184" s="754" t="str">
        <f>'Func Future Subs 2015'!G184</f>
        <v>AltaLink</v>
      </c>
      <c r="H184" s="754">
        <f>'Func Future Subs 2015'!H184</f>
        <v>2015</v>
      </c>
      <c r="I184" s="306">
        <f>+IF($H184=I$2,VLOOKUP($G184,Depreciation!$A$14:$L$18,7,FALSE)/2,IF($H184&lt;I$2,VLOOKUP($G184,Depreciation!$A$14:$L$18,7,FALSE),0))</f>
        <v>1.7228380322441735E-2</v>
      </c>
      <c r="J184" s="306">
        <f>+IF($H184=J$2,VLOOKUP($G184,Depreciation!$A$14:$L$18,8,FALSE)/2,IF($H184&lt;J$2,VLOOKUP($G184,Depreciation!$A$14:$L$18,8,FALSE),0))</f>
        <v>3.343407856743718E-2</v>
      </c>
      <c r="K184" s="306">
        <f>+IF($H184=K$2,VLOOKUP($G184,Depreciation!$A$14:$L$18,9,FALSE)/2,IF($H184&lt;K$2,VLOOKUP($G184,Depreciation!$A$14:$L$18,9,FALSE),0))</f>
        <v>3.343407856743718E-2</v>
      </c>
      <c r="L184" s="306">
        <f>+IF($H184=L$2,VLOOKUP($G184,Depreciation!$A$14:$L$18,10,FALSE)/2,IF($H184&lt;L$2,VLOOKUP($G184,Depreciation!$A$14:$L$18,10,FALSE),0))</f>
        <v>3.343407856743718E-2</v>
      </c>
      <c r="M184" s="306">
        <f>+IF($H184=M$2,VLOOKUP($G184,Depreciation!$A$14:$L$18,11,FALSE)/2,IF($H184&lt;M$2,VLOOKUP($G184,Depreciation!$A$14:$L$18,11,FALSE),0))</f>
        <v>3.343407856743718E-2</v>
      </c>
      <c r="N184" s="306">
        <f>+IF($H184=N$2,VLOOKUP($G184,Depreciation!$A$14:$L$18,12,FALSE)/2,IF($H184&lt;N$2,VLOOKUP($G184,Depreciation!$A$14:$L$18,12,FALSE),0))</f>
        <v>3.343407856743718E-2</v>
      </c>
      <c r="O184" s="307">
        <f t="shared" si="17"/>
        <v>305211301.86770785</v>
      </c>
      <c r="P184" s="732">
        <f>'Func Future Subs 2015'!P184</f>
        <v>0</v>
      </c>
      <c r="Q184" s="732">
        <f>'Func Future Subs 2015'!Q184</f>
        <v>0</v>
      </c>
      <c r="R184" s="732">
        <f>'Func Future Subs 2015'!R184</f>
        <v>1</v>
      </c>
      <c r="S184" s="735">
        <f t="shared" si="18"/>
        <v>0</v>
      </c>
      <c r="T184" s="735">
        <f t="shared" si="19"/>
        <v>0</v>
      </c>
      <c r="U184" s="735">
        <f t="shared" si="20"/>
        <v>305211301.86770785</v>
      </c>
      <c r="V184" s="736">
        <f t="shared" si="21"/>
        <v>0</v>
      </c>
      <c r="W184" s="735">
        <f t="shared" si="22"/>
        <v>305211301.86770785</v>
      </c>
      <c r="X184" s="737">
        <f t="shared" si="23"/>
        <v>0</v>
      </c>
      <c r="Y184" s="738">
        <f t="shared" si="24"/>
        <v>0</v>
      </c>
    </row>
    <row r="185" spans="1:25">
      <c r="A185" s="754" t="str">
        <f>'Func Future Subs 2015'!A185</f>
        <v>825S Whitefish Lake_v181</v>
      </c>
      <c r="B185" s="754">
        <f>'Func Future Subs 2015'!B185</f>
        <v>1101</v>
      </c>
      <c r="C185" s="754">
        <f>'Func Future Subs 2015'!C185</f>
        <v>240</v>
      </c>
      <c r="D185" s="754">
        <f>'Func Future Subs 2015'!D185</f>
        <v>240</v>
      </c>
      <c r="E185" s="754" t="str">
        <f>'Func Future Subs 2015'!E185</f>
        <v>825S</v>
      </c>
      <c r="F185" s="754">
        <f>'Func Future Subs 2015'!F185</f>
        <v>53066.077171378703</v>
      </c>
      <c r="G185" s="754" t="str">
        <f>'Func Future Subs 2015'!G185</f>
        <v>ATCO</v>
      </c>
      <c r="H185" s="754">
        <f>'Func Future Subs 2015'!H185</f>
        <v>2016</v>
      </c>
      <c r="I185" s="306">
        <f>+IF($H185=I$2,VLOOKUP($G185,Depreciation!$A$14:$L$18,7,FALSE)/2,IF($H185&lt;I$2,VLOOKUP($G185,Depreciation!$A$14:$L$18,7,FALSE),0))</f>
        <v>0</v>
      </c>
      <c r="J185" s="306">
        <f>+IF($H185=J$2,VLOOKUP($G185,Depreciation!$A$14:$L$18,8,FALSE)/2,IF($H185&lt;J$2,VLOOKUP($G185,Depreciation!$A$14:$L$18,8,FALSE),0))</f>
        <v>1.231622525054236E-2</v>
      </c>
      <c r="K185" s="306">
        <f>+IF($H185=K$2,VLOOKUP($G185,Depreciation!$A$14:$L$18,9,FALSE)/2,IF($H185&lt;K$2,VLOOKUP($G185,Depreciation!$A$14:$L$18,9,FALSE),0))</f>
        <v>2.4351536427798831E-2</v>
      </c>
      <c r="L185" s="306">
        <f>+IF($H185=L$2,VLOOKUP($G185,Depreciation!$A$14:$L$18,10,FALSE)/2,IF($H185&lt;L$2,VLOOKUP($G185,Depreciation!$A$14:$L$18,10,FALSE),0))</f>
        <v>2.4351536427798831E-2</v>
      </c>
      <c r="M185" s="306">
        <f>+IF($H185=M$2,VLOOKUP($G185,Depreciation!$A$14:$L$18,11,FALSE)/2,IF($H185&lt;M$2,VLOOKUP($G185,Depreciation!$A$14:$L$18,11,FALSE),0))</f>
        <v>2.4351536427798831E-2</v>
      </c>
      <c r="N185" s="306">
        <f>+IF($H185=N$2,VLOOKUP($G185,Depreciation!$A$14:$L$18,12,FALSE)/2,IF($H185&lt;N$2,VLOOKUP($G185,Depreciation!$A$14:$L$18,12,FALSE),0))</f>
        <v>2.4351536427798831E-2</v>
      </c>
      <c r="O185" s="307">
        <f t="shared" si="17"/>
        <v>48676.013019335638</v>
      </c>
      <c r="P185" s="732">
        <f>'Func Future Subs 2015'!P185</f>
        <v>0</v>
      </c>
      <c r="Q185" s="732">
        <f>'Func Future Subs 2015'!Q185</f>
        <v>0</v>
      </c>
      <c r="R185" s="732">
        <f>'Func Future Subs 2015'!R185</f>
        <v>1</v>
      </c>
      <c r="S185" s="735">
        <f t="shared" si="18"/>
        <v>0</v>
      </c>
      <c r="T185" s="735">
        <f t="shared" si="19"/>
        <v>0</v>
      </c>
      <c r="U185" s="735">
        <f t="shared" si="20"/>
        <v>48676.013019335638</v>
      </c>
      <c r="V185" s="736">
        <f t="shared" si="21"/>
        <v>0</v>
      </c>
      <c r="W185" s="735">
        <f t="shared" si="22"/>
        <v>48676.013019335638</v>
      </c>
      <c r="X185" s="737">
        <f t="shared" si="23"/>
        <v>0</v>
      </c>
      <c r="Y185" s="738">
        <f t="shared" si="24"/>
        <v>0</v>
      </c>
    </row>
    <row r="186" spans="1:25">
      <c r="A186" s="754" t="str">
        <f>'Func Future Subs 2015'!A186</f>
        <v>898S Heart Lake_v181</v>
      </c>
      <c r="B186" s="754">
        <f>'Func Future Subs 2015'!B186</f>
        <v>1101</v>
      </c>
      <c r="C186" s="754">
        <f>'Func Future Subs 2015'!C186</f>
        <v>240</v>
      </c>
      <c r="D186" s="754">
        <f>'Func Future Subs 2015'!D186</f>
        <v>144</v>
      </c>
      <c r="E186" s="754" t="str">
        <f>'Func Future Subs 2015'!E186</f>
        <v>898S</v>
      </c>
      <c r="F186" s="754">
        <f>'Func Future Subs 2015'!F186</f>
        <v>16501631.680569168</v>
      </c>
      <c r="G186" s="754" t="str">
        <f>'Func Future Subs 2015'!G186</f>
        <v>ATCO</v>
      </c>
      <c r="H186" s="754">
        <f>'Func Future Subs 2015'!H186</f>
        <v>2016</v>
      </c>
      <c r="I186" s="306">
        <f>+IF($H186=I$2,VLOOKUP($G186,Depreciation!$A$14:$L$18,7,FALSE)/2,IF($H186&lt;I$2,VLOOKUP($G186,Depreciation!$A$14:$L$18,7,FALSE),0))</f>
        <v>0</v>
      </c>
      <c r="J186" s="306">
        <f>+IF($H186=J$2,VLOOKUP($G186,Depreciation!$A$14:$L$18,8,FALSE)/2,IF($H186&lt;J$2,VLOOKUP($G186,Depreciation!$A$14:$L$18,8,FALSE),0))</f>
        <v>1.231622525054236E-2</v>
      </c>
      <c r="K186" s="306">
        <f>+IF($H186=K$2,VLOOKUP($G186,Depreciation!$A$14:$L$18,9,FALSE)/2,IF($H186&lt;K$2,VLOOKUP($G186,Depreciation!$A$14:$L$18,9,FALSE),0))</f>
        <v>2.4351536427798831E-2</v>
      </c>
      <c r="L186" s="306">
        <f>+IF($H186=L$2,VLOOKUP($G186,Depreciation!$A$14:$L$18,10,FALSE)/2,IF($H186&lt;L$2,VLOOKUP($G186,Depreciation!$A$14:$L$18,10,FALSE),0))</f>
        <v>2.4351536427798831E-2</v>
      </c>
      <c r="M186" s="306">
        <f>+IF($H186=M$2,VLOOKUP($G186,Depreciation!$A$14:$L$18,11,FALSE)/2,IF($H186&lt;M$2,VLOOKUP($G186,Depreciation!$A$14:$L$18,11,FALSE),0))</f>
        <v>2.4351536427798831E-2</v>
      </c>
      <c r="N186" s="306">
        <f>+IF($H186=N$2,VLOOKUP($G186,Depreciation!$A$14:$L$18,12,FALSE)/2,IF($H186&lt;N$2,VLOOKUP($G186,Depreciation!$A$14:$L$18,12,FALSE),0))</f>
        <v>2.4351536427798831E-2</v>
      </c>
      <c r="O186" s="307">
        <f t="shared" si="17"/>
        <v>15136480.428534333</v>
      </c>
      <c r="P186" s="732">
        <f>'Func Future Subs 2015'!P186</f>
        <v>0</v>
      </c>
      <c r="Q186" s="732">
        <f>'Func Future Subs 2015'!Q186</f>
        <v>0</v>
      </c>
      <c r="R186" s="732">
        <f>'Func Future Subs 2015'!R186</f>
        <v>1</v>
      </c>
      <c r="S186" s="735">
        <f t="shared" si="18"/>
        <v>0</v>
      </c>
      <c r="T186" s="735">
        <f t="shared" si="19"/>
        <v>0</v>
      </c>
      <c r="U186" s="735">
        <f t="shared" si="20"/>
        <v>15136480.428534333</v>
      </c>
      <c r="V186" s="736">
        <f t="shared" si="21"/>
        <v>0</v>
      </c>
      <c r="W186" s="735">
        <f t="shared" si="22"/>
        <v>0</v>
      </c>
      <c r="X186" s="737">
        <f t="shared" si="23"/>
        <v>15136480.428534333</v>
      </c>
      <c r="Y186" s="738">
        <f t="shared" si="24"/>
        <v>0</v>
      </c>
    </row>
    <row r="187" spans="1:25">
      <c r="A187" s="754" t="str">
        <f>'Func Future Subs 2015'!A187</f>
        <v>Black Spruce 154S mod 180</v>
      </c>
      <c r="B187" s="754">
        <f>'Func Future Subs 2015'!B187</f>
        <v>1101</v>
      </c>
      <c r="C187" s="754">
        <f>'Func Future Subs 2015'!C187</f>
        <v>240</v>
      </c>
      <c r="D187" s="754">
        <f>'Func Future Subs 2015'!D187</f>
        <v>240</v>
      </c>
      <c r="E187" s="754" t="str">
        <f>'Func Future Subs 2015'!E187</f>
        <v>154S</v>
      </c>
      <c r="F187" s="754">
        <f>'Func Future Subs 2015'!F187</f>
        <v>412500.85892165155</v>
      </c>
      <c r="G187" s="754" t="str">
        <f>'Func Future Subs 2015'!G187</f>
        <v>AltaLink</v>
      </c>
      <c r="H187" s="754">
        <f>'Func Future Subs 2015'!H187</f>
        <v>2016</v>
      </c>
      <c r="I187" s="306">
        <f>+IF($H187=I$2,VLOOKUP($G187,Depreciation!$A$14:$L$18,7,FALSE)/2,IF($H187&lt;I$2,VLOOKUP($G187,Depreciation!$A$14:$L$18,7,FALSE),0))</f>
        <v>0</v>
      </c>
      <c r="J187" s="306">
        <f>+IF($H187=J$2,VLOOKUP($G187,Depreciation!$A$14:$L$18,8,FALSE)/2,IF($H187&lt;J$2,VLOOKUP($G187,Depreciation!$A$14:$L$18,8,FALSE),0))</f>
        <v>1.671703928371859E-2</v>
      </c>
      <c r="K187" s="306">
        <f>+IF($H187=K$2,VLOOKUP($G187,Depreciation!$A$14:$L$18,9,FALSE)/2,IF($H187&lt;K$2,VLOOKUP($G187,Depreciation!$A$14:$L$18,9,FALSE),0))</f>
        <v>3.343407856743718E-2</v>
      </c>
      <c r="L187" s="306">
        <f>+IF($H187=L$2,VLOOKUP($G187,Depreciation!$A$14:$L$18,10,FALSE)/2,IF($H187&lt;L$2,VLOOKUP($G187,Depreciation!$A$14:$L$18,10,FALSE),0))</f>
        <v>3.343407856743718E-2</v>
      </c>
      <c r="M187" s="306">
        <f>+IF($H187=M$2,VLOOKUP($G187,Depreciation!$A$14:$L$18,11,FALSE)/2,IF($H187&lt;M$2,VLOOKUP($G187,Depreciation!$A$14:$L$18,11,FALSE),0))</f>
        <v>3.343407856743718E-2</v>
      </c>
      <c r="N187" s="306">
        <f>+IF($H187=N$2,VLOOKUP($G187,Depreciation!$A$14:$L$18,12,FALSE)/2,IF($H187&lt;N$2,VLOOKUP($G187,Depreciation!$A$14:$L$18,12,FALSE),0))</f>
        <v>3.343407856743718E-2</v>
      </c>
      <c r="O187" s="307">
        <f t="shared" si="17"/>
        <v>366267.01370135648</v>
      </c>
      <c r="P187" s="732">
        <f>'Func Future Subs 2015'!P187</f>
        <v>0</v>
      </c>
      <c r="Q187" s="732">
        <f>'Func Future Subs 2015'!Q187</f>
        <v>0</v>
      </c>
      <c r="R187" s="732">
        <f>'Func Future Subs 2015'!R187</f>
        <v>1</v>
      </c>
      <c r="S187" s="735">
        <f t="shared" si="18"/>
        <v>0</v>
      </c>
      <c r="T187" s="735">
        <f t="shared" si="19"/>
        <v>0</v>
      </c>
      <c r="U187" s="735">
        <f t="shared" si="20"/>
        <v>366267.01370135648</v>
      </c>
      <c r="V187" s="736">
        <f t="shared" si="21"/>
        <v>0</v>
      </c>
      <c r="W187" s="735">
        <f t="shared" si="22"/>
        <v>366267.01370135648</v>
      </c>
      <c r="X187" s="737">
        <f t="shared" si="23"/>
        <v>0</v>
      </c>
      <c r="Y187" s="738">
        <f t="shared" si="24"/>
        <v>0</v>
      </c>
    </row>
    <row r="188" spans="1:25">
      <c r="A188" s="754" t="str">
        <f>'Func Future Subs 2015'!A188</f>
        <v>Black spruce substation 154S180</v>
      </c>
      <c r="B188" s="754">
        <f>'Func Future Subs 2015'!B188</f>
        <v>1101</v>
      </c>
      <c r="C188" s="754">
        <f>'Func Future Subs 2015'!C188</f>
        <v>240</v>
      </c>
      <c r="D188" s="754">
        <f>'Func Future Subs 2015'!D188</f>
        <v>240</v>
      </c>
      <c r="E188" s="754" t="str">
        <f>'Func Future Subs 2015'!E188</f>
        <v>154S</v>
      </c>
      <c r="F188" s="754">
        <f>'Func Future Subs 2015'!F188</f>
        <v>26377454.74440499</v>
      </c>
      <c r="G188" s="754" t="str">
        <f>'Func Future Subs 2015'!G188</f>
        <v>AltaLink</v>
      </c>
      <c r="H188" s="754">
        <f>'Func Future Subs 2015'!H188</f>
        <v>2016</v>
      </c>
      <c r="I188" s="306">
        <f>+IF($H188=I$2,VLOOKUP($G188,Depreciation!$A$14:$L$18,7,FALSE)/2,IF($H188&lt;I$2,VLOOKUP($G188,Depreciation!$A$14:$L$18,7,FALSE),0))</f>
        <v>0</v>
      </c>
      <c r="J188" s="306">
        <f>+IF($H188=J$2,VLOOKUP($G188,Depreciation!$A$14:$L$18,8,FALSE)/2,IF($H188&lt;J$2,VLOOKUP($G188,Depreciation!$A$14:$L$18,8,FALSE),0))</f>
        <v>1.671703928371859E-2</v>
      </c>
      <c r="K188" s="306">
        <f>+IF($H188=K$2,VLOOKUP($G188,Depreciation!$A$14:$L$18,9,FALSE)/2,IF($H188&lt;K$2,VLOOKUP($G188,Depreciation!$A$14:$L$18,9,FALSE),0))</f>
        <v>3.343407856743718E-2</v>
      </c>
      <c r="L188" s="306">
        <f>+IF($H188=L$2,VLOOKUP($G188,Depreciation!$A$14:$L$18,10,FALSE)/2,IF($H188&lt;L$2,VLOOKUP($G188,Depreciation!$A$14:$L$18,10,FALSE),0))</f>
        <v>3.343407856743718E-2</v>
      </c>
      <c r="M188" s="306">
        <f>+IF($H188=M$2,VLOOKUP($G188,Depreciation!$A$14:$L$18,11,FALSE)/2,IF($H188&lt;M$2,VLOOKUP($G188,Depreciation!$A$14:$L$18,11,FALSE),0))</f>
        <v>3.343407856743718E-2</v>
      </c>
      <c r="N188" s="306">
        <f>+IF($H188=N$2,VLOOKUP($G188,Depreciation!$A$14:$L$18,12,FALSE)/2,IF($H188&lt;N$2,VLOOKUP($G188,Depreciation!$A$14:$L$18,12,FALSE),0))</f>
        <v>3.343407856743718E-2</v>
      </c>
      <c r="O188" s="307">
        <f t="shared" si="17"/>
        <v>23421021.724735115</v>
      </c>
      <c r="P188" s="732">
        <f>'Func Future Subs 2015'!P188</f>
        <v>0</v>
      </c>
      <c r="Q188" s="732">
        <f>'Func Future Subs 2015'!Q188</f>
        <v>0</v>
      </c>
      <c r="R188" s="732">
        <f>'Func Future Subs 2015'!R188</f>
        <v>1</v>
      </c>
      <c r="S188" s="735">
        <f t="shared" si="18"/>
        <v>0</v>
      </c>
      <c r="T188" s="735">
        <f t="shared" si="19"/>
        <v>0</v>
      </c>
      <c r="U188" s="735">
        <f t="shared" si="20"/>
        <v>23421021.724735115</v>
      </c>
      <c r="V188" s="736">
        <f t="shared" si="21"/>
        <v>0</v>
      </c>
      <c r="W188" s="735">
        <f t="shared" si="22"/>
        <v>23421021.724735115</v>
      </c>
      <c r="X188" s="737">
        <f t="shared" si="23"/>
        <v>0</v>
      </c>
      <c r="Y188" s="738">
        <f t="shared" si="24"/>
        <v>0</v>
      </c>
    </row>
    <row r="189" spans="1:25">
      <c r="A189" s="754" t="str">
        <f>'Func Future Subs 2015'!A189</f>
        <v>Christina Lake 723S upg 180</v>
      </c>
      <c r="B189" s="754">
        <f>'Func Future Subs 2015'!B189</f>
        <v>1101</v>
      </c>
      <c r="C189" s="754">
        <f>'Func Future Subs 2015'!C189</f>
        <v>240</v>
      </c>
      <c r="D189" s="754">
        <f>'Func Future Subs 2015'!D189</f>
        <v>25</v>
      </c>
      <c r="E189" s="754" t="str">
        <f>'Func Future Subs 2015'!E189</f>
        <v>723S</v>
      </c>
      <c r="F189" s="754">
        <f>'Func Future Subs 2015'!F189</f>
        <v>3002680.4093360943</v>
      </c>
      <c r="G189" s="754" t="str">
        <f>'Func Future Subs 2015'!G189</f>
        <v>AltaLink</v>
      </c>
      <c r="H189" s="754">
        <f>'Func Future Subs 2015'!H189</f>
        <v>2016</v>
      </c>
      <c r="I189" s="306">
        <f>+IF($H189=I$2,VLOOKUP($G189,Depreciation!$A$14:$L$18,7,FALSE)/2,IF($H189&lt;I$2,VLOOKUP($G189,Depreciation!$A$14:$L$18,7,FALSE),0))</f>
        <v>0</v>
      </c>
      <c r="J189" s="306">
        <f>+IF($H189=J$2,VLOOKUP($G189,Depreciation!$A$14:$L$18,8,FALSE)/2,IF($H189&lt;J$2,VLOOKUP($G189,Depreciation!$A$14:$L$18,8,FALSE),0))</f>
        <v>1.671703928371859E-2</v>
      </c>
      <c r="K189" s="306">
        <f>+IF($H189=K$2,VLOOKUP($G189,Depreciation!$A$14:$L$18,9,FALSE)/2,IF($H189&lt;K$2,VLOOKUP($G189,Depreciation!$A$14:$L$18,9,FALSE),0))</f>
        <v>3.343407856743718E-2</v>
      </c>
      <c r="L189" s="306">
        <f>+IF($H189=L$2,VLOOKUP($G189,Depreciation!$A$14:$L$18,10,FALSE)/2,IF($H189&lt;L$2,VLOOKUP($G189,Depreciation!$A$14:$L$18,10,FALSE),0))</f>
        <v>3.343407856743718E-2</v>
      </c>
      <c r="M189" s="306">
        <f>+IF($H189=M$2,VLOOKUP($G189,Depreciation!$A$14:$L$18,11,FALSE)/2,IF($H189&lt;M$2,VLOOKUP($G189,Depreciation!$A$14:$L$18,11,FALSE),0))</f>
        <v>3.343407856743718E-2</v>
      </c>
      <c r="N189" s="306">
        <f>+IF($H189=N$2,VLOOKUP($G189,Depreciation!$A$14:$L$18,12,FALSE)/2,IF($H189&lt;N$2,VLOOKUP($G189,Depreciation!$A$14:$L$18,12,FALSE),0))</f>
        <v>3.343407856743718E-2</v>
      </c>
      <c r="O189" s="307">
        <f t="shared" si="17"/>
        <v>2666134.5372761651</v>
      </c>
      <c r="P189" s="732">
        <f>'Func Future Subs 2015'!P189</f>
        <v>0</v>
      </c>
      <c r="Q189" s="732">
        <f>'Func Future Subs 2015'!Q189</f>
        <v>1</v>
      </c>
      <c r="R189" s="732">
        <f>'Func Future Subs 2015'!R189</f>
        <v>0</v>
      </c>
      <c r="S189" s="735">
        <f t="shared" si="18"/>
        <v>0</v>
      </c>
      <c r="T189" s="735">
        <f t="shared" si="19"/>
        <v>2666134.5372761651</v>
      </c>
      <c r="U189" s="735">
        <f t="shared" si="20"/>
        <v>0</v>
      </c>
      <c r="V189" s="736">
        <f t="shared" si="21"/>
        <v>0</v>
      </c>
      <c r="W189" s="735">
        <f t="shared" si="22"/>
        <v>0</v>
      </c>
      <c r="X189" s="737">
        <f t="shared" si="23"/>
        <v>0</v>
      </c>
      <c r="Y189" s="738">
        <f t="shared" si="24"/>
        <v>2666134.5372761651</v>
      </c>
    </row>
    <row r="190" spans="1:25">
      <c r="A190" s="754" t="str">
        <f>'Func Future Subs 2015'!A190</f>
        <v>Conklin 762S180</v>
      </c>
      <c r="B190" s="754">
        <f>'Func Future Subs 2015'!B190</f>
        <v>1101</v>
      </c>
      <c r="C190" s="754">
        <f>'Func Future Subs 2015'!C190</f>
        <v>240</v>
      </c>
      <c r="D190" s="754">
        <f>'Func Future Subs 2015'!D190</f>
        <v>25</v>
      </c>
      <c r="E190" s="754" t="str">
        <f>'Func Future Subs 2015'!E190</f>
        <v>762S</v>
      </c>
      <c r="F190" s="754">
        <f>'Func Future Subs 2015'!F190</f>
        <v>17282.930052027419</v>
      </c>
      <c r="G190" s="754" t="str">
        <f>'Func Future Subs 2015'!G190</f>
        <v>AltaLink</v>
      </c>
      <c r="H190" s="754">
        <f>'Func Future Subs 2015'!H190</f>
        <v>2016</v>
      </c>
      <c r="I190" s="306">
        <f>+IF($H190=I$2,VLOOKUP($G190,Depreciation!$A$14:$L$18,7,FALSE)/2,IF($H190&lt;I$2,VLOOKUP($G190,Depreciation!$A$14:$L$18,7,FALSE),0))</f>
        <v>0</v>
      </c>
      <c r="J190" s="306">
        <f>+IF($H190=J$2,VLOOKUP($G190,Depreciation!$A$14:$L$18,8,FALSE)/2,IF($H190&lt;J$2,VLOOKUP($G190,Depreciation!$A$14:$L$18,8,FALSE),0))</f>
        <v>1.671703928371859E-2</v>
      </c>
      <c r="K190" s="306">
        <f>+IF($H190=K$2,VLOOKUP($G190,Depreciation!$A$14:$L$18,9,FALSE)/2,IF($H190&lt;K$2,VLOOKUP($G190,Depreciation!$A$14:$L$18,9,FALSE),0))</f>
        <v>3.343407856743718E-2</v>
      </c>
      <c r="L190" s="306">
        <f>+IF($H190=L$2,VLOOKUP($G190,Depreciation!$A$14:$L$18,10,FALSE)/2,IF($H190&lt;L$2,VLOOKUP($G190,Depreciation!$A$14:$L$18,10,FALSE),0))</f>
        <v>3.343407856743718E-2</v>
      </c>
      <c r="M190" s="306">
        <f>+IF($H190=M$2,VLOOKUP($G190,Depreciation!$A$14:$L$18,11,FALSE)/2,IF($H190&lt;M$2,VLOOKUP($G190,Depreciation!$A$14:$L$18,11,FALSE),0))</f>
        <v>3.343407856743718E-2</v>
      </c>
      <c r="N190" s="306">
        <f>+IF($H190=N$2,VLOOKUP($G190,Depreciation!$A$14:$L$18,12,FALSE)/2,IF($H190&lt;N$2,VLOOKUP($G190,Depreciation!$A$14:$L$18,12,FALSE),0))</f>
        <v>3.343407856743718E-2</v>
      </c>
      <c r="O190" s="307">
        <f t="shared" si="17"/>
        <v>15345.827872246527</v>
      </c>
      <c r="P190" s="732">
        <f>'Func Future Subs 2015'!P190</f>
        <v>0.92307692307692313</v>
      </c>
      <c r="Q190" s="732">
        <f>'Func Future Subs 2015'!Q190</f>
        <v>7.6923076923076927E-2</v>
      </c>
      <c r="R190" s="732">
        <f>'Func Future Subs 2015'!R190</f>
        <v>0</v>
      </c>
      <c r="S190" s="735">
        <f t="shared" si="18"/>
        <v>14165.379574381412</v>
      </c>
      <c r="T190" s="735">
        <f t="shared" si="19"/>
        <v>1180.4482978651176</v>
      </c>
      <c r="U190" s="735">
        <f t="shared" si="20"/>
        <v>0</v>
      </c>
      <c r="V190" s="736">
        <f t="shared" si="21"/>
        <v>0</v>
      </c>
      <c r="W190" s="735">
        <f t="shared" si="22"/>
        <v>14165.379574381412</v>
      </c>
      <c r="X190" s="737">
        <f t="shared" si="23"/>
        <v>0</v>
      </c>
      <c r="Y190" s="738">
        <f t="shared" si="24"/>
        <v>1180.4482978651176</v>
      </c>
    </row>
    <row r="191" spans="1:25">
      <c r="A191" s="754" t="str">
        <f>'Func Future Subs 2015'!A191</f>
        <v>Ipiatik 167S 180</v>
      </c>
      <c r="B191" s="754">
        <f>'Func Future Subs 2015'!B191</f>
        <v>1101</v>
      </c>
      <c r="C191" s="754">
        <f>'Func Future Subs 2015'!C191</f>
        <v>240</v>
      </c>
      <c r="D191" s="754">
        <f>'Func Future Subs 2015'!D191</f>
        <v>138</v>
      </c>
      <c r="E191" s="754" t="str">
        <f>'Func Future Subs 2015'!E191</f>
        <v>167S</v>
      </c>
      <c r="F191" s="754">
        <f>'Func Future Subs 2015'!F191</f>
        <v>51249492.017830744</v>
      </c>
      <c r="G191" s="754" t="str">
        <f>'Func Future Subs 2015'!G191</f>
        <v>AltaLink</v>
      </c>
      <c r="H191" s="754">
        <f>'Func Future Subs 2015'!H191</f>
        <v>2016</v>
      </c>
      <c r="I191" s="306">
        <f>+IF($H191=I$2,VLOOKUP($G191,Depreciation!$A$14:$L$18,7,FALSE)/2,IF($H191&lt;I$2,VLOOKUP($G191,Depreciation!$A$14:$L$18,7,FALSE),0))</f>
        <v>0</v>
      </c>
      <c r="J191" s="306">
        <f>+IF($H191=J$2,VLOOKUP($G191,Depreciation!$A$14:$L$18,8,FALSE)/2,IF($H191&lt;J$2,VLOOKUP($G191,Depreciation!$A$14:$L$18,8,FALSE),0))</f>
        <v>1.671703928371859E-2</v>
      </c>
      <c r="K191" s="306">
        <f>+IF($H191=K$2,VLOOKUP($G191,Depreciation!$A$14:$L$18,9,FALSE)/2,IF($H191&lt;K$2,VLOOKUP($G191,Depreciation!$A$14:$L$18,9,FALSE),0))</f>
        <v>3.343407856743718E-2</v>
      </c>
      <c r="L191" s="306">
        <f>+IF($H191=L$2,VLOOKUP($G191,Depreciation!$A$14:$L$18,10,FALSE)/2,IF($H191&lt;L$2,VLOOKUP($G191,Depreciation!$A$14:$L$18,10,FALSE),0))</f>
        <v>3.343407856743718E-2</v>
      </c>
      <c r="M191" s="306">
        <f>+IF($H191=M$2,VLOOKUP($G191,Depreciation!$A$14:$L$18,11,FALSE)/2,IF($H191&lt;M$2,VLOOKUP($G191,Depreciation!$A$14:$L$18,11,FALSE),0))</f>
        <v>3.343407856743718E-2</v>
      </c>
      <c r="N191" s="306">
        <f>+IF($H191=N$2,VLOOKUP($G191,Depreciation!$A$14:$L$18,12,FALSE)/2,IF($H191&lt;N$2,VLOOKUP($G191,Depreciation!$A$14:$L$18,12,FALSE),0))</f>
        <v>3.343407856743718E-2</v>
      </c>
      <c r="O191" s="307">
        <f t="shared" si="17"/>
        <v>45505355.901931949</v>
      </c>
      <c r="P191" s="732">
        <f>'Func Future Subs 2015'!P191</f>
        <v>0</v>
      </c>
      <c r="Q191" s="732">
        <f>'Func Future Subs 2015'!Q191</f>
        <v>0</v>
      </c>
      <c r="R191" s="732">
        <f>'Func Future Subs 2015'!R191</f>
        <v>1</v>
      </c>
      <c r="S191" s="735">
        <f t="shared" si="18"/>
        <v>0</v>
      </c>
      <c r="T191" s="735">
        <f t="shared" si="19"/>
        <v>0</v>
      </c>
      <c r="U191" s="735">
        <f t="shared" si="20"/>
        <v>45505355.901931949</v>
      </c>
      <c r="V191" s="736">
        <f t="shared" si="21"/>
        <v>0</v>
      </c>
      <c r="W191" s="735">
        <f t="shared" si="22"/>
        <v>0</v>
      </c>
      <c r="X191" s="737">
        <f t="shared" si="23"/>
        <v>45505355.901931949</v>
      </c>
      <c r="Y191" s="738">
        <f t="shared" si="24"/>
        <v>0</v>
      </c>
    </row>
    <row r="192" spans="1:25">
      <c r="A192" s="754" t="str">
        <f>'Func Future Subs 2015'!A192</f>
        <v>Jackfish 698S mod 180</v>
      </c>
      <c r="B192" s="754">
        <f>'Func Future Subs 2015'!B192</f>
        <v>1101</v>
      </c>
      <c r="C192" s="754">
        <f>'Func Future Subs 2015'!C192</f>
        <v>240</v>
      </c>
      <c r="D192" s="754">
        <f>'Func Future Subs 2015'!D192</f>
        <v>25</v>
      </c>
      <c r="E192" s="754" t="str">
        <f>'Func Future Subs 2015'!E192</f>
        <v>698S</v>
      </c>
      <c r="F192" s="754">
        <f>'Func Future Subs 2015'!F192</f>
        <v>485910.49572502839</v>
      </c>
      <c r="G192" s="754" t="str">
        <f>'Func Future Subs 2015'!G192</f>
        <v>AltaLink</v>
      </c>
      <c r="H192" s="754">
        <f>'Func Future Subs 2015'!H192</f>
        <v>2016</v>
      </c>
      <c r="I192" s="306">
        <f>+IF($H192=I$2,VLOOKUP($G192,Depreciation!$A$14:$L$18,7,FALSE)/2,IF($H192&lt;I$2,VLOOKUP($G192,Depreciation!$A$14:$L$18,7,FALSE),0))</f>
        <v>0</v>
      </c>
      <c r="J192" s="306">
        <f>+IF($H192=J$2,VLOOKUP($G192,Depreciation!$A$14:$L$18,8,FALSE)/2,IF($H192&lt;J$2,VLOOKUP($G192,Depreciation!$A$14:$L$18,8,FALSE),0))</f>
        <v>1.671703928371859E-2</v>
      </c>
      <c r="K192" s="306">
        <f>+IF($H192=K$2,VLOOKUP($G192,Depreciation!$A$14:$L$18,9,FALSE)/2,IF($H192&lt;K$2,VLOOKUP($G192,Depreciation!$A$14:$L$18,9,FALSE),0))</f>
        <v>3.343407856743718E-2</v>
      </c>
      <c r="L192" s="306">
        <f>+IF($H192=L$2,VLOOKUP($G192,Depreciation!$A$14:$L$18,10,FALSE)/2,IF($H192&lt;L$2,VLOOKUP($G192,Depreciation!$A$14:$L$18,10,FALSE),0))</f>
        <v>3.343407856743718E-2</v>
      </c>
      <c r="M192" s="306">
        <f>+IF($H192=M$2,VLOOKUP($G192,Depreciation!$A$14:$L$18,11,FALSE)/2,IF($H192&lt;M$2,VLOOKUP($G192,Depreciation!$A$14:$L$18,11,FALSE),0))</f>
        <v>3.343407856743718E-2</v>
      </c>
      <c r="N192" s="306">
        <f>+IF($H192=N$2,VLOOKUP($G192,Depreciation!$A$14:$L$18,12,FALSE)/2,IF($H192&lt;N$2,VLOOKUP($G192,Depreciation!$A$14:$L$18,12,FALSE),0))</f>
        <v>3.343407856743718E-2</v>
      </c>
      <c r="O192" s="307">
        <f t="shared" si="17"/>
        <v>431448.76512646308</v>
      </c>
      <c r="P192" s="732">
        <f>'Func Future Subs 2015'!P192</f>
        <v>0</v>
      </c>
      <c r="Q192" s="732">
        <f>'Func Future Subs 2015'!Q192</f>
        <v>0</v>
      </c>
      <c r="R192" s="732">
        <f>'Func Future Subs 2015'!R192</f>
        <v>1</v>
      </c>
      <c r="S192" s="735">
        <f t="shared" si="18"/>
        <v>0</v>
      </c>
      <c r="T192" s="735">
        <f t="shared" si="19"/>
        <v>0</v>
      </c>
      <c r="U192" s="735">
        <f t="shared" si="20"/>
        <v>431448.76512646308</v>
      </c>
      <c r="V192" s="736">
        <f t="shared" si="21"/>
        <v>0</v>
      </c>
      <c r="W192" s="735">
        <f t="shared" si="22"/>
        <v>0</v>
      </c>
      <c r="X192" s="737">
        <f t="shared" si="23"/>
        <v>0</v>
      </c>
      <c r="Y192" s="738">
        <f t="shared" si="24"/>
        <v>431448.76512646308</v>
      </c>
    </row>
    <row r="193" spans="1:25">
      <c r="A193" s="754" t="str">
        <f>'Func Future Subs 2015'!A193</f>
        <v>Jackfish 698S180</v>
      </c>
      <c r="B193" s="754">
        <f>'Func Future Subs 2015'!B193</f>
        <v>1101</v>
      </c>
      <c r="C193" s="754">
        <f>'Func Future Subs 2015'!C193</f>
        <v>240</v>
      </c>
      <c r="D193" s="754">
        <f>'Func Future Subs 2015'!D193</f>
        <v>25</v>
      </c>
      <c r="E193" s="754" t="str">
        <f>'Func Future Subs 2015'!E193</f>
        <v>698S</v>
      </c>
      <c r="F193" s="754">
        <f>'Func Future Subs 2015'!F193</f>
        <v>17282.930052027419</v>
      </c>
      <c r="G193" s="754" t="str">
        <f>'Func Future Subs 2015'!G193</f>
        <v>AltaLink</v>
      </c>
      <c r="H193" s="754">
        <f>'Func Future Subs 2015'!H193</f>
        <v>2016</v>
      </c>
      <c r="I193" s="306">
        <f>+IF($H193=I$2,VLOOKUP($G193,Depreciation!$A$14:$L$18,7,FALSE)/2,IF($H193&lt;I$2,VLOOKUP($G193,Depreciation!$A$14:$L$18,7,FALSE),0))</f>
        <v>0</v>
      </c>
      <c r="J193" s="306">
        <f>+IF($H193=J$2,VLOOKUP($G193,Depreciation!$A$14:$L$18,8,FALSE)/2,IF($H193&lt;J$2,VLOOKUP($G193,Depreciation!$A$14:$L$18,8,FALSE),0))</f>
        <v>1.671703928371859E-2</v>
      </c>
      <c r="K193" s="306">
        <f>+IF($H193=K$2,VLOOKUP($G193,Depreciation!$A$14:$L$18,9,FALSE)/2,IF($H193&lt;K$2,VLOOKUP($G193,Depreciation!$A$14:$L$18,9,FALSE),0))</f>
        <v>3.343407856743718E-2</v>
      </c>
      <c r="L193" s="306">
        <f>+IF($H193=L$2,VLOOKUP($G193,Depreciation!$A$14:$L$18,10,FALSE)/2,IF($H193&lt;L$2,VLOOKUP($G193,Depreciation!$A$14:$L$18,10,FALSE),0))</f>
        <v>3.343407856743718E-2</v>
      </c>
      <c r="M193" s="306">
        <f>+IF($H193=M$2,VLOOKUP($G193,Depreciation!$A$14:$L$18,11,FALSE)/2,IF($H193&lt;M$2,VLOOKUP($G193,Depreciation!$A$14:$L$18,11,FALSE),0))</f>
        <v>3.343407856743718E-2</v>
      </c>
      <c r="N193" s="306">
        <f>+IF($H193=N$2,VLOOKUP($G193,Depreciation!$A$14:$L$18,12,FALSE)/2,IF($H193&lt;N$2,VLOOKUP($G193,Depreciation!$A$14:$L$18,12,FALSE),0))</f>
        <v>3.343407856743718E-2</v>
      </c>
      <c r="O193" s="307">
        <f t="shared" si="17"/>
        <v>15345.827872246527</v>
      </c>
      <c r="P193" s="732">
        <f>'Func Future Subs 2015'!P193</f>
        <v>0</v>
      </c>
      <c r="Q193" s="732">
        <f>'Func Future Subs 2015'!Q193</f>
        <v>0</v>
      </c>
      <c r="R193" s="732">
        <f>'Func Future Subs 2015'!R193</f>
        <v>1</v>
      </c>
      <c r="S193" s="735">
        <f t="shared" si="18"/>
        <v>0</v>
      </c>
      <c r="T193" s="735">
        <f t="shared" si="19"/>
        <v>0</v>
      </c>
      <c r="U193" s="735">
        <f t="shared" si="20"/>
        <v>15345.827872246527</v>
      </c>
      <c r="V193" s="736">
        <f t="shared" si="21"/>
        <v>0</v>
      </c>
      <c r="W193" s="735">
        <f t="shared" si="22"/>
        <v>0</v>
      </c>
      <c r="X193" s="737">
        <f t="shared" si="23"/>
        <v>0</v>
      </c>
      <c r="Y193" s="738">
        <f t="shared" si="24"/>
        <v>15345.827872246527</v>
      </c>
    </row>
    <row r="194" spans="1:25">
      <c r="A194" s="754" t="str">
        <f>'Func Future Subs 2015'!A194</f>
        <v>Pike 170S mod 180</v>
      </c>
      <c r="B194" s="754">
        <f>'Func Future Subs 2015'!B194</f>
        <v>1101</v>
      </c>
      <c r="C194" s="754">
        <f>'Func Future Subs 2015'!C194</f>
        <v>240</v>
      </c>
      <c r="D194" s="754">
        <f>'Func Future Subs 2015'!D194</f>
        <v>138</v>
      </c>
      <c r="E194" s="754" t="str">
        <f>'Func Future Subs 2015'!E194</f>
        <v>170S</v>
      </c>
      <c r="F194" s="754">
        <f>'Func Future Subs 2015'!F194</f>
        <v>31472.735128396711</v>
      </c>
      <c r="G194" s="754" t="str">
        <f>'Func Future Subs 2015'!G194</f>
        <v>AltaLink</v>
      </c>
      <c r="H194" s="754">
        <f>'Func Future Subs 2015'!H194</f>
        <v>2016</v>
      </c>
      <c r="I194" s="306">
        <f>+IF($H194=I$2,VLOOKUP($G194,Depreciation!$A$14:$L$18,7,FALSE)/2,IF($H194&lt;I$2,VLOOKUP($G194,Depreciation!$A$14:$L$18,7,FALSE),0))</f>
        <v>0</v>
      </c>
      <c r="J194" s="306">
        <f>+IF($H194=J$2,VLOOKUP($G194,Depreciation!$A$14:$L$18,8,FALSE)/2,IF($H194&lt;J$2,VLOOKUP($G194,Depreciation!$A$14:$L$18,8,FALSE),0))</f>
        <v>1.671703928371859E-2</v>
      </c>
      <c r="K194" s="306">
        <f>+IF($H194=K$2,VLOOKUP($G194,Depreciation!$A$14:$L$18,9,FALSE)/2,IF($H194&lt;K$2,VLOOKUP($G194,Depreciation!$A$14:$L$18,9,FALSE),0))</f>
        <v>3.343407856743718E-2</v>
      </c>
      <c r="L194" s="306">
        <f>+IF($H194=L$2,VLOOKUP($G194,Depreciation!$A$14:$L$18,10,FALSE)/2,IF($H194&lt;L$2,VLOOKUP($G194,Depreciation!$A$14:$L$18,10,FALSE),0))</f>
        <v>3.343407856743718E-2</v>
      </c>
      <c r="M194" s="306">
        <f>+IF($H194=M$2,VLOOKUP($G194,Depreciation!$A$14:$L$18,11,FALSE)/2,IF($H194&lt;M$2,VLOOKUP($G194,Depreciation!$A$14:$L$18,11,FALSE),0))</f>
        <v>3.343407856743718E-2</v>
      </c>
      <c r="N194" s="306">
        <f>+IF($H194=N$2,VLOOKUP($G194,Depreciation!$A$14:$L$18,12,FALSE)/2,IF($H194&lt;N$2,VLOOKUP($G194,Depreciation!$A$14:$L$18,12,FALSE),0))</f>
        <v>3.343407856743718E-2</v>
      </c>
      <c r="O194" s="307">
        <f t="shared" si="17"/>
        <v>27945.213832102851</v>
      </c>
      <c r="P194" s="732">
        <f>'Func Future Subs 2015'!P194</f>
        <v>0</v>
      </c>
      <c r="Q194" s="732">
        <f>'Func Future Subs 2015'!Q194</f>
        <v>0</v>
      </c>
      <c r="R194" s="732">
        <f>'Func Future Subs 2015'!R194</f>
        <v>1</v>
      </c>
      <c r="S194" s="735">
        <f t="shared" si="18"/>
        <v>0</v>
      </c>
      <c r="T194" s="735">
        <f t="shared" si="19"/>
        <v>0</v>
      </c>
      <c r="U194" s="735">
        <f t="shared" si="20"/>
        <v>27945.213832102851</v>
      </c>
      <c r="V194" s="736">
        <f t="shared" si="21"/>
        <v>0</v>
      </c>
      <c r="W194" s="735">
        <f t="shared" si="22"/>
        <v>0</v>
      </c>
      <c r="X194" s="737">
        <f t="shared" si="23"/>
        <v>27945.213832102851</v>
      </c>
      <c r="Y194" s="738">
        <f t="shared" si="24"/>
        <v>0</v>
      </c>
    </row>
    <row r="195" spans="1:25">
      <c r="A195" s="754" t="str">
        <f>'Func Future Subs 2015'!A195</f>
        <v>Pike 170S180</v>
      </c>
      <c r="B195" s="754">
        <f>'Func Future Subs 2015'!B195</f>
        <v>1101</v>
      </c>
      <c r="C195" s="754">
        <f>'Func Future Subs 2015'!C195</f>
        <v>240</v>
      </c>
      <c r="D195" s="754">
        <f>'Func Future Subs 2015'!D195</f>
        <v>138</v>
      </c>
      <c r="E195" s="754" t="str">
        <f>'Func Future Subs 2015'!E195</f>
        <v>170S</v>
      </c>
      <c r="F195" s="754">
        <f>'Func Future Subs 2015'!F195</f>
        <v>49648445.339725867</v>
      </c>
      <c r="G195" s="754" t="str">
        <f>'Func Future Subs 2015'!G195</f>
        <v>AltaLink</v>
      </c>
      <c r="H195" s="754">
        <f>'Func Future Subs 2015'!H195</f>
        <v>2016</v>
      </c>
      <c r="I195" s="306">
        <f>+IF($H195=I$2,VLOOKUP($G195,Depreciation!$A$14:$L$18,7,FALSE)/2,IF($H195&lt;I$2,VLOOKUP($G195,Depreciation!$A$14:$L$18,7,FALSE),0))</f>
        <v>0</v>
      </c>
      <c r="J195" s="306">
        <f>+IF($H195=J$2,VLOOKUP($G195,Depreciation!$A$14:$L$18,8,FALSE)/2,IF($H195&lt;J$2,VLOOKUP($G195,Depreciation!$A$14:$L$18,8,FALSE),0))</f>
        <v>1.671703928371859E-2</v>
      </c>
      <c r="K195" s="306">
        <f>+IF($H195=K$2,VLOOKUP($G195,Depreciation!$A$14:$L$18,9,FALSE)/2,IF($H195&lt;K$2,VLOOKUP($G195,Depreciation!$A$14:$L$18,9,FALSE),0))</f>
        <v>3.343407856743718E-2</v>
      </c>
      <c r="L195" s="306">
        <f>+IF($H195=L$2,VLOOKUP($G195,Depreciation!$A$14:$L$18,10,FALSE)/2,IF($H195&lt;L$2,VLOOKUP($G195,Depreciation!$A$14:$L$18,10,FALSE),0))</f>
        <v>3.343407856743718E-2</v>
      </c>
      <c r="M195" s="306">
        <f>+IF($H195=M$2,VLOOKUP($G195,Depreciation!$A$14:$L$18,11,FALSE)/2,IF($H195&lt;M$2,VLOOKUP($G195,Depreciation!$A$14:$L$18,11,FALSE),0))</f>
        <v>3.343407856743718E-2</v>
      </c>
      <c r="N195" s="306">
        <f>+IF($H195=N$2,VLOOKUP($G195,Depreciation!$A$14:$L$18,12,FALSE)/2,IF($H195&lt;N$2,VLOOKUP($G195,Depreciation!$A$14:$L$18,12,FALSE),0))</f>
        <v>3.343407856743718E-2</v>
      </c>
      <c r="O195" s="307">
        <f t="shared" si="17"/>
        <v>44083757.442430727</v>
      </c>
      <c r="P195" s="732">
        <f>'Func Future Subs 2015'!P195</f>
        <v>0</v>
      </c>
      <c r="Q195" s="732">
        <f>'Func Future Subs 2015'!Q195</f>
        <v>0</v>
      </c>
      <c r="R195" s="732">
        <f>'Func Future Subs 2015'!R195</f>
        <v>1</v>
      </c>
      <c r="S195" s="735">
        <f t="shared" si="18"/>
        <v>0</v>
      </c>
      <c r="T195" s="735">
        <f t="shared" si="19"/>
        <v>0</v>
      </c>
      <c r="U195" s="735">
        <f t="shared" si="20"/>
        <v>44083757.442430727</v>
      </c>
      <c r="V195" s="736">
        <f t="shared" si="21"/>
        <v>0</v>
      </c>
      <c r="W195" s="735">
        <f t="shared" si="22"/>
        <v>0</v>
      </c>
      <c r="X195" s="737">
        <f t="shared" si="23"/>
        <v>44083757.442430727</v>
      </c>
      <c r="Y195" s="738">
        <f t="shared" si="24"/>
        <v>0</v>
      </c>
    </row>
    <row r="196" spans="1:25">
      <c r="A196" s="754" t="str">
        <f>'Func Future Subs 2015'!A196</f>
        <v>Winefred 818S mod 180</v>
      </c>
      <c r="B196" s="754">
        <f>'Func Future Subs 2015'!B196</f>
        <v>1101</v>
      </c>
      <c r="C196" s="754">
        <f>'Func Future Subs 2015'!C196</f>
        <v>240</v>
      </c>
      <c r="D196" s="754">
        <f>'Func Future Subs 2015'!D196</f>
        <v>25</v>
      </c>
      <c r="E196" s="754" t="str">
        <f>'Func Future Subs 2015'!E196</f>
        <v>818S</v>
      </c>
      <c r="F196" s="754">
        <f>'Func Future Subs 2015'!F196</f>
        <v>467632.85141133214</v>
      </c>
      <c r="G196" s="754" t="str">
        <f>'Func Future Subs 2015'!G196</f>
        <v>AltaLink</v>
      </c>
      <c r="H196" s="754">
        <f>'Func Future Subs 2015'!H196</f>
        <v>2016</v>
      </c>
      <c r="I196" s="306">
        <f>+IF($H196=I$2,VLOOKUP($G196,Depreciation!$A$14:$L$18,7,FALSE)/2,IF($H196&lt;I$2,VLOOKUP($G196,Depreciation!$A$14:$L$18,7,FALSE),0))</f>
        <v>0</v>
      </c>
      <c r="J196" s="306">
        <f>+IF($H196=J$2,VLOOKUP($G196,Depreciation!$A$14:$L$18,8,FALSE)/2,IF($H196&lt;J$2,VLOOKUP($G196,Depreciation!$A$14:$L$18,8,FALSE),0))</f>
        <v>1.671703928371859E-2</v>
      </c>
      <c r="K196" s="306">
        <f>+IF($H196=K$2,VLOOKUP($G196,Depreciation!$A$14:$L$18,9,FALSE)/2,IF($H196&lt;K$2,VLOOKUP($G196,Depreciation!$A$14:$L$18,9,FALSE),0))</f>
        <v>3.343407856743718E-2</v>
      </c>
      <c r="L196" s="306">
        <f>+IF($H196=L$2,VLOOKUP($G196,Depreciation!$A$14:$L$18,10,FALSE)/2,IF($H196&lt;L$2,VLOOKUP($G196,Depreciation!$A$14:$L$18,10,FALSE),0))</f>
        <v>3.343407856743718E-2</v>
      </c>
      <c r="M196" s="306">
        <f>+IF($H196=M$2,VLOOKUP($G196,Depreciation!$A$14:$L$18,11,FALSE)/2,IF($H196&lt;M$2,VLOOKUP($G196,Depreciation!$A$14:$L$18,11,FALSE),0))</f>
        <v>3.343407856743718E-2</v>
      </c>
      <c r="N196" s="306">
        <f>+IF($H196=N$2,VLOOKUP($G196,Depreciation!$A$14:$L$18,12,FALSE)/2,IF($H196&lt;N$2,VLOOKUP($G196,Depreciation!$A$14:$L$18,12,FALSE),0))</f>
        <v>3.343407856743718E-2</v>
      </c>
      <c r="O196" s="307">
        <f t="shared" ref="O196:O259" si="25">IF(H196&lt;=2019,F196*(1-I196)*(1-J196)*(1-K196)*(1-L196)*(1-M196),0)</f>
        <v>415219.71237303689</v>
      </c>
      <c r="P196" s="732">
        <f>'Func Future Subs 2015'!P196</f>
        <v>0</v>
      </c>
      <c r="Q196" s="732">
        <f>'Func Future Subs 2015'!Q196</f>
        <v>1</v>
      </c>
      <c r="R196" s="732">
        <f>'Func Future Subs 2015'!R196</f>
        <v>0</v>
      </c>
      <c r="S196" s="735">
        <f t="shared" ref="S196:S259" si="26">+P196*$O196</f>
        <v>0</v>
      </c>
      <c r="T196" s="735">
        <f t="shared" ref="T196:T259" si="27">+Q196*$O196</f>
        <v>415219.71237303689</v>
      </c>
      <c r="U196" s="735">
        <f t="shared" ref="U196:U259" si="28">+R196*$O196</f>
        <v>0</v>
      </c>
      <c r="V196" s="736">
        <f t="shared" ref="V196:V259" si="29">IF(AND(R196=1,D196=0),O196,0)</f>
        <v>0</v>
      </c>
      <c r="W196" s="735">
        <f t="shared" ref="W196:W259" si="30">S196+IF(D196&gt;144,U196,0)</f>
        <v>0</v>
      </c>
      <c r="X196" s="737">
        <f t="shared" ref="X196:X259" si="31">IF(AND(D196&lt;=144,D196&gt;=69),U196,0)</f>
        <v>0</v>
      </c>
      <c r="Y196" s="738">
        <f t="shared" ref="Y196:Y259" si="32">T196+IF(AND(D196&lt;69,D196&gt;0),U196,0)</f>
        <v>415219.71237303689</v>
      </c>
    </row>
    <row r="197" spans="1:25">
      <c r="A197" s="754" t="str">
        <f>'Func Future Subs 2015'!A197</f>
        <v>ENMAX No. 47</v>
      </c>
      <c r="B197" s="754">
        <f>'Func Future Subs 2015'!B197</f>
        <v>1107</v>
      </c>
      <c r="C197" s="754">
        <f>'Func Future Subs 2015'!C197</f>
        <v>138</v>
      </c>
      <c r="D197" s="754">
        <f>'Func Future Subs 2015'!D197</f>
        <v>25</v>
      </c>
      <c r="E197" s="754" t="str">
        <f>'Func Future Subs 2015'!E197</f>
        <v>SS-47</v>
      </c>
      <c r="F197" s="754">
        <f>'Func Future Subs 2015'!F197</f>
        <v>9408587.9999999944</v>
      </c>
      <c r="G197" s="754" t="str">
        <f>'Func Future Subs 2015'!G197</f>
        <v>AltaLink</v>
      </c>
      <c r="H197" s="754">
        <f>'Func Future Subs 2015'!H197</f>
        <v>2015</v>
      </c>
      <c r="I197" s="306">
        <f>+IF($H197=I$2,VLOOKUP($G197,Depreciation!$A$14:$L$18,7,FALSE)/2,IF($H197&lt;I$2,VLOOKUP($G197,Depreciation!$A$14:$L$18,7,FALSE),0))</f>
        <v>1.7228380322441735E-2</v>
      </c>
      <c r="J197" s="306">
        <f>+IF($H197=J$2,VLOOKUP($G197,Depreciation!$A$14:$L$18,8,FALSE)/2,IF($H197&lt;J$2,VLOOKUP($G197,Depreciation!$A$14:$L$18,8,FALSE),0))</f>
        <v>3.343407856743718E-2</v>
      </c>
      <c r="K197" s="306">
        <f>+IF($H197=K$2,VLOOKUP($G197,Depreciation!$A$14:$L$18,9,FALSE)/2,IF($H197&lt;K$2,VLOOKUP($G197,Depreciation!$A$14:$L$18,9,FALSE),0))</f>
        <v>3.343407856743718E-2</v>
      </c>
      <c r="L197" s="306">
        <f>+IF($H197=L$2,VLOOKUP($G197,Depreciation!$A$14:$L$18,10,FALSE)/2,IF($H197&lt;L$2,VLOOKUP($G197,Depreciation!$A$14:$L$18,10,FALSE),0))</f>
        <v>3.343407856743718E-2</v>
      </c>
      <c r="M197" s="306">
        <f>+IF($H197=M$2,VLOOKUP($G197,Depreciation!$A$14:$L$18,11,FALSE)/2,IF($H197&lt;M$2,VLOOKUP($G197,Depreciation!$A$14:$L$18,11,FALSE),0))</f>
        <v>3.343407856743718E-2</v>
      </c>
      <c r="N197" s="306">
        <f>+IF($H197=N$2,VLOOKUP($G197,Depreciation!$A$14:$L$18,12,FALSE)/2,IF($H197&lt;N$2,VLOOKUP($G197,Depreciation!$A$14:$L$18,12,FALSE),0))</f>
        <v>3.343407856743718E-2</v>
      </c>
      <c r="O197" s="307">
        <f t="shared" si="25"/>
        <v>8070547.0507866424</v>
      </c>
      <c r="P197" s="732">
        <f>'Func Future Subs 2015'!P197</f>
        <v>0</v>
      </c>
      <c r="Q197" s="732">
        <f>'Func Future Subs 2015'!Q197</f>
        <v>0</v>
      </c>
      <c r="R197" s="732">
        <f>'Func Future Subs 2015'!R197</f>
        <v>1</v>
      </c>
      <c r="S197" s="735">
        <f t="shared" si="26"/>
        <v>0</v>
      </c>
      <c r="T197" s="735">
        <f t="shared" si="27"/>
        <v>0</v>
      </c>
      <c r="U197" s="735">
        <f t="shared" si="28"/>
        <v>8070547.0507866424</v>
      </c>
      <c r="V197" s="736">
        <f t="shared" si="29"/>
        <v>0</v>
      </c>
      <c r="W197" s="735">
        <f t="shared" si="30"/>
        <v>0</v>
      </c>
      <c r="X197" s="737">
        <f t="shared" si="31"/>
        <v>0</v>
      </c>
      <c r="Y197" s="738">
        <f t="shared" si="32"/>
        <v>8070547.0507866424</v>
      </c>
    </row>
    <row r="198" spans="1:25">
      <c r="A198" s="754" t="str">
        <f>'Func Future Subs 2015'!A198</f>
        <v>Carseland 525S_180</v>
      </c>
      <c r="B198" s="754">
        <f>'Func Future Subs 2015'!B198</f>
        <v>1117</v>
      </c>
      <c r="C198" s="754">
        <f>'Func Future Subs 2015'!C198</f>
        <v>138</v>
      </c>
      <c r="D198" s="754">
        <f>'Func Future Subs 2015'!D198</f>
        <v>25</v>
      </c>
      <c r="E198" s="754" t="str">
        <f>'Func Future Subs 2015'!E198</f>
        <v>525S</v>
      </c>
      <c r="F198" s="754">
        <f>'Func Future Subs 2015'!F198</f>
        <v>179071.02078100035</v>
      </c>
      <c r="G198" s="754" t="str">
        <f>'Func Future Subs 2015'!G198</f>
        <v>AltaLink</v>
      </c>
      <c r="H198" s="754">
        <f>'Func Future Subs 2015'!H198</f>
        <v>2015</v>
      </c>
      <c r="I198" s="306">
        <f>+IF($H198=I$2,VLOOKUP($G198,Depreciation!$A$14:$L$18,7,FALSE)/2,IF($H198&lt;I$2,VLOOKUP($G198,Depreciation!$A$14:$L$18,7,FALSE),0))</f>
        <v>1.7228380322441735E-2</v>
      </c>
      <c r="J198" s="306">
        <f>+IF($H198=J$2,VLOOKUP($G198,Depreciation!$A$14:$L$18,8,FALSE)/2,IF($H198&lt;J$2,VLOOKUP($G198,Depreciation!$A$14:$L$18,8,FALSE),0))</f>
        <v>3.343407856743718E-2</v>
      </c>
      <c r="K198" s="306">
        <f>+IF($H198=K$2,VLOOKUP($G198,Depreciation!$A$14:$L$18,9,FALSE)/2,IF($H198&lt;K$2,VLOOKUP($G198,Depreciation!$A$14:$L$18,9,FALSE),0))</f>
        <v>3.343407856743718E-2</v>
      </c>
      <c r="L198" s="306">
        <f>+IF($H198=L$2,VLOOKUP($G198,Depreciation!$A$14:$L$18,10,FALSE)/2,IF($H198&lt;L$2,VLOOKUP($G198,Depreciation!$A$14:$L$18,10,FALSE),0))</f>
        <v>3.343407856743718E-2</v>
      </c>
      <c r="M198" s="306">
        <f>+IF($H198=M$2,VLOOKUP($G198,Depreciation!$A$14:$L$18,11,FALSE)/2,IF($H198&lt;M$2,VLOOKUP($G198,Depreciation!$A$14:$L$18,11,FALSE),0))</f>
        <v>3.343407856743718E-2</v>
      </c>
      <c r="N198" s="306">
        <f>+IF($H198=N$2,VLOOKUP($G198,Depreciation!$A$14:$L$18,12,FALSE)/2,IF($H198&lt;N$2,VLOOKUP($G198,Depreciation!$A$14:$L$18,12,FALSE),0))</f>
        <v>3.343407856743718E-2</v>
      </c>
      <c r="O198" s="307">
        <f t="shared" si="25"/>
        <v>153604.46207714241</v>
      </c>
      <c r="P198" s="732">
        <f>'Func Future Subs 2015'!P198</f>
        <v>0.7346189164370982</v>
      </c>
      <c r="Q198" s="732">
        <f>'Func Future Subs 2015'!Q198</f>
        <v>0.26538108356290174</v>
      </c>
      <c r="R198" s="732">
        <f>'Func Future Subs 2015'!R198</f>
        <v>0</v>
      </c>
      <c r="S198" s="735">
        <f t="shared" si="26"/>
        <v>112840.74349101369</v>
      </c>
      <c r="T198" s="735">
        <f t="shared" si="27"/>
        <v>40763.7185861287</v>
      </c>
      <c r="U198" s="735">
        <f t="shared" si="28"/>
        <v>0</v>
      </c>
      <c r="V198" s="736">
        <f t="shared" si="29"/>
        <v>0</v>
      </c>
      <c r="W198" s="735">
        <f t="shared" si="30"/>
        <v>112840.74349101369</v>
      </c>
      <c r="X198" s="737">
        <f t="shared" si="31"/>
        <v>0</v>
      </c>
      <c r="Y198" s="738">
        <f t="shared" si="32"/>
        <v>40763.7185861287</v>
      </c>
    </row>
    <row r="199" spans="1:25">
      <c r="A199" s="754" t="str">
        <f>'Func Future Subs 2015'!A199</f>
        <v>Enmax No. 25_v180</v>
      </c>
      <c r="B199" s="754">
        <f>'Func Future Subs 2015'!B199</f>
        <v>1117</v>
      </c>
      <c r="C199" s="754">
        <f>'Func Future Subs 2015'!C199</f>
        <v>240</v>
      </c>
      <c r="D199" s="754">
        <f>'Func Future Subs 2015'!D199</f>
        <v>25</v>
      </c>
      <c r="E199" s="754" t="str">
        <f>'Func Future Subs 2015'!E199</f>
        <v>SS-25</v>
      </c>
      <c r="F199" s="754">
        <f>'Func Future Subs 2015'!F199</f>
        <v>712675.2914213459</v>
      </c>
      <c r="G199" s="754" t="str">
        <f>'Func Future Subs 2015'!G199</f>
        <v>ENMAX</v>
      </c>
      <c r="H199" s="754">
        <f>'Func Future Subs 2015'!H199</f>
        <v>2015</v>
      </c>
      <c r="I199" s="306">
        <f>+IF($H199=I$2,VLOOKUP($G199,Depreciation!$A$14:$L$18,7,FALSE)/2,IF($H199&lt;I$2,VLOOKUP($G199,Depreciation!$A$14:$L$18,7,FALSE),0))</f>
        <v>1.3928409269726289E-2</v>
      </c>
      <c r="J199" s="306">
        <f>+IF($H199=J$2,VLOOKUP($G199,Depreciation!$A$14:$L$18,8,FALSE)/2,IF($H199&lt;J$2,VLOOKUP($G199,Depreciation!$A$14:$L$18,8,FALSE),0))</f>
        <v>2.7856818539452578E-2</v>
      </c>
      <c r="K199" s="306">
        <f>+IF($H199=K$2,VLOOKUP($G199,Depreciation!$A$14:$L$18,9,FALSE)/2,IF($H199&lt;K$2,VLOOKUP($G199,Depreciation!$A$14:$L$18,9,FALSE),0))</f>
        <v>2.7856818539452578E-2</v>
      </c>
      <c r="L199" s="306">
        <f>+IF($H199=L$2,VLOOKUP($G199,Depreciation!$A$14:$L$18,10,FALSE)/2,IF($H199&lt;L$2,VLOOKUP($G199,Depreciation!$A$14:$L$18,10,FALSE),0))</f>
        <v>2.7856818539452578E-2</v>
      </c>
      <c r="M199" s="306">
        <f>+IF($H199=M$2,VLOOKUP($G199,Depreciation!$A$14:$L$18,11,FALSE)/2,IF($H199&lt;M$2,VLOOKUP($G199,Depreciation!$A$14:$L$18,11,FALSE),0))</f>
        <v>2.7856818539452578E-2</v>
      </c>
      <c r="N199" s="306">
        <f>+IF($H199=N$2,VLOOKUP($G199,Depreciation!$A$14:$L$18,12,FALSE)/2,IF($H199&lt;N$2,VLOOKUP($G199,Depreciation!$A$14:$L$18,12,FALSE),0))</f>
        <v>2.7856818539452578E-2</v>
      </c>
      <c r="O199" s="307">
        <f t="shared" si="25"/>
        <v>627655.13515230827</v>
      </c>
      <c r="P199" s="732">
        <f>'Func Future Subs 2015'!P199</f>
        <v>0.9759174311926605</v>
      </c>
      <c r="Q199" s="732">
        <f>'Func Future Subs 2015'!Q199</f>
        <v>2.4082568807339451E-2</v>
      </c>
      <c r="R199" s="732">
        <f>'Func Future Subs 2015'!R199</f>
        <v>4.8572257327350599E-17</v>
      </c>
      <c r="S199" s="735">
        <f t="shared" si="26"/>
        <v>612539.58717272279</v>
      </c>
      <c r="T199" s="735">
        <f t="shared" si="27"/>
        <v>15115.547979585406</v>
      </c>
      <c r="U199" s="735">
        <f t="shared" si="28"/>
        <v>3.0486626737450936E-11</v>
      </c>
      <c r="V199" s="736">
        <f t="shared" si="29"/>
        <v>0</v>
      </c>
      <c r="W199" s="735">
        <f t="shared" si="30"/>
        <v>612539.58717272279</v>
      </c>
      <c r="X199" s="737">
        <f t="shared" si="31"/>
        <v>0</v>
      </c>
      <c r="Y199" s="738">
        <f t="shared" si="32"/>
        <v>15115.547979585437</v>
      </c>
    </row>
    <row r="200" spans="1:25">
      <c r="A200" s="754" t="str">
        <f>'Func Future Subs 2015'!A200</f>
        <v>Enmax No. 65_v180</v>
      </c>
      <c r="B200" s="754">
        <f>'Func Future Subs 2015'!B200</f>
        <v>1117</v>
      </c>
      <c r="C200" s="754">
        <f>'Func Future Subs 2015'!C200</f>
        <v>240</v>
      </c>
      <c r="D200" s="754">
        <f>'Func Future Subs 2015'!D200</f>
        <v>138</v>
      </c>
      <c r="E200" s="754" t="str">
        <f>'Func Future Subs 2015'!E200</f>
        <v>SS-65</v>
      </c>
      <c r="F200" s="754">
        <f>'Func Future Subs 2015'!F200</f>
        <v>3684124.7085786541</v>
      </c>
      <c r="G200" s="754" t="str">
        <f>'Func Future Subs 2015'!G200</f>
        <v>ENMAX</v>
      </c>
      <c r="H200" s="754">
        <f>'Func Future Subs 2015'!H200</f>
        <v>2015</v>
      </c>
      <c r="I200" s="306">
        <f>+IF($H200=I$2,VLOOKUP($G200,Depreciation!$A$14:$L$18,7,FALSE)/2,IF($H200&lt;I$2,VLOOKUP($G200,Depreciation!$A$14:$L$18,7,FALSE),0))</f>
        <v>1.3928409269726289E-2</v>
      </c>
      <c r="J200" s="306">
        <f>+IF($H200=J$2,VLOOKUP($G200,Depreciation!$A$14:$L$18,8,FALSE)/2,IF($H200&lt;J$2,VLOOKUP($G200,Depreciation!$A$14:$L$18,8,FALSE),0))</f>
        <v>2.7856818539452578E-2</v>
      </c>
      <c r="K200" s="306">
        <f>+IF($H200=K$2,VLOOKUP($G200,Depreciation!$A$14:$L$18,9,FALSE)/2,IF($H200&lt;K$2,VLOOKUP($G200,Depreciation!$A$14:$L$18,9,FALSE),0))</f>
        <v>2.7856818539452578E-2</v>
      </c>
      <c r="L200" s="306">
        <f>+IF($H200=L$2,VLOOKUP($G200,Depreciation!$A$14:$L$18,10,FALSE)/2,IF($H200&lt;L$2,VLOOKUP($G200,Depreciation!$A$14:$L$18,10,FALSE),0))</f>
        <v>2.7856818539452578E-2</v>
      </c>
      <c r="M200" s="306">
        <f>+IF($H200=M$2,VLOOKUP($G200,Depreciation!$A$14:$L$18,11,FALSE)/2,IF($H200&lt;M$2,VLOOKUP($G200,Depreciation!$A$14:$L$18,11,FALSE),0))</f>
        <v>2.7856818539452578E-2</v>
      </c>
      <c r="N200" s="306">
        <f>+IF($H200=N$2,VLOOKUP($G200,Depreciation!$A$14:$L$18,12,FALSE)/2,IF($H200&lt;N$2,VLOOKUP($G200,Depreciation!$A$14:$L$18,12,FALSE),0))</f>
        <v>2.7856818539452578E-2</v>
      </c>
      <c r="O200" s="307">
        <f t="shared" si="25"/>
        <v>3244619.0007081176</v>
      </c>
      <c r="P200" s="732">
        <f>'Func Future Subs 2015'!P200</f>
        <v>0</v>
      </c>
      <c r="Q200" s="732">
        <f>'Func Future Subs 2015'!Q200</f>
        <v>0</v>
      </c>
      <c r="R200" s="732">
        <f>'Func Future Subs 2015'!R200</f>
        <v>1</v>
      </c>
      <c r="S200" s="735">
        <f t="shared" si="26"/>
        <v>0</v>
      </c>
      <c r="T200" s="735">
        <f t="shared" si="27"/>
        <v>0</v>
      </c>
      <c r="U200" s="735">
        <f t="shared" si="28"/>
        <v>3244619.0007081176</v>
      </c>
      <c r="V200" s="736">
        <f t="shared" si="29"/>
        <v>0</v>
      </c>
      <c r="W200" s="735">
        <f t="shared" si="30"/>
        <v>0</v>
      </c>
      <c r="X200" s="737">
        <f t="shared" si="31"/>
        <v>3244619.0007081176</v>
      </c>
      <c r="Y200" s="738">
        <f t="shared" si="32"/>
        <v>0</v>
      </c>
    </row>
    <row r="201" spans="1:25">
      <c r="A201" s="754" t="str">
        <f>'Func Future Subs 2015'!A201</f>
        <v>Foothills 237S 138kV_180</v>
      </c>
      <c r="B201" s="754">
        <f>'Func Future Subs 2015'!B201</f>
        <v>1117</v>
      </c>
      <c r="C201" s="754">
        <f>'Func Future Subs 2015'!C201</f>
        <v>240</v>
      </c>
      <c r="D201" s="754">
        <f>'Func Future Subs 2015'!D201</f>
        <v>138</v>
      </c>
      <c r="E201" s="754" t="str">
        <f>'Func Future Subs 2015'!E201</f>
        <v>237S</v>
      </c>
      <c r="F201" s="754">
        <f>'Func Future Subs 2015'!F201</f>
        <v>50320527.637888998</v>
      </c>
      <c r="G201" s="754" t="str">
        <f>'Func Future Subs 2015'!G201</f>
        <v>AltaLink</v>
      </c>
      <c r="H201" s="754">
        <f>'Func Future Subs 2015'!H201</f>
        <v>2015</v>
      </c>
      <c r="I201" s="306">
        <f>+IF($H201=I$2,VLOOKUP($G201,Depreciation!$A$14:$L$18,7,FALSE)/2,IF($H201&lt;I$2,VLOOKUP($G201,Depreciation!$A$14:$L$18,7,FALSE),0))</f>
        <v>1.7228380322441735E-2</v>
      </c>
      <c r="J201" s="306">
        <f>+IF($H201=J$2,VLOOKUP($G201,Depreciation!$A$14:$L$18,8,FALSE)/2,IF($H201&lt;J$2,VLOOKUP($G201,Depreciation!$A$14:$L$18,8,FALSE),0))</f>
        <v>3.343407856743718E-2</v>
      </c>
      <c r="K201" s="306">
        <f>+IF($H201=K$2,VLOOKUP($G201,Depreciation!$A$14:$L$18,9,FALSE)/2,IF($H201&lt;K$2,VLOOKUP($G201,Depreciation!$A$14:$L$18,9,FALSE),0))</f>
        <v>3.343407856743718E-2</v>
      </c>
      <c r="L201" s="306">
        <f>+IF($H201=L$2,VLOOKUP($G201,Depreciation!$A$14:$L$18,10,FALSE)/2,IF($H201&lt;L$2,VLOOKUP($G201,Depreciation!$A$14:$L$18,10,FALSE),0))</f>
        <v>3.343407856743718E-2</v>
      </c>
      <c r="M201" s="306">
        <f>+IF($H201=M$2,VLOOKUP($G201,Depreciation!$A$14:$L$18,11,FALSE)/2,IF($H201&lt;M$2,VLOOKUP($G201,Depreciation!$A$14:$L$18,11,FALSE),0))</f>
        <v>3.343407856743718E-2</v>
      </c>
      <c r="N201" s="306">
        <f>+IF($H201=N$2,VLOOKUP($G201,Depreciation!$A$14:$L$18,12,FALSE)/2,IF($H201&lt;N$2,VLOOKUP($G201,Depreciation!$A$14:$L$18,12,FALSE),0))</f>
        <v>3.343407856743718E-2</v>
      </c>
      <c r="O201" s="307">
        <f t="shared" si="25"/>
        <v>43164201.251239084</v>
      </c>
      <c r="P201" s="732">
        <f>'Func Future Subs 2015'!P201</f>
        <v>0</v>
      </c>
      <c r="Q201" s="732">
        <f>'Func Future Subs 2015'!Q201</f>
        <v>0</v>
      </c>
      <c r="R201" s="732">
        <f>'Func Future Subs 2015'!R201</f>
        <v>1</v>
      </c>
      <c r="S201" s="735">
        <f t="shared" si="26"/>
        <v>0</v>
      </c>
      <c r="T201" s="735">
        <f t="shared" si="27"/>
        <v>0</v>
      </c>
      <c r="U201" s="735">
        <f t="shared" si="28"/>
        <v>43164201.251239084</v>
      </c>
      <c r="V201" s="736">
        <f t="shared" si="29"/>
        <v>0</v>
      </c>
      <c r="W201" s="735">
        <f t="shared" si="30"/>
        <v>0</v>
      </c>
      <c r="X201" s="737">
        <f t="shared" si="31"/>
        <v>43164201.251239084</v>
      </c>
      <c r="Y201" s="738">
        <f t="shared" si="32"/>
        <v>0</v>
      </c>
    </row>
    <row r="202" spans="1:25">
      <c r="A202" s="754" t="str">
        <f>'Func Future Subs 2015'!A202</f>
        <v>Foothills 237S_180</v>
      </c>
      <c r="B202" s="754">
        <f>'Func Future Subs 2015'!B202</f>
        <v>1117</v>
      </c>
      <c r="C202" s="754">
        <f>'Func Future Subs 2015'!C202</f>
        <v>240</v>
      </c>
      <c r="D202" s="754">
        <f>'Func Future Subs 2015'!D202</f>
        <v>138</v>
      </c>
      <c r="E202" s="754" t="str">
        <f>'Func Future Subs 2015'!E202</f>
        <v>237S</v>
      </c>
      <c r="F202" s="754">
        <f>'Func Future Subs 2015'!F202</f>
        <v>7942848.7389275823</v>
      </c>
      <c r="G202" s="754" t="str">
        <f>'Func Future Subs 2015'!G202</f>
        <v>AltaLink</v>
      </c>
      <c r="H202" s="754">
        <f>'Func Future Subs 2015'!H202</f>
        <v>2015</v>
      </c>
      <c r="I202" s="306">
        <f>+IF($H202=I$2,VLOOKUP($G202,Depreciation!$A$14:$L$18,7,FALSE)/2,IF($H202&lt;I$2,VLOOKUP($G202,Depreciation!$A$14:$L$18,7,FALSE),0))</f>
        <v>1.7228380322441735E-2</v>
      </c>
      <c r="J202" s="306">
        <f>+IF($H202=J$2,VLOOKUP($G202,Depreciation!$A$14:$L$18,8,FALSE)/2,IF($H202&lt;J$2,VLOOKUP($G202,Depreciation!$A$14:$L$18,8,FALSE),0))</f>
        <v>3.343407856743718E-2</v>
      </c>
      <c r="K202" s="306">
        <f>+IF($H202=K$2,VLOOKUP($G202,Depreciation!$A$14:$L$18,9,FALSE)/2,IF($H202&lt;K$2,VLOOKUP($G202,Depreciation!$A$14:$L$18,9,FALSE),0))</f>
        <v>3.343407856743718E-2</v>
      </c>
      <c r="L202" s="306">
        <f>+IF($H202=L$2,VLOOKUP($G202,Depreciation!$A$14:$L$18,10,FALSE)/2,IF($H202&lt;L$2,VLOOKUP($G202,Depreciation!$A$14:$L$18,10,FALSE),0))</f>
        <v>3.343407856743718E-2</v>
      </c>
      <c r="M202" s="306">
        <f>+IF($H202=M$2,VLOOKUP($G202,Depreciation!$A$14:$L$18,11,FALSE)/2,IF($H202&lt;M$2,VLOOKUP($G202,Depreciation!$A$14:$L$18,11,FALSE),0))</f>
        <v>3.343407856743718E-2</v>
      </c>
      <c r="N202" s="306">
        <f>+IF($H202=N$2,VLOOKUP($G202,Depreciation!$A$14:$L$18,12,FALSE)/2,IF($H202&lt;N$2,VLOOKUP($G202,Depreciation!$A$14:$L$18,12,FALSE),0))</f>
        <v>3.343407856743718E-2</v>
      </c>
      <c r="O202" s="307">
        <f t="shared" si="25"/>
        <v>6813257.6816836316</v>
      </c>
      <c r="P202" s="732">
        <f>'Func Future Subs 2015'!P202</f>
        <v>0</v>
      </c>
      <c r="Q202" s="732">
        <f>'Func Future Subs 2015'!Q202</f>
        <v>0</v>
      </c>
      <c r="R202" s="732">
        <f>'Func Future Subs 2015'!R202</f>
        <v>1</v>
      </c>
      <c r="S202" s="735">
        <f t="shared" si="26"/>
        <v>0</v>
      </c>
      <c r="T202" s="735">
        <f t="shared" si="27"/>
        <v>0</v>
      </c>
      <c r="U202" s="735">
        <f t="shared" si="28"/>
        <v>6813257.6816836316</v>
      </c>
      <c r="V202" s="736">
        <f t="shared" si="29"/>
        <v>0</v>
      </c>
      <c r="W202" s="735">
        <f t="shared" si="30"/>
        <v>0</v>
      </c>
      <c r="X202" s="737">
        <f t="shared" si="31"/>
        <v>6813257.6816836316</v>
      </c>
      <c r="Y202" s="738">
        <f t="shared" si="32"/>
        <v>0</v>
      </c>
    </row>
    <row r="203" spans="1:25">
      <c r="A203" s="754" t="str">
        <f>'Func Future Subs 2015'!A203</f>
        <v>High River 65S_180</v>
      </c>
      <c r="B203" s="754">
        <f>'Func Future Subs 2015'!B203</f>
        <v>1117</v>
      </c>
      <c r="C203" s="754">
        <f>'Func Future Subs 2015'!C203</f>
        <v>138</v>
      </c>
      <c r="D203" s="754">
        <f>'Func Future Subs 2015'!D203</f>
        <v>25</v>
      </c>
      <c r="E203" s="754" t="str">
        <f>'Func Future Subs 2015'!E203</f>
        <v>65S</v>
      </c>
      <c r="F203" s="754">
        <f>'Func Future Subs 2015'!F203</f>
        <v>7010473.3837333731</v>
      </c>
      <c r="G203" s="754" t="str">
        <f>'Func Future Subs 2015'!G203</f>
        <v>AltaLink</v>
      </c>
      <c r="H203" s="754">
        <f>'Func Future Subs 2015'!H203</f>
        <v>2015</v>
      </c>
      <c r="I203" s="306">
        <f>+IF($H203=I$2,VLOOKUP($G203,Depreciation!$A$14:$L$18,7,FALSE)/2,IF($H203&lt;I$2,VLOOKUP($G203,Depreciation!$A$14:$L$18,7,FALSE),0))</f>
        <v>1.7228380322441735E-2</v>
      </c>
      <c r="J203" s="306">
        <f>+IF($H203=J$2,VLOOKUP($G203,Depreciation!$A$14:$L$18,8,FALSE)/2,IF($H203&lt;J$2,VLOOKUP($G203,Depreciation!$A$14:$L$18,8,FALSE),0))</f>
        <v>3.343407856743718E-2</v>
      </c>
      <c r="K203" s="306">
        <f>+IF($H203=K$2,VLOOKUP($G203,Depreciation!$A$14:$L$18,9,FALSE)/2,IF($H203&lt;K$2,VLOOKUP($G203,Depreciation!$A$14:$L$18,9,FALSE),0))</f>
        <v>3.343407856743718E-2</v>
      </c>
      <c r="L203" s="306">
        <f>+IF($H203=L$2,VLOOKUP($G203,Depreciation!$A$14:$L$18,10,FALSE)/2,IF($H203&lt;L$2,VLOOKUP($G203,Depreciation!$A$14:$L$18,10,FALSE),0))</f>
        <v>3.343407856743718E-2</v>
      </c>
      <c r="M203" s="306">
        <f>+IF($H203=M$2,VLOOKUP($G203,Depreciation!$A$14:$L$18,11,FALSE)/2,IF($H203&lt;M$2,VLOOKUP($G203,Depreciation!$A$14:$L$18,11,FALSE),0))</f>
        <v>3.343407856743718E-2</v>
      </c>
      <c r="N203" s="306">
        <f>+IF($H203=N$2,VLOOKUP($G203,Depreciation!$A$14:$L$18,12,FALSE)/2,IF($H203&lt;N$2,VLOOKUP($G203,Depreciation!$A$14:$L$18,12,FALSE),0))</f>
        <v>3.343407856743718E-2</v>
      </c>
      <c r="O203" s="307">
        <f t="shared" si="25"/>
        <v>6013479.9495639149</v>
      </c>
      <c r="P203" s="732">
        <f>'Func Future Subs 2015'!P203</f>
        <v>0</v>
      </c>
      <c r="Q203" s="732">
        <f>'Func Future Subs 2015'!Q203</f>
        <v>1</v>
      </c>
      <c r="R203" s="732">
        <f>'Func Future Subs 2015'!R203</f>
        <v>0</v>
      </c>
      <c r="S203" s="735">
        <f t="shared" si="26"/>
        <v>0</v>
      </c>
      <c r="T203" s="735">
        <f t="shared" si="27"/>
        <v>6013479.9495639149</v>
      </c>
      <c r="U203" s="735">
        <f t="shared" si="28"/>
        <v>0</v>
      </c>
      <c r="V203" s="736">
        <f t="shared" si="29"/>
        <v>0</v>
      </c>
      <c r="W203" s="735">
        <f t="shared" si="30"/>
        <v>0</v>
      </c>
      <c r="X203" s="737">
        <f t="shared" si="31"/>
        <v>0</v>
      </c>
      <c r="Y203" s="738">
        <f t="shared" si="32"/>
        <v>6013479.9495639149</v>
      </c>
    </row>
    <row r="204" spans="1:25">
      <c r="A204" s="754" t="str">
        <f>'Func Future Subs 2015'!A204</f>
        <v>Janet 74S expansion_(v180)</v>
      </c>
      <c r="B204" s="754">
        <f>'Func Future Subs 2015'!B204</f>
        <v>1117</v>
      </c>
      <c r="C204" s="754">
        <f>'Func Future Subs 2015'!C204</f>
        <v>240</v>
      </c>
      <c r="D204" s="754">
        <f>'Func Future Subs 2015'!D204</f>
        <v>138</v>
      </c>
      <c r="E204" s="754" t="str">
        <f>'Func Future Subs 2015'!E204</f>
        <v>74S</v>
      </c>
      <c r="F204" s="754">
        <f>'Func Future Subs 2015'!F204</f>
        <v>26955252.769418996</v>
      </c>
      <c r="G204" s="754" t="str">
        <f>'Func Future Subs 2015'!G204</f>
        <v>AltaLink</v>
      </c>
      <c r="H204" s="754">
        <f>'Func Future Subs 2015'!H204</f>
        <v>2015</v>
      </c>
      <c r="I204" s="306">
        <f>+IF($H204=I$2,VLOOKUP($G204,Depreciation!$A$14:$L$18,7,FALSE)/2,IF($H204&lt;I$2,VLOOKUP($G204,Depreciation!$A$14:$L$18,7,FALSE),0))</f>
        <v>1.7228380322441735E-2</v>
      </c>
      <c r="J204" s="306">
        <f>+IF($H204=J$2,VLOOKUP($G204,Depreciation!$A$14:$L$18,8,FALSE)/2,IF($H204&lt;J$2,VLOOKUP($G204,Depreciation!$A$14:$L$18,8,FALSE),0))</f>
        <v>3.343407856743718E-2</v>
      </c>
      <c r="K204" s="306">
        <f>+IF($H204=K$2,VLOOKUP($G204,Depreciation!$A$14:$L$18,9,FALSE)/2,IF($H204&lt;K$2,VLOOKUP($G204,Depreciation!$A$14:$L$18,9,FALSE),0))</f>
        <v>3.343407856743718E-2</v>
      </c>
      <c r="L204" s="306">
        <f>+IF($H204=L$2,VLOOKUP($G204,Depreciation!$A$14:$L$18,10,FALSE)/2,IF($H204&lt;L$2,VLOOKUP($G204,Depreciation!$A$14:$L$18,10,FALSE),0))</f>
        <v>3.343407856743718E-2</v>
      </c>
      <c r="M204" s="306">
        <f>+IF($H204=M$2,VLOOKUP($G204,Depreciation!$A$14:$L$18,11,FALSE)/2,IF($H204&lt;M$2,VLOOKUP($G204,Depreciation!$A$14:$L$18,11,FALSE),0))</f>
        <v>3.343407856743718E-2</v>
      </c>
      <c r="N204" s="306">
        <f>+IF($H204=N$2,VLOOKUP($G204,Depreciation!$A$14:$L$18,12,FALSE)/2,IF($H204&lt;N$2,VLOOKUP($G204,Depreciation!$A$14:$L$18,12,FALSE),0))</f>
        <v>3.343407856743718E-2</v>
      </c>
      <c r="O204" s="307">
        <f t="shared" si="25"/>
        <v>23121815.488301016</v>
      </c>
      <c r="P204" s="732">
        <f>'Func Future Subs 2015'!P204</f>
        <v>0</v>
      </c>
      <c r="Q204" s="732">
        <f>'Func Future Subs 2015'!Q204</f>
        <v>0</v>
      </c>
      <c r="R204" s="732">
        <f>'Func Future Subs 2015'!R204</f>
        <v>1</v>
      </c>
      <c r="S204" s="735">
        <f t="shared" si="26"/>
        <v>0</v>
      </c>
      <c r="T204" s="735">
        <f t="shared" si="27"/>
        <v>0</v>
      </c>
      <c r="U204" s="735">
        <f t="shared" si="28"/>
        <v>23121815.488301016</v>
      </c>
      <c r="V204" s="736">
        <f t="shared" si="29"/>
        <v>0</v>
      </c>
      <c r="W204" s="735">
        <f t="shared" si="30"/>
        <v>0</v>
      </c>
      <c r="X204" s="737">
        <f t="shared" si="31"/>
        <v>23121815.488301016</v>
      </c>
      <c r="Y204" s="738">
        <f t="shared" si="32"/>
        <v>0</v>
      </c>
    </row>
    <row r="205" spans="1:25">
      <c r="A205" s="754" t="str">
        <f>'Func Future Subs 2015'!A205</f>
        <v>Langdon 102S_(v180)</v>
      </c>
      <c r="B205" s="754">
        <f>'Func Future Subs 2015'!B205</f>
        <v>1117</v>
      </c>
      <c r="C205" s="754">
        <f>'Func Future Subs 2015'!C205</f>
        <v>500</v>
      </c>
      <c r="D205" s="754">
        <f>'Func Future Subs 2015'!D205</f>
        <v>240</v>
      </c>
      <c r="E205" s="754" t="str">
        <f>'Func Future Subs 2015'!E205</f>
        <v>102S</v>
      </c>
      <c r="F205" s="754">
        <f>'Func Future Subs 2015'!F205</f>
        <v>26111161.304189671</v>
      </c>
      <c r="G205" s="754" t="str">
        <f>'Func Future Subs 2015'!G205</f>
        <v>AltaLink</v>
      </c>
      <c r="H205" s="754">
        <f>'Func Future Subs 2015'!H205</f>
        <v>2015</v>
      </c>
      <c r="I205" s="306">
        <f>+IF($H205=I$2,VLOOKUP($G205,Depreciation!$A$14:$L$18,7,FALSE)/2,IF($H205&lt;I$2,VLOOKUP($G205,Depreciation!$A$14:$L$18,7,FALSE),0))</f>
        <v>1.7228380322441735E-2</v>
      </c>
      <c r="J205" s="306">
        <f>+IF($H205=J$2,VLOOKUP($G205,Depreciation!$A$14:$L$18,8,FALSE)/2,IF($H205&lt;J$2,VLOOKUP($G205,Depreciation!$A$14:$L$18,8,FALSE),0))</f>
        <v>3.343407856743718E-2</v>
      </c>
      <c r="K205" s="306">
        <f>+IF($H205=K$2,VLOOKUP($G205,Depreciation!$A$14:$L$18,9,FALSE)/2,IF($H205&lt;K$2,VLOOKUP($G205,Depreciation!$A$14:$L$18,9,FALSE),0))</f>
        <v>3.343407856743718E-2</v>
      </c>
      <c r="L205" s="306">
        <f>+IF($H205=L$2,VLOOKUP($G205,Depreciation!$A$14:$L$18,10,FALSE)/2,IF($H205&lt;L$2,VLOOKUP($G205,Depreciation!$A$14:$L$18,10,FALSE),0))</f>
        <v>3.343407856743718E-2</v>
      </c>
      <c r="M205" s="306">
        <f>+IF($H205=M$2,VLOOKUP($G205,Depreciation!$A$14:$L$18,11,FALSE)/2,IF($H205&lt;M$2,VLOOKUP($G205,Depreciation!$A$14:$L$18,11,FALSE),0))</f>
        <v>3.343407856743718E-2</v>
      </c>
      <c r="N205" s="306">
        <f>+IF($H205=N$2,VLOOKUP($G205,Depreciation!$A$14:$L$18,12,FALSE)/2,IF($H205&lt;N$2,VLOOKUP($G205,Depreciation!$A$14:$L$18,12,FALSE),0))</f>
        <v>3.343407856743718E-2</v>
      </c>
      <c r="O205" s="307">
        <f t="shared" si="25"/>
        <v>22397766.365807746</v>
      </c>
      <c r="P205" s="732">
        <f>'Func Future Subs 2015'!P205</f>
        <v>0</v>
      </c>
      <c r="Q205" s="732">
        <f>'Func Future Subs 2015'!Q205</f>
        <v>0</v>
      </c>
      <c r="R205" s="732">
        <f>'Func Future Subs 2015'!R205</f>
        <v>1</v>
      </c>
      <c r="S205" s="735">
        <f t="shared" si="26"/>
        <v>0</v>
      </c>
      <c r="T205" s="735">
        <f t="shared" si="27"/>
        <v>0</v>
      </c>
      <c r="U205" s="735">
        <f t="shared" si="28"/>
        <v>22397766.365807746</v>
      </c>
      <c r="V205" s="736">
        <f t="shared" si="29"/>
        <v>0</v>
      </c>
      <c r="W205" s="735">
        <f t="shared" si="30"/>
        <v>22397766.365807746</v>
      </c>
      <c r="X205" s="737">
        <f t="shared" si="31"/>
        <v>0</v>
      </c>
      <c r="Y205" s="738">
        <f t="shared" si="32"/>
        <v>0</v>
      </c>
    </row>
    <row r="206" spans="1:25">
      <c r="A206" s="754" t="str">
        <f>'Func Future Subs 2015'!A206</f>
        <v>Okotok 678S_180</v>
      </c>
      <c r="B206" s="754">
        <f>'Func Future Subs 2015'!B206</f>
        <v>1117</v>
      </c>
      <c r="C206" s="754">
        <f>'Func Future Subs 2015'!C206</f>
        <v>138</v>
      </c>
      <c r="D206" s="754">
        <f>'Func Future Subs 2015'!D206</f>
        <v>25</v>
      </c>
      <c r="E206" s="754" t="str">
        <f>'Func Future Subs 2015'!E206</f>
        <v>678S</v>
      </c>
      <c r="F206" s="754">
        <f>'Func Future Subs 2015'!F206</f>
        <v>5976888.018172862</v>
      </c>
      <c r="G206" s="754" t="str">
        <f>'Func Future Subs 2015'!G206</f>
        <v>AltaLink</v>
      </c>
      <c r="H206" s="754">
        <f>'Func Future Subs 2015'!H206</f>
        <v>2015</v>
      </c>
      <c r="I206" s="306">
        <f>+IF($H206=I$2,VLOOKUP($G206,Depreciation!$A$14:$L$18,7,FALSE)/2,IF($H206&lt;I$2,VLOOKUP($G206,Depreciation!$A$14:$L$18,7,FALSE),0))</f>
        <v>1.7228380322441735E-2</v>
      </c>
      <c r="J206" s="306">
        <f>+IF($H206=J$2,VLOOKUP($G206,Depreciation!$A$14:$L$18,8,FALSE)/2,IF($H206&lt;J$2,VLOOKUP($G206,Depreciation!$A$14:$L$18,8,FALSE),0))</f>
        <v>3.343407856743718E-2</v>
      </c>
      <c r="K206" s="306">
        <f>+IF($H206=K$2,VLOOKUP($G206,Depreciation!$A$14:$L$18,9,FALSE)/2,IF($H206&lt;K$2,VLOOKUP($G206,Depreciation!$A$14:$L$18,9,FALSE),0))</f>
        <v>3.343407856743718E-2</v>
      </c>
      <c r="L206" s="306">
        <f>+IF($H206=L$2,VLOOKUP($G206,Depreciation!$A$14:$L$18,10,FALSE)/2,IF($H206&lt;L$2,VLOOKUP($G206,Depreciation!$A$14:$L$18,10,FALSE),0))</f>
        <v>3.343407856743718E-2</v>
      </c>
      <c r="M206" s="306">
        <f>+IF($H206=M$2,VLOOKUP($G206,Depreciation!$A$14:$L$18,11,FALSE)/2,IF($H206&lt;M$2,VLOOKUP($G206,Depreciation!$A$14:$L$18,11,FALSE),0))</f>
        <v>3.343407856743718E-2</v>
      </c>
      <c r="N206" s="306">
        <f>+IF($H206=N$2,VLOOKUP($G206,Depreciation!$A$14:$L$18,12,FALSE)/2,IF($H206&lt;N$2,VLOOKUP($G206,Depreciation!$A$14:$L$18,12,FALSE),0))</f>
        <v>3.343407856743718E-2</v>
      </c>
      <c r="O206" s="307">
        <f t="shared" si="25"/>
        <v>5126885.7737151459</v>
      </c>
      <c r="P206" s="732">
        <f>'Func Future Subs 2015'!P206</f>
        <v>0</v>
      </c>
      <c r="Q206" s="732">
        <f>'Func Future Subs 2015'!Q206</f>
        <v>1</v>
      </c>
      <c r="R206" s="732">
        <f>'Func Future Subs 2015'!R206</f>
        <v>0</v>
      </c>
      <c r="S206" s="735">
        <f t="shared" si="26"/>
        <v>0</v>
      </c>
      <c r="T206" s="735">
        <f t="shared" si="27"/>
        <v>5126885.7737151459</v>
      </c>
      <c r="U206" s="735">
        <f t="shared" si="28"/>
        <v>0</v>
      </c>
      <c r="V206" s="736">
        <f t="shared" si="29"/>
        <v>0</v>
      </c>
      <c r="W206" s="735">
        <f t="shared" si="30"/>
        <v>0</v>
      </c>
      <c r="X206" s="737">
        <f t="shared" si="31"/>
        <v>0</v>
      </c>
      <c r="Y206" s="738">
        <f t="shared" si="32"/>
        <v>5126885.7737151459</v>
      </c>
    </row>
    <row r="207" spans="1:25">
      <c r="A207" s="754" t="str">
        <f>'Func Future Subs 2015'!A207</f>
        <v>2060S Engstrom Substation</v>
      </c>
      <c r="B207" s="754">
        <f>'Func Future Subs 2015'!B207</f>
        <v>1128</v>
      </c>
      <c r="C207" s="754">
        <f>'Func Future Subs 2015'!C207</f>
        <v>144</v>
      </c>
      <c r="D207" s="754">
        <f>'Func Future Subs 2015'!D207</f>
        <v>25</v>
      </c>
      <c r="E207" s="754" t="str">
        <f>'Func Future Subs 2015'!E207</f>
        <v>2060S</v>
      </c>
      <c r="F207" s="754">
        <f>'Func Future Subs 2015'!F207</f>
        <v>3013835.5296935784</v>
      </c>
      <c r="G207" s="754" t="str">
        <f>'Func Future Subs 2015'!G207</f>
        <v>ATCO</v>
      </c>
      <c r="H207" s="754">
        <f>'Func Future Subs 2015'!H207</f>
        <v>2015</v>
      </c>
      <c r="I207" s="306">
        <f>+IF($H207=I$2,VLOOKUP($G207,Depreciation!$A$14:$L$18,7,FALSE)/2,IF($H207&lt;I$2,VLOOKUP($G207,Depreciation!$A$14:$L$18,7,FALSE),0))</f>
        <v>1.221703683566912E-2</v>
      </c>
      <c r="J207" s="306">
        <f>+IF($H207=J$2,VLOOKUP($G207,Depreciation!$A$14:$L$18,8,FALSE)/2,IF($H207&lt;J$2,VLOOKUP($G207,Depreciation!$A$14:$L$18,8,FALSE),0))</f>
        <v>2.4632450501084719E-2</v>
      </c>
      <c r="K207" s="306">
        <f>+IF($H207=K$2,VLOOKUP($G207,Depreciation!$A$14:$L$18,9,FALSE)/2,IF($H207&lt;K$2,VLOOKUP($G207,Depreciation!$A$14:$L$18,9,FALSE),0))</f>
        <v>2.4351536427798831E-2</v>
      </c>
      <c r="L207" s="306">
        <f>+IF($H207=L$2,VLOOKUP($G207,Depreciation!$A$14:$L$18,10,FALSE)/2,IF($H207&lt;L$2,VLOOKUP($G207,Depreciation!$A$14:$L$18,10,FALSE),0))</f>
        <v>2.4351536427798831E-2</v>
      </c>
      <c r="M207" s="306">
        <f>+IF($H207=M$2,VLOOKUP($G207,Depreciation!$A$14:$L$18,11,FALSE)/2,IF($H207&lt;M$2,VLOOKUP($G207,Depreciation!$A$14:$L$18,11,FALSE),0))</f>
        <v>2.4351536427798831E-2</v>
      </c>
      <c r="N207" s="306">
        <f>+IF($H207=N$2,VLOOKUP($G207,Depreciation!$A$14:$L$18,12,FALSE)/2,IF($H207&lt;N$2,VLOOKUP($G207,Depreciation!$A$14:$L$18,12,FALSE),0))</f>
        <v>2.4351536427798831E-2</v>
      </c>
      <c r="O207" s="307">
        <f t="shared" si="25"/>
        <v>2696680.3912023557</v>
      </c>
      <c r="P207" s="732">
        <f>'Func Future Subs 2015'!P207</f>
        <v>0</v>
      </c>
      <c r="Q207" s="732">
        <f>'Func Future Subs 2015'!Q207</f>
        <v>1</v>
      </c>
      <c r="R207" s="732">
        <f>'Func Future Subs 2015'!R207</f>
        <v>0</v>
      </c>
      <c r="S207" s="735">
        <f t="shared" si="26"/>
        <v>0</v>
      </c>
      <c r="T207" s="735">
        <f t="shared" si="27"/>
        <v>2696680.3912023557</v>
      </c>
      <c r="U207" s="735">
        <f t="shared" si="28"/>
        <v>0</v>
      </c>
      <c r="V207" s="736">
        <f t="shared" si="29"/>
        <v>0</v>
      </c>
      <c r="W207" s="735">
        <f t="shared" si="30"/>
        <v>0</v>
      </c>
      <c r="X207" s="737">
        <f t="shared" si="31"/>
        <v>0</v>
      </c>
      <c r="Y207" s="738">
        <f t="shared" si="32"/>
        <v>2696680.3912023557</v>
      </c>
    </row>
    <row r="208" spans="1:25">
      <c r="A208" s="754" t="str">
        <f>'Func Future Subs 2015'!A208</f>
        <v>856S Kinosis Substation</v>
      </c>
      <c r="B208" s="754">
        <f>'Func Future Subs 2015'!B208</f>
        <v>1128</v>
      </c>
      <c r="C208" s="754">
        <f>'Func Future Subs 2015'!C208</f>
        <v>240</v>
      </c>
      <c r="D208" s="754">
        <f>'Func Future Subs 2015'!D208</f>
        <v>25</v>
      </c>
      <c r="E208" s="754" t="str">
        <f>'Func Future Subs 2015'!E208</f>
        <v>856S</v>
      </c>
      <c r="F208" s="754">
        <f>'Func Future Subs 2015'!F208</f>
        <v>26494192.572163552</v>
      </c>
      <c r="G208" s="754" t="str">
        <f>'Func Future Subs 2015'!G208</f>
        <v>ATCO</v>
      </c>
      <c r="H208" s="754">
        <f>'Func Future Subs 2015'!H208</f>
        <v>2015</v>
      </c>
      <c r="I208" s="306">
        <f>+IF($H208=I$2,VLOOKUP($G208,Depreciation!$A$14:$L$18,7,FALSE)/2,IF($H208&lt;I$2,VLOOKUP($G208,Depreciation!$A$14:$L$18,7,FALSE),0))</f>
        <v>1.221703683566912E-2</v>
      </c>
      <c r="J208" s="306">
        <f>+IF($H208=J$2,VLOOKUP($G208,Depreciation!$A$14:$L$18,8,FALSE)/2,IF($H208&lt;J$2,VLOOKUP($G208,Depreciation!$A$14:$L$18,8,FALSE),0))</f>
        <v>2.4632450501084719E-2</v>
      </c>
      <c r="K208" s="306">
        <f>+IF($H208=K$2,VLOOKUP($G208,Depreciation!$A$14:$L$18,9,FALSE)/2,IF($H208&lt;K$2,VLOOKUP($G208,Depreciation!$A$14:$L$18,9,FALSE),0))</f>
        <v>2.4351536427798831E-2</v>
      </c>
      <c r="L208" s="306">
        <f>+IF($H208=L$2,VLOOKUP($G208,Depreciation!$A$14:$L$18,10,FALSE)/2,IF($H208&lt;L$2,VLOOKUP($G208,Depreciation!$A$14:$L$18,10,FALSE),0))</f>
        <v>2.4351536427798831E-2</v>
      </c>
      <c r="M208" s="306">
        <f>+IF($H208=M$2,VLOOKUP($G208,Depreciation!$A$14:$L$18,11,FALSE)/2,IF($H208&lt;M$2,VLOOKUP($G208,Depreciation!$A$14:$L$18,11,FALSE),0))</f>
        <v>2.4351536427798831E-2</v>
      </c>
      <c r="N208" s="306">
        <f>+IF($H208=N$2,VLOOKUP($G208,Depreciation!$A$14:$L$18,12,FALSE)/2,IF($H208&lt;N$2,VLOOKUP($G208,Depreciation!$A$14:$L$18,12,FALSE),0))</f>
        <v>2.4351536427798831E-2</v>
      </c>
      <c r="O208" s="307">
        <f t="shared" si="25"/>
        <v>23706127.585985627</v>
      </c>
      <c r="P208" s="732">
        <f>'Func Future Subs 2015'!P208</f>
        <v>0</v>
      </c>
      <c r="Q208" s="732">
        <f>'Func Future Subs 2015'!Q208</f>
        <v>1</v>
      </c>
      <c r="R208" s="732">
        <f>'Func Future Subs 2015'!R208</f>
        <v>0</v>
      </c>
      <c r="S208" s="735">
        <f t="shared" si="26"/>
        <v>0</v>
      </c>
      <c r="T208" s="735">
        <f t="shared" si="27"/>
        <v>23706127.585985627</v>
      </c>
      <c r="U208" s="735">
        <f t="shared" si="28"/>
        <v>0</v>
      </c>
      <c r="V208" s="736">
        <f t="shared" si="29"/>
        <v>0</v>
      </c>
      <c r="W208" s="735">
        <f t="shared" si="30"/>
        <v>0</v>
      </c>
      <c r="X208" s="737">
        <f t="shared" si="31"/>
        <v>0</v>
      </c>
      <c r="Y208" s="738">
        <f t="shared" si="32"/>
        <v>23706127.585985627</v>
      </c>
    </row>
    <row r="209" spans="1:25">
      <c r="A209" s="754" t="str">
        <f>'Func Future Subs 2015'!A209</f>
        <v>989S Quigley substation</v>
      </c>
      <c r="B209" s="754">
        <f>'Func Future Subs 2015'!B209</f>
        <v>1128</v>
      </c>
      <c r="C209" s="754">
        <f>'Func Future Subs 2015'!C209</f>
        <v>144</v>
      </c>
      <c r="D209" s="754">
        <f>'Func Future Subs 2015'!D209</f>
        <v>25</v>
      </c>
      <c r="E209" s="754" t="str">
        <f>'Func Future Subs 2015'!E209</f>
        <v>989S</v>
      </c>
      <c r="F209" s="754">
        <f>'Func Future Subs 2015'!F209</f>
        <v>2933649.2335773744</v>
      </c>
      <c r="G209" s="754" t="str">
        <f>'Func Future Subs 2015'!G209</f>
        <v>ATCO</v>
      </c>
      <c r="H209" s="754">
        <f>'Func Future Subs 2015'!H209</f>
        <v>2015</v>
      </c>
      <c r="I209" s="306">
        <f>+IF($H209=I$2,VLOOKUP($G209,Depreciation!$A$14:$L$18,7,FALSE)/2,IF($H209&lt;I$2,VLOOKUP($G209,Depreciation!$A$14:$L$18,7,FALSE),0))</f>
        <v>1.221703683566912E-2</v>
      </c>
      <c r="J209" s="306">
        <f>+IF($H209=J$2,VLOOKUP($G209,Depreciation!$A$14:$L$18,8,FALSE)/2,IF($H209&lt;J$2,VLOOKUP($G209,Depreciation!$A$14:$L$18,8,FALSE),0))</f>
        <v>2.4632450501084719E-2</v>
      </c>
      <c r="K209" s="306">
        <f>+IF($H209=K$2,VLOOKUP($G209,Depreciation!$A$14:$L$18,9,FALSE)/2,IF($H209&lt;K$2,VLOOKUP($G209,Depreciation!$A$14:$L$18,9,FALSE),0))</f>
        <v>2.4351536427798831E-2</v>
      </c>
      <c r="L209" s="306">
        <f>+IF($H209=L$2,VLOOKUP($G209,Depreciation!$A$14:$L$18,10,FALSE)/2,IF($H209&lt;L$2,VLOOKUP($G209,Depreciation!$A$14:$L$18,10,FALSE),0))</f>
        <v>2.4351536427798831E-2</v>
      </c>
      <c r="M209" s="306">
        <f>+IF($H209=M$2,VLOOKUP($G209,Depreciation!$A$14:$L$18,11,FALSE)/2,IF($H209&lt;M$2,VLOOKUP($G209,Depreciation!$A$14:$L$18,11,FALSE),0))</f>
        <v>2.4351536427798831E-2</v>
      </c>
      <c r="N209" s="306">
        <f>+IF($H209=N$2,VLOOKUP($G209,Depreciation!$A$14:$L$18,12,FALSE)/2,IF($H209&lt;N$2,VLOOKUP($G209,Depreciation!$A$14:$L$18,12,FALSE),0))</f>
        <v>2.4351536427798831E-2</v>
      </c>
      <c r="O209" s="307">
        <f t="shared" si="25"/>
        <v>2624932.3444860517</v>
      </c>
      <c r="P209" s="732">
        <f>'Func Future Subs 2015'!P209</f>
        <v>0</v>
      </c>
      <c r="Q209" s="732">
        <f>'Func Future Subs 2015'!Q209</f>
        <v>1</v>
      </c>
      <c r="R209" s="732">
        <f>'Func Future Subs 2015'!R209</f>
        <v>0</v>
      </c>
      <c r="S209" s="735">
        <f t="shared" si="26"/>
        <v>0</v>
      </c>
      <c r="T209" s="735">
        <f t="shared" si="27"/>
        <v>2624932.3444860517</v>
      </c>
      <c r="U209" s="735">
        <f t="shared" si="28"/>
        <v>0</v>
      </c>
      <c r="V209" s="736">
        <f t="shared" si="29"/>
        <v>0</v>
      </c>
      <c r="W209" s="735">
        <f t="shared" si="30"/>
        <v>0</v>
      </c>
      <c r="X209" s="737">
        <f t="shared" si="31"/>
        <v>0</v>
      </c>
      <c r="Y209" s="738">
        <f t="shared" si="32"/>
        <v>2624932.3444860517</v>
      </c>
    </row>
    <row r="210" spans="1:25">
      <c r="A210" s="754" t="str">
        <f>'Func Future Subs 2015'!A210</f>
        <v>Engstorm 2060S substation</v>
      </c>
      <c r="B210" s="754">
        <f>'Func Future Subs 2015'!B210</f>
        <v>1128</v>
      </c>
      <c r="C210" s="754">
        <f>'Func Future Subs 2015'!C210</f>
        <v>144</v>
      </c>
      <c r="D210" s="754">
        <f>'Func Future Subs 2015'!D210</f>
        <v>25</v>
      </c>
      <c r="E210" s="754" t="str">
        <f>'Func Future Subs 2015'!E210</f>
        <v>2060S</v>
      </c>
      <c r="F210" s="754">
        <f>'Func Future Subs 2015'!F210</f>
        <v>25809473.341965247</v>
      </c>
      <c r="G210" s="754" t="str">
        <f>'Func Future Subs 2015'!G210</f>
        <v>ATCO</v>
      </c>
      <c r="H210" s="754">
        <f>'Func Future Subs 2015'!H210</f>
        <v>2015</v>
      </c>
      <c r="I210" s="306">
        <f>+IF($H210=I$2,VLOOKUP($G210,Depreciation!$A$14:$L$18,7,FALSE)/2,IF($H210&lt;I$2,VLOOKUP($G210,Depreciation!$A$14:$L$18,7,FALSE),0))</f>
        <v>1.221703683566912E-2</v>
      </c>
      <c r="J210" s="306">
        <f>+IF($H210=J$2,VLOOKUP($G210,Depreciation!$A$14:$L$18,8,FALSE)/2,IF($H210&lt;J$2,VLOOKUP($G210,Depreciation!$A$14:$L$18,8,FALSE),0))</f>
        <v>2.4632450501084719E-2</v>
      </c>
      <c r="K210" s="306">
        <f>+IF($H210=K$2,VLOOKUP($G210,Depreciation!$A$14:$L$18,9,FALSE)/2,IF($H210&lt;K$2,VLOOKUP($G210,Depreciation!$A$14:$L$18,9,FALSE),0))</f>
        <v>2.4351536427798831E-2</v>
      </c>
      <c r="L210" s="306">
        <f>+IF($H210=L$2,VLOOKUP($G210,Depreciation!$A$14:$L$18,10,FALSE)/2,IF($H210&lt;L$2,VLOOKUP($G210,Depreciation!$A$14:$L$18,10,FALSE),0))</f>
        <v>2.4351536427798831E-2</v>
      </c>
      <c r="M210" s="306">
        <f>+IF($H210=M$2,VLOOKUP($G210,Depreciation!$A$14:$L$18,11,FALSE)/2,IF($H210&lt;M$2,VLOOKUP($G210,Depreciation!$A$14:$L$18,11,FALSE),0))</f>
        <v>2.4351536427798831E-2</v>
      </c>
      <c r="N210" s="306">
        <f>+IF($H210=N$2,VLOOKUP($G210,Depreciation!$A$14:$L$18,12,FALSE)/2,IF($H210&lt;N$2,VLOOKUP($G210,Depreciation!$A$14:$L$18,12,FALSE),0))</f>
        <v>2.4351536427798831E-2</v>
      </c>
      <c r="O210" s="307">
        <f t="shared" si="25"/>
        <v>23093463.456386406</v>
      </c>
      <c r="P210" s="732">
        <f>'Func Future Subs 2015'!P210</f>
        <v>0</v>
      </c>
      <c r="Q210" s="732">
        <f>'Func Future Subs 2015'!Q210</f>
        <v>1</v>
      </c>
      <c r="R210" s="732">
        <f>'Func Future Subs 2015'!R210</f>
        <v>0</v>
      </c>
      <c r="S210" s="735">
        <f t="shared" si="26"/>
        <v>0</v>
      </c>
      <c r="T210" s="735">
        <f t="shared" si="27"/>
        <v>23093463.456386406</v>
      </c>
      <c r="U210" s="735">
        <f t="shared" si="28"/>
        <v>0</v>
      </c>
      <c r="V210" s="736">
        <f t="shared" si="29"/>
        <v>0</v>
      </c>
      <c r="W210" s="735">
        <f t="shared" si="30"/>
        <v>0</v>
      </c>
      <c r="X210" s="737">
        <f t="shared" si="31"/>
        <v>0</v>
      </c>
      <c r="Y210" s="738">
        <f t="shared" si="32"/>
        <v>23093463.456386406</v>
      </c>
    </row>
    <row r="211" spans="1:25">
      <c r="A211" s="754" t="str">
        <f>'Func Future Subs 2015'!A211</f>
        <v>Construction of a new switching station, Birchwood Creek 2060S 180day</v>
      </c>
      <c r="B211" s="754">
        <f>'Func Future Subs 2015'!B211</f>
        <v>1180</v>
      </c>
      <c r="C211" s="754">
        <f>'Func Future Subs 2015'!C211</f>
        <v>240</v>
      </c>
      <c r="D211" s="754">
        <f>'Func Future Subs 2015'!D211</f>
        <v>25</v>
      </c>
      <c r="E211" s="754" t="str">
        <f>'Func Future Subs 2015'!E211</f>
        <v>2060S</v>
      </c>
      <c r="F211" s="754">
        <f>'Func Future Subs 2015'!F211</f>
        <v>0</v>
      </c>
      <c r="G211" s="754" t="str">
        <f>'Func Future Subs 2015'!G211</f>
        <v>ATCO</v>
      </c>
      <c r="H211" s="754">
        <f>'Func Future Subs 2015'!H211</f>
        <v>2100</v>
      </c>
      <c r="I211" s="306">
        <f>+IF($H211=I$2,VLOOKUP($G211,Depreciation!$A$14:$L$18,7,FALSE)/2,IF($H211&lt;I$2,VLOOKUP($G211,Depreciation!$A$14:$L$18,7,FALSE),0))</f>
        <v>0</v>
      </c>
      <c r="J211" s="306">
        <f>+IF($H211=J$2,VLOOKUP($G211,Depreciation!$A$14:$L$18,8,FALSE)/2,IF($H211&lt;J$2,VLOOKUP($G211,Depreciation!$A$14:$L$18,8,FALSE),0))</f>
        <v>0</v>
      </c>
      <c r="K211" s="306">
        <f>+IF($H211=K$2,VLOOKUP($G211,Depreciation!$A$14:$L$18,9,FALSE)/2,IF($H211&lt;K$2,VLOOKUP($G211,Depreciation!$A$14:$L$18,9,FALSE),0))</f>
        <v>0</v>
      </c>
      <c r="L211" s="306">
        <f>+IF($H211=L$2,VLOOKUP($G211,Depreciation!$A$14:$L$18,10,FALSE)/2,IF($H211&lt;L$2,VLOOKUP($G211,Depreciation!$A$14:$L$18,10,FALSE),0))</f>
        <v>0</v>
      </c>
      <c r="M211" s="306">
        <f>+IF($H211=M$2,VLOOKUP($G211,Depreciation!$A$14:$L$18,11,FALSE)/2,IF($H211&lt;M$2,VLOOKUP($G211,Depreciation!$A$14:$L$18,11,FALSE),0))</f>
        <v>0</v>
      </c>
      <c r="N211" s="306">
        <f>+IF($H211=N$2,VLOOKUP($G211,Depreciation!$A$14:$L$18,12,FALSE)/2,IF($H211&lt;N$2,VLOOKUP($G211,Depreciation!$A$14:$L$18,12,FALSE),0))</f>
        <v>0</v>
      </c>
      <c r="O211" s="307">
        <f t="shared" si="25"/>
        <v>0</v>
      </c>
      <c r="P211" s="732">
        <f>'Func Future Subs 2015'!P211</f>
        <v>0</v>
      </c>
      <c r="Q211" s="732">
        <f>'Func Future Subs 2015'!Q211</f>
        <v>1</v>
      </c>
      <c r="R211" s="732">
        <f>'Func Future Subs 2015'!R211</f>
        <v>0</v>
      </c>
      <c r="S211" s="735">
        <f t="shared" si="26"/>
        <v>0</v>
      </c>
      <c r="T211" s="735">
        <f t="shared" si="27"/>
        <v>0</v>
      </c>
      <c r="U211" s="735">
        <f t="shared" si="28"/>
        <v>0</v>
      </c>
      <c r="V211" s="736">
        <f t="shared" si="29"/>
        <v>0</v>
      </c>
      <c r="W211" s="735">
        <f t="shared" si="30"/>
        <v>0</v>
      </c>
      <c r="X211" s="737">
        <f t="shared" si="31"/>
        <v>0</v>
      </c>
      <c r="Y211" s="738">
        <f t="shared" si="32"/>
        <v>0</v>
      </c>
    </row>
    <row r="212" spans="1:25">
      <c r="A212" s="754" t="str">
        <f>'Func Future Subs 2015'!A212</f>
        <v>Ells River 2079S</v>
      </c>
      <c r="B212" s="754">
        <f>'Func Future Subs 2015'!B212</f>
        <v>1180</v>
      </c>
      <c r="C212" s="754">
        <f>'Func Future Subs 2015'!C212</f>
        <v>240</v>
      </c>
      <c r="D212" s="754">
        <f>'Func Future Subs 2015'!D212</f>
        <v>240</v>
      </c>
      <c r="E212" s="754" t="str">
        <f>'Func Future Subs 2015'!E212</f>
        <v>2079S</v>
      </c>
      <c r="F212" s="754">
        <f>'Func Future Subs 2015'!F212</f>
        <v>0</v>
      </c>
      <c r="G212" s="754" t="str">
        <f>'Func Future Subs 2015'!G212</f>
        <v>ATCO</v>
      </c>
      <c r="H212" s="754">
        <f>'Func Future Subs 2015'!H212</f>
        <v>2100</v>
      </c>
      <c r="I212" s="306">
        <f>+IF($H212=I$2,VLOOKUP($G212,Depreciation!$A$14:$L$18,7,FALSE)/2,IF($H212&lt;I$2,VLOOKUP($G212,Depreciation!$A$14:$L$18,7,FALSE),0))</f>
        <v>0</v>
      </c>
      <c r="J212" s="306">
        <f>+IF($H212=J$2,VLOOKUP($G212,Depreciation!$A$14:$L$18,8,FALSE)/2,IF($H212&lt;J$2,VLOOKUP($G212,Depreciation!$A$14:$L$18,8,FALSE),0))</f>
        <v>0</v>
      </c>
      <c r="K212" s="306">
        <f>+IF($H212=K$2,VLOOKUP($G212,Depreciation!$A$14:$L$18,9,FALSE)/2,IF($H212&lt;K$2,VLOOKUP($G212,Depreciation!$A$14:$L$18,9,FALSE),0))</f>
        <v>0</v>
      </c>
      <c r="L212" s="306">
        <f>+IF($H212=L$2,VLOOKUP($G212,Depreciation!$A$14:$L$18,10,FALSE)/2,IF($H212&lt;L$2,VLOOKUP($G212,Depreciation!$A$14:$L$18,10,FALSE),0))</f>
        <v>0</v>
      </c>
      <c r="M212" s="306">
        <f>+IF($H212=M$2,VLOOKUP($G212,Depreciation!$A$14:$L$18,11,FALSE)/2,IF($H212&lt;M$2,VLOOKUP($G212,Depreciation!$A$14:$L$18,11,FALSE),0))</f>
        <v>0</v>
      </c>
      <c r="N212" s="306">
        <f>+IF($H212=N$2,VLOOKUP($G212,Depreciation!$A$14:$L$18,12,FALSE)/2,IF($H212&lt;N$2,VLOOKUP($G212,Depreciation!$A$14:$L$18,12,FALSE),0))</f>
        <v>0</v>
      </c>
      <c r="O212" s="307">
        <f t="shared" si="25"/>
        <v>0</v>
      </c>
      <c r="P212" s="732">
        <f>'Func Future Subs 2015'!P212</f>
        <v>0</v>
      </c>
      <c r="Q212" s="732">
        <f>'Func Future Subs 2015'!Q212</f>
        <v>0</v>
      </c>
      <c r="R212" s="732">
        <f>'Func Future Subs 2015'!R212</f>
        <v>1</v>
      </c>
      <c r="S212" s="735">
        <f t="shared" si="26"/>
        <v>0</v>
      </c>
      <c r="T212" s="735">
        <f t="shared" si="27"/>
        <v>0</v>
      </c>
      <c r="U212" s="735">
        <f t="shared" si="28"/>
        <v>0</v>
      </c>
      <c r="V212" s="736">
        <f t="shared" si="29"/>
        <v>0</v>
      </c>
      <c r="W212" s="735">
        <f t="shared" si="30"/>
        <v>0</v>
      </c>
      <c r="X212" s="737">
        <f t="shared" si="31"/>
        <v>0</v>
      </c>
      <c r="Y212" s="738">
        <f t="shared" si="32"/>
        <v>0</v>
      </c>
    </row>
    <row r="213" spans="1:25">
      <c r="A213" s="754" t="str">
        <f>'Func Future Subs 2015'!A213</f>
        <v>Modify Dover 888S substation</v>
      </c>
      <c r="B213" s="754">
        <f>'Func Future Subs 2015'!B213</f>
        <v>1180</v>
      </c>
      <c r="C213" s="754">
        <f>'Func Future Subs 2015'!C213</f>
        <v>240</v>
      </c>
      <c r="D213" s="754">
        <f>'Func Future Subs 2015'!D213</f>
        <v>240</v>
      </c>
      <c r="E213" s="754" t="str">
        <f>'Func Future Subs 2015'!E213</f>
        <v>888S</v>
      </c>
      <c r="F213" s="754">
        <f>'Func Future Subs 2015'!F213</f>
        <v>0</v>
      </c>
      <c r="G213" s="754" t="str">
        <f>'Func Future Subs 2015'!G213</f>
        <v>ATCO</v>
      </c>
      <c r="H213" s="754">
        <f>'Func Future Subs 2015'!H213</f>
        <v>2100</v>
      </c>
      <c r="I213" s="306">
        <f>+IF($H213=I$2,VLOOKUP($G213,Depreciation!$A$14:$L$18,7,FALSE)/2,IF($H213&lt;I$2,VLOOKUP($G213,Depreciation!$A$14:$L$18,7,FALSE),0))</f>
        <v>0</v>
      </c>
      <c r="J213" s="306">
        <f>+IF($H213=J$2,VLOOKUP($G213,Depreciation!$A$14:$L$18,8,FALSE)/2,IF($H213&lt;J$2,VLOOKUP($G213,Depreciation!$A$14:$L$18,8,FALSE),0))</f>
        <v>0</v>
      </c>
      <c r="K213" s="306">
        <f>+IF($H213=K$2,VLOOKUP($G213,Depreciation!$A$14:$L$18,9,FALSE)/2,IF($H213&lt;K$2,VLOOKUP($G213,Depreciation!$A$14:$L$18,9,FALSE),0))</f>
        <v>0</v>
      </c>
      <c r="L213" s="306">
        <f>+IF($H213=L$2,VLOOKUP($G213,Depreciation!$A$14:$L$18,10,FALSE)/2,IF($H213&lt;L$2,VLOOKUP($G213,Depreciation!$A$14:$L$18,10,FALSE),0))</f>
        <v>0</v>
      </c>
      <c r="M213" s="306">
        <f>+IF($H213=M$2,VLOOKUP($G213,Depreciation!$A$14:$L$18,11,FALSE)/2,IF($H213&lt;M$2,VLOOKUP($G213,Depreciation!$A$14:$L$18,11,FALSE),0))</f>
        <v>0</v>
      </c>
      <c r="N213" s="306">
        <f>+IF($H213=N$2,VLOOKUP($G213,Depreciation!$A$14:$L$18,12,FALSE)/2,IF($H213&lt;N$2,VLOOKUP($G213,Depreciation!$A$14:$L$18,12,FALSE),0))</f>
        <v>0</v>
      </c>
      <c r="O213" s="307">
        <f t="shared" si="25"/>
        <v>0</v>
      </c>
      <c r="P213" s="732">
        <f>'Func Future Subs 2015'!P213</f>
        <v>0</v>
      </c>
      <c r="Q213" s="732">
        <f>'Func Future Subs 2015'!Q213</f>
        <v>0</v>
      </c>
      <c r="R213" s="732">
        <f>'Func Future Subs 2015'!R213</f>
        <v>1</v>
      </c>
      <c r="S213" s="735">
        <f t="shared" si="26"/>
        <v>0</v>
      </c>
      <c r="T213" s="735">
        <f t="shared" si="27"/>
        <v>0</v>
      </c>
      <c r="U213" s="735">
        <f t="shared" si="28"/>
        <v>0</v>
      </c>
      <c r="V213" s="736">
        <f t="shared" si="29"/>
        <v>0</v>
      </c>
      <c r="W213" s="735">
        <f t="shared" si="30"/>
        <v>0</v>
      </c>
      <c r="X213" s="737">
        <f t="shared" si="31"/>
        <v>0</v>
      </c>
      <c r="Y213" s="738">
        <f t="shared" si="32"/>
        <v>0</v>
      </c>
    </row>
    <row r="214" spans="1:25">
      <c r="A214" s="754" t="str">
        <f>'Func Future Subs 2015'!A214</f>
        <v>Modify Joslyn 849S substation</v>
      </c>
      <c r="B214" s="754">
        <f>'Func Future Subs 2015'!B214</f>
        <v>1180</v>
      </c>
      <c r="C214" s="754">
        <f>'Func Future Subs 2015'!C214</f>
        <v>240</v>
      </c>
      <c r="D214" s="754">
        <f>'Func Future Subs 2015'!D214</f>
        <v>25</v>
      </c>
      <c r="E214" s="754" t="str">
        <f>'Func Future Subs 2015'!E214</f>
        <v>849S</v>
      </c>
      <c r="F214" s="754">
        <f>'Func Future Subs 2015'!F214</f>
        <v>0</v>
      </c>
      <c r="G214" s="754" t="str">
        <f>'Func Future Subs 2015'!G214</f>
        <v>ATCO</v>
      </c>
      <c r="H214" s="754">
        <f>'Func Future Subs 2015'!H214</f>
        <v>2100</v>
      </c>
      <c r="I214" s="306">
        <f>+IF($H214=I$2,VLOOKUP($G214,Depreciation!$A$14:$L$18,7,FALSE)/2,IF($H214&lt;I$2,VLOOKUP($G214,Depreciation!$A$14:$L$18,7,FALSE),0))</f>
        <v>0</v>
      </c>
      <c r="J214" s="306">
        <f>+IF($H214=J$2,VLOOKUP($G214,Depreciation!$A$14:$L$18,8,FALSE)/2,IF($H214&lt;J$2,VLOOKUP($G214,Depreciation!$A$14:$L$18,8,FALSE),0))</f>
        <v>0</v>
      </c>
      <c r="K214" s="306">
        <f>+IF($H214=K$2,VLOOKUP($G214,Depreciation!$A$14:$L$18,9,FALSE)/2,IF($H214&lt;K$2,VLOOKUP($G214,Depreciation!$A$14:$L$18,9,FALSE),0))</f>
        <v>0</v>
      </c>
      <c r="L214" s="306">
        <f>+IF($H214=L$2,VLOOKUP($G214,Depreciation!$A$14:$L$18,10,FALSE)/2,IF($H214&lt;L$2,VLOOKUP($G214,Depreciation!$A$14:$L$18,10,FALSE),0))</f>
        <v>0</v>
      </c>
      <c r="M214" s="306">
        <f>+IF($H214=M$2,VLOOKUP($G214,Depreciation!$A$14:$L$18,11,FALSE)/2,IF($H214&lt;M$2,VLOOKUP($G214,Depreciation!$A$14:$L$18,11,FALSE),0))</f>
        <v>0</v>
      </c>
      <c r="N214" s="306">
        <f>+IF($H214=N$2,VLOOKUP($G214,Depreciation!$A$14:$L$18,12,FALSE)/2,IF($H214&lt;N$2,VLOOKUP($G214,Depreciation!$A$14:$L$18,12,FALSE),0))</f>
        <v>0</v>
      </c>
      <c r="O214" s="307">
        <f t="shared" si="25"/>
        <v>0</v>
      </c>
      <c r="P214" s="732">
        <f>'Func Future Subs 2015'!P214</f>
        <v>0</v>
      </c>
      <c r="Q214" s="732">
        <f>'Func Future Subs 2015'!Q214</f>
        <v>1</v>
      </c>
      <c r="R214" s="732">
        <f>'Func Future Subs 2015'!R214</f>
        <v>0</v>
      </c>
      <c r="S214" s="735">
        <f t="shared" si="26"/>
        <v>0</v>
      </c>
      <c r="T214" s="735">
        <f t="shared" si="27"/>
        <v>0</v>
      </c>
      <c r="U214" s="735">
        <f t="shared" si="28"/>
        <v>0</v>
      </c>
      <c r="V214" s="736">
        <f t="shared" si="29"/>
        <v>0</v>
      </c>
      <c r="W214" s="735">
        <f t="shared" si="30"/>
        <v>0</v>
      </c>
      <c r="X214" s="737">
        <f t="shared" si="31"/>
        <v>0</v>
      </c>
      <c r="Y214" s="738">
        <f t="shared" si="32"/>
        <v>0</v>
      </c>
    </row>
    <row r="215" spans="1:25">
      <c r="A215" s="754" t="str">
        <f>'Func Future Subs 2015'!A215</f>
        <v>New Ells River 2079S switching station</v>
      </c>
      <c r="B215" s="754">
        <f>'Func Future Subs 2015'!B215</f>
        <v>1180</v>
      </c>
      <c r="C215" s="754">
        <f>'Func Future Subs 2015'!C215</f>
        <v>240</v>
      </c>
      <c r="D215" s="754">
        <f>'Func Future Subs 2015'!D215</f>
        <v>240</v>
      </c>
      <c r="E215" s="754" t="str">
        <f>'Func Future Subs 2015'!E215</f>
        <v>2079S</v>
      </c>
      <c r="F215" s="754">
        <f>'Func Future Subs 2015'!F215</f>
        <v>0</v>
      </c>
      <c r="G215" s="754" t="str">
        <f>'Func Future Subs 2015'!G215</f>
        <v>ATCO</v>
      </c>
      <c r="H215" s="754">
        <f>'Func Future Subs 2015'!H215</f>
        <v>2100</v>
      </c>
      <c r="I215" s="306">
        <f>+IF($H215=I$2,VLOOKUP($G215,Depreciation!$A$14:$L$18,7,FALSE)/2,IF($H215&lt;I$2,VLOOKUP($G215,Depreciation!$A$14:$L$18,7,FALSE),0))</f>
        <v>0</v>
      </c>
      <c r="J215" s="306">
        <f>+IF($H215=J$2,VLOOKUP($G215,Depreciation!$A$14:$L$18,8,FALSE)/2,IF($H215&lt;J$2,VLOOKUP($G215,Depreciation!$A$14:$L$18,8,FALSE),0))</f>
        <v>0</v>
      </c>
      <c r="K215" s="306">
        <f>+IF($H215=K$2,VLOOKUP($G215,Depreciation!$A$14:$L$18,9,FALSE)/2,IF($H215&lt;K$2,VLOOKUP($G215,Depreciation!$A$14:$L$18,9,FALSE),0))</f>
        <v>0</v>
      </c>
      <c r="L215" s="306">
        <f>+IF($H215=L$2,VLOOKUP($G215,Depreciation!$A$14:$L$18,10,FALSE)/2,IF($H215&lt;L$2,VLOOKUP($G215,Depreciation!$A$14:$L$18,10,FALSE),0))</f>
        <v>0</v>
      </c>
      <c r="M215" s="306">
        <f>+IF($H215=M$2,VLOOKUP($G215,Depreciation!$A$14:$L$18,11,FALSE)/2,IF($H215&lt;M$2,VLOOKUP($G215,Depreciation!$A$14:$L$18,11,FALSE),0))</f>
        <v>0</v>
      </c>
      <c r="N215" s="306">
        <f>+IF($H215=N$2,VLOOKUP($G215,Depreciation!$A$14:$L$18,12,FALSE)/2,IF($H215&lt;N$2,VLOOKUP($G215,Depreciation!$A$14:$L$18,12,FALSE),0))</f>
        <v>0</v>
      </c>
      <c r="O215" s="307">
        <f t="shared" si="25"/>
        <v>0</v>
      </c>
      <c r="P215" s="732">
        <f>'Func Future Subs 2015'!P215</f>
        <v>0</v>
      </c>
      <c r="Q215" s="732">
        <f>'Func Future Subs 2015'!Q215</f>
        <v>0</v>
      </c>
      <c r="R215" s="732">
        <f>'Func Future Subs 2015'!R215</f>
        <v>1</v>
      </c>
      <c r="S215" s="735">
        <f t="shared" si="26"/>
        <v>0</v>
      </c>
      <c r="T215" s="735">
        <f t="shared" si="27"/>
        <v>0</v>
      </c>
      <c r="U215" s="735">
        <f t="shared" si="28"/>
        <v>0</v>
      </c>
      <c r="V215" s="736">
        <f t="shared" si="29"/>
        <v>0</v>
      </c>
      <c r="W215" s="735">
        <f t="shared" si="30"/>
        <v>0</v>
      </c>
      <c r="X215" s="737">
        <f t="shared" si="31"/>
        <v>0</v>
      </c>
      <c r="Y215" s="738">
        <f t="shared" si="32"/>
        <v>0</v>
      </c>
    </row>
    <row r="216" spans="1:25">
      <c r="A216" s="754" t="str">
        <f>'Func Future Subs 2015'!A216</f>
        <v>Dawes</v>
      </c>
      <c r="B216" s="754">
        <f>'Func Future Subs 2015'!B216</f>
        <v>1186</v>
      </c>
      <c r="C216" s="754">
        <f>'Func Future Subs 2015'!C216</f>
        <v>240</v>
      </c>
      <c r="D216" s="754">
        <f>'Func Future Subs 2015'!D216</f>
        <v>0</v>
      </c>
      <c r="E216" s="754">
        <f>'Func Future Subs 2015'!E216</f>
        <v>0</v>
      </c>
      <c r="F216" s="754">
        <f>'Func Future Subs 2015'!F216</f>
        <v>75896.276001329621</v>
      </c>
      <c r="G216" s="754" t="str">
        <f>'Func Future Subs 2015'!G216</f>
        <v>ATCO</v>
      </c>
      <c r="H216" s="754">
        <f>'Func Future Subs 2015'!H216</f>
        <v>2018</v>
      </c>
      <c r="I216" s="306">
        <f>+IF($H216=I$2,VLOOKUP($G216,Depreciation!$A$14:$L$18,7,FALSE)/2,IF($H216&lt;I$2,VLOOKUP($G216,Depreciation!$A$14:$L$18,7,FALSE),0))</f>
        <v>0</v>
      </c>
      <c r="J216" s="306">
        <f>+IF($H216=J$2,VLOOKUP($G216,Depreciation!$A$14:$L$18,8,FALSE)/2,IF($H216&lt;J$2,VLOOKUP($G216,Depreciation!$A$14:$L$18,8,FALSE),0))</f>
        <v>0</v>
      </c>
      <c r="K216" s="306">
        <f>+IF($H216=K$2,VLOOKUP($G216,Depreciation!$A$14:$L$18,9,FALSE)/2,IF($H216&lt;K$2,VLOOKUP($G216,Depreciation!$A$14:$L$18,9,FALSE),0))</f>
        <v>0</v>
      </c>
      <c r="L216" s="306">
        <f>+IF($H216=L$2,VLOOKUP($G216,Depreciation!$A$14:$L$18,10,FALSE)/2,IF($H216&lt;L$2,VLOOKUP($G216,Depreciation!$A$14:$L$18,10,FALSE),0))</f>
        <v>1.2175768213899416E-2</v>
      </c>
      <c r="M216" s="306">
        <f>+IF($H216=M$2,VLOOKUP($G216,Depreciation!$A$14:$L$18,11,FALSE)/2,IF($H216&lt;M$2,VLOOKUP($G216,Depreciation!$A$14:$L$18,11,FALSE),0))</f>
        <v>2.4351536427798831E-2</v>
      </c>
      <c r="N216" s="306">
        <f>+IF($H216=N$2,VLOOKUP($G216,Depreciation!$A$14:$L$18,12,FALSE)/2,IF($H216&lt;N$2,VLOOKUP($G216,Depreciation!$A$14:$L$18,12,FALSE),0))</f>
        <v>2.4351536427798831E-2</v>
      </c>
      <c r="O216" s="307">
        <f t="shared" si="25"/>
        <v>73146.492751034675</v>
      </c>
      <c r="P216" s="732">
        <f>'Func Future Subs 2015'!P216</f>
        <v>0</v>
      </c>
      <c r="Q216" s="732">
        <f>'Func Future Subs 2015'!Q216</f>
        <v>0</v>
      </c>
      <c r="R216" s="732">
        <f>'Func Future Subs 2015'!R216</f>
        <v>1</v>
      </c>
      <c r="S216" s="735">
        <f t="shared" si="26"/>
        <v>0</v>
      </c>
      <c r="T216" s="735">
        <f t="shared" si="27"/>
        <v>0</v>
      </c>
      <c r="U216" s="735">
        <f t="shared" si="28"/>
        <v>73146.492751034675</v>
      </c>
      <c r="V216" s="736">
        <f t="shared" si="29"/>
        <v>73146.492751034675</v>
      </c>
      <c r="W216" s="735">
        <f t="shared" si="30"/>
        <v>0</v>
      </c>
      <c r="X216" s="737">
        <f t="shared" si="31"/>
        <v>0</v>
      </c>
      <c r="Y216" s="738">
        <f t="shared" si="32"/>
        <v>0</v>
      </c>
    </row>
    <row r="217" spans="1:25">
      <c r="A217" s="754" t="str">
        <f>'Func Future Subs 2015'!A217</f>
        <v>Dover</v>
      </c>
      <c r="B217" s="754">
        <f>'Func Future Subs 2015'!B217</f>
        <v>1186</v>
      </c>
      <c r="C217" s="754">
        <f>'Func Future Subs 2015'!C217</f>
        <v>240</v>
      </c>
      <c r="D217" s="754">
        <f>'Func Future Subs 2015'!D217</f>
        <v>0</v>
      </c>
      <c r="E217" s="754">
        <f>'Func Future Subs 2015'!E217</f>
        <v>0</v>
      </c>
      <c r="F217" s="754">
        <f>'Func Future Subs 2015'!F217</f>
        <v>107010.66953091667</v>
      </c>
      <c r="G217" s="754" t="str">
        <f>'Func Future Subs 2015'!G217</f>
        <v>ATCO</v>
      </c>
      <c r="H217" s="754">
        <f>'Func Future Subs 2015'!H217</f>
        <v>2018</v>
      </c>
      <c r="I217" s="306">
        <f>+IF($H217=I$2,VLOOKUP($G217,Depreciation!$A$14:$L$18,7,FALSE)/2,IF($H217&lt;I$2,VLOOKUP($G217,Depreciation!$A$14:$L$18,7,FALSE),0))</f>
        <v>0</v>
      </c>
      <c r="J217" s="306">
        <f>+IF($H217=J$2,VLOOKUP($G217,Depreciation!$A$14:$L$18,8,FALSE)/2,IF($H217&lt;J$2,VLOOKUP($G217,Depreciation!$A$14:$L$18,8,FALSE),0))</f>
        <v>0</v>
      </c>
      <c r="K217" s="306">
        <f>+IF($H217=K$2,VLOOKUP($G217,Depreciation!$A$14:$L$18,9,FALSE)/2,IF($H217&lt;K$2,VLOOKUP($G217,Depreciation!$A$14:$L$18,9,FALSE),0))</f>
        <v>0</v>
      </c>
      <c r="L217" s="306">
        <f>+IF($H217=L$2,VLOOKUP($G217,Depreciation!$A$14:$L$18,10,FALSE)/2,IF($H217&lt;L$2,VLOOKUP($G217,Depreciation!$A$14:$L$18,10,FALSE),0))</f>
        <v>1.2175768213899416E-2</v>
      </c>
      <c r="M217" s="306">
        <f>+IF($H217=M$2,VLOOKUP($G217,Depreciation!$A$14:$L$18,11,FALSE)/2,IF($H217&lt;M$2,VLOOKUP($G217,Depreciation!$A$14:$L$18,11,FALSE),0))</f>
        <v>2.4351536427798831E-2</v>
      </c>
      <c r="N217" s="306">
        <f>+IF($H217=N$2,VLOOKUP($G217,Depreciation!$A$14:$L$18,12,FALSE)/2,IF($H217&lt;N$2,VLOOKUP($G217,Depreciation!$A$14:$L$18,12,FALSE),0))</f>
        <v>2.4351536427798831E-2</v>
      </c>
      <c r="O217" s="307">
        <f t="shared" si="25"/>
        <v>103133.58672551253</v>
      </c>
      <c r="P217" s="732">
        <f>'Func Future Subs 2015'!P217</f>
        <v>0</v>
      </c>
      <c r="Q217" s="732">
        <f>'Func Future Subs 2015'!Q217</f>
        <v>0</v>
      </c>
      <c r="R217" s="732">
        <f>'Func Future Subs 2015'!R217</f>
        <v>1</v>
      </c>
      <c r="S217" s="735">
        <f t="shared" si="26"/>
        <v>0</v>
      </c>
      <c r="T217" s="735">
        <f t="shared" si="27"/>
        <v>0</v>
      </c>
      <c r="U217" s="735">
        <f t="shared" si="28"/>
        <v>103133.58672551253</v>
      </c>
      <c r="V217" s="736">
        <f t="shared" si="29"/>
        <v>103133.58672551253</v>
      </c>
      <c r="W217" s="735">
        <f t="shared" si="30"/>
        <v>0</v>
      </c>
      <c r="X217" s="737">
        <f t="shared" si="31"/>
        <v>0</v>
      </c>
      <c r="Y217" s="738">
        <f t="shared" si="32"/>
        <v>0</v>
      </c>
    </row>
    <row r="218" spans="1:25">
      <c r="A218" s="754" t="str">
        <f>'Func Future Subs 2015'!A218</f>
        <v>Ruth Lake sub</v>
      </c>
      <c r="B218" s="754">
        <f>'Func Future Subs 2015'!B218</f>
        <v>1186</v>
      </c>
      <c r="C218" s="754">
        <f>'Func Future Subs 2015'!C218</f>
        <v>240</v>
      </c>
      <c r="D218" s="754">
        <f>'Func Future Subs 2015'!D218</f>
        <v>0</v>
      </c>
      <c r="E218" s="754">
        <f>'Func Future Subs 2015'!E218</f>
        <v>0</v>
      </c>
      <c r="F218" s="754">
        <f>'Func Future Subs 2015'!F218</f>
        <v>75646.146350743249</v>
      </c>
      <c r="G218" s="754" t="str">
        <f>'Func Future Subs 2015'!G218</f>
        <v>ATCO</v>
      </c>
      <c r="H218" s="754">
        <f>'Func Future Subs 2015'!H218</f>
        <v>2018</v>
      </c>
      <c r="I218" s="306">
        <f>+IF($H218=I$2,VLOOKUP($G218,Depreciation!$A$14:$L$18,7,FALSE)/2,IF($H218&lt;I$2,VLOOKUP($G218,Depreciation!$A$14:$L$18,7,FALSE),0))</f>
        <v>0</v>
      </c>
      <c r="J218" s="306">
        <f>+IF($H218=J$2,VLOOKUP($G218,Depreciation!$A$14:$L$18,8,FALSE)/2,IF($H218&lt;J$2,VLOOKUP($G218,Depreciation!$A$14:$L$18,8,FALSE),0))</f>
        <v>0</v>
      </c>
      <c r="K218" s="306">
        <f>+IF($H218=K$2,VLOOKUP($G218,Depreciation!$A$14:$L$18,9,FALSE)/2,IF($H218&lt;K$2,VLOOKUP($G218,Depreciation!$A$14:$L$18,9,FALSE),0))</f>
        <v>0</v>
      </c>
      <c r="L218" s="306">
        <f>+IF($H218=L$2,VLOOKUP($G218,Depreciation!$A$14:$L$18,10,FALSE)/2,IF($H218&lt;L$2,VLOOKUP($G218,Depreciation!$A$14:$L$18,10,FALSE),0))</f>
        <v>1.2175768213899416E-2</v>
      </c>
      <c r="M218" s="306">
        <f>+IF($H218=M$2,VLOOKUP($G218,Depreciation!$A$14:$L$18,11,FALSE)/2,IF($H218&lt;M$2,VLOOKUP($G218,Depreciation!$A$14:$L$18,11,FALSE),0))</f>
        <v>2.4351536427798831E-2</v>
      </c>
      <c r="N218" s="306">
        <f>+IF($H218=N$2,VLOOKUP($G218,Depreciation!$A$14:$L$18,12,FALSE)/2,IF($H218&lt;N$2,VLOOKUP($G218,Depreciation!$A$14:$L$18,12,FALSE),0))</f>
        <v>2.4351536427798831E-2</v>
      </c>
      <c r="O218" s="307">
        <f t="shared" si="25"/>
        <v>72905.425499288162</v>
      </c>
      <c r="P218" s="732">
        <f>'Func Future Subs 2015'!P218</f>
        <v>0</v>
      </c>
      <c r="Q218" s="732">
        <f>'Func Future Subs 2015'!Q218</f>
        <v>0</v>
      </c>
      <c r="R218" s="732">
        <f>'Func Future Subs 2015'!R218</f>
        <v>1</v>
      </c>
      <c r="S218" s="735">
        <f t="shared" si="26"/>
        <v>0</v>
      </c>
      <c r="T218" s="735">
        <f t="shared" si="27"/>
        <v>0</v>
      </c>
      <c r="U218" s="735">
        <f t="shared" si="28"/>
        <v>72905.425499288162</v>
      </c>
      <c r="V218" s="736">
        <f t="shared" si="29"/>
        <v>72905.425499288162</v>
      </c>
      <c r="W218" s="735">
        <f t="shared" si="30"/>
        <v>0</v>
      </c>
      <c r="X218" s="737">
        <f t="shared" si="31"/>
        <v>0</v>
      </c>
      <c r="Y218" s="738">
        <f t="shared" si="32"/>
        <v>0</v>
      </c>
    </row>
    <row r="219" spans="1:25">
      <c r="A219" s="754" t="str">
        <f>'Func Future Subs 2015'!A219</f>
        <v>Thickwood Hills 951S substation</v>
      </c>
      <c r="B219" s="754">
        <f>'Func Future Subs 2015'!B219</f>
        <v>1186</v>
      </c>
      <c r="C219" s="754">
        <f>'Func Future Subs 2015'!C219</f>
        <v>240</v>
      </c>
      <c r="D219" s="754">
        <f>'Func Future Subs 2015'!D219</f>
        <v>240</v>
      </c>
      <c r="E219" s="754" t="str">
        <f>'Func Future Subs 2015'!E219</f>
        <v>951S</v>
      </c>
      <c r="F219" s="754">
        <f>'Func Future Subs 2015'!F219</f>
        <v>36719404.285963841</v>
      </c>
      <c r="G219" s="754" t="str">
        <f>'Func Future Subs 2015'!G219</f>
        <v>ATCO</v>
      </c>
      <c r="H219" s="754">
        <f>'Func Future Subs 2015'!H219</f>
        <v>2018</v>
      </c>
      <c r="I219" s="306">
        <f>+IF($H219=I$2,VLOOKUP($G219,Depreciation!$A$14:$L$18,7,FALSE)/2,IF($H219&lt;I$2,VLOOKUP($G219,Depreciation!$A$14:$L$18,7,FALSE),0))</f>
        <v>0</v>
      </c>
      <c r="J219" s="306">
        <f>+IF($H219=J$2,VLOOKUP($G219,Depreciation!$A$14:$L$18,8,FALSE)/2,IF($H219&lt;J$2,VLOOKUP($G219,Depreciation!$A$14:$L$18,8,FALSE),0))</f>
        <v>0</v>
      </c>
      <c r="K219" s="306">
        <f>+IF($H219=K$2,VLOOKUP($G219,Depreciation!$A$14:$L$18,9,FALSE)/2,IF($H219&lt;K$2,VLOOKUP($G219,Depreciation!$A$14:$L$18,9,FALSE),0))</f>
        <v>0</v>
      </c>
      <c r="L219" s="306">
        <f>+IF($H219=L$2,VLOOKUP($G219,Depreciation!$A$14:$L$18,10,FALSE)/2,IF($H219&lt;L$2,VLOOKUP($G219,Depreciation!$A$14:$L$18,10,FALSE),0))</f>
        <v>1.2175768213899416E-2</v>
      </c>
      <c r="M219" s="306">
        <f>+IF($H219=M$2,VLOOKUP($G219,Depreciation!$A$14:$L$18,11,FALSE)/2,IF($H219&lt;M$2,VLOOKUP($G219,Depreciation!$A$14:$L$18,11,FALSE),0))</f>
        <v>2.4351536427798831E-2</v>
      </c>
      <c r="N219" s="306">
        <f>+IF($H219=N$2,VLOOKUP($G219,Depreciation!$A$14:$L$18,12,FALSE)/2,IF($H219&lt;N$2,VLOOKUP($G219,Depreciation!$A$14:$L$18,12,FALSE),0))</f>
        <v>2.4351536427798831E-2</v>
      </c>
      <c r="O219" s="307">
        <f t="shared" si="25"/>
        <v>35389030.673632942</v>
      </c>
      <c r="P219" s="732">
        <f>'Func Future Subs 2015'!P219</f>
        <v>0</v>
      </c>
      <c r="Q219" s="732">
        <f>'Func Future Subs 2015'!Q219</f>
        <v>0</v>
      </c>
      <c r="R219" s="732">
        <f>'Func Future Subs 2015'!R219</f>
        <v>1</v>
      </c>
      <c r="S219" s="735">
        <f t="shared" si="26"/>
        <v>0</v>
      </c>
      <c r="T219" s="735">
        <f t="shared" si="27"/>
        <v>0</v>
      </c>
      <c r="U219" s="735">
        <f t="shared" si="28"/>
        <v>35389030.673632942</v>
      </c>
      <c r="V219" s="736">
        <f t="shared" si="29"/>
        <v>0</v>
      </c>
      <c r="W219" s="735">
        <f t="shared" si="30"/>
        <v>35389030.673632942</v>
      </c>
      <c r="X219" s="737">
        <f t="shared" si="31"/>
        <v>0</v>
      </c>
      <c r="Y219" s="738">
        <f t="shared" si="32"/>
        <v>0</v>
      </c>
    </row>
    <row r="220" spans="1:25">
      <c r="A220" s="754" t="str">
        <f>'Func Future Subs 2015'!A220</f>
        <v>Thickwood Hills 951S substation_SVS</v>
      </c>
      <c r="B220" s="754">
        <f>'Func Future Subs 2015'!B220</f>
        <v>1186</v>
      </c>
      <c r="C220" s="754">
        <f>'Func Future Subs 2015'!C220</f>
        <v>240</v>
      </c>
      <c r="D220" s="754">
        <f>'Func Future Subs 2015'!D220</f>
        <v>240</v>
      </c>
      <c r="E220" s="754" t="str">
        <f>'Func Future Subs 2015'!E220</f>
        <v>951S</v>
      </c>
      <c r="F220" s="754">
        <f>'Func Future Subs 2015'!F220</f>
        <v>35229814.262423903</v>
      </c>
      <c r="G220" s="754" t="str">
        <f>'Func Future Subs 2015'!G220</f>
        <v>ATCO</v>
      </c>
      <c r="H220" s="754">
        <f>'Func Future Subs 2015'!H220</f>
        <v>2018</v>
      </c>
      <c r="I220" s="306">
        <f>+IF($H220=I$2,VLOOKUP($G220,Depreciation!$A$14:$L$18,7,FALSE)/2,IF($H220&lt;I$2,VLOOKUP($G220,Depreciation!$A$14:$L$18,7,FALSE),0))</f>
        <v>0</v>
      </c>
      <c r="J220" s="306">
        <f>+IF($H220=J$2,VLOOKUP($G220,Depreciation!$A$14:$L$18,8,FALSE)/2,IF($H220&lt;J$2,VLOOKUP($G220,Depreciation!$A$14:$L$18,8,FALSE),0))</f>
        <v>0</v>
      </c>
      <c r="K220" s="306">
        <f>+IF($H220=K$2,VLOOKUP($G220,Depreciation!$A$14:$L$18,9,FALSE)/2,IF($H220&lt;K$2,VLOOKUP($G220,Depreciation!$A$14:$L$18,9,FALSE),0))</f>
        <v>0</v>
      </c>
      <c r="L220" s="306">
        <f>+IF($H220=L$2,VLOOKUP($G220,Depreciation!$A$14:$L$18,10,FALSE)/2,IF($H220&lt;L$2,VLOOKUP($G220,Depreciation!$A$14:$L$18,10,FALSE),0))</f>
        <v>1.2175768213899416E-2</v>
      </c>
      <c r="M220" s="306">
        <f>+IF($H220=M$2,VLOOKUP($G220,Depreciation!$A$14:$L$18,11,FALSE)/2,IF($H220&lt;M$2,VLOOKUP($G220,Depreciation!$A$14:$L$18,11,FALSE),0))</f>
        <v>2.4351536427798831E-2</v>
      </c>
      <c r="N220" s="306">
        <f>+IF($H220=N$2,VLOOKUP($G220,Depreciation!$A$14:$L$18,12,FALSE)/2,IF($H220&lt;N$2,VLOOKUP($G220,Depreciation!$A$14:$L$18,12,FALSE),0))</f>
        <v>2.4351536427798831E-2</v>
      </c>
      <c r="O220" s="307">
        <f t="shared" si="25"/>
        <v>33953409.697223388</v>
      </c>
      <c r="P220" s="732">
        <f>'Func Future Subs 2015'!P220</f>
        <v>0</v>
      </c>
      <c r="Q220" s="732">
        <f>'Func Future Subs 2015'!Q220</f>
        <v>0</v>
      </c>
      <c r="R220" s="732">
        <f>'Func Future Subs 2015'!R220</f>
        <v>1</v>
      </c>
      <c r="S220" s="735">
        <f t="shared" si="26"/>
        <v>0</v>
      </c>
      <c r="T220" s="735">
        <f t="shared" si="27"/>
        <v>0</v>
      </c>
      <c r="U220" s="735">
        <f t="shared" si="28"/>
        <v>33953409.697223388</v>
      </c>
      <c r="V220" s="736">
        <f t="shared" si="29"/>
        <v>0</v>
      </c>
      <c r="W220" s="735">
        <f t="shared" si="30"/>
        <v>33953409.697223388</v>
      </c>
      <c r="X220" s="737">
        <f t="shared" si="31"/>
        <v>0</v>
      </c>
      <c r="Y220" s="738">
        <f t="shared" si="32"/>
        <v>0</v>
      </c>
    </row>
    <row r="221" spans="1:25">
      <c r="A221" s="754" t="str">
        <f>'Func Future Subs 2015'!A221</f>
        <v>Steele 2016S</v>
      </c>
      <c r="B221" s="754">
        <f>'Func Future Subs 2015'!B221</f>
        <v>1250</v>
      </c>
      <c r="C221" s="754">
        <f>'Func Future Subs 2015'!C221</f>
        <v>144</v>
      </c>
      <c r="D221" s="754">
        <f>'Func Future Subs 2015'!D221</f>
        <v>144</v>
      </c>
      <c r="E221" s="754" t="str">
        <f>'Func Future Subs 2015'!E221</f>
        <v>2016S</v>
      </c>
      <c r="F221" s="754">
        <f>'Func Future Subs 2015'!F221</f>
        <v>7531332.8673087647</v>
      </c>
      <c r="G221" s="754" t="str">
        <f>'Func Future Subs 2015'!G221</f>
        <v>ATCO</v>
      </c>
      <c r="H221" s="754">
        <f>'Func Future Subs 2015'!H221</f>
        <v>2017</v>
      </c>
      <c r="I221" s="306">
        <f>+IF($H221=I$2,VLOOKUP($G221,Depreciation!$A$14:$L$18,7,FALSE)/2,IF($H221&lt;I$2,VLOOKUP($G221,Depreciation!$A$14:$L$18,7,FALSE),0))</f>
        <v>0</v>
      </c>
      <c r="J221" s="306">
        <f>+IF($H221=J$2,VLOOKUP($G221,Depreciation!$A$14:$L$18,8,FALSE)/2,IF($H221&lt;J$2,VLOOKUP($G221,Depreciation!$A$14:$L$18,8,FALSE),0))</f>
        <v>0</v>
      </c>
      <c r="K221" s="306">
        <f>+IF($H221=K$2,VLOOKUP($G221,Depreciation!$A$14:$L$18,9,FALSE)/2,IF($H221&lt;K$2,VLOOKUP($G221,Depreciation!$A$14:$L$18,9,FALSE),0))</f>
        <v>1.2175768213899416E-2</v>
      </c>
      <c r="L221" s="306">
        <f>+IF($H221=L$2,VLOOKUP($G221,Depreciation!$A$14:$L$18,10,FALSE)/2,IF($H221&lt;L$2,VLOOKUP($G221,Depreciation!$A$14:$L$18,10,FALSE),0))</f>
        <v>2.4351536427798831E-2</v>
      </c>
      <c r="M221" s="306">
        <f>+IF($H221=M$2,VLOOKUP($G221,Depreciation!$A$14:$L$18,11,FALSE)/2,IF($H221&lt;M$2,VLOOKUP($G221,Depreciation!$A$14:$L$18,11,FALSE),0))</f>
        <v>2.4351536427798831E-2</v>
      </c>
      <c r="N221" s="306">
        <f>+IF($H221=N$2,VLOOKUP($G221,Depreciation!$A$14:$L$18,12,FALSE)/2,IF($H221&lt;N$2,VLOOKUP($G221,Depreciation!$A$14:$L$18,12,FALSE),0))</f>
        <v>2.4351536427798831E-2</v>
      </c>
      <c r="O221" s="307">
        <f t="shared" si="25"/>
        <v>7081711.7934329072</v>
      </c>
      <c r="P221" s="732">
        <f>'Func Future Subs 2015'!P221</f>
        <v>0</v>
      </c>
      <c r="Q221" s="732">
        <f>'Func Future Subs 2015'!Q221</f>
        <v>0</v>
      </c>
      <c r="R221" s="732">
        <f>'Func Future Subs 2015'!R221</f>
        <v>1</v>
      </c>
      <c r="S221" s="735">
        <f t="shared" si="26"/>
        <v>0</v>
      </c>
      <c r="T221" s="735">
        <f t="shared" si="27"/>
        <v>0</v>
      </c>
      <c r="U221" s="735">
        <f t="shared" si="28"/>
        <v>7081711.7934329072</v>
      </c>
      <c r="V221" s="736">
        <f t="shared" si="29"/>
        <v>0</v>
      </c>
      <c r="W221" s="735">
        <f t="shared" si="30"/>
        <v>0</v>
      </c>
      <c r="X221" s="737">
        <f t="shared" si="31"/>
        <v>7081711.7934329072</v>
      </c>
      <c r="Y221" s="738">
        <f t="shared" si="32"/>
        <v>0</v>
      </c>
    </row>
    <row r="222" spans="1:25">
      <c r="A222" s="754" t="str">
        <f>'Func Future Subs 2015'!A222</f>
        <v>Vegreville 709S</v>
      </c>
      <c r="B222" s="754">
        <f>'Func Future Subs 2015'!B222</f>
        <v>1250</v>
      </c>
      <c r="C222" s="754">
        <f>'Func Future Subs 2015'!C222</f>
        <v>138</v>
      </c>
      <c r="D222" s="754">
        <f>'Func Future Subs 2015'!D222</f>
        <v>25</v>
      </c>
      <c r="E222" s="754" t="str">
        <f>'Func Future Subs 2015'!E222</f>
        <v>709S</v>
      </c>
      <c r="F222" s="754">
        <f>'Func Future Subs 2015'!F222</f>
        <v>153452.1754973343</v>
      </c>
      <c r="G222" s="754" t="str">
        <f>'Func Future Subs 2015'!G222</f>
        <v>ATCO</v>
      </c>
      <c r="H222" s="754">
        <f>'Func Future Subs 2015'!H222</f>
        <v>2017</v>
      </c>
      <c r="I222" s="306">
        <f>+IF($H222=I$2,VLOOKUP($G222,Depreciation!$A$14:$L$18,7,FALSE)/2,IF($H222&lt;I$2,VLOOKUP($G222,Depreciation!$A$14:$L$18,7,FALSE),0))</f>
        <v>0</v>
      </c>
      <c r="J222" s="306">
        <f>+IF($H222=J$2,VLOOKUP($G222,Depreciation!$A$14:$L$18,8,FALSE)/2,IF($H222&lt;J$2,VLOOKUP($G222,Depreciation!$A$14:$L$18,8,FALSE),0))</f>
        <v>0</v>
      </c>
      <c r="K222" s="306">
        <f>+IF($H222=K$2,VLOOKUP($G222,Depreciation!$A$14:$L$18,9,FALSE)/2,IF($H222&lt;K$2,VLOOKUP($G222,Depreciation!$A$14:$L$18,9,FALSE),0))</f>
        <v>1.2175768213899416E-2</v>
      </c>
      <c r="L222" s="306">
        <f>+IF($H222=L$2,VLOOKUP($G222,Depreciation!$A$14:$L$18,10,FALSE)/2,IF($H222&lt;L$2,VLOOKUP($G222,Depreciation!$A$14:$L$18,10,FALSE),0))</f>
        <v>2.4351536427798831E-2</v>
      </c>
      <c r="M222" s="306">
        <f>+IF($H222=M$2,VLOOKUP($G222,Depreciation!$A$14:$L$18,11,FALSE)/2,IF($H222&lt;M$2,VLOOKUP($G222,Depreciation!$A$14:$L$18,11,FALSE),0))</f>
        <v>2.4351536427798831E-2</v>
      </c>
      <c r="N222" s="306">
        <f>+IF($H222=N$2,VLOOKUP($G222,Depreciation!$A$14:$L$18,12,FALSE)/2,IF($H222&lt;N$2,VLOOKUP($G222,Depreciation!$A$14:$L$18,12,FALSE),0))</f>
        <v>2.4351536427798831E-2</v>
      </c>
      <c r="O222" s="307">
        <f t="shared" si="25"/>
        <v>144291.0703979719</v>
      </c>
      <c r="P222" s="732">
        <f>'Func Future Subs 2015'!P222</f>
        <v>0</v>
      </c>
      <c r="Q222" s="732">
        <f>'Func Future Subs 2015'!Q222</f>
        <v>1</v>
      </c>
      <c r="R222" s="732">
        <f>'Func Future Subs 2015'!R222</f>
        <v>0</v>
      </c>
      <c r="S222" s="735">
        <f t="shared" si="26"/>
        <v>0</v>
      </c>
      <c r="T222" s="735">
        <f t="shared" si="27"/>
        <v>144291.0703979719</v>
      </c>
      <c r="U222" s="735">
        <f t="shared" si="28"/>
        <v>0</v>
      </c>
      <c r="V222" s="736">
        <f t="shared" si="29"/>
        <v>0</v>
      </c>
      <c r="W222" s="735">
        <f t="shared" si="30"/>
        <v>0</v>
      </c>
      <c r="X222" s="737">
        <f t="shared" si="31"/>
        <v>0</v>
      </c>
      <c r="Y222" s="738">
        <f t="shared" si="32"/>
        <v>144291.0703979719</v>
      </c>
    </row>
    <row r="223" spans="1:25">
      <c r="A223" s="754" t="str">
        <f>'Func Future Subs 2015'!A223</f>
        <v>Vermillion 710S</v>
      </c>
      <c r="B223" s="754">
        <f>'Func Future Subs 2015'!B223</f>
        <v>1250</v>
      </c>
      <c r="C223" s="754">
        <f>'Func Future Subs 2015'!C223</f>
        <v>144</v>
      </c>
      <c r="D223" s="754">
        <f>'Func Future Subs 2015'!D223</f>
        <v>25</v>
      </c>
      <c r="E223" s="754" t="str">
        <f>'Func Future Subs 2015'!E223</f>
        <v>710S</v>
      </c>
      <c r="F223" s="754">
        <f>'Func Future Subs 2015'!F223</f>
        <v>796710.45575867116</v>
      </c>
      <c r="G223" s="754" t="str">
        <f>'Func Future Subs 2015'!G223</f>
        <v>ATCO</v>
      </c>
      <c r="H223" s="754">
        <f>'Func Future Subs 2015'!H223</f>
        <v>2017</v>
      </c>
      <c r="I223" s="306">
        <f>+IF($H223=I$2,VLOOKUP($G223,Depreciation!$A$14:$L$18,7,FALSE)/2,IF($H223&lt;I$2,VLOOKUP($G223,Depreciation!$A$14:$L$18,7,FALSE),0))</f>
        <v>0</v>
      </c>
      <c r="J223" s="306">
        <f>+IF($H223=J$2,VLOOKUP($G223,Depreciation!$A$14:$L$18,8,FALSE)/2,IF($H223&lt;J$2,VLOOKUP($G223,Depreciation!$A$14:$L$18,8,FALSE),0))</f>
        <v>0</v>
      </c>
      <c r="K223" s="306">
        <f>+IF($H223=K$2,VLOOKUP($G223,Depreciation!$A$14:$L$18,9,FALSE)/2,IF($H223&lt;K$2,VLOOKUP($G223,Depreciation!$A$14:$L$18,9,FALSE),0))</f>
        <v>1.2175768213899416E-2</v>
      </c>
      <c r="L223" s="306">
        <f>+IF($H223=L$2,VLOOKUP($G223,Depreciation!$A$14:$L$18,10,FALSE)/2,IF($H223&lt;L$2,VLOOKUP($G223,Depreciation!$A$14:$L$18,10,FALSE),0))</f>
        <v>2.4351536427798831E-2</v>
      </c>
      <c r="M223" s="306">
        <f>+IF($H223=M$2,VLOOKUP($G223,Depreciation!$A$14:$L$18,11,FALSE)/2,IF($H223&lt;M$2,VLOOKUP($G223,Depreciation!$A$14:$L$18,11,FALSE),0))</f>
        <v>2.4351536427798831E-2</v>
      </c>
      <c r="N223" s="306">
        <f>+IF($H223=N$2,VLOOKUP($G223,Depreciation!$A$14:$L$18,12,FALSE)/2,IF($H223&lt;N$2,VLOOKUP($G223,Depreciation!$A$14:$L$18,12,FALSE),0))</f>
        <v>2.4351536427798831E-2</v>
      </c>
      <c r="O223" s="307">
        <f t="shared" si="25"/>
        <v>749146.78847724572</v>
      </c>
      <c r="P223" s="732">
        <f>'Func Future Subs 2015'!P223</f>
        <v>0</v>
      </c>
      <c r="Q223" s="732">
        <f>'Func Future Subs 2015'!Q223</f>
        <v>1</v>
      </c>
      <c r="R223" s="732">
        <f>'Func Future Subs 2015'!R223</f>
        <v>0</v>
      </c>
      <c r="S223" s="735">
        <f t="shared" si="26"/>
        <v>0</v>
      </c>
      <c r="T223" s="735">
        <f t="shared" si="27"/>
        <v>749146.78847724572</v>
      </c>
      <c r="U223" s="735">
        <f t="shared" si="28"/>
        <v>0</v>
      </c>
      <c r="V223" s="736">
        <f t="shared" si="29"/>
        <v>0</v>
      </c>
      <c r="W223" s="735">
        <f t="shared" si="30"/>
        <v>0</v>
      </c>
      <c r="X223" s="737">
        <f t="shared" si="31"/>
        <v>0</v>
      </c>
      <c r="Y223" s="738">
        <f t="shared" si="32"/>
        <v>749146.78847724572</v>
      </c>
    </row>
    <row r="224" spans="1:25">
      <c r="A224" s="754" t="str">
        <f>'Func Future Subs 2015'!A224</f>
        <v>Vincent 2019S</v>
      </c>
      <c r="B224" s="754">
        <f>'Func Future Subs 2015'!B224</f>
        <v>1250</v>
      </c>
      <c r="C224" s="754">
        <f>'Func Future Subs 2015'!C224</f>
        <v>144</v>
      </c>
      <c r="D224" s="754">
        <f>'Func Future Subs 2015'!D224</f>
        <v>25</v>
      </c>
      <c r="E224" s="754" t="str">
        <f>'Func Future Subs 2015'!E224</f>
        <v>2019S</v>
      </c>
      <c r="F224" s="754">
        <f>'Func Future Subs 2015'!F224</f>
        <v>2371467.6461774474</v>
      </c>
      <c r="G224" s="754" t="str">
        <f>'Func Future Subs 2015'!G224</f>
        <v>ATCO</v>
      </c>
      <c r="H224" s="754">
        <f>'Func Future Subs 2015'!H224</f>
        <v>2017</v>
      </c>
      <c r="I224" s="306">
        <f>+IF($H224=I$2,VLOOKUP($G224,Depreciation!$A$14:$L$18,7,FALSE)/2,IF($H224&lt;I$2,VLOOKUP($G224,Depreciation!$A$14:$L$18,7,FALSE),0))</f>
        <v>0</v>
      </c>
      <c r="J224" s="306">
        <f>+IF($H224=J$2,VLOOKUP($G224,Depreciation!$A$14:$L$18,8,FALSE)/2,IF($H224&lt;J$2,VLOOKUP($G224,Depreciation!$A$14:$L$18,8,FALSE),0))</f>
        <v>0</v>
      </c>
      <c r="K224" s="306">
        <f>+IF($H224=K$2,VLOOKUP($G224,Depreciation!$A$14:$L$18,9,FALSE)/2,IF($H224&lt;K$2,VLOOKUP($G224,Depreciation!$A$14:$L$18,9,FALSE),0))</f>
        <v>1.2175768213899416E-2</v>
      </c>
      <c r="L224" s="306">
        <f>+IF($H224=L$2,VLOOKUP($G224,Depreciation!$A$14:$L$18,10,FALSE)/2,IF($H224&lt;L$2,VLOOKUP($G224,Depreciation!$A$14:$L$18,10,FALSE),0))</f>
        <v>2.4351536427798831E-2</v>
      </c>
      <c r="M224" s="306">
        <f>+IF($H224=M$2,VLOOKUP($G224,Depreciation!$A$14:$L$18,11,FALSE)/2,IF($H224&lt;M$2,VLOOKUP($G224,Depreciation!$A$14:$L$18,11,FALSE),0))</f>
        <v>2.4351536427798831E-2</v>
      </c>
      <c r="N224" s="306">
        <f>+IF($H224=N$2,VLOOKUP($G224,Depreciation!$A$14:$L$18,12,FALSE)/2,IF($H224&lt;N$2,VLOOKUP($G224,Depreciation!$A$14:$L$18,12,FALSE),0))</f>
        <v>2.4351536427798831E-2</v>
      </c>
      <c r="O224" s="307">
        <f t="shared" si="25"/>
        <v>2229890.8697260339</v>
      </c>
      <c r="P224" s="732">
        <f>'Func Future Subs 2015'!P224</f>
        <v>0</v>
      </c>
      <c r="Q224" s="732">
        <f>'Func Future Subs 2015'!Q224</f>
        <v>0</v>
      </c>
      <c r="R224" s="732">
        <f>'Func Future Subs 2015'!R224</f>
        <v>1</v>
      </c>
      <c r="S224" s="735">
        <f t="shared" si="26"/>
        <v>0</v>
      </c>
      <c r="T224" s="735">
        <f t="shared" si="27"/>
        <v>0</v>
      </c>
      <c r="U224" s="735">
        <f t="shared" si="28"/>
        <v>2229890.8697260339</v>
      </c>
      <c r="V224" s="736">
        <f t="shared" si="29"/>
        <v>0</v>
      </c>
      <c r="W224" s="735">
        <f t="shared" si="30"/>
        <v>0</v>
      </c>
      <c r="X224" s="737">
        <f t="shared" si="31"/>
        <v>0</v>
      </c>
      <c r="Y224" s="738">
        <f t="shared" si="32"/>
        <v>2229890.8697260339</v>
      </c>
    </row>
    <row r="225" spans="1:25">
      <c r="A225" s="754" t="str">
        <f>'Func Future Subs 2015'!A225</f>
        <v>Grist Lake 190S Substation A</v>
      </c>
      <c r="B225" s="754">
        <f>'Func Future Subs 2015'!B225</f>
        <v>1258</v>
      </c>
      <c r="C225" s="754">
        <f>'Func Future Subs 2015'!C225</f>
        <v>138</v>
      </c>
      <c r="D225" s="754">
        <f>'Func Future Subs 2015'!D225</f>
        <v>25</v>
      </c>
      <c r="E225" s="754" t="str">
        <f>'Func Future Subs 2015'!E225</f>
        <v>190S</v>
      </c>
      <c r="F225" s="754">
        <f>'Func Future Subs 2015'!F225</f>
        <v>41252104.186539032</v>
      </c>
      <c r="G225" s="754" t="str">
        <f>'Func Future Subs 2015'!G225</f>
        <v>AltaLink</v>
      </c>
      <c r="H225" s="754">
        <f>'Func Future Subs 2015'!H225</f>
        <v>2019</v>
      </c>
      <c r="I225" s="306">
        <f>+IF($H225=I$2,VLOOKUP($G225,Depreciation!$A$14:$L$18,7,FALSE)/2,IF($H225&lt;I$2,VLOOKUP($G225,Depreciation!$A$14:$L$18,7,FALSE),0))</f>
        <v>0</v>
      </c>
      <c r="J225" s="306">
        <f>+IF($H225=J$2,VLOOKUP($G225,Depreciation!$A$14:$L$18,8,FALSE)/2,IF($H225&lt;J$2,VLOOKUP($G225,Depreciation!$A$14:$L$18,8,FALSE),0))</f>
        <v>0</v>
      </c>
      <c r="K225" s="306">
        <f>+IF($H225=K$2,VLOOKUP($G225,Depreciation!$A$14:$L$18,9,FALSE)/2,IF($H225&lt;K$2,VLOOKUP($G225,Depreciation!$A$14:$L$18,9,FALSE),0))</f>
        <v>0</v>
      </c>
      <c r="L225" s="306">
        <f>+IF($H225=L$2,VLOOKUP($G225,Depreciation!$A$14:$L$18,10,FALSE)/2,IF($H225&lt;L$2,VLOOKUP($G225,Depreciation!$A$14:$L$18,10,FALSE),0))</f>
        <v>0</v>
      </c>
      <c r="M225" s="306">
        <f>+IF($H225=M$2,VLOOKUP($G225,Depreciation!$A$14:$L$18,11,FALSE)/2,IF($H225&lt;M$2,VLOOKUP($G225,Depreciation!$A$14:$L$18,11,FALSE),0))</f>
        <v>1.671703928371859E-2</v>
      </c>
      <c r="N225" s="306">
        <f>+IF($H225=N$2,VLOOKUP($G225,Depreciation!$A$14:$L$18,12,FALSE)/2,IF($H225&lt;N$2,VLOOKUP($G225,Depreciation!$A$14:$L$18,12,FALSE),0))</f>
        <v>3.343407856743718E-2</v>
      </c>
      <c r="O225" s="307">
        <f t="shared" si="25"/>
        <v>40562491.140316606</v>
      </c>
      <c r="P225" s="732">
        <f>'Func Future Subs 2015'!P225</f>
        <v>0</v>
      </c>
      <c r="Q225" s="732">
        <f>'Func Future Subs 2015'!Q225</f>
        <v>0</v>
      </c>
      <c r="R225" s="732">
        <f>'Func Future Subs 2015'!R225</f>
        <v>1</v>
      </c>
      <c r="S225" s="735">
        <f t="shared" si="26"/>
        <v>0</v>
      </c>
      <c r="T225" s="735">
        <f t="shared" si="27"/>
        <v>0</v>
      </c>
      <c r="U225" s="735">
        <f t="shared" si="28"/>
        <v>40562491.140316606</v>
      </c>
      <c r="V225" s="736">
        <f t="shared" si="29"/>
        <v>0</v>
      </c>
      <c r="W225" s="735">
        <f t="shared" si="30"/>
        <v>0</v>
      </c>
      <c r="X225" s="737">
        <f t="shared" si="31"/>
        <v>0</v>
      </c>
      <c r="Y225" s="738">
        <f t="shared" si="32"/>
        <v>40562491.140316606</v>
      </c>
    </row>
    <row r="226" spans="1:25">
      <c r="A226" s="754" t="str">
        <f>'Func Future Subs 2015'!A226</f>
        <v>Pike 170S Substation A</v>
      </c>
      <c r="B226" s="754">
        <f>'Func Future Subs 2015'!B226</f>
        <v>1258</v>
      </c>
      <c r="C226" s="754">
        <f>'Func Future Subs 2015'!C226</f>
        <v>138</v>
      </c>
      <c r="D226" s="754">
        <f>'Func Future Subs 2015'!D226</f>
        <v>138</v>
      </c>
      <c r="E226" s="754" t="str">
        <f>'Func Future Subs 2015'!E226</f>
        <v>170S</v>
      </c>
      <c r="F226" s="754">
        <f>'Func Future Subs 2015'!F226</f>
        <v>4886932.8273881162</v>
      </c>
      <c r="G226" s="754" t="str">
        <f>'Func Future Subs 2015'!G226</f>
        <v>AltaLink</v>
      </c>
      <c r="H226" s="754">
        <f>'Func Future Subs 2015'!H226</f>
        <v>2019</v>
      </c>
      <c r="I226" s="306">
        <f>+IF($H226=I$2,VLOOKUP($G226,Depreciation!$A$14:$L$18,7,FALSE)/2,IF($H226&lt;I$2,VLOOKUP($G226,Depreciation!$A$14:$L$18,7,FALSE),0))</f>
        <v>0</v>
      </c>
      <c r="J226" s="306">
        <f>+IF($H226=J$2,VLOOKUP($G226,Depreciation!$A$14:$L$18,8,FALSE)/2,IF($H226&lt;J$2,VLOOKUP($G226,Depreciation!$A$14:$L$18,8,FALSE),0))</f>
        <v>0</v>
      </c>
      <c r="K226" s="306">
        <f>+IF($H226=K$2,VLOOKUP($G226,Depreciation!$A$14:$L$18,9,FALSE)/2,IF($H226&lt;K$2,VLOOKUP($G226,Depreciation!$A$14:$L$18,9,FALSE),0))</f>
        <v>0</v>
      </c>
      <c r="L226" s="306">
        <f>+IF($H226=L$2,VLOOKUP($G226,Depreciation!$A$14:$L$18,10,FALSE)/2,IF($H226&lt;L$2,VLOOKUP($G226,Depreciation!$A$14:$L$18,10,FALSE),0))</f>
        <v>0</v>
      </c>
      <c r="M226" s="306">
        <f>+IF($H226=M$2,VLOOKUP($G226,Depreciation!$A$14:$L$18,11,FALSE)/2,IF($H226&lt;M$2,VLOOKUP($G226,Depreciation!$A$14:$L$18,11,FALSE),0))</f>
        <v>1.671703928371859E-2</v>
      </c>
      <c r="N226" s="306">
        <f>+IF($H226=N$2,VLOOKUP($G226,Depreciation!$A$14:$L$18,12,FALSE)/2,IF($H226&lt;N$2,VLOOKUP($G226,Depreciation!$A$14:$L$18,12,FALSE),0))</f>
        <v>3.343407856743718E-2</v>
      </c>
      <c r="O226" s="307">
        <f t="shared" si="25"/>
        <v>4805237.7793357754</v>
      </c>
      <c r="P226" s="732">
        <f>'Func Future Subs 2015'!P226</f>
        <v>0</v>
      </c>
      <c r="Q226" s="732">
        <f>'Func Future Subs 2015'!Q226</f>
        <v>0</v>
      </c>
      <c r="R226" s="732">
        <f>'Func Future Subs 2015'!R226</f>
        <v>1</v>
      </c>
      <c r="S226" s="735">
        <f t="shared" si="26"/>
        <v>0</v>
      </c>
      <c r="T226" s="735">
        <f t="shared" si="27"/>
        <v>0</v>
      </c>
      <c r="U226" s="735">
        <f t="shared" si="28"/>
        <v>4805237.7793357754</v>
      </c>
      <c r="V226" s="736">
        <f t="shared" si="29"/>
        <v>0</v>
      </c>
      <c r="W226" s="735">
        <f t="shared" si="30"/>
        <v>0</v>
      </c>
      <c r="X226" s="737">
        <f t="shared" si="31"/>
        <v>4805237.7793357754</v>
      </c>
      <c r="Y226" s="738">
        <f t="shared" si="32"/>
        <v>0</v>
      </c>
    </row>
    <row r="227" spans="1:25">
      <c r="A227" s="754" t="str">
        <f>'Func Future Subs 2015'!A227</f>
        <v>Chinook 181S substation[v180]</v>
      </c>
      <c r="B227" s="754">
        <f>'Func Future Subs 2015'!B227</f>
        <v>1260</v>
      </c>
      <c r="C227" s="754">
        <f>'Func Future Subs 2015'!C227</f>
        <v>240</v>
      </c>
      <c r="D227" s="754">
        <f>'Func Future Subs 2015'!D227</f>
        <v>25</v>
      </c>
      <c r="E227" s="754" t="str">
        <f>'Func Future Subs 2015'!E227</f>
        <v>181S</v>
      </c>
      <c r="F227" s="754">
        <f>'Func Future Subs 2015'!F227</f>
        <v>10887667.697433928</v>
      </c>
      <c r="G227" s="754" t="str">
        <f>'Func Future Subs 2015'!G227</f>
        <v>ENMAX</v>
      </c>
      <c r="H227" s="754">
        <f>'Func Future Subs 2015'!H227</f>
        <v>2016</v>
      </c>
      <c r="I227" s="306">
        <f>+IF($H227=I$2,VLOOKUP($G227,Depreciation!$A$14:$L$18,7,FALSE)/2,IF($H227&lt;I$2,VLOOKUP($G227,Depreciation!$A$14:$L$18,7,FALSE),0))</f>
        <v>0</v>
      </c>
      <c r="J227" s="306">
        <f>+IF($H227=J$2,VLOOKUP($G227,Depreciation!$A$14:$L$18,8,FALSE)/2,IF($H227&lt;J$2,VLOOKUP($G227,Depreciation!$A$14:$L$18,8,FALSE),0))</f>
        <v>1.3928409269726289E-2</v>
      </c>
      <c r="K227" s="306">
        <f>+IF($H227=K$2,VLOOKUP($G227,Depreciation!$A$14:$L$18,9,FALSE)/2,IF($H227&lt;K$2,VLOOKUP($G227,Depreciation!$A$14:$L$18,9,FALSE),0))</f>
        <v>2.7856818539452578E-2</v>
      </c>
      <c r="L227" s="306">
        <f>+IF($H227=L$2,VLOOKUP($G227,Depreciation!$A$14:$L$18,10,FALSE)/2,IF($H227&lt;L$2,VLOOKUP($G227,Depreciation!$A$14:$L$18,10,FALSE),0))</f>
        <v>2.7856818539452578E-2</v>
      </c>
      <c r="M227" s="306">
        <f>+IF($H227=M$2,VLOOKUP($G227,Depreciation!$A$14:$L$18,11,FALSE)/2,IF($H227&lt;M$2,VLOOKUP($G227,Depreciation!$A$14:$L$18,11,FALSE),0))</f>
        <v>2.7856818539452578E-2</v>
      </c>
      <c r="N227" s="306">
        <f>+IF($H227=N$2,VLOOKUP($G227,Depreciation!$A$14:$L$18,12,FALSE)/2,IF($H227&lt;N$2,VLOOKUP($G227,Depreciation!$A$14:$L$18,12,FALSE),0))</f>
        <v>2.7856818539452578E-2</v>
      </c>
      <c r="O227" s="307">
        <f t="shared" si="25"/>
        <v>9863567.1884324029</v>
      </c>
      <c r="P227" s="732">
        <f>'Func Future Subs 2015'!P227</f>
        <v>0</v>
      </c>
      <c r="Q227" s="732">
        <f>'Func Future Subs 2015'!Q227</f>
        <v>0</v>
      </c>
      <c r="R227" s="732">
        <f>'Func Future Subs 2015'!R227</f>
        <v>1</v>
      </c>
      <c r="S227" s="735">
        <f t="shared" si="26"/>
        <v>0</v>
      </c>
      <c r="T227" s="735">
        <f t="shared" si="27"/>
        <v>0</v>
      </c>
      <c r="U227" s="735">
        <f t="shared" si="28"/>
        <v>9863567.1884324029</v>
      </c>
      <c r="V227" s="736">
        <f t="shared" si="29"/>
        <v>0</v>
      </c>
      <c r="W227" s="735">
        <f t="shared" si="30"/>
        <v>0</v>
      </c>
      <c r="X227" s="737">
        <f t="shared" si="31"/>
        <v>0</v>
      </c>
      <c r="Y227" s="738">
        <f t="shared" si="32"/>
        <v>9863567.1884324029</v>
      </c>
    </row>
    <row r="228" spans="1:25">
      <c r="A228" s="754" t="str">
        <f>'Func Future Subs 2015'!A228</f>
        <v>North Lethbridge 370s substation</v>
      </c>
      <c r="B228" s="754">
        <f>'Func Future Subs 2015'!B228</f>
        <v>1260</v>
      </c>
      <c r="C228" s="754">
        <f>'Func Future Subs 2015'!C228</f>
        <v>240</v>
      </c>
      <c r="D228" s="754">
        <f>'Func Future Subs 2015'!D228</f>
        <v>25</v>
      </c>
      <c r="E228" s="754" t="str">
        <f>'Func Future Subs 2015'!E228</f>
        <v>370S</v>
      </c>
      <c r="F228" s="754">
        <f>'Func Future Subs 2015'!F228</f>
        <v>484549.80832004856</v>
      </c>
      <c r="G228" s="754" t="str">
        <f>'Func Future Subs 2015'!G228</f>
        <v>AltaLink</v>
      </c>
      <c r="H228" s="754">
        <f>'Func Future Subs 2015'!H228</f>
        <v>2016</v>
      </c>
      <c r="I228" s="306">
        <f>+IF($H228=I$2,VLOOKUP($G228,Depreciation!$A$14:$L$18,7,FALSE)/2,IF($H228&lt;I$2,VLOOKUP($G228,Depreciation!$A$14:$L$18,7,FALSE),0))</f>
        <v>0</v>
      </c>
      <c r="J228" s="306">
        <f>+IF($H228=J$2,VLOOKUP($G228,Depreciation!$A$14:$L$18,8,FALSE)/2,IF($H228&lt;J$2,VLOOKUP($G228,Depreciation!$A$14:$L$18,8,FALSE),0))</f>
        <v>1.671703928371859E-2</v>
      </c>
      <c r="K228" s="306">
        <f>+IF($H228=K$2,VLOOKUP($G228,Depreciation!$A$14:$L$18,9,FALSE)/2,IF($H228&lt;K$2,VLOOKUP($G228,Depreciation!$A$14:$L$18,9,FALSE),0))</f>
        <v>3.343407856743718E-2</v>
      </c>
      <c r="L228" s="306">
        <f>+IF($H228=L$2,VLOOKUP($G228,Depreciation!$A$14:$L$18,10,FALSE)/2,IF($H228&lt;L$2,VLOOKUP($G228,Depreciation!$A$14:$L$18,10,FALSE),0))</f>
        <v>3.343407856743718E-2</v>
      </c>
      <c r="M228" s="306">
        <f>+IF($H228=M$2,VLOOKUP($G228,Depreciation!$A$14:$L$18,11,FALSE)/2,IF($H228&lt;M$2,VLOOKUP($G228,Depreciation!$A$14:$L$18,11,FALSE),0))</f>
        <v>3.343407856743718E-2</v>
      </c>
      <c r="N228" s="306">
        <f>+IF($H228=N$2,VLOOKUP($G228,Depreciation!$A$14:$L$18,12,FALSE)/2,IF($H228&lt;N$2,VLOOKUP($G228,Depreciation!$A$14:$L$18,12,FALSE),0))</f>
        <v>3.343407856743718E-2</v>
      </c>
      <c r="O228" s="307">
        <f t="shared" si="25"/>
        <v>430240.58603634947</v>
      </c>
      <c r="P228" s="732">
        <f>'Func Future Subs 2015'!P228</f>
        <v>0</v>
      </c>
      <c r="Q228" s="732">
        <f>'Func Future Subs 2015'!Q228</f>
        <v>1</v>
      </c>
      <c r="R228" s="732">
        <f>'Func Future Subs 2015'!R228</f>
        <v>0</v>
      </c>
      <c r="S228" s="735">
        <f t="shared" si="26"/>
        <v>0</v>
      </c>
      <c r="T228" s="735">
        <f t="shared" si="27"/>
        <v>430240.58603634947</v>
      </c>
      <c r="U228" s="735">
        <f t="shared" si="28"/>
        <v>0</v>
      </c>
      <c r="V228" s="736">
        <f t="shared" si="29"/>
        <v>0</v>
      </c>
      <c r="W228" s="735">
        <f t="shared" si="30"/>
        <v>0</v>
      </c>
      <c r="X228" s="737">
        <f t="shared" si="31"/>
        <v>0</v>
      </c>
      <c r="Y228" s="738">
        <f t="shared" si="32"/>
        <v>430240.58603634947</v>
      </c>
    </row>
    <row r="229" spans="1:25">
      <c r="A229" s="754" t="str">
        <f>'Func Future Subs 2015'!A229</f>
        <v>Gaetz 87S</v>
      </c>
      <c r="B229" s="754">
        <f>'Func Future Subs 2015'!B229</f>
        <v>1263</v>
      </c>
      <c r="C229" s="754">
        <f>'Func Future Subs 2015'!C229</f>
        <v>240</v>
      </c>
      <c r="D229" s="754">
        <f>'Func Future Subs 2015'!D229</f>
        <v>138</v>
      </c>
      <c r="E229" s="754" t="str">
        <f>'Func Future Subs 2015'!E229</f>
        <v>87S</v>
      </c>
      <c r="F229" s="754">
        <f>'Func Future Subs 2015'!F229</f>
        <v>452029.41176470619</v>
      </c>
      <c r="G229" s="754" t="str">
        <f>'Func Future Subs 2015'!G229</f>
        <v>AltaLink</v>
      </c>
      <c r="H229" s="754">
        <f>'Func Future Subs 2015'!H229</f>
        <v>2016</v>
      </c>
      <c r="I229" s="306">
        <f>+IF($H229=I$2,VLOOKUP($G229,Depreciation!$A$14:$L$18,7,FALSE)/2,IF($H229&lt;I$2,VLOOKUP($G229,Depreciation!$A$14:$L$18,7,FALSE),0))</f>
        <v>0</v>
      </c>
      <c r="J229" s="306">
        <f>+IF($H229=J$2,VLOOKUP($G229,Depreciation!$A$14:$L$18,8,FALSE)/2,IF($H229&lt;J$2,VLOOKUP($G229,Depreciation!$A$14:$L$18,8,FALSE),0))</f>
        <v>1.671703928371859E-2</v>
      </c>
      <c r="K229" s="306">
        <f>+IF($H229=K$2,VLOOKUP($G229,Depreciation!$A$14:$L$18,9,FALSE)/2,IF($H229&lt;K$2,VLOOKUP($G229,Depreciation!$A$14:$L$18,9,FALSE),0))</f>
        <v>3.343407856743718E-2</v>
      </c>
      <c r="L229" s="306">
        <f>+IF($H229=L$2,VLOOKUP($G229,Depreciation!$A$14:$L$18,10,FALSE)/2,IF($H229&lt;L$2,VLOOKUP($G229,Depreciation!$A$14:$L$18,10,FALSE),0))</f>
        <v>3.343407856743718E-2</v>
      </c>
      <c r="M229" s="306">
        <f>+IF($H229=M$2,VLOOKUP($G229,Depreciation!$A$14:$L$18,11,FALSE)/2,IF($H229&lt;M$2,VLOOKUP($G229,Depreciation!$A$14:$L$18,11,FALSE),0))</f>
        <v>3.343407856743718E-2</v>
      </c>
      <c r="N229" s="306">
        <f>+IF($H229=N$2,VLOOKUP($G229,Depreciation!$A$14:$L$18,12,FALSE)/2,IF($H229&lt;N$2,VLOOKUP($G229,Depreciation!$A$14:$L$18,12,FALSE),0))</f>
        <v>3.343407856743718E-2</v>
      </c>
      <c r="O229" s="307">
        <f t="shared" si="25"/>
        <v>401365.13457220729</v>
      </c>
      <c r="P229" s="732">
        <f>'Func Future Subs 2015'!P229</f>
        <v>0</v>
      </c>
      <c r="Q229" s="732">
        <f>'Func Future Subs 2015'!Q229</f>
        <v>0</v>
      </c>
      <c r="R229" s="732">
        <f>'Func Future Subs 2015'!R229</f>
        <v>1</v>
      </c>
      <c r="S229" s="735">
        <f t="shared" si="26"/>
        <v>0</v>
      </c>
      <c r="T229" s="735">
        <f t="shared" si="27"/>
        <v>0</v>
      </c>
      <c r="U229" s="735">
        <f t="shared" si="28"/>
        <v>401365.13457220729</v>
      </c>
      <c r="V229" s="736">
        <f t="shared" si="29"/>
        <v>0</v>
      </c>
      <c r="W229" s="735">
        <f t="shared" si="30"/>
        <v>0</v>
      </c>
      <c r="X229" s="737">
        <f t="shared" si="31"/>
        <v>401365.13457220729</v>
      </c>
      <c r="Y229" s="738">
        <f t="shared" si="32"/>
        <v>0</v>
      </c>
    </row>
    <row r="230" spans="1:25">
      <c r="A230" s="754" t="str">
        <f>'Func Future Subs 2015'!A230</f>
        <v>North Red Deer 217S</v>
      </c>
      <c r="B230" s="754">
        <f>'Func Future Subs 2015'!B230</f>
        <v>1263</v>
      </c>
      <c r="C230" s="754">
        <f>'Func Future Subs 2015'!C230</f>
        <v>138</v>
      </c>
      <c r="D230" s="754">
        <f>'Func Future Subs 2015'!D230</f>
        <v>25</v>
      </c>
      <c r="E230" s="754" t="str">
        <f>'Func Future Subs 2015'!E230</f>
        <v>217S</v>
      </c>
      <c r="F230" s="754">
        <f>'Func Future Subs 2015'!F230</f>
        <v>369088.23529411788</v>
      </c>
      <c r="G230" s="754" t="str">
        <f>'Func Future Subs 2015'!G230</f>
        <v>AltaLink</v>
      </c>
      <c r="H230" s="754">
        <f>'Func Future Subs 2015'!H230</f>
        <v>2016</v>
      </c>
      <c r="I230" s="306">
        <f>+IF($H230=I$2,VLOOKUP($G230,Depreciation!$A$14:$L$18,7,FALSE)/2,IF($H230&lt;I$2,VLOOKUP($G230,Depreciation!$A$14:$L$18,7,FALSE),0))</f>
        <v>0</v>
      </c>
      <c r="J230" s="306">
        <f>+IF($H230=J$2,VLOOKUP($G230,Depreciation!$A$14:$L$18,8,FALSE)/2,IF($H230&lt;J$2,VLOOKUP($G230,Depreciation!$A$14:$L$18,8,FALSE),0))</f>
        <v>1.671703928371859E-2</v>
      </c>
      <c r="K230" s="306">
        <f>+IF($H230=K$2,VLOOKUP($G230,Depreciation!$A$14:$L$18,9,FALSE)/2,IF($H230&lt;K$2,VLOOKUP($G230,Depreciation!$A$14:$L$18,9,FALSE),0))</f>
        <v>3.343407856743718E-2</v>
      </c>
      <c r="L230" s="306">
        <f>+IF($H230=L$2,VLOOKUP($G230,Depreciation!$A$14:$L$18,10,FALSE)/2,IF($H230&lt;L$2,VLOOKUP($G230,Depreciation!$A$14:$L$18,10,FALSE),0))</f>
        <v>3.343407856743718E-2</v>
      </c>
      <c r="M230" s="306">
        <f>+IF($H230=M$2,VLOOKUP($G230,Depreciation!$A$14:$L$18,11,FALSE)/2,IF($H230&lt;M$2,VLOOKUP($G230,Depreciation!$A$14:$L$18,11,FALSE),0))</f>
        <v>3.343407856743718E-2</v>
      </c>
      <c r="N230" s="306">
        <f>+IF($H230=N$2,VLOOKUP($G230,Depreciation!$A$14:$L$18,12,FALSE)/2,IF($H230&lt;N$2,VLOOKUP($G230,Depreciation!$A$14:$L$18,12,FALSE),0))</f>
        <v>3.343407856743718E-2</v>
      </c>
      <c r="O230" s="307">
        <f t="shared" si="25"/>
        <v>327720.15575161879</v>
      </c>
      <c r="P230" s="732">
        <f>'Func Future Subs 2015'!P230</f>
        <v>0</v>
      </c>
      <c r="Q230" s="732">
        <f>'Func Future Subs 2015'!Q230</f>
        <v>1</v>
      </c>
      <c r="R230" s="732">
        <f>'Func Future Subs 2015'!R230</f>
        <v>0</v>
      </c>
      <c r="S230" s="735">
        <f t="shared" si="26"/>
        <v>0</v>
      </c>
      <c r="T230" s="735">
        <f t="shared" si="27"/>
        <v>327720.15575161879</v>
      </c>
      <c r="U230" s="735">
        <f t="shared" si="28"/>
        <v>0</v>
      </c>
      <c r="V230" s="736">
        <f t="shared" si="29"/>
        <v>0</v>
      </c>
      <c r="W230" s="735">
        <f t="shared" si="30"/>
        <v>0</v>
      </c>
      <c r="X230" s="737">
        <f t="shared" si="31"/>
        <v>0</v>
      </c>
      <c r="Y230" s="738">
        <f t="shared" si="32"/>
        <v>327720.15575161879</v>
      </c>
    </row>
    <row r="231" spans="1:25">
      <c r="A231" s="754" t="str">
        <f>'Func Future Subs 2015'!A231</f>
        <v>Algar Substation 875S_180</v>
      </c>
      <c r="B231" s="754">
        <f>'Func Future Subs 2015'!B231</f>
        <v>1267</v>
      </c>
      <c r="C231" s="754">
        <f>'Func Future Subs 2015'!C231</f>
        <v>144</v>
      </c>
      <c r="D231" s="754">
        <f>'Func Future Subs 2015'!D231</f>
        <v>25</v>
      </c>
      <c r="E231" s="754" t="str">
        <f>'Func Future Subs 2015'!E231</f>
        <v>875S</v>
      </c>
      <c r="F231" s="754">
        <f>'Func Future Subs 2015'!F231</f>
        <v>3416800.4605387161</v>
      </c>
      <c r="G231" s="754" t="str">
        <f>'Func Future Subs 2015'!G231</f>
        <v>ATCO</v>
      </c>
      <c r="H231" s="754">
        <f>'Func Future Subs 2015'!H231</f>
        <v>2015</v>
      </c>
      <c r="I231" s="306">
        <f>+IF($H231=I$2,VLOOKUP($G231,Depreciation!$A$14:$L$18,7,FALSE)/2,IF($H231&lt;I$2,VLOOKUP($G231,Depreciation!$A$14:$L$18,7,FALSE),0))</f>
        <v>1.221703683566912E-2</v>
      </c>
      <c r="J231" s="306">
        <f>+IF($H231=J$2,VLOOKUP($G231,Depreciation!$A$14:$L$18,8,FALSE)/2,IF($H231&lt;J$2,VLOOKUP($G231,Depreciation!$A$14:$L$18,8,FALSE),0))</f>
        <v>2.4632450501084719E-2</v>
      </c>
      <c r="K231" s="306">
        <f>+IF($H231=K$2,VLOOKUP($G231,Depreciation!$A$14:$L$18,9,FALSE)/2,IF($H231&lt;K$2,VLOOKUP($G231,Depreciation!$A$14:$L$18,9,FALSE),0))</f>
        <v>2.4351536427798831E-2</v>
      </c>
      <c r="L231" s="306">
        <f>+IF($H231=L$2,VLOOKUP($G231,Depreciation!$A$14:$L$18,10,FALSE)/2,IF($H231&lt;L$2,VLOOKUP($G231,Depreciation!$A$14:$L$18,10,FALSE),0))</f>
        <v>2.4351536427798831E-2</v>
      </c>
      <c r="M231" s="306">
        <f>+IF($H231=M$2,VLOOKUP($G231,Depreciation!$A$14:$L$18,11,FALSE)/2,IF($H231&lt;M$2,VLOOKUP($G231,Depreciation!$A$14:$L$18,11,FALSE),0))</f>
        <v>2.4351536427798831E-2</v>
      </c>
      <c r="N231" s="306">
        <f>+IF($H231=N$2,VLOOKUP($G231,Depreciation!$A$14:$L$18,12,FALSE)/2,IF($H231&lt;N$2,VLOOKUP($G231,Depreciation!$A$14:$L$18,12,FALSE),0))</f>
        <v>2.4351536427798831E-2</v>
      </c>
      <c r="O231" s="307">
        <f t="shared" si="25"/>
        <v>3057240.0888520745</v>
      </c>
      <c r="P231" s="732">
        <f>'Func Future Subs 2015'!P231</f>
        <v>0</v>
      </c>
      <c r="Q231" s="732">
        <f>'Func Future Subs 2015'!Q231</f>
        <v>1</v>
      </c>
      <c r="R231" s="732">
        <f>'Func Future Subs 2015'!R231</f>
        <v>0</v>
      </c>
      <c r="S231" s="735">
        <f t="shared" si="26"/>
        <v>0</v>
      </c>
      <c r="T231" s="735">
        <f t="shared" si="27"/>
        <v>3057240.0888520745</v>
      </c>
      <c r="U231" s="735">
        <f t="shared" si="28"/>
        <v>0</v>
      </c>
      <c r="V231" s="736">
        <f t="shared" si="29"/>
        <v>0</v>
      </c>
      <c r="W231" s="735">
        <f t="shared" si="30"/>
        <v>0</v>
      </c>
      <c r="X231" s="737">
        <f t="shared" si="31"/>
        <v>0</v>
      </c>
      <c r="Y231" s="738">
        <f t="shared" si="32"/>
        <v>3057240.0888520745</v>
      </c>
    </row>
    <row r="232" spans="1:25">
      <c r="A232" s="754" t="str">
        <f>'Func Future Subs 2015'!A232</f>
        <v>Dawes Substation 2011S_180</v>
      </c>
      <c r="B232" s="754">
        <f>'Func Future Subs 2015'!B232</f>
        <v>1267</v>
      </c>
      <c r="C232" s="754">
        <f>'Func Future Subs 2015'!C232</f>
        <v>240</v>
      </c>
      <c r="D232" s="754">
        <f>'Func Future Subs 2015'!D232</f>
        <v>144</v>
      </c>
      <c r="E232" s="754" t="str">
        <f>'Func Future Subs 2015'!E232</f>
        <v>2011S</v>
      </c>
      <c r="F232" s="754">
        <f>'Func Future Subs 2015'!F232</f>
        <v>30016954.600294784</v>
      </c>
      <c r="G232" s="754" t="str">
        <f>'Func Future Subs 2015'!G232</f>
        <v>ATCO</v>
      </c>
      <c r="H232" s="754">
        <f>'Func Future Subs 2015'!H232</f>
        <v>2015</v>
      </c>
      <c r="I232" s="306">
        <f>+IF($H232=I$2,VLOOKUP($G232,Depreciation!$A$14:$L$18,7,FALSE)/2,IF($H232&lt;I$2,VLOOKUP($G232,Depreciation!$A$14:$L$18,7,FALSE),0))</f>
        <v>1.221703683566912E-2</v>
      </c>
      <c r="J232" s="306">
        <f>+IF($H232=J$2,VLOOKUP($G232,Depreciation!$A$14:$L$18,8,FALSE)/2,IF($H232&lt;J$2,VLOOKUP($G232,Depreciation!$A$14:$L$18,8,FALSE),0))</f>
        <v>2.4632450501084719E-2</v>
      </c>
      <c r="K232" s="306">
        <f>+IF($H232=K$2,VLOOKUP($G232,Depreciation!$A$14:$L$18,9,FALSE)/2,IF($H232&lt;K$2,VLOOKUP($G232,Depreciation!$A$14:$L$18,9,FALSE),0))</f>
        <v>2.4351536427798831E-2</v>
      </c>
      <c r="L232" s="306">
        <f>+IF($H232=L$2,VLOOKUP($G232,Depreciation!$A$14:$L$18,10,FALSE)/2,IF($H232&lt;L$2,VLOOKUP($G232,Depreciation!$A$14:$L$18,10,FALSE),0))</f>
        <v>2.4351536427798831E-2</v>
      </c>
      <c r="M232" s="306">
        <f>+IF($H232=M$2,VLOOKUP($G232,Depreciation!$A$14:$L$18,11,FALSE)/2,IF($H232&lt;M$2,VLOOKUP($G232,Depreciation!$A$14:$L$18,11,FALSE),0))</f>
        <v>2.4351536427798831E-2</v>
      </c>
      <c r="N232" s="306">
        <f>+IF($H232=N$2,VLOOKUP($G232,Depreciation!$A$14:$L$18,12,FALSE)/2,IF($H232&lt;N$2,VLOOKUP($G232,Depreciation!$A$14:$L$18,12,FALSE),0))</f>
        <v>2.4351536427798831E-2</v>
      </c>
      <c r="O232" s="307">
        <f t="shared" si="25"/>
        <v>26858178.582311761</v>
      </c>
      <c r="P232" s="732">
        <f>'Func Future Subs 2015'!P232</f>
        <v>0</v>
      </c>
      <c r="Q232" s="732">
        <f>'Func Future Subs 2015'!Q232</f>
        <v>0</v>
      </c>
      <c r="R232" s="732">
        <f>'Func Future Subs 2015'!R232</f>
        <v>1</v>
      </c>
      <c r="S232" s="735">
        <f t="shared" si="26"/>
        <v>0</v>
      </c>
      <c r="T232" s="735">
        <f t="shared" si="27"/>
        <v>0</v>
      </c>
      <c r="U232" s="735">
        <f t="shared" si="28"/>
        <v>26858178.582311761</v>
      </c>
      <c r="V232" s="736">
        <f t="shared" si="29"/>
        <v>0</v>
      </c>
      <c r="W232" s="735">
        <f t="shared" si="30"/>
        <v>0</v>
      </c>
      <c r="X232" s="737">
        <f t="shared" si="31"/>
        <v>26858178.582311761</v>
      </c>
      <c r="Y232" s="738">
        <f t="shared" si="32"/>
        <v>0</v>
      </c>
    </row>
    <row r="233" spans="1:25">
      <c r="A233" s="754" t="str">
        <f>'Func Future Subs 2015'!A233</f>
        <v>Dover Substation 888S_180</v>
      </c>
      <c r="B233" s="754">
        <f>'Func Future Subs 2015'!B233</f>
        <v>1267</v>
      </c>
      <c r="C233" s="754">
        <f>'Func Future Subs 2015'!C233</f>
        <v>240</v>
      </c>
      <c r="D233" s="754">
        <f>'Func Future Subs 2015'!D233</f>
        <v>240</v>
      </c>
      <c r="E233" s="754" t="str">
        <f>'Func Future Subs 2015'!E233</f>
        <v>888S</v>
      </c>
      <c r="F233" s="754">
        <f>'Func Future Subs 2015'!F233</f>
        <v>362081.23436601309</v>
      </c>
      <c r="G233" s="754" t="str">
        <f>'Func Future Subs 2015'!G233</f>
        <v>ATCO</v>
      </c>
      <c r="H233" s="754">
        <f>'Func Future Subs 2015'!H233</f>
        <v>2015</v>
      </c>
      <c r="I233" s="306">
        <f>+IF($H233=I$2,VLOOKUP($G233,Depreciation!$A$14:$L$18,7,FALSE)/2,IF($H233&lt;I$2,VLOOKUP($G233,Depreciation!$A$14:$L$18,7,FALSE),0))</f>
        <v>1.221703683566912E-2</v>
      </c>
      <c r="J233" s="306">
        <f>+IF($H233=J$2,VLOOKUP($G233,Depreciation!$A$14:$L$18,8,FALSE)/2,IF($H233&lt;J$2,VLOOKUP($G233,Depreciation!$A$14:$L$18,8,FALSE),0))</f>
        <v>2.4632450501084719E-2</v>
      </c>
      <c r="K233" s="306">
        <f>+IF($H233=K$2,VLOOKUP($G233,Depreciation!$A$14:$L$18,9,FALSE)/2,IF($H233&lt;K$2,VLOOKUP($G233,Depreciation!$A$14:$L$18,9,FALSE),0))</f>
        <v>2.4351536427798831E-2</v>
      </c>
      <c r="L233" s="306">
        <f>+IF($H233=L$2,VLOOKUP($G233,Depreciation!$A$14:$L$18,10,FALSE)/2,IF($H233&lt;L$2,VLOOKUP($G233,Depreciation!$A$14:$L$18,10,FALSE),0))</f>
        <v>2.4351536427798831E-2</v>
      </c>
      <c r="M233" s="306">
        <f>+IF($H233=M$2,VLOOKUP($G233,Depreciation!$A$14:$L$18,11,FALSE)/2,IF($H233&lt;M$2,VLOOKUP($G233,Depreciation!$A$14:$L$18,11,FALSE),0))</f>
        <v>2.4351536427798831E-2</v>
      </c>
      <c r="N233" s="306">
        <f>+IF($H233=N$2,VLOOKUP($G233,Depreciation!$A$14:$L$18,12,FALSE)/2,IF($H233&lt;N$2,VLOOKUP($G233,Depreciation!$A$14:$L$18,12,FALSE),0))</f>
        <v>2.4351536427798831E-2</v>
      </c>
      <c r="O233" s="307">
        <f t="shared" si="25"/>
        <v>323978.3177008488</v>
      </c>
      <c r="P233" s="732">
        <f>'Func Future Subs 2015'!P233</f>
        <v>0</v>
      </c>
      <c r="Q233" s="732">
        <f>'Func Future Subs 2015'!Q233</f>
        <v>0</v>
      </c>
      <c r="R233" s="732">
        <f>'Func Future Subs 2015'!R233</f>
        <v>1</v>
      </c>
      <c r="S233" s="735">
        <f t="shared" si="26"/>
        <v>0</v>
      </c>
      <c r="T233" s="735">
        <f t="shared" si="27"/>
        <v>0</v>
      </c>
      <c r="U233" s="735">
        <f t="shared" si="28"/>
        <v>323978.3177008488</v>
      </c>
      <c r="V233" s="736">
        <f t="shared" si="29"/>
        <v>0</v>
      </c>
      <c r="W233" s="735">
        <f t="shared" si="30"/>
        <v>323978.3177008488</v>
      </c>
      <c r="X233" s="737">
        <f t="shared" si="31"/>
        <v>0</v>
      </c>
      <c r="Y233" s="738">
        <f t="shared" si="32"/>
        <v>0</v>
      </c>
    </row>
    <row r="234" spans="1:25">
      <c r="A234" s="754" t="str">
        <f>'Func Future Subs 2015'!A234</f>
        <v>Gregoire Substation 883S_180</v>
      </c>
      <c r="B234" s="754">
        <f>'Func Future Subs 2015'!B234</f>
        <v>1267</v>
      </c>
      <c r="C234" s="754">
        <f>'Func Future Subs 2015'!C234</f>
        <v>138</v>
      </c>
      <c r="D234" s="754">
        <f>'Func Future Subs 2015'!D234</f>
        <v>25</v>
      </c>
      <c r="E234" s="754" t="str">
        <f>'Func Future Subs 2015'!E234</f>
        <v>883S</v>
      </c>
      <c r="F234" s="754">
        <f>'Func Future Subs 2015'!F234</f>
        <v>89644.273802190583</v>
      </c>
      <c r="G234" s="754" t="str">
        <f>'Func Future Subs 2015'!G234</f>
        <v>ATCO</v>
      </c>
      <c r="H234" s="754">
        <f>'Func Future Subs 2015'!H234</f>
        <v>2015</v>
      </c>
      <c r="I234" s="306">
        <f>+IF($H234=I$2,VLOOKUP($G234,Depreciation!$A$14:$L$18,7,FALSE)/2,IF($H234&lt;I$2,VLOOKUP($G234,Depreciation!$A$14:$L$18,7,FALSE),0))</f>
        <v>1.221703683566912E-2</v>
      </c>
      <c r="J234" s="306">
        <f>+IF($H234=J$2,VLOOKUP($G234,Depreciation!$A$14:$L$18,8,FALSE)/2,IF($H234&lt;J$2,VLOOKUP($G234,Depreciation!$A$14:$L$18,8,FALSE),0))</f>
        <v>2.4632450501084719E-2</v>
      </c>
      <c r="K234" s="306">
        <f>+IF($H234=K$2,VLOOKUP($G234,Depreciation!$A$14:$L$18,9,FALSE)/2,IF($H234&lt;K$2,VLOOKUP($G234,Depreciation!$A$14:$L$18,9,FALSE),0))</f>
        <v>2.4351536427798831E-2</v>
      </c>
      <c r="L234" s="306">
        <f>+IF($H234=L$2,VLOOKUP($G234,Depreciation!$A$14:$L$18,10,FALSE)/2,IF($H234&lt;L$2,VLOOKUP($G234,Depreciation!$A$14:$L$18,10,FALSE),0))</f>
        <v>2.4351536427798831E-2</v>
      </c>
      <c r="M234" s="306">
        <f>+IF($H234=M$2,VLOOKUP($G234,Depreciation!$A$14:$L$18,11,FALSE)/2,IF($H234&lt;M$2,VLOOKUP($G234,Depreciation!$A$14:$L$18,11,FALSE),0))</f>
        <v>2.4351536427798831E-2</v>
      </c>
      <c r="N234" s="306">
        <f>+IF($H234=N$2,VLOOKUP($G234,Depreciation!$A$14:$L$18,12,FALSE)/2,IF($H234&lt;N$2,VLOOKUP($G234,Depreciation!$A$14:$L$18,12,FALSE),0))</f>
        <v>2.4351536427798831E-2</v>
      </c>
      <c r="O234" s="307">
        <f t="shared" si="25"/>
        <v>80210.732458423401</v>
      </c>
      <c r="P234" s="732">
        <f>'Func Future Subs 2015'!P234</f>
        <v>0</v>
      </c>
      <c r="Q234" s="732">
        <f>'Func Future Subs 2015'!Q234</f>
        <v>1</v>
      </c>
      <c r="R234" s="732">
        <f>'Func Future Subs 2015'!R234</f>
        <v>0</v>
      </c>
      <c r="S234" s="735">
        <f t="shared" si="26"/>
        <v>0</v>
      </c>
      <c r="T234" s="735">
        <f t="shared" si="27"/>
        <v>80210.732458423401</v>
      </c>
      <c r="U234" s="735">
        <f t="shared" si="28"/>
        <v>0</v>
      </c>
      <c r="V234" s="736">
        <f t="shared" si="29"/>
        <v>0</v>
      </c>
      <c r="W234" s="735">
        <f t="shared" si="30"/>
        <v>0</v>
      </c>
      <c r="X234" s="737">
        <f t="shared" si="31"/>
        <v>0</v>
      </c>
      <c r="Y234" s="738">
        <f t="shared" si="32"/>
        <v>80210.732458423401</v>
      </c>
    </row>
    <row r="235" spans="1:25">
      <c r="A235" s="754" t="str">
        <f>'Func Future Subs 2015'!A235</f>
        <v>Hangingston Substation 820S_180</v>
      </c>
      <c r="B235" s="754">
        <f>'Func Future Subs 2015'!B235</f>
        <v>1267</v>
      </c>
      <c r="C235" s="754">
        <f>'Func Future Subs 2015'!C235</f>
        <v>138</v>
      </c>
      <c r="D235" s="754">
        <f>'Func Future Subs 2015'!D235</f>
        <v>25</v>
      </c>
      <c r="E235" s="754" t="str">
        <f>'Func Future Subs 2015'!E235</f>
        <v>820S</v>
      </c>
      <c r="F235" s="754">
        <f>'Func Future Subs 2015'!F235</f>
        <v>147566.79268526638</v>
      </c>
      <c r="G235" s="754" t="str">
        <f>'Func Future Subs 2015'!G235</f>
        <v>ATCO</v>
      </c>
      <c r="H235" s="754">
        <f>'Func Future Subs 2015'!H235</f>
        <v>2015</v>
      </c>
      <c r="I235" s="306">
        <f>+IF($H235=I$2,VLOOKUP($G235,Depreciation!$A$14:$L$18,7,FALSE)/2,IF($H235&lt;I$2,VLOOKUP($G235,Depreciation!$A$14:$L$18,7,FALSE),0))</f>
        <v>1.221703683566912E-2</v>
      </c>
      <c r="J235" s="306">
        <f>+IF($H235=J$2,VLOOKUP($G235,Depreciation!$A$14:$L$18,8,FALSE)/2,IF($H235&lt;J$2,VLOOKUP($G235,Depreciation!$A$14:$L$18,8,FALSE),0))</f>
        <v>2.4632450501084719E-2</v>
      </c>
      <c r="K235" s="306">
        <f>+IF($H235=K$2,VLOOKUP($G235,Depreciation!$A$14:$L$18,9,FALSE)/2,IF($H235&lt;K$2,VLOOKUP($G235,Depreciation!$A$14:$L$18,9,FALSE),0))</f>
        <v>2.4351536427798831E-2</v>
      </c>
      <c r="L235" s="306">
        <f>+IF($H235=L$2,VLOOKUP($G235,Depreciation!$A$14:$L$18,10,FALSE)/2,IF($H235&lt;L$2,VLOOKUP($G235,Depreciation!$A$14:$L$18,10,FALSE),0))</f>
        <v>2.4351536427798831E-2</v>
      </c>
      <c r="M235" s="306">
        <f>+IF($H235=M$2,VLOOKUP($G235,Depreciation!$A$14:$L$18,11,FALSE)/2,IF($H235&lt;M$2,VLOOKUP($G235,Depreciation!$A$14:$L$18,11,FALSE),0))</f>
        <v>2.4351536427798831E-2</v>
      </c>
      <c r="N235" s="306">
        <f>+IF($H235=N$2,VLOOKUP($G235,Depreciation!$A$14:$L$18,12,FALSE)/2,IF($H235&lt;N$2,VLOOKUP($G235,Depreciation!$A$14:$L$18,12,FALSE),0))</f>
        <v>2.4351536427798831E-2</v>
      </c>
      <c r="O235" s="307">
        <f t="shared" si="25"/>
        <v>132037.88737185681</v>
      </c>
      <c r="P235" s="732">
        <f>'Func Future Subs 2015'!P235</f>
        <v>0</v>
      </c>
      <c r="Q235" s="732">
        <f>'Func Future Subs 2015'!Q235</f>
        <v>1</v>
      </c>
      <c r="R235" s="732">
        <f>'Func Future Subs 2015'!R235</f>
        <v>0</v>
      </c>
      <c r="S235" s="735">
        <f t="shared" si="26"/>
        <v>0</v>
      </c>
      <c r="T235" s="735">
        <f t="shared" si="27"/>
        <v>132037.88737185681</v>
      </c>
      <c r="U235" s="735">
        <f t="shared" si="28"/>
        <v>0</v>
      </c>
      <c r="V235" s="736">
        <f t="shared" si="29"/>
        <v>0</v>
      </c>
      <c r="W235" s="735">
        <f t="shared" si="30"/>
        <v>0</v>
      </c>
      <c r="X235" s="737">
        <f t="shared" si="31"/>
        <v>0</v>
      </c>
      <c r="Y235" s="738">
        <f t="shared" si="32"/>
        <v>132037.88737185681</v>
      </c>
    </row>
    <row r="236" spans="1:25">
      <c r="A236" s="754" t="str">
        <f>'Func Future Subs 2015'!A236</f>
        <v>MacMillan Substation 885S_180</v>
      </c>
      <c r="B236" s="754">
        <f>'Func Future Subs 2015'!B236</f>
        <v>1267</v>
      </c>
      <c r="C236" s="754">
        <f>'Func Future Subs 2015'!C236</f>
        <v>240</v>
      </c>
      <c r="D236" s="754">
        <f>'Func Future Subs 2015'!D236</f>
        <v>144</v>
      </c>
      <c r="E236" s="754" t="str">
        <f>'Func Future Subs 2015'!E236</f>
        <v>885S</v>
      </c>
      <c r="F236" s="754">
        <f>'Func Future Subs 2015'!F236</f>
        <v>143610.55197275945</v>
      </c>
      <c r="G236" s="754" t="str">
        <f>'Func Future Subs 2015'!G236</f>
        <v>ATCO</v>
      </c>
      <c r="H236" s="754">
        <f>'Func Future Subs 2015'!H236</f>
        <v>2015</v>
      </c>
      <c r="I236" s="306">
        <f>+IF($H236=I$2,VLOOKUP($G236,Depreciation!$A$14:$L$18,7,FALSE)/2,IF($H236&lt;I$2,VLOOKUP($G236,Depreciation!$A$14:$L$18,7,FALSE),0))</f>
        <v>1.221703683566912E-2</v>
      </c>
      <c r="J236" s="306">
        <f>+IF($H236=J$2,VLOOKUP($G236,Depreciation!$A$14:$L$18,8,FALSE)/2,IF($H236&lt;J$2,VLOOKUP($G236,Depreciation!$A$14:$L$18,8,FALSE),0))</f>
        <v>2.4632450501084719E-2</v>
      </c>
      <c r="K236" s="306">
        <f>+IF($H236=K$2,VLOOKUP($G236,Depreciation!$A$14:$L$18,9,FALSE)/2,IF($H236&lt;K$2,VLOOKUP($G236,Depreciation!$A$14:$L$18,9,FALSE),0))</f>
        <v>2.4351536427798831E-2</v>
      </c>
      <c r="L236" s="306">
        <f>+IF($H236=L$2,VLOOKUP($G236,Depreciation!$A$14:$L$18,10,FALSE)/2,IF($H236&lt;L$2,VLOOKUP($G236,Depreciation!$A$14:$L$18,10,FALSE),0))</f>
        <v>2.4351536427798831E-2</v>
      </c>
      <c r="M236" s="306">
        <f>+IF($H236=M$2,VLOOKUP($G236,Depreciation!$A$14:$L$18,11,FALSE)/2,IF($H236&lt;M$2,VLOOKUP($G236,Depreciation!$A$14:$L$18,11,FALSE),0))</f>
        <v>2.4351536427798831E-2</v>
      </c>
      <c r="N236" s="306">
        <f>+IF($H236=N$2,VLOOKUP($G236,Depreciation!$A$14:$L$18,12,FALSE)/2,IF($H236&lt;N$2,VLOOKUP($G236,Depreciation!$A$14:$L$18,12,FALSE),0))</f>
        <v>2.4351536427798831E-2</v>
      </c>
      <c r="O236" s="307">
        <f t="shared" si="25"/>
        <v>128497.9739800406</v>
      </c>
      <c r="P236" s="732">
        <f>'Func Future Subs 2015'!P236</f>
        <v>0</v>
      </c>
      <c r="Q236" s="732">
        <f>'Func Future Subs 2015'!Q236</f>
        <v>0</v>
      </c>
      <c r="R236" s="732">
        <f>'Func Future Subs 2015'!R236</f>
        <v>1</v>
      </c>
      <c r="S236" s="735">
        <f t="shared" si="26"/>
        <v>0</v>
      </c>
      <c r="T236" s="735">
        <f t="shared" si="27"/>
        <v>0</v>
      </c>
      <c r="U236" s="735">
        <f t="shared" si="28"/>
        <v>128497.9739800406</v>
      </c>
      <c r="V236" s="736">
        <f t="shared" si="29"/>
        <v>0</v>
      </c>
      <c r="W236" s="735">
        <f t="shared" si="30"/>
        <v>0</v>
      </c>
      <c r="X236" s="737">
        <f t="shared" si="31"/>
        <v>128497.9739800406</v>
      </c>
      <c r="Y236" s="738">
        <f t="shared" si="32"/>
        <v>0</v>
      </c>
    </row>
    <row r="237" spans="1:25">
      <c r="A237" s="754" t="str">
        <f>'Func Future Subs 2015'!A237</f>
        <v>Edwards Lake 189S preferred</v>
      </c>
      <c r="B237" s="754">
        <f>'Func Future Subs 2015'!B237</f>
        <v>1287</v>
      </c>
      <c r="C237" s="754">
        <f>'Func Future Subs 2015'!C237</f>
        <v>240</v>
      </c>
      <c r="D237" s="754">
        <f>'Func Future Subs 2015'!D237</f>
        <v>25</v>
      </c>
      <c r="E237" s="754" t="str">
        <f>'Func Future Subs 2015'!E237</f>
        <v>189S</v>
      </c>
      <c r="F237" s="754">
        <f>'Func Future Subs 2015'!F237</f>
        <v>36842122.514386363</v>
      </c>
      <c r="G237" s="754" t="str">
        <f>'Func Future Subs 2015'!G237</f>
        <v>AltaLink</v>
      </c>
      <c r="H237" s="754">
        <f>'Func Future Subs 2015'!H237</f>
        <v>2019</v>
      </c>
      <c r="I237" s="306">
        <f>+IF($H237=I$2,VLOOKUP($G237,Depreciation!$A$14:$L$18,7,FALSE)/2,IF($H237&lt;I$2,VLOOKUP($G237,Depreciation!$A$14:$L$18,7,FALSE),0))</f>
        <v>0</v>
      </c>
      <c r="J237" s="306">
        <f>+IF($H237=J$2,VLOOKUP($G237,Depreciation!$A$14:$L$18,8,FALSE)/2,IF($H237&lt;J$2,VLOOKUP($G237,Depreciation!$A$14:$L$18,8,FALSE),0))</f>
        <v>0</v>
      </c>
      <c r="K237" s="306">
        <f>+IF($H237=K$2,VLOOKUP($G237,Depreciation!$A$14:$L$18,9,FALSE)/2,IF($H237&lt;K$2,VLOOKUP($G237,Depreciation!$A$14:$L$18,9,FALSE),0))</f>
        <v>0</v>
      </c>
      <c r="L237" s="306">
        <f>+IF($H237=L$2,VLOOKUP($G237,Depreciation!$A$14:$L$18,10,FALSE)/2,IF($H237&lt;L$2,VLOOKUP($G237,Depreciation!$A$14:$L$18,10,FALSE),0))</f>
        <v>0</v>
      </c>
      <c r="M237" s="306">
        <f>+IF($H237=M$2,VLOOKUP($G237,Depreciation!$A$14:$L$18,11,FALSE)/2,IF($H237&lt;M$2,VLOOKUP($G237,Depreciation!$A$14:$L$18,11,FALSE),0))</f>
        <v>1.671703928371859E-2</v>
      </c>
      <c r="N237" s="306">
        <f>+IF($H237=N$2,VLOOKUP($G237,Depreciation!$A$14:$L$18,12,FALSE)/2,IF($H237&lt;N$2,VLOOKUP($G237,Depreciation!$A$14:$L$18,12,FALSE),0))</f>
        <v>3.343407856743718E-2</v>
      </c>
      <c r="O237" s="307">
        <f t="shared" si="25"/>
        <v>36226231.305017792</v>
      </c>
      <c r="P237" s="732">
        <f>'Func Future Subs 2015'!P237</f>
        <v>0</v>
      </c>
      <c r="Q237" s="732">
        <f>'Func Future Subs 2015'!Q237</f>
        <v>0</v>
      </c>
      <c r="R237" s="732">
        <f>'Func Future Subs 2015'!R237</f>
        <v>1</v>
      </c>
      <c r="S237" s="735">
        <f t="shared" si="26"/>
        <v>0</v>
      </c>
      <c r="T237" s="735">
        <f t="shared" si="27"/>
        <v>0</v>
      </c>
      <c r="U237" s="735">
        <f t="shared" si="28"/>
        <v>36226231.305017792</v>
      </c>
      <c r="V237" s="736">
        <f t="shared" si="29"/>
        <v>0</v>
      </c>
      <c r="W237" s="735">
        <f t="shared" si="30"/>
        <v>0</v>
      </c>
      <c r="X237" s="737">
        <f t="shared" si="31"/>
        <v>0</v>
      </c>
      <c r="Y237" s="738">
        <f t="shared" si="32"/>
        <v>36226231.305017792</v>
      </c>
    </row>
    <row r="238" spans="1:25">
      <c r="A238" s="754" t="str">
        <f>'Func Future Subs 2015'!A238</f>
        <v>Heart Lake 898S</v>
      </c>
      <c r="B238" s="754">
        <f>'Func Future Subs 2015'!B238</f>
        <v>1287</v>
      </c>
      <c r="C238" s="754">
        <f>'Func Future Subs 2015'!C238</f>
        <v>240</v>
      </c>
      <c r="D238" s="754">
        <f>'Func Future Subs 2015'!D238</f>
        <v>144</v>
      </c>
      <c r="E238" s="754" t="str">
        <f>'Func Future Subs 2015'!E238</f>
        <v>898S</v>
      </c>
      <c r="F238" s="754">
        <f>'Func Future Subs 2015'!F238</f>
        <v>267302.36990519403</v>
      </c>
      <c r="G238" s="754" t="str">
        <f>'Func Future Subs 2015'!G238</f>
        <v>ATCO</v>
      </c>
      <c r="H238" s="754">
        <f>'Func Future Subs 2015'!H238</f>
        <v>2019</v>
      </c>
      <c r="I238" s="306">
        <f>+IF($H238=I$2,VLOOKUP($G238,Depreciation!$A$14:$L$18,7,FALSE)/2,IF($H238&lt;I$2,VLOOKUP($G238,Depreciation!$A$14:$L$18,7,FALSE),0))</f>
        <v>0</v>
      </c>
      <c r="J238" s="306">
        <f>+IF($H238=J$2,VLOOKUP($G238,Depreciation!$A$14:$L$18,8,FALSE)/2,IF($H238&lt;J$2,VLOOKUP($G238,Depreciation!$A$14:$L$18,8,FALSE),0))</f>
        <v>0</v>
      </c>
      <c r="K238" s="306">
        <f>+IF($H238=K$2,VLOOKUP($G238,Depreciation!$A$14:$L$18,9,FALSE)/2,IF($H238&lt;K$2,VLOOKUP($G238,Depreciation!$A$14:$L$18,9,FALSE),0))</f>
        <v>0</v>
      </c>
      <c r="L238" s="306">
        <f>+IF($H238=L$2,VLOOKUP($G238,Depreciation!$A$14:$L$18,10,FALSE)/2,IF($H238&lt;L$2,VLOOKUP($G238,Depreciation!$A$14:$L$18,10,FALSE),0))</f>
        <v>0</v>
      </c>
      <c r="M238" s="306">
        <f>+IF($H238=M$2,VLOOKUP($G238,Depreciation!$A$14:$L$18,11,FALSE)/2,IF($H238&lt;M$2,VLOOKUP($G238,Depreciation!$A$14:$L$18,11,FALSE),0))</f>
        <v>1.2175768213899416E-2</v>
      </c>
      <c r="N238" s="306">
        <f>+IF($H238=N$2,VLOOKUP($G238,Depreciation!$A$14:$L$18,12,FALSE)/2,IF($H238&lt;N$2,VLOOKUP($G238,Depreciation!$A$14:$L$18,12,FALSE),0))</f>
        <v>2.4351536427798831E-2</v>
      </c>
      <c r="O238" s="307">
        <f t="shared" si="25"/>
        <v>264047.75820620236</v>
      </c>
      <c r="P238" s="732">
        <f>'Func Future Subs 2015'!P238</f>
        <v>0</v>
      </c>
      <c r="Q238" s="732">
        <f>'Func Future Subs 2015'!Q238</f>
        <v>0</v>
      </c>
      <c r="R238" s="732">
        <f>'Func Future Subs 2015'!R238</f>
        <v>1</v>
      </c>
      <c r="S238" s="735">
        <f t="shared" si="26"/>
        <v>0</v>
      </c>
      <c r="T238" s="735">
        <f t="shared" si="27"/>
        <v>0</v>
      </c>
      <c r="U238" s="735">
        <f t="shared" si="28"/>
        <v>264047.75820620236</v>
      </c>
      <c r="V238" s="736">
        <f t="shared" si="29"/>
        <v>0</v>
      </c>
      <c r="W238" s="735">
        <f t="shared" si="30"/>
        <v>0</v>
      </c>
      <c r="X238" s="737">
        <f t="shared" si="31"/>
        <v>264047.75820620236</v>
      </c>
      <c r="Y238" s="738">
        <f t="shared" si="32"/>
        <v>0</v>
      </c>
    </row>
    <row r="239" spans="1:25">
      <c r="A239" s="754" t="str">
        <f>'Func Future Subs 2015'!A239</f>
        <v>Deerland 13S substation</v>
      </c>
      <c r="B239" s="754">
        <f>'Func Future Subs 2015'!B239</f>
        <v>1289</v>
      </c>
      <c r="C239" s="754">
        <f>'Func Future Subs 2015'!C239</f>
        <v>138</v>
      </c>
      <c r="D239" s="754">
        <f>'Func Future Subs 2015'!D239</f>
        <v>138</v>
      </c>
      <c r="E239" s="754" t="str">
        <f>'Func Future Subs 2015'!E239</f>
        <v>13S</v>
      </c>
      <c r="F239" s="754">
        <f>'Func Future Subs 2015'!F239</f>
        <v>3106833.197389883</v>
      </c>
      <c r="G239" s="754" t="str">
        <f>'Func Future Subs 2015'!G239</f>
        <v>AltaLink</v>
      </c>
      <c r="H239" s="754">
        <f>'Func Future Subs 2015'!H239</f>
        <v>2017</v>
      </c>
      <c r="I239" s="306">
        <f>+IF($H239=I$2,VLOOKUP($G239,Depreciation!$A$14:$L$18,7,FALSE)/2,IF($H239&lt;I$2,VLOOKUP($G239,Depreciation!$A$14:$L$18,7,FALSE),0))</f>
        <v>0</v>
      </c>
      <c r="J239" s="306">
        <f>+IF($H239=J$2,VLOOKUP($G239,Depreciation!$A$14:$L$18,8,FALSE)/2,IF($H239&lt;J$2,VLOOKUP($G239,Depreciation!$A$14:$L$18,8,FALSE),0))</f>
        <v>0</v>
      </c>
      <c r="K239" s="306">
        <f>+IF($H239=K$2,VLOOKUP($G239,Depreciation!$A$14:$L$18,9,FALSE)/2,IF($H239&lt;K$2,VLOOKUP($G239,Depreciation!$A$14:$L$18,9,FALSE),0))</f>
        <v>1.671703928371859E-2</v>
      </c>
      <c r="L239" s="306">
        <f>+IF($H239=L$2,VLOOKUP($G239,Depreciation!$A$14:$L$18,10,FALSE)/2,IF($H239&lt;L$2,VLOOKUP($G239,Depreciation!$A$14:$L$18,10,FALSE),0))</f>
        <v>3.343407856743718E-2</v>
      </c>
      <c r="M239" s="306">
        <f>+IF($H239=M$2,VLOOKUP($G239,Depreciation!$A$14:$L$18,11,FALSE)/2,IF($H239&lt;M$2,VLOOKUP($G239,Depreciation!$A$14:$L$18,11,FALSE),0))</f>
        <v>3.343407856743718E-2</v>
      </c>
      <c r="N239" s="306">
        <f>+IF($H239=N$2,VLOOKUP($G239,Depreciation!$A$14:$L$18,12,FALSE)/2,IF($H239&lt;N$2,VLOOKUP($G239,Depreciation!$A$14:$L$18,12,FALSE),0))</f>
        <v>3.343407856743718E-2</v>
      </c>
      <c r="O239" s="307">
        <f t="shared" si="25"/>
        <v>2854035.7471454293</v>
      </c>
      <c r="P239" s="732">
        <f>'Func Future Subs 2015'!P239</f>
        <v>0</v>
      </c>
      <c r="Q239" s="732">
        <f>'Func Future Subs 2015'!Q239</f>
        <v>0</v>
      </c>
      <c r="R239" s="732">
        <f>'Func Future Subs 2015'!R239</f>
        <v>1</v>
      </c>
      <c r="S239" s="735">
        <f t="shared" si="26"/>
        <v>0</v>
      </c>
      <c r="T239" s="735">
        <f t="shared" si="27"/>
        <v>0</v>
      </c>
      <c r="U239" s="735">
        <f t="shared" si="28"/>
        <v>2854035.7471454293</v>
      </c>
      <c r="V239" s="736">
        <f t="shared" si="29"/>
        <v>0</v>
      </c>
      <c r="W239" s="735">
        <f t="shared" si="30"/>
        <v>0</v>
      </c>
      <c r="X239" s="737">
        <f t="shared" si="31"/>
        <v>2854035.7471454293</v>
      </c>
      <c r="Y239" s="738">
        <f t="shared" si="32"/>
        <v>0</v>
      </c>
    </row>
    <row r="240" spans="1:25">
      <c r="A240" s="754" t="str">
        <f>'Func Future Subs 2015'!A240</f>
        <v>New Whitetail Peaking Station 976S(part of scope)</v>
      </c>
      <c r="B240" s="754">
        <f>'Func Future Subs 2015'!B240</f>
        <v>1290</v>
      </c>
      <c r="C240" s="754">
        <f>'Func Future Subs 2015'!C240</f>
        <v>144</v>
      </c>
      <c r="D240" s="754">
        <f>'Func Future Subs 2015'!D240</f>
        <v>144</v>
      </c>
      <c r="E240" s="754" t="str">
        <f>'Func Future Subs 2015'!E240</f>
        <v>976S</v>
      </c>
      <c r="F240" s="754">
        <f>'Func Future Subs 2015'!F240</f>
        <v>561275.46753523592</v>
      </c>
      <c r="G240" s="754" t="str">
        <f>'Func Future Subs 2015'!G240</f>
        <v>ATCO</v>
      </c>
      <c r="H240" s="754">
        <f>'Func Future Subs 2015'!H240</f>
        <v>2018</v>
      </c>
      <c r="I240" s="306">
        <f>+IF($H240=I$2,VLOOKUP($G240,Depreciation!$A$14:$L$18,7,FALSE)/2,IF($H240&lt;I$2,VLOOKUP($G240,Depreciation!$A$14:$L$18,7,FALSE),0))</f>
        <v>0</v>
      </c>
      <c r="J240" s="306">
        <f>+IF($H240=J$2,VLOOKUP($G240,Depreciation!$A$14:$L$18,8,FALSE)/2,IF($H240&lt;J$2,VLOOKUP($G240,Depreciation!$A$14:$L$18,8,FALSE),0))</f>
        <v>0</v>
      </c>
      <c r="K240" s="306">
        <f>+IF($H240=K$2,VLOOKUP($G240,Depreciation!$A$14:$L$18,9,FALSE)/2,IF($H240&lt;K$2,VLOOKUP($G240,Depreciation!$A$14:$L$18,9,FALSE),0))</f>
        <v>0</v>
      </c>
      <c r="L240" s="306">
        <f>+IF($H240=L$2,VLOOKUP($G240,Depreciation!$A$14:$L$18,10,FALSE)/2,IF($H240&lt;L$2,VLOOKUP($G240,Depreciation!$A$14:$L$18,10,FALSE),0))</f>
        <v>1.2175768213899416E-2</v>
      </c>
      <c r="M240" s="306">
        <f>+IF($H240=M$2,VLOOKUP($G240,Depreciation!$A$14:$L$18,11,FALSE)/2,IF($H240&lt;M$2,VLOOKUP($G240,Depreciation!$A$14:$L$18,11,FALSE),0))</f>
        <v>2.4351536427798831E-2</v>
      </c>
      <c r="N240" s="306">
        <f>+IF($H240=N$2,VLOOKUP($G240,Depreciation!$A$14:$L$18,12,FALSE)/2,IF($H240&lt;N$2,VLOOKUP($G240,Depreciation!$A$14:$L$18,12,FALSE),0))</f>
        <v>2.4351536427798831E-2</v>
      </c>
      <c r="O240" s="307">
        <f t="shared" si="25"/>
        <v>540940.00497047429</v>
      </c>
      <c r="P240" s="732">
        <f>'Func Future Subs 2015'!P240</f>
        <v>0</v>
      </c>
      <c r="Q240" s="732">
        <f>'Func Future Subs 2015'!Q240</f>
        <v>0</v>
      </c>
      <c r="R240" s="732">
        <f>'Func Future Subs 2015'!R240</f>
        <v>1</v>
      </c>
      <c r="S240" s="735">
        <f t="shared" si="26"/>
        <v>0</v>
      </c>
      <c r="T240" s="735">
        <f t="shared" si="27"/>
        <v>0</v>
      </c>
      <c r="U240" s="735">
        <f t="shared" si="28"/>
        <v>540940.00497047429</v>
      </c>
      <c r="V240" s="736">
        <f t="shared" si="29"/>
        <v>0</v>
      </c>
      <c r="W240" s="735">
        <f t="shared" si="30"/>
        <v>0</v>
      </c>
      <c r="X240" s="737">
        <f t="shared" si="31"/>
        <v>540940.00497047429</v>
      </c>
      <c r="Y240" s="738">
        <f t="shared" si="32"/>
        <v>0</v>
      </c>
    </row>
    <row r="241" spans="1:25">
      <c r="A241" s="754" t="str">
        <f>'Func Future Subs 2015'!A241</f>
        <v>[Final]659S substation</v>
      </c>
      <c r="B241" s="754">
        <f>'Func Future Subs 2015'!B241</f>
        <v>1294</v>
      </c>
      <c r="C241" s="754">
        <f>'Func Future Subs 2015'!C241</f>
        <v>69</v>
      </c>
      <c r="D241" s="754">
        <f>'Func Future Subs 2015'!D241</f>
        <v>25</v>
      </c>
      <c r="E241" s="754" t="str">
        <f>'Func Future Subs 2015'!E241</f>
        <v>659S</v>
      </c>
      <c r="F241" s="754">
        <f>'Func Future Subs 2015'!F241</f>
        <v>4433924</v>
      </c>
      <c r="G241" s="754" t="str">
        <f>'Func Future Subs 2015'!G241</f>
        <v>AltaLink</v>
      </c>
      <c r="H241" s="754">
        <f>'Func Future Subs 2015'!H241</f>
        <v>2015</v>
      </c>
      <c r="I241" s="306">
        <f>+IF($H241=I$2,VLOOKUP($G241,Depreciation!$A$14:$L$18,7,FALSE)/2,IF($H241&lt;I$2,VLOOKUP($G241,Depreciation!$A$14:$L$18,7,FALSE),0))</f>
        <v>1.7228380322441735E-2</v>
      </c>
      <c r="J241" s="306">
        <f>+IF($H241=J$2,VLOOKUP($G241,Depreciation!$A$14:$L$18,8,FALSE)/2,IF($H241&lt;J$2,VLOOKUP($G241,Depreciation!$A$14:$L$18,8,FALSE),0))</f>
        <v>3.343407856743718E-2</v>
      </c>
      <c r="K241" s="306">
        <f>+IF($H241=K$2,VLOOKUP($G241,Depreciation!$A$14:$L$18,9,FALSE)/2,IF($H241&lt;K$2,VLOOKUP($G241,Depreciation!$A$14:$L$18,9,FALSE),0))</f>
        <v>3.343407856743718E-2</v>
      </c>
      <c r="L241" s="306">
        <f>+IF($H241=L$2,VLOOKUP($G241,Depreciation!$A$14:$L$18,10,FALSE)/2,IF($H241&lt;L$2,VLOOKUP($G241,Depreciation!$A$14:$L$18,10,FALSE),0))</f>
        <v>3.343407856743718E-2</v>
      </c>
      <c r="M241" s="306">
        <f>+IF($H241=M$2,VLOOKUP($G241,Depreciation!$A$14:$L$18,11,FALSE)/2,IF($H241&lt;M$2,VLOOKUP($G241,Depreciation!$A$14:$L$18,11,FALSE),0))</f>
        <v>3.343407856743718E-2</v>
      </c>
      <c r="N241" s="306">
        <f>+IF($H241=N$2,VLOOKUP($G241,Depreciation!$A$14:$L$18,12,FALSE)/2,IF($H241&lt;N$2,VLOOKUP($G241,Depreciation!$A$14:$L$18,12,FALSE),0))</f>
        <v>3.343407856743718E-2</v>
      </c>
      <c r="O241" s="307">
        <f t="shared" si="25"/>
        <v>3803354.154907424</v>
      </c>
      <c r="P241" s="732">
        <f>'Func Future Subs 2015'!P241</f>
        <v>0.54090909090909089</v>
      </c>
      <c r="Q241" s="732">
        <f>'Func Future Subs 2015'!Q241</f>
        <v>0.45909090909090905</v>
      </c>
      <c r="R241" s="732">
        <f>'Func Future Subs 2015'!R241</f>
        <v>0</v>
      </c>
      <c r="S241" s="735">
        <f t="shared" si="26"/>
        <v>2057268.8383362885</v>
      </c>
      <c r="T241" s="735">
        <f t="shared" si="27"/>
        <v>1746085.3165711353</v>
      </c>
      <c r="U241" s="735">
        <f t="shared" si="28"/>
        <v>0</v>
      </c>
      <c r="V241" s="736">
        <f t="shared" si="29"/>
        <v>0</v>
      </c>
      <c r="W241" s="735">
        <f t="shared" si="30"/>
        <v>2057268.8383362885</v>
      </c>
      <c r="X241" s="737">
        <f t="shared" si="31"/>
        <v>0</v>
      </c>
      <c r="Y241" s="738">
        <f t="shared" si="32"/>
        <v>1746085.3165711353</v>
      </c>
    </row>
    <row r="242" spans="1:25">
      <c r="A242" s="754" t="str">
        <f>'Func Future Subs 2015'!A242</f>
        <v>659S substation</v>
      </c>
      <c r="B242" s="754">
        <f>'Func Future Subs 2015'!B242</f>
        <v>1294</v>
      </c>
      <c r="C242" s="754">
        <f>'Func Future Subs 2015'!C242</f>
        <v>69</v>
      </c>
      <c r="D242" s="754">
        <f>'Func Future Subs 2015'!D242</f>
        <v>25</v>
      </c>
      <c r="E242" s="754" t="str">
        <f>'Func Future Subs 2015'!E242</f>
        <v>659S</v>
      </c>
      <c r="F242" s="754">
        <f>'Func Future Subs 2015'!F242</f>
        <v>5633000.0000000028</v>
      </c>
      <c r="G242" s="754" t="str">
        <f>'Func Future Subs 2015'!G242</f>
        <v>AltaLink</v>
      </c>
      <c r="H242" s="754">
        <f>'Func Future Subs 2015'!H242</f>
        <v>2015</v>
      </c>
      <c r="I242" s="306">
        <f>+IF($H242=I$2,VLOOKUP($G242,Depreciation!$A$14:$L$18,7,FALSE)/2,IF($H242&lt;I$2,VLOOKUP($G242,Depreciation!$A$14:$L$18,7,FALSE),0))</f>
        <v>1.7228380322441735E-2</v>
      </c>
      <c r="J242" s="306">
        <f>+IF($H242=J$2,VLOOKUP($G242,Depreciation!$A$14:$L$18,8,FALSE)/2,IF($H242&lt;J$2,VLOOKUP($G242,Depreciation!$A$14:$L$18,8,FALSE),0))</f>
        <v>3.343407856743718E-2</v>
      </c>
      <c r="K242" s="306">
        <f>+IF($H242=K$2,VLOOKUP($G242,Depreciation!$A$14:$L$18,9,FALSE)/2,IF($H242&lt;K$2,VLOOKUP($G242,Depreciation!$A$14:$L$18,9,FALSE),0))</f>
        <v>3.343407856743718E-2</v>
      </c>
      <c r="L242" s="306">
        <f>+IF($H242=L$2,VLOOKUP($G242,Depreciation!$A$14:$L$18,10,FALSE)/2,IF($H242&lt;L$2,VLOOKUP($G242,Depreciation!$A$14:$L$18,10,FALSE),0))</f>
        <v>3.343407856743718E-2</v>
      </c>
      <c r="M242" s="306">
        <f>+IF($H242=M$2,VLOOKUP($G242,Depreciation!$A$14:$L$18,11,FALSE)/2,IF($H242&lt;M$2,VLOOKUP($G242,Depreciation!$A$14:$L$18,11,FALSE),0))</f>
        <v>3.343407856743718E-2</v>
      </c>
      <c r="N242" s="306">
        <f>+IF($H242=N$2,VLOOKUP($G242,Depreciation!$A$14:$L$18,12,FALSE)/2,IF($H242&lt;N$2,VLOOKUP($G242,Depreciation!$A$14:$L$18,12,FALSE),0))</f>
        <v>3.343407856743718E-2</v>
      </c>
      <c r="O242" s="307">
        <f t="shared" si="25"/>
        <v>4831903.7391244266</v>
      </c>
      <c r="P242" s="732">
        <f>'Func Future Subs 2015'!P242</f>
        <v>0.54090909090909089</v>
      </c>
      <c r="Q242" s="732">
        <f>'Func Future Subs 2015'!Q242</f>
        <v>0.45909090909090905</v>
      </c>
      <c r="R242" s="732">
        <f>'Func Future Subs 2015'!R242</f>
        <v>0</v>
      </c>
      <c r="S242" s="735">
        <f t="shared" si="26"/>
        <v>2613620.6588900308</v>
      </c>
      <c r="T242" s="735">
        <f t="shared" si="27"/>
        <v>2218283.0802343958</v>
      </c>
      <c r="U242" s="735">
        <f t="shared" si="28"/>
        <v>0</v>
      </c>
      <c r="V242" s="736">
        <f t="shared" si="29"/>
        <v>0</v>
      </c>
      <c r="W242" s="735">
        <f t="shared" si="30"/>
        <v>2613620.6588900308</v>
      </c>
      <c r="X242" s="737">
        <f t="shared" si="31"/>
        <v>0</v>
      </c>
      <c r="Y242" s="738">
        <f t="shared" si="32"/>
        <v>2218283.0802343958</v>
      </c>
    </row>
    <row r="243" spans="1:25">
      <c r="A243" s="754" t="str">
        <f>'Func Future Subs 2015'!A243</f>
        <v>162SS</v>
      </c>
      <c r="B243" s="754">
        <f>'Func Future Subs 2015'!B243</f>
        <v>1314</v>
      </c>
      <c r="C243" s="754">
        <f>'Func Future Subs 2015'!C243</f>
        <v>138</v>
      </c>
      <c r="D243" s="754">
        <f>'Func Future Subs 2015'!D243</f>
        <v>0</v>
      </c>
      <c r="E243" s="754" t="str">
        <f>'Func Future Subs 2015'!E243</f>
        <v>162SS</v>
      </c>
      <c r="F243" s="754">
        <f>'Func Future Subs 2015'!F243</f>
        <v>16742409.726119097</v>
      </c>
      <c r="G243" s="754" t="str">
        <f>'Func Future Subs 2015'!G243</f>
        <v>ENMAX</v>
      </c>
      <c r="H243" s="754">
        <f>'Func Future Subs 2015'!H243</f>
        <v>2015</v>
      </c>
      <c r="I243" s="306">
        <f>+IF($H243=I$2,VLOOKUP($G243,Depreciation!$A$14:$L$18,7,FALSE)/2,IF($H243&lt;I$2,VLOOKUP($G243,Depreciation!$A$14:$L$18,7,FALSE),0))</f>
        <v>1.3928409269726289E-2</v>
      </c>
      <c r="J243" s="306">
        <f>+IF($H243=J$2,VLOOKUP($G243,Depreciation!$A$14:$L$18,8,FALSE)/2,IF($H243&lt;J$2,VLOOKUP($G243,Depreciation!$A$14:$L$18,8,FALSE),0))</f>
        <v>2.7856818539452578E-2</v>
      </c>
      <c r="K243" s="306">
        <f>+IF($H243=K$2,VLOOKUP($G243,Depreciation!$A$14:$L$18,9,FALSE)/2,IF($H243&lt;K$2,VLOOKUP($G243,Depreciation!$A$14:$L$18,9,FALSE),0))</f>
        <v>2.7856818539452578E-2</v>
      </c>
      <c r="L243" s="306">
        <f>+IF($H243=L$2,VLOOKUP($G243,Depreciation!$A$14:$L$18,10,FALSE)/2,IF($H243&lt;L$2,VLOOKUP($G243,Depreciation!$A$14:$L$18,10,FALSE),0))</f>
        <v>2.7856818539452578E-2</v>
      </c>
      <c r="M243" s="306">
        <f>+IF($H243=M$2,VLOOKUP($G243,Depreciation!$A$14:$L$18,11,FALSE)/2,IF($H243&lt;M$2,VLOOKUP($G243,Depreciation!$A$14:$L$18,11,FALSE),0))</f>
        <v>2.7856818539452578E-2</v>
      </c>
      <c r="N243" s="306">
        <f>+IF($H243=N$2,VLOOKUP($G243,Depreciation!$A$14:$L$18,12,FALSE)/2,IF($H243&lt;N$2,VLOOKUP($G243,Depreciation!$A$14:$L$18,12,FALSE),0))</f>
        <v>2.7856818539452578E-2</v>
      </c>
      <c r="O243" s="307">
        <f t="shared" si="25"/>
        <v>14745087.371367589</v>
      </c>
      <c r="P243" s="732">
        <f>'Func Future Subs 2015'!P243</f>
        <v>0</v>
      </c>
      <c r="Q243" s="732">
        <f>'Func Future Subs 2015'!Q243</f>
        <v>0</v>
      </c>
      <c r="R243" s="732">
        <f>'Func Future Subs 2015'!R243</f>
        <v>1</v>
      </c>
      <c r="S243" s="735">
        <f t="shared" si="26"/>
        <v>0</v>
      </c>
      <c r="T243" s="735">
        <f t="shared" si="27"/>
        <v>0</v>
      </c>
      <c r="U243" s="735">
        <f t="shared" si="28"/>
        <v>14745087.371367589</v>
      </c>
      <c r="V243" s="736">
        <f t="shared" si="29"/>
        <v>14745087.371367589</v>
      </c>
      <c r="W243" s="735">
        <f t="shared" si="30"/>
        <v>0</v>
      </c>
      <c r="X243" s="737">
        <f t="shared" si="31"/>
        <v>0</v>
      </c>
      <c r="Y243" s="738">
        <f t="shared" si="32"/>
        <v>0</v>
      </c>
    </row>
    <row r="244" spans="1:25">
      <c r="A244" s="754" t="str">
        <f>'Func Future Subs 2015'!A244</f>
        <v>Monitor 774S</v>
      </c>
      <c r="B244" s="754">
        <f>'Func Future Subs 2015'!B244</f>
        <v>1319</v>
      </c>
      <c r="C244" s="754">
        <f>'Func Future Subs 2015'!C244</f>
        <v>138</v>
      </c>
      <c r="D244" s="754">
        <f>'Func Future Subs 2015'!D244</f>
        <v>25</v>
      </c>
      <c r="E244" s="754" t="str">
        <f>'Func Future Subs 2015'!E244</f>
        <v>774S</v>
      </c>
      <c r="F244" s="754">
        <f>'Func Future Subs 2015'!F244</f>
        <v>3798763.0000000009</v>
      </c>
      <c r="G244" s="754" t="str">
        <f>'Func Future Subs 2015'!G244</f>
        <v>ATCO</v>
      </c>
      <c r="H244" s="754">
        <f>'Func Future Subs 2015'!H244</f>
        <v>2015</v>
      </c>
      <c r="I244" s="306">
        <f>+IF($H244=I$2,VLOOKUP($G244,Depreciation!$A$14:$L$18,7,FALSE)/2,IF($H244&lt;I$2,VLOOKUP($G244,Depreciation!$A$14:$L$18,7,FALSE),0))</f>
        <v>1.221703683566912E-2</v>
      </c>
      <c r="J244" s="306">
        <f>+IF($H244=J$2,VLOOKUP($G244,Depreciation!$A$14:$L$18,8,FALSE)/2,IF($H244&lt;J$2,VLOOKUP($G244,Depreciation!$A$14:$L$18,8,FALSE),0))</f>
        <v>2.4632450501084719E-2</v>
      </c>
      <c r="K244" s="306">
        <f>+IF($H244=K$2,VLOOKUP($G244,Depreciation!$A$14:$L$18,9,FALSE)/2,IF($H244&lt;K$2,VLOOKUP($G244,Depreciation!$A$14:$L$18,9,FALSE),0))</f>
        <v>2.4351536427798831E-2</v>
      </c>
      <c r="L244" s="306">
        <f>+IF($H244=L$2,VLOOKUP($G244,Depreciation!$A$14:$L$18,10,FALSE)/2,IF($H244&lt;L$2,VLOOKUP($G244,Depreciation!$A$14:$L$18,10,FALSE),0))</f>
        <v>2.4351536427798831E-2</v>
      </c>
      <c r="M244" s="306">
        <f>+IF($H244=M$2,VLOOKUP($G244,Depreciation!$A$14:$L$18,11,FALSE)/2,IF($H244&lt;M$2,VLOOKUP($G244,Depreciation!$A$14:$L$18,11,FALSE),0))</f>
        <v>2.4351536427798831E-2</v>
      </c>
      <c r="N244" s="306">
        <f>+IF($H244=N$2,VLOOKUP($G244,Depreciation!$A$14:$L$18,12,FALSE)/2,IF($H244&lt;N$2,VLOOKUP($G244,Depreciation!$A$14:$L$18,12,FALSE),0))</f>
        <v>2.4351536427798831E-2</v>
      </c>
      <c r="O244" s="307">
        <f t="shared" si="25"/>
        <v>3399007.541054029</v>
      </c>
      <c r="P244" s="732">
        <f>'Func Future Subs 2015'!P244</f>
        <v>0</v>
      </c>
      <c r="Q244" s="732">
        <f>'Func Future Subs 2015'!Q244</f>
        <v>1</v>
      </c>
      <c r="R244" s="732">
        <f>'Func Future Subs 2015'!R244</f>
        <v>0</v>
      </c>
      <c r="S244" s="735">
        <f t="shared" si="26"/>
        <v>0</v>
      </c>
      <c r="T244" s="735">
        <f t="shared" si="27"/>
        <v>3399007.541054029</v>
      </c>
      <c r="U244" s="735">
        <f t="shared" si="28"/>
        <v>0</v>
      </c>
      <c r="V244" s="736">
        <f t="shared" si="29"/>
        <v>0</v>
      </c>
      <c r="W244" s="735">
        <f t="shared" si="30"/>
        <v>0</v>
      </c>
      <c r="X244" s="737">
        <f t="shared" si="31"/>
        <v>0</v>
      </c>
      <c r="Y244" s="738">
        <f t="shared" si="32"/>
        <v>3399007.541054029</v>
      </c>
    </row>
    <row r="245" spans="1:25">
      <c r="A245" s="754" t="str">
        <f>'Func Future Subs 2015'!A245</f>
        <v>Brintnell</v>
      </c>
      <c r="B245" s="754">
        <f>'Func Future Subs 2015'!B245</f>
        <v>1321</v>
      </c>
      <c r="C245" s="754">
        <f>'Func Future Subs 2015'!C245</f>
        <v>138</v>
      </c>
      <c r="D245" s="754">
        <f>'Func Future Subs 2015'!D245</f>
        <v>0</v>
      </c>
      <c r="E245" s="754">
        <f>'Func Future Subs 2015'!E245</f>
        <v>0</v>
      </c>
      <c r="F245" s="754">
        <f>'Func Future Subs 2015'!F245</f>
        <v>51372.123717071459</v>
      </c>
      <c r="G245" s="754" t="str">
        <f>'Func Future Subs 2015'!G245</f>
        <v>ATCO</v>
      </c>
      <c r="H245" s="754">
        <f>'Func Future Subs 2015'!H245</f>
        <v>2017</v>
      </c>
      <c r="I245" s="306">
        <f>+IF($H245=I$2,VLOOKUP($G245,Depreciation!$A$14:$L$18,7,FALSE)/2,IF($H245&lt;I$2,VLOOKUP($G245,Depreciation!$A$14:$L$18,7,FALSE),0))</f>
        <v>0</v>
      </c>
      <c r="J245" s="306">
        <f>+IF($H245=J$2,VLOOKUP($G245,Depreciation!$A$14:$L$18,8,FALSE)/2,IF($H245&lt;J$2,VLOOKUP($G245,Depreciation!$A$14:$L$18,8,FALSE),0))</f>
        <v>0</v>
      </c>
      <c r="K245" s="306">
        <f>+IF($H245=K$2,VLOOKUP($G245,Depreciation!$A$14:$L$18,9,FALSE)/2,IF($H245&lt;K$2,VLOOKUP($G245,Depreciation!$A$14:$L$18,9,FALSE),0))</f>
        <v>1.2175768213899416E-2</v>
      </c>
      <c r="L245" s="306">
        <f>+IF($H245=L$2,VLOOKUP($G245,Depreciation!$A$14:$L$18,10,FALSE)/2,IF($H245&lt;L$2,VLOOKUP($G245,Depreciation!$A$14:$L$18,10,FALSE),0))</f>
        <v>2.4351536427798831E-2</v>
      </c>
      <c r="M245" s="306">
        <f>+IF($H245=M$2,VLOOKUP($G245,Depreciation!$A$14:$L$18,11,FALSE)/2,IF($H245&lt;M$2,VLOOKUP($G245,Depreciation!$A$14:$L$18,11,FALSE),0))</f>
        <v>2.4351536427798831E-2</v>
      </c>
      <c r="N245" s="306">
        <f>+IF($H245=N$2,VLOOKUP($G245,Depreciation!$A$14:$L$18,12,FALSE)/2,IF($H245&lt;N$2,VLOOKUP($G245,Depreciation!$A$14:$L$18,12,FALSE),0))</f>
        <v>2.4351536427798831E-2</v>
      </c>
      <c r="O245" s="307">
        <f t="shared" si="25"/>
        <v>48305.204509023373</v>
      </c>
      <c r="P245" s="732">
        <f>'Func Future Subs 2015'!P245</f>
        <v>0</v>
      </c>
      <c r="Q245" s="732">
        <f>'Func Future Subs 2015'!Q245</f>
        <v>0</v>
      </c>
      <c r="R245" s="732">
        <f>'Func Future Subs 2015'!R245</f>
        <v>1</v>
      </c>
      <c r="S245" s="735">
        <f t="shared" si="26"/>
        <v>0</v>
      </c>
      <c r="T245" s="735">
        <f t="shared" si="27"/>
        <v>0</v>
      </c>
      <c r="U245" s="735">
        <f t="shared" si="28"/>
        <v>48305.204509023373</v>
      </c>
      <c r="V245" s="736">
        <f t="shared" si="29"/>
        <v>48305.204509023373</v>
      </c>
      <c r="W245" s="735">
        <f t="shared" si="30"/>
        <v>0</v>
      </c>
      <c r="X245" s="737">
        <f t="shared" si="31"/>
        <v>0</v>
      </c>
      <c r="Y245" s="738">
        <f t="shared" si="32"/>
        <v>0</v>
      </c>
    </row>
    <row r="246" spans="1:25">
      <c r="A246" s="754" t="str">
        <f>'Func Future Subs 2015'!A246</f>
        <v>Little Smoky 813S</v>
      </c>
      <c r="B246" s="754">
        <f>'Func Future Subs 2015'!B246</f>
        <v>1321</v>
      </c>
      <c r="C246" s="754">
        <f>'Func Future Subs 2015'!C246</f>
        <v>240</v>
      </c>
      <c r="D246" s="754">
        <f>'Func Future Subs 2015'!D246</f>
        <v>138</v>
      </c>
      <c r="E246" s="754" t="str">
        <f>'Func Future Subs 2015'!E246</f>
        <v>813S</v>
      </c>
      <c r="F246" s="754">
        <f>'Func Future Subs 2015'!F246</f>
        <v>71234.874916216097</v>
      </c>
      <c r="G246" s="754" t="str">
        <f>'Func Future Subs 2015'!G246</f>
        <v>ATCO</v>
      </c>
      <c r="H246" s="754">
        <f>'Func Future Subs 2015'!H246</f>
        <v>2017</v>
      </c>
      <c r="I246" s="306">
        <f>+IF($H246=I$2,VLOOKUP($G246,Depreciation!$A$14:$L$18,7,FALSE)/2,IF($H246&lt;I$2,VLOOKUP($G246,Depreciation!$A$14:$L$18,7,FALSE),0))</f>
        <v>0</v>
      </c>
      <c r="J246" s="306">
        <f>+IF($H246=J$2,VLOOKUP($G246,Depreciation!$A$14:$L$18,8,FALSE)/2,IF($H246&lt;J$2,VLOOKUP($G246,Depreciation!$A$14:$L$18,8,FALSE),0))</f>
        <v>0</v>
      </c>
      <c r="K246" s="306">
        <f>+IF($H246=K$2,VLOOKUP($G246,Depreciation!$A$14:$L$18,9,FALSE)/2,IF($H246&lt;K$2,VLOOKUP($G246,Depreciation!$A$14:$L$18,9,FALSE),0))</f>
        <v>1.2175768213899416E-2</v>
      </c>
      <c r="L246" s="306">
        <f>+IF($H246=L$2,VLOOKUP($G246,Depreciation!$A$14:$L$18,10,FALSE)/2,IF($H246&lt;L$2,VLOOKUP($G246,Depreciation!$A$14:$L$18,10,FALSE),0))</f>
        <v>2.4351536427798831E-2</v>
      </c>
      <c r="M246" s="306">
        <f>+IF($H246=M$2,VLOOKUP($G246,Depreciation!$A$14:$L$18,11,FALSE)/2,IF($H246&lt;M$2,VLOOKUP($G246,Depreciation!$A$14:$L$18,11,FALSE),0))</f>
        <v>2.4351536427798831E-2</v>
      </c>
      <c r="N246" s="306">
        <f>+IF($H246=N$2,VLOOKUP($G246,Depreciation!$A$14:$L$18,12,FALSE)/2,IF($H246&lt;N$2,VLOOKUP($G246,Depreciation!$A$14:$L$18,12,FALSE),0))</f>
        <v>2.4351536427798831E-2</v>
      </c>
      <c r="O246" s="307">
        <f t="shared" si="25"/>
        <v>66982.148138427743</v>
      </c>
      <c r="P246" s="732">
        <f>'Func Future Subs 2015'!P246</f>
        <v>0</v>
      </c>
      <c r="Q246" s="732">
        <f>'Func Future Subs 2015'!Q246</f>
        <v>0</v>
      </c>
      <c r="R246" s="732">
        <f>'Func Future Subs 2015'!R246</f>
        <v>1</v>
      </c>
      <c r="S246" s="735">
        <f t="shared" si="26"/>
        <v>0</v>
      </c>
      <c r="T246" s="735">
        <f t="shared" si="27"/>
        <v>0</v>
      </c>
      <c r="U246" s="735">
        <f t="shared" si="28"/>
        <v>66982.148138427743</v>
      </c>
      <c r="V246" s="736">
        <f t="shared" si="29"/>
        <v>0</v>
      </c>
      <c r="W246" s="735">
        <f t="shared" si="30"/>
        <v>0</v>
      </c>
      <c r="X246" s="737">
        <f t="shared" si="31"/>
        <v>66982.148138427743</v>
      </c>
      <c r="Y246" s="738">
        <f t="shared" si="32"/>
        <v>0</v>
      </c>
    </row>
    <row r="247" spans="1:25">
      <c r="A247" s="754" t="str">
        <f>'Func Future Subs 2015'!A247</f>
        <v>Louise Creek 809S</v>
      </c>
      <c r="B247" s="754">
        <f>'Func Future Subs 2015'!B247</f>
        <v>1321</v>
      </c>
      <c r="C247" s="754">
        <f>'Func Future Subs 2015'!C247</f>
        <v>240</v>
      </c>
      <c r="D247" s="754">
        <f>'Func Future Subs 2015'!D247</f>
        <v>144</v>
      </c>
      <c r="E247" s="754" t="str">
        <f>'Func Future Subs 2015'!E247</f>
        <v>809S</v>
      </c>
      <c r="F247" s="754">
        <f>'Func Future Subs 2015'!F247</f>
        <v>67376.674391001157</v>
      </c>
      <c r="G247" s="754" t="str">
        <f>'Func Future Subs 2015'!G247</f>
        <v>ATCO</v>
      </c>
      <c r="H247" s="754">
        <f>'Func Future Subs 2015'!H247</f>
        <v>2017</v>
      </c>
      <c r="I247" s="306">
        <f>+IF($H247=I$2,VLOOKUP($G247,Depreciation!$A$14:$L$18,7,FALSE)/2,IF($H247&lt;I$2,VLOOKUP($G247,Depreciation!$A$14:$L$18,7,FALSE),0))</f>
        <v>0</v>
      </c>
      <c r="J247" s="306">
        <f>+IF($H247=J$2,VLOOKUP($G247,Depreciation!$A$14:$L$18,8,FALSE)/2,IF($H247&lt;J$2,VLOOKUP($G247,Depreciation!$A$14:$L$18,8,FALSE),0))</f>
        <v>0</v>
      </c>
      <c r="K247" s="306">
        <f>+IF($H247=K$2,VLOOKUP($G247,Depreciation!$A$14:$L$18,9,FALSE)/2,IF($H247&lt;K$2,VLOOKUP($G247,Depreciation!$A$14:$L$18,9,FALSE),0))</f>
        <v>1.2175768213899416E-2</v>
      </c>
      <c r="L247" s="306">
        <f>+IF($H247=L$2,VLOOKUP($G247,Depreciation!$A$14:$L$18,10,FALSE)/2,IF($H247&lt;L$2,VLOOKUP($G247,Depreciation!$A$14:$L$18,10,FALSE),0))</f>
        <v>2.4351536427798831E-2</v>
      </c>
      <c r="M247" s="306">
        <f>+IF($H247=M$2,VLOOKUP($G247,Depreciation!$A$14:$L$18,11,FALSE)/2,IF($H247&lt;M$2,VLOOKUP($G247,Depreciation!$A$14:$L$18,11,FALSE),0))</f>
        <v>2.4351536427798831E-2</v>
      </c>
      <c r="N247" s="306">
        <f>+IF($H247=N$2,VLOOKUP($G247,Depreciation!$A$14:$L$18,12,FALSE)/2,IF($H247&lt;N$2,VLOOKUP($G247,Depreciation!$A$14:$L$18,12,FALSE),0))</f>
        <v>2.4351536427798831E-2</v>
      </c>
      <c r="O247" s="307">
        <f t="shared" si="25"/>
        <v>63354.282441581032</v>
      </c>
      <c r="P247" s="732">
        <f>'Func Future Subs 2015'!P247</f>
        <v>0</v>
      </c>
      <c r="Q247" s="732">
        <f>'Func Future Subs 2015'!Q247</f>
        <v>0</v>
      </c>
      <c r="R247" s="732">
        <f>'Func Future Subs 2015'!R247</f>
        <v>1</v>
      </c>
      <c r="S247" s="735">
        <f t="shared" si="26"/>
        <v>0</v>
      </c>
      <c r="T247" s="735">
        <f t="shared" si="27"/>
        <v>0</v>
      </c>
      <c r="U247" s="735">
        <f t="shared" si="28"/>
        <v>63354.282441581032</v>
      </c>
      <c r="V247" s="736">
        <f t="shared" si="29"/>
        <v>0</v>
      </c>
      <c r="W247" s="735">
        <f t="shared" si="30"/>
        <v>0</v>
      </c>
      <c r="X247" s="737">
        <f t="shared" si="31"/>
        <v>63354.282441581032</v>
      </c>
      <c r="Y247" s="738">
        <f t="shared" si="32"/>
        <v>0</v>
      </c>
    </row>
    <row r="248" spans="1:25">
      <c r="A248" s="754" t="str">
        <f>'Func Future Subs 2015'!A248</f>
        <v>Wesley 834S Substation</v>
      </c>
      <c r="B248" s="754">
        <f>'Func Future Subs 2015'!B248</f>
        <v>1321</v>
      </c>
      <c r="C248" s="754">
        <f>'Func Future Subs 2015'!C248</f>
        <v>240</v>
      </c>
      <c r="D248" s="754">
        <f>'Func Future Subs 2015'!D248</f>
        <v>144</v>
      </c>
      <c r="E248" s="754" t="str">
        <f>'Func Future Subs 2015'!E248</f>
        <v>834S</v>
      </c>
      <c r="F248" s="754">
        <f>'Func Future Subs 2015'!F248</f>
        <v>6851820.2017634856</v>
      </c>
      <c r="G248" s="754" t="str">
        <f>'Func Future Subs 2015'!G248</f>
        <v>ATCO</v>
      </c>
      <c r="H248" s="754">
        <f>'Func Future Subs 2015'!H248</f>
        <v>2017</v>
      </c>
      <c r="I248" s="306">
        <f>+IF($H248=I$2,VLOOKUP($G248,Depreciation!$A$14:$L$18,7,FALSE)/2,IF($H248&lt;I$2,VLOOKUP($G248,Depreciation!$A$14:$L$18,7,FALSE),0))</f>
        <v>0</v>
      </c>
      <c r="J248" s="306">
        <f>+IF($H248=J$2,VLOOKUP($G248,Depreciation!$A$14:$L$18,8,FALSE)/2,IF($H248&lt;J$2,VLOOKUP($G248,Depreciation!$A$14:$L$18,8,FALSE),0))</f>
        <v>0</v>
      </c>
      <c r="K248" s="306">
        <f>+IF($H248=K$2,VLOOKUP($G248,Depreciation!$A$14:$L$18,9,FALSE)/2,IF($H248&lt;K$2,VLOOKUP($G248,Depreciation!$A$14:$L$18,9,FALSE),0))</f>
        <v>1.2175768213899416E-2</v>
      </c>
      <c r="L248" s="306">
        <f>+IF($H248=L$2,VLOOKUP($G248,Depreciation!$A$14:$L$18,10,FALSE)/2,IF($H248&lt;L$2,VLOOKUP($G248,Depreciation!$A$14:$L$18,10,FALSE),0))</f>
        <v>2.4351536427798831E-2</v>
      </c>
      <c r="M248" s="306">
        <f>+IF($H248=M$2,VLOOKUP($G248,Depreciation!$A$14:$L$18,11,FALSE)/2,IF($H248&lt;M$2,VLOOKUP($G248,Depreciation!$A$14:$L$18,11,FALSE),0))</f>
        <v>2.4351536427798831E-2</v>
      </c>
      <c r="N248" s="306">
        <f>+IF($H248=N$2,VLOOKUP($G248,Depreciation!$A$14:$L$18,12,FALSE)/2,IF($H248&lt;N$2,VLOOKUP($G248,Depreciation!$A$14:$L$18,12,FALSE),0))</f>
        <v>2.4351536427798831E-2</v>
      </c>
      <c r="O248" s="307">
        <f t="shared" si="25"/>
        <v>6442766.0792862177</v>
      </c>
      <c r="P248" s="732">
        <f>'Func Future Subs 2015'!P248</f>
        <v>0</v>
      </c>
      <c r="Q248" s="732">
        <f>'Func Future Subs 2015'!Q248</f>
        <v>0</v>
      </c>
      <c r="R248" s="732">
        <f>'Func Future Subs 2015'!R248</f>
        <v>1</v>
      </c>
      <c r="S248" s="735">
        <f t="shared" si="26"/>
        <v>0</v>
      </c>
      <c r="T248" s="735">
        <f t="shared" si="27"/>
        <v>0</v>
      </c>
      <c r="U248" s="735">
        <f t="shared" si="28"/>
        <v>6442766.0792862177</v>
      </c>
      <c r="V248" s="736">
        <f t="shared" si="29"/>
        <v>0</v>
      </c>
      <c r="W248" s="735">
        <f t="shared" si="30"/>
        <v>0</v>
      </c>
      <c r="X248" s="737">
        <f t="shared" si="31"/>
        <v>6442766.0792862177</v>
      </c>
      <c r="Y248" s="738">
        <f t="shared" si="32"/>
        <v>0</v>
      </c>
    </row>
    <row r="249" spans="1:25">
      <c r="A249" s="754" t="str">
        <f>'Func Future Subs 2015'!A249</f>
        <v>West Pease A793S</v>
      </c>
      <c r="B249" s="754">
        <f>'Func Future Subs 2015'!B249</f>
        <v>1321</v>
      </c>
      <c r="C249" s="754">
        <f>'Func Future Subs 2015'!C249</f>
        <v>138</v>
      </c>
      <c r="D249" s="754">
        <f>'Func Future Subs 2015'!D249</f>
        <v>25</v>
      </c>
      <c r="E249" s="754" t="str">
        <f>'Func Future Subs 2015'!E249</f>
        <v>A793S</v>
      </c>
      <c r="F249" s="754">
        <f>'Func Future Subs 2015'!F249</f>
        <v>43376.462438149829</v>
      </c>
      <c r="G249" s="754" t="str">
        <f>'Func Future Subs 2015'!G249</f>
        <v>ATCO</v>
      </c>
      <c r="H249" s="754">
        <f>'Func Future Subs 2015'!H249</f>
        <v>2017</v>
      </c>
      <c r="I249" s="306">
        <f>+IF($H249=I$2,VLOOKUP($G249,Depreciation!$A$14:$L$18,7,FALSE)/2,IF($H249&lt;I$2,VLOOKUP($G249,Depreciation!$A$14:$L$18,7,FALSE),0))</f>
        <v>0</v>
      </c>
      <c r="J249" s="306">
        <f>+IF($H249=J$2,VLOOKUP($G249,Depreciation!$A$14:$L$18,8,FALSE)/2,IF($H249&lt;J$2,VLOOKUP($G249,Depreciation!$A$14:$L$18,8,FALSE),0))</f>
        <v>0</v>
      </c>
      <c r="K249" s="306">
        <f>+IF($H249=K$2,VLOOKUP($G249,Depreciation!$A$14:$L$18,9,FALSE)/2,IF($H249&lt;K$2,VLOOKUP($G249,Depreciation!$A$14:$L$18,9,FALSE),0))</f>
        <v>1.2175768213899416E-2</v>
      </c>
      <c r="L249" s="306">
        <f>+IF($H249=L$2,VLOOKUP($G249,Depreciation!$A$14:$L$18,10,FALSE)/2,IF($H249&lt;L$2,VLOOKUP($G249,Depreciation!$A$14:$L$18,10,FALSE),0))</f>
        <v>2.4351536427798831E-2</v>
      </c>
      <c r="M249" s="306">
        <f>+IF($H249=M$2,VLOOKUP($G249,Depreciation!$A$14:$L$18,11,FALSE)/2,IF($H249&lt;M$2,VLOOKUP($G249,Depreciation!$A$14:$L$18,11,FALSE),0))</f>
        <v>2.4351536427798831E-2</v>
      </c>
      <c r="N249" s="306">
        <f>+IF($H249=N$2,VLOOKUP($G249,Depreciation!$A$14:$L$18,12,FALSE)/2,IF($H249&lt;N$2,VLOOKUP($G249,Depreciation!$A$14:$L$18,12,FALSE),0))</f>
        <v>2.4351536427798831E-2</v>
      </c>
      <c r="O249" s="307">
        <f t="shared" si="25"/>
        <v>40786.884741081994</v>
      </c>
      <c r="P249" s="732">
        <f>'Func Future Subs 2015'!P249</f>
        <v>0</v>
      </c>
      <c r="Q249" s="732">
        <f>'Func Future Subs 2015'!Q249</f>
        <v>1</v>
      </c>
      <c r="R249" s="732">
        <f>'Func Future Subs 2015'!R249</f>
        <v>0</v>
      </c>
      <c r="S249" s="735">
        <f t="shared" si="26"/>
        <v>0</v>
      </c>
      <c r="T249" s="735">
        <f t="shared" si="27"/>
        <v>40786.884741081994</v>
      </c>
      <c r="U249" s="735">
        <f t="shared" si="28"/>
        <v>0</v>
      </c>
      <c r="V249" s="736">
        <f t="shared" si="29"/>
        <v>0</v>
      </c>
      <c r="W249" s="735">
        <f t="shared" si="30"/>
        <v>0</v>
      </c>
      <c r="X249" s="737">
        <f t="shared" si="31"/>
        <v>0</v>
      </c>
      <c r="Y249" s="738">
        <f t="shared" si="32"/>
        <v>40786.884741081994</v>
      </c>
    </row>
    <row r="250" spans="1:25">
      <c r="A250" s="754" t="str">
        <f>'Func Future Subs 2015'!A250</f>
        <v>Al Rothbauer 321S</v>
      </c>
      <c r="B250" s="754">
        <f>'Func Future Subs 2015'!B250</f>
        <v>1326</v>
      </c>
      <c r="C250" s="754">
        <f>'Func Future Subs 2015'!C250</f>
        <v>138</v>
      </c>
      <c r="D250" s="754">
        <f>'Func Future Subs 2015'!D250</f>
        <v>138</v>
      </c>
      <c r="E250" s="754" t="str">
        <f>'Func Future Subs 2015'!E250</f>
        <v>321S</v>
      </c>
      <c r="F250" s="754">
        <f>'Func Future Subs 2015'!F250</f>
        <v>6469865.2231551046</v>
      </c>
      <c r="G250" s="754" t="str">
        <f>'Func Future Subs 2015'!G250</f>
        <v>AltaLink</v>
      </c>
      <c r="H250" s="754">
        <f>'Func Future Subs 2015'!H250</f>
        <v>2017</v>
      </c>
      <c r="I250" s="306">
        <f>+IF($H250=I$2,VLOOKUP($G250,Depreciation!$A$14:$L$18,7,FALSE)/2,IF($H250&lt;I$2,VLOOKUP($G250,Depreciation!$A$14:$L$18,7,FALSE),0))</f>
        <v>0</v>
      </c>
      <c r="J250" s="306">
        <f>+IF($H250=J$2,VLOOKUP($G250,Depreciation!$A$14:$L$18,8,FALSE)/2,IF($H250&lt;J$2,VLOOKUP($G250,Depreciation!$A$14:$L$18,8,FALSE),0))</f>
        <v>0</v>
      </c>
      <c r="K250" s="306">
        <f>+IF($H250=K$2,VLOOKUP($G250,Depreciation!$A$14:$L$18,9,FALSE)/2,IF($H250&lt;K$2,VLOOKUP($G250,Depreciation!$A$14:$L$18,9,FALSE),0))</f>
        <v>1.671703928371859E-2</v>
      </c>
      <c r="L250" s="306">
        <f>+IF($H250=L$2,VLOOKUP($G250,Depreciation!$A$14:$L$18,10,FALSE)/2,IF($H250&lt;L$2,VLOOKUP($G250,Depreciation!$A$14:$L$18,10,FALSE),0))</f>
        <v>3.343407856743718E-2</v>
      </c>
      <c r="M250" s="306">
        <f>+IF($H250=M$2,VLOOKUP($G250,Depreciation!$A$14:$L$18,11,FALSE)/2,IF($H250&lt;M$2,VLOOKUP($G250,Depreciation!$A$14:$L$18,11,FALSE),0))</f>
        <v>3.343407856743718E-2</v>
      </c>
      <c r="N250" s="306">
        <f>+IF($H250=N$2,VLOOKUP($G250,Depreciation!$A$14:$L$18,12,FALSE)/2,IF($H250&lt;N$2,VLOOKUP($G250,Depreciation!$A$14:$L$18,12,FALSE),0))</f>
        <v>3.343407856743718E-2</v>
      </c>
      <c r="O250" s="307">
        <f t="shared" si="25"/>
        <v>5943423.883075132</v>
      </c>
      <c r="P250" s="732">
        <f>'Func Future Subs 2015'!P250</f>
        <v>0</v>
      </c>
      <c r="Q250" s="732">
        <f>'Func Future Subs 2015'!Q250</f>
        <v>0</v>
      </c>
      <c r="R250" s="732">
        <f>'Func Future Subs 2015'!R250</f>
        <v>1</v>
      </c>
      <c r="S250" s="735">
        <f t="shared" si="26"/>
        <v>0</v>
      </c>
      <c r="T250" s="735">
        <f t="shared" si="27"/>
        <v>0</v>
      </c>
      <c r="U250" s="735">
        <f t="shared" si="28"/>
        <v>5943423.883075132</v>
      </c>
      <c r="V250" s="736">
        <f t="shared" si="29"/>
        <v>0</v>
      </c>
      <c r="W250" s="735">
        <f t="shared" si="30"/>
        <v>0</v>
      </c>
      <c r="X250" s="737">
        <f t="shared" si="31"/>
        <v>5943423.883075132</v>
      </c>
      <c r="Y250" s="738">
        <f t="shared" si="32"/>
        <v>0</v>
      </c>
    </row>
    <row r="251" spans="1:25">
      <c r="A251" s="754" t="str">
        <f>'Func Future Subs 2015'!A251</f>
        <v>Bowmanton 244S</v>
      </c>
      <c r="B251" s="754">
        <f>'Func Future Subs 2015'!B251</f>
        <v>1326</v>
      </c>
      <c r="C251" s="754">
        <f>'Func Future Subs 2015'!C251</f>
        <v>240</v>
      </c>
      <c r="D251" s="754">
        <f>'Func Future Subs 2015'!D251</f>
        <v>138</v>
      </c>
      <c r="E251" s="754" t="str">
        <f>'Func Future Subs 2015'!E251</f>
        <v>244S</v>
      </c>
      <c r="F251" s="754">
        <f>'Func Future Subs 2015'!F251</f>
        <v>14949.624392399472</v>
      </c>
      <c r="G251" s="754" t="str">
        <f>'Func Future Subs 2015'!G251</f>
        <v>AltaLink</v>
      </c>
      <c r="H251" s="754">
        <f>'Func Future Subs 2015'!H251</f>
        <v>2017</v>
      </c>
      <c r="I251" s="306">
        <f>+IF($H251=I$2,VLOOKUP($G251,Depreciation!$A$14:$L$18,7,FALSE)/2,IF($H251&lt;I$2,VLOOKUP($G251,Depreciation!$A$14:$L$18,7,FALSE),0))</f>
        <v>0</v>
      </c>
      <c r="J251" s="306">
        <f>+IF($H251=J$2,VLOOKUP($G251,Depreciation!$A$14:$L$18,8,FALSE)/2,IF($H251&lt;J$2,VLOOKUP($G251,Depreciation!$A$14:$L$18,8,FALSE),0))</f>
        <v>0</v>
      </c>
      <c r="K251" s="306">
        <f>+IF($H251=K$2,VLOOKUP($G251,Depreciation!$A$14:$L$18,9,FALSE)/2,IF($H251&lt;K$2,VLOOKUP($G251,Depreciation!$A$14:$L$18,9,FALSE),0))</f>
        <v>1.671703928371859E-2</v>
      </c>
      <c r="L251" s="306">
        <f>+IF($H251=L$2,VLOOKUP($G251,Depreciation!$A$14:$L$18,10,FALSE)/2,IF($H251&lt;L$2,VLOOKUP($G251,Depreciation!$A$14:$L$18,10,FALSE),0))</f>
        <v>3.343407856743718E-2</v>
      </c>
      <c r="M251" s="306">
        <f>+IF($H251=M$2,VLOOKUP($G251,Depreciation!$A$14:$L$18,11,FALSE)/2,IF($H251&lt;M$2,VLOOKUP($G251,Depreciation!$A$14:$L$18,11,FALSE),0))</f>
        <v>3.343407856743718E-2</v>
      </c>
      <c r="N251" s="306">
        <f>+IF($H251=N$2,VLOOKUP($G251,Depreciation!$A$14:$L$18,12,FALSE)/2,IF($H251&lt;N$2,VLOOKUP($G251,Depreciation!$A$14:$L$18,12,FALSE),0))</f>
        <v>3.343407856743718E-2</v>
      </c>
      <c r="O251" s="307">
        <f t="shared" si="25"/>
        <v>13733.200243305824</v>
      </c>
      <c r="P251" s="732">
        <f>'Func Future Subs 2015'!P251</f>
        <v>0</v>
      </c>
      <c r="Q251" s="732">
        <f>'Func Future Subs 2015'!Q251</f>
        <v>0</v>
      </c>
      <c r="R251" s="732">
        <f>'Func Future Subs 2015'!R251</f>
        <v>1</v>
      </c>
      <c r="S251" s="735">
        <f t="shared" si="26"/>
        <v>0</v>
      </c>
      <c r="T251" s="735">
        <f t="shared" si="27"/>
        <v>0</v>
      </c>
      <c r="U251" s="735">
        <f t="shared" si="28"/>
        <v>13733.200243305824</v>
      </c>
      <c r="V251" s="736">
        <f t="shared" si="29"/>
        <v>0</v>
      </c>
      <c r="W251" s="735">
        <f t="shared" si="30"/>
        <v>0</v>
      </c>
      <c r="X251" s="737">
        <f t="shared" si="31"/>
        <v>13733.200243305824</v>
      </c>
      <c r="Y251" s="738">
        <f t="shared" si="32"/>
        <v>0</v>
      </c>
    </row>
    <row r="252" spans="1:25">
      <c r="A252" s="754" t="str">
        <f>'Func Future Subs 2015'!A252</f>
        <v>Bullhead 523S</v>
      </c>
      <c r="B252" s="754">
        <f>'Func Future Subs 2015'!B252</f>
        <v>1326</v>
      </c>
      <c r="C252" s="754">
        <f>'Func Future Subs 2015'!C252</f>
        <v>240</v>
      </c>
      <c r="D252" s="754">
        <f>'Func Future Subs 2015'!D252</f>
        <v>25</v>
      </c>
      <c r="E252" s="754" t="str">
        <f>'Func Future Subs 2015'!E252</f>
        <v>523S</v>
      </c>
      <c r="F252" s="754">
        <f>'Func Future Subs 2015'!F252</f>
        <v>116274.85638532921</v>
      </c>
      <c r="G252" s="754" t="str">
        <f>'Func Future Subs 2015'!G252</f>
        <v>AltaLink</v>
      </c>
      <c r="H252" s="754">
        <f>'Func Future Subs 2015'!H252</f>
        <v>2017</v>
      </c>
      <c r="I252" s="306">
        <f>+IF($H252=I$2,VLOOKUP($G252,Depreciation!$A$14:$L$18,7,FALSE)/2,IF($H252&lt;I$2,VLOOKUP($G252,Depreciation!$A$14:$L$18,7,FALSE),0))</f>
        <v>0</v>
      </c>
      <c r="J252" s="306">
        <f>+IF($H252=J$2,VLOOKUP($G252,Depreciation!$A$14:$L$18,8,FALSE)/2,IF($H252&lt;J$2,VLOOKUP($G252,Depreciation!$A$14:$L$18,8,FALSE),0))</f>
        <v>0</v>
      </c>
      <c r="K252" s="306">
        <f>+IF($H252=K$2,VLOOKUP($G252,Depreciation!$A$14:$L$18,9,FALSE)/2,IF($H252&lt;K$2,VLOOKUP($G252,Depreciation!$A$14:$L$18,9,FALSE),0))</f>
        <v>1.671703928371859E-2</v>
      </c>
      <c r="L252" s="306">
        <f>+IF($H252=L$2,VLOOKUP($G252,Depreciation!$A$14:$L$18,10,FALSE)/2,IF($H252&lt;L$2,VLOOKUP($G252,Depreciation!$A$14:$L$18,10,FALSE),0))</f>
        <v>3.343407856743718E-2</v>
      </c>
      <c r="M252" s="306">
        <f>+IF($H252=M$2,VLOOKUP($G252,Depreciation!$A$14:$L$18,11,FALSE)/2,IF($H252&lt;M$2,VLOOKUP($G252,Depreciation!$A$14:$L$18,11,FALSE),0))</f>
        <v>3.343407856743718E-2</v>
      </c>
      <c r="N252" s="306">
        <f>+IF($H252=N$2,VLOOKUP($G252,Depreciation!$A$14:$L$18,12,FALSE)/2,IF($H252&lt;N$2,VLOOKUP($G252,Depreciation!$A$14:$L$18,12,FALSE),0))</f>
        <v>3.343407856743718E-2</v>
      </c>
      <c r="O252" s="307">
        <f t="shared" si="25"/>
        <v>106813.77967015641</v>
      </c>
      <c r="P252" s="732">
        <f>'Func Future Subs 2015'!P252</f>
        <v>0</v>
      </c>
      <c r="Q252" s="732">
        <f>'Func Future Subs 2015'!Q252</f>
        <v>1</v>
      </c>
      <c r="R252" s="732">
        <f>'Func Future Subs 2015'!R252</f>
        <v>0</v>
      </c>
      <c r="S252" s="735">
        <f t="shared" si="26"/>
        <v>0</v>
      </c>
      <c r="T252" s="735">
        <f t="shared" si="27"/>
        <v>106813.77967015641</v>
      </c>
      <c r="U252" s="735">
        <f t="shared" si="28"/>
        <v>0</v>
      </c>
      <c r="V252" s="736">
        <f t="shared" si="29"/>
        <v>0</v>
      </c>
      <c r="W252" s="735">
        <f t="shared" si="30"/>
        <v>0</v>
      </c>
      <c r="X252" s="737">
        <f t="shared" si="31"/>
        <v>0</v>
      </c>
      <c r="Y252" s="738">
        <f t="shared" si="32"/>
        <v>106813.77967015641</v>
      </c>
    </row>
    <row r="253" spans="1:25">
      <c r="A253" s="754" t="str">
        <f>'Func Future Subs 2015'!A253</f>
        <v>Fort Macleod 15S_(v1)</v>
      </c>
      <c r="B253" s="754">
        <f>'Func Future Subs 2015'!B253</f>
        <v>1336</v>
      </c>
      <c r="C253" s="754">
        <f>'Func Future Subs 2015'!C253</f>
        <v>138</v>
      </c>
      <c r="D253" s="754">
        <f>'Func Future Subs 2015'!D253</f>
        <v>25</v>
      </c>
      <c r="E253" s="754" t="str">
        <f>'Func Future Subs 2015'!E253</f>
        <v>15S</v>
      </c>
      <c r="F253" s="754">
        <f>'Func Future Subs 2015'!F253</f>
        <v>267677.39372268558</v>
      </c>
      <c r="G253" s="754" t="str">
        <f>'Func Future Subs 2015'!G253</f>
        <v>AltaLink</v>
      </c>
      <c r="H253" s="754">
        <f>'Func Future Subs 2015'!H253</f>
        <v>2018</v>
      </c>
      <c r="I253" s="306">
        <f>+IF($H253=I$2,VLOOKUP($G253,Depreciation!$A$14:$L$18,7,FALSE)/2,IF($H253&lt;I$2,VLOOKUP($G253,Depreciation!$A$14:$L$18,7,FALSE),0))</f>
        <v>0</v>
      </c>
      <c r="J253" s="306">
        <f>+IF($H253=J$2,VLOOKUP($G253,Depreciation!$A$14:$L$18,8,FALSE)/2,IF($H253&lt;J$2,VLOOKUP($G253,Depreciation!$A$14:$L$18,8,FALSE),0))</f>
        <v>0</v>
      </c>
      <c r="K253" s="306">
        <f>+IF($H253=K$2,VLOOKUP($G253,Depreciation!$A$14:$L$18,9,FALSE)/2,IF($H253&lt;K$2,VLOOKUP($G253,Depreciation!$A$14:$L$18,9,FALSE),0))</f>
        <v>0</v>
      </c>
      <c r="L253" s="306">
        <f>+IF($H253=L$2,VLOOKUP($G253,Depreciation!$A$14:$L$18,10,FALSE)/2,IF($H253&lt;L$2,VLOOKUP($G253,Depreciation!$A$14:$L$18,10,FALSE),0))</f>
        <v>1.671703928371859E-2</v>
      </c>
      <c r="M253" s="306">
        <f>+IF($H253=M$2,VLOOKUP($G253,Depreciation!$A$14:$L$18,11,FALSE)/2,IF($H253&lt;M$2,VLOOKUP($G253,Depreciation!$A$14:$L$18,11,FALSE),0))</f>
        <v>3.343407856743718E-2</v>
      </c>
      <c r="N253" s="306">
        <f>+IF($H253=N$2,VLOOKUP($G253,Depreciation!$A$14:$L$18,12,FALSE)/2,IF($H253&lt;N$2,VLOOKUP($G253,Depreciation!$A$14:$L$18,12,FALSE),0))</f>
        <v>3.343407856743718E-2</v>
      </c>
      <c r="O253" s="307">
        <f t="shared" si="25"/>
        <v>254402.68313298756</v>
      </c>
      <c r="P253" s="732">
        <f>'Func Future Subs 2015'!P253</f>
        <v>0.16326530612244897</v>
      </c>
      <c r="Q253" s="732">
        <f>'Func Future Subs 2015'!Q253</f>
        <v>0.83673469387755106</v>
      </c>
      <c r="R253" s="732">
        <f>'Func Future Subs 2015'!R253</f>
        <v>0</v>
      </c>
      <c r="S253" s="735">
        <f t="shared" si="26"/>
        <v>41535.131940079598</v>
      </c>
      <c r="T253" s="735">
        <f t="shared" si="27"/>
        <v>212867.55119290797</v>
      </c>
      <c r="U253" s="735">
        <f t="shared" si="28"/>
        <v>0</v>
      </c>
      <c r="V253" s="736">
        <f t="shared" si="29"/>
        <v>0</v>
      </c>
      <c r="W253" s="735">
        <f t="shared" si="30"/>
        <v>41535.131940079598</v>
      </c>
      <c r="X253" s="737">
        <f t="shared" si="31"/>
        <v>0</v>
      </c>
      <c r="Y253" s="738">
        <f t="shared" si="32"/>
        <v>212867.55119290797</v>
      </c>
    </row>
    <row r="254" spans="1:25">
      <c r="A254" s="754" t="str">
        <f>'Func Future Subs 2015'!A254</f>
        <v>McGregor Lake 200S_(v1)</v>
      </c>
      <c r="B254" s="754">
        <f>'Func Future Subs 2015'!B254</f>
        <v>1336</v>
      </c>
      <c r="C254" s="754">
        <f>'Func Future Subs 2015'!C254</f>
        <v>138</v>
      </c>
      <c r="D254" s="754">
        <f>'Func Future Subs 2015'!D254</f>
        <v>138</v>
      </c>
      <c r="E254" s="754" t="str">
        <f>'Func Future Subs 2015'!E254</f>
        <v>200S</v>
      </c>
      <c r="F254" s="754">
        <f>'Func Future Subs 2015'!F254</f>
        <v>732176.40047675755</v>
      </c>
      <c r="G254" s="754" t="str">
        <f>'Func Future Subs 2015'!G254</f>
        <v>AltaLink</v>
      </c>
      <c r="H254" s="754">
        <f>'Func Future Subs 2015'!H254</f>
        <v>2018</v>
      </c>
      <c r="I254" s="306">
        <f>+IF($H254=I$2,VLOOKUP($G254,Depreciation!$A$14:$L$18,7,FALSE)/2,IF($H254&lt;I$2,VLOOKUP($G254,Depreciation!$A$14:$L$18,7,FALSE),0))</f>
        <v>0</v>
      </c>
      <c r="J254" s="306">
        <f>+IF($H254=J$2,VLOOKUP($G254,Depreciation!$A$14:$L$18,8,FALSE)/2,IF($H254&lt;J$2,VLOOKUP($G254,Depreciation!$A$14:$L$18,8,FALSE),0))</f>
        <v>0</v>
      </c>
      <c r="K254" s="306">
        <f>+IF($H254=K$2,VLOOKUP($G254,Depreciation!$A$14:$L$18,9,FALSE)/2,IF($H254&lt;K$2,VLOOKUP($G254,Depreciation!$A$14:$L$18,9,FALSE),0))</f>
        <v>0</v>
      </c>
      <c r="L254" s="306">
        <f>+IF($H254=L$2,VLOOKUP($G254,Depreciation!$A$14:$L$18,10,FALSE)/2,IF($H254&lt;L$2,VLOOKUP($G254,Depreciation!$A$14:$L$18,10,FALSE),0))</f>
        <v>1.671703928371859E-2</v>
      </c>
      <c r="M254" s="306">
        <f>+IF($H254=M$2,VLOOKUP($G254,Depreciation!$A$14:$L$18,11,FALSE)/2,IF($H254&lt;M$2,VLOOKUP($G254,Depreciation!$A$14:$L$18,11,FALSE),0))</f>
        <v>3.343407856743718E-2</v>
      </c>
      <c r="N254" s="306">
        <f>+IF($H254=N$2,VLOOKUP($G254,Depreciation!$A$14:$L$18,12,FALSE)/2,IF($H254&lt;N$2,VLOOKUP($G254,Depreciation!$A$14:$L$18,12,FALSE),0))</f>
        <v>3.343407856743718E-2</v>
      </c>
      <c r="O254" s="307">
        <f t="shared" si="25"/>
        <v>695866.16268728953</v>
      </c>
      <c r="P254" s="732">
        <f>'Func Future Subs 2015'!P254</f>
        <v>0</v>
      </c>
      <c r="Q254" s="732">
        <f>'Func Future Subs 2015'!Q254</f>
        <v>0</v>
      </c>
      <c r="R254" s="732">
        <f>'Func Future Subs 2015'!R254</f>
        <v>1</v>
      </c>
      <c r="S254" s="735">
        <f t="shared" si="26"/>
        <v>0</v>
      </c>
      <c r="T254" s="735">
        <f t="shared" si="27"/>
        <v>0</v>
      </c>
      <c r="U254" s="735">
        <f t="shared" si="28"/>
        <v>695866.16268728953</v>
      </c>
      <c r="V254" s="736">
        <f t="shared" si="29"/>
        <v>0</v>
      </c>
      <c r="W254" s="735">
        <f t="shared" si="30"/>
        <v>0</v>
      </c>
      <c r="X254" s="737">
        <f t="shared" si="31"/>
        <v>695866.16268728953</v>
      </c>
      <c r="Y254" s="738">
        <f t="shared" si="32"/>
        <v>0</v>
      </c>
    </row>
    <row r="255" spans="1:25">
      <c r="A255" s="754" t="str">
        <f>'Func Future Subs 2015'!A255</f>
        <v>Queenstown 504S_(v1)</v>
      </c>
      <c r="B255" s="754">
        <f>'Func Future Subs 2015'!B255</f>
        <v>1336</v>
      </c>
      <c r="C255" s="754">
        <f>'Func Future Subs 2015'!C255</f>
        <v>138</v>
      </c>
      <c r="D255" s="754">
        <f>'Func Future Subs 2015'!D255</f>
        <v>138</v>
      </c>
      <c r="E255" s="754" t="str">
        <f>'Func Future Subs 2015'!E255</f>
        <v>504S</v>
      </c>
      <c r="F255" s="754">
        <f>'Func Future Subs 2015'!F255</f>
        <v>2125673.4207389737</v>
      </c>
      <c r="G255" s="754" t="str">
        <f>'Func Future Subs 2015'!G255</f>
        <v>AltaLink</v>
      </c>
      <c r="H255" s="754">
        <f>'Func Future Subs 2015'!H255</f>
        <v>2018</v>
      </c>
      <c r="I255" s="306">
        <f>+IF($H255=I$2,VLOOKUP($G255,Depreciation!$A$14:$L$18,7,FALSE)/2,IF($H255&lt;I$2,VLOOKUP($G255,Depreciation!$A$14:$L$18,7,FALSE),0))</f>
        <v>0</v>
      </c>
      <c r="J255" s="306">
        <f>+IF($H255=J$2,VLOOKUP($G255,Depreciation!$A$14:$L$18,8,FALSE)/2,IF($H255&lt;J$2,VLOOKUP($G255,Depreciation!$A$14:$L$18,8,FALSE),0))</f>
        <v>0</v>
      </c>
      <c r="K255" s="306">
        <f>+IF($H255=K$2,VLOOKUP($G255,Depreciation!$A$14:$L$18,9,FALSE)/2,IF($H255&lt;K$2,VLOOKUP($G255,Depreciation!$A$14:$L$18,9,FALSE),0))</f>
        <v>0</v>
      </c>
      <c r="L255" s="306">
        <f>+IF($H255=L$2,VLOOKUP($G255,Depreciation!$A$14:$L$18,10,FALSE)/2,IF($H255&lt;L$2,VLOOKUP($G255,Depreciation!$A$14:$L$18,10,FALSE),0))</f>
        <v>1.671703928371859E-2</v>
      </c>
      <c r="M255" s="306">
        <f>+IF($H255=M$2,VLOOKUP($G255,Depreciation!$A$14:$L$18,11,FALSE)/2,IF($H255&lt;M$2,VLOOKUP($G255,Depreciation!$A$14:$L$18,11,FALSE),0))</f>
        <v>3.343407856743718E-2</v>
      </c>
      <c r="N255" s="306">
        <f>+IF($H255=N$2,VLOOKUP($G255,Depreciation!$A$14:$L$18,12,FALSE)/2,IF($H255&lt;N$2,VLOOKUP($G255,Depreciation!$A$14:$L$18,12,FALSE),0))</f>
        <v>3.343407856743718E-2</v>
      </c>
      <c r="O255" s="307">
        <f t="shared" si="25"/>
        <v>2020256.6013501955</v>
      </c>
      <c r="P255" s="732">
        <f>'Func Future Subs 2015'!P255</f>
        <v>0</v>
      </c>
      <c r="Q255" s="732">
        <f>'Func Future Subs 2015'!Q255</f>
        <v>0</v>
      </c>
      <c r="R255" s="732">
        <f>'Func Future Subs 2015'!R255</f>
        <v>1</v>
      </c>
      <c r="S255" s="735">
        <f t="shared" si="26"/>
        <v>0</v>
      </c>
      <c r="T255" s="735">
        <f t="shared" si="27"/>
        <v>0</v>
      </c>
      <c r="U255" s="735">
        <f t="shared" si="28"/>
        <v>2020256.6013501955</v>
      </c>
      <c r="V255" s="736">
        <f t="shared" si="29"/>
        <v>0</v>
      </c>
      <c r="W255" s="735">
        <f t="shared" si="30"/>
        <v>0</v>
      </c>
      <c r="X255" s="737">
        <f t="shared" si="31"/>
        <v>2020256.6013501955</v>
      </c>
      <c r="Y255" s="738">
        <f t="shared" si="32"/>
        <v>0</v>
      </c>
    </row>
    <row r="256" spans="1:25">
      <c r="A256" s="754" t="str">
        <f>'Func Future Subs 2015'!A256</f>
        <v>Vulcan 255S_(v1)</v>
      </c>
      <c r="B256" s="754">
        <f>'Func Future Subs 2015'!B256</f>
        <v>1336</v>
      </c>
      <c r="C256" s="754">
        <f>'Func Future Subs 2015'!C256</f>
        <v>240</v>
      </c>
      <c r="D256" s="754">
        <f>'Func Future Subs 2015'!D256</f>
        <v>25</v>
      </c>
      <c r="E256" s="754" t="str">
        <f>'Func Future Subs 2015'!E256</f>
        <v>255S</v>
      </c>
      <c r="F256" s="754">
        <f>'Func Future Subs 2015'!F256</f>
        <v>799095.74890742893</v>
      </c>
      <c r="G256" s="754" t="str">
        <f>'Func Future Subs 2015'!G256</f>
        <v>AltaLink</v>
      </c>
      <c r="H256" s="754">
        <f>'Func Future Subs 2015'!H256</f>
        <v>2018</v>
      </c>
      <c r="I256" s="306">
        <f>+IF($H256=I$2,VLOOKUP($G256,Depreciation!$A$14:$L$18,7,FALSE)/2,IF($H256&lt;I$2,VLOOKUP($G256,Depreciation!$A$14:$L$18,7,FALSE),0))</f>
        <v>0</v>
      </c>
      <c r="J256" s="306">
        <f>+IF($H256=J$2,VLOOKUP($G256,Depreciation!$A$14:$L$18,8,FALSE)/2,IF($H256&lt;J$2,VLOOKUP($G256,Depreciation!$A$14:$L$18,8,FALSE),0))</f>
        <v>0</v>
      </c>
      <c r="K256" s="306">
        <f>+IF($H256=K$2,VLOOKUP($G256,Depreciation!$A$14:$L$18,9,FALSE)/2,IF($H256&lt;K$2,VLOOKUP($G256,Depreciation!$A$14:$L$18,9,FALSE),0))</f>
        <v>0</v>
      </c>
      <c r="L256" s="306">
        <f>+IF($H256=L$2,VLOOKUP($G256,Depreciation!$A$14:$L$18,10,FALSE)/2,IF($H256&lt;L$2,VLOOKUP($G256,Depreciation!$A$14:$L$18,10,FALSE),0))</f>
        <v>1.671703928371859E-2</v>
      </c>
      <c r="M256" s="306">
        <f>+IF($H256=M$2,VLOOKUP($G256,Depreciation!$A$14:$L$18,11,FALSE)/2,IF($H256&lt;M$2,VLOOKUP($G256,Depreciation!$A$14:$L$18,11,FALSE),0))</f>
        <v>3.343407856743718E-2</v>
      </c>
      <c r="N256" s="306">
        <f>+IF($H256=N$2,VLOOKUP($G256,Depreciation!$A$14:$L$18,12,FALSE)/2,IF($H256&lt;N$2,VLOOKUP($G256,Depreciation!$A$14:$L$18,12,FALSE),0))</f>
        <v>3.343407856743718E-2</v>
      </c>
      <c r="O256" s="307">
        <f t="shared" si="25"/>
        <v>759466.8334705364</v>
      </c>
      <c r="P256" s="732">
        <f>'Func Future Subs 2015'!P256</f>
        <v>0</v>
      </c>
      <c r="Q256" s="732">
        <f>'Func Future Subs 2015'!Q256</f>
        <v>1</v>
      </c>
      <c r="R256" s="732">
        <f>'Func Future Subs 2015'!R256</f>
        <v>0</v>
      </c>
      <c r="S256" s="735">
        <f t="shared" si="26"/>
        <v>0</v>
      </c>
      <c r="T256" s="735">
        <f t="shared" si="27"/>
        <v>759466.8334705364</v>
      </c>
      <c r="U256" s="735">
        <f t="shared" si="28"/>
        <v>0</v>
      </c>
      <c r="V256" s="736">
        <f t="shared" si="29"/>
        <v>0</v>
      </c>
      <c r="W256" s="735">
        <f t="shared" si="30"/>
        <v>0</v>
      </c>
      <c r="X256" s="737">
        <f t="shared" si="31"/>
        <v>0</v>
      </c>
      <c r="Y256" s="738">
        <f t="shared" si="32"/>
        <v>759466.8334705364</v>
      </c>
    </row>
    <row r="257" spans="1:25">
      <c r="A257" s="754" t="str">
        <f>'Func Future Subs 2015'!A257</f>
        <v>West Brooks 28S_(v1)</v>
      </c>
      <c r="B257" s="754">
        <f>'Func Future Subs 2015'!B257</f>
        <v>1336</v>
      </c>
      <c r="C257" s="754">
        <f>'Func Future Subs 2015'!C257</f>
        <v>240</v>
      </c>
      <c r="D257" s="754">
        <f>'Func Future Subs 2015'!D257</f>
        <v>25</v>
      </c>
      <c r="E257" s="754" t="str">
        <f>'Func Future Subs 2015'!E257</f>
        <v>28S</v>
      </c>
      <c r="F257" s="754">
        <f>'Func Future Subs 2015'!F257</f>
        <v>407420.73897496995</v>
      </c>
      <c r="G257" s="754" t="str">
        <f>'Func Future Subs 2015'!G257</f>
        <v>AltaLink</v>
      </c>
      <c r="H257" s="754">
        <f>'Func Future Subs 2015'!H257</f>
        <v>2018</v>
      </c>
      <c r="I257" s="306">
        <f>+IF($H257=I$2,VLOOKUP($G257,Depreciation!$A$14:$L$18,7,FALSE)/2,IF($H257&lt;I$2,VLOOKUP($G257,Depreciation!$A$14:$L$18,7,FALSE),0))</f>
        <v>0</v>
      </c>
      <c r="J257" s="306">
        <f>+IF($H257=J$2,VLOOKUP($G257,Depreciation!$A$14:$L$18,8,FALSE)/2,IF($H257&lt;J$2,VLOOKUP($G257,Depreciation!$A$14:$L$18,8,FALSE),0))</f>
        <v>0</v>
      </c>
      <c r="K257" s="306">
        <f>+IF($H257=K$2,VLOOKUP($G257,Depreciation!$A$14:$L$18,9,FALSE)/2,IF($H257&lt;K$2,VLOOKUP($G257,Depreciation!$A$14:$L$18,9,FALSE),0))</f>
        <v>0</v>
      </c>
      <c r="L257" s="306">
        <f>+IF($H257=L$2,VLOOKUP($G257,Depreciation!$A$14:$L$18,10,FALSE)/2,IF($H257&lt;L$2,VLOOKUP($G257,Depreciation!$A$14:$L$18,10,FALSE),0))</f>
        <v>1.671703928371859E-2</v>
      </c>
      <c r="M257" s="306">
        <f>+IF($H257=M$2,VLOOKUP($G257,Depreciation!$A$14:$L$18,11,FALSE)/2,IF($H257&lt;M$2,VLOOKUP($G257,Depreciation!$A$14:$L$18,11,FALSE),0))</f>
        <v>3.343407856743718E-2</v>
      </c>
      <c r="N257" s="306">
        <f>+IF($H257=N$2,VLOOKUP($G257,Depreciation!$A$14:$L$18,12,FALSE)/2,IF($H257&lt;N$2,VLOOKUP($G257,Depreciation!$A$14:$L$18,12,FALSE),0))</f>
        <v>3.343407856743718E-2</v>
      </c>
      <c r="O257" s="307">
        <f t="shared" si="25"/>
        <v>387215.8485921208</v>
      </c>
      <c r="P257" s="732">
        <f>'Func Future Subs 2015'!P257</f>
        <v>0</v>
      </c>
      <c r="Q257" s="732">
        <f>'Func Future Subs 2015'!Q257</f>
        <v>1</v>
      </c>
      <c r="R257" s="732">
        <f>'Func Future Subs 2015'!R257</f>
        <v>0</v>
      </c>
      <c r="S257" s="735">
        <f t="shared" si="26"/>
        <v>0</v>
      </c>
      <c r="T257" s="735">
        <f t="shared" si="27"/>
        <v>387215.8485921208</v>
      </c>
      <c r="U257" s="735">
        <f t="shared" si="28"/>
        <v>0</v>
      </c>
      <c r="V257" s="736">
        <f t="shared" si="29"/>
        <v>0</v>
      </c>
      <c r="W257" s="735">
        <f t="shared" si="30"/>
        <v>0</v>
      </c>
      <c r="X257" s="737">
        <f t="shared" si="31"/>
        <v>0</v>
      </c>
      <c r="Y257" s="738">
        <f t="shared" si="32"/>
        <v>387215.8485921208</v>
      </c>
    </row>
    <row r="258" spans="1:25">
      <c r="A258" s="754" t="str">
        <f>'Func Future Subs 2015'!A258</f>
        <v>Castle Rock Ridge 205S</v>
      </c>
      <c r="B258" s="754">
        <f>'Func Future Subs 2015'!B258</f>
        <v>1343</v>
      </c>
      <c r="C258" s="754">
        <f>'Func Future Subs 2015'!C258</f>
        <v>240</v>
      </c>
      <c r="D258" s="754">
        <f>'Func Future Subs 2015'!D258</f>
        <v>25</v>
      </c>
      <c r="E258" s="754" t="str">
        <f>'Func Future Subs 2015'!E258</f>
        <v>205S</v>
      </c>
      <c r="F258" s="754">
        <f>'Func Future Subs 2015'!F258</f>
        <v>296511.62301019125</v>
      </c>
      <c r="G258" s="754" t="str">
        <f>'Func Future Subs 2015'!G258</f>
        <v>AltaLink</v>
      </c>
      <c r="H258" s="754">
        <f>'Func Future Subs 2015'!H258</f>
        <v>2015</v>
      </c>
      <c r="I258" s="306">
        <f>+IF($H258=I$2,VLOOKUP($G258,Depreciation!$A$14:$L$18,7,FALSE)/2,IF($H258&lt;I$2,VLOOKUP($G258,Depreciation!$A$14:$L$18,7,FALSE),0))</f>
        <v>1.7228380322441735E-2</v>
      </c>
      <c r="J258" s="306">
        <f>+IF($H258=J$2,VLOOKUP($G258,Depreciation!$A$14:$L$18,8,FALSE)/2,IF($H258&lt;J$2,VLOOKUP($G258,Depreciation!$A$14:$L$18,8,FALSE),0))</f>
        <v>3.343407856743718E-2</v>
      </c>
      <c r="K258" s="306">
        <f>+IF($H258=K$2,VLOOKUP($G258,Depreciation!$A$14:$L$18,9,FALSE)/2,IF($H258&lt;K$2,VLOOKUP($G258,Depreciation!$A$14:$L$18,9,FALSE),0))</f>
        <v>3.343407856743718E-2</v>
      </c>
      <c r="L258" s="306">
        <f>+IF($H258=L$2,VLOOKUP($G258,Depreciation!$A$14:$L$18,10,FALSE)/2,IF($H258&lt;L$2,VLOOKUP($G258,Depreciation!$A$14:$L$18,10,FALSE),0))</f>
        <v>3.343407856743718E-2</v>
      </c>
      <c r="M258" s="306">
        <f>+IF($H258=M$2,VLOOKUP($G258,Depreciation!$A$14:$L$18,11,FALSE)/2,IF($H258&lt;M$2,VLOOKUP($G258,Depreciation!$A$14:$L$18,11,FALSE),0))</f>
        <v>3.343407856743718E-2</v>
      </c>
      <c r="N258" s="306">
        <f>+IF($H258=N$2,VLOOKUP($G258,Depreciation!$A$14:$L$18,12,FALSE)/2,IF($H258&lt;N$2,VLOOKUP($G258,Depreciation!$A$14:$L$18,12,FALSE),0))</f>
        <v>3.343407856743718E-2</v>
      </c>
      <c r="O258" s="307">
        <f t="shared" si="25"/>
        <v>254343.26645070023</v>
      </c>
      <c r="P258" s="732">
        <f>'Func Future Subs 2015'!P258</f>
        <v>0.99826388888888884</v>
      </c>
      <c r="Q258" s="732">
        <f>'Func Future Subs 2015'!Q258</f>
        <v>1.7361111111111112E-3</v>
      </c>
      <c r="R258" s="732">
        <f>'Func Future Subs 2015'!R258</f>
        <v>4.9222778630841901E-17</v>
      </c>
      <c r="S258" s="735">
        <f t="shared" si="26"/>
        <v>253901.69827977888</v>
      </c>
      <c r="T258" s="735">
        <f t="shared" si="27"/>
        <v>441.56817092135458</v>
      </c>
      <c r="U258" s="735">
        <f t="shared" si="28"/>
        <v>1.2519482300748055E-11</v>
      </c>
      <c r="V258" s="736">
        <f t="shared" si="29"/>
        <v>0</v>
      </c>
      <c r="W258" s="735">
        <f t="shared" si="30"/>
        <v>253901.69827977888</v>
      </c>
      <c r="X258" s="737">
        <f t="shared" si="31"/>
        <v>0</v>
      </c>
      <c r="Y258" s="738">
        <f t="shared" si="32"/>
        <v>441.56817092136708</v>
      </c>
    </row>
    <row r="259" spans="1:25">
      <c r="A259" s="754" t="str">
        <f>'Func Future Subs 2015'!A259</f>
        <v>Fidler 312S Stage 1</v>
      </c>
      <c r="B259" s="754">
        <f>'Func Future Subs 2015'!B259</f>
        <v>1343</v>
      </c>
      <c r="C259" s="754">
        <f>'Func Future Subs 2015'!C259</f>
        <v>240</v>
      </c>
      <c r="D259" s="754">
        <f>'Func Future Subs 2015'!D259</f>
        <v>138</v>
      </c>
      <c r="E259" s="754" t="str">
        <f>'Func Future Subs 2015'!E259</f>
        <v>312S</v>
      </c>
      <c r="F259" s="754">
        <f>'Func Future Subs 2015'!F259</f>
        <v>31755235.281731669</v>
      </c>
      <c r="G259" s="754" t="str">
        <f>'Func Future Subs 2015'!G259</f>
        <v>AltaLink</v>
      </c>
      <c r="H259" s="754">
        <f>'Func Future Subs 2015'!H259</f>
        <v>2019</v>
      </c>
      <c r="I259" s="306">
        <f>+IF($H259=I$2,VLOOKUP($G259,Depreciation!$A$14:$L$18,7,FALSE)/2,IF($H259&lt;I$2,VLOOKUP($G259,Depreciation!$A$14:$L$18,7,FALSE),0))</f>
        <v>0</v>
      </c>
      <c r="J259" s="306">
        <f>+IF($H259=J$2,VLOOKUP($G259,Depreciation!$A$14:$L$18,8,FALSE)/2,IF($H259&lt;J$2,VLOOKUP($G259,Depreciation!$A$14:$L$18,8,FALSE),0))</f>
        <v>0</v>
      </c>
      <c r="K259" s="306">
        <f>+IF($H259=K$2,VLOOKUP($G259,Depreciation!$A$14:$L$18,9,FALSE)/2,IF($H259&lt;K$2,VLOOKUP($G259,Depreciation!$A$14:$L$18,9,FALSE),0))</f>
        <v>0</v>
      </c>
      <c r="L259" s="306">
        <f>+IF($H259=L$2,VLOOKUP($G259,Depreciation!$A$14:$L$18,10,FALSE)/2,IF($H259&lt;L$2,VLOOKUP($G259,Depreciation!$A$14:$L$18,10,FALSE),0))</f>
        <v>0</v>
      </c>
      <c r="M259" s="306">
        <f>+IF($H259=M$2,VLOOKUP($G259,Depreciation!$A$14:$L$18,11,FALSE)/2,IF($H259&lt;M$2,VLOOKUP($G259,Depreciation!$A$14:$L$18,11,FALSE),0))</f>
        <v>1.671703928371859E-2</v>
      </c>
      <c r="N259" s="306">
        <f>+IF($H259=N$2,VLOOKUP($G259,Depreciation!$A$14:$L$18,12,FALSE)/2,IF($H259&lt;N$2,VLOOKUP($G259,Depreciation!$A$14:$L$18,12,FALSE),0))</f>
        <v>3.343407856743718E-2</v>
      </c>
      <c r="O259" s="307">
        <f t="shared" si="25"/>
        <v>31224381.766063236</v>
      </c>
      <c r="P259" s="732">
        <f>'Func Future Subs 2015'!P259</f>
        <v>0</v>
      </c>
      <c r="Q259" s="732">
        <f>'Func Future Subs 2015'!Q259</f>
        <v>0</v>
      </c>
      <c r="R259" s="732">
        <f>'Func Future Subs 2015'!R259</f>
        <v>1</v>
      </c>
      <c r="S259" s="735">
        <f t="shared" si="26"/>
        <v>0</v>
      </c>
      <c r="T259" s="735">
        <f t="shared" si="27"/>
        <v>0</v>
      </c>
      <c r="U259" s="735">
        <f t="shared" si="28"/>
        <v>31224381.766063236</v>
      </c>
      <c r="V259" s="736">
        <f t="shared" si="29"/>
        <v>0</v>
      </c>
      <c r="W259" s="735">
        <f t="shared" si="30"/>
        <v>0</v>
      </c>
      <c r="X259" s="737">
        <f t="shared" si="31"/>
        <v>31224381.766063236</v>
      </c>
      <c r="Y259" s="738">
        <f t="shared" si="32"/>
        <v>0</v>
      </c>
    </row>
    <row r="260" spans="1:25">
      <c r="A260" s="754" t="str">
        <f>'Func Future Subs 2015'!A260</f>
        <v>Fidler 312S stage 2</v>
      </c>
      <c r="B260" s="754">
        <f>'Func Future Subs 2015'!B260</f>
        <v>1343</v>
      </c>
      <c r="C260" s="754">
        <f>'Func Future Subs 2015'!C260</f>
        <v>240</v>
      </c>
      <c r="D260" s="754">
        <f>'Func Future Subs 2015'!D260</f>
        <v>138</v>
      </c>
      <c r="E260" s="754" t="str">
        <f>'Func Future Subs 2015'!E260</f>
        <v>312S</v>
      </c>
      <c r="F260" s="754">
        <f>'Func Future Subs 2015'!F260</f>
        <v>9276667.4068498276</v>
      </c>
      <c r="G260" s="754" t="str">
        <f>'Func Future Subs 2015'!G260</f>
        <v>AltaLink</v>
      </c>
      <c r="H260" s="754">
        <f>'Func Future Subs 2015'!H260</f>
        <v>2019</v>
      </c>
      <c r="I260" s="306">
        <f>+IF($H260=I$2,VLOOKUP($G260,Depreciation!$A$14:$L$18,7,FALSE)/2,IF($H260&lt;I$2,VLOOKUP($G260,Depreciation!$A$14:$L$18,7,FALSE),0))</f>
        <v>0</v>
      </c>
      <c r="J260" s="306">
        <f>+IF($H260=J$2,VLOOKUP($G260,Depreciation!$A$14:$L$18,8,FALSE)/2,IF($H260&lt;J$2,VLOOKUP($G260,Depreciation!$A$14:$L$18,8,FALSE),0))</f>
        <v>0</v>
      </c>
      <c r="K260" s="306">
        <f>+IF($H260=K$2,VLOOKUP($G260,Depreciation!$A$14:$L$18,9,FALSE)/2,IF($H260&lt;K$2,VLOOKUP($G260,Depreciation!$A$14:$L$18,9,FALSE),0))</f>
        <v>0</v>
      </c>
      <c r="L260" s="306">
        <f>+IF($H260=L$2,VLOOKUP($G260,Depreciation!$A$14:$L$18,10,FALSE)/2,IF($H260&lt;L$2,VLOOKUP($G260,Depreciation!$A$14:$L$18,10,FALSE),0))</f>
        <v>0</v>
      </c>
      <c r="M260" s="306">
        <f>+IF($H260=M$2,VLOOKUP($G260,Depreciation!$A$14:$L$18,11,FALSE)/2,IF($H260&lt;M$2,VLOOKUP($G260,Depreciation!$A$14:$L$18,11,FALSE),0))</f>
        <v>1.671703928371859E-2</v>
      </c>
      <c r="N260" s="306">
        <f>+IF($H260=N$2,VLOOKUP($G260,Depreciation!$A$14:$L$18,12,FALSE)/2,IF($H260&lt;N$2,VLOOKUP($G260,Depreciation!$A$14:$L$18,12,FALSE),0))</f>
        <v>3.343407856743718E-2</v>
      </c>
      <c r="O260" s="307">
        <f t="shared" ref="O260:O323" si="33">IF(H260&lt;=2019,F260*(1-I260)*(1-J260)*(1-K260)*(1-L260)*(1-M260),0)</f>
        <v>9121588.9933875278</v>
      </c>
      <c r="P260" s="732">
        <f>'Func Future Subs 2015'!P260</f>
        <v>0</v>
      </c>
      <c r="Q260" s="732">
        <f>'Func Future Subs 2015'!Q260</f>
        <v>0</v>
      </c>
      <c r="R260" s="732">
        <f>'Func Future Subs 2015'!R260</f>
        <v>1</v>
      </c>
      <c r="S260" s="735">
        <f t="shared" ref="S260:S323" si="34">+P260*$O260</f>
        <v>0</v>
      </c>
      <c r="T260" s="735">
        <f t="shared" ref="T260:T323" si="35">+Q260*$O260</f>
        <v>0</v>
      </c>
      <c r="U260" s="735">
        <f t="shared" ref="U260:U323" si="36">+R260*$O260</f>
        <v>9121588.9933875278</v>
      </c>
      <c r="V260" s="736">
        <f t="shared" ref="V260:V323" si="37">IF(AND(R260=1,D260=0),O260,0)</f>
        <v>0</v>
      </c>
      <c r="W260" s="735">
        <f t="shared" ref="W260:W323" si="38">S260+IF(D260&gt;144,U260,0)</f>
        <v>0</v>
      </c>
      <c r="X260" s="737">
        <f t="shared" ref="X260:X323" si="39">IF(AND(D260&lt;=144,D260&gt;=69),U260,0)</f>
        <v>9121588.9933875278</v>
      </c>
      <c r="Y260" s="738">
        <f t="shared" ref="Y260:Y323" si="40">T260+IF(AND(D260&lt;69,D260&gt;0),U260,0)</f>
        <v>0</v>
      </c>
    </row>
    <row r="261" spans="1:25">
      <c r="A261" s="754" t="str">
        <f>'Func Future Subs 2015'!A261</f>
        <v>Goose Lake 103S stage 1</v>
      </c>
      <c r="B261" s="754">
        <f>'Func Future Subs 2015'!B261</f>
        <v>1343</v>
      </c>
      <c r="C261" s="754">
        <f>'Func Future Subs 2015'!C261</f>
        <v>240</v>
      </c>
      <c r="D261" s="754">
        <f>'Func Future Subs 2015'!D261</f>
        <v>138</v>
      </c>
      <c r="E261" s="754" t="str">
        <f>'Func Future Subs 2015'!E261</f>
        <v>103S</v>
      </c>
      <c r="F261" s="754">
        <f>'Func Future Subs 2015'!F261</f>
        <v>296511.62301019125</v>
      </c>
      <c r="G261" s="754" t="str">
        <f>'Func Future Subs 2015'!G261</f>
        <v>AltaLink</v>
      </c>
      <c r="H261" s="754">
        <f>'Func Future Subs 2015'!H261</f>
        <v>2019</v>
      </c>
      <c r="I261" s="306">
        <f>+IF($H261=I$2,VLOOKUP($G261,Depreciation!$A$14:$L$18,7,FALSE)/2,IF($H261&lt;I$2,VLOOKUP($G261,Depreciation!$A$14:$L$18,7,FALSE),0))</f>
        <v>0</v>
      </c>
      <c r="J261" s="306">
        <f>+IF($H261=J$2,VLOOKUP($G261,Depreciation!$A$14:$L$18,8,FALSE)/2,IF($H261&lt;J$2,VLOOKUP($G261,Depreciation!$A$14:$L$18,8,FALSE),0))</f>
        <v>0</v>
      </c>
      <c r="K261" s="306">
        <f>+IF($H261=K$2,VLOOKUP($G261,Depreciation!$A$14:$L$18,9,FALSE)/2,IF($H261&lt;K$2,VLOOKUP($G261,Depreciation!$A$14:$L$18,9,FALSE),0))</f>
        <v>0</v>
      </c>
      <c r="L261" s="306">
        <f>+IF($H261=L$2,VLOOKUP($G261,Depreciation!$A$14:$L$18,10,FALSE)/2,IF($H261&lt;L$2,VLOOKUP($G261,Depreciation!$A$14:$L$18,10,FALSE),0))</f>
        <v>0</v>
      </c>
      <c r="M261" s="306">
        <f>+IF($H261=M$2,VLOOKUP($G261,Depreciation!$A$14:$L$18,11,FALSE)/2,IF($H261&lt;M$2,VLOOKUP($G261,Depreciation!$A$14:$L$18,11,FALSE),0))</f>
        <v>1.671703928371859E-2</v>
      </c>
      <c r="N261" s="306">
        <f>+IF($H261=N$2,VLOOKUP($G261,Depreciation!$A$14:$L$18,12,FALSE)/2,IF($H261&lt;N$2,VLOOKUP($G261,Depreciation!$A$14:$L$18,12,FALSE),0))</f>
        <v>3.343407856743718E-2</v>
      </c>
      <c r="O261" s="307">
        <f t="shared" si="33"/>
        <v>291554.82656025072</v>
      </c>
      <c r="P261" s="732">
        <f>'Func Future Subs 2015'!P261</f>
        <v>0</v>
      </c>
      <c r="Q261" s="732">
        <f>'Func Future Subs 2015'!Q261</f>
        <v>0</v>
      </c>
      <c r="R261" s="732">
        <f>'Func Future Subs 2015'!R261</f>
        <v>1</v>
      </c>
      <c r="S261" s="735">
        <f t="shared" si="34"/>
        <v>0</v>
      </c>
      <c r="T261" s="735">
        <f t="shared" si="35"/>
        <v>0</v>
      </c>
      <c r="U261" s="735">
        <f t="shared" si="36"/>
        <v>291554.82656025072</v>
      </c>
      <c r="V261" s="736">
        <f t="shared" si="37"/>
        <v>0</v>
      </c>
      <c r="W261" s="735">
        <f t="shared" si="38"/>
        <v>0</v>
      </c>
      <c r="X261" s="737">
        <f t="shared" si="39"/>
        <v>291554.82656025072</v>
      </c>
      <c r="Y261" s="738">
        <f t="shared" si="40"/>
        <v>0</v>
      </c>
    </row>
    <row r="262" spans="1:25">
      <c r="A262" s="754" t="str">
        <f>'Func Future Subs 2015'!A262</f>
        <v>Goose Lake stage 2</v>
      </c>
      <c r="B262" s="754">
        <f>'Func Future Subs 2015'!B262</f>
        <v>1343</v>
      </c>
      <c r="C262" s="754">
        <f>'Func Future Subs 2015'!C262</f>
        <v>240</v>
      </c>
      <c r="D262" s="754">
        <f>'Func Future Subs 2015'!D262</f>
        <v>0</v>
      </c>
      <c r="E262" s="754">
        <f>'Func Future Subs 2015'!E262</f>
        <v>0</v>
      </c>
      <c r="F262" s="754">
        <f>'Func Future Subs 2015'!F262</f>
        <v>198194.95671810306</v>
      </c>
      <c r="G262" s="754" t="str">
        <f>'Func Future Subs 2015'!G262</f>
        <v>AltaLink</v>
      </c>
      <c r="H262" s="754">
        <f>'Func Future Subs 2015'!H262</f>
        <v>2019</v>
      </c>
      <c r="I262" s="306">
        <f>+IF($H262=I$2,VLOOKUP($G262,Depreciation!$A$14:$L$18,7,FALSE)/2,IF($H262&lt;I$2,VLOOKUP($G262,Depreciation!$A$14:$L$18,7,FALSE),0))</f>
        <v>0</v>
      </c>
      <c r="J262" s="306">
        <f>+IF($H262=J$2,VLOOKUP($G262,Depreciation!$A$14:$L$18,8,FALSE)/2,IF($H262&lt;J$2,VLOOKUP($G262,Depreciation!$A$14:$L$18,8,FALSE),0))</f>
        <v>0</v>
      </c>
      <c r="K262" s="306">
        <f>+IF($H262=K$2,VLOOKUP($G262,Depreciation!$A$14:$L$18,9,FALSE)/2,IF($H262&lt;K$2,VLOOKUP($G262,Depreciation!$A$14:$L$18,9,FALSE),0))</f>
        <v>0</v>
      </c>
      <c r="L262" s="306">
        <f>+IF($H262=L$2,VLOOKUP($G262,Depreciation!$A$14:$L$18,10,FALSE)/2,IF($H262&lt;L$2,VLOOKUP($G262,Depreciation!$A$14:$L$18,10,FALSE),0))</f>
        <v>0</v>
      </c>
      <c r="M262" s="306">
        <f>+IF($H262=M$2,VLOOKUP($G262,Depreciation!$A$14:$L$18,11,FALSE)/2,IF($H262&lt;M$2,VLOOKUP($G262,Depreciation!$A$14:$L$18,11,FALSE),0))</f>
        <v>1.671703928371859E-2</v>
      </c>
      <c r="N262" s="306">
        <f>+IF($H262=N$2,VLOOKUP($G262,Depreciation!$A$14:$L$18,12,FALSE)/2,IF($H262&lt;N$2,VLOOKUP($G262,Depreciation!$A$14:$L$18,12,FALSE),0))</f>
        <v>3.343407856743718E-2</v>
      </c>
      <c r="O262" s="307">
        <f t="shared" si="33"/>
        <v>194881.72384081161</v>
      </c>
      <c r="P262" s="732">
        <f>'Func Future Subs 2015'!P262</f>
        <v>0</v>
      </c>
      <c r="Q262" s="732">
        <f>'Func Future Subs 2015'!Q262</f>
        <v>0</v>
      </c>
      <c r="R262" s="732">
        <f>'Func Future Subs 2015'!R262</f>
        <v>1</v>
      </c>
      <c r="S262" s="735">
        <f t="shared" si="34"/>
        <v>0</v>
      </c>
      <c r="T262" s="735">
        <f t="shared" si="35"/>
        <v>0</v>
      </c>
      <c r="U262" s="735">
        <f t="shared" si="36"/>
        <v>194881.72384081161</v>
      </c>
      <c r="V262" s="736">
        <f t="shared" si="37"/>
        <v>194881.72384081161</v>
      </c>
      <c r="W262" s="735">
        <f t="shared" si="38"/>
        <v>0</v>
      </c>
      <c r="X262" s="737">
        <f t="shared" si="39"/>
        <v>0</v>
      </c>
      <c r="Y262" s="738">
        <f t="shared" si="40"/>
        <v>0</v>
      </c>
    </row>
    <row r="263" spans="1:25">
      <c r="A263" s="754" t="str">
        <f>'Func Future Subs 2015'!A263</f>
        <v>Oldman River 806S stage 2</v>
      </c>
      <c r="B263" s="754">
        <f>'Func Future Subs 2015'!B263</f>
        <v>1343</v>
      </c>
      <c r="C263" s="754">
        <f>'Func Future Subs 2015'!C263</f>
        <v>138</v>
      </c>
      <c r="D263" s="754">
        <f>'Func Future Subs 2015'!D263</f>
        <v>25</v>
      </c>
      <c r="E263" s="754" t="str">
        <f>'Func Future Subs 2015'!E263</f>
        <v>806S</v>
      </c>
      <c r="F263" s="754">
        <f>'Func Future Subs 2015'!F263</f>
        <v>198194.95671810306</v>
      </c>
      <c r="G263" s="754" t="str">
        <f>'Func Future Subs 2015'!G263</f>
        <v>AltaLink</v>
      </c>
      <c r="H263" s="754">
        <f>'Func Future Subs 2015'!H263</f>
        <v>2015</v>
      </c>
      <c r="I263" s="306">
        <f>+IF($H263=I$2,VLOOKUP($G263,Depreciation!$A$14:$L$18,7,FALSE)/2,IF($H263&lt;I$2,VLOOKUP($G263,Depreciation!$A$14:$L$18,7,FALSE),0))</f>
        <v>1.7228380322441735E-2</v>
      </c>
      <c r="J263" s="306">
        <f>+IF($H263=J$2,VLOOKUP($G263,Depreciation!$A$14:$L$18,8,FALSE)/2,IF($H263&lt;J$2,VLOOKUP($G263,Depreciation!$A$14:$L$18,8,FALSE),0))</f>
        <v>3.343407856743718E-2</v>
      </c>
      <c r="K263" s="306">
        <f>+IF($H263=K$2,VLOOKUP($G263,Depreciation!$A$14:$L$18,9,FALSE)/2,IF($H263&lt;K$2,VLOOKUP($G263,Depreciation!$A$14:$L$18,9,FALSE),0))</f>
        <v>3.343407856743718E-2</v>
      </c>
      <c r="L263" s="306">
        <f>+IF($H263=L$2,VLOOKUP($G263,Depreciation!$A$14:$L$18,10,FALSE)/2,IF($H263&lt;L$2,VLOOKUP($G263,Depreciation!$A$14:$L$18,10,FALSE),0))</f>
        <v>3.343407856743718E-2</v>
      </c>
      <c r="M263" s="306">
        <f>+IF($H263=M$2,VLOOKUP($G263,Depreciation!$A$14:$L$18,11,FALSE)/2,IF($H263&lt;M$2,VLOOKUP($G263,Depreciation!$A$14:$L$18,11,FALSE),0))</f>
        <v>3.343407856743718E-2</v>
      </c>
      <c r="N263" s="306">
        <f>+IF($H263=N$2,VLOOKUP($G263,Depreciation!$A$14:$L$18,12,FALSE)/2,IF($H263&lt;N$2,VLOOKUP($G263,Depreciation!$A$14:$L$18,12,FALSE),0))</f>
        <v>3.343407856743718E-2</v>
      </c>
      <c r="O263" s="307">
        <f t="shared" si="33"/>
        <v>170008.69029678777</v>
      </c>
      <c r="P263" s="732">
        <f>'Func Future Subs 2015'!P263</f>
        <v>0.96969696969696972</v>
      </c>
      <c r="Q263" s="732">
        <f>'Func Future Subs 2015'!Q263</f>
        <v>3.0303030303030304E-2</v>
      </c>
      <c r="R263" s="732">
        <f>'Func Future Subs 2015'!R263</f>
        <v>-2.7755575615628914E-17</v>
      </c>
      <c r="S263" s="735">
        <f t="shared" si="34"/>
        <v>164856.91180294572</v>
      </c>
      <c r="T263" s="735">
        <f t="shared" si="35"/>
        <v>5151.7784938420536</v>
      </c>
      <c r="U263" s="735">
        <f t="shared" si="36"/>
        <v>-4.7186890588465305E-12</v>
      </c>
      <c r="V263" s="736">
        <f t="shared" si="37"/>
        <v>0</v>
      </c>
      <c r="W263" s="735">
        <f t="shared" si="38"/>
        <v>164856.91180294572</v>
      </c>
      <c r="X263" s="737">
        <f t="shared" si="39"/>
        <v>0</v>
      </c>
      <c r="Y263" s="738">
        <f t="shared" si="40"/>
        <v>5151.7784938420491</v>
      </c>
    </row>
    <row r="264" spans="1:25">
      <c r="A264" s="754" t="str">
        <f>'Func Future Subs 2015'!A264</f>
        <v>Oldman River Dam 806S stage 1</v>
      </c>
      <c r="B264" s="754">
        <f>'Func Future Subs 2015'!B264</f>
        <v>1343</v>
      </c>
      <c r="C264" s="754">
        <f>'Func Future Subs 2015'!C264</f>
        <v>138</v>
      </c>
      <c r="D264" s="754">
        <f>'Func Future Subs 2015'!D264</f>
        <v>25</v>
      </c>
      <c r="E264" s="754" t="str">
        <f>'Func Future Subs 2015'!E264</f>
        <v>806S</v>
      </c>
      <c r="F264" s="754">
        <f>'Func Future Subs 2015'!F264</f>
        <v>160679.48286027124</v>
      </c>
      <c r="G264" s="754" t="str">
        <f>'Func Future Subs 2015'!G264</f>
        <v>AltaLink</v>
      </c>
      <c r="H264" s="754">
        <f>'Func Future Subs 2015'!H264</f>
        <v>2015</v>
      </c>
      <c r="I264" s="306">
        <f>+IF($H264=I$2,VLOOKUP($G264,Depreciation!$A$14:$L$18,7,FALSE)/2,IF($H264&lt;I$2,VLOOKUP($G264,Depreciation!$A$14:$L$18,7,FALSE),0))</f>
        <v>1.7228380322441735E-2</v>
      </c>
      <c r="J264" s="306">
        <f>+IF($H264=J$2,VLOOKUP($G264,Depreciation!$A$14:$L$18,8,FALSE)/2,IF($H264&lt;J$2,VLOOKUP($G264,Depreciation!$A$14:$L$18,8,FALSE),0))</f>
        <v>3.343407856743718E-2</v>
      </c>
      <c r="K264" s="306">
        <f>+IF($H264=K$2,VLOOKUP($G264,Depreciation!$A$14:$L$18,9,FALSE)/2,IF($H264&lt;K$2,VLOOKUP($G264,Depreciation!$A$14:$L$18,9,FALSE),0))</f>
        <v>3.343407856743718E-2</v>
      </c>
      <c r="L264" s="306">
        <f>+IF($H264=L$2,VLOOKUP($G264,Depreciation!$A$14:$L$18,10,FALSE)/2,IF($H264&lt;L$2,VLOOKUP($G264,Depreciation!$A$14:$L$18,10,FALSE),0))</f>
        <v>3.343407856743718E-2</v>
      </c>
      <c r="M264" s="306">
        <f>+IF($H264=M$2,VLOOKUP($G264,Depreciation!$A$14:$L$18,11,FALSE)/2,IF($H264&lt;M$2,VLOOKUP($G264,Depreciation!$A$14:$L$18,11,FALSE),0))</f>
        <v>3.343407856743718E-2</v>
      </c>
      <c r="N264" s="306">
        <f>+IF($H264=N$2,VLOOKUP($G264,Depreciation!$A$14:$L$18,12,FALSE)/2,IF($H264&lt;N$2,VLOOKUP($G264,Depreciation!$A$14:$L$18,12,FALSE),0))</f>
        <v>3.343407856743718E-2</v>
      </c>
      <c r="O264" s="307">
        <f t="shared" si="33"/>
        <v>137828.47399842419</v>
      </c>
      <c r="P264" s="732">
        <f>'Func Future Subs 2015'!P264</f>
        <v>0.96969696969696972</v>
      </c>
      <c r="Q264" s="732">
        <f>'Func Future Subs 2015'!Q264</f>
        <v>3.0303030303030304E-2</v>
      </c>
      <c r="R264" s="732">
        <f>'Func Future Subs 2015'!R264</f>
        <v>-2.7755575615628914E-17</v>
      </c>
      <c r="S264" s="735">
        <f t="shared" si="34"/>
        <v>133651.85357422952</v>
      </c>
      <c r="T264" s="735">
        <f t="shared" si="35"/>
        <v>4176.6204241946725</v>
      </c>
      <c r="U264" s="735">
        <f t="shared" si="36"/>
        <v>-3.8255086320500062E-12</v>
      </c>
      <c r="V264" s="736">
        <f t="shared" si="37"/>
        <v>0</v>
      </c>
      <c r="W264" s="735">
        <f t="shared" si="38"/>
        <v>133651.85357422952</v>
      </c>
      <c r="X264" s="737">
        <f t="shared" si="39"/>
        <v>0</v>
      </c>
      <c r="Y264" s="738">
        <f t="shared" si="40"/>
        <v>4176.6204241946689</v>
      </c>
    </row>
    <row r="265" spans="1:25">
      <c r="A265" s="754" t="str">
        <f>'Func Future Subs 2015'!A265</f>
        <v>Summerview 354S stage 2</v>
      </c>
      <c r="B265" s="754">
        <f>'Func Future Subs 2015'!B265</f>
        <v>1343</v>
      </c>
      <c r="C265" s="754">
        <f>'Func Future Subs 2015'!C265</f>
        <v>138</v>
      </c>
      <c r="D265" s="754">
        <f>'Func Future Subs 2015'!D265</f>
        <v>25</v>
      </c>
      <c r="E265" s="754" t="str">
        <f>'Func Future Subs 2015'!E265</f>
        <v>354S</v>
      </c>
      <c r="F265" s="754">
        <f>'Func Future Subs 2015'!F265</f>
        <v>198194.95671810306</v>
      </c>
      <c r="G265" s="754" t="str">
        <f>'Func Future Subs 2015'!G265</f>
        <v>AltaLink</v>
      </c>
      <c r="H265" s="754">
        <f>'Func Future Subs 2015'!H265</f>
        <v>2015</v>
      </c>
      <c r="I265" s="306">
        <f>+IF($H265=I$2,VLOOKUP($G265,Depreciation!$A$14:$L$18,7,FALSE)/2,IF($H265&lt;I$2,VLOOKUP($G265,Depreciation!$A$14:$L$18,7,FALSE),0))</f>
        <v>1.7228380322441735E-2</v>
      </c>
      <c r="J265" s="306">
        <f>+IF($H265=J$2,VLOOKUP($G265,Depreciation!$A$14:$L$18,8,FALSE)/2,IF($H265&lt;J$2,VLOOKUP($G265,Depreciation!$A$14:$L$18,8,FALSE),0))</f>
        <v>3.343407856743718E-2</v>
      </c>
      <c r="K265" s="306">
        <f>+IF($H265=K$2,VLOOKUP($G265,Depreciation!$A$14:$L$18,9,FALSE)/2,IF($H265&lt;K$2,VLOOKUP($G265,Depreciation!$A$14:$L$18,9,FALSE),0))</f>
        <v>3.343407856743718E-2</v>
      </c>
      <c r="L265" s="306">
        <f>+IF($H265=L$2,VLOOKUP($G265,Depreciation!$A$14:$L$18,10,FALSE)/2,IF($H265&lt;L$2,VLOOKUP($G265,Depreciation!$A$14:$L$18,10,FALSE),0))</f>
        <v>3.343407856743718E-2</v>
      </c>
      <c r="M265" s="306">
        <f>+IF($H265=M$2,VLOOKUP($G265,Depreciation!$A$14:$L$18,11,FALSE)/2,IF($H265&lt;M$2,VLOOKUP($G265,Depreciation!$A$14:$L$18,11,FALSE),0))</f>
        <v>3.343407856743718E-2</v>
      </c>
      <c r="N265" s="306">
        <f>+IF($H265=N$2,VLOOKUP($G265,Depreciation!$A$14:$L$18,12,FALSE)/2,IF($H265&lt;N$2,VLOOKUP($G265,Depreciation!$A$14:$L$18,12,FALSE),0))</f>
        <v>3.343407856743718E-2</v>
      </c>
      <c r="O265" s="307">
        <f t="shared" si="33"/>
        <v>170008.69029678777</v>
      </c>
      <c r="P265" s="732">
        <f>'Func Future Subs 2015'!P265</f>
        <v>0.9882352941176471</v>
      </c>
      <c r="Q265" s="732">
        <f>'Func Future Subs 2015'!Q265</f>
        <v>1.1764705882352941E-2</v>
      </c>
      <c r="R265" s="732">
        <f>'Func Future Subs 2015'!R265</f>
        <v>-4.163336342344337E-17</v>
      </c>
      <c r="S265" s="735">
        <f t="shared" si="34"/>
        <v>168008.58805800203</v>
      </c>
      <c r="T265" s="735">
        <f t="shared" si="35"/>
        <v>2000.1022387857383</v>
      </c>
      <c r="U265" s="735">
        <f t="shared" si="36"/>
        <v>-7.0780335882697957E-12</v>
      </c>
      <c r="V265" s="736">
        <f t="shared" si="37"/>
        <v>0</v>
      </c>
      <c r="W265" s="735">
        <f t="shared" si="38"/>
        <v>168008.58805800203</v>
      </c>
      <c r="X265" s="737">
        <f t="shared" si="39"/>
        <v>0</v>
      </c>
      <c r="Y265" s="738">
        <f t="shared" si="40"/>
        <v>2000.1022387857313</v>
      </c>
    </row>
    <row r="266" spans="1:25">
      <c r="A266" s="754" t="str">
        <f>'Func Future Subs 2015'!A266</f>
        <v>Summerview 806S stage 1</v>
      </c>
      <c r="B266" s="754">
        <f>'Func Future Subs 2015'!B266</f>
        <v>1343</v>
      </c>
      <c r="C266" s="754">
        <f>'Func Future Subs 2015'!C266</f>
        <v>138</v>
      </c>
      <c r="D266" s="754">
        <f>'Func Future Subs 2015'!D266</f>
        <v>25</v>
      </c>
      <c r="E266" s="754" t="str">
        <f>'Func Future Subs 2015'!E266</f>
        <v>806S</v>
      </c>
      <c r="F266" s="754">
        <f>'Func Future Subs 2015'!F266</f>
        <v>183870.33605659907</v>
      </c>
      <c r="G266" s="754" t="str">
        <f>'Func Future Subs 2015'!G266</f>
        <v>AltaLink</v>
      </c>
      <c r="H266" s="754">
        <f>'Func Future Subs 2015'!H266</f>
        <v>2015</v>
      </c>
      <c r="I266" s="306">
        <f>+IF($H266=I$2,VLOOKUP($G266,Depreciation!$A$14:$L$18,7,FALSE)/2,IF($H266&lt;I$2,VLOOKUP($G266,Depreciation!$A$14:$L$18,7,FALSE),0))</f>
        <v>1.7228380322441735E-2</v>
      </c>
      <c r="J266" s="306">
        <f>+IF($H266=J$2,VLOOKUP($G266,Depreciation!$A$14:$L$18,8,FALSE)/2,IF($H266&lt;J$2,VLOOKUP($G266,Depreciation!$A$14:$L$18,8,FALSE),0))</f>
        <v>3.343407856743718E-2</v>
      </c>
      <c r="K266" s="306">
        <f>+IF($H266=K$2,VLOOKUP($G266,Depreciation!$A$14:$L$18,9,FALSE)/2,IF($H266&lt;K$2,VLOOKUP($G266,Depreciation!$A$14:$L$18,9,FALSE),0))</f>
        <v>3.343407856743718E-2</v>
      </c>
      <c r="L266" s="306">
        <f>+IF($H266=L$2,VLOOKUP($G266,Depreciation!$A$14:$L$18,10,FALSE)/2,IF($H266&lt;L$2,VLOOKUP($G266,Depreciation!$A$14:$L$18,10,FALSE),0))</f>
        <v>3.343407856743718E-2</v>
      </c>
      <c r="M266" s="306">
        <f>+IF($H266=M$2,VLOOKUP($G266,Depreciation!$A$14:$L$18,11,FALSE)/2,IF($H266&lt;M$2,VLOOKUP($G266,Depreciation!$A$14:$L$18,11,FALSE),0))</f>
        <v>3.343407856743718E-2</v>
      </c>
      <c r="N266" s="306">
        <f>+IF($H266=N$2,VLOOKUP($G266,Depreciation!$A$14:$L$18,12,FALSE)/2,IF($H266&lt;N$2,VLOOKUP($G266,Depreciation!$A$14:$L$18,12,FALSE),0))</f>
        <v>3.343407856743718E-2</v>
      </c>
      <c r="O266" s="307">
        <f t="shared" si="33"/>
        <v>157721.24344149572</v>
      </c>
      <c r="P266" s="732">
        <f>'Func Future Subs 2015'!P266</f>
        <v>0.96969696969696972</v>
      </c>
      <c r="Q266" s="732">
        <f>'Func Future Subs 2015'!Q266</f>
        <v>3.0303030303030304E-2</v>
      </c>
      <c r="R266" s="732">
        <f>'Func Future Subs 2015'!R266</f>
        <v>-2.7755575615628914E-17</v>
      </c>
      <c r="S266" s="735">
        <f t="shared" si="34"/>
        <v>152941.81182205645</v>
      </c>
      <c r="T266" s="735">
        <f t="shared" si="35"/>
        <v>4779.4316194392641</v>
      </c>
      <c r="U266" s="735">
        <f t="shared" si="36"/>
        <v>-4.3776438985314504E-12</v>
      </c>
      <c r="V266" s="736">
        <f t="shared" si="37"/>
        <v>0</v>
      </c>
      <c r="W266" s="735">
        <f t="shared" si="38"/>
        <v>152941.81182205645</v>
      </c>
      <c r="X266" s="737">
        <f t="shared" si="39"/>
        <v>0</v>
      </c>
      <c r="Y266" s="738">
        <f t="shared" si="40"/>
        <v>4779.4316194392595</v>
      </c>
    </row>
    <row r="267" spans="1:25">
      <c r="A267" s="754" t="str">
        <f>'Func Future Subs 2015'!A267</f>
        <v>Windy Point 112S stage 1</v>
      </c>
      <c r="B267" s="754">
        <f>'Func Future Subs 2015'!B267</f>
        <v>1343</v>
      </c>
      <c r="C267" s="754">
        <f>'Func Future Subs 2015'!C267</f>
        <v>138</v>
      </c>
      <c r="D267" s="754">
        <f>'Func Future Subs 2015'!D267</f>
        <v>25</v>
      </c>
      <c r="E267" s="754" t="str">
        <f>'Func Future Subs 2015'!E267</f>
        <v>112S</v>
      </c>
      <c r="F267" s="754">
        <f>'Func Future Subs 2015'!F267</f>
        <v>160679.48286027124</v>
      </c>
      <c r="G267" s="754" t="str">
        <f>'Func Future Subs 2015'!G267</f>
        <v>AltaLink</v>
      </c>
      <c r="H267" s="754">
        <f>'Func Future Subs 2015'!H267</f>
        <v>2015</v>
      </c>
      <c r="I267" s="306">
        <f>+IF($H267=I$2,VLOOKUP($G267,Depreciation!$A$14:$L$18,7,FALSE)/2,IF($H267&lt;I$2,VLOOKUP($G267,Depreciation!$A$14:$L$18,7,FALSE),0))</f>
        <v>1.7228380322441735E-2</v>
      </c>
      <c r="J267" s="306">
        <f>+IF($H267=J$2,VLOOKUP($G267,Depreciation!$A$14:$L$18,8,FALSE)/2,IF($H267&lt;J$2,VLOOKUP($G267,Depreciation!$A$14:$L$18,8,FALSE),0))</f>
        <v>3.343407856743718E-2</v>
      </c>
      <c r="K267" s="306">
        <f>+IF($H267=K$2,VLOOKUP($G267,Depreciation!$A$14:$L$18,9,FALSE)/2,IF($H267&lt;K$2,VLOOKUP($G267,Depreciation!$A$14:$L$18,9,FALSE),0))</f>
        <v>3.343407856743718E-2</v>
      </c>
      <c r="L267" s="306">
        <f>+IF($H267=L$2,VLOOKUP($G267,Depreciation!$A$14:$L$18,10,FALSE)/2,IF($H267&lt;L$2,VLOOKUP($G267,Depreciation!$A$14:$L$18,10,FALSE),0))</f>
        <v>3.343407856743718E-2</v>
      </c>
      <c r="M267" s="306">
        <f>+IF($H267=M$2,VLOOKUP($G267,Depreciation!$A$14:$L$18,11,FALSE)/2,IF($H267&lt;M$2,VLOOKUP($G267,Depreciation!$A$14:$L$18,11,FALSE),0))</f>
        <v>3.343407856743718E-2</v>
      </c>
      <c r="N267" s="306">
        <f>+IF($H267=N$2,VLOOKUP($G267,Depreciation!$A$14:$L$18,12,FALSE)/2,IF($H267&lt;N$2,VLOOKUP($G267,Depreciation!$A$14:$L$18,12,FALSE),0))</f>
        <v>3.343407856743718E-2</v>
      </c>
      <c r="O267" s="307">
        <f t="shared" si="33"/>
        <v>137828.47399842419</v>
      </c>
      <c r="P267" s="732">
        <f>'Func Future Subs 2015'!P267</f>
        <v>0.98712446351931327</v>
      </c>
      <c r="Q267" s="732">
        <f>'Func Future Subs 2015'!Q267</f>
        <v>1.2875536480686695E-2</v>
      </c>
      <c r="R267" s="732">
        <f>'Func Future Subs 2015'!R267</f>
        <v>3.8163916471489756E-17</v>
      </c>
      <c r="S267" s="735">
        <f t="shared" si="34"/>
        <v>136053.85845338009</v>
      </c>
      <c r="T267" s="735">
        <f t="shared" si="35"/>
        <v>1774.6155450440883</v>
      </c>
      <c r="U267" s="735">
        <f t="shared" si="36"/>
        <v>5.2600743690687587E-12</v>
      </c>
      <c r="V267" s="736">
        <f t="shared" si="37"/>
        <v>0</v>
      </c>
      <c r="W267" s="735">
        <f t="shared" si="38"/>
        <v>136053.85845338009</v>
      </c>
      <c r="X267" s="737">
        <f t="shared" si="39"/>
        <v>0</v>
      </c>
      <c r="Y267" s="738">
        <f t="shared" si="40"/>
        <v>1774.6155450440936</v>
      </c>
    </row>
    <row r="268" spans="1:25">
      <c r="A268" s="754" t="str">
        <f>'Func Future Subs 2015'!A268</f>
        <v>Windy Point 112S stage 2</v>
      </c>
      <c r="B268" s="754">
        <f>'Func Future Subs 2015'!B268</f>
        <v>1343</v>
      </c>
      <c r="C268" s="754">
        <f>'Func Future Subs 2015'!C268</f>
        <v>138</v>
      </c>
      <c r="D268" s="754">
        <f>'Func Future Subs 2015'!D268</f>
        <v>25</v>
      </c>
      <c r="E268" s="754" t="str">
        <f>'Func Future Subs 2015'!E268</f>
        <v>112S</v>
      </c>
      <c r="F268" s="754">
        <f>'Func Future Subs 2015'!F268</f>
        <v>198194.95671810306</v>
      </c>
      <c r="G268" s="754" t="str">
        <f>'Func Future Subs 2015'!G268</f>
        <v>AltaLink</v>
      </c>
      <c r="H268" s="754">
        <f>'Func Future Subs 2015'!H268</f>
        <v>2015</v>
      </c>
      <c r="I268" s="306">
        <f>+IF($H268=I$2,VLOOKUP($G268,Depreciation!$A$14:$L$18,7,FALSE)/2,IF($H268&lt;I$2,VLOOKUP($G268,Depreciation!$A$14:$L$18,7,FALSE),0))</f>
        <v>1.7228380322441735E-2</v>
      </c>
      <c r="J268" s="306">
        <f>+IF($H268=J$2,VLOOKUP($G268,Depreciation!$A$14:$L$18,8,FALSE)/2,IF($H268&lt;J$2,VLOOKUP($G268,Depreciation!$A$14:$L$18,8,FALSE),0))</f>
        <v>3.343407856743718E-2</v>
      </c>
      <c r="K268" s="306">
        <f>+IF($H268=K$2,VLOOKUP($G268,Depreciation!$A$14:$L$18,9,FALSE)/2,IF($H268&lt;K$2,VLOOKUP($G268,Depreciation!$A$14:$L$18,9,FALSE),0))</f>
        <v>3.343407856743718E-2</v>
      </c>
      <c r="L268" s="306">
        <f>+IF($H268=L$2,VLOOKUP($G268,Depreciation!$A$14:$L$18,10,FALSE)/2,IF($H268&lt;L$2,VLOOKUP($G268,Depreciation!$A$14:$L$18,10,FALSE),0))</f>
        <v>3.343407856743718E-2</v>
      </c>
      <c r="M268" s="306">
        <f>+IF($H268=M$2,VLOOKUP($G268,Depreciation!$A$14:$L$18,11,FALSE)/2,IF($H268&lt;M$2,VLOOKUP($G268,Depreciation!$A$14:$L$18,11,FALSE),0))</f>
        <v>3.343407856743718E-2</v>
      </c>
      <c r="N268" s="306">
        <f>+IF($H268=N$2,VLOOKUP($G268,Depreciation!$A$14:$L$18,12,FALSE)/2,IF($H268&lt;N$2,VLOOKUP($G268,Depreciation!$A$14:$L$18,12,FALSE),0))</f>
        <v>3.343407856743718E-2</v>
      </c>
      <c r="O268" s="307">
        <f t="shared" si="33"/>
        <v>170008.69029678777</v>
      </c>
      <c r="P268" s="732">
        <f>'Func Future Subs 2015'!P268</f>
        <v>0.98712446351931327</v>
      </c>
      <c r="Q268" s="732">
        <f>'Func Future Subs 2015'!Q268</f>
        <v>1.2875536480686695E-2</v>
      </c>
      <c r="R268" s="732">
        <f>'Func Future Subs 2015'!R268</f>
        <v>3.8163916471489756E-17</v>
      </c>
      <c r="S268" s="735">
        <f t="shared" si="34"/>
        <v>167819.73720283771</v>
      </c>
      <c r="T268" s="735">
        <f t="shared" si="35"/>
        <v>2188.9530939500569</v>
      </c>
      <c r="U268" s="735">
        <f t="shared" si="36"/>
        <v>6.4881974559139794E-12</v>
      </c>
      <c r="V268" s="736">
        <f t="shared" si="37"/>
        <v>0</v>
      </c>
      <c r="W268" s="735">
        <f t="shared" si="38"/>
        <v>167819.73720283771</v>
      </c>
      <c r="X268" s="737">
        <f t="shared" si="39"/>
        <v>0</v>
      </c>
      <c r="Y268" s="738">
        <f t="shared" si="40"/>
        <v>2188.9530939500632</v>
      </c>
    </row>
    <row r="269" spans="1:25">
      <c r="A269" s="754" t="str">
        <f>'Func Future Subs 2015'!A269</f>
        <v>Secord 2005S</v>
      </c>
      <c r="B269" s="754">
        <f>'Func Future Subs 2015'!B269</f>
        <v>1348</v>
      </c>
      <c r="C269" s="754">
        <f>'Func Future Subs 2015'!C269</f>
        <v>240</v>
      </c>
      <c r="D269" s="754">
        <f>'Func Future Subs 2015'!D269</f>
        <v>25</v>
      </c>
      <c r="E269" s="754" t="str">
        <f>'Func Future Subs 2015'!E269</f>
        <v>2005S</v>
      </c>
      <c r="F269" s="754">
        <f>'Func Future Subs 2015'!F269</f>
        <v>19212616.594896249</v>
      </c>
      <c r="G269" s="754" t="str">
        <f>'Func Future Subs 2015'!G269</f>
        <v>ATCO</v>
      </c>
      <c r="H269" s="754">
        <f>'Func Future Subs 2015'!H269</f>
        <v>2016</v>
      </c>
      <c r="I269" s="306">
        <f>+IF($H269=I$2,VLOOKUP($G269,Depreciation!$A$14:$L$18,7,FALSE)/2,IF($H269&lt;I$2,VLOOKUP($G269,Depreciation!$A$14:$L$18,7,FALSE),0))</f>
        <v>0</v>
      </c>
      <c r="J269" s="306">
        <f>+IF($H269=J$2,VLOOKUP($G269,Depreciation!$A$14:$L$18,8,FALSE)/2,IF($H269&lt;J$2,VLOOKUP($G269,Depreciation!$A$14:$L$18,8,FALSE),0))</f>
        <v>1.231622525054236E-2</v>
      </c>
      <c r="K269" s="306">
        <f>+IF($H269=K$2,VLOOKUP($G269,Depreciation!$A$14:$L$18,9,FALSE)/2,IF($H269&lt;K$2,VLOOKUP($G269,Depreciation!$A$14:$L$18,9,FALSE),0))</f>
        <v>2.4351536427798831E-2</v>
      </c>
      <c r="L269" s="306">
        <f>+IF($H269=L$2,VLOOKUP($G269,Depreciation!$A$14:$L$18,10,FALSE)/2,IF($H269&lt;L$2,VLOOKUP($G269,Depreciation!$A$14:$L$18,10,FALSE),0))</f>
        <v>2.4351536427798831E-2</v>
      </c>
      <c r="M269" s="306">
        <f>+IF($H269=M$2,VLOOKUP($G269,Depreciation!$A$14:$L$18,11,FALSE)/2,IF($H269&lt;M$2,VLOOKUP($G269,Depreciation!$A$14:$L$18,11,FALSE),0))</f>
        <v>2.4351536427798831E-2</v>
      </c>
      <c r="N269" s="306">
        <f>+IF($H269=N$2,VLOOKUP($G269,Depreciation!$A$14:$L$18,12,FALSE)/2,IF($H269&lt;N$2,VLOOKUP($G269,Depreciation!$A$14:$L$18,12,FALSE),0))</f>
        <v>2.4351536427798831E-2</v>
      </c>
      <c r="O269" s="307">
        <f t="shared" si="33"/>
        <v>17623190.281965528</v>
      </c>
      <c r="P269" s="732">
        <f>'Func Future Subs 2015'!P269</f>
        <v>0</v>
      </c>
      <c r="Q269" s="732">
        <f>'Func Future Subs 2015'!Q269</f>
        <v>1</v>
      </c>
      <c r="R269" s="732">
        <f>'Func Future Subs 2015'!R269</f>
        <v>0</v>
      </c>
      <c r="S269" s="735">
        <f t="shared" si="34"/>
        <v>0</v>
      </c>
      <c r="T269" s="735">
        <f t="shared" si="35"/>
        <v>17623190.281965528</v>
      </c>
      <c r="U269" s="735">
        <f t="shared" si="36"/>
        <v>0</v>
      </c>
      <c r="V269" s="736">
        <f t="shared" si="37"/>
        <v>0</v>
      </c>
      <c r="W269" s="735">
        <f t="shared" si="38"/>
        <v>0</v>
      </c>
      <c r="X269" s="737">
        <f t="shared" si="39"/>
        <v>0</v>
      </c>
      <c r="Y269" s="738">
        <f t="shared" si="40"/>
        <v>17623190.281965528</v>
      </c>
    </row>
    <row r="270" spans="1:25">
      <c r="A270" s="754" t="str">
        <f>'Func Future Subs 2015'!A270</f>
        <v>Substation Joslyn 849S</v>
      </c>
      <c r="B270" s="754">
        <f>'Func Future Subs 2015'!B270</f>
        <v>1348</v>
      </c>
      <c r="C270" s="754">
        <f>'Func Future Subs 2015'!C270</f>
        <v>240</v>
      </c>
      <c r="D270" s="754">
        <f>'Func Future Subs 2015'!D270</f>
        <v>25</v>
      </c>
      <c r="E270" s="754" t="str">
        <f>'Func Future Subs 2015'!E270</f>
        <v>849S</v>
      </c>
      <c r="F270" s="754">
        <f>'Func Future Subs 2015'!F270</f>
        <v>60415.913503386022</v>
      </c>
      <c r="G270" s="754" t="str">
        <f>'Func Future Subs 2015'!G270</f>
        <v>ATCO</v>
      </c>
      <c r="H270" s="754">
        <f>'Func Future Subs 2015'!H270</f>
        <v>2016</v>
      </c>
      <c r="I270" s="306">
        <f>+IF($H270=I$2,VLOOKUP($G270,Depreciation!$A$14:$L$18,7,FALSE)/2,IF($H270&lt;I$2,VLOOKUP($G270,Depreciation!$A$14:$L$18,7,FALSE),0))</f>
        <v>0</v>
      </c>
      <c r="J270" s="306">
        <f>+IF($H270=J$2,VLOOKUP($G270,Depreciation!$A$14:$L$18,8,FALSE)/2,IF($H270&lt;J$2,VLOOKUP($G270,Depreciation!$A$14:$L$18,8,FALSE),0))</f>
        <v>1.231622525054236E-2</v>
      </c>
      <c r="K270" s="306">
        <f>+IF($H270=K$2,VLOOKUP($G270,Depreciation!$A$14:$L$18,9,FALSE)/2,IF($H270&lt;K$2,VLOOKUP($G270,Depreciation!$A$14:$L$18,9,FALSE),0))</f>
        <v>2.4351536427798831E-2</v>
      </c>
      <c r="L270" s="306">
        <f>+IF($H270=L$2,VLOOKUP($G270,Depreciation!$A$14:$L$18,10,FALSE)/2,IF($H270&lt;L$2,VLOOKUP($G270,Depreciation!$A$14:$L$18,10,FALSE),0))</f>
        <v>2.4351536427798831E-2</v>
      </c>
      <c r="M270" s="306">
        <f>+IF($H270=M$2,VLOOKUP($G270,Depreciation!$A$14:$L$18,11,FALSE)/2,IF($H270&lt;M$2,VLOOKUP($G270,Depreciation!$A$14:$L$18,11,FALSE),0))</f>
        <v>2.4351536427798831E-2</v>
      </c>
      <c r="N270" s="306">
        <f>+IF($H270=N$2,VLOOKUP($G270,Depreciation!$A$14:$L$18,12,FALSE)/2,IF($H270&lt;N$2,VLOOKUP($G270,Depreciation!$A$14:$L$18,12,FALSE),0))</f>
        <v>2.4351536427798831E-2</v>
      </c>
      <c r="O270" s="307">
        <f t="shared" si="33"/>
        <v>55417.810191027333</v>
      </c>
      <c r="P270" s="732">
        <f>'Func Future Subs 2015'!P270</f>
        <v>0</v>
      </c>
      <c r="Q270" s="732">
        <f>'Func Future Subs 2015'!Q270</f>
        <v>1</v>
      </c>
      <c r="R270" s="732">
        <f>'Func Future Subs 2015'!R270</f>
        <v>0</v>
      </c>
      <c r="S270" s="735">
        <f t="shared" si="34"/>
        <v>0</v>
      </c>
      <c r="T270" s="735">
        <f t="shared" si="35"/>
        <v>55417.810191027333</v>
      </c>
      <c r="U270" s="735">
        <f t="shared" si="36"/>
        <v>0</v>
      </c>
      <c r="V270" s="736">
        <f t="shared" si="37"/>
        <v>0</v>
      </c>
      <c r="W270" s="735">
        <f t="shared" si="38"/>
        <v>0</v>
      </c>
      <c r="X270" s="737">
        <f t="shared" si="39"/>
        <v>0</v>
      </c>
      <c r="Y270" s="738">
        <f t="shared" si="40"/>
        <v>55417.810191027333</v>
      </c>
    </row>
    <row r="271" spans="1:25">
      <c r="A271" s="754" t="str">
        <f>'Func Future Subs 2015'!A271</f>
        <v>Substation McClelland 957S</v>
      </c>
      <c r="B271" s="754">
        <f>'Func Future Subs 2015'!B271</f>
        <v>1348</v>
      </c>
      <c r="C271" s="754">
        <f>'Func Future Subs 2015'!C271</f>
        <v>240</v>
      </c>
      <c r="D271" s="754">
        <f>'Func Future Subs 2015'!D271</f>
        <v>25</v>
      </c>
      <c r="E271" s="754" t="str">
        <f>'Func Future Subs 2015'!E271</f>
        <v>957S</v>
      </c>
      <c r="F271" s="754">
        <f>'Func Future Subs 2015'!F271</f>
        <v>68295.591211377177</v>
      </c>
      <c r="G271" s="754" t="str">
        <f>'Func Future Subs 2015'!G271</f>
        <v>ATCO</v>
      </c>
      <c r="H271" s="754">
        <f>'Func Future Subs 2015'!H271</f>
        <v>2016</v>
      </c>
      <c r="I271" s="306">
        <f>+IF($H271=I$2,VLOOKUP($G271,Depreciation!$A$14:$L$18,7,FALSE)/2,IF($H271&lt;I$2,VLOOKUP($G271,Depreciation!$A$14:$L$18,7,FALSE),0))</f>
        <v>0</v>
      </c>
      <c r="J271" s="306">
        <f>+IF($H271=J$2,VLOOKUP($G271,Depreciation!$A$14:$L$18,8,FALSE)/2,IF($H271&lt;J$2,VLOOKUP($G271,Depreciation!$A$14:$L$18,8,FALSE),0))</f>
        <v>1.231622525054236E-2</v>
      </c>
      <c r="K271" s="306">
        <f>+IF($H271=K$2,VLOOKUP($G271,Depreciation!$A$14:$L$18,9,FALSE)/2,IF($H271&lt;K$2,VLOOKUP($G271,Depreciation!$A$14:$L$18,9,FALSE),0))</f>
        <v>2.4351536427798831E-2</v>
      </c>
      <c r="L271" s="306">
        <f>+IF($H271=L$2,VLOOKUP($G271,Depreciation!$A$14:$L$18,10,FALSE)/2,IF($H271&lt;L$2,VLOOKUP($G271,Depreciation!$A$14:$L$18,10,FALSE),0))</f>
        <v>2.4351536427798831E-2</v>
      </c>
      <c r="M271" s="306">
        <f>+IF($H271=M$2,VLOOKUP($G271,Depreciation!$A$14:$L$18,11,FALSE)/2,IF($H271&lt;M$2,VLOOKUP($G271,Depreciation!$A$14:$L$18,11,FALSE),0))</f>
        <v>2.4351536427798831E-2</v>
      </c>
      <c r="N271" s="306">
        <f>+IF($H271=N$2,VLOOKUP($G271,Depreciation!$A$14:$L$18,12,FALSE)/2,IF($H271&lt;N$2,VLOOKUP($G271,Depreciation!$A$14:$L$18,12,FALSE),0))</f>
        <v>2.4351536427798831E-2</v>
      </c>
      <c r="O271" s="307">
        <f t="shared" si="33"/>
        <v>62645.615884364226</v>
      </c>
      <c r="P271" s="732">
        <f>'Func Future Subs 2015'!P271</f>
        <v>0</v>
      </c>
      <c r="Q271" s="732">
        <f>'Func Future Subs 2015'!Q271</f>
        <v>1</v>
      </c>
      <c r="R271" s="732">
        <f>'Func Future Subs 2015'!R271</f>
        <v>0</v>
      </c>
      <c r="S271" s="735">
        <f t="shared" si="34"/>
        <v>0</v>
      </c>
      <c r="T271" s="735">
        <f t="shared" si="35"/>
        <v>62645.615884364226</v>
      </c>
      <c r="U271" s="735">
        <f t="shared" si="36"/>
        <v>0</v>
      </c>
      <c r="V271" s="736">
        <f t="shared" si="37"/>
        <v>0</v>
      </c>
      <c r="W271" s="735">
        <f t="shared" si="38"/>
        <v>0</v>
      </c>
      <c r="X271" s="737">
        <f t="shared" si="39"/>
        <v>0</v>
      </c>
      <c r="Y271" s="738">
        <f t="shared" si="40"/>
        <v>62645.615884364226</v>
      </c>
    </row>
    <row r="272" spans="1:25">
      <c r="A272" s="754" t="str">
        <f>'Func Future Subs 2015'!A272</f>
        <v>Queensland 301S</v>
      </c>
      <c r="B272" s="754">
        <f>'Func Future Subs 2015'!B272</f>
        <v>1349</v>
      </c>
      <c r="C272" s="754">
        <f>'Func Future Subs 2015'!C272</f>
        <v>138</v>
      </c>
      <c r="D272" s="754">
        <f>'Func Future Subs 2015'!D272</f>
        <v>25</v>
      </c>
      <c r="E272" s="754" t="str">
        <f>'Func Future Subs 2015'!E272</f>
        <v>301S</v>
      </c>
      <c r="F272" s="754">
        <f>'Func Future Subs 2015'!F272</f>
        <v>9656869.9129486643</v>
      </c>
      <c r="G272" s="754" t="str">
        <f>'Func Future Subs 2015'!G272</f>
        <v>AltaLink</v>
      </c>
      <c r="H272" s="754">
        <f>'Func Future Subs 2015'!H272</f>
        <v>2015</v>
      </c>
      <c r="I272" s="306">
        <f>+IF($H272=I$2,VLOOKUP($G272,Depreciation!$A$14:$L$18,7,FALSE)/2,IF($H272&lt;I$2,VLOOKUP($G272,Depreciation!$A$14:$L$18,7,FALSE),0))</f>
        <v>1.7228380322441735E-2</v>
      </c>
      <c r="J272" s="306">
        <f>+IF($H272=J$2,VLOOKUP($G272,Depreciation!$A$14:$L$18,8,FALSE)/2,IF($H272&lt;J$2,VLOOKUP($G272,Depreciation!$A$14:$L$18,8,FALSE),0))</f>
        <v>3.343407856743718E-2</v>
      </c>
      <c r="K272" s="306">
        <f>+IF($H272=K$2,VLOOKUP($G272,Depreciation!$A$14:$L$18,9,FALSE)/2,IF($H272&lt;K$2,VLOOKUP($G272,Depreciation!$A$14:$L$18,9,FALSE),0))</f>
        <v>3.343407856743718E-2</v>
      </c>
      <c r="L272" s="306">
        <f>+IF($H272=L$2,VLOOKUP($G272,Depreciation!$A$14:$L$18,10,FALSE)/2,IF($H272&lt;L$2,VLOOKUP($G272,Depreciation!$A$14:$L$18,10,FALSE),0))</f>
        <v>3.343407856743718E-2</v>
      </c>
      <c r="M272" s="306">
        <f>+IF($H272=M$2,VLOOKUP($G272,Depreciation!$A$14:$L$18,11,FALSE)/2,IF($H272&lt;M$2,VLOOKUP($G272,Depreciation!$A$14:$L$18,11,FALSE),0))</f>
        <v>3.343407856743718E-2</v>
      </c>
      <c r="N272" s="306">
        <f>+IF($H272=N$2,VLOOKUP($G272,Depreciation!$A$14:$L$18,12,FALSE)/2,IF($H272&lt;N$2,VLOOKUP($G272,Depreciation!$A$14:$L$18,12,FALSE),0))</f>
        <v>3.343407856743718E-2</v>
      </c>
      <c r="O272" s="307">
        <f t="shared" si="33"/>
        <v>8283519.5882504527</v>
      </c>
      <c r="P272" s="732">
        <f>'Func Future Subs 2015'!P272</f>
        <v>0</v>
      </c>
      <c r="Q272" s="732">
        <f>'Func Future Subs 2015'!Q272</f>
        <v>0</v>
      </c>
      <c r="R272" s="732">
        <f>'Func Future Subs 2015'!R272</f>
        <v>1</v>
      </c>
      <c r="S272" s="735">
        <f t="shared" si="34"/>
        <v>0</v>
      </c>
      <c r="T272" s="735">
        <f t="shared" si="35"/>
        <v>0</v>
      </c>
      <c r="U272" s="735">
        <f t="shared" si="36"/>
        <v>8283519.5882504527</v>
      </c>
      <c r="V272" s="736">
        <f t="shared" si="37"/>
        <v>0</v>
      </c>
      <c r="W272" s="735">
        <f t="shared" si="38"/>
        <v>0</v>
      </c>
      <c r="X272" s="737">
        <f t="shared" si="39"/>
        <v>0</v>
      </c>
      <c r="Y272" s="738">
        <f t="shared" si="40"/>
        <v>8283519.5882504527</v>
      </c>
    </row>
    <row r="273" spans="1:25">
      <c r="A273" s="754" t="str">
        <f>'Func Future Subs 2015'!A273</f>
        <v>Strome 223S</v>
      </c>
      <c r="B273" s="754">
        <f>'Func Future Subs 2015'!B273</f>
        <v>1350</v>
      </c>
      <c r="C273" s="754">
        <f>'Func Future Subs 2015'!C273</f>
        <v>138</v>
      </c>
      <c r="D273" s="754">
        <f>'Func Future Subs 2015'!D273</f>
        <v>25</v>
      </c>
      <c r="E273" s="754" t="str">
        <f>'Func Future Subs 2015'!E273</f>
        <v>223S</v>
      </c>
      <c r="F273" s="754">
        <f>'Func Future Subs 2015'!F273</f>
        <v>6530874.9999999981</v>
      </c>
      <c r="G273" s="754" t="str">
        <f>'Func Future Subs 2015'!G273</f>
        <v>AltaLink</v>
      </c>
      <c r="H273" s="754">
        <f>'Func Future Subs 2015'!H273</f>
        <v>2015</v>
      </c>
      <c r="I273" s="306">
        <f>+IF($H273=I$2,VLOOKUP($G273,Depreciation!$A$14:$L$18,7,FALSE)/2,IF($H273&lt;I$2,VLOOKUP($G273,Depreciation!$A$14:$L$18,7,FALSE),0))</f>
        <v>1.7228380322441735E-2</v>
      </c>
      <c r="J273" s="306">
        <f>+IF($H273=J$2,VLOOKUP($G273,Depreciation!$A$14:$L$18,8,FALSE)/2,IF($H273&lt;J$2,VLOOKUP($G273,Depreciation!$A$14:$L$18,8,FALSE),0))</f>
        <v>3.343407856743718E-2</v>
      </c>
      <c r="K273" s="306">
        <f>+IF($H273=K$2,VLOOKUP($G273,Depreciation!$A$14:$L$18,9,FALSE)/2,IF($H273&lt;K$2,VLOOKUP($G273,Depreciation!$A$14:$L$18,9,FALSE),0))</f>
        <v>3.343407856743718E-2</v>
      </c>
      <c r="L273" s="306">
        <f>+IF($H273=L$2,VLOOKUP($G273,Depreciation!$A$14:$L$18,10,FALSE)/2,IF($H273&lt;L$2,VLOOKUP($G273,Depreciation!$A$14:$L$18,10,FALSE),0))</f>
        <v>3.343407856743718E-2</v>
      </c>
      <c r="M273" s="306">
        <f>+IF($H273=M$2,VLOOKUP($G273,Depreciation!$A$14:$L$18,11,FALSE)/2,IF($H273&lt;M$2,VLOOKUP($G273,Depreciation!$A$14:$L$18,11,FALSE),0))</f>
        <v>3.343407856743718E-2</v>
      </c>
      <c r="N273" s="306">
        <f>+IF($H273=N$2,VLOOKUP($G273,Depreciation!$A$14:$L$18,12,FALSE)/2,IF($H273&lt;N$2,VLOOKUP($G273,Depreciation!$A$14:$L$18,12,FALSE),0))</f>
        <v>3.343407856743718E-2</v>
      </c>
      <c r="O273" s="307">
        <f t="shared" si="33"/>
        <v>5602087.5789551232</v>
      </c>
      <c r="P273" s="732">
        <f>'Func Future Subs 2015'!P273</f>
        <v>0</v>
      </c>
      <c r="Q273" s="732">
        <f>'Func Future Subs 2015'!Q273</f>
        <v>1</v>
      </c>
      <c r="R273" s="732">
        <f>'Func Future Subs 2015'!R273</f>
        <v>0</v>
      </c>
      <c r="S273" s="735">
        <f t="shared" si="34"/>
        <v>0</v>
      </c>
      <c r="T273" s="735">
        <f t="shared" si="35"/>
        <v>5602087.5789551232</v>
      </c>
      <c r="U273" s="735">
        <f t="shared" si="36"/>
        <v>0</v>
      </c>
      <c r="V273" s="736">
        <f t="shared" si="37"/>
        <v>0</v>
      </c>
      <c r="W273" s="735">
        <f t="shared" si="38"/>
        <v>0</v>
      </c>
      <c r="X273" s="737">
        <f t="shared" si="39"/>
        <v>0</v>
      </c>
      <c r="Y273" s="738">
        <f t="shared" si="40"/>
        <v>5602087.5789551232</v>
      </c>
    </row>
    <row r="274" spans="1:25">
      <c r="A274" s="754" t="str">
        <f>'Func Future Subs 2015'!A274</f>
        <v>Substation No.26</v>
      </c>
      <c r="B274" s="754">
        <f>'Func Future Subs 2015'!B274</f>
        <v>1354</v>
      </c>
      <c r="C274" s="754">
        <f>'Func Future Subs 2015'!C274</f>
        <v>138</v>
      </c>
      <c r="D274" s="754">
        <f>'Func Future Subs 2015'!D274</f>
        <v>25</v>
      </c>
      <c r="E274" s="754" t="str">
        <f>'Func Future Subs 2015'!E274</f>
        <v>SS-26</v>
      </c>
      <c r="F274" s="754">
        <f>'Func Future Subs 2015'!F274</f>
        <v>114690.57505760195</v>
      </c>
      <c r="G274" s="754" t="str">
        <f>'Func Future Subs 2015'!G274</f>
        <v>ENMAX</v>
      </c>
      <c r="H274" s="754">
        <f>'Func Future Subs 2015'!H274</f>
        <v>2017</v>
      </c>
      <c r="I274" s="306">
        <f>+IF($H274=I$2,VLOOKUP($G274,Depreciation!$A$14:$L$18,7,FALSE)/2,IF($H274&lt;I$2,VLOOKUP($G274,Depreciation!$A$14:$L$18,7,FALSE),0))</f>
        <v>0</v>
      </c>
      <c r="J274" s="306">
        <f>+IF($H274=J$2,VLOOKUP($G274,Depreciation!$A$14:$L$18,8,FALSE)/2,IF($H274&lt;J$2,VLOOKUP($G274,Depreciation!$A$14:$L$18,8,FALSE),0))</f>
        <v>0</v>
      </c>
      <c r="K274" s="306">
        <f>+IF($H274=K$2,VLOOKUP($G274,Depreciation!$A$14:$L$18,9,FALSE)/2,IF($H274&lt;K$2,VLOOKUP($G274,Depreciation!$A$14:$L$18,9,FALSE),0))</f>
        <v>1.3928409269726289E-2</v>
      </c>
      <c r="L274" s="306">
        <f>+IF($H274=L$2,VLOOKUP($G274,Depreciation!$A$14:$L$18,10,FALSE)/2,IF($H274&lt;L$2,VLOOKUP($G274,Depreciation!$A$14:$L$18,10,FALSE),0))</f>
        <v>2.7856818539452578E-2</v>
      </c>
      <c r="M274" s="306">
        <f>+IF($H274=M$2,VLOOKUP($G274,Depreciation!$A$14:$L$18,11,FALSE)/2,IF($H274&lt;M$2,VLOOKUP($G274,Depreciation!$A$14:$L$18,11,FALSE),0))</f>
        <v>2.7856818539452578E-2</v>
      </c>
      <c r="N274" s="306">
        <f>+IF($H274=N$2,VLOOKUP($G274,Depreciation!$A$14:$L$18,12,FALSE)/2,IF($H274&lt;N$2,VLOOKUP($G274,Depreciation!$A$14:$L$18,12,FALSE),0))</f>
        <v>2.7856818539452578E-2</v>
      </c>
      <c r="O274" s="307">
        <f t="shared" si="33"/>
        <v>106880.04939215601</v>
      </c>
      <c r="P274" s="732">
        <f>'Func Future Subs 2015'!P274</f>
        <v>0</v>
      </c>
      <c r="Q274" s="732">
        <f>'Func Future Subs 2015'!Q274</f>
        <v>0</v>
      </c>
      <c r="R274" s="732">
        <f>'Func Future Subs 2015'!R274</f>
        <v>1</v>
      </c>
      <c r="S274" s="735">
        <f t="shared" si="34"/>
        <v>0</v>
      </c>
      <c r="T274" s="735">
        <f t="shared" si="35"/>
        <v>0</v>
      </c>
      <c r="U274" s="735">
        <f t="shared" si="36"/>
        <v>106880.04939215601</v>
      </c>
      <c r="V274" s="736">
        <f t="shared" si="37"/>
        <v>0</v>
      </c>
      <c r="W274" s="735">
        <f t="shared" si="38"/>
        <v>0</v>
      </c>
      <c r="X274" s="737">
        <f t="shared" si="39"/>
        <v>0</v>
      </c>
      <c r="Y274" s="738">
        <f t="shared" si="40"/>
        <v>106880.04939215601</v>
      </c>
    </row>
    <row r="275" spans="1:25">
      <c r="A275" s="754" t="str">
        <f>'Func Future Subs 2015'!A275</f>
        <v>Substation No.32</v>
      </c>
      <c r="B275" s="754">
        <f>'Func Future Subs 2015'!B275</f>
        <v>1354</v>
      </c>
      <c r="C275" s="754">
        <f>'Func Future Subs 2015'!C275</f>
        <v>138</v>
      </c>
      <c r="D275" s="754">
        <f>'Func Future Subs 2015'!D275</f>
        <v>25</v>
      </c>
      <c r="E275" s="754" t="str">
        <f>'Func Future Subs 2015'!E275</f>
        <v>SS-32</v>
      </c>
      <c r="F275" s="754">
        <f>'Func Future Subs 2015'!F275</f>
        <v>114690.57505760195</v>
      </c>
      <c r="G275" s="754" t="str">
        <f>'Func Future Subs 2015'!G275</f>
        <v>ENMAX</v>
      </c>
      <c r="H275" s="754">
        <f>'Func Future Subs 2015'!H275</f>
        <v>2017</v>
      </c>
      <c r="I275" s="306">
        <f>+IF($H275=I$2,VLOOKUP($G275,Depreciation!$A$14:$L$18,7,FALSE)/2,IF($H275&lt;I$2,VLOOKUP($G275,Depreciation!$A$14:$L$18,7,FALSE),0))</f>
        <v>0</v>
      </c>
      <c r="J275" s="306">
        <f>+IF($H275=J$2,VLOOKUP($G275,Depreciation!$A$14:$L$18,8,FALSE)/2,IF($H275&lt;J$2,VLOOKUP($G275,Depreciation!$A$14:$L$18,8,FALSE),0))</f>
        <v>0</v>
      </c>
      <c r="K275" s="306">
        <f>+IF($H275=K$2,VLOOKUP($G275,Depreciation!$A$14:$L$18,9,FALSE)/2,IF($H275&lt;K$2,VLOOKUP($G275,Depreciation!$A$14:$L$18,9,FALSE),0))</f>
        <v>1.3928409269726289E-2</v>
      </c>
      <c r="L275" s="306">
        <f>+IF($H275=L$2,VLOOKUP($G275,Depreciation!$A$14:$L$18,10,FALSE)/2,IF($H275&lt;L$2,VLOOKUP($G275,Depreciation!$A$14:$L$18,10,FALSE),0))</f>
        <v>2.7856818539452578E-2</v>
      </c>
      <c r="M275" s="306">
        <f>+IF($H275=M$2,VLOOKUP($G275,Depreciation!$A$14:$L$18,11,FALSE)/2,IF($H275&lt;M$2,VLOOKUP($G275,Depreciation!$A$14:$L$18,11,FALSE),0))</f>
        <v>2.7856818539452578E-2</v>
      </c>
      <c r="N275" s="306">
        <f>+IF($H275=N$2,VLOOKUP($G275,Depreciation!$A$14:$L$18,12,FALSE)/2,IF($H275&lt;N$2,VLOOKUP($G275,Depreciation!$A$14:$L$18,12,FALSE),0))</f>
        <v>2.7856818539452578E-2</v>
      </c>
      <c r="O275" s="307">
        <f t="shared" si="33"/>
        <v>106880.04939215601</v>
      </c>
      <c r="P275" s="732">
        <f>'Func Future Subs 2015'!P275</f>
        <v>0</v>
      </c>
      <c r="Q275" s="732">
        <f>'Func Future Subs 2015'!Q275</f>
        <v>1</v>
      </c>
      <c r="R275" s="732">
        <f>'Func Future Subs 2015'!R275</f>
        <v>0</v>
      </c>
      <c r="S275" s="735">
        <f t="shared" si="34"/>
        <v>0</v>
      </c>
      <c r="T275" s="735">
        <f t="shared" si="35"/>
        <v>106880.04939215601</v>
      </c>
      <c r="U275" s="735">
        <f t="shared" si="36"/>
        <v>0</v>
      </c>
      <c r="V275" s="736">
        <f t="shared" si="37"/>
        <v>0</v>
      </c>
      <c r="W275" s="735">
        <f t="shared" si="38"/>
        <v>0</v>
      </c>
      <c r="X275" s="737">
        <f t="shared" si="39"/>
        <v>0</v>
      </c>
      <c r="Y275" s="738">
        <f t="shared" si="40"/>
        <v>106880.04939215601</v>
      </c>
    </row>
    <row r="276" spans="1:25">
      <c r="A276" s="754" t="str">
        <f>'Func Future Subs 2015'!A276</f>
        <v>Substation No.41</v>
      </c>
      <c r="B276" s="754">
        <f>'Func Future Subs 2015'!B276</f>
        <v>1354</v>
      </c>
      <c r="C276" s="754">
        <f>'Func Future Subs 2015'!C276</f>
        <v>138</v>
      </c>
      <c r="D276" s="754">
        <f>'Func Future Subs 2015'!D276</f>
        <v>25</v>
      </c>
      <c r="E276" s="754" t="str">
        <f>'Func Future Subs 2015'!E276</f>
        <v>SS-41</v>
      </c>
      <c r="F276" s="754">
        <f>'Func Future Subs 2015'!F276</f>
        <v>2523427.6016106843</v>
      </c>
      <c r="G276" s="754" t="str">
        <f>'Func Future Subs 2015'!G276</f>
        <v>ENMAX</v>
      </c>
      <c r="H276" s="754">
        <f>'Func Future Subs 2015'!H276</f>
        <v>2017</v>
      </c>
      <c r="I276" s="306">
        <f>+IF($H276=I$2,VLOOKUP($G276,Depreciation!$A$14:$L$18,7,FALSE)/2,IF($H276&lt;I$2,VLOOKUP($G276,Depreciation!$A$14:$L$18,7,FALSE),0))</f>
        <v>0</v>
      </c>
      <c r="J276" s="306">
        <f>+IF($H276=J$2,VLOOKUP($G276,Depreciation!$A$14:$L$18,8,FALSE)/2,IF($H276&lt;J$2,VLOOKUP($G276,Depreciation!$A$14:$L$18,8,FALSE),0))</f>
        <v>0</v>
      </c>
      <c r="K276" s="306">
        <f>+IF($H276=K$2,VLOOKUP($G276,Depreciation!$A$14:$L$18,9,FALSE)/2,IF($H276&lt;K$2,VLOOKUP($G276,Depreciation!$A$14:$L$18,9,FALSE),0))</f>
        <v>1.3928409269726289E-2</v>
      </c>
      <c r="L276" s="306">
        <f>+IF($H276=L$2,VLOOKUP($G276,Depreciation!$A$14:$L$18,10,FALSE)/2,IF($H276&lt;L$2,VLOOKUP($G276,Depreciation!$A$14:$L$18,10,FALSE),0))</f>
        <v>2.7856818539452578E-2</v>
      </c>
      <c r="M276" s="306">
        <f>+IF($H276=M$2,VLOOKUP($G276,Depreciation!$A$14:$L$18,11,FALSE)/2,IF($H276&lt;M$2,VLOOKUP($G276,Depreciation!$A$14:$L$18,11,FALSE),0))</f>
        <v>2.7856818539452578E-2</v>
      </c>
      <c r="N276" s="306">
        <f>+IF($H276=N$2,VLOOKUP($G276,Depreciation!$A$14:$L$18,12,FALSE)/2,IF($H276&lt;N$2,VLOOKUP($G276,Depreciation!$A$14:$L$18,12,FALSE),0))</f>
        <v>2.7856818539452578E-2</v>
      </c>
      <c r="O276" s="307">
        <f t="shared" si="33"/>
        <v>2351580.0366527424</v>
      </c>
      <c r="P276" s="732">
        <f>'Func Future Subs 2015'!P276</f>
        <v>0</v>
      </c>
      <c r="Q276" s="732">
        <f>'Func Future Subs 2015'!Q276</f>
        <v>1</v>
      </c>
      <c r="R276" s="732">
        <f>'Func Future Subs 2015'!R276</f>
        <v>0</v>
      </c>
      <c r="S276" s="735">
        <f t="shared" si="34"/>
        <v>0</v>
      </c>
      <c r="T276" s="735">
        <f t="shared" si="35"/>
        <v>2351580.0366527424</v>
      </c>
      <c r="U276" s="735">
        <f t="shared" si="36"/>
        <v>0</v>
      </c>
      <c r="V276" s="736">
        <f t="shared" si="37"/>
        <v>0</v>
      </c>
      <c r="W276" s="735">
        <f t="shared" si="38"/>
        <v>0</v>
      </c>
      <c r="X276" s="737">
        <f t="shared" si="39"/>
        <v>0</v>
      </c>
      <c r="Y276" s="738">
        <f t="shared" si="40"/>
        <v>2351580.0366527424</v>
      </c>
    </row>
    <row r="277" spans="1:25">
      <c r="A277" s="754" t="str">
        <f>'Func Future Subs 2015'!A277</f>
        <v>Substation No.54</v>
      </c>
      <c r="B277" s="754">
        <f>'Func Future Subs 2015'!B277</f>
        <v>1354</v>
      </c>
      <c r="C277" s="754">
        <f>'Func Future Subs 2015'!C277</f>
        <v>138</v>
      </c>
      <c r="D277" s="754">
        <f>'Func Future Subs 2015'!D277</f>
        <v>25</v>
      </c>
      <c r="E277" s="754" t="str">
        <f>'Func Future Subs 2015'!E277</f>
        <v>SS-54</v>
      </c>
      <c r="F277" s="754">
        <f>'Func Future Subs 2015'!F277</f>
        <v>114690.57505760195</v>
      </c>
      <c r="G277" s="754" t="str">
        <f>'Func Future Subs 2015'!G277</f>
        <v>ENMAX</v>
      </c>
      <c r="H277" s="754">
        <f>'Func Future Subs 2015'!H277</f>
        <v>2017</v>
      </c>
      <c r="I277" s="306">
        <f>+IF($H277=I$2,VLOOKUP($G277,Depreciation!$A$14:$L$18,7,FALSE)/2,IF($H277&lt;I$2,VLOOKUP($G277,Depreciation!$A$14:$L$18,7,FALSE),0))</f>
        <v>0</v>
      </c>
      <c r="J277" s="306">
        <f>+IF($H277=J$2,VLOOKUP($G277,Depreciation!$A$14:$L$18,8,FALSE)/2,IF($H277&lt;J$2,VLOOKUP($G277,Depreciation!$A$14:$L$18,8,FALSE),0))</f>
        <v>0</v>
      </c>
      <c r="K277" s="306">
        <f>+IF($H277=K$2,VLOOKUP($G277,Depreciation!$A$14:$L$18,9,FALSE)/2,IF($H277&lt;K$2,VLOOKUP($G277,Depreciation!$A$14:$L$18,9,FALSE),0))</f>
        <v>1.3928409269726289E-2</v>
      </c>
      <c r="L277" s="306">
        <f>+IF($H277=L$2,VLOOKUP($G277,Depreciation!$A$14:$L$18,10,FALSE)/2,IF($H277&lt;L$2,VLOOKUP($G277,Depreciation!$A$14:$L$18,10,FALSE),0))</f>
        <v>2.7856818539452578E-2</v>
      </c>
      <c r="M277" s="306">
        <f>+IF($H277=M$2,VLOOKUP($G277,Depreciation!$A$14:$L$18,11,FALSE)/2,IF($H277&lt;M$2,VLOOKUP($G277,Depreciation!$A$14:$L$18,11,FALSE),0))</f>
        <v>2.7856818539452578E-2</v>
      </c>
      <c r="N277" s="306">
        <f>+IF($H277=N$2,VLOOKUP($G277,Depreciation!$A$14:$L$18,12,FALSE)/2,IF($H277&lt;N$2,VLOOKUP($G277,Depreciation!$A$14:$L$18,12,FALSE),0))</f>
        <v>2.7856818539452578E-2</v>
      </c>
      <c r="O277" s="307">
        <f t="shared" si="33"/>
        <v>106880.04939215601</v>
      </c>
      <c r="P277" s="732">
        <f>'Func Future Subs 2015'!P277</f>
        <v>0</v>
      </c>
      <c r="Q277" s="732">
        <f>'Func Future Subs 2015'!Q277</f>
        <v>0</v>
      </c>
      <c r="R277" s="732">
        <f>'Func Future Subs 2015'!R277</f>
        <v>1</v>
      </c>
      <c r="S277" s="735">
        <f t="shared" si="34"/>
        <v>0</v>
      </c>
      <c r="T277" s="735">
        <f t="shared" si="35"/>
        <v>0</v>
      </c>
      <c r="U277" s="735">
        <f t="shared" si="36"/>
        <v>106880.04939215601</v>
      </c>
      <c r="V277" s="736">
        <f t="shared" si="37"/>
        <v>0</v>
      </c>
      <c r="W277" s="735">
        <f t="shared" si="38"/>
        <v>0</v>
      </c>
      <c r="X277" s="737">
        <f t="shared" si="39"/>
        <v>0</v>
      </c>
      <c r="Y277" s="738">
        <f t="shared" si="40"/>
        <v>106880.04939215601</v>
      </c>
    </row>
    <row r="278" spans="1:25">
      <c r="A278" s="754" t="str">
        <f>'Func Future Subs 2015'!A278</f>
        <v>Substation No.65</v>
      </c>
      <c r="B278" s="754">
        <f>'Func Future Subs 2015'!B278</f>
        <v>1354</v>
      </c>
      <c r="C278" s="754">
        <f>'Func Future Subs 2015'!C278</f>
        <v>138</v>
      </c>
      <c r="D278" s="754">
        <f>'Func Future Subs 2015'!D278</f>
        <v>138</v>
      </c>
      <c r="E278" s="754" t="str">
        <f>'Func Future Subs 2015'!E278</f>
        <v>SS-65</v>
      </c>
      <c r="F278" s="754">
        <f>'Func Future Subs 2015'!F278</f>
        <v>1396717.4283952755</v>
      </c>
      <c r="G278" s="754" t="str">
        <f>'Func Future Subs 2015'!G278</f>
        <v>ENMAX</v>
      </c>
      <c r="H278" s="754">
        <f>'Func Future Subs 2015'!H278</f>
        <v>2017</v>
      </c>
      <c r="I278" s="306">
        <f>+IF($H278=I$2,VLOOKUP($G278,Depreciation!$A$14:$L$18,7,FALSE)/2,IF($H278&lt;I$2,VLOOKUP($G278,Depreciation!$A$14:$L$18,7,FALSE),0))</f>
        <v>0</v>
      </c>
      <c r="J278" s="306">
        <f>+IF($H278=J$2,VLOOKUP($G278,Depreciation!$A$14:$L$18,8,FALSE)/2,IF($H278&lt;J$2,VLOOKUP($G278,Depreciation!$A$14:$L$18,8,FALSE),0))</f>
        <v>0</v>
      </c>
      <c r="K278" s="306">
        <f>+IF($H278=K$2,VLOOKUP($G278,Depreciation!$A$14:$L$18,9,FALSE)/2,IF($H278&lt;K$2,VLOOKUP($G278,Depreciation!$A$14:$L$18,9,FALSE),0))</f>
        <v>1.3928409269726289E-2</v>
      </c>
      <c r="L278" s="306">
        <f>+IF($H278=L$2,VLOOKUP($G278,Depreciation!$A$14:$L$18,10,FALSE)/2,IF($H278&lt;L$2,VLOOKUP($G278,Depreciation!$A$14:$L$18,10,FALSE),0))</f>
        <v>2.7856818539452578E-2</v>
      </c>
      <c r="M278" s="306">
        <f>+IF($H278=M$2,VLOOKUP($G278,Depreciation!$A$14:$L$18,11,FALSE)/2,IF($H278&lt;M$2,VLOOKUP($G278,Depreciation!$A$14:$L$18,11,FALSE),0))</f>
        <v>2.7856818539452578E-2</v>
      </c>
      <c r="N278" s="306">
        <f>+IF($H278=N$2,VLOOKUP($G278,Depreciation!$A$14:$L$18,12,FALSE)/2,IF($H278&lt;N$2,VLOOKUP($G278,Depreciation!$A$14:$L$18,12,FALSE),0))</f>
        <v>2.7856818539452578E-2</v>
      </c>
      <c r="O278" s="307">
        <f t="shared" si="33"/>
        <v>1301599.7841042953</v>
      </c>
      <c r="P278" s="732">
        <f>'Func Future Subs 2015'!P278</f>
        <v>0</v>
      </c>
      <c r="Q278" s="732">
        <f>'Func Future Subs 2015'!Q278</f>
        <v>0</v>
      </c>
      <c r="R278" s="732">
        <f>'Func Future Subs 2015'!R278</f>
        <v>1</v>
      </c>
      <c r="S278" s="735">
        <f t="shared" si="34"/>
        <v>0</v>
      </c>
      <c r="T278" s="735">
        <f t="shared" si="35"/>
        <v>0</v>
      </c>
      <c r="U278" s="735">
        <f t="shared" si="36"/>
        <v>1301599.7841042953</v>
      </c>
      <c r="V278" s="736">
        <f t="shared" si="37"/>
        <v>0</v>
      </c>
      <c r="W278" s="735">
        <f t="shared" si="38"/>
        <v>0</v>
      </c>
      <c r="X278" s="737">
        <f t="shared" si="39"/>
        <v>1301599.7841042953</v>
      </c>
      <c r="Y278" s="738">
        <f t="shared" si="40"/>
        <v>0</v>
      </c>
    </row>
    <row r="279" spans="1:25">
      <c r="A279" s="754" t="str">
        <f>'Func Future Subs 2015'!A279</f>
        <v>Bonnyville 700S</v>
      </c>
      <c r="B279" s="754">
        <f>'Func Future Subs 2015'!B279</f>
        <v>1364</v>
      </c>
      <c r="C279" s="754">
        <f>'Func Future Subs 2015'!C279</f>
        <v>138</v>
      </c>
      <c r="D279" s="754">
        <f>'Func Future Subs 2015'!D279</f>
        <v>25</v>
      </c>
      <c r="E279" s="754" t="str">
        <f>'Func Future Subs 2015'!E279</f>
        <v>700S</v>
      </c>
      <c r="F279" s="754">
        <f>'Func Future Subs 2015'!F279</f>
        <v>57289.359501696126</v>
      </c>
      <c r="G279" s="754" t="str">
        <f>'Func Future Subs 2015'!G279</f>
        <v>AltaLink</v>
      </c>
      <c r="H279" s="754">
        <f>'Func Future Subs 2015'!H279</f>
        <v>2015</v>
      </c>
      <c r="I279" s="306">
        <f>+IF($H279=I$2,VLOOKUP($G279,Depreciation!$A$14:$L$18,7,FALSE)/2,IF($H279&lt;I$2,VLOOKUP($G279,Depreciation!$A$14:$L$18,7,FALSE),0))</f>
        <v>1.7228380322441735E-2</v>
      </c>
      <c r="J279" s="306">
        <f>+IF($H279=J$2,VLOOKUP($G279,Depreciation!$A$14:$L$18,8,FALSE)/2,IF($H279&lt;J$2,VLOOKUP($G279,Depreciation!$A$14:$L$18,8,FALSE),0))</f>
        <v>3.343407856743718E-2</v>
      </c>
      <c r="K279" s="306">
        <f>+IF($H279=K$2,VLOOKUP($G279,Depreciation!$A$14:$L$18,9,FALSE)/2,IF($H279&lt;K$2,VLOOKUP($G279,Depreciation!$A$14:$L$18,9,FALSE),0))</f>
        <v>3.343407856743718E-2</v>
      </c>
      <c r="L279" s="306">
        <f>+IF($H279=L$2,VLOOKUP($G279,Depreciation!$A$14:$L$18,10,FALSE)/2,IF($H279&lt;L$2,VLOOKUP($G279,Depreciation!$A$14:$L$18,10,FALSE),0))</f>
        <v>3.343407856743718E-2</v>
      </c>
      <c r="M279" s="306">
        <f>+IF($H279=M$2,VLOOKUP($G279,Depreciation!$A$14:$L$18,11,FALSE)/2,IF($H279&lt;M$2,VLOOKUP($G279,Depreciation!$A$14:$L$18,11,FALSE),0))</f>
        <v>3.343407856743718E-2</v>
      </c>
      <c r="N279" s="306">
        <f>+IF($H279=N$2,VLOOKUP($G279,Depreciation!$A$14:$L$18,12,FALSE)/2,IF($H279&lt;N$2,VLOOKUP($G279,Depreciation!$A$14:$L$18,12,FALSE),0))</f>
        <v>3.343407856743718E-2</v>
      </c>
      <c r="O279" s="307">
        <f t="shared" si="33"/>
        <v>49141.961723466862</v>
      </c>
      <c r="P279" s="732">
        <f>'Func Future Subs 2015'!P279</f>
        <v>0</v>
      </c>
      <c r="Q279" s="732">
        <f>'Func Future Subs 2015'!Q279</f>
        <v>1</v>
      </c>
      <c r="R279" s="732">
        <f>'Func Future Subs 2015'!R279</f>
        <v>0</v>
      </c>
      <c r="S279" s="735">
        <f t="shared" si="34"/>
        <v>0</v>
      </c>
      <c r="T279" s="735">
        <f t="shared" si="35"/>
        <v>49141.961723466862</v>
      </c>
      <c r="U279" s="735">
        <f t="shared" si="36"/>
        <v>0</v>
      </c>
      <c r="V279" s="736">
        <f t="shared" si="37"/>
        <v>0</v>
      </c>
      <c r="W279" s="735">
        <f t="shared" si="38"/>
        <v>0</v>
      </c>
      <c r="X279" s="737">
        <f t="shared" si="39"/>
        <v>0</v>
      </c>
      <c r="Y279" s="738">
        <f t="shared" si="40"/>
        <v>49141.961723466862</v>
      </c>
    </row>
    <row r="280" spans="1:25">
      <c r="A280" s="754" t="str">
        <f>'Func Future Subs 2015'!A280</f>
        <v>La Corey 721S</v>
      </c>
      <c r="B280" s="754">
        <f>'Func Future Subs 2015'!B280</f>
        <v>1364</v>
      </c>
      <c r="C280" s="754">
        <f>'Func Future Subs 2015'!C280</f>
        <v>138</v>
      </c>
      <c r="D280" s="754">
        <f>'Func Future Subs 2015'!D280</f>
        <v>25</v>
      </c>
      <c r="E280" s="754" t="str">
        <f>'Func Future Subs 2015'!E280</f>
        <v>721S</v>
      </c>
      <c r="F280" s="754">
        <f>'Func Future Subs 2015'!F280</f>
        <v>8476582.5247856006</v>
      </c>
      <c r="G280" s="754" t="str">
        <f>'Func Future Subs 2015'!G280</f>
        <v>AltaLink</v>
      </c>
      <c r="H280" s="754">
        <f>'Func Future Subs 2015'!H280</f>
        <v>2015</v>
      </c>
      <c r="I280" s="306">
        <f>+IF($H280=I$2,VLOOKUP($G280,Depreciation!$A$14:$L$18,7,FALSE)/2,IF($H280&lt;I$2,VLOOKUP($G280,Depreciation!$A$14:$L$18,7,FALSE),0))</f>
        <v>1.7228380322441735E-2</v>
      </c>
      <c r="J280" s="306">
        <f>+IF($H280=J$2,VLOOKUP($G280,Depreciation!$A$14:$L$18,8,FALSE)/2,IF($H280&lt;J$2,VLOOKUP($G280,Depreciation!$A$14:$L$18,8,FALSE),0))</f>
        <v>3.343407856743718E-2</v>
      </c>
      <c r="K280" s="306">
        <f>+IF($H280=K$2,VLOOKUP($G280,Depreciation!$A$14:$L$18,9,FALSE)/2,IF($H280&lt;K$2,VLOOKUP($G280,Depreciation!$A$14:$L$18,9,FALSE),0))</f>
        <v>3.343407856743718E-2</v>
      </c>
      <c r="L280" s="306">
        <f>+IF($H280=L$2,VLOOKUP($G280,Depreciation!$A$14:$L$18,10,FALSE)/2,IF($H280&lt;L$2,VLOOKUP($G280,Depreciation!$A$14:$L$18,10,FALSE),0))</f>
        <v>3.343407856743718E-2</v>
      </c>
      <c r="M280" s="306">
        <f>+IF($H280=M$2,VLOOKUP($G280,Depreciation!$A$14:$L$18,11,FALSE)/2,IF($H280&lt;M$2,VLOOKUP($G280,Depreciation!$A$14:$L$18,11,FALSE),0))</f>
        <v>3.343407856743718E-2</v>
      </c>
      <c r="N280" s="306">
        <f>+IF($H280=N$2,VLOOKUP($G280,Depreciation!$A$14:$L$18,12,FALSE)/2,IF($H280&lt;N$2,VLOOKUP($G280,Depreciation!$A$14:$L$18,12,FALSE),0))</f>
        <v>3.343407856743718E-2</v>
      </c>
      <c r="O280" s="307">
        <f t="shared" si="33"/>
        <v>7271086.5962201841</v>
      </c>
      <c r="P280" s="732">
        <f>'Func Future Subs 2015'!P280</f>
        <v>0</v>
      </c>
      <c r="Q280" s="732">
        <f>'Func Future Subs 2015'!Q280</f>
        <v>1</v>
      </c>
      <c r="R280" s="732">
        <f>'Func Future Subs 2015'!R280</f>
        <v>0</v>
      </c>
      <c r="S280" s="735">
        <f t="shared" si="34"/>
        <v>0</v>
      </c>
      <c r="T280" s="735">
        <f t="shared" si="35"/>
        <v>7271086.5962201841</v>
      </c>
      <c r="U280" s="735">
        <f t="shared" si="36"/>
        <v>0</v>
      </c>
      <c r="V280" s="736">
        <f t="shared" si="37"/>
        <v>0</v>
      </c>
      <c r="W280" s="735">
        <f t="shared" si="38"/>
        <v>0</v>
      </c>
      <c r="X280" s="737">
        <f t="shared" si="39"/>
        <v>0</v>
      </c>
      <c r="Y280" s="738">
        <f t="shared" si="40"/>
        <v>7271086.5962201841</v>
      </c>
    </row>
    <row r="281" spans="1:25">
      <c r="A281" s="754" t="str">
        <f>'Func Future Subs 2015'!A281</f>
        <v>Marguerite Lake 826S</v>
      </c>
      <c r="B281" s="754">
        <f>'Func Future Subs 2015'!B281</f>
        <v>1364</v>
      </c>
      <c r="C281" s="754">
        <f>'Func Future Subs 2015'!C281</f>
        <v>240</v>
      </c>
      <c r="D281" s="754">
        <f>'Func Future Subs 2015'!D281</f>
        <v>138</v>
      </c>
      <c r="E281" s="754" t="str">
        <f>'Func Future Subs 2015'!E281</f>
        <v>826S</v>
      </c>
      <c r="F281" s="754">
        <f>'Func Future Subs 2015'!F281</f>
        <v>57289.359501696126</v>
      </c>
      <c r="G281" s="754" t="str">
        <f>'Func Future Subs 2015'!G281</f>
        <v>AltaLink</v>
      </c>
      <c r="H281" s="754">
        <f>'Func Future Subs 2015'!H281</f>
        <v>2015</v>
      </c>
      <c r="I281" s="306">
        <f>+IF($H281=I$2,VLOOKUP($G281,Depreciation!$A$14:$L$18,7,FALSE)/2,IF($H281&lt;I$2,VLOOKUP($G281,Depreciation!$A$14:$L$18,7,FALSE),0))</f>
        <v>1.7228380322441735E-2</v>
      </c>
      <c r="J281" s="306">
        <f>+IF($H281=J$2,VLOOKUP($G281,Depreciation!$A$14:$L$18,8,FALSE)/2,IF($H281&lt;J$2,VLOOKUP($G281,Depreciation!$A$14:$L$18,8,FALSE),0))</f>
        <v>3.343407856743718E-2</v>
      </c>
      <c r="K281" s="306">
        <f>+IF($H281=K$2,VLOOKUP($G281,Depreciation!$A$14:$L$18,9,FALSE)/2,IF($H281&lt;K$2,VLOOKUP($G281,Depreciation!$A$14:$L$18,9,FALSE),0))</f>
        <v>3.343407856743718E-2</v>
      </c>
      <c r="L281" s="306">
        <f>+IF($H281=L$2,VLOOKUP($G281,Depreciation!$A$14:$L$18,10,FALSE)/2,IF($H281&lt;L$2,VLOOKUP($G281,Depreciation!$A$14:$L$18,10,FALSE),0))</f>
        <v>3.343407856743718E-2</v>
      </c>
      <c r="M281" s="306">
        <f>+IF($H281=M$2,VLOOKUP($G281,Depreciation!$A$14:$L$18,11,FALSE)/2,IF($H281&lt;M$2,VLOOKUP($G281,Depreciation!$A$14:$L$18,11,FALSE),0))</f>
        <v>3.343407856743718E-2</v>
      </c>
      <c r="N281" s="306">
        <f>+IF($H281=N$2,VLOOKUP($G281,Depreciation!$A$14:$L$18,12,FALSE)/2,IF($H281&lt;N$2,VLOOKUP($G281,Depreciation!$A$14:$L$18,12,FALSE),0))</f>
        <v>3.343407856743718E-2</v>
      </c>
      <c r="O281" s="307">
        <f t="shared" si="33"/>
        <v>49141.961723466862</v>
      </c>
      <c r="P281" s="732">
        <f>'Func Future Subs 2015'!P281</f>
        <v>0</v>
      </c>
      <c r="Q281" s="732">
        <f>'Func Future Subs 2015'!Q281</f>
        <v>0</v>
      </c>
      <c r="R281" s="732">
        <f>'Func Future Subs 2015'!R281</f>
        <v>1</v>
      </c>
      <c r="S281" s="735">
        <f t="shared" si="34"/>
        <v>0</v>
      </c>
      <c r="T281" s="735">
        <f t="shared" si="35"/>
        <v>0</v>
      </c>
      <c r="U281" s="735">
        <f t="shared" si="36"/>
        <v>49141.961723466862</v>
      </c>
      <c r="V281" s="736">
        <f t="shared" si="37"/>
        <v>0</v>
      </c>
      <c r="W281" s="735">
        <f t="shared" si="38"/>
        <v>0</v>
      </c>
      <c r="X281" s="737">
        <f t="shared" si="39"/>
        <v>49141.961723466862</v>
      </c>
      <c r="Y281" s="738">
        <f t="shared" si="40"/>
        <v>0</v>
      </c>
    </row>
    <row r="282" spans="1:25">
      <c r="A282" s="754" t="str">
        <f>'Func Future Subs 2015'!A282</f>
        <v>Josephburg 410S upgrade_(Alt3)</v>
      </c>
      <c r="B282" s="754">
        <f>'Func Future Subs 2015'!B282</f>
        <v>1381</v>
      </c>
      <c r="C282" s="754">
        <f>'Func Future Subs 2015'!C282</f>
        <v>240</v>
      </c>
      <c r="D282" s="754">
        <f>'Func Future Subs 2015'!D282</f>
        <v>138</v>
      </c>
      <c r="E282" s="754" t="str">
        <f>'Func Future Subs 2015'!E282</f>
        <v>410S</v>
      </c>
      <c r="F282" s="754">
        <f>'Func Future Subs 2015'!F282</f>
        <v>5362918.7901881374</v>
      </c>
      <c r="G282" s="754" t="str">
        <f>'Func Future Subs 2015'!G282</f>
        <v>AltaLink</v>
      </c>
      <c r="H282" s="754">
        <f>'Func Future Subs 2015'!H282</f>
        <v>2019</v>
      </c>
      <c r="I282" s="306">
        <f>+IF($H282=I$2,VLOOKUP($G282,Depreciation!$A$14:$L$18,7,FALSE)/2,IF($H282&lt;I$2,VLOOKUP($G282,Depreciation!$A$14:$L$18,7,FALSE),0))</f>
        <v>0</v>
      </c>
      <c r="J282" s="306">
        <f>+IF($H282=J$2,VLOOKUP($G282,Depreciation!$A$14:$L$18,8,FALSE)/2,IF($H282&lt;J$2,VLOOKUP($G282,Depreciation!$A$14:$L$18,8,FALSE),0))</f>
        <v>0</v>
      </c>
      <c r="K282" s="306">
        <f>+IF($H282=K$2,VLOOKUP($G282,Depreciation!$A$14:$L$18,9,FALSE)/2,IF($H282&lt;K$2,VLOOKUP($G282,Depreciation!$A$14:$L$18,9,FALSE),0))</f>
        <v>0</v>
      </c>
      <c r="L282" s="306">
        <f>+IF($H282=L$2,VLOOKUP($G282,Depreciation!$A$14:$L$18,10,FALSE)/2,IF($H282&lt;L$2,VLOOKUP($G282,Depreciation!$A$14:$L$18,10,FALSE),0))</f>
        <v>0</v>
      </c>
      <c r="M282" s="306">
        <f>+IF($H282=M$2,VLOOKUP($G282,Depreciation!$A$14:$L$18,11,FALSE)/2,IF($H282&lt;M$2,VLOOKUP($G282,Depreciation!$A$14:$L$18,11,FALSE),0))</f>
        <v>1.671703928371859E-2</v>
      </c>
      <c r="N282" s="306">
        <f>+IF($H282=N$2,VLOOKUP($G282,Depreciation!$A$14:$L$18,12,FALSE)/2,IF($H282&lt;N$2,VLOOKUP($G282,Depreciation!$A$14:$L$18,12,FALSE),0))</f>
        <v>3.343407856743718E-2</v>
      </c>
      <c r="O282" s="307">
        <f t="shared" si="33"/>
        <v>5273266.6660971697</v>
      </c>
      <c r="P282" s="732">
        <f>'Func Future Subs 2015'!P282</f>
        <v>0</v>
      </c>
      <c r="Q282" s="732">
        <f>'Func Future Subs 2015'!Q282</f>
        <v>0</v>
      </c>
      <c r="R282" s="732">
        <f>'Func Future Subs 2015'!R282</f>
        <v>1</v>
      </c>
      <c r="S282" s="735">
        <f t="shared" si="34"/>
        <v>0</v>
      </c>
      <c r="T282" s="735">
        <f t="shared" si="35"/>
        <v>0</v>
      </c>
      <c r="U282" s="735">
        <f t="shared" si="36"/>
        <v>5273266.6660971697</v>
      </c>
      <c r="V282" s="736">
        <f t="shared" si="37"/>
        <v>0</v>
      </c>
      <c r="W282" s="735">
        <f t="shared" si="38"/>
        <v>0</v>
      </c>
      <c r="X282" s="737">
        <f t="shared" si="39"/>
        <v>5273266.6660971697</v>
      </c>
      <c r="Y282" s="738">
        <f t="shared" si="40"/>
        <v>0</v>
      </c>
    </row>
    <row r="283" spans="1:25">
      <c r="A283" s="754" t="str">
        <f>'Func Future Subs 2015'!A283</f>
        <v>Red Deer 63S</v>
      </c>
      <c r="B283" s="754">
        <f>'Func Future Subs 2015'!B283</f>
        <v>1394</v>
      </c>
      <c r="C283" s="754">
        <f>'Func Future Subs 2015'!C283</f>
        <v>240</v>
      </c>
      <c r="D283" s="754">
        <f>'Func Future Subs 2015'!D283</f>
        <v>25</v>
      </c>
      <c r="E283" s="754" t="str">
        <f>'Func Future Subs 2015'!E283</f>
        <v>63S</v>
      </c>
      <c r="F283" s="754">
        <f>'Func Future Subs 2015'!F283</f>
        <v>5221999.9999999972</v>
      </c>
      <c r="G283" s="754" t="str">
        <f>'Func Future Subs 2015'!G283</f>
        <v>AltaLink</v>
      </c>
      <c r="H283" s="754">
        <f>'Func Future Subs 2015'!H283</f>
        <v>2015</v>
      </c>
      <c r="I283" s="306">
        <f>+IF($H283=I$2,VLOOKUP($G283,Depreciation!$A$14:$L$18,7,FALSE)/2,IF($H283&lt;I$2,VLOOKUP($G283,Depreciation!$A$14:$L$18,7,FALSE),0))</f>
        <v>1.7228380322441735E-2</v>
      </c>
      <c r="J283" s="306">
        <f>+IF($H283=J$2,VLOOKUP($G283,Depreciation!$A$14:$L$18,8,FALSE)/2,IF($H283&lt;J$2,VLOOKUP($G283,Depreciation!$A$14:$L$18,8,FALSE),0))</f>
        <v>3.343407856743718E-2</v>
      </c>
      <c r="K283" s="306">
        <f>+IF($H283=K$2,VLOOKUP($G283,Depreciation!$A$14:$L$18,9,FALSE)/2,IF($H283&lt;K$2,VLOOKUP($G283,Depreciation!$A$14:$L$18,9,FALSE),0))</f>
        <v>3.343407856743718E-2</v>
      </c>
      <c r="L283" s="306">
        <f>+IF($H283=L$2,VLOOKUP($G283,Depreciation!$A$14:$L$18,10,FALSE)/2,IF($H283&lt;L$2,VLOOKUP($G283,Depreciation!$A$14:$L$18,10,FALSE),0))</f>
        <v>3.343407856743718E-2</v>
      </c>
      <c r="M283" s="306">
        <f>+IF($H283=M$2,VLOOKUP($G283,Depreciation!$A$14:$L$18,11,FALSE)/2,IF($H283&lt;M$2,VLOOKUP($G283,Depreciation!$A$14:$L$18,11,FALSE),0))</f>
        <v>3.343407856743718E-2</v>
      </c>
      <c r="N283" s="306">
        <f>+IF($H283=N$2,VLOOKUP($G283,Depreciation!$A$14:$L$18,12,FALSE)/2,IF($H283&lt;N$2,VLOOKUP($G283,Depreciation!$A$14:$L$18,12,FALSE),0))</f>
        <v>3.343407856743718E-2</v>
      </c>
      <c r="O283" s="307">
        <f t="shared" si="33"/>
        <v>4479354.0432642866</v>
      </c>
      <c r="P283" s="732">
        <f>'Func Future Subs 2015'!P283</f>
        <v>0</v>
      </c>
      <c r="Q283" s="732">
        <f>'Func Future Subs 2015'!Q283</f>
        <v>1</v>
      </c>
      <c r="R283" s="732">
        <f>'Func Future Subs 2015'!R283</f>
        <v>0</v>
      </c>
      <c r="S283" s="735">
        <f t="shared" si="34"/>
        <v>0</v>
      </c>
      <c r="T283" s="735">
        <f t="shared" si="35"/>
        <v>4479354.0432642866</v>
      </c>
      <c r="U283" s="735">
        <f t="shared" si="36"/>
        <v>0</v>
      </c>
      <c r="V283" s="736">
        <f t="shared" si="37"/>
        <v>0</v>
      </c>
      <c r="W283" s="735">
        <f t="shared" si="38"/>
        <v>0</v>
      </c>
      <c r="X283" s="737">
        <f t="shared" si="39"/>
        <v>0</v>
      </c>
      <c r="Y283" s="738">
        <f t="shared" si="40"/>
        <v>4479354.0432642866</v>
      </c>
    </row>
    <row r="284" spans="1:25">
      <c r="A284" s="754" t="str">
        <f>'Func Future Subs 2015'!A284</f>
        <v>Black Spruce 154S</v>
      </c>
      <c r="B284" s="754">
        <f>'Func Future Subs 2015'!B284</f>
        <v>1404</v>
      </c>
      <c r="C284" s="754">
        <f>'Func Future Subs 2015'!C284</f>
        <v>240</v>
      </c>
      <c r="D284" s="754">
        <f>'Func Future Subs 2015'!D284</f>
        <v>240</v>
      </c>
      <c r="E284" s="754" t="str">
        <f>'Func Future Subs 2015'!E284</f>
        <v>154S</v>
      </c>
      <c r="F284" s="754">
        <f>'Func Future Subs 2015'!F284</f>
        <v>278684.58054174558</v>
      </c>
      <c r="G284" s="754" t="str">
        <f>'Func Future Subs 2015'!G284</f>
        <v>AltaLink</v>
      </c>
      <c r="H284" s="754">
        <f>'Func Future Subs 2015'!H284</f>
        <v>2017</v>
      </c>
      <c r="I284" s="306">
        <f>+IF($H284=I$2,VLOOKUP($G284,Depreciation!$A$14:$L$18,7,FALSE)/2,IF($H284&lt;I$2,VLOOKUP($G284,Depreciation!$A$14:$L$18,7,FALSE),0))</f>
        <v>0</v>
      </c>
      <c r="J284" s="306">
        <f>+IF($H284=J$2,VLOOKUP($G284,Depreciation!$A$14:$L$18,8,FALSE)/2,IF($H284&lt;J$2,VLOOKUP($G284,Depreciation!$A$14:$L$18,8,FALSE),0))</f>
        <v>0</v>
      </c>
      <c r="K284" s="306">
        <f>+IF($H284=K$2,VLOOKUP($G284,Depreciation!$A$14:$L$18,9,FALSE)/2,IF($H284&lt;K$2,VLOOKUP($G284,Depreciation!$A$14:$L$18,9,FALSE),0))</f>
        <v>1.671703928371859E-2</v>
      </c>
      <c r="L284" s="306">
        <f>+IF($H284=L$2,VLOOKUP($G284,Depreciation!$A$14:$L$18,10,FALSE)/2,IF($H284&lt;L$2,VLOOKUP($G284,Depreciation!$A$14:$L$18,10,FALSE),0))</f>
        <v>3.343407856743718E-2</v>
      </c>
      <c r="M284" s="306">
        <f>+IF($H284=M$2,VLOOKUP($G284,Depreciation!$A$14:$L$18,11,FALSE)/2,IF($H284&lt;M$2,VLOOKUP($G284,Depreciation!$A$14:$L$18,11,FALSE),0))</f>
        <v>3.343407856743718E-2</v>
      </c>
      <c r="N284" s="306">
        <f>+IF($H284=N$2,VLOOKUP($G284,Depreciation!$A$14:$L$18,12,FALSE)/2,IF($H284&lt;N$2,VLOOKUP($G284,Depreciation!$A$14:$L$18,12,FALSE),0))</f>
        <v>3.343407856743718E-2</v>
      </c>
      <c r="O284" s="307">
        <f t="shared" si="33"/>
        <v>256008.51558834364</v>
      </c>
      <c r="P284" s="732">
        <f>'Func Future Subs 2015'!P284</f>
        <v>0</v>
      </c>
      <c r="Q284" s="732">
        <f>'Func Future Subs 2015'!Q284</f>
        <v>0</v>
      </c>
      <c r="R284" s="732">
        <f>'Func Future Subs 2015'!R284</f>
        <v>1</v>
      </c>
      <c r="S284" s="735">
        <f t="shared" si="34"/>
        <v>0</v>
      </c>
      <c r="T284" s="735">
        <f t="shared" si="35"/>
        <v>0</v>
      </c>
      <c r="U284" s="735">
        <f t="shared" si="36"/>
        <v>256008.51558834364</v>
      </c>
      <c r="V284" s="736">
        <f t="shared" si="37"/>
        <v>0</v>
      </c>
      <c r="W284" s="735">
        <f t="shared" si="38"/>
        <v>256008.51558834364</v>
      </c>
      <c r="X284" s="737">
        <f t="shared" si="39"/>
        <v>0</v>
      </c>
      <c r="Y284" s="738">
        <f t="shared" si="40"/>
        <v>0</v>
      </c>
    </row>
    <row r="285" spans="1:25">
      <c r="A285" s="754" t="str">
        <f>'Func Future Subs 2015'!A285</f>
        <v>Boreal 193S</v>
      </c>
      <c r="B285" s="754">
        <f>'Func Future Subs 2015'!B285</f>
        <v>1404</v>
      </c>
      <c r="C285" s="754">
        <f>'Func Future Subs 2015'!C285</f>
        <v>240</v>
      </c>
      <c r="D285" s="754">
        <f>'Func Future Subs 2015'!D285</f>
        <v>25</v>
      </c>
      <c r="E285" s="754" t="str">
        <f>'Func Future Subs 2015'!E285</f>
        <v>193S</v>
      </c>
      <c r="F285" s="754">
        <f>'Func Future Subs 2015'!F285</f>
        <v>404849.17125705519</v>
      </c>
      <c r="G285" s="754" t="str">
        <f>'Func Future Subs 2015'!G285</f>
        <v>AltaLink</v>
      </c>
      <c r="H285" s="754">
        <f>'Func Future Subs 2015'!H285</f>
        <v>2017</v>
      </c>
      <c r="I285" s="306">
        <f>+IF($H285=I$2,VLOOKUP($G285,Depreciation!$A$14:$L$18,7,FALSE)/2,IF($H285&lt;I$2,VLOOKUP($G285,Depreciation!$A$14:$L$18,7,FALSE),0))</f>
        <v>0</v>
      </c>
      <c r="J285" s="306">
        <f>+IF($H285=J$2,VLOOKUP($G285,Depreciation!$A$14:$L$18,8,FALSE)/2,IF($H285&lt;J$2,VLOOKUP($G285,Depreciation!$A$14:$L$18,8,FALSE),0))</f>
        <v>0</v>
      </c>
      <c r="K285" s="306">
        <f>+IF($H285=K$2,VLOOKUP($G285,Depreciation!$A$14:$L$18,9,FALSE)/2,IF($H285&lt;K$2,VLOOKUP($G285,Depreciation!$A$14:$L$18,9,FALSE),0))</f>
        <v>1.671703928371859E-2</v>
      </c>
      <c r="L285" s="306">
        <f>+IF($H285=L$2,VLOOKUP($G285,Depreciation!$A$14:$L$18,10,FALSE)/2,IF($H285&lt;L$2,VLOOKUP($G285,Depreciation!$A$14:$L$18,10,FALSE),0))</f>
        <v>3.343407856743718E-2</v>
      </c>
      <c r="M285" s="306">
        <f>+IF($H285=M$2,VLOOKUP($G285,Depreciation!$A$14:$L$18,11,FALSE)/2,IF($H285&lt;M$2,VLOOKUP($G285,Depreciation!$A$14:$L$18,11,FALSE),0))</f>
        <v>3.343407856743718E-2</v>
      </c>
      <c r="N285" s="306">
        <f>+IF($H285=N$2,VLOOKUP($G285,Depreciation!$A$14:$L$18,12,FALSE)/2,IF($H285&lt;N$2,VLOOKUP($G285,Depreciation!$A$14:$L$18,12,FALSE),0))</f>
        <v>3.343407856743718E-2</v>
      </c>
      <c r="O285" s="307">
        <f t="shared" si="33"/>
        <v>371907.31962712354</v>
      </c>
      <c r="P285" s="732">
        <f>'Func Future Subs 2015'!P285</f>
        <v>0</v>
      </c>
      <c r="Q285" s="732">
        <f>'Func Future Subs 2015'!Q285</f>
        <v>0</v>
      </c>
      <c r="R285" s="732">
        <f>'Func Future Subs 2015'!R285</f>
        <v>1</v>
      </c>
      <c r="S285" s="735">
        <f t="shared" si="34"/>
        <v>0</v>
      </c>
      <c r="T285" s="735">
        <f t="shared" si="35"/>
        <v>0</v>
      </c>
      <c r="U285" s="735">
        <f t="shared" si="36"/>
        <v>371907.31962712354</v>
      </c>
      <c r="V285" s="736">
        <f t="shared" si="37"/>
        <v>0</v>
      </c>
      <c r="W285" s="735">
        <f t="shared" si="38"/>
        <v>0</v>
      </c>
      <c r="X285" s="737">
        <f t="shared" si="39"/>
        <v>0</v>
      </c>
      <c r="Y285" s="738">
        <f t="shared" si="40"/>
        <v>371907.31962712354</v>
      </c>
    </row>
    <row r="286" spans="1:25">
      <c r="A286" s="754" t="str">
        <f>'Func Future Subs 2015'!A286</f>
        <v>Conklin 762S</v>
      </c>
      <c r="B286" s="754">
        <f>'Func Future Subs 2015'!B286</f>
        <v>1404</v>
      </c>
      <c r="C286" s="754">
        <f>'Func Future Subs 2015'!C286</f>
        <v>240</v>
      </c>
      <c r="D286" s="754">
        <f>'Func Future Subs 2015'!D286</f>
        <v>25</v>
      </c>
      <c r="E286" s="754" t="str">
        <f>'Func Future Subs 2015'!E286</f>
        <v>762S</v>
      </c>
      <c r="F286" s="754">
        <f>'Func Future Subs 2015'!F286</f>
        <v>168402.5482694711</v>
      </c>
      <c r="G286" s="754" t="str">
        <f>'Func Future Subs 2015'!G286</f>
        <v>AltaLink</v>
      </c>
      <c r="H286" s="754">
        <f>'Func Future Subs 2015'!H286</f>
        <v>2017</v>
      </c>
      <c r="I286" s="306">
        <f>+IF($H286=I$2,VLOOKUP($G286,Depreciation!$A$14:$L$18,7,FALSE)/2,IF($H286&lt;I$2,VLOOKUP($G286,Depreciation!$A$14:$L$18,7,FALSE),0))</f>
        <v>0</v>
      </c>
      <c r="J286" s="306">
        <f>+IF($H286=J$2,VLOOKUP($G286,Depreciation!$A$14:$L$18,8,FALSE)/2,IF($H286&lt;J$2,VLOOKUP($G286,Depreciation!$A$14:$L$18,8,FALSE),0))</f>
        <v>0</v>
      </c>
      <c r="K286" s="306">
        <f>+IF($H286=K$2,VLOOKUP($G286,Depreciation!$A$14:$L$18,9,FALSE)/2,IF($H286&lt;K$2,VLOOKUP($G286,Depreciation!$A$14:$L$18,9,FALSE),0))</f>
        <v>1.671703928371859E-2</v>
      </c>
      <c r="L286" s="306">
        <f>+IF($H286=L$2,VLOOKUP($G286,Depreciation!$A$14:$L$18,10,FALSE)/2,IF($H286&lt;L$2,VLOOKUP($G286,Depreciation!$A$14:$L$18,10,FALSE),0))</f>
        <v>3.343407856743718E-2</v>
      </c>
      <c r="M286" s="306">
        <f>+IF($H286=M$2,VLOOKUP($G286,Depreciation!$A$14:$L$18,11,FALSE)/2,IF($H286&lt;M$2,VLOOKUP($G286,Depreciation!$A$14:$L$18,11,FALSE),0))</f>
        <v>3.343407856743718E-2</v>
      </c>
      <c r="N286" s="306">
        <f>+IF($H286=N$2,VLOOKUP($G286,Depreciation!$A$14:$L$18,12,FALSE)/2,IF($H286&lt;N$2,VLOOKUP($G286,Depreciation!$A$14:$L$18,12,FALSE),0))</f>
        <v>3.343407856743718E-2</v>
      </c>
      <c r="O286" s="307">
        <f t="shared" si="33"/>
        <v>154699.93467149732</v>
      </c>
      <c r="P286" s="732">
        <f>'Func Future Subs 2015'!P286</f>
        <v>0.92307692307692313</v>
      </c>
      <c r="Q286" s="732">
        <f>'Func Future Subs 2015'!Q286</f>
        <v>7.6923076923076927E-2</v>
      </c>
      <c r="R286" s="732">
        <f>'Func Future Subs 2015'!R286</f>
        <v>0</v>
      </c>
      <c r="S286" s="735">
        <f t="shared" si="34"/>
        <v>142799.93969676676</v>
      </c>
      <c r="T286" s="735">
        <f t="shared" si="35"/>
        <v>11899.994974730564</v>
      </c>
      <c r="U286" s="735">
        <f t="shared" si="36"/>
        <v>0</v>
      </c>
      <c r="V286" s="736">
        <f t="shared" si="37"/>
        <v>0</v>
      </c>
      <c r="W286" s="735">
        <f t="shared" si="38"/>
        <v>142799.93969676676</v>
      </c>
      <c r="X286" s="737">
        <f t="shared" si="39"/>
        <v>0</v>
      </c>
      <c r="Y286" s="738">
        <f t="shared" si="40"/>
        <v>11899.994974730564</v>
      </c>
    </row>
    <row r="287" spans="1:25">
      <c r="A287" s="754" t="str">
        <f>'Func Future Subs 2015'!A287</f>
        <v>Modify Vermillion 710S substation</v>
      </c>
      <c r="B287" s="754">
        <f>'Func Future Subs 2015'!B287</f>
        <v>1410</v>
      </c>
      <c r="C287" s="754">
        <f>'Func Future Subs 2015'!C287</f>
        <v>240</v>
      </c>
      <c r="D287" s="754">
        <f>'Func Future Subs 2015'!D287</f>
        <v>25</v>
      </c>
      <c r="E287" s="754" t="str">
        <f>'Func Future Subs 2015'!E287</f>
        <v>710S</v>
      </c>
      <c r="F287" s="754">
        <f>'Func Future Subs 2015'!F287</f>
        <v>15324.249757272422</v>
      </c>
      <c r="G287" s="754" t="str">
        <f>'Func Future Subs 2015'!G287</f>
        <v>ATCO</v>
      </c>
      <c r="H287" s="754">
        <f>'Func Future Subs 2015'!H287</f>
        <v>2017</v>
      </c>
      <c r="I287" s="306">
        <f>+IF($H287=I$2,VLOOKUP($G287,Depreciation!$A$14:$L$18,7,FALSE)/2,IF($H287&lt;I$2,VLOOKUP($G287,Depreciation!$A$14:$L$18,7,FALSE),0))</f>
        <v>0</v>
      </c>
      <c r="J287" s="306">
        <f>+IF($H287=J$2,VLOOKUP($G287,Depreciation!$A$14:$L$18,8,FALSE)/2,IF($H287&lt;J$2,VLOOKUP($G287,Depreciation!$A$14:$L$18,8,FALSE),0))</f>
        <v>0</v>
      </c>
      <c r="K287" s="306">
        <f>+IF($H287=K$2,VLOOKUP($G287,Depreciation!$A$14:$L$18,9,FALSE)/2,IF($H287&lt;K$2,VLOOKUP($G287,Depreciation!$A$14:$L$18,9,FALSE),0))</f>
        <v>1.2175768213899416E-2</v>
      </c>
      <c r="L287" s="306">
        <f>+IF($H287=L$2,VLOOKUP($G287,Depreciation!$A$14:$L$18,10,FALSE)/2,IF($H287&lt;L$2,VLOOKUP($G287,Depreciation!$A$14:$L$18,10,FALSE),0))</f>
        <v>2.4351536427798831E-2</v>
      </c>
      <c r="M287" s="306">
        <f>+IF($H287=M$2,VLOOKUP($G287,Depreciation!$A$14:$L$18,11,FALSE)/2,IF($H287&lt;M$2,VLOOKUP($G287,Depreciation!$A$14:$L$18,11,FALSE),0))</f>
        <v>2.4351536427798831E-2</v>
      </c>
      <c r="N287" s="306">
        <f>+IF($H287=N$2,VLOOKUP($G287,Depreciation!$A$14:$L$18,12,FALSE)/2,IF($H287&lt;N$2,VLOOKUP($G287,Depreciation!$A$14:$L$18,12,FALSE),0))</f>
        <v>2.4351536427798831E-2</v>
      </c>
      <c r="O287" s="307">
        <f t="shared" si="33"/>
        <v>14409.391025942869</v>
      </c>
      <c r="P287" s="732">
        <f>'Func Future Subs 2015'!P287</f>
        <v>0</v>
      </c>
      <c r="Q287" s="732">
        <f>'Func Future Subs 2015'!Q287</f>
        <v>1</v>
      </c>
      <c r="R287" s="732">
        <f>'Func Future Subs 2015'!R287</f>
        <v>0</v>
      </c>
      <c r="S287" s="735">
        <f t="shared" si="34"/>
        <v>0</v>
      </c>
      <c r="T287" s="735">
        <f t="shared" si="35"/>
        <v>14409.391025942869</v>
      </c>
      <c r="U287" s="735">
        <f t="shared" si="36"/>
        <v>0</v>
      </c>
      <c r="V287" s="736">
        <f t="shared" si="37"/>
        <v>0</v>
      </c>
      <c r="W287" s="735">
        <f t="shared" si="38"/>
        <v>0</v>
      </c>
      <c r="X287" s="737">
        <f t="shared" si="39"/>
        <v>0</v>
      </c>
      <c r="Y287" s="738">
        <f t="shared" si="40"/>
        <v>14409.391025942869</v>
      </c>
    </row>
    <row r="288" spans="1:25">
      <c r="A288" s="754" t="str">
        <f>'Func Future Subs 2015'!A288</f>
        <v>New Vincent 2019S POD substation</v>
      </c>
      <c r="B288" s="754">
        <f>'Func Future Subs 2015'!B288</f>
        <v>1410</v>
      </c>
      <c r="C288" s="754">
        <f>'Func Future Subs 2015'!C288</f>
        <v>144</v>
      </c>
      <c r="D288" s="754">
        <f>'Func Future Subs 2015'!D288</f>
        <v>25</v>
      </c>
      <c r="E288" s="754" t="str">
        <f>'Func Future Subs 2015'!E288</f>
        <v>2019S</v>
      </c>
      <c r="F288" s="754">
        <f>'Func Future Subs 2015'!F288</f>
        <v>8044760.2895575566</v>
      </c>
      <c r="G288" s="754" t="str">
        <f>'Func Future Subs 2015'!G288</f>
        <v>ATCO</v>
      </c>
      <c r="H288" s="754">
        <f>'Func Future Subs 2015'!H288</f>
        <v>2017</v>
      </c>
      <c r="I288" s="306">
        <f>+IF($H288=I$2,VLOOKUP($G288,Depreciation!$A$14:$L$18,7,FALSE)/2,IF($H288&lt;I$2,VLOOKUP($G288,Depreciation!$A$14:$L$18,7,FALSE),0))</f>
        <v>0</v>
      </c>
      <c r="J288" s="306">
        <f>+IF($H288=J$2,VLOOKUP($G288,Depreciation!$A$14:$L$18,8,FALSE)/2,IF($H288&lt;J$2,VLOOKUP($G288,Depreciation!$A$14:$L$18,8,FALSE),0))</f>
        <v>0</v>
      </c>
      <c r="K288" s="306">
        <f>+IF($H288=K$2,VLOOKUP($G288,Depreciation!$A$14:$L$18,9,FALSE)/2,IF($H288&lt;K$2,VLOOKUP($G288,Depreciation!$A$14:$L$18,9,FALSE),0))</f>
        <v>1.2175768213899416E-2</v>
      </c>
      <c r="L288" s="306">
        <f>+IF($H288=L$2,VLOOKUP($G288,Depreciation!$A$14:$L$18,10,FALSE)/2,IF($H288&lt;L$2,VLOOKUP($G288,Depreciation!$A$14:$L$18,10,FALSE),0))</f>
        <v>2.4351536427798831E-2</v>
      </c>
      <c r="M288" s="306">
        <f>+IF($H288=M$2,VLOOKUP($G288,Depreciation!$A$14:$L$18,11,FALSE)/2,IF($H288&lt;M$2,VLOOKUP($G288,Depreciation!$A$14:$L$18,11,FALSE),0))</f>
        <v>2.4351536427798831E-2</v>
      </c>
      <c r="N288" s="306">
        <f>+IF($H288=N$2,VLOOKUP($G288,Depreciation!$A$14:$L$18,12,FALSE)/2,IF($H288&lt;N$2,VLOOKUP($G288,Depreciation!$A$14:$L$18,12,FALSE),0))</f>
        <v>2.4351536427798831E-2</v>
      </c>
      <c r="O288" s="307">
        <f t="shared" si="33"/>
        <v>7564487.5643716296</v>
      </c>
      <c r="P288" s="732">
        <f>'Func Future Subs 2015'!P288</f>
        <v>0</v>
      </c>
      <c r="Q288" s="732">
        <f>'Func Future Subs 2015'!Q288</f>
        <v>0</v>
      </c>
      <c r="R288" s="732">
        <f>'Func Future Subs 2015'!R288</f>
        <v>1</v>
      </c>
      <c r="S288" s="735">
        <f t="shared" si="34"/>
        <v>0</v>
      </c>
      <c r="T288" s="735">
        <f t="shared" si="35"/>
        <v>0</v>
      </c>
      <c r="U288" s="735">
        <f t="shared" si="36"/>
        <v>7564487.5643716296</v>
      </c>
      <c r="V288" s="736">
        <f t="shared" si="37"/>
        <v>0</v>
      </c>
      <c r="W288" s="735">
        <f t="shared" si="38"/>
        <v>0</v>
      </c>
      <c r="X288" s="737">
        <f t="shared" si="39"/>
        <v>0</v>
      </c>
      <c r="Y288" s="738">
        <f t="shared" si="40"/>
        <v>7564487.5643716296</v>
      </c>
    </row>
    <row r="289" spans="1:25">
      <c r="A289" s="754" t="str">
        <f>'Func Future Subs 2015'!A289</f>
        <v>Upgrade Irish Creek 706S substation</v>
      </c>
      <c r="B289" s="754">
        <f>'Func Future Subs 2015'!B289</f>
        <v>1410</v>
      </c>
      <c r="C289" s="754">
        <f>'Func Future Subs 2015'!C289</f>
        <v>144</v>
      </c>
      <c r="D289" s="754">
        <f>'Func Future Subs 2015'!D289</f>
        <v>25</v>
      </c>
      <c r="E289" s="754" t="str">
        <f>'Func Future Subs 2015'!E289</f>
        <v>706S</v>
      </c>
      <c r="F289" s="754">
        <f>'Func Future Subs 2015'!F289</f>
        <v>3971812.508863166</v>
      </c>
      <c r="G289" s="754" t="str">
        <f>'Func Future Subs 2015'!G289</f>
        <v>ATCO</v>
      </c>
      <c r="H289" s="754">
        <f>'Func Future Subs 2015'!H289</f>
        <v>2017</v>
      </c>
      <c r="I289" s="306">
        <f>+IF($H289=I$2,VLOOKUP($G289,Depreciation!$A$14:$L$18,7,FALSE)/2,IF($H289&lt;I$2,VLOOKUP($G289,Depreciation!$A$14:$L$18,7,FALSE),0))</f>
        <v>0</v>
      </c>
      <c r="J289" s="306">
        <f>+IF($H289=J$2,VLOOKUP($G289,Depreciation!$A$14:$L$18,8,FALSE)/2,IF($H289&lt;J$2,VLOOKUP($G289,Depreciation!$A$14:$L$18,8,FALSE),0))</f>
        <v>0</v>
      </c>
      <c r="K289" s="306">
        <f>+IF($H289=K$2,VLOOKUP($G289,Depreciation!$A$14:$L$18,9,FALSE)/2,IF($H289&lt;K$2,VLOOKUP($G289,Depreciation!$A$14:$L$18,9,FALSE),0))</f>
        <v>1.2175768213899416E-2</v>
      </c>
      <c r="L289" s="306">
        <f>+IF($H289=L$2,VLOOKUP($G289,Depreciation!$A$14:$L$18,10,FALSE)/2,IF($H289&lt;L$2,VLOOKUP($G289,Depreciation!$A$14:$L$18,10,FALSE),0))</f>
        <v>2.4351536427798831E-2</v>
      </c>
      <c r="M289" s="306">
        <f>+IF($H289=M$2,VLOOKUP($G289,Depreciation!$A$14:$L$18,11,FALSE)/2,IF($H289&lt;M$2,VLOOKUP($G289,Depreciation!$A$14:$L$18,11,FALSE),0))</f>
        <v>2.4351536427798831E-2</v>
      </c>
      <c r="N289" s="306">
        <f>+IF($H289=N$2,VLOOKUP($G289,Depreciation!$A$14:$L$18,12,FALSE)/2,IF($H289&lt;N$2,VLOOKUP($G289,Depreciation!$A$14:$L$18,12,FALSE),0))</f>
        <v>2.4351536427798831E-2</v>
      </c>
      <c r="O289" s="307">
        <f t="shared" si="33"/>
        <v>3734695.0375029128</v>
      </c>
      <c r="P289" s="732">
        <f>'Func Future Subs 2015'!P289</f>
        <v>0</v>
      </c>
      <c r="Q289" s="732">
        <f>'Func Future Subs 2015'!Q289</f>
        <v>1</v>
      </c>
      <c r="R289" s="732">
        <f>'Func Future Subs 2015'!R289</f>
        <v>0</v>
      </c>
      <c r="S289" s="735">
        <f t="shared" si="34"/>
        <v>0</v>
      </c>
      <c r="T289" s="735">
        <f t="shared" si="35"/>
        <v>3734695.0375029128</v>
      </c>
      <c r="U289" s="735">
        <f t="shared" si="36"/>
        <v>0</v>
      </c>
      <c r="V289" s="736">
        <f t="shared" si="37"/>
        <v>0</v>
      </c>
      <c r="W289" s="735">
        <f t="shared" si="38"/>
        <v>0</v>
      </c>
      <c r="X289" s="737">
        <f t="shared" si="39"/>
        <v>0</v>
      </c>
      <c r="Y289" s="738">
        <f t="shared" si="40"/>
        <v>3734695.0375029128</v>
      </c>
    </row>
    <row r="290" spans="1:25">
      <c r="A290" s="754" t="str">
        <f>'Func Future Subs 2015'!A290</f>
        <v>Upgrade Vegreville 709S substation</v>
      </c>
      <c r="B290" s="754">
        <f>'Func Future Subs 2015'!B290</f>
        <v>1410</v>
      </c>
      <c r="C290" s="754">
        <f>'Func Future Subs 2015'!C290</f>
        <v>144</v>
      </c>
      <c r="D290" s="754">
        <f>'Func Future Subs 2015'!D290</f>
        <v>25</v>
      </c>
      <c r="E290" s="754" t="str">
        <f>'Func Future Subs 2015'!E290</f>
        <v>709S</v>
      </c>
      <c r="F290" s="754">
        <f>'Func Future Subs 2015'!F290</f>
        <v>775183.9038130251</v>
      </c>
      <c r="G290" s="754" t="str">
        <f>'Func Future Subs 2015'!G290</f>
        <v>ATCO</v>
      </c>
      <c r="H290" s="754">
        <f>'Func Future Subs 2015'!H290</f>
        <v>2017</v>
      </c>
      <c r="I290" s="306">
        <f>+IF($H290=I$2,VLOOKUP($G290,Depreciation!$A$14:$L$18,7,FALSE)/2,IF($H290&lt;I$2,VLOOKUP($G290,Depreciation!$A$14:$L$18,7,FALSE),0))</f>
        <v>0</v>
      </c>
      <c r="J290" s="306">
        <f>+IF($H290=J$2,VLOOKUP($G290,Depreciation!$A$14:$L$18,8,FALSE)/2,IF($H290&lt;J$2,VLOOKUP($G290,Depreciation!$A$14:$L$18,8,FALSE),0))</f>
        <v>0</v>
      </c>
      <c r="K290" s="306">
        <f>+IF($H290=K$2,VLOOKUP($G290,Depreciation!$A$14:$L$18,9,FALSE)/2,IF($H290&lt;K$2,VLOOKUP($G290,Depreciation!$A$14:$L$18,9,FALSE),0))</f>
        <v>1.2175768213899416E-2</v>
      </c>
      <c r="L290" s="306">
        <f>+IF($H290=L$2,VLOOKUP($G290,Depreciation!$A$14:$L$18,10,FALSE)/2,IF($H290&lt;L$2,VLOOKUP($G290,Depreciation!$A$14:$L$18,10,FALSE),0))</f>
        <v>2.4351536427798831E-2</v>
      </c>
      <c r="M290" s="306">
        <f>+IF($H290=M$2,VLOOKUP($G290,Depreciation!$A$14:$L$18,11,FALSE)/2,IF($H290&lt;M$2,VLOOKUP($G290,Depreciation!$A$14:$L$18,11,FALSE),0))</f>
        <v>2.4351536427798831E-2</v>
      </c>
      <c r="N290" s="306">
        <f>+IF($H290=N$2,VLOOKUP($G290,Depreciation!$A$14:$L$18,12,FALSE)/2,IF($H290&lt;N$2,VLOOKUP($G290,Depreciation!$A$14:$L$18,12,FALSE),0))</f>
        <v>2.4351536427798831E-2</v>
      </c>
      <c r="O290" s="307">
        <f t="shared" si="33"/>
        <v>728905.37311673968</v>
      </c>
      <c r="P290" s="732">
        <f>'Func Future Subs 2015'!P290</f>
        <v>0</v>
      </c>
      <c r="Q290" s="732">
        <f>'Func Future Subs 2015'!Q290</f>
        <v>1</v>
      </c>
      <c r="R290" s="732">
        <f>'Func Future Subs 2015'!R290</f>
        <v>0</v>
      </c>
      <c r="S290" s="735">
        <f t="shared" si="34"/>
        <v>0</v>
      </c>
      <c r="T290" s="735">
        <f t="shared" si="35"/>
        <v>728905.37311673968</v>
      </c>
      <c r="U290" s="735">
        <f t="shared" si="36"/>
        <v>0</v>
      </c>
      <c r="V290" s="736">
        <f t="shared" si="37"/>
        <v>0</v>
      </c>
      <c r="W290" s="735">
        <f t="shared" si="38"/>
        <v>0</v>
      </c>
      <c r="X290" s="737">
        <f t="shared" si="39"/>
        <v>0</v>
      </c>
      <c r="Y290" s="738">
        <f t="shared" si="40"/>
        <v>728905.37311673968</v>
      </c>
    </row>
    <row r="291" spans="1:25">
      <c r="A291" s="754" t="str">
        <f>'Func Future Subs 2015'!A291</f>
        <v>Gainford 165S</v>
      </c>
      <c r="B291" s="754">
        <f>'Func Future Subs 2015'!B291</f>
        <v>1412</v>
      </c>
      <c r="C291" s="754">
        <f>'Func Future Subs 2015'!C291</f>
        <v>138</v>
      </c>
      <c r="D291" s="754">
        <f>'Func Future Subs 2015'!D291</f>
        <v>25</v>
      </c>
      <c r="E291" s="754" t="str">
        <f>'Func Future Subs 2015'!E291</f>
        <v>165S</v>
      </c>
      <c r="F291" s="754">
        <f>'Func Future Subs 2015'!F291</f>
        <v>4938999.9999999953</v>
      </c>
      <c r="G291" s="754" t="str">
        <f>'Func Future Subs 2015'!G291</f>
        <v>AltaLink</v>
      </c>
      <c r="H291" s="754">
        <f>'Func Future Subs 2015'!H291</f>
        <v>2019</v>
      </c>
      <c r="I291" s="306">
        <f>+IF($H291=I$2,VLOOKUP($G291,Depreciation!$A$14:$L$18,7,FALSE)/2,IF($H291&lt;I$2,VLOOKUP($G291,Depreciation!$A$14:$L$18,7,FALSE),0))</f>
        <v>0</v>
      </c>
      <c r="J291" s="306">
        <f>+IF($H291=J$2,VLOOKUP($G291,Depreciation!$A$14:$L$18,8,FALSE)/2,IF($H291&lt;J$2,VLOOKUP($G291,Depreciation!$A$14:$L$18,8,FALSE),0))</f>
        <v>0</v>
      </c>
      <c r="K291" s="306">
        <f>+IF($H291=K$2,VLOOKUP($G291,Depreciation!$A$14:$L$18,9,FALSE)/2,IF($H291&lt;K$2,VLOOKUP($G291,Depreciation!$A$14:$L$18,9,FALSE),0))</f>
        <v>0</v>
      </c>
      <c r="L291" s="306">
        <f>+IF($H291=L$2,VLOOKUP($G291,Depreciation!$A$14:$L$18,10,FALSE)/2,IF($H291&lt;L$2,VLOOKUP($G291,Depreciation!$A$14:$L$18,10,FALSE),0))</f>
        <v>0</v>
      </c>
      <c r="M291" s="306">
        <f>+IF($H291=M$2,VLOOKUP($G291,Depreciation!$A$14:$L$18,11,FALSE)/2,IF($H291&lt;M$2,VLOOKUP($G291,Depreciation!$A$14:$L$18,11,FALSE),0))</f>
        <v>1.671703928371859E-2</v>
      </c>
      <c r="N291" s="306">
        <f>+IF($H291=N$2,VLOOKUP($G291,Depreciation!$A$14:$L$18,12,FALSE)/2,IF($H291&lt;N$2,VLOOKUP($G291,Depreciation!$A$14:$L$18,12,FALSE),0))</f>
        <v>3.343407856743718E-2</v>
      </c>
      <c r="O291" s="307">
        <f t="shared" si="33"/>
        <v>4856434.5429777093</v>
      </c>
      <c r="P291" s="732">
        <f>'Func Future Subs 2015'!P291</f>
        <v>0</v>
      </c>
      <c r="Q291" s="732">
        <f>'Func Future Subs 2015'!Q291</f>
        <v>1</v>
      </c>
      <c r="R291" s="732">
        <f>'Func Future Subs 2015'!R291</f>
        <v>0</v>
      </c>
      <c r="S291" s="735">
        <f t="shared" si="34"/>
        <v>0</v>
      </c>
      <c r="T291" s="735">
        <f t="shared" si="35"/>
        <v>4856434.5429777093</v>
      </c>
      <c r="U291" s="735">
        <f t="shared" si="36"/>
        <v>0</v>
      </c>
      <c r="V291" s="736">
        <f t="shared" si="37"/>
        <v>0</v>
      </c>
      <c r="W291" s="735">
        <f t="shared" si="38"/>
        <v>0</v>
      </c>
      <c r="X291" s="737">
        <f t="shared" si="39"/>
        <v>0</v>
      </c>
      <c r="Y291" s="738">
        <f t="shared" si="40"/>
        <v>4856434.5429777093</v>
      </c>
    </row>
    <row r="292" spans="1:25">
      <c r="A292" s="754" t="str">
        <f>'Func Future Subs 2015'!A292</f>
        <v>mercer Hill 728S</v>
      </c>
      <c r="B292" s="754">
        <f>'Func Future Subs 2015'!B292</f>
        <v>1416</v>
      </c>
      <c r="C292" s="754">
        <f>'Func Future Subs 2015'!C292</f>
        <v>144</v>
      </c>
      <c r="D292" s="754">
        <f>'Func Future Subs 2015'!D292</f>
        <v>25</v>
      </c>
      <c r="E292" s="754" t="str">
        <f>'Func Future Subs 2015'!E292</f>
        <v>728S</v>
      </c>
      <c r="F292" s="754">
        <f>'Func Future Subs 2015'!F292</f>
        <v>1896908</v>
      </c>
      <c r="G292" s="754" t="str">
        <f>'Func Future Subs 2015'!G292</f>
        <v>ATCO</v>
      </c>
      <c r="H292" s="754">
        <f>'Func Future Subs 2015'!H292</f>
        <v>2015</v>
      </c>
      <c r="I292" s="306">
        <f>+IF($H292=I$2,VLOOKUP($G292,Depreciation!$A$14:$L$18,7,FALSE)/2,IF($H292&lt;I$2,VLOOKUP($G292,Depreciation!$A$14:$L$18,7,FALSE),0))</f>
        <v>1.221703683566912E-2</v>
      </c>
      <c r="J292" s="306">
        <f>+IF($H292=J$2,VLOOKUP($G292,Depreciation!$A$14:$L$18,8,FALSE)/2,IF($H292&lt;J$2,VLOOKUP($G292,Depreciation!$A$14:$L$18,8,FALSE),0))</f>
        <v>2.4632450501084719E-2</v>
      </c>
      <c r="K292" s="306">
        <f>+IF($H292=K$2,VLOOKUP($G292,Depreciation!$A$14:$L$18,9,FALSE)/2,IF($H292&lt;K$2,VLOOKUP($G292,Depreciation!$A$14:$L$18,9,FALSE),0))</f>
        <v>2.4351536427798831E-2</v>
      </c>
      <c r="L292" s="306">
        <f>+IF($H292=L$2,VLOOKUP($G292,Depreciation!$A$14:$L$18,10,FALSE)/2,IF($H292&lt;L$2,VLOOKUP($G292,Depreciation!$A$14:$L$18,10,FALSE),0))</f>
        <v>2.4351536427798831E-2</v>
      </c>
      <c r="M292" s="306">
        <f>+IF($H292=M$2,VLOOKUP($G292,Depreciation!$A$14:$L$18,11,FALSE)/2,IF($H292&lt;M$2,VLOOKUP($G292,Depreciation!$A$14:$L$18,11,FALSE),0))</f>
        <v>2.4351536427798831E-2</v>
      </c>
      <c r="N292" s="306">
        <f>+IF($H292=N$2,VLOOKUP($G292,Depreciation!$A$14:$L$18,12,FALSE)/2,IF($H292&lt;N$2,VLOOKUP($G292,Depreciation!$A$14:$L$18,12,FALSE),0))</f>
        <v>2.4351536427798831E-2</v>
      </c>
      <c r="O292" s="307">
        <f t="shared" si="33"/>
        <v>1697290.5645036858</v>
      </c>
      <c r="P292" s="732">
        <f>'Func Future Subs 2015'!P292</f>
        <v>0</v>
      </c>
      <c r="Q292" s="732">
        <f>'Func Future Subs 2015'!Q292</f>
        <v>1</v>
      </c>
      <c r="R292" s="732">
        <f>'Func Future Subs 2015'!R292</f>
        <v>0</v>
      </c>
      <c r="S292" s="735">
        <f t="shared" si="34"/>
        <v>0</v>
      </c>
      <c r="T292" s="735">
        <f t="shared" si="35"/>
        <v>1697290.5645036858</v>
      </c>
      <c r="U292" s="735">
        <f t="shared" si="36"/>
        <v>0</v>
      </c>
      <c r="V292" s="736">
        <f t="shared" si="37"/>
        <v>0</v>
      </c>
      <c r="W292" s="735">
        <f t="shared" si="38"/>
        <v>0</v>
      </c>
      <c r="X292" s="737">
        <f t="shared" si="39"/>
        <v>0</v>
      </c>
      <c r="Y292" s="738">
        <f t="shared" si="40"/>
        <v>1697290.5645036858</v>
      </c>
    </row>
    <row r="293" spans="1:25">
      <c r="A293" s="754" t="str">
        <f>'Func Future Subs 2015'!A293</f>
        <v>Lambton substation</v>
      </c>
      <c r="B293" s="754">
        <f>'Func Future Subs 2015'!B293</f>
        <v>1438</v>
      </c>
      <c r="C293" s="754">
        <f>'Func Future Subs 2015'!C293</f>
        <v>240</v>
      </c>
      <c r="D293" s="754">
        <f>'Func Future Subs 2015'!D293</f>
        <v>0</v>
      </c>
      <c r="E293" s="754">
        <f>'Func Future Subs 2015'!E293</f>
        <v>0</v>
      </c>
      <c r="F293" s="754">
        <f>'Func Future Subs 2015'!F293</f>
        <v>1059667.0000000005</v>
      </c>
      <c r="G293" s="754" t="str">
        <f>'Func Future Subs 2015'!G293</f>
        <v>EPCOR</v>
      </c>
      <c r="H293" s="754">
        <f>'Func Future Subs 2015'!H293</f>
        <v>2015</v>
      </c>
      <c r="I293" s="306">
        <f>+IF($H293=I$2,VLOOKUP($G293,Depreciation!$A$14:$L$18,7,FALSE)/2,IF($H293&lt;I$2,VLOOKUP($G293,Depreciation!$A$14:$L$18,7,FALSE),0))</f>
        <v>2.0607513622398654E-2</v>
      </c>
      <c r="J293" s="306">
        <f>+IF($H293=J$2,VLOOKUP($G293,Depreciation!$A$14:$L$18,8,FALSE)/2,IF($H293&lt;J$2,VLOOKUP($G293,Depreciation!$A$14:$L$18,8,FALSE),0))</f>
        <v>4.1600055599844914E-2</v>
      </c>
      <c r="K293" s="306">
        <f>+IF($H293=K$2,VLOOKUP($G293,Depreciation!$A$14:$L$18,9,FALSE)/2,IF($H293&lt;K$2,VLOOKUP($G293,Depreciation!$A$14:$L$18,9,FALSE),0))</f>
        <v>4.1145263498658789E-2</v>
      </c>
      <c r="L293" s="306">
        <f>+IF($H293=L$2,VLOOKUP($G293,Depreciation!$A$14:$L$18,10,FALSE)/2,IF($H293&lt;L$2,VLOOKUP($G293,Depreciation!$A$14:$L$18,10,FALSE),0))</f>
        <v>4.1145263498658789E-2</v>
      </c>
      <c r="M293" s="306">
        <f>+IF($H293=M$2,VLOOKUP($G293,Depreciation!$A$14:$L$18,11,FALSE)/2,IF($H293&lt;M$2,VLOOKUP($G293,Depreciation!$A$14:$L$18,11,FALSE),0))</f>
        <v>4.1145263498658789E-2</v>
      </c>
      <c r="N293" s="306">
        <f>+IF($H293=N$2,VLOOKUP($G293,Depreciation!$A$14:$L$18,12,FALSE)/2,IF($H293&lt;N$2,VLOOKUP($G293,Depreciation!$A$14:$L$18,12,FALSE),0))</f>
        <v>4.1145263498658789E-2</v>
      </c>
      <c r="O293" s="307">
        <f t="shared" si="33"/>
        <v>876862.32609876292</v>
      </c>
      <c r="P293" s="732">
        <f>'Func Future Subs 2015'!P293</f>
        <v>0</v>
      </c>
      <c r="Q293" s="732">
        <f>'Func Future Subs 2015'!Q293</f>
        <v>0</v>
      </c>
      <c r="R293" s="732">
        <f>'Func Future Subs 2015'!R293</f>
        <v>1</v>
      </c>
      <c r="S293" s="735">
        <f t="shared" si="34"/>
        <v>0</v>
      </c>
      <c r="T293" s="735">
        <f t="shared" si="35"/>
        <v>0</v>
      </c>
      <c r="U293" s="735">
        <f t="shared" si="36"/>
        <v>876862.32609876292</v>
      </c>
      <c r="V293" s="736">
        <f t="shared" si="37"/>
        <v>876862.32609876292</v>
      </c>
      <c r="W293" s="735">
        <f t="shared" si="38"/>
        <v>0</v>
      </c>
      <c r="X293" s="737">
        <f t="shared" si="39"/>
        <v>0</v>
      </c>
      <c r="Y293" s="738">
        <f t="shared" si="40"/>
        <v>0</v>
      </c>
    </row>
    <row r="294" spans="1:25">
      <c r="A294" s="754" t="str">
        <f>'Func Future Subs 2015'!A294</f>
        <v>Genesee 330S</v>
      </c>
      <c r="B294" s="754">
        <f>'Func Future Subs 2015'!B294</f>
        <v>1440</v>
      </c>
      <c r="C294" s="754">
        <f>'Func Future Subs 2015'!C294</f>
        <v>500</v>
      </c>
      <c r="D294" s="754">
        <f>'Func Future Subs 2015'!D294</f>
        <v>0</v>
      </c>
      <c r="E294" s="754" t="str">
        <f>'Func Future Subs 2015'!E294</f>
        <v>330S</v>
      </c>
      <c r="F294" s="754">
        <f>'Func Future Subs 2015'!F294</f>
        <v>36143375.999999993</v>
      </c>
      <c r="G294" s="754" t="str">
        <f>'Func Future Subs 2015'!G294</f>
        <v>EPCOR</v>
      </c>
      <c r="H294" s="754">
        <f>'Func Future Subs 2015'!H294</f>
        <v>2020</v>
      </c>
      <c r="I294" s="306">
        <f>+IF($H294=I$2,VLOOKUP($G294,Depreciation!$A$14:$L$18,7,FALSE)/2,IF($H294&lt;I$2,VLOOKUP($G294,Depreciation!$A$14:$L$18,7,FALSE),0))</f>
        <v>0</v>
      </c>
      <c r="J294" s="306">
        <f>+IF($H294=J$2,VLOOKUP($G294,Depreciation!$A$14:$L$18,8,FALSE)/2,IF($H294&lt;J$2,VLOOKUP($G294,Depreciation!$A$14:$L$18,8,FALSE),0))</f>
        <v>0</v>
      </c>
      <c r="K294" s="306">
        <f>+IF($H294=K$2,VLOOKUP($G294,Depreciation!$A$14:$L$18,9,FALSE)/2,IF($H294&lt;K$2,VLOOKUP($G294,Depreciation!$A$14:$L$18,9,FALSE),0))</f>
        <v>0</v>
      </c>
      <c r="L294" s="306">
        <f>+IF($H294=L$2,VLOOKUP($G294,Depreciation!$A$14:$L$18,10,FALSE)/2,IF($H294&lt;L$2,VLOOKUP($G294,Depreciation!$A$14:$L$18,10,FALSE),0))</f>
        <v>0</v>
      </c>
      <c r="M294" s="306">
        <f>+IF($H294=M$2,VLOOKUP($G294,Depreciation!$A$14:$L$18,11,FALSE)/2,IF($H294&lt;M$2,VLOOKUP($G294,Depreciation!$A$14:$L$18,11,FALSE),0))</f>
        <v>0</v>
      </c>
      <c r="N294" s="306">
        <f>+IF($H294=N$2,VLOOKUP($G294,Depreciation!$A$14:$L$18,12,FALSE)/2,IF($H294&lt;N$2,VLOOKUP($G294,Depreciation!$A$14:$L$18,12,FALSE),0))</f>
        <v>2.0572631749329395E-2</v>
      </c>
      <c r="O294" s="307">
        <f t="shared" si="33"/>
        <v>0</v>
      </c>
      <c r="P294" s="732">
        <f>'Func Future Subs 2015'!P294</f>
        <v>0.98836755406354904</v>
      </c>
      <c r="Q294" s="732">
        <f>'Func Future Subs 2015'!Q294</f>
        <v>1.1632445936450932E-2</v>
      </c>
      <c r="R294" s="732">
        <f>'Func Future Subs 2015'!R294</f>
        <v>3.1225022567582528E-17</v>
      </c>
      <c r="S294" s="735">
        <f t="shared" si="34"/>
        <v>0</v>
      </c>
      <c r="T294" s="735">
        <f t="shared" si="35"/>
        <v>0</v>
      </c>
      <c r="U294" s="735">
        <f t="shared" si="36"/>
        <v>0</v>
      </c>
      <c r="V294" s="736">
        <f t="shared" si="37"/>
        <v>0</v>
      </c>
      <c r="W294" s="735">
        <f t="shared" si="38"/>
        <v>0</v>
      </c>
      <c r="X294" s="737">
        <f t="shared" si="39"/>
        <v>0</v>
      </c>
      <c r="Y294" s="738">
        <f t="shared" si="40"/>
        <v>0</v>
      </c>
    </row>
    <row r="295" spans="1:25">
      <c r="A295" s="754" t="str">
        <f>'Func Future Subs 2015'!A295</f>
        <v>Anthony Henday 309S</v>
      </c>
      <c r="B295" s="754">
        <f>'Func Future Subs 2015'!B295</f>
        <v>1442</v>
      </c>
      <c r="C295" s="754">
        <f>'Func Future Subs 2015'!C295</f>
        <v>138</v>
      </c>
      <c r="D295" s="754">
        <f>'Func Future Subs 2015'!D295</f>
        <v>25</v>
      </c>
      <c r="E295" s="754" t="str">
        <f>'Func Future Subs 2015'!E295</f>
        <v>309S</v>
      </c>
      <c r="F295" s="754">
        <f>'Func Future Subs 2015'!F295</f>
        <v>7721658.7024087086</v>
      </c>
      <c r="G295" s="754" t="str">
        <f>'Func Future Subs 2015'!G295</f>
        <v>AltaLink</v>
      </c>
      <c r="H295" s="754">
        <f>'Func Future Subs 2015'!H295</f>
        <v>2019</v>
      </c>
      <c r="I295" s="306">
        <f>+IF($H295=I$2,VLOOKUP($G295,Depreciation!$A$14:$L$18,7,FALSE)/2,IF($H295&lt;I$2,VLOOKUP($G295,Depreciation!$A$14:$L$18,7,FALSE),0))</f>
        <v>0</v>
      </c>
      <c r="J295" s="306">
        <f>+IF($H295=J$2,VLOOKUP($G295,Depreciation!$A$14:$L$18,8,FALSE)/2,IF($H295&lt;J$2,VLOOKUP($G295,Depreciation!$A$14:$L$18,8,FALSE),0))</f>
        <v>0</v>
      </c>
      <c r="K295" s="306">
        <f>+IF($H295=K$2,VLOOKUP($G295,Depreciation!$A$14:$L$18,9,FALSE)/2,IF($H295&lt;K$2,VLOOKUP($G295,Depreciation!$A$14:$L$18,9,FALSE),0))</f>
        <v>0</v>
      </c>
      <c r="L295" s="306">
        <f>+IF($H295=L$2,VLOOKUP($G295,Depreciation!$A$14:$L$18,10,FALSE)/2,IF($H295&lt;L$2,VLOOKUP($G295,Depreciation!$A$14:$L$18,10,FALSE),0))</f>
        <v>0</v>
      </c>
      <c r="M295" s="306">
        <f>+IF($H295=M$2,VLOOKUP($G295,Depreciation!$A$14:$L$18,11,FALSE)/2,IF($H295&lt;M$2,VLOOKUP($G295,Depreciation!$A$14:$L$18,11,FALSE),0))</f>
        <v>1.671703928371859E-2</v>
      </c>
      <c r="N295" s="306">
        <f>+IF($H295=N$2,VLOOKUP($G295,Depreciation!$A$14:$L$18,12,FALSE)/2,IF($H295&lt;N$2,VLOOKUP($G295,Depreciation!$A$14:$L$18,12,FALSE),0))</f>
        <v>3.343407856743718E-2</v>
      </c>
      <c r="O295" s="307">
        <f t="shared" si="33"/>
        <v>7592575.4305450749</v>
      </c>
      <c r="P295" s="732">
        <f>'Func Future Subs 2015'!P295</f>
        <v>0</v>
      </c>
      <c r="Q295" s="732">
        <f>'Func Future Subs 2015'!Q295</f>
        <v>0</v>
      </c>
      <c r="R295" s="732">
        <f>'Func Future Subs 2015'!R295</f>
        <v>1</v>
      </c>
      <c r="S295" s="735">
        <f t="shared" si="34"/>
        <v>0</v>
      </c>
      <c r="T295" s="735">
        <f t="shared" si="35"/>
        <v>0</v>
      </c>
      <c r="U295" s="735">
        <f t="shared" si="36"/>
        <v>7592575.4305450749</v>
      </c>
      <c r="V295" s="736">
        <f t="shared" si="37"/>
        <v>0</v>
      </c>
      <c r="W295" s="735">
        <f t="shared" si="38"/>
        <v>0</v>
      </c>
      <c r="X295" s="737">
        <f t="shared" si="39"/>
        <v>0</v>
      </c>
      <c r="Y295" s="738">
        <f t="shared" si="40"/>
        <v>7592575.4305450749</v>
      </c>
    </row>
    <row r="296" spans="1:25">
      <c r="A296" s="754" t="str">
        <f>'Func Future Subs 2015'!A296</f>
        <v>East Edmonton 38S</v>
      </c>
      <c r="B296" s="754">
        <f>'Func Future Subs 2015'!B296</f>
        <v>1442</v>
      </c>
      <c r="C296" s="754">
        <f>'Func Future Subs 2015'!C296</f>
        <v>240</v>
      </c>
      <c r="D296" s="754">
        <f>'Func Future Subs 2015'!D296</f>
        <v>25</v>
      </c>
      <c r="E296" s="754" t="str">
        <f>'Func Future Subs 2015'!E296</f>
        <v>38S</v>
      </c>
      <c r="F296" s="754">
        <f>'Func Future Subs 2015'!F296</f>
        <v>9142.3853923854003</v>
      </c>
      <c r="G296" s="754" t="str">
        <f>'Func Future Subs 2015'!G296</f>
        <v>AltaLink</v>
      </c>
      <c r="H296" s="754">
        <f>'Func Future Subs 2015'!H296</f>
        <v>2019</v>
      </c>
      <c r="I296" s="306">
        <f>+IF($H296=I$2,VLOOKUP($G296,Depreciation!$A$14:$L$18,7,FALSE)/2,IF($H296&lt;I$2,VLOOKUP($G296,Depreciation!$A$14:$L$18,7,FALSE),0))</f>
        <v>0</v>
      </c>
      <c r="J296" s="306">
        <f>+IF($H296=J$2,VLOOKUP($G296,Depreciation!$A$14:$L$18,8,FALSE)/2,IF($H296&lt;J$2,VLOOKUP($G296,Depreciation!$A$14:$L$18,8,FALSE),0))</f>
        <v>0</v>
      </c>
      <c r="K296" s="306">
        <f>+IF($H296=K$2,VLOOKUP($G296,Depreciation!$A$14:$L$18,9,FALSE)/2,IF($H296&lt;K$2,VLOOKUP($G296,Depreciation!$A$14:$L$18,9,FALSE),0))</f>
        <v>0</v>
      </c>
      <c r="L296" s="306">
        <f>+IF($H296=L$2,VLOOKUP($G296,Depreciation!$A$14:$L$18,10,FALSE)/2,IF($H296&lt;L$2,VLOOKUP($G296,Depreciation!$A$14:$L$18,10,FALSE),0))</f>
        <v>0</v>
      </c>
      <c r="M296" s="306">
        <f>+IF($H296=M$2,VLOOKUP($G296,Depreciation!$A$14:$L$18,11,FALSE)/2,IF($H296&lt;M$2,VLOOKUP($G296,Depreciation!$A$14:$L$18,11,FALSE),0))</f>
        <v>1.671703928371859E-2</v>
      </c>
      <c r="N296" s="306">
        <f>+IF($H296=N$2,VLOOKUP($G296,Depreciation!$A$14:$L$18,12,FALSE)/2,IF($H296&lt;N$2,VLOOKUP($G296,Depreciation!$A$14:$L$18,12,FALSE),0))</f>
        <v>3.343407856743718E-2</v>
      </c>
      <c r="O296" s="307">
        <f t="shared" si="33"/>
        <v>8989.5517766339981</v>
      </c>
      <c r="P296" s="732">
        <f>'Func Future Subs 2015'!P296</f>
        <v>0</v>
      </c>
      <c r="Q296" s="732">
        <f>'Func Future Subs 2015'!Q296</f>
        <v>1</v>
      </c>
      <c r="R296" s="732">
        <f>'Func Future Subs 2015'!R296</f>
        <v>0</v>
      </c>
      <c r="S296" s="735">
        <f t="shared" si="34"/>
        <v>0</v>
      </c>
      <c r="T296" s="735">
        <f t="shared" si="35"/>
        <v>8989.5517766339981</v>
      </c>
      <c r="U296" s="735">
        <f t="shared" si="36"/>
        <v>0</v>
      </c>
      <c r="V296" s="736">
        <f t="shared" si="37"/>
        <v>0</v>
      </c>
      <c r="W296" s="735">
        <f t="shared" si="38"/>
        <v>0</v>
      </c>
      <c r="X296" s="737">
        <f t="shared" si="39"/>
        <v>0</v>
      </c>
      <c r="Y296" s="738">
        <f t="shared" si="40"/>
        <v>8989.5517766339981</v>
      </c>
    </row>
    <row r="297" spans="1:25">
      <c r="A297" s="754" t="str">
        <f>'Func Future Subs 2015'!A297</f>
        <v>Yassa 286S</v>
      </c>
      <c r="B297" s="754">
        <f>'Func Future Subs 2015'!B297</f>
        <v>1442</v>
      </c>
      <c r="C297" s="754">
        <f>'Func Future Subs 2015'!C297</f>
        <v>138</v>
      </c>
      <c r="D297" s="754">
        <f>'Func Future Subs 2015'!D297</f>
        <v>25</v>
      </c>
      <c r="E297" s="754" t="str">
        <f>'Func Future Subs 2015'!E297</f>
        <v>286S</v>
      </c>
      <c r="F297" s="754">
        <f>'Func Future Subs 2015'!F297</f>
        <v>20113.247863247878</v>
      </c>
      <c r="G297" s="754" t="str">
        <f>'Func Future Subs 2015'!G297</f>
        <v>AltaLink</v>
      </c>
      <c r="H297" s="754">
        <f>'Func Future Subs 2015'!H297</f>
        <v>2019</v>
      </c>
      <c r="I297" s="306">
        <f>+IF($H297=I$2,VLOOKUP($G297,Depreciation!$A$14:$L$18,7,FALSE)/2,IF($H297&lt;I$2,VLOOKUP($G297,Depreciation!$A$14:$L$18,7,FALSE),0))</f>
        <v>0</v>
      </c>
      <c r="J297" s="306">
        <f>+IF($H297=J$2,VLOOKUP($G297,Depreciation!$A$14:$L$18,8,FALSE)/2,IF($H297&lt;J$2,VLOOKUP($G297,Depreciation!$A$14:$L$18,8,FALSE),0))</f>
        <v>0</v>
      </c>
      <c r="K297" s="306">
        <f>+IF($H297=K$2,VLOOKUP($G297,Depreciation!$A$14:$L$18,9,FALSE)/2,IF($H297&lt;K$2,VLOOKUP($G297,Depreciation!$A$14:$L$18,9,FALSE),0))</f>
        <v>0</v>
      </c>
      <c r="L297" s="306">
        <f>+IF($H297=L$2,VLOOKUP($G297,Depreciation!$A$14:$L$18,10,FALSE)/2,IF($H297&lt;L$2,VLOOKUP($G297,Depreciation!$A$14:$L$18,10,FALSE),0))</f>
        <v>0</v>
      </c>
      <c r="M297" s="306">
        <f>+IF($H297=M$2,VLOOKUP($G297,Depreciation!$A$14:$L$18,11,FALSE)/2,IF($H297&lt;M$2,VLOOKUP($G297,Depreciation!$A$14:$L$18,11,FALSE),0))</f>
        <v>1.671703928371859E-2</v>
      </c>
      <c r="N297" s="306">
        <f>+IF($H297=N$2,VLOOKUP($G297,Depreciation!$A$14:$L$18,12,FALSE)/2,IF($H297&lt;N$2,VLOOKUP($G297,Depreciation!$A$14:$L$18,12,FALSE),0))</f>
        <v>3.343407856743718E-2</v>
      </c>
      <c r="O297" s="307">
        <f t="shared" si="33"/>
        <v>19777.013908594796</v>
      </c>
      <c r="P297" s="732">
        <f>'Func Future Subs 2015'!P297</f>
        <v>0</v>
      </c>
      <c r="Q297" s="732">
        <f>'Func Future Subs 2015'!Q297</f>
        <v>1</v>
      </c>
      <c r="R297" s="732">
        <f>'Func Future Subs 2015'!R297</f>
        <v>0</v>
      </c>
      <c r="S297" s="735">
        <f t="shared" si="34"/>
        <v>0</v>
      </c>
      <c r="T297" s="735">
        <f t="shared" si="35"/>
        <v>19777.013908594796</v>
      </c>
      <c r="U297" s="735">
        <f t="shared" si="36"/>
        <v>0</v>
      </c>
      <c r="V297" s="736">
        <f t="shared" si="37"/>
        <v>0</v>
      </c>
      <c r="W297" s="735">
        <f t="shared" si="38"/>
        <v>0</v>
      </c>
      <c r="X297" s="737">
        <f t="shared" si="39"/>
        <v>0</v>
      </c>
      <c r="Y297" s="738">
        <f t="shared" si="40"/>
        <v>19777.013908594796</v>
      </c>
    </row>
    <row r="298" spans="1:25">
      <c r="A298" s="754" t="str">
        <f>'Func Future Subs 2015'!A298</f>
        <v>Cochrane 291S upgrade</v>
      </c>
      <c r="B298" s="754">
        <f>'Func Future Subs 2015'!B298</f>
        <v>1450</v>
      </c>
      <c r="C298" s="754">
        <f>'Func Future Subs 2015'!C298</f>
        <v>138</v>
      </c>
      <c r="D298" s="754">
        <f>'Func Future Subs 2015'!D298</f>
        <v>25</v>
      </c>
      <c r="E298" s="754" t="str">
        <f>'Func Future Subs 2015'!E298</f>
        <v>291S</v>
      </c>
      <c r="F298" s="754">
        <f>'Func Future Subs 2015'!F298</f>
        <v>6190999.9999999963</v>
      </c>
      <c r="G298" s="754" t="str">
        <f>'Func Future Subs 2015'!G298</f>
        <v>AltaLink</v>
      </c>
      <c r="H298" s="754">
        <f>'Func Future Subs 2015'!H298</f>
        <v>2015</v>
      </c>
      <c r="I298" s="306">
        <f>+IF($H298=I$2,VLOOKUP($G298,Depreciation!$A$14:$L$18,7,FALSE)/2,IF($H298&lt;I$2,VLOOKUP($G298,Depreciation!$A$14:$L$18,7,FALSE),0))</f>
        <v>1.7228380322441735E-2</v>
      </c>
      <c r="J298" s="306">
        <f>+IF($H298=J$2,VLOOKUP($G298,Depreciation!$A$14:$L$18,8,FALSE)/2,IF($H298&lt;J$2,VLOOKUP($G298,Depreciation!$A$14:$L$18,8,FALSE),0))</f>
        <v>3.343407856743718E-2</v>
      </c>
      <c r="K298" s="306">
        <f>+IF($H298=K$2,VLOOKUP($G298,Depreciation!$A$14:$L$18,9,FALSE)/2,IF($H298&lt;K$2,VLOOKUP($G298,Depreciation!$A$14:$L$18,9,FALSE),0))</f>
        <v>3.343407856743718E-2</v>
      </c>
      <c r="L298" s="306">
        <f>+IF($H298=L$2,VLOOKUP($G298,Depreciation!$A$14:$L$18,10,FALSE)/2,IF($H298&lt;L$2,VLOOKUP($G298,Depreciation!$A$14:$L$18,10,FALSE),0))</f>
        <v>3.343407856743718E-2</v>
      </c>
      <c r="M298" s="306">
        <f>+IF($H298=M$2,VLOOKUP($G298,Depreciation!$A$14:$L$18,11,FALSE)/2,IF($H298&lt;M$2,VLOOKUP($G298,Depreciation!$A$14:$L$18,11,FALSE),0))</f>
        <v>3.343407856743718E-2</v>
      </c>
      <c r="N298" s="306">
        <f>+IF($H298=N$2,VLOOKUP($G298,Depreciation!$A$14:$L$18,12,FALSE)/2,IF($H298&lt;N$2,VLOOKUP($G298,Depreciation!$A$14:$L$18,12,FALSE),0))</f>
        <v>3.343407856743718E-2</v>
      </c>
      <c r="O298" s="307">
        <f t="shared" si="33"/>
        <v>5310547.8517520474</v>
      </c>
      <c r="P298" s="732">
        <f>'Func Future Subs 2015'!P298</f>
        <v>0</v>
      </c>
      <c r="Q298" s="732">
        <f>'Func Future Subs 2015'!Q298</f>
        <v>1</v>
      </c>
      <c r="R298" s="732">
        <f>'Func Future Subs 2015'!R298</f>
        <v>0</v>
      </c>
      <c r="S298" s="735">
        <f t="shared" si="34"/>
        <v>0</v>
      </c>
      <c r="T298" s="735">
        <f t="shared" si="35"/>
        <v>5310547.8517520474</v>
      </c>
      <c r="U298" s="735">
        <f t="shared" si="36"/>
        <v>0</v>
      </c>
      <c r="V298" s="736">
        <f t="shared" si="37"/>
        <v>0</v>
      </c>
      <c r="W298" s="735">
        <f t="shared" si="38"/>
        <v>0</v>
      </c>
      <c r="X298" s="737">
        <f t="shared" si="39"/>
        <v>0</v>
      </c>
      <c r="Y298" s="738">
        <f t="shared" si="40"/>
        <v>5310547.8517520474</v>
      </c>
    </row>
    <row r="299" spans="1:25">
      <c r="A299" s="754" t="str">
        <f>'Func Future Subs 2015'!A299</f>
        <v>Cold Creek 602S</v>
      </c>
      <c r="B299" s="754">
        <f>'Func Future Subs 2015'!B299</f>
        <v>1460</v>
      </c>
      <c r="C299" s="754">
        <f>'Func Future Subs 2015'!C299</f>
        <v>138</v>
      </c>
      <c r="D299" s="754">
        <f>'Func Future Subs 2015'!D299</f>
        <v>25</v>
      </c>
      <c r="E299" s="754" t="str">
        <f>'Func Future Subs 2015'!E299</f>
        <v>602S</v>
      </c>
      <c r="F299" s="754">
        <f>'Func Future Subs 2015'!F299</f>
        <v>68876.329787234063</v>
      </c>
      <c r="G299" s="754" t="str">
        <f>'Func Future Subs 2015'!G299</f>
        <v>AltaLink</v>
      </c>
      <c r="H299" s="754">
        <f>'Func Future Subs 2015'!H299</f>
        <v>2019</v>
      </c>
      <c r="I299" s="306">
        <f>+IF($H299=I$2,VLOOKUP($G299,Depreciation!$A$14:$L$18,7,FALSE)/2,IF($H299&lt;I$2,VLOOKUP($G299,Depreciation!$A$14:$L$18,7,FALSE),0))</f>
        <v>0</v>
      </c>
      <c r="J299" s="306">
        <f>+IF($H299=J$2,VLOOKUP($G299,Depreciation!$A$14:$L$18,8,FALSE)/2,IF($H299&lt;J$2,VLOOKUP($G299,Depreciation!$A$14:$L$18,8,FALSE),0))</f>
        <v>0</v>
      </c>
      <c r="K299" s="306">
        <f>+IF($H299=K$2,VLOOKUP($G299,Depreciation!$A$14:$L$18,9,FALSE)/2,IF($H299&lt;K$2,VLOOKUP($G299,Depreciation!$A$14:$L$18,9,FALSE),0))</f>
        <v>0</v>
      </c>
      <c r="L299" s="306">
        <f>+IF($H299=L$2,VLOOKUP($G299,Depreciation!$A$14:$L$18,10,FALSE)/2,IF($H299&lt;L$2,VLOOKUP($G299,Depreciation!$A$14:$L$18,10,FALSE),0))</f>
        <v>0</v>
      </c>
      <c r="M299" s="306">
        <f>+IF($H299=M$2,VLOOKUP($G299,Depreciation!$A$14:$L$18,11,FALSE)/2,IF($H299&lt;M$2,VLOOKUP($G299,Depreciation!$A$14:$L$18,11,FALSE),0))</f>
        <v>1.671703928371859E-2</v>
      </c>
      <c r="N299" s="306">
        <f>+IF($H299=N$2,VLOOKUP($G299,Depreciation!$A$14:$L$18,12,FALSE)/2,IF($H299&lt;N$2,VLOOKUP($G299,Depreciation!$A$14:$L$18,12,FALSE),0))</f>
        <v>3.343407856743718E-2</v>
      </c>
      <c r="O299" s="307">
        <f t="shared" si="33"/>
        <v>67724.921476462507</v>
      </c>
      <c r="P299" s="732">
        <f>'Func Future Subs 2015'!P299</f>
        <v>0</v>
      </c>
      <c r="Q299" s="732">
        <f>'Func Future Subs 2015'!Q299</f>
        <v>1</v>
      </c>
      <c r="R299" s="732">
        <f>'Func Future Subs 2015'!R299</f>
        <v>0</v>
      </c>
      <c r="S299" s="735">
        <f t="shared" si="34"/>
        <v>0</v>
      </c>
      <c r="T299" s="735">
        <f t="shared" si="35"/>
        <v>67724.921476462507</v>
      </c>
      <c r="U299" s="735">
        <f t="shared" si="36"/>
        <v>0</v>
      </c>
      <c r="V299" s="736">
        <f t="shared" si="37"/>
        <v>0</v>
      </c>
      <c r="W299" s="735">
        <f t="shared" si="38"/>
        <v>0</v>
      </c>
      <c r="X299" s="737">
        <f t="shared" si="39"/>
        <v>0</v>
      </c>
      <c r="Y299" s="738">
        <f t="shared" si="40"/>
        <v>67724.921476462507</v>
      </c>
    </row>
    <row r="300" spans="1:25">
      <c r="A300" s="754" t="str">
        <f>'Func Future Subs 2015'!A300</f>
        <v>Hornbeck 345S</v>
      </c>
      <c r="B300" s="754">
        <f>'Func Future Subs 2015'!B300</f>
        <v>1460</v>
      </c>
      <c r="C300" s="754">
        <f>'Func Future Subs 2015'!C300</f>
        <v>138</v>
      </c>
      <c r="D300" s="754">
        <f>'Func Future Subs 2015'!D300</f>
        <v>25</v>
      </c>
      <c r="E300" s="754" t="str">
        <f>'Func Future Subs 2015'!E300</f>
        <v>345S</v>
      </c>
      <c r="F300" s="754">
        <f>'Func Future Subs 2015'!F300</f>
        <v>8201448.9694148954</v>
      </c>
      <c r="G300" s="754" t="str">
        <f>'Func Future Subs 2015'!G300</f>
        <v>AltaLink</v>
      </c>
      <c r="H300" s="754">
        <f>'Func Future Subs 2015'!H300</f>
        <v>2019</v>
      </c>
      <c r="I300" s="306">
        <f>+IF($H300=I$2,VLOOKUP($G300,Depreciation!$A$14:$L$18,7,FALSE)/2,IF($H300&lt;I$2,VLOOKUP($G300,Depreciation!$A$14:$L$18,7,FALSE),0))</f>
        <v>0</v>
      </c>
      <c r="J300" s="306">
        <f>+IF($H300=J$2,VLOOKUP($G300,Depreciation!$A$14:$L$18,8,FALSE)/2,IF($H300&lt;J$2,VLOOKUP($G300,Depreciation!$A$14:$L$18,8,FALSE),0))</f>
        <v>0</v>
      </c>
      <c r="K300" s="306">
        <f>+IF($H300=K$2,VLOOKUP($G300,Depreciation!$A$14:$L$18,9,FALSE)/2,IF($H300&lt;K$2,VLOOKUP($G300,Depreciation!$A$14:$L$18,9,FALSE),0))</f>
        <v>0</v>
      </c>
      <c r="L300" s="306">
        <f>+IF($H300=L$2,VLOOKUP($G300,Depreciation!$A$14:$L$18,10,FALSE)/2,IF($H300&lt;L$2,VLOOKUP($G300,Depreciation!$A$14:$L$18,10,FALSE),0))</f>
        <v>0</v>
      </c>
      <c r="M300" s="306">
        <f>+IF($H300=M$2,VLOOKUP($G300,Depreciation!$A$14:$L$18,11,FALSE)/2,IF($H300&lt;M$2,VLOOKUP($G300,Depreciation!$A$14:$L$18,11,FALSE),0))</f>
        <v>1.671703928371859E-2</v>
      </c>
      <c r="N300" s="306">
        <f>+IF($H300=N$2,VLOOKUP($G300,Depreciation!$A$14:$L$18,12,FALSE)/2,IF($H300&lt;N$2,VLOOKUP($G300,Depreciation!$A$14:$L$18,12,FALSE),0))</f>
        <v>3.343407856743718E-2</v>
      </c>
      <c r="O300" s="307">
        <f t="shared" si="33"/>
        <v>8064345.0248097731</v>
      </c>
      <c r="P300" s="732">
        <f>'Func Future Subs 2015'!P300</f>
        <v>0</v>
      </c>
      <c r="Q300" s="732">
        <f>'Func Future Subs 2015'!Q300</f>
        <v>0</v>
      </c>
      <c r="R300" s="732">
        <f>'Func Future Subs 2015'!R300</f>
        <v>1</v>
      </c>
      <c r="S300" s="735">
        <f t="shared" si="34"/>
        <v>0</v>
      </c>
      <c r="T300" s="735">
        <f t="shared" si="35"/>
        <v>0</v>
      </c>
      <c r="U300" s="735">
        <f t="shared" si="36"/>
        <v>8064345.0248097731</v>
      </c>
      <c r="V300" s="736">
        <f t="shared" si="37"/>
        <v>0</v>
      </c>
      <c r="W300" s="735">
        <f t="shared" si="38"/>
        <v>0</v>
      </c>
      <c r="X300" s="737">
        <f t="shared" si="39"/>
        <v>0</v>
      </c>
      <c r="Y300" s="738">
        <f t="shared" si="40"/>
        <v>8064345.0248097731</v>
      </c>
    </row>
    <row r="301" spans="1:25">
      <c r="A301" s="754" t="str">
        <f>'Func Future Subs 2015'!A301</f>
        <v>Norcen 812S substation upgrade</v>
      </c>
      <c r="B301" s="754">
        <f>'Func Future Subs 2015'!B301</f>
        <v>1466</v>
      </c>
      <c r="C301" s="754">
        <f>'Func Future Subs 2015'!C301</f>
        <v>138</v>
      </c>
      <c r="D301" s="754">
        <f>'Func Future Subs 2015'!D301</f>
        <v>25</v>
      </c>
      <c r="E301" s="754" t="str">
        <f>'Func Future Subs 2015'!E301</f>
        <v>812s</v>
      </c>
      <c r="F301" s="754">
        <f>'Func Future Subs 2015'!F301</f>
        <v>6820539.9999999963</v>
      </c>
      <c r="G301" s="754" t="str">
        <f>'Func Future Subs 2015'!G301</f>
        <v>ATCO</v>
      </c>
      <c r="H301" s="754">
        <f>'Func Future Subs 2015'!H301</f>
        <v>2016</v>
      </c>
      <c r="I301" s="306">
        <f>+IF($H301=I$2,VLOOKUP($G301,Depreciation!$A$14:$L$18,7,FALSE)/2,IF($H301&lt;I$2,VLOOKUP($G301,Depreciation!$A$14:$L$18,7,FALSE),0))</f>
        <v>0</v>
      </c>
      <c r="J301" s="306">
        <f>+IF($H301=J$2,VLOOKUP($G301,Depreciation!$A$14:$L$18,8,FALSE)/2,IF($H301&lt;J$2,VLOOKUP($G301,Depreciation!$A$14:$L$18,8,FALSE),0))</f>
        <v>1.231622525054236E-2</v>
      </c>
      <c r="K301" s="306">
        <f>+IF($H301=K$2,VLOOKUP($G301,Depreciation!$A$14:$L$18,9,FALSE)/2,IF($H301&lt;K$2,VLOOKUP($G301,Depreciation!$A$14:$L$18,9,FALSE),0))</f>
        <v>2.4351536427798831E-2</v>
      </c>
      <c r="L301" s="306">
        <f>+IF($H301=L$2,VLOOKUP($G301,Depreciation!$A$14:$L$18,10,FALSE)/2,IF($H301&lt;L$2,VLOOKUP($G301,Depreciation!$A$14:$L$18,10,FALSE),0))</f>
        <v>2.4351536427798831E-2</v>
      </c>
      <c r="M301" s="306">
        <f>+IF($H301=M$2,VLOOKUP($G301,Depreciation!$A$14:$L$18,11,FALSE)/2,IF($H301&lt;M$2,VLOOKUP($G301,Depreciation!$A$14:$L$18,11,FALSE),0))</f>
        <v>2.4351536427798831E-2</v>
      </c>
      <c r="N301" s="306">
        <f>+IF($H301=N$2,VLOOKUP($G301,Depreciation!$A$14:$L$18,12,FALSE)/2,IF($H301&lt;N$2,VLOOKUP($G301,Depreciation!$A$14:$L$18,12,FALSE),0))</f>
        <v>2.4351536427798831E-2</v>
      </c>
      <c r="O301" s="307">
        <f t="shared" si="33"/>
        <v>6256288.6034840047</v>
      </c>
      <c r="P301" s="732">
        <f>'Func Future Subs 2015'!P301</f>
        <v>0</v>
      </c>
      <c r="Q301" s="732">
        <f>'Func Future Subs 2015'!Q301</f>
        <v>1</v>
      </c>
      <c r="R301" s="732">
        <f>'Func Future Subs 2015'!R301</f>
        <v>0</v>
      </c>
      <c r="S301" s="735">
        <f t="shared" si="34"/>
        <v>0</v>
      </c>
      <c r="T301" s="735">
        <f t="shared" si="35"/>
        <v>6256288.6034840047</v>
      </c>
      <c r="U301" s="735">
        <f t="shared" si="36"/>
        <v>0</v>
      </c>
      <c r="V301" s="736">
        <f t="shared" si="37"/>
        <v>0</v>
      </c>
      <c r="W301" s="735">
        <f t="shared" si="38"/>
        <v>0</v>
      </c>
      <c r="X301" s="737">
        <f t="shared" si="39"/>
        <v>0</v>
      </c>
      <c r="Y301" s="738">
        <f t="shared" si="40"/>
        <v>6256288.6034840047</v>
      </c>
    </row>
    <row r="302" spans="1:25">
      <c r="A302" s="754" t="str">
        <f>'Func Future Subs 2015'!A302</f>
        <v>Enmax Sub11 modify</v>
      </c>
      <c r="B302" s="754">
        <f>'Func Future Subs 2015'!B302</f>
        <v>1480</v>
      </c>
      <c r="C302" s="754">
        <f>'Func Future Subs 2015'!C302</f>
        <v>25</v>
      </c>
      <c r="D302" s="754">
        <f>'Func Future Subs 2015'!D302</f>
        <v>25</v>
      </c>
      <c r="E302" s="754" t="str">
        <f>'Func Future Subs 2015'!E302</f>
        <v>SS-11</v>
      </c>
      <c r="F302" s="754">
        <f>'Func Future Subs 2015'!F302</f>
        <v>1181844.0000000002</v>
      </c>
      <c r="G302" s="754" t="str">
        <f>'Func Future Subs 2015'!G302</f>
        <v>ENMAX</v>
      </c>
      <c r="H302" s="754">
        <f>'Func Future Subs 2015'!H302</f>
        <v>2016</v>
      </c>
      <c r="I302" s="306">
        <f>+IF($H302=I$2,VLOOKUP($G302,Depreciation!$A$14:$L$18,7,FALSE)/2,IF($H302&lt;I$2,VLOOKUP($G302,Depreciation!$A$14:$L$18,7,FALSE),0))</f>
        <v>0</v>
      </c>
      <c r="J302" s="306">
        <f>+IF($H302=J$2,VLOOKUP($G302,Depreciation!$A$14:$L$18,8,FALSE)/2,IF($H302&lt;J$2,VLOOKUP($G302,Depreciation!$A$14:$L$18,8,FALSE),0))</f>
        <v>1.3928409269726289E-2</v>
      </c>
      <c r="K302" s="306">
        <f>+IF($H302=K$2,VLOOKUP($G302,Depreciation!$A$14:$L$18,9,FALSE)/2,IF($H302&lt;K$2,VLOOKUP($G302,Depreciation!$A$14:$L$18,9,FALSE),0))</f>
        <v>2.7856818539452578E-2</v>
      </c>
      <c r="L302" s="306">
        <f>+IF($H302=L$2,VLOOKUP($G302,Depreciation!$A$14:$L$18,10,FALSE)/2,IF($H302&lt;L$2,VLOOKUP($G302,Depreciation!$A$14:$L$18,10,FALSE),0))</f>
        <v>2.7856818539452578E-2</v>
      </c>
      <c r="M302" s="306">
        <f>+IF($H302=M$2,VLOOKUP($G302,Depreciation!$A$14:$L$18,11,FALSE)/2,IF($H302&lt;M$2,VLOOKUP($G302,Depreciation!$A$14:$L$18,11,FALSE),0))</f>
        <v>2.7856818539452578E-2</v>
      </c>
      <c r="N302" s="306">
        <f>+IF($H302=N$2,VLOOKUP($G302,Depreciation!$A$14:$L$18,12,FALSE)/2,IF($H302&lt;N$2,VLOOKUP($G302,Depreciation!$A$14:$L$18,12,FALSE),0))</f>
        <v>2.7856818539452578E-2</v>
      </c>
      <c r="O302" s="307">
        <f t="shared" si="33"/>
        <v>1070679.0493792482</v>
      </c>
      <c r="P302" s="732">
        <f>'Func Future Subs 2015'!P302</f>
        <v>0</v>
      </c>
      <c r="Q302" s="732">
        <f>'Func Future Subs 2015'!Q302</f>
        <v>1</v>
      </c>
      <c r="R302" s="732">
        <f>'Func Future Subs 2015'!R302</f>
        <v>0</v>
      </c>
      <c r="S302" s="735">
        <f t="shared" si="34"/>
        <v>0</v>
      </c>
      <c r="T302" s="735">
        <f t="shared" si="35"/>
        <v>1070679.0493792482</v>
      </c>
      <c r="U302" s="735">
        <f t="shared" si="36"/>
        <v>0</v>
      </c>
      <c r="V302" s="736">
        <f t="shared" si="37"/>
        <v>0</v>
      </c>
      <c r="W302" s="735">
        <f t="shared" si="38"/>
        <v>0</v>
      </c>
      <c r="X302" s="737">
        <f t="shared" si="39"/>
        <v>0</v>
      </c>
      <c r="Y302" s="738">
        <f t="shared" si="40"/>
        <v>1070679.0493792482</v>
      </c>
    </row>
    <row r="303" spans="1:25">
      <c r="A303" s="754" t="str">
        <f>'Func Future Subs 2015'!A303</f>
        <v>Amelia 108S substation</v>
      </c>
      <c r="B303" s="754">
        <f>'Func Future Subs 2015'!B303</f>
        <v>1481</v>
      </c>
      <c r="C303" s="754">
        <f>'Func Future Subs 2015'!C303</f>
        <v>240</v>
      </c>
      <c r="D303" s="754">
        <f>'Func Future Subs 2015'!D303</f>
        <v>25</v>
      </c>
      <c r="E303" s="754" t="str">
        <f>'Func Future Subs 2015'!E303</f>
        <v>108S</v>
      </c>
      <c r="F303" s="754">
        <f>'Func Future Subs 2015'!F303</f>
        <v>1115000</v>
      </c>
      <c r="G303" s="754" t="str">
        <f>'Func Future Subs 2015'!G303</f>
        <v>AltaLink</v>
      </c>
      <c r="H303" s="754">
        <f>'Func Future Subs 2015'!H303</f>
        <v>2015</v>
      </c>
      <c r="I303" s="306">
        <f>+IF($H303=I$2,VLOOKUP($G303,Depreciation!$A$14:$L$18,7,FALSE)/2,IF($H303&lt;I$2,VLOOKUP($G303,Depreciation!$A$14:$L$18,7,FALSE),0))</f>
        <v>1.7228380322441735E-2</v>
      </c>
      <c r="J303" s="306">
        <f>+IF($H303=J$2,VLOOKUP($G303,Depreciation!$A$14:$L$18,8,FALSE)/2,IF($H303&lt;J$2,VLOOKUP($G303,Depreciation!$A$14:$L$18,8,FALSE),0))</f>
        <v>3.343407856743718E-2</v>
      </c>
      <c r="K303" s="306">
        <f>+IF($H303=K$2,VLOOKUP($G303,Depreciation!$A$14:$L$18,9,FALSE)/2,IF($H303&lt;K$2,VLOOKUP($G303,Depreciation!$A$14:$L$18,9,FALSE),0))</f>
        <v>3.343407856743718E-2</v>
      </c>
      <c r="L303" s="306">
        <f>+IF($H303=L$2,VLOOKUP($G303,Depreciation!$A$14:$L$18,10,FALSE)/2,IF($H303&lt;L$2,VLOOKUP($G303,Depreciation!$A$14:$L$18,10,FALSE),0))</f>
        <v>3.343407856743718E-2</v>
      </c>
      <c r="M303" s="306">
        <f>+IF($H303=M$2,VLOOKUP($G303,Depreciation!$A$14:$L$18,11,FALSE)/2,IF($H303&lt;M$2,VLOOKUP($G303,Depreciation!$A$14:$L$18,11,FALSE),0))</f>
        <v>3.343407856743718E-2</v>
      </c>
      <c r="N303" s="306">
        <f>+IF($H303=N$2,VLOOKUP($G303,Depreciation!$A$14:$L$18,12,FALSE)/2,IF($H303&lt;N$2,VLOOKUP($G303,Depreciation!$A$14:$L$18,12,FALSE),0))</f>
        <v>3.343407856743718E-2</v>
      </c>
      <c r="O303" s="307">
        <f t="shared" si="33"/>
        <v>956430.44010717771</v>
      </c>
      <c r="P303" s="732">
        <f>'Func Future Subs 2015'!P303</f>
        <v>0</v>
      </c>
      <c r="Q303" s="732">
        <f>'Func Future Subs 2015'!Q303</f>
        <v>1</v>
      </c>
      <c r="R303" s="732">
        <f>'Func Future Subs 2015'!R303</f>
        <v>0</v>
      </c>
      <c r="S303" s="735">
        <f t="shared" si="34"/>
        <v>0</v>
      </c>
      <c r="T303" s="735">
        <f t="shared" si="35"/>
        <v>956430.44010717771</v>
      </c>
      <c r="U303" s="735">
        <f t="shared" si="36"/>
        <v>0</v>
      </c>
      <c r="V303" s="736">
        <f t="shared" si="37"/>
        <v>0</v>
      </c>
      <c r="W303" s="735">
        <f t="shared" si="38"/>
        <v>0</v>
      </c>
      <c r="X303" s="737">
        <f t="shared" si="39"/>
        <v>0</v>
      </c>
      <c r="Y303" s="738">
        <f t="shared" si="40"/>
        <v>956430.44010717771</v>
      </c>
    </row>
    <row r="304" spans="1:25">
      <c r="A304" s="754" t="str">
        <f>'Func Future Subs 2015'!A304</f>
        <v>Birchwood creek substation</v>
      </c>
      <c r="B304" s="754">
        <f>'Func Future Subs 2015'!B304</f>
        <v>1482</v>
      </c>
      <c r="C304" s="754">
        <f>'Func Future Subs 2015'!C304</f>
        <v>240</v>
      </c>
      <c r="D304" s="754">
        <f>'Func Future Subs 2015'!D304</f>
        <v>0</v>
      </c>
      <c r="E304" s="754">
        <f>'Func Future Subs 2015'!E304</f>
        <v>0</v>
      </c>
      <c r="F304" s="754">
        <f>'Func Future Subs 2015'!F304</f>
        <v>2387527.4359669439</v>
      </c>
      <c r="G304" s="754" t="str">
        <f>'Func Future Subs 2015'!G304</f>
        <v>ATCO</v>
      </c>
      <c r="H304" s="754">
        <f>'Func Future Subs 2015'!H304</f>
        <v>2016</v>
      </c>
      <c r="I304" s="306">
        <f>+IF($H304=I$2,VLOOKUP($G304,Depreciation!$A$14:$L$18,7,FALSE)/2,IF($H304&lt;I$2,VLOOKUP($G304,Depreciation!$A$14:$L$18,7,FALSE),0))</f>
        <v>0</v>
      </c>
      <c r="J304" s="306">
        <f>+IF($H304=J$2,VLOOKUP($G304,Depreciation!$A$14:$L$18,8,FALSE)/2,IF($H304&lt;J$2,VLOOKUP($G304,Depreciation!$A$14:$L$18,8,FALSE),0))</f>
        <v>1.231622525054236E-2</v>
      </c>
      <c r="K304" s="306">
        <f>+IF($H304=K$2,VLOOKUP($G304,Depreciation!$A$14:$L$18,9,FALSE)/2,IF($H304&lt;K$2,VLOOKUP($G304,Depreciation!$A$14:$L$18,9,FALSE),0))</f>
        <v>2.4351536427798831E-2</v>
      </c>
      <c r="L304" s="306">
        <f>+IF($H304=L$2,VLOOKUP($G304,Depreciation!$A$14:$L$18,10,FALSE)/2,IF($H304&lt;L$2,VLOOKUP($G304,Depreciation!$A$14:$L$18,10,FALSE),0))</f>
        <v>2.4351536427798831E-2</v>
      </c>
      <c r="M304" s="306">
        <f>+IF($H304=M$2,VLOOKUP($G304,Depreciation!$A$14:$L$18,11,FALSE)/2,IF($H304&lt;M$2,VLOOKUP($G304,Depreciation!$A$14:$L$18,11,FALSE),0))</f>
        <v>2.4351536427798831E-2</v>
      </c>
      <c r="N304" s="306">
        <f>+IF($H304=N$2,VLOOKUP($G304,Depreciation!$A$14:$L$18,12,FALSE)/2,IF($H304&lt;N$2,VLOOKUP($G304,Depreciation!$A$14:$L$18,12,FALSE),0))</f>
        <v>2.4351536427798831E-2</v>
      </c>
      <c r="O304" s="307">
        <f t="shared" si="33"/>
        <v>2190011.4489681739</v>
      </c>
      <c r="P304" s="732">
        <f>'Func Future Subs 2015'!P304</f>
        <v>0</v>
      </c>
      <c r="Q304" s="732">
        <f>'Func Future Subs 2015'!Q304</f>
        <v>0</v>
      </c>
      <c r="R304" s="732">
        <f>'Func Future Subs 2015'!R304</f>
        <v>1</v>
      </c>
      <c r="S304" s="735">
        <f t="shared" si="34"/>
        <v>0</v>
      </c>
      <c r="T304" s="735">
        <f t="shared" si="35"/>
        <v>0</v>
      </c>
      <c r="U304" s="735">
        <f t="shared" si="36"/>
        <v>2190011.4489681739</v>
      </c>
      <c r="V304" s="736">
        <f t="shared" si="37"/>
        <v>2190011.4489681739</v>
      </c>
      <c r="W304" s="735">
        <f t="shared" si="38"/>
        <v>0</v>
      </c>
      <c r="X304" s="737">
        <f t="shared" si="39"/>
        <v>0</v>
      </c>
      <c r="Y304" s="738">
        <f t="shared" si="40"/>
        <v>0</v>
      </c>
    </row>
    <row r="305" spans="1:25">
      <c r="A305" s="754" t="str">
        <f>'Func Future Subs 2015'!A305</f>
        <v>Yeo substation</v>
      </c>
      <c r="B305" s="754">
        <f>'Func Future Subs 2015'!B305</f>
        <v>1482</v>
      </c>
      <c r="C305" s="754">
        <f>'Func Future Subs 2015'!C305</f>
        <v>240</v>
      </c>
      <c r="D305" s="754">
        <f>'Func Future Subs 2015'!D305</f>
        <v>0</v>
      </c>
      <c r="E305" s="754">
        <f>'Func Future Subs 2015'!E305</f>
        <v>0</v>
      </c>
      <c r="F305" s="754">
        <f>'Func Future Subs 2015'!F305</f>
        <v>15506138.00545691</v>
      </c>
      <c r="G305" s="754" t="str">
        <f>'Func Future Subs 2015'!G305</f>
        <v>ATCO</v>
      </c>
      <c r="H305" s="754">
        <f>'Func Future Subs 2015'!H305</f>
        <v>2016</v>
      </c>
      <c r="I305" s="306">
        <f>+IF($H305=I$2,VLOOKUP($G305,Depreciation!$A$14:$L$18,7,FALSE)/2,IF($H305&lt;I$2,VLOOKUP($G305,Depreciation!$A$14:$L$18,7,FALSE),0))</f>
        <v>0</v>
      </c>
      <c r="J305" s="306">
        <f>+IF($H305=J$2,VLOOKUP($G305,Depreciation!$A$14:$L$18,8,FALSE)/2,IF($H305&lt;J$2,VLOOKUP($G305,Depreciation!$A$14:$L$18,8,FALSE),0))</f>
        <v>1.231622525054236E-2</v>
      </c>
      <c r="K305" s="306">
        <f>+IF($H305=K$2,VLOOKUP($G305,Depreciation!$A$14:$L$18,9,FALSE)/2,IF($H305&lt;K$2,VLOOKUP($G305,Depreciation!$A$14:$L$18,9,FALSE),0))</f>
        <v>2.4351536427798831E-2</v>
      </c>
      <c r="L305" s="306">
        <f>+IF($H305=L$2,VLOOKUP($G305,Depreciation!$A$14:$L$18,10,FALSE)/2,IF($H305&lt;L$2,VLOOKUP($G305,Depreciation!$A$14:$L$18,10,FALSE),0))</f>
        <v>2.4351536427798831E-2</v>
      </c>
      <c r="M305" s="306">
        <f>+IF($H305=M$2,VLOOKUP($G305,Depreciation!$A$14:$L$18,11,FALSE)/2,IF($H305&lt;M$2,VLOOKUP($G305,Depreciation!$A$14:$L$18,11,FALSE),0))</f>
        <v>2.4351536427798831E-2</v>
      </c>
      <c r="N305" s="306">
        <f>+IF($H305=N$2,VLOOKUP($G305,Depreciation!$A$14:$L$18,12,FALSE)/2,IF($H305&lt;N$2,VLOOKUP($G305,Depreciation!$A$14:$L$18,12,FALSE),0))</f>
        <v>2.4351536427798831E-2</v>
      </c>
      <c r="O305" s="307">
        <f t="shared" si="33"/>
        <v>14223342.211553678</v>
      </c>
      <c r="P305" s="732">
        <f>'Func Future Subs 2015'!P305</f>
        <v>0</v>
      </c>
      <c r="Q305" s="732">
        <f>'Func Future Subs 2015'!Q305</f>
        <v>0</v>
      </c>
      <c r="R305" s="732">
        <f>'Func Future Subs 2015'!R305</f>
        <v>1</v>
      </c>
      <c r="S305" s="735">
        <f t="shared" si="34"/>
        <v>0</v>
      </c>
      <c r="T305" s="735">
        <f t="shared" si="35"/>
        <v>0</v>
      </c>
      <c r="U305" s="735">
        <f t="shared" si="36"/>
        <v>14223342.211553678</v>
      </c>
      <c r="V305" s="736">
        <f t="shared" si="37"/>
        <v>14223342.211553678</v>
      </c>
      <c r="W305" s="735">
        <f t="shared" si="38"/>
        <v>0</v>
      </c>
      <c r="X305" s="737">
        <f t="shared" si="39"/>
        <v>0</v>
      </c>
      <c r="Y305" s="738">
        <f t="shared" si="40"/>
        <v>0</v>
      </c>
    </row>
    <row r="306" spans="1:25">
      <c r="A306" s="754" t="str">
        <f>'Func Future Subs 2015'!A306</f>
        <v>Wabasca 720S</v>
      </c>
      <c r="B306" s="754">
        <f>'Func Future Subs 2015'!B306</f>
        <v>1491</v>
      </c>
      <c r="C306" s="754">
        <f>'Func Future Subs 2015'!C306</f>
        <v>240</v>
      </c>
      <c r="D306" s="754">
        <f>'Func Future Subs 2015'!D306</f>
        <v>25</v>
      </c>
      <c r="E306" s="754" t="str">
        <f>'Func Future Subs 2015'!E306</f>
        <v>720S</v>
      </c>
      <c r="F306" s="754">
        <f>'Func Future Subs 2015'!F306</f>
        <v>2147023.9999999977</v>
      </c>
      <c r="G306" s="754" t="str">
        <f>'Func Future Subs 2015'!G306</f>
        <v>ATCO</v>
      </c>
      <c r="H306" s="754">
        <f>'Func Future Subs 2015'!H306</f>
        <v>2018</v>
      </c>
      <c r="I306" s="306">
        <f>+IF($H306=I$2,VLOOKUP($G306,Depreciation!$A$14:$L$18,7,FALSE)/2,IF($H306&lt;I$2,VLOOKUP($G306,Depreciation!$A$14:$L$18,7,FALSE),0))</f>
        <v>0</v>
      </c>
      <c r="J306" s="306">
        <f>+IF($H306=J$2,VLOOKUP($G306,Depreciation!$A$14:$L$18,8,FALSE)/2,IF($H306&lt;J$2,VLOOKUP($G306,Depreciation!$A$14:$L$18,8,FALSE),0))</f>
        <v>0</v>
      </c>
      <c r="K306" s="306">
        <f>+IF($H306=K$2,VLOOKUP($G306,Depreciation!$A$14:$L$18,9,FALSE)/2,IF($H306&lt;K$2,VLOOKUP($G306,Depreciation!$A$14:$L$18,9,FALSE),0))</f>
        <v>0</v>
      </c>
      <c r="L306" s="306">
        <f>+IF($H306=L$2,VLOOKUP($G306,Depreciation!$A$14:$L$18,10,FALSE)/2,IF($H306&lt;L$2,VLOOKUP($G306,Depreciation!$A$14:$L$18,10,FALSE),0))</f>
        <v>1.2175768213899416E-2</v>
      </c>
      <c r="M306" s="306">
        <f>+IF($H306=M$2,VLOOKUP($G306,Depreciation!$A$14:$L$18,11,FALSE)/2,IF($H306&lt;M$2,VLOOKUP($G306,Depreciation!$A$14:$L$18,11,FALSE),0))</f>
        <v>2.4351536427798831E-2</v>
      </c>
      <c r="N306" s="306">
        <f>+IF($H306=N$2,VLOOKUP($G306,Depreciation!$A$14:$L$18,12,FALSE)/2,IF($H306&lt;N$2,VLOOKUP($G306,Depreciation!$A$14:$L$18,12,FALSE),0))</f>
        <v>2.4351536427798831E-2</v>
      </c>
      <c r="O306" s="307">
        <f t="shared" si="33"/>
        <v>2069235.5900248126</v>
      </c>
      <c r="P306" s="732">
        <f>'Func Future Subs 2015'!P306</f>
        <v>0</v>
      </c>
      <c r="Q306" s="732">
        <f>'Func Future Subs 2015'!Q306</f>
        <v>1</v>
      </c>
      <c r="R306" s="732">
        <f>'Func Future Subs 2015'!R306</f>
        <v>0</v>
      </c>
      <c r="S306" s="735">
        <f t="shared" si="34"/>
        <v>0</v>
      </c>
      <c r="T306" s="735">
        <f t="shared" si="35"/>
        <v>2069235.5900248126</v>
      </c>
      <c r="U306" s="735">
        <f t="shared" si="36"/>
        <v>0</v>
      </c>
      <c r="V306" s="736">
        <f t="shared" si="37"/>
        <v>0</v>
      </c>
      <c r="W306" s="735">
        <f t="shared" si="38"/>
        <v>0</v>
      </c>
      <c r="X306" s="737">
        <f t="shared" si="39"/>
        <v>0</v>
      </c>
      <c r="Y306" s="738">
        <f t="shared" si="40"/>
        <v>2069235.5900248126</v>
      </c>
    </row>
    <row r="307" spans="1:25">
      <c r="A307" s="754" t="str">
        <f>'Func Future Subs 2015'!A307</f>
        <v xml:space="preserve">v180 - Fortis 263S substation upgrade </v>
      </c>
      <c r="B307" s="754">
        <f>'Func Future Subs 2015'!B307</f>
        <v>1494</v>
      </c>
      <c r="C307" s="754">
        <f>'Func Future Subs 2015'!C307</f>
        <v>138</v>
      </c>
      <c r="D307" s="754">
        <f>'Func Future Subs 2015'!D307</f>
        <v>25</v>
      </c>
      <c r="E307" s="754" t="str">
        <f>'Func Future Subs 2015'!E307</f>
        <v>263S</v>
      </c>
      <c r="F307" s="754">
        <f>'Func Future Subs 2015'!F307</f>
        <v>7308312.4068950815</v>
      </c>
      <c r="G307" s="754" t="str">
        <f>'Func Future Subs 2015'!G307</f>
        <v>AltaLink</v>
      </c>
      <c r="H307" s="754">
        <f>'Func Future Subs 2015'!H307</f>
        <v>2015</v>
      </c>
      <c r="I307" s="306">
        <f>+IF($H307=I$2,VLOOKUP($G307,Depreciation!$A$14:$L$18,7,FALSE)/2,IF($H307&lt;I$2,VLOOKUP($G307,Depreciation!$A$14:$L$18,7,FALSE),0))</f>
        <v>1.7228380322441735E-2</v>
      </c>
      <c r="J307" s="306">
        <f>+IF($H307=J$2,VLOOKUP($G307,Depreciation!$A$14:$L$18,8,FALSE)/2,IF($H307&lt;J$2,VLOOKUP($G307,Depreciation!$A$14:$L$18,8,FALSE),0))</f>
        <v>3.343407856743718E-2</v>
      </c>
      <c r="K307" s="306">
        <f>+IF($H307=K$2,VLOOKUP($G307,Depreciation!$A$14:$L$18,9,FALSE)/2,IF($H307&lt;K$2,VLOOKUP($G307,Depreciation!$A$14:$L$18,9,FALSE),0))</f>
        <v>3.343407856743718E-2</v>
      </c>
      <c r="L307" s="306">
        <f>+IF($H307=L$2,VLOOKUP($G307,Depreciation!$A$14:$L$18,10,FALSE)/2,IF($H307&lt;L$2,VLOOKUP($G307,Depreciation!$A$14:$L$18,10,FALSE),0))</f>
        <v>3.343407856743718E-2</v>
      </c>
      <c r="M307" s="306">
        <f>+IF($H307=M$2,VLOOKUP($G307,Depreciation!$A$14:$L$18,11,FALSE)/2,IF($H307&lt;M$2,VLOOKUP($G307,Depreciation!$A$14:$L$18,11,FALSE),0))</f>
        <v>3.343407856743718E-2</v>
      </c>
      <c r="N307" s="306">
        <f>+IF($H307=N$2,VLOOKUP($G307,Depreciation!$A$14:$L$18,12,FALSE)/2,IF($H307&lt;N$2,VLOOKUP($G307,Depreciation!$A$14:$L$18,12,FALSE),0))</f>
        <v>3.343407856743718E-2</v>
      </c>
      <c r="O307" s="307">
        <f t="shared" si="33"/>
        <v>6268961.8401501449</v>
      </c>
      <c r="P307" s="732">
        <f>'Func Future Subs 2015'!P307</f>
        <v>0</v>
      </c>
      <c r="Q307" s="732">
        <f>'Func Future Subs 2015'!Q307</f>
        <v>1</v>
      </c>
      <c r="R307" s="732">
        <f>'Func Future Subs 2015'!R307</f>
        <v>0</v>
      </c>
      <c r="S307" s="735">
        <f t="shared" si="34"/>
        <v>0</v>
      </c>
      <c r="T307" s="735">
        <f t="shared" si="35"/>
        <v>6268961.8401501449</v>
      </c>
      <c r="U307" s="735">
        <f t="shared" si="36"/>
        <v>0</v>
      </c>
      <c r="V307" s="736">
        <f t="shared" si="37"/>
        <v>0</v>
      </c>
      <c r="W307" s="735">
        <f t="shared" si="38"/>
        <v>0</v>
      </c>
      <c r="X307" s="737">
        <f t="shared" si="39"/>
        <v>0</v>
      </c>
      <c r="Y307" s="738">
        <f t="shared" si="40"/>
        <v>6268961.8401501449</v>
      </c>
    </row>
    <row r="308" spans="1:25">
      <c r="A308" s="754" t="str">
        <f>'Func Future Subs 2015'!A308</f>
        <v>[Final]Hayter 277s substation</v>
      </c>
      <c r="B308" s="754">
        <f>'Func Future Subs 2015'!B308</f>
        <v>1495</v>
      </c>
      <c r="C308" s="754">
        <f>'Func Future Subs 2015'!C308</f>
        <v>138</v>
      </c>
      <c r="D308" s="754">
        <f>'Func Future Subs 2015'!D308</f>
        <v>25</v>
      </c>
      <c r="E308" s="754" t="str">
        <f>'Func Future Subs 2015'!E308</f>
        <v>277S</v>
      </c>
      <c r="F308" s="754">
        <f>'Func Future Subs 2015'!F308</f>
        <v>4998436.9999999991</v>
      </c>
      <c r="G308" s="754" t="str">
        <f>'Func Future Subs 2015'!G308</f>
        <v>AltaLink</v>
      </c>
      <c r="H308" s="754">
        <f>'Func Future Subs 2015'!H308</f>
        <v>2015</v>
      </c>
      <c r="I308" s="306">
        <f>+IF($H308=I$2,VLOOKUP($G308,Depreciation!$A$14:$L$18,7,FALSE)/2,IF($H308&lt;I$2,VLOOKUP($G308,Depreciation!$A$14:$L$18,7,FALSE),0))</f>
        <v>1.7228380322441735E-2</v>
      </c>
      <c r="J308" s="306">
        <f>+IF($H308=J$2,VLOOKUP($G308,Depreciation!$A$14:$L$18,8,FALSE)/2,IF($H308&lt;J$2,VLOOKUP($G308,Depreciation!$A$14:$L$18,8,FALSE),0))</f>
        <v>3.343407856743718E-2</v>
      </c>
      <c r="K308" s="306">
        <f>+IF($H308=K$2,VLOOKUP($G308,Depreciation!$A$14:$L$18,9,FALSE)/2,IF($H308&lt;K$2,VLOOKUP($G308,Depreciation!$A$14:$L$18,9,FALSE),0))</f>
        <v>3.343407856743718E-2</v>
      </c>
      <c r="L308" s="306">
        <f>+IF($H308=L$2,VLOOKUP($G308,Depreciation!$A$14:$L$18,10,FALSE)/2,IF($H308&lt;L$2,VLOOKUP($G308,Depreciation!$A$14:$L$18,10,FALSE),0))</f>
        <v>3.343407856743718E-2</v>
      </c>
      <c r="M308" s="306">
        <f>+IF($H308=M$2,VLOOKUP($G308,Depreciation!$A$14:$L$18,11,FALSE)/2,IF($H308&lt;M$2,VLOOKUP($G308,Depreciation!$A$14:$L$18,11,FALSE),0))</f>
        <v>3.343407856743718E-2</v>
      </c>
      <c r="N308" s="306">
        <f>+IF($H308=N$2,VLOOKUP($G308,Depreciation!$A$14:$L$18,12,FALSE)/2,IF($H308&lt;N$2,VLOOKUP($G308,Depreciation!$A$14:$L$18,12,FALSE),0))</f>
        <v>3.343407856743718E-2</v>
      </c>
      <c r="O308" s="307">
        <f t="shared" si="33"/>
        <v>4287585.0222044848</v>
      </c>
      <c r="P308" s="732">
        <f>'Func Future Subs 2015'!P308</f>
        <v>0.2544529262086514</v>
      </c>
      <c r="Q308" s="732">
        <f>'Func Future Subs 2015'!Q308</f>
        <v>0.74554707379134866</v>
      </c>
      <c r="R308" s="732">
        <f>'Func Future Subs 2015'!R308</f>
        <v>0</v>
      </c>
      <c r="S308" s="735">
        <f t="shared" si="34"/>
        <v>1090988.5552683168</v>
      </c>
      <c r="T308" s="735">
        <f t="shared" si="35"/>
        <v>3196596.4669361683</v>
      </c>
      <c r="U308" s="735">
        <f t="shared" si="36"/>
        <v>0</v>
      </c>
      <c r="V308" s="736">
        <f t="shared" si="37"/>
        <v>0</v>
      </c>
      <c r="W308" s="735">
        <f t="shared" si="38"/>
        <v>1090988.5552683168</v>
      </c>
      <c r="X308" s="737">
        <f t="shared" si="39"/>
        <v>0</v>
      </c>
      <c r="Y308" s="738">
        <f t="shared" si="40"/>
        <v>3196596.4669361683</v>
      </c>
    </row>
    <row r="309" spans="1:25">
      <c r="A309" s="754" t="str">
        <f>'Func Future Subs 2015'!A309</f>
        <v>Hayter 277s substation</v>
      </c>
      <c r="B309" s="754">
        <f>'Func Future Subs 2015'!B309</f>
        <v>1495</v>
      </c>
      <c r="C309" s="754">
        <f>'Func Future Subs 2015'!C309</f>
        <v>138</v>
      </c>
      <c r="D309" s="754">
        <f>'Func Future Subs 2015'!D309</f>
        <v>25</v>
      </c>
      <c r="E309" s="754" t="str">
        <f>'Func Future Subs 2015'!E309</f>
        <v>277S</v>
      </c>
      <c r="F309" s="754">
        <f>'Func Future Subs 2015'!F309</f>
        <v>6860894.0285954578</v>
      </c>
      <c r="G309" s="754" t="str">
        <f>'Func Future Subs 2015'!G309</f>
        <v>AltaLink</v>
      </c>
      <c r="H309" s="754">
        <f>'Func Future Subs 2015'!H309</f>
        <v>2015</v>
      </c>
      <c r="I309" s="306">
        <f>+IF($H309=I$2,VLOOKUP($G309,Depreciation!$A$14:$L$18,7,FALSE)/2,IF($H309&lt;I$2,VLOOKUP($G309,Depreciation!$A$14:$L$18,7,FALSE),0))</f>
        <v>1.7228380322441735E-2</v>
      </c>
      <c r="J309" s="306">
        <f>+IF($H309=J$2,VLOOKUP($G309,Depreciation!$A$14:$L$18,8,FALSE)/2,IF($H309&lt;J$2,VLOOKUP($G309,Depreciation!$A$14:$L$18,8,FALSE),0))</f>
        <v>3.343407856743718E-2</v>
      </c>
      <c r="K309" s="306">
        <f>+IF($H309=K$2,VLOOKUP($G309,Depreciation!$A$14:$L$18,9,FALSE)/2,IF($H309&lt;K$2,VLOOKUP($G309,Depreciation!$A$14:$L$18,9,FALSE),0))</f>
        <v>3.343407856743718E-2</v>
      </c>
      <c r="L309" s="306">
        <f>+IF($H309=L$2,VLOOKUP($G309,Depreciation!$A$14:$L$18,10,FALSE)/2,IF($H309&lt;L$2,VLOOKUP($G309,Depreciation!$A$14:$L$18,10,FALSE),0))</f>
        <v>3.343407856743718E-2</v>
      </c>
      <c r="M309" s="306">
        <f>+IF($H309=M$2,VLOOKUP($G309,Depreciation!$A$14:$L$18,11,FALSE)/2,IF($H309&lt;M$2,VLOOKUP($G309,Depreciation!$A$14:$L$18,11,FALSE),0))</f>
        <v>3.343407856743718E-2</v>
      </c>
      <c r="N309" s="306">
        <f>+IF($H309=N$2,VLOOKUP($G309,Depreciation!$A$14:$L$18,12,FALSE)/2,IF($H309&lt;N$2,VLOOKUP($G309,Depreciation!$A$14:$L$18,12,FALSE),0))</f>
        <v>3.343407856743718E-2</v>
      </c>
      <c r="O309" s="307">
        <f t="shared" si="33"/>
        <v>5885173.0002675001</v>
      </c>
      <c r="P309" s="732">
        <f>'Func Future Subs 2015'!P309</f>
        <v>0.2544529262086514</v>
      </c>
      <c r="Q309" s="732">
        <f>'Func Future Subs 2015'!Q309</f>
        <v>0.74554707379134866</v>
      </c>
      <c r="R309" s="732">
        <f>'Func Future Subs 2015'!R309</f>
        <v>0</v>
      </c>
      <c r="S309" s="735">
        <f t="shared" si="34"/>
        <v>1497499.4911622137</v>
      </c>
      <c r="T309" s="735">
        <f t="shared" si="35"/>
        <v>4387673.5091052866</v>
      </c>
      <c r="U309" s="735">
        <f t="shared" si="36"/>
        <v>0</v>
      </c>
      <c r="V309" s="736">
        <f t="shared" si="37"/>
        <v>0</v>
      </c>
      <c r="W309" s="735">
        <f t="shared" si="38"/>
        <v>1497499.4911622137</v>
      </c>
      <c r="X309" s="737">
        <f t="shared" si="39"/>
        <v>0</v>
      </c>
      <c r="Y309" s="738">
        <f t="shared" si="40"/>
        <v>4387673.5091052866</v>
      </c>
    </row>
    <row r="310" spans="1:25">
      <c r="A310" s="754" t="str">
        <f>'Func Future Subs 2015'!A310</f>
        <v>Upgrade Scotford 409S substation</v>
      </c>
      <c r="B310" s="754">
        <f>'Func Future Subs 2015'!B310</f>
        <v>1503</v>
      </c>
      <c r="C310" s="754">
        <f>'Func Future Subs 2015'!C310</f>
        <v>240</v>
      </c>
      <c r="D310" s="754">
        <f>'Func Future Subs 2015'!D310</f>
        <v>25</v>
      </c>
      <c r="E310" s="754" t="str">
        <f>'Func Future Subs 2015'!E310</f>
        <v>409S</v>
      </c>
      <c r="F310" s="754">
        <f>'Func Future Subs 2015'!F310</f>
        <v>5335410.2564102598</v>
      </c>
      <c r="G310" s="754" t="str">
        <f>'Func Future Subs 2015'!G310</f>
        <v>AltaLink</v>
      </c>
      <c r="H310" s="754">
        <f>'Func Future Subs 2015'!H310</f>
        <v>2016</v>
      </c>
      <c r="I310" s="306">
        <f>+IF($H310=I$2,VLOOKUP($G310,Depreciation!$A$14:$L$18,7,FALSE)/2,IF($H310&lt;I$2,VLOOKUP($G310,Depreciation!$A$14:$L$18,7,FALSE),0))</f>
        <v>0</v>
      </c>
      <c r="J310" s="306">
        <f>+IF($H310=J$2,VLOOKUP($G310,Depreciation!$A$14:$L$18,8,FALSE)/2,IF($H310&lt;J$2,VLOOKUP($G310,Depreciation!$A$14:$L$18,8,FALSE),0))</f>
        <v>1.671703928371859E-2</v>
      </c>
      <c r="K310" s="306">
        <f>+IF($H310=K$2,VLOOKUP($G310,Depreciation!$A$14:$L$18,9,FALSE)/2,IF($H310&lt;K$2,VLOOKUP($G310,Depreciation!$A$14:$L$18,9,FALSE),0))</f>
        <v>3.343407856743718E-2</v>
      </c>
      <c r="L310" s="306">
        <f>+IF($H310=L$2,VLOOKUP($G310,Depreciation!$A$14:$L$18,10,FALSE)/2,IF($H310&lt;L$2,VLOOKUP($G310,Depreciation!$A$14:$L$18,10,FALSE),0))</f>
        <v>3.343407856743718E-2</v>
      </c>
      <c r="M310" s="306">
        <f>+IF($H310=M$2,VLOOKUP($G310,Depreciation!$A$14:$L$18,11,FALSE)/2,IF($H310&lt;M$2,VLOOKUP($G310,Depreciation!$A$14:$L$18,11,FALSE),0))</f>
        <v>3.343407856743718E-2</v>
      </c>
      <c r="N310" s="306">
        <f>+IF($H310=N$2,VLOOKUP($G310,Depreciation!$A$14:$L$18,12,FALSE)/2,IF($H310&lt;N$2,VLOOKUP($G310,Depreciation!$A$14:$L$18,12,FALSE),0))</f>
        <v>3.343407856743718E-2</v>
      </c>
      <c r="O310" s="307">
        <f t="shared" si="33"/>
        <v>4737407.7876966149</v>
      </c>
      <c r="P310" s="732">
        <f>'Func Future Subs 2015'!P310</f>
        <v>0.29078014184397161</v>
      </c>
      <c r="Q310" s="732">
        <f>'Func Future Subs 2015'!Q310</f>
        <v>0.70921985815602839</v>
      </c>
      <c r="R310" s="732">
        <f>'Func Future Subs 2015'!R310</f>
        <v>0</v>
      </c>
      <c r="S310" s="735">
        <f t="shared" si="34"/>
        <v>1377544.1084791573</v>
      </c>
      <c r="T310" s="735">
        <f t="shared" si="35"/>
        <v>3359863.6792174573</v>
      </c>
      <c r="U310" s="735">
        <f t="shared" si="36"/>
        <v>0</v>
      </c>
      <c r="V310" s="736">
        <f t="shared" si="37"/>
        <v>0</v>
      </c>
      <c r="W310" s="735">
        <f t="shared" si="38"/>
        <v>1377544.1084791573</v>
      </c>
      <c r="X310" s="737">
        <f t="shared" si="39"/>
        <v>0</v>
      </c>
      <c r="Y310" s="738">
        <f t="shared" si="40"/>
        <v>3359863.6792174573</v>
      </c>
    </row>
    <row r="311" spans="1:25">
      <c r="A311" s="754" t="str">
        <f>'Func Future Subs 2015'!A311</f>
        <v>North ST Albert 99S substation[180D]</v>
      </c>
      <c r="B311" s="754">
        <f>'Func Future Subs 2015'!B311</f>
        <v>1510</v>
      </c>
      <c r="C311" s="754">
        <f>'Func Future Subs 2015'!C311</f>
        <v>138</v>
      </c>
      <c r="D311" s="754">
        <f>'Func Future Subs 2015'!D311</f>
        <v>25</v>
      </c>
      <c r="E311" s="754" t="str">
        <f>'Func Future Subs 2015'!E311</f>
        <v>99S</v>
      </c>
      <c r="F311" s="754">
        <f>'Func Future Subs 2015'!F311</f>
        <v>968000.00000000012</v>
      </c>
      <c r="G311" s="754" t="str">
        <f>'Func Future Subs 2015'!G311</f>
        <v>AltaLink</v>
      </c>
      <c r="H311" s="754">
        <f>'Func Future Subs 2015'!H311</f>
        <v>2015</v>
      </c>
      <c r="I311" s="306">
        <f>+IF($H311=I$2,VLOOKUP($G311,Depreciation!$A$14:$L$18,7,FALSE)/2,IF($H311&lt;I$2,VLOOKUP($G311,Depreciation!$A$14:$L$18,7,FALSE),0))</f>
        <v>1.7228380322441735E-2</v>
      </c>
      <c r="J311" s="306">
        <f>+IF($H311=J$2,VLOOKUP($G311,Depreciation!$A$14:$L$18,8,FALSE)/2,IF($H311&lt;J$2,VLOOKUP($G311,Depreciation!$A$14:$L$18,8,FALSE),0))</f>
        <v>3.343407856743718E-2</v>
      </c>
      <c r="K311" s="306">
        <f>+IF($H311=K$2,VLOOKUP($G311,Depreciation!$A$14:$L$18,9,FALSE)/2,IF($H311&lt;K$2,VLOOKUP($G311,Depreciation!$A$14:$L$18,9,FALSE),0))</f>
        <v>3.343407856743718E-2</v>
      </c>
      <c r="L311" s="306">
        <f>+IF($H311=L$2,VLOOKUP($G311,Depreciation!$A$14:$L$18,10,FALSE)/2,IF($H311&lt;L$2,VLOOKUP($G311,Depreciation!$A$14:$L$18,10,FALSE),0))</f>
        <v>3.343407856743718E-2</v>
      </c>
      <c r="M311" s="306">
        <f>+IF($H311=M$2,VLOOKUP($G311,Depreciation!$A$14:$L$18,11,FALSE)/2,IF($H311&lt;M$2,VLOOKUP($G311,Depreciation!$A$14:$L$18,11,FALSE),0))</f>
        <v>3.343407856743718E-2</v>
      </c>
      <c r="N311" s="306">
        <f>+IF($H311=N$2,VLOOKUP($G311,Depreciation!$A$14:$L$18,12,FALSE)/2,IF($H311&lt;N$2,VLOOKUP($G311,Depreciation!$A$14:$L$18,12,FALSE),0))</f>
        <v>3.343407856743718E-2</v>
      </c>
      <c r="O311" s="307">
        <f t="shared" si="33"/>
        <v>830336.02333968447</v>
      </c>
      <c r="P311" s="732">
        <f>'Func Future Subs 2015'!P311</f>
        <v>0</v>
      </c>
      <c r="Q311" s="732">
        <f>'Func Future Subs 2015'!Q311</f>
        <v>1</v>
      </c>
      <c r="R311" s="732">
        <f>'Func Future Subs 2015'!R311</f>
        <v>0</v>
      </c>
      <c r="S311" s="735">
        <f t="shared" si="34"/>
        <v>0</v>
      </c>
      <c r="T311" s="735">
        <f t="shared" si="35"/>
        <v>830336.02333968447</v>
      </c>
      <c r="U311" s="735">
        <f t="shared" si="36"/>
        <v>0</v>
      </c>
      <c r="V311" s="736">
        <f t="shared" si="37"/>
        <v>0</v>
      </c>
      <c r="W311" s="735">
        <f t="shared" si="38"/>
        <v>0</v>
      </c>
      <c r="X311" s="737">
        <f t="shared" si="39"/>
        <v>0</v>
      </c>
      <c r="Y311" s="738">
        <f t="shared" si="40"/>
        <v>830336.02333968447</v>
      </c>
    </row>
    <row r="312" spans="1:25">
      <c r="A312" s="754" t="str">
        <f>'Func Future Subs 2015'!A312</f>
        <v>Modify P&amp;C at Benbow 397S</v>
      </c>
      <c r="B312" s="754">
        <f>'Func Future Subs 2015'!B312</f>
        <v>1515</v>
      </c>
      <c r="C312" s="754">
        <f>'Func Future Subs 2015'!C312</f>
        <v>138</v>
      </c>
      <c r="D312" s="754">
        <f>'Func Future Subs 2015'!D312</f>
        <v>25</v>
      </c>
      <c r="E312" s="754" t="str">
        <f>'Func Future Subs 2015'!E312</f>
        <v>397S</v>
      </c>
      <c r="F312" s="754">
        <f>'Func Future Subs 2015'!F312</f>
        <v>10972.383408553622</v>
      </c>
      <c r="G312" s="754" t="str">
        <f>'Func Future Subs 2015'!G312</f>
        <v>AltaLink</v>
      </c>
      <c r="H312" s="754">
        <f>'Func Future Subs 2015'!H312</f>
        <v>2016</v>
      </c>
      <c r="I312" s="306">
        <f>+IF($H312=I$2,VLOOKUP($G312,Depreciation!$A$14:$L$18,7,FALSE)/2,IF($H312&lt;I$2,VLOOKUP($G312,Depreciation!$A$14:$L$18,7,FALSE),0))</f>
        <v>0</v>
      </c>
      <c r="J312" s="306">
        <f>+IF($H312=J$2,VLOOKUP($G312,Depreciation!$A$14:$L$18,8,FALSE)/2,IF($H312&lt;J$2,VLOOKUP($G312,Depreciation!$A$14:$L$18,8,FALSE),0))</f>
        <v>1.671703928371859E-2</v>
      </c>
      <c r="K312" s="306">
        <f>+IF($H312=K$2,VLOOKUP($G312,Depreciation!$A$14:$L$18,9,FALSE)/2,IF($H312&lt;K$2,VLOOKUP($G312,Depreciation!$A$14:$L$18,9,FALSE),0))</f>
        <v>3.343407856743718E-2</v>
      </c>
      <c r="L312" s="306">
        <f>+IF($H312=L$2,VLOOKUP($G312,Depreciation!$A$14:$L$18,10,FALSE)/2,IF($H312&lt;L$2,VLOOKUP($G312,Depreciation!$A$14:$L$18,10,FALSE),0))</f>
        <v>3.343407856743718E-2</v>
      </c>
      <c r="M312" s="306">
        <f>+IF($H312=M$2,VLOOKUP($G312,Depreciation!$A$14:$L$18,11,FALSE)/2,IF($H312&lt;M$2,VLOOKUP($G312,Depreciation!$A$14:$L$18,11,FALSE),0))</f>
        <v>3.343407856743718E-2</v>
      </c>
      <c r="N312" s="306">
        <f>+IF($H312=N$2,VLOOKUP($G312,Depreciation!$A$14:$L$18,12,FALSE)/2,IF($H312&lt;N$2,VLOOKUP($G312,Depreciation!$A$14:$L$18,12,FALSE),0))</f>
        <v>3.343407856743718E-2</v>
      </c>
      <c r="O312" s="307">
        <f t="shared" si="33"/>
        <v>9742.5787542434246</v>
      </c>
      <c r="P312" s="732">
        <f>'Func Future Subs 2015'!P312</f>
        <v>0</v>
      </c>
      <c r="Q312" s="732">
        <f>'Func Future Subs 2015'!Q312</f>
        <v>1</v>
      </c>
      <c r="R312" s="732">
        <f>'Func Future Subs 2015'!R312</f>
        <v>0</v>
      </c>
      <c r="S312" s="735">
        <f t="shared" si="34"/>
        <v>0</v>
      </c>
      <c r="T312" s="735">
        <f t="shared" si="35"/>
        <v>9742.5787542434246</v>
      </c>
      <c r="U312" s="735">
        <f t="shared" si="36"/>
        <v>0</v>
      </c>
      <c r="V312" s="736">
        <f t="shared" si="37"/>
        <v>0</v>
      </c>
      <c r="W312" s="735">
        <f t="shared" si="38"/>
        <v>0</v>
      </c>
      <c r="X312" s="737">
        <f t="shared" si="39"/>
        <v>0</v>
      </c>
      <c r="Y312" s="738">
        <f t="shared" si="40"/>
        <v>9742.5787542434246</v>
      </c>
    </row>
    <row r="313" spans="1:25">
      <c r="A313" s="754" t="str">
        <f>'Func Future Subs 2015'!A313</f>
        <v>Modify P&amp;C at Bickerdike 39S</v>
      </c>
      <c r="B313" s="754">
        <f>'Func Future Subs 2015'!B313</f>
        <v>1515</v>
      </c>
      <c r="C313" s="754">
        <f>'Func Future Subs 2015'!C313</f>
        <v>240</v>
      </c>
      <c r="D313" s="754">
        <f>'Func Future Subs 2015'!D313</f>
        <v>138</v>
      </c>
      <c r="E313" s="754" t="str">
        <f>'Func Future Subs 2015'!E313</f>
        <v>39S</v>
      </c>
      <c r="F313" s="754">
        <f>'Func Future Subs 2015'!F313</f>
        <v>10972.383408553622</v>
      </c>
      <c r="G313" s="754" t="str">
        <f>'Func Future Subs 2015'!G313</f>
        <v>AltaLink</v>
      </c>
      <c r="H313" s="754">
        <f>'Func Future Subs 2015'!H313</f>
        <v>2016</v>
      </c>
      <c r="I313" s="306">
        <f>+IF($H313=I$2,VLOOKUP($G313,Depreciation!$A$14:$L$18,7,FALSE)/2,IF($H313&lt;I$2,VLOOKUP($G313,Depreciation!$A$14:$L$18,7,FALSE),0))</f>
        <v>0</v>
      </c>
      <c r="J313" s="306">
        <f>+IF($H313=J$2,VLOOKUP($G313,Depreciation!$A$14:$L$18,8,FALSE)/2,IF($H313&lt;J$2,VLOOKUP($G313,Depreciation!$A$14:$L$18,8,FALSE),0))</f>
        <v>1.671703928371859E-2</v>
      </c>
      <c r="K313" s="306">
        <f>+IF($H313=K$2,VLOOKUP($G313,Depreciation!$A$14:$L$18,9,FALSE)/2,IF($H313&lt;K$2,VLOOKUP($G313,Depreciation!$A$14:$L$18,9,FALSE),0))</f>
        <v>3.343407856743718E-2</v>
      </c>
      <c r="L313" s="306">
        <f>+IF($H313=L$2,VLOOKUP($G313,Depreciation!$A$14:$L$18,10,FALSE)/2,IF($H313&lt;L$2,VLOOKUP($G313,Depreciation!$A$14:$L$18,10,FALSE),0))</f>
        <v>3.343407856743718E-2</v>
      </c>
      <c r="M313" s="306">
        <f>+IF($H313=M$2,VLOOKUP($G313,Depreciation!$A$14:$L$18,11,FALSE)/2,IF($H313&lt;M$2,VLOOKUP($G313,Depreciation!$A$14:$L$18,11,FALSE),0))</f>
        <v>3.343407856743718E-2</v>
      </c>
      <c r="N313" s="306">
        <f>+IF($H313=N$2,VLOOKUP($G313,Depreciation!$A$14:$L$18,12,FALSE)/2,IF($H313&lt;N$2,VLOOKUP($G313,Depreciation!$A$14:$L$18,12,FALSE),0))</f>
        <v>3.343407856743718E-2</v>
      </c>
      <c r="O313" s="307">
        <f t="shared" si="33"/>
        <v>9742.5787542434246</v>
      </c>
      <c r="P313" s="732">
        <f>'Func Future Subs 2015'!P313</f>
        <v>0</v>
      </c>
      <c r="Q313" s="732">
        <f>'Func Future Subs 2015'!Q313</f>
        <v>0</v>
      </c>
      <c r="R313" s="732">
        <f>'Func Future Subs 2015'!R313</f>
        <v>1</v>
      </c>
      <c r="S313" s="735">
        <f t="shared" si="34"/>
        <v>0</v>
      </c>
      <c r="T313" s="735">
        <f t="shared" si="35"/>
        <v>0</v>
      </c>
      <c r="U313" s="735">
        <f t="shared" si="36"/>
        <v>9742.5787542434246</v>
      </c>
      <c r="V313" s="736">
        <f t="shared" si="37"/>
        <v>0</v>
      </c>
      <c r="W313" s="735">
        <f t="shared" si="38"/>
        <v>0</v>
      </c>
      <c r="X313" s="737">
        <f t="shared" si="39"/>
        <v>9742.5787542434246</v>
      </c>
      <c r="Y313" s="738">
        <f t="shared" si="40"/>
        <v>0</v>
      </c>
    </row>
    <row r="314" spans="1:25">
      <c r="A314" s="754" t="str">
        <f>'Func Future Subs 2015'!A314</f>
        <v>Modify P&amp;C at Marlboro 348S</v>
      </c>
      <c r="B314" s="754">
        <f>'Func Future Subs 2015'!B314</f>
        <v>1515</v>
      </c>
      <c r="C314" s="754">
        <f>'Func Future Subs 2015'!C314</f>
        <v>138</v>
      </c>
      <c r="D314" s="754">
        <f>'Func Future Subs 2015'!D314</f>
        <v>25</v>
      </c>
      <c r="E314" s="754" t="str">
        <f>'Func Future Subs 2015'!E314</f>
        <v>348S</v>
      </c>
      <c r="F314" s="754">
        <f>'Func Future Subs 2015'!F314</f>
        <v>6269.9333763163559</v>
      </c>
      <c r="G314" s="754" t="str">
        <f>'Func Future Subs 2015'!G314</f>
        <v>AltaLink</v>
      </c>
      <c r="H314" s="754">
        <f>'Func Future Subs 2015'!H314</f>
        <v>2016</v>
      </c>
      <c r="I314" s="306">
        <f>+IF($H314=I$2,VLOOKUP($G314,Depreciation!$A$14:$L$18,7,FALSE)/2,IF($H314&lt;I$2,VLOOKUP($G314,Depreciation!$A$14:$L$18,7,FALSE),0))</f>
        <v>0</v>
      </c>
      <c r="J314" s="306">
        <f>+IF($H314=J$2,VLOOKUP($G314,Depreciation!$A$14:$L$18,8,FALSE)/2,IF($H314&lt;J$2,VLOOKUP($G314,Depreciation!$A$14:$L$18,8,FALSE),0))</f>
        <v>1.671703928371859E-2</v>
      </c>
      <c r="K314" s="306">
        <f>+IF($H314=K$2,VLOOKUP($G314,Depreciation!$A$14:$L$18,9,FALSE)/2,IF($H314&lt;K$2,VLOOKUP($G314,Depreciation!$A$14:$L$18,9,FALSE),0))</f>
        <v>3.343407856743718E-2</v>
      </c>
      <c r="L314" s="306">
        <f>+IF($H314=L$2,VLOOKUP($G314,Depreciation!$A$14:$L$18,10,FALSE)/2,IF($H314&lt;L$2,VLOOKUP($G314,Depreciation!$A$14:$L$18,10,FALSE),0))</f>
        <v>3.343407856743718E-2</v>
      </c>
      <c r="M314" s="306">
        <f>+IF($H314=M$2,VLOOKUP($G314,Depreciation!$A$14:$L$18,11,FALSE)/2,IF($H314&lt;M$2,VLOOKUP($G314,Depreciation!$A$14:$L$18,11,FALSE),0))</f>
        <v>3.343407856743718E-2</v>
      </c>
      <c r="N314" s="306">
        <f>+IF($H314=N$2,VLOOKUP($G314,Depreciation!$A$14:$L$18,12,FALSE)/2,IF($H314&lt;N$2,VLOOKUP($G314,Depreciation!$A$14:$L$18,12,FALSE),0))</f>
        <v>3.343407856743718E-2</v>
      </c>
      <c r="O314" s="307">
        <f t="shared" si="33"/>
        <v>5567.1878595676717</v>
      </c>
      <c r="P314" s="732">
        <f>'Func Future Subs 2015'!P314</f>
        <v>0</v>
      </c>
      <c r="Q314" s="732">
        <f>'Func Future Subs 2015'!Q314</f>
        <v>1</v>
      </c>
      <c r="R314" s="732">
        <f>'Func Future Subs 2015'!R314</f>
        <v>0</v>
      </c>
      <c r="S314" s="735">
        <f t="shared" si="34"/>
        <v>0</v>
      </c>
      <c r="T314" s="735">
        <f t="shared" si="35"/>
        <v>5567.1878595676717</v>
      </c>
      <c r="U314" s="735">
        <f t="shared" si="36"/>
        <v>0</v>
      </c>
      <c r="V314" s="736">
        <f t="shared" si="37"/>
        <v>0</v>
      </c>
      <c r="W314" s="735">
        <f t="shared" si="38"/>
        <v>0</v>
      </c>
      <c r="X314" s="737">
        <f t="shared" si="39"/>
        <v>0</v>
      </c>
      <c r="Y314" s="738">
        <f t="shared" si="40"/>
        <v>5567.1878595676717</v>
      </c>
    </row>
    <row r="315" spans="1:25">
      <c r="A315" s="754" t="str">
        <f>'Func Future Subs 2015'!A315</f>
        <v>New Deerhill 1012S substation</v>
      </c>
      <c r="B315" s="754">
        <f>'Func Future Subs 2015'!B315</f>
        <v>1515</v>
      </c>
      <c r="C315" s="754">
        <f>'Func Future Subs 2015'!C315</f>
        <v>138</v>
      </c>
      <c r="D315" s="754">
        <f>'Func Future Subs 2015'!D315</f>
        <v>25</v>
      </c>
      <c r="E315" s="754" t="str">
        <f>'Func Future Subs 2015'!E315</f>
        <v>1012S</v>
      </c>
      <c r="F315" s="754">
        <f>'Func Future Subs 2015'!F315</f>
        <v>13162157.64023211</v>
      </c>
      <c r="G315" s="754" t="str">
        <f>'Func Future Subs 2015'!G315</f>
        <v>AltaLink</v>
      </c>
      <c r="H315" s="754">
        <f>'Func Future Subs 2015'!H315</f>
        <v>2016</v>
      </c>
      <c r="I315" s="306">
        <f>+IF($H315=I$2,VLOOKUP($G315,Depreciation!$A$14:$L$18,7,FALSE)/2,IF($H315&lt;I$2,VLOOKUP($G315,Depreciation!$A$14:$L$18,7,FALSE),0))</f>
        <v>0</v>
      </c>
      <c r="J315" s="306">
        <f>+IF($H315=J$2,VLOOKUP($G315,Depreciation!$A$14:$L$18,8,FALSE)/2,IF($H315&lt;J$2,VLOOKUP($G315,Depreciation!$A$14:$L$18,8,FALSE),0))</f>
        <v>1.671703928371859E-2</v>
      </c>
      <c r="K315" s="306">
        <f>+IF($H315=K$2,VLOOKUP($G315,Depreciation!$A$14:$L$18,9,FALSE)/2,IF($H315&lt;K$2,VLOOKUP($G315,Depreciation!$A$14:$L$18,9,FALSE),0))</f>
        <v>3.343407856743718E-2</v>
      </c>
      <c r="L315" s="306">
        <f>+IF($H315=L$2,VLOOKUP($G315,Depreciation!$A$14:$L$18,10,FALSE)/2,IF($H315&lt;L$2,VLOOKUP($G315,Depreciation!$A$14:$L$18,10,FALSE),0))</f>
        <v>3.343407856743718E-2</v>
      </c>
      <c r="M315" s="306">
        <f>+IF($H315=M$2,VLOOKUP($G315,Depreciation!$A$14:$L$18,11,FALSE)/2,IF($H315&lt;M$2,VLOOKUP($G315,Depreciation!$A$14:$L$18,11,FALSE),0))</f>
        <v>3.343407856743718E-2</v>
      </c>
      <c r="N315" s="306">
        <f>+IF($H315=N$2,VLOOKUP($G315,Depreciation!$A$14:$L$18,12,FALSE)/2,IF($H315&lt;N$2,VLOOKUP($G315,Depreciation!$A$14:$L$18,12,FALSE),0))</f>
        <v>3.343407856743718E-2</v>
      </c>
      <c r="O315" s="307">
        <f t="shared" si="33"/>
        <v>11686919.114197437</v>
      </c>
      <c r="P315" s="732">
        <f>'Func Future Subs 2015'!P315</f>
        <v>0</v>
      </c>
      <c r="Q315" s="732">
        <f>'Func Future Subs 2015'!Q315</f>
        <v>1</v>
      </c>
      <c r="R315" s="732">
        <f>'Func Future Subs 2015'!R315</f>
        <v>0</v>
      </c>
      <c r="S315" s="735">
        <f t="shared" si="34"/>
        <v>0</v>
      </c>
      <c r="T315" s="735">
        <f t="shared" si="35"/>
        <v>11686919.114197437</v>
      </c>
      <c r="U315" s="735">
        <f t="shared" si="36"/>
        <v>0</v>
      </c>
      <c r="V315" s="736">
        <f t="shared" si="37"/>
        <v>0</v>
      </c>
      <c r="W315" s="735">
        <f t="shared" si="38"/>
        <v>0</v>
      </c>
      <c r="X315" s="737">
        <f t="shared" si="39"/>
        <v>0</v>
      </c>
      <c r="Y315" s="738">
        <f t="shared" si="40"/>
        <v>11686919.114197437</v>
      </c>
    </row>
    <row r="316" spans="1:25">
      <c r="A316" s="754" t="str">
        <f>'Func Future Subs 2015'!A316</f>
        <v>Halsbury 306S</v>
      </c>
      <c r="B316" s="754">
        <f>'Func Future Subs 2015'!B316</f>
        <v>1533</v>
      </c>
      <c r="C316" s="754">
        <f>'Func Future Subs 2015'!C316</f>
        <v>34</v>
      </c>
      <c r="D316" s="754">
        <f>'Func Future Subs 2015'!D316</f>
        <v>240</v>
      </c>
      <c r="E316" s="754" t="str">
        <f>'Func Future Subs 2015'!E316</f>
        <v>306S</v>
      </c>
      <c r="F316" s="754">
        <f>'Func Future Subs 2015'!F316</f>
        <v>121881.13948919451</v>
      </c>
      <c r="G316" s="754" t="str">
        <f>'Func Future Subs 2015'!G316</f>
        <v>AltaLink</v>
      </c>
      <c r="H316" s="754">
        <f>'Func Future Subs 2015'!H316</f>
        <v>2017</v>
      </c>
      <c r="I316" s="306">
        <f>+IF($H316=I$2,VLOOKUP($G316,Depreciation!$A$14:$L$18,7,FALSE)/2,IF($H316&lt;I$2,VLOOKUP($G316,Depreciation!$A$14:$L$18,7,FALSE),0))</f>
        <v>0</v>
      </c>
      <c r="J316" s="306">
        <f>+IF($H316=J$2,VLOOKUP($G316,Depreciation!$A$14:$L$18,8,FALSE)/2,IF($H316&lt;J$2,VLOOKUP($G316,Depreciation!$A$14:$L$18,8,FALSE),0))</f>
        <v>0</v>
      </c>
      <c r="K316" s="306">
        <f>+IF($H316=K$2,VLOOKUP($G316,Depreciation!$A$14:$L$18,9,FALSE)/2,IF($H316&lt;K$2,VLOOKUP($G316,Depreciation!$A$14:$L$18,9,FALSE),0))</f>
        <v>1.671703928371859E-2</v>
      </c>
      <c r="L316" s="306">
        <f>+IF($H316=L$2,VLOOKUP($G316,Depreciation!$A$14:$L$18,10,FALSE)/2,IF($H316&lt;L$2,VLOOKUP($G316,Depreciation!$A$14:$L$18,10,FALSE),0))</f>
        <v>3.343407856743718E-2</v>
      </c>
      <c r="M316" s="306">
        <f>+IF($H316=M$2,VLOOKUP($G316,Depreciation!$A$14:$L$18,11,FALSE)/2,IF($H316&lt;M$2,VLOOKUP($G316,Depreciation!$A$14:$L$18,11,FALSE),0))</f>
        <v>3.343407856743718E-2</v>
      </c>
      <c r="N316" s="306">
        <f>+IF($H316=N$2,VLOOKUP($G316,Depreciation!$A$14:$L$18,12,FALSE)/2,IF($H316&lt;N$2,VLOOKUP($G316,Depreciation!$A$14:$L$18,12,FALSE),0))</f>
        <v>3.343407856743718E-2</v>
      </c>
      <c r="O316" s="307">
        <f t="shared" si="33"/>
        <v>111963.88956356535</v>
      </c>
      <c r="P316" s="732">
        <f>'Func Future Subs 2015'!P316</f>
        <v>0</v>
      </c>
      <c r="Q316" s="732">
        <f>'Func Future Subs 2015'!Q316</f>
        <v>0</v>
      </c>
      <c r="R316" s="732">
        <f>'Func Future Subs 2015'!R316</f>
        <v>1</v>
      </c>
      <c r="S316" s="735">
        <f t="shared" si="34"/>
        <v>0</v>
      </c>
      <c r="T316" s="735">
        <f t="shared" si="35"/>
        <v>0</v>
      </c>
      <c r="U316" s="735">
        <f t="shared" si="36"/>
        <v>111963.88956356535</v>
      </c>
      <c r="V316" s="736">
        <f t="shared" si="37"/>
        <v>0</v>
      </c>
      <c r="W316" s="735">
        <f t="shared" si="38"/>
        <v>111963.88956356535</v>
      </c>
      <c r="X316" s="737">
        <f t="shared" si="39"/>
        <v>0</v>
      </c>
      <c r="Y316" s="738">
        <f t="shared" si="40"/>
        <v>0</v>
      </c>
    </row>
    <row r="317" spans="1:25">
      <c r="A317" s="754" t="str">
        <f>'Func Future Subs 2015'!A317</f>
        <v>Jenner 275S</v>
      </c>
      <c r="B317" s="754">
        <f>'Func Future Subs 2015'!B317</f>
        <v>1533</v>
      </c>
      <c r="C317" s="754">
        <f>'Func Future Subs 2015'!C317</f>
        <v>240</v>
      </c>
      <c r="D317" s="754">
        <f>'Func Future Subs 2015'!D317</f>
        <v>25</v>
      </c>
      <c r="E317" s="754" t="str">
        <f>'Func Future Subs 2015'!E317</f>
        <v>275S</v>
      </c>
      <c r="F317" s="754">
        <f>'Func Future Subs 2015'!F317</f>
        <v>4711112.3117223317</v>
      </c>
      <c r="G317" s="754" t="str">
        <f>'Func Future Subs 2015'!G317</f>
        <v>AltaLink</v>
      </c>
      <c r="H317" s="754">
        <f>'Func Future Subs 2015'!H317</f>
        <v>2017</v>
      </c>
      <c r="I317" s="306">
        <f>+IF($H317=I$2,VLOOKUP($G317,Depreciation!$A$14:$L$18,7,FALSE)/2,IF($H317&lt;I$2,VLOOKUP($G317,Depreciation!$A$14:$L$18,7,FALSE),0))</f>
        <v>0</v>
      </c>
      <c r="J317" s="306">
        <f>+IF($H317=J$2,VLOOKUP($G317,Depreciation!$A$14:$L$18,8,FALSE)/2,IF($H317&lt;J$2,VLOOKUP($G317,Depreciation!$A$14:$L$18,8,FALSE),0))</f>
        <v>0</v>
      </c>
      <c r="K317" s="306">
        <f>+IF($H317=K$2,VLOOKUP($G317,Depreciation!$A$14:$L$18,9,FALSE)/2,IF($H317&lt;K$2,VLOOKUP($G317,Depreciation!$A$14:$L$18,9,FALSE),0))</f>
        <v>1.671703928371859E-2</v>
      </c>
      <c r="L317" s="306">
        <f>+IF($H317=L$2,VLOOKUP($G317,Depreciation!$A$14:$L$18,10,FALSE)/2,IF($H317&lt;L$2,VLOOKUP($G317,Depreciation!$A$14:$L$18,10,FALSE),0))</f>
        <v>3.343407856743718E-2</v>
      </c>
      <c r="M317" s="306">
        <f>+IF($H317=M$2,VLOOKUP($G317,Depreciation!$A$14:$L$18,11,FALSE)/2,IF($H317&lt;M$2,VLOOKUP($G317,Depreciation!$A$14:$L$18,11,FALSE),0))</f>
        <v>3.343407856743718E-2</v>
      </c>
      <c r="N317" s="306">
        <f>+IF($H317=N$2,VLOOKUP($G317,Depreciation!$A$14:$L$18,12,FALSE)/2,IF($H317&lt;N$2,VLOOKUP($G317,Depreciation!$A$14:$L$18,12,FALSE),0))</f>
        <v>3.343407856743718E-2</v>
      </c>
      <c r="O317" s="307">
        <f t="shared" si="33"/>
        <v>4327777.5445970129</v>
      </c>
      <c r="P317" s="732">
        <f>'Func Future Subs 2015'!P317</f>
        <v>0</v>
      </c>
      <c r="Q317" s="732">
        <f>'Func Future Subs 2015'!Q317</f>
        <v>1</v>
      </c>
      <c r="R317" s="732">
        <f>'Func Future Subs 2015'!R317</f>
        <v>0</v>
      </c>
      <c r="S317" s="735">
        <f t="shared" si="34"/>
        <v>0</v>
      </c>
      <c r="T317" s="735">
        <f t="shared" si="35"/>
        <v>4327777.5445970129</v>
      </c>
      <c r="U317" s="735">
        <f t="shared" si="36"/>
        <v>0</v>
      </c>
      <c r="V317" s="736">
        <f t="shared" si="37"/>
        <v>0</v>
      </c>
      <c r="W317" s="735">
        <f t="shared" si="38"/>
        <v>0</v>
      </c>
      <c r="X317" s="737">
        <f t="shared" si="39"/>
        <v>0</v>
      </c>
      <c r="Y317" s="738">
        <f t="shared" si="40"/>
        <v>4327777.5445970129</v>
      </c>
    </row>
    <row r="318" spans="1:25">
      <c r="A318" s="754" t="str">
        <f>'Func Future Subs 2015'!A318</f>
        <v>Upgrade Bauer 918S substation</v>
      </c>
      <c r="B318" s="754">
        <f>'Func Future Subs 2015'!B318</f>
        <v>1554</v>
      </c>
      <c r="C318" s="754">
        <f>'Func Future Subs 2015'!C318</f>
        <v>144</v>
      </c>
      <c r="D318" s="754">
        <f>'Func Future Subs 2015'!D318</f>
        <v>25</v>
      </c>
      <c r="E318" s="754" t="str">
        <f>'Func Future Subs 2015'!E318</f>
        <v>918S</v>
      </c>
      <c r="F318" s="754">
        <f>'Func Future Subs 2015'!F318</f>
        <v>5879941.0000000009</v>
      </c>
      <c r="G318" s="754" t="str">
        <f>'Func Future Subs 2015'!G318</f>
        <v>ATCO</v>
      </c>
      <c r="H318" s="754">
        <f>'Func Future Subs 2015'!H318</f>
        <v>2016</v>
      </c>
      <c r="I318" s="306">
        <f>+IF($H318=I$2,VLOOKUP($G318,Depreciation!$A$14:$L$18,7,FALSE)/2,IF($H318&lt;I$2,VLOOKUP($G318,Depreciation!$A$14:$L$18,7,FALSE),0))</f>
        <v>0</v>
      </c>
      <c r="J318" s="306">
        <f>+IF($H318=J$2,VLOOKUP($G318,Depreciation!$A$14:$L$18,8,FALSE)/2,IF($H318&lt;J$2,VLOOKUP($G318,Depreciation!$A$14:$L$18,8,FALSE),0))</f>
        <v>1.231622525054236E-2</v>
      </c>
      <c r="K318" s="306">
        <f>+IF($H318=K$2,VLOOKUP($G318,Depreciation!$A$14:$L$18,9,FALSE)/2,IF($H318&lt;K$2,VLOOKUP($G318,Depreciation!$A$14:$L$18,9,FALSE),0))</f>
        <v>2.4351536427798831E-2</v>
      </c>
      <c r="L318" s="306">
        <f>+IF($H318=L$2,VLOOKUP($G318,Depreciation!$A$14:$L$18,10,FALSE)/2,IF($H318&lt;L$2,VLOOKUP($G318,Depreciation!$A$14:$L$18,10,FALSE),0))</f>
        <v>2.4351536427798831E-2</v>
      </c>
      <c r="M318" s="306">
        <f>+IF($H318=M$2,VLOOKUP($G318,Depreciation!$A$14:$L$18,11,FALSE)/2,IF($H318&lt;M$2,VLOOKUP($G318,Depreciation!$A$14:$L$18,11,FALSE),0))</f>
        <v>2.4351536427798831E-2</v>
      </c>
      <c r="N318" s="306">
        <f>+IF($H318=N$2,VLOOKUP($G318,Depreciation!$A$14:$L$18,12,FALSE)/2,IF($H318&lt;N$2,VLOOKUP($G318,Depreciation!$A$14:$L$18,12,FALSE),0))</f>
        <v>2.4351536427798831E-2</v>
      </c>
      <c r="O318" s="307">
        <f t="shared" si="33"/>
        <v>5393503.7207403472</v>
      </c>
      <c r="P318" s="732">
        <f>'Func Future Subs 2015'!P318</f>
        <v>0</v>
      </c>
      <c r="Q318" s="732">
        <f>'Func Future Subs 2015'!Q318</f>
        <v>1</v>
      </c>
      <c r="R318" s="732">
        <f>'Func Future Subs 2015'!R318</f>
        <v>0</v>
      </c>
      <c r="S318" s="735">
        <f t="shared" si="34"/>
        <v>0</v>
      </c>
      <c r="T318" s="735">
        <f t="shared" si="35"/>
        <v>5393503.7207403472</v>
      </c>
      <c r="U318" s="735">
        <f t="shared" si="36"/>
        <v>0</v>
      </c>
      <c r="V318" s="736">
        <f t="shared" si="37"/>
        <v>0</v>
      </c>
      <c r="W318" s="735">
        <f t="shared" si="38"/>
        <v>0</v>
      </c>
      <c r="X318" s="737">
        <f t="shared" si="39"/>
        <v>0</v>
      </c>
      <c r="Y318" s="738">
        <f t="shared" si="40"/>
        <v>5393503.7207403472</v>
      </c>
    </row>
    <row r="319" spans="1:25">
      <c r="A319" s="754" t="str">
        <f>'Func Future Subs 2015'!A319</f>
        <v>Hardisty 377S</v>
      </c>
      <c r="B319" s="754">
        <f>'Func Future Subs 2015'!B319</f>
        <v>1558</v>
      </c>
      <c r="C319" s="754">
        <f>'Func Future Subs 2015'!C319</f>
        <v>138</v>
      </c>
      <c r="D319" s="754">
        <f>'Func Future Subs 2015'!D319</f>
        <v>25</v>
      </c>
      <c r="E319" s="754" t="str">
        <f>'Func Future Subs 2015'!E319</f>
        <v>377S</v>
      </c>
      <c r="F319" s="754">
        <f>'Func Future Subs 2015'!F319</f>
        <v>40190.931633014516</v>
      </c>
      <c r="G319" s="754" t="str">
        <f>'Func Future Subs 2015'!G319</f>
        <v>AltaLink</v>
      </c>
      <c r="H319" s="754">
        <f>'Func Future Subs 2015'!H319</f>
        <v>2018</v>
      </c>
      <c r="I319" s="306">
        <f>+IF($H319=I$2,VLOOKUP($G319,Depreciation!$A$14:$L$18,7,FALSE)/2,IF($H319&lt;I$2,VLOOKUP($G319,Depreciation!$A$14:$L$18,7,FALSE),0))</f>
        <v>0</v>
      </c>
      <c r="J319" s="306">
        <f>+IF($H319=J$2,VLOOKUP($G319,Depreciation!$A$14:$L$18,8,FALSE)/2,IF($H319&lt;J$2,VLOOKUP($G319,Depreciation!$A$14:$L$18,8,FALSE),0))</f>
        <v>0</v>
      </c>
      <c r="K319" s="306">
        <f>+IF($H319=K$2,VLOOKUP($G319,Depreciation!$A$14:$L$18,9,FALSE)/2,IF($H319&lt;K$2,VLOOKUP($G319,Depreciation!$A$14:$L$18,9,FALSE),0))</f>
        <v>0</v>
      </c>
      <c r="L319" s="306">
        <f>+IF($H319=L$2,VLOOKUP($G319,Depreciation!$A$14:$L$18,10,FALSE)/2,IF($H319&lt;L$2,VLOOKUP($G319,Depreciation!$A$14:$L$18,10,FALSE),0))</f>
        <v>1.671703928371859E-2</v>
      </c>
      <c r="M319" s="306">
        <f>+IF($H319=M$2,VLOOKUP($G319,Depreciation!$A$14:$L$18,11,FALSE)/2,IF($H319&lt;M$2,VLOOKUP($G319,Depreciation!$A$14:$L$18,11,FALSE),0))</f>
        <v>3.343407856743718E-2</v>
      </c>
      <c r="N319" s="306">
        <f>+IF($H319=N$2,VLOOKUP($G319,Depreciation!$A$14:$L$18,12,FALSE)/2,IF($H319&lt;N$2,VLOOKUP($G319,Depreciation!$A$14:$L$18,12,FALSE),0))</f>
        <v>3.343407856743718E-2</v>
      </c>
      <c r="O319" s="307">
        <f t="shared" si="33"/>
        <v>38197.774951612657</v>
      </c>
      <c r="P319" s="732">
        <f>'Func Future Subs 2015'!P319</f>
        <v>0</v>
      </c>
      <c r="Q319" s="732">
        <f>'Func Future Subs 2015'!Q319</f>
        <v>1</v>
      </c>
      <c r="R319" s="732">
        <f>'Func Future Subs 2015'!R319</f>
        <v>0</v>
      </c>
      <c r="S319" s="735">
        <f t="shared" si="34"/>
        <v>0</v>
      </c>
      <c r="T319" s="735">
        <f t="shared" si="35"/>
        <v>38197.774951612657</v>
      </c>
      <c r="U319" s="735">
        <f t="shared" si="36"/>
        <v>0</v>
      </c>
      <c r="V319" s="736">
        <f t="shared" si="37"/>
        <v>0</v>
      </c>
      <c r="W319" s="735">
        <f t="shared" si="38"/>
        <v>0</v>
      </c>
      <c r="X319" s="737">
        <f t="shared" si="39"/>
        <v>0</v>
      </c>
      <c r="Y319" s="738">
        <f t="shared" si="40"/>
        <v>38197.774951612657</v>
      </c>
    </row>
    <row r="320" spans="1:25">
      <c r="A320" s="754" t="str">
        <f>'Func Future Subs 2015'!A320</f>
        <v>Rosyth 296S</v>
      </c>
      <c r="B320" s="754">
        <f>'Func Future Subs 2015'!B320</f>
        <v>1558</v>
      </c>
      <c r="C320" s="754">
        <f>'Func Future Subs 2015'!C320</f>
        <v>138</v>
      </c>
      <c r="D320" s="754">
        <f>'Func Future Subs 2015'!D320</f>
        <v>25</v>
      </c>
      <c r="E320" s="754" t="str">
        <f>'Func Future Subs 2015'!E320</f>
        <v>296S</v>
      </c>
      <c r="F320" s="754">
        <f>'Func Future Subs 2015'!F320</f>
        <v>1504538.7885228479</v>
      </c>
      <c r="G320" s="754" t="str">
        <f>'Func Future Subs 2015'!G320</f>
        <v>AltaLink</v>
      </c>
      <c r="H320" s="754">
        <f>'Func Future Subs 2015'!H320</f>
        <v>2018</v>
      </c>
      <c r="I320" s="306">
        <f>+IF($H320=I$2,VLOOKUP($G320,Depreciation!$A$14:$L$18,7,FALSE)/2,IF($H320&lt;I$2,VLOOKUP($G320,Depreciation!$A$14:$L$18,7,FALSE),0))</f>
        <v>0</v>
      </c>
      <c r="J320" s="306">
        <f>+IF($H320=J$2,VLOOKUP($G320,Depreciation!$A$14:$L$18,8,FALSE)/2,IF($H320&lt;J$2,VLOOKUP($G320,Depreciation!$A$14:$L$18,8,FALSE),0))</f>
        <v>0</v>
      </c>
      <c r="K320" s="306">
        <f>+IF($H320=K$2,VLOOKUP($G320,Depreciation!$A$14:$L$18,9,FALSE)/2,IF($H320&lt;K$2,VLOOKUP($G320,Depreciation!$A$14:$L$18,9,FALSE),0))</f>
        <v>0</v>
      </c>
      <c r="L320" s="306">
        <f>+IF($H320=L$2,VLOOKUP($G320,Depreciation!$A$14:$L$18,10,FALSE)/2,IF($H320&lt;L$2,VLOOKUP($G320,Depreciation!$A$14:$L$18,10,FALSE),0))</f>
        <v>1.671703928371859E-2</v>
      </c>
      <c r="M320" s="306">
        <f>+IF($H320=M$2,VLOOKUP($G320,Depreciation!$A$14:$L$18,11,FALSE)/2,IF($H320&lt;M$2,VLOOKUP($G320,Depreciation!$A$14:$L$18,11,FALSE),0))</f>
        <v>3.343407856743718E-2</v>
      </c>
      <c r="N320" s="306">
        <f>+IF($H320=N$2,VLOOKUP($G320,Depreciation!$A$14:$L$18,12,FALSE)/2,IF($H320&lt;N$2,VLOOKUP($G320,Depreciation!$A$14:$L$18,12,FALSE),0))</f>
        <v>3.343407856743718E-2</v>
      </c>
      <c r="O320" s="307">
        <f t="shared" si="33"/>
        <v>1429925.4014495001</v>
      </c>
      <c r="P320" s="732">
        <f>'Func Future Subs 2015'!P320</f>
        <v>0</v>
      </c>
      <c r="Q320" s="732">
        <f>'Func Future Subs 2015'!Q320</f>
        <v>0</v>
      </c>
      <c r="R320" s="732">
        <f>'Func Future Subs 2015'!R320</f>
        <v>1</v>
      </c>
      <c r="S320" s="735">
        <f t="shared" si="34"/>
        <v>0</v>
      </c>
      <c r="T320" s="735">
        <f t="shared" si="35"/>
        <v>0</v>
      </c>
      <c r="U320" s="735">
        <f t="shared" si="36"/>
        <v>1429925.4014495001</v>
      </c>
      <c r="V320" s="736">
        <f t="shared" si="37"/>
        <v>0</v>
      </c>
      <c r="W320" s="735">
        <f t="shared" si="38"/>
        <v>0</v>
      </c>
      <c r="X320" s="737">
        <f t="shared" si="39"/>
        <v>0</v>
      </c>
      <c r="Y320" s="738">
        <f t="shared" si="40"/>
        <v>1429925.4014495001</v>
      </c>
    </row>
    <row r="321" spans="1:25">
      <c r="A321" s="754" t="str">
        <f>'Func Future Subs 2015'!A321</f>
        <v>Blackfalds 198S</v>
      </c>
      <c r="B321" s="754">
        <f>'Func Future Subs 2015'!B321</f>
        <v>1568</v>
      </c>
      <c r="C321" s="754">
        <f>'Func Future Subs 2015'!C321</f>
        <v>138</v>
      </c>
      <c r="D321" s="754">
        <f>'Func Future Subs 2015'!D321</f>
        <v>25</v>
      </c>
      <c r="E321" s="754" t="str">
        <f>'Func Future Subs 2015'!E321</f>
        <v>198S</v>
      </c>
      <c r="F321" s="754">
        <f>'Func Future Subs 2015'!F321</f>
        <v>6213000</v>
      </c>
      <c r="G321" s="754" t="str">
        <f>'Func Future Subs 2015'!G321</f>
        <v>AltaLink</v>
      </c>
      <c r="H321" s="754">
        <f>'Func Future Subs 2015'!H321</f>
        <v>2016</v>
      </c>
      <c r="I321" s="306">
        <f>+IF($H321=I$2,VLOOKUP($G321,Depreciation!$A$14:$L$18,7,FALSE)/2,IF($H321&lt;I$2,VLOOKUP($G321,Depreciation!$A$14:$L$18,7,FALSE),0))</f>
        <v>0</v>
      </c>
      <c r="J321" s="306">
        <f>+IF($H321=J$2,VLOOKUP($G321,Depreciation!$A$14:$L$18,8,FALSE)/2,IF($H321&lt;J$2,VLOOKUP($G321,Depreciation!$A$14:$L$18,8,FALSE),0))</f>
        <v>1.671703928371859E-2</v>
      </c>
      <c r="K321" s="306">
        <f>+IF($H321=K$2,VLOOKUP($G321,Depreciation!$A$14:$L$18,9,FALSE)/2,IF($H321&lt;K$2,VLOOKUP($G321,Depreciation!$A$14:$L$18,9,FALSE),0))</f>
        <v>3.343407856743718E-2</v>
      </c>
      <c r="L321" s="306">
        <f>+IF($H321=L$2,VLOOKUP($G321,Depreciation!$A$14:$L$18,10,FALSE)/2,IF($H321&lt;L$2,VLOOKUP($G321,Depreciation!$A$14:$L$18,10,FALSE),0))</f>
        <v>3.343407856743718E-2</v>
      </c>
      <c r="M321" s="306">
        <f>+IF($H321=M$2,VLOOKUP($G321,Depreciation!$A$14:$L$18,11,FALSE)/2,IF($H321&lt;M$2,VLOOKUP($G321,Depreciation!$A$14:$L$18,11,FALSE),0))</f>
        <v>3.343407856743718E-2</v>
      </c>
      <c r="N321" s="306">
        <f>+IF($H321=N$2,VLOOKUP($G321,Depreciation!$A$14:$L$18,12,FALSE)/2,IF($H321&lt;N$2,VLOOKUP($G321,Depreciation!$A$14:$L$18,12,FALSE),0))</f>
        <v>3.343407856743718E-2</v>
      </c>
      <c r="O321" s="307">
        <f t="shared" si="33"/>
        <v>5516635.6794392709</v>
      </c>
      <c r="P321" s="732">
        <f>'Func Future Subs 2015'!P321</f>
        <v>0</v>
      </c>
      <c r="Q321" s="732">
        <f>'Func Future Subs 2015'!Q321</f>
        <v>1</v>
      </c>
      <c r="R321" s="732">
        <f>'Func Future Subs 2015'!R321</f>
        <v>0</v>
      </c>
      <c r="S321" s="735">
        <f t="shared" si="34"/>
        <v>0</v>
      </c>
      <c r="T321" s="735">
        <f t="shared" si="35"/>
        <v>5516635.6794392709</v>
      </c>
      <c r="U321" s="735">
        <f t="shared" si="36"/>
        <v>0</v>
      </c>
      <c r="V321" s="736">
        <f t="shared" si="37"/>
        <v>0</v>
      </c>
      <c r="W321" s="735">
        <f t="shared" si="38"/>
        <v>0</v>
      </c>
      <c r="X321" s="737">
        <f t="shared" si="39"/>
        <v>0</v>
      </c>
      <c r="Y321" s="738">
        <f t="shared" si="40"/>
        <v>5516635.6794392709</v>
      </c>
    </row>
    <row r="322" spans="1:25">
      <c r="A322" s="754" t="str">
        <f>'Func Future Subs 2015'!A322</f>
        <v>Colinton 159S</v>
      </c>
      <c r="B322" s="754">
        <f>'Func Future Subs 2015'!B322</f>
        <v>1569</v>
      </c>
      <c r="C322" s="754">
        <f>'Func Future Subs 2015'!C322</f>
        <v>138</v>
      </c>
      <c r="D322" s="754">
        <f>'Func Future Subs 2015'!D322</f>
        <v>25</v>
      </c>
      <c r="E322" s="754" t="str">
        <f>'Func Future Subs 2015'!E322</f>
        <v>159S</v>
      </c>
      <c r="F322" s="754">
        <f>'Func Future Subs 2015'!F322</f>
        <v>5247000.0000000019</v>
      </c>
      <c r="G322" s="754" t="str">
        <f>'Func Future Subs 2015'!G322</f>
        <v>AltaLink</v>
      </c>
      <c r="H322" s="754">
        <f>'Func Future Subs 2015'!H322</f>
        <v>2016</v>
      </c>
      <c r="I322" s="306">
        <f>+IF($H322=I$2,VLOOKUP($G322,Depreciation!$A$14:$L$18,7,FALSE)/2,IF($H322&lt;I$2,VLOOKUP($G322,Depreciation!$A$14:$L$18,7,FALSE),0))</f>
        <v>0</v>
      </c>
      <c r="J322" s="306">
        <f>+IF($H322=J$2,VLOOKUP($G322,Depreciation!$A$14:$L$18,8,FALSE)/2,IF($H322&lt;J$2,VLOOKUP($G322,Depreciation!$A$14:$L$18,8,FALSE),0))</f>
        <v>1.671703928371859E-2</v>
      </c>
      <c r="K322" s="306">
        <f>+IF($H322=K$2,VLOOKUP($G322,Depreciation!$A$14:$L$18,9,FALSE)/2,IF($H322&lt;K$2,VLOOKUP($G322,Depreciation!$A$14:$L$18,9,FALSE),0))</f>
        <v>3.343407856743718E-2</v>
      </c>
      <c r="L322" s="306">
        <f>+IF($H322=L$2,VLOOKUP($G322,Depreciation!$A$14:$L$18,10,FALSE)/2,IF($H322&lt;L$2,VLOOKUP($G322,Depreciation!$A$14:$L$18,10,FALSE),0))</f>
        <v>3.343407856743718E-2</v>
      </c>
      <c r="M322" s="306">
        <f>+IF($H322=M$2,VLOOKUP($G322,Depreciation!$A$14:$L$18,11,FALSE)/2,IF($H322&lt;M$2,VLOOKUP($G322,Depreciation!$A$14:$L$18,11,FALSE),0))</f>
        <v>3.343407856743718E-2</v>
      </c>
      <c r="N322" s="306">
        <f>+IF($H322=N$2,VLOOKUP($G322,Depreciation!$A$14:$L$18,12,FALSE)/2,IF($H322&lt;N$2,VLOOKUP($G322,Depreciation!$A$14:$L$18,12,FALSE),0))</f>
        <v>3.343407856743718E-2</v>
      </c>
      <c r="O322" s="307">
        <f t="shared" si="33"/>
        <v>4658906.7133458667</v>
      </c>
      <c r="P322" s="732">
        <f>'Func Future Subs 2015'!P322</f>
        <v>0</v>
      </c>
      <c r="Q322" s="732">
        <f>'Func Future Subs 2015'!Q322</f>
        <v>1</v>
      </c>
      <c r="R322" s="732">
        <f>'Func Future Subs 2015'!R322</f>
        <v>0</v>
      </c>
      <c r="S322" s="735">
        <f t="shared" si="34"/>
        <v>0</v>
      </c>
      <c r="T322" s="735">
        <f t="shared" si="35"/>
        <v>4658906.7133458667</v>
      </c>
      <c r="U322" s="735">
        <f t="shared" si="36"/>
        <v>0</v>
      </c>
      <c r="V322" s="736">
        <f t="shared" si="37"/>
        <v>0</v>
      </c>
      <c r="W322" s="735">
        <f t="shared" si="38"/>
        <v>0</v>
      </c>
      <c r="X322" s="737">
        <f t="shared" si="39"/>
        <v>0</v>
      </c>
      <c r="Y322" s="738">
        <f t="shared" si="40"/>
        <v>4658906.7133458667</v>
      </c>
    </row>
    <row r="323" spans="1:25">
      <c r="A323" s="754" t="str">
        <f>'Func Future Subs 2015'!A323</f>
        <v>Bohn 931S</v>
      </c>
      <c r="B323" s="754">
        <f>'Func Future Subs 2015'!B323</f>
        <v>1570</v>
      </c>
      <c r="C323" s="754">
        <f>'Func Future Subs 2015'!C323</f>
        <v>240</v>
      </c>
      <c r="D323" s="754">
        <f>'Func Future Subs 2015'!D323</f>
        <v>25</v>
      </c>
      <c r="E323" s="754" t="str">
        <f>'Func Future Subs 2015'!E323</f>
        <v>931S</v>
      </c>
      <c r="F323" s="754">
        <f>'Func Future Subs 2015'!F323</f>
        <v>6197779.730344899</v>
      </c>
      <c r="G323" s="754" t="str">
        <f>'Func Future Subs 2015'!G323</f>
        <v>ATCO</v>
      </c>
      <c r="H323" s="754">
        <f>'Func Future Subs 2015'!H323</f>
        <v>2017</v>
      </c>
      <c r="I323" s="306">
        <f>+IF($H323=I$2,VLOOKUP($G323,Depreciation!$A$14:$L$18,7,FALSE)/2,IF($H323&lt;I$2,VLOOKUP($G323,Depreciation!$A$14:$L$18,7,FALSE),0))</f>
        <v>0</v>
      </c>
      <c r="J323" s="306">
        <f>+IF($H323=J$2,VLOOKUP($G323,Depreciation!$A$14:$L$18,8,FALSE)/2,IF($H323&lt;J$2,VLOOKUP($G323,Depreciation!$A$14:$L$18,8,FALSE),0))</f>
        <v>0</v>
      </c>
      <c r="K323" s="306">
        <f>+IF($H323=K$2,VLOOKUP($G323,Depreciation!$A$14:$L$18,9,FALSE)/2,IF($H323&lt;K$2,VLOOKUP($G323,Depreciation!$A$14:$L$18,9,FALSE),0))</f>
        <v>1.2175768213899416E-2</v>
      </c>
      <c r="L323" s="306">
        <f>+IF($H323=L$2,VLOOKUP($G323,Depreciation!$A$14:$L$18,10,FALSE)/2,IF($H323&lt;L$2,VLOOKUP($G323,Depreciation!$A$14:$L$18,10,FALSE),0))</f>
        <v>2.4351536427798831E-2</v>
      </c>
      <c r="M323" s="306">
        <f>+IF($H323=M$2,VLOOKUP($G323,Depreciation!$A$14:$L$18,11,FALSE)/2,IF($H323&lt;M$2,VLOOKUP($G323,Depreciation!$A$14:$L$18,11,FALSE),0))</f>
        <v>2.4351536427798831E-2</v>
      </c>
      <c r="N323" s="306">
        <f>+IF($H323=N$2,VLOOKUP($G323,Depreciation!$A$14:$L$18,12,FALSE)/2,IF($H323&lt;N$2,VLOOKUP($G323,Depreciation!$A$14:$L$18,12,FALSE),0))</f>
        <v>2.4351536427798831E-2</v>
      </c>
      <c r="O323" s="307">
        <f t="shared" si="33"/>
        <v>5827771.8675800348</v>
      </c>
      <c r="P323" s="732">
        <f>'Func Future Subs 2015'!P323</f>
        <v>0</v>
      </c>
      <c r="Q323" s="732">
        <f>'Func Future Subs 2015'!Q323</f>
        <v>1</v>
      </c>
      <c r="R323" s="732">
        <f>'Func Future Subs 2015'!R323</f>
        <v>0</v>
      </c>
      <c r="S323" s="735">
        <f t="shared" si="34"/>
        <v>0</v>
      </c>
      <c r="T323" s="735">
        <f t="shared" si="35"/>
        <v>5827771.8675800348</v>
      </c>
      <c r="U323" s="735">
        <f t="shared" si="36"/>
        <v>0</v>
      </c>
      <c r="V323" s="736">
        <f t="shared" si="37"/>
        <v>0</v>
      </c>
      <c r="W323" s="735">
        <f t="shared" si="38"/>
        <v>0</v>
      </c>
      <c r="X323" s="737">
        <f t="shared" si="39"/>
        <v>0</v>
      </c>
      <c r="Y323" s="738">
        <f t="shared" si="40"/>
        <v>5827771.8675800348</v>
      </c>
    </row>
    <row r="324" spans="1:25">
      <c r="A324" s="754" t="str">
        <f>'Func Future Subs 2015'!A324</f>
        <v>Mahihkan 837S</v>
      </c>
      <c r="B324" s="754">
        <f>'Func Future Subs 2015'!B324</f>
        <v>1571</v>
      </c>
      <c r="C324" s="754">
        <f>'Func Future Subs 2015'!C324</f>
        <v>138</v>
      </c>
      <c r="D324" s="754">
        <f>'Func Future Subs 2015'!D324</f>
        <v>25</v>
      </c>
      <c r="E324" s="754" t="str">
        <f>'Func Future Subs 2015'!E324</f>
        <v>837S</v>
      </c>
      <c r="F324" s="754">
        <f>'Func Future Subs 2015'!F324</f>
        <v>1810761.9999999988</v>
      </c>
      <c r="G324" s="754" t="str">
        <f>'Func Future Subs 2015'!G324</f>
        <v>ATCO</v>
      </c>
      <c r="H324" s="754">
        <f>'Func Future Subs 2015'!H324</f>
        <v>2017</v>
      </c>
      <c r="I324" s="306">
        <f>+IF($H324=I$2,VLOOKUP($G324,Depreciation!$A$14:$L$18,7,FALSE)/2,IF($H324&lt;I$2,VLOOKUP($G324,Depreciation!$A$14:$L$18,7,FALSE),0))</f>
        <v>0</v>
      </c>
      <c r="J324" s="306">
        <f>+IF($H324=J$2,VLOOKUP($G324,Depreciation!$A$14:$L$18,8,FALSE)/2,IF($H324&lt;J$2,VLOOKUP($G324,Depreciation!$A$14:$L$18,8,FALSE),0))</f>
        <v>0</v>
      </c>
      <c r="K324" s="306">
        <f>+IF($H324=K$2,VLOOKUP($G324,Depreciation!$A$14:$L$18,9,FALSE)/2,IF($H324&lt;K$2,VLOOKUP($G324,Depreciation!$A$14:$L$18,9,FALSE),0))</f>
        <v>1.2175768213899416E-2</v>
      </c>
      <c r="L324" s="306">
        <f>+IF($H324=L$2,VLOOKUP($G324,Depreciation!$A$14:$L$18,10,FALSE)/2,IF($H324&lt;L$2,VLOOKUP($G324,Depreciation!$A$14:$L$18,10,FALSE),0))</f>
        <v>2.4351536427798831E-2</v>
      </c>
      <c r="M324" s="306">
        <f>+IF($H324=M$2,VLOOKUP($G324,Depreciation!$A$14:$L$18,11,FALSE)/2,IF($H324&lt;M$2,VLOOKUP($G324,Depreciation!$A$14:$L$18,11,FALSE),0))</f>
        <v>2.4351536427798831E-2</v>
      </c>
      <c r="N324" s="306">
        <f>+IF($H324=N$2,VLOOKUP($G324,Depreciation!$A$14:$L$18,12,FALSE)/2,IF($H324&lt;N$2,VLOOKUP($G324,Depreciation!$A$14:$L$18,12,FALSE),0))</f>
        <v>2.4351536427798831E-2</v>
      </c>
      <c r="O324" s="307">
        <f t="shared" ref="O324:O354" si="41">IF(H324&lt;=2019,F324*(1-I324)*(1-J324)*(1-K324)*(1-L324)*(1-M324),0)</f>
        <v>1702659.3879766206</v>
      </c>
      <c r="P324" s="732">
        <f>'Func Future Subs 2015'!P324</f>
        <v>0</v>
      </c>
      <c r="Q324" s="732">
        <f>'Func Future Subs 2015'!Q324</f>
        <v>1</v>
      </c>
      <c r="R324" s="732">
        <f>'Func Future Subs 2015'!R324</f>
        <v>0</v>
      </c>
      <c r="S324" s="735">
        <f t="shared" ref="S324:S354" si="42">+P324*$O324</f>
        <v>0</v>
      </c>
      <c r="T324" s="735">
        <f t="shared" ref="T324:T354" si="43">+Q324*$O324</f>
        <v>1702659.3879766206</v>
      </c>
      <c r="U324" s="735">
        <f t="shared" ref="U324:U354" si="44">+R324*$O324</f>
        <v>0</v>
      </c>
      <c r="V324" s="736">
        <f t="shared" ref="V324:V354" si="45">IF(AND(R324=1,D324=0),O324,0)</f>
        <v>0</v>
      </c>
      <c r="W324" s="735">
        <f t="shared" ref="W324:W354" si="46">S324+IF(D324&gt;144,U324,0)</f>
        <v>0</v>
      </c>
      <c r="X324" s="737">
        <f t="shared" ref="X324:X354" si="47">IF(AND(D324&lt;=144,D324&gt;=69),U324,0)</f>
        <v>0</v>
      </c>
      <c r="Y324" s="738">
        <f t="shared" ref="Y324:Y354" si="48">T324+IF(AND(D324&lt;69,D324&gt;0),U324,0)</f>
        <v>1702659.3879766206</v>
      </c>
    </row>
    <row r="325" spans="1:25">
      <c r="A325" s="754" t="str">
        <f>'Func Future Subs 2015'!A325</f>
        <v>Leduc 325S 180D</v>
      </c>
      <c r="B325" s="754">
        <f>'Func Future Subs 2015'!B325</f>
        <v>1574</v>
      </c>
      <c r="C325" s="754">
        <f>'Func Future Subs 2015'!C325</f>
        <v>138</v>
      </c>
      <c r="D325" s="754">
        <f>'Func Future Subs 2015'!D325</f>
        <v>25</v>
      </c>
      <c r="E325" s="754" t="str">
        <f>'Func Future Subs 2015'!E325</f>
        <v>325S</v>
      </c>
      <c r="F325" s="754">
        <f>'Func Future Subs 2015'!F325</f>
        <v>6315643.0000000047</v>
      </c>
      <c r="G325" s="754" t="str">
        <f>'Func Future Subs 2015'!G325</f>
        <v>AltaLink</v>
      </c>
      <c r="H325" s="754">
        <f>'Func Future Subs 2015'!H325</f>
        <v>2016</v>
      </c>
      <c r="I325" s="306">
        <f>+IF($H325=I$2,VLOOKUP($G325,Depreciation!$A$14:$L$18,7,FALSE)/2,IF($H325&lt;I$2,VLOOKUP($G325,Depreciation!$A$14:$L$18,7,FALSE),0))</f>
        <v>0</v>
      </c>
      <c r="J325" s="306">
        <f>+IF($H325=J$2,VLOOKUP($G325,Depreciation!$A$14:$L$18,8,FALSE)/2,IF($H325&lt;J$2,VLOOKUP($G325,Depreciation!$A$14:$L$18,8,FALSE),0))</f>
        <v>1.671703928371859E-2</v>
      </c>
      <c r="K325" s="306">
        <f>+IF($H325=K$2,VLOOKUP($G325,Depreciation!$A$14:$L$18,9,FALSE)/2,IF($H325&lt;K$2,VLOOKUP($G325,Depreciation!$A$14:$L$18,9,FALSE),0))</f>
        <v>3.343407856743718E-2</v>
      </c>
      <c r="L325" s="306">
        <f>+IF($H325=L$2,VLOOKUP($G325,Depreciation!$A$14:$L$18,10,FALSE)/2,IF($H325&lt;L$2,VLOOKUP($G325,Depreciation!$A$14:$L$18,10,FALSE),0))</f>
        <v>3.343407856743718E-2</v>
      </c>
      <c r="M325" s="306">
        <f>+IF($H325=M$2,VLOOKUP($G325,Depreciation!$A$14:$L$18,11,FALSE)/2,IF($H325&lt;M$2,VLOOKUP($G325,Depreciation!$A$14:$L$18,11,FALSE),0))</f>
        <v>3.343407856743718E-2</v>
      </c>
      <c r="N325" s="306">
        <f>+IF($H325=N$2,VLOOKUP($G325,Depreciation!$A$14:$L$18,12,FALSE)/2,IF($H325&lt;N$2,VLOOKUP($G325,Depreciation!$A$14:$L$18,12,FALSE),0))</f>
        <v>3.343407856743718E-2</v>
      </c>
      <c r="O325" s="307">
        <f t="shared" si="41"/>
        <v>5607774.2656367142</v>
      </c>
      <c r="P325" s="732">
        <f>'Func Future Subs 2015'!P325</f>
        <v>0</v>
      </c>
      <c r="Q325" s="732">
        <f>'Func Future Subs 2015'!Q325</f>
        <v>1</v>
      </c>
      <c r="R325" s="732">
        <f>'Func Future Subs 2015'!R325</f>
        <v>0</v>
      </c>
      <c r="S325" s="735">
        <f t="shared" si="42"/>
        <v>0</v>
      </c>
      <c r="T325" s="735">
        <f t="shared" si="43"/>
        <v>5607774.2656367142</v>
      </c>
      <c r="U325" s="735">
        <f t="shared" si="44"/>
        <v>0</v>
      </c>
      <c r="V325" s="736">
        <f t="shared" si="45"/>
        <v>0</v>
      </c>
      <c r="W325" s="735">
        <f t="shared" si="46"/>
        <v>0</v>
      </c>
      <c r="X325" s="737">
        <f t="shared" si="47"/>
        <v>0</v>
      </c>
      <c r="Y325" s="738">
        <f t="shared" si="48"/>
        <v>5607774.2656367142</v>
      </c>
    </row>
    <row r="326" spans="1:25">
      <c r="A326" s="754" t="str">
        <f>'Func Future Subs 2015'!A326</f>
        <v>Modify Vilna 777S</v>
      </c>
      <c r="B326" s="754">
        <f>'Func Future Subs 2015'!B326</f>
        <v>1579</v>
      </c>
      <c r="C326" s="754">
        <f>'Func Future Subs 2015'!C326</f>
        <v>138</v>
      </c>
      <c r="D326" s="754">
        <f>'Func Future Subs 2015'!D326</f>
        <v>25</v>
      </c>
      <c r="E326" s="754" t="str">
        <f>'Func Future Subs 2015'!E326</f>
        <v>777S</v>
      </c>
      <c r="F326" s="754">
        <f>'Func Future Subs 2015'!F326</f>
        <v>196941.99999999985</v>
      </c>
      <c r="G326" s="754" t="str">
        <f>'Func Future Subs 2015'!G326</f>
        <v>ATCO</v>
      </c>
      <c r="H326" s="754">
        <f>'Func Future Subs 2015'!H326</f>
        <v>2015</v>
      </c>
      <c r="I326" s="306">
        <f>+IF($H326=I$2,VLOOKUP($G326,Depreciation!$A$14:$L$18,7,FALSE)/2,IF($H326&lt;I$2,VLOOKUP($G326,Depreciation!$A$14:$L$18,7,FALSE),0))</f>
        <v>1.221703683566912E-2</v>
      </c>
      <c r="J326" s="306">
        <f>+IF($H326=J$2,VLOOKUP($G326,Depreciation!$A$14:$L$18,8,FALSE)/2,IF($H326&lt;J$2,VLOOKUP($G326,Depreciation!$A$14:$L$18,8,FALSE),0))</f>
        <v>2.4632450501084719E-2</v>
      </c>
      <c r="K326" s="306">
        <f>+IF($H326=K$2,VLOOKUP($G326,Depreciation!$A$14:$L$18,9,FALSE)/2,IF($H326&lt;K$2,VLOOKUP($G326,Depreciation!$A$14:$L$18,9,FALSE),0))</f>
        <v>2.4351536427798831E-2</v>
      </c>
      <c r="L326" s="306">
        <f>+IF($H326=L$2,VLOOKUP($G326,Depreciation!$A$14:$L$18,10,FALSE)/2,IF($H326&lt;L$2,VLOOKUP($G326,Depreciation!$A$14:$L$18,10,FALSE),0))</f>
        <v>2.4351536427798831E-2</v>
      </c>
      <c r="M326" s="306">
        <f>+IF($H326=M$2,VLOOKUP($G326,Depreciation!$A$14:$L$18,11,FALSE)/2,IF($H326&lt;M$2,VLOOKUP($G326,Depreciation!$A$14:$L$18,11,FALSE),0))</f>
        <v>2.4351536427798831E-2</v>
      </c>
      <c r="N326" s="306">
        <f>+IF($H326=N$2,VLOOKUP($G326,Depreciation!$A$14:$L$18,12,FALSE)/2,IF($H326&lt;N$2,VLOOKUP($G326,Depreciation!$A$14:$L$18,12,FALSE),0))</f>
        <v>2.4351536427798831E-2</v>
      </c>
      <c r="O326" s="307">
        <f t="shared" si="41"/>
        <v>176217.1904776007</v>
      </c>
      <c r="P326" s="732">
        <f>'Func Future Subs 2015'!P326</f>
        <v>0</v>
      </c>
      <c r="Q326" s="732">
        <f>'Func Future Subs 2015'!Q326</f>
        <v>1</v>
      </c>
      <c r="R326" s="732">
        <f>'Func Future Subs 2015'!R326</f>
        <v>0</v>
      </c>
      <c r="S326" s="735">
        <f t="shared" si="42"/>
        <v>0</v>
      </c>
      <c r="T326" s="735">
        <f t="shared" si="43"/>
        <v>176217.1904776007</v>
      </c>
      <c r="U326" s="735">
        <f t="shared" si="44"/>
        <v>0</v>
      </c>
      <c r="V326" s="736">
        <f t="shared" si="45"/>
        <v>0</v>
      </c>
      <c r="W326" s="735">
        <f t="shared" si="46"/>
        <v>0</v>
      </c>
      <c r="X326" s="737">
        <f t="shared" si="47"/>
        <v>0</v>
      </c>
      <c r="Y326" s="738">
        <f t="shared" si="48"/>
        <v>176217.1904776007</v>
      </c>
    </row>
    <row r="327" spans="1:25">
      <c r="A327" s="754" t="str">
        <f>'Func Future Subs 2015'!A327</f>
        <v>Upgrade Simonette 733S</v>
      </c>
      <c r="B327" s="754">
        <f>'Func Future Subs 2015'!B327</f>
        <v>1581</v>
      </c>
      <c r="C327" s="754">
        <f>'Func Future Subs 2015'!C327</f>
        <v>144</v>
      </c>
      <c r="D327" s="754">
        <f>'Func Future Subs 2015'!D327</f>
        <v>25</v>
      </c>
      <c r="E327" s="754" t="str">
        <f>'Func Future Subs 2015'!E327</f>
        <v>733S</v>
      </c>
      <c r="F327" s="754">
        <f>'Func Future Subs 2015'!F327</f>
        <v>6524690.9999999991</v>
      </c>
      <c r="G327" s="754" t="str">
        <f>'Func Future Subs 2015'!G327</f>
        <v>ATCO</v>
      </c>
      <c r="H327" s="754">
        <f>'Func Future Subs 2015'!H327</f>
        <v>2016</v>
      </c>
      <c r="I327" s="306">
        <f>+IF($H327=I$2,VLOOKUP($G327,Depreciation!$A$14:$L$18,7,FALSE)/2,IF($H327&lt;I$2,VLOOKUP($G327,Depreciation!$A$14:$L$18,7,FALSE),0))</f>
        <v>0</v>
      </c>
      <c r="J327" s="306">
        <f>+IF($H327=J$2,VLOOKUP($G327,Depreciation!$A$14:$L$18,8,FALSE)/2,IF($H327&lt;J$2,VLOOKUP($G327,Depreciation!$A$14:$L$18,8,FALSE),0))</f>
        <v>1.231622525054236E-2</v>
      </c>
      <c r="K327" s="306">
        <f>+IF($H327=K$2,VLOOKUP($G327,Depreciation!$A$14:$L$18,9,FALSE)/2,IF($H327&lt;K$2,VLOOKUP($G327,Depreciation!$A$14:$L$18,9,FALSE),0))</f>
        <v>2.4351536427798831E-2</v>
      </c>
      <c r="L327" s="306">
        <f>+IF($H327=L$2,VLOOKUP($G327,Depreciation!$A$14:$L$18,10,FALSE)/2,IF($H327&lt;L$2,VLOOKUP($G327,Depreciation!$A$14:$L$18,10,FALSE),0))</f>
        <v>2.4351536427798831E-2</v>
      </c>
      <c r="M327" s="306">
        <f>+IF($H327=M$2,VLOOKUP($G327,Depreciation!$A$14:$L$18,11,FALSE)/2,IF($H327&lt;M$2,VLOOKUP($G327,Depreciation!$A$14:$L$18,11,FALSE),0))</f>
        <v>2.4351536427798831E-2</v>
      </c>
      <c r="N327" s="306">
        <f>+IF($H327=N$2,VLOOKUP($G327,Depreciation!$A$14:$L$18,12,FALSE)/2,IF($H327&lt;N$2,VLOOKUP($G327,Depreciation!$A$14:$L$18,12,FALSE),0))</f>
        <v>2.4351536427798831E-2</v>
      </c>
      <c r="O327" s="307">
        <f t="shared" si="41"/>
        <v>5984914.6760453973</v>
      </c>
      <c r="P327" s="732">
        <f>'Func Future Subs 2015'!P327</f>
        <v>0</v>
      </c>
      <c r="Q327" s="732">
        <f>'Func Future Subs 2015'!Q327</f>
        <v>1</v>
      </c>
      <c r="R327" s="732">
        <f>'Func Future Subs 2015'!R327</f>
        <v>0</v>
      </c>
      <c r="S327" s="735">
        <f t="shared" si="42"/>
        <v>0</v>
      </c>
      <c r="T327" s="735">
        <f t="shared" si="43"/>
        <v>5984914.6760453973</v>
      </c>
      <c r="U327" s="735">
        <f t="shared" si="44"/>
        <v>0</v>
      </c>
      <c r="V327" s="736">
        <f t="shared" si="45"/>
        <v>0</v>
      </c>
      <c r="W327" s="735">
        <f t="shared" si="46"/>
        <v>0</v>
      </c>
      <c r="X327" s="737">
        <f t="shared" si="47"/>
        <v>0</v>
      </c>
      <c r="Y327" s="738">
        <f t="shared" si="48"/>
        <v>5984914.6760453973</v>
      </c>
    </row>
    <row r="328" spans="1:25">
      <c r="A328" s="754" t="str">
        <f>'Func Future Subs 2015'!A328</f>
        <v>Jarrow 252S</v>
      </c>
      <c r="B328" s="754">
        <f>'Func Future Subs 2015'!B328</f>
        <v>1594</v>
      </c>
      <c r="C328" s="754">
        <f>'Func Future Subs 2015'!C328</f>
        <v>138</v>
      </c>
      <c r="D328" s="754">
        <f>'Func Future Subs 2015'!D328</f>
        <v>25</v>
      </c>
      <c r="E328" s="754" t="str">
        <f>'Func Future Subs 2015'!E328</f>
        <v>252S</v>
      </c>
      <c r="F328" s="754">
        <f>'Func Future Subs 2015'!F328</f>
        <v>13928.712350388019</v>
      </c>
      <c r="G328" s="754" t="str">
        <f>'Func Future Subs 2015'!G328</f>
        <v>AltaLink</v>
      </c>
      <c r="H328" s="754">
        <f>'Func Future Subs 2015'!H328</f>
        <v>2018</v>
      </c>
      <c r="I328" s="306">
        <f>+IF($H328=I$2,VLOOKUP($G328,Depreciation!$A$14:$L$18,7,FALSE)/2,IF($H328&lt;I$2,VLOOKUP($G328,Depreciation!$A$14:$L$18,7,FALSE),0))</f>
        <v>0</v>
      </c>
      <c r="J328" s="306">
        <f>+IF($H328=J$2,VLOOKUP($G328,Depreciation!$A$14:$L$18,8,FALSE)/2,IF($H328&lt;J$2,VLOOKUP($G328,Depreciation!$A$14:$L$18,8,FALSE),0))</f>
        <v>0</v>
      </c>
      <c r="K328" s="306">
        <f>+IF($H328=K$2,VLOOKUP($G328,Depreciation!$A$14:$L$18,9,FALSE)/2,IF($H328&lt;K$2,VLOOKUP($G328,Depreciation!$A$14:$L$18,9,FALSE),0))</f>
        <v>0</v>
      </c>
      <c r="L328" s="306">
        <f>+IF($H328=L$2,VLOOKUP($G328,Depreciation!$A$14:$L$18,10,FALSE)/2,IF($H328&lt;L$2,VLOOKUP($G328,Depreciation!$A$14:$L$18,10,FALSE),0))</f>
        <v>1.671703928371859E-2</v>
      </c>
      <c r="M328" s="306">
        <f>+IF($H328=M$2,VLOOKUP($G328,Depreciation!$A$14:$L$18,11,FALSE)/2,IF($H328&lt;M$2,VLOOKUP($G328,Depreciation!$A$14:$L$18,11,FALSE),0))</f>
        <v>3.343407856743718E-2</v>
      </c>
      <c r="N328" s="306">
        <f>+IF($H328=N$2,VLOOKUP($G328,Depreciation!$A$14:$L$18,12,FALSE)/2,IF($H328&lt;N$2,VLOOKUP($G328,Depreciation!$A$14:$L$18,12,FALSE),0))</f>
        <v>3.343407856743718E-2</v>
      </c>
      <c r="O328" s="307">
        <f t="shared" si="41"/>
        <v>13237.956875048516</v>
      </c>
      <c r="P328" s="732">
        <f>'Func Future Subs 2015'!P328</f>
        <v>0</v>
      </c>
      <c r="Q328" s="732">
        <f>'Func Future Subs 2015'!Q328</f>
        <v>1</v>
      </c>
      <c r="R328" s="732">
        <f>'Func Future Subs 2015'!R328</f>
        <v>0</v>
      </c>
      <c r="S328" s="735">
        <f t="shared" si="42"/>
        <v>0</v>
      </c>
      <c r="T328" s="735">
        <f t="shared" si="43"/>
        <v>13237.956875048516</v>
      </c>
      <c r="U328" s="735">
        <f t="shared" si="44"/>
        <v>0</v>
      </c>
      <c r="V328" s="736">
        <f t="shared" si="45"/>
        <v>0</v>
      </c>
      <c r="W328" s="735">
        <f t="shared" si="46"/>
        <v>0</v>
      </c>
      <c r="X328" s="737">
        <f t="shared" si="47"/>
        <v>0</v>
      </c>
      <c r="Y328" s="738">
        <f t="shared" si="48"/>
        <v>13237.956875048516</v>
      </c>
    </row>
    <row r="329" spans="1:25">
      <c r="A329" s="754" t="str">
        <f>'Func Future Subs 2015'!A329</f>
        <v>Tucuman 478S</v>
      </c>
      <c r="B329" s="754">
        <f>'Func Future Subs 2015'!B329</f>
        <v>1594</v>
      </c>
      <c r="C329" s="754">
        <f>'Func Future Subs 2015'!C329</f>
        <v>138</v>
      </c>
      <c r="D329" s="754">
        <f>'Func Future Subs 2015'!D329</f>
        <v>25</v>
      </c>
      <c r="E329" s="754" t="str">
        <f>'Func Future Subs 2015'!E329</f>
        <v>478S</v>
      </c>
      <c r="F329" s="754">
        <f>'Func Future Subs 2015'!F329</f>
        <v>13928.712350388019</v>
      </c>
      <c r="G329" s="754" t="str">
        <f>'Func Future Subs 2015'!G329</f>
        <v>AltaLink</v>
      </c>
      <c r="H329" s="754">
        <f>'Func Future Subs 2015'!H329</f>
        <v>2018</v>
      </c>
      <c r="I329" s="306">
        <f>+IF($H329=I$2,VLOOKUP($G329,Depreciation!$A$14:$L$18,7,FALSE)/2,IF($H329&lt;I$2,VLOOKUP($G329,Depreciation!$A$14:$L$18,7,FALSE),0))</f>
        <v>0</v>
      </c>
      <c r="J329" s="306">
        <f>+IF($H329=J$2,VLOOKUP($G329,Depreciation!$A$14:$L$18,8,FALSE)/2,IF($H329&lt;J$2,VLOOKUP($G329,Depreciation!$A$14:$L$18,8,FALSE),0))</f>
        <v>0</v>
      </c>
      <c r="K329" s="306">
        <f>+IF($H329=K$2,VLOOKUP($G329,Depreciation!$A$14:$L$18,9,FALSE)/2,IF($H329&lt;K$2,VLOOKUP($G329,Depreciation!$A$14:$L$18,9,FALSE),0))</f>
        <v>0</v>
      </c>
      <c r="L329" s="306">
        <f>+IF($H329=L$2,VLOOKUP($G329,Depreciation!$A$14:$L$18,10,FALSE)/2,IF($H329&lt;L$2,VLOOKUP($G329,Depreciation!$A$14:$L$18,10,FALSE),0))</f>
        <v>1.671703928371859E-2</v>
      </c>
      <c r="M329" s="306">
        <f>+IF($H329=M$2,VLOOKUP($G329,Depreciation!$A$14:$L$18,11,FALSE)/2,IF($H329&lt;M$2,VLOOKUP($G329,Depreciation!$A$14:$L$18,11,FALSE),0))</f>
        <v>3.343407856743718E-2</v>
      </c>
      <c r="N329" s="306">
        <f>+IF($H329=N$2,VLOOKUP($G329,Depreciation!$A$14:$L$18,12,FALSE)/2,IF($H329&lt;N$2,VLOOKUP($G329,Depreciation!$A$14:$L$18,12,FALSE),0))</f>
        <v>3.343407856743718E-2</v>
      </c>
      <c r="O329" s="307">
        <f t="shared" si="41"/>
        <v>13237.956875048516</v>
      </c>
      <c r="P329" s="732">
        <f>'Func Future Subs 2015'!P329</f>
        <v>0</v>
      </c>
      <c r="Q329" s="732">
        <f>'Func Future Subs 2015'!Q329</f>
        <v>1</v>
      </c>
      <c r="R329" s="732">
        <f>'Func Future Subs 2015'!R329</f>
        <v>0</v>
      </c>
      <c r="S329" s="735">
        <f t="shared" si="42"/>
        <v>0</v>
      </c>
      <c r="T329" s="735">
        <f t="shared" si="43"/>
        <v>13237.956875048516</v>
      </c>
      <c r="U329" s="735">
        <f t="shared" si="44"/>
        <v>0</v>
      </c>
      <c r="V329" s="736">
        <f t="shared" si="45"/>
        <v>0</v>
      </c>
      <c r="W329" s="735">
        <f t="shared" si="46"/>
        <v>0</v>
      </c>
      <c r="X329" s="737">
        <f t="shared" si="47"/>
        <v>0</v>
      </c>
      <c r="Y329" s="738">
        <f t="shared" si="48"/>
        <v>13237.956875048516</v>
      </c>
    </row>
    <row r="330" spans="1:25">
      <c r="A330" s="754" t="str">
        <f>'Func Future Subs 2015'!A330</f>
        <v>Wainwright 51S</v>
      </c>
      <c r="B330" s="754">
        <f>'Func Future Subs 2015'!B330</f>
        <v>1594</v>
      </c>
      <c r="C330" s="754">
        <f>'Func Future Subs 2015'!C330</f>
        <v>138</v>
      </c>
      <c r="D330" s="754">
        <f>'Func Future Subs 2015'!D330</f>
        <v>25</v>
      </c>
      <c r="E330" s="754" t="str">
        <f>'Func Future Subs 2015'!E330</f>
        <v>51S</v>
      </c>
      <c r="F330" s="754">
        <f>'Func Future Subs 2015'!F330</f>
        <v>3535571.4849401587</v>
      </c>
      <c r="G330" s="754" t="str">
        <f>'Func Future Subs 2015'!G330</f>
        <v>AltaLink</v>
      </c>
      <c r="H330" s="754">
        <f>'Func Future Subs 2015'!H330</f>
        <v>2018</v>
      </c>
      <c r="I330" s="306">
        <f>+IF($H330=I$2,VLOOKUP($G330,Depreciation!$A$14:$L$18,7,FALSE)/2,IF($H330&lt;I$2,VLOOKUP($G330,Depreciation!$A$14:$L$18,7,FALSE),0))</f>
        <v>0</v>
      </c>
      <c r="J330" s="306">
        <f>+IF($H330=J$2,VLOOKUP($G330,Depreciation!$A$14:$L$18,8,FALSE)/2,IF($H330&lt;J$2,VLOOKUP($G330,Depreciation!$A$14:$L$18,8,FALSE),0))</f>
        <v>0</v>
      </c>
      <c r="K330" s="306">
        <f>+IF($H330=K$2,VLOOKUP($G330,Depreciation!$A$14:$L$18,9,FALSE)/2,IF($H330&lt;K$2,VLOOKUP($G330,Depreciation!$A$14:$L$18,9,FALSE),0))</f>
        <v>0</v>
      </c>
      <c r="L330" s="306">
        <f>+IF($H330=L$2,VLOOKUP($G330,Depreciation!$A$14:$L$18,10,FALSE)/2,IF($H330&lt;L$2,VLOOKUP($G330,Depreciation!$A$14:$L$18,10,FALSE),0))</f>
        <v>1.671703928371859E-2</v>
      </c>
      <c r="M330" s="306">
        <f>+IF($H330=M$2,VLOOKUP($G330,Depreciation!$A$14:$L$18,11,FALSE)/2,IF($H330&lt;M$2,VLOOKUP($G330,Depreciation!$A$14:$L$18,11,FALSE),0))</f>
        <v>3.343407856743718E-2</v>
      </c>
      <c r="N330" s="306">
        <f>+IF($H330=N$2,VLOOKUP($G330,Depreciation!$A$14:$L$18,12,FALSE)/2,IF($H330&lt;N$2,VLOOKUP($G330,Depreciation!$A$14:$L$18,12,FALSE),0))</f>
        <v>3.343407856743718E-2</v>
      </c>
      <c r="O330" s="307">
        <f t="shared" si="41"/>
        <v>3360234.7201164812</v>
      </c>
      <c r="P330" s="732">
        <f>'Func Future Subs 2015'!P330</f>
        <v>0</v>
      </c>
      <c r="Q330" s="732">
        <f>'Func Future Subs 2015'!Q330</f>
        <v>1</v>
      </c>
      <c r="R330" s="732">
        <f>'Func Future Subs 2015'!R330</f>
        <v>0</v>
      </c>
      <c r="S330" s="735">
        <f t="shared" si="42"/>
        <v>0</v>
      </c>
      <c r="T330" s="735">
        <f t="shared" si="43"/>
        <v>3360234.7201164812</v>
      </c>
      <c r="U330" s="735">
        <f t="shared" si="44"/>
        <v>0</v>
      </c>
      <c r="V330" s="736">
        <f t="shared" si="45"/>
        <v>0</v>
      </c>
      <c r="W330" s="735">
        <f t="shared" si="46"/>
        <v>0</v>
      </c>
      <c r="X330" s="737">
        <f t="shared" si="47"/>
        <v>0</v>
      </c>
      <c r="Y330" s="738">
        <f t="shared" si="48"/>
        <v>3360234.7201164812</v>
      </c>
    </row>
    <row r="331" spans="1:25">
      <c r="A331" s="754" t="str">
        <f>'Func Future Subs 2015'!A331</f>
        <v>Fortis Broadmoor 420S</v>
      </c>
      <c r="B331" s="754">
        <f>'Func Future Subs 2015'!B331</f>
        <v>1597</v>
      </c>
      <c r="C331" s="754">
        <f>'Func Future Subs 2015'!C331</f>
        <v>138</v>
      </c>
      <c r="D331" s="754">
        <f>'Func Future Subs 2015'!D331</f>
        <v>25</v>
      </c>
      <c r="E331" s="754" t="str">
        <f>'Func Future Subs 2015'!E331</f>
        <v>420S</v>
      </c>
      <c r="F331" s="754">
        <f>'Func Future Subs 2015'!F331</f>
        <v>5892730</v>
      </c>
      <c r="G331" s="754" t="str">
        <f>'Func Future Subs 2015'!G331</f>
        <v>AltaLink</v>
      </c>
      <c r="H331" s="754">
        <f>'Func Future Subs 2015'!H331</f>
        <v>2016</v>
      </c>
      <c r="I331" s="306">
        <f>+IF($H331=I$2,VLOOKUP($G331,Depreciation!$A$14:$L$18,7,FALSE)/2,IF($H331&lt;I$2,VLOOKUP($G331,Depreciation!$A$14:$L$18,7,FALSE),0))</f>
        <v>0</v>
      </c>
      <c r="J331" s="306">
        <f>+IF($H331=J$2,VLOOKUP($G331,Depreciation!$A$14:$L$18,8,FALSE)/2,IF($H331&lt;J$2,VLOOKUP($G331,Depreciation!$A$14:$L$18,8,FALSE),0))</f>
        <v>1.671703928371859E-2</v>
      </c>
      <c r="K331" s="306">
        <f>+IF($H331=K$2,VLOOKUP($G331,Depreciation!$A$14:$L$18,9,FALSE)/2,IF($H331&lt;K$2,VLOOKUP($G331,Depreciation!$A$14:$L$18,9,FALSE),0))</f>
        <v>3.343407856743718E-2</v>
      </c>
      <c r="L331" s="306">
        <f>+IF($H331=L$2,VLOOKUP($G331,Depreciation!$A$14:$L$18,10,FALSE)/2,IF($H331&lt;L$2,VLOOKUP($G331,Depreciation!$A$14:$L$18,10,FALSE),0))</f>
        <v>3.343407856743718E-2</v>
      </c>
      <c r="M331" s="306">
        <f>+IF($H331=M$2,VLOOKUP($G331,Depreciation!$A$14:$L$18,11,FALSE)/2,IF($H331&lt;M$2,VLOOKUP($G331,Depreciation!$A$14:$L$18,11,FALSE),0))</f>
        <v>3.343407856743718E-2</v>
      </c>
      <c r="N331" s="306">
        <f>+IF($H331=N$2,VLOOKUP($G331,Depreciation!$A$14:$L$18,12,FALSE)/2,IF($H331&lt;N$2,VLOOKUP($G331,Depreciation!$A$14:$L$18,12,FALSE),0))</f>
        <v>3.343407856743718E-2</v>
      </c>
      <c r="O331" s="307">
        <f t="shared" si="41"/>
        <v>5232262.1225337479</v>
      </c>
      <c r="P331" s="732">
        <f>'Func Future Subs 2015'!P331</f>
        <v>0</v>
      </c>
      <c r="Q331" s="732">
        <f>'Func Future Subs 2015'!Q331</f>
        <v>1</v>
      </c>
      <c r="R331" s="732">
        <f>'Func Future Subs 2015'!R331</f>
        <v>0</v>
      </c>
      <c r="S331" s="735">
        <f t="shared" si="42"/>
        <v>0</v>
      </c>
      <c r="T331" s="735">
        <f t="shared" si="43"/>
        <v>5232262.1225337479</v>
      </c>
      <c r="U331" s="735">
        <f t="shared" si="44"/>
        <v>0</v>
      </c>
      <c r="V331" s="736">
        <f t="shared" si="45"/>
        <v>0</v>
      </c>
      <c r="W331" s="735">
        <f t="shared" si="46"/>
        <v>0</v>
      </c>
      <c r="X331" s="737">
        <f t="shared" si="47"/>
        <v>0</v>
      </c>
      <c r="Y331" s="738">
        <f t="shared" si="48"/>
        <v>5232262.1225337479</v>
      </c>
    </row>
    <row r="332" spans="1:25">
      <c r="A332" s="754" t="str">
        <f>'Func Future Subs 2015'!A332</f>
        <v>Upgrade Broadmoor 420S</v>
      </c>
      <c r="B332" s="754">
        <f>'Func Future Subs 2015'!B332</f>
        <v>1597</v>
      </c>
      <c r="C332" s="754">
        <f>'Func Future Subs 2015'!C332</f>
        <v>138</v>
      </c>
      <c r="D332" s="754">
        <f>'Func Future Subs 2015'!D332</f>
        <v>25</v>
      </c>
      <c r="E332" s="754" t="str">
        <f>'Func Future Subs 2015'!E332</f>
        <v>420S</v>
      </c>
      <c r="F332" s="754">
        <f>'Func Future Subs 2015'!F332</f>
        <v>4899999.9999999991</v>
      </c>
      <c r="G332" s="754" t="str">
        <f>'Func Future Subs 2015'!G332</f>
        <v>AltaLink</v>
      </c>
      <c r="H332" s="754">
        <f>'Func Future Subs 2015'!H332</f>
        <v>2016</v>
      </c>
      <c r="I332" s="306">
        <f>+IF($H332=I$2,VLOOKUP($G332,Depreciation!$A$14:$L$18,7,FALSE)/2,IF($H332&lt;I$2,VLOOKUP($G332,Depreciation!$A$14:$L$18,7,FALSE),0))</f>
        <v>0</v>
      </c>
      <c r="J332" s="306">
        <f>+IF($H332=J$2,VLOOKUP($G332,Depreciation!$A$14:$L$18,8,FALSE)/2,IF($H332&lt;J$2,VLOOKUP($G332,Depreciation!$A$14:$L$18,8,FALSE),0))</f>
        <v>1.671703928371859E-2</v>
      </c>
      <c r="K332" s="306">
        <f>+IF($H332=K$2,VLOOKUP($G332,Depreciation!$A$14:$L$18,9,FALSE)/2,IF($H332&lt;K$2,VLOOKUP($G332,Depreciation!$A$14:$L$18,9,FALSE),0))</f>
        <v>3.343407856743718E-2</v>
      </c>
      <c r="L332" s="306">
        <f>+IF($H332=L$2,VLOOKUP($G332,Depreciation!$A$14:$L$18,10,FALSE)/2,IF($H332&lt;L$2,VLOOKUP($G332,Depreciation!$A$14:$L$18,10,FALSE),0))</f>
        <v>3.343407856743718E-2</v>
      </c>
      <c r="M332" s="306">
        <f>+IF($H332=M$2,VLOOKUP($G332,Depreciation!$A$14:$L$18,11,FALSE)/2,IF($H332&lt;M$2,VLOOKUP($G332,Depreciation!$A$14:$L$18,11,FALSE),0))</f>
        <v>3.343407856743718E-2</v>
      </c>
      <c r="N332" s="306">
        <f>+IF($H332=N$2,VLOOKUP($G332,Depreciation!$A$14:$L$18,12,FALSE)/2,IF($H332&lt;N$2,VLOOKUP($G332,Depreciation!$A$14:$L$18,12,FALSE),0))</f>
        <v>3.343407856743718E-2</v>
      </c>
      <c r="O332" s="307">
        <f t="shared" si="41"/>
        <v>4350799.1033723522</v>
      </c>
      <c r="P332" s="732">
        <f>'Func Future Subs 2015'!P332</f>
        <v>0</v>
      </c>
      <c r="Q332" s="732">
        <f>'Func Future Subs 2015'!Q332</f>
        <v>1</v>
      </c>
      <c r="R332" s="732">
        <f>'Func Future Subs 2015'!R332</f>
        <v>0</v>
      </c>
      <c r="S332" s="735">
        <f t="shared" si="42"/>
        <v>0</v>
      </c>
      <c r="T332" s="735">
        <f t="shared" si="43"/>
        <v>4350799.1033723522</v>
      </c>
      <c r="U332" s="735">
        <f t="shared" si="44"/>
        <v>0</v>
      </c>
      <c r="V332" s="736">
        <f t="shared" si="45"/>
        <v>0</v>
      </c>
      <c r="W332" s="735">
        <f t="shared" si="46"/>
        <v>0</v>
      </c>
      <c r="X332" s="737">
        <f t="shared" si="47"/>
        <v>0</v>
      </c>
      <c r="Y332" s="738">
        <f t="shared" si="48"/>
        <v>4350799.1033723522</v>
      </c>
    </row>
    <row r="333" spans="1:25">
      <c r="A333" s="754" t="str">
        <f>'Func Future Subs 2015'!A333</f>
        <v>Fox Creek 741S</v>
      </c>
      <c r="B333" s="754">
        <f>'Func Future Subs 2015'!B333</f>
        <v>1616</v>
      </c>
      <c r="C333" s="754">
        <f>'Func Future Subs 2015'!C333</f>
        <v>138</v>
      </c>
      <c r="D333" s="754">
        <f>'Func Future Subs 2015'!D333</f>
        <v>25</v>
      </c>
      <c r="E333" s="754" t="str">
        <f>'Func Future Subs 2015'!E333</f>
        <v>741S</v>
      </c>
      <c r="F333" s="754">
        <f>'Func Future Subs 2015'!F333</f>
        <v>1395036.0000000014</v>
      </c>
      <c r="G333" s="754" t="str">
        <f>'Func Future Subs 2015'!G333</f>
        <v>ATCO</v>
      </c>
      <c r="H333" s="754">
        <f>'Func Future Subs 2015'!H333</f>
        <v>2016</v>
      </c>
      <c r="I333" s="306">
        <f>+IF($H333=I$2,VLOOKUP($G333,Depreciation!$A$14:$L$18,7,FALSE)/2,IF($H333&lt;I$2,VLOOKUP($G333,Depreciation!$A$14:$L$18,7,FALSE),0))</f>
        <v>0</v>
      </c>
      <c r="J333" s="306">
        <f>+IF($H333=J$2,VLOOKUP($G333,Depreciation!$A$14:$L$18,8,FALSE)/2,IF($H333&lt;J$2,VLOOKUP($G333,Depreciation!$A$14:$L$18,8,FALSE),0))</f>
        <v>1.231622525054236E-2</v>
      </c>
      <c r="K333" s="306">
        <f>+IF($H333=K$2,VLOOKUP($G333,Depreciation!$A$14:$L$18,9,FALSE)/2,IF($H333&lt;K$2,VLOOKUP($G333,Depreciation!$A$14:$L$18,9,FALSE),0))</f>
        <v>2.4351536427798831E-2</v>
      </c>
      <c r="L333" s="306">
        <f>+IF($H333=L$2,VLOOKUP($G333,Depreciation!$A$14:$L$18,10,FALSE)/2,IF($H333&lt;L$2,VLOOKUP($G333,Depreciation!$A$14:$L$18,10,FALSE),0))</f>
        <v>2.4351536427798831E-2</v>
      </c>
      <c r="M333" s="306">
        <f>+IF($H333=M$2,VLOOKUP($G333,Depreciation!$A$14:$L$18,11,FALSE)/2,IF($H333&lt;M$2,VLOOKUP($G333,Depreciation!$A$14:$L$18,11,FALSE),0))</f>
        <v>2.4351536427798831E-2</v>
      </c>
      <c r="N333" s="306">
        <f>+IF($H333=N$2,VLOOKUP($G333,Depreciation!$A$14:$L$18,12,FALSE)/2,IF($H333&lt;N$2,VLOOKUP($G333,Depreciation!$A$14:$L$18,12,FALSE),0))</f>
        <v>2.4351536427798831E-2</v>
      </c>
      <c r="O333" s="307">
        <f t="shared" si="41"/>
        <v>1279627.1011166163</v>
      </c>
      <c r="P333" s="732">
        <f>'Func Future Subs 2015'!P333</f>
        <v>0</v>
      </c>
      <c r="Q333" s="732">
        <f>'Func Future Subs 2015'!Q333</f>
        <v>1</v>
      </c>
      <c r="R333" s="732">
        <f>'Func Future Subs 2015'!R333</f>
        <v>0</v>
      </c>
      <c r="S333" s="735">
        <f t="shared" si="42"/>
        <v>0</v>
      </c>
      <c r="T333" s="735">
        <f t="shared" si="43"/>
        <v>1279627.1011166163</v>
      </c>
      <c r="U333" s="735">
        <f t="shared" si="44"/>
        <v>0</v>
      </c>
      <c r="V333" s="736">
        <f t="shared" si="45"/>
        <v>0</v>
      </c>
      <c r="W333" s="735">
        <f t="shared" si="46"/>
        <v>0</v>
      </c>
      <c r="X333" s="737">
        <f t="shared" si="47"/>
        <v>0</v>
      </c>
      <c r="Y333" s="738">
        <f t="shared" si="48"/>
        <v>1279627.1011166163</v>
      </c>
    </row>
    <row r="334" spans="1:25">
      <c r="A334" s="754" t="str">
        <f>'Func Future Subs 2015'!A334</f>
        <v>Clairmont Lake 811S</v>
      </c>
      <c r="B334" s="754">
        <f>'Func Future Subs 2015'!B334</f>
        <v>1618</v>
      </c>
      <c r="C334" s="754">
        <f>'Func Future Subs 2015'!C334</f>
        <v>138</v>
      </c>
      <c r="D334" s="754">
        <f>'Func Future Subs 2015'!D334</f>
        <v>138</v>
      </c>
      <c r="E334" s="754" t="str">
        <f>'Func Future Subs 2015'!E334</f>
        <v>811S</v>
      </c>
      <c r="F334" s="754">
        <f>'Func Future Subs 2015'!F334</f>
        <v>400830.59344754874</v>
      </c>
      <c r="G334" s="754" t="str">
        <f>'Func Future Subs 2015'!G334</f>
        <v>ATCO</v>
      </c>
      <c r="H334" s="754">
        <f>'Func Future Subs 2015'!H334</f>
        <v>2017</v>
      </c>
      <c r="I334" s="306">
        <f>+IF($H334=I$2,VLOOKUP($G334,Depreciation!$A$14:$L$18,7,FALSE)/2,IF($H334&lt;I$2,VLOOKUP($G334,Depreciation!$A$14:$L$18,7,FALSE),0))</f>
        <v>0</v>
      </c>
      <c r="J334" s="306">
        <f>+IF($H334=J$2,VLOOKUP($G334,Depreciation!$A$14:$L$18,8,FALSE)/2,IF($H334&lt;J$2,VLOOKUP($G334,Depreciation!$A$14:$L$18,8,FALSE),0))</f>
        <v>0</v>
      </c>
      <c r="K334" s="306">
        <f>+IF($H334=K$2,VLOOKUP($G334,Depreciation!$A$14:$L$18,9,FALSE)/2,IF($H334&lt;K$2,VLOOKUP($G334,Depreciation!$A$14:$L$18,9,FALSE),0))</f>
        <v>1.2175768213899416E-2</v>
      </c>
      <c r="L334" s="306">
        <f>+IF($H334=L$2,VLOOKUP($G334,Depreciation!$A$14:$L$18,10,FALSE)/2,IF($H334&lt;L$2,VLOOKUP($G334,Depreciation!$A$14:$L$18,10,FALSE),0))</f>
        <v>2.4351536427798831E-2</v>
      </c>
      <c r="M334" s="306">
        <f>+IF($H334=M$2,VLOOKUP($G334,Depreciation!$A$14:$L$18,11,FALSE)/2,IF($H334&lt;M$2,VLOOKUP($G334,Depreciation!$A$14:$L$18,11,FALSE),0))</f>
        <v>2.4351536427798831E-2</v>
      </c>
      <c r="N334" s="306">
        <f>+IF($H334=N$2,VLOOKUP($G334,Depreciation!$A$14:$L$18,12,FALSE)/2,IF($H334&lt;N$2,VLOOKUP($G334,Depreciation!$A$14:$L$18,12,FALSE),0))</f>
        <v>2.4351536427798831E-2</v>
      </c>
      <c r="O334" s="307">
        <f t="shared" si="41"/>
        <v>376900.980317518</v>
      </c>
      <c r="P334" s="732">
        <f>'Func Future Subs 2015'!P334</f>
        <v>0</v>
      </c>
      <c r="Q334" s="732">
        <f>'Func Future Subs 2015'!Q334</f>
        <v>0</v>
      </c>
      <c r="R334" s="732">
        <f>'Func Future Subs 2015'!R334</f>
        <v>1</v>
      </c>
      <c r="S334" s="735">
        <f t="shared" si="42"/>
        <v>0</v>
      </c>
      <c r="T334" s="735">
        <f t="shared" si="43"/>
        <v>0</v>
      </c>
      <c r="U334" s="735">
        <f t="shared" si="44"/>
        <v>376900.980317518</v>
      </c>
      <c r="V334" s="736">
        <f t="shared" si="45"/>
        <v>0</v>
      </c>
      <c r="W334" s="735">
        <f t="shared" si="46"/>
        <v>0</v>
      </c>
      <c r="X334" s="737">
        <f t="shared" si="47"/>
        <v>376900.980317518</v>
      </c>
      <c r="Y334" s="738">
        <f t="shared" si="48"/>
        <v>0</v>
      </c>
    </row>
    <row r="335" spans="1:25">
      <c r="A335" s="754" t="str">
        <f>'Func Future Subs 2015'!A335</f>
        <v>Mowat 233S</v>
      </c>
      <c r="B335" s="754">
        <f>'Func Future Subs 2015'!B335</f>
        <v>1618</v>
      </c>
      <c r="C335" s="754">
        <f>'Func Future Subs 2015'!C335</f>
        <v>144</v>
      </c>
      <c r="D335" s="754">
        <f>'Func Future Subs 2015'!D335</f>
        <v>25</v>
      </c>
      <c r="E335" s="754" t="str">
        <f>'Func Future Subs 2015'!E335</f>
        <v>233S</v>
      </c>
      <c r="F335" s="754">
        <f>'Func Future Subs 2015'!F335</f>
        <v>13185051.811204772</v>
      </c>
      <c r="G335" s="754" t="str">
        <f>'Func Future Subs 2015'!G335</f>
        <v>ATCO</v>
      </c>
      <c r="H335" s="754">
        <f>'Func Future Subs 2015'!H335</f>
        <v>2017</v>
      </c>
      <c r="I335" s="306">
        <f>+IF($H335=I$2,VLOOKUP($G335,Depreciation!$A$14:$L$18,7,FALSE)/2,IF($H335&lt;I$2,VLOOKUP($G335,Depreciation!$A$14:$L$18,7,FALSE),0))</f>
        <v>0</v>
      </c>
      <c r="J335" s="306">
        <f>+IF($H335=J$2,VLOOKUP($G335,Depreciation!$A$14:$L$18,8,FALSE)/2,IF($H335&lt;J$2,VLOOKUP($G335,Depreciation!$A$14:$L$18,8,FALSE),0))</f>
        <v>0</v>
      </c>
      <c r="K335" s="306">
        <f>+IF($H335=K$2,VLOOKUP($G335,Depreciation!$A$14:$L$18,9,FALSE)/2,IF($H335&lt;K$2,VLOOKUP($G335,Depreciation!$A$14:$L$18,9,FALSE),0))</f>
        <v>1.2175768213899416E-2</v>
      </c>
      <c r="L335" s="306">
        <f>+IF($H335=L$2,VLOOKUP($G335,Depreciation!$A$14:$L$18,10,FALSE)/2,IF($H335&lt;L$2,VLOOKUP($G335,Depreciation!$A$14:$L$18,10,FALSE),0))</f>
        <v>2.4351536427798831E-2</v>
      </c>
      <c r="M335" s="306">
        <f>+IF($H335=M$2,VLOOKUP($G335,Depreciation!$A$14:$L$18,11,FALSE)/2,IF($H335&lt;M$2,VLOOKUP($G335,Depreciation!$A$14:$L$18,11,FALSE),0))</f>
        <v>2.4351536427798831E-2</v>
      </c>
      <c r="N335" s="306">
        <f>+IF($H335=N$2,VLOOKUP($G335,Depreciation!$A$14:$L$18,12,FALSE)/2,IF($H335&lt;N$2,VLOOKUP($G335,Depreciation!$A$14:$L$18,12,FALSE),0))</f>
        <v>2.4351536427798831E-2</v>
      </c>
      <c r="O335" s="307">
        <f t="shared" si="41"/>
        <v>12397903.339757498</v>
      </c>
      <c r="P335" s="732">
        <f>'Func Future Subs 2015'!P335</f>
        <v>0</v>
      </c>
      <c r="Q335" s="732">
        <f>'Func Future Subs 2015'!Q335</f>
        <v>1</v>
      </c>
      <c r="R335" s="732">
        <f>'Func Future Subs 2015'!R335</f>
        <v>0</v>
      </c>
      <c r="S335" s="735">
        <f t="shared" si="42"/>
        <v>0</v>
      </c>
      <c r="T335" s="735">
        <f t="shared" si="43"/>
        <v>12397903.339757498</v>
      </c>
      <c r="U335" s="735">
        <f t="shared" si="44"/>
        <v>0</v>
      </c>
      <c r="V335" s="736">
        <f t="shared" si="45"/>
        <v>0</v>
      </c>
      <c r="W335" s="735">
        <f t="shared" si="46"/>
        <v>0</v>
      </c>
      <c r="X335" s="737">
        <f t="shared" si="47"/>
        <v>0</v>
      </c>
      <c r="Y335" s="738">
        <f t="shared" si="48"/>
        <v>12397903.339757498</v>
      </c>
    </row>
    <row r="336" spans="1:25">
      <c r="A336" s="754" t="str">
        <f>'Func Future Subs 2015'!A336</f>
        <v xml:space="preserve">Rycroft 730S </v>
      </c>
      <c r="B336" s="754">
        <f>'Func Future Subs 2015'!B336</f>
        <v>1618</v>
      </c>
      <c r="C336" s="754">
        <f>'Func Future Subs 2015'!C336</f>
        <v>144</v>
      </c>
      <c r="D336" s="754">
        <f>'Func Future Subs 2015'!D336</f>
        <v>25</v>
      </c>
      <c r="E336" s="754" t="str">
        <f>'Func Future Subs 2015'!E336</f>
        <v>730S</v>
      </c>
      <c r="F336" s="754">
        <f>'Func Future Subs 2015'!F336</f>
        <v>1174290.4338164157</v>
      </c>
      <c r="G336" s="754" t="str">
        <f>'Func Future Subs 2015'!G336</f>
        <v>ATCO</v>
      </c>
      <c r="H336" s="754">
        <f>'Func Future Subs 2015'!H336</f>
        <v>2017</v>
      </c>
      <c r="I336" s="306">
        <f>+IF($H336=I$2,VLOOKUP($G336,Depreciation!$A$14:$L$18,7,FALSE)/2,IF($H336&lt;I$2,VLOOKUP($G336,Depreciation!$A$14:$L$18,7,FALSE),0))</f>
        <v>0</v>
      </c>
      <c r="J336" s="306">
        <f>+IF($H336=J$2,VLOOKUP($G336,Depreciation!$A$14:$L$18,8,FALSE)/2,IF($H336&lt;J$2,VLOOKUP($G336,Depreciation!$A$14:$L$18,8,FALSE),0))</f>
        <v>0</v>
      </c>
      <c r="K336" s="306">
        <f>+IF($H336=K$2,VLOOKUP($G336,Depreciation!$A$14:$L$18,9,FALSE)/2,IF($H336&lt;K$2,VLOOKUP($G336,Depreciation!$A$14:$L$18,9,FALSE),0))</f>
        <v>1.2175768213899416E-2</v>
      </c>
      <c r="L336" s="306">
        <f>+IF($H336=L$2,VLOOKUP($G336,Depreciation!$A$14:$L$18,10,FALSE)/2,IF($H336&lt;L$2,VLOOKUP($G336,Depreciation!$A$14:$L$18,10,FALSE),0))</f>
        <v>2.4351536427798831E-2</v>
      </c>
      <c r="M336" s="306">
        <f>+IF($H336=M$2,VLOOKUP($G336,Depreciation!$A$14:$L$18,11,FALSE)/2,IF($H336&lt;M$2,VLOOKUP($G336,Depreciation!$A$14:$L$18,11,FALSE),0))</f>
        <v>2.4351536427798831E-2</v>
      </c>
      <c r="N336" s="306">
        <f>+IF($H336=N$2,VLOOKUP($G336,Depreciation!$A$14:$L$18,12,FALSE)/2,IF($H336&lt;N$2,VLOOKUP($G336,Depreciation!$A$14:$L$18,12,FALSE),0))</f>
        <v>2.4351536427798831E-2</v>
      </c>
      <c r="O336" s="307">
        <f t="shared" si="41"/>
        <v>1104185.2166925638</v>
      </c>
      <c r="P336" s="732">
        <f>'Func Future Subs 2015'!P336</f>
        <v>0</v>
      </c>
      <c r="Q336" s="732">
        <f>'Func Future Subs 2015'!Q336</f>
        <v>1</v>
      </c>
      <c r="R336" s="732">
        <f>'Func Future Subs 2015'!R336</f>
        <v>0</v>
      </c>
      <c r="S336" s="735">
        <f t="shared" si="42"/>
        <v>0</v>
      </c>
      <c r="T336" s="735">
        <f t="shared" si="43"/>
        <v>1104185.2166925638</v>
      </c>
      <c r="U336" s="735">
        <f t="shared" si="44"/>
        <v>0</v>
      </c>
      <c r="V336" s="736">
        <f t="shared" si="45"/>
        <v>0</v>
      </c>
      <c r="W336" s="735">
        <f t="shared" si="46"/>
        <v>0</v>
      </c>
      <c r="X336" s="737">
        <f t="shared" si="47"/>
        <v>0</v>
      </c>
      <c r="Y336" s="738">
        <f t="shared" si="48"/>
        <v>1104185.2166925638</v>
      </c>
    </row>
    <row r="337" spans="1:25">
      <c r="A337" s="754" t="str">
        <f>'Func Future Subs 2015'!A337</f>
        <v>Dome 810S_(v1)</v>
      </c>
      <c r="B337" s="754">
        <f>'Func Future Subs 2015'!B337</f>
        <v>1634</v>
      </c>
      <c r="C337" s="754">
        <f>'Func Future Subs 2015'!C337</f>
        <v>138</v>
      </c>
      <c r="D337" s="754">
        <f>'Func Future Subs 2015'!D337</f>
        <v>25</v>
      </c>
      <c r="E337" s="754" t="str">
        <f>'Func Future Subs 2015'!E337</f>
        <v>810S</v>
      </c>
      <c r="F337" s="754">
        <f>'Func Future Subs 2015'!F337</f>
        <v>39972.664599992102</v>
      </c>
      <c r="G337" s="754" t="str">
        <f>'Func Future Subs 2015'!G337</f>
        <v>ATCO</v>
      </c>
      <c r="H337" s="754">
        <f>'Func Future Subs 2015'!H337</f>
        <v>2016</v>
      </c>
      <c r="I337" s="306">
        <f>+IF($H337=I$2,VLOOKUP($G337,Depreciation!$A$14:$L$18,7,FALSE)/2,IF($H337&lt;I$2,VLOOKUP($G337,Depreciation!$A$14:$L$18,7,FALSE),0))</f>
        <v>0</v>
      </c>
      <c r="J337" s="306">
        <f>+IF($H337=J$2,VLOOKUP($G337,Depreciation!$A$14:$L$18,8,FALSE)/2,IF($H337&lt;J$2,VLOOKUP($G337,Depreciation!$A$14:$L$18,8,FALSE),0))</f>
        <v>1.231622525054236E-2</v>
      </c>
      <c r="K337" s="306">
        <f>+IF($H337=K$2,VLOOKUP($G337,Depreciation!$A$14:$L$18,9,FALSE)/2,IF($H337&lt;K$2,VLOOKUP($G337,Depreciation!$A$14:$L$18,9,FALSE),0))</f>
        <v>2.4351536427798831E-2</v>
      </c>
      <c r="L337" s="306">
        <f>+IF($H337=L$2,VLOOKUP($G337,Depreciation!$A$14:$L$18,10,FALSE)/2,IF($H337&lt;L$2,VLOOKUP($G337,Depreciation!$A$14:$L$18,10,FALSE),0))</f>
        <v>2.4351536427798831E-2</v>
      </c>
      <c r="M337" s="306">
        <f>+IF($H337=M$2,VLOOKUP($G337,Depreciation!$A$14:$L$18,11,FALSE)/2,IF($H337&lt;M$2,VLOOKUP($G337,Depreciation!$A$14:$L$18,11,FALSE),0))</f>
        <v>2.4351536427798831E-2</v>
      </c>
      <c r="N337" s="306">
        <f>+IF($H337=N$2,VLOOKUP($G337,Depreciation!$A$14:$L$18,12,FALSE)/2,IF($H337&lt;N$2,VLOOKUP($G337,Depreciation!$A$14:$L$18,12,FALSE),0))</f>
        <v>2.4351536427798831E-2</v>
      </c>
      <c r="O337" s="307">
        <f t="shared" si="41"/>
        <v>36665.795668351668</v>
      </c>
      <c r="P337" s="732">
        <f>'Func Future Subs 2015'!P337</f>
        <v>0</v>
      </c>
      <c r="Q337" s="732">
        <f>'Func Future Subs 2015'!Q337</f>
        <v>1</v>
      </c>
      <c r="R337" s="732">
        <f>'Func Future Subs 2015'!R337</f>
        <v>0</v>
      </c>
      <c r="S337" s="735">
        <f t="shared" si="42"/>
        <v>0</v>
      </c>
      <c r="T337" s="735">
        <f t="shared" si="43"/>
        <v>36665.795668351668</v>
      </c>
      <c r="U337" s="735">
        <f t="shared" si="44"/>
        <v>0</v>
      </c>
      <c r="V337" s="736">
        <f t="shared" si="45"/>
        <v>0</v>
      </c>
      <c r="W337" s="735">
        <f t="shared" si="46"/>
        <v>0</v>
      </c>
      <c r="X337" s="737">
        <f t="shared" si="47"/>
        <v>0</v>
      </c>
      <c r="Y337" s="738">
        <f t="shared" si="48"/>
        <v>36665.795668351668</v>
      </c>
    </row>
    <row r="338" spans="1:25">
      <c r="A338" s="754" t="str">
        <f>'Func Future Subs 2015'!A338</f>
        <v>HR Milner 740S_(v1)</v>
      </c>
      <c r="B338" s="754">
        <f>'Func Future Subs 2015'!B338</f>
        <v>1634</v>
      </c>
      <c r="C338" s="754">
        <f>'Func Future Subs 2015'!C338</f>
        <v>240</v>
      </c>
      <c r="D338" s="754">
        <f>'Func Future Subs 2015'!D338</f>
        <v>25</v>
      </c>
      <c r="E338" s="754" t="str">
        <f>'Func Future Subs 2015'!E338</f>
        <v>740S</v>
      </c>
      <c r="F338" s="754">
        <f>'Func Future Subs 2015'!F338</f>
        <v>56242.040999609831</v>
      </c>
      <c r="G338" s="754" t="str">
        <f>'Func Future Subs 2015'!G338</f>
        <v>ATCO</v>
      </c>
      <c r="H338" s="754">
        <f>'Func Future Subs 2015'!H338</f>
        <v>2016</v>
      </c>
      <c r="I338" s="306">
        <f>+IF($H338=I$2,VLOOKUP($G338,Depreciation!$A$14:$L$18,7,FALSE)/2,IF($H338&lt;I$2,VLOOKUP($G338,Depreciation!$A$14:$L$18,7,FALSE),0))</f>
        <v>0</v>
      </c>
      <c r="J338" s="306">
        <f>+IF($H338=J$2,VLOOKUP($G338,Depreciation!$A$14:$L$18,8,FALSE)/2,IF($H338&lt;J$2,VLOOKUP($G338,Depreciation!$A$14:$L$18,8,FALSE),0))</f>
        <v>1.231622525054236E-2</v>
      </c>
      <c r="K338" s="306">
        <f>+IF($H338=K$2,VLOOKUP($G338,Depreciation!$A$14:$L$18,9,FALSE)/2,IF($H338&lt;K$2,VLOOKUP($G338,Depreciation!$A$14:$L$18,9,FALSE),0))</f>
        <v>2.4351536427798831E-2</v>
      </c>
      <c r="L338" s="306">
        <f>+IF($H338=L$2,VLOOKUP($G338,Depreciation!$A$14:$L$18,10,FALSE)/2,IF($H338&lt;L$2,VLOOKUP($G338,Depreciation!$A$14:$L$18,10,FALSE),0))</f>
        <v>2.4351536427798831E-2</v>
      </c>
      <c r="M338" s="306">
        <f>+IF($H338=M$2,VLOOKUP($G338,Depreciation!$A$14:$L$18,11,FALSE)/2,IF($H338&lt;M$2,VLOOKUP($G338,Depreciation!$A$14:$L$18,11,FALSE),0))</f>
        <v>2.4351536427798831E-2</v>
      </c>
      <c r="N338" s="306">
        <f>+IF($H338=N$2,VLOOKUP($G338,Depreciation!$A$14:$L$18,12,FALSE)/2,IF($H338&lt;N$2,VLOOKUP($G338,Depreciation!$A$14:$L$18,12,FALSE),0))</f>
        <v>2.4351536427798831E-2</v>
      </c>
      <c r="O338" s="307">
        <f t="shared" si="41"/>
        <v>51589.234890864856</v>
      </c>
      <c r="P338" s="732">
        <f>'Func Future Subs 2015'!P338</f>
        <v>0.89437344274894326</v>
      </c>
      <c r="Q338" s="732">
        <f>'Func Future Subs 2015'!Q338</f>
        <v>0.10562655725105677</v>
      </c>
      <c r="R338" s="732">
        <f>'Func Future Subs 2015'!R338</f>
        <v>0</v>
      </c>
      <c r="S338" s="735">
        <f t="shared" si="42"/>
        <v>46140.041618126706</v>
      </c>
      <c r="T338" s="735">
        <f t="shared" si="43"/>
        <v>5449.1932727381518</v>
      </c>
      <c r="U338" s="735">
        <f t="shared" si="44"/>
        <v>0</v>
      </c>
      <c r="V338" s="736">
        <f t="shared" si="45"/>
        <v>0</v>
      </c>
      <c r="W338" s="735">
        <f t="shared" si="46"/>
        <v>46140.041618126706</v>
      </c>
      <c r="X338" s="737">
        <f t="shared" si="47"/>
        <v>0</v>
      </c>
      <c r="Y338" s="738">
        <f t="shared" si="48"/>
        <v>5449.1932727381518</v>
      </c>
    </row>
    <row r="339" spans="1:25">
      <c r="A339" s="754" t="str">
        <f>'Func Future Subs 2015'!A339</f>
        <v>Thorton POD 2091S_(v1)</v>
      </c>
      <c r="B339" s="754">
        <f>'Func Future Subs 2015'!B339</f>
        <v>1634</v>
      </c>
      <c r="C339" s="754">
        <f>'Func Future Subs 2015'!C339</f>
        <v>144</v>
      </c>
      <c r="D339" s="754">
        <f>'Func Future Subs 2015'!D339</f>
        <v>25</v>
      </c>
      <c r="E339" s="754" t="str">
        <f>'Func Future Subs 2015'!E339</f>
        <v>2091S</v>
      </c>
      <c r="F339" s="754">
        <f>'Func Future Subs 2015'!F339</f>
        <v>12550982.644961169</v>
      </c>
      <c r="G339" s="754" t="str">
        <f>'Func Future Subs 2015'!G339</f>
        <v>ATCO</v>
      </c>
      <c r="H339" s="754">
        <f>'Func Future Subs 2015'!H339</f>
        <v>2016</v>
      </c>
      <c r="I339" s="306">
        <f>+IF($H339=I$2,VLOOKUP($G339,Depreciation!$A$14:$L$18,7,FALSE)/2,IF($H339&lt;I$2,VLOOKUP($G339,Depreciation!$A$14:$L$18,7,FALSE),0))</f>
        <v>0</v>
      </c>
      <c r="J339" s="306">
        <f>+IF($H339=J$2,VLOOKUP($G339,Depreciation!$A$14:$L$18,8,FALSE)/2,IF($H339&lt;J$2,VLOOKUP($G339,Depreciation!$A$14:$L$18,8,FALSE),0))</f>
        <v>1.231622525054236E-2</v>
      </c>
      <c r="K339" s="306">
        <f>+IF($H339=K$2,VLOOKUP($G339,Depreciation!$A$14:$L$18,9,FALSE)/2,IF($H339&lt;K$2,VLOOKUP($G339,Depreciation!$A$14:$L$18,9,FALSE),0))</f>
        <v>2.4351536427798831E-2</v>
      </c>
      <c r="L339" s="306">
        <f>+IF($H339=L$2,VLOOKUP($G339,Depreciation!$A$14:$L$18,10,FALSE)/2,IF($H339&lt;L$2,VLOOKUP($G339,Depreciation!$A$14:$L$18,10,FALSE),0))</f>
        <v>2.4351536427798831E-2</v>
      </c>
      <c r="M339" s="306">
        <f>+IF($H339=M$2,VLOOKUP($G339,Depreciation!$A$14:$L$18,11,FALSE)/2,IF($H339&lt;M$2,VLOOKUP($G339,Depreciation!$A$14:$L$18,11,FALSE),0))</f>
        <v>2.4351536427798831E-2</v>
      </c>
      <c r="N339" s="306">
        <f>+IF($H339=N$2,VLOOKUP($G339,Depreciation!$A$14:$L$18,12,FALSE)/2,IF($H339&lt;N$2,VLOOKUP($G339,Depreciation!$A$14:$L$18,12,FALSE),0))</f>
        <v>2.4351536427798831E-2</v>
      </c>
      <c r="O339" s="307">
        <f t="shared" si="41"/>
        <v>11512661.707752779</v>
      </c>
      <c r="P339" s="732">
        <f>'Func Future Subs 2015'!P339</f>
        <v>0</v>
      </c>
      <c r="Q339" s="732">
        <f>'Func Future Subs 2015'!Q339</f>
        <v>0</v>
      </c>
      <c r="R339" s="732">
        <f>'Func Future Subs 2015'!R339</f>
        <v>1</v>
      </c>
      <c r="S339" s="735">
        <f t="shared" si="42"/>
        <v>0</v>
      </c>
      <c r="T339" s="735">
        <f t="shared" si="43"/>
        <v>0</v>
      </c>
      <c r="U339" s="735">
        <f t="shared" si="44"/>
        <v>11512661.707752779</v>
      </c>
      <c r="V339" s="736">
        <f t="shared" si="45"/>
        <v>0</v>
      </c>
      <c r="W339" s="735">
        <f t="shared" si="46"/>
        <v>0</v>
      </c>
      <c r="X339" s="737">
        <f t="shared" si="47"/>
        <v>0</v>
      </c>
      <c r="Y339" s="738">
        <f t="shared" si="48"/>
        <v>11512661.707752779</v>
      </c>
    </row>
    <row r="340" spans="1:25">
      <c r="A340" s="754" t="str">
        <f>'Func Future Subs 2015'!A340</f>
        <v>Boyle 56S substation</v>
      </c>
      <c r="B340" s="754">
        <f>'Func Future Subs 2015'!B340</f>
        <v>1636</v>
      </c>
      <c r="C340" s="754">
        <f>'Func Future Subs 2015'!C340</f>
        <v>138</v>
      </c>
      <c r="D340" s="754">
        <f>'Func Future Subs 2015'!D340</f>
        <v>25</v>
      </c>
      <c r="E340" s="754" t="str">
        <f>'Func Future Subs 2015'!E340</f>
        <v>56S</v>
      </c>
      <c r="F340" s="754">
        <f>'Func Future Subs 2015'!F340</f>
        <v>6332999.3866284983</v>
      </c>
      <c r="G340" s="754" t="str">
        <f>'Func Future Subs 2015'!G340</f>
        <v>AltaLink</v>
      </c>
      <c r="H340" s="754">
        <f>'Func Future Subs 2015'!H340</f>
        <v>2016</v>
      </c>
      <c r="I340" s="306">
        <f>+IF($H340=I$2,VLOOKUP($G340,Depreciation!$A$14:$L$18,7,FALSE)/2,IF($H340&lt;I$2,VLOOKUP($G340,Depreciation!$A$14:$L$18,7,FALSE),0))</f>
        <v>0</v>
      </c>
      <c r="J340" s="306">
        <f>+IF($H340=J$2,VLOOKUP($G340,Depreciation!$A$14:$L$18,8,FALSE)/2,IF($H340&lt;J$2,VLOOKUP($G340,Depreciation!$A$14:$L$18,8,FALSE),0))</f>
        <v>1.671703928371859E-2</v>
      </c>
      <c r="K340" s="306">
        <f>+IF($H340=K$2,VLOOKUP($G340,Depreciation!$A$14:$L$18,9,FALSE)/2,IF($H340&lt;K$2,VLOOKUP($G340,Depreciation!$A$14:$L$18,9,FALSE),0))</f>
        <v>3.343407856743718E-2</v>
      </c>
      <c r="L340" s="306">
        <f>+IF($H340=L$2,VLOOKUP($G340,Depreciation!$A$14:$L$18,10,FALSE)/2,IF($H340&lt;L$2,VLOOKUP($G340,Depreciation!$A$14:$L$18,10,FALSE),0))</f>
        <v>3.343407856743718E-2</v>
      </c>
      <c r="M340" s="306">
        <f>+IF($H340=M$2,VLOOKUP($G340,Depreciation!$A$14:$L$18,11,FALSE)/2,IF($H340&lt;M$2,VLOOKUP($G340,Depreciation!$A$14:$L$18,11,FALSE),0))</f>
        <v>3.343407856743718E-2</v>
      </c>
      <c r="N340" s="306">
        <f>+IF($H340=N$2,VLOOKUP($G340,Depreciation!$A$14:$L$18,12,FALSE)/2,IF($H340&lt;N$2,VLOOKUP($G340,Depreciation!$A$14:$L$18,12,FALSE),0))</f>
        <v>3.343407856743718E-2</v>
      </c>
      <c r="O340" s="307">
        <f t="shared" si="41"/>
        <v>5623185.3169389656</v>
      </c>
      <c r="P340" s="732">
        <f>'Func Future Subs 2015'!P340</f>
        <v>0</v>
      </c>
      <c r="Q340" s="732">
        <f>'Func Future Subs 2015'!Q340</f>
        <v>1</v>
      </c>
      <c r="R340" s="732">
        <f>'Func Future Subs 2015'!R340</f>
        <v>0</v>
      </c>
      <c r="S340" s="735">
        <f t="shared" si="42"/>
        <v>0</v>
      </c>
      <c r="T340" s="735">
        <f t="shared" si="43"/>
        <v>5623185.3169389656</v>
      </c>
      <c r="U340" s="735">
        <f t="shared" si="44"/>
        <v>0</v>
      </c>
      <c r="V340" s="736">
        <f t="shared" si="45"/>
        <v>0</v>
      </c>
      <c r="W340" s="735">
        <f t="shared" si="46"/>
        <v>0</v>
      </c>
      <c r="X340" s="737">
        <f t="shared" si="47"/>
        <v>0</v>
      </c>
      <c r="Y340" s="738">
        <f t="shared" si="48"/>
        <v>5623185.3169389656</v>
      </c>
    </row>
    <row r="341" spans="1:25">
      <c r="A341" s="754" t="str">
        <f>'Func Future Subs 2015'!A341</f>
        <v>Upgrade Benbow 397S</v>
      </c>
      <c r="B341" s="754">
        <f>'Func Future Subs 2015'!B341</f>
        <v>1638</v>
      </c>
      <c r="C341" s="754">
        <f>'Func Future Subs 2015'!C341</f>
        <v>138</v>
      </c>
      <c r="D341" s="754">
        <f>'Func Future Subs 2015'!D341</f>
        <v>25</v>
      </c>
      <c r="E341" s="754" t="str">
        <f>'Func Future Subs 2015'!E341</f>
        <v>397S</v>
      </c>
      <c r="F341" s="754">
        <f>'Func Future Subs 2015'!F341</f>
        <v>2192000.0000000009</v>
      </c>
      <c r="G341" s="754" t="str">
        <f>'Func Future Subs 2015'!G341</f>
        <v>AltaLink</v>
      </c>
      <c r="H341" s="754">
        <f>'Func Future Subs 2015'!H341</f>
        <v>2016</v>
      </c>
      <c r="I341" s="306">
        <f>+IF($H341=I$2,VLOOKUP($G341,Depreciation!$A$14:$L$18,7,FALSE)/2,IF($H341&lt;I$2,VLOOKUP($G341,Depreciation!$A$14:$L$18,7,FALSE),0))</f>
        <v>0</v>
      </c>
      <c r="J341" s="306">
        <f>+IF($H341=J$2,VLOOKUP($G341,Depreciation!$A$14:$L$18,8,FALSE)/2,IF($H341&lt;J$2,VLOOKUP($G341,Depreciation!$A$14:$L$18,8,FALSE),0))</f>
        <v>1.671703928371859E-2</v>
      </c>
      <c r="K341" s="306">
        <f>+IF($H341=K$2,VLOOKUP($G341,Depreciation!$A$14:$L$18,9,FALSE)/2,IF($H341&lt;K$2,VLOOKUP($G341,Depreciation!$A$14:$L$18,9,FALSE),0))</f>
        <v>3.343407856743718E-2</v>
      </c>
      <c r="L341" s="306">
        <f>+IF($H341=L$2,VLOOKUP($G341,Depreciation!$A$14:$L$18,10,FALSE)/2,IF($H341&lt;L$2,VLOOKUP($G341,Depreciation!$A$14:$L$18,10,FALSE),0))</f>
        <v>3.343407856743718E-2</v>
      </c>
      <c r="M341" s="306">
        <f>+IF($H341=M$2,VLOOKUP($G341,Depreciation!$A$14:$L$18,11,FALSE)/2,IF($H341&lt;M$2,VLOOKUP($G341,Depreciation!$A$14:$L$18,11,FALSE),0))</f>
        <v>3.343407856743718E-2</v>
      </c>
      <c r="N341" s="306">
        <f>+IF($H341=N$2,VLOOKUP($G341,Depreciation!$A$14:$L$18,12,FALSE)/2,IF($H341&lt;N$2,VLOOKUP($G341,Depreciation!$A$14:$L$18,12,FALSE),0))</f>
        <v>3.343407856743718E-2</v>
      </c>
      <c r="O341" s="307">
        <f t="shared" si="41"/>
        <v>1946316.6601208574</v>
      </c>
      <c r="P341" s="732">
        <f>'Func Future Subs 2015'!P341</f>
        <v>0</v>
      </c>
      <c r="Q341" s="732">
        <f>'Func Future Subs 2015'!Q341</f>
        <v>1</v>
      </c>
      <c r="R341" s="732">
        <f>'Func Future Subs 2015'!R341</f>
        <v>0</v>
      </c>
      <c r="S341" s="735">
        <f t="shared" si="42"/>
        <v>0</v>
      </c>
      <c r="T341" s="735">
        <f t="shared" si="43"/>
        <v>1946316.6601208574</v>
      </c>
      <c r="U341" s="735">
        <f t="shared" si="44"/>
        <v>0</v>
      </c>
      <c r="V341" s="736">
        <f t="shared" si="45"/>
        <v>0</v>
      </c>
      <c r="W341" s="735">
        <f t="shared" si="46"/>
        <v>0</v>
      </c>
      <c r="X341" s="737">
        <f t="shared" si="47"/>
        <v>0</v>
      </c>
      <c r="Y341" s="738">
        <f t="shared" si="48"/>
        <v>1946316.6601208574</v>
      </c>
    </row>
    <row r="342" spans="1:25">
      <c r="A342" s="754" t="str">
        <f>'Func Future Subs 2015'!A342</f>
        <v>Plamondon 353S</v>
      </c>
      <c r="B342" s="754">
        <f>'Func Future Subs 2015'!B342</f>
        <v>1640</v>
      </c>
      <c r="C342" s="754">
        <f>'Func Future Subs 2015'!C342</f>
        <v>138</v>
      </c>
      <c r="D342" s="754">
        <f>'Func Future Subs 2015'!D342</f>
        <v>25</v>
      </c>
      <c r="E342" s="754" t="str">
        <f>'Func Future Subs 2015'!E342</f>
        <v>353S</v>
      </c>
      <c r="F342" s="754">
        <f>'Func Future Subs 2015'!F342</f>
        <v>8107602.9999999944</v>
      </c>
      <c r="G342" s="754" t="str">
        <f>'Func Future Subs 2015'!G342</f>
        <v>AltaLink</v>
      </c>
      <c r="H342" s="754">
        <f>'Func Future Subs 2015'!H342</f>
        <v>2016</v>
      </c>
      <c r="I342" s="306">
        <f>+IF($H342=I$2,VLOOKUP($G342,Depreciation!$A$14:$L$18,7,FALSE)/2,IF($H342&lt;I$2,VLOOKUP($G342,Depreciation!$A$14:$L$18,7,FALSE),0))</f>
        <v>0</v>
      </c>
      <c r="J342" s="306">
        <f>+IF($H342=J$2,VLOOKUP($G342,Depreciation!$A$14:$L$18,8,FALSE)/2,IF($H342&lt;J$2,VLOOKUP($G342,Depreciation!$A$14:$L$18,8,FALSE),0))</f>
        <v>1.671703928371859E-2</v>
      </c>
      <c r="K342" s="306">
        <f>+IF($H342=K$2,VLOOKUP($G342,Depreciation!$A$14:$L$18,9,FALSE)/2,IF($H342&lt;K$2,VLOOKUP($G342,Depreciation!$A$14:$L$18,9,FALSE),0))</f>
        <v>3.343407856743718E-2</v>
      </c>
      <c r="L342" s="306">
        <f>+IF($H342=L$2,VLOOKUP($G342,Depreciation!$A$14:$L$18,10,FALSE)/2,IF($H342&lt;L$2,VLOOKUP($G342,Depreciation!$A$14:$L$18,10,FALSE),0))</f>
        <v>3.343407856743718E-2</v>
      </c>
      <c r="M342" s="306">
        <f>+IF($H342=M$2,VLOOKUP($G342,Depreciation!$A$14:$L$18,11,FALSE)/2,IF($H342&lt;M$2,VLOOKUP($G342,Depreciation!$A$14:$L$18,11,FALSE),0))</f>
        <v>3.343407856743718E-2</v>
      </c>
      <c r="N342" s="306">
        <f>+IF($H342=N$2,VLOOKUP($G342,Depreciation!$A$14:$L$18,12,FALSE)/2,IF($H342&lt;N$2,VLOOKUP($G342,Depreciation!$A$14:$L$18,12,FALSE),0))</f>
        <v>3.343407856743718E-2</v>
      </c>
      <c r="O342" s="307">
        <f t="shared" si="41"/>
        <v>7198888.1352855051</v>
      </c>
      <c r="P342" s="732">
        <f>'Func Future Subs 2015'!P342</f>
        <v>0</v>
      </c>
      <c r="Q342" s="732">
        <f>'Func Future Subs 2015'!Q342</f>
        <v>1</v>
      </c>
      <c r="R342" s="732">
        <f>'Func Future Subs 2015'!R342</f>
        <v>0</v>
      </c>
      <c r="S342" s="735">
        <f t="shared" si="42"/>
        <v>0</v>
      </c>
      <c r="T342" s="735">
        <f t="shared" si="43"/>
        <v>7198888.1352855051</v>
      </c>
      <c r="U342" s="735">
        <f t="shared" si="44"/>
        <v>0</v>
      </c>
      <c r="V342" s="736">
        <f t="shared" si="45"/>
        <v>0</v>
      </c>
      <c r="W342" s="735">
        <f t="shared" si="46"/>
        <v>0</v>
      </c>
      <c r="X342" s="737">
        <f t="shared" si="47"/>
        <v>0</v>
      </c>
      <c r="Y342" s="738">
        <f t="shared" si="48"/>
        <v>7198888.1352855051</v>
      </c>
    </row>
    <row r="343" spans="1:25">
      <c r="A343" s="754" t="str">
        <f>'Func Future Subs 2015'!A343</f>
        <v>Hughenden 213S</v>
      </c>
      <c r="B343" s="754">
        <f>'Func Future Subs 2015'!B343</f>
        <v>1642</v>
      </c>
      <c r="C343" s="754">
        <f>'Func Future Subs 2015'!C343</f>
        <v>138</v>
      </c>
      <c r="D343" s="754">
        <f>'Func Future Subs 2015'!D343</f>
        <v>25</v>
      </c>
      <c r="E343" s="754" t="str">
        <f>'Func Future Subs 2015'!E343</f>
        <v>213S</v>
      </c>
      <c r="F343" s="754">
        <f>'Func Future Subs 2015'!F343</f>
        <v>9130743.8789546061</v>
      </c>
      <c r="G343" s="754" t="str">
        <f>'Func Future Subs 2015'!G343</f>
        <v>AltaLink</v>
      </c>
      <c r="H343" s="754">
        <f>'Func Future Subs 2015'!H343</f>
        <v>2016</v>
      </c>
      <c r="I343" s="306">
        <f>+IF($H343=I$2,VLOOKUP($G343,Depreciation!$A$14:$L$18,7,FALSE)/2,IF($H343&lt;I$2,VLOOKUP($G343,Depreciation!$A$14:$L$18,7,FALSE),0))</f>
        <v>0</v>
      </c>
      <c r="J343" s="306">
        <f>+IF($H343=J$2,VLOOKUP($G343,Depreciation!$A$14:$L$18,8,FALSE)/2,IF($H343&lt;J$2,VLOOKUP($G343,Depreciation!$A$14:$L$18,8,FALSE),0))</f>
        <v>1.671703928371859E-2</v>
      </c>
      <c r="K343" s="306">
        <f>+IF($H343=K$2,VLOOKUP($G343,Depreciation!$A$14:$L$18,9,FALSE)/2,IF($H343&lt;K$2,VLOOKUP($G343,Depreciation!$A$14:$L$18,9,FALSE),0))</f>
        <v>3.343407856743718E-2</v>
      </c>
      <c r="L343" s="306">
        <f>+IF($H343=L$2,VLOOKUP($G343,Depreciation!$A$14:$L$18,10,FALSE)/2,IF($H343&lt;L$2,VLOOKUP($G343,Depreciation!$A$14:$L$18,10,FALSE),0))</f>
        <v>3.343407856743718E-2</v>
      </c>
      <c r="M343" s="306">
        <f>+IF($H343=M$2,VLOOKUP($G343,Depreciation!$A$14:$L$18,11,FALSE)/2,IF($H343&lt;M$2,VLOOKUP($G343,Depreciation!$A$14:$L$18,11,FALSE),0))</f>
        <v>3.343407856743718E-2</v>
      </c>
      <c r="N343" s="306">
        <f>+IF($H343=N$2,VLOOKUP($G343,Depreciation!$A$14:$L$18,12,FALSE)/2,IF($H343&lt;N$2,VLOOKUP($G343,Depreciation!$A$14:$L$18,12,FALSE),0))</f>
        <v>3.343407856743718E-2</v>
      </c>
      <c r="O343" s="307">
        <f t="shared" si="41"/>
        <v>8107353.526873122</v>
      </c>
      <c r="P343" s="732">
        <f>'Func Future Subs 2015'!P343</f>
        <v>0</v>
      </c>
      <c r="Q343" s="732">
        <f>'Func Future Subs 2015'!Q343</f>
        <v>1</v>
      </c>
      <c r="R343" s="732">
        <f>'Func Future Subs 2015'!R343</f>
        <v>0</v>
      </c>
      <c r="S343" s="735">
        <f t="shared" si="42"/>
        <v>0</v>
      </c>
      <c r="T343" s="735">
        <f t="shared" si="43"/>
        <v>8107353.526873122</v>
      </c>
      <c r="U343" s="735">
        <f t="shared" si="44"/>
        <v>0</v>
      </c>
      <c r="V343" s="736">
        <f t="shared" si="45"/>
        <v>0</v>
      </c>
      <c r="W343" s="735">
        <f t="shared" si="46"/>
        <v>0</v>
      </c>
      <c r="X343" s="737">
        <f t="shared" si="47"/>
        <v>0</v>
      </c>
      <c r="Y343" s="738">
        <f t="shared" si="48"/>
        <v>8107353.526873122</v>
      </c>
    </row>
    <row r="344" spans="1:25">
      <c r="A344" s="754" t="str">
        <f>'Func Future Subs 2015'!A344</f>
        <v>Sunnybrook 510S</v>
      </c>
      <c r="B344" s="754">
        <f>'Func Future Subs 2015'!B344</f>
        <v>1655</v>
      </c>
      <c r="C344" s="754">
        <f>'Func Future Subs 2015'!C344</f>
        <v>500</v>
      </c>
      <c r="D344" s="754">
        <f>'Func Future Subs 2015'!D344</f>
        <v>500</v>
      </c>
      <c r="E344" s="754" t="str">
        <f>'Func Future Subs 2015'!E344</f>
        <v>510S</v>
      </c>
      <c r="F344" s="754">
        <f>'Func Future Subs 2015'!F344</f>
        <v>33890666.715976343</v>
      </c>
      <c r="G344" s="754" t="str">
        <f>'Func Future Subs 2015'!G344</f>
        <v>AltaLink</v>
      </c>
      <c r="H344" s="754">
        <f>'Func Future Subs 2015'!H344</f>
        <v>2018</v>
      </c>
      <c r="I344" s="306">
        <f>+IF($H344=I$2,VLOOKUP($G344,Depreciation!$A$14:$L$18,7,FALSE)/2,IF($H344&lt;I$2,VLOOKUP($G344,Depreciation!$A$14:$L$18,7,FALSE),0))</f>
        <v>0</v>
      </c>
      <c r="J344" s="306">
        <f>+IF($H344=J$2,VLOOKUP($G344,Depreciation!$A$14:$L$18,8,FALSE)/2,IF($H344&lt;J$2,VLOOKUP($G344,Depreciation!$A$14:$L$18,8,FALSE),0))</f>
        <v>0</v>
      </c>
      <c r="K344" s="306">
        <f>+IF($H344=K$2,VLOOKUP($G344,Depreciation!$A$14:$L$18,9,FALSE)/2,IF($H344&lt;K$2,VLOOKUP($G344,Depreciation!$A$14:$L$18,9,FALSE),0))</f>
        <v>0</v>
      </c>
      <c r="L344" s="306">
        <f>+IF($H344=L$2,VLOOKUP($G344,Depreciation!$A$14:$L$18,10,FALSE)/2,IF($H344&lt;L$2,VLOOKUP($G344,Depreciation!$A$14:$L$18,10,FALSE),0))</f>
        <v>1.671703928371859E-2</v>
      </c>
      <c r="M344" s="306">
        <f>+IF($H344=M$2,VLOOKUP($G344,Depreciation!$A$14:$L$18,11,FALSE)/2,IF($H344&lt;M$2,VLOOKUP($G344,Depreciation!$A$14:$L$18,11,FALSE),0))</f>
        <v>3.343407856743718E-2</v>
      </c>
      <c r="N344" s="306">
        <f>+IF($H344=N$2,VLOOKUP($G344,Depreciation!$A$14:$L$18,12,FALSE)/2,IF($H344&lt;N$2,VLOOKUP($G344,Depreciation!$A$14:$L$18,12,FALSE),0))</f>
        <v>3.343407856743718E-2</v>
      </c>
      <c r="O344" s="307">
        <f t="shared" si="41"/>
        <v>32209954.026384845</v>
      </c>
      <c r="P344" s="732">
        <f>'Func Future Subs 2015'!P344</f>
        <v>0</v>
      </c>
      <c r="Q344" s="732">
        <f>'Func Future Subs 2015'!Q344</f>
        <v>0</v>
      </c>
      <c r="R344" s="732">
        <f>'Func Future Subs 2015'!R344</f>
        <v>1</v>
      </c>
      <c r="S344" s="735">
        <f t="shared" si="42"/>
        <v>0</v>
      </c>
      <c r="T344" s="735">
        <f t="shared" si="43"/>
        <v>0</v>
      </c>
      <c r="U344" s="735">
        <f t="shared" si="44"/>
        <v>32209954.026384845</v>
      </c>
      <c r="V344" s="736">
        <f t="shared" si="45"/>
        <v>0</v>
      </c>
      <c r="W344" s="735">
        <f t="shared" si="46"/>
        <v>32209954.026384845</v>
      </c>
      <c r="X344" s="737">
        <f t="shared" si="47"/>
        <v>0</v>
      </c>
      <c r="Y344" s="738">
        <f t="shared" si="48"/>
        <v>0</v>
      </c>
    </row>
    <row r="345" spans="1:25">
      <c r="A345" s="754" t="str">
        <f>'Func Future Subs 2015'!A345</f>
        <v>High river 65S</v>
      </c>
      <c r="B345" s="754">
        <f>'Func Future Subs 2015'!B345</f>
        <v>1670</v>
      </c>
      <c r="C345" s="754">
        <f>'Func Future Subs 2015'!C345</f>
        <v>138</v>
      </c>
      <c r="D345" s="754">
        <f>'Func Future Subs 2015'!D345</f>
        <v>25</v>
      </c>
      <c r="E345" s="754" t="str">
        <f>'Func Future Subs 2015'!E345</f>
        <v>65S</v>
      </c>
      <c r="F345" s="754">
        <f>'Func Future Subs 2015'!F345</f>
        <v>2865685.0135288215</v>
      </c>
      <c r="G345" s="754" t="str">
        <f>'Func Future Subs 2015'!G345</f>
        <v>AltaLink</v>
      </c>
      <c r="H345" s="754">
        <f>'Func Future Subs 2015'!H345</f>
        <v>2018</v>
      </c>
      <c r="I345" s="306">
        <f>+IF($H345=I$2,VLOOKUP($G345,Depreciation!$A$14:$L$18,7,FALSE)/2,IF($H345&lt;I$2,VLOOKUP($G345,Depreciation!$A$14:$L$18,7,FALSE),0))</f>
        <v>0</v>
      </c>
      <c r="J345" s="306">
        <f>+IF($H345=J$2,VLOOKUP($G345,Depreciation!$A$14:$L$18,8,FALSE)/2,IF($H345&lt;J$2,VLOOKUP($G345,Depreciation!$A$14:$L$18,8,FALSE),0))</f>
        <v>0</v>
      </c>
      <c r="K345" s="306">
        <f>+IF($H345=K$2,VLOOKUP($G345,Depreciation!$A$14:$L$18,9,FALSE)/2,IF($H345&lt;K$2,VLOOKUP($G345,Depreciation!$A$14:$L$18,9,FALSE),0))</f>
        <v>0</v>
      </c>
      <c r="L345" s="306">
        <f>+IF($H345=L$2,VLOOKUP($G345,Depreciation!$A$14:$L$18,10,FALSE)/2,IF($H345&lt;L$2,VLOOKUP($G345,Depreciation!$A$14:$L$18,10,FALSE),0))</f>
        <v>1.671703928371859E-2</v>
      </c>
      <c r="M345" s="306">
        <f>+IF($H345=M$2,VLOOKUP($G345,Depreciation!$A$14:$L$18,11,FALSE)/2,IF($H345&lt;M$2,VLOOKUP($G345,Depreciation!$A$14:$L$18,11,FALSE),0))</f>
        <v>3.343407856743718E-2</v>
      </c>
      <c r="N345" s="306">
        <f>+IF($H345=N$2,VLOOKUP($G345,Depreciation!$A$14:$L$18,12,FALSE)/2,IF($H345&lt;N$2,VLOOKUP($G345,Depreciation!$A$14:$L$18,12,FALSE),0))</f>
        <v>3.343407856743718E-2</v>
      </c>
      <c r="O345" s="307">
        <f t="shared" si="41"/>
        <v>2723569.3919338183</v>
      </c>
      <c r="P345" s="732">
        <f>'Func Future Subs 2015'!P345</f>
        <v>0</v>
      </c>
      <c r="Q345" s="732">
        <f>'Func Future Subs 2015'!Q345</f>
        <v>1</v>
      </c>
      <c r="R345" s="732">
        <f>'Func Future Subs 2015'!R345</f>
        <v>0</v>
      </c>
      <c r="S345" s="735">
        <f t="shared" si="42"/>
        <v>0</v>
      </c>
      <c r="T345" s="735">
        <f t="shared" si="43"/>
        <v>2723569.3919338183</v>
      </c>
      <c r="U345" s="735">
        <f t="shared" si="44"/>
        <v>0</v>
      </c>
      <c r="V345" s="736">
        <f t="shared" si="45"/>
        <v>0</v>
      </c>
      <c r="W345" s="735">
        <f t="shared" si="46"/>
        <v>0</v>
      </c>
      <c r="X345" s="737">
        <f t="shared" si="47"/>
        <v>0</v>
      </c>
      <c r="Y345" s="738">
        <f t="shared" si="48"/>
        <v>2723569.3919338183</v>
      </c>
    </row>
    <row r="346" spans="1:25">
      <c r="A346" s="754" t="str">
        <f>'Func Future Subs 2015'!A346</f>
        <v>Okotoks 678S</v>
      </c>
      <c r="B346" s="754">
        <f>'Func Future Subs 2015'!B346</f>
        <v>1670</v>
      </c>
      <c r="C346" s="754">
        <f>'Func Future Subs 2015'!C346</f>
        <v>138</v>
      </c>
      <c r="D346" s="754">
        <f>'Func Future Subs 2015'!D346</f>
        <v>25</v>
      </c>
      <c r="E346" s="754" t="str">
        <f>'Func Future Subs 2015'!E346</f>
        <v>678S</v>
      </c>
      <c r="F346" s="754">
        <f>'Func Future Subs 2015'!F346</f>
        <v>17512173.986471187</v>
      </c>
      <c r="G346" s="754" t="str">
        <f>'Func Future Subs 2015'!G346</f>
        <v>AltaLink</v>
      </c>
      <c r="H346" s="754">
        <f>'Func Future Subs 2015'!H346</f>
        <v>2018</v>
      </c>
      <c r="I346" s="306">
        <f>+IF($H346=I$2,VLOOKUP($G346,Depreciation!$A$14:$L$18,7,FALSE)/2,IF($H346&lt;I$2,VLOOKUP($G346,Depreciation!$A$14:$L$18,7,FALSE),0))</f>
        <v>0</v>
      </c>
      <c r="J346" s="306">
        <f>+IF($H346=J$2,VLOOKUP($G346,Depreciation!$A$14:$L$18,8,FALSE)/2,IF($H346&lt;J$2,VLOOKUP($G346,Depreciation!$A$14:$L$18,8,FALSE),0))</f>
        <v>0</v>
      </c>
      <c r="K346" s="306">
        <f>+IF($H346=K$2,VLOOKUP($G346,Depreciation!$A$14:$L$18,9,FALSE)/2,IF($H346&lt;K$2,VLOOKUP($G346,Depreciation!$A$14:$L$18,9,FALSE),0))</f>
        <v>0</v>
      </c>
      <c r="L346" s="306">
        <f>+IF($H346=L$2,VLOOKUP($G346,Depreciation!$A$14:$L$18,10,FALSE)/2,IF($H346&lt;L$2,VLOOKUP($G346,Depreciation!$A$14:$L$18,10,FALSE),0))</f>
        <v>1.671703928371859E-2</v>
      </c>
      <c r="M346" s="306">
        <f>+IF($H346=M$2,VLOOKUP($G346,Depreciation!$A$14:$L$18,11,FALSE)/2,IF($H346&lt;M$2,VLOOKUP($G346,Depreciation!$A$14:$L$18,11,FALSE),0))</f>
        <v>3.343407856743718E-2</v>
      </c>
      <c r="N346" s="306">
        <f>+IF($H346=N$2,VLOOKUP($G346,Depreciation!$A$14:$L$18,12,FALSE)/2,IF($H346&lt;N$2,VLOOKUP($G346,Depreciation!$A$14:$L$18,12,FALSE),0))</f>
        <v>3.343407856743718E-2</v>
      </c>
      <c r="O346" s="307">
        <f t="shared" si="41"/>
        <v>16643706.768400164</v>
      </c>
      <c r="P346" s="732">
        <f>'Func Future Subs 2015'!P346</f>
        <v>0</v>
      </c>
      <c r="Q346" s="732">
        <f>'Func Future Subs 2015'!Q346</f>
        <v>1</v>
      </c>
      <c r="R346" s="732">
        <f>'Func Future Subs 2015'!R346</f>
        <v>0</v>
      </c>
      <c r="S346" s="735">
        <f t="shared" si="42"/>
        <v>0</v>
      </c>
      <c r="T346" s="735">
        <f t="shared" si="43"/>
        <v>16643706.768400164</v>
      </c>
      <c r="U346" s="735">
        <f t="shared" si="44"/>
        <v>0</v>
      </c>
      <c r="V346" s="736">
        <f t="shared" si="45"/>
        <v>0</v>
      </c>
      <c r="W346" s="735">
        <f t="shared" si="46"/>
        <v>0</v>
      </c>
      <c r="X346" s="737">
        <f t="shared" si="47"/>
        <v>0</v>
      </c>
      <c r="Y346" s="738">
        <f t="shared" si="48"/>
        <v>16643706.768400164</v>
      </c>
    </row>
    <row r="347" spans="1:25">
      <c r="A347" s="754" t="str">
        <f>'Func Future Subs 2015'!A347</f>
        <v>Cooking Lake 522S</v>
      </c>
      <c r="B347" s="754">
        <f>'Func Future Subs 2015'!B347</f>
        <v>1674</v>
      </c>
      <c r="C347" s="754">
        <f>'Func Future Subs 2015'!C347</f>
        <v>138</v>
      </c>
      <c r="D347" s="754">
        <f>'Func Future Subs 2015'!D347</f>
        <v>25</v>
      </c>
      <c r="E347" s="754" t="str">
        <f>'Func Future Subs 2015'!E347</f>
        <v>522S</v>
      </c>
      <c r="F347" s="754">
        <f>'Func Future Subs 2015'!F347</f>
        <v>9946465.9999999963</v>
      </c>
      <c r="G347" s="754" t="str">
        <f>'Func Future Subs 2015'!G347</f>
        <v>AltaLink</v>
      </c>
      <c r="H347" s="754">
        <f>'Func Future Subs 2015'!H347</f>
        <v>2018</v>
      </c>
      <c r="I347" s="306">
        <f>+IF($H347=I$2,VLOOKUP($G347,Depreciation!$A$14:$L$18,7,FALSE)/2,IF($H347&lt;I$2,VLOOKUP($G347,Depreciation!$A$14:$L$18,7,FALSE),0))</f>
        <v>0</v>
      </c>
      <c r="J347" s="306">
        <f>+IF($H347=J$2,VLOOKUP($G347,Depreciation!$A$14:$L$18,8,FALSE)/2,IF($H347&lt;J$2,VLOOKUP($G347,Depreciation!$A$14:$L$18,8,FALSE),0))</f>
        <v>0</v>
      </c>
      <c r="K347" s="306">
        <f>+IF($H347=K$2,VLOOKUP($G347,Depreciation!$A$14:$L$18,9,FALSE)/2,IF($H347&lt;K$2,VLOOKUP($G347,Depreciation!$A$14:$L$18,9,FALSE),0))</f>
        <v>0</v>
      </c>
      <c r="L347" s="306">
        <f>+IF($H347=L$2,VLOOKUP($G347,Depreciation!$A$14:$L$18,10,FALSE)/2,IF($H347&lt;L$2,VLOOKUP($G347,Depreciation!$A$14:$L$18,10,FALSE),0))</f>
        <v>1.671703928371859E-2</v>
      </c>
      <c r="M347" s="306">
        <f>+IF($H347=M$2,VLOOKUP($G347,Depreciation!$A$14:$L$18,11,FALSE)/2,IF($H347&lt;M$2,VLOOKUP($G347,Depreciation!$A$14:$L$18,11,FALSE),0))</f>
        <v>3.343407856743718E-2</v>
      </c>
      <c r="N347" s="306">
        <f>+IF($H347=N$2,VLOOKUP($G347,Depreciation!$A$14:$L$18,12,FALSE)/2,IF($H347&lt;N$2,VLOOKUP($G347,Depreciation!$A$14:$L$18,12,FALSE),0))</f>
        <v>3.343407856743718E-2</v>
      </c>
      <c r="O347" s="307">
        <f t="shared" si="41"/>
        <v>9453198.8783204518</v>
      </c>
      <c r="P347" s="732">
        <f>'Func Future Subs 2015'!P347</f>
        <v>0</v>
      </c>
      <c r="Q347" s="732">
        <f>'Func Future Subs 2015'!Q347</f>
        <v>1</v>
      </c>
      <c r="R347" s="732">
        <f>'Func Future Subs 2015'!R347</f>
        <v>0</v>
      </c>
      <c r="S347" s="735">
        <f t="shared" si="42"/>
        <v>0</v>
      </c>
      <c r="T347" s="735">
        <f t="shared" si="43"/>
        <v>9453198.8783204518</v>
      </c>
      <c r="U347" s="735">
        <f t="shared" si="44"/>
        <v>0</v>
      </c>
      <c r="V347" s="736">
        <f t="shared" si="45"/>
        <v>0</v>
      </c>
      <c r="W347" s="735">
        <f t="shared" si="46"/>
        <v>0</v>
      </c>
      <c r="X347" s="737">
        <f t="shared" si="47"/>
        <v>0</v>
      </c>
      <c r="Y347" s="738">
        <f t="shared" si="48"/>
        <v>9453198.8783204518</v>
      </c>
    </row>
    <row r="348" spans="1:25">
      <c r="A348" s="754" t="str">
        <f>'Func Future Subs 2015'!A348</f>
        <v>Empress 394S</v>
      </c>
      <c r="B348" s="754">
        <f>'Func Future Subs 2015'!B348</f>
        <v>1679</v>
      </c>
      <c r="C348" s="754">
        <f>'Func Future Subs 2015'!C348</f>
        <v>138</v>
      </c>
      <c r="D348" s="754">
        <f>'Func Future Subs 2015'!D348</f>
        <v>25</v>
      </c>
      <c r="E348" s="754" t="str">
        <f>'Func Future Subs 2015'!E348</f>
        <v>394S</v>
      </c>
      <c r="F348" s="754">
        <f>'Func Future Subs 2015'!F348</f>
        <v>2923999.9999999986</v>
      </c>
      <c r="G348" s="754" t="str">
        <f>'Func Future Subs 2015'!G348</f>
        <v>AltaLink</v>
      </c>
      <c r="H348" s="754">
        <f>'Func Future Subs 2015'!H348</f>
        <v>2017</v>
      </c>
      <c r="I348" s="306">
        <f>+IF($H348=I$2,VLOOKUP($G348,Depreciation!$A$14:$L$18,7,FALSE)/2,IF($H348&lt;I$2,VLOOKUP($G348,Depreciation!$A$14:$L$18,7,FALSE),0))</f>
        <v>0</v>
      </c>
      <c r="J348" s="306">
        <f>+IF($H348=J$2,VLOOKUP($G348,Depreciation!$A$14:$L$18,8,FALSE)/2,IF($H348&lt;J$2,VLOOKUP($G348,Depreciation!$A$14:$L$18,8,FALSE),0))</f>
        <v>0</v>
      </c>
      <c r="K348" s="306">
        <f>+IF($H348=K$2,VLOOKUP($G348,Depreciation!$A$14:$L$18,9,FALSE)/2,IF($H348&lt;K$2,VLOOKUP($G348,Depreciation!$A$14:$L$18,9,FALSE),0))</f>
        <v>1.671703928371859E-2</v>
      </c>
      <c r="L348" s="306">
        <f>+IF($H348=L$2,VLOOKUP($G348,Depreciation!$A$14:$L$18,10,FALSE)/2,IF($H348&lt;L$2,VLOOKUP($G348,Depreciation!$A$14:$L$18,10,FALSE),0))</f>
        <v>3.343407856743718E-2</v>
      </c>
      <c r="M348" s="306">
        <f>+IF($H348=M$2,VLOOKUP($G348,Depreciation!$A$14:$L$18,11,FALSE)/2,IF($H348&lt;M$2,VLOOKUP($G348,Depreciation!$A$14:$L$18,11,FALSE),0))</f>
        <v>3.343407856743718E-2</v>
      </c>
      <c r="N348" s="306">
        <f>+IF($H348=N$2,VLOOKUP($G348,Depreciation!$A$14:$L$18,12,FALSE)/2,IF($H348&lt;N$2,VLOOKUP($G348,Depreciation!$A$14:$L$18,12,FALSE),0))</f>
        <v>3.343407856743718E-2</v>
      </c>
      <c r="O348" s="307">
        <f t="shared" si="41"/>
        <v>2686079.3594146646</v>
      </c>
      <c r="P348" s="732">
        <f>'Func Future Subs 2015'!P348</f>
        <v>0</v>
      </c>
      <c r="Q348" s="732">
        <f>'Func Future Subs 2015'!Q348</f>
        <v>1</v>
      </c>
      <c r="R348" s="732">
        <f>'Func Future Subs 2015'!R348</f>
        <v>0</v>
      </c>
      <c r="S348" s="735">
        <f t="shared" si="42"/>
        <v>0</v>
      </c>
      <c r="T348" s="735">
        <f t="shared" si="43"/>
        <v>2686079.3594146646</v>
      </c>
      <c r="U348" s="735">
        <f t="shared" si="44"/>
        <v>0</v>
      </c>
      <c r="V348" s="736">
        <f t="shared" si="45"/>
        <v>0</v>
      </c>
      <c r="W348" s="735">
        <f t="shared" si="46"/>
        <v>0</v>
      </c>
      <c r="X348" s="737">
        <f t="shared" si="47"/>
        <v>0</v>
      </c>
      <c r="Y348" s="738">
        <f t="shared" si="48"/>
        <v>2686079.3594146646</v>
      </c>
    </row>
    <row r="349" spans="1:25">
      <c r="A349" s="754" t="str">
        <f>'Func Future Subs 2015'!A349</f>
        <v>Fortis Bullhead 523S</v>
      </c>
      <c r="B349" s="754">
        <f>'Func Future Subs 2015'!B349</f>
        <v>1681</v>
      </c>
      <c r="C349" s="754">
        <f>'Func Future Subs 2015'!C349</f>
        <v>138</v>
      </c>
      <c r="D349" s="754">
        <f>'Func Future Subs 2015'!D349</f>
        <v>25</v>
      </c>
      <c r="E349" s="754" t="str">
        <f>'Func Future Subs 2015'!E349</f>
        <v>523S</v>
      </c>
      <c r="F349" s="754">
        <f>'Func Future Subs 2015'!F349</f>
        <v>5565999.9999999972</v>
      </c>
      <c r="G349" s="754" t="str">
        <f>'Func Future Subs 2015'!G349</f>
        <v>AltaLink</v>
      </c>
      <c r="H349" s="754">
        <f>'Func Future Subs 2015'!H349</f>
        <v>2017</v>
      </c>
      <c r="I349" s="306">
        <f>+IF($H349=I$2,VLOOKUP($G349,Depreciation!$A$14:$L$18,7,FALSE)/2,IF($H349&lt;I$2,VLOOKUP($G349,Depreciation!$A$14:$L$18,7,FALSE),0))</f>
        <v>0</v>
      </c>
      <c r="J349" s="306">
        <f>+IF($H349=J$2,VLOOKUP($G349,Depreciation!$A$14:$L$18,8,FALSE)/2,IF($H349&lt;J$2,VLOOKUP($G349,Depreciation!$A$14:$L$18,8,FALSE),0))</f>
        <v>0</v>
      </c>
      <c r="K349" s="306">
        <f>+IF($H349=K$2,VLOOKUP($G349,Depreciation!$A$14:$L$18,9,FALSE)/2,IF($H349&lt;K$2,VLOOKUP($G349,Depreciation!$A$14:$L$18,9,FALSE),0))</f>
        <v>1.671703928371859E-2</v>
      </c>
      <c r="L349" s="306">
        <f>+IF($H349=L$2,VLOOKUP($G349,Depreciation!$A$14:$L$18,10,FALSE)/2,IF($H349&lt;L$2,VLOOKUP($G349,Depreciation!$A$14:$L$18,10,FALSE),0))</f>
        <v>3.343407856743718E-2</v>
      </c>
      <c r="M349" s="306">
        <f>+IF($H349=M$2,VLOOKUP($G349,Depreciation!$A$14:$L$18,11,FALSE)/2,IF($H349&lt;M$2,VLOOKUP($G349,Depreciation!$A$14:$L$18,11,FALSE),0))</f>
        <v>3.343407856743718E-2</v>
      </c>
      <c r="N349" s="306">
        <f>+IF($H349=N$2,VLOOKUP($G349,Depreciation!$A$14:$L$18,12,FALSE)/2,IF($H349&lt;N$2,VLOOKUP($G349,Depreciation!$A$14:$L$18,12,FALSE),0))</f>
        <v>3.343407856743718E-2</v>
      </c>
      <c r="O349" s="307">
        <f t="shared" si="41"/>
        <v>5113104.5535232639</v>
      </c>
      <c r="P349" s="732">
        <f>'Func Future Subs 2015'!P349</f>
        <v>0</v>
      </c>
      <c r="Q349" s="732">
        <f>'Func Future Subs 2015'!Q349</f>
        <v>1</v>
      </c>
      <c r="R349" s="732">
        <f>'Func Future Subs 2015'!R349</f>
        <v>0</v>
      </c>
      <c r="S349" s="735">
        <f t="shared" si="42"/>
        <v>0</v>
      </c>
      <c r="T349" s="735">
        <f t="shared" si="43"/>
        <v>5113104.5535232639</v>
      </c>
      <c r="U349" s="735">
        <f t="shared" si="44"/>
        <v>0</v>
      </c>
      <c r="V349" s="736">
        <f t="shared" si="45"/>
        <v>0</v>
      </c>
      <c r="W349" s="735">
        <f t="shared" si="46"/>
        <v>0</v>
      </c>
      <c r="X349" s="737">
        <f t="shared" si="47"/>
        <v>0</v>
      </c>
      <c r="Y349" s="738">
        <f t="shared" si="48"/>
        <v>5113104.5535232639</v>
      </c>
    </row>
    <row r="350" spans="1:25">
      <c r="A350" s="754" t="str">
        <f>'Func Future Subs 2015'!A350</f>
        <v>Fox creek substation</v>
      </c>
      <c r="B350" s="754">
        <f>'Func Future Subs 2015'!B350</f>
        <v>1722</v>
      </c>
      <c r="C350" s="754">
        <f>'Func Future Subs 2015'!C350</f>
        <v>144</v>
      </c>
      <c r="D350" s="754">
        <f>'Func Future Subs 2015'!D350</f>
        <v>0</v>
      </c>
      <c r="E350" s="754">
        <f>'Func Future Subs 2015'!E350</f>
        <v>0</v>
      </c>
      <c r="F350" s="754">
        <f>'Func Future Subs 2015'!F350</f>
        <v>4905391.5342857111</v>
      </c>
      <c r="G350" s="754" t="str">
        <f>'Func Future Subs 2015'!G350</f>
        <v>ATCO</v>
      </c>
      <c r="H350" s="754">
        <f>'Func Future Subs 2015'!H350</f>
        <v>2017</v>
      </c>
      <c r="I350" s="306">
        <f>+IF($H350=I$2,VLOOKUP($G350,Depreciation!$A$14:$L$18,7,FALSE)/2,IF($H350&lt;I$2,VLOOKUP($G350,Depreciation!$A$14:$L$18,7,FALSE),0))</f>
        <v>0</v>
      </c>
      <c r="J350" s="306">
        <f>+IF($H350=J$2,VLOOKUP($G350,Depreciation!$A$14:$L$18,8,FALSE)/2,IF($H350&lt;J$2,VLOOKUP($G350,Depreciation!$A$14:$L$18,8,FALSE),0))</f>
        <v>0</v>
      </c>
      <c r="K350" s="306">
        <f>+IF($H350=K$2,VLOOKUP($G350,Depreciation!$A$14:$L$18,9,FALSE)/2,IF($H350&lt;K$2,VLOOKUP($G350,Depreciation!$A$14:$L$18,9,FALSE),0))</f>
        <v>1.2175768213899416E-2</v>
      </c>
      <c r="L350" s="306">
        <f>+IF($H350=L$2,VLOOKUP($G350,Depreciation!$A$14:$L$18,10,FALSE)/2,IF($H350&lt;L$2,VLOOKUP($G350,Depreciation!$A$14:$L$18,10,FALSE),0))</f>
        <v>2.4351536427798831E-2</v>
      </c>
      <c r="M350" s="306">
        <f>+IF($H350=M$2,VLOOKUP($G350,Depreciation!$A$14:$L$18,11,FALSE)/2,IF($H350&lt;M$2,VLOOKUP($G350,Depreciation!$A$14:$L$18,11,FALSE),0))</f>
        <v>2.4351536427798831E-2</v>
      </c>
      <c r="N350" s="306">
        <f>+IF($H350=N$2,VLOOKUP($G350,Depreciation!$A$14:$L$18,12,FALSE)/2,IF($H350&lt;N$2,VLOOKUP($G350,Depreciation!$A$14:$L$18,12,FALSE),0))</f>
        <v>2.4351536427798831E-2</v>
      </c>
      <c r="O350" s="307">
        <f t="shared" si="41"/>
        <v>4612539.33291764</v>
      </c>
      <c r="P350" s="732">
        <f>'Func Future Subs 2015'!P350</f>
        <v>0</v>
      </c>
      <c r="Q350" s="732">
        <f>'Func Future Subs 2015'!Q350</f>
        <v>0</v>
      </c>
      <c r="R350" s="732">
        <f>'Func Future Subs 2015'!R350</f>
        <v>1</v>
      </c>
      <c r="S350" s="735">
        <f t="shared" si="42"/>
        <v>0</v>
      </c>
      <c r="T350" s="735">
        <f t="shared" si="43"/>
        <v>0</v>
      </c>
      <c r="U350" s="735">
        <f t="shared" si="44"/>
        <v>4612539.33291764</v>
      </c>
      <c r="V350" s="736">
        <f t="shared" si="45"/>
        <v>4612539.33291764</v>
      </c>
      <c r="W350" s="735">
        <f t="shared" si="46"/>
        <v>0</v>
      </c>
      <c r="X350" s="737">
        <f t="shared" si="47"/>
        <v>0</v>
      </c>
      <c r="Y350" s="738">
        <f t="shared" si="48"/>
        <v>0</v>
      </c>
    </row>
    <row r="351" spans="1:25">
      <c r="A351" s="754" t="str">
        <f>'Func Future Subs 2015'!A351</f>
        <v>New Muir POD</v>
      </c>
      <c r="B351" s="754">
        <f>'Func Future Subs 2015'!B351</f>
        <v>1722</v>
      </c>
      <c r="C351" s="754">
        <f>'Func Future Subs 2015'!C351</f>
        <v>144</v>
      </c>
      <c r="D351" s="754">
        <f>'Func Future Subs 2015'!D351</f>
        <v>0</v>
      </c>
      <c r="E351" s="754">
        <f>'Func Future Subs 2015'!E351</f>
        <v>0</v>
      </c>
      <c r="F351" s="754">
        <f>'Func Future Subs 2015'!F351</f>
        <v>12202149.6335527</v>
      </c>
      <c r="G351" s="754" t="str">
        <f>'Func Future Subs 2015'!G351</f>
        <v>ATCO</v>
      </c>
      <c r="H351" s="754">
        <f>'Func Future Subs 2015'!H351</f>
        <v>2017</v>
      </c>
      <c r="I351" s="306">
        <f>+IF($H351=I$2,VLOOKUP($G351,Depreciation!$A$14:$L$18,7,FALSE)/2,IF($H351&lt;I$2,VLOOKUP($G351,Depreciation!$A$14:$L$18,7,FALSE),0))</f>
        <v>0</v>
      </c>
      <c r="J351" s="306">
        <f>+IF($H351=J$2,VLOOKUP($G351,Depreciation!$A$14:$L$18,8,FALSE)/2,IF($H351&lt;J$2,VLOOKUP($G351,Depreciation!$A$14:$L$18,8,FALSE),0))</f>
        <v>0</v>
      </c>
      <c r="K351" s="306">
        <f>+IF($H351=K$2,VLOOKUP($G351,Depreciation!$A$14:$L$18,9,FALSE)/2,IF($H351&lt;K$2,VLOOKUP($G351,Depreciation!$A$14:$L$18,9,FALSE),0))</f>
        <v>1.2175768213899416E-2</v>
      </c>
      <c r="L351" s="306">
        <f>+IF($H351=L$2,VLOOKUP($G351,Depreciation!$A$14:$L$18,10,FALSE)/2,IF($H351&lt;L$2,VLOOKUP($G351,Depreciation!$A$14:$L$18,10,FALSE),0))</f>
        <v>2.4351536427798831E-2</v>
      </c>
      <c r="M351" s="306">
        <f>+IF($H351=M$2,VLOOKUP($G351,Depreciation!$A$14:$L$18,11,FALSE)/2,IF($H351&lt;M$2,VLOOKUP($G351,Depreciation!$A$14:$L$18,11,FALSE),0))</f>
        <v>2.4351536427798831E-2</v>
      </c>
      <c r="N351" s="306">
        <f>+IF($H351=N$2,VLOOKUP($G351,Depreciation!$A$14:$L$18,12,FALSE)/2,IF($H351&lt;N$2,VLOOKUP($G351,Depreciation!$A$14:$L$18,12,FALSE),0))</f>
        <v>2.4351536427798831E-2</v>
      </c>
      <c r="O351" s="307">
        <f t="shared" si="41"/>
        <v>11473680.487586994</v>
      </c>
      <c r="P351" s="732">
        <f>'Func Future Subs 2015'!P351</f>
        <v>0</v>
      </c>
      <c r="Q351" s="732">
        <f>'Func Future Subs 2015'!Q351</f>
        <v>0</v>
      </c>
      <c r="R351" s="732">
        <f>'Func Future Subs 2015'!R351</f>
        <v>1</v>
      </c>
      <c r="S351" s="735">
        <f t="shared" si="42"/>
        <v>0</v>
      </c>
      <c r="T351" s="735">
        <f t="shared" si="43"/>
        <v>0</v>
      </c>
      <c r="U351" s="735">
        <f t="shared" si="44"/>
        <v>11473680.487586994</v>
      </c>
      <c r="V351" s="736">
        <f t="shared" si="45"/>
        <v>11473680.487586994</v>
      </c>
      <c r="W351" s="735">
        <f t="shared" si="46"/>
        <v>0</v>
      </c>
      <c r="X351" s="737">
        <f t="shared" si="47"/>
        <v>0</v>
      </c>
      <c r="Y351" s="738">
        <f t="shared" si="48"/>
        <v>0</v>
      </c>
    </row>
    <row r="352" spans="1:25">
      <c r="A352" s="754" t="str">
        <f>'Func Future Subs 2015'!A352</f>
        <v>Calgary Downtown</v>
      </c>
      <c r="B352" s="754">
        <f>'Func Future Subs 2015'!B352</f>
        <v>1456</v>
      </c>
      <c r="C352" s="754">
        <f>'Func Future Subs 2015'!C352</f>
        <v>138</v>
      </c>
      <c r="D352" s="754">
        <f>'Func Future Subs 2015'!D352</f>
        <v>25</v>
      </c>
      <c r="E352" s="754" t="str">
        <f>'Func Future Subs 2015'!E352</f>
        <v>SS-2</v>
      </c>
      <c r="F352" s="754">
        <f>'Func Future Subs 2015'!F352</f>
        <v>70361149.105234668</v>
      </c>
      <c r="G352" s="754" t="str">
        <f>'Func Future Subs 2015'!G352</f>
        <v>ENMAX</v>
      </c>
      <c r="H352" s="754">
        <f>'Func Future Subs 2015'!H352</f>
        <v>2020</v>
      </c>
      <c r="I352" s="306">
        <f>+IF($H352=I$2,VLOOKUP($G352,Depreciation!$A$14:$L$18,7,FALSE)/2,IF($H352&lt;I$2,VLOOKUP($G352,Depreciation!$A$14:$L$18,7,FALSE),0))</f>
        <v>0</v>
      </c>
      <c r="J352" s="306">
        <f>+IF($H352=J$2,VLOOKUP($G352,Depreciation!$A$14:$L$18,8,FALSE)/2,IF($H352&lt;J$2,VLOOKUP($G352,Depreciation!$A$14:$L$18,8,FALSE),0))</f>
        <v>0</v>
      </c>
      <c r="K352" s="306">
        <f>+IF($H352=K$2,VLOOKUP($G352,Depreciation!$A$14:$L$18,9,FALSE)/2,IF($H352&lt;K$2,VLOOKUP($G352,Depreciation!$A$14:$L$18,9,FALSE),0))</f>
        <v>0</v>
      </c>
      <c r="L352" s="306">
        <f>+IF($H352=L$2,VLOOKUP($G352,Depreciation!$A$14:$L$18,10,FALSE)/2,IF($H352&lt;L$2,VLOOKUP($G352,Depreciation!$A$14:$L$18,10,FALSE),0))</f>
        <v>0</v>
      </c>
      <c r="M352" s="306">
        <f>+IF($H352=M$2,VLOOKUP($G352,Depreciation!$A$14:$L$18,11,FALSE)/2,IF($H352&lt;M$2,VLOOKUP($G352,Depreciation!$A$14:$L$18,11,FALSE),0))</f>
        <v>0</v>
      </c>
      <c r="N352" s="306">
        <f>+IF($H352=N$2,VLOOKUP($G352,Depreciation!$A$14:$L$18,12,FALSE)/2,IF($H352&lt;N$2,VLOOKUP($G352,Depreciation!$A$14:$L$18,12,FALSE),0))</f>
        <v>1.3928409269726289E-2</v>
      </c>
      <c r="O352" s="307">
        <f t="shared" si="41"/>
        <v>0</v>
      </c>
      <c r="P352" s="732">
        <f>'Func Future Subs 2015'!P352</f>
        <v>0</v>
      </c>
      <c r="Q352" s="732">
        <f>'Func Future Subs 2015'!Q352</f>
        <v>1</v>
      </c>
      <c r="R352" s="732">
        <f>'Func Future Subs 2015'!R352</f>
        <v>0</v>
      </c>
      <c r="S352" s="735">
        <f t="shared" si="42"/>
        <v>0</v>
      </c>
      <c r="T352" s="735">
        <f t="shared" si="43"/>
        <v>0</v>
      </c>
      <c r="U352" s="735">
        <f t="shared" si="44"/>
        <v>0</v>
      </c>
      <c r="V352" s="736">
        <f t="shared" si="45"/>
        <v>0</v>
      </c>
      <c r="W352" s="735">
        <f t="shared" si="46"/>
        <v>0</v>
      </c>
      <c r="X352" s="737">
        <f t="shared" si="47"/>
        <v>0</v>
      </c>
      <c r="Y352" s="738">
        <f t="shared" si="48"/>
        <v>0</v>
      </c>
    </row>
    <row r="353" spans="1:25">
      <c r="A353" s="754" t="str">
        <f>'Func Future Subs 2015'!A353</f>
        <v>PENV</v>
      </c>
      <c r="B353" s="754">
        <f>'Func Future Subs 2015'!B353</f>
        <v>1781</v>
      </c>
      <c r="C353" s="754">
        <f>'Func Future Subs 2015'!C353</f>
        <v>240</v>
      </c>
      <c r="D353" s="754">
        <f>'Func Future Subs 2015'!D353</f>
        <v>144</v>
      </c>
      <c r="E353" s="754">
        <f>'Func Future Subs 2015'!E353</f>
        <v>0</v>
      </c>
      <c r="F353" s="754">
        <f>'Func Future Subs 2015'!F353</f>
        <v>25938027.308870837</v>
      </c>
      <c r="G353" s="754" t="str">
        <f>'Func Future Subs 2015'!G353</f>
        <v>AltaLink</v>
      </c>
      <c r="H353" s="754">
        <f>'Func Future Subs 2015'!H353</f>
        <v>2021</v>
      </c>
      <c r="I353" s="306">
        <f>+IF($H353=I$2,VLOOKUP($G353,Depreciation!$A$14:$L$18,7,FALSE)/2,IF($H353&lt;I$2,VLOOKUP($G353,Depreciation!$A$14:$L$18,7,FALSE),0))</f>
        <v>0</v>
      </c>
      <c r="J353" s="306">
        <f>+IF($H353=J$2,VLOOKUP($G353,Depreciation!$A$14:$L$18,8,FALSE)/2,IF($H353&lt;J$2,VLOOKUP($G353,Depreciation!$A$14:$L$18,8,FALSE),0))</f>
        <v>0</v>
      </c>
      <c r="K353" s="306">
        <f>+IF($H353=K$2,VLOOKUP($G353,Depreciation!$A$14:$L$18,9,FALSE)/2,IF($H353&lt;K$2,VLOOKUP($G353,Depreciation!$A$14:$L$18,9,FALSE),0))</f>
        <v>0</v>
      </c>
      <c r="L353" s="306">
        <f>+IF($H353=L$2,VLOOKUP($G353,Depreciation!$A$14:$L$18,10,FALSE)/2,IF($H353&lt;L$2,VLOOKUP($G353,Depreciation!$A$14:$L$18,10,FALSE),0))</f>
        <v>0</v>
      </c>
      <c r="M353" s="306">
        <f>+IF($H353=M$2,VLOOKUP($G353,Depreciation!$A$14:$L$18,11,FALSE)/2,IF($H353&lt;M$2,VLOOKUP($G353,Depreciation!$A$14:$L$18,11,FALSE),0))</f>
        <v>0</v>
      </c>
      <c r="N353" s="306">
        <f>+IF($H353=N$2,VLOOKUP($G353,Depreciation!$A$14:$L$18,12,FALSE)/2,IF($H353&lt;N$2,VLOOKUP($G353,Depreciation!$A$14:$L$18,12,FALSE),0))</f>
        <v>0</v>
      </c>
      <c r="O353" s="307">
        <f t="shared" si="41"/>
        <v>0</v>
      </c>
      <c r="P353" s="732">
        <f>'Func Future Subs 2015'!P353</f>
        <v>0</v>
      </c>
      <c r="Q353" s="732">
        <f>'Func Future Subs 2015'!Q353</f>
        <v>0</v>
      </c>
      <c r="R353" s="732">
        <f>'Func Future Subs 2015'!R353</f>
        <v>1</v>
      </c>
      <c r="S353" s="735">
        <f t="shared" si="42"/>
        <v>0</v>
      </c>
      <c r="T353" s="735">
        <f t="shared" si="43"/>
        <v>0</v>
      </c>
      <c r="U353" s="735">
        <f t="shared" si="44"/>
        <v>0</v>
      </c>
      <c r="V353" s="736">
        <f t="shared" si="45"/>
        <v>0</v>
      </c>
      <c r="W353" s="735">
        <f t="shared" si="46"/>
        <v>0</v>
      </c>
      <c r="X353" s="737">
        <f t="shared" si="47"/>
        <v>0</v>
      </c>
      <c r="Y353" s="738">
        <f t="shared" si="48"/>
        <v>0</v>
      </c>
    </row>
    <row r="354" spans="1:25">
      <c r="A354" s="754" t="str">
        <f>'Func Future Subs 2015'!A354</f>
        <v>PENV</v>
      </c>
      <c r="B354" s="754">
        <f>'Func Future Subs 2015'!B354</f>
        <v>1781</v>
      </c>
      <c r="C354" s="754">
        <f>'Func Future Subs 2015'!C354</f>
        <v>240</v>
      </c>
      <c r="D354" s="754">
        <f>'Func Future Subs 2015'!D354</f>
        <v>144</v>
      </c>
      <c r="E354" s="754">
        <f>'Func Future Subs 2015'!E354</f>
        <v>0</v>
      </c>
      <c r="F354" s="754">
        <f>'Func Future Subs 2015'!F354</f>
        <v>22116340.596381165</v>
      </c>
      <c r="G354" s="754" t="str">
        <f>'Func Future Subs 2015'!G354</f>
        <v>ATCO</v>
      </c>
      <c r="H354" s="754">
        <f>'Func Future Subs 2015'!H354</f>
        <v>2021</v>
      </c>
      <c r="I354" s="306">
        <f>+IF($H354=I$2,VLOOKUP($G354,Depreciation!$A$14:$L$18,7,FALSE)/2,IF($H354&lt;I$2,VLOOKUP($G354,Depreciation!$A$14:$L$18,7,FALSE),0))</f>
        <v>0</v>
      </c>
      <c r="J354" s="306">
        <f>+IF($H354=J$2,VLOOKUP($G354,Depreciation!$A$14:$L$18,8,FALSE)/2,IF($H354&lt;J$2,VLOOKUP($G354,Depreciation!$A$14:$L$18,8,FALSE),0))</f>
        <v>0</v>
      </c>
      <c r="K354" s="306">
        <f>+IF($H354=K$2,VLOOKUP($G354,Depreciation!$A$14:$L$18,9,FALSE)/2,IF($H354&lt;K$2,VLOOKUP($G354,Depreciation!$A$14:$L$18,9,FALSE),0))</f>
        <v>0</v>
      </c>
      <c r="L354" s="306">
        <f>+IF($H354=L$2,VLOOKUP($G354,Depreciation!$A$14:$L$18,10,FALSE)/2,IF($H354&lt;L$2,VLOOKUP($G354,Depreciation!$A$14:$L$18,10,FALSE),0))</f>
        <v>0</v>
      </c>
      <c r="M354" s="306">
        <f>+IF($H354=M$2,VLOOKUP($G354,Depreciation!$A$14:$L$18,11,FALSE)/2,IF($H354&lt;M$2,VLOOKUP($G354,Depreciation!$A$14:$L$18,11,FALSE),0))</f>
        <v>0</v>
      </c>
      <c r="N354" s="306">
        <f>+IF($H354=N$2,VLOOKUP($G354,Depreciation!$A$14:$L$18,12,FALSE)/2,IF($H354&lt;N$2,VLOOKUP($G354,Depreciation!$A$14:$L$18,12,FALSE),0))</f>
        <v>0</v>
      </c>
      <c r="O354" s="307">
        <f t="shared" si="41"/>
        <v>0</v>
      </c>
      <c r="P354" s="732">
        <f>'Func Future Subs 2015'!P354</f>
        <v>0</v>
      </c>
      <c r="Q354" s="732">
        <f>'Func Future Subs 2015'!Q354</f>
        <v>0</v>
      </c>
      <c r="R354" s="732">
        <f>'Func Future Subs 2015'!R354</f>
        <v>1</v>
      </c>
      <c r="S354" s="735">
        <f t="shared" si="42"/>
        <v>0</v>
      </c>
      <c r="T354" s="735">
        <f t="shared" si="43"/>
        <v>0</v>
      </c>
      <c r="U354" s="735">
        <f t="shared" si="44"/>
        <v>0</v>
      </c>
      <c r="V354" s="736">
        <f t="shared" si="45"/>
        <v>0</v>
      </c>
      <c r="W354" s="735">
        <f t="shared" si="46"/>
        <v>0</v>
      </c>
      <c r="X354" s="737">
        <f t="shared" si="47"/>
        <v>0</v>
      </c>
      <c r="Y354" s="738">
        <f t="shared" si="48"/>
        <v>0</v>
      </c>
    </row>
    <row r="355" spans="1:25">
      <c r="A355" s="757"/>
      <c r="B355" s="757"/>
      <c r="C355" s="757"/>
      <c r="D355" s="757"/>
      <c r="E355" s="757"/>
      <c r="F355" s="757"/>
      <c r="G355" s="757"/>
      <c r="H355" s="757"/>
      <c r="I355" s="319"/>
      <c r="J355" s="319"/>
      <c r="K355" s="319"/>
      <c r="L355" s="319"/>
      <c r="M355" s="319"/>
      <c r="N355" s="319"/>
      <c r="O355" s="320"/>
      <c r="P355" s="755"/>
      <c r="Q355" s="755"/>
      <c r="R355" s="755"/>
      <c r="S355" s="756"/>
      <c r="T355" s="756"/>
      <c r="U355" s="756"/>
      <c r="V355" s="756"/>
      <c r="W355" s="756"/>
      <c r="X355" s="756"/>
      <c r="Y355" s="756"/>
    </row>
    <row r="356" spans="1:25">
      <c r="F356" s="322">
        <f>SUM(F3:F355)</f>
        <v>3497345536.4569278</v>
      </c>
      <c r="O356" s="601">
        <f>SUM(O3:O355)</f>
        <v>2989052297.3272977</v>
      </c>
      <c r="P356" s="601"/>
      <c r="Q356" s="601"/>
      <c r="R356" s="601"/>
      <c r="S356" s="601">
        <f t="shared" ref="S356:Y356" si="49">SUM(S3:S355)</f>
        <v>45698776.282066293</v>
      </c>
      <c r="T356" s="601">
        <f t="shared" si="49"/>
        <v>538351260.45457768</v>
      </c>
      <c r="U356" s="601">
        <f t="shared" si="49"/>
        <v>2405002260.590652</v>
      </c>
      <c r="V356" s="601">
        <f t="shared" si="49"/>
        <v>206226476.86055544</v>
      </c>
      <c r="W356" s="601">
        <f t="shared" si="49"/>
        <v>1465433591.9810929</v>
      </c>
      <c r="X356" s="601">
        <f t="shared" si="49"/>
        <v>628327015.38724279</v>
      </c>
      <c r="Y356" s="601">
        <f t="shared" si="49"/>
        <v>689065213.09840333</v>
      </c>
    </row>
    <row r="357" spans="1:25">
      <c r="F357" s="322">
        <f>SUMIF(H3:H355,"&lt;=2019",F3:F355)</f>
        <v>3342786643.4464412</v>
      </c>
      <c r="O357" s="601"/>
      <c r="P357" s="601"/>
      <c r="Q357" s="601"/>
      <c r="R357" s="601"/>
      <c r="S357" s="601"/>
      <c r="T357" s="601"/>
      <c r="U357" s="601"/>
      <c r="V357" s="601"/>
      <c r="W357" s="601"/>
      <c r="X357" s="601"/>
      <c r="Y357" s="601"/>
    </row>
    <row r="358" spans="1:25">
      <c r="O358" s="601"/>
      <c r="P358" s="601"/>
      <c r="Q358" s="601"/>
      <c r="R358" s="601"/>
      <c r="S358" s="601"/>
      <c r="T358" s="601"/>
      <c r="U358" s="601"/>
      <c r="V358" s="601">
        <f>SUM(S356:U356)-V356</f>
        <v>2782825820.4667406</v>
      </c>
      <c r="W358" s="601"/>
      <c r="X358" s="601"/>
      <c r="Y358" s="601">
        <f>SUM(W356:Y356)</f>
        <v>2782825820.4667392</v>
      </c>
    </row>
    <row r="359" spans="1:25">
      <c r="P359" s="627"/>
      <c r="Q359" s="627"/>
      <c r="R359" s="627"/>
      <c r="S359" s="627"/>
      <c r="T359" s="627"/>
      <c r="U359" s="627"/>
      <c r="V359" s="627"/>
      <c r="W359" s="627"/>
      <c r="X359" s="627"/>
      <c r="Y359" s="627"/>
    </row>
    <row r="360" spans="1:25">
      <c r="P360" s="627"/>
      <c r="Q360" s="627"/>
      <c r="R360" s="627"/>
      <c r="S360" s="627"/>
      <c r="T360" s="627"/>
      <c r="U360" s="627"/>
      <c r="V360" s="627"/>
      <c r="W360" s="627"/>
      <c r="X360" s="627"/>
      <c r="Y360" s="627"/>
    </row>
    <row r="361" spans="1:25">
      <c r="P361" s="627"/>
      <c r="Q361" s="627"/>
      <c r="R361" s="627"/>
      <c r="S361" s="627"/>
      <c r="T361" s="627"/>
      <c r="U361" s="627"/>
      <c r="V361" s="627"/>
      <c r="W361" s="627"/>
      <c r="X361" s="627"/>
      <c r="Y361" s="627"/>
    </row>
    <row r="362" spans="1:25">
      <c r="P362" s="627"/>
      <c r="Q362" s="627"/>
      <c r="R362" s="627"/>
      <c r="S362" s="627"/>
      <c r="T362" s="627"/>
      <c r="U362" s="627"/>
      <c r="V362" s="627"/>
      <c r="W362" s="627"/>
      <c r="X362" s="627"/>
      <c r="Y362" s="627"/>
    </row>
    <row r="363" spans="1:25">
      <c r="P363" s="627"/>
      <c r="Q363" s="627"/>
      <c r="R363" s="627"/>
      <c r="S363" s="627"/>
      <c r="T363" s="627"/>
      <c r="U363" s="627"/>
      <c r="V363" s="627"/>
      <c r="W363" s="627"/>
      <c r="X363" s="627"/>
      <c r="Y363" s="627"/>
    </row>
    <row r="364" spans="1:25">
      <c r="P364" s="627"/>
      <c r="Q364" s="627"/>
      <c r="R364" s="627"/>
      <c r="S364" s="627"/>
      <c r="T364" s="627"/>
      <c r="U364" s="627"/>
      <c r="V364" s="627"/>
      <c r="W364" s="627"/>
      <c r="X364" s="627"/>
      <c r="Y364" s="627"/>
    </row>
    <row r="365" spans="1:25">
      <c r="P365" s="627"/>
      <c r="Q365" s="627"/>
      <c r="R365" s="627"/>
      <c r="S365" s="627"/>
      <c r="T365" s="627"/>
      <c r="U365" s="627"/>
      <c r="V365" s="627"/>
      <c r="W365" s="627"/>
      <c r="X365" s="627"/>
      <c r="Y365" s="627"/>
    </row>
    <row r="366" spans="1:25">
      <c r="P366" s="627"/>
      <c r="Q366" s="627"/>
      <c r="R366" s="627"/>
      <c r="S366" s="627"/>
      <c r="T366" s="627"/>
      <c r="U366" s="627"/>
      <c r="V366" s="627"/>
      <c r="W366" s="627"/>
      <c r="X366" s="627"/>
      <c r="Y366" s="627"/>
    </row>
    <row r="367" spans="1:25">
      <c r="P367" s="627"/>
      <c r="Q367" s="627"/>
      <c r="R367" s="627"/>
      <c r="S367" s="627"/>
      <c r="T367" s="627"/>
      <c r="U367" s="627"/>
      <c r="V367" s="627"/>
      <c r="W367" s="627"/>
      <c r="X367" s="627"/>
      <c r="Y367" s="627"/>
    </row>
    <row r="368" spans="1:25">
      <c r="P368" s="627"/>
      <c r="Q368" s="627"/>
      <c r="R368" s="627"/>
      <c r="S368" s="627"/>
      <c r="T368" s="627"/>
      <c r="U368" s="627"/>
      <c r="V368" s="627"/>
      <c r="W368" s="627"/>
      <c r="X368" s="627"/>
      <c r="Y368" s="627"/>
    </row>
    <row r="369" spans="16:25">
      <c r="P369" s="627"/>
      <c r="Q369" s="627"/>
      <c r="R369" s="627"/>
      <c r="S369" s="627"/>
      <c r="T369" s="627"/>
      <c r="U369" s="627"/>
      <c r="V369" s="627"/>
      <c r="W369" s="627"/>
      <c r="X369" s="627"/>
      <c r="Y369" s="627"/>
    </row>
    <row r="370" spans="16:25">
      <c r="P370" s="627"/>
      <c r="Q370" s="627"/>
      <c r="R370" s="627"/>
      <c r="S370" s="627"/>
      <c r="T370" s="627"/>
      <c r="U370" s="627"/>
      <c r="V370" s="627"/>
      <c r="W370" s="627"/>
      <c r="X370" s="627"/>
      <c r="Y370" s="627"/>
    </row>
    <row r="371" spans="16:25">
      <c r="P371" s="627"/>
      <c r="Q371" s="627"/>
      <c r="R371" s="627"/>
      <c r="S371" s="627"/>
      <c r="T371" s="627"/>
      <c r="U371" s="627"/>
      <c r="V371" s="627"/>
      <c r="W371" s="627"/>
      <c r="X371" s="627"/>
      <c r="Y371" s="627"/>
    </row>
    <row r="372" spans="16:25">
      <c r="P372" s="627"/>
      <c r="Q372" s="627"/>
      <c r="R372" s="627"/>
      <c r="S372" s="627"/>
      <c r="T372" s="627"/>
      <c r="U372" s="627"/>
      <c r="V372" s="627"/>
      <c r="W372" s="627"/>
      <c r="X372" s="627"/>
      <c r="Y372" s="627"/>
    </row>
    <row r="373" spans="16:25">
      <c r="P373" s="627"/>
      <c r="Q373" s="627"/>
      <c r="R373" s="627"/>
      <c r="S373" s="627"/>
      <c r="T373" s="627"/>
      <c r="U373" s="627"/>
      <c r="V373" s="627"/>
      <c r="W373" s="627"/>
      <c r="X373" s="627"/>
      <c r="Y373" s="627"/>
    </row>
    <row r="374" spans="16:25">
      <c r="P374" s="627"/>
      <c r="Q374" s="627"/>
      <c r="R374" s="627"/>
      <c r="S374" s="627"/>
      <c r="T374" s="627"/>
      <c r="U374" s="627"/>
      <c r="V374" s="627"/>
      <c r="W374" s="627"/>
      <c r="X374" s="627"/>
      <c r="Y374" s="627"/>
    </row>
    <row r="375" spans="16:25">
      <c r="P375" s="627"/>
      <c r="Q375" s="627"/>
      <c r="R375" s="627"/>
      <c r="S375" s="627"/>
      <c r="T375" s="627"/>
      <c r="U375" s="627"/>
      <c r="V375" s="627"/>
      <c r="W375" s="627"/>
      <c r="X375" s="627"/>
      <c r="Y375" s="627"/>
    </row>
    <row r="376" spans="16:25">
      <c r="P376" s="627"/>
      <c r="Q376" s="627"/>
      <c r="R376" s="627"/>
      <c r="S376" s="627"/>
      <c r="T376" s="627"/>
      <c r="U376" s="627"/>
      <c r="V376" s="627"/>
      <c r="W376" s="627"/>
      <c r="X376" s="627"/>
      <c r="Y376" s="627"/>
    </row>
    <row r="377" spans="16:25">
      <c r="P377" s="627"/>
      <c r="Q377" s="627"/>
      <c r="R377" s="627"/>
      <c r="S377" s="627"/>
      <c r="T377" s="627"/>
      <c r="U377" s="627"/>
      <c r="V377" s="627"/>
      <c r="W377" s="627"/>
      <c r="X377" s="627"/>
      <c r="Y377" s="627"/>
    </row>
    <row r="378" spans="16:25">
      <c r="P378" s="627"/>
      <c r="Q378" s="627"/>
      <c r="R378" s="627"/>
      <c r="S378" s="627"/>
      <c r="T378" s="627"/>
      <c r="U378" s="627"/>
      <c r="V378" s="627"/>
      <c r="W378" s="627"/>
      <c r="X378" s="627"/>
      <c r="Y378" s="627"/>
    </row>
    <row r="379" spans="16:25">
      <c r="P379" s="627"/>
      <c r="Q379" s="627"/>
      <c r="R379" s="627"/>
      <c r="S379" s="627"/>
      <c r="T379" s="627"/>
      <c r="U379" s="627"/>
      <c r="V379" s="627"/>
      <c r="W379" s="627"/>
      <c r="X379" s="627"/>
      <c r="Y379" s="627"/>
    </row>
    <row r="380" spans="16:25">
      <c r="P380" s="627"/>
      <c r="Q380" s="627"/>
      <c r="R380" s="627"/>
      <c r="S380" s="627"/>
      <c r="T380" s="627"/>
      <c r="U380" s="627"/>
      <c r="V380" s="627"/>
      <c r="W380" s="627"/>
      <c r="X380" s="627"/>
      <c r="Y380" s="627"/>
    </row>
    <row r="381" spans="16:25">
      <c r="P381" s="627"/>
      <c r="Q381" s="627"/>
      <c r="R381" s="627"/>
      <c r="S381" s="627"/>
      <c r="T381" s="627"/>
      <c r="U381" s="627"/>
      <c r="V381" s="627"/>
      <c r="W381" s="627"/>
      <c r="X381" s="627"/>
      <c r="Y381" s="627"/>
    </row>
    <row r="382" spans="16:25">
      <c r="P382" s="627"/>
      <c r="Q382" s="627"/>
      <c r="R382" s="627"/>
      <c r="S382" s="627"/>
      <c r="T382" s="627"/>
      <c r="U382" s="627"/>
      <c r="V382" s="627"/>
      <c r="W382" s="627"/>
      <c r="X382" s="627"/>
      <c r="Y382" s="627"/>
    </row>
    <row r="383" spans="16:25">
      <c r="P383" s="627"/>
      <c r="Q383" s="627"/>
      <c r="R383" s="627"/>
      <c r="S383" s="627"/>
      <c r="T383" s="627"/>
      <c r="U383" s="627"/>
      <c r="V383" s="627"/>
      <c r="W383" s="627"/>
      <c r="X383" s="627"/>
      <c r="Y383" s="627"/>
    </row>
    <row r="384" spans="16:25">
      <c r="P384" s="627"/>
      <c r="Q384" s="627"/>
      <c r="R384" s="627"/>
      <c r="S384" s="627"/>
      <c r="T384" s="627"/>
      <c r="U384" s="627"/>
      <c r="V384" s="627"/>
      <c r="W384" s="627"/>
      <c r="X384" s="627"/>
      <c r="Y384" s="627"/>
    </row>
    <row r="385" spans="16:25">
      <c r="P385" s="627"/>
      <c r="Q385" s="627"/>
      <c r="R385" s="627"/>
      <c r="S385" s="627"/>
      <c r="T385" s="627"/>
      <c r="U385" s="627"/>
      <c r="V385" s="627"/>
      <c r="W385" s="627"/>
      <c r="X385" s="627"/>
      <c r="Y385" s="627"/>
    </row>
    <row r="386" spans="16:25">
      <c r="P386" s="627"/>
      <c r="Q386" s="627"/>
      <c r="R386" s="627"/>
      <c r="S386" s="627"/>
      <c r="T386" s="627"/>
      <c r="U386" s="627"/>
      <c r="V386" s="627"/>
      <c r="W386" s="627"/>
      <c r="X386" s="627"/>
      <c r="Y386" s="627"/>
    </row>
    <row r="387" spans="16:25">
      <c r="P387" s="627"/>
      <c r="Q387" s="627"/>
      <c r="R387" s="627"/>
      <c r="S387" s="627"/>
      <c r="T387" s="627"/>
      <c r="U387" s="627"/>
      <c r="V387" s="627"/>
      <c r="W387" s="627"/>
      <c r="X387" s="627"/>
      <c r="Y387" s="627"/>
    </row>
    <row r="388" spans="16:25">
      <c r="P388" s="627"/>
      <c r="Q388" s="627"/>
      <c r="R388" s="627"/>
      <c r="S388" s="627"/>
      <c r="T388" s="627"/>
      <c r="U388" s="627"/>
      <c r="V388" s="627"/>
      <c r="W388" s="627"/>
      <c r="X388" s="627"/>
      <c r="Y388" s="627"/>
    </row>
    <row r="389" spans="16:25">
      <c r="P389" s="627"/>
      <c r="Q389" s="627"/>
      <c r="R389" s="627"/>
      <c r="S389" s="627"/>
      <c r="T389" s="627"/>
      <c r="U389" s="627"/>
      <c r="V389" s="627"/>
      <c r="W389" s="627"/>
      <c r="X389" s="627"/>
      <c r="Y389" s="627"/>
    </row>
  </sheetData>
  <autoFilter ref="A2:Y354"/>
  <mergeCells count="7">
    <mergeCell ref="AA8:AD8"/>
    <mergeCell ref="A1:F1"/>
    <mergeCell ref="G1:O1"/>
    <mergeCell ref="P1:R1"/>
    <mergeCell ref="S1:U1"/>
    <mergeCell ref="W1:Y1"/>
    <mergeCell ref="AA1:AD1"/>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D374"/>
  <sheetViews>
    <sheetView showGridLines="0" zoomScale="60" zoomScaleNormal="60" workbookViewId="0">
      <pane ySplit="2" topLeftCell="A3" activePane="bottomLeft" state="frozen"/>
      <selection activeCell="O24" sqref="A1:XFD1048576"/>
      <selection pane="bottomLeft" activeCell="Y356" sqref="A1:Y356"/>
    </sheetView>
  </sheetViews>
  <sheetFormatPr defaultColWidth="9.109375" defaultRowHeight="13.8"/>
  <cols>
    <col min="1" max="1" width="43.88671875" style="286" customWidth="1"/>
    <col min="2" max="2" width="22.109375" style="286" bestFit="1" customWidth="1"/>
    <col min="3" max="3" width="20.33203125" style="286" bestFit="1" customWidth="1"/>
    <col min="4" max="4" width="25" style="286" bestFit="1" customWidth="1"/>
    <col min="5" max="5" width="17" style="286" bestFit="1" customWidth="1"/>
    <col min="6" max="6" width="16.5546875" style="286" bestFit="1" customWidth="1"/>
    <col min="7" max="7" width="9.109375" style="286"/>
    <col min="8" max="8" width="19.109375" style="286" customWidth="1"/>
    <col min="9" max="9" width="19" style="286" customWidth="1"/>
    <col min="10" max="10" width="21.44140625" style="286" customWidth="1"/>
    <col min="11" max="14" width="17.6640625" style="286" customWidth="1"/>
    <col min="15" max="15" width="25" style="286" bestFit="1" customWidth="1"/>
    <col min="16" max="16" width="19.5546875" style="4" customWidth="1"/>
    <col min="17" max="17" width="16.44140625" style="4" customWidth="1"/>
    <col min="18" max="18" width="12.109375" style="4" customWidth="1"/>
    <col min="19" max="19" width="15.6640625" style="4" bestFit="1" customWidth="1"/>
    <col min="20" max="20" width="22.44140625" style="4" customWidth="1"/>
    <col min="21" max="21" width="16.109375" style="4" bestFit="1" customWidth="1"/>
    <col min="22" max="22" width="22.33203125" style="4" customWidth="1"/>
    <col min="23" max="23" width="17.88671875" style="4" bestFit="1" customWidth="1"/>
    <col min="24" max="24" width="15.33203125" style="4" bestFit="1" customWidth="1"/>
    <col min="25" max="25" width="16.109375" style="4" bestFit="1" customWidth="1"/>
    <col min="26" max="26" width="19.44140625" style="286" customWidth="1"/>
    <col min="27" max="27" width="24.109375" style="286" bestFit="1" customWidth="1"/>
    <col min="28" max="28" width="20.33203125" style="286" bestFit="1" customWidth="1"/>
    <col min="29" max="29" width="18.6640625" style="286" bestFit="1" customWidth="1"/>
    <col min="30" max="30" width="24" style="286" bestFit="1" customWidth="1"/>
    <col min="31" max="16384" width="9.109375" style="286"/>
  </cols>
  <sheetData>
    <row r="1" spans="1:30" ht="14.4" thickBot="1">
      <c r="A1" s="1015" t="s">
        <v>2066</v>
      </c>
      <c r="B1" s="1016"/>
      <c r="C1" s="1016"/>
      <c r="D1" s="1016"/>
      <c r="E1" s="1016"/>
      <c r="F1" s="1017"/>
      <c r="G1" s="1018" t="s">
        <v>51</v>
      </c>
      <c r="H1" s="1019"/>
      <c r="I1" s="1019"/>
      <c r="J1" s="1019"/>
      <c r="K1" s="1019"/>
      <c r="L1" s="1019"/>
      <c r="M1" s="1019"/>
      <c r="N1" s="1019"/>
      <c r="O1" s="1019"/>
      <c r="P1" s="993" t="s">
        <v>101</v>
      </c>
      <c r="Q1" s="994"/>
      <c r="R1" s="995"/>
      <c r="S1" s="990" t="s">
        <v>103</v>
      </c>
      <c r="T1" s="991"/>
      <c r="U1" s="992"/>
      <c r="V1" s="285" t="s">
        <v>725</v>
      </c>
      <c r="W1" s="987" t="s">
        <v>45</v>
      </c>
      <c r="X1" s="988"/>
      <c r="Y1" s="989"/>
      <c r="AA1" s="1014" t="s">
        <v>147</v>
      </c>
      <c r="AB1" s="1014"/>
      <c r="AC1" s="1014"/>
      <c r="AD1" s="1014"/>
    </row>
    <row r="2" spans="1:30" ht="27.6">
      <c r="A2" s="287" t="s">
        <v>135</v>
      </c>
      <c r="B2" s="288" t="s">
        <v>136</v>
      </c>
      <c r="C2" s="288" t="s">
        <v>1496</v>
      </c>
      <c r="D2" s="289" t="s">
        <v>142</v>
      </c>
      <c r="E2" s="289" t="s">
        <v>1679</v>
      </c>
      <c r="F2" s="290" t="s">
        <v>141</v>
      </c>
      <c r="G2" s="291" t="s">
        <v>30</v>
      </c>
      <c r="H2" s="292" t="s">
        <v>137</v>
      </c>
      <c r="I2" s="292">
        <v>2015</v>
      </c>
      <c r="J2" s="292">
        <v>2016</v>
      </c>
      <c r="K2" s="292">
        <v>2017</v>
      </c>
      <c r="L2" s="292">
        <v>2018</v>
      </c>
      <c r="M2" s="293">
        <v>2019</v>
      </c>
      <c r="N2" s="293">
        <v>2020</v>
      </c>
      <c r="O2" s="294" t="s">
        <v>1506</v>
      </c>
      <c r="P2" s="295" t="s">
        <v>99</v>
      </c>
      <c r="Q2" s="296" t="s">
        <v>100</v>
      </c>
      <c r="R2" s="297" t="s">
        <v>102</v>
      </c>
      <c r="S2" s="298" t="s">
        <v>53</v>
      </c>
      <c r="T2" s="299" t="s">
        <v>50</v>
      </c>
      <c r="U2" s="300" t="s">
        <v>102</v>
      </c>
      <c r="V2" s="301" t="s">
        <v>725</v>
      </c>
      <c r="W2" s="302" t="s">
        <v>104</v>
      </c>
      <c r="X2" s="303" t="s">
        <v>74</v>
      </c>
      <c r="Y2" s="304" t="s">
        <v>50</v>
      </c>
      <c r="AA2" s="305"/>
      <c r="AB2" s="305" t="s">
        <v>49</v>
      </c>
      <c r="AC2" s="305" t="s">
        <v>74</v>
      </c>
      <c r="AD2" s="305" t="s">
        <v>146</v>
      </c>
    </row>
    <row r="3" spans="1:30">
      <c r="A3" s="754" t="str">
        <f>'Func Future Subs 2015'!A3</f>
        <v>Brintnell 876S</v>
      </c>
      <c r="B3" s="754">
        <f>'Func Future Subs 2015'!B3</f>
        <v>437</v>
      </c>
      <c r="C3" s="754">
        <f>'Func Future Subs 2015'!C3</f>
        <v>240</v>
      </c>
      <c r="D3" s="754">
        <f>'Func Future Subs 2015'!D3</f>
        <v>25</v>
      </c>
      <c r="E3" s="754" t="str">
        <f>'Func Future Subs 2015'!E3</f>
        <v>876S</v>
      </c>
      <c r="F3" s="754">
        <f>'Func Future Subs 2015'!F3</f>
        <v>2902755.0596147967</v>
      </c>
      <c r="G3" s="754" t="str">
        <f>'Func Future Subs 2015'!G3</f>
        <v>ATCO</v>
      </c>
      <c r="H3" s="754">
        <f>'Func Future Subs 2015'!H3</f>
        <v>2016</v>
      </c>
      <c r="I3" s="306">
        <f>+IF($H3=I$2,VLOOKUP($G3,Depreciation!$A$14:$L$18,7,FALSE)/2,IF($H3&lt;I$2,VLOOKUP($G3,Depreciation!$A$14:$L$18,7,FALSE),0))</f>
        <v>0</v>
      </c>
      <c r="J3" s="306">
        <f>+IF($H3=J$2,VLOOKUP($G3,Depreciation!$A$14:$L$18,8,FALSE)/2,IF($H3&lt;J$2,VLOOKUP($G3,Depreciation!$A$14:$L$18,8,FALSE),0))</f>
        <v>1.231622525054236E-2</v>
      </c>
      <c r="K3" s="306">
        <f>+IF($H3=K$2,VLOOKUP($G3,Depreciation!$A$14:$L$18,9,FALSE)/2,IF($H3&lt;K$2,VLOOKUP($G3,Depreciation!$A$14:$L$18,9,FALSE),0))</f>
        <v>2.4351536427798831E-2</v>
      </c>
      <c r="L3" s="306">
        <f>+IF($H3=L$2,VLOOKUP($G3,Depreciation!$A$14:$L$18,10,FALSE)/2,IF($H3&lt;L$2,VLOOKUP($G3,Depreciation!$A$14:$L$18,10,FALSE),0))</f>
        <v>2.4351536427798831E-2</v>
      </c>
      <c r="M3" s="306">
        <f>+IF($H3=M$2,VLOOKUP($G3,Depreciation!$A$14:$L$18,11,FALSE)/2,IF($H3&lt;M$2,VLOOKUP($G3,Depreciation!$A$14:$L$18,11,FALSE),0))</f>
        <v>2.4351536427798831E-2</v>
      </c>
      <c r="N3" s="306">
        <f>+IF($H3=N$2,VLOOKUP($G3,Depreciation!$A$14:$L$18,12,FALSE)/2,IF($H3&lt;N$2,VLOOKUP($G3,Depreciation!$A$14:$L$18,12,FALSE),0))</f>
        <v>2.4351536427798831E-2</v>
      </c>
      <c r="O3" s="307">
        <f>IF(H3&lt;=2020,F3*(1-I3)*(1-J3)*(1-K3)*(1-L3)*(1-M3)*(1-N3),0)</f>
        <v>2597776.4178015087</v>
      </c>
      <c r="P3" s="732">
        <f>'Func Future Subs 2015'!P3</f>
        <v>0</v>
      </c>
      <c r="Q3" s="732">
        <f>'Func Future Subs 2015'!Q3</f>
        <v>1</v>
      </c>
      <c r="R3" s="732">
        <f>'Func Future Subs 2015'!R3</f>
        <v>0</v>
      </c>
      <c r="S3" s="735">
        <f>+P3*$O3</f>
        <v>0</v>
      </c>
      <c r="T3" s="735">
        <f t="shared" ref="T3:U3" si="0">+Q3*$O3</f>
        <v>2597776.4178015087</v>
      </c>
      <c r="U3" s="735">
        <f t="shared" si="0"/>
        <v>0</v>
      </c>
      <c r="V3" s="736">
        <f>IF(AND(R3=1,D3=0),O3,0)</f>
        <v>0</v>
      </c>
      <c r="W3" s="735">
        <f>S3+IF(D3&gt;144,U3,0)</f>
        <v>0</v>
      </c>
      <c r="X3" s="737">
        <f>IF(AND(D3&lt;=144,D3&gt;=69),U3,0)</f>
        <v>0</v>
      </c>
      <c r="Y3" s="738">
        <f>T3+IF(AND(D3&lt;69,D3&gt;0),U3,0)</f>
        <v>2597776.4178015087</v>
      </c>
      <c r="Z3" s="4"/>
      <c r="AA3" s="313" t="s">
        <v>108</v>
      </c>
      <c r="AB3" s="314">
        <f>W356</f>
        <v>1456734689.6687403</v>
      </c>
      <c r="AC3" s="314">
        <f>X356</f>
        <v>608097689.78330362</v>
      </c>
      <c r="AD3" s="314">
        <f>Y356</f>
        <v>738005437.89402008</v>
      </c>
    </row>
    <row r="4" spans="1:30">
      <c r="A4" s="754" t="str">
        <f>'Func Future Subs 2015'!A4</f>
        <v>Paintearth 863S</v>
      </c>
      <c r="B4" s="754">
        <f>'Func Future Subs 2015'!B4</f>
        <v>437</v>
      </c>
      <c r="C4" s="754">
        <f>'Func Future Subs 2015'!C4</f>
        <v>240</v>
      </c>
      <c r="D4" s="754">
        <f>'Func Future Subs 2015'!D4</f>
        <v>25</v>
      </c>
      <c r="E4" s="754" t="str">
        <f>'Func Future Subs 2015'!E4</f>
        <v>863S</v>
      </c>
      <c r="F4" s="754">
        <f>'Func Future Subs 2015'!F4</f>
        <v>1919444.9403852033</v>
      </c>
      <c r="G4" s="754" t="str">
        <f>'Func Future Subs 2015'!G4</f>
        <v>ATCO</v>
      </c>
      <c r="H4" s="754">
        <f>'Func Future Subs 2015'!H4</f>
        <v>2016</v>
      </c>
      <c r="I4" s="306">
        <f>+IF($H4=I$2,VLOOKUP($G4,Depreciation!$A$14:$L$18,7,FALSE)/2,IF($H4&lt;I$2,VLOOKUP($G4,Depreciation!$A$14:$L$18,7,FALSE),0))</f>
        <v>0</v>
      </c>
      <c r="J4" s="306">
        <f>+IF($H4=J$2,VLOOKUP($G4,Depreciation!$A$14:$L$18,8,FALSE)/2,IF($H4&lt;J$2,VLOOKUP($G4,Depreciation!$A$14:$L$18,8,FALSE),0))</f>
        <v>1.231622525054236E-2</v>
      </c>
      <c r="K4" s="306">
        <f>+IF($H4=K$2,VLOOKUP($G4,Depreciation!$A$14:$L$18,9,FALSE)/2,IF($H4&lt;K$2,VLOOKUP($G4,Depreciation!$A$14:$L$18,9,FALSE),0))</f>
        <v>2.4351536427798831E-2</v>
      </c>
      <c r="L4" s="306">
        <f>+IF($H4=L$2,VLOOKUP($G4,Depreciation!$A$14:$L$18,10,FALSE)/2,IF($H4&lt;L$2,VLOOKUP($G4,Depreciation!$A$14:$L$18,10,FALSE),0))</f>
        <v>2.4351536427798831E-2</v>
      </c>
      <c r="M4" s="306">
        <f>+IF($H4=M$2,VLOOKUP($G4,Depreciation!$A$14:$L$18,11,FALSE)/2,IF($H4&lt;M$2,VLOOKUP($G4,Depreciation!$A$14:$L$18,11,FALSE),0))</f>
        <v>2.4351536427798831E-2</v>
      </c>
      <c r="N4" s="306">
        <f>+IF($H4=N$2,VLOOKUP($G4,Depreciation!$A$14:$L$18,12,FALSE)/2,IF($H4&lt;N$2,VLOOKUP($G4,Depreciation!$A$14:$L$18,12,FALSE),0))</f>
        <v>2.4351536427798831E-2</v>
      </c>
      <c r="O4" s="307">
        <f t="shared" ref="O4:O67" si="1">IF(H4&lt;=2020,F4*(1-I4)*(1-J4)*(1-K4)*(1-L4)*(1-M4)*(1-N4),0)</f>
        <v>1717778.0070988138</v>
      </c>
      <c r="P4" s="732">
        <f>'Func Future Subs 2015'!P4</f>
        <v>0</v>
      </c>
      <c r="Q4" s="732">
        <f>'Func Future Subs 2015'!Q4</f>
        <v>1</v>
      </c>
      <c r="R4" s="732">
        <f>'Func Future Subs 2015'!R4</f>
        <v>0</v>
      </c>
      <c r="S4" s="735">
        <f t="shared" ref="S4:S67" si="2">+P4*$O4</f>
        <v>0</v>
      </c>
      <c r="T4" s="735">
        <f t="shared" ref="T4:T67" si="3">+Q4*$O4</f>
        <v>1717778.0070988138</v>
      </c>
      <c r="U4" s="735">
        <f t="shared" ref="U4:U67" si="4">+R4*$O4</f>
        <v>0</v>
      </c>
      <c r="V4" s="736">
        <f t="shared" ref="V4:V67" si="5">IF(AND(R4=1,D4=0),O4,0)</f>
        <v>0</v>
      </c>
      <c r="W4" s="735">
        <f t="shared" ref="W4:W67" si="6">S4+IF(D4&gt;144,U4,0)</f>
        <v>0</v>
      </c>
      <c r="X4" s="737">
        <f t="shared" ref="X4:X67" si="7">IF(AND(D4&lt;=144,D4&gt;=69),U4,0)</f>
        <v>0</v>
      </c>
      <c r="Y4" s="738">
        <f t="shared" ref="Y4:Y67" si="8">T4+IF(AND(D4&lt;69,D4&gt;0),U4,0)</f>
        <v>1717778.0070988138</v>
      </c>
      <c r="Z4" s="4"/>
      <c r="AA4" s="313" t="s">
        <v>109</v>
      </c>
      <c r="AB4" s="315">
        <f>+AB3/SUM($AB$3:$AD$3)</f>
        <v>0.51973563388269295</v>
      </c>
      <c r="AC4" s="315">
        <f>+AC3/SUM($AB$3:$AD$3)</f>
        <v>0.21695785821781721</v>
      </c>
      <c r="AD4" s="315">
        <f>+AD3/SUM($AB$3:$AD$3)</f>
        <v>0.26330650789948978</v>
      </c>
    </row>
    <row r="5" spans="1:30">
      <c r="A5" s="754" t="str">
        <f>'Func Future Subs 2015'!A5</f>
        <v>Bowmanton 244S_(v1)</v>
      </c>
      <c r="B5" s="754">
        <f>'Func Future Subs 2015'!B5</f>
        <v>479</v>
      </c>
      <c r="C5" s="754">
        <f>'Func Future Subs 2015'!C5</f>
        <v>240</v>
      </c>
      <c r="D5" s="754">
        <f>'Func Future Subs 2015'!D5</f>
        <v>138</v>
      </c>
      <c r="E5" s="754" t="str">
        <f>'Func Future Subs 2015'!E5</f>
        <v>244S</v>
      </c>
      <c r="F5" s="754">
        <f>'Func Future Subs 2015'!F5</f>
        <v>6192429.956324066</v>
      </c>
      <c r="G5" s="754" t="str">
        <f>'Func Future Subs 2015'!G5</f>
        <v>AltaLink</v>
      </c>
      <c r="H5" s="754">
        <f>'Func Future Subs 2015'!H5</f>
        <v>2019</v>
      </c>
      <c r="I5" s="306">
        <f>+IF($H5=I$2,VLOOKUP($G5,Depreciation!$A$14:$L$18,7,FALSE)/2,IF($H5&lt;I$2,VLOOKUP($G5,Depreciation!$A$14:$L$18,7,FALSE),0))</f>
        <v>0</v>
      </c>
      <c r="J5" s="306">
        <f>+IF($H5=J$2,VLOOKUP($G5,Depreciation!$A$14:$L$18,8,FALSE)/2,IF($H5&lt;J$2,VLOOKUP($G5,Depreciation!$A$14:$L$18,8,FALSE),0))</f>
        <v>0</v>
      </c>
      <c r="K5" s="306">
        <f>+IF($H5=K$2,VLOOKUP($G5,Depreciation!$A$14:$L$18,9,FALSE)/2,IF($H5&lt;K$2,VLOOKUP($G5,Depreciation!$A$14:$L$18,9,FALSE),0))</f>
        <v>0</v>
      </c>
      <c r="L5" s="306">
        <f>+IF($H5=L$2,VLOOKUP($G5,Depreciation!$A$14:$L$18,10,FALSE)/2,IF($H5&lt;L$2,VLOOKUP($G5,Depreciation!$A$14:$L$18,10,FALSE),0))</f>
        <v>0</v>
      </c>
      <c r="M5" s="306">
        <f>+IF($H5=M$2,VLOOKUP($G5,Depreciation!$A$14:$L$18,11,FALSE)/2,IF($H5&lt;M$2,VLOOKUP($G5,Depreciation!$A$14:$L$18,11,FALSE),0))</f>
        <v>1.671703928371859E-2</v>
      </c>
      <c r="N5" s="306">
        <f>+IF($H5=N$2,VLOOKUP($G5,Depreciation!$A$14:$L$18,12,FALSE)/2,IF($H5&lt;N$2,VLOOKUP($G5,Depreciation!$A$14:$L$18,12,FALSE),0))</f>
        <v>3.343407856743718E-2</v>
      </c>
      <c r="O5" s="307">
        <f t="shared" si="1"/>
        <v>5885333.7373495921</v>
      </c>
      <c r="P5" s="732">
        <f>'Func Future Subs 2015'!P5</f>
        <v>0</v>
      </c>
      <c r="Q5" s="732">
        <f>'Func Future Subs 2015'!Q5</f>
        <v>0</v>
      </c>
      <c r="R5" s="732">
        <f>'Func Future Subs 2015'!R5</f>
        <v>1</v>
      </c>
      <c r="S5" s="735">
        <f t="shared" si="2"/>
        <v>0</v>
      </c>
      <c r="T5" s="735">
        <f t="shared" si="3"/>
        <v>0</v>
      </c>
      <c r="U5" s="735">
        <f t="shared" si="4"/>
        <v>5885333.7373495921</v>
      </c>
      <c r="V5" s="736">
        <f t="shared" si="5"/>
        <v>0</v>
      </c>
      <c r="W5" s="735">
        <f t="shared" si="6"/>
        <v>0</v>
      </c>
      <c r="X5" s="737">
        <f t="shared" si="7"/>
        <v>5885333.7373495921</v>
      </c>
      <c r="Y5" s="738">
        <f t="shared" si="8"/>
        <v>0</v>
      </c>
    </row>
    <row r="6" spans="1:30">
      <c r="A6" s="754" t="str">
        <f>'Func Future Subs 2015'!A6</f>
        <v>Elkwater 264S_(v1)</v>
      </c>
      <c r="B6" s="754">
        <f>'Func Future Subs 2015'!B6</f>
        <v>479</v>
      </c>
      <c r="C6" s="754">
        <f>'Func Future Subs 2015'!C6</f>
        <v>240</v>
      </c>
      <c r="D6" s="754">
        <f>'Func Future Subs 2015'!D6</f>
        <v>240</v>
      </c>
      <c r="E6" s="754" t="str">
        <f>'Func Future Subs 2015'!E6</f>
        <v>264S</v>
      </c>
      <c r="F6" s="754">
        <f>'Func Future Subs 2015'!F6</f>
        <v>3207190.9954739143</v>
      </c>
      <c r="G6" s="754" t="str">
        <f>'Func Future Subs 2015'!G6</f>
        <v>AltaLink</v>
      </c>
      <c r="H6" s="754">
        <f>'Func Future Subs 2015'!H6</f>
        <v>2019</v>
      </c>
      <c r="I6" s="306">
        <f>+IF($H6=I$2,VLOOKUP($G6,Depreciation!$A$14:$L$18,7,FALSE)/2,IF($H6&lt;I$2,VLOOKUP($G6,Depreciation!$A$14:$L$18,7,FALSE),0))</f>
        <v>0</v>
      </c>
      <c r="J6" s="306">
        <f>+IF($H6=J$2,VLOOKUP($G6,Depreciation!$A$14:$L$18,8,FALSE)/2,IF($H6&lt;J$2,VLOOKUP($G6,Depreciation!$A$14:$L$18,8,FALSE),0))</f>
        <v>0</v>
      </c>
      <c r="K6" s="306">
        <f>+IF($H6=K$2,VLOOKUP($G6,Depreciation!$A$14:$L$18,9,FALSE)/2,IF($H6&lt;K$2,VLOOKUP($G6,Depreciation!$A$14:$L$18,9,FALSE),0))</f>
        <v>0</v>
      </c>
      <c r="L6" s="306">
        <f>+IF($H6=L$2,VLOOKUP($G6,Depreciation!$A$14:$L$18,10,FALSE)/2,IF($H6&lt;L$2,VLOOKUP($G6,Depreciation!$A$14:$L$18,10,FALSE),0))</f>
        <v>0</v>
      </c>
      <c r="M6" s="306">
        <f>+IF($H6=M$2,VLOOKUP($G6,Depreciation!$A$14:$L$18,11,FALSE)/2,IF($H6&lt;M$2,VLOOKUP($G6,Depreciation!$A$14:$L$18,11,FALSE),0))</f>
        <v>1.671703928371859E-2</v>
      </c>
      <c r="N6" s="306">
        <f>+IF($H6=N$2,VLOOKUP($G6,Depreciation!$A$14:$L$18,12,FALSE)/2,IF($H6&lt;N$2,VLOOKUP($G6,Depreciation!$A$14:$L$18,12,FALSE),0))</f>
        <v>3.343407856743718E-2</v>
      </c>
      <c r="O6" s="307">
        <f t="shared" si="1"/>
        <v>3048139.3412467777</v>
      </c>
      <c r="P6" s="732">
        <f>'Func Future Subs 2015'!P6</f>
        <v>0</v>
      </c>
      <c r="Q6" s="732">
        <f>'Func Future Subs 2015'!Q6</f>
        <v>0</v>
      </c>
      <c r="R6" s="732">
        <f>'Func Future Subs 2015'!R6</f>
        <v>1</v>
      </c>
      <c r="S6" s="735">
        <f t="shared" si="2"/>
        <v>0</v>
      </c>
      <c r="T6" s="735">
        <f t="shared" si="3"/>
        <v>0</v>
      </c>
      <c r="U6" s="735">
        <f t="shared" si="4"/>
        <v>3048139.3412467777</v>
      </c>
      <c r="V6" s="736">
        <f t="shared" si="5"/>
        <v>0</v>
      </c>
      <c r="W6" s="735">
        <f t="shared" si="6"/>
        <v>3048139.3412467777</v>
      </c>
      <c r="X6" s="737">
        <f t="shared" si="7"/>
        <v>0</v>
      </c>
      <c r="Y6" s="738">
        <f t="shared" si="8"/>
        <v>0</v>
      </c>
      <c r="AA6" s="286" t="s">
        <v>180</v>
      </c>
      <c r="AB6" s="316">
        <f>+O356</f>
        <v>3003076487.6022167</v>
      </c>
    </row>
    <row r="7" spans="1:30">
      <c r="A7" s="754" t="str">
        <f>'Func Future Subs 2015'!A7</f>
        <v>WildRose1 547S_(v1)</v>
      </c>
      <c r="B7" s="754">
        <f>'Func Future Subs 2015'!B7</f>
        <v>479</v>
      </c>
      <c r="C7" s="754">
        <f>'Func Future Subs 2015'!C7</f>
        <v>240</v>
      </c>
      <c r="D7" s="754">
        <f>'Func Future Subs 2015'!D7</f>
        <v>0</v>
      </c>
      <c r="E7" s="754" t="str">
        <f>'Func Future Subs 2015'!E7</f>
        <v>547S</v>
      </c>
      <c r="F7" s="754">
        <f>'Func Future Subs 2015'!F7</f>
        <v>694965.93628763652</v>
      </c>
      <c r="G7" s="754" t="str">
        <f>'Func Future Subs 2015'!G7</f>
        <v>AltaLink</v>
      </c>
      <c r="H7" s="754">
        <f>'Func Future Subs 2015'!H7</f>
        <v>2019</v>
      </c>
      <c r="I7" s="306">
        <f>+IF($H7=I$2,VLOOKUP($G7,Depreciation!$A$14:$L$18,7,FALSE)/2,IF($H7&lt;I$2,VLOOKUP($G7,Depreciation!$A$14:$L$18,7,FALSE),0))</f>
        <v>0</v>
      </c>
      <c r="J7" s="306">
        <f>+IF($H7=J$2,VLOOKUP($G7,Depreciation!$A$14:$L$18,8,FALSE)/2,IF($H7&lt;J$2,VLOOKUP($G7,Depreciation!$A$14:$L$18,8,FALSE),0))</f>
        <v>0</v>
      </c>
      <c r="K7" s="306">
        <f>+IF($H7=K$2,VLOOKUP($G7,Depreciation!$A$14:$L$18,9,FALSE)/2,IF($H7&lt;K$2,VLOOKUP($G7,Depreciation!$A$14:$L$18,9,FALSE),0))</f>
        <v>0</v>
      </c>
      <c r="L7" s="306">
        <f>+IF($H7=L$2,VLOOKUP($G7,Depreciation!$A$14:$L$18,10,FALSE)/2,IF($H7&lt;L$2,VLOOKUP($G7,Depreciation!$A$14:$L$18,10,FALSE),0))</f>
        <v>0</v>
      </c>
      <c r="M7" s="306">
        <f>+IF($H7=M$2,VLOOKUP($G7,Depreciation!$A$14:$L$18,11,FALSE)/2,IF($H7&lt;M$2,VLOOKUP($G7,Depreciation!$A$14:$L$18,11,FALSE),0))</f>
        <v>1.671703928371859E-2</v>
      </c>
      <c r="N7" s="306">
        <f>+IF($H7=N$2,VLOOKUP($G7,Depreciation!$A$14:$L$18,12,FALSE)/2,IF($H7&lt;N$2,VLOOKUP($G7,Depreciation!$A$14:$L$18,12,FALSE),0))</f>
        <v>3.343407856743718E-2</v>
      </c>
      <c r="O7" s="307">
        <f t="shared" si="1"/>
        <v>660501.04724484158</v>
      </c>
      <c r="P7" s="732">
        <f>'Func Future Subs 2015'!P7</f>
        <v>0</v>
      </c>
      <c r="Q7" s="732">
        <f>'Func Future Subs 2015'!Q7</f>
        <v>0</v>
      </c>
      <c r="R7" s="732">
        <f>'Func Future Subs 2015'!R7</f>
        <v>1</v>
      </c>
      <c r="S7" s="735">
        <f t="shared" si="2"/>
        <v>0</v>
      </c>
      <c r="T7" s="735">
        <f t="shared" si="3"/>
        <v>0</v>
      </c>
      <c r="U7" s="735">
        <f t="shared" si="4"/>
        <v>660501.04724484158</v>
      </c>
      <c r="V7" s="736">
        <f t="shared" si="5"/>
        <v>660501.04724484158</v>
      </c>
      <c r="W7" s="735">
        <f t="shared" si="6"/>
        <v>0</v>
      </c>
      <c r="X7" s="737">
        <f t="shared" si="7"/>
        <v>0</v>
      </c>
      <c r="Y7" s="738">
        <f t="shared" si="8"/>
        <v>0</v>
      </c>
    </row>
    <row r="8" spans="1:30">
      <c r="A8" s="754" t="str">
        <f>'Func Future Subs 2015'!A8</f>
        <v>Bullshead 532S</v>
      </c>
      <c r="B8" s="754">
        <f>'Func Future Subs 2015'!B8</f>
        <v>513</v>
      </c>
      <c r="C8" s="754">
        <f>'Func Future Subs 2015'!C8</f>
        <v>145</v>
      </c>
      <c r="D8" s="754">
        <f>'Func Future Subs 2015'!D8</f>
        <v>0</v>
      </c>
      <c r="E8" s="754" t="str">
        <f>'Func Future Subs 2015'!E8</f>
        <v>532S</v>
      </c>
      <c r="F8" s="754">
        <f>'Func Future Subs 2015'!F8</f>
        <v>637591.72154280276</v>
      </c>
      <c r="G8" s="754" t="str">
        <f>'Func Future Subs 2015'!G8</f>
        <v>AltaLink</v>
      </c>
      <c r="H8" s="754">
        <f>'Func Future Subs 2015'!H8</f>
        <v>2017</v>
      </c>
      <c r="I8" s="306">
        <f>+IF($H8=I$2,VLOOKUP($G8,Depreciation!$A$14:$L$18,7,FALSE)/2,IF($H8&lt;I$2,VLOOKUP($G8,Depreciation!$A$14:$L$18,7,FALSE),0))</f>
        <v>0</v>
      </c>
      <c r="J8" s="306">
        <f>+IF($H8=J$2,VLOOKUP($G8,Depreciation!$A$14:$L$18,8,FALSE)/2,IF($H8&lt;J$2,VLOOKUP($G8,Depreciation!$A$14:$L$18,8,FALSE),0))</f>
        <v>0</v>
      </c>
      <c r="K8" s="306">
        <f>+IF($H8=K$2,VLOOKUP($G8,Depreciation!$A$14:$L$18,9,FALSE)/2,IF($H8&lt;K$2,VLOOKUP($G8,Depreciation!$A$14:$L$18,9,FALSE),0))</f>
        <v>1.671703928371859E-2</v>
      </c>
      <c r="L8" s="306">
        <f>+IF($H8=L$2,VLOOKUP($G8,Depreciation!$A$14:$L$18,10,FALSE)/2,IF($H8&lt;L$2,VLOOKUP($G8,Depreciation!$A$14:$L$18,10,FALSE),0))</f>
        <v>3.343407856743718E-2</v>
      </c>
      <c r="M8" s="306">
        <f>+IF($H8=M$2,VLOOKUP($G8,Depreciation!$A$14:$L$18,11,FALSE)/2,IF($H8&lt;M$2,VLOOKUP($G8,Depreciation!$A$14:$L$18,11,FALSE),0))</f>
        <v>3.343407856743718E-2</v>
      </c>
      <c r="N8" s="306">
        <f>+IF($H8=N$2,VLOOKUP($G8,Depreciation!$A$14:$L$18,12,FALSE)/2,IF($H8&lt;N$2,VLOOKUP($G8,Depreciation!$A$14:$L$18,12,FALSE),0))</f>
        <v>3.343407856743718E-2</v>
      </c>
      <c r="O8" s="307">
        <f t="shared" si="1"/>
        <v>566129.28375633899</v>
      </c>
      <c r="P8" s="732">
        <f>'Func Future Subs 2015'!P8</f>
        <v>0</v>
      </c>
      <c r="Q8" s="732">
        <f>'Func Future Subs 2015'!Q8</f>
        <v>0</v>
      </c>
      <c r="R8" s="732">
        <f>'Func Future Subs 2015'!R8</f>
        <v>1</v>
      </c>
      <c r="S8" s="735">
        <f t="shared" si="2"/>
        <v>0</v>
      </c>
      <c r="T8" s="735">
        <f t="shared" si="3"/>
        <v>0</v>
      </c>
      <c r="U8" s="735">
        <f t="shared" si="4"/>
        <v>566129.28375633899</v>
      </c>
      <c r="V8" s="736">
        <f t="shared" si="5"/>
        <v>566129.28375633899</v>
      </c>
      <c r="W8" s="735">
        <f t="shared" si="6"/>
        <v>0</v>
      </c>
      <c r="X8" s="737">
        <f t="shared" si="7"/>
        <v>0</v>
      </c>
      <c r="Y8" s="738">
        <f t="shared" si="8"/>
        <v>0</v>
      </c>
      <c r="AA8" s="1014" t="s">
        <v>147</v>
      </c>
      <c r="AB8" s="1014"/>
      <c r="AC8" s="1014"/>
      <c r="AD8" s="1014"/>
    </row>
    <row r="9" spans="1:30">
      <c r="A9" s="754" t="str">
        <f>'Func Future Subs 2015'!A9</f>
        <v>Medicine Hat 41S</v>
      </c>
      <c r="B9" s="754">
        <f>'Func Future Subs 2015'!B9</f>
        <v>513</v>
      </c>
      <c r="C9" s="754">
        <f>'Func Future Subs 2015'!C9</f>
        <v>240</v>
      </c>
      <c r="D9" s="754">
        <f>'Func Future Subs 2015'!D9</f>
        <v>69</v>
      </c>
      <c r="E9" s="754" t="str">
        <f>'Func Future Subs 2015'!E9</f>
        <v>41S</v>
      </c>
      <c r="F9" s="754">
        <f>'Func Future Subs 2015'!F9</f>
        <v>338720.60206961393</v>
      </c>
      <c r="G9" s="754" t="str">
        <f>'Func Future Subs 2015'!G9</f>
        <v>AltaLink</v>
      </c>
      <c r="H9" s="754">
        <f>'Func Future Subs 2015'!H9</f>
        <v>2017</v>
      </c>
      <c r="I9" s="306">
        <f>+IF($H9=I$2,VLOOKUP($G9,Depreciation!$A$14:$L$18,7,FALSE)/2,IF($H9&lt;I$2,VLOOKUP($G9,Depreciation!$A$14:$L$18,7,FALSE),0))</f>
        <v>0</v>
      </c>
      <c r="J9" s="306">
        <f>+IF($H9=J$2,VLOOKUP($G9,Depreciation!$A$14:$L$18,8,FALSE)/2,IF($H9&lt;J$2,VLOOKUP($G9,Depreciation!$A$14:$L$18,8,FALSE),0))</f>
        <v>0</v>
      </c>
      <c r="K9" s="306">
        <f>+IF($H9=K$2,VLOOKUP($G9,Depreciation!$A$14:$L$18,9,FALSE)/2,IF($H9&lt;K$2,VLOOKUP($G9,Depreciation!$A$14:$L$18,9,FALSE),0))</f>
        <v>1.671703928371859E-2</v>
      </c>
      <c r="L9" s="306">
        <f>+IF($H9=L$2,VLOOKUP($G9,Depreciation!$A$14:$L$18,10,FALSE)/2,IF($H9&lt;L$2,VLOOKUP($G9,Depreciation!$A$14:$L$18,10,FALSE),0))</f>
        <v>3.343407856743718E-2</v>
      </c>
      <c r="M9" s="306">
        <f>+IF($H9=M$2,VLOOKUP($G9,Depreciation!$A$14:$L$18,11,FALSE)/2,IF($H9&lt;M$2,VLOOKUP($G9,Depreciation!$A$14:$L$18,11,FALSE),0))</f>
        <v>3.343407856743718E-2</v>
      </c>
      <c r="N9" s="306">
        <f>+IF($H9=N$2,VLOOKUP($G9,Depreciation!$A$14:$L$18,12,FALSE)/2,IF($H9&lt;N$2,VLOOKUP($G9,Depreciation!$A$14:$L$18,12,FALSE),0))</f>
        <v>3.343407856743718E-2</v>
      </c>
      <c r="O9" s="307">
        <f t="shared" si="1"/>
        <v>300756.18199555512</v>
      </c>
      <c r="P9" s="732">
        <f>'Func Future Subs 2015'!P9</f>
        <v>0.796875</v>
      </c>
      <c r="Q9" s="732">
        <f>'Func Future Subs 2015'!Q9</f>
        <v>0.203125</v>
      </c>
      <c r="R9" s="732">
        <f>'Func Future Subs 2015'!R9</f>
        <v>0</v>
      </c>
      <c r="S9" s="735">
        <f t="shared" si="2"/>
        <v>239665.08252770797</v>
      </c>
      <c r="T9" s="735">
        <f t="shared" si="3"/>
        <v>61091.099467847132</v>
      </c>
      <c r="U9" s="735">
        <f t="shared" si="4"/>
        <v>0</v>
      </c>
      <c r="V9" s="736">
        <f t="shared" si="5"/>
        <v>0</v>
      </c>
      <c r="W9" s="735">
        <f t="shared" si="6"/>
        <v>239665.08252770797</v>
      </c>
      <c r="X9" s="737">
        <f t="shared" si="7"/>
        <v>0</v>
      </c>
      <c r="Y9" s="738">
        <f t="shared" si="8"/>
        <v>61091.099467847132</v>
      </c>
      <c r="AA9" s="305"/>
      <c r="AB9" s="305" t="s">
        <v>49</v>
      </c>
      <c r="AC9" s="305" t="s">
        <v>74</v>
      </c>
      <c r="AD9" s="305" t="s">
        <v>146</v>
      </c>
    </row>
    <row r="10" spans="1:30">
      <c r="A10" s="754" t="str">
        <f>'Func Future Subs 2015'!A10</f>
        <v>Taber 83S</v>
      </c>
      <c r="B10" s="754">
        <f>'Func Future Subs 2015'!B10</f>
        <v>513</v>
      </c>
      <c r="C10" s="754">
        <f>'Func Future Subs 2015'!C10</f>
        <v>240</v>
      </c>
      <c r="D10" s="754">
        <f>'Func Future Subs 2015'!D10</f>
        <v>25</v>
      </c>
      <c r="E10" s="754" t="str">
        <f>'Func Future Subs 2015'!E10</f>
        <v>83S</v>
      </c>
      <c r="F10" s="754">
        <f>'Func Future Subs 2015'!F10</f>
        <v>282267.16839134495</v>
      </c>
      <c r="G10" s="754" t="str">
        <f>'Func Future Subs 2015'!G10</f>
        <v>AltaLink</v>
      </c>
      <c r="H10" s="754">
        <f>'Func Future Subs 2015'!H10</f>
        <v>2017</v>
      </c>
      <c r="I10" s="306">
        <f>+IF($H10=I$2,VLOOKUP($G10,Depreciation!$A$14:$L$18,7,FALSE)/2,IF($H10&lt;I$2,VLOOKUP($G10,Depreciation!$A$14:$L$18,7,FALSE),0))</f>
        <v>0</v>
      </c>
      <c r="J10" s="306">
        <f>+IF($H10=J$2,VLOOKUP($G10,Depreciation!$A$14:$L$18,8,FALSE)/2,IF($H10&lt;J$2,VLOOKUP($G10,Depreciation!$A$14:$L$18,8,FALSE),0))</f>
        <v>0</v>
      </c>
      <c r="K10" s="306">
        <f>+IF($H10=K$2,VLOOKUP($G10,Depreciation!$A$14:$L$18,9,FALSE)/2,IF($H10&lt;K$2,VLOOKUP($G10,Depreciation!$A$14:$L$18,9,FALSE),0))</f>
        <v>1.671703928371859E-2</v>
      </c>
      <c r="L10" s="306">
        <f>+IF($H10=L$2,VLOOKUP($G10,Depreciation!$A$14:$L$18,10,FALSE)/2,IF($H10&lt;L$2,VLOOKUP($G10,Depreciation!$A$14:$L$18,10,FALSE),0))</f>
        <v>3.343407856743718E-2</v>
      </c>
      <c r="M10" s="306">
        <f>+IF($H10=M$2,VLOOKUP($G10,Depreciation!$A$14:$L$18,11,FALSE)/2,IF($H10&lt;M$2,VLOOKUP($G10,Depreciation!$A$14:$L$18,11,FALSE),0))</f>
        <v>3.343407856743718E-2</v>
      </c>
      <c r="N10" s="306">
        <f>+IF($H10=N$2,VLOOKUP($G10,Depreciation!$A$14:$L$18,12,FALSE)/2,IF($H10&lt;N$2,VLOOKUP($G10,Depreciation!$A$14:$L$18,12,FALSE),0))</f>
        <v>3.343407856743718E-2</v>
      </c>
      <c r="O10" s="307">
        <f t="shared" si="1"/>
        <v>250630.15166296254</v>
      </c>
      <c r="P10" s="732">
        <f>'Func Future Subs 2015'!P10</f>
        <v>0</v>
      </c>
      <c r="Q10" s="732">
        <f>'Func Future Subs 2015'!Q10</f>
        <v>1</v>
      </c>
      <c r="R10" s="732">
        <f>'Func Future Subs 2015'!R10</f>
        <v>0</v>
      </c>
      <c r="S10" s="735">
        <f t="shared" si="2"/>
        <v>0</v>
      </c>
      <c r="T10" s="735">
        <f t="shared" si="3"/>
        <v>250630.15166296254</v>
      </c>
      <c r="U10" s="735">
        <f t="shared" si="4"/>
        <v>0</v>
      </c>
      <c r="V10" s="736">
        <f t="shared" si="5"/>
        <v>0</v>
      </c>
      <c r="W10" s="735">
        <f t="shared" si="6"/>
        <v>0</v>
      </c>
      <c r="X10" s="737">
        <f t="shared" si="7"/>
        <v>0</v>
      </c>
      <c r="Y10" s="738">
        <f t="shared" si="8"/>
        <v>250630.15166296254</v>
      </c>
      <c r="AA10" s="313" t="s">
        <v>1681</v>
      </c>
      <c r="AB10" s="314">
        <f>AB4*$AB$6</f>
        <v>1560805861.8821492</v>
      </c>
      <c r="AC10" s="314">
        <f>AC4*$AB$6</f>
        <v>651541042.81446218</v>
      </c>
      <c r="AD10" s="314">
        <f>AD4*$AB$6</f>
        <v>790729582.90560508</v>
      </c>
    </row>
    <row r="11" spans="1:30">
      <c r="A11" s="754" t="str">
        <f>'Func Future Subs 2015'!A11</f>
        <v>Tothill 219S</v>
      </c>
      <c r="B11" s="754">
        <f>'Func Future Subs 2015'!B11</f>
        <v>513</v>
      </c>
      <c r="C11" s="754">
        <f>'Func Future Subs 2015'!C11</f>
        <v>138</v>
      </c>
      <c r="D11" s="754">
        <f>'Func Future Subs 2015'!D11</f>
        <v>0</v>
      </c>
      <c r="E11" s="754" t="str">
        <f>'Func Future Subs 2015'!E11</f>
        <v>219S</v>
      </c>
      <c r="F11" s="754">
        <f>'Func Future Subs 2015'!F11</f>
        <v>597742.23894637753</v>
      </c>
      <c r="G11" s="754" t="str">
        <f>'Func Future Subs 2015'!G11</f>
        <v>AltaLink</v>
      </c>
      <c r="H11" s="754">
        <f>'Func Future Subs 2015'!H11</f>
        <v>2017</v>
      </c>
      <c r="I11" s="306">
        <f>+IF($H11=I$2,VLOOKUP($G11,Depreciation!$A$14:$L$18,7,FALSE)/2,IF($H11&lt;I$2,VLOOKUP($G11,Depreciation!$A$14:$L$18,7,FALSE),0))</f>
        <v>0</v>
      </c>
      <c r="J11" s="306">
        <f>+IF($H11=J$2,VLOOKUP($G11,Depreciation!$A$14:$L$18,8,FALSE)/2,IF($H11&lt;J$2,VLOOKUP($G11,Depreciation!$A$14:$L$18,8,FALSE),0))</f>
        <v>0</v>
      </c>
      <c r="K11" s="306">
        <f>+IF($H11=K$2,VLOOKUP($G11,Depreciation!$A$14:$L$18,9,FALSE)/2,IF($H11&lt;K$2,VLOOKUP($G11,Depreciation!$A$14:$L$18,9,FALSE),0))</f>
        <v>1.671703928371859E-2</v>
      </c>
      <c r="L11" s="306">
        <f>+IF($H11=L$2,VLOOKUP($G11,Depreciation!$A$14:$L$18,10,FALSE)/2,IF($H11&lt;L$2,VLOOKUP($G11,Depreciation!$A$14:$L$18,10,FALSE),0))</f>
        <v>3.343407856743718E-2</v>
      </c>
      <c r="M11" s="306">
        <f>+IF($H11=M$2,VLOOKUP($G11,Depreciation!$A$14:$L$18,11,FALSE)/2,IF($H11&lt;M$2,VLOOKUP($G11,Depreciation!$A$14:$L$18,11,FALSE),0))</f>
        <v>3.343407856743718E-2</v>
      </c>
      <c r="N11" s="306">
        <f>+IF($H11=N$2,VLOOKUP($G11,Depreciation!$A$14:$L$18,12,FALSE)/2,IF($H11&lt;N$2,VLOOKUP($G11,Depreciation!$A$14:$L$18,12,FALSE),0))</f>
        <v>3.343407856743718E-2</v>
      </c>
      <c r="O11" s="307">
        <f t="shared" si="1"/>
        <v>530746.20352156775</v>
      </c>
      <c r="P11" s="732">
        <f>'Func Future Subs 2015'!P11</f>
        <v>0</v>
      </c>
      <c r="Q11" s="732">
        <f>'Func Future Subs 2015'!Q11</f>
        <v>0</v>
      </c>
      <c r="R11" s="732">
        <f>'Func Future Subs 2015'!R11</f>
        <v>1</v>
      </c>
      <c r="S11" s="735">
        <f t="shared" si="2"/>
        <v>0</v>
      </c>
      <c r="T11" s="735">
        <f t="shared" si="3"/>
        <v>0</v>
      </c>
      <c r="U11" s="735">
        <f t="shared" si="4"/>
        <v>530746.20352156775</v>
      </c>
      <c r="V11" s="736">
        <f t="shared" si="5"/>
        <v>530746.20352156775</v>
      </c>
      <c r="W11" s="735">
        <f t="shared" si="6"/>
        <v>0</v>
      </c>
      <c r="X11" s="737">
        <f t="shared" si="7"/>
        <v>0</v>
      </c>
      <c r="Y11" s="738">
        <f t="shared" si="8"/>
        <v>0</v>
      </c>
    </row>
    <row r="12" spans="1:30">
      <c r="A12" s="754" t="str">
        <f>'Func Future Subs 2015'!A12</f>
        <v>Castle Rock Ridge 205S Substation</v>
      </c>
      <c r="B12" s="754">
        <f>'Func Future Subs 2015'!B12</f>
        <v>524</v>
      </c>
      <c r="C12" s="754">
        <f>'Func Future Subs 2015'!C12</f>
        <v>240</v>
      </c>
      <c r="D12" s="754">
        <f>'Func Future Subs 2015'!D12</f>
        <v>25</v>
      </c>
      <c r="E12" s="754" t="str">
        <f>'Func Future Subs 2015'!E12</f>
        <v>205S</v>
      </c>
      <c r="F12" s="754">
        <f>'Func Future Subs 2015'!F12</f>
        <v>3365840.0000000009</v>
      </c>
      <c r="G12" s="754" t="str">
        <f>'Func Future Subs 2015'!G12</f>
        <v>AltaLink</v>
      </c>
      <c r="H12" s="754">
        <f>'Func Future Subs 2015'!H12</f>
        <v>2017</v>
      </c>
      <c r="I12" s="306">
        <f>+IF($H12=I$2,VLOOKUP($G12,Depreciation!$A$14:$L$18,7,FALSE)/2,IF($H12&lt;I$2,VLOOKUP($G12,Depreciation!$A$14:$L$18,7,FALSE),0))</f>
        <v>0</v>
      </c>
      <c r="J12" s="306">
        <f>+IF($H12=J$2,VLOOKUP($G12,Depreciation!$A$14:$L$18,8,FALSE)/2,IF($H12&lt;J$2,VLOOKUP($G12,Depreciation!$A$14:$L$18,8,FALSE),0))</f>
        <v>0</v>
      </c>
      <c r="K12" s="306">
        <f>+IF($H12=K$2,VLOOKUP($G12,Depreciation!$A$14:$L$18,9,FALSE)/2,IF($H12&lt;K$2,VLOOKUP($G12,Depreciation!$A$14:$L$18,9,FALSE),0))</f>
        <v>1.671703928371859E-2</v>
      </c>
      <c r="L12" s="306">
        <f>+IF($H12=L$2,VLOOKUP($G12,Depreciation!$A$14:$L$18,10,FALSE)/2,IF($H12&lt;L$2,VLOOKUP($G12,Depreciation!$A$14:$L$18,10,FALSE),0))</f>
        <v>3.343407856743718E-2</v>
      </c>
      <c r="M12" s="306">
        <f>+IF($H12=M$2,VLOOKUP($G12,Depreciation!$A$14:$L$18,11,FALSE)/2,IF($H12&lt;M$2,VLOOKUP($G12,Depreciation!$A$14:$L$18,11,FALSE),0))</f>
        <v>3.343407856743718E-2</v>
      </c>
      <c r="N12" s="306">
        <f>+IF($H12=N$2,VLOOKUP($G12,Depreciation!$A$14:$L$18,12,FALSE)/2,IF($H12&lt;N$2,VLOOKUP($G12,Depreciation!$A$14:$L$18,12,FALSE),0))</f>
        <v>3.343407856743718E-2</v>
      </c>
      <c r="O12" s="307">
        <f t="shared" si="1"/>
        <v>2988590.5416520005</v>
      </c>
      <c r="P12" s="732">
        <f>'Func Future Subs 2015'!P12</f>
        <v>0.99826388888888884</v>
      </c>
      <c r="Q12" s="732">
        <f>'Func Future Subs 2015'!Q12</f>
        <v>1.7361111111111112E-3</v>
      </c>
      <c r="R12" s="732">
        <f>'Func Future Subs 2015'!R12</f>
        <v>4.9222778630841901E-17</v>
      </c>
      <c r="S12" s="735">
        <f t="shared" si="2"/>
        <v>2983402.016406077</v>
      </c>
      <c r="T12" s="735">
        <f t="shared" si="3"/>
        <v>5188.5252459236126</v>
      </c>
      <c r="U12" s="735">
        <f t="shared" si="4"/>
        <v>1.4710673064996431E-10</v>
      </c>
      <c r="V12" s="736">
        <f t="shared" si="5"/>
        <v>0</v>
      </c>
      <c r="W12" s="735">
        <f t="shared" si="6"/>
        <v>2983402.016406077</v>
      </c>
      <c r="X12" s="737">
        <f t="shared" si="7"/>
        <v>0</v>
      </c>
      <c r="Y12" s="738">
        <f t="shared" si="8"/>
        <v>5188.5252459237599</v>
      </c>
    </row>
    <row r="13" spans="1:30">
      <c r="A13" s="754" t="str">
        <f>'Func Future Subs 2015'!A13</f>
        <v>Bannerman 681S</v>
      </c>
      <c r="B13" s="754">
        <f>'Func Future Subs 2015'!B13</f>
        <v>559</v>
      </c>
      <c r="C13" s="754">
        <f>'Func Future Subs 2015'!C13</f>
        <v>240</v>
      </c>
      <c r="D13" s="754">
        <f>'Func Future Subs 2015'!D13</f>
        <v>25</v>
      </c>
      <c r="E13" s="754" t="str">
        <f>'Func Future Subs 2015'!E13</f>
        <v>681S</v>
      </c>
      <c r="F13" s="754">
        <f>'Func Future Subs 2015'!F13</f>
        <v>40330685.047325686</v>
      </c>
      <c r="G13" s="754" t="str">
        <f>'Func Future Subs 2015'!G13</f>
        <v>AltaLink</v>
      </c>
      <c r="H13" s="754">
        <f>'Func Future Subs 2015'!H13</f>
        <v>2015</v>
      </c>
      <c r="I13" s="306">
        <f>+IF($H13=I$2,VLOOKUP($G13,Depreciation!$A$14:$L$18,7,FALSE)/2,IF($H13&lt;I$2,VLOOKUP($G13,Depreciation!$A$14:$L$18,7,FALSE),0))</f>
        <v>1.7228380322441735E-2</v>
      </c>
      <c r="J13" s="306">
        <f>+IF($H13=J$2,VLOOKUP($G13,Depreciation!$A$14:$L$18,8,FALSE)/2,IF($H13&lt;J$2,VLOOKUP($G13,Depreciation!$A$14:$L$18,8,FALSE),0))</f>
        <v>3.343407856743718E-2</v>
      </c>
      <c r="K13" s="306">
        <f>+IF($H13=K$2,VLOOKUP($G13,Depreciation!$A$14:$L$18,9,FALSE)/2,IF($H13&lt;K$2,VLOOKUP($G13,Depreciation!$A$14:$L$18,9,FALSE),0))</f>
        <v>3.343407856743718E-2</v>
      </c>
      <c r="L13" s="306">
        <f>+IF($H13=L$2,VLOOKUP($G13,Depreciation!$A$14:$L$18,10,FALSE)/2,IF($H13&lt;L$2,VLOOKUP($G13,Depreciation!$A$14:$L$18,10,FALSE),0))</f>
        <v>3.343407856743718E-2</v>
      </c>
      <c r="M13" s="306">
        <f>+IF($H13=M$2,VLOOKUP($G13,Depreciation!$A$14:$L$18,11,FALSE)/2,IF($H13&lt;M$2,VLOOKUP($G13,Depreciation!$A$14:$L$18,11,FALSE),0))</f>
        <v>3.343407856743718E-2</v>
      </c>
      <c r="N13" s="306">
        <f>+IF($H13=N$2,VLOOKUP($G13,Depreciation!$A$14:$L$18,12,FALSE)/2,IF($H13&lt;N$2,VLOOKUP($G13,Depreciation!$A$14:$L$18,12,FALSE),0))</f>
        <v>3.343407856743718E-2</v>
      </c>
      <c r="O13" s="307">
        <f t="shared" si="1"/>
        <v>33438408.602882739</v>
      </c>
      <c r="P13" s="732">
        <f>'Func Future Subs 2015'!P13</f>
        <v>0</v>
      </c>
      <c r="Q13" s="732">
        <f>'Func Future Subs 2015'!Q13</f>
        <v>1</v>
      </c>
      <c r="R13" s="732">
        <f>'Func Future Subs 2015'!R13</f>
        <v>0</v>
      </c>
      <c r="S13" s="735">
        <f t="shared" si="2"/>
        <v>0</v>
      </c>
      <c r="T13" s="735">
        <f t="shared" si="3"/>
        <v>33438408.602882739</v>
      </c>
      <c r="U13" s="735">
        <f t="shared" si="4"/>
        <v>0</v>
      </c>
      <c r="V13" s="736">
        <f t="shared" si="5"/>
        <v>0</v>
      </c>
      <c r="W13" s="735">
        <f t="shared" si="6"/>
        <v>0</v>
      </c>
      <c r="X13" s="737">
        <f t="shared" si="7"/>
        <v>0</v>
      </c>
      <c r="Y13" s="738">
        <f t="shared" si="8"/>
        <v>33438408.602882739</v>
      </c>
    </row>
    <row r="14" spans="1:30">
      <c r="A14" s="754" t="str">
        <f>'Func Future Subs 2015'!A14</f>
        <v>Deerland 013S</v>
      </c>
      <c r="B14" s="754">
        <f>'Func Future Subs 2015'!B14</f>
        <v>559</v>
      </c>
      <c r="C14" s="754">
        <f>'Func Future Subs 2015'!C14</f>
        <v>240</v>
      </c>
      <c r="D14" s="754">
        <f>'Func Future Subs 2015'!D14</f>
        <v>138</v>
      </c>
      <c r="E14" s="754" t="str">
        <f>'Func Future Subs 2015'!E14</f>
        <v>13S</v>
      </c>
      <c r="F14" s="754">
        <f>'Func Future Subs 2015'!F14</f>
        <v>5142.2812693605028</v>
      </c>
      <c r="G14" s="754" t="str">
        <f>'Func Future Subs 2015'!G14</f>
        <v>AltaLink</v>
      </c>
      <c r="H14" s="754">
        <f>'Func Future Subs 2015'!H14</f>
        <v>2015</v>
      </c>
      <c r="I14" s="306">
        <f>+IF($H14=I$2,VLOOKUP($G14,Depreciation!$A$14:$L$18,7,FALSE)/2,IF($H14&lt;I$2,VLOOKUP($G14,Depreciation!$A$14:$L$18,7,FALSE),0))</f>
        <v>1.7228380322441735E-2</v>
      </c>
      <c r="J14" s="306">
        <f>+IF($H14=J$2,VLOOKUP($G14,Depreciation!$A$14:$L$18,8,FALSE)/2,IF($H14&lt;J$2,VLOOKUP($G14,Depreciation!$A$14:$L$18,8,FALSE),0))</f>
        <v>3.343407856743718E-2</v>
      </c>
      <c r="K14" s="306">
        <f>+IF($H14=K$2,VLOOKUP($G14,Depreciation!$A$14:$L$18,9,FALSE)/2,IF($H14&lt;K$2,VLOOKUP($G14,Depreciation!$A$14:$L$18,9,FALSE),0))</f>
        <v>3.343407856743718E-2</v>
      </c>
      <c r="L14" s="306">
        <f>+IF($H14=L$2,VLOOKUP($G14,Depreciation!$A$14:$L$18,10,FALSE)/2,IF($H14&lt;L$2,VLOOKUP($G14,Depreciation!$A$14:$L$18,10,FALSE),0))</f>
        <v>3.343407856743718E-2</v>
      </c>
      <c r="M14" s="306">
        <f>+IF($H14=M$2,VLOOKUP($G14,Depreciation!$A$14:$L$18,11,FALSE)/2,IF($H14&lt;M$2,VLOOKUP($G14,Depreciation!$A$14:$L$18,11,FALSE),0))</f>
        <v>3.343407856743718E-2</v>
      </c>
      <c r="N14" s="306">
        <f>+IF($H14=N$2,VLOOKUP($G14,Depreciation!$A$14:$L$18,12,FALSE)/2,IF($H14&lt;N$2,VLOOKUP($G14,Depreciation!$A$14:$L$18,12,FALSE),0))</f>
        <v>3.343407856743718E-2</v>
      </c>
      <c r="O14" s="307">
        <f t="shared" si="1"/>
        <v>4263.495698970999</v>
      </c>
      <c r="P14" s="732">
        <f>'Func Future Subs 2015'!P14</f>
        <v>0</v>
      </c>
      <c r="Q14" s="732">
        <f>'Func Future Subs 2015'!Q14</f>
        <v>0</v>
      </c>
      <c r="R14" s="732">
        <f>'Func Future Subs 2015'!R14</f>
        <v>1</v>
      </c>
      <c r="S14" s="735">
        <f t="shared" si="2"/>
        <v>0</v>
      </c>
      <c r="T14" s="735">
        <f t="shared" si="3"/>
        <v>0</v>
      </c>
      <c r="U14" s="735">
        <f t="shared" si="4"/>
        <v>4263.495698970999</v>
      </c>
      <c r="V14" s="736">
        <f t="shared" si="5"/>
        <v>0</v>
      </c>
      <c r="W14" s="735">
        <f t="shared" si="6"/>
        <v>0</v>
      </c>
      <c r="X14" s="737">
        <f t="shared" si="7"/>
        <v>4263.495698970999</v>
      </c>
      <c r="Y14" s="738">
        <f t="shared" si="8"/>
        <v>0</v>
      </c>
    </row>
    <row r="15" spans="1:30">
      <c r="A15" s="754" t="str">
        <f>'Func Future Subs 2015'!A15</f>
        <v>Lamoureux 071S</v>
      </c>
      <c r="B15" s="754">
        <f>'Func Future Subs 2015'!B15</f>
        <v>559</v>
      </c>
      <c r="C15" s="754">
        <f>'Func Future Subs 2015'!C15</f>
        <v>240</v>
      </c>
      <c r="D15" s="754">
        <f>'Func Future Subs 2015'!D15</f>
        <v>138</v>
      </c>
      <c r="E15" s="754" t="str">
        <f>'Func Future Subs 2015'!E15</f>
        <v>71S</v>
      </c>
      <c r="F15" s="754">
        <f>'Func Future Subs 2015'!F15</f>
        <v>80730.150925862225</v>
      </c>
      <c r="G15" s="754" t="str">
        <f>'Func Future Subs 2015'!G15</f>
        <v>AltaLink</v>
      </c>
      <c r="H15" s="754">
        <f>'Func Future Subs 2015'!H15</f>
        <v>2015</v>
      </c>
      <c r="I15" s="306">
        <f>+IF($H15=I$2,VLOOKUP($G15,Depreciation!$A$14:$L$18,7,FALSE)/2,IF($H15&lt;I$2,VLOOKUP($G15,Depreciation!$A$14:$L$18,7,FALSE),0))</f>
        <v>1.7228380322441735E-2</v>
      </c>
      <c r="J15" s="306">
        <f>+IF($H15=J$2,VLOOKUP($G15,Depreciation!$A$14:$L$18,8,FALSE)/2,IF($H15&lt;J$2,VLOOKUP($G15,Depreciation!$A$14:$L$18,8,FALSE),0))</f>
        <v>3.343407856743718E-2</v>
      </c>
      <c r="K15" s="306">
        <f>+IF($H15=K$2,VLOOKUP($G15,Depreciation!$A$14:$L$18,9,FALSE)/2,IF($H15&lt;K$2,VLOOKUP($G15,Depreciation!$A$14:$L$18,9,FALSE),0))</f>
        <v>3.343407856743718E-2</v>
      </c>
      <c r="L15" s="306">
        <f>+IF($H15=L$2,VLOOKUP($G15,Depreciation!$A$14:$L$18,10,FALSE)/2,IF($H15&lt;L$2,VLOOKUP($G15,Depreciation!$A$14:$L$18,10,FALSE),0))</f>
        <v>3.343407856743718E-2</v>
      </c>
      <c r="M15" s="306">
        <f>+IF($H15=M$2,VLOOKUP($G15,Depreciation!$A$14:$L$18,11,FALSE)/2,IF($H15&lt;M$2,VLOOKUP($G15,Depreciation!$A$14:$L$18,11,FALSE),0))</f>
        <v>3.343407856743718E-2</v>
      </c>
      <c r="N15" s="306">
        <f>+IF($H15=N$2,VLOOKUP($G15,Depreciation!$A$14:$L$18,12,FALSE)/2,IF($H15&lt;N$2,VLOOKUP($G15,Depreciation!$A$14:$L$18,12,FALSE),0))</f>
        <v>3.343407856743718E-2</v>
      </c>
      <c r="O15" s="307">
        <f t="shared" si="1"/>
        <v>66933.843798182046</v>
      </c>
      <c r="P15" s="732">
        <f>'Func Future Subs 2015'!P15</f>
        <v>0</v>
      </c>
      <c r="Q15" s="732">
        <f>'Func Future Subs 2015'!Q15</f>
        <v>0</v>
      </c>
      <c r="R15" s="732">
        <f>'Func Future Subs 2015'!R15</f>
        <v>1</v>
      </c>
      <c r="S15" s="735">
        <f t="shared" si="2"/>
        <v>0</v>
      </c>
      <c r="T15" s="735">
        <f t="shared" si="3"/>
        <v>0</v>
      </c>
      <c r="U15" s="735">
        <f t="shared" si="4"/>
        <v>66933.843798182046</v>
      </c>
      <c r="V15" s="736">
        <f t="shared" si="5"/>
        <v>0</v>
      </c>
      <c r="W15" s="735">
        <f t="shared" si="6"/>
        <v>0</v>
      </c>
      <c r="X15" s="737">
        <f t="shared" si="7"/>
        <v>66933.843798182046</v>
      </c>
      <c r="Y15" s="738">
        <f t="shared" si="8"/>
        <v>0</v>
      </c>
    </row>
    <row r="16" spans="1:30">
      <c r="A16" s="754" t="str">
        <f>'Func Future Subs 2015'!A16</f>
        <v>Bannerman 681S</v>
      </c>
      <c r="B16" s="754">
        <f>'Func Future Subs 2015'!B16</f>
        <v>629</v>
      </c>
      <c r="C16" s="754">
        <f>'Func Future Subs 2015'!C16</f>
        <v>240</v>
      </c>
      <c r="D16" s="754">
        <f>'Func Future Subs 2015'!D16</f>
        <v>25</v>
      </c>
      <c r="E16" s="754" t="str">
        <f>'Func Future Subs 2015'!E16</f>
        <v>681S</v>
      </c>
      <c r="F16" s="754">
        <f>'Func Future Subs 2015'!F16</f>
        <v>10135.432206033322</v>
      </c>
      <c r="G16" s="754" t="str">
        <f>'Func Future Subs 2015'!G16</f>
        <v>AltaLink</v>
      </c>
      <c r="H16" s="754">
        <f>'Func Future Subs 2015'!H16</f>
        <v>2015</v>
      </c>
      <c r="I16" s="306">
        <f>+IF($H16=I$2,VLOOKUP($G16,Depreciation!$A$14:$L$18,7,FALSE)/2,IF($H16&lt;I$2,VLOOKUP($G16,Depreciation!$A$14:$L$18,7,FALSE),0))</f>
        <v>1.7228380322441735E-2</v>
      </c>
      <c r="J16" s="306">
        <f>+IF($H16=J$2,VLOOKUP($G16,Depreciation!$A$14:$L$18,8,FALSE)/2,IF($H16&lt;J$2,VLOOKUP($G16,Depreciation!$A$14:$L$18,8,FALSE),0))</f>
        <v>3.343407856743718E-2</v>
      </c>
      <c r="K16" s="306">
        <f>+IF($H16=K$2,VLOOKUP($G16,Depreciation!$A$14:$L$18,9,FALSE)/2,IF($H16&lt;K$2,VLOOKUP($G16,Depreciation!$A$14:$L$18,9,FALSE),0))</f>
        <v>3.343407856743718E-2</v>
      </c>
      <c r="L16" s="306">
        <f>+IF($H16=L$2,VLOOKUP($G16,Depreciation!$A$14:$L$18,10,FALSE)/2,IF($H16&lt;L$2,VLOOKUP($G16,Depreciation!$A$14:$L$18,10,FALSE),0))</f>
        <v>3.343407856743718E-2</v>
      </c>
      <c r="M16" s="306">
        <f>+IF($H16=M$2,VLOOKUP($G16,Depreciation!$A$14:$L$18,11,FALSE)/2,IF($H16&lt;M$2,VLOOKUP($G16,Depreciation!$A$14:$L$18,11,FALSE),0))</f>
        <v>3.343407856743718E-2</v>
      </c>
      <c r="N16" s="306">
        <f>+IF($H16=N$2,VLOOKUP($G16,Depreciation!$A$14:$L$18,12,FALSE)/2,IF($H16&lt;N$2,VLOOKUP($G16,Depreciation!$A$14:$L$18,12,FALSE),0))</f>
        <v>3.343407856743718E-2</v>
      </c>
      <c r="O16" s="307">
        <f t="shared" si="1"/>
        <v>8403.3465604282519</v>
      </c>
      <c r="P16" s="732">
        <f>'Func Future Subs 2015'!P16</f>
        <v>0</v>
      </c>
      <c r="Q16" s="732">
        <f>'Func Future Subs 2015'!Q16</f>
        <v>1</v>
      </c>
      <c r="R16" s="732">
        <f>'Func Future Subs 2015'!R16</f>
        <v>0</v>
      </c>
      <c r="S16" s="735">
        <f t="shared" si="2"/>
        <v>0</v>
      </c>
      <c r="T16" s="735">
        <f t="shared" si="3"/>
        <v>8403.3465604282519</v>
      </c>
      <c r="U16" s="735">
        <f t="shared" si="4"/>
        <v>0</v>
      </c>
      <c r="V16" s="736">
        <f t="shared" si="5"/>
        <v>0</v>
      </c>
      <c r="W16" s="735">
        <f t="shared" si="6"/>
        <v>0</v>
      </c>
      <c r="X16" s="737">
        <f t="shared" si="7"/>
        <v>0</v>
      </c>
      <c r="Y16" s="738">
        <f t="shared" si="8"/>
        <v>8403.3465604282519</v>
      </c>
    </row>
    <row r="17" spans="1:25">
      <c r="A17" s="754" t="str">
        <f>'Func Future Subs 2015'!A17</f>
        <v>Deerland 013S</v>
      </c>
      <c r="B17" s="754">
        <f>'Func Future Subs 2015'!B17</f>
        <v>629</v>
      </c>
      <c r="C17" s="754">
        <f>'Func Future Subs 2015'!C17</f>
        <v>240</v>
      </c>
      <c r="D17" s="754">
        <f>'Func Future Subs 2015'!D17</f>
        <v>138</v>
      </c>
      <c r="E17" s="754" t="str">
        <f>'Func Future Subs 2015'!E17</f>
        <v>13S</v>
      </c>
      <c r="F17" s="754">
        <f>'Func Future Subs 2015'!F17</f>
        <v>516260.4179627226</v>
      </c>
      <c r="G17" s="754" t="str">
        <f>'Func Future Subs 2015'!G17</f>
        <v>AltaLink</v>
      </c>
      <c r="H17" s="754">
        <f>'Func Future Subs 2015'!H17</f>
        <v>2015</v>
      </c>
      <c r="I17" s="306">
        <f>+IF($H17=I$2,VLOOKUP($G17,Depreciation!$A$14:$L$18,7,FALSE)/2,IF($H17&lt;I$2,VLOOKUP($G17,Depreciation!$A$14:$L$18,7,FALSE),0))</f>
        <v>1.7228380322441735E-2</v>
      </c>
      <c r="J17" s="306">
        <f>+IF($H17=J$2,VLOOKUP($G17,Depreciation!$A$14:$L$18,8,FALSE)/2,IF($H17&lt;J$2,VLOOKUP($G17,Depreciation!$A$14:$L$18,8,FALSE),0))</f>
        <v>3.343407856743718E-2</v>
      </c>
      <c r="K17" s="306">
        <f>+IF($H17=K$2,VLOOKUP($G17,Depreciation!$A$14:$L$18,9,FALSE)/2,IF($H17&lt;K$2,VLOOKUP($G17,Depreciation!$A$14:$L$18,9,FALSE),0))</f>
        <v>3.343407856743718E-2</v>
      </c>
      <c r="L17" s="306">
        <f>+IF($H17=L$2,VLOOKUP($G17,Depreciation!$A$14:$L$18,10,FALSE)/2,IF($H17&lt;L$2,VLOOKUP($G17,Depreciation!$A$14:$L$18,10,FALSE),0))</f>
        <v>3.343407856743718E-2</v>
      </c>
      <c r="M17" s="306">
        <f>+IF($H17=M$2,VLOOKUP($G17,Depreciation!$A$14:$L$18,11,FALSE)/2,IF($H17&lt;M$2,VLOOKUP($G17,Depreciation!$A$14:$L$18,11,FALSE),0))</f>
        <v>3.343407856743718E-2</v>
      </c>
      <c r="N17" s="306">
        <f>+IF($H17=N$2,VLOOKUP($G17,Depreciation!$A$14:$L$18,12,FALSE)/2,IF($H17&lt;N$2,VLOOKUP($G17,Depreciation!$A$14:$L$18,12,FALSE),0))</f>
        <v>3.343407856743718E-2</v>
      </c>
      <c r="O17" s="307">
        <f t="shared" si="1"/>
        <v>428034.55436166079</v>
      </c>
      <c r="P17" s="732">
        <f>'Func Future Subs 2015'!P17</f>
        <v>0</v>
      </c>
      <c r="Q17" s="732">
        <f>'Func Future Subs 2015'!Q17</f>
        <v>0</v>
      </c>
      <c r="R17" s="732">
        <f>'Func Future Subs 2015'!R17</f>
        <v>1</v>
      </c>
      <c r="S17" s="735">
        <f t="shared" si="2"/>
        <v>0</v>
      </c>
      <c r="T17" s="735">
        <f t="shared" si="3"/>
        <v>0</v>
      </c>
      <c r="U17" s="735">
        <f t="shared" si="4"/>
        <v>428034.55436166079</v>
      </c>
      <c r="V17" s="736">
        <f t="shared" si="5"/>
        <v>0</v>
      </c>
      <c r="W17" s="735">
        <f t="shared" si="6"/>
        <v>0</v>
      </c>
      <c r="X17" s="737">
        <f t="shared" si="7"/>
        <v>428034.55436166079</v>
      </c>
      <c r="Y17" s="738">
        <f t="shared" si="8"/>
        <v>0</v>
      </c>
    </row>
    <row r="18" spans="1:25">
      <c r="A18" s="754" t="str">
        <f>'Func Future Subs 2015'!A18</f>
        <v>Ellerslie 089S</v>
      </c>
      <c r="B18" s="754">
        <f>'Func Future Subs 2015'!B18</f>
        <v>629</v>
      </c>
      <c r="C18" s="754">
        <f>'Func Future Subs 2015'!C18</f>
        <v>500</v>
      </c>
      <c r="D18" s="754">
        <f>'Func Future Subs 2015'!D18</f>
        <v>240</v>
      </c>
      <c r="E18" s="754" t="str">
        <f>'Func Future Subs 2015'!E18</f>
        <v>89S</v>
      </c>
      <c r="F18" s="754">
        <f>'Func Future Subs 2015'!F18</f>
        <v>23778913.961869717</v>
      </c>
      <c r="G18" s="754" t="str">
        <f>'Func Future Subs 2015'!G18</f>
        <v>AltaLink</v>
      </c>
      <c r="H18" s="754">
        <f>'Func Future Subs 2015'!H18</f>
        <v>2015</v>
      </c>
      <c r="I18" s="306">
        <f>+IF($H18=I$2,VLOOKUP($G18,Depreciation!$A$14:$L$18,7,FALSE)/2,IF($H18&lt;I$2,VLOOKUP($G18,Depreciation!$A$14:$L$18,7,FALSE),0))</f>
        <v>1.7228380322441735E-2</v>
      </c>
      <c r="J18" s="306">
        <f>+IF($H18=J$2,VLOOKUP($G18,Depreciation!$A$14:$L$18,8,FALSE)/2,IF($H18&lt;J$2,VLOOKUP($G18,Depreciation!$A$14:$L$18,8,FALSE),0))</f>
        <v>3.343407856743718E-2</v>
      </c>
      <c r="K18" s="306">
        <f>+IF($H18=K$2,VLOOKUP($G18,Depreciation!$A$14:$L$18,9,FALSE)/2,IF($H18&lt;K$2,VLOOKUP($G18,Depreciation!$A$14:$L$18,9,FALSE),0))</f>
        <v>3.343407856743718E-2</v>
      </c>
      <c r="L18" s="306">
        <f>+IF($H18=L$2,VLOOKUP($G18,Depreciation!$A$14:$L$18,10,FALSE)/2,IF($H18&lt;L$2,VLOOKUP($G18,Depreciation!$A$14:$L$18,10,FALSE),0))</f>
        <v>3.343407856743718E-2</v>
      </c>
      <c r="M18" s="306">
        <f>+IF($H18=M$2,VLOOKUP($G18,Depreciation!$A$14:$L$18,11,FALSE)/2,IF($H18&lt;M$2,VLOOKUP($G18,Depreciation!$A$14:$L$18,11,FALSE),0))</f>
        <v>3.343407856743718E-2</v>
      </c>
      <c r="N18" s="306">
        <f>+IF($H18=N$2,VLOOKUP($G18,Depreciation!$A$14:$L$18,12,FALSE)/2,IF($H18&lt;N$2,VLOOKUP($G18,Depreciation!$A$14:$L$18,12,FALSE),0))</f>
        <v>3.343407856743718E-2</v>
      </c>
      <c r="O18" s="307">
        <f t="shared" si="1"/>
        <v>19715237.672178283</v>
      </c>
      <c r="P18" s="732">
        <f>'Func Future Subs 2015'!P18</f>
        <v>0</v>
      </c>
      <c r="Q18" s="732">
        <f>'Func Future Subs 2015'!Q18</f>
        <v>0</v>
      </c>
      <c r="R18" s="732">
        <f>'Func Future Subs 2015'!R18</f>
        <v>1</v>
      </c>
      <c r="S18" s="735">
        <f t="shared" si="2"/>
        <v>0</v>
      </c>
      <c r="T18" s="735">
        <f t="shared" si="3"/>
        <v>0</v>
      </c>
      <c r="U18" s="735">
        <f t="shared" si="4"/>
        <v>19715237.672178283</v>
      </c>
      <c r="V18" s="736">
        <f t="shared" si="5"/>
        <v>0</v>
      </c>
      <c r="W18" s="735">
        <f t="shared" si="6"/>
        <v>19715237.672178283</v>
      </c>
      <c r="X18" s="737">
        <f t="shared" si="7"/>
        <v>0</v>
      </c>
      <c r="Y18" s="738">
        <f t="shared" si="8"/>
        <v>0</v>
      </c>
    </row>
    <row r="19" spans="1:25">
      <c r="A19" s="754" t="str">
        <f>'Func Future Subs 2015'!A19</f>
        <v>Heartland 012S_(v199)</v>
      </c>
      <c r="B19" s="754">
        <f>'Func Future Subs 2015'!B19</f>
        <v>629</v>
      </c>
      <c r="C19" s="754">
        <f>'Func Future Subs 2015'!C19</f>
        <v>500</v>
      </c>
      <c r="D19" s="754">
        <f>'Func Future Subs 2015'!D19</f>
        <v>240</v>
      </c>
      <c r="E19" s="754" t="str">
        <f>'Func Future Subs 2015'!E19</f>
        <v>12S</v>
      </c>
      <c r="F19" s="754">
        <f>'Func Future Subs 2015'!F19</f>
        <v>66671500.436580472</v>
      </c>
      <c r="G19" s="754" t="str">
        <f>'Func Future Subs 2015'!G19</f>
        <v>AltaLink</v>
      </c>
      <c r="H19" s="754">
        <f>'Func Future Subs 2015'!H19</f>
        <v>2015</v>
      </c>
      <c r="I19" s="306">
        <f>+IF($H19=I$2,VLOOKUP($G19,Depreciation!$A$14:$L$18,7,FALSE)/2,IF($H19&lt;I$2,VLOOKUP($G19,Depreciation!$A$14:$L$18,7,FALSE),0))</f>
        <v>1.7228380322441735E-2</v>
      </c>
      <c r="J19" s="306">
        <f>+IF($H19=J$2,VLOOKUP($G19,Depreciation!$A$14:$L$18,8,FALSE)/2,IF($H19&lt;J$2,VLOOKUP($G19,Depreciation!$A$14:$L$18,8,FALSE),0))</f>
        <v>3.343407856743718E-2</v>
      </c>
      <c r="K19" s="306">
        <f>+IF($H19=K$2,VLOOKUP($G19,Depreciation!$A$14:$L$18,9,FALSE)/2,IF($H19&lt;K$2,VLOOKUP($G19,Depreciation!$A$14:$L$18,9,FALSE),0))</f>
        <v>3.343407856743718E-2</v>
      </c>
      <c r="L19" s="306">
        <f>+IF($H19=L$2,VLOOKUP($G19,Depreciation!$A$14:$L$18,10,FALSE)/2,IF($H19&lt;L$2,VLOOKUP($G19,Depreciation!$A$14:$L$18,10,FALSE),0))</f>
        <v>3.343407856743718E-2</v>
      </c>
      <c r="M19" s="306">
        <f>+IF($H19=M$2,VLOOKUP($G19,Depreciation!$A$14:$L$18,11,FALSE)/2,IF($H19&lt;M$2,VLOOKUP($G19,Depreciation!$A$14:$L$18,11,FALSE),0))</f>
        <v>3.343407856743718E-2</v>
      </c>
      <c r="N19" s="306">
        <f>+IF($H19=N$2,VLOOKUP($G19,Depreciation!$A$14:$L$18,12,FALSE)/2,IF($H19&lt;N$2,VLOOKUP($G19,Depreciation!$A$14:$L$18,12,FALSE),0))</f>
        <v>3.343407856743718E-2</v>
      </c>
      <c r="O19" s="307">
        <f t="shared" si="1"/>
        <v>55277733.843340293</v>
      </c>
      <c r="P19" s="732">
        <f>'Func Future Subs 2015'!P19</f>
        <v>0</v>
      </c>
      <c r="Q19" s="732">
        <f>'Func Future Subs 2015'!Q19</f>
        <v>0</v>
      </c>
      <c r="R19" s="732">
        <f>'Func Future Subs 2015'!R19</f>
        <v>1</v>
      </c>
      <c r="S19" s="735">
        <f t="shared" si="2"/>
        <v>0</v>
      </c>
      <c r="T19" s="735">
        <f t="shared" si="3"/>
        <v>0</v>
      </c>
      <c r="U19" s="735">
        <f t="shared" si="4"/>
        <v>55277733.843340293</v>
      </c>
      <c r="V19" s="736">
        <f t="shared" si="5"/>
        <v>0</v>
      </c>
      <c r="W19" s="735">
        <f t="shared" si="6"/>
        <v>55277733.843340293</v>
      </c>
      <c r="X19" s="737">
        <f t="shared" si="7"/>
        <v>0</v>
      </c>
      <c r="Y19" s="738">
        <f t="shared" si="8"/>
        <v>0</v>
      </c>
    </row>
    <row r="20" spans="1:25">
      <c r="A20" s="754" t="str">
        <f>'Func Future Subs 2015'!A20</f>
        <v>Lamoureux 071S_(v199)</v>
      </c>
      <c r="B20" s="754">
        <f>'Func Future Subs 2015'!B20</f>
        <v>629</v>
      </c>
      <c r="C20" s="754">
        <f>'Func Future Subs 2015'!C20</f>
        <v>240</v>
      </c>
      <c r="D20" s="754">
        <f>'Func Future Subs 2015'!D20</f>
        <v>138</v>
      </c>
      <c r="E20" s="754" t="str">
        <f>'Func Future Subs 2015'!E20</f>
        <v>71S</v>
      </c>
      <c r="F20" s="754">
        <f>'Func Future Subs 2015'!F20</f>
        <v>706122.92894576001</v>
      </c>
      <c r="G20" s="754" t="str">
        <f>'Func Future Subs 2015'!G20</f>
        <v>AltaLink</v>
      </c>
      <c r="H20" s="754">
        <f>'Func Future Subs 2015'!H20</f>
        <v>2015</v>
      </c>
      <c r="I20" s="306">
        <f>+IF($H20=I$2,VLOOKUP($G20,Depreciation!$A$14:$L$18,7,FALSE)/2,IF($H20&lt;I$2,VLOOKUP($G20,Depreciation!$A$14:$L$18,7,FALSE),0))</f>
        <v>1.7228380322441735E-2</v>
      </c>
      <c r="J20" s="306">
        <f>+IF($H20=J$2,VLOOKUP($G20,Depreciation!$A$14:$L$18,8,FALSE)/2,IF($H20&lt;J$2,VLOOKUP($G20,Depreciation!$A$14:$L$18,8,FALSE),0))</f>
        <v>3.343407856743718E-2</v>
      </c>
      <c r="K20" s="306">
        <f>+IF($H20=K$2,VLOOKUP($G20,Depreciation!$A$14:$L$18,9,FALSE)/2,IF($H20&lt;K$2,VLOOKUP($G20,Depreciation!$A$14:$L$18,9,FALSE),0))</f>
        <v>3.343407856743718E-2</v>
      </c>
      <c r="L20" s="306">
        <f>+IF($H20=L$2,VLOOKUP($G20,Depreciation!$A$14:$L$18,10,FALSE)/2,IF($H20&lt;L$2,VLOOKUP($G20,Depreciation!$A$14:$L$18,10,FALSE),0))</f>
        <v>3.343407856743718E-2</v>
      </c>
      <c r="M20" s="306">
        <f>+IF($H20=M$2,VLOOKUP($G20,Depreciation!$A$14:$L$18,11,FALSE)/2,IF($H20&lt;M$2,VLOOKUP($G20,Depreciation!$A$14:$L$18,11,FALSE),0))</f>
        <v>3.343407856743718E-2</v>
      </c>
      <c r="N20" s="306">
        <f>+IF($H20=N$2,VLOOKUP($G20,Depreciation!$A$14:$L$18,12,FALSE)/2,IF($H20&lt;N$2,VLOOKUP($G20,Depreciation!$A$14:$L$18,12,FALSE),0))</f>
        <v>3.343407856743718E-2</v>
      </c>
      <c r="O20" s="307">
        <f t="shared" si="1"/>
        <v>585450.68089584413</v>
      </c>
      <c r="P20" s="732">
        <f>'Func Future Subs 2015'!P20</f>
        <v>0</v>
      </c>
      <c r="Q20" s="732">
        <f>'Func Future Subs 2015'!Q20</f>
        <v>0</v>
      </c>
      <c r="R20" s="732">
        <f>'Func Future Subs 2015'!R20</f>
        <v>1</v>
      </c>
      <c r="S20" s="735">
        <f t="shared" si="2"/>
        <v>0</v>
      </c>
      <c r="T20" s="735">
        <f t="shared" si="3"/>
        <v>0</v>
      </c>
      <c r="U20" s="735">
        <f t="shared" si="4"/>
        <v>585450.68089584413</v>
      </c>
      <c r="V20" s="736">
        <f t="shared" si="5"/>
        <v>0</v>
      </c>
      <c r="W20" s="735">
        <f t="shared" si="6"/>
        <v>0</v>
      </c>
      <c r="X20" s="737">
        <f t="shared" si="7"/>
        <v>585450.68089584413</v>
      </c>
      <c r="Y20" s="738">
        <f t="shared" si="8"/>
        <v>0</v>
      </c>
    </row>
    <row r="21" spans="1:25">
      <c r="A21" s="754" t="str">
        <f>'Func Future Subs 2015'!A21</f>
        <v>Mother Moutain 2055S Switching Substation</v>
      </c>
      <c r="B21" s="754">
        <f>'Func Future Subs 2015'!B21</f>
        <v>635</v>
      </c>
      <c r="C21" s="754">
        <f>'Func Future Subs 2015'!C21</f>
        <v>240</v>
      </c>
      <c r="D21" s="754">
        <f>'Func Future Subs 2015'!D21</f>
        <v>240</v>
      </c>
      <c r="E21" s="754" t="str">
        <f>'Func Future Subs 2015'!E21</f>
        <v>2055S</v>
      </c>
      <c r="F21" s="754">
        <f>'Func Future Subs 2015'!F21</f>
        <v>17584069.1948951</v>
      </c>
      <c r="G21" s="754" t="str">
        <f>'Func Future Subs 2015'!G21</f>
        <v>ATCO</v>
      </c>
      <c r="H21" s="754">
        <f>'Func Future Subs 2015'!H21</f>
        <v>2019</v>
      </c>
      <c r="I21" s="306">
        <f>+IF($H21=I$2,VLOOKUP($G21,Depreciation!$A$14:$L$18,7,FALSE)/2,IF($H21&lt;I$2,VLOOKUP($G21,Depreciation!$A$14:$L$18,7,FALSE),0))</f>
        <v>0</v>
      </c>
      <c r="J21" s="306">
        <f>+IF($H21=J$2,VLOOKUP($G21,Depreciation!$A$14:$L$18,8,FALSE)/2,IF($H21&lt;J$2,VLOOKUP($G21,Depreciation!$A$14:$L$18,8,FALSE),0))</f>
        <v>0</v>
      </c>
      <c r="K21" s="306">
        <f>+IF($H21=K$2,VLOOKUP($G21,Depreciation!$A$14:$L$18,9,FALSE)/2,IF($H21&lt;K$2,VLOOKUP($G21,Depreciation!$A$14:$L$18,9,FALSE),0))</f>
        <v>0</v>
      </c>
      <c r="L21" s="306">
        <f>+IF($H21=L$2,VLOOKUP($G21,Depreciation!$A$14:$L$18,10,FALSE)/2,IF($H21&lt;L$2,VLOOKUP($G21,Depreciation!$A$14:$L$18,10,FALSE),0))</f>
        <v>0</v>
      </c>
      <c r="M21" s="306">
        <f>+IF($H21=M$2,VLOOKUP($G21,Depreciation!$A$14:$L$18,11,FALSE)/2,IF($H21&lt;M$2,VLOOKUP($G21,Depreciation!$A$14:$L$18,11,FALSE),0))</f>
        <v>1.2175768213899416E-2</v>
      </c>
      <c r="N21" s="306">
        <f>+IF($H21=N$2,VLOOKUP($G21,Depreciation!$A$14:$L$18,12,FALSE)/2,IF($H21&lt;N$2,VLOOKUP($G21,Depreciation!$A$14:$L$18,12,FALSE),0))</f>
        <v>2.4351536427798831E-2</v>
      </c>
      <c r="O21" s="307">
        <f t="shared" si="1"/>
        <v>16946984.195582315</v>
      </c>
      <c r="P21" s="732">
        <f>'Func Future Subs 2015'!P21</f>
        <v>0</v>
      </c>
      <c r="Q21" s="732">
        <f>'Func Future Subs 2015'!Q21</f>
        <v>0</v>
      </c>
      <c r="R21" s="732">
        <f>'Func Future Subs 2015'!R21</f>
        <v>1</v>
      </c>
      <c r="S21" s="735">
        <f t="shared" si="2"/>
        <v>0</v>
      </c>
      <c r="T21" s="735">
        <f t="shared" si="3"/>
        <v>0</v>
      </c>
      <c r="U21" s="735">
        <f t="shared" si="4"/>
        <v>16946984.195582315</v>
      </c>
      <c r="V21" s="736">
        <f t="shared" si="5"/>
        <v>0</v>
      </c>
      <c r="W21" s="735">
        <f t="shared" si="6"/>
        <v>16946984.195582315</v>
      </c>
      <c r="X21" s="737">
        <f t="shared" si="7"/>
        <v>0</v>
      </c>
      <c r="Y21" s="738">
        <f t="shared" si="8"/>
        <v>0</v>
      </c>
    </row>
    <row r="22" spans="1:25">
      <c r="A22" s="754" t="str">
        <f>'Func Future Subs 2015'!A22</f>
        <v>Coyote Lake 963S version 2</v>
      </c>
      <c r="B22" s="754">
        <f>'Func Future Subs 2015'!B22</f>
        <v>678</v>
      </c>
      <c r="C22" s="754">
        <f>'Func Future Subs 2015'!C22</f>
        <v>240</v>
      </c>
      <c r="D22" s="754">
        <f>'Func Future Subs 2015'!D22</f>
        <v>138</v>
      </c>
      <c r="E22" s="754" t="str">
        <f>'Func Future Subs 2015'!E22</f>
        <v>963S</v>
      </c>
      <c r="F22" s="754">
        <f>'Func Future Subs 2015'!F22</f>
        <v>5823406.5519853365</v>
      </c>
      <c r="G22" s="754" t="str">
        <f>'Func Future Subs 2015'!G22</f>
        <v>ATCO</v>
      </c>
      <c r="H22" s="754">
        <f>'Func Future Subs 2015'!H22</f>
        <v>2018</v>
      </c>
      <c r="I22" s="306">
        <f>+IF($H22=I$2,VLOOKUP($G22,Depreciation!$A$14:$L$18,7,FALSE)/2,IF($H22&lt;I$2,VLOOKUP($G22,Depreciation!$A$14:$L$18,7,FALSE),0))</f>
        <v>0</v>
      </c>
      <c r="J22" s="306">
        <f>+IF($H22=J$2,VLOOKUP($G22,Depreciation!$A$14:$L$18,8,FALSE)/2,IF($H22&lt;J$2,VLOOKUP($G22,Depreciation!$A$14:$L$18,8,FALSE),0))</f>
        <v>0</v>
      </c>
      <c r="K22" s="306">
        <f>+IF($H22=K$2,VLOOKUP($G22,Depreciation!$A$14:$L$18,9,FALSE)/2,IF($H22&lt;K$2,VLOOKUP($G22,Depreciation!$A$14:$L$18,9,FALSE),0))</f>
        <v>0</v>
      </c>
      <c r="L22" s="306">
        <f>+IF($H22=L$2,VLOOKUP($G22,Depreciation!$A$14:$L$18,10,FALSE)/2,IF($H22&lt;L$2,VLOOKUP($G22,Depreciation!$A$14:$L$18,10,FALSE),0))</f>
        <v>1.2175768213899416E-2</v>
      </c>
      <c r="M22" s="306">
        <f>+IF($H22=M$2,VLOOKUP($G22,Depreciation!$A$14:$L$18,11,FALSE)/2,IF($H22&lt;M$2,VLOOKUP($G22,Depreciation!$A$14:$L$18,11,FALSE),0))</f>
        <v>2.4351536427798831E-2</v>
      </c>
      <c r="N22" s="306">
        <f>+IF($H22=N$2,VLOOKUP($G22,Depreciation!$A$14:$L$18,12,FALSE)/2,IF($H22&lt;N$2,VLOOKUP($G22,Depreciation!$A$14:$L$18,12,FALSE),0))</f>
        <v>2.4351536427798831E-2</v>
      </c>
      <c r="O22" s="307">
        <f t="shared" si="1"/>
        <v>5475748.7929072967</v>
      </c>
      <c r="P22" s="732">
        <f>'Func Future Subs 2015'!P22</f>
        <v>0</v>
      </c>
      <c r="Q22" s="732">
        <f>'Func Future Subs 2015'!Q22</f>
        <v>0</v>
      </c>
      <c r="R22" s="732">
        <f>'Func Future Subs 2015'!R22</f>
        <v>1</v>
      </c>
      <c r="S22" s="735">
        <f t="shared" si="2"/>
        <v>0</v>
      </c>
      <c r="T22" s="735">
        <f t="shared" si="3"/>
        <v>0</v>
      </c>
      <c r="U22" s="735">
        <f t="shared" si="4"/>
        <v>5475748.7929072967</v>
      </c>
      <c r="V22" s="736">
        <f t="shared" si="5"/>
        <v>0</v>
      </c>
      <c r="W22" s="735">
        <f t="shared" si="6"/>
        <v>0</v>
      </c>
      <c r="X22" s="737">
        <f t="shared" si="7"/>
        <v>5475748.7929072967</v>
      </c>
      <c r="Y22" s="738">
        <f t="shared" si="8"/>
        <v>0</v>
      </c>
    </row>
    <row r="23" spans="1:25">
      <c r="A23" s="754" t="str">
        <f>'Func Future Subs 2015'!A23</f>
        <v>Cassils 324S_(v1)</v>
      </c>
      <c r="B23" s="754">
        <f>'Func Future Subs 2015'!B23</f>
        <v>693</v>
      </c>
      <c r="C23" s="754">
        <f>'Func Future Subs 2015'!C23</f>
        <v>240</v>
      </c>
      <c r="D23" s="754">
        <f>'Func Future Subs 2015'!D23</f>
        <v>240</v>
      </c>
      <c r="E23" s="754" t="str">
        <f>'Func Future Subs 2015'!E23</f>
        <v>324S</v>
      </c>
      <c r="F23" s="754">
        <f>'Func Future Subs 2015'!F23</f>
        <v>113408.37728544539</v>
      </c>
      <c r="G23" s="754" t="str">
        <f>'Func Future Subs 2015'!G23</f>
        <v>AltaLink</v>
      </c>
      <c r="H23" s="754">
        <f>'Func Future Subs 2015'!H23</f>
        <v>2019</v>
      </c>
      <c r="I23" s="306">
        <f>+IF($H23=I$2,VLOOKUP($G23,Depreciation!$A$14:$L$18,7,FALSE)/2,IF($H23&lt;I$2,VLOOKUP($G23,Depreciation!$A$14:$L$18,7,FALSE),0))</f>
        <v>0</v>
      </c>
      <c r="J23" s="306">
        <f>+IF($H23=J$2,VLOOKUP($G23,Depreciation!$A$14:$L$18,8,FALSE)/2,IF($H23&lt;J$2,VLOOKUP($G23,Depreciation!$A$14:$L$18,8,FALSE),0))</f>
        <v>0</v>
      </c>
      <c r="K23" s="306">
        <f>+IF($H23=K$2,VLOOKUP($G23,Depreciation!$A$14:$L$18,9,FALSE)/2,IF($H23&lt;K$2,VLOOKUP($G23,Depreciation!$A$14:$L$18,9,FALSE),0))</f>
        <v>0</v>
      </c>
      <c r="L23" s="306">
        <f>+IF($H23=L$2,VLOOKUP($G23,Depreciation!$A$14:$L$18,10,FALSE)/2,IF($H23&lt;L$2,VLOOKUP($G23,Depreciation!$A$14:$L$18,10,FALSE),0))</f>
        <v>0</v>
      </c>
      <c r="M23" s="306">
        <f>+IF($H23=M$2,VLOOKUP($G23,Depreciation!$A$14:$L$18,11,FALSE)/2,IF($H23&lt;M$2,VLOOKUP($G23,Depreciation!$A$14:$L$18,11,FALSE),0))</f>
        <v>1.671703928371859E-2</v>
      </c>
      <c r="N23" s="306">
        <f>+IF($H23=N$2,VLOOKUP($G23,Depreciation!$A$14:$L$18,12,FALSE)/2,IF($H23&lt;N$2,VLOOKUP($G23,Depreciation!$A$14:$L$18,12,FALSE),0))</f>
        <v>3.343407856743718E-2</v>
      </c>
      <c r="O23" s="307">
        <f t="shared" si="1"/>
        <v>107784.2064655844</v>
      </c>
      <c r="P23" s="732">
        <f>'Func Future Subs 2015'!P23</f>
        <v>0</v>
      </c>
      <c r="Q23" s="732">
        <f>'Func Future Subs 2015'!Q23</f>
        <v>0</v>
      </c>
      <c r="R23" s="732">
        <f>'Func Future Subs 2015'!R23</f>
        <v>1</v>
      </c>
      <c r="S23" s="735">
        <f t="shared" si="2"/>
        <v>0</v>
      </c>
      <c r="T23" s="735">
        <f t="shared" si="3"/>
        <v>0</v>
      </c>
      <c r="U23" s="735">
        <f t="shared" si="4"/>
        <v>107784.2064655844</v>
      </c>
      <c r="V23" s="736">
        <f t="shared" si="5"/>
        <v>0</v>
      </c>
      <c r="W23" s="735">
        <f t="shared" si="6"/>
        <v>107784.2064655844</v>
      </c>
      <c r="X23" s="737">
        <f t="shared" si="7"/>
        <v>0</v>
      </c>
      <c r="Y23" s="738">
        <f t="shared" si="8"/>
        <v>0</v>
      </c>
    </row>
    <row r="24" spans="1:25">
      <c r="A24" s="754" t="str">
        <f>'Func Future Subs 2015'!A24</f>
        <v>Eagle Buttle 274S_(v1)</v>
      </c>
      <c r="B24" s="754">
        <f>'Func Future Subs 2015'!B24</f>
        <v>693</v>
      </c>
      <c r="C24" s="754">
        <f>'Func Future Subs 2015'!C24</f>
        <v>240</v>
      </c>
      <c r="D24" s="754">
        <f>'Func Future Subs 2015'!D24</f>
        <v>240</v>
      </c>
      <c r="E24" s="754" t="str">
        <f>'Func Future Subs 2015'!E24</f>
        <v>274S</v>
      </c>
      <c r="F24" s="754">
        <f>'Func Future Subs 2015'!F24</f>
        <v>201366.13092386365</v>
      </c>
      <c r="G24" s="754" t="str">
        <f>'Func Future Subs 2015'!G24</f>
        <v>AltaLink</v>
      </c>
      <c r="H24" s="754">
        <f>'Func Future Subs 2015'!H24</f>
        <v>2019</v>
      </c>
      <c r="I24" s="306">
        <f>+IF($H24=I$2,VLOOKUP($G24,Depreciation!$A$14:$L$18,7,FALSE)/2,IF($H24&lt;I$2,VLOOKUP($G24,Depreciation!$A$14:$L$18,7,FALSE),0))</f>
        <v>0</v>
      </c>
      <c r="J24" s="306">
        <f>+IF($H24=J$2,VLOOKUP($G24,Depreciation!$A$14:$L$18,8,FALSE)/2,IF($H24&lt;J$2,VLOOKUP($G24,Depreciation!$A$14:$L$18,8,FALSE),0))</f>
        <v>0</v>
      </c>
      <c r="K24" s="306">
        <f>+IF($H24=K$2,VLOOKUP($G24,Depreciation!$A$14:$L$18,9,FALSE)/2,IF($H24&lt;K$2,VLOOKUP($G24,Depreciation!$A$14:$L$18,9,FALSE),0))</f>
        <v>0</v>
      </c>
      <c r="L24" s="306">
        <f>+IF($H24=L$2,VLOOKUP($G24,Depreciation!$A$14:$L$18,10,FALSE)/2,IF($H24&lt;L$2,VLOOKUP($G24,Depreciation!$A$14:$L$18,10,FALSE),0))</f>
        <v>0</v>
      </c>
      <c r="M24" s="306">
        <f>+IF($H24=M$2,VLOOKUP($G24,Depreciation!$A$14:$L$18,11,FALSE)/2,IF($H24&lt;M$2,VLOOKUP($G24,Depreciation!$A$14:$L$18,11,FALSE),0))</f>
        <v>1.671703928371859E-2</v>
      </c>
      <c r="N24" s="306">
        <f>+IF($H24=N$2,VLOOKUP($G24,Depreciation!$A$14:$L$18,12,FALSE)/2,IF($H24&lt;N$2,VLOOKUP($G24,Depreciation!$A$14:$L$18,12,FALSE),0))</f>
        <v>3.343407856743718E-2</v>
      </c>
      <c r="O24" s="307">
        <f t="shared" si="1"/>
        <v>191379.94167789826</v>
      </c>
      <c r="P24" s="732">
        <f>'Func Future Subs 2015'!P24</f>
        <v>0</v>
      </c>
      <c r="Q24" s="732">
        <f>'Func Future Subs 2015'!Q24</f>
        <v>0</v>
      </c>
      <c r="R24" s="732">
        <f>'Func Future Subs 2015'!R24</f>
        <v>1</v>
      </c>
      <c r="S24" s="735">
        <f t="shared" si="2"/>
        <v>0</v>
      </c>
      <c r="T24" s="735">
        <f t="shared" si="3"/>
        <v>0</v>
      </c>
      <c r="U24" s="735">
        <f t="shared" si="4"/>
        <v>191379.94167789826</v>
      </c>
      <c r="V24" s="736">
        <f t="shared" si="5"/>
        <v>0</v>
      </c>
      <c r="W24" s="735">
        <f t="shared" si="6"/>
        <v>191379.94167789826</v>
      </c>
      <c r="X24" s="737">
        <f t="shared" si="7"/>
        <v>0</v>
      </c>
      <c r="Y24" s="738">
        <f t="shared" si="8"/>
        <v>0</v>
      </c>
    </row>
    <row r="25" spans="1:25">
      <c r="A25" s="754" t="str">
        <f>'Func Future Subs 2015'!A25</f>
        <v>Elkwater 264S_(v1)</v>
      </c>
      <c r="B25" s="754">
        <f>'Func Future Subs 2015'!B25</f>
        <v>693</v>
      </c>
      <c r="C25" s="754">
        <f>'Func Future Subs 2015'!C25</f>
        <v>240</v>
      </c>
      <c r="D25" s="754">
        <f>'Func Future Subs 2015'!D25</f>
        <v>240</v>
      </c>
      <c r="E25" s="754" t="str">
        <f>'Func Future Subs 2015'!E25</f>
        <v>264S</v>
      </c>
      <c r="F25" s="754">
        <f>'Func Future Subs 2015'!F25</f>
        <v>15828490.515206028</v>
      </c>
      <c r="G25" s="754" t="str">
        <f>'Func Future Subs 2015'!G25</f>
        <v>AltaLink</v>
      </c>
      <c r="H25" s="754">
        <f>'Func Future Subs 2015'!H25</f>
        <v>2019</v>
      </c>
      <c r="I25" s="306">
        <f>+IF($H25=I$2,VLOOKUP($G25,Depreciation!$A$14:$L$18,7,FALSE)/2,IF($H25&lt;I$2,VLOOKUP($G25,Depreciation!$A$14:$L$18,7,FALSE),0))</f>
        <v>0</v>
      </c>
      <c r="J25" s="306">
        <f>+IF($H25=J$2,VLOOKUP($G25,Depreciation!$A$14:$L$18,8,FALSE)/2,IF($H25&lt;J$2,VLOOKUP($G25,Depreciation!$A$14:$L$18,8,FALSE),0))</f>
        <v>0</v>
      </c>
      <c r="K25" s="306">
        <f>+IF($H25=K$2,VLOOKUP($G25,Depreciation!$A$14:$L$18,9,FALSE)/2,IF($H25&lt;K$2,VLOOKUP($G25,Depreciation!$A$14:$L$18,9,FALSE),0))</f>
        <v>0</v>
      </c>
      <c r="L25" s="306">
        <f>+IF($H25=L$2,VLOOKUP($G25,Depreciation!$A$14:$L$18,10,FALSE)/2,IF($H25&lt;L$2,VLOOKUP($G25,Depreciation!$A$14:$L$18,10,FALSE),0))</f>
        <v>0</v>
      </c>
      <c r="M25" s="306">
        <f>+IF($H25=M$2,VLOOKUP($G25,Depreciation!$A$14:$L$18,11,FALSE)/2,IF($H25&lt;M$2,VLOOKUP($G25,Depreciation!$A$14:$L$18,11,FALSE),0))</f>
        <v>1.671703928371859E-2</v>
      </c>
      <c r="N25" s="306">
        <f>+IF($H25=N$2,VLOOKUP($G25,Depreciation!$A$14:$L$18,12,FALSE)/2,IF($H25&lt;N$2,VLOOKUP($G25,Depreciation!$A$14:$L$18,12,FALSE),0))</f>
        <v>3.343407856743718E-2</v>
      </c>
      <c r="O25" s="307">
        <f t="shared" si="1"/>
        <v>15043520.862972999</v>
      </c>
      <c r="P25" s="732">
        <f>'Func Future Subs 2015'!P25</f>
        <v>0</v>
      </c>
      <c r="Q25" s="732">
        <f>'Func Future Subs 2015'!Q25</f>
        <v>0</v>
      </c>
      <c r="R25" s="732">
        <f>'Func Future Subs 2015'!R25</f>
        <v>1</v>
      </c>
      <c r="S25" s="735">
        <f t="shared" si="2"/>
        <v>0</v>
      </c>
      <c r="T25" s="735">
        <f t="shared" si="3"/>
        <v>0</v>
      </c>
      <c r="U25" s="735">
        <f t="shared" si="4"/>
        <v>15043520.862972999</v>
      </c>
      <c r="V25" s="736">
        <f t="shared" si="5"/>
        <v>0</v>
      </c>
      <c r="W25" s="735">
        <f t="shared" si="6"/>
        <v>15043520.862972999</v>
      </c>
      <c r="X25" s="737">
        <f t="shared" si="7"/>
        <v>0</v>
      </c>
      <c r="Y25" s="738">
        <f t="shared" si="8"/>
        <v>0</v>
      </c>
    </row>
    <row r="26" spans="1:25">
      <c r="A26" s="754" t="str">
        <f>'Func Future Subs 2015'!A26</f>
        <v>Whitla 251S_(v1)</v>
      </c>
      <c r="B26" s="754">
        <f>'Func Future Subs 2015'!B26</f>
        <v>693</v>
      </c>
      <c r="C26" s="754">
        <f>'Func Future Subs 2015'!C26</f>
        <v>240</v>
      </c>
      <c r="D26" s="754">
        <f>'Func Future Subs 2015'!D26</f>
        <v>240</v>
      </c>
      <c r="E26" s="754" t="str">
        <f>'Func Future Subs 2015'!E26</f>
        <v>251S</v>
      </c>
      <c r="F26" s="754">
        <f>'Func Future Subs 2015'!F26</f>
        <v>169902.62110316977</v>
      </c>
      <c r="G26" s="754" t="str">
        <f>'Func Future Subs 2015'!G26</f>
        <v>AltaLink</v>
      </c>
      <c r="H26" s="754">
        <f>'Func Future Subs 2015'!H26</f>
        <v>2019</v>
      </c>
      <c r="I26" s="306">
        <f>+IF($H26=I$2,VLOOKUP($G26,Depreciation!$A$14:$L$18,7,FALSE)/2,IF($H26&lt;I$2,VLOOKUP($G26,Depreciation!$A$14:$L$18,7,FALSE),0))</f>
        <v>0</v>
      </c>
      <c r="J26" s="306">
        <f>+IF($H26=J$2,VLOOKUP($G26,Depreciation!$A$14:$L$18,8,FALSE)/2,IF($H26&lt;J$2,VLOOKUP($G26,Depreciation!$A$14:$L$18,8,FALSE),0))</f>
        <v>0</v>
      </c>
      <c r="K26" s="306">
        <f>+IF($H26=K$2,VLOOKUP($G26,Depreciation!$A$14:$L$18,9,FALSE)/2,IF($H26&lt;K$2,VLOOKUP($G26,Depreciation!$A$14:$L$18,9,FALSE),0))</f>
        <v>0</v>
      </c>
      <c r="L26" s="306">
        <f>+IF($H26=L$2,VLOOKUP($G26,Depreciation!$A$14:$L$18,10,FALSE)/2,IF($H26&lt;L$2,VLOOKUP($G26,Depreciation!$A$14:$L$18,10,FALSE),0))</f>
        <v>0</v>
      </c>
      <c r="M26" s="306">
        <f>+IF($H26=M$2,VLOOKUP($G26,Depreciation!$A$14:$L$18,11,FALSE)/2,IF($H26&lt;M$2,VLOOKUP($G26,Depreciation!$A$14:$L$18,11,FALSE),0))</f>
        <v>1.671703928371859E-2</v>
      </c>
      <c r="N26" s="306">
        <f>+IF($H26=N$2,VLOOKUP($G26,Depreciation!$A$14:$L$18,12,FALSE)/2,IF($H26&lt;N$2,VLOOKUP($G26,Depreciation!$A$14:$L$18,12,FALSE),0))</f>
        <v>3.343407856743718E-2</v>
      </c>
      <c r="O26" s="307">
        <f t="shared" si="1"/>
        <v>161476.77649892835</v>
      </c>
      <c r="P26" s="732">
        <f>'Func Future Subs 2015'!P26</f>
        <v>0</v>
      </c>
      <c r="Q26" s="732">
        <f>'Func Future Subs 2015'!Q26</f>
        <v>0</v>
      </c>
      <c r="R26" s="732">
        <f>'Func Future Subs 2015'!R26</f>
        <v>1</v>
      </c>
      <c r="S26" s="735">
        <f t="shared" si="2"/>
        <v>0</v>
      </c>
      <c r="T26" s="735">
        <f t="shared" si="3"/>
        <v>0</v>
      </c>
      <c r="U26" s="735">
        <f t="shared" si="4"/>
        <v>161476.77649892835</v>
      </c>
      <c r="V26" s="736">
        <f t="shared" si="5"/>
        <v>0</v>
      </c>
      <c r="W26" s="735">
        <f t="shared" si="6"/>
        <v>161476.77649892835</v>
      </c>
      <c r="X26" s="737">
        <f t="shared" si="7"/>
        <v>0</v>
      </c>
      <c r="Y26" s="738">
        <f t="shared" si="8"/>
        <v>0</v>
      </c>
    </row>
    <row r="27" spans="1:25">
      <c r="A27" s="754" t="str">
        <f>'Func Future Subs 2015'!A27</f>
        <v>East Calgary 5S</v>
      </c>
      <c r="B27" s="754">
        <f>'Func Future Subs 2015'!B27</f>
        <v>719</v>
      </c>
      <c r="C27" s="754">
        <f>'Func Future Subs 2015'!C27</f>
        <v>240</v>
      </c>
      <c r="D27" s="754">
        <f>'Func Future Subs 2015'!D27</f>
        <v>240</v>
      </c>
      <c r="E27" s="754" t="str">
        <f>'Func Future Subs 2015'!E27</f>
        <v>5S</v>
      </c>
      <c r="F27" s="754">
        <f>'Func Future Subs 2015'!F27</f>
        <v>33632105.5811226</v>
      </c>
      <c r="G27" s="754" t="str">
        <f>'Func Future Subs 2015'!G27</f>
        <v>AltaLink</v>
      </c>
      <c r="H27" s="754">
        <f>'Func Future Subs 2015'!H27</f>
        <v>2015</v>
      </c>
      <c r="I27" s="306">
        <f>+IF($H27=I$2,VLOOKUP($G27,Depreciation!$A$14:$L$18,7,FALSE)/2,IF($H27&lt;I$2,VLOOKUP($G27,Depreciation!$A$14:$L$18,7,FALSE),0))</f>
        <v>1.7228380322441735E-2</v>
      </c>
      <c r="J27" s="306">
        <f>+IF($H27=J$2,VLOOKUP($G27,Depreciation!$A$14:$L$18,8,FALSE)/2,IF($H27&lt;J$2,VLOOKUP($G27,Depreciation!$A$14:$L$18,8,FALSE),0))</f>
        <v>3.343407856743718E-2</v>
      </c>
      <c r="K27" s="306">
        <f>+IF($H27=K$2,VLOOKUP($G27,Depreciation!$A$14:$L$18,9,FALSE)/2,IF($H27&lt;K$2,VLOOKUP($G27,Depreciation!$A$14:$L$18,9,FALSE),0))</f>
        <v>3.343407856743718E-2</v>
      </c>
      <c r="L27" s="306">
        <f>+IF($H27=L$2,VLOOKUP($G27,Depreciation!$A$14:$L$18,10,FALSE)/2,IF($H27&lt;L$2,VLOOKUP($G27,Depreciation!$A$14:$L$18,10,FALSE),0))</f>
        <v>3.343407856743718E-2</v>
      </c>
      <c r="M27" s="306">
        <f>+IF($H27=M$2,VLOOKUP($G27,Depreciation!$A$14:$L$18,11,FALSE)/2,IF($H27&lt;M$2,VLOOKUP($G27,Depreciation!$A$14:$L$18,11,FALSE),0))</f>
        <v>3.343407856743718E-2</v>
      </c>
      <c r="N27" s="306">
        <f>+IF($H27=N$2,VLOOKUP($G27,Depreciation!$A$14:$L$18,12,FALSE)/2,IF($H27&lt;N$2,VLOOKUP($G27,Depreciation!$A$14:$L$18,12,FALSE),0))</f>
        <v>3.343407856743718E-2</v>
      </c>
      <c r="O27" s="307">
        <f t="shared" si="1"/>
        <v>27884576.899133101</v>
      </c>
      <c r="P27" s="732">
        <f>'Func Future Subs 2015'!P27</f>
        <v>0</v>
      </c>
      <c r="Q27" s="732">
        <f>'Func Future Subs 2015'!Q27</f>
        <v>0</v>
      </c>
      <c r="R27" s="732">
        <f>'Func Future Subs 2015'!R27</f>
        <v>1</v>
      </c>
      <c r="S27" s="735">
        <f t="shared" si="2"/>
        <v>0</v>
      </c>
      <c r="T27" s="735">
        <f t="shared" si="3"/>
        <v>0</v>
      </c>
      <c r="U27" s="735">
        <f t="shared" si="4"/>
        <v>27884576.899133101</v>
      </c>
      <c r="V27" s="736">
        <f t="shared" si="5"/>
        <v>0</v>
      </c>
      <c r="W27" s="735">
        <f t="shared" si="6"/>
        <v>27884576.899133101</v>
      </c>
      <c r="X27" s="737">
        <f t="shared" si="7"/>
        <v>0</v>
      </c>
      <c r="Y27" s="738">
        <f t="shared" si="8"/>
        <v>0</v>
      </c>
    </row>
    <row r="28" spans="1:25">
      <c r="A28" s="754" t="str">
        <f>'Func Future Subs 2015'!A28</f>
        <v>Enmax No. 2</v>
      </c>
      <c r="B28" s="754">
        <f>'Func Future Subs 2015'!B28</f>
        <v>719</v>
      </c>
      <c r="C28" s="754">
        <f>'Func Future Subs 2015'!C28</f>
        <v>138</v>
      </c>
      <c r="D28" s="754">
        <f>'Func Future Subs 2015'!D28</f>
        <v>25</v>
      </c>
      <c r="E28" s="754" t="str">
        <f>'Func Future Subs 2015'!E28</f>
        <v>SS-2</v>
      </c>
      <c r="F28" s="754">
        <f>'Func Future Subs 2015'!F28</f>
        <v>37801368.20335371</v>
      </c>
      <c r="G28" s="754" t="str">
        <f>'Func Future Subs 2015'!G28</f>
        <v>ENMAX</v>
      </c>
      <c r="H28" s="754">
        <f>'Func Future Subs 2015'!H28</f>
        <v>2015</v>
      </c>
      <c r="I28" s="306">
        <f>+IF($H28=I$2,VLOOKUP($G28,Depreciation!$A$14:$L$18,7,FALSE)/2,IF($H28&lt;I$2,VLOOKUP($G28,Depreciation!$A$14:$L$18,7,FALSE),0))</f>
        <v>1.3928409269726289E-2</v>
      </c>
      <c r="J28" s="306">
        <f>+IF($H28=J$2,VLOOKUP($G28,Depreciation!$A$14:$L$18,8,FALSE)/2,IF($H28&lt;J$2,VLOOKUP($G28,Depreciation!$A$14:$L$18,8,FALSE),0))</f>
        <v>2.7856818539452578E-2</v>
      </c>
      <c r="K28" s="306">
        <f>+IF($H28=K$2,VLOOKUP($G28,Depreciation!$A$14:$L$18,9,FALSE)/2,IF($H28&lt;K$2,VLOOKUP($G28,Depreciation!$A$14:$L$18,9,FALSE),0))</f>
        <v>2.7856818539452578E-2</v>
      </c>
      <c r="L28" s="306">
        <f>+IF($H28=L$2,VLOOKUP($G28,Depreciation!$A$14:$L$18,10,FALSE)/2,IF($H28&lt;L$2,VLOOKUP($G28,Depreciation!$A$14:$L$18,10,FALSE),0))</f>
        <v>2.7856818539452578E-2</v>
      </c>
      <c r="M28" s="306">
        <f>+IF($H28=M$2,VLOOKUP($G28,Depreciation!$A$14:$L$18,11,FALSE)/2,IF($H28&lt;M$2,VLOOKUP($G28,Depreciation!$A$14:$L$18,11,FALSE),0))</f>
        <v>2.7856818539452578E-2</v>
      </c>
      <c r="N28" s="306">
        <f>+IF($H28=N$2,VLOOKUP($G28,Depreciation!$A$14:$L$18,12,FALSE)/2,IF($H28&lt;N$2,VLOOKUP($G28,Depreciation!$A$14:$L$18,12,FALSE),0))</f>
        <v>2.7856818539452578E-2</v>
      </c>
      <c r="O28" s="307">
        <f t="shared" si="1"/>
        <v>32364368.543687657</v>
      </c>
      <c r="P28" s="732">
        <f>'Func Future Subs 2015'!P28</f>
        <v>0</v>
      </c>
      <c r="Q28" s="732">
        <f>'Func Future Subs 2015'!Q28</f>
        <v>1</v>
      </c>
      <c r="R28" s="732">
        <f>'Func Future Subs 2015'!R28</f>
        <v>0</v>
      </c>
      <c r="S28" s="735">
        <f t="shared" si="2"/>
        <v>0</v>
      </c>
      <c r="T28" s="735">
        <f t="shared" si="3"/>
        <v>32364368.543687657</v>
      </c>
      <c r="U28" s="735">
        <f t="shared" si="4"/>
        <v>0</v>
      </c>
      <c r="V28" s="736">
        <f t="shared" si="5"/>
        <v>0</v>
      </c>
      <c r="W28" s="735">
        <f t="shared" si="6"/>
        <v>0</v>
      </c>
      <c r="X28" s="737">
        <f t="shared" si="7"/>
        <v>0</v>
      </c>
      <c r="Y28" s="738">
        <f t="shared" si="8"/>
        <v>32364368.543687657</v>
      </c>
    </row>
    <row r="29" spans="1:25">
      <c r="A29" s="754" t="str">
        <f>'Func Future Subs 2015'!A29</f>
        <v>Enmax No. 23</v>
      </c>
      <c r="B29" s="754">
        <f>'Func Future Subs 2015'!B29</f>
        <v>719</v>
      </c>
      <c r="C29" s="754">
        <f>'Func Future Subs 2015'!C29</f>
        <v>138</v>
      </c>
      <c r="D29" s="754">
        <f>'Func Future Subs 2015'!D29</f>
        <v>25</v>
      </c>
      <c r="E29" s="754" t="str">
        <f>'Func Future Subs 2015'!E29</f>
        <v>SS-23</v>
      </c>
      <c r="F29" s="754">
        <f>'Func Future Subs 2015'!F29</f>
        <v>822893.43442026142</v>
      </c>
      <c r="G29" s="754" t="str">
        <f>'Func Future Subs 2015'!G29</f>
        <v>ENMAX</v>
      </c>
      <c r="H29" s="754">
        <f>'Func Future Subs 2015'!H29</f>
        <v>2015</v>
      </c>
      <c r="I29" s="306">
        <f>+IF($H29=I$2,VLOOKUP($G29,Depreciation!$A$14:$L$18,7,FALSE)/2,IF($H29&lt;I$2,VLOOKUP($G29,Depreciation!$A$14:$L$18,7,FALSE),0))</f>
        <v>1.3928409269726289E-2</v>
      </c>
      <c r="J29" s="306">
        <f>+IF($H29=J$2,VLOOKUP($G29,Depreciation!$A$14:$L$18,8,FALSE)/2,IF($H29&lt;J$2,VLOOKUP($G29,Depreciation!$A$14:$L$18,8,FALSE),0))</f>
        <v>2.7856818539452578E-2</v>
      </c>
      <c r="K29" s="306">
        <f>+IF($H29=K$2,VLOOKUP($G29,Depreciation!$A$14:$L$18,9,FALSE)/2,IF($H29&lt;K$2,VLOOKUP($G29,Depreciation!$A$14:$L$18,9,FALSE),0))</f>
        <v>2.7856818539452578E-2</v>
      </c>
      <c r="L29" s="306">
        <f>+IF($H29=L$2,VLOOKUP($G29,Depreciation!$A$14:$L$18,10,FALSE)/2,IF($H29&lt;L$2,VLOOKUP($G29,Depreciation!$A$14:$L$18,10,FALSE),0))</f>
        <v>2.7856818539452578E-2</v>
      </c>
      <c r="M29" s="306">
        <f>+IF($H29=M$2,VLOOKUP($G29,Depreciation!$A$14:$L$18,11,FALSE)/2,IF($H29&lt;M$2,VLOOKUP($G29,Depreciation!$A$14:$L$18,11,FALSE),0))</f>
        <v>2.7856818539452578E-2</v>
      </c>
      <c r="N29" s="306">
        <f>+IF($H29=N$2,VLOOKUP($G29,Depreciation!$A$14:$L$18,12,FALSE)/2,IF($H29&lt;N$2,VLOOKUP($G29,Depreciation!$A$14:$L$18,12,FALSE),0))</f>
        <v>2.7856818539452578E-2</v>
      </c>
      <c r="O29" s="307">
        <f t="shared" si="1"/>
        <v>704536.04325875686</v>
      </c>
      <c r="P29" s="732">
        <f>'Func Future Subs 2015'!P29</f>
        <v>0</v>
      </c>
      <c r="Q29" s="732">
        <f>'Func Future Subs 2015'!Q29</f>
        <v>1</v>
      </c>
      <c r="R29" s="732">
        <f>'Func Future Subs 2015'!R29</f>
        <v>0</v>
      </c>
      <c r="S29" s="735">
        <f t="shared" si="2"/>
        <v>0</v>
      </c>
      <c r="T29" s="735">
        <f t="shared" si="3"/>
        <v>704536.04325875686</v>
      </c>
      <c r="U29" s="735">
        <f t="shared" si="4"/>
        <v>0</v>
      </c>
      <c r="V29" s="736">
        <f t="shared" si="5"/>
        <v>0</v>
      </c>
      <c r="W29" s="735">
        <f t="shared" si="6"/>
        <v>0</v>
      </c>
      <c r="X29" s="737">
        <f t="shared" si="7"/>
        <v>0</v>
      </c>
      <c r="Y29" s="738">
        <f t="shared" si="8"/>
        <v>704536.04325875686</v>
      </c>
    </row>
    <row r="30" spans="1:25">
      <c r="A30" s="754" t="str">
        <f>'Func Future Subs 2015'!A30</f>
        <v>Enmax No. 25</v>
      </c>
      <c r="B30" s="754">
        <f>'Func Future Subs 2015'!B30</f>
        <v>719</v>
      </c>
      <c r="C30" s="754">
        <f>'Func Future Subs 2015'!C30</f>
        <v>240</v>
      </c>
      <c r="D30" s="754">
        <f>'Func Future Subs 2015'!D30</f>
        <v>25</v>
      </c>
      <c r="E30" s="754" t="str">
        <f>'Func Future Subs 2015'!E30</f>
        <v>SS-25</v>
      </c>
      <c r="F30" s="754">
        <f>'Func Future Subs 2015'!F30</f>
        <v>17323675</v>
      </c>
      <c r="G30" s="754" t="str">
        <f>'Func Future Subs 2015'!G30</f>
        <v>ENMAX</v>
      </c>
      <c r="H30" s="754">
        <f>'Func Future Subs 2015'!H30</f>
        <v>2015</v>
      </c>
      <c r="I30" s="306">
        <f>+IF($H30=I$2,VLOOKUP($G30,Depreciation!$A$14:$L$18,7,FALSE)/2,IF($H30&lt;I$2,VLOOKUP($G30,Depreciation!$A$14:$L$18,7,FALSE),0))</f>
        <v>1.3928409269726289E-2</v>
      </c>
      <c r="J30" s="306">
        <f>+IF($H30=J$2,VLOOKUP($G30,Depreciation!$A$14:$L$18,8,FALSE)/2,IF($H30&lt;J$2,VLOOKUP($G30,Depreciation!$A$14:$L$18,8,FALSE),0))</f>
        <v>2.7856818539452578E-2</v>
      </c>
      <c r="K30" s="306">
        <f>+IF($H30=K$2,VLOOKUP($G30,Depreciation!$A$14:$L$18,9,FALSE)/2,IF($H30&lt;K$2,VLOOKUP($G30,Depreciation!$A$14:$L$18,9,FALSE),0))</f>
        <v>2.7856818539452578E-2</v>
      </c>
      <c r="L30" s="306">
        <f>+IF($H30=L$2,VLOOKUP($G30,Depreciation!$A$14:$L$18,10,FALSE)/2,IF($H30&lt;L$2,VLOOKUP($G30,Depreciation!$A$14:$L$18,10,FALSE),0))</f>
        <v>2.7856818539452578E-2</v>
      </c>
      <c r="M30" s="306">
        <f>+IF($H30=M$2,VLOOKUP($G30,Depreciation!$A$14:$L$18,11,FALSE)/2,IF($H30&lt;M$2,VLOOKUP($G30,Depreciation!$A$14:$L$18,11,FALSE),0))</f>
        <v>2.7856818539452578E-2</v>
      </c>
      <c r="N30" s="306">
        <f>+IF($H30=N$2,VLOOKUP($G30,Depreciation!$A$14:$L$18,12,FALSE)/2,IF($H30&lt;N$2,VLOOKUP($G30,Depreciation!$A$14:$L$18,12,FALSE),0))</f>
        <v>2.7856818539452578E-2</v>
      </c>
      <c r="O30" s="307">
        <f t="shared" si="1"/>
        <v>14831997.59370948</v>
      </c>
      <c r="P30" s="732">
        <f>'Func Future Subs 2015'!P30</f>
        <v>0.9759174311926605</v>
      </c>
      <c r="Q30" s="732">
        <f>'Func Future Subs 2015'!Q30</f>
        <v>2.4082568807339451E-2</v>
      </c>
      <c r="R30" s="732">
        <f>'Func Future Subs 2015'!R30</f>
        <v>4.8572257327350599E-17</v>
      </c>
      <c r="S30" s="735">
        <f t="shared" si="2"/>
        <v>14474804.991108678</v>
      </c>
      <c r="T30" s="735">
        <f t="shared" si="3"/>
        <v>357192.60260080174</v>
      </c>
      <c r="U30" s="735">
        <f t="shared" si="4"/>
        <v>7.2042360380030171E-10</v>
      </c>
      <c r="V30" s="736">
        <f t="shared" si="5"/>
        <v>0</v>
      </c>
      <c r="W30" s="735">
        <f t="shared" si="6"/>
        <v>14474804.991108678</v>
      </c>
      <c r="X30" s="737">
        <f t="shared" si="7"/>
        <v>0</v>
      </c>
      <c r="Y30" s="738">
        <f t="shared" si="8"/>
        <v>357192.60260080243</v>
      </c>
    </row>
    <row r="31" spans="1:25">
      <c r="A31" s="754" t="str">
        <f>'Func Future Subs 2015'!A31</f>
        <v>Janet 74S</v>
      </c>
      <c r="B31" s="754">
        <f>'Func Future Subs 2015'!B31</f>
        <v>719</v>
      </c>
      <c r="C31" s="754">
        <f>'Func Future Subs 2015'!C31</f>
        <v>240</v>
      </c>
      <c r="D31" s="754">
        <f>'Func Future Subs 2015'!D31</f>
        <v>138</v>
      </c>
      <c r="E31" s="754" t="str">
        <f>'Func Future Subs 2015'!E31</f>
        <v>74S</v>
      </c>
      <c r="F31" s="754">
        <f>'Func Future Subs 2015'!F31</f>
        <v>1242846.8878267198</v>
      </c>
      <c r="G31" s="754" t="str">
        <f>'Func Future Subs 2015'!G31</f>
        <v>AltaLink</v>
      </c>
      <c r="H31" s="754">
        <f>'Func Future Subs 2015'!H31</f>
        <v>2015</v>
      </c>
      <c r="I31" s="306">
        <f>+IF($H31=I$2,VLOOKUP($G31,Depreciation!$A$14:$L$18,7,FALSE)/2,IF($H31&lt;I$2,VLOOKUP($G31,Depreciation!$A$14:$L$18,7,FALSE),0))</f>
        <v>1.7228380322441735E-2</v>
      </c>
      <c r="J31" s="306">
        <f>+IF($H31=J$2,VLOOKUP($G31,Depreciation!$A$14:$L$18,8,FALSE)/2,IF($H31&lt;J$2,VLOOKUP($G31,Depreciation!$A$14:$L$18,8,FALSE),0))</f>
        <v>3.343407856743718E-2</v>
      </c>
      <c r="K31" s="306">
        <f>+IF($H31=K$2,VLOOKUP($G31,Depreciation!$A$14:$L$18,9,FALSE)/2,IF($H31&lt;K$2,VLOOKUP($G31,Depreciation!$A$14:$L$18,9,FALSE),0))</f>
        <v>3.343407856743718E-2</v>
      </c>
      <c r="L31" s="306">
        <f>+IF($H31=L$2,VLOOKUP($G31,Depreciation!$A$14:$L$18,10,FALSE)/2,IF($H31&lt;L$2,VLOOKUP($G31,Depreciation!$A$14:$L$18,10,FALSE),0))</f>
        <v>3.343407856743718E-2</v>
      </c>
      <c r="M31" s="306">
        <f>+IF($H31=M$2,VLOOKUP($G31,Depreciation!$A$14:$L$18,11,FALSE)/2,IF($H31&lt;M$2,VLOOKUP($G31,Depreciation!$A$14:$L$18,11,FALSE),0))</f>
        <v>3.343407856743718E-2</v>
      </c>
      <c r="N31" s="306">
        <f>+IF($H31=N$2,VLOOKUP($G31,Depreciation!$A$14:$L$18,12,FALSE)/2,IF($H31&lt;N$2,VLOOKUP($G31,Depreciation!$A$14:$L$18,12,FALSE),0))</f>
        <v>3.343407856743718E-2</v>
      </c>
      <c r="O31" s="307">
        <f t="shared" si="1"/>
        <v>1030451.6776048859</v>
      </c>
      <c r="P31" s="732">
        <f>'Func Future Subs 2015'!P31</f>
        <v>0</v>
      </c>
      <c r="Q31" s="732">
        <f>'Func Future Subs 2015'!Q31</f>
        <v>0</v>
      </c>
      <c r="R31" s="732">
        <f>'Func Future Subs 2015'!R31</f>
        <v>1</v>
      </c>
      <c r="S31" s="735">
        <f t="shared" si="2"/>
        <v>0</v>
      </c>
      <c r="T31" s="735">
        <f t="shared" si="3"/>
        <v>0</v>
      </c>
      <c r="U31" s="735">
        <f t="shared" si="4"/>
        <v>1030451.6776048859</v>
      </c>
      <c r="V31" s="736">
        <f t="shared" si="5"/>
        <v>0</v>
      </c>
      <c r="W31" s="735">
        <f t="shared" si="6"/>
        <v>0</v>
      </c>
      <c r="X31" s="737">
        <f t="shared" si="7"/>
        <v>1030451.6776048859</v>
      </c>
      <c r="Y31" s="738">
        <f t="shared" si="8"/>
        <v>0</v>
      </c>
    </row>
    <row r="32" spans="1:25">
      <c r="A32" s="754" t="str">
        <f>'Func Future Subs 2015'!A32</f>
        <v>Langdon 102S substation</v>
      </c>
      <c r="B32" s="754">
        <f>'Func Future Subs 2015'!B32</f>
        <v>719</v>
      </c>
      <c r="C32" s="754">
        <f>'Func Future Subs 2015'!C32</f>
        <v>240</v>
      </c>
      <c r="D32" s="754">
        <f>'Func Future Subs 2015'!D32</f>
        <v>240</v>
      </c>
      <c r="E32" s="754" t="str">
        <f>'Func Future Subs 2015'!E32</f>
        <v>102S</v>
      </c>
      <c r="F32" s="754">
        <f>'Func Future Subs 2015'!F32</f>
        <v>11146.608859432465</v>
      </c>
      <c r="G32" s="754" t="str">
        <f>'Func Future Subs 2015'!G32</f>
        <v>AltaLink</v>
      </c>
      <c r="H32" s="754">
        <f>'Func Future Subs 2015'!H32</f>
        <v>2015</v>
      </c>
      <c r="I32" s="306">
        <f>+IF($H32=I$2,VLOOKUP($G32,Depreciation!$A$14:$L$18,7,FALSE)/2,IF($H32&lt;I$2,VLOOKUP($G32,Depreciation!$A$14:$L$18,7,FALSE),0))</f>
        <v>1.7228380322441735E-2</v>
      </c>
      <c r="J32" s="306">
        <f>+IF($H32=J$2,VLOOKUP($G32,Depreciation!$A$14:$L$18,8,FALSE)/2,IF($H32&lt;J$2,VLOOKUP($G32,Depreciation!$A$14:$L$18,8,FALSE),0))</f>
        <v>3.343407856743718E-2</v>
      </c>
      <c r="K32" s="306">
        <f>+IF($H32=K$2,VLOOKUP($G32,Depreciation!$A$14:$L$18,9,FALSE)/2,IF($H32&lt;K$2,VLOOKUP($G32,Depreciation!$A$14:$L$18,9,FALSE),0))</f>
        <v>3.343407856743718E-2</v>
      </c>
      <c r="L32" s="306">
        <f>+IF($H32=L$2,VLOOKUP($G32,Depreciation!$A$14:$L$18,10,FALSE)/2,IF($H32&lt;L$2,VLOOKUP($G32,Depreciation!$A$14:$L$18,10,FALSE),0))</f>
        <v>3.343407856743718E-2</v>
      </c>
      <c r="M32" s="306">
        <f>+IF($H32=M$2,VLOOKUP($G32,Depreciation!$A$14:$L$18,11,FALSE)/2,IF($H32&lt;M$2,VLOOKUP($G32,Depreciation!$A$14:$L$18,11,FALSE),0))</f>
        <v>3.343407856743718E-2</v>
      </c>
      <c r="N32" s="306">
        <f>+IF($H32=N$2,VLOOKUP($G32,Depreciation!$A$14:$L$18,12,FALSE)/2,IF($H32&lt;N$2,VLOOKUP($G32,Depreciation!$A$14:$L$18,12,FALSE),0))</f>
        <v>3.343407856743718E-2</v>
      </c>
      <c r="O32" s="307">
        <f t="shared" si="1"/>
        <v>9241.7190816581679</v>
      </c>
      <c r="P32" s="732">
        <f>'Func Future Subs 2015'!P32</f>
        <v>0</v>
      </c>
      <c r="Q32" s="732">
        <f>'Func Future Subs 2015'!Q32</f>
        <v>0</v>
      </c>
      <c r="R32" s="732">
        <f>'Func Future Subs 2015'!R32</f>
        <v>1</v>
      </c>
      <c r="S32" s="735">
        <f t="shared" si="2"/>
        <v>0</v>
      </c>
      <c r="T32" s="735">
        <f t="shared" si="3"/>
        <v>0</v>
      </c>
      <c r="U32" s="735">
        <f t="shared" si="4"/>
        <v>9241.7190816581679</v>
      </c>
      <c r="V32" s="736">
        <f t="shared" si="5"/>
        <v>0</v>
      </c>
      <c r="W32" s="735">
        <f t="shared" si="6"/>
        <v>9241.7190816581679</v>
      </c>
      <c r="X32" s="737">
        <f t="shared" si="7"/>
        <v>0</v>
      </c>
      <c r="Y32" s="738">
        <f t="shared" si="8"/>
        <v>0</v>
      </c>
    </row>
    <row r="33" spans="1:25">
      <c r="A33" s="754" t="str">
        <f>'Func Future Subs 2015'!A33</f>
        <v>Peigan 59S substation</v>
      </c>
      <c r="B33" s="754">
        <f>'Func Future Subs 2015'!B33</f>
        <v>719</v>
      </c>
      <c r="C33" s="754">
        <f>'Func Future Subs 2015'!C33</f>
        <v>240</v>
      </c>
      <c r="D33" s="754">
        <f>'Func Future Subs 2015'!D33</f>
        <v>138</v>
      </c>
      <c r="E33" s="754" t="str">
        <f>'Func Future Subs 2015'!E33</f>
        <v>59S</v>
      </c>
      <c r="F33" s="754">
        <f>'Func Future Subs 2015'!F33</f>
        <v>13933.26107429058</v>
      </c>
      <c r="G33" s="754" t="str">
        <f>'Func Future Subs 2015'!G33</f>
        <v>AltaLink</v>
      </c>
      <c r="H33" s="754">
        <f>'Func Future Subs 2015'!H33</f>
        <v>2015</v>
      </c>
      <c r="I33" s="306">
        <f>+IF($H33=I$2,VLOOKUP($G33,Depreciation!$A$14:$L$18,7,FALSE)/2,IF($H33&lt;I$2,VLOOKUP($G33,Depreciation!$A$14:$L$18,7,FALSE),0))</f>
        <v>1.7228380322441735E-2</v>
      </c>
      <c r="J33" s="306">
        <f>+IF($H33=J$2,VLOOKUP($G33,Depreciation!$A$14:$L$18,8,FALSE)/2,IF($H33&lt;J$2,VLOOKUP($G33,Depreciation!$A$14:$L$18,8,FALSE),0))</f>
        <v>3.343407856743718E-2</v>
      </c>
      <c r="K33" s="306">
        <f>+IF($H33=K$2,VLOOKUP($G33,Depreciation!$A$14:$L$18,9,FALSE)/2,IF($H33&lt;K$2,VLOOKUP($G33,Depreciation!$A$14:$L$18,9,FALSE),0))</f>
        <v>3.343407856743718E-2</v>
      </c>
      <c r="L33" s="306">
        <f>+IF($H33=L$2,VLOOKUP($G33,Depreciation!$A$14:$L$18,10,FALSE)/2,IF($H33&lt;L$2,VLOOKUP($G33,Depreciation!$A$14:$L$18,10,FALSE),0))</f>
        <v>3.343407856743718E-2</v>
      </c>
      <c r="M33" s="306">
        <f>+IF($H33=M$2,VLOOKUP($G33,Depreciation!$A$14:$L$18,11,FALSE)/2,IF($H33&lt;M$2,VLOOKUP($G33,Depreciation!$A$14:$L$18,11,FALSE),0))</f>
        <v>3.343407856743718E-2</v>
      </c>
      <c r="N33" s="306">
        <f>+IF($H33=N$2,VLOOKUP($G33,Depreciation!$A$14:$L$18,12,FALSE)/2,IF($H33&lt;N$2,VLOOKUP($G33,Depreciation!$A$14:$L$18,12,FALSE),0))</f>
        <v>3.343407856743718E-2</v>
      </c>
      <c r="O33" s="307">
        <f t="shared" si="1"/>
        <v>11552.148852072709</v>
      </c>
      <c r="P33" s="732">
        <f>'Func Future Subs 2015'!P33</f>
        <v>0</v>
      </c>
      <c r="Q33" s="732">
        <f>'Func Future Subs 2015'!Q33</f>
        <v>0</v>
      </c>
      <c r="R33" s="732">
        <f>'Func Future Subs 2015'!R33</f>
        <v>1</v>
      </c>
      <c r="S33" s="735">
        <f t="shared" si="2"/>
        <v>0</v>
      </c>
      <c r="T33" s="735">
        <f t="shared" si="3"/>
        <v>0</v>
      </c>
      <c r="U33" s="735">
        <f t="shared" si="4"/>
        <v>11552.148852072709</v>
      </c>
      <c r="V33" s="736">
        <f t="shared" si="5"/>
        <v>0</v>
      </c>
      <c r="W33" s="735">
        <f t="shared" si="6"/>
        <v>0</v>
      </c>
      <c r="X33" s="737">
        <f t="shared" si="7"/>
        <v>11552.148852072709</v>
      </c>
      <c r="Y33" s="738">
        <f t="shared" si="8"/>
        <v>0</v>
      </c>
    </row>
    <row r="34" spans="1:25">
      <c r="A34" s="754" t="str">
        <f>'Func Future Subs 2015'!A34</f>
        <v>S.42S</v>
      </c>
      <c r="B34" s="754">
        <f>'Func Future Subs 2015'!B34</f>
        <v>719</v>
      </c>
      <c r="C34" s="754">
        <f>'Func Future Subs 2015'!C34</f>
        <v>240</v>
      </c>
      <c r="D34" s="754">
        <f>'Func Future Subs 2015'!D34</f>
        <v>138</v>
      </c>
      <c r="E34" s="754" t="str">
        <f>'Func Future Subs 2015'!E34</f>
        <v>42S</v>
      </c>
      <c r="F34" s="754">
        <f>'Func Future Subs 2015'!F34</f>
        <v>128186.00188347333</v>
      </c>
      <c r="G34" s="754" t="str">
        <f>'Func Future Subs 2015'!G34</f>
        <v>AltaLink</v>
      </c>
      <c r="H34" s="754">
        <f>'Func Future Subs 2015'!H34</f>
        <v>2015</v>
      </c>
      <c r="I34" s="306">
        <f>+IF($H34=I$2,VLOOKUP($G34,Depreciation!$A$14:$L$18,7,FALSE)/2,IF($H34&lt;I$2,VLOOKUP($G34,Depreciation!$A$14:$L$18,7,FALSE),0))</f>
        <v>1.7228380322441735E-2</v>
      </c>
      <c r="J34" s="306">
        <f>+IF($H34=J$2,VLOOKUP($G34,Depreciation!$A$14:$L$18,8,FALSE)/2,IF($H34&lt;J$2,VLOOKUP($G34,Depreciation!$A$14:$L$18,8,FALSE),0))</f>
        <v>3.343407856743718E-2</v>
      </c>
      <c r="K34" s="306">
        <f>+IF($H34=K$2,VLOOKUP($G34,Depreciation!$A$14:$L$18,9,FALSE)/2,IF($H34&lt;K$2,VLOOKUP($G34,Depreciation!$A$14:$L$18,9,FALSE),0))</f>
        <v>3.343407856743718E-2</v>
      </c>
      <c r="L34" s="306">
        <f>+IF($H34=L$2,VLOOKUP($G34,Depreciation!$A$14:$L$18,10,FALSE)/2,IF($H34&lt;L$2,VLOOKUP($G34,Depreciation!$A$14:$L$18,10,FALSE),0))</f>
        <v>3.343407856743718E-2</v>
      </c>
      <c r="M34" s="306">
        <f>+IF($H34=M$2,VLOOKUP($G34,Depreciation!$A$14:$L$18,11,FALSE)/2,IF($H34&lt;M$2,VLOOKUP($G34,Depreciation!$A$14:$L$18,11,FALSE),0))</f>
        <v>3.343407856743718E-2</v>
      </c>
      <c r="N34" s="306">
        <f>+IF($H34=N$2,VLOOKUP($G34,Depreciation!$A$14:$L$18,12,FALSE)/2,IF($H34&lt;N$2,VLOOKUP($G34,Depreciation!$A$14:$L$18,12,FALSE),0))</f>
        <v>3.343407856743718E-2</v>
      </c>
      <c r="O34" s="307">
        <f t="shared" si="1"/>
        <v>106279.76943906891</v>
      </c>
      <c r="P34" s="732">
        <f>'Func Future Subs 2015'!P34</f>
        <v>0</v>
      </c>
      <c r="Q34" s="732">
        <f>'Func Future Subs 2015'!Q34</f>
        <v>0</v>
      </c>
      <c r="R34" s="732">
        <f>'Func Future Subs 2015'!R34</f>
        <v>1</v>
      </c>
      <c r="S34" s="735">
        <f t="shared" si="2"/>
        <v>0</v>
      </c>
      <c r="T34" s="735">
        <f t="shared" si="3"/>
        <v>0</v>
      </c>
      <c r="U34" s="735">
        <f t="shared" si="4"/>
        <v>106279.76943906891</v>
      </c>
      <c r="V34" s="736">
        <f t="shared" si="5"/>
        <v>0</v>
      </c>
      <c r="W34" s="735">
        <f t="shared" si="6"/>
        <v>0</v>
      </c>
      <c r="X34" s="737">
        <f t="shared" si="7"/>
        <v>106279.76943906891</v>
      </c>
      <c r="Y34" s="738">
        <f t="shared" si="8"/>
        <v>0</v>
      </c>
    </row>
    <row r="35" spans="1:25">
      <c r="A35" s="754" t="str">
        <f>'Func Future Subs 2015'!A35</f>
        <v>805S Jasper Sub</v>
      </c>
      <c r="B35" s="754">
        <f>'Func Future Subs 2015'!B35</f>
        <v>786</v>
      </c>
      <c r="C35" s="754">
        <f>'Func Future Subs 2015'!C35</f>
        <v>240</v>
      </c>
      <c r="D35" s="754">
        <f>'Func Future Subs 2015'!D35</f>
        <v>0</v>
      </c>
      <c r="E35" s="754" t="str">
        <f>'Func Future Subs 2015'!E35</f>
        <v>805S</v>
      </c>
      <c r="F35" s="754">
        <f>'Func Future Subs 2015'!F35</f>
        <v>977096.32405747706</v>
      </c>
      <c r="G35" s="754" t="str">
        <f>'Func Future Subs 2015'!G35</f>
        <v>EPCOR</v>
      </c>
      <c r="H35" s="754">
        <f>'Func Future Subs 2015'!H35</f>
        <v>2016</v>
      </c>
      <c r="I35" s="306">
        <f>+IF($H35=I$2,VLOOKUP($G35,Depreciation!$A$14:$L$18,7,FALSE)/2,IF($H35&lt;I$2,VLOOKUP($G35,Depreciation!$A$14:$L$18,7,FALSE),0))</f>
        <v>0</v>
      </c>
      <c r="J35" s="306">
        <f>+IF($H35=J$2,VLOOKUP($G35,Depreciation!$A$14:$L$18,8,FALSE)/2,IF($H35&lt;J$2,VLOOKUP($G35,Depreciation!$A$14:$L$18,8,FALSE),0))</f>
        <v>2.0800027799922457E-2</v>
      </c>
      <c r="K35" s="306">
        <f>+IF($H35=K$2,VLOOKUP($G35,Depreciation!$A$14:$L$18,9,FALSE)/2,IF($H35&lt;K$2,VLOOKUP($G35,Depreciation!$A$14:$L$18,9,FALSE),0))</f>
        <v>4.1145263498658789E-2</v>
      </c>
      <c r="L35" s="306">
        <f>+IF($H35=L$2,VLOOKUP($G35,Depreciation!$A$14:$L$18,10,FALSE)/2,IF($H35&lt;L$2,VLOOKUP($G35,Depreciation!$A$14:$L$18,10,FALSE),0))</f>
        <v>4.1145263498658789E-2</v>
      </c>
      <c r="M35" s="306">
        <f>+IF($H35=M$2,VLOOKUP($G35,Depreciation!$A$14:$L$18,11,FALSE)/2,IF($H35&lt;M$2,VLOOKUP($G35,Depreciation!$A$14:$L$18,11,FALSE),0))</f>
        <v>4.1145263498658789E-2</v>
      </c>
      <c r="N35" s="306">
        <f>+IF($H35=N$2,VLOOKUP($G35,Depreciation!$A$14:$L$18,12,FALSE)/2,IF($H35&lt;N$2,VLOOKUP($G35,Depreciation!$A$14:$L$18,12,FALSE),0))</f>
        <v>4.1145263498658789E-2</v>
      </c>
      <c r="O35" s="307">
        <f t="shared" si="1"/>
        <v>808760.7074452159</v>
      </c>
      <c r="P35" s="732">
        <f>'Func Future Subs 2015'!P35</f>
        <v>0</v>
      </c>
      <c r="Q35" s="732">
        <f>'Func Future Subs 2015'!Q35</f>
        <v>0</v>
      </c>
      <c r="R35" s="732">
        <f>'Func Future Subs 2015'!R35</f>
        <v>1</v>
      </c>
      <c r="S35" s="735">
        <f t="shared" si="2"/>
        <v>0</v>
      </c>
      <c r="T35" s="735">
        <f t="shared" si="3"/>
        <v>0</v>
      </c>
      <c r="U35" s="735">
        <f t="shared" si="4"/>
        <v>808760.7074452159</v>
      </c>
      <c r="V35" s="736">
        <f t="shared" si="5"/>
        <v>808760.7074452159</v>
      </c>
      <c r="W35" s="735">
        <f t="shared" si="6"/>
        <v>0</v>
      </c>
      <c r="X35" s="737">
        <f t="shared" si="7"/>
        <v>0</v>
      </c>
      <c r="Y35" s="738">
        <f t="shared" si="8"/>
        <v>0</v>
      </c>
    </row>
    <row r="36" spans="1:25">
      <c r="A36" s="754" t="str">
        <f>'Func Future Subs 2015'!A36</f>
        <v>816S Petrolia Sub</v>
      </c>
      <c r="B36" s="754">
        <f>'Func Future Subs 2015'!B36</f>
        <v>786</v>
      </c>
      <c r="C36" s="754">
        <f>'Func Future Subs 2015'!C36</f>
        <v>240</v>
      </c>
      <c r="D36" s="754">
        <f>'Func Future Subs 2015'!D36</f>
        <v>25</v>
      </c>
      <c r="E36" s="754" t="str">
        <f>'Func Future Subs 2015'!E36</f>
        <v>816S</v>
      </c>
      <c r="F36" s="754">
        <f>'Func Future Subs 2015'!F36</f>
        <v>1459886.8313876344</v>
      </c>
      <c r="G36" s="754" t="str">
        <f>'Func Future Subs 2015'!G36</f>
        <v>EPCOR</v>
      </c>
      <c r="H36" s="754">
        <f>'Func Future Subs 2015'!H36</f>
        <v>2016</v>
      </c>
      <c r="I36" s="306">
        <f>+IF($H36=I$2,VLOOKUP($G36,Depreciation!$A$14:$L$18,7,FALSE)/2,IF($H36&lt;I$2,VLOOKUP($G36,Depreciation!$A$14:$L$18,7,FALSE),0))</f>
        <v>0</v>
      </c>
      <c r="J36" s="306">
        <f>+IF($H36=J$2,VLOOKUP($G36,Depreciation!$A$14:$L$18,8,FALSE)/2,IF($H36&lt;J$2,VLOOKUP($G36,Depreciation!$A$14:$L$18,8,FALSE),0))</f>
        <v>2.0800027799922457E-2</v>
      </c>
      <c r="K36" s="306">
        <f>+IF($H36=K$2,VLOOKUP($G36,Depreciation!$A$14:$L$18,9,FALSE)/2,IF($H36&lt;K$2,VLOOKUP($G36,Depreciation!$A$14:$L$18,9,FALSE),0))</f>
        <v>4.1145263498658789E-2</v>
      </c>
      <c r="L36" s="306">
        <f>+IF($H36=L$2,VLOOKUP($G36,Depreciation!$A$14:$L$18,10,FALSE)/2,IF($H36&lt;L$2,VLOOKUP($G36,Depreciation!$A$14:$L$18,10,FALSE),0))</f>
        <v>4.1145263498658789E-2</v>
      </c>
      <c r="M36" s="306">
        <f>+IF($H36=M$2,VLOOKUP($G36,Depreciation!$A$14:$L$18,11,FALSE)/2,IF($H36&lt;M$2,VLOOKUP($G36,Depreciation!$A$14:$L$18,11,FALSE),0))</f>
        <v>4.1145263498658789E-2</v>
      </c>
      <c r="N36" s="306">
        <f>+IF($H36=N$2,VLOOKUP($G36,Depreciation!$A$14:$L$18,12,FALSE)/2,IF($H36&lt;N$2,VLOOKUP($G36,Depreciation!$A$14:$L$18,12,FALSE),0))</f>
        <v>4.1145263498658789E-2</v>
      </c>
      <c r="O36" s="307">
        <f t="shared" si="1"/>
        <v>1208375.3438351532</v>
      </c>
      <c r="P36" s="732">
        <f>'Func Future Subs 2015'!P36</f>
        <v>0</v>
      </c>
      <c r="Q36" s="732">
        <f>'Func Future Subs 2015'!Q36</f>
        <v>0</v>
      </c>
      <c r="R36" s="732">
        <f>'Func Future Subs 2015'!R36</f>
        <v>1</v>
      </c>
      <c r="S36" s="735">
        <f t="shared" si="2"/>
        <v>0</v>
      </c>
      <c r="T36" s="735">
        <f t="shared" si="3"/>
        <v>0</v>
      </c>
      <c r="U36" s="735">
        <f t="shared" si="4"/>
        <v>1208375.3438351532</v>
      </c>
      <c r="V36" s="736">
        <f t="shared" si="5"/>
        <v>0</v>
      </c>
      <c r="W36" s="735">
        <f t="shared" si="6"/>
        <v>0</v>
      </c>
      <c r="X36" s="737">
        <f t="shared" si="7"/>
        <v>0</v>
      </c>
      <c r="Y36" s="738">
        <f t="shared" si="8"/>
        <v>1208375.3438351532</v>
      </c>
    </row>
    <row r="37" spans="1:25">
      <c r="A37" s="754" t="str">
        <f>'Func Future Subs 2015'!A37</f>
        <v>Bellamy 814S</v>
      </c>
      <c r="B37" s="754">
        <f>'Func Future Subs 2015'!B37</f>
        <v>786</v>
      </c>
      <c r="C37" s="754">
        <f>'Func Future Subs 2015'!C37</f>
        <v>240</v>
      </c>
      <c r="D37" s="754">
        <f>'Func Future Subs 2015'!D37</f>
        <v>0</v>
      </c>
      <c r="E37" s="754" t="str">
        <f>'Func Future Subs 2015'!E37</f>
        <v>814S</v>
      </c>
      <c r="F37" s="754">
        <f>'Func Future Subs 2015'!F37</f>
        <v>700514.65499403654</v>
      </c>
      <c r="G37" s="754" t="str">
        <f>'Func Future Subs 2015'!G37</f>
        <v>EPCOR</v>
      </c>
      <c r="H37" s="754">
        <f>'Func Future Subs 2015'!H37</f>
        <v>2016</v>
      </c>
      <c r="I37" s="306">
        <f>+IF($H37=I$2,VLOOKUP($G37,Depreciation!$A$14:$L$18,7,FALSE)/2,IF($H37&lt;I$2,VLOOKUP($G37,Depreciation!$A$14:$L$18,7,FALSE),0))</f>
        <v>0</v>
      </c>
      <c r="J37" s="306">
        <f>+IF($H37=J$2,VLOOKUP($G37,Depreciation!$A$14:$L$18,8,FALSE)/2,IF($H37&lt;J$2,VLOOKUP($G37,Depreciation!$A$14:$L$18,8,FALSE),0))</f>
        <v>2.0800027799922457E-2</v>
      </c>
      <c r="K37" s="306">
        <f>+IF($H37=K$2,VLOOKUP($G37,Depreciation!$A$14:$L$18,9,FALSE)/2,IF($H37&lt;K$2,VLOOKUP($G37,Depreciation!$A$14:$L$18,9,FALSE),0))</f>
        <v>4.1145263498658789E-2</v>
      </c>
      <c r="L37" s="306">
        <f>+IF($H37=L$2,VLOOKUP($G37,Depreciation!$A$14:$L$18,10,FALSE)/2,IF($H37&lt;L$2,VLOOKUP($G37,Depreciation!$A$14:$L$18,10,FALSE),0))</f>
        <v>4.1145263498658789E-2</v>
      </c>
      <c r="M37" s="306">
        <f>+IF($H37=M$2,VLOOKUP($G37,Depreciation!$A$14:$L$18,11,FALSE)/2,IF($H37&lt;M$2,VLOOKUP($G37,Depreciation!$A$14:$L$18,11,FALSE),0))</f>
        <v>4.1145263498658789E-2</v>
      </c>
      <c r="N37" s="306">
        <f>+IF($H37=N$2,VLOOKUP($G37,Depreciation!$A$14:$L$18,12,FALSE)/2,IF($H37&lt;N$2,VLOOKUP($G37,Depreciation!$A$14:$L$18,12,FALSE),0))</f>
        <v>4.1145263498658789E-2</v>
      </c>
      <c r="O37" s="307">
        <f t="shared" si="1"/>
        <v>579828.94214162603</v>
      </c>
      <c r="P37" s="732">
        <f>'Func Future Subs 2015'!P37</f>
        <v>0</v>
      </c>
      <c r="Q37" s="732">
        <f>'Func Future Subs 2015'!Q37</f>
        <v>0</v>
      </c>
      <c r="R37" s="732">
        <f>'Func Future Subs 2015'!R37</f>
        <v>1</v>
      </c>
      <c r="S37" s="735">
        <f t="shared" si="2"/>
        <v>0</v>
      </c>
      <c r="T37" s="735">
        <f t="shared" si="3"/>
        <v>0</v>
      </c>
      <c r="U37" s="735">
        <f t="shared" si="4"/>
        <v>579828.94214162603</v>
      </c>
      <c r="V37" s="736">
        <f t="shared" si="5"/>
        <v>579828.94214162603</v>
      </c>
      <c r="W37" s="735">
        <f t="shared" si="6"/>
        <v>0</v>
      </c>
      <c r="X37" s="737">
        <f t="shared" si="7"/>
        <v>0</v>
      </c>
      <c r="Y37" s="738">
        <f t="shared" si="8"/>
        <v>0</v>
      </c>
    </row>
    <row r="38" spans="1:25">
      <c r="A38" s="754" t="str">
        <f>'Func Future Subs 2015'!A38</f>
        <v>Dome 665S</v>
      </c>
      <c r="B38" s="754">
        <f>'Func Future Subs 2015'!B38</f>
        <v>786</v>
      </c>
      <c r="C38" s="754">
        <f>'Func Future Subs 2015'!C38</f>
        <v>240</v>
      </c>
      <c r="D38" s="754">
        <f>'Func Future Subs 2015'!D38</f>
        <v>0</v>
      </c>
      <c r="E38" s="754" t="str">
        <f>'Func Future Subs 2015'!E38</f>
        <v>665S</v>
      </c>
      <c r="F38" s="754">
        <f>'Func Future Subs 2015'!F38</f>
        <v>616310.21693290537</v>
      </c>
      <c r="G38" s="754" t="str">
        <f>'Func Future Subs 2015'!G38</f>
        <v>EPCOR</v>
      </c>
      <c r="H38" s="754">
        <f>'Func Future Subs 2015'!H38</f>
        <v>2016</v>
      </c>
      <c r="I38" s="306">
        <f>+IF($H38=I$2,VLOOKUP($G38,Depreciation!$A$14:$L$18,7,FALSE)/2,IF($H38&lt;I$2,VLOOKUP($G38,Depreciation!$A$14:$L$18,7,FALSE),0))</f>
        <v>0</v>
      </c>
      <c r="J38" s="306">
        <f>+IF($H38=J$2,VLOOKUP($G38,Depreciation!$A$14:$L$18,8,FALSE)/2,IF($H38&lt;J$2,VLOOKUP($G38,Depreciation!$A$14:$L$18,8,FALSE),0))</f>
        <v>2.0800027799922457E-2</v>
      </c>
      <c r="K38" s="306">
        <f>+IF($H38=K$2,VLOOKUP($G38,Depreciation!$A$14:$L$18,9,FALSE)/2,IF($H38&lt;K$2,VLOOKUP($G38,Depreciation!$A$14:$L$18,9,FALSE),0))</f>
        <v>4.1145263498658789E-2</v>
      </c>
      <c r="L38" s="306">
        <f>+IF($H38=L$2,VLOOKUP($G38,Depreciation!$A$14:$L$18,10,FALSE)/2,IF($H38&lt;L$2,VLOOKUP($G38,Depreciation!$A$14:$L$18,10,FALSE),0))</f>
        <v>4.1145263498658789E-2</v>
      </c>
      <c r="M38" s="306">
        <f>+IF($H38=M$2,VLOOKUP($G38,Depreciation!$A$14:$L$18,11,FALSE)/2,IF($H38&lt;M$2,VLOOKUP($G38,Depreciation!$A$14:$L$18,11,FALSE),0))</f>
        <v>4.1145263498658789E-2</v>
      </c>
      <c r="N38" s="306">
        <f>+IF($H38=N$2,VLOOKUP($G38,Depreciation!$A$14:$L$18,12,FALSE)/2,IF($H38&lt;N$2,VLOOKUP($G38,Depreciation!$A$14:$L$18,12,FALSE),0))</f>
        <v>4.1145263498658789E-2</v>
      </c>
      <c r="O38" s="307">
        <f t="shared" si="1"/>
        <v>510131.37065394397</v>
      </c>
      <c r="P38" s="732">
        <f>'Func Future Subs 2015'!P38</f>
        <v>0</v>
      </c>
      <c r="Q38" s="732">
        <f>'Func Future Subs 2015'!Q38</f>
        <v>0</v>
      </c>
      <c r="R38" s="732">
        <f>'Func Future Subs 2015'!R38</f>
        <v>1</v>
      </c>
      <c r="S38" s="735">
        <f t="shared" si="2"/>
        <v>0</v>
      </c>
      <c r="T38" s="735">
        <f t="shared" si="3"/>
        <v>0</v>
      </c>
      <c r="U38" s="735">
        <f t="shared" si="4"/>
        <v>510131.37065394397</v>
      </c>
      <c r="V38" s="736">
        <f t="shared" si="5"/>
        <v>510131.37065394397</v>
      </c>
      <c r="W38" s="735">
        <f t="shared" si="6"/>
        <v>0</v>
      </c>
      <c r="X38" s="737">
        <f t="shared" si="7"/>
        <v>0</v>
      </c>
      <c r="Y38" s="738">
        <f t="shared" si="8"/>
        <v>0</v>
      </c>
    </row>
    <row r="39" spans="1:25">
      <c r="A39" s="754" t="str">
        <f>'Func Future Subs 2015'!A39</f>
        <v>Genesee 330P</v>
      </c>
      <c r="B39" s="754">
        <f>'Func Future Subs 2015'!B39</f>
        <v>786</v>
      </c>
      <c r="C39" s="754">
        <f>'Func Future Subs 2015'!C39</f>
        <v>500</v>
      </c>
      <c r="D39" s="754">
        <f>'Func Future Subs 2015'!D39</f>
        <v>240</v>
      </c>
      <c r="E39" s="754" t="str">
        <f>'Func Future Subs 2015'!E39</f>
        <v>330P</v>
      </c>
      <c r="F39" s="754">
        <f>'Func Future Subs 2015'!F39</f>
        <v>112557.4943276488</v>
      </c>
      <c r="G39" s="754" t="str">
        <f>'Func Future Subs 2015'!G39</f>
        <v>EPCOR</v>
      </c>
      <c r="H39" s="754">
        <f>'Func Future Subs 2015'!H39</f>
        <v>2016</v>
      </c>
      <c r="I39" s="306">
        <f>+IF($H39=I$2,VLOOKUP($G39,Depreciation!$A$14:$L$18,7,FALSE)/2,IF($H39&lt;I$2,VLOOKUP($G39,Depreciation!$A$14:$L$18,7,FALSE),0))</f>
        <v>0</v>
      </c>
      <c r="J39" s="306">
        <f>+IF($H39=J$2,VLOOKUP($G39,Depreciation!$A$14:$L$18,8,FALSE)/2,IF($H39&lt;J$2,VLOOKUP($G39,Depreciation!$A$14:$L$18,8,FALSE),0))</f>
        <v>2.0800027799922457E-2</v>
      </c>
      <c r="K39" s="306">
        <f>+IF($H39=K$2,VLOOKUP($G39,Depreciation!$A$14:$L$18,9,FALSE)/2,IF($H39&lt;K$2,VLOOKUP($G39,Depreciation!$A$14:$L$18,9,FALSE),0))</f>
        <v>4.1145263498658789E-2</v>
      </c>
      <c r="L39" s="306">
        <f>+IF($H39=L$2,VLOOKUP($G39,Depreciation!$A$14:$L$18,10,FALSE)/2,IF($H39&lt;L$2,VLOOKUP($G39,Depreciation!$A$14:$L$18,10,FALSE),0))</f>
        <v>4.1145263498658789E-2</v>
      </c>
      <c r="M39" s="306">
        <f>+IF($H39=M$2,VLOOKUP($G39,Depreciation!$A$14:$L$18,11,FALSE)/2,IF($H39&lt;M$2,VLOOKUP($G39,Depreciation!$A$14:$L$18,11,FALSE),0))</f>
        <v>4.1145263498658789E-2</v>
      </c>
      <c r="N39" s="306">
        <f>+IF($H39=N$2,VLOOKUP($G39,Depreciation!$A$14:$L$18,12,FALSE)/2,IF($H39&lt;N$2,VLOOKUP($G39,Depreciation!$A$14:$L$18,12,FALSE),0))</f>
        <v>4.1145263498658789E-2</v>
      </c>
      <c r="O39" s="307">
        <f t="shared" si="1"/>
        <v>93165.920799570245</v>
      </c>
      <c r="P39" s="732">
        <f>'Func Future Subs 2015'!P39</f>
        <v>0</v>
      </c>
      <c r="Q39" s="732">
        <f>'Func Future Subs 2015'!Q39</f>
        <v>0</v>
      </c>
      <c r="R39" s="732">
        <f>'Func Future Subs 2015'!R39</f>
        <v>1</v>
      </c>
      <c r="S39" s="735">
        <f t="shared" si="2"/>
        <v>0</v>
      </c>
      <c r="T39" s="735">
        <f t="shared" si="3"/>
        <v>0</v>
      </c>
      <c r="U39" s="735">
        <f t="shared" si="4"/>
        <v>93165.920799570245</v>
      </c>
      <c r="V39" s="736">
        <f t="shared" si="5"/>
        <v>0</v>
      </c>
      <c r="W39" s="735">
        <f t="shared" si="6"/>
        <v>93165.920799570245</v>
      </c>
      <c r="X39" s="737">
        <f t="shared" si="7"/>
        <v>0</v>
      </c>
      <c r="Y39" s="738">
        <f t="shared" si="8"/>
        <v>0</v>
      </c>
    </row>
    <row r="40" spans="1:25">
      <c r="A40" s="754" t="str">
        <f>'Func Future Subs 2015'!A40</f>
        <v>Keephills 320P</v>
      </c>
      <c r="B40" s="754">
        <f>'Func Future Subs 2015'!B40</f>
        <v>786</v>
      </c>
      <c r="C40" s="754">
        <f>'Func Future Subs 2015'!C40</f>
        <v>240</v>
      </c>
      <c r="D40" s="754">
        <f>'Func Future Subs 2015'!D40</f>
        <v>25</v>
      </c>
      <c r="E40" s="754" t="str">
        <f>'Func Future Subs 2015'!E40</f>
        <v>320P</v>
      </c>
      <c r="F40" s="754">
        <f>'Func Future Subs 2015'!F40</f>
        <v>5431229.6126103988</v>
      </c>
      <c r="G40" s="754" t="str">
        <f>'Func Future Subs 2015'!G40</f>
        <v>AltaLink</v>
      </c>
      <c r="H40" s="754">
        <f>'Func Future Subs 2015'!H40</f>
        <v>2016</v>
      </c>
      <c r="I40" s="306">
        <f>+IF($H40=I$2,VLOOKUP($G40,Depreciation!$A$14:$L$18,7,FALSE)/2,IF($H40&lt;I$2,VLOOKUP($G40,Depreciation!$A$14:$L$18,7,FALSE),0))</f>
        <v>0</v>
      </c>
      <c r="J40" s="306">
        <f>+IF($H40=J$2,VLOOKUP($G40,Depreciation!$A$14:$L$18,8,FALSE)/2,IF($H40&lt;J$2,VLOOKUP($G40,Depreciation!$A$14:$L$18,8,FALSE),0))</f>
        <v>1.671703928371859E-2</v>
      </c>
      <c r="K40" s="306">
        <f>+IF($H40=K$2,VLOOKUP($G40,Depreciation!$A$14:$L$18,9,FALSE)/2,IF($H40&lt;K$2,VLOOKUP($G40,Depreciation!$A$14:$L$18,9,FALSE),0))</f>
        <v>3.343407856743718E-2</v>
      </c>
      <c r="L40" s="306">
        <f>+IF($H40=L$2,VLOOKUP($G40,Depreciation!$A$14:$L$18,10,FALSE)/2,IF($H40&lt;L$2,VLOOKUP($G40,Depreciation!$A$14:$L$18,10,FALSE),0))</f>
        <v>3.343407856743718E-2</v>
      </c>
      <c r="M40" s="306">
        <f>+IF($H40=M$2,VLOOKUP($G40,Depreciation!$A$14:$L$18,11,FALSE)/2,IF($H40&lt;M$2,VLOOKUP($G40,Depreciation!$A$14:$L$18,11,FALSE),0))</f>
        <v>3.343407856743718E-2</v>
      </c>
      <c r="N40" s="306">
        <f>+IF($H40=N$2,VLOOKUP($G40,Depreciation!$A$14:$L$18,12,FALSE)/2,IF($H40&lt;N$2,VLOOKUP($G40,Depreciation!$A$14:$L$18,12,FALSE),0))</f>
        <v>3.343407856743718E-2</v>
      </c>
      <c r="O40" s="307">
        <f t="shared" si="1"/>
        <v>4661252.1092953738</v>
      </c>
      <c r="P40" s="732">
        <f>'Func Future Subs 2015'!P40</f>
        <v>0.96203522504892369</v>
      </c>
      <c r="Q40" s="732">
        <f>'Func Future Subs 2015'!Q40</f>
        <v>3.7964774951076322E-2</v>
      </c>
      <c r="R40" s="732">
        <f>'Func Future Subs 2015'!R40</f>
        <v>0</v>
      </c>
      <c r="S40" s="735">
        <f t="shared" si="2"/>
        <v>4484288.7219757456</v>
      </c>
      <c r="T40" s="735">
        <f t="shared" si="3"/>
        <v>176963.38731962867</v>
      </c>
      <c r="U40" s="735">
        <f t="shared" si="4"/>
        <v>0</v>
      </c>
      <c r="V40" s="736">
        <f t="shared" si="5"/>
        <v>0</v>
      </c>
      <c r="W40" s="735">
        <f t="shared" si="6"/>
        <v>4484288.7219757456</v>
      </c>
      <c r="X40" s="737">
        <f t="shared" si="7"/>
        <v>0</v>
      </c>
      <c r="Y40" s="738">
        <f t="shared" si="8"/>
        <v>176963.38731962867</v>
      </c>
    </row>
    <row r="41" spans="1:25">
      <c r="A41" s="754" t="str">
        <f>'Func Future Subs 2015'!A41</f>
        <v>lambton E803S</v>
      </c>
      <c r="B41" s="754">
        <f>'Func Future Subs 2015'!B41</f>
        <v>786</v>
      </c>
      <c r="C41" s="754">
        <f>'Func Future Subs 2015'!C41</f>
        <v>240</v>
      </c>
      <c r="D41" s="754">
        <f>'Func Future Subs 2015'!D41</f>
        <v>25</v>
      </c>
      <c r="E41" s="754" t="str">
        <f>'Func Future Subs 2015'!E41</f>
        <v>803S</v>
      </c>
      <c r="F41" s="754">
        <f>'Func Future Subs 2015'!F41</f>
        <v>681829.47830029717</v>
      </c>
      <c r="G41" s="754" t="str">
        <f>'Func Future Subs 2015'!G41</f>
        <v>EPCOR</v>
      </c>
      <c r="H41" s="754">
        <f>'Func Future Subs 2015'!H41</f>
        <v>2016</v>
      </c>
      <c r="I41" s="306">
        <f>+IF($H41=I$2,VLOOKUP($G41,Depreciation!$A$14:$L$18,7,FALSE)/2,IF($H41&lt;I$2,VLOOKUP($G41,Depreciation!$A$14:$L$18,7,FALSE),0))</f>
        <v>0</v>
      </c>
      <c r="J41" s="306">
        <f>+IF($H41=J$2,VLOOKUP($G41,Depreciation!$A$14:$L$18,8,FALSE)/2,IF($H41&lt;J$2,VLOOKUP($G41,Depreciation!$A$14:$L$18,8,FALSE),0))</f>
        <v>2.0800027799922457E-2</v>
      </c>
      <c r="K41" s="306">
        <f>+IF($H41=K$2,VLOOKUP($G41,Depreciation!$A$14:$L$18,9,FALSE)/2,IF($H41&lt;K$2,VLOOKUP($G41,Depreciation!$A$14:$L$18,9,FALSE),0))</f>
        <v>4.1145263498658789E-2</v>
      </c>
      <c r="L41" s="306">
        <f>+IF($H41=L$2,VLOOKUP($G41,Depreciation!$A$14:$L$18,10,FALSE)/2,IF($H41&lt;L$2,VLOOKUP($G41,Depreciation!$A$14:$L$18,10,FALSE),0))</f>
        <v>4.1145263498658789E-2</v>
      </c>
      <c r="M41" s="306">
        <f>+IF($H41=M$2,VLOOKUP($G41,Depreciation!$A$14:$L$18,11,FALSE)/2,IF($H41&lt;M$2,VLOOKUP($G41,Depreciation!$A$14:$L$18,11,FALSE),0))</f>
        <v>4.1145263498658789E-2</v>
      </c>
      <c r="N41" s="306">
        <f>+IF($H41=N$2,VLOOKUP($G41,Depreciation!$A$14:$L$18,12,FALSE)/2,IF($H41&lt;N$2,VLOOKUP($G41,Depreciation!$A$14:$L$18,12,FALSE),0))</f>
        <v>4.1145263498658789E-2</v>
      </c>
      <c r="O41" s="307">
        <f t="shared" si="1"/>
        <v>564362.87564491236</v>
      </c>
      <c r="P41" s="732">
        <f>'Func Future Subs 2015'!P41</f>
        <v>0</v>
      </c>
      <c r="Q41" s="732">
        <f>'Func Future Subs 2015'!Q41</f>
        <v>1</v>
      </c>
      <c r="R41" s="732">
        <f>'Func Future Subs 2015'!R41</f>
        <v>0</v>
      </c>
      <c r="S41" s="735">
        <f t="shared" si="2"/>
        <v>0</v>
      </c>
      <c r="T41" s="735">
        <f t="shared" si="3"/>
        <v>564362.87564491236</v>
      </c>
      <c r="U41" s="735">
        <f t="shared" si="4"/>
        <v>0</v>
      </c>
      <c r="V41" s="736">
        <f t="shared" si="5"/>
        <v>0</v>
      </c>
      <c r="W41" s="735">
        <f t="shared" si="6"/>
        <v>0</v>
      </c>
      <c r="X41" s="737">
        <f t="shared" si="7"/>
        <v>0</v>
      </c>
      <c r="Y41" s="738">
        <f t="shared" si="8"/>
        <v>564362.87564491236</v>
      </c>
    </row>
    <row r="42" spans="1:25">
      <c r="A42" s="754" t="str">
        <f>'Func Future Subs 2015'!A42</f>
        <v>Livock PST</v>
      </c>
      <c r="B42" s="754">
        <f>'Func Future Subs 2015'!B42</f>
        <v>786</v>
      </c>
      <c r="C42" s="754">
        <f>'Func Future Subs 2015'!C42</f>
        <v>240</v>
      </c>
      <c r="D42" s="754">
        <f>'Func Future Subs 2015'!D42</f>
        <v>0</v>
      </c>
      <c r="E42" s="754">
        <f>'Func Future Subs 2015'!E42</f>
        <v>0</v>
      </c>
      <c r="F42" s="754">
        <f>'Func Future Subs 2015'!F42</f>
        <v>31168613.741793498</v>
      </c>
      <c r="G42" s="754" t="str">
        <f>'Func Future Subs 2015'!G42</f>
        <v>ATCO</v>
      </c>
      <c r="H42" s="754">
        <f>'Func Future Subs 2015'!H42</f>
        <v>2016</v>
      </c>
      <c r="I42" s="306">
        <f>+IF($H42=I$2,VLOOKUP($G42,Depreciation!$A$14:$L$18,7,FALSE)/2,IF($H42&lt;I$2,VLOOKUP($G42,Depreciation!$A$14:$L$18,7,FALSE),0))</f>
        <v>0</v>
      </c>
      <c r="J42" s="306">
        <f>+IF($H42=J$2,VLOOKUP($G42,Depreciation!$A$14:$L$18,8,FALSE)/2,IF($H42&lt;J$2,VLOOKUP($G42,Depreciation!$A$14:$L$18,8,FALSE),0))</f>
        <v>1.231622525054236E-2</v>
      </c>
      <c r="K42" s="306">
        <f>+IF($H42=K$2,VLOOKUP($G42,Depreciation!$A$14:$L$18,9,FALSE)/2,IF($H42&lt;K$2,VLOOKUP($G42,Depreciation!$A$14:$L$18,9,FALSE),0))</f>
        <v>2.4351536427798831E-2</v>
      </c>
      <c r="L42" s="306">
        <f>+IF($H42=L$2,VLOOKUP($G42,Depreciation!$A$14:$L$18,10,FALSE)/2,IF($H42&lt;L$2,VLOOKUP($G42,Depreciation!$A$14:$L$18,10,FALSE),0))</f>
        <v>2.4351536427798831E-2</v>
      </c>
      <c r="M42" s="306">
        <f>+IF($H42=M$2,VLOOKUP($G42,Depreciation!$A$14:$L$18,11,FALSE)/2,IF($H42&lt;M$2,VLOOKUP($G42,Depreciation!$A$14:$L$18,11,FALSE),0))</f>
        <v>2.4351536427798831E-2</v>
      </c>
      <c r="N42" s="306">
        <f>+IF($H42=N$2,VLOOKUP($G42,Depreciation!$A$14:$L$18,12,FALSE)/2,IF($H42&lt;N$2,VLOOKUP($G42,Depreciation!$A$14:$L$18,12,FALSE),0))</f>
        <v>2.4351536427798831E-2</v>
      </c>
      <c r="O42" s="307">
        <f t="shared" si="1"/>
        <v>27893876.021609619</v>
      </c>
      <c r="P42" s="732">
        <f>'Func Future Subs 2015'!P42</f>
        <v>0</v>
      </c>
      <c r="Q42" s="732">
        <f>'Func Future Subs 2015'!Q42</f>
        <v>0</v>
      </c>
      <c r="R42" s="732">
        <f>'Func Future Subs 2015'!R42</f>
        <v>1</v>
      </c>
      <c r="S42" s="735">
        <f t="shared" si="2"/>
        <v>0</v>
      </c>
      <c r="T42" s="735">
        <f t="shared" si="3"/>
        <v>0</v>
      </c>
      <c r="U42" s="735">
        <f t="shared" si="4"/>
        <v>27893876.021609619</v>
      </c>
      <c r="V42" s="736">
        <f t="shared" si="5"/>
        <v>27893876.021609619</v>
      </c>
      <c r="W42" s="735">
        <f t="shared" si="6"/>
        <v>0</v>
      </c>
      <c r="X42" s="737">
        <f t="shared" si="7"/>
        <v>0</v>
      </c>
      <c r="Y42" s="738">
        <f t="shared" si="8"/>
        <v>0</v>
      </c>
    </row>
    <row r="43" spans="1:25">
      <c r="A43" s="754" t="str">
        <f>'Func Future Subs 2015'!A43</f>
        <v>Sundance 310P</v>
      </c>
      <c r="B43" s="754">
        <f>'Func Future Subs 2015'!B43</f>
        <v>786</v>
      </c>
      <c r="C43" s="754">
        <f>'Func Future Subs 2015'!C43</f>
        <v>240</v>
      </c>
      <c r="D43" s="754">
        <f>'Func Future Subs 2015'!D43</f>
        <v>25</v>
      </c>
      <c r="E43" s="754" t="str">
        <f>'Func Future Subs 2015'!E43</f>
        <v>310P</v>
      </c>
      <c r="F43" s="754">
        <f>'Func Future Subs 2015'!F43</f>
        <v>314796.88531681657</v>
      </c>
      <c r="G43" s="754" t="str">
        <f>'Func Future Subs 2015'!G43</f>
        <v>AltaLink</v>
      </c>
      <c r="H43" s="754">
        <f>'Func Future Subs 2015'!H43</f>
        <v>2016</v>
      </c>
      <c r="I43" s="306">
        <f>+IF($H43=I$2,VLOOKUP($G43,Depreciation!$A$14:$L$18,7,FALSE)/2,IF($H43&lt;I$2,VLOOKUP($G43,Depreciation!$A$14:$L$18,7,FALSE),0))</f>
        <v>0</v>
      </c>
      <c r="J43" s="306">
        <f>+IF($H43=J$2,VLOOKUP($G43,Depreciation!$A$14:$L$18,8,FALSE)/2,IF($H43&lt;J$2,VLOOKUP($G43,Depreciation!$A$14:$L$18,8,FALSE),0))</f>
        <v>1.671703928371859E-2</v>
      </c>
      <c r="K43" s="306">
        <f>+IF($H43=K$2,VLOOKUP($G43,Depreciation!$A$14:$L$18,9,FALSE)/2,IF($H43&lt;K$2,VLOOKUP($G43,Depreciation!$A$14:$L$18,9,FALSE),0))</f>
        <v>3.343407856743718E-2</v>
      </c>
      <c r="L43" s="306">
        <f>+IF($H43=L$2,VLOOKUP($G43,Depreciation!$A$14:$L$18,10,FALSE)/2,IF($H43&lt;L$2,VLOOKUP($G43,Depreciation!$A$14:$L$18,10,FALSE),0))</f>
        <v>3.343407856743718E-2</v>
      </c>
      <c r="M43" s="306">
        <f>+IF($H43=M$2,VLOOKUP($G43,Depreciation!$A$14:$L$18,11,FALSE)/2,IF($H43&lt;M$2,VLOOKUP($G43,Depreciation!$A$14:$L$18,11,FALSE),0))</f>
        <v>3.343407856743718E-2</v>
      </c>
      <c r="N43" s="306">
        <f>+IF($H43=N$2,VLOOKUP($G43,Depreciation!$A$14:$L$18,12,FALSE)/2,IF($H43&lt;N$2,VLOOKUP($G43,Depreciation!$A$14:$L$18,12,FALSE),0))</f>
        <v>3.343407856743718E-2</v>
      </c>
      <c r="O43" s="307">
        <f t="shared" si="1"/>
        <v>270168.58986695961</v>
      </c>
      <c r="P43" s="732">
        <f>'Func Future Subs 2015'!P43</f>
        <v>1</v>
      </c>
      <c r="Q43" s="732">
        <f>'Func Future Subs 2015'!Q43</f>
        <v>0</v>
      </c>
      <c r="R43" s="732">
        <f>'Func Future Subs 2015'!R43</f>
        <v>0</v>
      </c>
      <c r="S43" s="735">
        <f t="shared" si="2"/>
        <v>270168.58986695961</v>
      </c>
      <c r="T43" s="735">
        <f t="shared" si="3"/>
        <v>0</v>
      </c>
      <c r="U43" s="735">
        <f t="shared" si="4"/>
        <v>0</v>
      </c>
      <c r="V43" s="736">
        <f t="shared" si="5"/>
        <v>0</v>
      </c>
      <c r="W43" s="735">
        <f t="shared" si="6"/>
        <v>270168.58986695961</v>
      </c>
      <c r="X43" s="737">
        <f t="shared" si="7"/>
        <v>0</v>
      </c>
      <c r="Y43" s="738">
        <f t="shared" si="8"/>
        <v>0</v>
      </c>
    </row>
    <row r="44" spans="1:25">
      <c r="A44" s="754" t="str">
        <f>'Func Future Subs 2015'!A44</f>
        <v>Wabamun 19S</v>
      </c>
      <c r="B44" s="754">
        <f>'Func Future Subs 2015'!B44</f>
        <v>786</v>
      </c>
      <c r="C44" s="754">
        <f>'Func Future Subs 2015'!C44</f>
        <v>240</v>
      </c>
      <c r="D44" s="754">
        <f>'Func Future Subs 2015'!D44</f>
        <v>138</v>
      </c>
      <c r="E44" s="754" t="str">
        <f>'Func Future Subs 2015'!E44</f>
        <v>19S</v>
      </c>
      <c r="F44" s="754">
        <f>'Func Future Subs 2015'!F44</f>
        <v>314793.33534968545</v>
      </c>
      <c r="G44" s="754" t="str">
        <f>'Func Future Subs 2015'!G44</f>
        <v>AltaLink</v>
      </c>
      <c r="H44" s="754">
        <f>'Func Future Subs 2015'!H44</f>
        <v>2016</v>
      </c>
      <c r="I44" s="306">
        <f>+IF($H44=I$2,VLOOKUP($G44,Depreciation!$A$14:$L$18,7,FALSE)/2,IF($H44&lt;I$2,VLOOKUP($G44,Depreciation!$A$14:$L$18,7,FALSE),0))</f>
        <v>0</v>
      </c>
      <c r="J44" s="306">
        <f>+IF($H44=J$2,VLOOKUP($G44,Depreciation!$A$14:$L$18,8,FALSE)/2,IF($H44&lt;J$2,VLOOKUP($G44,Depreciation!$A$14:$L$18,8,FALSE),0))</f>
        <v>1.671703928371859E-2</v>
      </c>
      <c r="K44" s="306">
        <f>+IF($H44=K$2,VLOOKUP($G44,Depreciation!$A$14:$L$18,9,FALSE)/2,IF($H44&lt;K$2,VLOOKUP($G44,Depreciation!$A$14:$L$18,9,FALSE),0))</f>
        <v>3.343407856743718E-2</v>
      </c>
      <c r="L44" s="306">
        <f>+IF($H44=L$2,VLOOKUP($G44,Depreciation!$A$14:$L$18,10,FALSE)/2,IF($H44&lt;L$2,VLOOKUP($G44,Depreciation!$A$14:$L$18,10,FALSE),0))</f>
        <v>3.343407856743718E-2</v>
      </c>
      <c r="M44" s="306">
        <f>+IF($H44=M$2,VLOOKUP($G44,Depreciation!$A$14:$L$18,11,FALSE)/2,IF($H44&lt;M$2,VLOOKUP($G44,Depreciation!$A$14:$L$18,11,FALSE),0))</f>
        <v>3.343407856743718E-2</v>
      </c>
      <c r="N44" s="306">
        <f>+IF($H44=N$2,VLOOKUP($G44,Depreciation!$A$14:$L$18,12,FALSE)/2,IF($H44&lt;N$2,VLOOKUP($G44,Depreciation!$A$14:$L$18,12,FALSE),0))</f>
        <v>3.343407856743718E-2</v>
      </c>
      <c r="O44" s="307">
        <f t="shared" si="1"/>
        <v>270165.54317349271</v>
      </c>
      <c r="P44" s="732">
        <f>'Func Future Subs 2015'!P44</f>
        <v>0</v>
      </c>
      <c r="Q44" s="732">
        <f>'Func Future Subs 2015'!Q44</f>
        <v>0</v>
      </c>
      <c r="R44" s="732">
        <f>'Func Future Subs 2015'!R44</f>
        <v>1</v>
      </c>
      <c r="S44" s="735">
        <f t="shared" si="2"/>
        <v>0</v>
      </c>
      <c r="T44" s="735">
        <f t="shared" si="3"/>
        <v>0</v>
      </c>
      <c r="U44" s="735">
        <f t="shared" si="4"/>
        <v>270165.54317349271</v>
      </c>
      <c r="V44" s="736">
        <f t="shared" si="5"/>
        <v>0</v>
      </c>
      <c r="W44" s="735">
        <f t="shared" si="6"/>
        <v>0</v>
      </c>
      <c r="X44" s="737">
        <f t="shared" si="7"/>
        <v>270165.54317349271</v>
      </c>
      <c r="Y44" s="738">
        <f t="shared" si="8"/>
        <v>0</v>
      </c>
    </row>
    <row r="45" spans="1:25">
      <c r="A45" s="754" t="str">
        <f>'Func Future Subs 2015'!A45</f>
        <v>Arcenciel 930S</v>
      </c>
      <c r="B45" s="754">
        <f>'Func Future Subs 2015'!B45</f>
        <v>803</v>
      </c>
      <c r="C45" s="754">
        <f>'Func Future Subs 2015'!C45</f>
        <v>138</v>
      </c>
      <c r="D45" s="754">
        <f>'Func Future Subs 2015'!D45</f>
        <v>138</v>
      </c>
      <c r="E45" s="754" t="str">
        <f>'Func Future Subs 2015'!E45</f>
        <v>930S</v>
      </c>
      <c r="F45" s="754">
        <f>'Func Future Subs 2015'!F45</f>
        <v>119288.54647463236</v>
      </c>
      <c r="G45" s="754" t="str">
        <f>'Func Future Subs 2015'!G45</f>
        <v>ATCO</v>
      </c>
      <c r="H45" s="754">
        <f>'Func Future Subs 2015'!H45</f>
        <v>2017</v>
      </c>
      <c r="I45" s="306">
        <f>+IF($H45=I$2,VLOOKUP($G45,Depreciation!$A$14:$L$18,7,FALSE)/2,IF($H45&lt;I$2,VLOOKUP($G45,Depreciation!$A$14:$L$18,7,FALSE),0))</f>
        <v>0</v>
      </c>
      <c r="J45" s="306">
        <f>+IF($H45=J$2,VLOOKUP($G45,Depreciation!$A$14:$L$18,8,FALSE)/2,IF($H45&lt;J$2,VLOOKUP($G45,Depreciation!$A$14:$L$18,8,FALSE),0))</f>
        <v>0</v>
      </c>
      <c r="K45" s="306">
        <f>+IF($H45=K$2,VLOOKUP($G45,Depreciation!$A$14:$L$18,9,FALSE)/2,IF($H45&lt;K$2,VLOOKUP($G45,Depreciation!$A$14:$L$18,9,FALSE),0))</f>
        <v>1.2175768213899416E-2</v>
      </c>
      <c r="L45" s="306">
        <f>+IF($H45=L$2,VLOOKUP($G45,Depreciation!$A$14:$L$18,10,FALSE)/2,IF($H45&lt;L$2,VLOOKUP($G45,Depreciation!$A$14:$L$18,10,FALSE),0))</f>
        <v>2.4351536427798831E-2</v>
      </c>
      <c r="M45" s="306">
        <f>+IF($H45=M$2,VLOOKUP($G45,Depreciation!$A$14:$L$18,11,FALSE)/2,IF($H45&lt;M$2,VLOOKUP($G45,Depreciation!$A$14:$L$18,11,FALSE),0))</f>
        <v>2.4351536427798831E-2</v>
      </c>
      <c r="N45" s="306">
        <f>+IF($H45=N$2,VLOOKUP($G45,Depreciation!$A$14:$L$18,12,FALSE)/2,IF($H45&lt;N$2,VLOOKUP($G45,Depreciation!$A$14:$L$18,12,FALSE),0))</f>
        <v>2.4351536427798831E-2</v>
      </c>
      <c r="O45" s="307">
        <f t="shared" si="1"/>
        <v>109435.57321761384</v>
      </c>
      <c r="P45" s="732">
        <f>'Func Future Subs 2015'!P45</f>
        <v>0</v>
      </c>
      <c r="Q45" s="732">
        <f>'Func Future Subs 2015'!Q45</f>
        <v>0</v>
      </c>
      <c r="R45" s="732">
        <f>'Func Future Subs 2015'!R45</f>
        <v>1</v>
      </c>
      <c r="S45" s="735">
        <f t="shared" si="2"/>
        <v>0</v>
      </c>
      <c r="T45" s="735">
        <f t="shared" si="3"/>
        <v>0</v>
      </c>
      <c r="U45" s="735">
        <f t="shared" si="4"/>
        <v>109435.57321761384</v>
      </c>
      <c r="V45" s="736">
        <f t="shared" si="5"/>
        <v>0</v>
      </c>
      <c r="W45" s="735">
        <f t="shared" si="6"/>
        <v>0</v>
      </c>
      <c r="X45" s="737">
        <f t="shared" si="7"/>
        <v>109435.57321761384</v>
      </c>
      <c r="Y45" s="738">
        <f t="shared" si="8"/>
        <v>0</v>
      </c>
    </row>
    <row r="46" spans="1:25">
      <c r="A46" s="754" t="str">
        <f>'Func Future Subs 2015'!A46</f>
        <v>Blumenort substation 832S</v>
      </c>
      <c r="B46" s="754">
        <f>'Func Future Subs 2015'!B46</f>
        <v>803</v>
      </c>
      <c r="C46" s="754">
        <f>'Func Future Subs 2015'!C46</f>
        <v>138</v>
      </c>
      <c r="D46" s="754">
        <f>'Func Future Subs 2015'!D46</f>
        <v>25</v>
      </c>
      <c r="E46" s="754" t="str">
        <f>'Func Future Subs 2015'!E46</f>
        <v>832S</v>
      </c>
      <c r="F46" s="754">
        <f>'Func Future Subs 2015'!F46</f>
        <v>3476988.1419072561</v>
      </c>
      <c r="G46" s="754" t="str">
        <f>'Func Future Subs 2015'!G46</f>
        <v>ATCO</v>
      </c>
      <c r="H46" s="754">
        <f>'Func Future Subs 2015'!H46</f>
        <v>2017</v>
      </c>
      <c r="I46" s="306">
        <f>+IF($H46=I$2,VLOOKUP($G46,Depreciation!$A$14:$L$18,7,FALSE)/2,IF($H46&lt;I$2,VLOOKUP($G46,Depreciation!$A$14:$L$18,7,FALSE),0))</f>
        <v>0</v>
      </c>
      <c r="J46" s="306">
        <f>+IF($H46=J$2,VLOOKUP($G46,Depreciation!$A$14:$L$18,8,FALSE)/2,IF($H46&lt;J$2,VLOOKUP($G46,Depreciation!$A$14:$L$18,8,FALSE),0))</f>
        <v>0</v>
      </c>
      <c r="K46" s="306">
        <f>+IF($H46=K$2,VLOOKUP($G46,Depreciation!$A$14:$L$18,9,FALSE)/2,IF($H46&lt;K$2,VLOOKUP($G46,Depreciation!$A$14:$L$18,9,FALSE),0))</f>
        <v>1.2175768213899416E-2</v>
      </c>
      <c r="L46" s="306">
        <f>+IF($H46=L$2,VLOOKUP($G46,Depreciation!$A$14:$L$18,10,FALSE)/2,IF($H46&lt;L$2,VLOOKUP($G46,Depreciation!$A$14:$L$18,10,FALSE),0))</f>
        <v>2.4351536427798831E-2</v>
      </c>
      <c r="M46" s="306">
        <f>+IF($H46=M$2,VLOOKUP($G46,Depreciation!$A$14:$L$18,11,FALSE)/2,IF($H46&lt;M$2,VLOOKUP($G46,Depreciation!$A$14:$L$18,11,FALSE),0))</f>
        <v>2.4351536427798831E-2</v>
      </c>
      <c r="N46" s="306">
        <f>+IF($H46=N$2,VLOOKUP($G46,Depreciation!$A$14:$L$18,12,FALSE)/2,IF($H46&lt;N$2,VLOOKUP($G46,Depreciation!$A$14:$L$18,12,FALSE),0))</f>
        <v>2.4351536427798831E-2</v>
      </c>
      <c r="O46" s="307">
        <f t="shared" si="1"/>
        <v>3189796.5196632198</v>
      </c>
      <c r="P46" s="732">
        <f>'Func Future Subs 2015'!P46</f>
        <v>0</v>
      </c>
      <c r="Q46" s="732">
        <f>'Func Future Subs 2015'!Q46</f>
        <v>1</v>
      </c>
      <c r="R46" s="732">
        <f>'Func Future Subs 2015'!R46</f>
        <v>0</v>
      </c>
      <c r="S46" s="735">
        <f t="shared" si="2"/>
        <v>0</v>
      </c>
      <c r="T46" s="735">
        <f t="shared" si="3"/>
        <v>3189796.5196632198</v>
      </c>
      <c r="U46" s="735">
        <f t="shared" si="4"/>
        <v>0</v>
      </c>
      <c r="V46" s="736">
        <f t="shared" si="5"/>
        <v>0</v>
      </c>
      <c r="W46" s="735">
        <f t="shared" si="6"/>
        <v>0</v>
      </c>
      <c r="X46" s="737">
        <f t="shared" si="7"/>
        <v>0</v>
      </c>
      <c r="Y46" s="738">
        <f t="shared" si="8"/>
        <v>3189796.5196632198</v>
      </c>
    </row>
    <row r="47" spans="1:25">
      <c r="A47" s="754" t="str">
        <f>'Func Future Subs 2015'!A47</f>
        <v>High Level substation</v>
      </c>
      <c r="B47" s="754">
        <f>'Func Future Subs 2015'!B47</f>
        <v>803</v>
      </c>
      <c r="C47" s="754">
        <f>'Func Future Subs 2015'!C47</f>
        <v>138</v>
      </c>
      <c r="D47" s="754">
        <f>'Func Future Subs 2015'!D47</f>
        <v>0</v>
      </c>
      <c r="E47" s="754">
        <f>'Func Future Subs 2015'!E47</f>
        <v>0</v>
      </c>
      <c r="F47" s="754">
        <f>'Func Future Subs 2015'!F47</f>
        <v>660698.13426418137</v>
      </c>
      <c r="G47" s="754" t="str">
        <f>'Func Future Subs 2015'!G47</f>
        <v>ATCO</v>
      </c>
      <c r="H47" s="754">
        <f>'Func Future Subs 2015'!H47</f>
        <v>2017</v>
      </c>
      <c r="I47" s="306">
        <f>+IF($H47=I$2,VLOOKUP($G47,Depreciation!$A$14:$L$18,7,FALSE)/2,IF($H47&lt;I$2,VLOOKUP($G47,Depreciation!$A$14:$L$18,7,FALSE),0))</f>
        <v>0</v>
      </c>
      <c r="J47" s="306">
        <f>+IF($H47=J$2,VLOOKUP($G47,Depreciation!$A$14:$L$18,8,FALSE)/2,IF($H47&lt;J$2,VLOOKUP($G47,Depreciation!$A$14:$L$18,8,FALSE),0))</f>
        <v>0</v>
      </c>
      <c r="K47" s="306">
        <f>+IF($H47=K$2,VLOOKUP($G47,Depreciation!$A$14:$L$18,9,FALSE)/2,IF($H47&lt;K$2,VLOOKUP($G47,Depreciation!$A$14:$L$18,9,FALSE),0))</f>
        <v>1.2175768213899416E-2</v>
      </c>
      <c r="L47" s="306">
        <f>+IF($H47=L$2,VLOOKUP($G47,Depreciation!$A$14:$L$18,10,FALSE)/2,IF($H47&lt;L$2,VLOOKUP($G47,Depreciation!$A$14:$L$18,10,FALSE),0))</f>
        <v>2.4351536427798831E-2</v>
      </c>
      <c r="M47" s="306">
        <f>+IF($H47=M$2,VLOOKUP($G47,Depreciation!$A$14:$L$18,11,FALSE)/2,IF($H47&lt;M$2,VLOOKUP($G47,Depreciation!$A$14:$L$18,11,FALSE),0))</f>
        <v>2.4351536427798831E-2</v>
      </c>
      <c r="N47" s="306">
        <f>+IF($H47=N$2,VLOOKUP($G47,Depreciation!$A$14:$L$18,12,FALSE)/2,IF($H47&lt;N$2,VLOOKUP($G47,Depreciation!$A$14:$L$18,12,FALSE),0))</f>
        <v>2.4351536427798831E-2</v>
      </c>
      <c r="O47" s="307">
        <f t="shared" si="1"/>
        <v>606125.91220050328</v>
      </c>
      <c r="P47" s="732">
        <f>'Func Future Subs 2015'!P47</f>
        <v>0</v>
      </c>
      <c r="Q47" s="732">
        <f>'Func Future Subs 2015'!Q47</f>
        <v>0</v>
      </c>
      <c r="R47" s="732">
        <f>'Func Future Subs 2015'!R47</f>
        <v>1</v>
      </c>
      <c r="S47" s="735">
        <f t="shared" si="2"/>
        <v>0</v>
      </c>
      <c r="T47" s="735">
        <f t="shared" si="3"/>
        <v>0</v>
      </c>
      <c r="U47" s="735">
        <f t="shared" si="4"/>
        <v>606125.91220050328</v>
      </c>
      <c r="V47" s="736">
        <f t="shared" si="5"/>
        <v>606125.91220050328</v>
      </c>
      <c r="W47" s="735">
        <f t="shared" si="6"/>
        <v>0</v>
      </c>
      <c r="X47" s="737">
        <f t="shared" si="7"/>
        <v>0</v>
      </c>
      <c r="Y47" s="738">
        <f t="shared" si="8"/>
        <v>0</v>
      </c>
    </row>
    <row r="48" spans="1:25">
      <c r="A48" s="754" t="str">
        <f>'Func Future Subs 2015'!A48</f>
        <v>Keg River 789S</v>
      </c>
      <c r="B48" s="754">
        <f>'Func Future Subs 2015'!B48</f>
        <v>803</v>
      </c>
      <c r="C48" s="754">
        <f>'Func Future Subs 2015'!C48</f>
        <v>138</v>
      </c>
      <c r="D48" s="754">
        <f>'Func Future Subs 2015'!D48</f>
        <v>138</v>
      </c>
      <c r="E48" s="754" t="str">
        <f>'Func Future Subs 2015'!E48</f>
        <v>789S</v>
      </c>
      <c r="F48" s="754">
        <f>'Func Future Subs 2015'!F48</f>
        <v>242204.41402375777</v>
      </c>
      <c r="G48" s="754" t="str">
        <f>'Func Future Subs 2015'!G48</f>
        <v>ATCO</v>
      </c>
      <c r="H48" s="754">
        <f>'Func Future Subs 2015'!H48</f>
        <v>2017</v>
      </c>
      <c r="I48" s="306">
        <f>+IF($H48=I$2,VLOOKUP($G48,Depreciation!$A$14:$L$18,7,FALSE)/2,IF($H48&lt;I$2,VLOOKUP($G48,Depreciation!$A$14:$L$18,7,FALSE),0))</f>
        <v>0</v>
      </c>
      <c r="J48" s="306">
        <f>+IF($H48=J$2,VLOOKUP($G48,Depreciation!$A$14:$L$18,8,FALSE)/2,IF($H48&lt;J$2,VLOOKUP($G48,Depreciation!$A$14:$L$18,8,FALSE),0))</f>
        <v>0</v>
      </c>
      <c r="K48" s="306">
        <f>+IF($H48=K$2,VLOOKUP($G48,Depreciation!$A$14:$L$18,9,FALSE)/2,IF($H48&lt;K$2,VLOOKUP($G48,Depreciation!$A$14:$L$18,9,FALSE),0))</f>
        <v>1.2175768213899416E-2</v>
      </c>
      <c r="L48" s="306">
        <f>+IF($H48=L$2,VLOOKUP($G48,Depreciation!$A$14:$L$18,10,FALSE)/2,IF($H48&lt;L$2,VLOOKUP($G48,Depreciation!$A$14:$L$18,10,FALSE),0))</f>
        <v>2.4351536427798831E-2</v>
      </c>
      <c r="M48" s="306">
        <f>+IF($H48=M$2,VLOOKUP($G48,Depreciation!$A$14:$L$18,11,FALSE)/2,IF($H48&lt;M$2,VLOOKUP($G48,Depreciation!$A$14:$L$18,11,FALSE),0))</f>
        <v>2.4351536427798831E-2</v>
      </c>
      <c r="N48" s="306">
        <f>+IF($H48=N$2,VLOOKUP($G48,Depreciation!$A$14:$L$18,12,FALSE)/2,IF($H48&lt;N$2,VLOOKUP($G48,Depreciation!$A$14:$L$18,12,FALSE),0))</f>
        <v>2.4351536427798831E-2</v>
      </c>
      <c r="O48" s="307">
        <f t="shared" si="1"/>
        <v>222198.85871576829</v>
      </c>
      <c r="P48" s="732">
        <f>'Func Future Subs 2015'!P48</f>
        <v>0</v>
      </c>
      <c r="Q48" s="732">
        <f>'Func Future Subs 2015'!Q48</f>
        <v>0</v>
      </c>
      <c r="R48" s="732">
        <f>'Func Future Subs 2015'!R48</f>
        <v>1</v>
      </c>
      <c r="S48" s="735">
        <f t="shared" si="2"/>
        <v>0</v>
      </c>
      <c r="T48" s="735">
        <f t="shared" si="3"/>
        <v>0</v>
      </c>
      <c r="U48" s="735">
        <f t="shared" si="4"/>
        <v>222198.85871576829</v>
      </c>
      <c r="V48" s="736">
        <f t="shared" si="5"/>
        <v>0</v>
      </c>
      <c r="W48" s="735">
        <f t="shared" si="6"/>
        <v>0</v>
      </c>
      <c r="X48" s="737">
        <f t="shared" si="7"/>
        <v>222198.85871576829</v>
      </c>
      <c r="Y48" s="738">
        <f t="shared" si="8"/>
        <v>0</v>
      </c>
    </row>
    <row r="49" spans="1:27">
      <c r="A49" s="754" t="str">
        <f>'Func Future Subs 2015'!A49</f>
        <v>Ring Creek 853S</v>
      </c>
      <c r="B49" s="754">
        <f>'Func Future Subs 2015'!B49</f>
        <v>803</v>
      </c>
      <c r="C49" s="754">
        <f>'Func Future Subs 2015'!C49</f>
        <v>138</v>
      </c>
      <c r="D49" s="754">
        <f>'Func Future Subs 2015'!D49</f>
        <v>25</v>
      </c>
      <c r="E49" s="754" t="str">
        <f>'Func Future Subs 2015'!E49</f>
        <v>853S</v>
      </c>
      <c r="F49" s="754">
        <f>'Func Future Subs 2015'!F49</f>
        <v>85463.58970544675</v>
      </c>
      <c r="G49" s="754" t="str">
        <f>'Func Future Subs 2015'!G49</f>
        <v>ATCO</v>
      </c>
      <c r="H49" s="754">
        <f>'Func Future Subs 2015'!H49</f>
        <v>2017</v>
      </c>
      <c r="I49" s="306">
        <f>+IF($H49=I$2,VLOOKUP($G49,Depreciation!$A$14:$L$18,7,FALSE)/2,IF($H49&lt;I$2,VLOOKUP($G49,Depreciation!$A$14:$L$18,7,FALSE),0))</f>
        <v>0</v>
      </c>
      <c r="J49" s="306">
        <f>+IF($H49=J$2,VLOOKUP($G49,Depreciation!$A$14:$L$18,8,FALSE)/2,IF($H49&lt;J$2,VLOOKUP($G49,Depreciation!$A$14:$L$18,8,FALSE),0))</f>
        <v>0</v>
      </c>
      <c r="K49" s="306">
        <f>+IF($H49=K$2,VLOOKUP($G49,Depreciation!$A$14:$L$18,9,FALSE)/2,IF($H49&lt;K$2,VLOOKUP($G49,Depreciation!$A$14:$L$18,9,FALSE),0))</f>
        <v>1.2175768213899416E-2</v>
      </c>
      <c r="L49" s="306">
        <f>+IF($H49=L$2,VLOOKUP($G49,Depreciation!$A$14:$L$18,10,FALSE)/2,IF($H49&lt;L$2,VLOOKUP($G49,Depreciation!$A$14:$L$18,10,FALSE),0))</f>
        <v>2.4351536427798831E-2</v>
      </c>
      <c r="M49" s="306">
        <f>+IF($H49=M$2,VLOOKUP($G49,Depreciation!$A$14:$L$18,11,FALSE)/2,IF($H49&lt;M$2,VLOOKUP($G49,Depreciation!$A$14:$L$18,11,FALSE),0))</f>
        <v>2.4351536427798831E-2</v>
      </c>
      <c r="N49" s="306">
        <f>+IF($H49=N$2,VLOOKUP($G49,Depreciation!$A$14:$L$18,12,FALSE)/2,IF($H49&lt;N$2,VLOOKUP($G49,Depreciation!$A$14:$L$18,12,FALSE),0))</f>
        <v>2.4351536427798831E-2</v>
      </c>
      <c r="O49" s="307">
        <f t="shared" si="1"/>
        <v>78404.483959735924</v>
      </c>
      <c r="P49" s="732">
        <f>'Func Future Subs 2015'!P49</f>
        <v>0</v>
      </c>
      <c r="Q49" s="732">
        <f>'Func Future Subs 2015'!Q49</f>
        <v>1</v>
      </c>
      <c r="R49" s="732">
        <f>'Func Future Subs 2015'!R49</f>
        <v>0</v>
      </c>
      <c r="S49" s="735">
        <f t="shared" si="2"/>
        <v>0</v>
      </c>
      <c r="T49" s="735">
        <f t="shared" si="3"/>
        <v>78404.483959735924</v>
      </c>
      <c r="U49" s="735">
        <f t="shared" si="4"/>
        <v>0</v>
      </c>
      <c r="V49" s="736">
        <f t="shared" si="5"/>
        <v>0</v>
      </c>
      <c r="W49" s="735">
        <f t="shared" si="6"/>
        <v>0</v>
      </c>
      <c r="X49" s="737">
        <f t="shared" si="7"/>
        <v>0</v>
      </c>
      <c r="Y49" s="738">
        <f t="shared" si="8"/>
        <v>78404.483959735924</v>
      </c>
    </row>
    <row r="50" spans="1:27">
      <c r="A50" s="754" t="str">
        <f>'Func Future Subs 2015'!A50</f>
        <v>Sulphur Point 828S</v>
      </c>
      <c r="B50" s="754">
        <f>'Func Future Subs 2015'!B50</f>
        <v>803</v>
      </c>
      <c r="C50" s="754">
        <f>'Func Future Subs 2015'!C50</f>
        <v>138</v>
      </c>
      <c r="D50" s="754">
        <f>'Func Future Subs 2015'!D50</f>
        <v>25</v>
      </c>
      <c r="E50" s="754" t="str">
        <f>'Func Future Subs 2015'!E50</f>
        <v>828S</v>
      </c>
      <c r="F50" s="754">
        <f>'Func Future Subs 2015'!F50</f>
        <v>66376.971670614337</v>
      </c>
      <c r="G50" s="754" t="str">
        <f>'Func Future Subs 2015'!G50</f>
        <v>ATCO</v>
      </c>
      <c r="H50" s="754">
        <f>'Func Future Subs 2015'!H50</f>
        <v>2017</v>
      </c>
      <c r="I50" s="306">
        <f>+IF($H50=I$2,VLOOKUP($G50,Depreciation!$A$14:$L$18,7,FALSE)/2,IF($H50&lt;I$2,VLOOKUP($G50,Depreciation!$A$14:$L$18,7,FALSE),0))</f>
        <v>0</v>
      </c>
      <c r="J50" s="306">
        <f>+IF($H50=J$2,VLOOKUP($G50,Depreciation!$A$14:$L$18,8,FALSE)/2,IF($H50&lt;J$2,VLOOKUP($G50,Depreciation!$A$14:$L$18,8,FALSE),0))</f>
        <v>0</v>
      </c>
      <c r="K50" s="306">
        <f>+IF($H50=K$2,VLOOKUP($G50,Depreciation!$A$14:$L$18,9,FALSE)/2,IF($H50&lt;K$2,VLOOKUP($G50,Depreciation!$A$14:$L$18,9,FALSE),0))</f>
        <v>1.2175768213899416E-2</v>
      </c>
      <c r="L50" s="306">
        <f>+IF($H50=L$2,VLOOKUP($G50,Depreciation!$A$14:$L$18,10,FALSE)/2,IF($H50&lt;L$2,VLOOKUP($G50,Depreciation!$A$14:$L$18,10,FALSE),0))</f>
        <v>2.4351536427798831E-2</v>
      </c>
      <c r="M50" s="306">
        <f>+IF($H50=M$2,VLOOKUP($G50,Depreciation!$A$14:$L$18,11,FALSE)/2,IF($H50&lt;M$2,VLOOKUP($G50,Depreciation!$A$14:$L$18,11,FALSE),0))</f>
        <v>2.4351536427798831E-2</v>
      </c>
      <c r="N50" s="306">
        <f>+IF($H50=N$2,VLOOKUP($G50,Depreciation!$A$14:$L$18,12,FALSE)/2,IF($H50&lt;N$2,VLOOKUP($G50,Depreciation!$A$14:$L$18,12,FALSE),0))</f>
        <v>2.4351536427798831E-2</v>
      </c>
      <c r="O50" s="307">
        <f t="shared" si="1"/>
        <v>60894.378864510181</v>
      </c>
      <c r="P50" s="732">
        <f>'Func Future Subs 2015'!P50</f>
        <v>0</v>
      </c>
      <c r="Q50" s="732">
        <f>'Func Future Subs 2015'!Q50</f>
        <v>1</v>
      </c>
      <c r="R50" s="732">
        <f>'Func Future Subs 2015'!R50</f>
        <v>0</v>
      </c>
      <c r="S50" s="735">
        <f t="shared" si="2"/>
        <v>0</v>
      </c>
      <c r="T50" s="735">
        <f t="shared" si="3"/>
        <v>60894.378864510181</v>
      </c>
      <c r="U50" s="735">
        <f t="shared" si="4"/>
        <v>0</v>
      </c>
      <c r="V50" s="736">
        <f t="shared" si="5"/>
        <v>0</v>
      </c>
      <c r="W50" s="735">
        <f t="shared" si="6"/>
        <v>0</v>
      </c>
      <c r="X50" s="737">
        <f t="shared" si="7"/>
        <v>0</v>
      </c>
      <c r="Y50" s="738">
        <f t="shared" si="8"/>
        <v>60894.378864510181</v>
      </c>
    </row>
    <row r="51" spans="1:27">
      <c r="A51" s="754" t="str">
        <f>'Func Future Subs 2015'!A51</f>
        <v>Bourque 970S(180)</v>
      </c>
      <c r="B51" s="754">
        <f>'Func Future Subs 2015'!B51</f>
        <v>811</v>
      </c>
      <c r="C51" s="754">
        <f>'Func Future Subs 2015'!C51</f>
        <v>144</v>
      </c>
      <c r="D51" s="754">
        <f>'Func Future Subs 2015'!D51</f>
        <v>144</v>
      </c>
      <c r="E51" s="754" t="str">
        <f>'Func Future Subs 2015'!E51</f>
        <v>970S</v>
      </c>
      <c r="F51" s="754">
        <f>'Func Future Subs 2015'!F51</f>
        <v>20557692.682692483</v>
      </c>
      <c r="G51" s="754" t="str">
        <f>'Func Future Subs 2015'!G51</f>
        <v>ATCO</v>
      </c>
      <c r="H51" s="754">
        <f>'Func Future Subs 2015'!H51</f>
        <v>2017</v>
      </c>
      <c r="I51" s="306">
        <f>+IF($H51=I$2,VLOOKUP($G51,Depreciation!$A$14:$L$18,7,FALSE)/2,IF($H51&lt;I$2,VLOOKUP($G51,Depreciation!$A$14:$L$18,7,FALSE),0))</f>
        <v>0</v>
      </c>
      <c r="J51" s="306">
        <f>+IF($H51=J$2,VLOOKUP($G51,Depreciation!$A$14:$L$18,8,FALSE)/2,IF($H51&lt;J$2,VLOOKUP($G51,Depreciation!$A$14:$L$18,8,FALSE),0))</f>
        <v>0</v>
      </c>
      <c r="K51" s="306">
        <f>+IF($H51=K$2,VLOOKUP($G51,Depreciation!$A$14:$L$18,9,FALSE)/2,IF($H51&lt;K$2,VLOOKUP($G51,Depreciation!$A$14:$L$18,9,FALSE),0))</f>
        <v>1.2175768213899416E-2</v>
      </c>
      <c r="L51" s="306">
        <f>+IF($H51=L$2,VLOOKUP($G51,Depreciation!$A$14:$L$18,10,FALSE)/2,IF($H51&lt;L$2,VLOOKUP($G51,Depreciation!$A$14:$L$18,10,FALSE),0))</f>
        <v>2.4351536427798831E-2</v>
      </c>
      <c r="M51" s="306">
        <f>+IF($H51=M$2,VLOOKUP($G51,Depreciation!$A$14:$L$18,11,FALSE)/2,IF($H51&lt;M$2,VLOOKUP($G51,Depreciation!$A$14:$L$18,11,FALSE),0))</f>
        <v>2.4351536427798831E-2</v>
      </c>
      <c r="N51" s="306">
        <f>+IF($H51=N$2,VLOOKUP($G51,Depreciation!$A$14:$L$18,12,FALSE)/2,IF($H51&lt;N$2,VLOOKUP($G51,Depreciation!$A$14:$L$18,12,FALSE),0))</f>
        <v>2.4351536427798831E-2</v>
      </c>
      <c r="O51" s="307">
        <f t="shared" si="1"/>
        <v>18859672.191918466</v>
      </c>
      <c r="P51" s="732">
        <f>'Func Future Subs 2015'!P51</f>
        <v>0</v>
      </c>
      <c r="Q51" s="732">
        <f>'Func Future Subs 2015'!Q51</f>
        <v>0</v>
      </c>
      <c r="R51" s="732">
        <f>'Func Future Subs 2015'!R51</f>
        <v>1</v>
      </c>
      <c r="S51" s="735">
        <f t="shared" si="2"/>
        <v>0</v>
      </c>
      <c r="T51" s="735">
        <f t="shared" si="3"/>
        <v>0</v>
      </c>
      <c r="U51" s="735">
        <f t="shared" si="4"/>
        <v>18859672.191918466</v>
      </c>
      <c r="V51" s="736">
        <f t="shared" si="5"/>
        <v>0</v>
      </c>
      <c r="W51" s="735">
        <f t="shared" si="6"/>
        <v>0</v>
      </c>
      <c r="X51" s="737">
        <f t="shared" si="7"/>
        <v>18859672.191918466</v>
      </c>
      <c r="Y51" s="738">
        <f t="shared" si="8"/>
        <v>0</v>
      </c>
    </row>
    <row r="52" spans="1:27">
      <c r="A52" s="754" t="str">
        <f>'Func Future Subs 2015'!A52</f>
        <v>Heisler 764S180</v>
      </c>
      <c r="B52" s="754">
        <f>'Func Future Subs 2015'!B52</f>
        <v>811</v>
      </c>
      <c r="C52" s="754">
        <f>'Func Future Subs 2015'!C52</f>
        <v>144</v>
      </c>
      <c r="D52" s="754">
        <f>'Func Future Subs 2015'!D52</f>
        <v>25</v>
      </c>
      <c r="E52" s="754" t="str">
        <f>'Func Future Subs 2015'!E52</f>
        <v>764S</v>
      </c>
      <c r="F52" s="754">
        <f>'Func Future Subs 2015'!F52</f>
        <v>14655875.320036264</v>
      </c>
      <c r="G52" s="754" t="str">
        <f>'Func Future Subs 2015'!G52</f>
        <v>ATCO</v>
      </c>
      <c r="H52" s="754">
        <f>'Func Future Subs 2015'!H52</f>
        <v>2017</v>
      </c>
      <c r="I52" s="306">
        <f>+IF($H52=I$2,VLOOKUP($G52,Depreciation!$A$14:$L$18,7,FALSE)/2,IF($H52&lt;I$2,VLOOKUP($G52,Depreciation!$A$14:$L$18,7,FALSE),0))</f>
        <v>0</v>
      </c>
      <c r="J52" s="306">
        <f>+IF($H52=J$2,VLOOKUP($G52,Depreciation!$A$14:$L$18,8,FALSE)/2,IF($H52&lt;J$2,VLOOKUP($G52,Depreciation!$A$14:$L$18,8,FALSE),0))</f>
        <v>0</v>
      </c>
      <c r="K52" s="306">
        <f>+IF($H52=K$2,VLOOKUP($G52,Depreciation!$A$14:$L$18,9,FALSE)/2,IF($H52&lt;K$2,VLOOKUP($G52,Depreciation!$A$14:$L$18,9,FALSE),0))</f>
        <v>1.2175768213899416E-2</v>
      </c>
      <c r="L52" s="306">
        <f>+IF($H52=L$2,VLOOKUP($G52,Depreciation!$A$14:$L$18,10,FALSE)/2,IF($H52&lt;L$2,VLOOKUP($G52,Depreciation!$A$14:$L$18,10,FALSE),0))</f>
        <v>2.4351536427798831E-2</v>
      </c>
      <c r="M52" s="306">
        <f>+IF($H52=M$2,VLOOKUP($G52,Depreciation!$A$14:$L$18,11,FALSE)/2,IF($H52&lt;M$2,VLOOKUP($G52,Depreciation!$A$14:$L$18,11,FALSE),0))</f>
        <v>2.4351536427798831E-2</v>
      </c>
      <c r="N52" s="306">
        <f>+IF($H52=N$2,VLOOKUP($G52,Depreciation!$A$14:$L$18,12,FALSE)/2,IF($H52&lt;N$2,VLOOKUP($G52,Depreciation!$A$14:$L$18,12,FALSE),0))</f>
        <v>2.4351536427798831E-2</v>
      </c>
      <c r="O52" s="307">
        <f t="shared" si="1"/>
        <v>13445332.046150167</v>
      </c>
      <c r="P52" s="732">
        <f>'Func Future Subs 2015'!P52</f>
        <v>0</v>
      </c>
      <c r="Q52" s="732">
        <f>'Func Future Subs 2015'!Q52</f>
        <v>1</v>
      </c>
      <c r="R52" s="732">
        <f>'Func Future Subs 2015'!R52</f>
        <v>0</v>
      </c>
      <c r="S52" s="735">
        <f t="shared" si="2"/>
        <v>0</v>
      </c>
      <c r="T52" s="735">
        <f t="shared" si="3"/>
        <v>13445332.046150167</v>
      </c>
      <c r="U52" s="735">
        <f t="shared" si="4"/>
        <v>0</v>
      </c>
      <c r="V52" s="736">
        <f t="shared" si="5"/>
        <v>0</v>
      </c>
      <c r="W52" s="735">
        <f t="shared" si="6"/>
        <v>0</v>
      </c>
      <c r="X52" s="737">
        <f t="shared" si="7"/>
        <v>0</v>
      </c>
      <c r="Y52" s="738">
        <f t="shared" si="8"/>
        <v>13445332.046150167</v>
      </c>
    </row>
    <row r="53" spans="1:27">
      <c r="A53" s="754" t="str">
        <f>'Func Future Subs 2015'!A53</f>
        <v>Kitscoty 705S180</v>
      </c>
      <c r="B53" s="754">
        <f>'Func Future Subs 2015'!B53</f>
        <v>811</v>
      </c>
      <c r="C53" s="754">
        <f>'Func Future Subs 2015'!C53</f>
        <v>144</v>
      </c>
      <c r="D53" s="754">
        <f>'Func Future Subs 2015'!D53</f>
        <v>25</v>
      </c>
      <c r="E53" s="754" t="str">
        <f>'Func Future Subs 2015'!E53</f>
        <v>705S</v>
      </c>
      <c r="F53" s="754">
        <f>'Func Future Subs 2015'!F53</f>
        <v>13565760.579394037</v>
      </c>
      <c r="G53" s="754" t="str">
        <f>'Func Future Subs 2015'!G53</f>
        <v>ATCO</v>
      </c>
      <c r="H53" s="754">
        <f>'Func Future Subs 2015'!H53</f>
        <v>2017</v>
      </c>
      <c r="I53" s="306">
        <f>+IF($H53=I$2,VLOOKUP($G53,Depreciation!$A$14:$L$18,7,FALSE)/2,IF($H53&lt;I$2,VLOOKUP($G53,Depreciation!$A$14:$L$18,7,FALSE),0))</f>
        <v>0</v>
      </c>
      <c r="J53" s="306">
        <f>+IF($H53=J$2,VLOOKUP($G53,Depreciation!$A$14:$L$18,8,FALSE)/2,IF($H53&lt;J$2,VLOOKUP($G53,Depreciation!$A$14:$L$18,8,FALSE),0))</f>
        <v>0</v>
      </c>
      <c r="K53" s="306">
        <f>+IF($H53=K$2,VLOOKUP($G53,Depreciation!$A$14:$L$18,9,FALSE)/2,IF($H53&lt;K$2,VLOOKUP($G53,Depreciation!$A$14:$L$18,9,FALSE),0))</f>
        <v>1.2175768213899416E-2</v>
      </c>
      <c r="L53" s="306">
        <f>+IF($H53=L$2,VLOOKUP($G53,Depreciation!$A$14:$L$18,10,FALSE)/2,IF($H53&lt;L$2,VLOOKUP($G53,Depreciation!$A$14:$L$18,10,FALSE),0))</f>
        <v>2.4351536427798831E-2</v>
      </c>
      <c r="M53" s="306">
        <f>+IF($H53=M$2,VLOOKUP($G53,Depreciation!$A$14:$L$18,11,FALSE)/2,IF($H53&lt;M$2,VLOOKUP($G53,Depreciation!$A$14:$L$18,11,FALSE),0))</f>
        <v>2.4351536427798831E-2</v>
      </c>
      <c r="N53" s="306">
        <f>+IF($H53=N$2,VLOOKUP($G53,Depreciation!$A$14:$L$18,12,FALSE)/2,IF($H53&lt;N$2,VLOOKUP($G53,Depreciation!$A$14:$L$18,12,FALSE),0))</f>
        <v>2.4351536427798831E-2</v>
      </c>
      <c r="O53" s="307">
        <f t="shared" si="1"/>
        <v>12445258.400852444</v>
      </c>
      <c r="P53" s="732">
        <f>'Func Future Subs 2015'!P53</f>
        <v>0</v>
      </c>
      <c r="Q53" s="732">
        <f>'Func Future Subs 2015'!Q53</f>
        <v>1</v>
      </c>
      <c r="R53" s="732">
        <f>'Func Future Subs 2015'!R53</f>
        <v>0</v>
      </c>
      <c r="S53" s="735">
        <f t="shared" si="2"/>
        <v>0</v>
      </c>
      <c r="T53" s="735">
        <f t="shared" si="3"/>
        <v>12445258.400852444</v>
      </c>
      <c r="U53" s="735">
        <f t="shared" si="4"/>
        <v>0</v>
      </c>
      <c r="V53" s="736">
        <f t="shared" si="5"/>
        <v>0</v>
      </c>
      <c r="W53" s="735">
        <f t="shared" si="6"/>
        <v>0</v>
      </c>
      <c r="X53" s="737">
        <f t="shared" si="7"/>
        <v>0</v>
      </c>
      <c r="Y53" s="738">
        <f t="shared" si="8"/>
        <v>12445258.400852444</v>
      </c>
    </row>
    <row r="54" spans="1:27">
      <c r="A54" s="754" t="str">
        <f>'Func Future Subs 2015'!A54</f>
        <v>Leming Lake 715S(180)</v>
      </c>
      <c r="B54" s="754">
        <f>'Func Future Subs 2015'!B54</f>
        <v>811</v>
      </c>
      <c r="C54" s="754">
        <f>'Func Future Subs 2015'!C54</f>
        <v>144</v>
      </c>
      <c r="D54" s="754">
        <f>'Func Future Subs 2015'!D54</f>
        <v>25</v>
      </c>
      <c r="E54" s="754" t="str">
        <f>'Func Future Subs 2015'!E54</f>
        <v>715S</v>
      </c>
      <c r="F54" s="754">
        <f>'Func Future Subs 2015'!F54</f>
        <v>267528.16210213065</v>
      </c>
      <c r="G54" s="754" t="str">
        <f>'Func Future Subs 2015'!G54</f>
        <v>ATCO</v>
      </c>
      <c r="H54" s="754">
        <f>'Func Future Subs 2015'!H54</f>
        <v>2017</v>
      </c>
      <c r="I54" s="306">
        <f>+IF($H54=I$2,VLOOKUP($G54,Depreciation!$A$14:$L$18,7,FALSE)/2,IF($H54&lt;I$2,VLOOKUP($G54,Depreciation!$A$14:$L$18,7,FALSE),0))</f>
        <v>0</v>
      </c>
      <c r="J54" s="306">
        <f>+IF($H54=J$2,VLOOKUP($G54,Depreciation!$A$14:$L$18,8,FALSE)/2,IF($H54&lt;J$2,VLOOKUP($G54,Depreciation!$A$14:$L$18,8,FALSE),0))</f>
        <v>0</v>
      </c>
      <c r="K54" s="306">
        <f>+IF($H54=K$2,VLOOKUP($G54,Depreciation!$A$14:$L$18,9,FALSE)/2,IF($H54&lt;K$2,VLOOKUP($G54,Depreciation!$A$14:$L$18,9,FALSE),0))</f>
        <v>1.2175768213899416E-2</v>
      </c>
      <c r="L54" s="306">
        <f>+IF($H54=L$2,VLOOKUP($G54,Depreciation!$A$14:$L$18,10,FALSE)/2,IF($H54&lt;L$2,VLOOKUP($G54,Depreciation!$A$14:$L$18,10,FALSE),0))</f>
        <v>2.4351536427798831E-2</v>
      </c>
      <c r="M54" s="306">
        <f>+IF($H54=M$2,VLOOKUP($G54,Depreciation!$A$14:$L$18,11,FALSE)/2,IF($H54&lt;M$2,VLOOKUP($G54,Depreciation!$A$14:$L$18,11,FALSE),0))</f>
        <v>2.4351536427798831E-2</v>
      </c>
      <c r="N54" s="306">
        <f>+IF($H54=N$2,VLOOKUP($G54,Depreciation!$A$14:$L$18,12,FALSE)/2,IF($H54&lt;N$2,VLOOKUP($G54,Depreciation!$A$14:$L$18,12,FALSE),0))</f>
        <v>2.4351536427798831E-2</v>
      </c>
      <c r="O54" s="307">
        <f t="shared" si="1"/>
        <v>245430.92054296582</v>
      </c>
      <c r="P54" s="732">
        <f>'Func Future Subs 2015'!P54</f>
        <v>0</v>
      </c>
      <c r="Q54" s="732">
        <f>'Func Future Subs 2015'!Q54</f>
        <v>1</v>
      </c>
      <c r="R54" s="732">
        <f>'Func Future Subs 2015'!R54</f>
        <v>0</v>
      </c>
      <c r="S54" s="735">
        <f t="shared" si="2"/>
        <v>0</v>
      </c>
      <c r="T54" s="735">
        <f t="shared" si="3"/>
        <v>245430.92054296582</v>
      </c>
      <c r="U54" s="735">
        <f t="shared" si="4"/>
        <v>0</v>
      </c>
      <c r="V54" s="736">
        <f t="shared" si="5"/>
        <v>0</v>
      </c>
      <c r="W54" s="735">
        <f t="shared" si="6"/>
        <v>0</v>
      </c>
      <c r="X54" s="737">
        <f t="shared" si="7"/>
        <v>0</v>
      </c>
      <c r="Y54" s="738">
        <f t="shared" si="8"/>
        <v>245430.92054296582</v>
      </c>
      <c r="AA54" s="317"/>
    </row>
    <row r="55" spans="1:27">
      <c r="A55" s="754" t="str">
        <f>'Func Future Subs 2015'!A55</f>
        <v>Mahihkan 837S(180)</v>
      </c>
      <c r="B55" s="754">
        <f>'Func Future Subs 2015'!B55</f>
        <v>811</v>
      </c>
      <c r="C55" s="754">
        <f>'Func Future Subs 2015'!C55</f>
        <v>144</v>
      </c>
      <c r="D55" s="754">
        <f>'Func Future Subs 2015'!D55</f>
        <v>25</v>
      </c>
      <c r="E55" s="754" t="str">
        <f>'Func Future Subs 2015'!E55</f>
        <v>837S</v>
      </c>
      <c r="F55" s="754">
        <f>'Func Future Subs 2015'!F55</f>
        <v>1431346.4418924579</v>
      </c>
      <c r="G55" s="754" t="str">
        <f>'Func Future Subs 2015'!G55</f>
        <v>ATCO</v>
      </c>
      <c r="H55" s="754">
        <f>'Func Future Subs 2015'!H55</f>
        <v>2017</v>
      </c>
      <c r="I55" s="306">
        <f>+IF($H55=I$2,VLOOKUP($G55,Depreciation!$A$14:$L$18,7,FALSE)/2,IF($H55&lt;I$2,VLOOKUP($G55,Depreciation!$A$14:$L$18,7,FALSE),0))</f>
        <v>0</v>
      </c>
      <c r="J55" s="306">
        <f>+IF($H55=J$2,VLOOKUP($G55,Depreciation!$A$14:$L$18,8,FALSE)/2,IF($H55&lt;J$2,VLOOKUP($G55,Depreciation!$A$14:$L$18,8,FALSE),0))</f>
        <v>0</v>
      </c>
      <c r="K55" s="306">
        <f>+IF($H55=K$2,VLOOKUP($G55,Depreciation!$A$14:$L$18,9,FALSE)/2,IF($H55&lt;K$2,VLOOKUP($G55,Depreciation!$A$14:$L$18,9,FALSE),0))</f>
        <v>1.2175768213899416E-2</v>
      </c>
      <c r="L55" s="306">
        <f>+IF($H55=L$2,VLOOKUP($G55,Depreciation!$A$14:$L$18,10,FALSE)/2,IF($H55&lt;L$2,VLOOKUP($G55,Depreciation!$A$14:$L$18,10,FALSE),0))</f>
        <v>2.4351536427798831E-2</v>
      </c>
      <c r="M55" s="306">
        <f>+IF($H55=M$2,VLOOKUP($G55,Depreciation!$A$14:$L$18,11,FALSE)/2,IF($H55&lt;M$2,VLOOKUP($G55,Depreciation!$A$14:$L$18,11,FALSE),0))</f>
        <v>2.4351536427798831E-2</v>
      </c>
      <c r="N55" s="306">
        <f>+IF($H55=N$2,VLOOKUP($G55,Depreciation!$A$14:$L$18,12,FALSE)/2,IF($H55&lt;N$2,VLOOKUP($G55,Depreciation!$A$14:$L$18,12,FALSE),0))</f>
        <v>2.4351536427798831E-2</v>
      </c>
      <c r="O55" s="307">
        <f t="shared" si="1"/>
        <v>1313120.3537198259</v>
      </c>
      <c r="P55" s="732">
        <f>'Func Future Subs 2015'!P55</f>
        <v>0</v>
      </c>
      <c r="Q55" s="732">
        <f>'Func Future Subs 2015'!Q55</f>
        <v>1</v>
      </c>
      <c r="R55" s="732">
        <f>'Func Future Subs 2015'!R55</f>
        <v>0</v>
      </c>
      <c r="S55" s="735">
        <f t="shared" si="2"/>
        <v>0</v>
      </c>
      <c r="T55" s="735">
        <f t="shared" si="3"/>
        <v>1313120.3537198259</v>
      </c>
      <c r="U55" s="735">
        <f t="shared" si="4"/>
        <v>0</v>
      </c>
      <c r="V55" s="736">
        <f t="shared" si="5"/>
        <v>0</v>
      </c>
      <c r="W55" s="735">
        <f t="shared" si="6"/>
        <v>0</v>
      </c>
      <c r="X55" s="737">
        <f t="shared" si="7"/>
        <v>0</v>
      </c>
      <c r="Y55" s="738">
        <f t="shared" si="8"/>
        <v>1313120.3537198259</v>
      </c>
    </row>
    <row r="56" spans="1:27">
      <c r="A56" s="754" t="str">
        <f>'Func Future Subs 2015'!A56</f>
        <v>Marguerite Lake 826S(180)</v>
      </c>
      <c r="B56" s="754">
        <f>'Func Future Subs 2015'!B56</f>
        <v>811</v>
      </c>
      <c r="C56" s="754">
        <f>'Func Future Subs 2015'!C56</f>
        <v>144</v>
      </c>
      <c r="D56" s="754">
        <f>'Func Future Subs 2015'!D56</f>
        <v>138</v>
      </c>
      <c r="E56" s="754" t="str">
        <f>'Func Future Subs 2015'!E56</f>
        <v>826S</v>
      </c>
      <c r="F56" s="754">
        <f>'Func Future Subs 2015'!F56</f>
        <v>688730.2425556964</v>
      </c>
      <c r="G56" s="754" t="str">
        <f>'Func Future Subs 2015'!G56</f>
        <v>ATCO</v>
      </c>
      <c r="H56" s="754">
        <f>'Func Future Subs 2015'!H56</f>
        <v>2017</v>
      </c>
      <c r="I56" s="306">
        <f>+IF($H56=I$2,VLOOKUP($G56,Depreciation!$A$14:$L$18,7,FALSE)/2,IF($H56&lt;I$2,VLOOKUP($G56,Depreciation!$A$14:$L$18,7,FALSE),0))</f>
        <v>0</v>
      </c>
      <c r="J56" s="306">
        <f>+IF($H56=J$2,VLOOKUP($G56,Depreciation!$A$14:$L$18,8,FALSE)/2,IF($H56&lt;J$2,VLOOKUP($G56,Depreciation!$A$14:$L$18,8,FALSE),0))</f>
        <v>0</v>
      </c>
      <c r="K56" s="306">
        <f>+IF($H56=K$2,VLOOKUP($G56,Depreciation!$A$14:$L$18,9,FALSE)/2,IF($H56&lt;K$2,VLOOKUP($G56,Depreciation!$A$14:$L$18,9,FALSE),0))</f>
        <v>1.2175768213899416E-2</v>
      </c>
      <c r="L56" s="306">
        <f>+IF($H56=L$2,VLOOKUP($G56,Depreciation!$A$14:$L$18,10,FALSE)/2,IF($H56&lt;L$2,VLOOKUP($G56,Depreciation!$A$14:$L$18,10,FALSE),0))</f>
        <v>2.4351536427798831E-2</v>
      </c>
      <c r="M56" s="306">
        <f>+IF($H56=M$2,VLOOKUP($G56,Depreciation!$A$14:$L$18,11,FALSE)/2,IF($H56&lt;M$2,VLOOKUP($G56,Depreciation!$A$14:$L$18,11,FALSE),0))</f>
        <v>2.4351536427798831E-2</v>
      </c>
      <c r="N56" s="306">
        <f>+IF($H56=N$2,VLOOKUP($G56,Depreciation!$A$14:$L$18,12,FALSE)/2,IF($H56&lt;N$2,VLOOKUP($G56,Depreciation!$A$14:$L$18,12,FALSE),0))</f>
        <v>2.4351536427798831E-2</v>
      </c>
      <c r="O56" s="307">
        <f t="shared" si="1"/>
        <v>631842.6296058289</v>
      </c>
      <c r="P56" s="732">
        <f>'Func Future Subs 2015'!P56</f>
        <v>0</v>
      </c>
      <c r="Q56" s="732">
        <f>'Func Future Subs 2015'!Q56</f>
        <v>0</v>
      </c>
      <c r="R56" s="732">
        <f>'Func Future Subs 2015'!R56</f>
        <v>1</v>
      </c>
      <c r="S56" s="735">
        <f t="shared" si="2"/>
        <v>0</v>
      </c>
      <c r="T56" s="735">
        <f t="shared" si="3"/>
        <v>0</v>
      </c>
      <c r="U56" s="735">
        <f t="shared" si="4"/>
        <v>631842.6296058289</v>
      </c>
      <c r="V56" s="736">
        <f t="shared" si="5"/>
        <v>0</v>
      </c>
      <c r="W56" s="735">
        <f t="shared" si="6"/>
        <v>0</v>
      </c>
      <c r="X56" s="737">
        <f t="shared" si="7"/>
        <v>631842.6296058289</v>
      </c>
      <c r="Y56" s="738">
        <f t="shared" si="8"/>
        <v>0</v>
      </c>
    </row>
    <row r="57" spans="1:27">
      <c r="A57" s="754" t="str">
        <f>'Func Future Subs 2015'!A57</f>
        <v>unknown sub St.Paul</v>
      </c>
      <c r="B57" s="754">
        <f>'Func Future Subs 2015'!B57</f>
        <v>811</v>
      </c>
      <c r="C57" s="754">
        <f>'Func Future Subs 2015'!C57</f>
        <v>0</v>
      </c>
      <c r="D57" s="754">
        <f>'Func Future Subs 2015'!D57</f>
        <v>0</v>
      </c>
      <c r="E57" s="754">
        <f>'Func Future Subs 2015'!E57</f>
        <v>0</v>
      </c>
      <c r="F57" s="754">
        <f>'Func Future Subs 2015'!F57</f>
        <v>33228963.973278571</v>
      </c>
      <c r="G57" s="754" t="str">
        <f>'Func Future Subs 2015'!G57</f>
        <v>ATCO</v>
      </c>
      <c r="H57" s="754">
        <f>'Func Future Subs 2015'!H57</f>
        <v>2017</v>
      </c>
      <c r="I57" s="306">
        <f>+IF($H57=I$2,VLOOKUP($G57,Depreciation!$A$14:$L$18,7,FALSE)/2,IF($H57&lt;I$2,VLOOKUP($G57,Depreciation!$A$14:$L$18,7,FALSE),0))</f>
        <v>0</v>
      </c>
      <c r="J57" s="306">
        <f>+IF($H57=J$2,VLOOKUP($G57,Depreciation!$A$14:$L$18,8,FALSE)/2,IF($H57&lt;J$2,VLOOKUP($G57,Depreciation!$A$14:$L$18,8,FALSE),0))</f>
        <v>0</v>
      </c>
      <c r="K57" s="306">
        <f>+IF($H57=K$2,VLOOKUP($G57,Depreciation!$A$14:$L$18,9,FALSE)/2,IF($H57&lt;K$2,VLOOKUP($G57,Depreciation!$A$14:$L$18,9,FALSE),0))</f>
        <v>1.2175768213899416E-2</v>
      </c>
      <c r="L57" s="306">
        <f>+IF($H57=L$2,VLOOKUP($G57,Depreciation!$A$14:$L$18,10,FALSE)/2,IF($H57&lt;L$2,VLOOKUP($G57,Depreciation!$A$14:$L$18,10,FALSE),0))</f>
        <v>2.4351536427798831E-2</v>
      </c>
      <c r="M57" s="306">
        <f>+IF($H57=M$2,VLOOKUP($G57,Depreciation!$A$14:$L$18,11,FALSE)/2,IF($H57&lt;M$2,VLOOKUP($G57,Depreciation!$A$14:$L$18,11,FALSE),0))</f>
        <v>2.4351536427798831E-2</v>
      </c>
      <c r="N57" s="306">
        <f>+IF($H57=N$2,VLOOKUP($G57,Depreciation!$A$14:$L$18,12,FALSE)/2,IF($H57&lt;N$2,VLOOKUP($G57,Depreciation!$A$14:$L$18,12,FALSE),0))</f>
        <v>2.4351536427798831E-2</v>
      </c>
      <c r="O57" s="307">
        <f t="shared" si="1"/>
        <v>30484324.164487112</v>
      </c>
      <c r="P57" s="732">
        <f>'Func Future Subs 2015'!P57</f>
        <v>0</v>
      </c>
      <c r="Q57" s="732">
        <f>'Func Future Subs 2015'!Q57</f>
        <v>0</v>
      </c>
      <c r="R57" s="732">
        <f>'Func Future Subs 2015'!R57</f>
        <v>1</v>
      </c>
      <c r="S57" s="735">
        <f t="shared" si="2"/>
        <v>0</v>
      </c>
      <c r="T57" s="735">
        <f t="shared" si="3"/>
        <v>0</v>
      </c>
      <c r="U57" s="735">
        <f t="shared" si="4"/>
        <v>30484324.164487112</v>
      </c>
      <c r="V57" s="736">
        <f t="shared" si="5"/>
        <v>30484324.164487112</v>
      </c>
      <c r="W57" s="735">
        <f t="shared" si="6"/>
        <v>0</v>
      </c>
      <c r="X57" s="737">
        <f t="shared" si="7"/>
        <v>0</v>
      </c>
      <c r="Y57" s="738">
        <f t="shared" si="8"/>
        <v>0</v>
      </c>
    </row>
    <row r="58" spans="1:27">
      <c r="A58" s="754" t="str">
        <f>'Func Future Subs 2015'!A58</f>
        <v>unknown sub Vermilion 710S</v>
      </c>
      <c r="B58" s="754">
        <f>'Func Future Subs 2015'!B58</f>
        <v>811</v>
      </c>
      <c r="C58" s="754">
        <f>'Func Future Subs 2015'!C58</f>
        <v>0</v>
      </c>
      <c r="D58" s="754">
        <f>'Func Future Subs 2015'!D58</f>
        <v>25</v>
      </c>
      <c r="E58" s="754" t="str">
        <f>'Func Future Subs 2015'!E58</f>
        <v>710S</v>
      </c>
      <c r="F58" s="754">
        <f>'Func Future Subs 2015'!F58</f>
        <v>8709690</v>
      </c>
      <c r="G58" s="754" t="str">
        <f>'Func Future Subs 2015'!G58</f>
        <v>ATCO</v>
      </c>
      <c r="H58" s="754">
        <f>'Func Future Subs 2015'!H58</f>
        <v>2017</v>
      </c>
      <c r="I58" s="306">
        <f>+IF($H58=I$2,VLOOKUP($G58,Depreciation!$A$14:$L$18,7,FALSE)/2,IF($H58&lt;I$2,VLOOKUP($G58,Depreciation!$A$14:$L$18,7,FALSE),0))</f>
        <v>0</v>
      </c>
      <c r="J58" s="306">
        <f>+IF($H58=J$2,VLOOKUP($G58,Depreciation!$A$14:$L$18,8,FALSE)/2,IF($H58&lt;J$2,VLOOKUP($G58,Depreciation!$A$14:$L$18,8,FALSE),0))</f>
        <v>0</v>
      </c>
      <c r="K58" s="306">
        <f>+IF($H58=K$2,VLOOKUP($G58,Depreciation!$A$14:$L$18,9,FALSE)/2,IF($H58&lt;K$2,VLOOKUP($G58,Depreciation!$A$14:$L$18,9,FALSE),0))</f>
        <v>1.2175768213899416E-2</v>
      </c>
      <c r="L58" s="306">
        <f>+IF($H58=L$2,VLOOKUP($G58,Depreciation!$A$14:$L$18,10,FALSE)/2,IF($H58&lt;L$2,VLOOKUP($G58,Depreciation!$A$14:$L$18,10,FALSE),0))</f>
        <v>2.4351536427798831E-2</v>
      </c>
      <c r="M58" s="306">
        <f>+IF($H58=M$2,VLOOKUP($G58,Depreciation!$A$14:$L$18,11,FALSE)/2,IF($H58&lt;M$2,VLOOKUP($G58,Depreciation!$A$14:$L$18,11,FALSE),0))</f>
        <v>2.4351536427798831E-2</v>
      </c>
      <c r="N58" s="306">
        <f>+IF($H58=N$2,VLOOKUP($G58,Depreciation!$A$14:$L$18,12,FALSE)/2,IF($H58&lt;N$2,VLOOKUP($G58,Depreciation!$A$14:$L$18,12,FALSE),0))</f>
        <v>2.4351536427798831E-2</v>
      </c>
      <c r="O58" s="307">
        <f t="shared" si="1"/>
        <v>7990288.6393239237</v>
      </c>
      <c r="P58" s="732">
        <f>'Func Future Subs 2015'!P58</f>
        <v>0</v>
      </c>
      <c r="Q58" s="732">
        <f>'Func Future Subs 2015'!Q58</f>
        <v>1</v>
      </c>
      <c r="R58" s="732">
        <f>'Func Future Subs 2015'!R58</f>
        <v>0</v>
      </c>
      <c r="S58" s="735">
        <f t="shared" si="2"/>
        <v>0</v>
      </c>
      <c r="T58" s="735">
        <f t="shared" si="3"/>
        <v>7990288.6393239237</v>
      </c>
      <c r="U58" s="735">
        <f t="shared" si="4"/>
        <v>0</v>
      </c>
      <c r="V58" s="736">
        <f t="shared" si="5"/>
        <v>0</v>
      </c>
      <c r="W58" s="735">
        <f t="shared" si="6"/>
        <v>0</v>
      </c>
      <c r="X58" s="737">
        <f t="shared" si="7"/>
        <v>0</v>
      </c>
      <c r="Y58" s="738">
        <f t="shared" si="8"/>
        <v>7990288.6393239237</v>
      </c>
    </row>
    <row r="59" spans="1:27">
      <c r="A59" s="754" t="str">
        <f>'Func Future Subs 2015'!A59</f>
        <v>Wolf Lake 822S(180)</v>
      </c>
      <c r="B59" s="754">
        <f>'Func Future Subs 2015'!B59</f>
        <v>811</v>
      </c>
      <c r="C59" s="754">
        <f>'Func Future Subs 2015'!C59</f>
        <v>144</v>
      </c>
      <c r="D59" s="754">
        <f>'Func Future Subs 2015'!D59</f>
        <v>25</v>
      </c>
      <c r="E59" s="754" t="str">
        <f>'Func Future Subs 2015'!E59</f>
        <v>822S</v>
      </c>
      <c r="F59" s="754">
        <f>'Func Future Subs 2015'!F59</f>
        <v>1030247.2205012403</v>
      </c>
      <c r="G59" s="754" t="str">
        <f>'Func Future Subs 2015'!G59</f>
        <v>ATCO</v>
      </c>
      <c r="H59" s="754">
        <f>'Func Future Subs 2015'!H59</f>
        <v>2017</v>
      </c>
      <c r="I59" s="306">
        <f>+IF($H59=I$2,VLOOKUP($G59,Depreciation!$A$14:$L$18,7,FALSE)/2,IF($H59&lt;I$2,VLOOKUP($G59,Depreciation!$A$14:$L$18,7,FALSE),0))</f>
        <v>0</v>
      </c>
      <c r="J59" s="306">
        <f>+IF($H59=J$2,VLOOKUP($G59,Depreciation!$A$14:$L$18,8,FALSE)/2,IF($H59&lt;J$2,VLOOKUP($G59,Depreciation!$A$14:$L$18,8,FALSE),0))</f>
        <v>0</v>
      </c>
      <c r="K59" s="306">
        <f>+IF($H59=K$2,VLOOKUP($G59,Depreciation!$A$14:$L$18,9,FALSE)/2,IF($H59&lt;K$2,VLOOKUP($G59,Depreciation!$A$14:$L$18,9,FALSE),0))</f>
        <v>1.2175768213899416E-2</v>
      </c>
      <c r="L59" s="306">
        <f>+IF($H59=L$2,VLOOKUP($G59,Depreciation!$A$14:$L$18,10,FALSE)/2,IF($H59&lt;L$2,VLOOKUP($G59,Depreciation!$A$14:$L$18,10,FALSE),0))</f>
        <v>2.4351536427798831E-2</v>
      </c>
      <c r="M59" s="306">
        <f>+IF($H59=M$2,VLOOKUP($G59,Depreciation!$A$14:$L$18,11,FALSE)/2,IF($H59&lt;M$2,VLOOKUP($G59,Depreciation!$A$14:$L$18,11,FALSE),0))</f>
        <v>2.4351536427798831E-2</v>
      </c>
      <c r="N59" s="306">
        <f>+IF($H59=N$2,VLOOKUP($G59,Depreciation!$A$14:$L$18,12,FALSE)/2,IF($H59&lt;N$2,VLOOKUP($G59,Depreciation!$A$14:$L$18,12,FALSE),0))</f>
        <v>2.4351536427798831E-2</v>
      </c>
      <c r="O59" s="307">
        <f t="shared" si="1"/>
        <v>945151.05149162724</v>
      </c>
      <c r="P59" s="732">
        <f>'Func Future Subs 2015'!P59</f>
        <v>0</v>
      </c>
      <c r="Q59" s="732">
        <f>'Func Future Subs 2015'!Q59</f>
        <v>1</v>
      </c>
      <c r="R59" s="732">
        <f>'Func Future Subs 2015'!R59</f>
        <v>0</v>
      </c>
      <c r="S59" s="735">
        <f t="shared" si="2"/>
        <v>0</v>
      </c>
      <c r="T59" s="735">
        <f t="shared" si="3"/>
        <v>945151.05149162724</v>
      </c>
      <c r="U59" s="735">
        <f t="shared" si="4"/>
        <v>0</v>
      </c>
      <c r="V59" s="736">
        <f t="shared" si="5"/>
        <v>0</v>
      </c>
      <c r="W59" s="735">
        <f t="shared" si="6"/>
        <v>0</v>
      </c>
      <c r="X59" s="737">
        <f t="shared" si="7"/>
        <v>0</v>
      </c>
      <c r="Y59" s="738">
        <f t="shared" si="8"/>
        <v>945151.05149162724</v>
      </c>
    </row>
    <row r="60" spans="1:27">
      <c r="A60" s="754" t="str">
        <f>'Func Future Subs 2015'!A60</f>
        <v>74S</v>
      </c>
      <c r="B60" s="754">
        <f>'Func Future Subs 2015'!B60</f>
        <v>813</v>
      </c>
      <c r="C60" s="754">
        <f>'Func Future Subs 2015'!C60</f>
        <v>240</v>
      </c>
      <c r="D60" s="754">
        <f>'Func Future Subs 2015'!D60</f>
        <v>138</v>
      </c>
      <c r="E60" s="754" t="str">
        <f>'Func Future Subs 2015'!E60</f>
        <v>74S</v>
      </c>
      <c r="F60" s="754">
        <f>'Func Future Subs 2015'!F60</f>
        <v>395882.33037640859</v>
      </c>
      <c r="G60" s="754" t="str">
        <f>'Func Future Subs 2015'!G60</f>
        <v>AltaLink</v>
      </c>
      <c r="H60" s="754">
        <f>'Func Future Subs 2015'!H60</f>
        <v>2017</v>
      </c>
      <c r="I60" s="306">
        <f>+IF($H60=I$2,VLOOKUP($G60,Depreciation!$A$14:$L$18,7,FALSE)/2,IF($H60&lt;I$2,VLOOKUP($G60,Depreciation!$A$14:$L$18,7,FALSE),0))</f>
        <v>0</v>
      </c>
      <c r="J60" s="306">
        <f>+IF($H60=J$2,VLOOKUP($G60,Depreciation!$A$14:$L$18,8,FALSE)/2,IF($H60&lt;J$2,VLOOKUP($G60,Depreciation!$A$14:$L$18,8,FALSE),0))</f>
        <v>0</v>
      </c>
      <c r="K60" s="306">
        <f>+IF($H60=K$2,VLOOKUP($G60,Depreciation!$A$14:$L$18,9,FALSE)/2,IF($H60&lt;K$2,VLOOKUP($G60,Depreciation!$A$14:$L$18,9,FALSE),0))</f>
        <v>1.671703928371859E-2</v>
      </c>
      <c r="L60" s="306">
        <f>+IF($H60=L$2,VLOOKUP($G60,Depreciation!$A$14:$L$18,10,FALSE)/2,IF($H60&lt;L$2,VLOOKUP($G60,Depreciation!$A$14:$L$18,10,FALSE),0))</f>
        <v>3.343407856743718E-2</v>
      </c>
      <c r="M60" s="306">
        <f>+IF($H60=M$2,VLOOKUP($G60,Depreciation!$A$14:$L$18,11,FALSE)/2,IF($H60&lt;M$2,VLOOKUP($G60,Depreciation!$A$14:$L$18,11,FALSE),0))</f>
        <v>3.343407856743718E-2</v>
      </c>
      <c r="N60" s="306">
        <f>+IF($H60=N$2,VLOOKUP($G60,Depreciation!$A$14:$L$18,12,FALSE)/2,IF($H60&lt;N$2,VLOOKUP($G60,Depreciation!$A$14:$L$18,12,FALSE),0))</f>
        <v>3.343407856743718E-2</v>
      </c>
      <c r="O60" s="307">
        <f t="shared" si="1"/>
        <v>351511.12000870123</v>
      </c>
      <c r="P60" s="732">
        <f>'Func Future Subs 2015'!P60</f>
        <v>0</v>
      </c>
      <c r="Q60" s="732">
        <f>'Func Future Subs 2015'!Q60</f>
        <v>0</v>
      </c>
      <c r="R60" s="732">
        <f>'Func Future Subs 2015'!R60</f>
        <v>1</v>
      </c>
      <c r="S60" s="735">
        <f t="shared" si="2"/>
        <v>0</v>
      </c>
      <c r="T60" s="735">
        <f t="shared" si="3"/>
        <v>0</v>
      </c>
      <c r="U60" s="735">
        <f t="shared" si="4"/>
        <v>351511.12000870123</v>
      </c>
      <c r="V60" s="736">
        <f t="shared" si="5"/>
        <v>0</v>
      </c>
      <c r="W60" s="735">
        <f t="shared" si="6"/>
        <v>0</v>
      </c>
      <c r="X60" s="737">
        <f t="shared" si="7"/>
        <v>351511.12000870123</v>
      </c>
      <c r="Y60" s="738">
        <f t="shared" si="8"/>
        <v>0</v>
      </c>
    </row>
    <row r="61" spans="1:27">
      <c r="A61" s="754" t="str">
        <f>'Func Future Subs 2015'!A61</f>
        <v>Beddington 162S</v>
      </c>
      <c r="B61" s="754">
        <f>'Func Future Subs 2015'!B61</f>
        <v>813</v>
      </c>
      <c r="C61" s="754">
        <f>'Func Future Subs 2015'!C61</f>
        <v>240</v>
      </c>
      <c r="D61" s="754">
        <f>'Func Future Subs 2015'!D61</f>
        <v>25</v>
      </c>
      <c r="E61" s="754" t="str">
        <f>'Func Future Subs 2015'!E61</f>
        <v>162S</v>
      </c>
      <c r="F61" s="754">
        <f>'Func Future Subs 2015'!F61</f>
        <v>39588.233037640857</v>
      </c>
      <c r="G61" s="754" t="str">
        <f>'Func Future Subs 2015'!G61</f>
        <v>AltaLink</v>
      </c>
      <c r="H61" s="754">
        <f>'Func Future Subs 2015'!H61</f>
        <v>2017</v>
      </c>
      <c r="I61" s="306">
        <f>+IF($H61=I$2,VLOOKUP($G61,Depreciation!$A$14:$L$18,7,FALSE)/2,IF($H61&lt;I$2,VLOOKUP($G61,Depreciation!$A$14:$L$18,7,FALSE),0))</f>
        <v>0</v>
      </c>
      <c r="J61" s="306">
        <f>+IF($H61=J$2,VLOOKUP($G61,Depreciation!$A$14:$L$18,8,FALSE)/2,IF($H61&lt;J$2,VLOOKUP($G61,Depreciation!$A$14:$L$18,8,FALSE),0))</f>
        <v>0</v>
      </c>
      <c r="K61" s="306">
        <f>+IF($H61=K$2,VLOOKUP($G61,Depreciation!$A$14:$L$18,9,FALSE)/2,IF($H61&lt;K$2,VLOOKUP($G61,Depreciation!$A$14:$L$18,9,FALSE),0))</f>
        <v>1.671703928371859E-2</v>
      </c>
      <c r="L61" s="306">
        <f>+IF($H61=L$2,VLOOKUP($G61,Depreciation!$A$14:$L$18,10,FALSE)/2,IF($H61&lt;L$2,VLOOKUP($G61,Depreciation!$A$14:$L$18,10,FALSE),0))</f>
        <v>3.343407856743718E-2</v>
      </c>
      <c r="M61" s="306">
        <f>+IF($H61=M$2,VLOOKUP($G61,Depreciation!$A$14:$L$18,11,FALSE)/2,IF($H61&lt;M$2,VLOOKUP($G61,Depreciation!$A$14:$L$18,11,FALSE),0))</f>
        <v>3.343407856743718E-2</v>
      </c>
      <c r="N61" s="306">
        <f>+IF($H61=N$2,VLOOKUP($G61,Depreciation!$A$14:$L$18,12,FALSE)/2,IF($H61&lt;N$2,VLOOKUP($G61,Depreciation!$A$14:$L$18,12,FALSE),0))</f>
        <v>3.343407856743718E-2</v>
      </c>
      <c r="O61" s="307">
        <f t="shared" si="1"/>
        <v>35151.112000870118</v>
      </c>
      <c r="P61" s="732">
        <f>'Func Future Subs 2015'!P61</f>
        <v>0.9116809116809117</v>
      </c>
      <c r="Q61" s="732">
        <f>'Func Future Subs 2015'!Q61</f>
        <v>8.8319088319088315E-2</v>
      </c>
      <c r="R61" s="732">
        <f>'Func Future Subs 2015'!R61</f>
        <v>0</v>
      </c>
      <c r="S61" s="735">
        <f t="shared" si="2"/>
        <v>32046.597835551107</v>
      </c>
      <c r="T61" s="735">
        <f t="shared" si="3"/>
        <v>3104.514165319013</v>
      </c>
      <c r="U61" s="735">
        <f t="shared" si="4"/>
        <v>0</v>
      </c>
      <c r="V61" s="736">
        <f t="shared" si="5"/>
        <v>0</v>
      </c>
      <c r="W61" s="735">
        <f t="shared" si="6"/>
        <v>32046.597835551107</v>
      </c>
      <c r="X61" s="737">
        <f t="shared" si="7"/>
        <v>0</v>
      </c>
      <c r="Y61" s="738">
        <f t="shared" si="8"/>
        <v>3104.514165319013</v>
      </c>
    </row>
    <row r="62" spans="1:27">
      <c r="A62" s="754" t="str">
        <f>'Func Future Subs 2015'!A62</f>
        <v>Benalto 17S</v>
      </c>
      <c r="B62" s="754">
        <f>'Func Future Subs 2015'!B62</f>
        <v>813</v>
      </c>
      <c r="C62" s="754">
        <f>'Func Future Subs 2015'!C62</f>
        <v>240</v>
      </c>
      <c r="D62" s="754">
        <f>'Func Future Subs 2015'!D62</f>
        <v>25</v>
      </c>
      <c r="E62" s="754" t="str">
        <f>'Func Future Subs 2015'!E62</f>
        <v>17S</v>
      </c>
      <c r="F62" s="754">
        <f>'Func Future Subs 2015'!F62</f>
        <v>8444000.0000000019</v>
      </c>
      <c r="G62" s="754" t="str">
        <f>'Func Future Subs 2015'!G62</f>
        <v>AltaLink</v>
      </c>
      <c r="H62" s="754">
        <f>'Func Future Subs 2015'!H62</f>
        <v>2017</v>
      </c>
      <c r="I62" s="306">
        <f>+IF($H62=I$2,VLOOKUP($G62,Depreciation!$A$14:$L$18,7,FALSE)/2,IF($H62&lt;I$2,VLOOKUP($G62,Depreciation!$A$14:$L$18,7,FALSE),0))</f>
        <v>0</v>
      </c>
      <c r="J62" s="306">
        <f>+IF($H62=J$2,VLOOKUP($G62,Depreciation!$A$14:$L$18,8,FALSE)/2,IF($H62&lt;J$2,VLOOKUP($G62,Depreciation!$A$14:$L$18,8,FALSE),0))</f>
        <v>0</v>
      </c>
      <c r="K62" s="306">
        <f>+IF($H62=K$2,VLOOKUP($G62,Depreciation!$A$14:$L$18,9,FALSE)/2,IF($H62&lt;K$2,VLOOKUP($G62,Depreciation!$A$14:$L$18,9,FALSE),0))</f>
        <v>1.671703928371859E-2</v>
      </c>
      <c r="L62" s="306">
        <f>+IF($H62=L$2,VLOOKUP($G62,Depreciation!$A$14:$L$18,10,FALSE)/2,IF($H62&lt;L$2,VLOOKUP($G62,Depreciation!$A$14:$L$18,10,FALSE),0))</f>
        <v>3.343407856743718E-2</v>
      </c>
      <c r="M62" s="306">
        <f>+IF($H62=M$2,VLOOKUP($G62,Depreciation!$A$14:$L$18,11,FALSE)/2,IF($H62&lt;M$2,VLOOKUP($G62,Depreciation!$A$14:$L$18,11,FALSE),0))</f>
        <v>3.343407856743718E-2</v>
      </c>
      <c r="N62" s="306">
        <f>+IF($H62=N$2,VLOOKUP($G62,Depreciation!$A$14:$L$18,12,FALSE)/2,IF($H62&lt;N$2,VLOOKUP($G62,Depreciation!$A$14:$L$18,12,FALSE),0))</f>
        <v>3.343407856743718E-2</v>
      </c>
      <c r="O62" s="307">
        <f t="shared" si="1"/>
        <v>7497581.1487502363</v>
      </c>
      <c r="P62" s="732">
        <f>'Func Future Subs 2015'!P62</f>
        <v>0</v>
      </c>
      <c r="Q62" s="732">
        <f>'Func Future Subs 2015'!Q62</f>
        <v>1</v>
      </c>
      <c r="R62" s="732">
        <f>'Func Future Subs 2015'!R62</f>
        <v>0</v>
      </c>
      <c r="S62" s="735">
        <f t="shared" si="2"/>
        <v>0</v>
      </c>
      <c r="T62" s="735">
        <f t="shared" si="3"/>
        <v>7497581.1487502363</v>
      </c>
      <c r="U62" s="735">
        <f t="shared" si="4"/>
        <v>0</v>
      </c>
      <c r="V62" s="736">
        <f t="shared" si="5"/>
        <v>0</v>
      </c>
      <c r="W62" s="735">
        <f t="shared" si="6"/>
        <v>0</v>
      </c>
      <c r="X62" s="737">
        <f t="shared" si="7"/>
        <v>0</v>
      </c>
      <c r="Y62" s="738">
        <f t="shared" si="8"/>
        <v>7497581.1487502363</v>
      </c>
    </row>
    <row r="63" spans="1:27">
      <c r="A63" s="754" t="str">
        <f>'Func Future Subs 2015'!A63</f>
        <v>Benalto 17S (GD - Johnson)</v>
      </c>
      <c r="B63" s="754">
        <f>'Func Future Subs 2015'!B63</f>
        <v>813</v>
      </c>
      <c r="C63" s="754">
        <f>'Func Future Subs 2015'!C63</f>
        <v>240</v>
      </c>
      <c r="D63" s="754">
        <f>'Func Future Subs 2015'!D63</f>
        <v>25</v>
      </c>
      <c r="E63" s="754" t="str">
        <f>'Func Future Subs 2015'!E63</f>
        <v>17S</v>
      </c>
      <c r="F63" s="754">
        <f>'Func Future Subs 2015'!F63</f>
        <v>134255.74682330378</v>
      </c>
      <c r="G63" s="754" t="str">
        <f>'Func Future Subs 2015'!G63</f>
        <v>AltaLink</v>
      </c>
      <c r="H63" s="754">
        <f>'Func Future Subs 2015'!H63</f>
        <v>2017</v>
      </c>
      <c r="I63" s="306">
        <f>+IF($H63=I$2,VLOOKUP($G63,Depreciation!$A$14:$L$18,7,FALSE)/2,IF($H63&lt;I$2,VLOOKUP($G63,Depreciation!$A$14:$L$18,7,FALSE),0))</f>
        <v>0</v>
      </c>
      <c r="J63" s="306">
        <f>+IF($H63=J$2,VLOOKUP($G63,Depreciation!$A$14:$L$18,8,FALSE)/2,IF($H63&lt;J$2,VLOOKUP($G63,Depreciation!$A$14:$L$18,8,FALSE),0))</f>
        <v>0</v>
      </c>
      <c r="K63" s="306">
        <f>+IF($H63=K$2,VLOOKUP($G63,Depreciation!$A$14:$L$18,9,FALSE)/2,IF($H63&lt;K$2,VLOOKUP($G63,Depreciation!$A$14:$L$18,9,FALSE),0))</f>
        <v>1.671703928371859E-2</v>
      </c>
      <c r="L63" s="306">
        <f>+IF($H63=L$2,VLOOKUP($G63,Depreciation!$A$14:$L$18,10,FALSE)/2,IF($H63&lt;L$2,VLOOKUP($G63,Depreciation!$A$14:$L$18,10,FALSE),0))</f>
        <v>3.343407856743718E-2</v>
      </c>
      <c r="M63" s="306">
        <f>+IF($H63=M$2,VLOOKUP($G63,Depreciation!$A$14:$L$18,11,FALSE)/2,IF($H63&lt;M$2,VLOOKUP($G63,Depreciation!$A$14:$L$18,11,FALSE),0))</f>
        <v>3.343407856743718E-2</v>
      </c>
      <c r="N63" s="306">
        <f>+IF($H63=N$2,VLOOKUP($G63,Depreciation!$A$14:$L$18,12,FALSE)/2,IF($H63&lt;N$2,VLOOKUP($G63,Depreciation!$A$14:$L$18,12,FALSE),0))</f>
        <v>3.343407856743718E-2</v>
      </c>
      <c r="O63" s="307">
        <f t="shared" si="1"/>
        <v>119208.11895947259</v>
      </c>
      <c r="P63" s="732">
        <f>'Func Future Subs 2015'!P63</f>
        <v>0</v>
      </c>
      <c r="Q63" s="732">
        <f>'Func Future Subs 2015'!Q63</f>
        <v>1</v>
      </c>
      <c r="R63" s="732">
        <f>'Func Future Subs 2015'!R63</f>
        <v>0</v>
      </c>
      <c r="S63" s="735">
        <f t="shared" si="2"/>
        <v>0</v>
      </c>
      <c r="T63" s="735">
        <f t="shared" si="3"/>
        <v>119208.11895947259</v>
      </c>
      <c r="U63" s="735">
        <f t="shared" si="4"/>
        <v>0</v>
      </c>
      <c r="V63" s="736">
        <f t="shared" si="5"/>
        <v>0</v>
      </c>
      <c r="W63" s="735">
        <f t="shared" si="6"/>
        <v>0</v>
      </c>
      <c r="X63" s="737">
        <f t="shared" si="7"/>
        <v>0</v>
      </c>
      <c r="Y63" s="738">
        <f t="shared" si="8"/>
        <v>119208.11895947259</v>
      </c>
    </row>
    <row r="64" spans="1:27">
      <c r="A64" s="754" t="str">
        <f>'Func Future Subs 2015'!A64</f>
        <v>Benalto 17S (GD Hazel)</v>
      </c>
      <c r="B64" s="754">
        <f>'Func Future Subs 2015'!B64</f>
        <v>813</v>
      </c>
      <c r="C64" s="754">
        <f>'Func Future Subs 2015'!C64</f>
        <v>240</v>
      </c>
      <c r="D64" s="754">
        <f>'Func Future Subs 2015'!D64</f>
        <v>25</v>
      </c>
      <c r="E64" s="754" t="str">
        <f>'Func Future Subs 2015'!E64</f>
        <v>17S</v>
      </c>
      <c r="F64" s="754">
        <f>'Func Future Subs 2015'!F64</f>
        <v>20654.730280508273</v>
      </c>
      <c r="G64" s="754" t="str">
        <f>'Func Future Subs 2015'!G64</f>
        <v>AltaLink</v>
      </c>
      <c r="H64" s="754">
        <f>'Func Future Subs 2015'!H64</f>
        <v>2017</v>
      </c>
      <c r="I64" s="306">
        <f>+IF($H64=I$2,VLOOKUP($G64,Depreciation!$A$14:$L$18,7,FALSE)/2,IF($H64&lt;I$2,VLOOKUP($G64,Depreciation!$A$14:$L$18,7,FALSE),0))</f>
        <v>0</v>
      </c>
      <c r="J64" s="306">
        <f>+IF($H64=J$2,VLOOKUP($G64,Depreciation!$A$14:$L$18,8,FALSE)/2,IF($H64&lt;J$2,VLOOKUP($G64,Depreciation!$A$14:$L$18,8,FALSE),0))</f>
        <v>0</v>
      </c>
      <c r="K64" s="306">
        <f>+IF($H64=K$2,VLOOKUP($G64,Depreciation!$A$14:$L$18,9,FALSE)/2,IF($H64&lt;K$2,VLOOKUP($G64,Depreciation!$A$14:$L$18,9,FALSE),0))</f>
        <v>1.671703928371859E-2</v>
      </c>
      <c r="L64" s="306">
        <f>+IF($H64=L$2,VLOOKUP($G64,Depreciation!$A$14:$L$18,10,FALSE)/2,IF($H64&lt;L$2,VLOOKUP($G64,Depreciation!$A$14:$L$18,10,FALSE),0))</f>
        <v>3.343407856743718E-2</v>
      </c>
      <c r="M64" s="306">
        <f>+IF($H64=M$2,VLOOKUP($G64,Depreciation!$A$14:$L$18,11,FALSE)/2,IF($H64&lt;M$2,VLOOKUP($G64,Depreciation!$A$14:$L$18,11,FALSE),0))</f>
        <v>3.343407856743718E-2</v>
      </c>
      <c r="N64" s="306">
        <f>+IF($H64=N$2,VLOOKUP($G64,Depreciation!$A$14:$L$18,12,FALSE)/2,IF($H64&lt;N$2,VLOOKUP($G64,Depreciation!$A$14:$L$18,12,FALSE),0))</f>
        <v>3.343407856743718E-2</v>
      </c>
      <c r="O64" s="307">
        <f t="shared" si="1"/>
        <v>18339.710609149632</v>
      </c>
      <c r="P64" s="732">
        <f>'Func Future Subs 2015'!P64</f>
        <v>0</v>
      </c>
      <c r="Q64" s="732">
        <f>'Func Future Subs 2015'!Q64</f>
        <v>1</v>
      </c>
      <c r="R64" s="732">
        <f>'Func Future Subs 2015'!R64</f>
        <v>0</v>
      </c>
      <c r="S64" s="735">
        <f t="shared" si="2"/>
        <v>0</v>
      </c>
      <c r="T64" s="735">
        <f t="shared" si="3"/>
        <v>18339.710609149632</v>
      </c>
      <c r="U64" s="735">
        <f t="shared" si="4"/>
        <v>0</v>
      </c>
      <c r="V64" s="736">
        <f t="shared" si="5"/>
        <v>0</v>
      </c>
      <c r="W64" s="735">
        <f t="shared" si="6"/>
        <v>0</v>
      </c>
      <c r="X64" s="737">
        <f t="shared" si="7"/>
        <v>0</v>
      </c>
      <c r="Y64" s="738">
        <f t="shared" si="8"/>
        <v>18339.710609149632</v>
      </c>
    </row>
    <row r="65" spans="1:25">
      <c r="A65" s="754" t="str">
        <f>'Func Future Subs 2015'!A65</f>
        <v>Benalto 17S (LR)</v>
      </c>
      <c r="B65" s="754">
        <f>'Func Future Subs 2015'!B65</f>
        <v>813</v>
      </c>
      <c r="C65" s="754">
        <f>'Func Future Subs 2015'!C65</f>
        <v>138</v>
      </c>
      <c r="D65" s="754">
        <f>'Func Future Subs 2015'!D65</f>
        <v>25</v>
      </c>
      <c r="E65" s="754" t="str">
        <f>'Func Future Subs 2015'!E65</f>
        <v>17S</v>
      </c>
      <c r="F65" s="754">
        <f>'Func Future Subs 2015'!F65</f>
        <v>655703.2937070569</v>
      </c>
      <c r="G65" s="754" t="str">
        <f>'Func Future Subs 2015'!G65</f>
        <v>AltaLink</v>
      </c>
      <c r="H65" s="754">
        <f>'Func Future Subs 2015'!H65</f>
        <v>2017</v>
      </c>
      <c r="I65" s="306">
        <f>+IF($H65=I$2,VLOOKUP($G65,Depreciation!$A$14:$L$18,7,FALSE)/2,IF($H65&lt;I$2,VLOOKUP($G65,Depreciation!$A$14:$L$18,7,FALSE),0))</f>
        <v>0</v>
      </c>
      <c r="J65" s="306">
        <f>+IF($H65=J$2,VLOOKUP($G65,Depreciation!$A$14:$L$18,8,FALSE)/2,IF($H65&lt;J$2,VLOOKUP($G65,Depreciation!$A$14:$L$18,8,FALSE),0))</f>
        <v>0</v>
      </c>
      <c r="K65" s="306">
        <f>+IF($H65=K$2,VLOOKUP($G65,Depreciation!$A$14:$L$18,9,FALSE)/2,IF($H65&lt;K$2,VLOOKUP($G65,Depreciation!$A$14:$L$18,9,FALSE),0))</f>
        <v>1.671703928371859E-2</v>
      </c>
      <c r="L65" s="306">
        <f>+IF($H65=L$2,VLOOKUP($G65,Depreciation!$A$14:$L$18,10,FALSE)/2,IF($H65&lt;L$2,VLOOKUP($G65,Depreciation!$A$14:$L$18,10,FALSE),0))</f>
        <v>3.343407856743718E-2</v>
      </c>
      <c r="M65" s="306">
        <f>+IF($H65=M$2,VLOOKUP($G65,Depreciation!$A$14:$L$18,11,FALSE)/2,IF($H65&lt;M$2,VLOOKUP($G65,Depreciation!$A$14:$L$18,11,FALSE),0))</f>
        <v>3.343407856743718E-2</v>
      </c>
      <c r="N65" s="306">
        <f>+IF($H65=N$2,VLOOKUP($G65,Depreciation!$A$14:$L$18,12,FALSE)/2,IF($H65&lt;N$2,VLOOKUP($G65,Depreciation!$A$14:$L$18,12,FALSE),0))</f>
        <v>3.343407856743718E-2</v>
      </c>
      <c r="O65" s="307">
        <f t="shared" si="1"/>
        <v>582210.8780283595</v>
      </c>
      <c r="P65" s="732">
        <f>'Func Future Subs 2015'!P65</f>
        <v>0</v>
      </c>
      <c r="Q65" s="732">
        <f>'Func Future Subs 2015'!Q65</f>
        <v>1</v>
      </c>
      <c r="R65" s="732">
        <f>'Func Future Subs 2015'!R65</f>
        <v>0</v>
      </c>
      <c r="S65" s="735">
        <f t="shared" si="2"/>
        <v>0</v>
      </c>
      <c r="T65" s="735">
        <f t="shared" si="3"/>
        <v>582210.8780283595</v>
      </c>
      <c r="U65" s="735">
        <f t="shared" si="4"/>
        <v>0</v>
      </c>
      <c r="V65" s="736">
        <f t="shared" si="5"/>
        <v>0</v>
      </c>
      <c r="W65" s="735">
        <f t="shared" si="6"/>
        <v>0</v>
      </c>
      <c r="X65" s="737">
        <f t="shared" si="7"/>
        <v>0</v>
      </c>
      <c r="Y65" s="738">
        <f t="shared" si="8"/>
        <v>582210.8780283595</v>
      </c>
    </row>
    <row r="66" spans="1:25">
      <c r="A66" s="754" t="str">
        <f>'Func Future Subs 2015'!A66</f>
        <v>Capacitor Bank at Joffre 535S</v>
      </c>
      <c r="B66" s="754">
        <f>'Func Future Subs 2015'!B66</f>
        <v>813</v>
      </c>
      <c r="C66" s="754">
        <f>'Func Future Subs 2015'!C66</f>
        <v>138</v>
      </c>
      <c r="D66" s="754">
        <f>'Func Future Subs 2015'!D66</f>
        <v>25</v>
      </c>
      <c r="E66" s="754" t="str">
        <f>'Func Future Subs 2015'!E66</f>
        <v>535S</v>
      </c>
      <c r="F66" s="754">
        <f>'Func Future Subs 2015'!F66</f>
        <v>2796588.4995215004</v>
      </c>
      <c r="G66" s="754" t="str">
        <f>'Func Future Subs 2015'!G66</f>
        <v>AltaLink</v>
      </c>
      <c r="H66" s="754">
        <f>'Func Future Subs 2015'!H66</f>
        <v>2017</v>
      </c>
      <c r="I66" s="306">
        <f>+IF($H66=I$2,VLOOKUP($G66,Depreciation!$A$14:$L$18,7,FALSE)/2,IF($H66&lt;I$2,VLOOKUP($G66,Depreciation!$A$14:$L$18,7,FALSE),0))</f>
        <v>0</v>
      </c>
      <c r="J66" s="306">
        <f>+IF($H66=J$2,VLOOKUP($G66,Depreciation!$A$14:$L$18,8,FALSE)/2,IF($H66&lt;J$2,VLOOKUP($G66,Depreciation!$A$14:$L$18,8,FALSE),0))</f>
        <v>0</v>
      </c>
      <c r="K66" s="306">
        <f>+IF($H66=K$2,VLOOKUP($G66,Depreciation!$A$14:$L$18,9,FALSE)/2,IF($H66&lt;K$2,VLOOKUP($G66,Depreciation!$A$14:$L$18,9,FALSE),0))</f>
        <v>1.671703928371859E-2</v>
      </c>
      <c r="L66" s="306">
        <f>+IF($H66=L$2,VLOOKUP($G66,Depreciation!$A$14:$L$18,10,FALSE)/2,IF($H66&lt;L$2,VLOOKUP($G66,Depreciation!$A$14:$L$18,10,FALSE),0))</f>
        <v>3.343407856743718E-2</v>
      </c>
      <c r="M66" s="306">
        <f>+IF($H66=M$2,VLOOKUP($G66,Depreciation!$A$14:$L$18,11,FALSE)/2,IF($H66&lt;M$2,VLOOKUP($G66,Depreciation!$A$14:$L$18,11,FALSE),0))</f>
        <v>3.343407856743718E-2</v>
      </c>
      <c r="N66" s="306">
        <f>+IF($H66=N$2,VLOOKUP($G66,Depreciation!$A$14:$L$18,12,FALSE)/2,IF($H66&lt;N$2,VLOOKUP($G66,Depreciation!$A$14:$L$18,12,FALSE),0))</f>
        <v>3.343407856743718E-2</v>
      </c>
      <c r="O66" s="307">
        <f t="shared" si="1"/>
        <v>2483141.7829019548</v>
      </c>
      <c r="P66" s="732">
        <f>'Func Future Subs 2015'!P66</f>
        <v>0.7403207006269098</v>
      </c>
      <c r="Q66" s="732">
        <f>'Func Future Subs 2015'!Q66</f>
        <v>0.25967929937309009</v>
      </c>
      <c r="R66" s="732">
        <f>'Func Future Subs 2015'!R66</f>
        <v>0</v>
      </c>
      <c r="S66" s="735">
        <f t="shared" si="2"/>
        <v>1838321.2644739291</v>
      </c>
      <c r="T66" s="735">
        <f t="shared" si="3"/>
        <v>644820.51842802542</v>
      </c>
      <c r="U66" s="735">
        <f t="shared" si="4"/>
        <v>0</v>
      </c>
      <c r="V66" s="736">
        <f t="shared" si="5"/>
        <v>0</v>
      </c>
      <c r="W66" s="735">
        <f t="shared" si="6"/>
        <v>1838321.2644739291</v>
      </c>
      <c r="X66" s="737">
        <f t="shared" si="7"/>
        <v>0</v>
      </c>
      <c r="Y66" s="738">
        <f t="shared" si="8"/>
        <v>644820.51842802542</v>
      </c>
    </row>
    <row r="67" spans="1:25">
      <c r="A67" s="754" t="str">
        <f>'Func Future Subs 2015'!A67</f>
        <v>Capacitor Bank at Joffre 535S (dev12)</v>
      </c>
      <c r="B67" s="754">
        <f>'Func Future Subs 2015'!B67</f>
        <v>813</v>
      </c>
      <c r="C67" s="754">
        <f>'Func Future Subs 2015'!C67</f>
        <v>138</v>
      </c>
      <c r="D67" s="754">
        <f>'Func Future Subs 2015'!D67</f>
        <v>25</v>
      </c>
      <c r="E67" s="754" t="str">
        <f>'Func Future Subs 2015'!E67</f>
        <v>535S</v>
      </c>
      <c r="F67" s="754">
        <f>'Func Future Subs 2015'!F67</f>
        <v>323419.86019997793</v>
      </c>
      <c r="G67" s="754" t="str">
        <f>'Func Future Subs 2015'!G67</f>
        <v>AltaLink</v>
      </c>
      <c r="H67" s="754">
        <f>'Func Future Subs 2015'!H67</f>
        <v>2017</v>
      </c>
      <c r="I67" s="306">
        <f>+IF($H67=I$2,VLOOKUP($G67,Depreciation!$A$14:$L$18,7,FALSE)/2,IF($H67&lt;I$2,VLOOKUP($G67,Depreciation!$A$14:$L$18,7,FALSE),0))</f>
        <v>0</v>
      </c>
      <c r="J67" s="306">
        <f>+IF($H67=J$2,VLOOKUP($G67,Depreciation!$A$14:$L$18,8,FALSE)/2,IF($H67&lt;J$2,VLOOKUP($G67,Depreciation!$A$14:$L$18,8,FALSE),0))</f>
        <v>0</v>
      </c>
      <c r="K67" s="306">
        <f>+IF($H67=K$2,VLOOKUP($G67,Depreciation!$A$14:$L$18,9,FALSE)/2,IF($H67&lt;K$2,VLOOKUP($G67,Depreciation!$A$14:$L$18,9,FALSE),0))</f>
        <v>1.671703928371859E-2</v>
      </c>
      <c r="L67" s="306">
        <f>+IF($H67=L$2,VLOOKUP($G67,Depreciation!$A$14:$L$18,10,FALSE)/2,IF($H67&lt;L$2,VLOOKUP($G67,Depreciation!$A$14:$L$18,10,FALSE),0))</f>
        <v>3.343407856743718E-2</v>
      </c>
      <c r="M67" s="306">
        <f>+IF($H67=M$2,VLOOKUP($G67,Depreciation!$A$14:$L$18,11,FALSE)/2,IF($H67&lt;M$2,VLOOKUP($G67,Depreciation!$A$14:$L$18,11,FALSE),0))</f>
        <v>3.343407856743718E-2</v>
      </c>
      <c r="N67" s="306">
        <f>+IF($H67=N$2,VLOOKUP($G67,Depreciation!$A$14:$L$18,12,FALSE)/2,IF($H67&lt;N$2,VLOOKUP($G67,Depreciation!$A$14:$L$18,12,FALSE),0))</f>
        <v>3.343407856743718E-2</v>
      </c>
      <c r="O67" s="307">
        <f t="shared" si="1"/>
        <v>287170.37505528081</v>
      </c>
      <c r="P67" s="732">
        <f>'Func Future Subs 2015'!P67</f>
        <v>0.7403207006269098</v>
      </c>
      <c r="Q67" s="732">
        <f>'Func Future Subs 2015'!Q67</f>
        <v>0.25967929937309009</v>
      </c>
      <c r="R67" s="732">
        <f>'Func Future Subs 2015'!R67</f>
        <v>0</v>
      </c>
      <c r="S67" s="735">
        <f t="shared" si="2"/>
        <v>212598.17326021794</v>
      </c>
      <c r="T67" s="735">
        <f t="shared" si="3"/>
        <v>74572.201795062821</v>
      </c>
      <c r="U67" s="735">
        <f t="shared" si="4"/>
        <v>0</v>
      </c>
      <c r="V67" s="736">
        <f t="shared" si="5"/>
        <v>0</v>
      </c>
      <c r="W67" s="735">
        <f t="shared" si="6"/>
        <v>212598.17326021794</v>
      </c>
      <c r="X67" s="737">
        <f t="shared" si="7"/>
        <v>0</v>
      </c>
      <c r="Y67" s="738">
        <f t="shared" si="8"/>
        <v>74572.201795062821</v>
      </c>
    </row>
    <row r="68" spans="1:25">
      <c r="A68" s="754" t="str">
        <f>'Func Future Subs 2015'!A68</f>
        <v>Development at Beddington 162S</v>
      </c>
      <c r="B68" s="754">
        <f>'Func Future Subs 2015'!B68</f>
        <v>813</v>
      </c>
      <c r="C68" s="754">
        <f>'Func Future Subs 2015'!C68</f>
        <v>240</v>
      </c>
      <c r="D68" s="754">
        <f>'Func Future Subs 2015'!D68</f>
        <v>25</v>
      </c>
      <c r="E68" s="754" t="str">
        <f>'Func Future Subs 2015'!E68</f>
        <v>162S</v>
      </c>
      <c r="F68" s="754">
        <f>'Func Future Subs 2015'!F68</f>
        <v>36791.145939886468</v>
      </c>
      <c r="G68" s="754" t="str">
        <f>'Func Future Subs 2015'!G68</f>
        <v>AltaLink</v>
      </c>
      <c r="H68" s="754">
        <f>'Func Future Subs 2015'!H68</f>
        <v>2017</v>
      </c>
      <c r="I68" s="306">
        <f>+IF($H68=I$2,VLOOKUP($G68,Depreciation!$A$14:$L$18,7,FALSE)/2,IF($H68&lt;I$2,VLOOKUP($G68,Depreciation!$A$14:$L$18,7,FALSE),0))</f>
        <v>0</v>
      </c>
      <c r="J68" s="306">
        <f>+IF($H68=J$2,VLOOKUP($G68,Depreciation!$A$14:$L$18,8,FALSE)/2,IF($H68&lt;J$2,VLOOKUP($G68,Depreciation!$A$14:$L$18,8,FALSE),0))</f>
        <v>0</v>
      </c>
      <c r="K68" s="306">
        <f>+IF($H68=K$2,VLOOKUP($G68,Depreciation!$A$14:$L$18,9,FALSE)/2,IF($H68&lt;K$2,VLOOKUP($G68,Depreciation!$A$14:$L$18,9,FALSE),0))</f>
        <v>1.671703928371859E-2</v>
      </c>
      <c r="L68" s="306">
        <f>+IF($H68=L$2,VLOOKUP($G68,Depreciation!$A$14:$L$18,10,FALSE)/2,IF($H68&lt;L$2,VLOOKUP($G68,Depreciation!$A$14:$L$18,10,FALSE),0))</f>
        <v>3.343407856743718E-2</v>
      </c>
      <c r="M68" s="306">
        <f>+IF($H68=M$2,VLOOKUP($G68,Depreciation!$A$14:$L$18,11,FALSE)/2,IF($H68&lt;M$2,VLOOKUP($G68,Depreciation!$A$14:$L$18,11,FALSE),0))</f>
        <v>3.343407856743718E-2</v>
      </c>
      <c r="N68" s="306">
        <f>+IF($H68=N$2,VLOOKUP($G68,Depreciation!$A$14:$L$18,12,FALSE)/2,IF($H68&lt;N$2,VLOOKUP($G68,Depreciation!$A$14:$L$18,12,FALSE),0))</f>
        <v>3.343407856743718E-2</v>
      </c>
      <c r="O68" s="307">
        <f t="shared" ref="O68:O131" si="9">IF(H68&lt;=2020,F68*(1-I68)*(1-J68)*(1-K68)*(1-L68)*(1-M68)*(1-N68),0)</f>
        <v>32667.527503530499</v>
      </c>
      <c r="P68" s="732">
        <f>'Func Future Subs 2015'!P68</f>
        <v>0.9116809116809117</v>
      </c>
      <c r="Q68" s="732">
        <f>'Func Future Subs 2015'!Q68</f>
        <v>8.8319088319088315E-2</v>
      </c>
      <c r="R68" s="732">
        <f>'Func Future Subs 2015'!R68</f>
        <v>0</v>
      </c>
      <c r="S68" s="735">
        <f t="shared" ref="S68:S131" si="10">+P68*$O68</f>
        <v>29782.361256779943</v>
      </c>
      <c r="T68" s="735">
        <f t="shared" ref="T68:T131" si="11">+Q68*$O68</f>
        <v>2885.1662467505566</v>
      </c>
      <c r="U68" s="735">
        <f t="shared" ref="U68:U131" si="12">+R68*$O68</f>
        <v>0</v>
      </c>
      <c r="V68" s="736">
        <f t="shared" ref="V68:V131" si="13">IF(AND(R68=1,D68=0),O68,0)</f>
        <v>0</v>
      </c>
      <c r="W68" s="735">
        <f t="shared" ref="W68:W131" si="14">S68+IF(D68&gt;144,U68,0)</f>
        <v>29782.361256779943</v>
      </c>
      <c r="X68" s="737">
        <f t="shared" ref="X68:X131" si="15">IF(AND(D68&lt;=144,D68&gt;=69),U68,0)</f>
        <v>0</v>
      </c>
      <c r="Y68" s="738">
        <f t="shared" ref="Y68:Y131" si="16">T68+IF(AND(D68&lt;69,D68&gt;0),U68,0)</f>
        <v>2885.1662467505566</v>
      </c>
    </row>
    <row r="69" spans="1:25">
      <c r="A69" s="754" t="str">
        <f>'Func Future Subs 2015'!A69</f>
        <v>Development at Benalto 17S</v>
      </c>
      <c r="B69" s="754">
        <f>'Func Future Subs 2015'!B69</f>
        <v>813</v>
      </c>
      <c r="C69" s="754">
        <f>'Func Future Subs 2015'!C69</f>
        <v>240</v>
      </c>
      <c r="D69" s="754">
        <f>'Func Future Subs 2015'!D69</f>
        <v>25</v>
      </c>
      <c r="E69" s="754" t="str">
        <f>'Func Future Subs 2015'!E69</f>
        <v>17S</v>
      </c>
      <c r="F69" s="754">
        <f>'Func Future Subs 2015'!F69</f>
        <v>5892088.7617147239</v>
      </c>
      <c r="G69" s="754" t="str">
        <f>'Func Future Subs 2015'!G69</f>
        <v>AltaLink</v>
      </c>
      <c r="H69" s="754">
        <f>'Func Future Subs 2015'!H69</f>
        <v>2017</v>
      </c>
      <c r="I69" s="306">
        <f>+IF($H69=I$2,VLOOKUP($G69,Depreciation!$A$14:$L$18,7,FALSE)/2,IF($H69&lt;I$2,VLOOKUP($G69,Depreciation!$A$14:$L$18,7,FALSE),0))</f>
        <v>0</v>
      </c>
      <c r="J69" s="306">
        <f>+IF($H69=J$2,VLOOKUP($G69,Depreciation!$A$14:$L$18,8,FALSE)/2,IF($H69&lt;J$2,VLOOKUP($G69,Depreciation!$A$14:$L$18,8,FALSE),0))</f>
        <v>0</v>
      </c>
      <c r="K69" s="306">
        <f>+IF($H69=K$2,VLOOKUP($G69,Depreciation!$A$14:$L$18,9,FALSE)/2,IF($H69&lt;K$2,VLOOKUP($G69,Depreciation!$A$14:$L$18,9,FALSE),0))</f>
        <v>1.671703928371859E-2</v>
      </c>
      <c r="L69" s="306">
        <f>+IF($H69=L$2,VLOOKUP($G69,Depreciation!$A$14:$L$18,10,FALSE)/2,IF($H69&lt;L$2,VLOOKUP($G69,Depreciation!$A$14:$L$18,10,FALSE),0))</f>
        <v>3.343407856743718E-2</v>
      </c>
      <c r="M69" s="306">
        <f>+IF($H69=M$2,VLOOKUP($G69,Depreciation!$A$14:$L$18,11,FALSE)/2,IF($H69&lt;M$2,VLOOKUP($G69,Depreciation!$A$14:$L$18,11,FALSE),0))</f>
        <v>3.343407856743718E-2</v>
      </c>
      <c r="N69" s="306">
        <f>+IF($H69=N$2,VLOOKUP($G69,Depreciation!$A$14:$L$18,12,FALSE)/2,IF($H69&lt;N$2,VLOOKUP($G69,Depreciation!$A$14:$L$18,12,FALSE),0))</f>
        <v>3.343407856743718E-2</v>
      </c>
      <c r="O69" s="307">
        <f t="shared" si="9"/>
        <v>5231692.7553997431</v>
      </c>
      <c r="P69" s="732">
        <f>'Func Future Subs 2015'!P69</f>
        <v>0</v>
      </c>
      <c r="Q69" s="732">
        <f>'Func Future Subs 2015'!Q69</f>
        <v>1</v>
      </c>
      <c r="R69" s="732">
        <f>'Func Future Subs 2015'!R69</f>
        <v>0</v>
      </c>
      <c r="S69" s="735">
        <f t="shared" si="10"/>
        <v>0</v>
      </c>
      <c r="T69" s="735">
        <f t="shared" si="11"/>
        <v>5231692.7553997431</v>
      </c>
      <c r="U69" s="735">
        <f t="shared" si="12"/>
        <v>0</v>
      </c>
      <c r="V69" s="736">
        <f t="shared" si="13"/>
        <v>0</v>
      </c>
      <c r="W69" s="735">
        <f t="shared" si="14"/>
        <v>0</v>
      </c>
      <c r="X69" s="737">
        <f t="shared" si="15"/>
        <v>0</v>
      </c>
      <c r="Y69" s="738">
        <f t="shared" si="16"/>
        <v>5231692.7553997431</v>
      </c>
    </row>
    <row r="70" spans="1:25">
      <c r="A70" s="754" t="str">
        <f>'Func Future Subs 2015'!A70</f>
        <v>Development at Benalto 17S (dev2)</v>
      </c>
      <c r="B70" s="754">
        <f>'Func Future Subs 2015'!B70</f>
        <v>813</v>
      </c>
      <c r="C70" s="754">
        <f>'Func Future Subs 2015'!C70</f>
        <v>240</v>
      </c>
      <c r="D70" s="754">
        <f>'Func Future Subs 2015'!D70</f>
        <v>25</v>
      </c>
      <c r="E70" s="754" t="str">
        <f>'Func Future Subs 2015'!E70</f>
        <v>17S</v>
      </c>
      <c r="F70" s="754">
        <f>'Func Future Subs 2015'!F70</f>
        <v>36791.145939886468</v>
      </c>
      <c r="G70" s="754" t="str">
        <f>'Func Future Subs 2015'!G70</f>
        <v>AltaLink</v>
      </c>
      <c r="H70" s="754">
        <f>'Func Future Subs 2015'!H70</f>
        <v>2017</v>
      </c>
      <c r="I70" s="306">
        <f>+IF($H70=I$2,VLOOKUP($G70,Depreciation!$A$14:$L$18,7,FALSE)/2,IF($H70&lt;I$2,VLOOKUP($G70,Depreciation!$A$14:$L$18,7,FALSE),0))</f>
        <v>0</v>
      </c>
      <c r="J70" s="306">
        <f>+IF($H70=J$2,VLOOKUP($G70,Depreciation!$A$14:$L$18,8,FALSE)/2,IF($H70&lt;J$2,VLOOKUP($G70,Depreciation!$A$14:$L$18,8,FALSE),0))</f>
        <v>0</v>
      </c>
      <c r="K70" s="306">
        <f>+IF($H70=K$2,VLOOKUP($G70,Depreciation!$A$14:$L$18,9,FALSE)/2,IF($H70&lt;K$2,VLOOKUP($G70,Depreciation!$A$14:$L$18,9,FALSE),0))</f>
        <v>1.671703928371859E-2</v>
      </c>
      <c r="L70" s="306">
        <f>+IF($H70=L$2,VLOOKUP($G70,Depreciation!$A$14:$L$18,10,FALSE)/2,IF($H70&lt;L$2,VLOOKUP($G70,Depreciation!$A$14:$L$18,10,FALSE),0))</f>
        <v>3.343407856743718E-2</v>
      </c>
      <c r="M70" s="306">
        <f>+IF($H70=M$2,VLOOKUP($G70,Depreciation!$A$14:$L$18,11,FALSE)/2,IF($H70&lt;M$2,VLOOKUP($G70,Depreciation!$A$14:$L$18,11,FALSE),0))</f>
        <v>3.343407856743718E-2</v>
      </c>
      <c r="N70" s="306">
        <f>+IF($H70=N$2,VLOOKUP($G70,Depreciation!$A$14:$L$18,12,FALSE)/2,IF($H70&lt;N$2,VLOOKUP($G70,Depreciation!$A$14:$L$18,12,FALSE),0))</f>
        <v>3.343407856743718E-2</v>
      </c>
      <c r="O70" s="307">
        <f t="shared" si="9"/>
        <v>32667.527503530499</v>
      </c>
      <c r="P70" s="732">
        <f>'Func Future Subs 2015'!P70</f>
        <v>0</v>
      </c>
      <c r="Q70" s="732">
        <f>'Func Future Subs 2015'!Q70</f>
        <v>1</v>
      </c>
      <c r="R70" s="732">
        <f>'Func Future Subs 2015'!R70</f>
        <v>0</v>
      </c>
      <c r="S70" s="735">
        <f t="shared" si="10"/>
        <v>0</v>
      </c>
      <c r="T70" s="735">
        <f t="shared" si="11"/>
        <v>32667.527503530499</v>
      </c>
      <c r="U70" s="735">
        <f t="shared" si="12"/>
        <v>0</v>
      </c>
      <c r="V70" s="736">
        <f t="shared" si="13"/>
        <v>0</v>
      </c>
      <c r="W70" s="735">
        <f t="shared" si="14"/>
        <v>0</v>
      </c>
      <c r="X70" s="737">
        <f t="shared" si="15"/>
        <v>0</v>
      </c>
      <c r="Y70" s="738">
        <f t="shared" si="16"/>
        <v>32667.527503530499</v>
      </c>
    </row>
    <row r="71" spans="1:25">
      <c r="A71" s="754" t="str">
        <f>'Func Future Subs 2015'!A71</f>
        <v>Development at Benalto 17S (dev21)</v>
      </c>
      <c r="B71" s="754">
        <f>'Func Future Subs 2015'!B71</f>
        <v>813</v>
      </c>
      <c r="C71" s="754">
        <f>'Func Future Subs 2015'!C71</f>
        <v>240</v>
      </c>
      <c r="D71" s="754">
        <f>'Func Future Subs 2015'!D71</f>
        <v>25</v>
      </c>
      <c r="E71" s="754" t="str">
        <f>'Func Future Subs 2015'!E71</f>
        <v>17S</v>
      </c>
      <c r="F71" s="754">
        <f>'Func Future Subs 2015'!F71</f>
        <v>350767.67769415543</v>
      </c>
      <c r="G71" s="754" t="str">
        <f>'Func Future Subs 2015'!G71</f>
        <v>AltaLink</v>
      </c>
      <c r="H71" s="754">
        <f>'Func Future Subs 2015'!H71</f>
        <v>2017</v>
      </c>
      <c r="I71" s="306">
        <f>+IF($H71=I$2,VLOOKUP($G71,Depreciation!$A$14:$L$18,7,FALSE)/2,IF($H71&lt;I$2,VLOOKUP($G71,Depreciation!$A$14:$L$18,7,FALSE),0))</f>
        <v>0</v>
      </c>
      <c r="J71" s="306">
        <f>+IF($H71=J$2,VLOOKUP($G71,Depreciation!$A$14:$L$18,8,FALSE)/2,IF($H71&lt;J$2,VLOOKUP($G71,Depreciation!$A$14:$L$18,8,FALSE),0))</f>
        <v>0</v>
      </c>
      <c r="K71" s="306">
        <f>+IF($H71=K$2,VLOOKUP($G71,Depreciation!$A$14:$L$18,9,FALSE)/2,IF($H71&lt;K$2,VLOOKUP($G71,Depreciation!$A$14:$L$18,9,FALSE),0))</f>
        <v>1.671703928371859E-2</v>
      </c>
      <c r="L71" s="306">
        <f>+IF($H71=L$2,VLOOKUP($G71,Depreciation!$A$14:$L$18,10,FALSE)/2,IF($H71&lt;L$2,VLOOKUP($G71,Depreciation!$A$14:$L$18,10,FALSE),0))</f>
        <v>3.343407856743718E-2</v>
      </c>
      <c r="M71" s="306">
        <f>+IF($H71=M$2,VLOOKUP($G71,Depreciation!$A$14:$L$18,11,FALSE)/2,IF($H71&lt;M$2,VLOOKUP($G71,Depreciation!$A$14:$L$18,11,FALSE),0))</f>
        <v>3.343407856743718E-2</v>
      </c>
      <c r="N71" s="306">
        <f>+IF($H71=N$2,VLOOKUP($G71,Depreciation!$A$14:$L$18,12,FALSE)/2,IF($H71&lt;N$2,VLOOKUP($G71,Depreciation!$A$14:$L$18,12,FALSE),0))</f>
        <v>3.343407856743718E-2</v>
      </c>
      <c r="O71" s="307">
        <f t="shared" si="9"/>
        <v>311452.99951096612</v>
      </c>
      <c r="P71" s="732">
        <f>'Func Future Subs 2015'!P71</f>
        <v>0</v>
      </c>
      <c r="Q71" s="732">
        <f>'Func Future Subs 2015'!Q71</f>
        <v>1</v>
      </c>
      <c r="R71" s="732">
        <f>'Func Future Subs 2015'!R71</f>
        <v>0</v>
      </c>
      <c r="S71" s="735">
        <f t="shared" si="10"/>
        <v>0</v>
      </c>
      <c r="T71" s="735">
        <f t="shared" si="11"/>
        <v>311452.99951096612</v>
      </c>
      <c r="U71" s="735">
        <f t="shared" si="12"/>
        <v>0</v>
      </c>
      <c r="V71" s="736">
        <f t="shared" si="13"/>
        <v>0</v>
      </c>
      <c r="W71" s="735">
        <f t="shared" si="14"/>
        <v>0</v>
      </c>
      <c r="X71" s="737">
        <f t="shared" si="15"/>
        <v>0</v>
      </c>
      <c r="Y71" s="738">
        <f t="shared" si="16"/>
        <v>311452.99951096612</v>
      </c>
    </row>
    <row r="72" spans="1:25">
      <c r="A72" s="754" t="str">
        <f>'Func Future Subs 2015'!A72</f>
        <v>Development at Didsbury 152S</v>
      </c>
      <c r="B72" s="754">
        <f>'Func Future Subs 2015'!B72</f>
        <v>813</v>
      </c>
      <c r="C72" s="754">
        <f>'Func Future Subs 2015'!C72</f>
        <v>240</v>
      </c>
      <c r="D72" s="754">
        <f>'Func Future Subs 2015'!D72</f>
        <v>0</v>
      </c>
      <c r="E72" s="754" t="str">
        <f>'Func Future Subs 2015'!E72</f>
        <v>152S</v>
      </c>
      <c r="F72" s="754">
        <f>'Func Future Subs 2015'!F72</f>
        <v>447651.4772203879</v>
      </c>
      <c r="G72" s="754" t="str">
        <f>'Func Future Subs 2015'!G72</f>
        <v>AltaLink</v>
      </c>
      <c r="H72" s="754">
        <f>'Func Future Subs 2015'!H72</f>
        <v>2017</v>
      </c>
      <c r="I72" s="306">
        <f>+IF($H72=I$2,VLOOKUP($G72,Depreciation!$A$14:$L$18,7,FALSE)/2,IF($H72&lt;I$2,VLOOKUP($G72,Depreciation!$A$14:$L$18,7,FALSE),0))</f>
        <v>0</v>
      </c>
      <c r="J72" s="306">
        <f>+IF($H72=J$2,VLOOKUP($G72,Depreciation!$A$14:$L$18,8,FALSE)/2,IF($H72&lt;J$2,VLOOKUP($G72,Depreciation!$A$14:$L$18,8,FALSE),0))</f>
        <v>0</v>
      </c>
      <c r="K72" s="306">
        <f>+IF($H72=K$2,VLOOKUP($G72,Depreciation!$A$14:$L$18,9,FALSE)/2,IF($H72&lt;K$2,VLOOKUP($G72,Depreciation!$A$14:$L$18,9,FALSE),0))</f>
        <v>1.671703928371859E-2</v>
      </c>
      <c r="L72" s="306">
        <f>+IF($H72=L$2,VLOOKUP($G72,Depreciation!$A$14:$L$18,10,FALSE)/2,IF($H72&lt;L$2,VLOOKUP($G72,Depreciation!$A$14:$L$18,10,FALSE),0))</f>
        <v>3.343407856743718E-2</v>
      </c>
      <c r="M72" s="306">
        <f>+IF($H72=M$2,VLOOKUP($G72,Depreciation!$A$14:$L$18,11,FALSE)/2,IF($H72&lt;M$2,VLOOKUP($G72,Depreciation!$A$14:$L$18,11,FALSE),0))</f>
        <v>3.343407856743718E-2</v>
      </c>
      <c r="N72" s="306">
        <f>+IF($H72=N$2,VLOOKUP($G72,Depreciation!$A$14:$L$18,12,FALSE)/2,IF($H72&lt;N$2,VLOOKUP($G72,Depreciation!$A$14:$L$18,12,FALSE),0))</f>
        <v>3.343407856743718E-2</v>
      </c>
      <c r="O72" s="307">
        <f t="shared" si="9"/>
        <v>397477.88688036182</v>
      </c>
      <c r="P72" s="732">
        <f>'Func Future Subs 2015'!P72</f>
        <v>0</v>
      </c>
      <c r="Q72" s="732">
        <f>'Func Future Subs 2015'!Q72</f>
        <v>0</v>
      </c>
      <c r="R72" s="732">
        <f>'Func Future Subs 2015'!R72</f>
        <v>1</v>
      </c>
      <c r="S72" s="735">
        <f t="shared" si="10"/>
        <v>0</v>
      </c>
      <c r="T72" s="735">
        <f t="shared" si="11"/>
        <v>0</v>
      </c>
      <c r="U72" s="735">
        <f t="shared" si="12"/>
        <v>397477.88688036182</v>
      </c>
      <c r="V72" s="736">
        <f t="shared" si="13"/>
        <v>397477.88688036182</v>
      </c>
      <c r="W72" s="735">
        <f t="shared" si="14"/>
        <v>0</v>
      </c>
      <c r="X72" s="737">
        <f t="shared" si="15"/>
        <v>0</v>
      </c>
      <c r="Y72" s="738">
        <f t="shared" si="16"/>
        <v>0</v>
      </c>
    </row>
    <row r="73" spans="1:25">
      <c r="A73" s="754" t="str">
        <f>'Func Future Subs 2015'!A73</f>
        <v>Development at Ellis 332S</v>
      </c>
      <c r="B73" s="754">
        <f>'Func Future Subs 2015'!B73</f>
        <v>813</v>
      </c>
      <c r="C73" s="754">
        <f>'Func Future Subs 2015'!C73</f>
        <v>138</v>
      </c>
      <c r="D73" s="754">
        <f>'Func Future Subs 2015'!D73</f>
        <v>25</v>
      </c>
      <c r="E73" s="754" t="str">
        <f>'Func Future Subs 2015'!E73</f>
        <v>332S</v>
      </c>
      <c r="F73" s="754">
        <f>'Func Future Subs 2015'!F73</f>
        <v>3030739.6252496969</v>
      </c>
      <c r="G73" s="754" t="str">
        <f>'Func Future Subs 2015'!G73</f>
        <v>AltaLink</v>
      </c>
      <c r="H73" s="754">
        <f>'Func Future Subs 2015'!H73</f>
        <v>2017</v>
      </c>
      <c r="I73" s="306">
        <f>+IF($H73=I$2,VLOOKUP($G73,Depreciation!$A$14:$L$18,7,FALSE)/2,IF($H73&lt;I$2,VLOOKUP($G73,Depreciation!$A$14:$L$18,7,FALSE),0))</f>
        <v>0</v>
      </c>
      <c r="J73" s="306">
        <f>+IF($H73=J$2,VLOOKUP($G73,Depreciation!$A$14:$L$18,8,FALSE)/2,IF($H73&lt;J$2,VLOOKUP($G73,Depreciation!$A$14:$L$18,8,FALSE),0))</f>
        <v>0</v>
      </c>
      <c r="K73" s="306">
        <f>+IF($H73=K$2,VLOOKUP($G73,Depreciation!$A$14:$L$18,9,FALSE)/2,IF($H73&lt;K$2,VLOOKUP($G73,Depreciation!$A$14:$L$18,9,FALSE),0))</f>
        <v>1.671703928371859E-2</v>
      </c>
      <c r="L73" s="306">
        <f>+IF($H73=L$2,VLOOKUP($G73,Depreciation!$A$14:$L$18,10,FALSE)/2,IF($H73&lt;L$2,VLOOKUP($G73,Depreciation!$A$14:$L$18,10,FALSE),0))</f>
        <v>3.343407856743718E-2</v>
      </c>
      <c r="M73" s="306">
        <f>+IF($H73=M$2,VLOOKUP($G73,Depreciation!$A$14:$L$18,11,FALSE)/2,IF($H73&lt;M$2,VLOOKUP($G73,Depreciation!$A$14:$L$18,11,FALSE),0))</f>
        <v>3.343407856743718E-2</v>
      </c>
      <c r="N73" s="306">
        <f>+IF($H73=N$2,VLOOKUP($G73,Depreciation!$A$14:$L$18,12,FALSE)/2,IF($H73&lt;N$2,VLOOKUP($G73,Depreciation!$A$14:$L$18,12,FALSE),0))</f>
        <v>3.343407856743718E-2</v>
      </c>
      <c r="O73" s="307">
        <f t="shared" si="9"/>
        <v>2691048.8253247845</v>
      </c>
      <c r="P73" s="732">
        <f>'Func Future Subs 2015'!P73</f>
        <v>0</v>
      </c>
      <c r="Q73" s="732">
        <f>'Func Future Subs 2015'!Q73</f>
        <v>1</v>
      </c>
      <c r="R73" s="732">
        <f>'Func Future Subs 2015'!R73</f>
        <v>0</v>
      </c>
      <c r="S73" s="735">
        <f t="shared" si="10"/>
        <v>0</v>
      </c>
      <c r="T73" s="735">
        <f t="shared" si="11"/>
        <v>2691048.8253247845</v>
      </c>
      <c r="U73" s="735">
        <f t="shared" si="12"/>
        <v>0</v>
      </c>
      <c r="V73" s="736">
        <f t="shared" si="13"/>
        <v>0</v>
      </c>
      <c r="W73" s="735">
        <f t="shared" si="14"/>
        <v>0</v>
      </c>
      <c r="X73" s="737">
        <f t="shared" si="15"/>
        <v>0</v>
      </c>
      <c r="Y73" s="738">
        <f t="shared" si="16"/>
        <v>2691048.8253247845</v>
      </c>
    </row>
    <row r="74" spans="1:25">
      <c r="A74" s="754" t="str">
        <f>'Func Future Subs 2015'!A74</f>
        <v>Development at Ellis 332S (dev3)</v>
      </c>
      <c r="B74" s="754">
        <f>'Func Future Subs 2015'!B74</f>
        <v>813</v>
      </c>
      <c r="C74" s="754">
        <f>'Func Future Subs 2015'!C74</f>
        <v>138</v>
      </c>
      <c r="D74" s="754">
        <f>'Func Future Subs 2015'!D74</f>
        <v>25</v>
      </c>
      <c r="E74" s="754" t="str">
        <f>'Func Future Subs 2015'!E74</f>
        <v>332S</v>
      </c>
      <c r="F74" s="754">
        <f>'Func Future Subs 2015'!F74</f>
        <v>2498374.023488957</v>
      </c>
      <c r="G74" s="754" t="str">
        <f>'Func Future Subs 2015'!G74</f>
        <v>AltaLink</v>
      </c>
      <c r="H74" s="754">
        <f>'Func Future Subs 2015'!H74</f>
        <v>2017</v>
      </c>
      <c r="I74" s="306">
        <f>+IF($H74=I$2,VLOOKUP($G74,Depreciation!$A$14:$L$18,7,FALSE)/2,IF($H74&lt;I$2,VLOOKUP($G74,Depreciation!$A$14:$L$18,7,FALSE),0))</f>
        <v>0</v>
      </c>
      <c r="J74" s="306">
        <f>+IF($H74=J$2,VLOOKUP($G74,Depreciation!$A$14:$L$18,8,FALSE)/2,IF($H74&lt;J$2,VLOOKUP($G74,Depreciation!$A$14:$L$18,8,FALSE),0))</f>
        <v>0</v>
      </c>
      <c r="K74" s="306">
        <f>+IF($H74=K$2,VLOOKUP($G74,Depreciation!$A$14:$L$18,9,FALSE)/2,IF($H74&lt;K$2,VLOOKUP($G74,Depreciation!$A$14:$L$18,9,FALSE),0))</f>
        <v>1.671703928371859E-2</v>
      </c>
      <c r="L74" s="306">
        <f>+IF($H74=L$2,VLOOKUP($G74,Depreciation!$A$14:$L$18,10,FALSE)/2,IF($H74&lt;L$2,VLOOKUP($G74,Depreciation!$A$14:$L$18,10,FALSE),0))</f>
        <v>3.343407856743718E-2</v>
      </c>
      <c r="M74" s="306">
        <f>+IF($H74=M$2,VLOOKUP($G74,Depreciation!$A$14:$L$18,11,FALSE)/2,IF($H74&lt;M$2,VLOOKUP($G74,Depreciation!$A$14:$L$18,11,FALSE),0))</f>
        <v>3.343407856743718E-2</v>
      </c>
      <c r="N74" s="306">
        <f>+IF($H74=N$2,VLOOKUP($G74,Depreciation!$A$14:$L$18,12,FALSE)/2,IF($H74&lt;N$2,VLOOKUP($G74,Depreciation!$A$14:$L$18,12,FALSE),0))</f>
        <v>3.343407856743718E-2</v>
      </c>
      <c r="O74" s="307">
        <f t="shared" si="9"/>
        <v>2218351.7267927616</v>
      </c>
      <c r="P74" s="732">
        <f>'Func Future Subs 2015'!P74</f>
        <v>0</v>
      </c>
      <c r="Q74" s="732">
        <f>'Func Future Subs 2015'!Q74</f>
        <v>1</v>
      </c>
      <c r="R74" s="732">
        <f>'Func Future Subs 2015'!R74</f>
        <v>0</v>
      </c>
      <c r="S74" s="735">
        <f t="shared" si="10"/>
        <v>0</v>
      </c>
      <c r="T74" s="735">
        <f t="shared" si="11"/>
        <v>2218351.7267927616</v>
      </c>
      <c r="U74" s="735">
        <f t="shared" si="12"/>
        <v>0</v>
      </c>
      <c r="V74" s="736">
        <f t="shared" si="13"/>
        <v>0</v>
      </c>
      <c r="W74" s="735">
        <f t="shared" si="14"/>
        <v>0</v>
      </c>
      <c r="X74" s="737">
        <f t="shared" si="15"/>
        <v>0</v>
      </c>
      <c r="Y74" s="738">
        <f t="shared" si="16"/>
        <v>2218351.7267927616</v>
      </c>
    </row>
    <row r="75" spans="1:25">
      <c r="A75" s="754" t="str">
        <f>'Func Future Subs 2015'!A75</f>
        <v>Development at Harmattan 256S</v>
      </c>
      <c r="B75" s="754">
        <f>'Func Future Subs 2015'!B75</f>
        <v>813</v>
      </c>
      <c r="C75" s="754">
        <f>'Func Future Subs 2015'!C75</f>
        <v>138</v>
      </c>
      <c r="D75" s="754">
        <f>'Func Future Subs 2015'!D75</f>
        <v>25</v>
      </c>
      <c r="E75" s="754" t="str">
        <f>'Func Future Subs 2015'!E75</f>
        <v>256S</v>
      </c>
      <c r="F75" s="754">
        <f>'Func Future Subs 2015'!F75</f>
        <v>446170.86016879894</v>
      </c>
      <c r="G75" s="754" t="str">
        <f>'Func Future Subs 2015'!G75</f>
        <v>AltaLink</v>
      </c>
      <c r="H75" s="754">
        <f>'Func Future Subs 2015'!H75</f>
        <v>2017</v>
      </c>
      <c r="I75" s="306">
        <f>+IF($H75=I$2,VLOOKUP($G75,Depreciation!$A$14:$L$18,7,FALSE)/2,IF($H75&lt;I$2,VLOOKUP($G75,Depreciation!$A$14:$L$18,7,FALSE),0))</f>
        <v>0</v>
      </c>
      <c r="J75" s="306">
        <f>+IF($H75=J$2,VLOOKUP($G75,Depreciation!$A$14:$L$18,8,FALSE)/2,IF($H75&lt;J$2,VLOOKUP($G75,Depreciation!$A$14:$L$18,8,FALSE),0))</f>
        <v>0</v>
      </c>
      <c r="K75" s="306">
        <f>+IF($H75=K$2,VLOOKUP($G75,Depreciation!$A$14:$L$18,9,FALSE)/2,IF($H75&lt;K$2,VLOOKUP($G75,Depreciation!$A$14:$L$18,9,FALSE),0))</f>
        <v>1.671703928371859E-2</v>
      </c>
      <c r="L75" s="306">
        <f>+IF($H75=L$2,VLOOKUP($G75,Depreciation!$A$14:$L$18,10,FALSE)/2,IF($H75&lt;L$2,VLOOKUP($G75,Depreciation!$A$14:$L$18,10,FALSE),0))</f>
        <v>3.343407856743718E-2</v>
      </c>
      <c r="M75" s="306">
        <f>+IF($H75=M$2,VLOOKUP($G75,Depreciation!$A$14:$L$18,11,FALSE)/2,IF($H75&lt;M$2,VLOOKUP($G75,Depreciation!$A$14:$L$18,11,FALSE),0))</f>
        <v>3.343407856743718E-2</v>
      </c>
      <c r="N75" s="306">
        <f>+IF($H75=N$2,VLOOKUP($G75,Depreciation!$A$14:$L$18,12,FALSE)/2,IF($H75&lt;N$2,VLOOKUP($G75,Depreciation!$A$14:$L$18,12,FALSE),0))</f>
        <v>3.343407856743718E-2</v>
      </c>
      <c r="O75" s="307">
        <f t="shared" si="9"/>
        <v>396163.22007617995</v>
      </c>
      <c r="P75" s="732">
        <f>'Func Future Subs 2015'!P75</f>
        <v>0.54510993176648981</v>
      </c>
      <c r="Q75" s="732">
        <f>'Func Future Subs 2015'!Q75</f>
        <v>0.45489006823351025</v>
      </c>
      <c r="R75" s="732">
        <f>'Func Future Subs 2015'!R75</f>
        <v>0</v>
      </c>
      <c r="S75" s="735">
        <f t="shared" si="10"/>
        <v>215952.50586411933</v>
      </c>
      <c r="T75" s="735">
        <f t="shared" si="11"/>
        <v>180210.71421206064</v>
      </c>
      <c r="U75" s="735">
        <f t="shared" si="12"/>
        <v>0</v>
      </c>
      <c r="V75" s="736">
        <f t="shared" si="13"/>
        <v>0</v>
      </c>
      <c r="W75" s="735">
        <f t="shared" si="14"/>
        <v>215952.50586411933</v>
      </c>
      <c r="X75" s="737">
        <f t="shared" si="15"/>
        <v>0</v>
      </c>
      <c r="Y75" s="738">
        <f t="shared" si="16"/>
        <v>180210.71421206064</v>
      </c>
    </row>
    <row r="76" spans="1:25">
      <c r="A76" s="754" t="str">
        <f>'Func Future Subs 2015'!A76</f>
        <v>Development at Innisfail 214S</v>
      </c>
      <c r="B76" s="754">
        <f>'Func Future Subs 2015'!B76</f>
        <v>813</v>
      </c>
      <c r="C76" s="754">
        <f>'Func Future Subs 2015'!C76</f>
        <v>240</v>
      </c>
      <c r="D76" s="754">
        <f>'Func Future Subs 2015'!D76</f>
        <v>25</v>
      </c>
      <c r="E76" s="754" t="str">
        <f>'Func Future Subs 2015'!E76</f>
        <v>214S</v>
      </c>
      <c r="F76" s="754">
        <f>'Func Future Subs 2015'!F76</f>
        <v>3173918.3394682109</v>
      </c>
      <c r="G76" s="754" t="str">
        <f>'Func Future Subs 2015'!G76</f>
        <v>AltaLink</v>
      </c>
      <c r="H76" s="754">
        <f>'Func Future Subs 2015'!H76</f>
        <v>2017</v>
      </c>
      <c r="I76" s="306">
        <f>+IF($H76=I$2,VLOOKUP($G76,Depreciation!$A$14:$L$18,7,FALSE)/2,IF($H76&lt;I$2,VLOOKUP($G76,Depreciation!$A$14:$L$18,7,FALSE),0))</f>
        <v>0</v>
      </c>
      <c r="J76" s="306">
        <f>+IF($H76=J$2,VLOOKUP($G76,Depreciation!$A$14:$L$18,8,FALSE)/2,IF($H76&lt;J$2,VLOOKUP($G76,Depreciation!$A$14:$L$18,8,FALSE),0))</f>
        <v>0</v>
      </c>
      <c r="K76" s="306">
        <f>+IF($H76=K$2,VLOOKUP($G76,Depreciation!$A$14:$L$18,9,FALSE)/2,IF($H76&lt;K$2,VLOOKUP($G76,Depreciation!$A$14:$L$18,9,FALSE),0))</f>
        <v>1.671703928371859E-2</v>
      </c>
      <c r="L76" s="306">
        <f>+IF($H76=L$2,VLOOKUP($G76,Depreciation!$A$14:$L$18,10,FALSE)/2,IF($H76&lt;L$2,VLOOKUP($G76,Depreciation!$A$14:$L$18,10,FALSE),0))</f>
        <v>3.343407856743718E-2</v>
      </c>
      <c r="M76" s="306">
        <f>+IF($H76=M$2,VLOOKUP($G76,Depreciation!$A$14:$L$18,11,FALSE)/2,IF($H76&lt;M$2,VLOOKUP($G76,Depreciation!$A$14:$L$18,11,FALSE),0))</f>
        <v>3.343407856743718E-2</v>
      </c>
      <c r="N76" s="306">
        <f>+IF($H76=N$2,VLOOKUP($G76,Depreciation!$A$14:$L$18,12,FALSE)/2,IF($H76&lt;N$2,VLOOKUP($G76,Depreciation!$A$14:$L$18,12,FALSE),0))</f>
        <v>3.343407856743718E-2</v>
      </c>
      <c r="O76" s="307">
        <f t="shared" si="9"/>
        <v>2818179.8092929302</v>
      </c>
      <c r="P76" s="732">
        <f>'Func Future Subs 2015'!P76</f>
        <v>0</v>
      </c>
      <c r="Q76" s="732">
        <f>'Func Future Subs 2015'!Q76</f>
        <v>1</v>
      </c>
      <c r="R76" s="732">
        <f>'Func Future Subs 2015'!R76</f>
        <v>0</v>
      </c>
      <c r="S76" s="735">
        <f t="shared" si="10"/>
        <v>0</v>
      </c>
      <c r="T76" s="735">
        <f t="shared" si="11"/>
        <v>2818179.8092929302</v>
      </c>
      <c r="U76" s="735">
        <f t="shared" si="12"/>
        <v>0</v>
      </c>
      <c r="V76" s="736">
        <f t="shared" si="13"/>
        <v>0</v>
      </c>
      <c r="W76" s="735">
        <f t="shared" si="14"/>
        <v>0</v>
      </c>
      <c r="X76" s="737">
        <f t="shared" si="15"/>
        <v>0</v>
      </c>
      <c r="Y76" s="738">
        <f t="shared" si="16"/>
        <v>2818179.8092929302</v>
      </c>
    </row>
    <row r="77" spans="1:25">
      <c r="A77" s="754" t="str">
        <f>'Func Future Subs 2015'!A77</f>
        <v>Development at Piper Creek 247S</v>
      </c>
      <c r="B77" s="754">
        <f>'Func Future Subs 2015'!B77</f>
        <v>813</v>
      </c>
      <c r="C77" s="754">
        <f>'Func Future Subs 2015'!C77</f>
        <v>138</v>
      </c>
      <c r="D77" s="754">
        <f>'Func Future Subs 2015'!D77</f>
        <v>138</v>
      </c>
      <c r="E77" s="754" t="str">
        <f>'Func Future Subs 2015'!E77</f>
        <v>247S</v>
      </c>
      <c r="F77" s="754">
        <f>'Func Future Subs 2015'!F77</f>
        <v>624990.21387200279</v>
      </c>
      <c r="G77" s="754" t="str">
        <f>'Func Future Subs 2015'!G77</f>
        <v>AltaLink</v>
      </c>
      <c r="H77" s="754">
        <f>'Func Future Subs 2015'!H77</f>
        <v>2017</v>
      </c>
      <c r="I77" s="306">
        <f>+IF($H77=I$2,VLOOKUP($G77,Depreciation!$A$14:$L$18,7,FALSE)/2,IF($H77&lt;I$2,VLOOKUP($G77,Depreciation!$A$14:$L$18,7,FALSE),0))</f>
        <v>0</v>
      </c>
      <c r="J77" s="306">
        <f>+IF($H77=J$2,VLOOKUP($G77,Depreciation!$A$14:$L$18,8,FALSE)/2,IF($H77&lt;J$2,VLOOKUP($G77,Depreciation!$A$14:$L$18,8,FALSE),0))</f>
        <v>0</v>
      </c>
      <c r="K77" s="306">
        <f>+IF($H77=K$2,VLOOKUP($G77,Depreciation!$A$14:$L$18,9,FALSE)/2,IF($H77&lt;K$2,VLOOKUP($G77,Depreciation!$A$14:$L$18,9,FALSE),0))</f>
        <v>1.671703928371859E-2</v>
      </c>
      <c r="L77" s="306">
        <f>+IF($H77=L$2,VLOOKUP($G77,Depreciation!$A$14:$L$18,10,FALSE)/2,IF($H77&lt;L$2,VLOOKUP($G77,Depreciation!$A$14:$L$18,10,FALSE),0))</f>
        <v>3.343407856743718E-2</v>
      </c>
      <c r="M77" s="306">
        <f>+IF($H77=M$2,VLOOKUP($G77,Depreciation!$A$14:$L$18,11,FALSE)/2,IF($H77&lt;M$2,VLOOKUP($G77,Depreciation!$A$14:$L$18,11,FALSE),0))</f>
        <v>3.343407856743718E-2</v>
      </c>
      <c r="N77" s="306">
        <f>+IF($H77=N$2,VLOOKUP($G77,Depreciation!$A$14:$L$18,12,FALSE)/2,IF($H77&lt;N$2,VLOOKUP($G77,Depreciation!$A$14:$L$18,12,FALSE),0))</f>
        <v>3.343407856743718E-2</v>
      </c>
      <c r="O77" s="307">
        <f t="shared" si="9"/>
        <v>554940.17594506207</v>
      </c>
      <c r="P77" s="732">
        <f>'Func Future Subs 2015'!P77</f>
        <v>0</v>
      </c>
      <c r="Q77" s="732">
        <f>'Func Future Subs 2015'!Q77</f>
        <v>0</v>
      </c>
      <c r="R77" s="732">
        <f>'Func Future Subs 2015'!R77</f>
        <v>1</v>
      </c>
      <c r="S77" s="735">
        <f t="shared" si="10"/>
        <v>0</v>
      </c>
      <c r="T77" s="735">
        <f t="shared" si="11"/>
        <v>0</v>
      </c>
      <c r="U77" s="735">
        <f t="shared" si="12"/>
        <v>554940.17594506207</v>
      </c>
      <c r="V77" s="736">
        <f t="shared" si="13"/>
        <v>0</v>
      </c>
      <c r="W77" s="735">
        <f t="shared" si="14"/>
        <v>0</v>
      </c>
      <c r="X77" s="737">
        <f t="shared" si="15"/>
        <v>554940.17594506207</v>
      </c>
      <c r="Y77" s="738">
        <f t="shared" si="16"/>
        <v>0</v>
      </c>
    </row>
    <row r="78" spans="1:25">
      <c r="A78" s="754" t="str">
        <f>'Func Future Subs 2015'!A78</f>
        <v>Development at Ponoka 331S</v>
      </c>
      <c r="B78" s="754">
        <f>'Func Future Subs 2015'!B78</f>
        <v>813</v>
      </c>
      <c r="C78" s="754">
        <f>'Func Future Subs 2015'!C78</f>
        <v>138</v>
      </c>
      <c r="D78" s="754">
        <f>'Func Future Subs 2015'!D78</f>
        <v>25</v>
      </c>
      <c r="E78" s="754" t="str">
        <f>'Func Future Subs 2015'!E78</f>
        <v>331S</v>
      </c>
      <c r="F78" s="754">
        <f>'Func Future Subs 2015'!F78</f>
        <v>3065380.5529317935</v>
      </c>
      <c r="G78" s="754" t="str">
        <f>'Func Future Subs 2015'!G78</f>
        <v>AltaLink</v>
      </c>
      <c r="H78" s="754">
        <f>'Func Future Subs 2015'!H78</f>
        <v>2017</v>
      </c>
      <c r="I78" s="306">
        <f>+IF($H78=I$2,VLOOKUP($G78,Depreciation!$A$14:$L$18,7,FALSE)/2,IF($H78&lt;I$2,VLOOKUP($G78,Depreciation!$A$14:$L$18,7,FALSE),0))</f>
        <v>0</v>
      </c>
      <c r="J78" s="306">
        <f>+IF($H78=J$2,VLOOKUP($G78,Depreciation!$A$14:$L$18,8,FALSE)/2,IF($H78&lt;J$2,VLOOKUP($G78,Depreciation!$A$14:$L$18,8,FALSE),0))</f>
        <v>0</v>
      </c>
      <c r="K78" s="306">
        <f>+IF($H78=K$2,VLOOKUP($G78,Depreciation!$A$14:$L$18,9,FALSE)/2,IF($H78&lt;K$2,VLOOKUP($G78,Depreciation!$A$14:$L$18,9,FALSE),0))</f>
        <v>1.671703928371859E-2</v>
      </c>
      <c r="L78" s="306">
        <f>+IF($H78=L$2,VLOOKUP($G78,Depreciation!$A$14:$L$18,10,FALSE)/2,IF($H78&lt;L$2,VLOOKUP($G78,Depreciation!$A$14:$L$18,10,FALSE),0))</f>
        <v>3.343407856743718E-2</v>
      </c>
      <c r="M78" s="306">
        <f>+IF($H78=M$2,VLOOKUP($G78,Depreciation!$A$14:$L$18,11,FALSE)/2,IF($H78&lt;M$2,VLOOKUP($G78,Depreciation!$A$14:$L$18,11,FALSE),0))</f>
        <v>3.343407856743718E-2</v>
      </c>
      <c r="N78" s="306">
        <f>+IF($H78=N$2,VLOOKUP($G78,Depreciation!$A$14:$L$18,12,FALSE)/2,IF($H78&lt;N$2,VLOOKUP($G78,Depreciation!$A$14:$L$18,12,FALSE),0))</f>
        <v>3.343407856743718E-2</v>
      </c>
      <c r="O78" s="307">
        <f t="shared" si="9"/>
        <v>2721807.1349368766</v>
      </c>
      <c r="P78" s="732">
        <f>'Func Future Subs 2015'!P78</f>
        <v>0</v>
      </c>
      <c r="Q78" s="732">
        <f>'Func Future Subs 2015'!Q78</f>
        <v>1</v>
      </c>
      <c r="R78" s="732">
        <f>'Func Future Subs 2015'!R78</f>
        <v>0</v>
      </c>
      <c r="S78" s="735">
        <f t="shared" si="10"/>
        <v>0</v>
      </c>
      <c r="T78" s="735">
        <f t="shared" si="11"/>
        <v>2721807.1349368766</v>
      </c>
      <c r="U78" s="735">
        <f t="shared" si="12"/>
        <v>0</v>
      </c>
      <c r="V78" s="736">
        <f t="shared" si="13"/>
        <v>0</v>
      </c>
      <c r="W78" s="735">
        <f t="shared" si="14"/>
        <v>0</v>
      </c>
      <c r="X78" s="737">
        <f t="shared" si="15"/>
        <v>0</v>
      </c>
      <c r="Y78" s="738">
        <f t="shared" si="16"/>
        <v>2721807.1349368766</v>
      </c>
    </row>
    <row r="79" spans="1:25">
      <c r="A79" s="754" t="str">
        <f>'Func Future Subs 2015'!A79</f>
        <v>Development at Prentiss 276S</v>
      </c>
      <c r="B79" s="754">
        <f>'Func Future Subs 2015'!B79</f>
        <v>813</v>
      </c>
      <c r="C79" s="754">
        <f>'Func Future Subs 2015'!C79</f>
        <v>138</v>
      </c>
      <c r="D79" s="754">
        <f>'Func Future Subs 2015'!D79</f>
        <v>25</v>
      </c>
      <c r="E79" s="754" t="str">
        <f>'Func Future Subs 2015'!E79</f>
        <v>276S</v>
      </c>
      <c r="F79" s="754">
        <f>'Func Future Subs 2015'!F79</f>
        <v>3186555.949000001</v>
      </c>
      <c r="G79" s="754" t="str">
        <f>'Func Future Subs 2015'!G79</f>
        <v>AltaLink</v>
      </c>
      <c r="H79" s="754">
        <f>'Func Future Subs 2015'!H79</f>
        <v>2017</v>
      </c>
      <c r="I79" s="306">
        <f>+IF($H79=I$2,VLOOKUP($G79,Depreciation!$A$14:$L$18,7,FALSE)/2,IF($H79&lt;I$2,VLOOKUP($G79,Depreciation!$A$14:$L$18,7,FALSE),0))</f>
        <v>0</v>
      </c>
      <c r="J79" s="306">
        <f>+IF($H79=J$2,VLOOKUP($G79,Depreciation!$A$14:$L$18,8,FALSE)/2,IF($H79&lt;J$2,VLOOKUP($G79,Depreciation!$A$14:$L$18,8,FALSE),0))</f>
        <v>0</v>
      </c>
      <c r="K79" s="306">
        <f>+IF($H79=K$2,VLOOKUP($G79,Depreciation!$A$14:$L$18,9,FALSE)/2,IF($H79&lt;K$2,VLOOKUP($G79,Depreciation!$A$14:$L$18,9,FALSE),0))</f>
        <v>1.671703928371859E-2</v>
      </c>
      <c r="L79" s="306">
        <f>+IF($H79=L$2,VLOOKUP($G79,Depreciation!$A$14:$L$18,10,FALSE)/2,IF($H79&lt;L$2,VLOOKUP($G79,Depreciation!$A$14:$L$18,10,FALSE),0))</f>
        <v>3.343407856743718E-2</v>
      </c>
      <c r="M79" s="306">
        <f>+IF($H79=M$2,VLOOKUP($G79,Depreciation!$A$14:$L$18,11,FALSE)/2,IF($H79&lt;M$2,VLOOKUP($G79,Depreciation!$A$14:$L$18,11,FALSE),0))</f>
        <v>3.343407856743718E-2</v>
      </c>
      <c r="N79" s="306">
        <f>+IF($H79=N$2,VLOOKUP($G79,Depreciation!$A$14:$L$18,12,FALSE)/2,IF($H79&lt;N$2,VLOOKUP($G79,Depreciation!$A$14:$L$18,12,FALSE),0))</f>
        <v>3.343407856743718E-2</v>
      </c>
      <c r="O79" s="307">
        <f t="shared" si="9"/>
        <v>2829400.9726030696</v>
      </c>
      <c r="P79" s="732">
        <f>'Func Future Subs 2015'!P79</f>
        <v>0</v>
      </c>
      <c r="Q79" s="732">
        <f>'Func Future Subs 2015'!Q79</f>
        <v>0</v>
      </c>
      <c r="R79" s="732">
        <f>'Func Future Subs 2015'!R79</f>
        <v>1</v>
      </c>
      <c r="S79" s="735">
        <f t="shared" si="10"/>
        <v>0</v>
      </c>
      <c r="T79" s="735">
        <f t="shared" si="11"/>
        <v>0</v>
      </c>
      <c r="U79" s="735">
        <f t="shared" si="12"/>
        <v>2829400.9726030696</v>
      </c>
      <c r="V79" s="736">
        <f t="shared" si="13"/>
        <v>0</v>
      </c>
      <c r="W79" s="735">
        <f t="shared" si="14"/>
        <v>0</v>
      </c>
      <c r="X79" s="737">
        <f t="shared" si="15"/>
        <v>0</v>
      </c>
      <c r="Y79" s="738">
        <f t="shared" si="16"/>
        <v>2829400.9726030696</v>
      </c>
    </row>
    <row r="80" spans="1:25">
      <c r="A80" s="754" t="str">
        <f>'Func Future Subs 2015'!A80</f>
        <v>Development at Red Deer 63S</v>
      </c>
      <c r="B80" s="754">
        <f>'Func Future Subs 2015'!B80</f>
        <v>813</v>
      </c>
      <c r="C80" s="754">
        <f>'Func Future Subs 2015'!C80</f>
        <v>240</v>
      </c>
      <c r="D80" s="754">
        <f>'Func Future Subs 2015'!D80</f>
        <v>25</v>
      </c>
      <c r="E80" s="754" t="str">
        <f>'Func Future Subs 2015'!E80</f>
        <v>63S</v>
      </c>
      <c r="F80" s="754">
        <f>'Func Future Subs 2015'!F80</f>
        <v>1318872.5453853337</v>
      </c>
      <c r="G80" s="754" t="str">
        <f>'Func Future Subs 2015'!G80</f>
        <v>AltaLink</v>
      </c>
      <c r="H80" s="754">
        <f>'Func Future Subs 2015'!H80</f>
        <v>2017</v>
      </c>
      <c r="I80" s="306">
        <f>+IF($H80=I$2,VLOOKUP($G80,Depreciation!$A$14:$L$18,7,FALSE)/2,IF($H80&lt;I$2,VLOOKUP($G80,Depreciation!$A$14:$L$18,7,FALSE),0))</f>
        <v>0</v>
      </c>
      <c r="J80" s="306">
        <f>+IF($H80=J$2,VLOOKUP($G80,Depreciation!$A$14:$L$18,8,FALSE)/2,IF($H80&lt;J$2,VLOOKUP($G80,Depreciation!$A$14:$L$18,8,FALSE),0))</f>
        <v>0</v>
      </c>
      <c r="K80" s="306">
        <f>+IF($H80=K$2,VLOOKUP($G80,Depreciation!$A$14:$L$18,9,FALSE)/2,IF($H80&lt;K$2,VLOOKUP($G80,Depreciation!$A$14:$L$18,9,FALSE),0))</f>
        <v>1.671703928371859E-2</v>
      </c>
      <c r="L80" s="306">
        <f>+IF($H80=L$2,VLOOKUP($G80,Depreciation!$A$14:$L$18,10,FALSE)/2,IF($H80&lt;L$2,VLOOKUP($G80,Depreciation!$A$14:$L$18,10,FALSE),0))</f>
        <v>3.343407856743718E-2</v>
      </c>
      <c r="M80" s="306">
        <f>+IF($H80=M$2,VLOOKUP($G80,Depreciation!$A$14:$L$18,11,FALSE)/2,IF($H80&lt;M$2,VLOOKUP($G80,Depreciation!$A$14:$L$18,11,FALSE),0))</f>
        <v>3.343407856743718E-2</v>
      </c>
      <c r="N80" s="306">
        <f>+IF($H80=N$2,VLOOKUP($G80,Depreciation!$A$14:$L$18,12,FALSE)/2,IF($H80&lt;N$2,VLOOKUP($G80,Depreciation!$A$14:$L$18,12,FALSE),0))</f>
        <v>3.343407856743718E-2</v>
      </c>
      <c r="O80" s="307">
        <f t="shared" si="9"/>
        <v>1171050.9159030453</v>
      </c>
      <c r="P80" s="732">
        <f>'Func Future Subs 2015'!P80</f>
        <v>0</v>
      </c>
      <c r="Q80" s="732">
        <f>'Func Future Subs 2015'!Q80</f>
        <v>1</v>
      </c>
      <c r="R80" s="732">
        <f>'Func Future Subs 2015'!R80</f>
        <v>0</v>
      </c>
      <c r="S80" s="735">
        <f t="shared" si="10"/>
        <v>0</v>
      </c>
      <c r="T80" s="735">
        <f t="shared" si="11"/>
        <v>1171050.9159030453</v>
      </c>
      <c r="U80" s="735">
        <f t="shared" si="12"/>
        <v>0</v>
      </c>
      <c r="V80" s="736">
        <f t="shared" si="13"/>
        <v>0</v>
      </c>
      <c r="W80" s="735">
        <f t="shared" si="14"/>
        <v>0</v>
      </c>
      <c r="X80" s="737">
        <f t="shared" si="15"/>
        <v>0</v>
      </c>
      <c r="Y80" s="738">
        <f t="shared" si="16"/>
        <v>1171050.9159030453</v>
      </c>
    </row>
    <row r="81" spans="1:25">
      <c r="A81" s="754" t="str">
        <f>'Func Future Subs 2015'!A81</f>
        <v>Development at Red Deer 63S (dev12)</v>
      </c>
      <c r="B81" s="754">
        <f>'Func Future Subs 2015'!B81</f>
        <v>813</v>
      </c>
      <c r="C81" s="754">
        <f>'Func Future Subs 2015'!C81</f>
        <v>240</v>
      </c>
      <c r="D81" s="754">
        <f>'Func Future Subs 2015'!D81</f>
        <v>25</v>
      </c>
      <c r="E81" s="754" t="str">
        <f>'Func Future Subs 2015'!E81</f>
        <v>63S</v>
      </c>
      <c r="F81" s="754">
        <f>'Func Future Subs 2015'!F81</f>
        <v>437105.37992401363</v>
      </c>
      <c r="G81" s="754" t="str">
        <f>'Func Future Subs 2015'!G81</f>
        <v>AltaLink</v>
      </c>
      <c r="H81" s="754">
        <f>'Func Future Subs 2015'!H81</f>
        <v>2017</v>
      </c>
      <c r="I81" s="306">
        <f>+IF($H81=I$2,VLOOKUP($G81,Depreciation!$A$14:$L$18,7,FALSE)/2,IF($H81&lt;I$2,VLOOKUP($G81,Depreciation!$A$14:$L$18,7,FALSE),0))</f>
        <v>0</v>
      </c>
      <c r="J81" s="306">
        <f>+IF($H81=J$2,VLOOKUP($G81,Depreciation!$A$14:$L$18,8,FALSE)/2,IF($H81&lt;J$2,VLOOKUP($G81,Depreciation!$A$14:$L$18,8,FALSE),0))</f>
        <v>0</v>
      </c>
      <c r="K81" s="306">
        <f>+IF($H81=K$2,VLOOKUP($G81,Depreciation!$A$14:$L$18,9,FALSE)/2,IF($H81&lt;K$2,VLOOKUP($G81,Depreciation!$A$14:$L$18,9,FALSE),0))</f>
        <v>1.671703928371859E-2</v>
      </c>
      <c r="L81" s="306">
        <f>+IF($H81=L$2,VLOOKUP($G81,Depreciation!$A$14:$L$18,10,FALSE)/2,IF($H81&lt;L$2,VLOOKUP($G81,Depreciation!$A$14:$L$18,10,FALSE),0))</f>
        <v>3.343407856743718E-2</v>
      </c>
      <c r="M81" s="306">
        <f>+IF($H81=M$2,VLOOKUP($G81,Depreciation!$A$14:$L$18,11,FALSE)/2,IF($H81&lt;M$2,VLOOKUP($G81,Depreciation!$A$14:$L$18,11,FALSE),0))</f>
        <v>3.343407856743718E-2</v>
      </c>
      <c r="N81" s="306">
        <f>+IF($H81=N$2,VLOOKUP($G81,Depreciation!$A$14:$L$18,12,FALSE)/2,IF($H81&lt;N$2,VLOOKUP($G81,Depreciation!$A$14:$L$18,12,FALSE),0))</f>
        <v>3.343407856743718E-2</v>
      </c>
      <c r="O81" s="307">
        <f t="shared" si="9"/>
        <v>388113.8153168633</v>
      </c>
      <c r="P81" s="732">
        <f>'Func Future Subs 2015'!P81</f>
        <v>0</v>
      </c>
      <c r="Q81" s="732">
        <f>'Func Future Subs 2015'!Q81</f>
        <v>1</v>
      </c>
      <c r="R81" s="732">
        <f>'Func Future Subs 2015'!R81</f>
        <v>0</v>
      </c>
      <c r="S81" s="735">
        <f t="shared" si="10"/>
        <v>0</v>
      </c>
      <c r="T81" s="735">
        <f t="shared" si="11"/>
        <v>388113.8153168633</v>
      </c>
      <c r="U81" s="735">
        <f t="shared" si="12"/>
        <v>0</v>
      </c>
      <c r="V81" s="736">
        <f t="shared" si="13"/>
        <v>0</v>
      </c>
      <c r="W81" s="735">
        <f t="shared" si="14"/>
        <v>0</v>
      </c>
      <c r="X81" s="737">
        <f t="shared" si="15"/>
        <v>0</v>
      </c>
      <c r="Y81" s="738">
        <f t="shared" si="16"/>
        <v>388113.8153168633</v>
      </c>
    </row>
    <row r="82" spans="1:25">
      <c r="A82" s="754" t="str">
        <f>'Func Future Subs 2015'!A82</f>
        <v>Development at Red Deer 63S (dev21)</v>
      </c>
      <c r="B82" s="754">
        <f>'Func Future Subs 2015'!B82</f>
        <v>813</v>
      </c>
      <c r="C82" s="754">
        <f>'Func Future Subs 2015'!C82</f>
        <v>240</v>
      </c>
      <c r="D82" s="754">
        <f>'Func Future Subs 2015'!D82</f>
        <v>25</v>
      </c>
      <c r="E82" s="754" t="str">
        <f>'Func Future Subs 2015'!E82</f>
        <v>63S</v>
      </c>
      <c r="F82" s="754">
        <f>'Func Future Subs 2015'!F82</f>
        <v>335873.21742754214</v>
      </c>
      <c r="G82" s="754" t="str">
        <f>'Func Future Subs 2015'!G82</f>
        <v>AltaLink</v>
      </c>
      <c r="H82" s="754">
        <f>'Func Future Subs 2015'!H82</f>
        <v>2017</v>
      </c>
      <c r="I82" s="306">
        <f>+IF($H82=I$2,VLOOKUP($G82,Depreciation!$A$14:$L$18,7,FALSE)/2,IF($H82&lt;I$2,VLOOKUP($G82,Depreciation!$A$14:$L$18,7,FALSE),0))</f>
        <v>0</v>
      </c>
      <c r="J82" s="306">
        <f>+IF($H82=J$2,VLOOKUP($G82,Depreciation!$A$14:$L$18,8,FALSE)/2,IF($H82&lt;J$2,VLOOKUP($G82,Depreciation!$A$14:$L$18,8,FALSE),0))</f>
        <v>0</v>
      </c>
      <c r="K82" s="306">
        <f>+IF($H82=K$2,VLOOKUP($G82,Depreciation!$A$14:$L$18,9,FALSE)/2,IF($H82&lt;K$2,VLOOKUP($G82,Depreciation!$A$14:$L$18,9,FALSE),0))</f>
        <v>1.671703928371859E-2</v>
      </c>
      <c r="L82" s="306">
        <f>+IF($H82=L$2,VLOOKUP($G82,Depreciation!$A$14:$L$18,10,FALSE)/2,IF($H82&lt;L$2,VLOOKUP($G82,Depreciation!$A$14:$L$18,10,FALSE),0))</f>
        <v>3.343407856743718E-2</v>
      </c>
      <c r="M82" s="306">
        <f>+IF($H82=M$2,VLOOKUP($G82,Depreciation!$A$14:$L$18,11,FALSE)/2,IF($H82&lt;M$2,VLOOKUP($G82,Depreciation!$A$14:$L$18,11,FALSE),0))</f>
        <v>3.343407856743718E-2</v>
      </c>
      <c r="N82" s="306">
        <f>+IF($H82=N$2,VLOOKUP($G82,Depreciation!$A$14:$L$18,12,FALSE)/2,IF($H82&lt;N$2,VLOOKUP($G82,Depreciation!$A$14:$L$18,12,FALSE),0))</f>
        <v>3.343407856743718E-2</v>
      </c>
      <c r="O82" s="307">
        <f t="shared" si="9"/>
        <v>298227.93739398726</v>
      </c>
      <c r="P82" s="732">
        <f>'Func Future Subs 2015'!P82</f>
        <v>0</v>
      </c>
      <c r="Q82" s="732">
        <f>'Func Future Subs 2015'!Q82</f>
        <v>1</v>
      </c>
      <c r="R82" s="732">
        <f>'Func Future Subs 2015'!R82</f>
        <v>0</v>
      </c>
      <c r="S82" s="735">
        <f t="shared" si="10"/>
        <v>0</v>
      </c>
      <c r="T82" s="735">
        <f t="shared" si="11"/>
        <v>298227.93739398726</v>
      </c>
      <c r="U82" s="735">
        <f t="shared" si="12"/>
        <v>0</v>
      </c>
      <c r="V82" s="736">
        <f t="shared" si="13"/>
        <v>0</v>
      </c>
      <c r="W82" s="735">
        <f t="shared" si="14"/>
        <v>0</v>
      </c>
      <c r="X82" s="737">
        <f t="shared" si="15"/>
        <v>0</v>
      </c>
      <c r="Y82" s="738">
        <f t="shared" si="16"/>
        <v>298227.93739398726</v>
      </c>
    </row>
    <row r="83" spans="1:25">
      <c r="A83" s="754" t="str">
        <f>'Func Future Subs 2015'!A83</f>
        <v>Development at South Red Deer 194S</v>
      </c>
      <c r="B83" s="754">
        <f>'Func Future Subs 2015'!B83</f>
        <v>813</v>
      </c>
      <c r="C83" s="754">
        <f>'Func Future Subs 2015'!C83</f>
        <v>138</v>
      </c>
      <c r="D83" s="754">
        <f>'Func Future Subs 2015'!D83</f>
        <v>138</v>
      </c>
      <c r="E83" s="754" t="str">
        <f>'Func Future Subs 2015'!E83</f>
        <v>194S</v>
      </c>
      <c r="F83" s="754">
        <f>'Func Future Subs 2015'!F83</f>
        <v>1494037.1072305865</v>
      </c>
      <c r="G83" s="754" t="str">
        <f>'Func Future Subs 2015'!G83</f>
        <v>AltaLink</v>
      </c>
      <c r="H83" s="754">
        <f>'Func Future Subs 2015'!H83</f>
        <v>2017</v>
      </c>
      <c r="I83" s="306">
        <f>+IF($H83=I$2,VLOOKUP($G83,Depreciation!$A$14:$L$18,7,FALSE)/2,IF($H83&lt;I$2,VLOOKUP($G83,Depreciation!$A$14:$L$18,7,FALSE),0))</f>
        <v>0</v>
      </c>
      <c r="J83" s="306">
        <f>+IF($H83=J$2,VLOOKUP($G83,Depreciation!$A$14:$L$18,8,FALSE)/2,IF($H83&lt;J$2,VLOOKUP($G83,Depreciation!$A$14:$L$18,8,FALSE),0))</f>
        <v>0</v>
      </c>
      <c r="K83" s="306">
        <f>+IF($H83=K$2,VLOOKUP($G83,Depreciation!$A$14:$L$18,9,FALSE)/2,IF($H83&lt;K$2,VLOOKUP($G83,Depreciation!$A$14:$L$18,9,FALSE),0))</f>
        <v>1.671703928371859E-2</v>
      </c>
      <c r="L83" s="306">
        <f>+IF($H83=L$2,VLOOKUP($G83,Depreciation!$A$14:$L$18,10,FALSE)/2,IF($H83&lt;L$2,VLOOKUP($G83,Depreciation!$A$14:$L$18,10,FALSE),0))</f>
        <v>3.343407856743718E-2</v>
      </c>
      <c r="M83" s="306">
        <f>+IF($H83=M$2,VLOOKUP($G83,Depreciation!$A$14:$L$18,11,FALSE)/2,IF($H83&lt;M$2,VLOOKUP($G83,Depreciation!$A$14:$L$18,11,FALSE),0))</f>
        <v>3.343407856743718E-2</v>
      </c>
      <c r="N83" s="306">
        <f>+IF($H83=N$2,VLOOKUP($G83,Depreciation!$A$14:$L$18,12,FALSE)/2,IF($H83&lt;N$2,VLOOKUP($G83,Depreciation!$A$14:$L$18,12,FALSE),0))</f>
        <v>3.343407856743718E-2</v>
      </c>
      <c r="O83" s="307">
        <f t="shared" si="9"/>
        <v>1326582.7156211957</v>
      </c>
      <c r="P83" s="732">
        <f>'Func Future Subs 2015'!P83</f>
        <v>0</v>
      </c>
      <c r="Q83" s="732">
        <f>'Func Future Subs 2015'!Q83</f>
        <v>0</v>
      </c>
      <c r="R83" s="732">
        <f>'Func Future Subs 2015'!R83</f>
        <v>1</v>
      </c>
      <c r="S83" s="735">
        <f t="shared" si="10"/>
        <v>0</v>
      </c>
      <c r="T83" s="735">
        <f t="shared" si="11"/>
        <v>0</v>
      </c>
      <c r="U83" s="735">
        <f t="shared" si="12"/>
        <v>1326582.7156211957</v>
      </c>
      <c r="V83" s="736">
        <f t="shared" si="13"/>
        <v>0</v>
      </c>
      <c r="W83" s="735">
        <f t="shared" si="14"/>
        <v>0</v>
      </c>
      <c r="X83" s="737">
        <f t="shared" si="15"/>
        <v>1326582.7156211957</v>
      </c>
      <c r="Y83" s="738">
        <f t="shared" si="16"/>
        <v>0</v>
      </c>
    </row>
    <row r="84" spans="1:25">
      <c r="A84" s="754" t="str">
        <f>'Func Future Subs 2015'!A84</f>
        <v>Development at South Red Deer 194S (dev11)</v>
      </c>
      <c r="B84" s="754">
        <f>'Func Future Subs 2015'!B84</f>
        <v>813</v>
      </c>
      <c r="C84" s="754">
        <f>'Func Future Subs 2015'!C84</f>
        <v>138</v>
      </c>
      <c r="D84" s="754">
        <f>'Func Future Subs 2015'!D84</f>
        <v>138</v>
      </c>
      <c r="E84" s="754" t="str">
        <f>'Func Future Subs 2015'!E84</f>
        <v>194S</v>
      </c>
      <c r="F84" s="754">
        <f>'Func Future Subs 2015'!F84</f>
        <v>1533469.4238101142</v>
      </c>
      <c r="G84" s="754" t="str">
        <f>'Func Future Subs 2015'!G84</f>
        <v>AltaLink</v>
      </c>
      <c r="H84" s="754">
        <f>'Func Future Subs 2015'!H84</f>
        <v>2017</v>
      </c>
      <c r="I84" s="306">
        <f>+IF($H84=I$2,VLOOKUP($G84,Depreciation!$A$14:$L$18,7,FALSE)/2,IF($H84&lt;I$2,VLOOKUP($G84,Depreciation!$A$14:$L$18,7,FALSE),0))</f>
        <v>0</v>
      </c>
      <c r="J84" s="306">
        <f>+IF($H84=J$2,VLOOKUP($G84,Depreciation!$A$14:$L$18,8,FALSE)/2,IF($H84&lt;J$2,VLOOKUP($G84,Depreciation!$A$14:$L$18,8,FALSE),0))</f>
        <v>0</v>
      </c>
      <c r="K84" s="306">
        <f>+IF($H84=K$2,VLOOKUP($G84,Depreciation!$A$14:$L$18,9,FALSE)/2,IF($H84&lt;K$2,VLOOKUP($G84,Depreciation!$A$14:$L$18,9,FALSE),0))</f>
        <v>1.671703928371859E-2</v>
      </c>
      <c r="L84" s="306">
        <f>+IF($H84=L$2,VLOOKUP($G84,Depreciation!$A$14:$L$18,10,FALSE)/2,IF($H84&lt;L$2,VLOOKUP($G84,Depreciation!$A$14:$L$18,10,FALSE),0))</f>
        <v>3.343407856743718E-2</v>
      </c>
      <c r="M84" s="306">
        <f>+IF($H84=M$2,VLOOKUP($G84,Depreciation!$A$14:$L$18,11,FALSE)/2,IF($H84&lt;M$2,VLOOKUP($G84,Depreciation!$A$14:$L$18,11,FALSE),0))</f>
        <v>3.343407856743718E-2</v>
      </c>
      <c r="N84" s="306">
        <f>+IF($H84=N$2,VLOOKUP($G84,Depreciation!$A$14:$L$18,12,FALSE)/2,IF($H84&lt;N$2,VLOOKUP($G84,Depreciation!$A$14:$L$18,12,FALSE),0))</f>
        <v>3.343407856743718E-2</v>
      </c>
      <c r="O84" s="307">
        <f t="shared" si="9"/>
        <v>1361595.3865636659</v>
      </c>
      <c r="P84" s="732">
        <f>'Func Future Subs 2015'!P84</f>
        <v>0</v>
      </c>
      <c r="Q84" s="732">
        <f>'Func Future Subs 2015'!Q84</f>
        <v>0</v>
      </c>
      <c r="R84" s="732">
        <f>'Func Future Subs 2015'!R84</f>
        <v>1</v>
      </c>
      <c r="S84" s="735">
        <f t="shared" si="10"/>
        <v>0</v>
      </c>
      <c r="T84" s="735">
        <f t="shared" si="11"/>
        <v>0</v>
      </c>
      <c r="U84" s="735">
        <f t="shared" si="12"/>
        <v>1361595.3865636659</v>
      </c>
      <c r="V84" s="736">
        <f t="shared" si="13"/>
        <v>0</v>
      </c>
      <c r="W84" s="735">
        <f t="shared" si="14"/>
        <v>0</v>
      </c>
      <c r="X84" s="737">
        <f t="shared" si="15"/>
        <v>1361595.3865636659</v>
      </c>
      <c r="Y84" s="738">
        <f t="shared" si="16"/>
        <v>0</v>
      </c>
    </row>
    <row r="85" spans="1:25">
      <c r="A85" s="754" t="str">
        <f>'Func Future Subs 2015'!A85</f>
        <v>Development at Sylvan Lake 580S</v>
      </c>
      <c r="B85" s="754">
        <f>'Func Future Subs 2015'!B85</f>
        <v>813</v>
      </c>
      <c r="C85" s="754">
        <f>'Func Future Subs 2015'!C85</f>
        <v>138</v>
      </c>
      <c r="D85" s="754">
        <f>'Func Future Subs 2015'!D85</f>
        <v>25</v>
      </c>
      <c r="E85" s="754" t="str">
        <f>'Func Future Subs 2015'!E85</f>
        <v>580S</v>
      </c>
      <c r="F85" s="754">
        <f>'Func Future Subs 2015'!F85</f>
        <v>517837.0121000802</v>
      </c>
      <c r="G85" s="754" t="str">
        <f>'Func Future Subs 2015'!G85</f>
        <v>AltaLink</v>
      </c>
      <c r="H85" s="754">
        <f>'Func Future Subs 2015'!H85</f>
        <v>2017</v>
      </c>
      <c r="I85" s="306">
        <f>+IF($H85=I$2,VLOOKUP($G85,Depreciation!$A$14:$L$18,7,FALSE)/2,IF($H85&lt;I$2,VLOOKUP($G85,Depreciation!$A$14:$L$18,7,FALSE),0))</f>
        <v>0</v>
      </c>
      <c r="J85" s="306">
        <f>+IF($H85=J$2,VLOOKUP($G85,Depreciation!$A$14:$L$18,8,FALSE)/2,IF($H85&lt;J$2,VLOOKUP($G85,Depreciation!$A$14:$L$18,8,FALSE),0))</f>
        <v>0</v>
      </c>
      <c r="K85" s="306">
        <f>+IF($H85=K$2,VLOOKUP($G85,Depreciation!$A$14:$L$18,9,FALSE)/2,IF($H85&lt;K$2,VLOOKUP($G85,Depreciation!$A$14:$L$18,9,FALSE),0))</f>
        <v>1.671703928371859E-2</v>
      </c>
      <c r="L85" s="306">
        <f>+IF($H85=L$2,VLOOKUP($G85,Depreciation!$A$14:$L$18,10,FALSE)/2,IF($H85&lt;L$2,VLOOKUP($G85,Depreciation!$A$14:$L$18,10,FALSE),0))</f>
        <v>3.343407856743718E-2</v>
      </c>
      <c r="M85" s="306">
        <f>+IF($H85=M$2,VLOOKUP($G85,Depreciation!$A$14:$L$18,11,FALSE)/2,IF($H85&lt;M$2,VLOOKUP($G85,Depreciation!$A$14:$L$18,11,FALSE),0))</f>
        <v>3.343407856743718E-2</v>
      </c>
      <c r="N85" s="306">
        <f>+IF($H85=N$2,VLOOKUP($G85,Depreciation!$A$14:$L$18,12,FALSE)/2,IF($H85&lt;N$2,VLOOKUP($G85,Depreciation!$A$14:$L$18,12,FALSE),0))</f>
        <v>3.343407856743718E-2</v>
      </c>
      <c r="O85" s="307">
        <f t="shared" si="9"/>
        <v>459796.89957919333</v>
      </c>
      <c r="P85" s="732">
        <f>'Func Future Subs 2015'!P85</f>
        <v>0</v>
      </c>
      <c r="Q85" s="732">
        <f>'Func Future Subs 2015'!Q85</f>
        <v>1</v>
      </c>
      <c r="R85" s="732">
        <f>'Func Future Subs 2015'!R85</f>
        <v>0</v>
      </c>
      <c r="S85" s="735">
        <f t="shared" si="10"/>
        <v>0</v>
      </c>
      <c r="T85" s="735">
        <f t="shared" si="11"/>
        <v>459796.89957919333</v>
      </c>
      <c r="U85" s="735">
        <f t="shared" si="12"/>
        <v>0</v>
      </c>
      <c r="V85" s="736">
        <f t="shared" si="13"/>
        <v>0</v>
      </c>
      <c r="W85" s="735">
        <f t="shared" si="14"/>
        <v>0</v>
      </c>
      <c r="X85" s="737">
        <f t="shared" si="15"/>
        <v>0</v>
      </c>
      <c r="Y85" s="738">
        <f t="shared" si="16"/>
        <v>459796.89957919333</v>
      </c>
    </row>
    <row r="86" spans="1:25">
      <c r="A86" s="754" t="str">
        <f>'Func Future Subs 2015'!A86</f>
        <v>Didsbury 152S</v>
      </c>
      <c r="B86" s="754">
        <f>'Func Future Subs 2015'!B86</f>
        <v>813</v>
      </c>
      <c r="C86" s="754">
        <f>'Func Future Subs 2015'!C86</f>
        <v>240</v>
      </c>
      <c r="D86" s="754">
        <f>'Func Future Subs 2015'!D86</f>
        <v>0</v>
      </c>
      <c r="E86" s="754" t="str">
        <f>'Func Future Subs 2015'!E86</f>
        <v>152S</v>
      </c>
      <c r="F86" s="754">
        <f>'Func Future Subs 2015'!F86</f>
        <v>89503.831215535858</v>
      </c>
      <c r="G86" s="754" t="str">
        <f>'Func Future Subs 2015'!G86</f>
        <v>AltaLink</v>
      </c>
      <c r="H86" s="754">
        <f>'Func Future Subs 2015'!H86</f>
        <v>2017</v>
      </c>
      <c r="I86" s="306">
        <f>+IF($H86=I$2,VLOOKUP($G86,Depreciation!$A$14:$L$18,7,FALSE)/2,IF($H86&lt;I$2,VLOOKUP($G86,Depreciation!$A$14:$L$18,7,FALSE),0))</f>
        <v>0</v>
      </c>
      <c r="J86" s="306">
        <f>+IF($H86=J$2,VLOOKUP($G86,Depreciation!$A$14:$L$18,8,FALSE)/2,IF($H86&lt;J$2,VLOOKUP($G86,Depreciation!$A$14:$L$18,8,FALSE),0))</f>
        <v>0</v>
      </c>
      <c r="K86" s="306">
        <f>+IF($H86=K$2,VLOOKUP($G86,Depreciation!$A$14:$L$18,9,FALSE)/2,IF($H86&lt;K$2,VLOOKUP($G86,Depreciation!$A$14:$L$18,9,FALSE),0))</f>
        <v>1.671703928371859E-2</v>
      </c>
      <c r="L86" s="306">
        <f>+IF($H86=L$2,VLOOKUP($G86,Depreciation!$A$14:$L$18,10,FALSE)/2,IF($H86&lt;L$2,VLOOKUP($G86,Depreciation!$A$14:$L$18,10,FALSE),0))</f>
        <v>3.343407856743718E-2</v>
      </c>
      <c r="M86" s="306">
        <f>+IF($H86=M$2,VLOOKUP($G86,Depreciation!$A$14:$L$18,11,FALSE)/2,IF($H86&lt;M$2,VLOOKUP($G86,Depreciation!$A$14:$L$18,11,FALSE),0))</f>
        <v>3.343407856743718E-2</v>
      </c>
      <c r="N86" s="306">
        <f>+IF($H86=N$2,VLOOKUP($G86,Depreciation!$A$14:$L$18,12,FALSE)/2,IF($H86&lt;N$2,VLOOKUP($G86,Depreciation!$A$14:$L$18,12,FALSE),0))</f>
        <v>3.343407856743718E-2</v>
      </c>
      <c r="O86" s="307">
        <f t="shared" si="9"/>
        <v>79472.079306315063</v>
      </c>
      <c r="P86" s="732">
        <f>'Func Future Subs 2015'!P86</f>
        <v>0</v>
      </c>
      <c r="Q86" s="732">
        <f>'Func Future Subs 2015'!Q86</f>
        <v>0</v>
      </c>
      <c r="R86" s="732">
        <f>'Func Future Subs 2015'!R86</f>
        <v>1</v>
      </c>
      <c r="S86" s="735">
        <f t="shared" si="10"/>
        <v>0</v>
      </c>
      <c r="T86" s="735">
        <f t="shared" si="11"/>
        <v>0</v>
      </c>
      <c r="U86" s="735">
        <f t="shared" si="12"/>
        <v>79472.079306315063</v>
      </c>
      <c r="V86" s="736">
        <f t="shared" si="13"/>
        <v>79472.079306315063</v>
      </c>
      <c r="W86" s="735">
        <f t="shared" si="14"/>
        <v>0</v>
      </c>
      <c r="X86" s="737">
        <f t="shared" si="15"/>
        <v>0</v>
      </c>
      <c r="Y86" s="738">
        <f t="shared" si="16"/>
        <v>0</v>
      </c>
    </row>
    <row r="87" spans="1:25">
      <c r="A87" s="754" t="str">
        <f>'Func Future Subs 2015'!A87</f>
        <v>Eagle Hill 9433R (GD Hazel)</v>
      </c>
      <c r="B87" s="754">
        <f>'Func Future Subs 2015'!B87</f>
        <v>813</v>
      </c>
      <c r="C87" s="754">
        <f>'Func Future Subs 2015'!C87</f>
        <v>240</v>
      </c>
      <c r="D87" s="754">
        <f>'Func Future Subs 2015'!D87</f>
        <v>0</v>
      </c>
      <c r="E87" s="754">
        <f>'Func Future Subs 2015'!E87</f>
        <v>0</v>
      </c>
      <c r="F87" s="754">
        <f>'Func Future Subs 2015'!F87</f>
        <v>554235.26252697199</v>
      </c>
      <c r="G87" s="754" t="str">
        <f>'Func Future Subs 2015'!G87</f>
        <v>AltaLink</v>
      </c>
      <c r="H87" s="754">
        <f>'Func Future Subs 2015'!H87</f>
        <v>2017</v>
      </c>
      <c r="I87" s="306">
        <f>+IF($H87=I$2,VLOOKUP($G87,Depreciation!$A$14:$L$18,7,FALSE)/2,IF($H87&lt;I$2,VLOOKUP($G87,Depreciation!$A$14:$L$18,7,FALSE),0))</f>
        <v>0</v>
      </c>
      <c r="J87" s="306">
        <f>+IF($H87=J$2,VLOOKUP($G87,Depreciation!$A$14:$L$18,8,FALSE)/2,IF($H87&lt;J$2,VLOOKUP($G87,Depreciation!$A$14:$L$18,8,FALSE),0))</f>
        <v>0</v>
      </c>
      <c r="K87" s="306">
        <f>+IF($H87=K$2,VLOOKUP($G87,Depreciation!$A$14:$L$18,9,FALSE)/2,IF($H87&lt;K$2,VLOOKUP($G87,Depreciation!$A$14:$L$18,9,FALSE),0))</f>
        <v>1.671703928371859E-2</v>
      </c>
      <c r="L87" s="306">
        <f>+IF($H87=L$2,VLOOKUP($G87,Depreciation!$A$14:$L$18,10,FALSE)/2,IF($H87&lt;L$2,VLOOKUP($G87,Depreciation!$A$14:$L$18,10,FALSE),0))</f>
        <v>3.343407856743718E-2</v>
      </c>
      <c r="M87" s="306">
        <f>+IF($H87=M$2,VLOOKUP($G87,Depreciation!$A$14:$L$18,11,FALSE)/2,IF($H87&lt;M$2,VLOOKUP($G87,Depreciation!$A$14:$L$18,11,FALSE),0))</f>
        <v>3.343407856743718E-2</v>
      </c>
      <c r="N87" s="306">
        <f>+IF($H87=N$2,VLOOKUP($G87,Depreciation!$A$14:$L$18,12,FALSE)/2,IF($H87&lt;N$2,VLOOKUP($G87,Depreciation!$A$14:$L$18,12,FALSE),0))</f>
        <v>3.343407856743718E-2</v>
      </c>
      <c r="O87" s="307">
        <f t="shared" si="9"/>
        <v>492115.56801218173</v>
      </c>
      <c r="P87" s="732">
        <f>'Func Future Subs 2015'!P87</f>
        <v>0</v>
      </c>
      <c r="Q87" s="732">
        <f>'Func Future Subs 2015'!Q87</f>
        <v>0</v>
      </c>
      <c r="R87" s="732">
        <f>'Func Future Subs 2015'!R87</f>
        <v>1</v>
      </c>
      <c r="S87" s="735">
        <f t="shared" si="10"/>
        <v>0</v>
      </c>
      <c r="T87" s="735">
        <f t="shared" si="11"/>
        <v>0</v>
      </c>
      <c r="U87" s="735">
        <f t="shared" si="12"/>
        <v>492115.56801218173</v>
      </c>
      <c r="V87" s="736">
        <f t="shared" si="13"/>
        <v>492115.56801218173</v>
      </c>
      <c r="W87" s="735">
        <f t="shared" si="14"/>
        <v>0</v>
      </c>
      <c r="X87" s="737">
        <f t="shared" si="15"/>
        <v>0</v>
      </c>
      <c r="Y87" s="738">
        <f t="shared" si="16"/>
        <v>0</v>
      </c>
    </row>
    <row r="88" spans="1:25">
      <c r="A88" s="754" t="str">
        <f>'Func Future Subs 2015'!A88</f>
        <v>Ellerslie 89S</v>
      </c>
      <c r="B88" s="754">
        <f>'Func Future Subs 2015'!B88</f>
        <v>813</v>
      </c>
      <c r="C88" s="754">
        <f>'Func Future Subs 2015'!C88</f>
        <v>240</v>
      </c>
      <c r="D88" s="754">
        <f>'Func Future Subs 2015'!D88</f>
        <v>240</v>
      </c>
      <c r="E88" s="754" t="str">
        <f>'Func Future Subs 2015'!E88</f>
        <v>89S</v>
      </c>
      <c r="F88" s="754">
        <f>'Func Future Subs 2015'!F88</f>
        <v>117043.47158954688</v>
      </c>
      <c r="G88" s="754" t="str">
        <f>'Func Future Subs 2015'!G88</f>
        <v>AltaLink</v>
      </c>
      <c r="H88" s="754">
        <f>'Func Future Subs 2015'!H88</f>
        <v>2017</v>
      </c>
      <c r="I88" s="306">
        <f>+IF($H88=I$2,VLOOKUP($G88,Depreciation!$A$14:$L$18,7,FALSE)/2,IF($H88&lt;I$2,VLOOKUP($G88,Depreciation!$A$14:$L$18,7,FALSE),0))</f>
        <v>0</v>
      </c>
      <c r="J88" s="306">
        <f>+IF($H88=J$2,VLOOKUP($G88,Depreciation!$A$14:$L$18,8,FALSE)/2,IF($H88&lt;J$2,VLOOKUP($G88,Depreciation!$A$14:$L$18,8,FALSE),0))</f>
        <v>0</v>
      </c>
      <c r="K88" s="306">
        <f>+IF($H88=K$2,VLOOKUP($G88,Depreciation!$A$14:$L$18,9,FALSE)/2,IF($H88&lt;K$2,VLOOKUP($G88,Depreciation!$A$14:$L$18,9,FALSE),0))</f>
        <v>1.671703928371859E-2</v>
      </c>
      <c r="L88" s="306">
        <f>+IF($H88=L$2,VLOOKUP($G88,Depreciation!$A$14:$L$18,10,FALSE)/2,IF($H88&lt;L$2,VLOOKUP($G88,Depreciation!$A$14:$L$18,10,FALSE),0))</f>
        <v>3.343407856743718E-2</v>
      </c>
      <c r="M88" s="306">
        <f>+IF($H88=M$2,VLOOKUP($G88,Depreciation!$A$14:$L$18,11,FALSE)/2,IF($H88&lt;M$2,VLOOKUP($G88,Depreciation!$A$14:$L$18,11,FALSE),0))</f>
        <v>3.343407856743718E-2</v>
      </c>
      <c r="N88" s="306">
        <f>+IF($H88=N$2,VLOOKUP($G88,Depreciation!$A$14:$L$18,12,FALSE)/2,IF($H88&lt;N$2,VLOOKUP($G88,Depreciation!$A$14:$L$18,12,FALSE),0))</f>
        <v>3.343407856743718E-2</v>
      </c>
      <c r="O88" s="307">
        <f t="shared" si="9"/>
        <v>103925.02678518122</v>
      </c>
      <c r="P88" s="732">
        <f>'Func Future Subs 2015'!P88</f>
        <v>0</v>
      </c>
      <c r="Q88" s="732">
        <f>'Func Future Subs 2015'!Q88</f>
        <v>0</v>
      </c>
      <c r="R88" s="732">
        <f>'Func Future Subs 2015'!R88</f>
        <v>1</v>
      </c>
      <c r="S88" s="735">
        <f t="shared" si="10"/>
        <v>0</v>
      </c>
      <c r="T88" s="735">
        <f t="shared" si="11"/>
        <v>0</v>
      </c>
      <c r="U88" s="735">
        <f t="shared" si="12"/>
        <v>103925.02678518122</v>
      </c>
      <c r="V88" s="736">
        <f t="shared" si="13"/>
        <v>0</v>
      </c>
      <c r="W88" s="735">
        <f t="shared" si="14"/>
        <v>103925.02678518122</v>
      </c>
      <c r="X88" s="737">
        <f t="shared" si="15"/>
        <v>0</v>
      </c>
      <c r="Y88" s="738">
        <f t="shared" si="16"/>
        <v>0</v>
      </c>
    </row>
    <row r="89" spans="1:25">
      <c r="A89" s="754" t="str">
        <f>'Func Future Subs 2015'!A89</f>
        <v>Ellis 332S</v>
      </c>
      <c r="B89" s="754">
        <f>'Func Future Subs 2015'!B89</f>
        <v>813</v>
      </c>
      <c r="C89" s="754">
        <f>'Func Future Subs 2015'!C89</f>
        <v>138</v>
      </c>
      <c r="D89" s="754">
        <f>'Func Future Subs 2015'!D89</f>
        <v>25</v>
      </c>
      <c r="E89" s="754" t="str">
        <f>'Func Future Subs 2015'!E89</f>
        <v>332S</v>
      </c>
      <c r="F89" s="754">
        <f>'Func Future Subs 2015'!F89</f>
        <v>4802999.9999999981</v>
      </c>
      <c r="G89" s="754" t="str">
        <f>'Func Future Subs 2015'!G89</f>
        <v>AltaLink</v>
      </c>
      <c r="H89" s="754">
        <f>'Func Future Subs 2015'!H89</f>
        <v>2017</v>
      </c>
      <c r="I89" s="306">
        <f>+IF($H89=I$2,VLOOKUP($G89,Depreciation!$A$14:$L$18,7,FALSE)/2,IF($H89&lt;I$2,VLOOKUP($G89,Depreciation!$A$14:$L$18,7,FALSE),0))</f>
        <v>0</v>
      </c>
      <c r="J89" s="306">
        <f>+IF($H89=J$2,VLOOKUP($G89,Depreciation!$A$14:$L$18,8,FALSE)/2,IF($H89&lt;J$2,VLOOKUP($G89,Depreciation!$A$14:$L$18,8,FALSE),0))</f>
        <v>0</v>
      </c>
      <c r="K89" s="306">
        <f>+IF($H89=K$2,VLOOKUP($G89,Depreciation!$A$14:$L$18,9,FALSE)/2,IF($H89&lt;K$2,VLOOKUP($G89,Depreciation!$A$14:$L$18,9,FALSE),0))</f>
        <v>1.671703928371859E-2</v>
      </c>
      <c r="L89" s="306">
        <f>+IF($H89=L$2,VLOOKUP($G89,Depreciation!$A$14:$L$18,10,FALSE)/2,IF($H89&lt;L$2,VLOOKUP($G89,Depreciation!$A$14:$L$18,10,FALSE),0))</f>
        <v>3.343407856743718E-2</v>
      </c>
      <c r="M89" s="306">
        <f>+IF($H89=M$2,VLOOKUP($G89,Depreciation!$A$14:$L$18,11,FALSE)/2,IF($H89&lt;M$2,VLOOKUP($G89,Depreciation!$A$14:$L$18,11,FALSE),0))</f>
        <v>3.343407856743718E-2</v>
      </c>
      <c r="N89" s="306">
        <f>+IF($H89=N$2,VLOOKUP($G89,Depreciation!$A$14:$L$18,12,FALSE)/2,IF($H89&lt;N$2,VLOOKUP($G89,Depreciation!$A$14:$L$18,12,FALSE),0))</f>
        <v>3.343407856743718E-2</v>
      </c>
      <c r="O89" s="307">
        <f t="shared" si="9"/>
        <v>4264671.0394892665</v>
      </c>
      <c r="P89" s="732">
        <f>'Func Future Subs 2015'!P89</f>
        <v>0</v>
      </c>
      <c r="Q89" s="732">
        <f>'Func Future Subs 2015'!Q89</f>
        <v>1</v>
      </c>
      <c r="R89" s="732">
        <f>'Func Future Subs 2015'!R89</f>
        <v>0</v>
      </c>
      <c r="S89" s="735">
        <f t="shared" si="10"/>
        <v>0</v>
      </c>
      <c r="T89" s="735">
        <f t="shared" si="11"/>
        <v>4264671.0394892665</v>
      </c>
      <c r="U89" s="735">
        <f t="shared" si="12"/>
        <v>0</v>
      </c>
      <c r="V89" s="736">
        <f t="shared" si="13"/>
        <v>0</v>
      </c>
      <c r="W89" s="735">
        <f t="shared" si="14"/>
        <v>0</v>
      </c>
      <c r="X89" s="737">
        <f t="shared" si="15"/>
        <v>0</v>
      </c>
      <c r="Y89" s="738">
        <f t="shared" si="16"/>
        <v>4264671.0394892665</v>
      </c>
    </row>
    <row r="90" spans="1:25">
      <c r="A90" s="754" t="str">
        <f>'Func Future Subs 2015'!A90</f>
        <v>Ellis 332S (GD)</v>
      </c>
      <c r="B90" s="754">
        <f>'Func Future Subs 2015'!B90</f>
        <v>813</v>
      </c>
      <c r="C90" s="754">
        <f>'Func Future Subs 2015'!C90</f>
        <v>138</v>
      </c>
      <c r="D90" s="754">
        <f>'Func Future Subs 2015'!D90</f>
        <v>25</v>
      </c>
      <c r="E90" s="754" t="str">
        <f>'Func Future Subs 2015'!E90</f>
        <v>332S</v>
      </c>
      <c r="F90" s="754">
        <f>'Func Future Subs 2015'!F90</f>
        <v>1561153.3637017503</v>
      </c>
      <c r="G90" s="754" t="str">
        <f>'Func Future Subs 2015'!G90</f>
        <v>AltaLink</v>
      </c>
      <c r="H90" s="754">
        <f>'Func Future Subs 2015'!H90</f>
        <v>2017</v>
      </c>
      <c r="I90" s="306">
        <f>+IF($H90=I$2,VLOOKUP($G90,Depreciation!$A$14:$L$18,7,FALSE)/2,IF($H90&lt;I$2,VLOOKUP($G90,Depreciation!$A$14:$L$18,7,FALSE),0))</f>
        <v>0</v>
      </c>
      <c r="J90" s="306">
        <f>+IF($H90=J$2,VLOOKUP($G90,Depreciation!$A$14:$L$18,8,FALSE)/2,IF($H90&lt;J$2,VLOOKUP($G90,Depreciation!$A$14:$L$18,8,FALSE),0))</f>
        <v>0</v>
      </c>
      <c r="K90" s="306">
        <f>+IF($H90=K$2,VLOOKUP($G90,Depreciation!$A$14:$L$18,9,FALSE)/2,IF($H90&lt;K$2,VLOOKUP($G90,Depreciation!$A$14:$L$18,9,FALSE),0))</f>
        <v>1.671703928371859E-2</v>
      </c>
      <c r="L90" s="306">
        <f>+IF($H90=L$2,VLOOKUP($G90,Depreciation!$A$14:$L$18,10,FALSE)/2,IF($H90&lt;L$2,VLOOKUP($G90,Depreciation!$A$14:$L$18,10,FALSE),0))</f>
        <v>3.343407856743718E-2</v>
      </c>
      <c r="M90" s="306">
        <f>+IF($H90=M$2,VLOOKUP($G90,Depreciation!$A$14:$L$18,11,FALSE)/2,IF($H90&lt;M$2,VLOOKUP($G90,Depreciation!$A$14:$L$18,11,FALSE),0))</f>
        <v>3.343407856743718E-2</v>
      </c>
      <c r="N90" s="306">
        <f>+IF($H90=N$2,VLOOKUP($G90,Depreciation!$A$14:$L$18,12,FALSE)/2,IF($H90&lt;N$2,VLOOKUP($G90,Depreciation!$A$14:$L$18,12,FALSE),0))</f>
        <v>3.343407856743718E-2</v>
      </c>
      <c r="O90" s="307">
        <f t="shared" si="9"/>
        <v>1386176.4602082262</v>
      </c>
      <c r="P90" s="732">
        <f>'Func Future Subs 2015'!P90</f>
        <v>0</v>
      </c>
      <c r="Q90" s="732">
        <f>'Func Future Subs 2015'!Q90</f>
        <v>1</v>
      </c>
      <c r="R90" s="732">
        <f>'Func Future Subs 2015'!R90</f>
        <v>0</v>
      </c>
      <c r="S90" s="735">
        <f t="shared" si="10"/>
        <v>0</v>
      </c>
      <c r="T90" s="735">
        <f t="shared" si="11"/>
        <v>1386176.4602082262</v>
      </c>
      <c r="U90" s="735">
        <f t="shared" si="12"/>
        <v>0</v>
      </c>
      <c r="V90" s="736">
        <f t="shared" si="13"/>
        <v>0</v>
      </c>
      <c r="W90" s="735">
        <f t="shared" si="14"/>
        <v>0</v>
      </c>
      <c r="X90" s="737">
        <f t="shared" si="15"/>
        <v>0</v>
      </c>
      <c r="Y90" s="738">
        <f t="shared" si="16"/>
        <v>1386176.4602082262</v>
      </c>
    </row>
    <row r="91" spans="1:25">
      <c r="A91" s="754" t="str">
        <f>'Func Future Subs 2015'!A91</f>
        <v>Gaetz 87S</v>
      </c>
      <c r="B91" s="754">
        <f>'Func Future Subs 2015'!B91</f>
        <v>813</v>
      </c>
      <c r="C91" s="754">
        <f>'Func Future Subs 2015'!C91</f>
        <v>240</v>
      </c>
      <c r="D91" s="754">
        <f>'Func Future Subs 2015'!D91</f>
        <v>138</v>
      </c>
      <c r="E91" s="754" t="str">
        <f>'Func Future Subs 2015'!E91</f>
        <v>87S</v>
      </c>
      <c r="F91" s="754">
        <f>'Func Future Subs 2015'!F91</f>
        <v>3058127.6636590497</v>
      </c>
      <c r="G91" s="754" t="str">
        <f>'Func Future Subs 2015'!G91</f>
        <v>AltaLink</v>
      </c>
      <c r="H91" s="754">
        <f>'Func Future Subs 2015'!H91</f>
        <v>2017</v>
      </c>
      <c r="I91" s="306">
        <f>+IF($H91=I$2,VLOOKUP($G91,Depreciation!$A$14:$L$18,7,FALSE)/2,IF($H91&lt;I$2,VLOOKUP($G91,Depreciation!$A$14:$L$18,7,FALSE),0))</f>
        <v>0</v>
      </c>
      <c r="J91" s="306">
        <f>+IF($H91=J$2,VLOOKUP($G91,Depreciation!$A$14:$L$18,8,FALSE)/2,IF($H91&lt;J$2,VLOOKUP($G91,Depreciation!$A$14:$L$18,8,FALSE),0))</f>
        <v>0</v>
      </c>
      <c r="K91" s="306">
        <f>+IF($H91=K$2,VLOOKUP($G91,Depreciation!$A$14:$L$18,9,FALSE)/2,IF($H91&lt;K$2,VLOOKUP($G91,Depreciation!$A$14:$L$18,9,FALSE),0))</f>
        <v>1.671703928371859E-2</v>
      </c>
      <c r="L91" s="306">
        <f>+IF($H91=L$2,VLOOKUP($G91,Depreciation!$A$14:$L$18,10,FALSE)/2,IF($H91&lt;L$2,VLOOKUP($G91,Depreciation!$A$14:$L$18,10,FALSE),0))</f>
        <v>3.343407856743718E-2</v>
      </c>
      <c r="M91" s="306">
        <f>+IF($H91=M$2,VLOOKUP($G91,Depreciation!$A$14:$L$18,11,FALSE)/2,IF($H91&lt;M$2,VLOOKUP($G91,Depreciation!$A$14:$L$18,11,FALSE),0))</f>
        <v>3.343407856743718E-2</v>
      </c>
      <c r="N91" s="306">
        <f>+IF($H91=N$2,VLOOKUP($G91,Depreciation!$A$14:$L$18,12,FALSE)/2,IF($H91&lt;N$2,VLOOKUP($G91,Depreciation!$A$14:$L$18,12,FALSE),0))</f>
        <v>3.343407856743718E-2</v>
      </c>
      <c r="O91" s="307">
        <f t="shared" si="9"/>
        <v>2715367.1626624451</v>
      </c>
      <c r="P91" s="732">
        <f>'Func Future Subs 2015'!P91</f>
        <v>0</v>
      </c>
      <c r="Q91" s="732">
        <f>'Func Future Subs 2015'!Q91</f>
        <v>0</v>
      </c>
      <c r="R91" s="732">
        <f>'Func Future Subs 2015'!R91</f>
        <v>1</v>
      </c>
      <c r="S91" s="735">
        <f t="shared" si="10"/>
        <v>0</v>
      </c>
      <c r="T91" s="735">
        <f t="shared" si="11"/>
        <v>0</v>
      </c>
      <c r="U91" s="735">
        <f t="shared" si="12"/>
        <v>2715367.1626624451</v>
      </c>
      <c r="V91" s="736">
        <f t="shared" si="13"/>
        <v>0</v>
      </c>
      <c r="W91" s="735">
        <f t="shared" si="14"/>
        <v>0</v>
      </c>
      <c r="X91" s="737">
        <f t="shared" si="15"/>
        <v>2715367.1626624451</v>
      </c>
      <c r="Y91" s="738">
        <f t="shared" si="16"/>
        <v>0</v>
      </c>
    </row>
    <row r="92" spans="1:25">
      <c r="A92" s="754" t="str">
        <f>'Func Future Subs 2015'!A92</f>
        <v>Harmattan 256S</v>
      </c>
      <c r="B92" s="754">
        <f>'Func Future Subs 2015'!B92</f>
        <v>813</v>
      </c>
      <c r="C92" s="754">
        <f>'Func Future Subs 2015'!C92</f>
        <v>240</v>
      </c>
      <c r="D92" s="754">
        <f>'Func Future Subs 2015'!D92</f>
        <v>25</v>
      </c>
      <c r="E92" s="754" t="str">
        <f>'Func Future Subs 2015'!E92</f>
        <v>256S</v>
      </c>
      <c r="F92" s="754">
        <f>'Func Future Subs 2015'!F92</f>
        <v>185892.57252457447</v>
      </c>
      <c r="G92" s="754" t="str">
        <f>'Func Future Subs 2015'!G92</f>
        <v>AltaLink</v>
      </c>
      <c r="H92" s="754">
        <f>'Func Future Subs 2015'!H92</f>
        <v>2017</v>
      </c>
      <c r="I92" s="306">
        <f>+IF($H92=I$2,VLOOKUP($G92,Depreciation!$A$14:$L$18,7,FALSE)/2,IF($H92&lt;I$2,VLOOKUP($G92,Depreciation!$A$14:$L$18,7,FALSE),0))</f>
        <v>0</v>
      </c>
      <c r="J92" s="306">
        <f>+IF($H92=J$2,VLOOKUP($G92,Depreciation!$A$14:$L$18,8,FALSE)/2,IF($H92&lt;J$2,VLOOKUP($G92,Depreciation!$A$14:$L$18,8,FALSE),0))</f>
        <v>0</v>
      </c>
      <c r="K92" s="306">
        <f>+IF($H92=K$2,VLOOKUP($G92,Depreciation!$A$14:$L$18,9,FALSE)/2,IF($H92&lt;K$2,VLOOKUP($G92,Depreciation!$A$14:$L$18,9,FALSE),0))</f>
        <v>1.671703928371859E-2</v>
      </c>
      <c r="L92" s="306">
        <f>+IF($H92=L$2,VLOOKUP($G92,Depreciation!$A$14:$L$18,10,FALSE)/2,IF($H92&lt;L$2,VLOOKUP($G92,Depreciation!$A$14:$L$18,10,FALSE),0))</f>
        <v>3.343407856743718E-2</v>
      </c>
      <c r="M92" s="306">
        <f>+IF($H92=M$2,VLOOKUP($G92,Depreciation!$A$14:$L$18,11,FALSE)/2,IF($H92&lt;M$2,VLOOKUP($G92,Depreciation!$A$14:$L$18,11,FALSE),0))</f>
        <v>3.343407856743718E-2</v>
      </c>
      <c r="N92" s="306">
        <f>+IF($H92=N$2,VLOOKUP($G92,Depreciation!$A$14:$L$18,12,FALSE)/2,IF($H92&lt;N$2,VLOOKUP($G92,Depreciation!$A$14:$L$18,12,FALSE),0))</f>
        <v>3.343407856743718E-2</v>
      </c>
      <c r="O92" s="307">
        <f t="shared" si="9"/>
        <v>165057.39548234668</v>
      </c>
      <c r="P92" s="732">
        <f>'Func Future Subs 2015'!P92</f>
        <v>0.54510993176648981</v>
      </c>
      <c r="Q92" s="732">
        <f>'Func Future Subs 2015'!Q92</f>
        <v>0.45489006823351025</v>
      </c>
      <c r="R92" s="732">
        <f>'Func Future Subs 2015'!R92</f>
        <v>0</v>
      </c>
      <c r="S92" s="735">
        <f t="shared" si="10"/>
        <v>89974.425588936516</v>
      </c>
      <c r="T92" s="735">
        <f t="shared" si="11"/>
        <v>75082.969893410162</v>
      </c>
      <c r="U92" s="735">
        <f t="shared" si="12"/>
        <v>0</v>
      </c>
      <c r="V92" s="736">
        <f t="shared" si="13"/>
        <v>0</v>
      </c>
      <c r="W92" s="735">
        <f t="shared" si="14"/>
        <v>89974.425588936516</v>
      </c>
      <c r="X92" s="737">
        <f t="shared" si="15"/>
        <v>0</v>
      </c>
      <c r="Y92" s="738">
        <f t="shared" si="16"/>
        <v>75082.969893410162</v>
      </c>
    </row>
    <row r="93" spans="1:25">
      <c r="A93" s="754" t="str">
        <f>'Func Future Subs 2015'!A93</f>
        <v>Hazelwood 287S</v>
      </c>
      <c r="B93" s="754">
        <f>'Func Future Subs 2015'!B93</f>
        <v>813</v>
      </c>
      <c r="C93" s="754">
        <f>'Func Future Subs 2015'!C93</f>
        <v>240</v>
      </c>
      <c r="D93" s="754">
        <f>'Func Future Subs 2015'!D93</f>
        <v>0</v>
      </c>
      <c r="E93" s="754" t="str">
        <f>'Func Future Subs 2015'!E93</f>
        <v>287S</v>
      </c>
      <c r="F93" s="754">
        <f>'Func Future Subs 2015'!F93</f>
        <v>24486182.74754256</v>
      </c>
      <c r="G93" s="754" t="str">
        <f>'Func Future Subs 2015'!G93</f>
        <v>AltaLink</v>
      </c>
      <c r="H93" s="754">
        <f>'Func Future Subs 2015'!H93</f>
        <v>2017</v>
      </c>
      <c r="I93" s="306">
        <f>+IF($H93=I$2,VLOOKUP($G93,Depreciation!$A$14:$L$18,7,FALSE)/2,IF($H93&lt;I$2,VLOOKUP($G93,Depreciation!$A$14:$L$18,7,FALSE),0))</f>
        <v>0</v>
      </c>
      <c r="J93" s="306">
        <f>+IF($H93=J$2,VLOOKUP($G93,Depreciation!$A$14:$L$18,8,FALSE)/2,IF($H93&lt;J$2,VLOOKUP($G93,Depreciation!$A$14:$L$18,8,FALSE),0))</f>
        <v>0</v>
      </c>
      <c r="K93" s="306">
        <f>+IF($H93=K$2,VLOOKUP($G93,Depreciation!$A$14:$L$18,9,FALSE)/2,IF($H93&lt;K$2,VLOOKUP($G93,Depreciation!$A$14:$L$18,9,FALSE),0))</f>
        <v>1.671703928371859E-2</v>
      </c>
      <c r="L93" s="306">
        <f>+IF($H93=L$2,VLOOKUP($G93,Depreciation!$A$14:$L$18,10,FALSE)/2,IF($H93&lt;L$2,VLOOKUP($G93,Depreciation!$A$14:$L$18,10,FALSE),0))</f>
        <v>3.343407856743718E-2</v>
      </c>
      <c r="M93" s="306">
        <f>+IF($H93=M$2,VLOOKUP($G93,Depreciation!$A$14:$L$18,11,FALSE)/2,IF($H93&lt;M$2,VLOOKUP($G93,Depreciation!$A$14:$L$18,11,FALSE),0))</f>
        <v>3.343407856743718E-2</v>
      </c>
      <c r="N93" s="306">
        <f>+IF($H93=N$2,VLOOKUP($G93,Depreciation!$A$14:$L$18,12,FALSE)/2,IF($H93&lt;N$2,VLOOKUP($G93,Depreciation!$A$14:$L$18,12,FALSE),0))</f>
        <v>3.343407856743718E-2</v>
      </c>
      <c r="O93" s="307">
        <f t="shared" si="9"/>
        <v>21741726.927146889</v>
      </c>
      <c r="P93" s="732">
        <f>'Func Future Subs 2015'!P93</f>
        <v>0</v>
      </c>
      <c r="Q93" s="732">
        <f>'Func Future Subs 2015'!Q93</f>
        <v>0</v>
      </c>
      <c r="R93" s="732">
        <f>'Func Future Subs 2015'!R93</f>
        <v>1</v>
      </c>
      <c r="S93" s="735">
        <f t="shared" si="10"/>
        <v>0</v>
      </c>
      <c r="T93" s="735">
        <f t="shared" si="11"/>
        <v>0</v>
      </c>
      <c r="U93" s="735">
        <f t="shared" si="12"/>
        <v>21741726.927146889</v>
      </c>
      <c r="V93" s="736">
        <f t="shared" si="13"/>
        <v>21741726.927146889</v>
      </c>
      <c r="W93" s="735">
        <f t="shared" si="14"/>
        <v>0</v>
      </c>
      <c r="X93" s="737">
        <f t="shared" si="15"/>
        <v>0</v>
      </c>
      <c r="Y93" s="738">
        <f t="shared" si="16"/>
        <v>0</v>
      </c>
    </row>
    <row r="94" spans="1:25">
      <c r="A94" s="754" t="str">
        <f>'Func Future Subs 2015'!A94</f>
        <v>Innisfail 214S</v>
      </c>
      <c r="B94" s="754">
        <f>'Func Future Subs 2015'!B94</f>
        <v>813</v>
      </c>
      <c r="C94" s="754">
        <f>'Func Future Subs 2015'!C94</f>
        <v>138</v>
      </c>
      <c r="D94" s="754">
        <f>'Func Future Subs 2015'!D94</f>
        <v>25</v>
      </c>
      <c r="E94" s="754" t="str">
        <f>'Func Future Subs 2015'!E94</f>
        <v>214S</v>
      </c>
      <c r="F94" s="754">
        <f>'Func Future Subs 2015'!F94</f>
        <v>4439045.7827859037</v>
      </c>
      <c r="G94" s="754" t="str">
        <f>'Func Future Subs 2015'!G94</f>
        <v>AltaLink</v>
      </c>
      <c r="H94" s="754">
        <f>'Func Future Subs 2015'!H94</f>
        <v>2017</v>
      </c>
      <c r="I94" s="306">
        <f>+IF($H94=I$2,VLOOKUP($G94,Depreciation!$A$14:$L$18,7,FALSE)/2,IF($H94&lt;I$2,VLOOKUP($G94,Depreciation!$A$14:$L$18,7,FALSE),0))</f>
        <v>0</v>
      </c>
      <c r="J94" s="306">
        <f>+IF($H94=J$2,VLOOKUP($G94,Depreciation!$A$14:$L$18,8,FALSE)/2,IF($H94&lt;J$2,VLOOKUP($G94,Depreciation!$A$14:$L$18,8,FALSE),0))</f>
        <v>0</v>
      </c>
      <c r="K94" s="306">
        <f>+IF($H94=K$2,VLOOKUP($G94,Depreciation!$A$14:$L$18,9,FALSE)/2,IF($H94&lt;K$2,VLOOKUP($G94,Depreciation!$A$14:$L$18,9,FALSE),0))</f>
        <v>1.671703928371859E-2</v>
      </c>
      <c r="L94" s="306">
        <f>+IF($H94=L$2,VLOOKUP($G94,Depreciation!$A$14:$L$18,10,FALSE)/2,IF($H94&lt;L$2,VLOOKUP($G94,Depreciation!$A$14:$L$18,10,FALSE),0))</f>
        <v>3.343407856743718E-2</v>
      </c>
      <c r="M94" s="306">
        <f>+IF($H94=M$2,VLOOKUP($G94,Depreciation!$A$14:$L$18,11,FALSE)/2,IF($H94&lt;M$2,VLOOKUP($G94,Depreciation!$A$14:$L$18,11,FALSE),0))</f>
        <v>3.343407856743718E-2</v>
      </c>
      <c r="N94" s="306">
        <f>+IF($H94=N$2,VLOOKUP($G94,Depreciation!$A$14:$L$18,12,FALSE)/2,IF($H94&lt;N$2,VLOOKUP($G94,Depreciation!$A$14:$L$18,12,FALSE),0))</f>
        <v>3.343407856743718E-2</v>
      </c>
      <c r="O94" s="307">
        <f t="shared" si="9"/>
        <v>3941509.4717497416</v>
      </c>
      <c r="P94" s="732">
        <f>'Func Future Subs 2015'!P94</f>
        <v>0</v>
      </c>
      <c r="Q94" s="732">
        <f>'Func Future Subs 2015'!Q94</f>
        <v>1</v>
      </c>
      <c r="R94" s="732">
        <f>'Func Future Subs 2015'!R94</f>
        <v>0</v>
      </c>
      <c r="S94" s="735">
        <f t="shared" si="10"/>
        <v>0</v>
      </c>
      <c r="T94" s="735">
        <f t="shared" si="11"/>
        <v>3941509.4717497416</v>
      </c>
      <c r="U94" s="735">
        <f t="shared" si="12"/>
        <v>0</v>
      </c>
      <c r="V94" s="736">
        <f t="shared" si="13"/>
        <v>0</v>
      </c>
      <c r="W94" s="735">
        <f t="shared" si="14"/>
        <v>0</v>
      </c>
      <c r="X94" s="737">
        <f t="shared" si="15"/>
        <v>0</v>
      </c>
      <c r="Y94" s="738">
        <f t="shared" si="16"/>
        <v>3941509.4717497416</v>
      </c>
    </row>
    <row r="95" spans="1:25">
      <c r="A95" s="754" t="str">
        <f>'Func Future Subs 2015'!A95</f>
        <v>Joffre 535S</v>
      </c>
      <c r="B95" s="754">
        <f>'Func Future Subs 2015'!B95</f>
        <v>813</v>
      </c>
      <c r="C95" s="754">
        <f>'Func Future Subs 2015'!C95</f>
        <v>138</v>
      </c>
      <c r="D95" s="754">
        <f>'Func Future Subs 2015'!D95</f>
        <v>25</v>
      </c>
      <c r="E95" s="754" t="str">
        <f>'Func Future Subs 2015'!E95</f>
        <v>535S</v>
      </c>
      <c r="F95" s="754">
        <f>'Func Future Subs 2015'!F95</f>
        <v>5110999.9999999963</v>
      </c>
      <c r="G95" s="754" t="str">
        <f>'Func Future Subs 2015'!G95</f>
        <v>AltaLink</v>
      </c>
      <c r="H95" s="754">
        <f>'Func Future Subs 2015'!H95</f>
        <v>2017</v>
      </c>
      <c r="I95" s="306">
        <f>+IF($H95=I$2,VLOOKUP($G95,Depreciation!$A$14:$L$18,7,FALSE)/2,IF($H95&lt;I$2,VLOOKUP($G95,Depreciation!$A$14:$L$18,7,FALSE),0))</f>
        <v>0</v>
      </c>
      <c r="J95" s="306">
        <f>+IF($H95=J$2,VLOOKUP($G95,Depreciation!$A$14:$L$18,8,FALSE)/2,IF($H95&lt;J$2,VLOOKUP($G95,Depreciation!$A$14:$L$18,8,FALSE),0))</f>
        <v>0</v>
      </c>
      <c r="K95" s="306">
        <f>+IF($H95=K$2,VLOOKUP($G95,Depreciation!$A$14:$L$18,9,FALSE)/2,IF($H95&lt;K$2,VLOOKUP($G95,Depreciation!$A$14:$L$18,9,FALSE),0))</f>
        <v>1.671703928371859E-2</v>
      </c>
      <c r="L95" s="306">
        <f>+IF($H95=L$2,VLOOKUP($G95,Depreciation!$A$14:$L$18,10,FALSE)/2,IF($H95&lt;L$2,VLOOKUP($G95,Depreciation!$A$14:$L$18,10,FALSE),0))</f>
        <v>3.343407856743718E-2</v>
      </c>
      <c r="M95" s="306">
        <f>+IF($H95=M$2,VLOOKUP($G95,Depreciation!$A$14:$L$18,11,FALSE)/2,IF($H95&lt;M$2,VLOOKUP($G95,Depreciation!$A$14:$L$18,11,FALSE),0))</f>
        <v>3.343407856743718E-2</v>
      </c>
      <c r="N95" s="306">
        <f>+IF($H95=N$2,VLOOKUP($G95,Depreciation!$A$14:$L$18,12,FALSE)/2,IF($H95&lt;N$2,VLOOKUP($G95,Depreciation!$A$14:$L$18,12,FALSE),0))</f>
        <v>3.343407856743718E-2</v>
      </c>
      <c r="O95" s="307">
        <f t="shared" si="9"/>
        <v>4538149.8402726697</v>
      </c>
      <c r="P95" s="732">
        <f>'Func Future Subs 2015'!P95</f>
        <v>0.7403207006269098</v>
      </c>
      <c r="Q95" s="732">
        <f>'Func Future Subs 2015'!Q95</f>
        <v>0.25967929937309009</v>
      </c>
      <c r="R95" s="732">
        <f>'Func Future Subs 2015'!R95</f>
        <v>0</v>
      </c>
      <c r="S95" s="735">
        <f t="shared" si="10"/>
        <v>3359686.2693005614</v>
      </c>
      <c r="T95" s="735">
        <f t="shared" si="11"/>
        <v>1178463.5709721076</v>
      </c>
      <c r="U95" s="735">
        <f t="shared" si="12"/>
        <v>0</v>
      </c>
      <c r="V95" s="736">
        <f t="shared" si="13"/>
        <v>0</v>
      </c>
      <c r="W95" s="735">
        <f t="shared" si="14"/>
        <v>3359686.2693005614</v>
      </c>
      <c r="X95" s="737">
        <f t="shared" si="15"/>
        <v>0</v>
      </c>
      <c r="Y95" s="738">
        <f t="shared" si="16"/>
        <v>1178463.5709721076</v>
      </c>
    </row>
    <row r="96" spans="1:25">
      <c r="A96" s="754" t="str">
        <f>'Func Future Subs 2015'!A96</f>
        <v xml:space="preserve">Joffre 535S  </v>
      </c>
      <c r="B96" s="754">
        <f>'Func Future Subs 2015'!B96</f>
        <v>813</v>
      </c>
      <c r="C96" s="754">
        <f>'Func Future Subs 2015'!C96</f>
        <v>138</v>
      </c>
      <c r="D96" s="754">
        <f>'Func Future Subs 2015'!D96</f>
        <v>25</v>
      </c>
      <c r="E96" s="754" t="str">
        <f>'Func Future Subs 2015'!E96</f>
        <v>535S</v>
      </c>
      <c r="F96" s="754">
        <f>'Func Future Subs 2015'!F96</f>
        <v>974788.85374631989</v>
      </c>
      <c r="G96" s="754" t="str">
        <f>'Func Future Subs 2015'!G96</f>
        <v>AltaLink</v>
      </c>
      <c r="H96" s="754">
        <f>'Func Future Subs 2015'!H96</f>
        <v>2017</v>
      </c>
      <c r="I96" s="306">
        <f>+IF($H96=I$2,VLOOKUP($G96,Depreciation!$A$14:$L$18,7,FALSE)/2,IF($H96&lt;I$2,VLOOKUP($G96,Depreciation!$A$14:$L$18,7,FALSE),0))</f>
        <v>0</v>
      </c>
      <c r="J96" s="306">
        <f>+IF($H96=J$2,VLOOKUP($G96,Depreciation!$A$14:$L$18,8,FALSE)/2,IF($H96&lt;J$2,VLOOKUP($G96,Depreciation!$A$14:$L$18,8,FALSE),0))</f>
        <v>0</v>
      </c>
      <c r="K96" s="306">
        <f>+IF($H96=K$2,VLOOKUP($G96,Depreciation!$A$14:$L$18,9,FALSE)/2,IF($H96&lt;K$2,VLOOKUP($G96,Depreciation!$A$14:$L$18,9,FALSE),0))</f>
        <v>1.671703928371859E-2</v>
      </c>
      <c r="L96" s="306">
        <f>+IF($H96=L$2,VLOOKUP($G96,Depreciation!$A$14:$L$18,10,FALSE)/2,IF($H96&lt;L$2,VLOOKUP($G96,Depreciation!$A$14:$L$18,10,FALSE),0))</f>
        <v>3.343407856743718E-2</v>
      </c>
      <c r="M96" s="306">
        <f>+IF($H96=M$2,VLOOKUP($G96,Depreciation!$A$14:$L$18,11,FALSE)/2,IF($H96&lt;M$2,VLOOKUP($G96,Depreciation!$A$14:$L$18,11,FALSE),0))</f>
        <v>3.343407856743718E-2</v>
      </c>
      <c r="N96" s="306">
        <f>+IF($H96=N$2,VLOOKUP($G96,Depreciation!$A$14:$L$18,12,FALSE)/2,IF($H96&lt;N$2,VLOOKUP($G96,Depreciation!$A$14:$L$18,12,FALSE),0))</f>
        <v>3.343407856743718E-2</v>
      </c>
      <c r="O96" s="307">
        <f t="shared" si="9"/>
        <v>865532.74915445969</v>
      </c>
      <c r="P96" s="732">
        <f>'Func Future Subs 2015'!P96</f>
        <v>0.7403207006269098</v>
      </c>
      <c r="Q96" s="732">
        <f>'Func Future Subs 2015'!Q96</f>
        <v>0.25967929937309009</v>
      </c>
      <c r="R96" s="732">
        <f>'Func Future Subs 2015'!R96</f>
        <v>0</v>
      </c>
      <c r="S96" s="735">
        <f t="shared" si="10"/>
        <v>640771.81126956502</v>
      </c>
      <c r="T96" s="735">
        <f t="shared" si="11"/>
        <v>224760.93788489464</v>
      </c>
      <c r="U96" s="735">
        <f t="shared" si="12"/>
        <v>0</v>
      </c>
      <c r="V96" s="736">
        <f t="shared" si="13"/>
        <v>0</v>
      </c>
      <c r="W96" s="735">
        <f t="shared" si="14"/>
        <v>640771.81126956502</v>
      </c>
      <c r="X96" s="737">
        <f t="shared" si="15"/>
        <v>0</v>
      </c>
      <c r="Y96" s="738">
        <f t="shared" si="16"/>
        <v>224760.93788489464</v>
      </c>
    </row>
    <row r="97" spans="1:25">
      <c r="A97" s="754" t="str">
        <f>'Func Future Subs 2015'!A97</f>
        <v>Johnson 281S</v>
      </c>
      <c r="B97" s="754">
        <f>'Func Future Subs 2015'!B97</f>
        <v>813</v>
      </c>
      <c r="C97" s="754">
        <f>'Func Future Subs 2015'!C97</f>
        <v>240</v>
      </c>
      <c r="D97" s="754">
        <f>'Func Future Subs 2015'!D97</f>
        <v>138</v>
      </c>
      <c r="E97" s="754" t="str">
        <f>'Func Future Subs 2015'!E97</f>
        <v>281S</v>
      </c>
      <c r="F97" s="754">
        <f>'Func Future Subs 2015'!F97</f>
        <v>27577507.379525296</v>
      </c>
      <c r="G97" s="754" t="str">
        <f>'Func Future Subs 2015'!G97</f>
        <v>AltaLink</v>
      </c>
      <c r="H97" s="754">
        <f>'Func Future Subs 2015'!H97</f>
        <v>2017</v>
      </c>
      <c r="I97" s="306">
        <f>+IF($H97=I$2,VLOOKUP($G97,Depreciation!$A$14:$L$18,7,FALSE)/2,IF($H97&lt;I$2,VLOOKUP($G97,Depreciation!$A$14:$L$18,7,FALSE),0))</f>
        <v>0</v>
      </c>
      <c r="J97" s="306">
        <f>+IF($H97=J$2,VLOOKUP($G97,Depreciation!$A$14:$L$18,8,FALSE)/2,IF($H97&lt;J$2,VLOOKUP($G97,Depreciation!$A$14:$L$18,8,FALSE),0))</f>
        <v>0</v>
      </c>
      <c r="K97" s="306">
        <f>+IF($H97=K$2,VLOOKUP($G97,Depreciation!$A$14:$L$18,9,FALSE)/2,IF($H97&lt;K$2,VLOOKUP($G97,Depreciation!$A$14:$L$18,9,FALSE),0))</f>
        <v>1.671703928371859E-2</v>
      </c>
      <c r="L97" s="306">
        <f>+IF($H97=L$2,VLOOKUP($G97,Depreciation!$A$14:$L$18,10,FALSE)/2,IF($H97&lt;L$2,VLOOKUP($G97,Depreciation!$A$14:$L$18,10,FALSE),0))</f>
        <v>3.343407856743718E-2</v>
      </c>
      <c r="M97" s="306">
        <f>+IF($H97=M$2,VLOOKUP($G97,Depreciation!$A$14:$L$18,11,FALSE)/2,IF($H97&lt;M$2,VLOOKUP($G97,Depreciation!$A$14:$L$18,11,FALSE),0))</f>
        <v>3.343407856743718E-2</v>
      </c>
      <c r="N97" s="306">
        <f>+IF($H97=N$2,VLOOKUP($G97,Depreciation!$A$14:$L$18,12,FALSE)/2,IF($H97&lt;N$2,VLOOKUP($G97,Depreciation!$A$14:$L$18,12,FALSE),0))</f>
        <v>3.343407856743718E-2</v>
      </c>
      <c r="O97" s="307">
        <f t="shared" si="9"/>
        <v>24486570.281649612</v>
      </c>
      <c r="P97" s="732">
        <f>'Func Future Subs 2015'!P97</f>
        <v>0</v>
      </c>
      <c r="Q97" s="732">
        <f>'Func Future Subs 2015'!Q97</f>
        <v>0</v>
      </c>
      <c r="R97" s="732">
        <f>'Func Future Subs 2015'!R97</f>
        <v>1</v>
      </c>
      <c r="S97" s="735">
        <f t="shared" si="10"/>
        <v>0</v>
      </c>
      <c r="T97" s="735">
        <f t="shared" si="11"/>
        <v>0</v>
      </c>
      <c r="U97" s="735">
        <f t="shared" si="12"/>
        <v>24486570.281649612</v>
      </c>
      <c r="V97" s="736">
        <f t="shared" si="13"/>
        <v>0</v>
      </c>
      <c r="W97" s="735">
        <f t="shared" si="14"/>
        <v>0</v>
      </c>
      <c r="X97" s="737">
        <f t="shared" si="15"/>
        <v>24486570.281649612</v>
      </c>
      <c r="Y97" s="738">
        <f t="shared" si="16"/>
        <v>0</v>
      </c>
    </row>
    <row r="98" spans="1:25">
      <c r="A98" s="754" t="str">
        <f>'Func Future Subs 2015'!A98</f>
        <v>N.E. Lacombe 212S</v>
      </c>
      <c r="B98" s="754">
        <f>'Func Future Subs 2015'!B98</f>
        <v>813</v>
      </c>
      <c r="C98" s="754">
        <f>'Func Future Subs 2015'!C98</f>
        <v>138</v>
      </c>
      <c r="D98" s="754">
        <f>'Func Future Subs 2015'!D98</f>
        <v>25</v>
      </c>
      <c r="E98" s="754" t="str">
        <f>'Func Future Subs 2015'!E98</f>
        <v>212S</v>
      </c>
      <c r="F98" s="754">
        <f>'Func Future Subs 2015'!F98</f>
        <v>5363344.9628386488</v>
      </c>
      <c r="G98" s="754" t="str">
        <f>'Func Future Subs 2015'!G98</f>
        <v>AltaLink</v>
      </c>
      <c r="H98" s="754">
        <f>'Func Future Subs 2015'!H98</f>
        <v>2017</v>
      </c>
      <c r="I98" s="306">
        <f>+IF($H98=I$2,VLOOKUP($G98,Depreciation!$A$14:$L$18,7,FALSE)/2,IF($H98&lt;I$2,VLOOKUP($G98,Depreciation!$A$14:$L$18,7,FALSE),0))</f>
        <v>0</v>
      </c>
      <c r="J98" s="306">
        <f>+IF($H98=J$2,VLOOKUP($G98,Depreciation!$A$14:$L$18,8,FALSE)/2,IF($H98&lt;J$2,VLOOKUP($G98,Depreciation!$A$14:$L$18,8,FALSE),0))</f>
        <v>0</v>
      </c>
      <c r="K98" s="306">
        <f>+IF($H98=K$2,VLOOKUP($G98,Depreciation!$A$14:$L$18,9,FALSE)/2,IF($H98&lt;K$2,VLOOKUP($G98,Depreciation!$A$14:$L$18,9,FALSE),0))</f>
        <v>1.671703928371859E-2</v>
      </c>
      <c r="L98" s="306">
        <f>+IF($H98=L$2,VLOOKUP($G98,Depreciation!$A$14:$L$18,10,FALSE)/2,IF($H98&lt;L$2,VLOOKUP($G98,Depreciation!$A$14:$L$18,10,FALSE),0))</f>
        <v>3.343407856743718E-2</v>
      </c>
      <c r="M98" s="306">
        <f>+IF($H98=M$2,VLOOKUP($G98,Depreciation!$A$14:$L$18,11,FALSE)/2,IF($H98&lt;M$2,VLOOKUP($G98,Depreciation!$A$14:$L$18,11,FALSE),0))</f>
        <v>3.343407856743718E-2</v>
      </c>
      <c r="N98" s="306">
        <f>+IF($H98=N$2,VLOOKUP($G98,Depreciation!$A$14:$L$18,12,FALSE)/2,IF($H98&lt;N$2,VLOOKUP($G98,Depreciation!$A$14:$L$18,12,FALSE),0))</f>
        <v>3.343407856743718E-2</v>
      </c>
      <c r="O98" s="307">
        <f t="shared" si="9"/>
        <v>4762211.5215091873</v>
      </c>
      <c r="P98" s="732">
        <f>'Func Future Subs 2015'!P98</f>
        <v>0</v>
      </c>
      <c r="Q98" s="732">
        <f>'Func Future Subs 2015'!Q98</f>
        <v>1</v>
      </c>
      <c r="R98" s="732">
        <f>'Func Future Subs 2015'!R98</f>
        <v>0</v>
      </c>
      <c r="S98" s="735">
        <f t="shared" si="10"/>
        <v>0</v>
      </c>
      <c r="T98" s="735">
        <f t="shared" si="11"/>
        <v>4762211.5215091873</v>
      </c>
      <c r="U98" s="735">
        <f t="shared" si="12"/>
        <v>0</v>
      </c>
      <c r="V98" s="736">
        <f t="shared" si="13"/>
        <v>0</v>
      </c>
      <c r="W98" s="735">
        <f t="shared" si="14"/>
        <v>0</v>
      </c>
      <c r="X98" s="737">
        <f t="shared" si="15"/>
        <v>0</v>
      </c>
      <c r="Y98" s="738">
        <f t="shared" si="16"/>
        <v>4762211.5215091873</v>
      </c>
    </row>
    <row r="99" spans="1:25">
      <c r="A99" s="754" t="str">
        <f>'Func Future Subs 2015'!A99</f>
        <v>New 240/138kV Substation Hazelwood 287S</v>
      </c>
      <c r="B99" s="754">
        <f>'Func Future Subs 2015'!B99</f>
        <v>813</v>
      </c>
      <c r="C99" s="754">
        <f>'Func Future Subs 2015'!C99</f>
        <v>240</v>
      </c>
      <c r="D99" s="754">
        <f>'Func Future Subs 2015'!D99</f>
        <v>0</v>
      </c>
      <c r="E99" s="754" t="str">
        <f>'Func Future Subs 2015'!E99</f>
        <v>287S</v>
      </c>
      <c r="F99" s="754">
        <f>'Func Future Subs 2015'!F99</f>
        <v>19156315.519322906</v>
      </c>
      <c r="G99" s="754" t="str">
        <f>'Func Future Subs 2015'!G99</f>
        <v>AltaLink</v>
      </c>
      <c r="H99" s="754">
        <f>'Func Future Subs 2015'!H99</f>
        <v>2017</v>
      </c>
      <c r="I99" s="306">
        <f>+IF($H99=I$2,VLOOKUP($G99,Depreciation!$A$14:$L$18,7,FALSE)/2,IF($H99&lt;I$2,VLOOKUP($G99,Depreciation!$A$14:$L$18,7,FALSE),0))</f>
        <v>0</v>
      </c>
      <c r="J99" s="306">
        <f>+IF($H99=J$2,VLOOKUP($G99,Depreciation!$A$14:$L$18,8,FALSE)/2,IF($H99&lt;J$2,VLOOKUP($G99,Depreciation!$A$14:$L$18,8,FALSE),0))</f>
        <v>0</v>
      </c>
      <c r="K99" s="306">
        <f>+IF($H99=K$2,VLOOKUP($G99,Depreciation!$A$14:$L$18,9,FALSE)/2,IF($H99&lt;K$2,VLOOKUP($G99,Depreciation!$A$14:$L$18,9,FALSE),0))</f>
        <v>1.671703928371859E-2</v>
      </c>
      <c r="L99" s="306">
        <f>+IF($H99=L$2,VLOOKUP($G99,Depreciation!$A$14:$L$18,10,FALSE)/2,IF($H99&lt;L$2,VLOOKUP($G99,Depreciation!$A$14:$L$18,10,FALSE),0))</f>
        <v>3.343407856743718E-2</v>
      </c>
      <c r="M99" s="306">
        <f>+IF($H99=M$2,VLOOKUP($G99,Depreciation!$A$14:$L$18,11,FALSE)/2,IF($H99&lt;M$2,VLOOKUP($G99,Depreciation!$A$14:$L$18,11,FALSE),0))</f>
        <v>3.343407856743718E-2</v>
      </c>
      <c r="N99" s="306">
        <f>+IF($H99=N$2,VLOOKUP($G99,Depreciation!$A$14:$L$18,12,FALSE)/2,IF($H99&lt;N$2,VLOOKUP($G99,Depreciation!$A$14:$L$18,12,FALSE),0))</f>
        <v>3.343407856743718E-2</v>
      </c>
      <c r="O99" s="307">
        <f t="shared" si="9"/>
        <v>17009240.894977137</v>
      </c>
      <c r="P99" s="732">
        <f>'Func Future Subs 2015'!P99</f>
        <v>0</v>
      </c>
      <c r="Q99" s="732">
        <f>'Func Future Subs 2015'!Q99</f>
        <v>0</v>
      </c>
      <c r="R99" s="732">
        <f>'Func Future Subs 2015'!R99</f>
        <v>1</v>
      </c>
      <c r="S99" s="735">
        <f t="shared" si="10"/>
        <v>0</v>
      </c>
      <c r="T99" s="735">
        <f t="shared" si="11"/>
        <v>0</v>
      </c>
      <c r="U99" s="735">
        <f t="shared" si="12"/>
        <v>17009240.894977137</v>
      </c>
      <c r="V99" s="736">
        <f t="shared" si="13"/>
        <v>17009240.894977137</v>
      </c>
      <c r="W99" s="735">
        <f t="shared" si="14"/>
        <v>0</v>
      </c>
      <c r="X99" s="737">
        <f t="shared" si="15"/>
        <v>0</v>
      </c>
      <c r="Y99" s="738">
        <f t="shared" si="16"/>
        <v>0</v>
      </c>
    </row>
    <row r="100" spans="1:25">
      <c r="A100" s="754" t="str">
        <f>'Func Future Subs 2015'!A100</f>
        <v>New 240/138kV Substation Johnson 281S</v>
      </c>
      <c r="B100" s="754">
        <f>'Func Future Subs 2015'!B100</f>
        <v>813</v>
      </c>
      <c r="C100" s="754">
        <f>'Func Future Subs 2015'!C100</f>
        <v>240</v>
      </c>
      <c r="D100" s="754">
        <f>'Func Future Subs 2015'!D100</f>
        <v>138</v>
      </c>
      <c r="E100" s="754" t="str">
        <f>'Func Future Subs 2015'!E100</f>
        <v>281S</v>
      </c>
      <c r="F100" s="754">
        <f>'Func Future Subs 2015'!F100</f>
        <v>20096056.343237866</v>
      </c>
      <c r="G100" s="754" t="str">
        <f>'Func Future Subs 2015'!G100</f>
        <v>AltaLink</v>
      </c>
      <c r="H100" s="754">
        <f>'Func Future Subs 2015'!H100</f>
        <v>2017</v>
      </c>
      <c r="I100" s="306">
        <f>+IF($H100=I$2,VLOOKUP($G100,Depreciation!$A$14:$L$18,7,FALSE)/2,IF($H100&lt;I$2,VLOOKUP($G100,Depreciation!$A$14:$L$18,7,FALSE),0))</f>
        <v>0</v>
      </c>
      <c r="J100" s="306">
        <f>+IF($H100=J$2,VLOOKUP($G100,Depreciation!$A$14:$L$18,8,FALSE)/2,IF($H100&lt;J$2,VLOOKUP($G100,Depreciation!$A$14:$L$18,8,FALSE),0))</f>
        <v>0</v>
      </c>
      <c r="K100" s="306">
        <f>+IF($H100=K$2,VLOOKUP($G100,Depreciation!$A$14:$L$18,9,FALSE)/2,IF($H100&lt;K$2,VLOOKUP($G100,Depreciation!$A$14:$L$18,9,FALSE),0))</f>
        <v>1.671703928371859E-2</v>
      </c>
      <c r="L100" s="306">
        <f>+IF($H100=L$2,VLOOKUP($G100,Depreciation!$A$14:$L$18,10,FALSE)/2,IF($H100&lt;L$2,VLOOKUP($G100,Depreciation!$A$14:$L$18,10,FALSE),0))</f>
        <v>3.343407856743718E-2</v>
      </c>
      <c r="M100" s="306">
        <f>+IF($H100=M$2,VLOOKUP($G100,Depreciation!$A$14:$L$18,11,FALSE)/2,IF($H100&lt;M$2,VLOOKUP($G100,Depreciation!$A$14:$L$18,11,FALSE),0))</f>
        <v>3.343407856743718E-2</v>
      </c>
      <c r="N100" s="306">
        <f>+IF($H100=N$2,VLOOKUP($G100,Depreciation!$A$14:$L$18,12,FALSE)/2,IF($H100&lt;N$2,VLOOKUP($G100,Depreciation!$A$14:$L$18,12,FALSE),0))</f>
        <v>3.343407856743718E-2</v>
      </c>
      <c r="O100" s="307">
        <f t="shared" si="9"/>
        <v>17843653.861118287</v>
      </c>
      <c r="P100" s="732">
        <f>'Func Future Subs 2015'!P100</f>
        <v>0</v>
      </c>
      <c r="Q100" s="732">
        <f>'Func Future Subs 2015'!Q100</f>
        <v>0</v>
      </c>
      <c r="R100" s="732">
        <f>'Func Future Subs 2015'!R100</f>
        <v>1</v>
      </c>
      <c r="S100" s="735">
        <f t="shared" si="10"/>
        <v>0</v>
      </c>
      <c r="T100" s="735">
        <f t="shared" si="11"/>
        <v>0</v>
      </c>
      <c r="U100" s="735">
        <f t="shared" si="12"/>
        <v>17843653.861118287</v>
      </c>
      <c r="V100" s="736">
        <f t="shared" si="13"/>
        <v>0</v>
      </c>
      <c r="W100" s="735">
        <f t="shared" si="14"/>
        <v>0</v>
      </c>
      <c r="X100" s="737">
        <f t="shared" si="15"/>
        <v>17843653.861118287</v>
      </c>
      <c r="Y100" s="738">
        <f t="shared" si="16"/>
        <v>0</v>
      </c>
    </row>
    <row r="101" spans="1:25">
      <c r="A101" s="754" t="str">
        <f>'Func Future Subs 2015'!A101</f>
        <v>New 240/138kV Substation Wolf Creek 288S</v>
      </c>
      <c r="B101" s="754">
        <f>'Func Future Subs 2015'!B101</f>
        <v>813</v>
      </c>
      <c r="C101" s="754">
        <f>'Func Future Subs 2015'!C101</f>
        <v>240</v>
      </c>
      <c r="D101" s="754">
        <f>'Func Future Subs 2015'!D101</f>
        <v>138</v>
      </c>
      <c r="E101" s="754" t="str">
        <f>'Func Future Subs 2015'!E101</f>
        <v>288S</v>
      </c>
      <c r="F101" s="754">
        <f>'Func Future Subs 2015'!F101</f>
        <v>16806672.487195268</v>
      </c>
      <c r="G101" s="754" t="str">
        <f>'Func Future Subs 2015'!G101</f>
        <v>AltaLink</v>
      </c>
      <c r="H101" s="754">
        <f>'Func Future Subs 2015'!H101</f>
        <v>2017</v>
      </c>
      <c r="I101" s="306">
        <f>+IF($H101=I$2,VLOOKUP($G101,Depreciation!$A$14:$L$18,7,FALSE)/2,IF($H101&lt;I$2,VLOOKUP($G101,Depreciation!$A$14:$L$18,7,FALSE),0))</f>
        <v>0</v>
      </c>
      <c r="J101" s="306">
        <f>+IF($H101=J$2,VLOOKUP($G101,Depreciation!$A$14:$L$18,8,FALSE)/2,IF($H101&lt;J$2,VLOOKUP($G101,Depreciation!$A$14:$L$18,8,FALSE),0))</f>
        <v>0</v>
      </c>
      <c r="K101" s="306">
        <f>+IF($H101=K$2,VLOOKUP($G101,Depreciation!$A$14:$L$18,9,FALSE)/2,IF($H101&lt;K$2,VLOOKUP($G101,Depreciation!$A$14:$L$18,9,FALSE),0))</f>
        <v>1.671703928371859E-2</v>
      </c>
      <c r="L101" s="306">
        <f>+IF($H101=L$2,VLOOKUP($G101,Depreciation!$A$14:$L$18,10,FALSE)/2,IF($H101&lt;L$2,VLOOKUP($G101,Depreciation!$A$14:$L$18,10,FALSE),0))</f>
        <v>3.343407856743718E-2</v>
      </c>
      <c r="M101" s="306">
        <f>+IF($H101=M$2,VLOOKUP($G101,Depreciation!$A$14:$L$18,11,FALSE)/2,IF($H101&lt;M$2,VLOOKUP($G101,Depreciation!$A$14:$L$18,11,FALSE),0))</f>
        <v>3.343407856743718E-2</v>
      </c>
      <c r="N101" s="306">
        <f>+IF($H101=N$2,VLOOKUP($G101,Depreciation!$A$14:$L$18,12,FALSE)/2,IF($H101&lt;N$2,VLOOKUP($G101,Depreciation!$A$14:$L$18,12,FALSE),0))</f>
        <v>3.343407856743718E-2</v>
      </c>
      <c r="O101" s="307">
        <f t="shared" si="9"/>
        <v>14922950.119992238</v>
      </c>
      <c r="P101" s="732">
        <f>'Func Future Subs 2015'!P101</f>
        <v>0</v>
      </c>
      <c r="Q101" s="732">
        <f>'Func Future Subs 2015'!Q101</f>
        <v>0</v>
      </c>
      <c r="R101" s="732">
        <f>'Func Future Subs 2015'!R101</f>
        <v>1</v>
      </c>
      <c r="S101" s="735">
        <f t="shared" si="10"/>
        <v>0</v>
      </c>
      <c r="T101" s="735">
        <f t="shared" si="11"/>
        <v>0</v>
      </c>
      <c r="U101" s="735">
        <f t="shared" si="12"/>
        <v>14922950.119992238</v>
      </c>
      <c r="V101" s="736">
        <f t="shared" si="13"/>
        <v>0</v>
      </c>
      <c r="W101" s="735">
        <f t="shared" si="14"/>
        <v>0</v>
      </c>
      <c r="X101" s="737">
        <f t="shared" si="15"/>
        <v>14922950.119992238</v>
      </c>
      <c r="Y101" s="738">
        <f t="shared" si="16"/>
        <v>0</v>
      </c>
    </row>
    <row r="102" spans="1:25">
      <c r="A102" s="754" t="str">
        <f>'Func Future Subs 2015'!A102</f>
        <v>New additions at Gaetz 87S</v>
      </c>
      <c r="B102" s="754">
        <f>'Func Future Subs 2015'!B102</f>
        <v>813</v>
      </c>
      <c r="C102" s="754">
        <f>'Func Future Subs 2015'!C102</f>
        <v>240</v>
      </c>
      <c r="D102" s="754">
        <f>'Func Future Subs 2015'!D102</f>
        <v>138</v>
      </c>
      <c r="E102" s="754" t="str">
        <f>'Func Future Subs 2015'!E102</f>
        <v>87S</v>
      </c>
      <c r="F102" s="754">
        <f>'Func Future Subs 2015'!F102</f>
        <v>2595668.490111751</v>
      </c>
      <c r="G102" s="754" t="str">
        <f>'Func Future Subs 2015'!G102</f>
        <v>AltaLink</v>
      </c>
      <c r="H102" s="754">
        <f>'Func Future Subs 2015'!H102</f>
        <v>2017</v>
      </c>
      <c r="I102" s="306">
        <f>+IF($H102=I$2,VLOOKUP($G102,Depreciation!$A$14:$L$18,7,FALSE)/2,IF($H102&lt;I$2,VLOOKUP($G102,Depreciation!$A$14:$L$18,7,FALSE),0))</f>
        <v>0</v>
      </c>
      <c r="J102" s="306">
        <f>+IF($H102=J$2,VLOOKUP($G102,Depreciation!$A$14:$L$18,8,FALSE)/2,IF($H102&lt;J$2,VLOOKUP($G102,Depreciation!$A$14:$L$18,8,FALSE),0))</f>
        <v>0</v>
      </c>
      <c r="K102" s="306">
        <f>+IF($H102=K$2,VLOOKUP($G102,Depreciation!$A$14:$L$18,9,FALSE)/2,IF($H102&lt;K$2,VLOOKUP($G102,Depreciation!$A$14:$L$18,9,FALSE),0))</f>
        <v>1.671703928371859E-2</v>
      </c>
      <c r="L102" s="306">
        <f>+IF($H102=L$2,VLOOKUP($G102,Depreciation!$A$14:$L$18,10,FALSE)/2,IF($H102&lt;L$2,VLOOKUP($G102,Depreciation!$A$14:$L$18,10,FALSE),0))</f>
        <v>3.343407856743718E-2</v>
      </c>
      <c r="M102" s="306">
        <f>+IF($H102=M$2,VLOOKUP($G102,Depreciation!$A$14:$L$18,11,FALSE)/2,IF($H102&lt;M$2,VLOOKUP($G102,Depreciation!$A$14:$L$18,11,FALSE),0))</f>
        <v>3.343407856743718E-2</v>
      </c>
      <c r="N102" s="306">
        <f>+IF($H102=N$2,VLOOKUP($G102,Depreciation!$A$14:$L$18,12,FALSE)/2,IF($H102&lt;N$2,VLOOKUP($G102,Depreciation!$A$14:$L$18,12,FALSE),0))</f>
        <v>3.343407856743718E-2</v>
      </c>
      <c r="O102" s="307">
        <f t="shared" si="9"/>
        <v>2304741.2529449137</v>
      </c>
      <c r="P102" s="732">
        <f>'Func Future Subs 2015'!P102</f>
        <v>0</v>
      </c>
      <c r="Q102" s="732">
        <f>'Func Future Subs 2015'!Q102</f>
        <v>0</v>
      </c>
      <c r="R102" s="732">
        <f>'Func Future Subs 2015'!R102</f>
        <v>1</v>
      </c>
      <c r="S102" s="735">
        <f t="shared" si="10"/>
        <v>0</v>
      </c>
      <c r="T102" s="735">
        <f t="shared" si="11"/>
        <v>0</v>
      </c>
      <c r="U102" s="735">
        <f t="shared" si="12"/>
        <v>2304741.2529449137</v>
      </c>
      <c r="V102" s="736">
        <f t="shared" si="13"/>
        <v>0</v>
      </c>
      <c r="W102" s="735">
        <f t="shared" si="14"/>
        <v>0</v>
      </c>
      <c r="X102" s="737">
        <f t="shared" si="15"/>
        <v>2304741.2529449137</v>
      </c>
      <c r="Y102" s="738">
        <f t="shared" si="16"/>
        <v>0</v>
      </c>
    </row>
    <row r="103" spans="1:25">
      <c r="A103" s="754" t="str">
        <f>'Func Future Subs 2015'!A103</f>
        <v>New additions at N.E Lacombe 212S</v>
      </c>
      <c r="B103" s="754">
        <f>'Func Future Subs 2015'!B103</f>
        <v>813</v>
      </c>
      <c r="C103" s="754">
        <f>'Func Future Subs 2015'!C103</f>
        <v>138</v>
      </c>
      <c r="D103" s="754">
        <f>'Func Future Subs 2015'!D103</f>
        <v>25</v>
      </c>
      <c r="E103" s="754" t="str">
        <f>'Func Future Subs 2015'!E103</f>
        <v>212S</v>
      </c>
      <c r="F103" s="754">
        <f>'Func Future Subs 2015'!F103</f>
        <v>3773036.0916385679</v>
      </c>
      <c r="G103" s="754" t="str">
        <f>'Func Future Subs 2015'!G103</f>
        <v>AltaLink</v>
      </c>
      <c r="H103" s="754">
        <f>'Func Future Subs 2015'!H103</f>
        <v>2017</v>
      </c>
      <c r="I103" s="306">
        <f>+IF($H103=I$2,VLOOKUP($G103,Depreciation!$A$14:$L$18,7,FALSE)/2,IF($H103&lt;I$2,VLOOKUP($G103,Depreciation!$A$14:$L$18,7,FALSE),0))</f>
        <v>0</v>
      </c>
      <c r="J103" s="306">
        <f>+IF($H103=J$2,VLOOKUP($G103,Depreciation!$A$14:$L$18,8,FALSE)/2,IF($H103&lt;J$2,VLOOKUP($G103,Depreciation!$A$14:$L$18,8,FALSE),0))</f>
        <v>0</v>
      </c>
      <c r="K103" s="306">
        <f>+IF($H103=K$2,VLOOKUP($G103,Depreciation!$A$14:$L$18,9,FALSE)/2,IF($H103&lt;K$2,VLOOKUP($G103,Depreciation!$A$14:$L$18,9,FALSE),0))</f>
        <v>1.671703928371859E-2</v>
      </c>
      <c r="L103" s="306">
        <f>+IF($H103=L$2,VLOOKUP($G103,Depreciation!$A$14:$L$18,10,FALSE)/2,IF($H103&lt;L$2,VLOOKUP($G103,Depreciation!$A$14:$L$18,10,FALSE),0))</f>
        <v>3.343407856743718E-2</v>
      </c>
      <c r="M103" s="306">
        <f>+IF($H103=M$2,VLOOKUP($G103,Depreciation!$A$14:$L$18,11,FALSE)/2,IF($H103&lt;M$2,VLOOKUP($G103,Depreciation!$A$14:$L$18,11,FALSE),0))</f>
        <v>3.343407856743718E-2</v>
      </c>
      <c r="N103" s="306">
        <f>+IF($H103=N$2,VLOOKUP($G103,Depreciation!$A$14:$L$18,12,FALSE)/2,IF($H103&lt;N$2,VLOOKUP($G103,Depreciation!$A$14:$L$18,12,FALSE),0))</f>
        <v>3.343407856743718E-2</v>
      </c>
      <c r="O103" s="307">
        <f t="shared" si="9"/>
        <v>3350147.3560188995</v>
      </c>
      <c r="P103" s="732">
        <f>'Func Future Subs 2015'!P103</f>
        <v>0</v>
      </c>
      <c r="Q103" s="732">
        <f>'Func Future Subs 2015'!Q103</f>
        <v>1</v>
      </c>
      <c r="R103" s="732">
        <f>'Func Future Subs 2015'!R103</f>
        <v>0</v>
      </c>
      <c r="S103" s="735">
        <f t="shared" si="10"/>
        <v>0</v>
      </c>
      <c r="T103" s="735">
        <f t="shared" si="11"/>
        <v>3350147.3560188995</v>
      </c>
      <c r="U103" s="735">
        <f t="shared" si="12"/>
        <v>0</v>
      </c>
      <c r="V103" s="736">
        <f t="shared" si="13"/>
        <v>0</v>
      </c>
      <c r="W103" s="735">
        <f t="shared" si="14"/>
        <v>0</v>
      </c>
      <c r="X103" s="737">
        <f t="shared" si="15"/>
        <v>0</v>
      </c>
      <c r="Y103" s="738">
        <f t="shared" si="16"/>
        <v>3350147.3560188995</v>
      </c>
    </row>
    <row r="104" spans="1:25">
      <c r="A104" s="754" t="str">
        <f>'Func Future Subs 2015'!A104</f>
        <v>New Additions at North Red Deer 217S</v>
      </c>
      <c r="B104" s="754">
        <f>'Func Future Subs 2015'!B104</f>
        <v>813</v>
      </c>
      <c r="C104" s="754">
        <f>'Func Future Subs 2015'!C104</f>
        <v>138</v>
      </c>
      <c r="D104" s="754">
        <f>'Func Future Subs 2015'!D104</f>
        <v>25</v>
      </c>
      <c r="E104" s="754" t="str">
        <f>'Func Future Subs 2015'!E104</f>
        <v>217S</v>
      </c>
      <c r="F104" s="754">
        <f>'Func Future Subs 2015'!F104</f>
        <v>1453039.2523468195</v>
      </c>
      <c r="G104" s="754" t="str">
        <f>'Func Future Subs 2015'!G104</f>
        <v>AltaLink</v>
      </c>
      <c r="H104" s="754">
        <f>'Func Future Subs 2015'!H104</f>
        <v>2017</v>
      </c>
      <c r="I104" s="306">
        <f>+IF($H104=I$2,VLOOKUP($G104,Depreciation!$A$14:$L$18,7,FALSE)/2,IF($H104&lt;I$2,VLOOKUP($G104,Depreciation!$A$14:$L$18,7,FALSE),0))</f>
        <v>0</v>
      </c>
      <c r="J104" s="306">
        <f>+IF($H104=J$2,VLOOKUP($G104,Depreciation!$A$14:$L$18,8,FALSE)/2,IF($H104&lt;J$2,VLOOKUP($G104,Depreciation!$A$14:$L$18,8,FALSE),0))</f>
        <v>0</v>
      </c>
      <c r="K104" s="306">
        <f>+IF($H104=K$2,VLOOKUP($G104,Depreciation!$A$14:$L$18,9,FALSE)/2,IF($H104&lt;K$2,VLOOKUP($G104,Depreciation!$A$14:$L$18,9,FALSE),0))</f>
        <v>1.671703928371859E-2</v>
      </c>
      <c r="L104" s="306">
        <f>+IF($H104=L$2,VLOOKUP($G104,Depreciation!$A$14:$L$18,10,FALSE)/2,IF($H104&lt;L$2,VLOOKUP($G104,Depreciation!$A$14:$L$18,10,FALSE),0))</f>
        <v>3.343407856743718E-2</v>
      </c>
      <c r="M104" s="306">
        <f>+IF($H104=M$2,VLOOKUP($G104,Depreciation!$A$14:$L$18,11,FALSE)/2,IF($H104&lt;M$2,VLOOKUP($G104,Depreciation!$A$14:$L$18,11,FALSE),0))</f>
        <v>3.343407856743718E-2</v>
      </c>
      <c r="N104" s="306">
        <f>+IF($H104=N$2,VLOOKUP($G104,Depreciation!$A$14:$L$18,12,FALSE)/2,IF($H104&lt;N$2,VLOOKUP($G104,Depreciation!$A$14:$L$18,12,FALSE),0))</f>
        <v>3.343407856743718E-2</v>
      </c>
      <c r="O104" s="307">
        <f t="shared" si="9"/>
        <v>1290179.9747500767</v>
      </c>
      <c r="P104" s="732">
        <f>'Func Future Subs 2015'!P104</f>
        <v>0</v>
      </c>
      <c r="Q104" s="732">
        <f>'Func Future Subs 2015'!Q104</f>
        <v>1</v>
      </c>
      <c r="R104" s="732">
        <f>'Func Future Subs 2015'!R104</f>
        <v>0</v>
      </c>
      <c r="S104" s="735">
        <f t="shared" si="10"/>
        <v>0</v>
      </c>
      <c r="T104" s="735">
        <f t="shared" si="11"/>
        <v>1290179.9747500767</v>
      </c>
      <c r="U104" s="735">
        <f t="shared" si="12"/>
        <v>0</v>
      </c>
      <c r="V104" s="736">
        <f t="shared" si="13"/>
        <v>0</v>
      </c>
      <c r="W104" s="735">
        <f t="shared" si="14"/>
        <v>0</v>
      </c>
      <c r="X104" s="737">
        <f t="shared" si="15"/>
        <v>0</v>
      </c>
      <c r="Y104" s="738">
        <f t="shared" si="16"/>
        <v>1290179.9747500767</v>
      </c>
    </row>
    <row r="105" spans="1:25">
      <c r="A105" s="754" t="str">
        <f>'Func Future Subs 2015'!A105</f>
        <v>New Additions at North Red Deer 217S (dev10)</v>
      </c>
      <c r="B105" s="754">
        <f>'Func Future Subs 2015'!B105</f>
        <v>813</v>
      </c>
      <c r="C105" s="754">
        <f>'Func Future Subs 2015'!C105</f>
        <v>138</v>
      </c>
      <c r="D105" s="754">
        <f>'Func Future Subs 2015'!D105</f>
        <v>25</v>
      </c>
      <c r="E105" s="754" t="str">
        <f>'Func Future Subs 2015'!E105</f>
        <v>217S</v>
      </c>
      <c r="F105" s="754">
        <f>'Func Future Subs 2015'!F105</f>
        <v>1479296.8070426565</v>
      </c>
      <c r="G105" s="754" t="str">
        <f>'Func Future Subs 2015'!G105</f>
        <v>AltaLink</v>
      </c>
      <c r="H105" s="754">
        <f>'Func Future Subs 2015'!H105</f>
        <v>2017</v>
      </c>
      <c r="I105" s="306">
        <f>+IF($H105=I$2,VLOOKUP($G105,Depreciation!$A$14:$L$18,7,FALSE)/2,IF($H105&lt;I$2,VLOOKUP($G105,Depreciation!$A$14:$L$18,7,FALSE),0))</f>
        <v>0</v>
      </c>
      <c r="J105" s="306">
        <f>+IF($H105=J$2,VLOOKUP($G105,Depreciation!$A$14:$L$18,8,FALSE)/2,IF($H105&lt;J$2,VLOOKUP($G105,Depreciation!$A$14:$L$18,8,FALSE),0))</f>
        <v>0</v>
      </c>
      <c r="K105" s="306">
        <f>+IF($H105=K$2,VLOOKUP($G105,Depreciation!$A$14:$L$18,9,FALSE)/2,IF($H105&lt;K$2,VLOOKUP($G105,Depreciation!$A$14:$L$18,9,FALSE),0))</f>
        <v>1.671703928371859E-2</v>
      </c>
      <c r="L105" s="306">
        <f>+IF($H105=L$2,VLOOKUP($G105,Depreciation!$A$14:$L$18,10,FALSE)/2,IF($H105&lt;L$2,VLOOKUP($G105,Depreciation!$A$14:$L$18,10,FALSE),0))</f>
        <v>3.343407856743718E-2</v>
      </c>
      <c r="M105" s="306">
        <f>+IF($H105=M$2,VLOOKUP($G105,Depreciation!$A$14:$L$18,11,FALSE)/2,IF($H105&lt;M$2,VLOOKUP($G105,Depreciation!$A$14:$L$18,11,FALSE),0))</f>
        <v>3.343407856743718E-2</v>
      </c>
      <c r="N105" s="306">
        <f>+IF($H105=N$2,VLOOKUP($G105,Depreciation!$A$14:$L$18,12,FALSE)/2,IF($H105&lt;N$2,VLOOKUP($G105,Depreciation!$A$14:$L$18,12,FALSE),0))</f>
        <v>3.343407856743718E-2</v>
      </c>
      <c r="O105" s="307">
        <f t="shared" si="9"/>
        <v>1313494.5350413825</v>
      </c>
      <c r="P105" s="732">
        <f>'Func Future Subs 2015'!P105</f>
        <v>0</v>
      </c>
      <c r="Q105" s="732">
        <f>'Func Future Subs 2015'!Q105</f>
        <v>1</v>
      </c>
      <c r="R105" s="732">
        <f>'Func Future Subs 2015'!R105</f>
        <v>0</v>
      </c>
      <c r="S105" s="735">
        <f t="shared" si="10"/>
        <v>0</v>
      </c>
      <c r="T105" s="735">
        <f t="shared" si="11"/>
        <v>1313494.5350413825</v>
      </c>
      <c r="U105" s="735">
        <f t="shared" si="12"/>
        <v>0</v>
      </c>
      <c r="V105" s="736">
        <f t="shared" si="13"/>
        <v>0</v>
      </c>
      <c r="W105" s="735">
        <f t="shared" si="14"/>
        <v>0</v>
      </c>
      <c r="X105" s="737">
        <f t="shared" si="15"/>
        <v>0</v>
      </c>
      <c r="Y105" s="738">
        <f t="shared" si="16"/>
        <v>1313494.5350413825</v>
      </c>
    </row>
    <row r="106" spans="1:25">
      <c r="A106" s="754" t="str">
        <f>'Func Future Subs 2015'!A106</f>
        <v>North Red Deer 217S</v>
      </c>
      <c r="B106" s="754">
        <f>'Func Future Subs 2015'!B106</f>
        <v>813</v>
      </c>
      <c r="C106" s="754">
        <f>'Func Future Subs 2015'!C106</f>
        <v>138</v>
      </c>
      <c r="D106" s="754">
        <f>'Func Future Subs 2015'!D106</f>
        <v>25</v>
      </c>
      <c r="E106" s="754" t="str">
        <f>'Func Future Subs 2015'!E106</f>
        <v>217S</v>
      </c>
      <c r="F106" s="754">
        <f>'Func Future Subs 2015'!F106</f>
        <v>187594.25782528098</v>
      </c>
      <c r="G106" s="754" t="str">
        <f>'Func Future Subs 2015'!G106</f>
        <v>AltaLink</v>
      </c>
      <c r="H106" s="754">
        <f>'Func Future Subs 2015'!H106</f>
        <v>2017</v>
      </c>
      <c r="I106" s="306">
        <f>+IF($H106=I$2,VLOOKUP($G106,Depreciation!$A$14:$L$18,7,FALSE)/2,IF($H106&lt;I$2,VLOOKUP($G106,Depreciation!$A$14:$L$18,7,FALSE),0))</f>
        <v>0</v>
      </c>
      <c r="J106" s="306">
        <f>+IF($H106=J$2,VLOOKUP($G106,Depreciation!$A$14:$L$18,8,FALSE)/2,IF($H106&lt;J$2,VLOOKUP($G106,Depreciation!$A$14:$L$18,8,FALSE),0))</f>
        <v>0</v>
      </c>
      <c r="K106" s="306">
        <f>+IF($H106=K$2,VLOOKUP($G106,Depreciation!$A$14:$L$18,9,FALSE)/2,IF($H106&lt;K$2,VLOOKUP($G106,Depreciation!$A$14:$L$18,9,FALSE),0))</f>
        <v>1.671703928371859E-2</v>
      </c>
      <c r="L106" s="306">
        <f>+IF($H106=L$2,VLOOKUP($G106,Depreciation!$A$14:$L$18,10,FALSE)/2,IF($H106&lt;L$2,VLOOKUP($G106,Depreciation!$A$14:$L$18,10,FALSE),0))</f>
        <v>3.343407856743718E-2</v>
      </c>
      <c r="M106" s="306">
        <f>+IF($H106=M$2,VLOOKUP($G106,Depreciation!$A$14:$L$18,11,FALSE)/2,IF($H106&lt;M$2,VLOOKUP($G106,Depreciation!$A$14:$L$18,11,FALSE),0))</f>
        <v>3.343407856743718E-2</v>
      </c>
      <c r="N106" s="306">
        <f>+IF($H106=N$2,VLOOKUP($G106,Depreciation!$A$14:$L$18,12,FALSE)/2,IF($H106&lt;N$2,VLOOKUP($G106,Depreciation!$A$14:$L$18,12,FALSE),0))</f>
        <v>3.343407856743718E-2</v>
      </c>
      <c r="O106" s="307">
        <f t="shared" si="9"/>
        <v>166568.35280490504</v>
      </c>
      <c r="P106" s="732">
        <f>'Func Future Subs 2015'!P106</f>
        <v>0</v>
      </c>
      <c r="Q106" s="732">
        <f>'Func Future Subs 2015'!Q106</f>
        <v>1</v>
      </c>
      <c r="R106" s="732">
        <f>'Func Future Subs 2015'!R106</f>
        <v>0</v>
      </c>
      <c r="S106" s="735">
        <f t="shared" si="10"/>
        <v>0</v>
      </c>
      <c r="T106" s="735">
        <f t="shared" si="11"/>
        <v>166568.35280490504</v>
      </c>
      <c r="U106" s="735">
        <f t="shared" si="12"/>
        <v>0</v>
      </c>
      <c r="V106" s="736">
        <f t="shared" si="13"/>
        <v>0</v>
      </c>
      <c r="W106" s="735">
        <f t="shared" si="14"/>
        <v>0</v>
      </c>
      <c r="X106" s="737">
        <f t="shared" si="15"/>
        <v>0</v>
      </c>
      <c r="Y106" s="738">
        <f t="shared" si="16"/>
        <v>166568.35280490504</v>
      </c>
    </row>
    <row r="107" spans="1:25">
      <c r="A107" s="754" t="str">
        <f>'Func Future Subs 2015'!A107</f>
        <v>Olds 55S (GD Hazel)</v>
      </c>
      <c r="B107" s="754">
        <f>'Func Future Subs 2015'!B107</f>
        <v>813</v>
      </c>
      <c r="C107" s="754">
        <f>'Func Future Subs 2015'!C107</f>
        <v>138</v>
      </c>
      <c r="D107" s="754">
        <f>'Func Future Subs 2015'!D107</f>
        <v>25</v>
      </c>
      <c r="E107" s="754" t="str">
        <f>'Func Future Subs 2015'!E107</f>
        <v>55S</v>
      </c>
      <c r="F107" s="754">
        <f>'Func Future Subs 2015'!F107</f>
        <v>98109.968832414306</v>
      </c>
      <c r="G107" s="754" t="str">
        <f>'Func Future Subs 2015'!G107</f>
        <v>AltaLink</v>
      </c>
      <c r="H107" s="754">
        <f>'Func Future Subs 2015'!H107</f>
        <v>2017</v>
      </c>
      <c r="I107" s="306">
        <f>+IF($H107=I$2,VLOOKUP($G107,Depreciation!$A$14:$L$18,7,FALSE)/2,IF($H107&lt;I$2,VLOOKUP($G107,Depreciation!$A$14:$L$18,7,FALSE),0))</f>
        <v>0</v>
      </c>
      <c r="J107" s="306">
        <f>+IF($H107=J$2,VLOOKUP($G107,Depreciation!$A$14:$L$18,8,FALSE)/2,IF($H107&lt;J$2,VLOOKUP($G107,Depreciation!$A$14:$L$18,8,FALSE),0))</f>
        <v>0</v>
      </c>
      <c r="K107" s="306">
        <f>+IF($H107=K$2,VLOOKUP($G107,Depreciation!$A$14:$L$18,9,FALSE)/2,IF($H107&lt;K$2,VLOOKUP($G107,Depreciation!$A$14:$L$18,9,FALSE),0))</f>
        <v>1.671703928371859E-2</v>
      </c>
      <c r="L107" s="306">
        <f>+IF($H107=L$2,VLOOKUP($G107,Depreciation!$A$14:$L$18,10,FALSE)/2,IF($H107&lt;L$2,VLOOKUP($G107,Depreciation!$A$14:$L$18,10,FALSE),0))</f>
        <v>3.343407856743718E-2</v>
      </c>
      <c r="M107" s="306">
        <f>+IF($H107=M$2,VLOOKUP($G107,Depreciation!$A$14:$L$18,11,FALSE)/2,IF($H107&lt;M$2,VLOOKUP($G107,Depreciation!$A$14:$L$18,11,FALSE),0))</f>
        <v>3.343407856743718E-2</v>
      </c>
      <c r="N107" s="306">
        <f>+IF($H107=N$2,VLOOKUP($G107,Depreciation!$A$14:$L$18,12,FALSE)/2,IF($H107&lt;N$2,VLOOKUP($G107,Depreciation!$A$14:$L$18,12,FALSE),0))</f>
        <v>3.343407856743718E-2</v>
      </c>
      <c r="O107" s="307">
        <f t="shared" si="9"/>
        <v>87113.625393460752</v>
      </c>
      <c r="P107" s="732">
        <f>'Func Future Subs 2015'!P107</f>
        <v>0</v>
      </c>
      <c r="Q107" s="732">
        <f>'Func Future Subs 2015'!Q107</f>
        <v>1</v>
      </c>
      <c r="R107" s="732">
        <f>'Func Future Subs 2015'!R107</f>
        <v>0</v>
      </c>
      <c r="S107" s="735">
        <f t="shared" si="10"/>
        <v>0</v>
      </c>
      <c r="T107" s="735">
        <f t="shared" si="11"/>
        <v>87113.625393460752</v>
      </c>
      <c r="U107" s="735">
        <f t="shared" si="12"/>
        <v>0</v>
      </c>
      <c r="V107" s="736">
        <f t="shared" si="13"/>
        <v>0</v>
      </c>
      <c r="W107" s="735">
        <f t="shared" si="14"/>
        <v>0</v>
      </c>
      <c r="X107" s="737">
        <f t="shared" si="15"/>
        <v>0</v>
      </c>
      <c r="Y107" s="738">
        <f t="shared" si="16"/>
        <v>87113.625393460752</v>
      </c>
    </row>
    <row r="108" spans="1:25">
      <c r="A108" s="754" t="str">
        <f>'Func Future Subs 2015'!A108</f>
        <v>Olds 55S (GD Johnson)</v>
      </c>
      <c r="B108" s="754">
        <f>'Func Future Subs 2015'!B108</f>
        <v>813</v>
      </c>
      <c r="C108" s="754">
        <f>'Func Future Subs 2015'!C108</f>
        <v>240</v>
      </c>
      <c r="D108" s="754">
        <f>'Func Future Subs 2015'!D108</f>
        <v>25</v>
      </c>
      <c r="E108" s="754" t="str">
        <f>'Func Future Subs 2015'!E108</f>
        <v>55S</v>
      </c>
      <c r="F108" s="754">
        <f>'Func Future Subs 2015'!F108</f>
        <v>390718.64780628151</v>
      </c>
      <c r="G108" s="754" t="str">
        <f>'Func Future Subs 2015'!G108</f>
        <v>AltaLink</v>
      </c>
      <c r="H108" s="754">
        <f>'Func Future Subs 2015'!H108</f>
        <v>2017</v>
      </c>
      <c r="I108" s="306">
        <f>+IF($H108=I$2,VLOOKUP($G108,Depreciation!$A$14:$L$18,7,FALSE)/2,IF($H108&lt;I$2,VLOOKUP($G108,Depreciation!$A$14:$L$18,7,FALSE),0))</f>
        <v>0</v>
      </c>
      <c r="J108" s="306">
        <f>+IF($H108=J$2,VLOOKUP($G108,Depreciation!$A$14:$L$18,8,FALSE)/2,IF($H108&lt;J$2,VLOOKUP($G108,Depreciation!$A$14:$L$18,8,FALSE),0))</f>
        <v>0</v>
      </c>
      <c r="K108" s="306">
        <f>+IF($H108=K$2,VLOOKUP($G108,Depreciation!$A$14:$L$18,9,FALSE)/2,IF($H108&lt;K$2,VLOOKUP($G108,Depreciation!$A$14:$L$18,9,FALSE),0))</f>
        <v>1.671703928371859E-2</v>
      </c>
      <c r="L108" s="306">
        <f>+IF($H108=L$2,VLOOKUP($G108,Depreciation!$A$14:$L$18,10,FALSE)/2,IF($H108&lt;L$2,VLOOKUP($G108,Depreciation!$A$14:$L$18,10,FALSE),0))</f>
        <v>3.343407856743718E-2</v>
      </c>
      <c r="M108" s="306">
        <f>+IF($H108=M$2,VLOOKUP($G108,Depreciation!$A$14:$L$18,11,FALSE)/2,IF($H108&lt;M$2,VLOOKUP($G108,Depreciation!$A$14:$L$18,11,FALSE),0))</f>
        <v>3.343407856743718E-2</v>
      </c>
      <c r="N108" s="306">
        <f>+IF($H108=N$2,VLOOKUP($G108,Depreciation!$A$14:$L$18,12,FALSE)/2,IF($H108&lt;N$2,VLOOKUP($G108,Depreciation!$A$14:$L$18,12,FALSE),0))</f>
        <v>3.343407856743718E-2</v>
      </c>
      <c r="O108" s="307">
        <f t="shared" si="9"/>
        <v>346926.19235641387</v>
      </c>
      <c r="P108" s="732">
        <f>'Func Future Subs 2015'!P108</f>
        <v>0</v>
      </c>
      <c r="Q108" s="732">
        <f>'Func Future Subs 2015'!Q108</f>
        <v>1</v>
      </c>
      <c r="R108" s="732">
        <f>'Func Future Subs 2015'!R108</f>
        <v>0</v>
      </c>
      <c r="S108" s="735">
        <f t="shared" si="10"/>
        <v>0</v>
      </c>
      <c r="T108" s="735">
        <f t="shared" si="11"/>
        <v>346926.19235641387</v>
      </c>
      <c r="U108" s="735">
        <f t="shared" si="12"/>
        <v>0</v>
      </c>
      <c r="V108" s="736">
        <f t="shared" si="13"/>
        <v>0</v>
      </c>
      <c r="W108" s="735">
        <f t="shared" si="14"/>
        <v>0</v>
      </c>
      <c r="X108" s="737">
        <f t="shared" si="15"/>
        <v>0</v>
      </c>
      <c r="Y108" s="738">
        <f t="shared" si="16"/>
        <v>346926.19235641387</v>
      </c>
    </row>
    <row r="109" spans="1:25">
      <c r="A109" s="754" t="str">
        <f>'Func Future Subs 2015'!A109</f>
        <v>Piper Creek 247S</v>
      </c>
      <c r="B109" s="754">
        <f>'Func Future Subs 2015'!B109</f>
        <v>813</v>
      </c>
      <c r="C109" s="754">
        <f>'Func Future Subs 2015'!C109</f>
        <v>138</v>
      </c>
      <c r="D109" s="754">
        <f>'Func Future Subs 2015'!D109</f>
        <v>138</v>
      </c>
      <c r="E109" s="754" t="str">
        <f>'Func Future Subs 2015'!E109</f>
        <v>247S</v>
      </c>
      <c r="F109" s="754">
        <f>'Func Future Subs 2015'!F109</f>
        <v>1998667.7936525263</v>
      </c>
      <c r="G109" s="754" t="str">
        <f>'Func Future Subs 2015'!G109</f>
        <v>AltaLink</v>
      </c>
      <c r="H109" s="754">
        <f>'Func Future Subs 2015'!H109</f>
        <v>2017</v>
      </c>
      <c r="I109" s="306">
        <f>+IF($H109=I$2,VLOOKUP($G109,Depreciation!$A$14:$L$18,7,FALSE)/2,IF($H109&lt;I$2,VLOOKUP($G109,Depreciation!$A$14:$L$18,7,FALSE),0))</f>
        <v>0</v>
      </c>
      <c r="J109" s="306">
        <f>+IF($H109=J$2,VLOOKUP($G109,Depreciation!$A$14:$L$18,8,FALSE)/2,IF($H109&lt;J$2,VLOOKUP($G109,Depreciation!$A$14:$L$18,8,FALSE),0))</f>
        <v>0</v>
      </c>
      <c r="K109" s="306">
        <f>+IF($H109=K$2,VLOOKUP($G109,Depreciation!$A$14:$L$18,9,FALSE)/2,IF($H109&lt;K$2,VLOOKUP($G109,Depreciation!$A$14:$L$18,9,FALSE),0))</f>
        <v>1.671703928371859E-2</v>
      </c>
      <c r="L109" s="306">
        <f>+IF($H109=L$2,VLOOKUP($G109,Depreciation!$A$14:$L$18,10,FALSE)/2,IF($H109&lt;L$2,VLOOKUP($G109,Depreciation!$A$14:$L$18,10,FALSE),0))</f>
        <v>3.343407856743718E-2</v>
      </c>
      <c r="M109" s="306">
        <f>+IF($H109=M$2,VLOOKUP($G109,Depreciation!$A$14:$L$18,11,FALSE)/2,IF($H109&lt;M$2,VLOOKUP($G109,Depreciation!$A$14:$L$18,11,FALSE),0))</f>
        <v>3.343407856743718E-2</v>
      </c>
      <c r="N109" s="306">
        <f>+IF($H109=N$2,VLOOKUP($G109,Depreciation!$A$14:$L$18,12,FALSE)/2,IF($H109&lt;N$2,VLOOKUP($G109,Depreciation!$A$14:$L$18,12,FALSE),0))</f>
        <v>3.343407856743718E-2</v>
      </c>
      <c r="O109" s="307">
        <f t="shared" si="9"/>
        <v>1774653.4784821654</v>
      </c>
      <c r="P109" s="732">
        <f>'Func Future Subs 2015'!P109</f>
        <v>0</v>
      </c>
      <c r="Q109" s="732">
        <f>'Func Future Subs 2015'!Q109</f>
        <v>0</v>
      </c>
      <c r="R109" s="732">
        <f>'Func Future Subs 2015'!R109</f>
        <v>1</v>
      </c>
      <c r="S109" s="735">
        <f t="shared" si="10"/>
        <v>0</v>
      </c>
      <c r="T109" s="735">
        <f t="shared" si="11"/>
        <v>0</v>
      </c>
      <c r="U109" s="735">
        <f t="shared" si="12"/>
        <v>1774653.4784821654</v>
      </c>
      <c r="V109" s="736">
        <f t="shared" si="13"/>
        <v>0</v>
      </c>
      <c r="W109" s="735">
        <f t="shared" si="14"/>
        <v>0</v>
      </c>
      <c r="X109" s="737">
        <f t="shared" si="15"/>
        <v>1774653.4784821654</v>
      </c>
      <c r="Y109" s="738">
        <f t="shared" si="16"/>
        <v>0</v>
      </c>
    </row>
    <row r="110" spans="1:25">
      <c r="A110" s="754" t="str">
        <f>'Func Future Subs 2015'!A110</f>
        <v>Ponoka 331S</v>
      </c>
      <c r="B110" s="754">
        <f>'Func Future Subs 2015'!B110</f>
        <v>813</v>
      </c>
      <c r="C110" s="754">
        <f>'Func Future Subs 2015'!C110</f>
        <v>138</v>
      </c>
      <c r="D110" s="754">
        <f>'Func Future Subs 2015'!D110</f>
        <v>25</v>
      </c>
      <c r="E110" s="754" t="str">
        <f>'Func Future Subs 2015'!E110</f>
        <v>331S</v>
      </c>
      <c r="F110" s="754">
        <f>'Func Future Subs 2015'!F110</f>
        <v>3179107.2356748986</v>
      </c>
      <c r="G110" s="754" t="str">
        <f>'Func Future Subs 2015'!G110</f>
        <v>AltaLink</v>
      </c>
      <c r="H110" s="754">
        <f>'Func Future Subs 2015'!H110</f>
        <v>2017</v>
      </c>
      <c r="I110" s="306">
        <f>+IF($H110=I$2,VLOOKUP($G110,Depreciation!$A$14:$L$18,7,FALSE)/2,IF($H110&lt;I$2,VLOOKUP($G110,Depreciation!$A$14:$L$18,7,FALSE),0))</f>
        <v>0</v>
      </c>
      <c r="J110" s="306">
        <f>+IF($H110=J$2,VLOOKUP($G110,Depreciation!$A$14:$L$18,8,FALSE)/2,IF($H110&lt;J$2,VLOOKUP($G110,Depreciation!$A$14:$L$18,8,FALSE),0))</f>
        <v>0</v>
      </c>
      <c r="K110" s="306">
        <f>+IF($H110=K$2,VLOOKUP($G110,Depreciation!$A$14:$L$18,9,FALSE)/2,IF($H110&lt;K$2,VLOOKUP($G110,Depreciation!$A$14:$L$18,9,FALSE),0))</f>
        <v>1.671703928371859E-2</v>
      </c>
      <c r="L110" s="306">
        <f>+IF($H110=L$2,VLOOKUP($G110,Depreciation!$A$14:$L$18,10,FALSE)/2,IF($H110&lt;L$2,VLOOKUP($G110,Depreciation!$A$14:$L$18,10,FALSE),0))</f>
        <v>3.343407856743718E-2</v>
      </c>
      <c r="M110" s="306">
        <f>+IF($H110=M$2,VLOOKUP($G110,Depreciation!$A$14:$L$18,11,FALSE)/2,IF($H110&lt;M$2,VLOOKUP($G110,Depreciation!$A$14:$L$18,11,FALSE),0))</f>
        <v>3.343407856743718E-2</v>
      </c>
      <c r="N110" s="306">
        <f>+IF($H110=N$2,VLOOKUP($G110,Depreciation!$A$14:$L$18,12,FALSE)/2,IF($H110&lt;N$2,VLOOKUP($G110,Depreciation!$A$14:$L$18,12,FALSE),0))</f>
        <v>3.343407856743718E-2</v>
      </c>
      <c r="O110" s="307">
        <f t="shared" si="9"/>
        <v>2822787.1245916141</v>
      </c>
      <c r="P110" s="732">
        <f>'Func Future Subs 2015'!P110</f>
        <v>0</v>
      </c>
      <c r="Q110" s="732">
        <f>'Func Future Subs 2015'!Q110</f>
        <v>1</v>
      </c>
      <c r="R110" s="732">
        <f>'Func Future Subs 2015'!R110</f>
        <v>0</v>
      </c>
      <c r="S110" s="735">
        <f t="shared" si="10"/>
        <v>0</v>
      </c>
      <c r="T110" s="735">
        <f t="shared" si="11"/>
        <v>2822787.1245916141</v>
      </c>
      <c r="U110" s="735">
        <f t="shared" si="12"/>
        <v>0</v>
      </c>
      <c r="V110" s="736">
        <f t="shared" si="13"/>
        <v>0</v>
      </c>
      <c r="W110" s="735">
        <f t="shared" si="14"/>
        <v>0</v>
      </c>
      <c r="X110" s="737">
        <f t="shared" si="15"/>
        <v>0</v>
      </c>
      <c r="Y110" s="738">
        <f t="shared" si="16"/>
        <v>2822787.1245916141</v>
      </c>
    </row>
    <row r="111" spans="1:25">
      <c r="A111" s="754" t="str">
        <f>'Func Future Subs 2015'!A111</f>
        <v>Prentiss 276S</v>
      </c>
      <c r="B111" s="754">
        <f>'Func Future Subs 2015'!B111</f>
        <v>813</v>
      </c>
      <c r="C111" s="754">
        <f>'Func Future Subs 2015'!C111</f>
        <v>138</v>
      </c>
      <c r="D111" s="754">
        <f>'Func Future Subs 2015'!D111</f>
        <v>25</v>
      </c>
      <c r="E111" s="754" t="str">
        <f>'Func Future Subs 2015'!E111</f>
        <v>276S</v>
      </c>
      <c r="F111" s="754">
        <f>'Func Future Subs 2015'!F111</f>
        <v>4288175.2445767764</v>
      </c>
      <c r="G111" s="754" t="str">
        <f>'Func Future Subs 2015'!G111</f>
        <v>AltaLink</v>
      </c>
      <c r="H111" s="754">
        <f>'Func Future Subs 2015'!H111</f>
        <v>2017</v>
      </c>
      <c r="I111" s="306">
        <f>+IF($H111=I$2,VLOOKUP($G111,Depreciation!$A$14:$L$18,7,FALSE)/2,IF($H111&lt;I$2,VLOOKUP($G111,Depreciation!$A$14:$L$18,7,FALSE),0))</f>
        <v>0</v>
      </c>
      <c r="J111" s="306">
        <f>+IF($H111=J$2,VLOOKUP($G111,Depreciation!$A$14:$L$18,8,FALSE)/2,IF($H111&lt;J$2,VLOOKUP($G111,Depreciation!$A$14:$L$18,8,FALSE),0))</f>
        <v>0</v>
      </c>
      <c r="K111" s="306">
        <f>+IF($H111=K$2,VLOOKUP($G111,Depreciation!$A$14:$L$18,9,FALSE)/2,IF($H111&lt;K$2,VLOOKUP($G111,Depreciation!$A$14:$L$18,9,FALSE),0))</f>
        <v>1.671703928371859E-2</v>
      </c>
      <c r="L111" s="306">
        <f>+IF($H111=L$2,VLOOKUP($G111,Depreciation!$A$14:$L$18,10,FALSE)/2,IF($H111&lt;L$2,VLOOKUP($G111,Depreciation!$A$14:$L$18,10,FALSE),0))</f>
        <v>3.343407856743718E-2</v>
      </c>
      <c r="M111" s="306">
        <f>+IF($H111=M$2,VLOOKUP($G111,Depreciation!$A$14:$L$18,11,FALSE)/2,IF($H111&lt;M$2,VLOOKUP($G111,Depreciation!$A$14:$L$18,11,FALSE),0))</f>
        <v>3.343407856743718E-2</v>
      </c>
      <c r="N111" s="306">
        <f>+IF($H111=N$2,VLOOKUP($G111,Depreciation!$A$14:$L$18,12,FALSE)/2,IF($H111&lt;N$2,VLOOKUP($G111,Depreciation!$A$14:$L$18,12,FALSE),0))</f>
        <v>3.343407856743718E-2</v>
      </c>
      <c r="O111" s="307">
        <f t="shared" si="9"/>
        <v>3807548.7773894207</v>
      </c>
      <c r="P111" s="732">
        <f>'Func Future Subs 2015'!P111</f>
        <v>0</v>
      </c>
      <c r="Q111" s="732">
        <f>'Func Future Subs 2015'!Q111</f>
        <v>0</v>
      </c>
      <c r="R111" s="732">
        <f>'Func Future Subs 2015'!R111</f>
        <v>1</v>
      </c>
      <c r="S111" s="735">
        <f t="shared" si="10"/>
        <v>0</v>
      </c>
      <c r="T111" s="735">
        <f t="shared" si="11"/>
        <v>0</v>
      </c>
      <c r="U111" s="735">
        <f t="shared" si="12"/>
        <v>3807548.7773894207</v>
      </c>
      <c r="V111" s="736">
        <f t="shared" si="13"/>
        <v>0</v>
      </c>
      <c r="W111" s="735">
        <f t="shared" si="14"/>
        <v>0</v>
      </c>
      <c r="X111" s="737">
        <f t="shared" si="15"/>
        <v>0</v>
      </c>
      <c r="Y111" s="738">
        <f t="shared" si="16"/>
        <v>3807548.7773894207</v>
      </c>
    </row>
    <row r="112" spans="1:25">
      <c r="A112" s="754" t="str">
        <f>'Func Future Subs 2015'!A112</f>
        <v>RAS in 256S_(v2)</v>
      </c>
      <c r="B112" s="754">
        <f>'Func Future Subs 2015'!B112</f>
        <v>813</v>
      </c>
      <c r="C112" s="754">
        <f>'Func Future Subs 2015'!C112</f>
        <v>138</v>
      </c>
      <c r="D112" s="754">
        <f>'Func Future Subs 2015'!D112</f>
        <v>25</v>
      </c>
      <c r="E112" s="754" t="str">
        <f>'Func Future Subs 2015'!E112</f>
        <v>256S</v>
      </c>
      <c r="F112" s="754">
        <f>'Func Future Subs 2015'!F112</f>
        <v>140996.12247626696</v>
      </c>
      <c r="G112" s="754" t="str">
        <f>'Func Future Subs 2015'!G112</f>
        <v>AltaLink</v>
      </c>
      <c r="H112" s="754">
        <f>'Func Future Subs 2015'!H112</f>
        <v>2017</v>
      </c>
      <c r="I112" s="306">
        <f>+IF($H112=I$2,VLOOKUP($G112,Depreciation!$A$14:$L$18,7,FALSE)/2,IF($H112&lt;I$2,VLOOKUP($G112,Depreciation!$A$14:$L$18,7,FALSE),0))</f>
        <v>0</v>
      </c>
      <c r="J112" s="306">
        <f>+IF($H112=J$2,VLOOKUP($G112,Depreciation!$A$14:$L$18,8,FALSE)/2,IF($H112&lt;J$2,VLOOKUP($G112,Depreciation!$A$14:$L$18,8,FALSE),0))</f>
        <v>0</v>
      </c>
      <c r="K112" s="306">
        <f>+IF($H112=K$2,VLOOKUP($G112,Depreciation!$A$14:$L$18,9,FALSE)/2,IF($H112&lt;K$2,VLOOKUP($G112,Depreciation!$A$14:$L$18,9,FALSE),0))</f>
        <v>1.671703928371859E-2</v>
      </c>
      <c r="L112" s="306">
        <f>+IF($H112=L$2,VLOOKUP($G112,Depreciation!$A$14:$L$18,10,FALSE)/2,IF($H112&lt;L$2,VLOOKUP($G112,Depreciation!$A$14:$L$18,10,FALSE),0))</f>
        <v>3.343407856743718E-2</v>
      </c>
      <c r="M112" s="306">
        <f>+IF($H112=M$2,VLOOKUP($G112,Depreciation!$A$14:$L$18,11,FALSE)/2,IF($H112&lt;M$2,VLOOKUP($G112,Depreciation!$A$14:$L$18,11,FALSE),0))</f>
        <v>3.343407856743718E-2</v>
      </c>
      <c r="N112" s="306">
        <f>+IF($H112=N$2,VLOOKUP($G112,Depreciation!$A$14:$L$18,12,FALSE)/2,IF($H112&lt;N$2,VLOOKUP($G112,Depreciation!$A$14:$L$18,12,FALSE),0))</f>
        <v>3.343407856743718E-2</v>
      </c>
      <c r="O112" s="307">
        <f t="shared" si="9"/>
        <v>125193.02107116749</v>
      </c>
      <c r="P112" s="732">
        <f>'Func Future Subs 2015'!P112</f>
        <v>0.54510993176648981</v>
      </c>
      <c r="Q112" s="732">
        <f>'Func Future Subs 2015'!Q112</f>
        <v>0.45489006823351025</v>
      </c>
      <c r="R112" s="732">
        <f>'Func Future Subs 2015'!R112</f>
        <v>0</v>
      </c>
      <c r="S112" s="735">
        <f t="shared" si="10"/>
        <v>68243.959173744835</v>
      </c>
      <c r="T112" s="735">
        <f t="shared" si="11"/>
        <v>56949.061897422667</v>
      </c>
      <c r="U112" s="735">
        <f t="shared" si="12"/>
        <v>0</v>
      </c>
      <c r="V112" s="736">
        <f t="shared" si="13"/>
        <v>0</v>
      </c>
      <c r="W112" s="735">
        <f t="shared" si="14"/>
        <v>68243.959173744835</v>
      </c>
      <c r="X112" s="737">
        <f t="shared" si="15"/>
        <v>0</v>
      </c>
      <c r="Y112" s="738">
        <f t="shared" si="16"/>
        <v>56949.061897422667</v>
      </c>
    </row>
    <row r="113" spans="1:25">
      <c r="A113" s="754" t="str">
        <f>'Func Future Subs 2015'!A113</f>
        <v>Red Deer 217S</v>
      </c>
      <c r="B113" s="754">
        <f>'Func Future Subs 2015'!B113</f>
        <v>813</v>
      </c>
      <c r="C113" s="754">
        <f>'Func Future Subs 2015'!C113</f>
        <v>138</v>
      </c>
      <c r="D113" s="754">
        <f>'Func Future Subs 2015'!D113</f>
        <v>25</v>
      </c>
      <c r="E113" s="754" t="str">
        <f>'Func Future Subs 2015'!E113</f>
        <v>217S</v>
      </c>
      <c r="F113" s="754">
        <f>'Func Future Subs 2015'!F113</f>
        <v>2898997.8882702999</v>
      </c>
      <c r="G113" s="754" t="str">
        <f>'Func Future Subs 2015'!G113</f>
        <v>AltaLink</v>
      </c>
      <c r="H113" s="754">
        <f>'Func Future Subs 2015'!H113</f>
        <v>2017</v>
      </c>
      <c r="I113" s="306">
        <f>+IF($H113=I$2,VLOOKUP($G113,Depreciation!$A$14:$L$18,7,FALSE)/2,IF($H113&lt;I$2,VLOOKUP($G113,Depreciation!$A$14:$L$18,7,FALSE),0))</f>
        <v>0</v>
      </c>
      <c r="J113" s="306">
        <f>+IF($H113=J$2,VLOOKUP($G113,Depreciation!$A$14:$L$18,8,FALSE)/2,IF($H113&lt;J$2,VLOOKUP($G113,Depreciation!$A$14:$L$18,8,FALSE),0))</f>
        <v>0</v>
      </c>
      <c r="K113" s="306">
        <f>+IF($H113=K$2,VLOOKUP($G113,Depreciation!$A$14:$L$18,9,FALSE)/2,IF($H113&lt;K$2,VLOOKUP($G113,Depreciation!$A$14:$L$18,9,FALSE),0))</f>
        <v>1.671703928371859E-2</v>
      </c>
      <c r="L113" s="306">
        <f>+IF($H113=L$2,VLOOKUP($G113,Depreciation!$A$14:$L$18,10,FALSE)/2,IF($H113&lt;L$2,VLOOKUP($G113,Depreciation!$A$14:$L$18,10,FALSE),0))</f>
        <v>3.343407856743718E-2</v>
      </c>
      <c r="M113" s="306">
        <f>+IF($H113=M$2,VLOOKUP($G113,Depreciation!$A$14:$L$18,11,FALSE)/2,IF($H113&lt;M$2,VLOOKUP($G113,Depreciation!$A$14:$L$18,11,FALSE),0))</f>
        <v>3.343407856743718E-2</v>
      </c>
      <c r="N113" s="306">
        <f>+IF($H113=N$2,VLOOKUP($G113,Depreciation!$A$14:$L$18,12,FALSE)/2,IF($H113&lt;N$2,VLOOKUP($G113,Depreciation!$A$14:$L$18,12,FALSE),0))</f>
        <v>3.343407856743718E-2</v>
      </c>
      <c r="O113" s="307">
        <f t="shared" si="9"/>
        <v>2574072.9414213807</v>
      </c>
      <c r="P113" s="732">
        <f>'Func Future Subs 2015'!P113</f>
        <v>0</v>
      </c>
      <c r="Q113" s="732">
        <f>'Func Future Subs 2015'!Q113</f>
        <v>1</v>
      </c>
      <c r="R113" s="732">
        <f>'Func Future Subs 2015'!R113</f>
        <v>0</v>
      </c>
      <c r="S113" s="735">
        <f t="shared" si="10"/>
        <v>0</v>
      </c>
      <c r="T113" s="735">
        <f t="shared" si="11"/>
        <v>2574072.9414213807</v>
      </c>
      <c r="U113" s="735">
        <f t="shared" si="12"/>
        <v>0</v>
      </c>
      <c r="V113" s="736">
        <f t="shared" si="13"/>
        <v>0</v>
      </c>
      <c r="W113" s="735">
        <f t="shared" si="14"/>
        <v>0</v>
      </c>
      <c r="X113" s="737">
        <f t="shared" si="15"/>
        <v>0</v>
      </c>
      <c r="Y113" s="738">
        <f t="shared" si="16"/>
        <v>2574072.9414213807</v>
      </c>
    </row>
    <row r="114" spans="1:25">
      <c r="A114" s="754" t="str">
        <f>'Func Future Subs 2015'!A114</f>
        <v>Red Deer 63S (648L)</v>
      </c>
      <c r="B114" s="754">
        <f>'Func Future Subs 2015'!B114</f>
        <v>813</v>
      </c>
      <c r="C114" s="754">
        <f>'Func Future Subs 2015'!C114</f>
        <v>138</v>
      </c>
      <c r="D114" s="754">
        <f>'Func Future Subs 2015'!D114</f>
        <v>25</v>
      </c>
      <c r="E114" s="754" t="str">
        <f>'Func Future Subs 2015'!E114</f>
        <v>63S</v>
      </c>
      <c r="F114" s="754">
        <f>'Func Future Subs 2015'!F114</f>
        <v>759143.11811538937</v>
      </c>
      <c r="G114" s="754" t="str">
        <f>'Func Future Subs 2015'!G114</f>
        <v>AltaLink</v>
      </c>
      <c r="H114" s="754">
        <f>'Func Future Subs 2015'!H114</f>
        <v>2017</v>
      </c>
      <c r="I114" s="306">
        <f>+IF($H114=I$2,VLOOKUP($G114,Depreciation!$A$14:$L$18,7,FALSE)/2,IF($H114&lt;I$2,VLOOKUP($G114,Depreciation!$A$14:$L$18,7,FALSE),0))</f>
        <v>0</v>
      </c>
      <c r="J114" s="306">
        <f>+IF($H114=J$2,VLOOKUP($G114,Depreciation!$A$14:$L$18,8,FALSE)/2,IF($H114&lt;J$2,VLOOKUP($G114,Depreciation!$A$14:$L$18,8,FALSE),0))</f>
        <v>0</v>
      </c>
      <c r="K114" s="306">
        <f>+IF($H114=K$2,VLOOKUP($G114,Depreciation!$A$14:$L$18,9,FALSE)/2,IF($H114&lt;K$2,VLOOKUP($G114,Depreciation!$A$14:$L$18,9,FALSE),0))</f>
        <v>1.671703928371859E-2</v>
      </c>
      <c r="L114" s="306">
        <f>+IF($H114=L$2,VLOOKUP($G114,Depreciation!$A$14:$L$18,10,FALSE)/2,IF($H114&lt;L$2,VLOOKUP($G114,Depreciation!$A$14:$L$18,10,FALSE),0))</f>
        <v>3.343407856743718E-2</v>
      </c>
      <c r="M114" s="306">
        <f>+IF($H114=M$2,VLOOKUP($G114,Depreciation!$A$14:$L$18,11,FALSE)/2,IF($H114&lt;M$2,VLOOKUP($G114,Depreciation!$A$14:$L$18,11,FALSE),0))</f>
        <v>3.343407856743718E-2</v>
      </c>
      <c r="N114" s="306">
        <f>+IF($H114=N$2,VLOOKUP($G114,Depreciation!$A$14:$L$18,12,FALSE)/2,IF($H114&lt;N$2,VLOOKUP($G114,Depreciation!$A$14:$L$18,12,FALSE),0))</f>
        <v>3.343407856743718E-2</v>
      </c>
      <c r="O114" s="307">
        <f t="shared" si="9"/>
        <v>674056.97910769959</v>
      </c>
      <c r="P114" s="732">
        <f>'Func Future Subs 2015'!P114</f>
        <v>0</v>
      </c>
      <c r="Q114" s="732">
        <f>'Func Future Subs 2015'!Q114</f>
        <v>1</v>
      </c>
      <c r="R114" s="732">
        <f>'Func Future Subs 2015'!R114</f>
        <v>0</v>
      </c>
      <c r="S114" s="735">
        <f t="shared" si="10"/>
        <v>0</v>
      </c>
      <c r="T114" s="735">
        <f t="shared" si="11"/>
        <v>674056.97910769959</v>
      </c>
      <c r="U114" s="735">
        <f t="shared" si="12"/>
        <v>0</v>
      </c>
      <c r="V114" s="736">
        <f t="shared" si="13"/>
        <v>0</v>
      </c>
      <c r="W114" s="735">
        <f t="shared" si="14"/>
        <v>0</v>
      </c>
      <c r="X114" s="737">
        <f t="shared" si="15"/>
        <v>0</v>
      </c>
      <c r="Y114" s="738">
        <f t="shared" si="16"/>
        <v>674056.97910769959</v>
      </c>
    </row>
    <row r="115" spans="1:25">
      <c r="A115" s="754" t="str">
        <f>'Func Future Subs 2015'!A115</f>
        <v>Red Deer 63S (755/427L)</v>
      </c>
      <c r="B115" s="754">
        <f>'Func Future Subs 2015'!B115</f>
        <v>813</v>
      </c>
      <c r="C115" s="754">
        <f>'Func Future Subs 2015'!C115</f>
        <v>138</v>
      </c>
      <c r="D115" s="754">
        <f>'Func Future Subs 2015'!D115</f>
        <v>25</v>
      </c>
      <c r="E115" s="754" t="str">
        <f>'Func Future Subs 2015'!E115</f>
        <v>63S</v>
      </c>
      <c r="F115" s="754">
        <f>'Func Future Subs 2015'!F115</f>
        <v>682001.5541498533</v>
      </c>
      <c r="G115" s="754" t="str">
        <f>'Func Future Subs 2015'!G115</f>
        <v>AltaLink</v>
      </c>
      <c r="H115" s="754">
        <f>'Func Future Subs 2015'!H115</f>
        <v>2017</v>
      </c>
      <c r="I115" s="306">
        <f>+IF($H115=I$2,VLOOKUP($G115,Depreciation!$A$14:$L$18,7,FALSE)/2,IF($H115&lt;I$2,VLOOKUP($G115,Depreciation!$A$14:$L$18,7,FALSE),0))</f>
        <v>0</v>
      </c>
      <c r="J115" s="306">
        <f>+IF($H115=J$2,VLOOKUP($G115,Depreciation!$A$14:$L$18,8,FALSE)/2,IF($H115&lt;J$2,VLOOKUP($G115,Depreciation!$A$14:$L$18,8,FALSE),0))</f>
        <v>0</v>
      </c>
      <c r="K115" s="306">
        <f>+IF($H115=K$2,VLOOKUP($G115,Depreciation!$A$14:$L$18,9,FALSE)/2,IF($H115&lt;K$2,VLOOKUP($G115,Depreciation!$A$14:$L$18,9,FALSE),0))</f>
        <v>1.671703928371859E-2</v>
      </c>
      <c r="L115" s="306">
        <f>+IF($H115=L$2,VLOOKUP($G115,Depreciation!$A$14:$L$18,10,FALSE)/2,IF($H115&lt;L$2,VLOOKUP($G115,Depreciation!$A$14:$L$18,10,FALSE),0))</f>
        <v>3.343407856743718E-2</v>
      </c>
      <c r="M115" s="306">
        <f>+IF($H115=M$2,VLOOKUP($G115,Depreciation!$A$14:$L$18,11,FALSE)/2,IF($H115&lt;M$2,VLOOKUP($G115,Depreciation!$A$14:$L$18,11,FALSE),0))</f>
        <v>3.343407856743718E-2</v>
      </c>
      <c r="N115" s="306">
        <f>+IF($H115=N$2,VLOOKUP($G115,Depreciation!$A$14:$L$18,12,FALSE)/2,IF($H115&lt;N$2,VLOOKUP($G115,Depreciation!$A$14:$L$18,12,FALSE),0))</f>
        <v>3.343407856743718E-2</v>
      </c>
      <c r="O115" s="307">
        <f t="shared" si="9"/>
        <v>605561.58169259853</v>
      </c>
      <c r="P115" s="732">
        <f>'Func Future Subs 2015'!P115</f>
        <v>0</v>
      </c>
      <c r="Q115" s="732">
        <f>'Func Future Subs 2015'!Q115</f>
        <v>1</v>
      </c>
      <c r="R115" s="732">
        <f>'Func Future Subs 2015'!R115</f>
        <v>0</v>
      </c>
      <c r="S115" s="735">
        <f t="shared" si="10"/>
        <v>0</v>
      </c>
      <c r="T115" s="735">
        <f t="shared" si="11"/>
        <v>605561.58169259853</v>
      </c>
      <c r="U115" s="735">
        <f t="shared" si="12"/>
        <v>0</v>
      </c>
      <c r="V115" s="736">
        <f t="shared" si="13"/>
        <v>0</v>
      </c>
      <c r="W115" s="735">
        <f t="shared" si="14"/>
        <v>0</v>
      </c>
      <c r="X115" s="737">
        <f t="shared" si="15"/>
        <v>0</v>
      </c>
      <c r="Y115" s="738">
        <f t="shared" si="16"/>
        <v>605561.58169259853</v>
      </c>
    </row>
    <row r="116" spans="1:25">
      <c r="A116" s="754" t="str">
        <f>'Func Future Subs 2015'!A116</f>
        <v>Red Deer 63S (80/426L)</v>
      </c>
      <c r="B116" s="754">
        <f>'Func Future Subs 2015'!B116</f>
        <v>813</v>
      </c>
      <c r="C116" s="754">
        <f>'Func Future Subs 2015'!C116</f>
        <v>138</v>
      </c>
      <c r="D116" s="754">
        <f>'Func Future Subs 2015'!D116</f>
        <v>25</v>
      </c>
      <c r="E116" s="754" t="str">
        <f>'Func Future Subs 2015'!E116</f>
        <v>63S</v>
      </c>
      <c r="F116" s="754">
        <f>'Func Future Subs 2015'!F116</f>
        <v>1044917.5482604436</v>
      </c>
      <c r="G116" s="754" t="str">
        <f>'Func Future Subs 2015'!G116</f>
        <v>AltaLink</v>
      </c>
      <c r="H116" s="754">
        <f>'Func Future Subs 2015'!H116</f>
        <v>2017</v>
      </c>
      <c r="I116" s="306">
        <f>+IF($H116=I$2,VLOOKUP($G116,Depreciation!$A$14:$L$18,7,FALSE)/2,IF($H116&lt;I$2,VLOOKUP($G116,Depreciation!$A$14:$L$18,7,FALSE),0))</f>
        <v>0</v>
      </c>
      <c r="J116" s="306">
        <f>+IF($H116=J$2,VLOOKUP($G116,Depreciation!$A$14:$L$18,8,FALSE)/2,IF($H116&lt;J$2,VLOOKUP($G116,Depreciation!$A$14:$L$18,8,FALSE),0))</f>
        <v>0</v>
      </c>
      <c r="K116" s="306">
        <f>+IF($H116=K$2,VLOOKUP($G116,Depreciation!$A$14:$L$18,9,FALSE)/2,IF($H116&lt;K$2,VLOOKUP($G116,Depreciation!$A$14:$L$18,9,FALSE),0))</f>
        <v>1.671703928371859E-2</v>
      </c>
      <c r="L116" s="306">
        <f>+IF($H116=L$2,VLOOKUP($G116,Depreciation!$A$14:$L$18,10,FALSE)/2,IF($H116&lt;L$2,VLOOKUP($G116,Depreciation!$A$14:$L$18,10,FALSE),0))</f>
        <v>3.343407856743718E-2</v>
      </c>
      <c r="M116" s="306">
        <f>+IF($H116=M$2,VLOOKUP($G116,Depreciation!$A$14:$L$18,11,FALSE)/2,IF($H116&lt;M$2,VLOOKUP($G116,Depreciation!$A$14:$L$18,11,FALSE),0))</f>
        <v>3.343407856743718E-2</v>
      </c>
      <c r="N116" s="306">
        <f>+IF($H116=N$2,VLOOKUP($G116,Depreciation!$A$14:$L$18,12,FALSE)/2,IF($H116&lt;N$2,VLOOKUP($G116,Depreciation!$A$14:$L$18,12,FALSE),0))</f>
        <v>3.343407856743718E-2</v>
      </c>
      <c r="O116" s="307">
        <f t="shared" si="9"/>
        <v>927801.29225909698</v>
      </c>
      <c r="P116" s="732">
        <f>'Func Future Subs 2015'!P116</f>
        <v>0</v>
      </c>
      <c r="Q116" s="732">
        <f>'Func Future Subs 2015'!Q116</f>
        <v>1</v>
      </c>
      <c r="R116" s="732">
        <f>'Func Future Subs 2015'!R116</f>
        <v>0</v>
      </c>
      <c r="S116" s="735">
        <f t="shared" si="10"/>
        <v>0</v>
      </c>
      <c r="T116" s="735">
        <f t="shared" si="11"/>
        <v>927801.29225909698</v>
      </c>
      <c r="U116" s="735">
        <f t="shared" si="12"/>
        <v>0</v>
      </c>
      <c r="V116" s="736">
        <f t="shared" si="13"/>
        <v>0</v>
      </c>
      <c r="W116" s="735">
        <f t="shared" si="14"/>
        <v>0</v>
      </c>
      <c r="X116" s="737">
        <f t="shared" si="15"/>
        <v>0</v>
      </c>
      <c r="Y116" s="738">
        <f t="shared" si="16"/>
        <v>927801.29225909698</v>
      </c>
    </row>
    <row r="117" spans="1:25">
      <c r="A117" s="754" t="str">
        <f>'Func Future Subs 2015'!A117</f>
        <v>Red Deer 63S (GD Hazel)</v>
      </c>
      <c r="B117" s="754">
        <f>'Func Future Subs 2015'!B117</f>
        <v>813</v>
      </c>
      <c r="C117" s="754">
        <f>'Func Future Subs 2015'!C117</f>
        <v>240</v>
      </c>
      <c r="D117" s="754">
        <f>'Func Future Subs 2015'!D117</f>
        <v>25</v>
      </c>
      <c r="E117" s="754" t="str">
        <f>'Func Future Subs 2015'!E117</f>
        <v>63S</v>
      </c>
      <c r="F117" s="754">
        <f>'Func Future Subs 2015'!F117</f>
        <v>406209.69551666273</v>
      </c>
      <c r="G117" s="754" t="str">
        <f>'Func Future Subs 2015'!G117</f>
        <v>AltaLink</v>
      </c>
      <c r="H117" s="754">
        <f>'Func Future Subs 2015'!H117</f>
        <v>2017</v>
      </c>
      <c r="I117" s="306">
        <f>+IF($H117=I$2,VLOOKUP($G117,Depreciation!$A$14:$L$18,7,FALSE)/2,IF($H117&lt;I$2,VLOOKUP($G117,Depreciation!$A$14:$L$18,7,FALSE),0))</f>
        <v>0</v>
      </c>
      <c r="J117" s="306">
        <f>+IF($H117=J$2,VLOOKUP($G117,Depreciation!$A$14:$L$18,8,FALSE)/2,IF($H117&lt;J$2,VLOOKUP($G117,Depreciation!$A$14:$L$18,8,FALSE),0))</f>
        <v>0</v>
      </c>
      <c r="K117" s="306">
        <f>+IF($H117=K$2,VLOOKUP($G117,Depreciation!$A$14:$L$18,9,FALSE)/2,IF($H117&lt;K$2,VLOOKUP($G117,Depreciation!$A$14:$L$18,9,FALSE),0))</f>
        <v>1.671703928371859E-2</v>
      </c>
      <c r="L117" s="306">
        <f>+IF($H117=L$2,VLOOKUP($G117,Depreciation!$A$14:$L$18,10,FALSE)/2,IF($H117&lt;L$2,VLOOKUP($G117,Depreciation!$A$14:$L$18,10,FALSE),0))</f>
        <v>3.343407856743718E-2</v>
      </c>
      <c r="M117" s="306">
        <f>+IF($H117=M$2,VLOOKUP($G117,Depreciation!$A$14:$L$18,11,FALSE)/2,IF($H117&lt;M$2,VLOOKUP($G117,Depreciation!$A$14:$L$18,11,FALSE),0))</f>
        <v>3.343407856743718E-2</v>
      </c>
      <c r="N117" s="306">
        <f>+IF($H117=N$2,VLOOKUP($G117,Depreciation!$A$14:$L$18,12,FALSE)/2,IF($H117&lt;N$2,VLOOKUP($G117,Depreciation!$A$14:$L$18,12,FALSE),0))</f>
        <v>3.343407856743718E-2</v>
      </c>
      <c r="O117" s="307">
        <f t="shared" si="9"/>
        <v>360680.97531327605</v>
      </c>
      <c r="P117" s="732">
        <f>'Func Future Subs 2015'!P117</f>
        <v>0</v>
      </c>
      <c r="Q117" s="732">
        <f>'Func Future Subs 2015'!Q117</f>
        <v>1</v>
      </c>
      <c r="R117" s="732">
        <f>'Func Future Subs 2015'!R117</f>
        <v>0</v>
      </c>
      <c r="S117" s="735">
        <f t="shared" si="10"/>
        <v>0</v>
      </c>
      <c r="T117" s="735">
        <f t="shared" si="11"/>
        <v>360680.97531327605</v>
      </c>
      <c r="U117" s="735">
        <f t="shared" si="12"/>
        <v>0</v>
      </c>
      <c r="V117" s="736">
        <f t="shared" si="13"/>
        <v>0</v>
      </c>
      <c r="W117" s="735">
        <f t="shared" si="14"/>
        <v>0</v>
      </c>
      <c r="X117" s="737">
        <f t="shared" si="15"/>
        <v>0</v>
      </c>
      <c r="Y117" s="738">
        <f t="shared" si="16"/>
        <v>360680.97531327605</v>
      </c>
    </row>
    <row r="118" spans="1:25">
      <c r="A118" s="754" t="str">
        <f>'Func Future Subs 2015'!A118</f>
        <v>Red Deer 63S (GD Wolf)</v>
      </c>
      <c r="B118" s="754">
        <f>'Func Future Subs 2015'!B118</f>
        <v>813</v>
      </c>
      <c r="C118" s="754">
        <f>'Func Future Subs 2015'!C118</f>
        <v>240</v>
      </c>
      <c r="D118" s="754">
        <f>'Func Future Subs 2015'!D118</f>
        <v>25</v>
      </c>
      <c r="E118" s="754" t="str">
        <f>'Func Future Subs 2015'!E118</f>
        <v>63S</v>
      </c>
      <c r="F118" s="754">
        <f>'Func Future Subs 2015'!F118</f>
        <v>89503.831215535858</v>
      </c>
      <c r="G118" s="754" t="str">
        <f>'Func Future Subs 2015'!G118</f>
        <v>AltaLink</v>
      </c>
      <c r="H118" s="754">
        <f>'Func Future Subs 2015'!H118</f>
        <v>2017</v>
      </c>
      <c r="I118" s="306">
        <f>+IF($H118=I$2,VLOOKUP($G118,Depreciation!$A$14:$L$18,7,FALSE)/2,IF($H118&lt;I$2,VLOOKUP($G118,Depreciation!$A$14:$L$18,7,FALSE),0))</f>
        <v>0</v>
      </c>
      <c r="J118" s="306">
        <f>+IF($H118=J$2,VLOOKUP($G118,Depreciation!$A$14:$L$18,8,FALSE)/2,IF($H118&lt;J$2,VLOOKUP($G118,Depreciation!$A$14:$L$18,8,FALSE),0))</f>
        <v>0</v>
      </c>
      <c r="K118" s="306">
        <f>+IF($H118=K$2,VLOOKUP($G118,Depreciation!$A$14:$L$18,9,FALSE)/2,IF($H118&lt;K$2,VLOOKUP($G118,Depreciation!$A$14:$L$18,9,FALSE),0))</f>
        <v>1.671703928371859E-2</v>
      </c>
      <c r="L118" s="306">
        <f>+IF($H118=L$2,VLOOKUP($G118,Depreciation!$A$14:$L$18,10,FALSE)/2,IF($H118&lt;L$2,VLOOKUP($G118,Depreciation!$A$14:$L$18,10,FALSE),0))</f>
        <v>3.343407856743718E-2</v>
      </c>
      <c r="M118" s="306">
        <f>+IF($H118=M$2,VLOOKUP($G118,Depreciation!$A$14:$L$18,11,FALSE)/2,IF($H118&lt;M$2,VLOOKUP($G118,Depreciation!$A$14:$L$18,11,FALSE),0))</f>
        <v>3.343407856743718E-2</v>
      </c>
      <c r="N118" s="306">
        <f>+IF($H118=N$2,VLOOKUP($G118,Depreciation!$A$14:$L$18,12,FALSE)/2,IF($H118&lt;N$2,VLOOKUP($G118,Depreciation!$A$14:$L$18,12,FALSE),0))</f>
        <v>3.343407856743718E-2</v>
      </c>
      <c r="O118" s="307">
        <f t="shared" si="9"/>
        <v>79472.079306315063</v>
      </c>
      <c r="P118" s="732">
        <f>'Func Future Subs 2015'!P118</f>
        <v>0</v>
      </c>
      <c r="Q118" s="732">
        <f>'Func Future Subs 2015'!Q118</f>
        <v>1</v>
      </c>
      <c r="R118" s="732">
        <f>'Func Future Subs 2015'!R118</f>
        <v>0</v>
      </c>
      <c r="S118" s="735">
        <f t="shared" si="10"/>
        <v>0</v>
      </c>
      <c r="T118" s="735">
        <f t="shared" si="11"/>
        <v>79472.079306315063</v>
      </c>
      <c r="U118" s="735">
        <f t="shared" si="12"/>
        <v>0</v>
      </c>
      <c r="V118" s="736">
        <f t="shared" si="13"/>
        <v>0</v>
      </c>
      <c r="W118" s="735">
        <f t="shared" si="14"/>
        <v>0</v>
      </c>
      <c r="X118" s="737">
        <f t="shared" si="15"/>
        <v>0</v>
      </c>
      <c r="Y118" s="738">
        <f t="shared" si="16"/>
        <v>79472.079306315063</v>
      </c>
    </row>
    <row r="119" spans="1:25">
      <c r="A119" s="754" t="str">
        <f>'Func Future Subs 2015'!A119</f>
        <v>Shell Caroline 378S RAS_(v2)</v>
      </c>
      <c r="B119" s="754">
        <f>'Func Future Subs 2015'!B119</f>
        <v>813</v>
      </c>
      <c r="C119" s="754">
        <f>'Func Future Subs 2015'!C119</f>
        <v>138</v>
      </c>
      <c r="D119" s="754">
        <f>'Func Future Subs 2015'!D119</f>
        <v>25</v>
      </c>
      <c r="E119" s="754" t="str">
        <f>'Func Future Subs 2015'!E119</f>
        <v>378S</v>
      </c>
      <c r="F119" s="754">
        <f>'Func Future Subs 2015'!F119</f>
        <v>107820.56424655707</v>
      </c>
      <c r="G119" s="754" t="str">
        <f>'Func Future Subs 2015'!G119</f>
        <v>AltaLink</v>
      </c>
      <c r="H119" s="754">
        <f>'Func Future Subs 2015'!H119</f>
        <v>2017</v>
      </c>
      <c r="I119" s="306">
        <f>+IF($H119=I$2,VLOOKUP($G119,Depreciation!$A$14:$L$18,7,FALSE)/2,IF($H119&lt;I$2,VLOOKUP($G119,Depreciation!$A$14:$L$18,7,FALSE),0))</f>
        <v>0</v>
      </c>
      <c r="J119" s="306">
        <f>+IF($H119=J$2,VLOOKUP($G119,Depreciation!$A$14:$L$18,8,FALSE)/2,IF($H119&lt;J$2,VLOOKUP($G119,Depreciation!$A$14:$L$18,8,FALSE),0))</f>
        <v>0</v>
      </c>
      <c r="K119" s="306">
        <f>+IF($H119=K$2,VLOOKUP($G119,Depreciation!$A$14:$L$18,9,FALSE)/2,IF($H119&lt;K$2,VLOOKUP($G119,Depreciation!$A$14:$L$18,9,FALSE),0))</f>
        <v>1.671703928371859E-2</v>
      </c>
      <c r="L119" s="306">
        <f>+IF($H119=L$2,VLOOKUP($G119,Depreciation!$A$14:$L$18,10,FALSE)/2,IF($H119&lt;L$2,VLOOKUP($G119,Depreciation!$A$14:$L$18,10,FALSE),0))</f>
        <v>3.343407856743718E-2</v>
      </c>
      <c r="M119" s="306">
        <f>+IF($H119=M$2,VLOOKUP($G119,Depreciation!$A$14:$L$18,11,FALSE)/2,IF($H119&lt;M$2,VLOOKUP($G119,Depreciation!$A$14:$L$18,11,FALSE),0))</f>
        <v>3.343407856743718E-2</v>
      </c>
      <c r="N119" s="306">
        <f>+IF($H119=N$2,VLOOKUP($G119,Depreciation!$A$14:$L$18,12,FALSE)/2,IF($H119&lt;N$2,VLOOKUP($G119,Depreciation!$A$14:$L$18,12,FALSE),0))</f>
        <v>3.343407856743718E-2</v>
      </c>
      <c r="O119" s="307">
        <f t="shared" si="9"/>
        <v>95735.839642657491</v>
      </c>
      <c r="P119" s="732">
        <f>'Func Future Subs 2015'!P119</f>
        <v>0.31207004377736086</v>
      </c>
      <c r="Q119" s="732">
        <f>'Func Future Subs 2015'!Q119</f>
        <v>0.68792995622263919</v>
      </c>
      <c r="R119" s="732">
        <f>'Func Future Subs 2015'!R119</f>
        <v>0</v>
      </c>
      <c r="S119" s="735">
        <f t="shared" si="10"/>
        <v>29876.287668346522</v>
      </c>
      <c r="T119" s="735">
        <f t="shared" si="11"/>
        <v>65859.551974310976</v>
      </c>
      <c r="U119" s="735">
        <f t="shared" si="12"/>
        <v>0</v>
      </c>
      <c r="V119" s="736">
        <f t="shared" si="13"/>
        <v>0</v>
      </c>
      <c r="W119" s="735">
        <f t="shared" si="14"/>
        <v>29876.287668346522</v>
      </c>
      <c r="X119" s="737">
        <f t="shared" si="15"/>
        <v>0</v>
      </c>
      <c r="Y119" s="738">
        <f t="shared" si="16"/>
        <v>65859.551974310976</v>
      </c>
    </row>
    <row r="120" spans="1:25">
      <c r="A120" s="754" t="str">
        <f>'Func Future Subs 2015'!A120</f>
        <v>South Red Deer 194S (80/425L)</v>
      </c>
      <c r="B120" s="754">
        <f>'Func Future Subs 2015'!B120</f>
        <v>813</v>
      </c>
      <c r="C120" s="754">
        <f>'Func Future Subs 2015'!C120</f>
        <v>138</v>
      </c>
      <c r="D120" s="754">
        <f>'Func Future Subs 2015'!D120</f>
        <v>138</v>
      </c>
      <c r="E120" s="754" t="str">
        <f>'Func Future Subs 2015'!E120</f>
        <v>194S</v>
      </c>
      <c r="F120" s="754">
        <f>'Func Future Subs 2015'!F120</f>
        <v>1236018.2408114308</v>
      </c>
      <c r="G120" s="754" t="str">
        <f>'Func Future Subs 2015'!G120</f>
        <v>AltaLink</v>
      </c>
      <c r="H120" s="754">
        <f>'Func Future Subs 2015'!H120</f>
        <v>2017</v>
      </c>
      <c r="I120" s="306">
        <f>+IF($H120=I$2,VLOOKUP($G120,Depreciation!$A$14:$L$18,7,FALSE)/2,IF($H120&lt;I$2,VLOOKUP($G120,Depreciation!$A$14:$L$18,7,FALSE),0))</f>
        <v>0</v>
      </c>
      <c r="J120" s="306">
        <f>+IF($H120=J$2,VLOOKUP($G120,Depreciation!$A$14:$L$18,8,FALSE)/2,IF($H120&lt;J$2,VLOOKUP($G120,Depreciation!$A$14:$L$18,8,FALSE),0))</f>
        <v>0</v>
      </c>
      <c r="K120" s="306">
        <f>+IF($H120=K$2,VLOOKUP($G120,Depreciation!$A$14:$L$18,9,FALSE)/2,IF($H120&lt;K$2,VLOOKUP($G120,Depreciation!$A$14:$L$18,9,FALSE),0))</f>
        <v>1.671703928371859E-2</v>
      </c>
      <c r="L120" s="306">
        <f>+IF($H120=L$2,VLOOKUP($G120,Depreciation!$A$14:$L$18,10,FALSE)/2,IF($H120&lt;L$2,VLOOKUP($G120,Depreciation!$A$14:$L$18,10,FALSE),0))</f>
        <v>3.343407856743718E-2</v>
      </c>
      <c r="M120" s="306">
        <f>+IF($H120=M$2,VLOOKUP($G120,Depreciation!$A$14:$L$18,11,FALSE)/2,IF($H120&lt;M$2,VLOOKUP($G120,Depreciation!$A$14:$L$18,11,FALSE),0))</f>
        <v>3.343407856743718E-2</v>
      </c>
      <c r="N120" s="306">
        <f>+IF($H120=N$2,VLOOKUP($G120,Depreciation!$A$14:$L$18,12,FALSE)/2,IF($H120&lt;N$2,VLOOKUP($G120,Depreciation!$A$14:$L$18,12,FALSE),0))</f>
        <v>3.343407856743718E-2</v>
      </c>
      <c r="O120" s="307">
        <f t="shared" si="9"/>
        <v>1097483.072219234</v>
      </c>
      <c r="P120" s="732">
        <f>'Func Future Subs 2015'!P120</f>
        <v>0</v>
      </c>
      <c r="Q120" s="732">
        <f>'Func Future Subs 2015'!Q120</f>
        <v>0</v>
      </c>
      <c r="R120" s="732">
        <f>'Func Future Subs 2015'!R120</f>
        <v>1</v>
      </c>
      <c r="S120" s="735">
        <f t="shared" si="10"/>
        <v>0</v>
      </c>
      <c r="T120" s="735">
        <f t="shared" si="11"/>
        <v>0</v>
      </c>
      <c r="U120" s="735">
        <f t="shared" si="12"/>
        <v>1097483.072219234</v>
      </c>
      <c r="V120" s="736">
        <f t="shared" si="13"/>
        <v>0</v>
      </c>
      <c r="W120" s="735">
        <f t="shared" si="14"/>
        <v>0</v>
      </c>
      <c r="X120" s="737">
        <f t="shared" si="15"/>
        <v>1097483.072219234</v>
      </c>
      <c r="Y120" s="738">
        <f t="shared" si="16"/>
        <v>0</v>
      </c>
    </row>
    <row r="121" spans="1:25">
      <c r="A121" s="754" t="str">
        <f>'Func Future Subs 2015'!A121</f>
        <v>South Red Deer 194S (80/426L)</v>
      </c>
      <c r="B121" s="754">
        <f>'Func Future Subs 2015'!B121</f>
        <v>813</v>
      </c>
      <c r="C121" s="754">
        <f>'Func Future Subs 2015'!C121</f>
        <v>138</v>
      </c>
      <c r="D121" s="754">
        <f>'Func Future Subs 2015'!D121</f>
        <v>138</v>
      </c>
      <c r="E121" s="754" t="str">
        <f>'Func Future Subs 2015'!E121</f>
        <v>194S</v>
      </c>
      <c r="F121" s="754">
        <f>'Func Future Subs 2015'!F121</f>
        <v>1628738.9300905238</v>
      </c>
      <c r="G121" s="754" t="str">
        <f>'Func Future Subs 2015'!G121</f>
        <v>AltaLink</v>
      </c>
      <c r="H121" s="754">
        <f>'Func Future Subs 2015'!H121</f>
        <v>2017</v>
      </c>
      <c r="I121" s="306">
        <f>+IF($H121=I$2,VLOOKUP($G121,Depreciation!$A$14:$L$18,7,FALSE)/2,IF($H121&lt;I$2,VLOOKUP($G121,Depreciation!$A$14:$L$18,7,FALSE),0))</f>
        <v>0</v>
      </c>
      <c r="J121" s="306">
        <f>+IF($H121=J$2,VLOOKUP($G121,Depreciation!$A$14:$L$18,8,FALSE)/2,IF($H121&lt;J$2,VLOOKUP($G121,Depreciation!$A$14:$L$18,8,FALSE),0))</f>
        <v>0</v>
      </c>
      <c r="K121" s="306">
        <f>+IF($H121=K$2,VLOOKUP($G121,Depreciation!$A$14:$L$18,9,FALSE)/2,IF($H121&lt;K$2,VLOOKUP($G121,Depreciation!$A$14:$L$18,9,FALSE),0))</f>
        <v>1.671703928371859E-2</v>
      </c>
      <c r="L121" s="306">
        <f>+IF($H121=L$2,VLOOKUP($G121,Depreciation!$A$14:$L$18,10,FALSE)/2,IF($H121&lt;L$2,VLOOKUP($G121,Depreciation!$A$14:$L$18,10,FALSE),0))</f>
        <v>3.343407856743718E-2</v>
      </c>
      <c r="M121" s="306">
        <f>+IF($H121=M$2,VLOOKUP($G121,Depreciation!$A$14:$L$18,11,FALSE)/2,IF($H121&lt;M$2,VLOOKUP($G121,Depreciation!$A$14:$L$18,11,FALSE),0))</f>
        <v>3.343407856743718E-2</v>
      </c>
      <c r="N121" s="306">
        <f>+IF($H121=N$2,VLOOKUP($G121,Depreciation!$A$14:$L$18,12,FALSE)/2,IF($H121&lt;N$2,VLOOKUP($G121,Depreciation!$A$14:$L$18,12,FALSE),0))</f>
        <v>3.343407856743718E-2</v>
      </c>
      <c r="O121" s="307">
        <f t="shared" si="9"/>
        <v>1446186.9136052034</v>
      </c>
      <c r="P121" s="732">
        <f>'Func Future Subs 2015'!P121</f>
        <v>0</v>
      </c>
      <c r="Q121" s="732">
        <f>'Func Future Subs 2015'!Q121</f>
        <v>0</v>
      </c>
      <c r="R121" s="732">
        <f>'Func Future Subs 2015'!R121</f>
        <v>1</v>
      </c>
      <c r="S121" s="735">
        <f t="shared" si="10"/>
        <v>0</v>
      </c>
      <c r="T121" s="735">
        <f t="shared" si="11"/>
        <v>0</v>
      </c>
      <c r="U121" s="735">
        <f t="shared" si="12"/>
        <v>1446186.9136052034</v>
      </c>
      <c r="V121" s="736">
        <f t="shared" si="13"/>
        <v>0</v>
      </c>
      <c r="W121" s="735">
        <f t="shared" si="14"/>
        <v>0</v>
      </c>
      <c r="X121" s="737">
        <f t="shared" si="15"/>
        <v>1446186.9136052034</v>
      </c>
      <c r="Y121" s="738">
        <f t="shared" si="16"/>
        <v>0</v>
      </c>
    </row>
    <row r="122" spans="1:25">
      <c r="A122" s="754" t="str">
        <f>'Func Future Subs 2015'!A122</f>
        <v>Substation Harmattan 256S_(v2)</v>
      </c>
      <c r="B122" s="754">
        <f>'Func Future Subs 2015'!B122</f>
        <v>813</v>
      </c>
      <c r="C122" s="754">
        <f>'Func Future Subs 2015'!C122</f>
        <v>138</v>
      </c>
      <c r="D122" s="754">
        <f>'Func Future Subs 2015'!D122</f>
        <v>25</v>
      </c>
      <c r="E122" s="754" t="str">
        <f>'Func Future Subs 2015'!E122</f>
        <v>256S</v>
      </c>
      <c r="F122" s="754">
        <f>'Func Future Subs 2015'!F122</f>
        <v>5094521.6606498221</v>
      </c>
      <c r="G122" s="754" t="str">
        <f>'Func Future Subs 2015'!G122</f>
        <v>AltaLink</v>
      </c>
      <c r="H122" s="754">
        <f>'Func Future Subs 2015'!H122</f>
        <v>2017</v>
      </c>
      <c r="I122" s="306">
        <f>+IF($H122=I$2,VLOOKUP($G122,Depreciation!$A$14:$L$18,7,FALSE)/2,IF($H122&lt;I$2,VLOOKUP($G122,Depreciation!$A$14:$L$18,7,FALSE),0))</f>
        <v>0</v>
      </c>
      <c r="J122" s="306">
        <f>+IF($H122=J$2,VLOOKUP($G122,Depreciation!$A$14:$L$18,8,FALSE)/2,IF($H122&lt;J$2,VLOOKUP($G122,Depreciation!$A$14:$L$18,8,FALSE),0))</f>
        <v>0</v>
      </c>
      <c r="K122" s="306">
        <f>+IF($H122=K$2,VLOOKUP($G122,Depreciation!$A$14:$L$18,9,FALSE)/2,IF($H122&lt;K$2,VLOOKUP($G122,Depreciation!$A$14:$L$18,9,FALSE),0))</f>
        <v>1.671703928371859E-2</v>
      </c>
      <c r="L122" s="306">
        <f>+IF($H122=L$2,VLOOKUP($G122,Depreciation!$A$14:$L$18,10,FALSE)/2,IF($H122&lt;L$2,VLOOKUP($G122,Depreciation!$A$14:$L$18,10,FALSE),0))</f>
        <v>3.343407856743718E-2</v>
      </c>
      <c r="M122" s="306">
        <f>+IF($H122=M$2,VLOOKUP($G122,Depreciation!$A$14:$L$18,11,FALSE)/2,IF($H122&lt;M$2,VLOOKUP($G122,Depreciation!$A$14:$L$18,11,FALSE),0))</f>
        <v>3.343407856743718E-2</v>
      </c>
      <c r="N122" s="306">
        <f>+IF($H122=N$2,VLOOKUP($G122,Depreciation!$A$14:$L$18,12,FALSE)/2,IF($H122&lt;N$2,VLOOKUP($G122,Depreciation!$A$14:$L$18,12,FALSE),0))</f>
        <v>3.343407856743718E-2</v>
      </c>
      <c r="O122" s="307">
        <f t="shared" si="9"/>
        <v>4523518.4231155664</v>
      </c>
      <c r="P122" s="732">
        <f>'Func Future Subs 2015'!P122</f>
        <v>0.54510993176648981</v>
      </c>
      <c r="Q122" s="732">
        <f>'Func Future Subs 2015'!Q122</f>
        <v>0.45489006823351025</v>
      </c>
      <c r="R122" s="732">
        <f>'Func Future Subs 2015'!R122</f>
        <v>0</v>
      </c>
      <c r="S122" s="735">
        <f t="shared" si="10"/>
        <v>2465814.8189689862</v>
      </c>
      <c r="T122" s="735">
        <f t="shared" si="11"/>
        <v>2057703.6041465807</v>
      </c>
      <c r="U122" s="735">
        <f t="shared" si="12"/>
        <v>0</v>
      </c>
      <c r="V122" s="736">
        <f t="shared" si="13"/>
        <v>0</v>
      </c>
      <c r="W122" s="735">
        <f t="shared" si="14"/>
        <v>2465814.8189689862</v>
      </c>
      <c r="X122" s="737">
        <f t="shared" si="15"/>
        <v>0</v>
      </c>
      <c r="Y122" s="738">
        <f t="shared" si="16"/>
        <v>2057703.6041465807</v>
      </c>
    </row>
    <row r="123" spans="1:25">
      <c r="A123" s="754" t="str">
        <f>'Func Future Subs 2015'!A123</f>
        <v>Substation Johnson 281S_(v2)</v>
      </c>
      <c r="B123" s="754">
        <f>'Func Future Subs 2015'!B123</f>
        <v>813</v>
      </c>
      <c r="C123" s="754">
        <f>'Func Future Subs 2015'!C123</f>
        <v>240</v>
      </c>
      <c r="D123" s="754">
        <f>'Func Future Subs 2015'!D123</f>
        <v>138</v>
      </c>
      <c r="E123" s="754" t="str">
        <f>'Func Future Subs 2015'!E123</f>
        <v>281S</v>
      </c>
      <c r="F123" s="754">
        <f>'Func Future Subs 2015'!F123</f>
        <v>841829.79007888795</v>
      </c>
      <c r="G123" s="754" t="str">
        <f>'Func Future Subs 2015'!G123</f>
        <v>AltaLink</v>
      </c>
      <c r="H123" s="754">
        <f>'Func Future Subs 2015'!H123</f>
        <v>2017</v>
      </c>
      <c r="I123" s="306">
        <f>+IF($H123=I$2,VLOOKUP($G123,Depreciation!$A$14:$L$18,7,FALSE)/2,IF($H123&lt;I$2,VLOOKUP($G123,Depreciation!$A$14:$L$18,7,FALSE),0))</f>
        <v>0</v>
      </c>
      <c r="J123" s="306">
        <f>+IF($H123=J$2,VLOOKUP($G123,Depreciation!$A$14:$L$18,8,FALSE)/2,IF($H123&lt;J$2,VLOOKUP($G123,Depreciation!$A$14:$L$18,8,FALSE),0))</f>
        <v>0</v>
      </c>
      <c r="K123" s="306">
        <f>+IF($H123=K$2,VLOOKUP($G123,Depreciation!$A$14:$L$18,9,FALSE)/2,IF($H123&lt;K$2,VLOOKUP($G123,Depreciation!$A$14:$L$18,9,FALSE),0))</f>
        <v>1.671703928371859E-2</v>
      </c>
      <c r="L123" s="306">
        <f>+IF($H123=L$2,VLOOKUP($G123,Depreciation!$A$14:$L$18,10,FALSE)/2,IF($H123&lt;L$2,VLOOKUP($G123,Depreciation!$A$14:$L$18,10,FALSE),0))</f>
        <v>3.343407856743718E-2</v>
      </c>
      <c r="M123" s="306">
        <f>+IF($H123=M$2,VLOOKUP($G123,Depreciation!$A$14:$L$18,11,FALSE)/2,IF($H123&lt;M$2,VLOOKUP($G123,Depreciation!$A$14:$L$18,11,FALSE),0))</f>
        <v>3.343407856743718E-2</v>
      </c>
      <c r="N123" s="306">
        <f>+IF($H123=N$2,VLOOKUP($G123,Depreciation!$A$14:$L$18,12,FALSE)/2,IF($H123&lt;N$2,VLOOKUP($G123,Depreciation!$A$14:$L$18,12,FALSE),0))</f>
        <v>3.343407856743718E-2</v>
      </c>
      <c r="O123" s="307">
        <f t="shared" si="9"/>
        <v>747475.97874844121</v>
      </c>
      <c r="P123" s="732">
        <f>'Func Future Subs 2015'!P123</f>
        <v>0</v>
      </c>
      <c r="Q123" s="732">
        <f>'Func Future Subs 2015'!Q123</f>
        <v>0</v>
      </c>
      <c r="R123" s="732">
        <f>'Func Future Subs 2015'!R123</f>
        <v>1</v>
      </c>
      <c r="S123" s="735">
        <f t="shared" si="10"/>
        <v>0</v>
      </c>
      <c r="T123" s="735">
        <f t="shared" si="11"/>
        <v>0</v>
      </c>
      <c r="U123" s="735">
        <f t="shared" si="12"/>
        <v>747475.97874844121</v>
      </c>
      <c r="V123" s="736">
        <f t="shared" si="13"/>
        <v>0</v>
      </c>
      <c r="W123" s="735">
        <f t="shared" si="14"/>
        <v>0</v>
      </c>
      <c r="X123" s="737">
        <f t="shared" si="15"/>
        <v>747475.97874844121</v>
      </c>
      <c r="Y123" s="738">
        <f t="shared" si="16"/>
        <v>0</v>
      </c>
    </row>
    <row r="124" spans="1:25">
      <c r="A124" s="754" t="str">
        <f>'Func Future Subs 2015'!A124</f>
        <v>Sundre 575S RAS_(v2)</v>
      </c>
      <c r="B124" s="754">
        <f>'Func Future Subs 2015'!B124</f>
        <v>813</v>
      </c>
      <c r="C124" s="754">
        <f>'Func Future Subs 2015'!C124</f>
        <v>138</v>
      </c>
      <c r="D124" s="754">
        <f>'Func Future Subs 2015'!D124</f>
        <v>25</v>
      </c>
      <c r="E124" s="754" t="str">
        <f>'Func Future Subs 2015'!E124</f>
        <v>575S</v>
      </c>
      <c r="F124" s="754">
        <f>'Func Future Subs 2015'!F124</f>
        <v>109894.03663591394</v>
      </c>
      <c r="G124" s="754" t="str">
        <f>'Func Future Subs 2015'!G124</f>
        <v>AltaLink</v>
      </c>
      <c r="H124" s="754">
        <f>'Func Future Subs 2015'!H124</f>
        <v>2017</v>
      </c>
      <c r="I124" s="306">
        <f>+IF($H124=I$2,VLOOKUP($G124,Depreciation!$A$14:$L$18,7,FALSE)/2,IF($H124&lt;I$2,VLOOKUP($G124,Depreciation!$A$14:$L$18,7,FALSE),0))</f>
        <v>0</v>
      </c>
      <c r="J124" s="306">
        <f>+IF($H124=J$2,VLOOKUP($G124,Depreciation!$A$14:$L$18,8,FALSE)/2,IF($H124&lt;J$2,VLOOKUP($G124,Depreciation!$A$14:$L$18,8,FALSE),0))</f>
        <v>0</v>
      </c>
      <c r="K124" s="306">
        <f>+IF($H124=K$2,VLOOKUP($G124,Depreciation!$A$14:$L$18,9,FALSE)/2,IF($H124&lt;K$2,VLOOKUP($G124,Depreciation!$A$14:$L$18,9,FALSE),0))</f>
        <v>1.671703928371859E-2</v>
      </c>
      <c r="L124" s="306">
        <f>+IF($H124=L$2,VLOOKUP($G124,Depreciation!$A$14:$L$18,10,FALSE)/2,IF($H124&lt;L$2,VLOOKUP($G124,Depreciation!$A$14:$L$18,10,FALSE),0))</f>
        <v>3.343407856743718E-2</v>
      </c>
      <c r="M124" s="306">
        <f>+IF($H124=M$2,VLOOKUP($G124,Depreciation!$A$14:$L$18,11,FALSE)/2,IF($H124&lt;M$2,VLOOKUP($G124,Depreciation!$A$14:$L$18,11,FALSE),0))</f>
        <v>3.343407856743718E-2</v>
      </c>
      <c r="N124" s="306">
        <f>+IF($H124=N$2,VLOOKUP($G124,Depreciation!$A$14:$L$18,12,FALSE)/2,IF($H124&lt;N$2,VLOOKUP($G124,Depreciation!$A$14:$L$18,12,FALSE),0))</f>
        <v>3.343407856743718E-2</v>
      </c>
      <c r="O124" s="307">
        <f t="shared" si="9"/>
        <v>97576.913481939351</v>
      </c>
      <c r="P124" s="732">
        <f>'Func Future Subs 2015'!P124</f>
        <v>0</v>
      </c>
      <c r="Q124" s="732">
        <f>'Func Future Subs 2015'!Q124</f>
        <v>1</v>
      </c>
      <c r="R124" s="732">
        <f>'Func Future Subs 2015'!R124</f>
        <v>0</v>
      </c>
      <c r="S124" s="735">
        <f t="shared" si="10"/>
        <v>0</v>
      </c>
      <c r="T124" s="735">
        <f t="shared" si="11"/>
        <v>97576.913481939351</v>
      </c>
      <c r="U124" s="735">
        <f t="shared" si="12"/>
        <v>0</v>
      </c>
      <c r="V124" s="736">
        <f t="shared" si="13"/>
        <v>0</v>
      </c>
      <c r="W124" s="735">
        <f t="shared" si="14"/>
        <v>0</v>
      </c>
      <c r="X124" s="737">
        <f t="shared" si="15"/>
        <v>0</v>
      </c>
      <c r="Y124" s="738">
        <f t="shared" si="16"/>
        <v>97576.913481939351</v>
      </c>
    </row>
    <row r="125" spans="1:25">
      <c r="A125" s="754" t="str">
        <f>'Func Future Subs 2015'!A125</f>
        <v>Sylvan Lake 580S</v>
      </c>
      <c r="B125" s="754">
        <f>'Func Future Subs 2015'!B125</f>
        <v>813</v>
      </c>
      <c r="C125" s="754">
        <f>'Func Future Subs 2015'!C125</f>
        <v>138</v>
      </c>
      <c r="D125" s="754">
        <f>'Func Future Subs 2015'!D125</f>
        <v>25</v>
      </c>
      <c r="E125" s="754" t="str">
        <f>'Func Future Subs 2015'!E125</f>
        <v>580S</v>
      </c>
      <c r="F125" s="754">
        <f>'Func Future Subs 2015'!F125</f>
        <v>932711.63703784568</v>
      </c>
      <c r="G125" s="754" t="str">
        <f>'Func Future Subs 2015'!G125</f>
        <v>AltaLink</v>
      </c>
      <c r="H125" s="754">
        <f>'Func Future Subs 2015'!H125</f>
        <v>2017</v>
      </c>
      <c r="I125" s="306">
        <f>+IF($H125=I$2,VLOOKUP($G125,Depreciation!$A$14:$L$18,7,FALSE)/2,IF($H125&lt;I$2,VLOOKUP($G125,Depreciation!$A$14:$L$18,7,FALSE),0))</f>
        <v>0</v>
      </c>
      <c r="J125" s="306">
        <f>+IF($H125=J$2,VLOOKUP($G125,Depreciation!$A$14:$L$18,8,FALSE)/2,IF($H125&lt;J$2,VLOOKUP($G125,Depreciation!$A$14:$L$18,8,FALSE),0))</f>
        <v>0</v>
      </c>
      <c r="K125" s="306">
        <f>+IF($H125=K$2,VLOOKUP($G125,Depreciation!$A$14:$L$18,9,FALSE)/2,IF($H125&lt;K$2,VLOOKUP($G125,Depreciation!$A$14:$L$18,9,FALSE),0))</f>
        <v>1.671703928371859E-2</v>
      </c>
      <c r="L125" s="306">
        <f>+IF($H125=L$2,VLOOKUP($G125,Depreciation!$A$14:$L$18,10,FALSE)/2,IF($H125&lt;L$2,VLOOKUP($G125,Depreciation!$A$14:$L$18,10,FALSE),0))</f>
        <v>3.343407856743718E-2</v>
      </c>
      <c r="M125" s="306">
        <f>+IF($H125=M$2,VLOOKUP($G125,Depreciation!$A$14:$L$18,11,FALSE)/2,IF($H125&lt;M$2,VLOOKUP($G125,Depreciation!$A$14:$L$18,11,FALSE),0))</f>
        <v>3.343407856743718E-2</v>
      </c>
      <c r="N125" s="306">
        <f>+IF($H125=N$2,VLOOKUP($G125,Depreciation!$A$14:$L$18,12,FALSE)/2,IF($H125&lt;N$2,VLOOKUP($G125,Depreciation!$A$14:$L$18,12,FALSE),0))</f>
        <v>3.343407856743718E-2</v>
      </c>
      <c r="O125" s="307">
        <f t="shared" si="9"/>
        <v>828171.62329167721</v>
      </c>
      <c r="P125" s="732">
        <f>'Func Future Subs 2015'!P125</f>
        <v>0</v>
      </c>
      <c r="Q125" s="732">
        <f>'Func Future Subs 2015'!Q125</f>
        <v>1</v>
      </c>
      <c r="R125" s="732">
        <f>'Func Future Subs 2015'!R125</f>
        <v>0</v>
      </c>
      <c r="S125" s="735">
        <f t="shared" si="10"/>
        <v>0</v>
      </c>
      <c r="T125" s="735">
        <f t="shared" si="11"/>
        <v>828171.62329167721</v>
      </c>
      <c r="U125" s="735">
        <f t="shared" si="12"/>
        <v>0</v>
      </c>
      <c r="V125" s="736">
        <f t="shared" si="13"/>
        <v>0</v>
      </c>
      <c r="W125" s="735">
        <f t="shared" si="14"/>
        <v>0</v>
      </c>
      <c r="X125" s="737">
        <f t="shared" si="15"/>
        <v>0</v>
      </c>
      <c r="Y125" s="738">
        <f t="shared" si="16"/>
        <v>828171.62329167721</v>
      </c>
    </row>
    <row r="126" spans="1:25">
      <c r="A126" s="754" t="str">
        <f>'Func Future Subs 2015'!A126</f>
        <v>Waiparous 639S</v>
      </c>
      <c r="B126" s="754">
        <f>'Func Future Subs 2015'!B126</f>
        <v>813</v>
      </c>
      <c r="C126" s="754">
        <f>'Func Future Subs 2015'!C126</f>
        <v>240</v>
      </c>
      <c r="D126" s="754">
        <f>'Func Future Subs 2015'!D126</f>
        <v>0</v>
      </c>
      <c r="E126" s="754" t="str">
        <f>'Func Future Subs 2015'!E126</f>
        <v>639S</v>
      </c>
      <c r="F126" s="754">
        <f>'Func Future Subs 2015'!F126</f>
        <v>957002.50299688336</v>
      </c>
      <c r="G126" s="754" t="str">
        <f>'Func Future Subs 2015'!G126</f>
        <v>AltaLink</v>
      </c>
      <c r="H126" s="754">
        <f>'Func Future Subs 2015'!H126</f>
        <v>2017</v>
      </c>
      <c r="I126" s="306">
        <f>+IF($H126=I$2,VLOOKUP($G126,Depreciation!$A$14:$L$18,7,FALSE)/2,IF($H126&lt;I$2,VLOOKUP($G126,Depreciation!$A$14:$L$18,7,FALSE),0))</f>
        <v>0</v>
      </c>
      <c r="J126" s="306">
        <f>+IF($H126=J$2,VLOOKUP($G126,Depreciation!$A$14:$L$18,8,FALSE)/2,IF($H126&lt;J$2,VLOOKUP($G126,Depreciation!$A$14:$L$18,8,FALSE),0))</f>
        <v>0</v>
      </c>
      <c r="K126" s="306">
        <f>+IF($H126=K$2,VLOOKUP($G126,Depreciation!$A$14:$L$18,9,FALSE)/2,IF($H126&lt;K$2,VLOOKUP($G126,Depreciation!$A$14:$L$18,9,FALSE),0))</f>
        <v>1.671703928371859E-2</v>
      </c>
      <c r="L126" s="306">
        <f>+IF($H126=L$2,VLOOKUP($G126,Depreciation!$A$14:$L$18,10,FALSE)/2,IF($H126&lt;L$2,VLOOKUP($G126,Depreciation!$A$14:$L$18,10,FALSE),0))</f>
        <v>3.343407856743718E-2</v>
      </c>
      <c r="M126" s="306">
        <f>+IF($H126=M$2,VLOOKUP($G126,Depreciation!$A$14:$L$18,11,FALSE)/2,IF($H126&lt;M$2,VLOOKUP($G126,Depreciation!$A$14:$L$18,11,FALSE),0))</f>
        <v>3.343407856743718E-2</v>
      </c>
      <c r="N126" s="306">
        <f>+IF($H126=N$2,VLOOKUP($G126,Depreciation!$A$14:$L$18,12,FALSE)/2,IF($H126&lt;N$2,VLOOKUP($G126,Depreciation!$A$14:$L$18,12,FALSE),0))</f>
        <v>3.343407856743718E-2</v>
      </c>
      <c r="O126" s="307">
        <f t="shared" si="9"/>
        <v>849739.92489059945</v>
      </c>
      <c r="P126" s="732">
        <f>'Func Future Subs 2015'!P126</f>
        <v>0</v>
      </c>
      <c r="Q126" s="732">
        <f>'Func Future Subs 2015'!Q126</f>
        <v>0</v>
      </c>
      <c r="R126" s="732">
        <f>'Func Future Subs 2015'!R126</f>
        <v>1</v>
      </c>
      <c r="S126" s="735">
        <f t="shared" si="10"/>
        <v>0</v>
      </c>
      <c r="T126" s="735">
        <f t="shared" si="11"/>
        <v>0</v>
      </c>
      <c r="U126" s="735">
        <f t="shared" si="12"/>
        <v>849739.92489059945</v>
      </c>
      <c r="V126" s="736">
        <f t="shared" si="13"/>
        <v>849739.92489059945</v>
      </c>
      <c r="W126" s="735">
        <f t="shared" si="14"/>
        <v>0</v>
      </c>
      <c r="X126" s="737">
        <f t="shared" si="15"/>
        <v>0</v>
      </c>
      <c r="Y126" s="738">
        <f t="shared" si="16"/>
        <v>0</v>
      </c>
    </row>
    <row r="127" spans="1:25">
      <c r="A127" s="754" t="str">
        <f>'Func Future Subs 2015'!A127</f>
        <v>Wolf Creek 288S</v>
      </c>
      <c r="B127" s="754">
        <f>'Func Future Subs 2015'!B127</f>
        <v>813</v>
      </c>
      <c r="C127" s="754">
        <f>'Func Future Subs 2015'!C127</f>
        <v>240</v>
      </c>
      <c r="D127" s="754">
        <f>'Func Future Subs 2015'!D127</f>
        <v>138</v>
      </c>
      <c r="E127" s="754" t="str">
        <f>'Func Future Subs 2015'!E127</f>
        <v>288S</v>
      </c>
      <c r="F127" s="754">
        <f>'Func Future Subs 2015'!F127</f>
        <v>35639737.099017024</v>
      </c>
      <c r="G127" s="754" t="str">
        <f>'Func Future Subs 2015'!G127</f>
        <v>AltaLink</v>
      </c>
      <c r="H127" s="754">
        <f>'Func Future Subs 2015'!H127</f>
        <v>2017</v>
      </c>
      <c r="I127" s="306">
        <f>+IF($H127=I$2,VLOOKUP($G127,Depreciation!$A$14:$L$18,7,FALSE)/2,IF($H127&lt;I$2,VLOOKUP($G127,Depreciation!$A$14:$L$18,7,FALSE),0))</f>
        <v>0</v>
      </c>
      <c r="J127" s="306">
        <f>+IF($H127=J$2,VLOOKUP($G127,Depreciation!$A$14:$L$18,8,FALSE)/2,IF($H127&lt;J$2,VLOOKUP($G127,Depreciation!$A$14:$L$18,8,FALSE),0))</f>
        <v>0</v>
      </c>
      <c r="K127" s="306">
        <f>+IF($H127=K$2,VLOOKUP($G127,Depreciation!$A$14:$L$18,9,FALSE)/2,IF($H127&lt;K$2,VLOOKUP($G127,Depreciation!$A$14:$L$18,9,FALSE),0))</f>
        <v>1.671703928371859E-2</v>
      </c>
      <c r="L127" s="306">
        <f>+IF($H127=L$2,VLOOKUP($G127,Depreciation!$A$14:$L$18,10,FALSE)/2,IF($H127&lt;L$2,VLOOKUP($G127,Depreciation!$A$14:$L$18,10,FALSE),0))</f>
        <v>3.343407856743718E-2</v>
      </c>
      <c r="M127" s="306">
        <f>+IF($H127=M$2,VLOOKUP($G127,Depreciation!$A$14:$L$18,11,FALSE)/2,IF($H127&lt;M$2,VLOOKUP($G127,Depreciation!$A$14:$L$18,11,FALSE),0))</f>
        <v>3.343407856743718E-2</v>
      </c>
      <c r="N127" s="306">
        <f>+IF($H127=N$2,VLOOKUP($G127,Depreciation!$A$14:$L$18,12,FALSE)/2,IF($H127&lt;N$2,VLOOKUP($G127,Depreciation!$A$14:$L$18,12,FALSE),0))</f>
        <v>3.343407856743718E-2</v>
      </c>
      <c r="O127" s="307">
        <f t="shared" si="9"/>
        <v>31645170.656087682</v>
      </c>
      <c r="P127" s="732">
        <f>'Func Future Subs 2015'!P127</f>
        <v>0</v>
      </c>
      <c r="Q127" s="732">
        <f>'Func Future Subs 2015'!Q127</f>
        <v>0</v>
      </c>
      <c r="R127" s="732">
        <f>'Func Future Subs 2015'!R127</f>
        <v>1</v>
      </c>
      <c r="S127" s="735">
        <f t="shared" si="10"/>
        <v>0</v>
      </c>
      <c r="T127" s="735">
        <f t="shared" si="11"/>
        <v>0</v>
      </c>
      <c r="U127" s="735">
        <f t="shared" si="12"/>
        <v>31645170.656087682</v>
      </c>
      <c r="V127" s="736">
        <f t="shared" si="13"/>
        <v>0</v>
      </c>
      <c r="W127" s="735">
        <f t="shared" si="14"/>
        <v>0</v>
      </c>
      <c r="X127" s="737">
        <f t="shared" si="15"/>
        <v>31645170.656087682</v>
      </c>
      <c r="Y127" s="738">
        <f t="shared" si="16"/>
        <v>0</v>
      </c>
    </row>
    <row r="128" spans="1:25">
      <c r="A128" s="754" t="str">
        <f>'Func Future Subs 2015'!A128</f>
        <v>Acheson 305S</v>
      </c>
      <c r="B128" s="754">
        <f>'Func Future Subs 2015'!B128</f>
        <v>850</v>
      </c>
      <c r="C128" s="754">
        <f>'Func Future Subs 2015'!C128</f>
        <v>138</v>
      </c>
      <c r="D128" s="754">
        <f>'Func Future Subs 2015'!D128</f>
        <v>25</v>
      </c>
      <c r="E128" s="754" t="str">
        <f>'Func Future Subs 2015'!E128</f>
        <v>305S</v>
      </c>
      <c r="F128" s="754">
        <f>'Func Future Subs 2015'!F128</f>
        <v>8772223.6609183215</v>
      </c>
      <c r="G128" s="754" t="str">
        <f>'Func Future Subs 2015'!G128</f>
        <v>AltaLink</v>
      </c>
      <c r="H128" s="754">
        <f>'Func Future Subs 2015'!H128</f>
        <v>2017</v>
      </c>
      <c r="I128" s="306">
        <f>+IF($H128=I$2,VLOOKUP($G128,Depreciation!$A$14:$L$18,7,FALSE)/2,IF($H128&lt;I$2,VLOOKUP($G128,Depreciation!$A$14:$L$18,7,FALSE),0))</f>
        <v>0</v>
      </c>
      <c r="J128" s="306">
        <f>+IF($H128=J$2,VLOOKUP($G128,Depreciation!$A$14:$L$18,8,FALSE)/2,IF($H128&lt;J$2,VLOOKUP($G128,Depreciation!$A$14:$L$18,8,FALSE),0))</f>
        <v>0</v>
      </c>
      <c r="K128" s="306">
        <f>+IF($H128=K$2,VLOOKUP($G128,Depreciation!$A$14:$L$18,9,FALSE)/2,IF($H128&lt;K$2,VLOOKUP($G128,Depreciation!$A$14:$L$18,9,FALSE),0))</f>
        <v>1.671703928371859E-2</v>
      </c>
      <c r="L128" s="306">
        <f>+IF($H128=L$2,VLOOKUP($G128,Depreciation!$A$14:$L$18,10,FALSE)/2,IF($H128&lt;L$2,VLOOKUP($G128,Depreciation!$A$14:$L$18,10,FALSE),0))</f>
        <v>3.343407856743718E-2</v>
      </c>
      <c r="M128" s="306">
        <f>+IF($H128=M$2,VLOOKUP($G128,Depreciation!$A$14:$L$18,11,FALSE)/2,IF($H128&lt;M$2,VLOOKUP($G128,Depreciation!$A$14:$L$18,11,FALSE),0))</f>
        <v>3.343407856743718E-2</v>
      </c>
      <c r="N128" s="306">
        <f>+IF($H128=N$2,VLOOKUP($G128,Depreciation!$A$14:$L$18,12,FALSE)/2,IF($H128&lt;N$2,VLOOKUP($G128,Depreciation!$A$14:$L$18,12,FALSE),0))</f>
        <v>3.343407856743718E-2</v>
      </c>
      <c r="O128" s="307">
        <f t="shared" si="9"/>
        <v>7789016.905817382</v>
      </c>
      <c r="P128" s="732">
        <f>'Func Future Subs 2015'!P128</f>
        <v>0</v>
      </c>
      <c r="Q128" s="732">
        <f>'Func Future Subs 2015'!Q128</f>
        <v>1</v>
      </c>
      <c r="R128" s="732">
        <f>'Func Future Subs 2015'!R128</f>
        <v>0</v>
      </c>
      <c r="S128" s="735">
        <f t="shared" si="10"/>
        <v>0</v>
      </c>
      <c r="T128" s="735">
        <f t="shared" si="11"/>
        <v>7789016.905817382</v>
      </c>
      <c r="U128" s="735">
        <f t="shared" si="12"/>
        <v>0</v>
      </c>
      <c r="V128" s="736">
        <f t="shared" si="13"/>
        <v>0</v>
      </c>
      <c r="W128" s="735">
        <f t="shared" si="14"/>
        <v>0</v>
      </c>
      <c r="X128" s="737">
        <f t="shared" si="15"/>
        <v>0</v>
      </c>
      <c r="Y128" s="738">
        <f t="shared" si="16"/>
        <v>7789016.905817382</v>
      </c>
    </row>
    <row r="129" spans="1:25">
      <c r="A129" s="754" t="str">
        <f>'Func Future Subs 2015'!A129</f>
        <v xml:space="preserve">Bardo 197S </v>
      </c>
      <c r="B129" s="754">
        <f>'Func Future Subs 2015'!B129</f>
        <v>850</v>
      </c>
      <c r="C129" s="754">
        <f>'Func Future Subs 2015'!C129</f>
        <v>138</v>
      </c>
      <c r="D129" s="754">
        <f>'Func Future Subs 2015'!D129</f>
        <v>138</v>
      </c>
      <c r="E129" s="754" t="str">
        <f>'Func Future Subs 2015'!E129</f>
        <v>197S</v>
      </c>
      <c r="F129" s="754">
        <f>'Func Future Subs 2015'!F129</f>
        <v>1637012.1502390178</v>
      </c>
      <c r="G129" s="754" t="str">
        <f>'Func Future Subs 2015'!G129</f>
        <v>AltaLink</v>
      </c>
      <c r="H129" s="754">
        <f>'Func Future Subs 2015'!H129</f>
        <v>2017</v>
      </c>
      <c r="I129" s="306">
        <f>+IF($H129=I$2,VLOOKUP($G129,Depreciation!$A$14:$L$18,7,FALSE)/2,IF($H129&lt;I$2,VLOOKUP($G129,Depreciation!$A$14:$L$18,7,FALSE),0))</f>
        <v>0</v>
      </c>
      <c r="J129" s="306">
        <f>+IF($H129=J$2,VLOOKUP($G129,Depreciation!$A$14:$L$18,8,FALSE)/2,IF($H129&lt;J$2,VLOOKUP($G129,Depreciation!$A$14:$L$18,8,FALSE),0))</f>
        <v>0</v>
      </c>
      <c r="K129" s="306">
        <f>+IF($H129=K$2,VLOOKUP($G129,Depreciation!$A$14:$L$18,9,FALSE)/2,IF($H129&lt;K$2,VLOOKUP($G129,Depreciation!$A$14:$L$18,9,FALSE),0))</f>
        <v>1.671703928371859E-2</v>
      </c>
      <c r="L129" s="306">
        <f>+IF($H129=L$2,VLOOKUP($G129,Depreciation!$A$14:$L$18,10,FALSE)/2,IF($H129&lt;L$2,VLOOKUP($G129,Depreciation!$A$14:$L$18,10,FALSE),0))</f>
        <v>3.343407856743718E-2</v>
      </c>
      <c r="M129" s="306">
        <f>+IF($H129=M$2,VLOOKUP($G129,Depreciation!$A$14:$L$18,11,FALSE)/2,IF($H129&lt;M$2,VLOOKUP($G129,Depreciation!$A$14:$L$18,11,FALSE),0))</f>
        <v>3.343407856743718E-2</v>
      </c>
      <c r="N129" s="306">
        <f>+IF($H129=N$2,VLOOKUP($G129,Depreciation!$A$14:$L$18,12,FALSE)/2,IF($H129&lt;N$2,VLOOKUP($G129,Depreciation!$A$14:$L$18,12,FALSE),0))</f>
        <v>3.343407856743718E-2</v>
      </c>
      <c r="O129" s="307">
        <f t="shared" si="9"/>
        <v>1453532.8562182789</v>
      </c>
      <c r="P129" s="732">
        <f>'Func Future Subs 2015'!P129</f>
        <v>0</v>
      </c>
      <c r="Q129" s="732">
        <f>'Func Future Subs 2015'!Q129</f>
        <v>0</v>
      </c>
      <c r="R129" s="732">
        <f>'Func Future Subs 2015'!R129</f>
        <v>1</v>
      </c>
      <c r="S129" s="735">
        <f t="shared" si="10"/>
        <v>0</v>
      </c>
      <c r="T129" s="735">
        <f t="shared" si="11"/>
        <v>0</v>
      </c>
      <c r="U129" s="735">
        <f t="shared" si="12"/>
        <v>1453532.8562182789</v>
      </c>
      <c r="V129" s="736">
        <f t="shared" si="13"/>
        <v>0</v>
      </c>
      <c r="W129" s="735">
        <f t="shared" si="14"/>
        <v>0</v>
      </c>
      <c r="X129" s="737">
        <f t="shared" si="15"/>
        <v>1453532.8562182789</v>
      </c>
      <c r="Y129" s="738">
        <f t="shared" si="16"/>
        <v>0</v>
      </c>
    </row>
    <row r="130" spans="1:25">
      <c r="A130" s="754" t="str">
        <f>'Func Future Subs 2015'!A130</f>
        <v>Bigstone 86S</v>
      </c>
      <c r="B130" s="754">
        <f>'Func Future Subs 2015'!B130</f>
        <v>850</v>
      </c>
      <c r="C130" s="754">
        <f>'Func Future Subs 2015'!C130</f>
        <v>240</v>
      </c>
      <c r="D130" s="754">
        <f>'Func Future Subs 2015'!D130</f>
        <v>138</v>
      </c>
      <c r="E130" s="754" t="str">
        <f>'Func Future Subs 2015'!E130</f>
        <v>86S</v>
      </c>
      <c r="F130" s="754">
        <f>'Func Future Subs 2015'!F130</f>
        <v>413798.77575694869</v>
      </c>
      <c r="G130" s="754" t="str">
        <f>'Func Future Subs 2015'!G130</f>
        <v>AltaLink</v>
      </c>
      <c r="H130" s="754">
        <f>'Func Future Subs 2015'!H130</f>
        <v>2017</v>
      </c>
      <c r="I130" s="306">
        <f>+IF($H130=I$2,VLOOKUP($G130,Depreciation!$A$14:$L$18,7,FALSE)/2,IF($H130&lt;I$2,VLOOKUP($G130,Depreciation!$A$14:$L$18,7,FALSE),0))</f>
        <v>0</v>
      </c>
      <c r="J130" s="306">
        <f>+IF($H130=J$2,VLOOKUP($G130,Depreciation!$A$14:$L$18,8,FALSE)/2,IF($H130&lt;J$2,VLOOKUP($G130,Depreciation!$A$14:$L$18,8,FALSE),0))</f>
        <v>0</v>
      </c>
      <c r="K130" s="306">
        <f>+IF($H130=K$2,VLOOKUP($G130,Depreciation!$A$14:$L$18,9,FALSE)/2,IF($H130&lt;K$2,VLOOKUP($G130,Depreciation!$A$14:$L$18,9,FALSE),0))</f>
        <v>1.671703928371859E-2</v>
      </c>
      <c r="L130" s="306">
        <f>+IF($H130=L$2,VLOOKUP($G130,Depreciation!$A$14:$L$18,10,FALSE)/2,IF($H130&lt;L$2,VLOOKUP($G130,Depreciation!$A$14:$L$18,10,FALSE),0))</f>
        <v>3.343407856743718E-2</v>
      </c>
      <c r="M130" s="306">
        <f>+IF($H130=M$2,VLOOKUP($G130,Depreciation!$A$14:$L$18,11,FALSE)/2,IF($H130&lt;M$2,VLOOKUP($G130,Depreciation!$A$14:$L$18,11,FALSE),0))</f>
        <v>3.343407856743718E-2</v>
      </c>
      <c r="N130" s="306">
        <f>+IF($H130=N$2,VLOOKUP($G130,Depreciation!$A$14:$L$18,12,FALSE)/2,IF($H130&lt;N$2,VLOOKUP($G130,Depreciation!$A$14:$L$18,12,FALSE),0))</f>
        <v>3.343407856743718E-2</v>
      </c>
      <c r="O130" s="307">
        <f t="shared" si="9"/>
        <v>367419.45766120602</v>
      </c>
      <c r="P130" s="732">
        <f>'Func Future Subs 2015'!P130</f>
        <v>0</v>
      </c>
      <c r="Q130" s="732">
        <f>'Func Future Subs 2015'!Q130</f>
        <v>0</v>
      </c>
      <c r="R130" s="732">
        <f>'Func Future Subs 2015'!R130</f>
        <v>1</v>
      </c>
      <c r="S130" s="735">
        <f t="shared" si="10"/>
        <v>0</v>
      </c>
      <c r="T130" s="735">
        <f t="shared" si="11"/>
        <v>0</v>
      </c>
      <c r="U130" s="735">
        <f t="shared" si="12"/>
        <v>367419.45766120602</v>
      </c>
      <c r="V130" s="736">
        <f t="shared" si="13"/>
        <v>0</v>
      </c>
      <c r="W130" s="735">
        <f t="shared" si="14"/>
        <v>0</v>
      </c>
      <c r="X130" s="737">
        <f t="shared" si="15"/>
        <v>367419.45766120602</v>
      </c>
      <c r="Y130" s="738">
        <f t="shared" si="16"/>
        <v>0</v>
      </c>
    </row>
    <row r="131" spans="1:25">
      <c r="A131" s="754" t="str">
        <f>'Func Future Subs 2015'!A131</f>
        <v>Bilby 105S</v>
      </c>
      <c r="B131" s="754">
        <f>'Func Future Subs 2015'!B131</f>
        <v>850</v>
      </c>
      <c r="C131" s="754">
        <f>'Func Future Subs 2015'!C131</f>
        <v>138</v>
      </c>
      <c r="D131" s="754">
        <f>'Func Future Subs 2015'!D131</f>
        <v>25</v>
      </c>
      <c r="E131" s="754" t="str">
        <f>'Func Future Subs 2015'!E131</f>
        <v>105S</v>
      </c>
      <c r="F131" s="754">
        <f>'Func Future Subs 2015'!F131</f>
        <v>109864.19345706432</v>
      </c>
      <c r="G131" s="754" t="str">
        <f>'Func Future Subs 2015'!G131</f>
        <v>AltaLink</v>
      </c>
      <c r="H131" s="754">
        <f>'Func Future Subs 2015'!H131</f>
        <v>2017</v>
      </c>
      <c r="I131" s="306">
        <f>+IF($H131=I$2,VLOOKUP($G131,Depreciation!$A$14:$L$18,7,FALSE)/2,IF($H131&lt;I$2,VLOOKUP($G131,Depreciation!$A$14:$L$18,7,FALSE),0))</f>
        <v>0</v>
      </c>
      <c r="J131" s="306">
        <f>+IF($H131=J$2,VLOOKUP($G131,Depreciation!$A$14:$L$18,8,FALSE)/2,IF($H131&lt;J$2,VLOOKUP($G131,Depreciation!$A$14:$L$18,8,FALSE),0))</f>
        <v>0</v>
      </c>
      <c r="K131" s="306">
        <f>+IF($H131=K$2,VLOOKUP($G131,Depreciation!$A$14:$L$18,9,FALSE)/2,IF($H131&lt;K$2,VLOOKUP($G131,Depreciation!$A$14:$L$18,9,FALSE),0))</f>
        <v>1.671703928371859E-2</v>
      </c>
      <c r="L131" s="306">
        <f>+IF($H131=L$2,VLOOKUP($G131,Depreciation!$A$14:$L$18,10,FALSE)/2,IF($H131&lt;L$2,VLOOKUP($G131,Depreciation!$A$14:$L$18,10,FALSE),0))</f>
        <v>3.343407856743718E-2</v>
      </c>
      <c r="M131" s="306">
        <f>+IF($H131=M$2,VLOOKUP($G131,Depreciation!$A$14:$L$18,11,FALSE)/2,IF($H131&lt;M$2,VLOOKUP($G131,Depreciation!$A$14:$L$18,11,FALSE),0))</f>
        <v>3.343407856743718E-2</v>
      </c>
      <c r="N131" s="306">
        <f>+IF($H131=N$2,VLOOKUP($G131,Depreciation!$A$14:$L$18,12,FALSE)/2,IF($H131&lt;N$2,VLOOKUP($G131,Depreciation!$A$14:$L$18,12,FALSE),0))</f>
        <v>3.343407856743718E-2</v>
      </c>
      <c r="O131" s="307">
        <f t="shared" si="9"/>
        <v>97550.415180759635</v>
      </c>
      <c r="P131" s="732">
        <f>'Func Future Subs 2015'!P131</f>
        <v>0</v>
      </c>
      <c r="Q131" s="732">
        <f>'Func Future Subs 2015'!Q131</f>
        <v>1</v>
      </c>
      <c r="R131" s="732">
        <f>'Func Future Subs 2015'!R131</f>
        <v>0</v>
      </c>
      <c r="S131" s="735">
        <f t="shared" si="10"/>
        <v>0</v>
      </c>
      <c r="T131" s="735">
        <f t="shared" si="11"/>
        <v>97550.415180759635</v>
      </c>
      <c r="U131" s="735">
        <f t="shared" si="12"/>
        <v>0</v>
      </c>
      <c r="V131" s="736">
        <f t="shared" si="13"/>
        <v>0</v>
      </c>
      <c r="W131" s="735">
        <f t="shared" si="14"/>
        <v>0</v>
      </c>
      <c r="X131" s="737">
        <f t="shared" si="15"/>
        <v>0</v>
      </c>
      <c r="Y131" s="738">
        <f t="shared" si="16"/>
        <v>97550.415180759635</v>
      </c>
    </row>
    <row r="132" spans="1:25">
      <c r="A132" s="754" t="str">
        <f>'Func Future Subs 2015'!A132</f>
        <v>Bretona 45S</v>
      </c>
      <c r="B132" s="754">
        <f>'Func Future Subs 2015'!B132</f>
        <v>850</v>
      </c>
      <c r="C132" s="754">
        <f>'Func Future Subs 2015'!C132</f>
        <v>138</v>
      </c>
      <c r="D132" s="754">
        <f>'Func Future Subs 2015'!D132</f>
        <v>25</v>
      </c>
      <c r="E132" s="754" t="str">
        <f>'Func Future Subs 2015'!E132</f>
        <v>45S</v>
      </c>
      <c r="F132" s="754">
        <f>'Func Future Subs 2015'!F132</f>
        <v>22946.871241679786</v>
      </c>
      <c r="G132" s="754" t="str">
        <f>'Func Future Subs 2015'!G132</f>
        <v>AltaLink</v>
      </c>
      <c r="H132" s="754">
        <f>'Func Future Subs 2015'!H132</f>
        <v>2017</v>
      </c>
      <c r="I132" s="306">
        <f>+IF($H132=I$2,VLOOKUP($G132,Depreciation!$A$14:$L$18,7,FALSE)/2,IF($H132&lt;I$2,VLOOKUP($G132,Depreciation!$A$14:$L$18,7,FALSE),0))</f>
        <v>0</v>
      </c>
      <c r="J132" s="306">
        <f>+IF($H132=J$2,VLOOKUP($G132,Depreciation!$A$14:$L$18,8,FALSE)/2,IF($H132&lt;J$2,VLOOKUP($G132,Depreciation!$A$14:$L$18,8,FALSE),0))</f>
        <v>0</v>
      </c>
      <c r="K132" s="306">
        <f>+IF($H132=K$2,VLOOKUP($G132,Depreciation!$A$14:$L$18,9,FALSE)/2,IF($H132&lt;K$2,VLOOKUP($G132,Depreciation!$A$14:$L$18,9,FALSE),0))</f>
        <v>1.671703928371859E-2</v>
      </c>
      <c r="L132" s="306">
        <f>+IF($H132=L$2,VLOOKUP($G132,Depreciation!$A$14:$L$18,10,FALSE)/2,IF($H132&lt;L$2,VLOOKUP($G132,Depreciation!$A$14:$L$18,10,FALSE),0))</f>
        <v>3.343407856743718E-2</v>
      </c>
      <c r="M132" s="306">
        <f>+IF($H132=M$2,VLOOKUP($G132,Depreciation!$A$14:$L$18,11,FALSE)/2,IF($H132&lt;M$2,VLOOKUP($G132,Depreciation!$A$14:$L$18,11,FALSE),0))</f>
        <v>3.343407856743718E-2</v>
      </c>
      <c r="N132" s="306">
        <f>+IF($H132=N$2,VLOOKUP($G132,Depreciation!$A$14:$L$18,12,FALSE)/2,IF($H132&lt;N$2,VLOOKUP($G132,Depreciation!$A$14:$L$18,12,FALSE),0))</f>
        <v>3.343407856743718E-2</v>
      </c>
      <c r="O132" s="307">
        <f t="shared" ref="O132:O195" si="17">IF(H132&lt;=2020,F132*(1-I132)*(1-J132)*(1-K132)*(1-L132)*(1-M132)*(1-N132),0)</f>
        <v>20374.94424969413</v>
      </c>
      <c r="P132" s="732">
        <f>'Func Future Subs 2015'!P132</f>
        <v>0</v>
      </c>
      <c r="Q132" s="732">
        <f>'Func Future Subs 2015'!Q132</f>
        <v>1</v>
      </c>
      <c r="R132" s="732">
        <f>'Func Future Subs 2015'!R132</f>
        <v>0</v>
      </c>
      <c r="S132" s="735">
        <f t="shared" ref="S132:S195" si="18">+P132*$O132</f>
        <v>0</v>
      </c>
      <c r="T132" s="735">
        <f t="shared" ref="T132:T195" si="19">+Q132*$O132</f>
        <v>20374.94424969413</v>
      </c>
      <c r="U132" s="735">
        <f t="shared" ref="U132:U195" si="20">+R132*$O132</f>
        <v>0</v>
      </c>
      <c r="V132" s="736">
        <f t="shared" ref="V132:V195" si="21">IF(AND(R132=1,D132=0),O132,0)</f>
        <v>0</v>
      </c>
      <c r="W132" s="735">
        <f t="shared" ref="W132:W195" si="22">S132+IF(D132&gt;144,U132,0)</f>
        <v>0</v>
      </c>
      <c r="X132" s="737">
        <f t="shared" ref="X132:X195" si="23">IF(AND(D132&lt;=144,D132&gt;=69),U132,0)</f>
        <v>0</v>
      </c>
      <c r="Y132" s="738">
        <f t="shared" ref="Y132:Y195" si="24">T132+IF(AND(D132&lt;69,D132&gt;0),U132,0)</f>
        <v>20374.94424969413</v>
      </c>
    </row>
    <row r="133" spans="1:25">
      <c r="A133" s="754" t="str">
        <f>'Func Future Subs 2015'!A133</f>
        <v>Carvel 432S</v>
      </c>
      <c r="B133" s="754">
        <f>'Func Future Subs 2015'!B133</f>
        <v>850</v>
      </c>
      <c r="C133" s="754">
        <f>'Func Future Subs 2015'!C133</f>
        <v>138</v>
      </c>
      <c r="D133" s="754">
        <f>'Func Future Subs 2015'!D133</f>
        <v>25</v>
      </c>
      <c r="E133" s="754" t="str">
        <f>'Func Future Subs 2015'!E133</f>
        <v>432S</v>
      </c>
      <c r="F133" s="754">
        <f>'Func Future Subs 2015'!F133</f>
        <v>125476.41366771194</v>
      </c>
      <c r="G133" s="754" t="str">
        <f>'Func Future Subs 2015'!G133</f>
        <v>AltaLink</v>
      </c>
      <c r="H133" s="754">
        <f>'Func Future Subs 2015'!H133</f>
        <v>2017</v>
      </c>
      <c r="I133" s="306">
        <f>+IF($H133=I$2,VLOOKUP($G133,Depreciation!$A$14:$L$18,7,FALSE)/2,IF($H133&lt;I$2,VLOOKUP($G133,Depreciation!$A$14:$L$18,7,FALSE),0))</f>
        <v>0</v>
      </c>
      <c r="J133" s="306">
        <f>+IF($H133=J$2,VLOOKUP($G133,Depreciation!$A$14:$L$18,8,FALSE)/2,IF($H133&lt;J$2,VLOOKUP($G133,Depreciation!$A$14:$L$18,8,FALSE),0))</f>
        <v>0</v>
      </c>
      <c r="K133" s="306">
        <f>+IF($H133=K$2,VLOOKUP($G133,Depreciation!$A$14:$L$18,9,FALSE)/2,IF($H133&lt;K$2,VLOOKUP($G133,Depreciation!$A$14:$L$18,9,FALSE),0))</f>
        <v>1.671703928371859E-2</v>
      </c>
      <c r="L133" s="306">
        <f>+IF($H133=L$2,VLOOKUP($G133,Depreciation!$A$14:$L$18,10,FALSE)/2,IF($H133&lt;L$2,VLOOKUP($G133,Depreciation!$A$14:$L$18,10,FALSE),0))</f>
        <v>3.343407856743718E-2</v>
      </c>
      <c r="M133" s="306">
        <f>+IF($H133=M$2,VLOOKUP($G133,Depreciation!$A$14:$L$18,11,FALSE)/2,IF($H133&lt;M$2,VLOOKUP($G133,Depreciation!$A$14:$L$18,11,FALSE),0))</f>
        <v>3.343407856743718E-2</v>
      </c>
      <c r="N133" s="306">
        <f>+IF($H133=N$2,VLOOKUP($G133,Depreciation!$A$14:$L$18,12,FALSE)/2,IF($H133&lt;N$2,VLOOKUP($G133,Depreciation!$A$14:$L$18,12,FALSE),0))</f>
        <v>3.343407856743718E-2</v>
      </c>
      <c r="O133" s="307">
        <f t="shared" si="17"/>
        <v>111412.78940405298</v>
      </c>
      <c r="P133" s="732">
        <f>'Func Future Subs 2015'!P133</f>
        <v>0</v>
      </c>
      <c r="Q133" s="732">
        <f>'Func Future Subs 2015'!Q133</f>
        <v>1</v>
      </c>
      <c r="R133" s="732">
        <f>'Func Future Subs 2015'!R133</f>
        <v>0</v>
      </c>
      <c r="S133" s="735">
        <f t="shared" si="18"/>
        <v>0</v>
      </c>
      <c r="T133" s="735">
        <f t="shared" si="19"/>
        <v>111412.78940405298</v>
      </c>
      <c r="U133" s="735">
        <f t="shared" si="20"/>
        <v>0</v>
      </c>
      <c r="V133" s="736">
        <f t="shared" si="21"/>
        <v>0</v>
      </c>
      <c r="W133" s="735">
        <f t="shared" si="22"/>
        <v>0</v>
      </c>
      <c r="X133" s="737">
        <f t="shared" si="23"/>
        <v>0</v>
      </c>
      <c r="Y133" s="738">
        <f t="shared" si="24"/>
        <v>111412.78940405298</v>
      </c>
    </row>
    <row r="134" spans="1:25">
      <c r="A134" s="754" t="str">
        <f>'Func Future Subs 2015'!A134</f>
        <v>Cooking Lake 522S</v>
      </c>
      <c r="B134" s="754">
        <f>'Func Future Subs 2015'!B134</f>
        <v>850</v>
      </c>
      <c r="C134" s="754">
        <f>'Func Future Subs 2015'!C134</f>
        <v>138</v>
      </c>
      <c r="D134" s="754">
        <f>'Func Future Subs 2015'!D134</f>
        <v>25</v>
      </c>
      <c r="E134" s="754" t="str">
        <f>'Func Future Subs 2015'!E134</f>
        <v>522S</v>
      </c>
      <c r="F134" s="754">
        <f>'Func Future Subs 2015'!F134</f>
        <v>6420665.4815754285</v>
      </c>
      <c r="G134" s="754" t="str">
        <f>'Func Future Subs 2015'!G134</f>
        <v>AltaLink</v>
      </c>
      <c r="H134" s="754">
        <f>'Func Future Subs 2015'!H134</f>
        <v>2017</v>
      </c>
      <c r="I134" s="306">
        <f>+IF($H134=I$2,VLOOKUP($G134,Depreciation!$A$14:$L$18,7,FALSE)/2,IF($H134&lt;I$2,VLOOKUP($G134,Depreciation!$A$14:$L$18,7,FALSE),0))</f>
        <v>0</v>
      </c>
      <c r="J134" s="306">
        <f>+IF($H134=J$2,VLOOKUP($G134,Depreciation!$A$14:$L$18,8,FALSE)/2,IF($H134&lt;J$2,VLOOKUP($G134,Depreciation!$A$14:$L$18,8,FALSE),0))</f>
        <v>0</v>
      </c>
      <c r="K134" s="306">
        <f>+IF($H134=K$2,VLOOKUP($G134,Depreciation!$A$14:$L$18,9,FALSE)/2,IF($H134&lt;K$2,VLOOKUP($G134,Depreciation!$A$14:$L$18,9,FALSE),0))</f>
        <v>1.671703928371859E-2</v>
      </c>
      <c r="L134" s="306">
        <f>+IF($H134=L$2,VLOOKUP($G134,Depreciation!$A$14:$L$18,10,FALSE)/2,IF($H134&lt;L$2,VLOOKUP($G134,Depreciation!$A$14:$L$18,10,FALSE),0))</f>
        <v>3.343407856743718E-2</v>
      </c>
      <c r="M134" s="306">
        <f>+IF($H134=M$2,VLOOKUP($G134,Depreciation!$A$14:$L$18,11,FALSE)/2,IF($H134&lt;M$2,VLOOKUP($G134,Depreciation!$A$14:$L$18,11,FALSE),0))</f>
        <v>3.343407856743718E-2</v>
      </c>
      <c r="N134" s="306">
        <f>+IF($H134=N$2,VLOOKUP($G134,Depreciation!$A$14:$L$18,12,FALSE)/2,IF($H134&lt;N$2,VLOOKUP($G134,Depreciation!$A$14:$L$18,12,FALSE),0))</f>
        <v>3.343407856743718E-2</v>
      </c>
      <c r="O134" s="307">
        <f t="shared" si="17"/>
        <v>5701025.636794325</v>
      </c>
      <c r="P134" s="732">
        <f>'Func Future Subs 2015'!P134</f>
        <v>0</v>
      </c>
      <c r="Q134" s="732">
        <f>'Func Future Subs 2015'!Q134</f>
        <v>1</v>
      </c>
      <c r="R134" s="732">
        <f>'Func Future Subs 2015'!R134</f>
        <v>0</v>
      </c>
      <c r="S134" s="735">
        <f t="shared" si="18"/>
        <v>0</v>
      </c>
      <c r="T134" s="735">
        <f t="shared" si="19"/>
        <v>5701025.636794325</v>
      </c>
      <c r="U134" s="735">
        <f t="shared" si="20"/>
        <v>0</v>
      </c>
      <c r="V134" s="736">
        <f t="shared" si="21"/>
        <v>0</v>
      </c>
      <c r="W134" s="735">
        <f t="shared" si="22"/>
        <v>0</v>
      </c>
      <c r="X134" s="737">
        <f t="shared" si="23"/>
        <v>0</v>
      </c>
      <c r="Y134" s="738">
        <f t="shared" si="24"/>
        <v>5701025.636794325</v>
      </c>
    </row>
    <row r="135" spans="1:25">
      <c r="A135" s="754" t="str">
        <f>'Func Future Subs 2015'!A135</f>
        <v>East Camrose 285S</v>
      </c>
      <c r="B135" s="754">
        <f>'Func Future Subs 2015'!B135</f>
        <v>850</v>
      </c>
      <c r="C135" s="754">
        <f>'Func Future Subs 2015'!C135</f>
        <v>138</v>
      </c>
      <c r="D135" s="754">
        <f>'Func Future Subs 2015'!D135</f>
        <v>25</v>
      </c>
      <c r="E135" s="754" t="str">
        <f>'Func Future Subs 2015'!E135</f>
        <v>285S</v>
      </c>
      <c r="F135" s="754">
        <f>'Func Future Subs 2015'!F135</f>
        <v>22946.871241679786</v>
      </c>
      <c r="G135" s="754" t="str">
        <f>'Func Future Subs 2015'!G135</f>
        <v>AltaLink</v>
      </c>
      <c r="H135" s="754">
        <f>'Func Future Subs 2015'!H135</f>
        <v>2017</v>
      </c>
      <c r="I135" s="306">
        <f>+IF($H135=I$2,VLOOKUP($G135,Depreciation!$A$14:$L$18,7,FALSE)/2,IF($H135&lt;I$2,VLOOKUP($G135,Depreciation!$A$14:$L$18,7,FALSE),0))</f>
        <v>0</v>
      </c>
      <c r="J135" s="306">
        <f>+IF($H135=J$2,VLOOKUP($G135,Depreciation!$A$14:$L$18,8,FALSE)/2,IF($H135&lt;J$2,VLOOKUP($G135,Depreciation!$A$14:$L$18,8,FALSE),0))</f>
        <v>0</v>
      </c>
      <c r="K135" s="306">
        <f>+IF($H135=K$2,VLOOKUP($G135,Depreciation!$A$14:$L$18,9,FALSE)/2,IF($H135&lt;K$2,VLOOKUP($G135,Depreciation!$A$14:$L$18,9,FALSE),0))</f>
        <v>1.671703928371859E-2</v>
      </c>
      <c r="L135" s="306">
        <f>+IF($H135=L$2,VLOOKUP($G135,Depreciation!$A$14:$L$18,10,FALSE)/2,IF($H135&lt;L$2,VLOOKUP($G135,Depreciation!$A$14:$L$18,10,FALSE),0))</f>
        <v>3.343407856743718E-2</v>
      </c>
      <c r="M135" s="306">
        <f>+IF($H135=M$2,VLOOKUP($G135,Depreciation!$A$14:$L$18,11,FALSE)/2,IF($H135&lt;M$2,VLOOKUP($G135,Depreciation!$A$14:$L$18,11,FALSE),0))</f>
        <v>3.343407856743718E-2</v>
      </c>
      <c r="N135" s="306">
        <f>+IF($H135=N$2,VLOOKUP($G135,Depreciation!$A$14:$L$18,12,FALSE)/2,IF($H135&lt;N$2,VLOOKUP($G135,Depreciation!$A$14:$L$18,12,FALSE),0))</f>
        <v>3.343407856743718E-2</v>
      </c>
      <c r="O135" s="307">
        <f t="shared" si="17"/>
        <v>20374.94424969413</v>
      </c>
      <c r="P135" s="732">
        <f>'Func Future Subs 2015'!P135</f>
        <v>0</v>
      </c>
      <c r="Q135" s="732">
        <f>'Func Future Subs 2015'!Q135</f>
        <v>1</v>
      </c>
      <c r="R135" s="732">
        <f>'Func Future Subs 2015'!R135</f>
        <v>0</v>
      </c>
      <c r="S135" s="735">
        <f t="shared" si="18"/>
        <v>0</v>
      </c>
      <c r="T135" s="735">
        <f t="shared" si="19"/>
        <v>20374.94424969413</v>
      </c>
      <c r="U135" s="735">
        <f t="shared" si="20"/>
        <v>0</v>
      </c>
      <c r="V135" s="736">
        <f t="shared" si="21"/>
        <v>0</v>
      </c>
      <c r="W135" s="735">
        <f t="shared" si="22"/>
        <v>0</v>
      </c>
      <c r="X135" s="737">
        <f t="shared" si="23"/>
        <v>0</v>
      </c>
      <c r="Y135" s="738">
        <f t="shared" si="24"/>
        <v>20374.94424969413</v>
      </c>
    </row>
    <row r="136" spans="1:25">
      <c r="A136" s="754" t="str">
        <f>'Func Future Subs 2015'!A136</f>
        <v>East Edmonton 38S</v>
      </c>
      <c r="B136" s="754">
        <f>'Func Future Subs 2015'!B136</f>
        <v>850</v>
      </c>
      <c r="C136" s="754">
        <f>'Func Future Subs 2015'!C136</f>
        <v>240</v>
      </c>
      <c r="D136" s="754">
        <f>'Func Future Subs 2015'!D136</f>
        <v>25</v>
      </c>
      <c r="E136" s="754" t="str">
        <f>'Func Future Subs 2015'!E136</f>
        <v>38S</v>
      </c>
      <c r="F136" s="754">
        <f>'Func Future Subs 2015'!F136</f>
        <v>101645.43808550939</v>
      </c>
      <c r="G136" s="754" t="str">
        <f>'Func Future Subs 2015'!G136</f>
        <v>AltaLink</v>
      </c>
      <c r="H136" s="754">
        <f>'Func Future Subs 2015'!H136</f>
        <v>2017</v>
      </c>
      <c r="I136" s="306">
        <f>+IF($H136=I$2,VLOOKUP($G136,Depreciation!$A$14:$L$18,7,FALSE)/2,IF($H136&lt;I$2,VLOOKUP($G136,Depreciation!$A$14:$L$18,7,FALSE),0))</f>
        <v>0</v>
      </c>
      <c r="J136" s="306">
        <f>+IF($H136=J$2,VLOOKUP($G136,Depreciation!$A$14:$L$18,8,FALSE)/2,IF($H136&lt;J$2,VLOOKUP($G136,Depreciation!$A$14:$L$18,8,FALSE),0))</f>
        <v>0</v>
      </c>
      <c r="K136" s="306">
        <f>+IF($H136=K$2,VLOOKUP($G136,Depreciation!$A$14:$L$18,9,FALSE)/2,IF($H136&lt;K$2,VLOOKUP($G136,Depreciation!$A$14:$L$18,9,FALSE),0))</f>
        <v>1.671703928371859E-2</v>
      </c>
      <c r="L136" s="306">
        <f>+IF($H136=L$2,VLOOKUP($G136,Depreciation!$A$14:$L$18,10,FALSE)/2,IF($H136&lt;L$2,VLOOKUP($G136,Depreciation!$A$14:$L$18,10,FALSE),0))</f>
        <v>3.343407856743718E-2</v>
      </c>
      <c r="M136" s="306">
        <f>+IF($H136=M$2,VLOOKUP($G136,Depreciation!$A$14:$L$18,11,FALSE)/2,IF($H136&lt;M$2,VLOOKUP($G136,Depreciation!$A$14:$L$18,11,FALSE),0))</f>
        <v>3.343407856743718E-2</v>
      </c>
      <c r="N136" s="306">
        <f>+IF($H136=N$2,VLOOKUP($G136,Depreciation!$A$14:$L$18,12,FALSE)/2,IF($H136&lt;N$2,VLOOKUP($G136,Depreciation!$A$14:$L$18,12,FALSE),0))</f>
        <v>3.343407856743718E-2</v>
      </c>
      <c r="O136" s="307">
        <f t="shared" si="17"/>
        <v>90252.832833535562</v>
      </c>
      <c r="P136" s="732">
        <f>'Func Future Subs 2015'!P136</f>
        <v>0</v>
      </c>
      <c r="Q136" s="732">
        <f>'Func Future Subs 2015'!Q136</f>
        <v>1</v>
      </c>
      <c r="R136" s="732">
        <f>'Func Future Subs 2015'!R136</f>
        <v>0</v>
      </c>
      <c r="S136" s="735">
        <f t="shared" si="18"/>
        <v>0</v>
      </c>
      <c r="T136" s="735">
        <f t="shared" si="19"/>
        <v>90252.832833535562</v>
      </c>
      <c r="U136" s="735">
        <f t="shared" si="20"/>
        <v>0</v>
      </c>
      <c r="V136" s="736">
        <f t="shared" si="21"/>
        <v>0</v>
      </c>
      <c r="W136" s="735">
        <f t="shared" si="22"/>
        <v>0</v>
      </c>
      <c r="X136" s="737">
        <f t="shared" si="23"/>
        <v>0</v>
      </c>
      <c r="Y136" s="738">
        <f t="shared" si="24"/>
        <v>90252.832833535562</v>
      </c>
    </row>
    <row r="137" spans="1:25">
      <c r="A137" s="754" t="str">
        <f>'Func Future Subs 2015'!A137</f>
        <v>East Edmonton 38S dev3</v>
      </c>
      <c r="B137" s="754">
        <f>'Func Future Subs 2015'!B137</f>
        <v>850</v>
      </c>
      <c r="C137" s="754">
        <f>'Func Future Subs 2015'!C137</f>
        <v>240</v>
      </c>
      <c r="D137" s="754">
        <f>'Func Future Subs 2015'!D137</f>
        <v>25</v>
      </c>
      <c r="E137" s="754" t="str">
        <f>'Func Future Subs 2015'!E137</f>
        <v>38S</v>
      </c>
      <c r="F137" s="754">
        <f>'Func Future Subs 2015'!F137</f>
        <v>98365.145371423874</v>
      </c>
      <c r="G137" s="754" t="str">
        <f>'Func Future Subs 2015'!G137</f>
        <v>AltaLink</v>
      </c>
      <c r="H137" s="754">
        <f>'Func Future Subs 2015'!H137</f>
        <v>2017</v>
      </c>
      <c r="I137" s="306">
        <f>+IF($H137=I$2,VLOOKUP($G137,Depreciation!$A$14:$L$18,7,FALSE)/2,IF($H137&lt;I$2,VLOOKUP($G137,Depreciation!$A$14:$L$18,7,FALSE),0))</f>
        <v>0</v>
      </c>
      <c r="J137" s="306">
        <f>+IF($H137=J$2,VLOOKUP($G137,Depreciation!$A$14:$L$18,8,FALSE)/2,IF($H137&lt;J$2,VLOOKUP($G137,Depreciation!$A$14:$L$18,8,FALSE),0))</f>
        <v>0</v>
      </c>
      <c r="K137" s="306">
        <f>+IF($H137=K$2,VLOOKUP($G137,Depreciation!$A$14:$L$18,9,FALSE)/2,IF($H137&lt;K$2,VLOOKUP($G137,Depreciation!$A$14:$L$18,9,FALSE),0))</f>
        <v>1.671703928371859E-2</v>
      </c>
      <c r="L137" s="306">
        <f>+IF($H137=L$2,VLOOKUP($G137,Depreciation!$A$14:$L$18,10,FALSE)/2,IF($H137&lt;L$2,VLOOKUP($G137,Depreciation!$A$14:$L$18,10,FALSE),0))</f>
        <v>3.343407856743718E-2</v>
      </c>
      <c r="M137" s="306">
        <f>+IF($H137=M$2,VLOOKUP($G137,Depreciation!$A$14:$L$18,11,FALSE)/2,IF($H137&lt;M$2,VLOOKUP($G137,Depreciation!$A$14:$L$18,11,FALSE),0))</f>
        <v>3.343407856743718E-2</v>
      </c>
      <c r="N137" s="306">
        <f>+IF($H137=N$2,VLOOKUP($G137,Depreciation!$A$14:$L$18,12,FALSE)/2,IF($H137&lt;N$2,VLOOKUP($G137,Depreciation!$A$14:$L$18,12,FALSE),0))</f>
        <v>3.343407856743718E-2</v>
      </c>
      <c r="O137" s="307">
        <f t="shared" si="17"/>
        <v>87340.201282669834</v>
      </c>
      <c r="P137" s="732">
        <f>'Func Future Subs 2015'!P137</f>
        <v>0</v>
      </c>
      <c r="Q137" s="732">
        <f>'Func Future Subs 2015'!Q137</f>
        <v>1</v>
      </c>
      <c r="R137" s="732">
        <f>'Func Future Subs 2015'!R137</f>
        <v>0</v>
      </c>
      <c r="S137" s="735">
        <f t="shared" si="18"/>
        <v>0</v>
      </c>
      <c r="T137" s="735">
        <f t="shared" si="19"/>
        <v>87340.201282669834</v>
      </c>
      <c r="U137" s="735">
        <f t="shared" si="20"/>
        <v>0</v>
      </c>
      <c r="V137" s="736">
        <f t="shared" si="21"/>
        <v>0</v>
      </c>
      <c r="W137" s="735">
        <f t="shared" si="22"/>
        <v>0</v>
      </c>
      <c r="X137" s="737">
        <f t="shared" si="23"/>
        <v>0</v>
      </c>
      <c r="Y137" s="738">
        <f t="shared" si="24"/>
        <v>87340.201282669834</v>
      </c>
    </row>
    <row r="138" spans="1:25">
      <c r="A138" s="754" t="str">
        <f>'Func Future Subs 2015'!A138</f>
        <v>Ellerslie 89S</v>
      </c>
      <c r="B138" s="754">
        <f>'Func Future Subs 2015'!B138</f>
        <v>850</v>
      </c>
      <c r="C138" s="754">
        <f>'Func Future Subs 2015'!C138</f>
        <v>500</v>
      </c>
      <c r="D138" s="754">
        <f>'Func Future Subs 2015'!D138</f>
        <v>240</v>
      </c>
      <c r="E138" s="754" t="str">
        <f>'Func Future Subs 2015'!E138</f>
        <v>89S</v>
      </c>
      <c r="F138" s="754">
        <f>'Func Future Subs 2015'!F138</f>
        <v>655238.94394348608</v>
      </c>
      <c r="G138" s="754" t="str">
        <f>'Func Future Subs 2015'!G138</f>
        <v>AltaLink</v>
      </c>
      <c r="H138" s="754">
        <f>'Func Future Subs 2015'!H138</f>
        <v>2017</v>
      </c>
      <c r="I138" s="306">
        <f>+IF($H138=I$2,VLOOKUP($G138,Depreciation!$A$14:$L$18,7,FALSE)/2,IF($H138&lt;I$2,VLOOKUP($G138,Depreciation!$A$14:$L$18,7,FALSE),0))</f>
        <v>0</v>
      </c>
      <c r="J138" s="306">
        <f>+IF($H138=J$2,VLOOKUP($G138,Depreciation!$A$14:$L$18,8,FALSE)/2,IF($H138&lt;J$2,VLOOKUP($G138,Depreciation!$A$14:$L$18,8,FALSE),0))</f>
        <v>0</v>
      </c>
      <c r="K138" s="306">
        <f>+IF($H138=K$2,VLOOKUP($G138,Depreciation!$A$14:$L$18,9,FALSE)/2,IF($H138&lt;K$2,VLOOKUP($G138,Depreciation!$A$14:$L$18,9,FALSE),0))</f>
        <v>1.671703928371859E-2</v>
      </c>
      <c r="L138" s="306">
        <f>+IF($H138=L$2,VLOOKUP($G138,Depreciation!$A$14:$L$18,10,FALSE)/2,IF($H138&lt;L$2,VLOOKUP($G138,Depreciation!$A$14:$L$18,10,FALSE),0))</f>
        <v>3.343407856743718E-2</v>
      </c>
      <c r="M138" s="306">
        <f>+IF($H138=M$2,VLOOKUP($G138,Depreciation!$A$14:$L$18,11,FALSE)/2,IF($H138&lt;M$2,VLOOKUP($G138,Depreciation!$A$14:$L$18,11,FALSE),0))</f>
        <v>3.343407856743718E-2</v>
      </c>
      <c r="N138" s="306">
        <f>+IF($H138=N$2,VLOOKUP($G138,Depreciation!$A$14:$L$18,12,FALSE)/2,IF($H138&lt;N$2,VLOOKUP($G138,Depreciation!$A$14:$L$18,12,FALSE),0))</f>
        <v>3.343407856743718E-2</v>
      </c>
      <c r="O138" s="307">
        <f t="shared" si="17"/>
        <v>581798.57342938101</v>
      </c>
      <c r="P138" s="732">
        <f>'Func Future Subs 2015'!P138</f>
        <v>0</v>
      </c>
      <c r="Q138" s="732">
        <f>'Func Future Subs 2015'!Q138</f>
        <v>0</v>
      </c>
      <c r="R138" s="732">
        <f>'Func Future Subs 2015'!R138</f>
        <v>1</v>
      </c>
      <c r="S138" s="735">
        <f t="shared" si="18"/>
        <v>0</v>
      </c>
      <c r="T138" s="735">
        <f t="shared" si="19"/>
        <v>0</v>
      </c>
      <c r="U138" s="735">
        <f t="shared" si="20"/>
        <v>581798.57342938101</v>
      </c>
      <c r="V138" s="736">
        <f t="shared" si="21"/>
        <v>0</v>
      </c>
      <c r="W138" s="735">
        <f t="shared" si="22"/>
        <v>581798.57342938101</v>
      </c>
      <c r="X138" s="737">
        <f t="shared" si="23"/>
        <v>0</v>
      </c>
      <c r="Y138" s="738">
        <f t="shared" si="24"/>
        <v>0</v>
      </c>
    </row>
    <row r="139" spans="1:25">
      <c r="A139" s="754" t="str">
        <f>'Func Future Subs 2015'!A139</f>
        <v>Harry smith 376S</v>
      </c>
      <c r="B139" s="754">
        <f>'Func Future Subs 2015'!B139</f>
        <v>850</v>
      </c>
      <c r="C139" s="754">
        <f>'Func Future Subs 2015'!C139</f>
        <v>240</v>
      </c>
      <c r="D139" s="754">
        <f>'Func Future Subs 2015'!D139</f>
        <v>138</v>
      </c>
      <c r="E139" s="754" t="str">
        <f>'Func Future Subs 2015'!E139</f>
        <v>376S</v>
      </c>
      <c r="F139" s="754">
        <f>'Func Future Subs 2015'!F139</f>
        <v>55595620.830533721</v>
      </c>
      <c r="G139" s="754" t="str">
        <f>'Func Future Subs 2015'!G139</f>
        <v>AltaLink</v>
      </c>
      <c r="H139" s="754">
        <f>'Func Future Subs 2015'!H139</f>
        <v>2017</v>
      </c>
      <c r="I139" s="306">
        <f>+IF($H139=I$2,VLOOKUP($G139,Depreciation!$A$14:$L$18,7,FALSE)/2,IF($H139&lt;I$2,VLOOKUP($G139,Depreciation!$A$14:$L$18,7,FALSE),0))</f>
        <v>0</v>
      </c>
      <c r="J139" s="306">
        <f>+IF($H139=J$2,VLOOKUP($G139,Depreciation!$A$14:$L$18,8,FALSE)/2,IF($H139&lt;J$2,VLOOKUP($G139,Depreciation!$A$14:$L$18,8,FALSE),0))</f>
        <v>0</v>
      </c>
      <c r="K139" s="306">
        <f>+IF($H139=K$2,VLOOKUP($G139,Depreciation!$A$14:$L$18,9,FALSE)/2,IF($H139&lt;K$2,VLOOKUP($G139,Depreciation!$A$14:$L$18,9,FALSE),0))</f>
        <v>1.671703928371859E-2</v>
      </c>
      <c r="L139" s="306">
        <f>+IF($H139=L$2,VLOOKUP($G139,Depreciation!$A$14:$L$18,10,FALSE)/2,IF($H139&lt;L$2,VLOOKUP($G139,Depreciation!$A$14:$L$18,10,FALSE),0))</f>
        <v>3.343407856743718E-2</v>
      </c>
      <c r="M139" s="306">
        <f>+IF($H139=M$2,VLOOKUP($G139,Depreciation!$A$14:$L$18,11,FALSE)/2,IF($H139&lt;M$2,VLOOKUP($G139,Depreciation!$A$14:$L$18,11,FALSE),0))</f>
        <v>3.343407856743718E-2</v>
      </c>
      <c r="N139" s="306">
        <f>+IF($H139=N$2,VLOOKUP($G139,Depreciation!$A$14:$L$18,12,FALSE)/2,IF($H139&lt;N$2,VLOOKUP($G139,Depreciation!$A$14:$L$18,12,FALSE),0))</f>
        <v>3.343407856743718E-2</v>
      </c>
      <c r="O139" s="307">
        <f t="shared" si="17"/>
        <v>49364362.706309266</v>
      </c>
      <c r="P139" s="732">
        <f>'Func Future Subs 2015'!P139</f>
        <v>0</v>
      </c>
      <c r="Q139" s="732">
        <f>'Func Future Subs 2015'!Q139</f>
        <v>0</v>
      </c>
      <c r="R139" s="732">
        <f>'Func Future Subs 2015'!R139</f>
        <v>1</v>
      </c>
      <c r="S139" s="735">
        <f t="shared" si="18"/>
        <v>0</v>
      </c>
      <c r="T139" s="735">
        <f t="shared" si="19"/>
        <v>0</v>
      </c>
      <c r="U139" s="735">
        <f t="shared" si="20"/>
        <v>49364362.706309266</v>
      </c>
      <c r="V139" s="736">
        <f t="shared" si="21"/>
        <v>0</v>
      </c>
      <c r="W139" s="735">
        <f t="shared" si="22"/>
        <v>0</v>
      </c>
      <c r="X139" s="737">
        <f t="shared" si="23"/>
        <v>49364362.706309266</v>
      </c>
      <c r="Y139" s="738">
        <f t="shared" si="24"/>
        <v>0</v>
      </c>
    </row>
    <row r="140" spans="1:25">
      <c r="A140" s="754" t="str">
        <f>'Func Future Subs 2015'!A140</f>
        <v>Keephills 320P</v>
      </c>
      <c r="B140" s="754">
        <f>'Func Future Subs 2015'!B140</f>
        <v>850</v>
      </c>
      <c r="C140" s="754">
        <f>'Func Future Subs 2015'!C140</f>
        <v>500</v>
      </c>
      <c r="D140" s="754">
        <f>'Func Future Subs 2015'!D140</f>
        <v>25</v>
      </c>
      <c r="E140" s="754" t="str">
        <f>'Func Future Subs 2015'!E140</f>
        <v>320P</v>
      </c>
      <c r="F140" s="754">
        <f>'Func Future Subs 2015'!F140</f>
        <v>507255.81398474087</v>
      </c>
      <c r="G140" s="754" t="str">
        <f>'Func Future Subs 2015'!G140</f>
        <v>AltaLink</v>
      </c>
      <c r="H140" s="754">
        <f>'Func Future Subs 2015'!H140</f>
        <v>2017</v>
      </c>
      <c r="I140" s="306">
        <f>+IF($H140=I$2,VLOOKUP($G140,Depreciation!$A$14:$L$18,7,FALSE)/2,IF($H140&lt;I$2,VLOOKUP($G140,Depreciation!$A$14:$L$18,7,FALSE),0))</f>
        <v>0</v>
      </c>
      <c r="J140" s="306">
        <f>+IF($H140=J$2,VLOOKUP($G140,Depreciation!$A$14:$L$18,8,FALSE)/2,IF($H140&lt;J$2,VLOOKUP($G140,Depreciation!$A$14:$L$18,8,FALSE),0))</f>
        <v>0</v>
      </c>
      <c r="K140" s="306">
        <f>+IF($H140=K$2,VLOOKUP($G140,Depreciation!$A$14:$L$18,9,FALSE)/2,IF($H140&lt;K$2,VLOOKUP($G140,Depreciation!$A$14:$L$18,9,FALSE),0))</f>
        <v>1.671703928371859E-2</v>
      </c>
      <c r="L140" s="306">
        <f>+IF($H140=L$2,VLOOKUP($G140,Depreciation!$A$14:$L$18,10,FALSE)/2,IF($H140&lt;L$2,VLOOKUP($G140,Depreciation!$A$14:$L$18,10,FALSE),0))</f>
        <v>3.343407856743718E-2</v>
      </c>
      <c r="M140" s="306">
        <f>+IF($H140=M$2,VLOOKUP($G140,Depreciation!$A$14:$L$18,11,FALSE)/2,IF($H140&lt;M$2,VLOOKUP($G140,Depreciation!$A$14:$L$18,11,FALSE),0))</f>
        <v>3.343407856743718E-2</v>
      </c>
      <c r="N140" s="306">
        <f>+IF($H140=N$2,VLOOKUP($G140,Depreciation!$A$14:$L$18,12,FALSE)/2,IF($H140&lt;N$2,VLOOKUP($G140,Depreciation!$A$14:$L$18,12,FALSE),0))</f>
        <v>3.343407856743718E-2</v>
      </c>
      <c r="O140" s="307">
        <f t="shared" si="17"/>
        <v>450401.66136024974</v>
      </c>
      <c r="P140" s="732">
        <f>'Func Future Subs 2015'!P140</f>
        <v>0.96203522504892369</v>
      </c>
      <c r="Q140" s="732">
        <f>'Func Future Subs 2015'!Q140</f>
        <v>3.7964774951076322E-2</v>
      </c>
      <c r="R140" s="732">
        <f>'Func Future Subs 2015'!R140</f>
        <v>0</v>
      </c>
      <c r="S140" s="735">
        <f t="shared" si="18"/>
        <v>433302.26364911697</v>
      </c>
      <c r="T140" s="735">
        <f t="shared" si="19"/>
        <v>17099.397711132769</v>
      </c>
      <c r="U140" s="735">
        <f t="shared" si="20"/>
        <v>0</v>
      </c>
      <c r="V140" s="736">
        <f t="shared" si="21"/>
        <v>0</v>
      </c>
      <c r="W140" s="735">
        <f t="shared" si="22"/>
        <v>433302.26364911697</v>
      </c>
      <c r="X140" s="737">
        <f t="shared" si="23"/>
        <v>0</v>
      </c>
      <c r="Y140" s="738">
        <f t="shared" si="24"/>
        <v>17099.397711132769</v>
      </c>
    </row>
    <row r="141" spans="1:25">
      <c r="A141" s="754" t="str">
        <f>'Func Future Subs 2015'!A141</f>
        <v>Keephills 320P</v>
      </c>
      <c r="B141" s="754">
        <f>'Func Future Subs 2015'!B141</f>
        <v>850</v>
      </c>
      <c r="C141" s="754">
        <f>'Func Future Subs 2015'!C141</f>
        <v>500</v>
      </c>
      <c r="D141" s="754">
        <f>'Func Future Subs 2015'!D141</f>
        <v>25</v>
      </c>
      <c r="E141" s="754" t="str">
        <f>'Func Future Subs 2015'!E141</f>
        <v>320P</v>
      </c>
      <c r="F141" s="754">
        <f>'Func Future Subs 2015'!F141</f>
        <v>507255.81398474087</v>
      </c>
      <c r="G141" s="754" t="str">
        <f>'Func Future Subs 2015'!G141</f>
        <v>AltaLink</v>
      </c>
      <c r="H141" s="754">
        <f>'Func Future Subs 2015'!H141</f>
        <v>2017</v>
      </c>
      <c r="I141" s="306">
        <f>+IF($H141=I$2,VLOOKUP($G141,Depreciation!$A$14:$L$18,7,FALSE)/2,IF($H141&lt;I$2,VLOOKUP($G141,Depreciation!$A$14:$L$18,7,FALSE),0))</f>
        <v>0</v>
      </c>
      <c r="J141" s="306">
        <f>+IF($H141=J$2,VLOOKUP($G141,Depreciation!$A$14:$L$18,8,FALSE)/2,IF($H141&lt;J$2,VLOOKUP($G141,Depreciation!$A$14:$L$18,8,FALSE),0))</f>
        <v>0</v>
      </c>
      <c r="K141" s="306">
        <f>+IF($H141=K$2,VLOOKUP($G141,Depreciation!$A$14:$L$18,9,FALSE)/2,IF($H141&lt;K$2,VLOOKUP($G141,Depreciation!$A$14:$L$18,9,FALSE),0))</f>
        <v>1.671703928371859E-2</v>
      </c>
      <c r="L141" s="306">
        <f>+IF($H141=L$2,VLOOKUP($G141,Depreciation!$A$14:$L$18,10,FALSE)/2,IF($H141&lt;L$2,VLOOKUP($G141,Depreciation!$A$14:$L$18,10,FALSE),0))</f>
        <v>3.343407856743718E-2</v>
      </c>
      <c r="M141" s="306">
        <f>+IF($H141=M$2,VLOOKUP($G141,Depreciation!$A$14:$L$18,11,FALSE)/2,IF($H141&lt;M$2,VLOOKUP($G141,Depreciation!$A$14:$L$18,11,FALSE),0))</f>
        <v>3.343407856743718E-2</v>
      </c>
      <c r="N141" s="306">
        <f>+IF($H141=N$2,VLOOKUP($G141,Depreciation!$A$14:$L$18,12,FALSE)/2,IF($H141&lt;N$2,VLOOKUP($G141,Depreciation!$A$14:$L$18,12,FALSE),0))</f>
        <v>3.343407856743718E-2</v>
      </c>
      <c r="O141" s="307">
        <f t="shared" si="17"/>
        <v>450401.66136024974</v>
      </c>
      <c r="P141" s="732">
        <f>'Func Future Subs 2015'!P141</f>
        <v>0.96203522504892369</v>
      </c>
      <c r="Q141" s="732">
        <f>'Func Future Subs 2015'!Q141</f>
        <v>3.7964774951076322E-2</v>
      </c>
      <c r="R141" s="732">
        <f>'Func Future Subs 2015'!R141</f>
        <v>0</v>
      </c>
      <c r="S141" s="735">
        <f t="shared" si="18"/>
        <v>433302.26364911697</v>
      </c>
      <c r="T141" s="735">
        <f t="shared" si="19"/>
        <v>17099.397711132769</v>
      </c>
      <c r="U141" s="735">
        <f t="shared" si="20"/>
        <v>0</v>
      </c>
      <c r="V141" s="736">
        <f t="shared" si="21"/>
        <v>0</v>
      </c>
      <c r="W141" s="735">
        <f t="shared" si="22"/>
        <v>433302.26364911697</v>
      </c>
      <c r="X141" s="737">
        <f t="shared" si="23"/>
        <v>0</v>
      </c>
      <c r="Y141" s="738">
        <f t="shared" si="24"/>
        <v>17099.397711132769</v>
      </c>
    </row>
    <row r="142" spans="1:25">
      <c r="A142" s="754" t="str">
        <f>'Func Future Subs 2015'!A142</f>
        <v>Leduc 325S</v>
      </c>
      <c r="B142" s="754">
        <f>'Func Future Subs 2015'!B142</f>
        <v>850</v>
      </c>
      <c r="C142" s="754">
        <f>'Func Future Subs 2015'!C142</f>
        <v>138</v>
      </c>
      <c r="D142" s="754">
        <f>'Func Future Subs 2015'!D142</f>
        <v>25</v>
      </c>
      <c r="E142" s="754" t="str">
        <f>'Func Future Subs 2015'!E142</f>
        <v>325S</v>
      </c>
      <c r="F142" s="754">
        <f>'Func Future Subs 2015'!F142</f>
        <v>3055561.3590470157</v>
      </c>
      <c r="G142" s="754" t="str">
        <f>'Func Future Subs 2015'!G142</f>
        <v>AltaLink</v>
      </c>
      <c r="H142" s="754">
        <f>'Func Future Subs 2015'!H142</f>
        <v>2017</v>
      </c>
      <c r="I142" s="306">
        <f>+IF($H142=I$2,VLOOKUP($G142,Depreciation!$A$14:$L$18,7,FALSE)/2,IF($H142&lt;I$2,VLOOKUP($G142,Depreciation!$A$14:$L$18,7,FALSE),0))</f>
        <v>0</v>
      </c>
      <c r="J142" s="306">
        <f>+IF($H142=J$2,VLOOKUP($G142,Depreciation!$A$14:$L$18,8,FALSE)/2,IF($H142&lt;J$2,VLOOKUP($G142,Depreciation!$A$14:$L$18,8,FALSE),0))</f>
        <v>0</v>
      </c>
      <c r="K142" s="306">
        <f>+IF($H142=K$2,VLOOKUP($G142,Depreciation!$A$14:$L$18,9,FALSE)/2,IF($H142&lt;K$2,VLOOKUP($G142,Depreciation!$A$14:$L$18,9,FALSE),0))</f>
        <v>1.671703928371859E-2</v>
      </c>
      <c r="L142" s="306">
        <f>+IF($H142=L$2,VLOOKUP($G142,Depreciation!$A$14:$L$18,10,FALSE)/2,IF($H142&lt;L$2,VLOOKUP($G142,Depreciation!$A$14:$L$18,10,FALSE),0))</f>
        <v>3.343407856743718E-2</v>
      </c>
      <c r="M142" s="306">
        <f>+IF($H142=M$2,VLOOKUP($G142,Depreciation!$A$14:$L$18,11,FALSE)/2,IF($H142&lt;M$2,VLOOKUP($G142,Depreciation!$A$14:$L$18,11,FALSE),0))</f>
        <v>3.343407856743718E-2</v>
      </c>
      <c r="N142" s="306">
        <f>+IF($H142=N$2,VLOOKUP($G142,Depreciation!$A$14:$L$18,12,FALSE)/2,IF($H142&lt;N$2,VLOOKUP($G142,Depreciation!$A$14:$L$18,12,FALSE),0))</f>
        <v>3.343407856743718E-2</v>
      </c>
      <c r="O142" s="307">
        <f t="shared" si="17"/>
        <v>2713088.4941308093</v>
      </c>
      <c r="P142" s="732">
        <f>'Func Future Subs 2015'!P142</f>
        <v>0</v>
      </c>
      <c r="Q142" s="732">
        <f>'Func Future Subs 2015'!Q142</f>
        <v>1</v>
      </c>
      <c r="R142" s="732">
        <f>'Func Future Subs 2015'!R142</f>
        <v>0</v>
      </c>
      <c r="S142" s="735">
        <f t="shared" si="18"/>
        <v>0</v>
      </c>
      <c r="T142" s="735">
        <f t="shared" si="19"/>
        <v>2713088.4941308093</v>
      </c>
      <c r="U142" s="735">
        <f t="shared" si="20"/>
        <v>0</v>
      </c>
      <c r="V142" s="736">
        <f t="shared" si="21"/>
        <v>0</v>
      </c>
      <c r="W142" s="735">
        <f t="shared" si="22"/>
        <v>0</v>
      </c>
      <c r="X142" s="737">
        <f t="shared" si="23"/>
        <v>0</v>
      </c>
      <c r="Y142" s="738">
        <f t="shared" si="24"/>
        <v>2713088.4941308093</v>
      </c>
    </row>
    <row r="143" spans="1:25">
      <c r="A143" s="754" t="str">
        <f>'Func Future Subs 2015'!A143</f>
        <v>Nisku 149S</v>
      </c>
      <c r="B143" s="754">
        <f>'Func Future Subs 2015'!B143</f>
        <v>850</v>
      </c>
      <c r="C143" s="754">
        <f>'Func Future Subs 2015'!C143</f>
        <v>138</v>
      </c>
      <c r="D143" s="754">
        <f>'Func Future Subs 2015'!D143</f>
        <v>25</v>
      </c>
      <c r="E143" s="754" t="str">
        <f>'Func Future Subs 2015'!E143</f>
        <v>149S</v>
      </c>
      <c r="F143" s="754">
        <f>'Func Future Subs 2015'!F143</f>
        <v>4164342.0352394478</v>
      </c>
      <c r="G143" s="754" t="str">
        <f>'Func Future Subs 2015'!G143</f>
        <v>AltaLink</v>
      </c>
      <c r="H143" s="754">
        <f>'Func Future Subs 2015'!H143</f>
        <v>2017</v>
      </c>
      <c r="I143" s="306">
        <f>+IF($H143=I$2,VLOOKUP($G143,Depreciation!$A$14:$L$18,7,FALSE)/2,IF($H143&lt;I$2,VLOOKUP($G143,Depreciation!$A$14:$L$18,7,FALSE),0))</f>
        <v>0</v>
      </c>
      <c r="J143" s="306">
        <f>+IF($H143=J$2,VLOOKUP($G143,Depreciation!$A$14:$L$18,8,FALSE)/2,IF($H143&lt;J$2,VLOOKUP($G143,Depreciation!$A$14:$L$18,8,FALSE),0))</f>
        <v>0</v>
      </c>
      <c r="K143" s="306">
        <f>+IF($H143=K$2,VLOOKUP($G143,Depreciation!$A$14:$L$18,9,FALSE)/2,IF($H143&lt;K$2,VLOOKUP($G143,Depreciation!$A$14:$L$18,9,FALSE),0))</f>
        <v>1.671703928371859E-2</v>
      </c>
      <c r="L143" s="306">
        <f>+IF($H143=L$2,VLOOKUP($G143,Depreciation!$A$14:$L$18,10,FALSE)/2,IF($H143&lt;L$2,VLOOKUP($G143,Depreciation!$A$14:$L$18,10,FALSE),0))</f>
        <v>3.343407856743718E-2</v>
      </c>
      <c r="M143" s="306">
        <f>+IF($H143=M$2,VLOOKUP($G143,Depreciation!$A$14:$L$18,11,FALSE)/2,IF($H143&lt;M$2,VLOOKUP($G143,Depreciation!$A$14:$L$18,11,FALSE),0))</f>
        <v>3.343407856743718E-2</v>
      </c>
      <c r="N143" s="306">
        <f>+IF($H143=N$2,VLOOKUP($G143,Depreciation!$A$14:$L$18,12,FALSE)/2,IF($H143&lt;N$2,VLOOKUP($G143,Depreciation!$A$14:$L$18,12,FALSE),0))</f>
        <v>3.343407856743718E-2</v>
      </c>
      <c r="O143" s="307">
        <f t="shared" si="17"/>
        <v>3697595.0189909367</v>
      </c>
      <c r="P143" s="732">
        <f>'Func Future Subs 2015'!P143</f>
        <v>0</v>
      </c>
      <c r="Q143" s="732">
        <f>'Func Future Subs 2015'!Q143</f>
        <v>1</v>
      </c>
      <c r="R143" s="732">
        <f>'Func Future Subs 2015'!R143</f>
        <v>0</v>
      </c>
      <c r="S143" s="735">
        <f t="shared" si="18"/>
        <v>0</v>
      </c>
      <c r="T143" s="735">
        <f t="shared" si="19"/>
        <v>3697595.0189909367</v>
      </c>
      <c r="U143" s="735">
        <f t="shared" si="20"/>
        <v>0</v>
      </c>
      <c r="V143" s="736">
        <f t="shared" si="21"/>
        <v>0</v>
      </c>
      <c r="W143" s="735">
        <f t="shared" si="22"/>
        <v>0</v>
      </c>
      <c r="X143" s="737">
        <f t="shared" si="23"/>
        <v>0</v>
      </c>
      <c r="Y143" s="738">
        <f t="shared" si="24"/>
        <v>3697595.0189909367</v>
      </c>
    </row>
    <row r="144" spans="1:25">
      <c r="A144" s="754" t="str">
        <f>'Func Future Subs 2015'!A144</f>
        <v>Petrolia 816S</v>
      </c>
      <c r="B144" s="754">
        <f>'Func Future Subs 2015'!B144</f>
        <v>850</v>
      </c>
      <c r="C144" s="754">
        <f>'Func Future Subs 2015'!C144</f>
        <v>240</v>
      </c>
      <c r="D144" s="754">
        <f>'Func Future Subs 2015'!D144</f>
        <v>25</v>
      </c>
      <c r="E144" s="754" t="str">
        <f>'Func Future Subs 2015'!E144</f>
        <v>816S</v>
      </c>
      <c r="F144" s="754">
        <f>'Func Future Subs 2015'!F144</f>
        <v>171568.00000000006</v>
      </c>
      <c r="G144" s="754" t="str">
        <f>'Func Future Subs 2015'!G144</f>
        <v>EPCOR</v>
      </c>
      <c r="H144" s="754">
        <f>'Func Future Subs 2015'!H144</f>
        <v>2017</v>
      </c>
      <c r="I144" s="306">
        <f>+IF($H144=I$2,VLOOKUP($G144,Depreciation!$A$14:$L$18,7,FALSE)/2,IF($H144&lt;I$2,VLOOKUP($G144,Depreciation!$A$14:$L$18,7,FALSE),0))</f>
        <v>0</v>
      </c>
      <c r="J144" s="306">
        <f>+IF($H144=J$2,VLOOKUP($G144,Depreciation!$A$14:$L$18,8,FALSE)/2,IF($H144&lt;J$2,VLOOKUP($G144,Depreciation!$A$14:$L$18,8,FALSE),0))</f>
        <v>0</v>
      </c>
      <c r="K144" s="306">
        <f>+IF($H144=K$2,VLOOKUP($G144,Depreciation!$A$14:$L$18,9,FALSE)/2,IF($H144&lt;K$2,VLOOKUP($G144,Depreciation!$A$14:$L$18,9,FALSE),0))</f>
        <v>2.0572631749329395E-2</v>
      </c>
      <c r="L144" s="306">
        <f>+IF($H144=L$2,VLOOKUP($G144,Depreciation!$A$14:$L$18,10,FALSE)/2,IF($H144&lt;L$2,VLOOKUP($G144,Depreciation!$A$14:$L$18,10,FALSE),0))</f>
        <v>4.1145263498658789E-2</v>
      </c>
      <c r="M144" s="306">
        <f>+IF($H144=M$2,VLOOKUP($G144,Depreciation!$A$14:$L$18,11,FALSE)/2,IF($H144&lt;M$2,VLOOKUP($G144,Depreciation!$A$14:$L$18,11,FALSE),0))</f>
        <v>4.1145263498658789E-2</v>
      </c>
      <c r="N144" s="306">
        <f>+IF($H144=N$2,VLOOKUP($G144,Depreciation!$A$14:$L$18,12,FALSE)/2,IF($H144&lt;N$2,VLOOKUP($G144,Depreciation!$A$14:$L$18,12,FALSE),0))</f>
        <v>4.1145263498658789E-2</v>
      </c>
      <c r="O144" s="307">
        <f t="shared" si="17"/>
        <v>148138.17080490824</v>
      </c>
      <c r="P144" s="732">
        <f>'Func Future Subs 2015'!P144</f>
        <v>0</v>
      </c>
      <c r="Q144" s="732">
        <f>'Func Future Subs 2015'!Q144</f>
        <v>0</v>
      </c>
      <c r="R144" s="732">
        <f>'Func Future Subs 2015'!R144</f>
        <v>1</v>
      </c>
      <c r="S144" s="735">
        <f t="shared" si="18"/>
        <v>0</v>
      </c>
      <c r="T144" s="735">
        <f t="shared" si="19"/>
        <v>0</v>
      </c>
      <c r="U144" s="735">
        <f t="shared" si="20"/>
        <v>148138.17080490824</v>
      </c>
      <c r="V144" s="736">
        <f t="shared" si="21"/>
        <v>0</v>
      </c>
      <c r="W144" s="735">
        <f t="shared" si="22"/>
        <v>0</v>
      </c>
      <c r="X144" s="737">
        <f t="shared" si="23"/>
        <v>0</v>
      </c>
      <c r="Y144" s="738">
        <f t="shared" si="24"/>
        <v>148138.17080490824</v>
      </c>
    </row>
    <row r="145" spans="1:25">
      <c r="A145" s="754" t="str">
        <f>'Func Future Subs 2015'!A145</f>
        <v>Saunders Lake 289S</v>
      </c>
      <c r="B145" s="754">
        <f>'Func Future Subs 2015'!B145</f>
        <v>850</v>
      </c>
      <c r="C145" s="754">
        <f>'Func Future Subs 2015'!C145</f>
        <v>240</v>
      </c>
      <c r="D145" s="754">
        <f>'Func Future Subs 2015'!D145</f>
        <v>138</v>
      </c>
      <c r="E145" s="754" t="str">
        <f>'Func Future Subs 2015'!E145</f>
        <v>289S</v>
      </c>
      <c r="F145" s="754">
        <f>'Func Future Subs 2015'!F145</f>
        <v>59647159.879132695</v>
      </c>
      <c r="G145" s="754" t="str">
        <f>'Func Future Subs 2015'!G145</f>
        <v>AltaLink</v>
      </c>
      <c r="H145" s="754">
        <f>'Func Future Subs 2015'!H145</f>
        <v>2017</v>
      </c>
      <c r="I145" s="306">
        <f>+IF($H145=I$2,VLOOKUP($G145,Depreciation!$A$14:$L$18,7,FALSE)/2,IF($H145&lt;I$2,VLOOKUP($G145,Depreciation!$A$14:$L$18,7,FALSE),0))</f>
        <v>0</v>
      </c>
      <c r="J145" s="306">
        <f>+IF($H145=J$2,VLOOKUP($G145,Depreciation!$A$14:$L$18,8,FALSE)/2,IF($H145&lt;J$2,VLOOKUP($G145,Depreciation!$A$14:$L$18,8,FALSE),0))</f>
        <v>0</v>
      </c>
      <c r="K145" s="306">
        <f>+IF($H145=K$2,VLOOKUP($G145,Depreciation!$A$14:$L$18,9,FALSE)/2,IF($H145&lt;K$2,VLOOKUP($G145,Depreciation!$A$14:$L$18,9,FALSE),0))</f>
        <v>1.671703928371859E-2</v>
      </c>
      <c r="L145" s="306">
        <f>+IF($H145=L$2,VLOOKUP($G145,Depreciation!$A$14:$L$18,10,FALSE)/2,IF($H145&lt;L$2,VLOOKUP($G145,Depreciation!$A$14:$L$18,10,FALSE),0))</f>
        <v>3.343407856743718E-2</v>
      </c>
      <c r="M145" s="306">
        <f>+IF($H145=M$2,VLOOKUP($G145,Depreciation!$A$14:$L$18,11,FALSE)/2,IF($H145&lt;M$2,VLOOKUP($G145,Depreciation!$A$14:$L$18,11,FALSE),0))</f>
        <v>3.343407856743718E-2</v>
      </c>
      <c r="N145" s="306">
        <f>+IF($H145=N$2,VLOOKUP($G145,Depreciation!$A$14:$L$18,12,FALSE)/2,IF($H145&lt;N$2,VLOOKUP($G145,Depreciation!$A$14:$L$18,12,FALSE),0))</f>
        <v>3.343407856743718E-2</v>
      </c>
      <c r="O145" s="307">
        <f t="shared" si="17"/>
        <v>52961797.902211823</v>
      </c>
      <c r="P145" s="732">
        <f>'Func Future Subs 2015'!P145</f>
        <v>0</v>
      </c>
      <c r="Q145" s="732">
        <f>'Func Future Subs 2015'!Q145</f>
        <v>0</v>
      </c>
      <c r="R145" s="732">
        <f>'Func Future Subs 2015'!R145</f>
        <v>1</v>
      </c>
      <c r="S145" s="735">
        <f t="shared" si="18"/>
        <v>0</v>
      </c>
      <c r="T145" s="735">
        <f t="shared" si="19"/>
        <v>0</v>
      </c>
      <c r="U145" s="735">
        <f t="shared" si="20"/>
        <v>52961797.902211823</v>
      </c>
      <c r="V145" s="736">
        <f t="shared" si="21"/>
        <v>0</v>
      </c>
      <c r="W145" s="735">
        <f t="shared" si="22"/>
        <v>0</v>
      </c>
      <c r="X145" s="737">
        <f t="shared" si="23"/>
        <v>52961797.902211823</v>
      </c>
      <c r="Y145" s="738">
        <f t="shared" si="24"/>
        <v>0</v>
      </c>
    </row>
    <row r="146" spans="1:25">
      <c r="A146" s="754" t="str">
        <f>'Func Future Subs 2015'!A146</f>
        <v>Spruce Grove 595S</v>
      </c>
      <c r="B146" s="754">
        <f>'Func Future Subs 2015'!B146</f>
        <v>850</v>
      </c>
      <c r="C146" s="754">
        <f>'Func Future Subs 2015'!C146</f>
        <v>138</v>
      </c>
      <c r="D146" s="754">
        <f>'Func Future Subs 2015'!D146</f>
        <v>25</v>
      </c>
      <c r="E146" s="754" t="str">
        <f>'Func Future Subs 2015'!E146</f>
        <v>595S</v>
      </c>
      <c r="F146" s="754">
        <f>'Func Future Subs 2015'!F146</f>
        <v>83551.654618630506</v>
      </c>
      <c r="G146" s="754" t="str">
        <f>'Func Future Subs 2015'!G146</f>
        <v>AltaLink</v>
      </c>
      <c r="H146" s="754">
        <f>'Func Future Subs 2015'!H146</f>
        <v>2017</v>
      </c>
      <c r="I146" s="306">
        <f>+IF($H146=I$2,VLOOKUP($G146,Depreciation!$A$14:$L$18,7,FALSE)/2,IF($H146&lt;I$2,VLOOKUP($G146,Depreciation!$A$14:$L$18,7,FALSE),0))</f>
        <v>0</v>
      </c>
      <c r="J146" s="306">
        <f>+IF($H146=J$2,VLOOKUP($G146,Depreciation!$A$14:$L$18,8,FALSE)/2,IF($H146&lt;J$2,VLOOKUP($G146,Depreciation!$A$14:$L$18,8,FALSE),0))</f>
        <v>0</v>
      </c>
      <c r="K146" s="306">
        <f>+IF($H146=K$2,VLOOKUP($G146,Depreciation!$A$14:$L$18,9,FALSE)/2,IF($H146&lt;K$2,VLOOKUP($G146,Depreciation!$A$14:$L$18,9,FALSE),0))</f>
        <v>1.671703928371859E-2</v>
      </c>
      <c r="L146" s="306">
        <f>+IF($H146=L$2,VLOOKUP($G146,Depreciation!$A$14:$L$18,10,FALSE)/2,IF($H146&lt;L$2,VLOOKUP($G146,Depreciation!$A$14:$L$18,10,FALSE),0))</f>
        <v>3.343407856743718E-2</v>
      </c>
      <c r="M146" s="306">
        <f>+IF($H146=M$2,VLOOKUP($G146,Depreciation!$A$14:$L$18,11,FALSE)/2,IF($H146&lt;M$2,VLOOKUP($G146,Depreciation!$A$14:$L$18,11,FALSE),0))</f>
        <v>3.343407856743718E-2</v>
      </c>
      <c r="N146" s="306">
        <f>+IF($H146=N$2,VLOOKUP($G146,Depreciation!$A$14:$L$18,12,FALSE)/2,IF($H146&lt;N$2,VLOOKUP($G146,Depreciation!$A$14:$L$18,12,FALSE),0))</f>
        <v>3.343407856743718E-2</v>
      </c>
      <c r="O146" s="307">
        <f t="shared" si="17"/>
        <v>74187.033469390633</v>
      </c>
      <c r="P146" s="732">
        <f>'Func Future Subs 2015'!P146</f>
        <v>0</v>
      </c>
      <c r="Q146" s="732">
        <f>'Func Future Subs 2015'!Q146</f>
        <v>1</v>
      </c>
      <c r="R146" s="732">
        <f>'Func Future Subs 2015'!R146</f>
        <v>0</v>
      </c>
      <c r="S146" s="735">
        <f t="shared" si="18"/>
        <v>0</v>
      </c>
      <c r="T146" s="735">
        <f t="shared" si="19"/>
        <v>74187.033469390633</v>
      </c>
      <c r="U146" s="735">
        <f t="shared" si="20"/>
        <v>0</v>
      </c>
      <c r="V146" s="736">
        <f t="shared" si="21"/>
        <v>0</v>
      </c>
      <c r="W146" s="735">
        <f t="shared" si="22"/>
        <v>0</v>
      </c>
      <c r="X146" s="737">
        <f t="shared" si="23"/>
        <v>0</v>
      </c>
      <c r="Y146" s="738">
        <f t="shared" si="24"/>
        <v>74187.033469390633</v>
      </c>
    </row>
    <row r="147" spans="1:25">
      <c r="A147" s="754" t="str">
        <f>'Func Future Subs 2015'!A147</f>
        <v>Stony Plain 434S</v>
      </c>
      <c r="B147" s="754">
        <f>'Func Future Subs 2015'!B147</f>
        <v>850</v>
      </c>
      <c r="C147" s="754">
        <f>'Func Future Subs 2015'!C147</f>
        <v>138</v>
      </c>
      <c r="D147" s="754">
        <f>'Func Future Subs 2015'!D147</f>
        <v>25</v>
      </c>
      <c r="E147" s="754" t="str">
        <f>'Func Future Subs 2015'!E147</f>
        <v>434S</v>
      </c>
      <c r="F147" s="754">
        <f>'Func Future Subs 2015'!F147</f>
        <v>1277016.625539762</v>
      </c>
      <c r="G147" s="754" t="str">
        <f>'Func Future Subs 2015'!G147</f>
        <v>AltaLink</v>
      </c>
      <c r="H147" s="754">
        <f>'Func Future Subs 2015'!H147</f>
        <v>2017</v>
      </c>
      <c r="I147" s="306">
        <f>+IF($H147=I$2,VLOOKUP($G147,Depreciation!$A$14:$L$18,7,FALSE)/2,IF($H147&lt;I$2,VLOOKUP($G147,Depreciation!$A$14:$L$18,7,FALSE),0))</f>
        <v>0</v>
      </c>
      <c r="J147" s="306">
        <f>+IF($H147=J$2,VLOOKUP($G147,Depreciation!$A$14:$L$18,8,FALSE)/2,IF($H147&lt;J$2,VLOOKUP($G147,Depreciation!$A$14:$L$18,8,FALSE),0))</f>
        <v>0</v>
      </c>
      <c r="K147" s="306">
        <f>+IF($H147=K$2,VLOOKUP($G147,Depreciation!$A$14:$L$18,9,FALSE)/2,IF($H147&lt;K$2,VLOOKUP($G147,Depreciation!$A$14:$L$18,9,FALSE),0))</f>
        <v>1.671703928371859E-2</v>
      </c>
      <c r="L147" s="306">
        <f>+IF($H147=L$2,VLOOKUP($G147,Depreciation!$A$14:$L$18,10,FALSE)/2,IF($H147&lt;L$2,VLOOKUP($G147,Depreciation!$A$14:$L$18,10,FALSE),0))</f>
        <v>3.343407856743718E-2</v>
      </c>
      <c r="M147" s="306">
        <f>+IF($H147=M$2,VLOOKUP($G147,Depreciation!$A$14:$L$18,11,FALSE)/2,IF($H147&lt;M$2,VLOOKUP($G147,Depreciation!$A$14:$L$18,11,FALSE),0))</f>
        <v>3.343407856743718E-2</v>
      </c>
      <c r="N147" s="306">
        <f>+IF($H147=N$2,VLOOKUP($G147,Depreciation!$A$14:$L$18,12,FALSE)/2,IF($H147&lt;N$2,VLOOKUP($G147,Depreciation!$A$14:$L$18,12,FALSE),0))</f>
        <v>3.343407856743718E-2</v>
      </c>
      <c r="O147" s="307">
        <f t="shared" si="17"/>
        <v>1133886.2835489763</v>
      </c>
      <c r="P147" s="732">
        <f>'Func Future Subs 2015'!P147</f>
        <v>0</v>
      </c>
      <c r="Q147" s="732">
        <f>'Func Future Subs 2015'!Q147</f>
        <v>1</v>
      </c>
      <c r="R147" s="732">
        <f>'Func Future Subs 2015'!R147</f>
        <v>0</v>
      </c>
      <c r="S147" s="735">
        <f t="shared" si="18"/>
        <v>0</v>
      </c>
      <c r="T147" s="735">
        <f t="shared" si="19"/>
        <v>1133886.2835489763</v>
      </c>
      <c r="U147" s="735">
        <f t="shared" si="20"/>
        <v>0</v>
      </c>
      <c r="V147" s="736">
        <f t="shared" si="21"/>
        <v>0</v>
      </c>
      <c r="W147" s="735">
        <f t="shared" si="22"/>
        <v>0</v>
      </c>
      <c r="X147" s="737">
        <f t="shared" si="23"/>
        <v>0</v>
      </c>
      <c r="Y147" s="738">
        <f t="shared" si="24"/>
        <v>1133886.2835489763</v>
      </c>
    </row>
    <row r="148" spans="1:25">
      <c r="A148" s="754" t="str">
        <f>'Func Future Subs 2015'!A148</f>
        <v>Viscount 92S</v>
      </c>
      <c r="B148" s="754">
        <f>'Func Future Subs 2015'!B148</f>
        <v>850</v>
      </c>
      <c r="C148" s="754">
        <f>'Func Future Subs 2015'!C148</f>
        <v>138</v>
      </c>
      <c r="D148" s="754">
        <f>'Func Future Subs 2015'!D148</f>
        <v>25</v>
      </c>
      <c r="E148" s="754" t="str">
        <f>'Func Future Subs 2015'!E148</f>
        <v>92S</v>
      </c>
      <c r="F148" s="754">
        <f>'Func Future Subs 2015'!F148</f>
        <v>84454.731155301823</v>
      </c>
      <c r="G148" s="754" t="str">
        <f>'Func Future Subs 2015'!G148</f>
        <v>AltaLink</v>
      </c>
      <c r="H148" s="754">
        <f>'Func Future Subs 2015'!H148</f>
        <v>2017</v>
      </c>
      <c r="I148" s="306">
        <f>+IF($H148=I$2,VLOOKUP($G148,Depreciation!$A$14:$L$18,7,FALSE)/2,IF($H148&lt;I$2,VLOOKUP($G148,Depreciation!$A$14:$L$18,7,FALSE),0))</f>
        <v>0</v>
      </c>
      <c r="J148" s="306">
        <f>+IF($H148=J$2,VLOOKUP($G148,Depreciation!$A$14:$L$18,8,FALSE)/2,IF($H148&lt;J$2,VLOOKUP($G148,Depreciation!$A$14:$L$18,8,FALSE),0))</f>
        <v>0</v>
      </c>
      <c r="K148" s="306">
        <f>+IF($H148=K$2,VLOOKUP($G148,Depreciation!$A$14:$L$18,9,FALSE)/2,IF($H148&lt;K$2,VLOOKUP($G148,Depreciation!$A$14:$L$18,9,FALSE),0))</f>
        <v>1.671703928371859E-2</v>
      </c>
      <c r="L148" s="306">
        <f>+IF($H148=L$2,VLOOKUP($G148,Depreciation!$A$14:$L$18,10,FALSE)/2,IF($H148&lt;L$2,VLOOKUP($G148,Depreciation!$A$14:$L$18,10,FALSE),0))</f>
        <v>3.343407856743718E-2</v>
      </c>
      <c r="M148" s="306">
        <f>+IF($H148=M$2,VLOOKUP($G148,Depreciation!$A$14:$L$18,11,FALSE)/2,IF($H148&lt;M$2,VLOOKUP($G148,Depreciation!$A$14:$L$18,11,FALSE),0))</f>
        <v>3.343407856743718E-2</v>
      </c>
      <c r="N148" s="306">
        <f>+IF($H148=N$2,VLOOKUP($G148,Depreciation!$A$14:$L$18,12,FALSE)/2,IF($H148&lt;N$2,VLOOKUP($G148,Depreciation!$A$14:$L$18,12,FALSE),0))</f>
        <v>3.343407856743718E-2</v>
      </c>
      <c r="O148" s="307">
        <f t="shared" si="17"/>
        <v>74988.891548171494</v>
      </c>
      <c r="P148" s="732">
        <f>'Func Future Subs 2015'!P148</f>
        <v>0</v>
      </c>
      <c r="Q148" s="732">
        <f>'Func Future Subs 2015'!Q148</f>
        <v>1</v>
      </c>
      <c r="R148" s="732">
        <f>'Func Future Subs 2015'!R148</f>
        <v>0</v>
      </c>
      <c r="S148" s="735">
        <f t="shared" si="18"/>
        <v>0</v>
      </c>
      <c r="T148" s="735">
        <f t="shared" si="19"/>
        <v>74988.891548171494</v>
      </c>
      <c r="U148" s="735">
        <f t="shared" si="20"/>
        <v>0</v>
      </c>
      <c r="V148" s="736">
        <f t="shared" si="21"/>
        <v>0</v>
      </c>
      <c r="W148" s="735">
        <f t="shared" si="22"/>
        <v>0</v>
      </c>
      <c r="X148" s="737">
        <f t="shared" si="23"/>
        <v>0</v>
      </c>
      <c r="Y148" s="738">
        <f t="shared" si="24"/>
        <v>74988.891548171494</v>
      </c>
    </row>
    <row r="149" spans="1:25">
      <c r="A149" s="754" t="str">
        <f>'Func Future Subs 2015'!A149</f>
        <v>Wetaskiwin 40S</v>
      </c>
      <c r="B149" s="754">
        <f>'Func Future Subs 2015'!B149</f>
        <v>850</v>
      </c>
      <c r="C149" s="754">
        <f>'Func Future Subs 2015'!C149</f>
        <v>138</v>
      </c>
      <c r="D149" s="754">
        <f>'Func Future Subs 2015'!D149</f>
        <v>25</v>
      </c>
      <c r="E149" s="754" t="str">
        <f>'Func Future Subs 2015'!E149</f>
        <v>40S</v>
      </c>
      <c r="F149" s="754">
        <f>'Func Future Subs 2015'!F149</f>
        <v>1153188.8957173596</v>
      </c>
      <c r="G149" s="754" t="str">
        <f>'Func Future Subs 2015'!G149</f>
        <v>AltaLink</v>
      </c>
      <c r="H149" s="754">
        <f>'Func Future Subs 2015'!H149</f>
        <v>2017</v>
      </c>
      <c r="I149" s="306">
        <f>+IF($H149=I$2,VLOOKUP($G149,Depreciation!$A$14:$L$18,7,FALSE)/2,IF($H149&lt;I$2,VLOOKUP($G149,Depreciation!$A$14:$L$18,7,FALSE),0))</f>
        <v>0</v>
      </c>
      <c r="J149" s="306">
        <f>+IF($H149=J$2,VLOOKUP($G149,Depreciation!$A$14:$L$18,8,FALSE)/2,IF($H149&lt;J$2,VLOOKUP($G149,Depreciation!$A$14:$L$18,8,FALSE),0))</f>
        <v>0</v>
      </c>
      <c r="K149" s="306">
        <f>+IF($H149=K$2,VLOOKUP($G149,Depreciation!$A$14:$L$18,9,FALSE)/2,IF($H149&lt;K$2,VLOOKUP($G149,Depreciation!$A$14:$L$18,9,FALSE),0))</f>
        <v>1.671703928371859E-2</v>
      </c>
      <c r="L149" s="306">
        <f>+IF($H149=L$2,VLOOKUP($G149,Depreciation!$A$14:$L$18,10,FALSE)/2,IF($H149&lt;L$2,VLOOKUP($G149,Depreciation!$A$14:$L$18,10,FALSE),0))</f>
        <v>3.343407856743718E-2</v>
      </c>
      <c r="M149" s="306">
        <f>+IF($H149=M$2,VLOOKUP($G149,Depreciation!$A$14:$L$18,11,FALSE)/2,IF($H149&lt;M$2,VLOOKUP($G149,Depreciation!$A$14:$L$18,11,FALSE),0))</f>
        <v>3.343407856743718E-2</v>
      </c>
      <c r="N149" s="306">
        <f>+IF($H149=N$2,VLOOKUP($G149,Depreciation!$A$14:$L$18,12,FALSE)/2,IF($H149&lt;N$2,VLOOKUP($G149,Depreciation!$A$14:$L$18,12,FALSE),0))</f>
        <v>3.343407856743718E-2</v>
      </c>
      <c r="O149" s="307">
        <f t="shared" si="17"/>
        <v>1023937.3905114372</v>
      </c>
      <c r="P149" s="732">
        <f>'Func Future Subs 2015'!P149</f>
        <v>0</v>
      </c>
      <c r="Q149" s="732">
        <f>'Func Future Subs 2015'!Q149</f>
        <v>1</v>
      </c>
      <c r="R149" s="732">
        <f>'Func Future Subs 2015'!R149</f>
        <v>0</v>
      </c>
      <c r="S149" s="735">
        <f t="shared" si="18"/>
        <v>0</v>
      </c>
      <c r="T149" s="735">
        <f t="shared" si="19"/>
        <v>1023937.3905114372</v>
      </c>
      <c r="U149" s="735">
        <f t="shared" si="20"/>
        <v>0</v>
      </c>
      <c r="V149" s="736">
        <f t="shared" si="21"/>
        <v>0</v>
      </c>
      <c r="W149" s="735">
        <f t="shared" si="22"/>
        <v>0</v>
      </c>
      <c r="X149" s="737">
        <f t="shared" si="23"/>
        <v>0</v>
      </c>
      <c r="Y149" s="738">
        <f t="shared" si="24"/>
        <v>1023937.3905114372</v>
      </c>
    </row>
    <row r="150" spans="1:25">
      <c r="A150" s="754" t="str">
        <f>'Func Future Subs 2015'!A150</f>
        <v>Wolf Creek 288S</v>
      </c>
      <c r="B150" s="754">
        <f>'Func Future Subs 2015'!B150</f>
        <v>850</v>
      </c>
      <c r="C150" s="754">
        <f>'Func Future Subs 2015'!C150</f>
        <v>240</v>
      </c>
      <c r="D150" s="754">
        <f>'Func Future Subs 2015'!D150</f>
        <v>138</v>
      </c>
      <c r="E150" s="754" t="str">
        <f>'Func Future Subs 2015'!E150</f>
        <v>288S</v>
      </c>
      <c r="F150" s="754">
        <f>'Func Future Subs 2015'!F150</f>
        <v>475507.74094974546</v>
      </c>
      <c r="G150" s="754" t="str">
        <f>'Func Future Subs 2015'!G150</f>
        <v>AltaLink</v>
      </c>
      <c r="H150" s="754">
        <f>'Func Future Subs 2015'!H150</f>
        <v>2017</v>
      </c>
      <c r="I150" s="306">
        <f>+IF($H150=I$2,VLOOKUP($G150,Depreciation!$A$14:$L$18,7,FALSE)/2,IF($H150&lt;I$2,VLOOKUP($G150,Depreciation!$A$14:$L$18,7,FALSE),0))</f>
        <v>0</v>
      </c>
      <c r="J150" s="306">
        <f>+IF($H150=J$2,VLOOKUP($G150,Depreciation!$A$14:$L$18,8,FALSE)/2,IF($H150&lt;J$2,VLOOKUP($G150,Depreciation!$A$14:$L$18,8,FALSE),0))</f>
        <v>0</v>
      </c>
      <c r="K150" s="306">
        <f>+IF($H150=K$2,VLOOKUP($G150,Depreciation!$A$14:$L$18,9,FALSE)/2,IF($H150&lt;K$2,VLOOKUP($G150,Depreciation!$A$14:$L$18,9,FALSE),0))</f>
        <v>1.671703928371859E-2</v>
      </c>
      <c r="L150" s="306">
        <f>+IF($H150=L$2,VLOOKUP($G150,Depreciation!$A$14:$L$18,10,FALSE)/2,IF($H150&lt;L$2,VLOOKUP($G150,Depreciation!$A$14:$L$18,10,FALSE),0))</f>
        <v>3.343407856743718E-2</v>
      </c>
      <c r="M150" s="306">
        <f>+IF($H150=M$2,VLOOKUP($G150,Depreciation!$A$14:$L$18,11,FALSE)/2,IF($H150&lt;M$2,VLOOKUP($G150,Depreciation!$A$14:$L$18,11,FALSE),0))</f>
        <v>3.343407856743718E-2</v>
      </c>
      <c r="N150" s="306">
        <f>+IF($H150=N$2,VLOOKUP($G150,Depreciation!$A$14:$L$18,12,FALSE)/2,IF($H150&lt;N$2,VLOOKUP($G150,Depreciation!$A$14:$L$18,12,FALSE),0))</f>
        <v>3.343407856743718E-2</v>
      </c>
      <c r="O150" s="307">
        <f t="shared" si="17"/>
        <v>422211.9699940338</v>
      </c>
      <c r="P150" s="732">
        <f>'Func Future Subs 2015'!P150</f>
        <v>0</v>
      </c>
      <c r="Q150" s="732">
        <f>'Func Future Subs 2015'!Q150</f>
        <v>0</v>
      </c>
      <c r="R150" s="732">
        <f>'Func Future Subs 2015'!R150</f>
        <v>1</v>
      </c>
      <c r="S150" s="735">
        <f t="shared" si="18"/>
        <v>0</v>
      </c>
      <c r="T150" s="735">
        <f t="shared" si="19"/>
        <v>0</v>
      </c>
      <c r="U150" s="735">
        <f t="shared" si="20"/>
        <v>422211.9699940338</v>
      </c>
      <c r="V150" s="736">
        <f t="shared" si="21"/>
        <v>0</v>
      </c>
      <c r="W150" s="735">
        <f t="shared" si="22"/>
        <v>0</v>
      </c>
      <c r="X150" s="737">
        <f t="shared" si="23"/>
        <v>422211.9699940338</v>
      </c>
      <c r="Y150" s="738">
        <f t="shared" si="24"/>
        <v>0</v>
      </c>
    </row>
    <row r="151" spans="1:25">
      <c r="A151" s="754" t="str">
        <f>'Func Future Subs 2015'!A151</f>
        <v>Enmax No. 5</v>
      </c>
      <c r="B151" s="754">
        <f>'Func Future Subs 2015'!B151</f>
        <v>859</v>
      </c>
      <c r="C151" s="754">
        <f>'Func Future Subs 2015'!C151</f>
        <v>138</v>
      </c>
      <c r="D151" s="754">
        <f>'Func Future Subs 2015'!D151</f>
        <v>25</v>
      </c>
      <c r="E151" s="754" t="str">
        <f>'Func Future Subs 2015'!E151</f>
        <v>SS-5</v>
      </c>
      <c r="F151" s="754">
        <f>'Func Future Subs 2015'!F151</f>
        <v>37991871.591546685</v>
      </c>
      <c r="G151" s="754" t="str">
        <f>'Func Future Subs 2015'!G151</f>
        <v>ENMAX</v>
      </c>
      <c r="H151" s="754">
        <f>'Func Future Subs 2015'!H151</f>
        <v>2015</v>
      </c>
      <c r="I151" s="306">
        <f>+IF($H151=I$2,VLOOKUP($G151,Depreciation!$A$14:$L$18,7,FALSE)/2,IF($H151&lt;I$2,VLOOKUP($G151,Depreciation!$A$14:$L$18,7,FALSE),0))</f>
        <v>1.3928409269726289E-2</v>
      </c>
      <c r="J151" s="306">
        <f>+IF($H151=J$2,VLOOKUP($G151,Depreciation!$A$14:$L$18,8,FALSE)/2,IF($H151&lt;J$2,VLOOKUP($G151,Depreciation!$A$14:$L$18,8,FALSE),0))</f>
        <v>2.7856818539452578E-2</v>
      </c>
      <c r="K151" s="306">
        <f>+IF($H151=K$2,VLOOKUP($G151,Depreciation!$A$14:$L$18,9,FALSE)/2,IF($H151&lt;K$2,VLOOKUP($G151,Depreciation!$A$14:$L$18,9,FALSE),0))</f>
        <v>2.7856818539452578E-2</v>
      </c>
      <c r="L151" s="306">
        <f>+IF($H151=L$2,VLOOKUP($G151,Depreciation!$A$14:$L$18,10,FALSE)/2,IF($H151&lt;L$2,VLOOKUP($G151,Depreciation!$A$14:$L$18,10,FALSE),0))</f>
        <v>2.7856818539452578E-2</v>
      </c>
      <c r="M151" s="306">
        <f>+IF($H151=M$2,VLOOKUP($G151,Depreciation!$A$14:$L$18,11,FALSE)/2,IF($H151&lt;M$2,VLOOKUP($G151,Depreciation!$A$14:$L$18,11,FALSE),0))</f>
        <v>2.7856818539452578E-2</v>
      </c>
      <c r="N151" s="306">
        <f>+IF($H151=N$2,VLOOKUP($G151,Depreciation!$A$14:$L$18,12,FALSE)/2,IF($H151&lt;N$2,VLOOKUP($G151,Depreciation!$A$14:$L$18,12,FALSE),0))</f>
        <v>2.7856818539452578E-2</v>
      </c>
      <c r="O151" s="307">
        <f t="shared" si="17"/>
        <v>32527471.684058946</v>
      </c>
      <c r="P151" s="732">
        <f>'Func Future Subs 2015'!P151</f>
        <v>0</v>
      </c>
      <c r="Q151" s="732">
        <f>'Func Future Subs 2015'!Q151</f>
        <v>1</v>
      </c>
      <c r="R151" s="732">
        <f>'Func Future Subs 2015'!R151</f>
        <v>0</v>
      </c>
      <c r="S151" s="735">
        <f t="shared" si="18"/>
        <v>0</v>
      </c>
      <c r="T151" s="735">
        <f t="shared" si="19"/>
        <v>32527471.684058946</v>
      </c>
      <c r="U151" s="735">
        <f t="shared" si="20"/>
        <v>0</v>
      </c>
      <c r="V151" s="736">
        <f t="shared" si="21"/>
        <v>0</v>
      </c>
      <c r="W151" s="735">
        <f t="shared" si="22"/>
        <v>0</v>
      </c>
      <c r="X151" s="737">
        <f t="shared" si="23"/>
        <v>0</v>
      </c>
      <c r="Y151" s="738">
        <f t="shared" si="24"/>
        <v>32527471.684058946</v>
      </c>
    </row>
    <row r="152" spans="1:25">
      <c r="A152" s="754" t="str">
        <f>'Func Future Subs 2015'!A152</f>
        <v>Foothills 237S</v>
      </c>
      <c r="B152" s="754">
        <f>'Func Future Subs 2015'!B152</f>
        <v>882</v>
      </c>
      <c r="C152" s="754">
        <f>'Func Future Subs 2015'!C152</f>
        <v>240</v>
      </c>
      <c r="D152" s="754">
        <f>'Func Future Subs 2015'!D152</f>
        <v>138</v>
      </c>
      <c r="E152" s="754" t="str">
        <f>'Func Future Subs 2015'!E152</f>
        <v>237S</v>
      </c>
      <c r="F152" s="754">
        <f>'Func Future Subs 2015'!F152</f>
        <v>358753.33155285398</v>
      </c>
      <c r="G152" s="754" t="str">
        <f>'Func Future Subs 2015'!G152</f>
        <v>AltaLink</v>
      </c>
      <c r="H152" s="754">
        <f>'Func Future Subs 2015'!H152</f>
        <v>2015</v>
      </c>
      <c r="I152" s="306">
        <f>+IF($H152=I$2,VLOOKUP($G152,Depreciation!$A$14:$L$18,7,FALSE)/2,IF($H152&lt;I$2,VLOOKUP($G152,Depreciation!$A$14:$L$18,7,FALSE),0))</f>
        <v>1.7228380322441735E-2</v>
      </c>
      <c r="J152" s="306">
        <f>+IF($H152=J$2,VLOOKUP($G152,Depreciation!$A$14:$L$18,8,FALSE)/2,IF($H152&lt;J$2,VLOOKUP($G152,Depreciation!$A$14:$L$18,8,FALSE),0))</f>
        <v>3.343407856743718E-2</v>
      </c>
      <c r="K152" s="306">
        <f>+IF($H152=K$2,VLOOKUP($G152,Depreciation!$A$14:$L$18,9,FALSE)/2,IF($H152&lt;K$2,VLOOKUP($G152,Depreciation!$A$14:$L$18,9,FALSE),0))</f>
        <v>3.343407856743718E-2</v>
      </c>
      <c r="L152" s="306">
        <f>+IF($H152=L$2,VLOOKUP($G152,Depreciation!$A$14:$L$18,10,FALSE)/2,IF($H152&lt;L$2,VLOOKUP($G152,Depreciation!$A$14:$L$18,10,FALSE),0))</f>
        <v>3.343407856743718E-2</v>
      </c>
      <c r="M152" s="306">
        <f>+IF($H152=M$2,VLOOKUP($G152,Depreciation!$A$14:$L$18,11,FALSE)/2,IF($H152&lt;M$2,VLOOKUP($G152,Depreciation!$A$14:$L$18,11,FALSE),0))</f>
        <v>3.343407856743718E-2</v>
      </c>
      <c r="N152" s="306">
        <f>+IF($H152=N$2,VLOOKUP($G152,Depreciation!$A$14:$L$18,12,FALSE)/2,IF($H152&lt;N$2,VLOOKUP($G152,Depreciation!$A$14:$L$18,12,FALSE),0))</f>
        <v>3.343407856743718E-2</v>
      </c>
      <c r="O152" s="307">
        <f t="shared" si="17"/>
        <v>297444.50098065613</v>
      </c>
      <c r="P152" s="732">
        <f>'Func Future Subs 2015'!P152</f>
        <v>0</v>
      </c>
      <c r="Q152" s="732">
        <f>'Func Future Subs 2015'!Q152</f>
        <v>0</v>
      </c>
      <c r="R152" s="732">
        <f>'Func Future Subs 2015'!R152</f>
        <v>1</v>
      </c>
      <c r="S152" s="735">
        <f t="shared" si="18"/>
        <v>0</v>
      </c>
      <c r="T152" s="735">
        <f t="shared" si="19"/>
        <v>0</v>
      </c>
      <c r="U152" s="735">
        <f t="shared" si="20"/>
        <v>297444.50098065613</v>
      </c>
      <c r="V152" s="736">
        <f t="shared" si="21"/>
        <v>0</v>
      </c>
      <c r="W152" s="735">
        <f t="shared" si="22"/>
        <v>0</v>
      </c>
      <c r="X152" s="737">
        <f t="shared" si="23"/>
        <v>297444.50098065613</v>
      </c>
      <c r="Y152" s="738">
        <f t="shared" si="24"/>
        <v>0</v>
      </c>
    </row>
    <row r="153" spans="1:25">
      <c r="A153" s="754" t="str">
        <f>'Func Future Subs 2015'!A153</f>
        <v>Peigan 59S</v>
      </c>
      <c r="B153" s="754">
        <f>'Func Future Subs 2015'!B153</f>
        <v>882</v>
      </c>
      <c r="C153" s="754">
        <f>'Func Future Subs 2015'!C153</f>
        <v>240</v>
      </c>
      <c r="D153" s="754">
        <f>'Func Future Subs 2015'!D153</f>
        <v>138</v>
      </c>
      <c r="E153" s="754" t="str">
        <f>'Func Future Subs 2015'!E153</f>
        <v>59S</v>
      </c>
      <c r="F153" s="754">
        <f>'Func Future Subs 2015'!F153</f>
        <v>309435.01757324504</v>
      </c>
      <c r="G153" s="754" t="str">
        <f>'Func Future Subs 2015'!G153</f>
        <v>AltaLink</v>
      </c>
      <c r="H153" s="754">
        <f>'Func Future Subs 2015'!H153</f>
        <v>2015</v>
      </c>
      <c r="I153" s="306">
        <f>+IF($H153=I$2,VLOOKUP($G153,Depreciation!$A$14:$L$18,7,FALSE)/2,IF($H153&lt;I$2,VLOOKUP($G153,Depreciation!$A$14:$L$18,7,FALSE),0))</f>
        <v>1.7228380322441735E-2</v>
      </c>
      <c r="J153" s="306">
        <f>+IF($H153=J$2,VLOOKUP($G153,Depreciation!$A$14:$L$18,8,FALSE)/2,IF($H153&lt;J$2,VLOOKUP($G153,Depreciation!$A$14:$L$18,8,FALSE),0))</f>
        <v>3.343407856743718E-2</v>
      </c>
      <c r="K153" s="306">
        <f>+IF($H153=K$2,VLOOKUP($G153,Depreciation!$A$14:$L$18,9,FALSE)/2,IF($H153&lt;K$2,VLOOKUP($G153,Depreciation!$A$14:$L$18,9,FALSE),0))</f>
        <v>3.343407856743718E-2</v>
      </c>
      <c r="L153" s="306">
        <f>+IF($H153=L$2,VLOOKUP($G153,Depreciation!$A$14:$L$18,10,FALSE)/2,IF($H153&lt;L$2,VLOOKUP($G153,Depreciation!$A$14:$L$18,10,FALSE),0))</f>
        <v>3.343407856743718E-2</v>
      </c>
      <c r="M153" s="306">
        <f>+IF($H153=M$2,VLOOKUP($G153,Depreciation!$A$14:$L$18,11,FALSE)/2,IF($H153&lt;M$2,VLOOKUP($G153,Depreciation!$A$14:$L$18,11,FALSE),0))</f>
        <v>3.343407856743718E-2</v>
      </c>
      <c r="N153" s="306">
        <f>+IF($H153=N$2,VLOOKUP($G153,Depreciation!$A$14:$L$18,12,FALSE)/2,IF($H153&lt;N$2,VLOOKUP($G153,Depreciation!$A$14:$L$18,12,FALSE),0))</f>
        <v>3.343407856743718E-2</v>
      </c>
      <c r="O153" s="307">
        <f t="shared" si="17"/>
        <v>256554.39627451799</v>
      </c>
      <c r="P153" s="732">
        <f>'Func Future Subs 2015'!P153</f>
        <v>0</v>
      </c>
      <c r="Q153" s="732">
        <f>'Func Future Subs 2015'!Q153</f>
        <v>0</v>
      </c>
      <c r="R153" s="732">
        <f>'Func Future Subs 2015'!R153</f>
        <v>1</v>
      </c>
      <c r="S153" s="735">
        <f t="shared" si="18"/>
        <v>0</v>
      </c>
      <c r="T153" s="735">
        <f t="shared" si="19"/>
        <v>0</v>
      </c>
      <c r="U153" s="735">
        <f t="shared" si="20"/>
        <v>256554.39627451799</v>
      </c>
      <c r="V153" s="736">
        <f t="shared" si="21"/>
        <v>0</v>
      </c>
      <c r="W153" s="735">
        <f t="shared" si="22"/>
        <v>0</v>
      </c>
      <c r="X153" s="737">
        <f t="shared" si="23"/>
        <v>256554.39627451799</v>
      </c>
      <c r="Y153" s="738">
        <f t="shared" si="24"/>
        <v>0</v>
      </c>
    </row>
    <row r="154" spans="1:25">
      <c r="A154" s="754" t="str">
        <f>'Func Future Subs 2015'!A154</f>
        <v>Station - Stavely Series Capacitor SC1 266S</v>
      </c>
      <c r="B154" s="754">
        <f>'Func Future Subs 2015'!B154</f>
        <v>882</v>
      </c>
      <c r="C154" s="754">
        <f>'Func Future Subs 2015'!C154</f>
        <v>240</v>
      </c>
      <c r="D154" s="754">
        <f>'Func Future Subs 2015'!D154</f>
        <v>240</v>
      </c>
      <c r="E154" s="754" t="str">
        <f>'Func Future Subs 2015'!E154</f>
        <v>266S</v>
      </c>
      <c r="F154" s="754">
        <f>'Func Future Subs 2015'!F154</f>
        <v>42547759.969354637</v>
      </c>
      <c r="G154" s="754" t="str">
        <f>'Func Future Subs 2015'!G154</f>
        <v>AltaLink</v>
      </c>
      <c r="H154" s="754">
        <f>'Func Future Subs 2015'!H154</f>
        <v>2015</v>
      </c>
      <c r="I154" s="306">
        <f>+IF($H154=I$2,VLOOKUP($G154,Depreciation!$A$14:$L$18,7,FALSE)/2,IF($H154&lt;I$2,VLOOKUP($G154,Depreciation!$A$14:$L$18,7,FALSE),0))</f>
        <v>1.7228380322441735E-2</v>
      </c>
      <c r="J154" s="306">
        <f>+IF($H154=J$2,VLOOKUP($G154,Depreciation!$A$14:$L$18,8,FALSE)/2,IF($H154&lt;J$2,VLOOKUP($G154,Depreciation!$A$14:$L$18,8,FALSE),0))</f>
        <v>3.343407856743718E-2</v>
      </c>
      <c r="K154" s="306">
        <f>+IF($H154=K$2,VLOOKUP($G154,Depreciation!$A$14:$L$18,9,FALSE)/2,IF($H154&lt;K$2,VLOOKUP($G154,Depreciation!$A$14:$L$18,9,FALSE),0))</f>
        <v>3.343407856743718E-2</v>
      </c>
      <c r="L154" s="306">
        <f>+IF($H154=L$2,VLOOKUP($G154,Depreciation!$A$14:$L$18,10,FALSE)/2,IF($H154&lt;L$2,VLOOKUP($G154,Depreciation!$A$14:$L$18,10,FALSE),0))</f>
        <v>3.343407856743718E-2</v>
      </c>
      <c r="M154" s="306">
        <f>+IF($H154=M$2,VLOOKUP($G154,Depreciation!$A$14:$L$18,11,FALSE)/2,IF($H154&lt;M$2,VLOOKUP($G154,Depreciation!$A$14:$L$18,11,FALSE),0))</f>
        <v>3.343407856743718E-2</v>
      </c>
      <c r="N154" s="306">
        <f>+IF($H154=N$2,VLOOKUP($G154,Depreciation!$A$14:$L$18,12,FALSE)/2,IF($H154&lt;N$2,VLOOKUP($G154,Depreciation!$A$14:$L$18,12,FALSE),0))</f>
        <v>3.343407856743718E-2</v>
      </c>
      <c r="O154" s="307">
        <f t="shared" si="17"/>
        <v>35276598.483838521</v>
      </c>
      <c r="P154" s="732">
        <f>'Func Future Subs 2015'!P154</f>
        <v>0</v>
      </c>
      <c r="Q154" s="732">
        <f>'Func Future Subs 2015'!Q154</f>
        <v>0</v>
      </c>
      <c r="R154" s="732">
        <f>'Func Future Subs 2015'!R154</f>
        <v>1</v>
      </c>
      <c r="S154" s="735">
        <f t="shared" si="18"/>
        <v>0</v>
      </c>
      <c r="T154" s="735">
        <f t="shared" si="19"/>
        <v>0</v>
      </c>
      <c r="U154" s="735">
        <f t="shared" si="20"/>
        <v>35276598.483838521</v>
      </c>
      <c r="V154" s="736">
        <f t="shared" si="21"/>
        <v>0</v>
      </c>
      <c r="W154" s="735">
        <f t="shared" si="22"/>
        <v>35276598.483838521</v>
      </c>
      <c r="X154" s="737">
        <f t="shared" si="23"/>
        <v>0</v>
      </c>
      <c r="Y154" s="738">
        <f t="shared" si="24"/>
        <v>0</v>
      </c>
    </row>
    <row r="155" spans="1:25">
      <c r="A155" s="754" t="str">
        <f>'Func Future Subs 2015'!A155</f>
        <v>Windy Flats 138S</v>
      </c>
      <c r="B155" s="754">
        <f>'Func Future Subs 2015'!B155</f>
        <v>882</v>
      </c>
      <c r="C155" s="754">
        <f>'Func Future Subs 2015'!C155</f>
        <v>240</v>
      </c>
      <c r="D155" s="754">
        <f>'Func Future Subs 2015'!D155</f>
        <v>138</v>
      </c>
      <c r="E155" s="754" t="str">
        <f>'Func Future Subs 2015'!E155</f>
        <v>138S</v>
      </c>
      <c r="F155" s="754">
        <f>'Func Future Subs 2015'!F155</f>
        <v>73372187.647627547</v>
      </c>
      <c r="G155" s="754" t="str">
        <f>'Func Future Subs 2015'!G155</f>
        <v>AltaLink</v>
      </c>
      <c r="H155" s="754">
        <f>'Func Future Subs 2015'!H155</f>
        <v>2015</v>
      </c>
      <c r="I155" s="306">
        <f>+IF($H155=I$2,VLOOKUP($G155,Depreciation!$A$14:$L$18,7,FALSE)/2,IF($H155&lt;I$2,VLOOKUP($G155,Depreciation!$A$14:$L$18,7,FALSE),0))</f>
        <v>1.7228380322441735E-2</v>
      </c>
      <c r="J155" s="306">
        <f>+IF($H155=J$2,VLOOKUP($G155,Depreciation!$A$14:$L$18,8,FALSE)/2,IF($H155&lt;J$2,VLOOKUP($G155,Depreciation!$A$14:$L$18,8,FALSE),0))</f>
        <v>3.343407856743718E-2</v>
      </c>
      <c r="K155" s="306">
        <f>+IF($H155=K$2,VLOOKUP($G155,Depreciation!$A$14:$L$18,9,FALSE)/2,IF($H155&lt;K$2,VLOOKUP($G155,Depreciation!$A$14:$L$18,9,FALSE),0))</f>
        <v>3.343407856743718E-2</v>
      </c>
      <c r="L155" s="306">
        <f>+IF($H155=L$2,VLOOKUP($G155,Depreciation!$A$14:$L$18,10,FALSE)/2,IF($H155&lt;L$2,VLOOKUP($G155,Depreciation!$A$14:$L$18,10,FALSE),0))</f>
        <v>3.343407856743718E-2</v>
      </c>
      <c r="M155" s="306">
        <f>+IF($H155=M$2,VLOOKUP($G155,Depreciation!$A$14:$L$18,11,FALSE)/2,IF($H155&lt;M$2,VLOOKUP($G155,Depreciation!$A$14:$L$18,11,FALSE),0))</f>
        <v>3.343407856743718E-2</v>
      </c>
      <c r="N155" s="306">
        <f>+IF($H155=N$2,VLOOKUP($G155,Depreciation!$A$14:$L$18,12,FALSE)/2,IF($H155&lt;N$2,VLOOKUP($G155,Depreciation!$A$14:$L$18,12,FALSE),0))</f>
        <v>3.343407856743718E-2</v>
      </c>
      <c r="O155" s="307">
        <f t="shared" si="17"/>
        <v>60833313.090759002</v>
      </c>
      <c r="P155" s="732">
        <f>'Func Future Subs 2015'!P155</f>
        <v>0</v>
      </c>
      <c r="Q155" s="732">
        <f>'Func Future Subs 2015'!Q155</f>
        <v>0</v>
      </c>
      <c r="R155" s="732">
        <f>'Func Future Subs 2015'!R155</f>
        <v>1</v>
      </c>
      <c r="S155" s="735">
        <f t="shared" si="18"/>
        <v>0</v>
      </c>
      <c r="T155" s="735">
        <f t="shared" si="19"/>
        <v>0</v>
      </c>
      <c r="U155" s="735">
        <f t="shared" si="20"/>
        <v>60833313.090759002</v>
      </c>
      <c r="V155" s="736">
        <f t="shared" si="21"/>
        <v>0</v>
      </c>
      <c r="W155" s="735">
        <f t="shared" si="22"/>
        <v>0</v>
      </c>
      <c r="X155" s="737">
        <f t="shared" si="23"/>
        <v>60833313.090759002</v>
      </c>
      <c r="Y155" s="738">
        <f t="shared" si="24"/>
        <v>0</v>
      </c>
    </row>
    <row r="156" spans="1:25">
      <c r="A156" s="754" t="str">
        <f>'Func Future Subs 2015'!A156</f>
        <v>Bowmanton 244S 138kV</v>
      </c>
      <c r="B156" s="754">
        <f>'Func Future Subs 2015'!B156</f>
        <v>888</v>
      </c>
      <c r="C156" s="754">
        <f>'Func Future Subs 2015'!C156</f>
        <v>240</v>
      </c>
      <c r="D156" s="754">
        <f>'Func Future Subs 2015'!D156</f>
        <v>138</v>
      </c>
      <c r="E156" s="754" t="str">
        <f>'Func Future Subs 2015'!E156</f>
        <v>244S</v>
      </c>
      <c r="F156" s="754">
        <f>'Func Future Subs 2015'!F156</f>
        <v>31598804.467574589</v>
      </c>
      <c r="G156" s="754" t="str">
        <f>'Func Future Subs 2015'!G156</f>
        <v>AltaLink</v>
      </c>
      <c r="H156" s="754">
        <f>'Func Future Subs 2015'!H156</f>
        <v>2016</v>
      </c>
      <c r="I156" s="306">
        <f>+IF($H156=I$2,VLOOKUP($G156,Depreciation!$A$14:$L$18,7,FALSE)/2,IF($H156&lt;I$2,VLOOKUP($G156,Depreciation!$A$14:$L$18,7,FALSE),0))</f>
        <v>0</v>
      </c>
      <c r="J156" s="306">
        <f>+IF($H156=J$2,VLOOKUP($G156,Depreciation!$A$14:$L$18,8,FALSE)/2,IF($H156&lt;J$2,VLOOKUP($G156,Depreciation!$A$14:$L$18,8,FALSE),0))</f>
        <v>1.671703928371859E-2</v>
      </c>
      <c r="K156" s="306">
        <f>+IF($H156=K$2,VLOOKUP($G156,Depreciation!$A$14:$L$18,9,FALSE)/2,IF($H156&lt;K$2,VLOOKUP($G156,Depreciation!$A$14:$L$18,9,FALSE),0))</f>
        <v>3.343407856743718E-2</v>
      </c>
      <c r="L156" s="306">
        <f>+IF($H156=L$2,VLOOKUP($G156,Depreciation!$A$14:$L$18,10,FALSE)/2,IF($H156&lt;L$2,VLOOKUP($G156,Depreciation!$A$14:$L$18,10,FALSE),0))</f>
        <v>3.343407856743718E-2</v>
      </c>
      <c r="M156" s="306">
        <f>+IF($H156=M$2,VLOOKUP($G156,Depreciation!$A$14:$L$18,11,FALSE)/2,IF($H156&lt;M$2,VLOOKUP($G156,Depreciation!$A$14:$L$18,11,FALSE),0))</f>
        <v>3.343407856743718E-2</v>
      </c>
      <c r="N156" s="306">
        <f>+IF($H156=N$2,VLOOKUP($G156,Depreciation!$A$14:$L$18,12,FALSE)/2,IF($H156&lt;N$2,VLOOKUP($G156,Depreciation!$A$14:$L$18,12,FALSE),0))</f>
        <v>3.343407856743718E-2</v>
      </c>
      <c r="O156" s="307">
        <f t="shared" si="17"/>
        <v>27119088.030031282</v>
      </c>
      <c r="P156" s="732">
        <f>'Func Future Subs 2015'!P156</f>
        <v>0</v>
      </c>
      <c r="Q156" s="732">
        <f>'Func Future Subs 2015'!Q156</f>
        <v>0</v>
      </c>
      <c r="R156" s="732">
        <f>'Func Future Subs 2015'!R156</f>
        <v>1</v>
      </c>
      <c r="S156" s="735">
        <f t="shared" si="18"/>
        <v>0</v>
      </c>
      <c r="T156" s="735">
        <f t="shared" si="19"/>
        <v>0</v>
      </c>
      <c r="U156" s="735">
        <f t="shared" si="20"/>
        <v>27119088.030031282</v>
      </c>
      <c r="V156" s="736">
        <f t="shared" si="21"/>
        <v>0</v>
      </c>
      <c r="W156" s="735">
        <f t="shared" si="22"/>
        <v>0</v>
      </c>
      <c r="X156" s="737">
        <f t="shared" si="23"/>
        <v>27119088.030031282</v>
      </c>
      <c r="Y156" s="738">
        <f t="shared" si="24"/>
        <v>0</v>
      </c>
    </row>
    <row r="157" spans="1:25">
      <c r="A157" s="754" t="str">
        <f>'Func Future Subs 2015'!A157</f>
        <v>Bullshead 523S</v>
      </c>
      <c r="B157" s="754">
        <f>'Func Future Subs 2015'!B157</f>
        <v>888</v>
      </c>
      <c r="C157" s="754">
        <f>'Func Future Subs 2015'!C157</f>
        <v>240</v>
      </c>
      <c r="D157" s="754">
        <f>'Func Future Subs 2015'!D157</f>
        <v>25</v>
      </c>
      <c r="E157" s="754" t="str">
        <f>'Func Future Subs 2015'!E157</f>
        <v>523S</v>
      </c>
      <c r="F157" s="754">
        <f>'Func Future Subs 2015'!F157</f>
        <v>1075414.0279138924</v>
      </c>
      <c r="G157" s="754" t="str">
        <f>'Func Future Subs 2015'!G157</f>
        <v>AltaLink</v>
      </c>
      <c r="H157" s="754">
        <f>'Func Future Subs 2015'!H157</f>
        <v>2016</v>
      </c>
      <c r="I157" s="306">
        <f>+IF($H157=I$2,VLOOKUP($G157,Depreciation!$A$14:$L$18,7,FALSE)/2,IF($H157&lt;I$2,VLOOKUP($G157,Depreciation!$A$14:$L$18,7,FALSE),0))</f>
        <v>0</v>
      </c>
      <c r="J157" s="306">
        <f>+IF($H157=J$2,VLOOKUP($G157,Depreciation!$A$14:$L$18,8,FALSE)/2,IF($H157&lt;J$2,VLOOKUP($G157,Depreciation!$A$14:$L$18,8,FALSE),0))</f>
        <v>1.671703928371859E-2</v>
      </c>
      <c r="K157" s="306">
        <f>+IF($H157=K$2,VLOOKUP($G157,Depreciation!$A$14:$L$18,9,FALSE)/2,IF($H157&lt;K$2,VLOOKUP($G157,Depreciation!$A$14:$L$18,9,FALSE),0))</f>
        <v>3.343407856743718E-2</v>
      </c>
      <c r="L157" s="306">
        <f>+IF($H157=L$2,VLOOKUP($G157,Depreciation!$A$14:$L$18,10,FALSE)/2,IF($H157&lt;L$2,VLOOKUP($G157,Depreciation!$A$14:$L$18,10,FALSE),0))</f>
        <v>3.343407856743718E-2</v>
      </c>
      <c r="M157" s="306">
        <f>+IF($H157=M$2,VLOOKUP($G157,Depreciation!$A$14:$L$18,11,FALSE)/2,IF($H157&lt;M$2,VLOOKUP($G157,Depreciation!$A$14:$L$18,11,FALSE),0))</f>
        <v>3.343407856743718E-2</v>
      </c>
      <c r="N157" s="306">
        <f>+IF($H157=N$2,VLOOKUP($G157,Depreciation!$A$14:$L$18,12,FALSE)/2,IF($H157&lt;N$2,VLOOKUP($G157,Depreciation!$A$14:$L$18,12,FALSE),0))</f>
        <v>3.343407856743718E-2</v>
      </c>
      <c r="O157" s="307">
        <f t="shared" si="17"/>
        <v>922954.14915632445</v>
      </c>
      <c r="P157" s="732">
        <f>'Func Future Subs 2015'!P157</f>
        <v>0</v>
      </c>
      <c r="Q157" s="732">
        <f>'Func Future Subs 2015'!Q157</f>
        <v>1</v>
      </c>
      <c r="R157" s="732">
        <f>'Func Future Subs 2015'!R157</f>
        <v>0</v>
      </c>
      <c r="S157" s="735">
        <f t="shared" si="18"/>
        <v>0</v>
      </c>
      <c r="T157" s="735">
        <f t="shared" si="19"/>
        <v>922954.14915632445</v>
      </c>
      <c r="U157" s="735">
        <f t="shared" si="20"/>
        <v>0</v>
      </c>
      <c r="V157" s="736">
        <f t="shared" si="21"/>
        <v>0</v>
      </c>
      <c r="W157" s="735">
        <f t="shared" si="22"/>
        <v>0</v>
      </c>
      <c r="X157" s="737">
        <f t="shared" si="23"/>
        <v>0</v>
      </c>
      <c r="Y157" s="738">
        <f t="shared" si="24"/>
        <v>922954.14915632445</v>
      </c>
    </row>
    <row r="158" spans="1:25">
      <c r="A158" s="754" t="str">
        <f>'Func Future Subs 2015'!A158</f>
        <v>Burdett 368S line protection</v>
      </c>
      <c r="B158" s="754">
        <f>'Func Future Subs 2015'!B158</f>
        <v>888</v>
      </c>
      <c r="C158" s="754">
        <f>'Func Future Subs 2015'!C158</f>
        <v>138</v>
      </c>
      <c r="D158" s="754">
        <f>'Func Future Subs 2015'!D158</f>
        <v>25</v>
      </c>
      <c r="E158" s="754" t="str">
        <f>'Func Future Subs 2015'!E158</f>
        <v>368S</v>
      </c>
      <c r="F158" s="754">
        <f>'Func Future Subs 2015'!F158</f>
        <v>300701.16758473852</v>
      </c>
      <c r="G158" s="754" t="str">
        <f>'Func Future Subs 2015'!G158</f>
        <v>AltaLink</v>
      </c>
      <c r="H158" s="754">
        <f>'Func Future Subs 2015'!H158</f>
        <v>2016</v>
      </c>
      <c r="I158" s="306">
        <f>+IF($H158=I$2,VLOOKUP($G158,Depreciation!$A$14:$L$18,7,FALSE)/2,IF($H158&lt;I$2,VLOOKUP($G158,Depreciation!$A$14:$L$18,7,FALSE),0))</f>
        <v>0</v>
      </c>
      <c r="J158" s="306">
        <f>+IF($H158=J$2,VLOOKUP($G158,Depreciation!$A$14:$L$18,8,FALSE)/2,IF($H158&lt;J$2,VLOOKUP($G158,Depreciation!$A$14:$L$18,8,FALSE),0))</f>
        <v>1.671703928371859E-2</v>
      </c>
      <c r="K158" s="306">
        <f>+IF($H158=K$2,VLOOKUP($G158,Depreciation!$A$14:$L$18,9,FALSE)/2,IF($H158&lt;K$2,VLOOKUP($G158,Depreciation!$A$14:$L$18,9,FALSE),0))</f>
        <v>3.343407856743718E-2</v>
      </c>
      <c r="L158" s="306">
        <f>+IF($H158=L$2,VLOOKUP($G158,Depreciation!$A$14:$L$18,10,FALSE)/2,IF($H158&lt;L$2,VLOOKUP($G158,Depreciation!$A$14:$L$18,10,FALSE),0))</f>
        <v>3.343407856743718E-2</v>
      </c>
      <c r="M158" s="306">
        <f>+IF($H158=M$2,VLOOKUP($G158,Depreciation!$A$14:$L$18,11,FALSE)/2,IF($H158&lt;M$2,VLOOKUP($G158,Depreciation!$A$14:$L$18,11,FALSE),0))</f>
        <v>3.343407856743718E-2</v>
      </c>
      <c r="N158" s="306">
        <f>+IF($H158=N$2,VLOOKUP($G158,Depreciation!$A$14:$L$18,12,FALSE)/2,IF($H158&lt;N$2,VLOOKUP($G158,Depreciation!$A$14:$L$18,12,FALSE),0))</f>
        <v>3.343407856743718E-2</v>
      </c>
      <c r="O158" s="307">
        <f t="shared" si="17"/>
        <v>258071.20148585938</v>
      </c>
      <c r="P158" s="732">
        <f>'Func Future Subs 2015'!P158</f>
        <v>0</v>
      </c>
      <c r="Q158" s="732">
        <f>'Func Future Subs 2015'!Q158</f>
        <v>1</v>
      </c>
      <c r="R158" s="732">
        <f>'Func Future Subs 2015'!R158</f>
        <v>0</v>
      </c>
      <c r="S158" s="735">
        <f t="shared" si="18"/>
        <v>0</v>
      </c>
      <c r="T158" s="735">
        <f t="shared" si="19"/>
        <v>258071.20148585938</v>
      </c>
      <c r="U158" s="735">
        <f t="shared" si="20"/>
        <v>0</v>
      </c>
      <c r="V158" s="736">
        <f t="shared" si="21"/>
        <v>0</v>
      </c>
      <c r="W158" s="735">
        <f t="shared" si="22"/>
        <v>0</v>
      </c>
      <c r="X158" s="737">
        <f t="shared" si="23"/>
        <v>0</v>
      </c>
      <c r="Y158" s="738">
        <f t="shared" si="24"/>
        <v>258071.20148585938</v>
      </c>
    </row>
    <row r="159" spans="1:25">
      <c r="A159" s="754" t="str">
        <f>'Func Future Subs 2015'!A159</f>
        <v>Chappice Lake 649S</v>
      </c>
      <c r="B159" s="754">
        <f>'Func Future Subs 2015'!B159</f>
        <v>888</v>
      </c>
      <c r="C159" s="754">
        <f>'Func Future Subs 2015'!C159</f>
        <v>138</v>
      </c>
      <c r="D159" s="754">
        <f>'Func Future Subs 2015'!D159</f>
        <v>25</v>
      </c>
      <c r="E159" s="754" t="str">
        <f>'Func Future Subs 2015'!E159</f>
        <v>649S</v>
      </c>
      <c r="F159" s="754">
        <f>'Func Future Subs 2015'!F159</f>
        <v>51845.028893920433</v>
      </c>
      <c r="G159" s="754" t="str">
        <f>'Func Future Subs 2015'!G159</f>
        <v>AltaLink</v>
      </c>
      <c r="H159" s="754">
        <f>'Func Future Subs 2015'!H159</f>
        <v>2016</v>
      </c>
      <c r="I159" s="306">
        <f>+IF($H159=I$2,VLOOKUP($G159,Depreciation!$A$14:$L$18,7,FALSE)/2,IF($H159&lt;I$2,VLOOKUP($G159,Depreciation!$A$14:$L$18,7,FALSE),0))</f>
        <v>0</v>
      </c>
      <c r="J159" s="306">
        <f>+IF($H159=J$2,VLOOKUP($G159,Depreciation!$A$14:$L$18,8,FALSE)/2,IF($H159&lt;J$2,VLOOKUP($G159,Depreciation!$A$14:$L$18,8,FALSE),0))</f>
        <v>1.671703928371859E-2</v>
      </c>
      <c r="K159" s="306">
        <f>+IF($H159=K$2,VLOOKUP($G159,Depreciation!$A$14:$L$18,9,FALSE)/2,IF($H159&lt;K$2,VLOOKUP($G159,Depreciation!$A$14:$L$18,9,FALSE),0))</f>
        <v>3.343407856743718E-2</v>
      </c>
      <c r="L159" s="306">
        <f>+IF($H159=L$2,VLOOKUP($G159,Depreciation!$A$14:$L$18,10,FALSE)/2,IF($H159&lt;L$2,VLOOKUP($G159,Depreciation!$A$14:$L$18,10,FALSE),0))</f>
        <v>3.343407856743718E-2</v>
      </c>
      <c r="M159" s="306">
        <f>+IF($H159=M$2,VLOOKUP($G159,Depreciation!$A$14:$L$18,11,FALSE)/2,IF($H159&lt;M$2,VLOOKUP($G159,Depreciation!$A$14:$L$18,11,FALSE),0))</f>
        <v>3.343407856743718E-2</v>
      </c>
      <c r="N159" s="306">
        <f>+IF($H159=N$2,VLOOKUP($G159,Depreciation!$A$14:$L$18,12,FALSE)/2,IF($H159&lt;N$2,VLOOKUP($G159,Depreciation!$A$14:$L$18,12,FALSE),0))</f>
        <v>3.343407856743718E-2</v>
      </c>
      <c r="O159" s="307">
        <f t="shared" si="17"/>
        <v>44495.034738941256</v>
      </c>
      <c r="P159" s="732">
        <f>'Func Future Subs 2015'!P159</f>
        <v>0</v>
      </c>
      <c r="Q159" s="732">
        <f>'Func Future Subs 2015'!Q159</f>
        <v>1</v>
      </c>
      <c r="R159" s="732">
        <f>'Func Future Subs 2015'!R159</f>
        <v>0</v>
      </c>
      <c r="S159" s="735">
        <f t="shared" si="18"/>
        <v>0</v>
      </c>
      <c r="T159" s="735">
        <f t="shared" si="19"/>
        <v>44495.034738941256</v>
      </c>
      <c r="U159" s="735">
        <f t="shared" si="20"/>
        <v>0</v>
      </c>
      <c r="V159" s="736">
        <f t="shared" si="21"/>
        <v>0</v>
      </c>
      <c r="W159" s="735">
        <f t="shared" si="22"/>
        <v>0</v>
      </c>
      <c r="X159" s="737">
        <f t="shared" si="23"/>
        <v>0</v>
      </c>
      <c r="Y159" s="738">
        <f t="shared" si="24"/>
        <v>44495.034738941256</v>
      </c>
    </row>
    <row r="160" spans="1:25">
      <c r="A160" s="754" t="str">
        <f>'Func Future Subs 2015'!A160</f>
        <v>Cypress 562S line protection</v>
      </c>
      <c r="B160" s="754">
        <f>'Func Future Subs 2015'!B160</f>
        <v>888</v>
      </c>
      <c r="C160" s="754">
        <f>'Func Future Subs 2015'!C160</f>
        <v>240</v>
      </c>
      <c r="D160" s="754">
        <f>'Func Future Subs 2015'!D160</f>
        <v>138</v>
      </c>
      <c r="E160" s="754" t="str">
        <f>'Func Future Subs 2015'!E160</f>
        <v>562S</v>
      </c>
      <c r="F160" s="754">
        <f>'Func Future Subs 2015'!F160</f>
        <v>142203.50782332462</v>
      </c>
      <c r="G160" s="754" t="str">
        <f>'Func Future Subs 2015'!G160</f>
        <v>AltaLink</v>
      </c>
      <c r="H160" s="754">
        <f>'Func Future Subs 2015'!H160</f>
        <v>2016</v>
      </c>
      <c r="I160" s="306">
        <f>+IF($H160=I$2,VLOOKUP($G160,Depreciation!$A$14:$L$18,7,FALSE)/2,IF($H160&lt;I$2,VLOOKUP($G160,Depreciation!$A$14:$L$18,7,FALSE),0))</f>
        <v>0</v>
      </c>
      <c r="J160" s="306">
        <f>+IF($H160=J$2,VLOOKUP($G160,Depreciation!$A$14:$L$18,8,FALSE)/2,IF($H160&lt;J$2,VLOOKUP($G160,Depreciation!$A$14:$L$18,8,FALSE),0))</f>
        <v>1.671703928371859E-2</v>
      </c>
      <c r="K160" s="306">
        <f>+IF($H160=K$2,VLOOKUP($G160,Depreciation!$A$14:$L$18,9,FALSE)/2,IF($H160&lt;K$2,VLOOKUP($G160,Depreciation!$A$14:$L$18,9,FALSE),0))</f>
        <v>3.343407856743718E-2</v>
      </c>
      <c r="L160" s="306">
        <f>+IF($H160=L$2,VLOOKUP($G160,Depreciation!$A$14:$L$18,10,FALSE)/2,IF($H160&lt;L$2,VLOOKUP($G160,Depreciation!$A$14:$L$18,10,FALSE),0))</f>
        <v>3.343407856743718E-2</v>
      </c>
      <c r="M160" s="306">
        <f>+IF($H160=M$2,VLOOKUP($G160,Depreciation!$A$14:$L$18,11,FALSE)/2,IF($H160&lt;M$2,VLOOKUP($G160,Depreciation!$A$14:$L$18,11,FALSE),0))</f>
        <v>3.343407856743718E-2</v>
      </c>
      <c r="N160" s="306">
        <f>+IF($H160=N$2,VLOOKUP($G160,Depreciation!$A$14:$L$18,12,FALSE)/2,IF($H160&lt;N$2,VLOOKUP($G160,Depreciation!$A$14:$L$18,12,FALSE),0))</f>
        <v>3.343407856743718E-2</v>
      </c>
      <c r="O160" s="307">
        <f t="shared" si="17"/>
        <v>122043.52385538173</v>
      </c>
      <c r="P160" s="732">
        <f>'Func Future Subs 2015'!P160</f>
        <v>0</v>
      </c>
      <c r="Q160" s="732">
        <f>'Func Future Subs 2015'!Q160</f>
        <v>0</v>
      </c>
      <c r="R160" s="732">
        <f>'Func Future Subs 2015'!R160</f>
        <v>1</v>
      </c>
      <c r="S160" s="735">
        <f t="shared" si="18"/>
        <v>0</v>
      </c>
      <c r="T160" s="735">
        <f t="shared" si="19"/>
        <v>0</v>
      </c>
      <c r="U160" s="735">
        <f t="shared" si="20"/>
        <v>122043.52385538173</v>
      </c>
      <c r="V160" s="736">
        <f t="shared" si="21"/>
        <v>0</v>
      </c>
      <c r="W160" s="735">
        <f t="shared" si="22"/>
        <v>0</v>
      </c>
      <c r="X160" s="737">
        <f t="shared" si="23"/>
        <v>122043.52385538173</v>
      </c>
      <c r="Y160" s="738">
        <f t="shared" si="24"/>
        <v>0</v>
      </c>
    </row>
    <row r="161" spans="1:25">
      <c r="A161" s="754" t="str">
        <f>'Func Future Subs 2015'!A161</f>
        <v>Medicine Hat 41S</v>
      </c>
      <c r="B161" s="754">
        <f>'Func Future Subs 2015'!B161</f>
        <v>888</v>
      </c>
      <c r="C161" s="754">
        <f>'Func Future Subs 2015'!C161</f>
        <v>138</v>
      </c>
      <c r="D161" s="754">
        <f>'Func Future Subs 2015'!D161</f>
        <v>69</v>
      </c>
      <c r="E161" s="754" t="str">
        <f>'Func Future Subs 2015'!E161</f>
        <v>41S</v>
      </c>
      <c r="F161" s="754">
        <f>'Func Future Subs 2015'!F161</f>
        <v>1193916.9510999962</v>
      </c>
      <c r="G161" s="754" t="str">
        <f>'Func Future Subs 2015'!G161</f>
        <v>AltaLink</v>
      </c>
      <c r="H161" s="754">
        <f>'Func Future Subs 2015'!H161</f>
        <v>2016</v>
      </c>
      <c r="I161" s="306">
        <f>+IF($H161=I$2,VLOOKUP($G161,Depreciation!$A$14:$L$18,7,FALSE)/2,IF($H161&lt;I$2,VLOOKUP($G161,Depreciation!$A$14:$L$18,7,FALSE),0))</f>
        <v>0</v>
      </c>
      <c r="J161" s="306">
        <f>+IF($H161=J$2,VLOOKUP($G161,Depreciation!$A$14:$L$18,8,FALSE)/2,IF($H161&lt;J$2,VLOOKUP($G161,Depreciation!$A$14:$L$18,8,FALSE),0))</f>
        <v>1.671703928371859E-2</v>
      </c>
      <c r="K161" s="306">
        <f>+IF($H161=K$2,VLOOKUP($G161,Depreciation!$A$14:$L$18,9,FALSE)/2,IF($H161&lt;K$2,VLOOKUP($G161,Depreciation!$A$14:$L$18,9,FALSE),0))</f>
        <v>3.343407856743718E-2</v>
      </c>
      <c r="L161" s="306">
        <f>+IF($H161=L$2,VLOOKUP($G161,Depreciation!$A$14:$L$18,10,FALSE)/2,IF($H161&lt;L$2,VLOOKUP($G161,Depreciation!$A$14:$L$18,10,FALSE),0))</f>
        <v>3.343407856743718E-2</v>
      </c>
      <c r="M161" s="306">
        <f>+IF($H161=M$2,VLOOKUP($G161,Depreciation!$A$14:$L$18,11,FALSE)/2,IF($H161&lt;M$2,VLOOKUP($G161,Depreciation!$A$14:$L$18,11,FALSE),0))</f>
        <v>3.343407856743718E-2</v>
      </c>
      <c r="N161" s="306">
        <f>+IF($H161=N$2,VLOOKUP($G161,Depreciation!$A$14:$L$18,12,FALSE)/2,IF($H161&lt;N$2,VLOOKUP($G161,Depreciation!$A$14:$L$18,12,FALSE),0))</f>
        <v>3.343407856743718E-2</v>
      </c>
      <c r="O161" s="307">
        <f t="shared" si="17"/>
        <v>1024657.0857024757</v>
      </c>
      <c r="P161" s="732">
        <f>'Func Future Subs 2015'!P161</f>
        <v>0.796875</v>
      </c>
      <c r="Q161" s="732">
        <f>'Func Future Subs 2015'!Q161</f>
        <v>0.203125</v>
      </c>
      <c r="R161" s="732">
        <f>'Func Future Subs 2015'!R161</f>
        <v>0</v>
      </c>
      <c r="S161" s="735">
        <f t="shared" si="18"/>
        <v>816523.6151691603</v>
      </c>
      <c r="T161" s="735">
        <f t="shared" si="19"/>
        <v>208133.47053331538</v>
      </c>
      <c r="U161" s="735">
        <f t="shared" si="20"/>
        <v>0</v>
      </c>
      <c r="V161" s="736">
        <f t="shared" si="21"/>
        <v>0</v>
      </c>
      <c r="W161" s="735">
        <f t="shared" si="22"/>
        <v>816523.6151691603</v>
      </c>
      <c r="X161" s="737">
        <f t="shared" si="23"/>
        <v>0</v>
      </c>
      <c r="Y161" s="738">
        <f t="shared" si="24"/>
        <v>208133.47053331538</v>
      </c>
    </row>
    <row r="162" spans="1:25">
      <c r="A162" s="754" t="str">
        <f>'Func Future Subs 2015'!A162</f>
        <v>Suffield 895S line protection</v>
      </c>
      <c r="B162" s="754">
        <f>'Func Future Subs 2015'!B162</f>
        <v>888</v>
      </c>
      <c r="C162" s="754">
        <f>'Func Future Subs 2015'!C162</f>
        <v>138</v>
      </c>
      <c r="D162" s="754">
        <f>'Func Future Subs 2015'!D162</f>
        <v>25</v>
      </c>
      <c r="E162" s="754" t="str">
        <f>'Func Future Subs 2015'!E162</f>
        <v>895S</v>
      </c>
      <c r="F162" s="754">
        <f>'Func Future Subs 2015'!F162</f>
        <v>103690.05778784087</v>
      </c>
      <c r="G162" s="754" t="str">
        <f>'Func Future Subs 2015'!G162</f>
        <v>AltaLink</v>
      </c>
      <c r="H162" s="754">
        <f>'Func Future Subs 2015'!H162</f>
        <v>2016</v>
      </c>
      <c r="I162" s="306">
        <f>+IF($H162=I$2,VLOOKUP($G162,Depreciation!$A$14:$L$18,7,FALSE)/2,IF($H162&lt;I$2,VLOOKUP($G162,Depreciation!$A$14:$L$18,7,FALSE),0))</f>
        <v>0</v>
      </c>
      <c r="J162" s="306">
        <f>+IF($H162=J$2,VLOOKUP($G162,Depreciation!$A$14:$L$18,8,FALSE)/2,IF($H162&lt;J$2,VLOOKUP($G162,Depreciation!$A$14:$L$18,8,FALSE),0))</f>
        <v>1.671703928371859E-2</v>
      </c>
      <c r="K162" s="306">
        <f>+IF($H162=K$2,VLOOKUP($G162,Depreciation!$A$14:$L$18,9,FALSE)/2,IF($H162&lt;K$2,VLOOKUP($G162,Depreciation!$A$14:$L$18,9,FALSE),0))</f>
        <v>3.343407856743718E-2</v>
      </c>
      <c r="L162" s="306">
        <f>+IF($H162=L$2,VLOOKUP($G162,Depreciation!$A$14:$L$18,10,FALSE)/2,IF($H162&lt;L$2,VLOOKUP($G162,Depreciation!$A$14:$L$18,10,FALSE),0))</f>
        <v>3.343407856743718E-2</v>
      </c>
      <c r="M162" s="306">
        <f>+IF($H162=M$2,VLOOKUP($G162,Depreciation!$A$14:$L$18,11,FALSE)/2,IF($H162&lt;M$2,VLOOKUP($G162,Depreciation!$A$14:$L$18,11,FALSE),0))</f>
        <v>3.343407856743718E-2</v>
      </c>
      <c r="N162" s="306">
        <f>+IF($H162=N$2,VLOOKUP($G162,Depreciation!$A$14:$L$18,12,FALSE)/2,IF($H162&lt;N$2,VLOOKUP($G162,Depreciation!$A$14:$L$18,12,FALSE),0))</f>
        <v>3.343407856743718E-2</v>
      </c>
      <c r="O162" s="307">
        <f t="shared" si="17"/>
        <v>88990.069477882513</v>
      </c>
      <c r="P162" s="732">
        <f>'Func Future Subs 2015'!P162</f>
        <v>0.23378141437755698</v>
      </c>
      <c r="Q162" s="732">
        <f>'Func Future Subs 2015'!Q162</f>
        <v>0.76621858562244305</v>
      </c>
      <c r="R162" s="732">
        <f>'Func Future Subs 2015'!R162</f>
        <v>0</v>
      </c>
      <c r="S162" s="735">
        <f t="shared" si="18"/>
        <v>20804.224308096436</v>
      </c>
      <c r="T162" s="735">
        <f t="shared" si="19"/>
        <v>68185.845169786073</v>
      </c>
      <c r="U162" s="735">
        <f t="shared" si="20"/>
        <v>0</v>
      </c>
      <c r="V162" s="736">
        <f t="shared" si="21"/>
        <v>0</v>
      </c>
      <c r="W162" s="735">
        <f t="shared" si="22"/>
        <v>20804.224308096436</v>
      </c>
      <c r="X162" s="737">
        <f t="shared" si="23"/>
        <v>0</v>
      </c>
      <c r="Y162" s="738">
        <f t="shared" si="24"/>
        <v>68185.845169786073</v>
      </c>
    </row>
    <row r="163" spans="1:25">
      <c r="A163" s="754" t="str">
        <f>'Func Future Subs 2015'!A163</f>
        <v>Birchwood Creek 960S</v>
      </c>
      <c r="B163" s="754">
        <f>'Func Future Subs 2015'!B163</f>
        <v>948</v>
      </c>
      <c r="C163" s="754">
        <f>'Func Future Subs 2015'!C163</f>
        <v>240</v>
      </c>
      <c r="D163" s="754">
        <f>'Func Future Subs 2015'!D163</f>
        <v>240</v>
      </c>
      <c r="E163" s="754" t="str">
        <f>'Func Future Subs 2015'!E163</f>
        <v>960S</v>
      </c>
      <c r="F163" s="754">
        <f>'Func Future Subs 2015'!F163</f>
        <v>13129855.568043312</v>
      </c>
      <c r="G163" s="754" t="str">
        <f>'Func Future Subs 2015'!G163</f>
        <v>ATCO</v>
      </c>
      <c r="H163" s="754">
        <f>'Func Future Subs 2015'!H163</f>
        <v>2015</v>
      </c>
      <c r="I163" s="306">
        <f>+IF($H163=I$2,VLOOKUP($G163,Depreciation!$A$14:$L$18,7,FALSE)/2,IF($H163&lt;I$2,VLOOKUP($G163,Depreciation!$A$14:$L$18,7,FALSE),0))</f>
        <v>1.221703683566912E-2</v>
      </c>
      <c r="J163" s="306">
        <f>+IF($H163=J$2,VLOOKUP($G163,Depreciation!$A$14:$L$18,8,FALSE)/2,IF($H163&lt;J$2,VLOOKUP($G163,Depreciation!$A$14:$L$18,8,FALSE),0))</f>
        <v>2.4632450501084719E-2</v>
      </c>
      <c r="K163" s="306">
        <f>+IF($H163=K$2,VLOOKUP($G163,Depreciation!$A$14:$L$18,9,FALSE)/2,IF($H163&lt;K$2,VLOOKUP($G163,Depreciation!$A$14:$L$18,9,FALSE),0))</f>
        <v>2.4351536427798831E-2</v>
      </c>
      <c r="L163" s="306">
        <f>+IF($H163=L$2,VLOOKUP($G163,Depreciation!$A$14:$L$18,10,FALSE)/2,IF($H163&lt;L$2,VLOOKUP($G163,Depreciation!$A$14:$L$18,10,FALSE),0))</f>
        <v>2.4351536427798831E-2</v>
      </c>
      <c r="M163" s="306">
        <f>+IF($H163=M$2,VLOOKUP($G163,Depreciation!$A$14:$L$18,11,FALSE)/2,IF($H163&lt;M$2,VLOOKUP($G163,Depreciation!$A$14:$L$18,11,FALSE),0))</f>
        <v>2.4351536427798831E-2</v>
      </c>
      <c r="N163" s="306">
        <f>+IF($H163=N$2,VLOOKUP($G163,Depreciation!$A$14:$L$18,12,FALSE)/2,IF($H163&lt;N$2,VLOOKUP($G163,Depreciation!$A$14:$L$18,12,FALSE),0))</f>
        <v>2.4351536427798831E-2</v>
      </c>
      <c r="O163" s="307">
        <f t="shared" si="17"/>
        <v>11462074.911973853</v>
      </c>
      <c r="P163" s="732">
        <f>'Func Future Subs 2015'!P163</f>
        <v>0</v>
      </c>
      <c r="Q163" s="732">
        <f>'Func Future Subs 2015'!Q163</f>
        <v>0</v>
      </c>
      <c r="R163" s="732">
        <f>'Func Future Subs 2015'!R163</f>
        <v>1</v>
      </c>
      <c r="S163" s="735">
        <f t="shared" si="18"/>
        <v>0</v>
      </c>
      <c r="T163" s="735">
        <f t="shared" si="19"/>
        <v>0</v>
      </c>
      <c r="U163" s="735">
        <f t="shared" si="20"/>
        <v>11462074.911973853</v>
      </c>
      <c r="V163" s="736">
        <f t="shared" si="21"/>
        <v>0</v>
      </c>
      <c r="W163" s="735">
        <f t="shared" si="22"/>
        <v>11462074.911973853</v>
      </c>
      <c r="X163" s="737">
        <f t="shared" si="23"/>
        <v>0</v>
      </c>
      <c r="Y163" s="738">
        <f t="shared" si="24"/>
        <v>0</v>
      </c>
    </row>
    <row r="164" spans="1:25">
      <c r="A164" s="754" t="str">
        <f>'Func Future Subs 2015'!A164</f>
        <v>0244S Bowmanton180</v>
      </c>
      <c r="B164" s="754">
        <f>'Func Future Subs 2015'!B164</f>
        <v>737</v>
      </c>
      <c r="C164" s="754">
        <f>'Func Future Subs 2015'!C164</f>
        <v>240</v>
      </c>
      <c r="D164" s="754">
        <f>'Func Future Subs 2015'!D164</f>
        <v>138</v>
      </c>
      <c r="E164" s="754" t="str">
        <f>'Func Future Subs 2015'!E164</f>
        <v>244S</v>
      </c>
      <c r="F164" s="754">
        <f>'Func Future Subs 2015'!F164</f>
        <v>598925.20531495858</v>
      </c>
      <c r="G164" s="754" t="str">
        <f>'Func Future Subs 2015'!G164</f>
        <v>AltaLink</v>
      </c>
      <c r="H164" s="754">
        <f>'Func Future Subs 2015'!H164</f>
        <v>2015</v>
      </c>
      <c r="I164" s="306">
        <f>+IF($H164=I$2,VLOOKUP($G164,Depreciation!$A$14:$L$18,7,FALSE)/2,IF($H164&lt;I$2,VLOOKUP($G164,Depreciation!$A$14:$L$18,7,FALSE),0))</f>
        <v>1.7228380322441735E-2</v>
      </c>
      <c r="J164" s="306">
        <f>+IF($H164=J$2,VLOOKUP($G164,Depreciation!$A$14:$L$18,8,FALSE)/2,IF($H164&lt;J$2,VLOOKUP($G164,Depreciation!$A$14:$L$18,8,FALSE),0))</f>
        <v>3.343407856743718E-2</v>
      </c>
      <c r="K164" s="306">
        <f>+IF($H164=K$2,VLOOKUP($G164,Depreciation!$A$14:$L$18,9,FALSE)/2,IF($H164&lt;K$2,VLOOKUP($G164,Depreciation!$A$14:$L$18,9,FALSE),0))</f>
        <v>3.343407856743718E-2</v>
      </c>
      <c r="L164" s="306">
        <f>+IF($H164=L$2,VLOOKUP($G164,Depreciation!$A$14:$L$18,10,FALSE)/2,IF($H164&lt;L$2,VLOOKUP($G164,Depreciation!$A$14:$L$18,10,FALSE),0))</f>
        <v>3.343407856743718E-2</v>
      </c>
      <c r="M164" s="306">
        <f>+IF($H164=M$2,VLOOKUP($G164,Depreciation!$A$14:$L$18,11,FALSE)/2,IF($H164&lt;M$2,VLOOKUP($G164,Depreciation!$A$14:$L$18,11,FALSE),0))</f>
        <v>3.343407856743718E-2</v>
      </c>
      <c r="N164" s="306">
        <f>+IF($H164=N$2,VLOOKUP($G164,Depreciation!$A$14:$L$18,12,FALSE)/2,IF($H164&lt;N$2,VLOOKUP($G164,Depreciation!$A$14:$L$18,12,FALSE),0))</f>
        <v>3.343407856743718E-2</v>
      </c>
      <c r="O164" s="307">
        <f t="shared" si="17"/>
        <v>496572.41661991097</v>
      </c>
      <c r="P164" s="732">
        <f>'Func Future Subs 2015'!P164</f>
        <v>0</v>
      </c>
      <c r="Q164" s="732">
        <f>'Func Future Subs 2015'!Q164</f>
        <v>0</v>
      </c>
      <c r="R164" s="732">
        <f>'Func Future Subs 2015'!R164</f>
        <v>1</v>
      </c>
      <c r="S164" s="735">
        <f t="shared" si="18"/>
        <v>0</v>
      </c>
      <c r="T164" s="735">
        <f t="shared" si="19"/>
        <v>0</v>
      </c>
      <c r="U164" s="735">
        <f t="shared" si="20"/>
        <v>496572.41661991097</v>
      </c>
      <c r="V164" s="736">
        <f t="shared" si="21"/>
        <v>0</v>
      </c>
      <c r="W164" s="735">
        <f t="shared" si="22"/>
        <v>0</v>
      </c>
      <c r="X164" s="737">
        <f t="shared" si="23"/>
        <v>496572.41661991097</v>
      </c>
      <c r="Y164" s="738">
        <f t="shared" si="24"/>
        <v>0</v>
      </c>
    </row>
    <row r="165" spans="1:25">
      <c r="A165" s="754" t="str">
        <f>'Func Future Subs 2015'!A165</f>
        <v>089S Ellerslie180</v>
      </c>
      <c r="B165" s="754">
        <f>'Func Future Subs 2015'!B165</f>
        <v>737</v>
      </c>
      <c r="C165" s="754">
        <f>'Func Future Subs 2015'!C165</f>
        <v>240</v>
      </c>
      <c r="D165" s="754">
        <f>'Func Future Subs 2015'!D165</f>
        <v>240</v>
      </c>
      <c r="E165" s="754" t="str">
        <f>'Func Future Subs 2015'!E165</f>
        <v>89S</v>
      </c>
      <c r="F165" s="754">
        <f>'Func Future Subs 2015'!F165</f>
        <v>701881.13162263809</v>
      </c>
      <c r="G165" s="754" t="str">
        <f>'Func Future Subs 2015'!G165</f>
        <v>AltaLink</v>
      </c>
      <c r="H165" s="754">
        <f>'Func Future Subs 2015'!H165</f>
        <v>2015</v>
      </c>
      <c r="I165" s="306">
        <f>+IF($H165=I$2,VLOOKUP($G165,Depreciation!$A$14:$L$18,7,FALSE)/2,IF($H165&lt;I$2,VLOOKUP($G165,Depreciation!$A$14:$L$18,7,FALSE),0))</f>
        <v>1.7228380322441735E-2</v>
      </c>
      <c r="J165" s="306">
        <f>+IF($H165=J$2,VLOOKUP($G165,Depreciation!$A$14:$L$18,8,FALSE)/2,IF($H165&lt;J$2,VLOOKUP($G165,Depreciation!$A$14:$L$18,8,FALSE),0))</f>
        <v>3.343407856743718E-2</v>
      </c>
      <c r="K165" s="306">
        <f>+IF($H165=K$2,VLOOKUP($G165,Depreciation!$A$14:$L$18,9,FALSE)/2,IF($H165&lt;K$2,VLOOKUP($G165,Depreciation!$A$14:$L$18,9,FALSE),0))</f>
        <v>3.343407856743718E-2</v>
      </c>
      <c r="L165" s="306">
        <f>+IF($H165=L$2,VLOOKUP($G165,Depreciation!$A$14:$L$18,10,FALSE)/2,IF($H165&lt;L$2,VLOOKUP($G165,Depreciation!$A$14:$L$18,10,FALSE),0))</f>
        <v>3.343407856743718E-2</v>
      </c>
      <c r="M165" s="306">
        <f>+IF($H165=M$2,VLOOKUP($G165,Depreciation!$A$14:$L$18,11,FALSE)/2,IF($H165&lt;M$2,VLOOKUP($G165,Depreciation!$A$14:$L$18,11,FALSE),0))</f>
        <v>3.343407856743718E-2</v>
      </c>
      <c r="N165" s="306">
        <f>+IF($H165=N$2,VLOOKUP($G165,Depreciation!$A$14:$L$18,12,FALSE)/2,IF($H165&lt;N$2,VLOOKUP($G165,Depreciation!$A$14:$L$18,12,FALSE),0))</f>
        <v>3.343407856743718E-2</v>
      </c>
      <c r="O165" s="307">
        <f t="shared" si="17"/>
        <v>581933.78174239001</v>
      </c>
      <c r="P165" s="732">
        <f>'Func Future Subs 2015'!P165</f>
        <v>0</v>
      </c>
      <c r="Q165" s="732">
        <f>'Func Future Subs 2015'!Q165</f>
        <v>0</v>
      </c>
      <c r="R165" s="732">
        <f>'Func Future Subs 2015'!R165</f>
        <v>1</v>
      </c>
      <c r="S165" s="735">
        <f t="shared" si="18"/>
        <v>0</v>
      </c>
      <c r="T165" s="735">
        <f t="shared" si="19"/>
        <v>0</v>
      </c>
      <c r="U165" s="735">
        <f t="shared" si="20"/>
        <v>581933.78174239001</v>
      </c>
      <c r="V165" s="736">
        <f t="shared" si="21"/>
        <v>0</v>
      </c>
      <c r="W165" s="735">
        <f t="shared" si="22"/>
        <v>581933.78174239001</v>
      </c>
      <c r="X165" s="737">
        <f t="shared" si="23"/>
        <v>0</v>
      </c>
      <c r="Y165" s="738">
        <f t="shared" si="24"/>
        <v>0</v>
      </c>
    </row>
    <row r="166" spans="1:25">
      <c r="A166" s="754" t="str">
        <f>'Func Future Subs 2015'!A166</f>
        <v>320P Keephills180</v>
      </c>
      <c r="B166" s="754">
        <f>'Func Future Subs 2015'!B166</f>
        <v>737</v>
      </c>
      <c r="C166" s="754">
        <f>'Func Future Subs 2015'!C166</f>
        <v>240</v>
      </c>
      <c r="D166" s="754">
        <f>'Func Future Subs 2015'!D166</f>
        <v>25</v>
      </c>
      <c r="E166" s="754" t="str">
        <f>'Func Future Subs 2015'!E166</f>
        <v>320P</v>
      </c>
      <c r="F166" s="754">
        <f>'Func Future Subs 2015'!F166</f>
        <v>314443.89048852649</v>
      </c>
      <c r="G166" s="754" t="str">
        <f>'Func Future Subs 2015'!G166</f>
        <v>AltaLink</v>
      </c>
      <c r="H166" s="754">
        <f>'Func Future Subs 2015'!H166</f>
        <v>2015</v>
      </c>
      <c r="I166" s="306">
        <f>+IF($H166=I$2,VLOOKUP($G166,Depreciation!$A$14:$L$18,7,FALSE)/2,IF($H166&lt;I$2,VLOOKUP($G166,Depreciation!$A$14:$L$18,7,FALSE),0))</f>
        <v>1.7228380322441735E-2</v>
      </c>
      <c r="J166" s="306">
        <f>+IF($H166=J$2,VLOOKUP($G166,Depreciation!$A$14:$L$18,8,FALSE)/2,IF($H166&lt;J$2,VLOOKUP($G166,Depreciation!$A$14:$L$18,8,FALSE),0))</f>
        <v>3.343407856743718E-2</v>
      </c>
      <c r="K166" s="306">
        <f>+IF($H166=K$2,VLOOKUP($G166,Depreciation!$A$14:$L$18,9,FALSE)/2,IF($H166&lt;K$2,VLOOKUP($G166,Depreciation!$A$14:$L$18,9,FALSE),0))</f>
        <v>3.343407856743718E-2</v>
      </c>
      <c r="L166" s="306">
        <f>+IF($H166=L$2,VLOOKUP($G166,Depreciation!$A$14:$L$18,10,FALSE)/2,IF($H166&lt;L$2,VLOOKUP($G166,Depreciation!$A$14:$L$18,10,FALSE),0))</f>
        <v>3.343407856743718E-2</v>
      </c>
      <c r="M166" s="306">
        <f>+IF($H166=M$2,VLOOKUP($G166,Depreciation!$A$14:$L$18,11,FALSE)/2,IF($H166&lt;M$2,VLOOKUP($G166,Depreciation!$A$14:$L$18,11,FALSE),0))</f>
        <v>3.343407856743718E-2</v>
      </c>
      <c r="N166" s="306">
        <f>+IF($H166=N$2,VLOOKUP($G166,Depreciation!$A$14:$L$18,12,FALSE)/2,IF($H166&lt;N$2,VLOOKUP($G166,Depreciation!$A$14:$L$18,12,FALSE),0))</f>
        <v>3.343407856743718E-2</v>
      </c>
      <c r="O166" s="307">
        <f t="shared" si="17"/>
        <v>260707.28232107425</v>
      </c>
      <c r="P166" s="732">
        <f>'Func Future Subs 2015'!P166</f>
        <v>0.96203522504892369</v>
      </c>
      <c r="Q166" s="732">
        <f>'Func Future Subs 2015'!Q166</f>
        <v>3.7964774951076322E-2</v>
      </c>
      <c r="R166" s="732">
        <f>'Func Future Subs 2015'!R166</f>
        <v>0</v>
      </c>
      <c r="S166" s="735">
        <f t="shared" si="18"/>
        <v>250809.58901964794</v>
      </c>
      <c r="T166" s="735">
        <f t="shared" si="19"/>
        <v>9897.6933014263032</v>
      </c>
      <c r="U166" s="735">
        <f t="shared" si="20"/>
        <v>0</v>
      </c>
      <c r="V166" s="736">
        <f t="shared" si="21"/>
        <v>0</v>
      </c>
      <c r="W166" s="735">
        <f t="shared" si="22"/>
        <v>250809.58901964794</v>
      </c>
      <c r="X166" s="737">
        <f t="shared" si="23"/>
        <v>0</v>
      </c>
      <c r="Y166" s="738">
        <f t="shared" si="24"/>
        <v>9897.6933014263032</v>
      </c>
    </row>
    <row r="167" spans="1:25">
      <c r="A167" s="754" t="str">
        <f>'Func Future Subs 2015'!A167</f>
        <v>324S Cassils180</v>
      </c>
      <c r="B167" s="754">
        <f>'Func Future Subs 2015'!B167</f>
        <v>737</v>
      </c>
      <c r="C167" s="754">
        <f>'Func Future Subs 2015'!C167</f>
        <v>240</v>
      </c>
      <c r="D167" s="754">
        <f>'Func Future Subs 2015'!D167</f>
        <v>240</v>
      </c>
      <c r="E167" s="754" t="str">
        <f>'Func Future Subs 2015'!E167</f>
        <v>324S</v>
      </c>
      <c r="F167" s="754">
        <f>'Func Future Subs 2015'!F167</f>
        <v>1228267.7960131739</v>
      </c>
      <c r="G167" s="754" t="str">
        <f>'Func Future Subs 2015'!G167</f>
        <v>AltaLink</v>
      </c>
      <c r="H167" s="754">
        <f>'Func Future Subs 2015'!H167</f>
        <v>2015</v>
      </c>
      <c r="I167" s="306">
        <f>+IF($H167=I$2,VLOOKUP($G167,Depreciation!$A$14:$L$18,7,FALSE)/2,IF($H167&lt;I$2,VLOOKUP($G167,Depreciation!$A$14:$L$18,7,FALSE),0))</f>
        <v>1.7228380322441735E-2</v>
      </c>
      <c r="J167" s="306">
        <f>+IF($H167=J$2,VLOOKUP($G167,Depreciation!$A$14:$L$18,8,FALSE)/2,IF($H167&lt;J$2,VLOOKUP($G167,Depreciation!$A$14:$L$18,8,FALSE),0))</f>
        <v>3.343407856743718E-2</v>
      </c>
      <c r="K167" s="306">
        <f>+IF($H167=K$2,VLOOKUP($G167,Depreciation!$A$14:$L$18,9,FALSE)/2,IF($H167&lt;K$2,VLOOKUP($G167,Depreciation!$A$14:$L$18,9,FALSE),0))</f>
        <v>3.343407856743718E-2</v>
      </c>
      <c r="L167" s="306">
        <f>+IF($H167=L$2,VLOOKUP($G167,Depreciation!$A$14:$L$18,10,FALSE)/2,IF($H167&lt;L$2,VLOOKUP($G167,Depreciation!$A$14:$L$18,10,FALSE),0))</f>
        <v>3.343407856743718E-2</v>
      </c>
      <c r="M167" s="306">
        <f>+IF($H167=M$2,VLOOKUP($G167,Depreciation!$A$14:$L$18,11,FALSE)/2,IF($H167&lt;M$2,VLOOKUP($G167,Depreciation!$A$14:$L$18,11,FALSE),0))</f>
        <v>3.343407856743718E-2</v>
      </c>
      <c r="N167" s="306">
        <f>+IF($H167=N$2,VLOOKUP($G167,Depreciation!$A$14:$L$18,12,FALSE)/2,IF($H167&lt;N$2,VLOOKUP($G167,Depreciation!$A$14:$L$18,12,FALSE),0))</f>
        <v>3.343407856743718E-2</v>
      </c>
      <c r="O167" s="307">
        <f t="shared" si="17"/>
        <v>1018364.0666816338</v>
      </c>
      <c r="P167" s="732">
        <f>'Func Future Subs 2015'!P167</f>
        <v>0</v>
      </c>
      <c r="Q167" s="732">
        <f>'Func Future Subs 2015'!Q167</f>
        <v>0</v>
      </c>
      <c r="R167" s="732">
        <f>'Func Future Subs 2015'!R167</f>
        <v>1</v>
      </c>
      <c r="S167" s="735">
        <f t="shared" si="18"/>
        <v>0</v>
      </c>
      <c r="T167" s="735">
        <f t="shared" si="19"/>
        <v>0</v>
      </c>
      <c r="U167" s="735">
        <f t="shared" si="20"/>
        <v>1018364.0666816338</v>
      </c>
      <c r="V167" s="736">
        <f t="shared" si="21"/>
        <v>0</v>
      </c>
      <c r="W167" s="735">
        <f t="shared" si="22"/>
        <v>1018364.0666816338</v>
      </c>
      <c r="X167" s="737">
        <f t="shared" si="23"/>
        <v>0</v>
      </c>
      <c r="Y167" s="738">
        <f t="shared" si="24"/>
        <v>0</v>
      </c>
    </row>
    <row r="168" spans="1:25">
      <c r="A168" s="754" t="str">
        <f>'Func Future Subs 2015'!A168</f>
        <v>356S Milo180</v>
      </c>
      <c r="B168" s="754">
        <f>'Func Future Subs 2015'!B168</f>
        <v>737</v>
      </c>
      <c r="C168" s="754">
        <f>'Func Future Subs 2015'!C168</f>
        <v>240</v>
      </c>
      <c r="D168" s="754">
        <f>'Func Future Subs 2015'!D168</f>
        <v>240</v>
      </c>
      <c r="E168" s="754" t="str">
        <f>'Func Future Subs 2015'!E168</f>
        <v>356S</v>
      </c>
      <c r="F168" s="754">
        <f>'Func Future Subs 2015'!F168</f>
        <v>509558.70470753126</v>
      </c>
      <c r="G168" s="754" t="str">
        <f>'Func Future Subs 2015'!G168</f>
        <v>AltaLink</v>
      </c>
      <c r="H168" s="754">
        <f>'Func Future Subs 2015'!H168</f>
        <v>2015</v>
      </c>
      <c r="I168" s="306">
        <f>+IF($H168=I$2,VLOOKUP($G168,Depreciation!$A$14:$L$18,7,FALSE)/2,IF($H168&lt;I$2,VLOOKUP($G168,Depreciation!$A$14:$L$18,7,FALSE),0))</f>
        <v>1.7228380322441735E-2</v>
      </c>
      <c r="J168" s="306">
        <f>+IF($H168=J$2,VLOOKUP($G168,Depreciation!$A$14:$L$18,8,FALSE)/2,IF($H168&lt;J$2,VLOOKUP($G168,Depreciation!$A$14:$L$18,8,FALSE),0))</f>
        <v>3.343407856743718E-2</v>
      </c>
      <c r="K168" s="306">
        <f>+IF($H168=K$2,VLOOKUP($G168,Depreciation!$A$14:$L$18,9,FALSE)/2,IF($H168&lt;K$2,VLOOKUP($G168,Depreciation!$A$14:$L$18,9,FALSE),0))</f>
        <v>3.343407856743718E-2</v>
      </c>
      <c r="L168" s="306">
        <f>+IF($H168=L$2,VLOOKUP($G168,Depreciation!$A$14:$L$18,10,FALSE)/2,IF($H168&lt;L$2,VLOOKUP($G168,Depreciation!$A$14:$L$18,10,FALSE),0))</f>
        <v>3.343407856743718E-2</v>
      </c>
      <c r="M168" s="306">
        <f>+IF($H168=M$2,VLOOKUP($G168,Depreciation!$A$14:$L$18,11,FALSE)/2,IF($H168&lt;M$2,VLOOKUP($G168,Depreciation!$A$14:$L$18,11,FALSE),0))</f>
        <v>3.343407856743718E-2</v>
      </c>
      <c r="N168" s="306">
        <f>+IF($H168=N$2,VLOOKUP($G168,Depreciation!$A$14:$L$18,12,FALSE)/2,IF($H168&lt;N$2,VLOOKUP($G168,Depreciation!$A$14:$L$18,12,FALSE),0))</f>
        <v>3.343407856743718E-2</v>
      </c>
      <c r="O168" s="307">
        <f t="shared" si="17"/>
        <v>422478.12441499654</v>
      </c>
      <c r="P168" s="732">
        <f>'Func Future Subs 2015'!P168</f>
        <v>0</v>
      </c>
      <c r="Q168" s="732">
        <f>'Func Future Subs 2015'!Q168</f>
        <v>0</v>
      </c>
      <c r="R168" s="732">
        <f>'Func Future Subs 2015'!R168</f>
        <v>1</v>
      </c>
      <c r="S168" s="735">
        <f t="shared" si="18"/>
        <v>0</v>
      </c>
      <c r="T168" s="735">
        <f t="shared" si="19"/>
        <v>0</v>
      </c>
      <c r="U168" s="735">
        <f t="shared" si="20"/>
        <v>422478.12441499654</v>
      </c>
      <c r="V168" s="736">
        <f t="shared" si="21"/>
        <v>0</v>
      </c>
      <c r="W168" s="735">
        <f t="shared" si="22"/>
        <v>422478.12441499654</v>
      </c>
      <c r="X168" s="737">
        <f t="shared" si="23"/>
        <v>0</v>
      </c>
      <c r="Y168" s="738">
        <f t="shared" si="24"/>
        <v>0</v>
      </c>
    </row>
    <row r="169" spans="1:25">
      <c r="A169" s="754" t="str">
        <f>'Func Future Subs 2015'!A169</f>
        <v>Converter Station (Heathfield 2029S)180</v>
      </c>
      <c r="B169" s="754">
        <f>'Func Future Subs 2015'!B169</f>
        <v>737</v>
      </c>
      <c r="C169" s="754">
        <f>'Func Future Subs 2015'!C169</f>
        <v>500</v>
      </c>
      <c r="D169" s="754">
        <f>'Func Future Subs 2015'!D169</f>
        <v>500</v>
      </c>
      <c r="E169" s="754" t="str">
        <f>'Func Future Subs 2015'!E169</f>
        <v>2029S</v>
      </c>
      <c r="F169" s="754">
        <f>'Func Future Subs 2015'!F169</f>
        <v>532569282.5</v>
      </c>
      <c r="G169" s="754" t="str">
        <f>'Func Future Subs 2015'!G169</f>
        <v>ATCO</v>
      </c>
      <c r="H169" s="754">
        <f>'Func Future Subs 2015'!H169</f>
        <v>2015</v>
      </c>
      <c r="I169" s="306">
        <f>+IF($H169=I$2,VLOOKUP($G169,Depreciation!$A$14:$L$18,7,FALSE)/2,IF($H169&lt;I$2,VLOOKUP($G169,Depreciation!$A$14:$L$18,7,FALSE),0))</f>
        <v>1.221703683566912E-2</v>
      </c>
      <c r="J169" s="306">
        <f>+IF($H169=J$2,VLOOKUP($G169,Depreciation!$A$14:$L$18,8,FALSE)/2,IF($H169&lt;J$2,VLOOKUP($G169,Depreciation!$A$14:$L$18,8,FALSE),0))</f>
        <v>2.4632450501084719E-2</v>
      </c>
      <c r="K169" s="306">
        <f>+IF($H169=K$2,VLOOKUP($G169,Depreciation!$A$14:$L$18,9,FALSE)/2,IF($H169&lt;K$2,VLOOKUP($G169,Depreciation!$A$14:$L$18,9,FALSE),0))</f>
        <v>2.4351536427798831E-2</v>
      </c>
      <c r="L169" s="306">
        <f>+IF($H169=L$2,VLOOKUP($G169,Depreciation!$A$14:$L$18,10,FALSE)/2,IF($H169&lt;L$2,VLOOKUP($G169,Depreciation!$A$14:$L$18,10,FALSE),0))</f>
        <v>2.4351536427798831E-2</v>
      </c>
      <c r="M169" s="306">
        <f>+IF($H169=M$2,VLOOKUP($G169,Depreciation!$A$14:$L$18,11,FALSE)/2,IF($H169&lt;M$2,VLOOKUP($G169,Depreciation!$A$14:$L$18,11,FALSE),0))</f>
        <v>2.4351536427798831E-2</v>
      </c>
      <c r="N169" s="306">
        <f>+IF($H169=N$2,VLOOKUP($G169,Depreciation!$A$14:$L$18,12,FALSE)/2,IF($H169&lt;N$2,VLOOKUP($G169,Depreciation!$A$14:$L$18,12,FALSE),0))</f>
        <v>2.4351536427798831E-2</v>
      </c>
      <c r="O169" s="307">
        <f t="shared" si="17"/>
        <v>464921261.33424562</v>
      </c>
      <c r="P169" s="732">
        <f>'Func Future Subs 2015'!P169</f>
        <v>0</v>
      </c>
      <c r="Q169" s="732">
        <f>'Func Future Subs 2015'!Q169</f>
        <v>0</v>
      </c>
      <c r="R169" s="732">
        <f>'Func Future Subs 2015'!R169</f>
        <v>1</v>
      </c>
      <c r="S169" s="735">
        <f t="shared" si="18"/>
        <v>0</v>
      </c>
      <c r="T169" s="735">
        <f t="shared" si="19"/>
        <v>0</v>
      </c>
      <c r="U169" s="735">
        <f t="shared" si="20"/>
        <v>464921261.33424562</v>
      </c>
      <c r="V169" s="736">
        <f t="shared" si="21"/>
        <v>0</v>
      </c>
      <c r="W169" s="735">
        <f t="shared" si="22"/>
        <v>464921261.33424562</v>
      </c>
      <c r="X169" s="737">
        <f t="shared" si="23"/>
        <v>0</v>
      </c>
      <c r="Y169" s="738">
        <f t="shared" si="24"/>
        <v>0</v>
      </c>
    </row>
    <row r="170" spans="1:25">
      <c r="A170" s="754" t="str">
        <f>'Func Future Subs 2015'!A170</f>
        <v>Genesee 330P 961</v>
      </c>
      <c r="B170" s="754">
        <f>'Func Future Subs 2015'!B170</f>
        <v>737</v>
      </c>
      <c r="C170" s="754">
        <f>'Func Future Subs 2015'!C170</f>
        <v>500</v>
      </c>
      <c r="D170" s="754">
        <f>'Func Future Subs 2015'!D170</f>
        <v>240</v>
      </c>
      <c r="E170" s="754" t="str">
        <f>'Func Future Subs 2015'!E170</f>
        <v>330P</v>
      </c>
      <c r="F170" s="754">
        <f>'Func Future Subs 2015'!F170</f>
        <v>107206.28193058976</v>
      </c>
      <c r="G170" s="754" t="str">
        <f>'Func Future Subs 2015'!G170</f>
        <v>EPCOR</v>
      </c>
      <c r="H170" s="754">
        <f>'Func Future Subs 2015'!H170</f>
        <v>2015</v>
      </c>
      <c r="I170" s="306">
        <f>+IF($H170=I$2,VLOOKUP($G170,Depreciation!$A$14:$L$18,7,FALSE)/2,IF($H170&lt;I$2,VLOOKUP($G170,Depreciation!$A$14:$L$18,7,FALSE),0))</f>
        <v>2.0607513622398654E-2</v>
      </c>
      <c r="J170" s="306">
        <f>+IF($H170=J$2,VLOOKUP($G170,Depreciation!$A$14:$L$18,8,FALSE)/2,IF($H170&lt;J$2,VLOOKUP($G170,Depreciation!$A$14:$L$18,8,FALSE),0))</f>
        <v>4.1600055599844914E-2</v>
      </c>
      <c r="K170" s="306">
        <f>+IF($H170=K$2,VLOOKUP($G170,Depreciation!$A$14:$L$18,9,FALSE)/2,IF($H170&lt;K$2,VLOOKUP($G170,Depreciation!$A$14:$L$18,9,FALSE),0))</f>
        <v>4.1145263498658789E-2</v>
      </c>
      <c r="L170" s="306">
        <f>+IF($H170=L$2,VLOOKUP($G170,Depreciation!$A$14:$L$18,10,FALSE)/2,IF($H170&lt;L$2,VLOOKUP($G170,Depreciation!$A$14:$L$18,10,FALSE),0))</f>
        <v>4.1145263498658789E-2</v>
      </c>
      <c r="M170" s="306">
        <f>+IF($H170=M$2,VLOOKUP($G170,Depreciation!$A$14:$L$18,11,FALSE)/2,IF($H170&lt;M$2,VLOOKUP($G170,Depreciation!$A$14:$L$18,11,FALSE),0))</f>
        <v>4.1145263498658789E-2</v>
      </c>
      <c r="N170" s="306">
        <f>+IF($H170=N$2,VLOOKUP($G170,Depreciation!$A$14:$L$18,12,FALSE)/2,IF($H170&lt;N$2,VLOOKUP($G170,Depreciation!$A$14:$L$18,12,FALSE),0))</f>
        <v>4.1145263498658789E-2</v>
      </c>
      <c r="O170" s="307">
        <f t="shared" si="17"/>
        <v>85061.895000527817</v>
      </c>
      <c r="P170" s="732">
        <f>'Func Future Subs 2015'!P170</f>
        <v>0</v>
      </c>
      <c r="Q170" s="732">
        <f>'Func Future Subs 2015'!Q170</f>
        <v>0</v>
      </c>
      <c r="R170" s="732">
        <f>'Func Future Subs 2015'!R170</f>
        <v>1</v>
      </c>
      <c r="S170" s="735">
        <f t="shared" si="18"/>
        <v>0</v>
      </c>
      <c r="T170" s="735">
        <f t="shared" si="19"/>
        <v>0</v>
      </c>
      <c r="U170" s="735">
        <f t="shared" si="20"/>
        <v>85061.895000527817</v>
      </c>
      <c r="V170" s="736">
        <f t="shared" si="21"/>
        <v>0</v>
      </c>
      <c r="W170" s="735">
        <f t="shared" si="22"/>
        <v>85061.895000527817</v>
      </c>
      <c r="X170" s="737">
        <f t="shared" si="23"/>
        <v>0</v>
      </c>
      <c r="Y170" s="738">
        <f t="shared" si="24"/>
        <v>0</v>
      </c>
    </row>
    <row r="171" spans="1:25">
      <c r="A171" s="754" t="str">
        <f>'Func Future Subs 2015'!A171</f>
        <v>Heartland 12S180</v>
      </c>
      <c r="B171" s="754">
        <f>'Func Future Subs 2015'!B171</f>
        <v>737</v>
      </c>
      <c r="C171" s="754">
        <f>'Func Future Subs 2015'!C171</f>
        <v>500</v>
      </c>
      <c r="D171" s="754">
        <f>'Func Future Subs 2015'!D171</f>
        <v>240</v>
      </c>
      <c r="E171" s="754" t="str">
        <f>'Func Future Subs 2015'!E171</f>
        <v>12S</v>
      </c>
      <c r="F171" s="754">
        <f>'Func Future Subs 2015'!F171</f>
        <v>33005662.747339312</v>
      </c>
      <c r="G171" s="754" t="str">
        <f>'Func Future Subs 2015'!G171</f>
        <v>AltaLink</v>
      </c>
      <c r="H171" s="754">
        <f>'Func Future Subs 2015'!H171</f>
        <v>2015</v>
      </c>
      <c r="I171" s="306">
        <f>+IF($H171=I$2,VLOOKUP($G171,Depreciation!$A$14:$L$18,7,FALSE)/2,IF($H171&lt;I$2,VLOOKUP($G171,Depreciation!$A$14:$L$18,7,FALSE),0))</f>
        <v>1.7228380322441735E-2</v>
      </c>
      <c r="J171" s="306">
        <f>+IF($H171=J$2,VLOOKUP($G171,Depreciation!$A$14:$L$18,8,FALSE)/2,IF($H171&lt;J$2,VLOOKUP($G171,Depreciation!$A$14:$L$18,8,FALSE),0))</f>
        <v>3.343407856743718E-2</v>
      </c>
      <c r="K171" s="306">
        <f>+IF($H171=K$2,VLOOKUP($G171,Depreciation!$A$14:$L$18,9,FALSE)/2,IF($H171&lt;K$2,VLOOKUP($G171,Depreciation!$A$14:$L$18,9,FALSE),0))</f>
        <v>3.343407856743718E-2</v>
      </c>
      <c r="L171" s="306">
        <f>+IF($H171=L$2,VLOOKUP($G171,Depreciation!$A$14:$L$18,10,FALSE)/2,IF($H171&lt;L$2,VLOOKUP($G171,Depreciation!$A$14:$L$18,10,FALSE),0))</f>
        <v>3.343407856743718E-2</v>
      </c>
      <c r="M171" s="306">
        <f>+IF($H171=M$2,VLOOKUP($G171,Depreciation!$A$14:$L$18,11,FALSE)/2,IF($H171&lt;M$2,VLOOKUP($G171,Depreciation!$A$14:$L$18,11,FALSE),0))</f>
        <v>3.343407856743718E-2</v>
      </c>
      <c r="N171" s="306">
        <f>+IF($H171=N$2,VLOOKUP($G171,Depreciation!$A$14:$L$18,12,FALSE)/2,IF($H171&lt;N$2,VLOOKUP($G171,Depreciation!$A$14:$L$18,12,FALSE),0))</f>
        <v>3.343407856743718E-2</v>
      </c>
      <c r="O171" s="307">
        <f t="shared" si="17"/>
        <v>27365189.454615042</v>
      </c>
      <c r="P171" s="732">
        <f>'Func Future Subs 2015'!P171</f>
        <v>0</v>
      </c>
      <c r="Q171" s="732">
        <f>'Func Future Subs 2015'!Q171</f>
        <v>0</v>
      </c>
      <c r="R171" s="732">
        <f>'Func Future Subs 2015'!R171</f>
        <v>1</v>
      </c>
      <c r="S171" s="735">
        <f t="shared" si="18"/>
        <v>0</v>
      </c>
      <c r="T171" s="735">
        <f t="shared" si="19"/>
        <v>0</v>
      </c>
      <c r="U171" s="735">
        <f t="shared" si="20"/>
        <v>27365189.454615042</v>
      </c>
      <c r="V171" s="736">
        <f t="shared" si="21"/>
        <v>0</v>
      </c>
      <c r="W171" s="735">
        <f t="shared" si="22"/>
        <v>27365189.454615042</v>
      </c>
      <c r="X171" s="737">
        <f t="shared" si="23"/>
        <v>0</v>
      </c>
      <c r="Y171" s="738">
        <f t="shared" si="24"/>
        <v>0</v>
      </c>
    </row>
    <row r="172" spans="1:25">
      <c r="A172" s="754" t="str">
        <f>'Func Future Subs 2015'!A172</f>
        <v>320P[2]_180</v>
      </c>
      <c r="B172" s="754">
        <f>'Func Future Subs 2015'!B172</f>
        <v>737</v>
      </c>
      <c r="C172" s="754">
        <f>'Func Future Subs 2015'!C172</f>
        <v>240</v>
      </c>
      <c r="D172" s="754">
        <f>'Func Future Subs 2015'!D172</f>
        <v>25</v>
      </c>
      <c r="E172" s="754" t="str">
        <f>'Func Future Subs 2015'!E172</f>
        <v>320P</v>
      </c>
      <c r="F172" s="754">
        <f>'Func Future Subs 2015'!F172</f>
        <v>551841.87584074528</v>
      </c>
      <c r="G172" s="754" t="str">
        <f>'Func Future Subs 2015'!G172</f>
        <v>AltaLink</v>
      </c>
      <c r="H172" s="754">
        <f>'Func Future Subs 2015'!H172</f>
        <v>2015</v>
      </c>
      <c r="I172" s="306">
        <f>+IF($H172=I$2,VLOOKUP($G172,Depreciation!$A$14:$L$18,7,FALSE)/2,IF($H172&lt;I$2,VLOOKUP($G172,Depreciation!$A$14:$L$18,7,FALSE),0))</f>
        <v>1.7228380322441735E-2</v>
      </c>
      <c r="J172" s="306">
        <f>+IF($H172=J$2,VLOOKUP($G172,Depreciation!$A$14:$L$18,8,FALSE)/2,IF($H172&lt;J$2,VLOOKUP($G172,Depreciation!$A$14:$L$18,8,FALSE),0))</f>
        <v>3.343407856743718E-2</v>
      </c>
      <c r="K172" s="306">
        <f>+IF($H172=K$2,VLOOKUP($G172,Depreciation!$A$14:$L$18,9,FALSE)/2,IF($H172&lt;K$2,VLOOKUP($G172,Depreciation!$A$14:$L$18,9,FALSE),0))</f>
        <v>3.343407856743718E-2</v>
      </c>
      <c r="L172" s="306">
        <f>+IF($H172=L$2,VLOOKUP($G172,Depreciation!$A$14:$L$18,10,FALSE)/2,IF($H172&lt;L$2,VLOOKUP($G172,Depreciation!$A$14:$L$18,10,FALSE),0))</f>
        <v>3.343407856743718E-2</v>
      </c>
      <c r="M172" s="306">
        <f>+IF($H172=M$2,VLOOKUP($G172,Depreciation!$A$14:$L$18,11,FALSE)/2,IF($H172&lt;M$2,VLOOKUP($G172,Depreciation!$A$14:$L$18,11,FALSE),0))</f>
        <v>3.343407856743718E-2</v>
      </c>
      <c r="N172" s="306">
        <f>+IF($H172=N$2,VLOOKUP($G172,Depreciation!$A$14:$L$18,12,FALSE)/2,IF($H172&lt;N$2,VLOOKUP($G172,Depreciation!$A$14:$L$18,12,FALSE),0))</f>
        <v>3.343407856743718E-2</v>
      </c>
      <c r="O172" s="307">
        <f t="shared" si="17"/>
        <v>457535.35073582188</v>
      </c>
      <c r="P172" s="732">
        <f>'Func Future Subs 2015'!P172</f>
        <v>0.96203522504892369</v>
      </c>
      <c r="Q172" s="732">
        <f>'Func Future Subs 2015'!Q172</f>
        <v>3.7964774951076322E-2</v>
      </c>
      <c r="R172" s="732">
        <f>'Func Future Subs 2015'!R172</f>
        <v>0</v>
      </c>
      <c r="S172" s="735">
        <f t="shared" si="18"/>
        <v>440165.12411297462</v>
      </c>
      <c r="T172" s="735">
        <f t="shared" si="19"/>
        <v>17370.226622847251</v>
      </c>
      <c r="U172" s="735">
        <f t="shared" si="20"/>
        <v>0</v>
      </c>
      <c r="V172" s="736">
        <f t="shared" si="21"/>
        <v>0</v>
      </c>
      <c r="W172" s="735">
        <f t="shared" si="22"/>
        <v>440165.12411297462</v>
      </c>
      <c r="X172" s="737">
        <f t="shared" si="23"/>
        <v>0</v>
      </c>
      <c r="Y172" s="738">
        <f t="shared" si="24"/>
        <v>17370.226622847251</v>
      </c>
    </row>
    <row r="173" spans="1:25">
      <c r="A173" s="754" t="str">
        <f>'Func Future Subs 2015'!A173</f>
        <v>330P_180</v>
      </c>
      <c r="B173" s="754">
        <f>'Func Future Subs 2015'!B173</f>
        <v>737</v>
      </c>
      <c r="C173" s="754">
        <f>'Func Future Subs 2015'!C173</f>
        <v>240</v>
      </c>
      <c r="D173" s="754">
        <f>'Func Future Subs 2015'!D173</f>
        <v>240</v>
      </c>
      <c r="E173" s="754" t="str">
        <f>'Func Future Subs 2015'!E173</f>
        <v>330P</v>
      </c>
      <c r="F173" s="754">
        <f>'Func Future Subs 2015'!F173</f>
        <v>223583.15265230645</v>
      </c>
      <c r="G173" s="754" t="str">
        <f>'Func Future Subs 2015'!G173</f>
        <v>AltaLink</v>
      </c>
      <c r="H173" s="754">
        <f>'Func Future Subs 2015'!H173</f>
        <v>2015</v>
      </c>
      <c r="I173" s="306">
        <f>+IF($H173=I$2,VLOOKUP($G173,Depreciation!$A$14:$L$18,7,FALSE)/2,IF($H173&lt;I$2,VLOOKUP($G173,Depreciation!$A$14:$L$18,7,FALSE),0))</f>
        <v>1.7228380322441735E-2</v>
      </c>
      <c r="J173" s="306">
        <f>+IF($H173=J$2,VLOOKUP($G173,Depreciation!$A$14:$L$18,8,FALSE)/2,IF($H173&lt;J$2,VLOOKUP($G173,Depreciation!$A$14:$L$18,8,FALSE),0))</f>
        <v>3.343407856743718E-2</v>
      </c>
      <c r="K173" s="306">
        <f>+IF($H173=K$2,VLOOKUP($G173,Depreciation!$A$14:$L$18,9,FALSE)/2,IF($H173&lt;K$2,VLOOKUP($G173,Depreciation!$A$14:$L$18,9,FALSE),0))</f>
        <v>3.343407856743718E-2</v>
      </c>
      <c r="L173" s="306">
        <f>+IF($H173=L$2,VLOOKUP($G173,Depreciation!$A$14:$L$18,10,FALSE)/2,IF($H173&lt;L$2,VLOOKUP($G173,Depreciation!$A$14:$L$18,10,FALSE),0))</f>
        <v>3.343407856743718E-2</v>
      </c>
      <c r="M173" s="306">
        <f>+IF($H173=M$2,VLOOKUP($G173,Depreciation!$A$14:$L$18,11,FALSE)/2,IF($H173&lt;M$2,VLOOKUP($G173,Depreciation!$A$14:$L$18,11,FALSE),0))</f>
        <v>3.343407856743718E-2</v>
      </c>
      <c r="N173" s="306">
        <f>+IF($H173=N$2,VLOOKUP($G173,Depreciation!$A$14:$L$18,12,FALSE)/2,IF($H173&lt;N$2,VLOOKUP($G173,Depreciation!$A$14:$L$18,12,FALSE),0))</f>
        <v>3.343407856743718E-2</v>
      </c>
      <c r="O173" s="307">
        <f t="shared" si="17"/>
        <v>185374.10922565719</v>
      </c>
      <c r="P173" s="732">
        <f>'Func Future Subs 2015'!P173</f>
        <v>0</v>
      </c>
      <c r="Q173" s="732">
        <f>'Func Future Subs 2015'!Q173</f>
        <v>0</v>
      </c>
      <c r="R173" s="732">
        <f>'Func Future Subs 2015'!R173</f>
        <v>1</v>
      </c>
      <c r="S173" s="735">
        <f t="shared" si="18"/>
        <v>0</v>
      </c>
      <c r="T173" s="735">
        <f t="shared" si="19"/>
        <v>0</v>
      </c>
      <c r="U173" s="735">
        <f t="shared" si="20"/>
        <v>185374.10922565719</v>
      </c>
      <c r="V173" s="736">
        <f t="shared" si="21"/>
        <v>0</v>
      </c>
      <c r="W173" s="735">
        <f t="shared" si="22"/>
        <v>185374.10922565719</v>
      </c>
      <c r="X173" s="737">
        <f t="shared" si="23"/>
        <v>0</v>
      </c>
      <c r="Y173" s="738">
        <f t="shared" si="24"/>
        <v>0</v>
      </c>
    </row>
    <row r="174" spans="1:25">
      <c r="A174" s="754" t="str">
        <f>'Func Future Subs 2015'!A174</f>
        <v>74S_180</v>
      </c>
      <c r="B174" s="754">
        <f>'Func Future Subs 2015'!B174</f>
        <v>737</v>
      </c>
      <c r="C174" s="754">
        <f>'Func Future Subs 2015'!C174</f>
        <v>240</v>
      </c>
      <c r="D174" s="754">
        <f>'Func Future Subs 2015'!D174</f>
        <v>138</v>
      </c>
      <c r="E174" s="754" t="str">
        <f>'Func Future Subs 2015'!E174</f>
        <v>74S</v>
      </c>
      <c r="F174" s="754">
        <f>'Func Future Subs 2015'!F174</f>
        <v>315408.50917802192</v>
      </c>
      <c r="G174" s="754" t="str">
        <f>'Func Future Subs 2015'!G174</f>
        <v>AltaLink</v>
      </c>
      <c r="H174" s="754">
        <f>'Func Future Subs 2015'!H174</f>
        <v>2015</v>
      </c>
      <c r="I174" s="306">
        <f>+IF($H174=I$2,VLOOKUP($G174,Depreciation!$A$14:$L$18,7,FALSE)/2,IF($H174&lt;I$2,VLOOKUP($G174,Depreciation!$A$14:$L$18,7,FALSE),0))</f>
        <v>1.7228380322441735E-2</v>
      </c>
      <c r="J174" s="306">
        <f>+IF($H174=J$2,VLOOKUP($G174,Depreciation!$A$14:$L$18,8,FALSE)/2,IF($H174&lt;J$2,VLOOKUP($G174,Depreciation!$A$14:$L$18,8,FALSE),0))</f>
        <v>3.343407856743718E-2</v>
      </c>
      <c r="K174" s="306">
        <f>+IF($H174=K$2,VLOOKUP($G174,Depreciation!$A$14:$L$18,9,FALSE)/2,IF($H174&lt;K$2,VLOOKUP($G174,Depreciation!$A$14:$L$18,9,FALSE),0))</f>
        <v>3.343407856743718E-2</v>
      </c>
      <c r="L174" s="306">
        <f>+IF($H174=L$2,VLOOKUP($G174,Depreciation!$A$14:$L$18,10,FALSE)/2,IF($H174&lt;L$2,VLOOKUP($G174,Depreciation!$A$14:$L$18,10,FALSE),0))</f>
        <v>3.343407856743718E-2</v>
      </c>
      <c r="M174" s="306">
        <f>+IF($H174=M$2,VLOOKUP($G174,Depreciation!$A$14:$L$18,11,FALSE)/2,IF($H174&lt;M$2,VLOOKUP($G174,Depreciation!$A$14:$L$18,11,FALSE),0))</f>
        <v>3.343407856743718E-2</v>
      </c>
      <c r="N174" s="306">
        <f>+IF($H174=N$2,VLOOKUP($G174,Depreciation!$A$14:$L$18,12,FALSE)/2,IF($H174&lt;N$2,VLOOKUP($G174,Depreciation!$A$14:$L$18,12,FALSE),0))</f>
        <v>3.343407856743718E-2</v>
      </c>
      <c r="O174" s="307">
        <f t="shared" si="17"/>
        <v>261507.05336011006</v>
      </c>
      <c r="P174" s="732">
        <f>'Func Future Subs 2015'!P174</f>
        <v>0</v>
      </c>
      <c r="Q174" s="732">
        <f>'Func Future Subs 2015'!Q174</f>
        <v>0</v>
      </c>
      <c r="R174" s="732">
        <f>'Func Future Subs 2015'!R174</f>
        <v>1</v>
      </c>
      <c r="S174" s="735">
        <f t="shared" si="18"/>
        <v>0</v>
      </c>
      <c r="T174" s="735">
        <f t="shared" si="19"/>
        <v>0</v>
      </c>
      <c r="U174" s="735">
        <f t="shared" si="20"/>
        <v>261507.05336011006</v>
      </c>
      <c r="V174" s="736">
        <f t="shared" si="21"/>
        <v>0</v>
      </c>
      <c r="W174" s="735">
        <f t="shared" si="22"/>
        <v>0</v>
      </c>
      <c r="X174" s="737">
        <f t="shared" si="23"/>
        <v>261507.05336011006</v>
      </c>
      <c r="Y174" s="738">
        <f t="shared" si="24"/>
        <v>0</v>
      </c>
    </row>
    <row r="175" spans="1:25">
      <c r="A175" s="754" t="str">
        <f>'Func Future Subs 2015'!A175</f>
        <v>89S_180</v>
      </c>
      <c r="B175" s="754">
        <f>'Func Future Subs 2015'!B175</f>
        <v>737</v>
      </c>
      <c r="C175" s="754">
        <f>'Func Future Subs 2015'!C175</f>
        <v>240</v>
      </c>
      <c r="D175" s="754">
        <f>'Func Future Subs 2015'!D175</f>
        <v>240</v>
      </c>
      <c r="E175" s="754" t="str">
        <f>'Func Future Subs 2015'!E175</f>
        <v>89S</v>
      </c>
      <c r="F175" s="754">
        <f>'Func Future Subs 2015'!F175</f>
        <v>273015.76516128465</v>
      </c>
      <c r="G175" s="754" t="str">
        <f>'Func Future Subs 2015'!G175</f>
        <v>AltaLink</v>
      </c>
      <c r="H175" s="754">
        <f>'Func Future Subs 2015'!H175</f>
        <v>2015</v>
      </c>
      <c r="I175" s="306">
        <f>+IF($H175=I$2,VLOOKUP($G175,Depreciation!$A$14:$L$18,7,FALSE)/2,IF($H175&lt;I$2,VLOOKUP($G175,Depreciation!$A$14:$L$18,7,FALSE),0))</f>
        <v>1.7228380322441735E-2</v>
      </c>
      <c r="J175" s="306">
        <f>+IF($H175=J$2,VLOOKUP($G175,Depreciation!$A$14:$L$18,8,FALSE)/2,IF($H175&lt;J$2,VLOOKUP($G175,Depreciation!$A$14:$L$18,8,FALSE),0))</f>
        <v>3.343407856743718E-2</v>
      </c>
      <c r="K175" s="306">
        <f>+IF($H175=K$2,VLOOKUP($G175,Depreciation!$A$14:$L$18,9,FALSE)/2,IF($H175&lt;K$2,VLOOKUP($G175,Depreciation!$A$14:$L$18,9,FALSE),0))</f>
        <v>3.343407856743718E-2</v>
      </c>
      <c r="L175" s="306">
        <f>+IF($H175=L$2,VLOOKUP($G175,Depreciation!$A$14:$L$18,10,FALSE)/2,IF($H175&lt;L$2,VLOOKUP($G175,Depreciation!$A$14:$L$18,10,FALSE),0))</f>
        <v>3.343407856743718E-2</v>
      </c>
      <c r="M175" s="306">
        <f>+IF($H175=M$2,VLOOKUP($G175,Depreciation!$A$14:$L$18,11,FALSE)/2,IF($H175&lt;M$2,VLOOKUP($G175,Depreciation!$A$14:$L$18,11,FALSE),0))</f>
        <v>3.343407856743718E-2</v>
      </c>
      <c r="N175" s="306">
        <f>+IF($H175=N$2,VLOOKUP($G175,Depreciation!$A$14:$L$18,12,FALSE)/2,IF($H175&lt;N$2,VLOOKUP($G175,Depreciation!$A$14:$L$18,12,FALSE),0))</f>
        <v>3.343407856743718E-2</v>
      </c>
      <c r="O175" s="307">
        <f t="shared" si="17"/>
        <v>226358.97951594729</v>
      </c>
      <c r="P175" s="732">
        <f>'Func Future Subs 2015'!P175</f>
        <v>0</v>
      </c>
      <c r="Q175" s="732">
        <f>'Func Future Subs 2015'!Q175</f>
        <v>0</v>
      </c>
      <c r="R175" s="732">
        <f>'Func Future Subs 2015'!R175</f>
        <v>1</v>
      </c>
      <c r="S175" s="735">
        <f t="shared" si="18"/>
        <v>0</v>
      </c>
      <c r="T175" s="735">
        <f t="shared" si="19"/>
        <v>0</v>
      </c>
      <c r="U175" s="735">
        <f t="shared" si="20"/>
        <v>226358.97951594729</v>
      </c>
      <c r="V175" s="736">
        <f t="shared" si="21"/>
        <v>0</v>
      </c>
      <c r="W175" s="735">
        <f t="shared" si="22"/>
        <v>226358.97951594729</v>
      </c>
      <c r="X175" s="737">
        <f t="shared" si="23"/>
        <v>0</v>
      </c>
      <c r="Y175" s="738">
        <f t="shared" si="24"/>
        <v>0</v>
      </c>
    </row>
    <row r="176" spans="1:25">
      <c r="A176" s="754" t="str">
        <f>'Func Future Subs 2015'!A176</f>
        <v>Bennett 503S Substation</v>
      </c>
      <c r="B176" s="754">
        <f>'Func Future Subs 2015'!B176</f>
        <v>737</v>
      </c>
      <c r="C176" s="754">
        <f>'Func Future Subs 2015'!C176</f>
        <v>500</v>
      </c>
      <c r="D176" s="754">
        <f>'Func Future Subs 2015'!D176</f>
        <v>0</v>
      </c>
      <c r="E176" s="754" t="str">
        <f>'Func Future Subs 2015'!E176</f>
        <v>503S</v>
      </c>
      <c r="F176" s="754">
        <f>'Func Future Subs 2015'!F176</f>
        <v>59049851.860905387</v>
      </c>
      <c r="G176" s="754" t="str">
        <f>'Func Future Subs 2015'!G176</f>
        <v>AltaLink</v>
      </c>
      <c r="H176" s="754">
        <f>'Func Future Subs 2015'!H176</f>
        <v>2015</v>
      </c>
      <c r="I176" s="306">
        <f>+IF($H176=I$2,VLOOKUP($G176,Depreciation!$A$14:$L$18,7,FALSE)/2,IF($H176&lt;I$2,VLOOKUP($G176,Depreciation!$A$14:$L$18,7,FALSE),0))</f>
        <v>1.7228380322441735E-2</v>
      </c>
      <c r="J176" s="306">
        <f>+IF($H176=J$2,VLOOKUP($G176,Depreciation!$A$14:$L$18,8,FALSE)/2,IF($H176&lt;J$2,VLOOKUP($G176,Depreciation!$A$14:$L$18,8,FALSE),0))</f>
        <v>3.343407856743718E-2</v>
      </c>
      <c r="K176" s="306">
        <f>+IF($H176=K$2,VLOOKUP($G176,Depreciation!$A$14:$L$18,9,FALSE)/2,IF($H176&lt;K$2,VLOOKUP($G176,Depreciation!$A$14:$L$18,9,FALSE),0))</f>
        <v>3.343407856743718E-2</v>
      </c>
      <c r="L176" s="306">
        <f>+IF($H176=L$2,VLOOKUP($G176,Depreciation!$A$14:$L$18,10,FALSE)/2,IF($H176&lt;L$2,VLOOKUP($G176,Depreciation!$A$14:$L$18,10,FALSE),0))</f>
        <v>3.343407856743718E-2</v>
      </c>
      <c r="M176" s="306">
        <f>+IF($H176=M$2,VLOOKUP($G176,Depreciation!$A$14:$L$18,11,FALSE)/2,IF($H176&lt;M$2,VLOOKUP($G176,Depreciation!$A$14:$L$18,11,FALSE),0))</f>
        <v>3.343407856743718E-2</v>
      </c>
      <c r="N176" s="306">
        <f>+IF($H176=N$2,VLOOKUP($G176,Depreciation!$A$14:$L$18,12,FALSE)/2,IF($H176&lt;N$2,VLOOKUP($G176,Depreciation!$A$14:$L$18,12,FALSE),0))</f>
        <v>3.343407856743718E-2</v>
      </c>
      <c r="O176" s="307">
        <f t="shared" si="17"/>
        <v>48958580.102164187</v>
      </c>
      <c r="P176" s="732">
        <f>'Func Future Subs 2015'!P176</f>
        <v>0</v>
      </c>
      <c r="Q176" s="732">
        <f>'Func Future Subs 2015'!Q176</f>
        <v>0</v>
      </c>
      <c r="R176" s="732">
        <f>'Func Future Subs 2015'!R176</f>
        <v>1</v>
      </c>
      <c r="S176" s="735">
        <f t="shared" si="18"/>
        <v>0</v>
      </c>
      <c r="T176" s="735">
        <f t="shared" si="19"/>
        <v>0</v>
      </c>
      <c r="U176" s="735">
        <f t="shared" si="20"/>
        <v>48958580.102164187</v>
      </c>
      <c r="V176" s="736">
        <f t="shared" si="21"/>
        <v>48958580.102164187</v>
      </c>
      <c r="W176" s="735">
        <f t="shared" si="22"/>
        <v>0</v>
      </c>
      <c r="X176" s="737">
        <f t="shared" si="23"/>
        <v>0</v>
      </c>
      <c r="Y176" s="738">
        <f t="shared" si="24"/>
        <v>0</v>
      </c>
    </row>
    <row r="177" spans="1:25">
      <c r="A177" s="754" t="str">
        <f>'Func Future Subs 2015'!A177</f>
        <v>Crossings 511S Substation</v>
      </c>
      <c r="B177" s="754">
        <f>'Func Future Subs 2015'!B177</f>
        <v>737</v>
      </c>
      <c r="C177" s="754">
        <f>'Func Future Subs 2015'!C177</f>
        <v>500</v>
      </c>
      <c r="D177" s="754">
        <f>'Func Future Subs 2015'!D177</f>
        <v>240</v>
      </c>
      <c r="E177" s="754" t="str">
        <f>'Func Future Subs 2015'!E177</f>
        <v>511S</v>
      </c>
      <c r="F177" s="754">
        <f>'Func Future Subs 2015'!F177</f>
        <v>248522285.09999999</v>
      </c>
      <c r="G177" s="754" t="str">
        <f>'Func Future Subs 2015'!G177</f>
        <v>AltaLink</v>
      </c>
      <c r="H177" s="754">
        <f>'Func Future Subs 2015'!H177</f>
        <v>2015</v>
      </c>
      <c r="I177" s="306">
        <f>+IF($H177=I$2,VLOOKUP($G177,Depreciation!$A$14:$L$18,7,FALSE)/2,IF($H177&lt;I$2,VLOOKUP($G177,Depreciation!$A$14:$L$18,7,FALSE),0))</f>
        <v>1.7228380322441735E-2</v>
      </c>
      <c r="J177" s="306">
        <f>+IF($H177=J$2,VLOOKUP($G177,Depreciation!$A$14:$L$18,8,FALSE)/2,IF($H177&lt;J$2,VLOOKUP($G177,Depreciation!$A$14:$L$18,8,FALSE),0))</f>
        <v>3.343407856743718E-2</v>
      </c>
      <c r="K177" s="306">
        <f>+IF($H177=K$2,VLOOKUP($G177,Depreciation!$A$14:$L$18,9,FALSE)/2,IF($H177&lt;K$2,VLOOKUP($G177,Depreciation!$A$14:$L$18,9,FALSE),0))</f>
        <v>3.343407856743718E-2</v>
      </c>
      <c r="L177" s="306">
        <f>+IF($H177=L$2,VLOOKUP($G177,Depreciation!$A$14:$L$18,10,FALSE)/2,IF($H177&lt;L$2,VLOOKUP($G177,Depreciation!$A$14:$L$18,10,FALSE),0))</f>
        <v>3.343407856743718E-2</v>
      </c>
      <c r="M177" s="306">
        <f>+IF($H177=M$2,VLOOKUP($G177,Depreciation!$A$14:$L$18,11,FALSE)/2,IF($H177&lt;M$2,VLOOKUP($G177,Depreciation!$A$14:$L$18,11,FALSE),0))</f>
        <v>3.343407856743718E-2</v>
      </c>
      <c r="N177" s="306">
        <f>+IF($H177=N$2,VLOOKUP($G177,Depreciation!$A$14:$L$18,12,FALSE)/2,IF($H177&lt;N$2,VLOOKUP($G177,Depreciation!$A$14:$L$18,12,FALSE),0))</f>
        <v>3.343407856743718E-2</v>
      </c>
      <c r="O177" s="307">
        <f t="shared" si="17"/>
        <v>206051290.88048959</v>
      </c>
      <c r="P177" s="732">
        <f>'Func Future Subs 2015'!P177</f>
        <v>0</v>
      </c>
      <c r="Q177" s="732">
        <f>'Func Future Subs 2015'!Q177</f>
        <v>0</v>
      </c>
      <c r="R177" s="732">
        <f>'Func Future Subs 2015'!R177</f>
        <v>1</v>
      </c>
      <c r="S177" s="735">
        <f t="shared" si="18"/>
        <v>0</v>
      </c>
      <c r="T177" s="735">
        <f t="shared" si="19"/>
        <v>0</v>
      </c>
      <c r="U177" s="735">
        <f t="shared" si="20"/>
        <v>206051290.88048959</v>
      </c>
      <c r="V177" s="736">
        <f t="shared" si="21"/>
        <v>0</v>
      </c>
      <c r="W177" s="735">
        <f t="shared" si="22"/>
        <v>206051290.88048959</v>
      </c>
      <c r="X177" s="737">
        <f t="shared" si="23"/>
        <v>0</v>
      </c>
      <c r="Y177" s="738">
        <f t="shared" si="24"/>
        <v>0</v>
      </c>
    </row>
    <row r="178" spans="1:25">
      <c r="A178" s="754" t="str">
        <f>'Func Future Subs 2015'!A178</f>
        <v>Genesee 330P 962</v>
      </c>
      <c r="B178" s="754">
        <f>'Func Future Subs 2015'!B178</f>
        <v>737</v>
      </c>
      <c r="C178" s="754">
        <f>'Func Future Subs 2015'!C178</f>
        <v>500</v>
      </c>
      <c r="D178" s="754">
        <f>'Func Future Subs 2015'!D178</f>
        <v>240</v>
      </c>
      <c r="E178" s="754" t="str">
        <f>'Func Future Subs 2015'!E178</f>
        <v>330P</v>
      </c>
      <c r="F178" s="754">
        <f>'Func Future Subs 2015'!F178</f>
        <v>418379.53308123141</v>
      </c>
      <c r="G178" s="754" t="str">
        <f>'Func Future Subs 2015'!G178</f>
        <v>EPCOR</v>
      </c>
      <c r="H178" s="754">
        <f>'Func Future Subs 2015'!H178</f>
        <v>2015</v>
      </c>
      <c r="I178" s="306">
        <f>+IF($H178=I$2,VLOOKUP($G178,Depreciation!$A$14:$L$18,7,FALSE)/2,IF($H178&lt;I$2,VLOOKUP($G178,Depreciation!$A$14:$L$18,7,FALSE),0))</f>
        <v>2.0607513622398654E-2</v>
      </c>
      <c r="J178" s="306">
        <f>+IF($H178=J$2,VLOOKUP($G178,Depreciation!$A$14:$L$18,8,FALSE)/2,IF($H178&lt;J$2,VLOOKUP($G178,Depreciation!$A$14:$L$18,8,FALSE),0))</f>
        <v>4.1600055599844914E-2</v>
      </c>
      <c r="K178" s="306">
        <f>+IF($H178=K$2,VLOOKUP($G178,Depreciation!$A$14:$L$18,9,FALSE)/2,IF($H178&lt;K$2,VLOOKUP($G178,Depreciation!$A$14:$L$18,9,FALSE),0))</f>
        <v>4.1145263498658789E-2</v>
      </c>
      <c r="L178" s="306">
        <f>+IF($H178=L$2,VLOOKUP($G178,Depreciation!$A$14:$L$18,10,FALSE)/2,IF($H178&lt;L$2,VLOOKUP($G178,Depreciation!$A$14:$L$18,10,FALSE),0))</f>
        <v>4.1145263498658789E-2</v>
      </c>
      <c r="M178" s="306">
        <f>+IF($H178=M$2,VLOOKUP($G178,Depreciation!$A$14:$L$18,11,FALSE)/2,IF($H178&lt;M$2,VLOOKUP($G178,Depreciation!$A$14:$L$18,11,FALSE),0))</f>
        <v>4.1145263498658789E-2</v>
      </c>
      <c r="N178" s="306">
        <f>+IF($H178=N$2,VLOOKUP($G178,Depreciation!$A$14:$L$18,12,FALSE)/2,IF($H178&lt;N$2,VLOOKUP($G178,Depreciation!$A$14:$L$18,12,FALSE),0))</f>
        <v>4.1145263498658789E-2</v>
      </c>
      <c r="O178" s="307">
        <f t="shared" si="17"/>
        <v>331959.61348950572</v>
      </c>
      <c r="P178" s="732">
        <f>'Func Future Subs 2015'!P178</f>
        <v>0</v>
      </c>
      <c r="Q178" s="732">
        <f>'Func Future Subs 2015'!Q178</f>
        <v>0</v>
      </c>
      <c r="R178" s="732">
        <f>'Func Future Subs 2015'!R178</f>
        <v>1</v>
      </c>
      <c r="S178" s="735">
        <f t="shared" si="18"/>
        <v>0</v>
      </c>
      <c r="T178" s="735">
        <f t="shared" si="19"/>
        <v>0</v>
      </c>
      <c r="U178" s="735">
        <f t="shared" si="20"/>
        <v>331959.61348950572</v>
      </c>
      <c r="V178" s="736">
        <f t="shared" si="21"/>
        <v>0</v>
      </c>
      <c r="W178" s="735">
        <f t="shared" si="22"/>
        <v>331959.61348950572</v>
      </c>
      <c r="X178" s="737">
        <f t="shared" si="23"/>
        <v>0</v>
      </c>
      <c r="Y178" s="738">
        <f t="shared" si="24"/>
        <v>0</v>
      </c>
    </row>
    <row r="179" spans="1:25">
      <c r="A179" s="754" t="str">
        <f>'Func Future Subs 2015'!A179</f>
        <v>Langdon 102S Substation</v>
      </c>
      <c r="B179" s="754">
        <f>'Func Future Subs 2015'!B179</f>
        <v>737</v>
      </c>
      <c r="C179" s="754">
        <f>'Func Future Subs 2015'!C179</f>
        <v>240</v>
      </c>
      <c r="D179" s="754">
        <f>'Func Future Subs 2015'!D179</f>
        <v>240</v>
      </c>
      <c r="E179" s="754" t="str">
        <f>'Func Future Subs 2015'!E179</f>
        <v>102S</v>
      </c>
      <c r="F179" s="754">
        <f>'Func Future Subs 2015'!F179</f>
        <v>61400098.23974175</v>
      </c>
      <c r="G179" s="754" t="str">
        <f>'Func Future Subs 2015'!G179</f>
        <v>AltaLink</v>
      </c>
      <c r="H179" s="754">
        <f>'Func Future Subs 2015'!H179</f>
        <v>2015</v>
      </c>
      <c r="I179" s="306">
        <f>+IF($H179=I$2,VLOOKUP($G179,Depreciation!$A$14:$L$18,7,FALSE)/2,IF($H179&lt;I$2,VLOOKUP($G179,Depreciation!$A$14:$L$18,7,FALSE),0))</f>
        <v>1.7228380322441735E-2</v>
      </c>
      <c r="J179" s="306">
        <f>+IF($H179=J$2,VLOOKUP($G179,Depreciation!$A$14:$L$18,8,FALSE)/2,IF($H179&lt;J$2,VLOOKUP($G179,Depreciation!$A$14:$L$18,8,FALSE),0))</f>
        <v>3.343407856743718E-2</v>
      </c>
      <c r="K179" s="306">
        <f>+IF($H179=K$2,VLOOKUP($G179,Depreciation!$A$14:$L$18,9,FALSE)/2,IF($H179&lt;K$2,VLOOKUP($G179,Depreciation!$A$14:$L$18,9,FALSE),0))</f>
        <v>3.343407856743718E-2</v>
      </c>
      <c r="L179" s="306">
        <f>+IF($H179=L$2,VLOOKUP($G179,Depreciation!$A$14:$L$18,10,FALSE)/2,IF($H179&lt;L$2,VLOOKUP($G179,Depreciation!$A$14:$L$18,10,FALSE),0))</f>
        <v>3.343407856743718E-2</v>
      </c>
      <c r="M179" s="306">
        <f>+IF($H179=M$2,VLOOKUP($G179,Depreciation!$A$14:$L$18,11,FALSE)/2,IF($H179&lt;M$2,VLOOKUP($G179,Depreciation!$A$14:$L$18,11,FALSE),0))</f>
        <v>3.343407856743718E-2</v>
      </c>
      <c r="N179" s="306">
        <f>+IF($H179=N$2,VLOOKUP($G179,Depreciation!$A$14:$L$18,12,FALSE)/2,IF($H179&lt;N$2,VLOOKUP($G179,Depreciation!$A$14:$L$18,12,FALSE),0))</f>
        <v>3.343407856743718E-2</v>
      </c>
      <c r="O179" s="307">
        <f t="shared" si="17"/>
        <v>50907183.222610988</v>
      </c>
      <c r="P179" s="732">
        <f>'Func Future Subs 2015'!P179</f>
        <v>0</v>
      </c>
      <c r="Q179" s="732">
        <f>'Func Future Subs 2015'!Q179</f>
        <v>0</v>
      </c>
      <c r="R179" s="732">
        <f>'Func Future Subs 2015'!R179</f>
        <v>1</v>
      </c>
      <c r="S179" s="735">
        <f t="shared" si="18"/>
        <v>0</v>
      </c>
      <c r="T179" s="735">
        <f t="shared" si="19"/>
        <v>0</v>
      </c>
      <c r="U179" s="735">
        <f t="shared" si="20"/>
        <v>50907183.222610988</v>
      </c>
      <c r="V179" s="736">
        <f t="shared" si="21"/>
        <v>0</v>
      </c>
      <c r="W179" s="735">
        <f t="shared" si="22"/>
        <v>50907183.222610988</v>
      </c>
      <c r="X179" s="737">
        <f t="shared" si="23"/>
        <v>0</v>
      </c>
      <c r="Y179" s="738">
        <f t="shared" si="24"/>
        <v>0</v>
      </c>
    </row>
    <row r="180" spans="1:25">
      <c r="A180" s="754" t="str">
        <f>'Func Future Subs 2015'!A180</f>
        <v>Milo 356S_180</v>
      </c>
      <c r="B180" s="754">
        <f>'Func Future Subs 2015'!B180</f>
        <v>737</v>
      </c>
      <c r="C180" s="754">
        <f>'Func Future Subs 2015'!C180</f>
        <v>240</v>
      </c>
      <c r="D180" s="754">
        <f>'Func Future Subs 2015'!D180</f>
        <v>240</v>
      </c>
      <c r="E180" s="754" t="str">
        <f>'Func Future Subs 2015'!E180</f>
        <v>356S</v>
      </c>
      <c r="F180" s="754">
        <f>'Func Future Subs 2015'!F180</f>
        <v>403965.62500399671</v>
      </c>
      <c r="G180" s="754" t="str">
        <f>'Func Future Subs 2015'!G180</f>
        <v>AltaLink</v>
      </c>
      <c r="H180" s="754">
        <f>'Func Future Subs 2015'!H180</f>
        <v>2015</v>
      </c>
      <c r="I180" s="306">
        <f>+IF($H180=I$2,VLOOKUP($G180,Depreciation!$A$14:$L$18,7,FALSE)/2,IF($H180&lt;I$2,VLOOKUP($G180,Depreciation!$A$14:$L$18,7,FALSE),0))</f>
        <v>1.7228380322441735E-2</v>
      </c>
      <c r="J180" s="306">
        <f>+IF($H180=J$2,VLOOKUP($G180,Depreciation!$A$14:$L$18,8,FALSE)/2,IF($H180&lt;J$2,VLOOKUP($G180,Depreciation!$A$14:$L$18,8,FALSE),0))</f>
        <v>3.343407856743718E-2</v>
      </c>
      <c r="K180" s="306">
        <f>+IF($H180=K$2,VLOOKUP($G180,Depreciation!$A$14:$L$18,9,FALSE)/2,IF($H180&lt;K$2,VLOOKUP($G180,Depreciation!$A$14:$L$18,9,FALSE),0))</f>
        <v>3.343407856743718E-2</v>
      </c>
      <c r="L180" s="306">
        <f>+IF($H180=L$2,VLOOKUP($G180,Depreciation!$A$14:$L$18,10,FALSE)/2,IF($H180&lt;L$2,VLOOKUP($G180,Depreciation!$A$14:$L$18,10,FALSE),0))</f>
        <v>3.343407856743718E-2</v>
      </c>
      <c r="M180" s="306">
        <f>+IF($H180=M$2,VLOOKUP($G180,Depreciation!$A$14:$L$18,11,FALSE)/2,IF($H180&lt;M$2,VLOOKUP($G180,Depreciation!$A$14:$L$18,11,FALSE),0))</f>
        <v>3.343407856743718E-2</v>
      </c>
      <c r="N180" s="306">
        <f>+IF($H180=N$2,VLOOKUP($G180,Depreciation!$A$14:$L$18,12,FALSE)/2,IF($H180&lt;N$2,VLOOKUP($G180,Depreciation!$A$14:$L$18,12,FALSE),0))</f>
        <v>3.343407856743718E-2</v>
      </c>
      <c r="O180" s="307">
        <f t="shared" si="17"/>
        <v>334930.27987379202</v>
      </c>
      <c r="P180" s="732">
        <f>'Func Future Subs 2015'!P180</f>
        <v>0</v>
      </c>
      <c r="Q180" s="732">
        <f>'Func Future Subs 2015'!Q180</f>
        <v>0</v>
      </c>
      <c r="R180" s="732">
        <f>'Func Future Subs 2015'!R180</f>
        <v>1</v>
      </c>
      <c r="S180" s="735">
        <f t="shared" si="18"/>
        <v>0</v>
      </c>
      <c r="T180" s="735">
        <f t="shared" si="19"/>
        <v>0</v>
      </c>
      <c r="U180" s="735">
        <f t="shared" si="20"/>
        <v>334930.27987379202</v>
      </c>
      <c r="V180" s="736">
        <f t="shared" si="21"/>
        <v>0</v>
      </c>
      <c r="W180" s="735">
        <f t="shared" si="22"/>
        <v>334930.27987379202</v>
      </c>
      <c r="X180" s="737">
        <f t="shared" si="23"/>
        <v>0</v>
      </c>
      <c r="Y180" s="738">
        <f t="shared" si="24"/>
        <v>0</v>
      </c>
    </row>
    <row r="181" spans="1:25">
      <c r="A181" s="754" t="str">
        <f>'Func Future Subs 2015'!A181</f>
        <v>RPT1 17S_180</v>
      </c>
      <c r="B181" s="754">
        <f>'Func Future Subs 2015'!B181</f>
        <v>737</v>
      </c>
      <c r="C181" s="754">
        <f>'Func Future Subs 2015'!C181</f>
        <v>240</v>
      </c>
      <c r="D181" s="754">
        <f>'Func Future Subs 2015'!D181</f>
        <v>25</v>
      </c>
      <c r="E181" s="754" t="str">
        <f>'Func Future Subs 2015'!E181</f>
        <v>17S</v>
      </c>
      <c r="F181" s="754">
        <f>'Func Future Subs 2015'!F181</f>
        <v>748276.10411280254</v>
      </c>
      <c r="G181" s="754" t="str">
        <f>'Func Future Subs 2015'!G181</f>
        <v>AltaLink</v>
      </c>
      <c r="H181" s="754">
        <f>'Func Future Subs 2015'!H181</f>
        <v>2015</v>
      </c>
      <c r="I181" s="306">
        <f>+IF($H181=I$2,VLOOKUP($G181,Depreciation!$A$14:$L$18,7,FALSE)/2,IF($H181&lt;I$2,VLOOKUP($G181,Depreciation!$A$14:$L$18,7,FALSE),0))</f>
        <v>1.7228380322441735E-2</v>
      </c>
      <c r="J181" s="306">
        <f>+IF($H181=J$2,VLOOKUP($G181,Depreciation!$A$14:$L$18,8,FALSE)/2,IF($H181&lt;J$2,VLOOKUP($G181,Depreciation!$A$14:$L$18,8,FALSE),0))</f>
        <v>3.343407856743718E-2</v>
      </c>
      <c r="K181" s="306">
        <f>+IF($H181=K$2,VLOOKUP($G181,Depreciation!$A$14:$L$18,9,FALSE)/2,IF($H181&lt;K$2,VLOOKUP($G181,Depreciation!$A$14:$L$18,9,FALSE),0))</f>
        <v>3.343407856743718E-2</v>
      </c>
      <c r="L181" s="306">
        <f>+IF($H181=L$2,VLOOKUP($G181,Depreciation!$A$14:$L$18,10,FALSE)/2,IF($H181&lt;L$2,VLOOKUP($G181,Depreciation!$A$14:$L$18,10,FALSE),0))</f>
        <v>3.343407856743718E-2</v>
      </c>
      <c r="M181" s="306">
        <f>+IF($H181=M$2,VLOOKUP($G181,Depreciation!$A$14:$L$18,11,FALSE)/2,IF($H181&lt;M$2,VLOOKUP($G181,Depreciation!$A$14:$L$18,11,FALSE),0))</f>
        <v>3.343407856743718E-2</v>
      </c>
      <c r="N181" s="306">
        <f>+IF($H181=N$2,VLOOKUP($G181,Depreciation!$A$14:$L$18,12,FALSE)/2,IF($H181&lt;N$2,VLOOKUP($G181,Depreciation!$A$14:$L$18,12,FALSE),0))</f>
        <v>3.343407856743718E-2</v>
      </c>
      <c r="O181" s="307">
        <f t="shared" si="17"/>
        <v>620400.12679517479</v>
      </c>
      <c r="P181" s="732">
        <f>'Func Future Subs 2015'!P181</f>
        <v>0</v>
      </c>
      <c r="Q181" s="732">
        <f>'Func Future Subs 2015'!Q181</f>
        <v>1</v>
      </c>
      <c r="R181" s="732">
        <f>'Func Future Subs 2015'!R181</f>
        <v>0</v>
      </c>
      <c r="S181" s="735">
        <f t="shared" si="18"/>
        <v>0</v>
      </c>
      <c r="T181" s="735">
        <f t="shared" si="19"/>
        <v>620400.12679517479</v>
      </c>
      <c r="U181" s="735">
        <f t="shared" si="20"/>
        <v>0</v>
      </c>
      <c r="V181" s="736">
        <f t="shared" si="21"/>
        <v>0</v>
      </c>
      <c r="W181" s="735">
        <f t="shared" si="22"/>
        <v>0</v>
      </c>
      <c r="X181" s="737">
        <f t="shared" si="23"/>
        <v>0</v>
      </c>
      <c r="Y181" s="738">
        <f t="shared" si="24"/>
        <v>620400.12679517479</v>
      </c>
    </row>
    <row r="182" spans="1:25">
      <c r="A182" s="754" t="str">
        <f>'Func Future Subs 2015'!A182</f>
        <v>RPT2- Jackville_180</v>
      </c>
      <c r="B182" s="754">
        <f>'Func Future Subs 2015'!B182</f>
        <v>737</v>
      </c>
      <c r="C182" s="754">
        <f>'Func Future Subs 2015'!C182</f>
        <v>240</v>
      </c>
      <c r="D182" s="754">
        <f>'Func Future Subs 2015'!D182</f>
        <v>0</v>
      </c>
      <c r="E182" s="754">
        <f>'Func Future Subs 2015'!E182</f>
        <v>0</v>
      </c>
      <c r="F182" s="754">
        <f>'Func Future Subs 2015'!F182</f>
        <v>440477.54930957168</v>
      </c>
      <c r="G182" s="754" t="str">
        <f>'Func Future Subs 2015'!G182</f>
        <v>AltaLink</v>
      </c>
      <c r="H182" s="754">
        <f>'Func Future Subs 2015'!H182</f>
        <v>2015</v>
      </c>
      <c r="I182" s="306">
        <f>+IF($H182=I$2,VLOOKUP($G182,Depreciation!$A$14:$L$18,7,FALSE)/2,IF($H182&lt;I$2,VLOOKUP($G182,Depreciation!$A$14:$L$18,7,FALSE),0))</f>
        <v>1.7228380322441735E-2</v>
      </c>
      <c r="J182" s="306">
        <f>+IF($H182=J$2,VLOOKUP($G182,Depreciation!$A$14:$L$18,8,FALSE)/2,IF($H182&lt;J$2,VLOOKUP($G182,Depreciation!$A$14:$L$18,8,FALSE),0))</f>
        <v>3.343407856743718E-2</v>
      </c>
      <c r="K182" s="306">
        <f>+IF($H182=K$2,VLOOKUP($G182,Depreciation!$A$14:$L$18,9,FALSE)/2,IF($H182&lt;K$2,VLOOKUP($G182,Depreciation!$A$14:$L$18,9,FALSE),0))</f>
        <v>3.343407856743718E-2</v>
      </c>
      <c r="L182" s="306">
        <f>+IF($H182=L$2,VLOOKUP($G182,Depreciation!$A$14:$L$18,10,FALSE)/2,IF($H182&lt;L$2,VLOOKUP($G182,Depreciation!$A$14:$L$18,10,FALSE),0))</f>
        <v>3.343407856743718E-2</v>
      </c>
      <c r="M182" s="306">
        <f>+IF($H182=M$2,VLOOKUP($G182,Depreciation!$A$14:$L$18,11,FALSE)/2,IF($H182&lt;M$2,VLOOKUP($G182,Depreciation!$A$14:$L$18,11,FALSE),0))</f>
        <v>3.343407856743718E-2</v>
      </c>
      <c r="N182" s="306">
        <f>+IF($H182=N$2,VLOOKUP($G182,Depreciation!$A$14:$L$18,12,FALSE)/2,IF($H182&lt;N$2,VLOOKUP($G182,Depreciation!$A$14:$L$18,12,FALSE),0))</f>
        <v>3.343407856743718E-2</v>
      </c>
      <c r="O182" s="307">
        <f t="shared" si="17"/>
        <v>365202.53144538531</v>
      </c>
      <c r="P182" s="732">
        <f>'Func Future Subs 2015'!P182</f>
        <v>0</v>
      </c>
      <c r="Q182" s="732">
        <f>'Func Future Subs 2015'!Q182</f>
        <v>0</v>
      </c>
      <c r="R182" s="732">
        <f>'Func Future Subs 2015'!R182</f>
        <v>1</v>
      </c>
      <c r="S182" s="735">
        <f t="shared" si="18"/>
        <v>0</v>
      </c>
      <c r="T182" s="735">
        <f t="shared" si="19"/>
        <v>0</v>
      </c>
      <c r="U182" s="735">
        <f t="shared" si="20"/>
        <v>365202.53144538531</v>
      </c>
      <c r="V182" s="736">
        <f t="shared" si="21"/>
        <v>365202.53144538531</v>
      </c>
      <c r="W182" s="735">
        <f t="shared" si="22"/>
        <v>0</v>
      </c>
      <c r="X182" s="737">
        <f t="shared" si="23"/>
        <v>0</v>
      </c>
      <c r="Y182" s="738">
        <f t="shared" si="24"/>
        <v>0</v>
      </c>
    </row>
    <row r="183" spans="1:25">
      <c r="A183" s="754" t="str">
        <f>'Func Future Subs 2015'!A183</f>
        <v>RPT3- Knob Hill_180</v>
      </c>
      <c r="B183" s="754">
        <f>'Func Future Subs 2015'!B183</f>
        <v>737</v>
      </c>
      <c r="C183" s="754">
        <f>'Func Future Subs 2015'!C183</f>
        <v>240</v>
      </c>
      <c r="D183" s="754">
        <f>'Func Future Subs 2015'!D183</f>
        <v>0</v>
      </c>
      <c r="E183" s="754">
        <f>'Func Future Subs 2015'!E183</f>
        <v>0</v>
      </c>
      <c r="F183" s="754">
        <f>'Func Future Subs 2015'!F183</f>
        <v>413456.98863797617</v>
      </c>
      <c r="G183" s="754" t="str">
        <f>'Func Future Subs 2015'!G183</f>
        <v>AltaLink</v>
      </c>
      <c r="H183" s="754">
        <f>'Func Future Subs 2015'!H183</f>
        <v>2015</v>
      </c>
      <c r="I183" s="306">
        <f>+IF($H183=I$2,VLOOKUP($G183,Depreciation!$A$14:$L$18,7,FALSE)/2,IF($H183&lt;I$2,VLOOKUP($G183,Depreciation!$A$14:$L$18,7,FALSE),0))</f>
        <v>1.7228380322441735E-2</v>
      </c>
      <c r="J183" s="306">
        <f>+IF($H183=J$2,VLOOKUP($G183,Depreciation!$A$14:$L$18,8,FALSE)/2,IF($H183&lt;J$2,VLOOKUP($G183,Depreciation!$A$14:$L$18,8,FALSE),0))</f>
        <v>3.343407856743718E-2</v>
      </c>
      <c r="K183" s="306">
        <f>+IF($H183=K$2,VLOOKUP($G183,Depreciation!$A$14:$L$18,9,FALSE)/2,IF($H183&lt;K$2,VLOOKUP($G183,Depreciation!$A$14:$L$18,9,FALSE),0))</f>
        <v>3.343407856743718E-2</v>
      </c>
      <c r="L183" s="306">
        <f>+IF($H183=L$2,VLOOKUP($G183,Depreciation!$A$14:$L$18,10,FALSE)/2,IF($H183&lt;L$2,VLOOKUP($G183,Depreciation!$A$14:$L$18,10,FALSE),0))</f>
        <v>3.343407856743718E-2</v>
      </c>
      <c r="M183" s="306">
        <f>+IF($H183=M$2,VLOOKUP($G183,Depreciation!$A$14:$L$18,11,FALSE)/2,IF($H183&lt;M$2,VLOOKUP($G183,Depreciation!$A$14:$L$18,11,FALSE),0))</f>
        <v>3.343407856743718E-2</v>
      </c>
      <c r="N183" s="306">
        <f>+IF($H183=N$2,VLOOKUP($G183,Depreciation!$A$14:$L$18,12,FALSE)/2,IF($H183&lt;N$2,VLOOKUP($G183,Depreciation!$A$14:$L$18,12,FALSE),0))</f>
        <v>3.343407856743718E-2</v>
      </c>
      <c r="O183" s="307">
        <f t="shared" si="17"/>
        <v>342799.62538625038</v>
      </c>
      <c r="P183" s="732">
        <f>'Func Future Subs 2015'!P183</f>
        <v>0</v>
      </c>
      <c r="Q183" s="732">
        <f>'Func Future Subs 2015'!Q183</f>
        <v>0</v>
      </c>
      <c r="R183" s="732">
        <f>'Func Future Subs 2015'!R183</f>
        <v>1</v>
      </c>
      <c r="S183" s="735">
        <f t="shared" si="18"/>
        <v>0</v>
      </c>
      <c r="T183" s="735">
        <f t="shared" si="19"/>
        <v>0</v>
      </c>
      <c r="U183" s="735">
        <f t="shared" si="20"/>
        <v>342799.62538625038</v>
      </c>
      <c r="V183" s="736">
        <f t="shared" si="21"/>
        <v>342799.62538625038</v>
      </c>
      <c r="W183" s="735">
        <f t="shared" si="22"/>
        <v>0</v>
      </c>
      <c r="X183" s="737">
        <f t="shared" si="23"/>
        <v>0</v>
      </c>
      <c r="Y183" s="738">
        <f t="shared" si="24"/>
        <v>0</v>
      </c>
    </row>
    <row r="184" spans="1:25">
      <c r="A184" s="754" t="str">
        <f>'Func Future Subs 2015'!A184</f>
        <v>Sunnybrook 510S Substation</v>
      </c>
      <c r="B184" s="754">
        <f>'Func Future Subs 2015'!B184</f>
        <v>737</v>
      </c>
      <c r="C184" s="754">
        <f>'Func Future Subs 2015'!C184</f>
        <v>500</v>
      </c>
      <c r="D184" s="754">
        <f>'Func Future Subs 2015'!D184</f>
        <v>500</v>
      </c>
      <c r="E184" s="754" t="str">
        <f>'Func Future Subs 2015'!E184</f>
        <v>510S</v>
      </c>
      <c r="F184" s="754">
        <f>'Func Future Subs 2015'!F184</f>
        <v>355813227.30000001</v>
      </c>
      <c r="G184" s="754" t="str">
        <f>'Func Future Subs 2015'!G184</f>
        <v>AltaLink</v>
      </c>
      <c r="H184" s="754">
        <f>'Func Future Subs 2015'!H184</f>
        <v>2015</v>
      </c>
      <c r="I184" s="306">
        <f>+IF($H184=I$2,VLOOKUP($G184,Depreciation!$A$14:$L$18,7,FALSE)/2,IF($H184&lt;I$2,VLOOKUP($G184,Depreciation!$A$14:$L$18,7,FALSE),0))</f>
        <v>1.7228380322441735E-2</v>
      </c>
      <c r="J184" s="306">
        <f>+IF($H184=J$2,VLOOKUP($G184,Depreciation!$A$14:$L$18,8,FALSE)/2,IF($H184&lt;J$2,VLOOKUP($G184,Depreciation!$A$14:$L$18,8,FALSE),0))</f>
        <v>3.343407856743718E-2</v>
      </c>
      <c r="K184" s="306">
        <f>+IF($H184=K$2,VLOOKUP($G184,Depreciation!$A$14:$L$18,9,FALSE)/2,IF($H184&lt;K$2,VLOOKUP($G184,Depreciation!$A$14:$L$18,9,FALSE),0))</f>
        <v>3.343407856743718E-2</v>
      </c>
      <c r="L184" s="306">
        <f>+IF($H184=L$2,VLOOKUP($G184,Depreciation!$A$14:$L$18,10,FALSE)/2,IF($H184&lt;L$2,VLOOKUP($G184,Depreciation!$A$14:$L$18,10,FALSE),0))</f>
        <v>3.343407856743718E-2</v>
      </c>
      <c r="M184" s="306">
        <f>+IF($H184=M$2,VLOOKUP($G184,Depreciation!$A$14:$L$18,11,FALSE)/2,IF($H184&lt;M$2,VLOOKUP($G184,Depreciation!$A$14:$L$18,11,FALSE),0))</f>
        <v>3.343407856743718E-2</v>
      </c>
      <c r="N184" s="306">
        <f>+IF($H184=N$2,VLOOKUP($G184,Depreciation!$A$14:$L$18,12,FALSE)/2,IF($H184&lt;N$2,VLOOKUP($G184,Depreciation!$A$14:$L$18,12,FALSE),0))</f>
        <v>3.343407856743718E-2</v>
      </c>
      <c r="O184" s="307">
        <f t="shared" si="17"/>
        <v>295006843.22139311</v>
      </c>
      <c r="P184" s="732">
        <f>'Func Future Subs 2015'!P184</f>
        <v>0</v>
      </c>
      <c r="Q184" s="732">
        <f>'Func Future Subs 2015'!Q184</f>
        <v>0</v>
      </c>
      <c r="R184" s="732">
        <f>'Func Future Subs 2015'!R184</f>
        <v>1</v>
      </c>
      <c r="S184" s="735">
        <f t="shared" si="18"/>
        <v>0</v>
      </c>
      <c r="T184" s="735">
        <f t="shared" si="19"/>
        <v>0</v>
      </c>
      <c r="U184" s="735">
        <f t="shared" si="20"/>
        <v>295006843.22139311</v>
      </c>
      <c r="V184" s="736">
        <f t="shared" si="21"/>
        <v>0</v>
      </c>
      <c r="W184" s="735">
        <f t="shared" si="22"/>
        <v>295006843.22139311</v>
      </c>
      <c r="X184" s="737">
        <f t="shared" si="23"/>
        <v>0</v>
      </c>
      <c r="Y184" s="738">
        <f t="shared" si="24"/>
        <v>0</v>
      </c>
    </row>
    <row r="185" spans="1:25">
      <c r="A185" s="754" t="str">
        <f>'Func Future Subs 2015'!A185</f>
        <v>825S Whitefish Lake_v181</v>
      </c>
      <c r="B185" s="754">
        <f>'Func Future Subs 2015'!B185</f>
        <v>1101</v>
      </c>
      <c r="C185" s="754">
        <f>'Func Future Subs 2015'!C185</f>
        <v>240</v>
      </c>
      <c r="D185" s="754">
        <f>'Func Future Subs 2015'!D185</f>
        <v>240</v>
      </c>
      <c r="E185" s="754" t="str">
        <f>'Func Future Subs 2015'!E185</f>
        <v>825S</v>
      </c>
      <c r="F185" s="754">
        <f>'Func Future Subs 2015'!F185</f>
        <v>53066.077171378703</v>
      </c>
      <c r="G185" s="754" t="str">
        <f>'Func Future Subs 2015'!G185</f>
        <v>ATCO</v>
      </c>
      <c r="H185" s="754">
        <f>'Func Future Subs 2015'!H185</f>
        <v>2016</v>
      </c>
      <c r="I185" s="306">
        <f>+IF($H185=I$2,VLOOKUP($G185,Depreciation!$A$14:$L$18,7,FALSE)/2,IF($H185&lt;I$2,VLOOKUP($G185,Depreciation!$A$14:$L$18,7,FALSE),0))</f>
        <v>0</v>
      </c>
      <c r="J185" s="306">
        <f>+IF($H185=J$2,VLOOKUP($G185,Depreciation!$A$14:$L$18,8,FALSE)/2,IF($H185&lt;J$2,VLOOKUP($G185,Depreciation!$A$14:$L$18,8,FALSE),0))</f>
        <v>1.231622525054236E-2</v>
      </c>
      <c r="K185" s="306">
        <f>+IF($H185=K$2,VLOOKUP($G185,Depreciation!$A$14:$L$18,9,FALSE)/2,IF($H185&lt;K$2,VLOOKUP($G185,Depreciation!$A$14:$L$18,9,FALSE),0))</f>
        <v>2.4351536427798831E-2</v>
      </c>
      <c r="L185" s="306">
        <f>+IF($H185=L$2,VLOOKUP($G185,Depreciation!$A$14:$L$18,10,FALSE)/2,IF($H185&lt;L$2,VLOOKUP($G185,Depreciation!$A$14:$L$18,10,FALSE),0))</f>
        <v>2.4351536427798831E-2</v>
      </c>
      <c r="M185" s="306">
        <f>+IF($H185=M$2,VLOOKUP($G185,Depreciation!$A$14:$L$18,11,FALSE)/2,IF($H185&lt;M$2,VLOOKUP($G185,Depreciation!$A$14:$L$18,11,FALSE),0))</f>
        <v>2.4351536427798831E-2</v>
      </c>
      <c r="N185" s="306">
        <f>+IF($H185=N$2,VLOOKUP($G185,Depreciation!$A$14:$L$18,12,FALSE)/2,IF($H185&lt;N$2,VLOOKUP($G185,Depreciation!$A$14:$L$18,12,FALSE),0))</f>
        <v>2.4351536427798831E-2</v>
      </c>
      <c r="O185" s="307">
        <f t="shared" si="17"/>
        <v>47490.677315135275</v>
      </c>
      <c r="P185" s="732">
        <f>'Func Future Subs 2015'!P185</f>
        <v>0</v>
      </c>
      <c r="Q185" s="732">
        <f>'Func Future Subs 2015'!Q185</f>
        <v>0</v>
      </c>
      <c r="R185" s="732">
        <f>'Func Future Subs 2015'!R185</f>
        <v>1</v>
      </c>
      <c r="S185" s="735">
        <f t="shared" si="18"/>
        <v>0</v>
      </c>
      <c r="T185" s="735">
        <f t="shared" si="19"/>
        <v>0</v>
      </c>
      <c r="U185" s="735">
        <f t="shared" si="20"/>
        <v>47490.677315135275</v>
      </c>
      <c r="V185" s="736">
        <f t="shared" si="21"/>
        <v>0</v>
      </c>
      <c r="W185" s="735">
        <f t="shared" si="22"/>
        <v>47490.677315135275</v>
      </c>
      <c r="X185" s="737">
        <f t="shared" si="23"/>
        <v>0</v>
      </c>
      <c r="Y185" s="738">
        <f t="shared" si="24"/>
        <v>0</v>
      </c>
    </row>
    <row r="186" spans="1:25">
      <c r="A186" s="754" t="str">
        <f>'Func Future Subs 2015'!A186</f>
        <v>898S Heart Lake_v181</v>
      </c>
      <c r="B186" s="754">
        <f>'Func Future Subs 2015'!B186</f>
        <v>1101</v>
      </c>
      <c r="C186" s="754">
        <f>'Func Future Subs 2015'!C186</f>
        <v>240</v>
      </c>
      <c r="D186" s="754">
        <f>'Func Future Subs 2015'!D186</f>
        <v>144</v>
      </c>
      <c r="E186" s="754" t="str">
        <f>'Func Future Subs 2015'!E186</f>
        <v>898S</v>
      </c>
      <c r="F186" s="754">
        <f>'Func Future Subs 2015'!F186</f>
        <v>16501631.680569168</v>
      </c>
      <c r="G186" s="754" t="str">
        <f>'Func Future Subs 2015'!G186</f>
        <v>ATCO</v>
      </c>
      <c r="H186" s="754">
        <f>'Func Future Subs 2015'!H186</f>
        <v>2016</v>
      </c>
      <c r="I186" s="306">
        <f>+IF($H186=I$2,VLOOKUP($G186,Depreciation!$A$14:$L$18,7,FALSE)/2,IF($H186&lt;I$2,VLOOKUP($G186,Depreciation!$A$14:$L$18,7,FALSE),0))</f>
        <v>0</v>
      </c>
      <c r="J186" s="306">
        <f>+IF($H186=J$2,VLOOKUP($G186,Depreciation!$A$14:$L$18,8,FALSE)/2,IF($H186&lt;J$2,VLOOKUP($G186,Depreciation!$A$14:$L$18,8,FALSE),0))</f>
        <v>1.231622525054236E-2</v>
      </c>
      <c r="K186" s="306">
        <f>+IF($H186=K$2,VLOOKUP($G186,Depreciation!$A$14:$L$18,9,FALSE)/2,IF($H186&lt;K$2,VLOOKUP($G186,Depreciation!$A$14:$L$18,9,FALSE),0))</f>
        <v>2.4351536427798831E-2</v>
      </c>
      <c r="L186" s="306">
        <f>+IF($H186=L$2,VLOOKUP($G186,Depreciation!$A$14:$L$18,10,FALSE)/2,IF($H186&lt;L$2,VLOOKUP($G186,Depreciation!$A$14:$L$18,10,FALSE),0))</f>
        <v>2.4351536427798831E-2</v>
      </c>
      <c r="M186" s="306">
        <f>+IF($H186=M$2,VLOOKUP($G186,Depreciation!$A$14:$L$18,11,FALSE)/2,IF($H186&lt;M$2,VLOOKUP($G186,Depreciation!$A$14:$L$18,11,FALSE),0))</f>
        <v>2.4351536427798831E-2</v>
      </c>
      <c r="N186" s="306">
        <f>+IF($H186=N$2,VLOOKUP($G186,Depreciation!$A$14:$L$18,12,FALSE)/2,IF($H186&lt;N$2,VLOOKUP($G186,Depreciation!$A$14:$L$18,12,FALSE),0))</f>
        <v>2.4351536427798831E-2</v>
      </c>
      <c r="O186" s="307">
        <f t="shared" si="17"/>
        <v>14767883.873990213</v>
      </c>
      <c r="P186" s="732">
        <f>'Func Future Subs 2015'!P186</f>
        <v>0</v>
      </c>
      <c r="Q186" s="732">
        <f>'Func Future Subs 2015'!Q186</f>
        <v>0</v>
      </c>
      <c r="R186" s="732">
        <f>'Func Future Subs 2015'!R186</f>
        <v>1</v>
      </c>
      <c r="S186" s="735">
        <f t="shared" si="18"/>
        <v>0</v>
      </c>
      <c r="T186" s="735">
        <f t="shared" si="19"/>
        <v>0</v>
      </c>
      <c r="U186" s="735">
        <f t="shared" si="20"/>
        <v>14767883.873990213</v>
      </c>
      <c r="V186" s="736">
        <f t="shared" si="21"/>
        <v>0</v>
      </c>
      <c r="W186" s="735">
        <f t="shared" si="22"/>
        <v>0</v>
      </c>
      <c r="X186" s="737">
        <f t="shared" si="23"/>
        <v>14767883.873990213</v>
      </c>
      <c r="Y186" s="738">
        <f t="shared" si="24"/>
        <v>0</v>
      </c>
    </row>
    <row r="187" spans="1:25">
      <c r="A187" s="754" t="str">
        <f>'Func Future Subs 2015'!A187</f>
        <v>Black Spruce 154S mod 180</v>
      </c>
      <c r="B187" s="754">
        <f>'Func Future Subs 2015'!B187</f>
        <v>1101</v>
      </c>
      <c r="C187" s="754">
        <f>'Func Future Subs 2015'!C187</f>
        <v>240</v>
      </c>
      <c r="D187" s="754">
        <f>'Func Future Subs 2015'!D187</f>
        <v>240</v>
      </c>
      <c r="E187" s="754" t="str">
        <f>'Func Future Subs 2015'!E187</f>
        <v>154S</v>
      </c>
      <c r="F187" s="754">
        <f>'Func Future Subs 2015'!F187</f>
        <v>412500.85892165155</v>
      </c>
      <c r="G187" s="754" t="str">
        <f>'Func Future Subs 2015'!G187</f>
        <v>AltaLink</v>
      </c>
      <c r="H187" s="754">
        <f>'Func Future Subs 2015'!H187</f>
        <v>2016</v>
      </c>
      <c r="I187" s="306">
        <f>+IF($H187=I$2,VLOOKUP($G187,Depreciation!$A$14:$L$18,7,FALSE)/2,IF($H187&lt;I$2,VLOOKUP($G187,Depreciation!$A$14:$L$18,7,FALSE),0))</f>
        <v>0</v>
      </c>
      <c r="J187" s="306">
        <f>+IF($H187=J$2,VLOOKUP($G187,Depreciation!$A$14:$L$18,8,FALSE)/2,IF($H187&lt;J$2,VLOOKUP($G187,Depreciation!$A$14:$L$18,8,FALSE),0))</f>
        <v>1.671703928371859E-2</v>
      </c>
      <c r="K187" s="306">
        <f>+IF($H187=K$2,VLOOKUP($G187,Depreciation!$A$14:$L$18,9,FALSE)/2,IF($H187&lt;K$2,VLOOKUP($G187,Depreciation!$A$14:$L$18,9,FALSE),0))</f>
        <v>3.343407856743718E-2</v>
      </c>
      <c r="L187" s="306">
        <f>+IF($H187=L$2,VLOOKUP($G187,Depreciation!$A$14:$L$18,10,FALSE)/2,IF($H187&lt;L$2,VLOOKUP($G187,Depreciation!$A$14:$L$18,10,FALSE),0))</f>
        <v>3.343407856743718E-2</v>
      </c>
      <c r="M187" s="306">
        <f>+IF($H187=M$2,VLOOKUP($G187,Depreciation!$A$14:$L$18,11,FALSE)/2,IF($H187&lt;M$2,VLOOKUP($G187,Depreciation!$A$14:$L$18,11,FALSE),0))</f>
        <v>3.343407856743718E-2</v>
      </c>
      <c r="N187" s="306">
        <f>+IF($H187=N$2,VLOOKUP($G187,Depreciation!$A$14:$L$18,12,FALSE)/2,IF($H187&lt;N$2,VLOOKUP($G187,Depreciation!$A$14:$L$18,12,FALSE),0))</f>
        <v>3.343407856743718E-2</v>
      </c>
      <c r="O187" s="307">
        <f t="shared" si="17"/>
        <v>354021.21358860476</v>
      </c>
      <c r="P187" s="732">
        <f>'Func Future Subs 2015'!P187</f>
        <v>0</v>
      </c>
      <c r="Q187" s="732">
        <f>'Func Future Subs 2015'!Q187</f>
        <v>0</v>
      </c>
      <c r="R187" s="732">
        <f>'Func Future Subs 2015'!R187</f>
        <v>1</v>
      </c>
      <c r="S187" s="735">
        <f t="shared" si="18"/>
        <v>0</v>
      </c>
      <c r="T187" s="735">
        <f t="shared" si="19"/>
        <v>0</v>
      </c>
      <c r="U187" s="735">
        <f t="shared" si="20"/>
        <v>354021.21358860476</v>
      </c>
      <c r="V187" s="736">
        <f t="shared" si="21"/>
        <v>0</v>
      </c>
      <c r="W187" s="735">
        <f t="shared" si="22"/>
        <v>354021.21358860476</v>
      </c>
      <c r="X187" s="737">
        <f t="shared" si="23"/>
        <v>0</v>
      </c>
      <c r="Y187" s="738">
        <f t="shared" si="24"/>
        <v>0</v>
      </c>
    </row>
    <row r="188" spans="1:25">
      <c r="A188" s="754" t="str">
        <f>'Func Future Subs 2015'!A188</f>
        <v>Black spruce substation 154S180</v>
      </c>
      <c r="B188" s="754">
        <f>'Func Future Subs 2015'!B188</f>
        <v>1101</v>
      </c>
      <c r="C188" s="754">
        <f>'Func Future Subs 2015'!C188</f>
        <v>240</v>
      </c>
      <c r="D188" s="754">
        <f>'Func Future Subs 2015'!D188</f>
        <v>240</v>
      </c>
      <c r="E188" s="754" t="str">
        <f>'Func Future Subs 2015'!E188</f>
        <v>154S</v>
      </c>
      <c r="F188" s="754">
        <f>'Func Future Subs 2015'!F188</f>
        <v>26377454.74440499</v>
      </c>
      <c r="G188" s="754" t="str">
        <f>'Func Future Subs 2015'!G188</f>
        <v>AltaLink</v>
      </c>
      <c r="H188" s="754">
        <f>'Func Future Subs 2015'!H188</f>
        <v>2016</v>
      </c>
      <c r="I188" s="306">
        <f>+IF($H188=I$2,VLOOKUP($G188,Depreciation!$A$14:$L$18,7,FALSE)/2,IF($H188&lt;I$2,VLOOKUP($G188,Depreciation!$A$14:$L$18,7,FALSE),0))</f>
        <v>0</v>
      </c>
      <c r="J188" s="306">
        <f>+IF($H188=J$2,VLOOKUP($G188,Depreciation!$A$14:$L$18,8,FALSE)/2,IF($H188&lt;J$2,VLOOKUP($G188,Depreciation!$A$14:$L$18,8,FALSE),0))</f>
        <v>1.671703928371859E-2</v>
      </c>
      <c r="K188" s="306">
        <f>+IF($H188=K$2,VLOOKUP($G188,Depreciation!$A$14:$L$18,9,FALSE)/2,IF($H188&lt;K$2,VLOOKUP($G188,Depreciation!$A$14:$L$18,9,FALSE),0))</f>
        <v>3.343407856743718E-2</v>
      </c>
      <c r="L188" s="306">
        <f>+IF($H188=L$2,VLOOKUP($G188,Depreciation!$A$14:$L$18,10,FALSE)/2,IF($H188&lt;L$2,VLOOKUP($G188,Depreciation!$A$14:$L$18,10,FALSE),0))</f>
        <v>3.343407856743718E-2</v>
      </c>
      <c r="M188" s="306">
        <f>+IF($H188=M$2,VLOOKUP($G188,Depreciation!$A$14:$L$18,11,FALSE)/2,IF($H188&lt;M$2,VLOOKUP($G188,Depreciation!$A$14:$L$18,11,FALSE),0))</f>
        <v>3.343407856743718E-2</v>
      </c>
      <c r="N188" s="306">
        <f>+IF($H188=N$2,VLOOKUP($G188,Depreciation!$A$14:$L$18,12,FALSE)/2,IF($H188&lt;N$2,VLOOKUP($G188,Depreciation!$A$14:$L$18,12,FALSE),0))</f>
        <v>3.343407856743718E-2</v>
      </c>
      <c r="O188" s="307">
        <f t="shared" si="17"/>
        <v>22637961.444260668</v>
      </c>
      <c r="P188" s="732">
        <f>'Func Future Subs 2015'!P188</f>
        <v>0</v>
      </c>
      <c r="Q188" s="732">
        <f>'Func Future Subs 2015'!Q188</f>
        <v>0</v>
      </c>
      <c r="R188" s="732">
        <f>'Func Future Subs 2015'!R188</f>
        <v>1</v>
      </c>
      <c r="S188" s="735">
        <f t="shared" si="18"/>
        <v>0</v>
      </c>
      <c r="T188" s="735">
        <f t="shared" si="19"/>
        <v>0</v>
      </c>
      <c r="U188" s="735">
        <f t="shared" si="20"/>
        <v>22637961.444260668</v>
      </c>
      <c r="V188" s="736">
        <f t="shared" si="21"/>
        <v>0</v>
      </c>
      <c r="W188" s="735">
        <f t="shared" si="22"/>
        <v>22637961.444260668</v>
      </c>
      <c r="X188" s="737">
        <f t="shared" si="23"/>
        <v>0</v>
      </c>
      <c r="Y188" s="738">
        <f t="shared" si="24"/>
        <v>0</v>
      </c>
    </row>
    <row r="189" spans="1:25">
      <c r="A189" s="754" t="str">
        <f>'Func Future Subs 2015'!A189</f>
        <v>Christina Lake 723S upg 180</v>
      </c>
      <c r="B189" s="754">
        <f>'Func Future Subs 2015'!B189</f>
        <v>1101</v>
      </c>
      <c r="C189" s="754">
        <f>'Func Future Subs 2015'!C189</f>
        <v>240</v>
      </c>
      <c r="D189" s="754">
        <f>'Func Future Subs 2015'!D189</f>
        <v>25</v>
      </c>
      <c r="E189" s="754" t="str">
        <f>'Func Future Subs 2015'!E189</f>
        <v>723S</v>
      </c>
      <c r="F189" s="754">
        <f>'Func Future Subs 2015'!F189</f>
        <v>3002680.4093360943</v>
      </c>
      <c r="G189" s="754" t="str">
        <f>'Func Future Subs 2015'!G189</f>
        <v>AltaLink</v>
      </c>
      <c r="H189" s="754">
        <f>'Func Future Subs 2015'!H189</f>
        <v>2016</v>
      </c>
      <c r="I189" s="306">
        <f>+IF($H189=I$2,VLOOKUP($G189,Depreciation!$A$14:$L$18,7,FALSE)/2,IF($H189&lt;I$2,VLOOKUP($G189,Depreciation!$A$14:$L$18,7,FALSE),0))</f>
        <v>0</v>
      </c>
      <c r="J189" s="306">
        <f>+IF($H189=J$2,VLOOKUP($G189,Depreciation!$A$14:$L$18,8,FALSE)/2,IF($H189&lt;J$2,VLOOKUP($G189,Depreciation!$A$14:$L$18,8,FALSE),0))</f>
        <v>1.671703928371859E-2</v>
      </c>
      <c r="K189" s="306">
        <f>+IF($H189=K$2,VLOOKUP($G189,Depreciation!$A$14:$L$18,9,FALSE)/2,IF($H189&lt;K$2,VLOOKUP($G189,Depreciation!$A$14:$L$18,9,FALSE),0))</f>
        <v>3.343407856743718E-2</v>
      </c>
      <c r="L189" s="306">
        <f>+IF($H189=L$2,VLOOKUP($G189,Depreciation!$A$14:$L$18,10,FALSE)/2,IF($H189&lt;L$2,VLOOKUP($G189,Depreciation!$A$14:$L$18,10,FALSE),0))</f>
        <v>3.343407856743718E-2</v>
      </c>
      <c r="M189" s="306">
        <f>+IF($H189=M$2,VLOOKUP($G189,Depreciation!$A$14:$L$18,11,FALSE)/2,IF($H189&lt;M$2,VLOOKUP($G189,Depreciation!$A$14:$L$18,11,FALSE),0))</f>
        <v>3.343407856743718E-2</v>
      </c>
      <c r="N189" s="306">
        <f>+IF($H189=N$2,VLOOKUP($G189,Depreciation!$A$14:$L$18,12,FALSE)/2,IF($H189&lt;N$2,VLOOKUP($G189,Depreciation!$A$14:$L$18,12,FALSE),0))</f>
        <v>3.343407856743718E-2</v>
      </c>
      <c r="O189" s="307">
        <f t="shared" si="17"/>
        <v>2576994.785685516</v>
      </c>
      <c r="P189" s="732">
        <f>'Func Future Subs 2015'!P189</f>
        <v>0</v>
      </c>
      <c r="Q189" s="732">
        <f>'Func Future Subs 2015'!Q189</f>
        <v>1</v>
      </c>
      <c r="R189" s="732">
        <f>'Func Future Subs 2015'!R189</f>
        <v>0</v>
      </c>
      <c r="S189" s="735">
        <f t="shared" si="18"/>
        <v>0</v>
      </c>
      <c r="T189" s="735">
        <f t="shared" si="19"/>
        <v>2576994.785685516</v>
      </c>
      <c r="U189" s="735">
        <f t="shared" si="20"/>
        <v>0</v>
      </c>
      <c r="V189" s="736">
        <f t="shared" si="21"/>
        <v>0</v>
      </c>
      <c r="W189" s="735">
        <f t="shared" si="22"/>
        <v>0</v>
      </c>
      <c r="X189" s="737">
        <f t="shared" si="23"/>
        <v>0</v>
      </c>
      <c r="Y189" s="738">
        <f t="shared" si="24"/>
        <v>2576994.785685516</v>
      </c>
    </row>
    <row r="190" spans="1:25">
      <c r="A190" s="754" t="str">
        <f>'Func Future Subs 2015'!A190</f>
        <v>Conklin 762S180</v>
      </c>
      <c r="B190" s="754">
        <f>'Func Future Subs 2015'!B190</f>
        <v>1101</v>
      </c>
      <c r="C190" s="754">
        <f>'Func Future Subs 2015'!C190</f>
        <v>240</v>
      </c>
      <c r="D190" s="754">
        <f>'Func Future Subs 2015'!D190</f>
        <v>25</v>
      </c>
      <c r="E190" s="754" t="str">
        <f>'Func Future Subs 2015'!E190</f>
        <v>762S</v>
      </c>
      <c r="F190" s="754">
        <f>'Func Future Subs 2015'!F190</f>
        <v>17282.930052027419</v>
      </c>
      <c r="G190" s="754" t="str">
        <f>'Func Future Subs 2015'!G190</f>
        <v>AltaLink</v>
      </c>
      <c r="H190" s="754">
        <f>'Func Future Subs 2015'!H190</f>
        <v>2016</v>
      </c>
      <c r="I190" s="306">
        <f>+IF($H190=I$2,VLOOKUP($G190,Depreciation!$A$14:$L$18,7,FALSE)/2,IF($H190&lt;I$2,VLOOKUP($G190,Depreciation!$A$14:$L$18,7,FALSE),0))</f>
        <v>0</v>
      </c>
      <c r="J190" s="306">
        <f>+IF($H190=J$2,VLOOKUP($G190,Depreciation!$A$14:$L$18,8,FALSE)/2,IF($H190&lt;J$2,VLOOKUP($G190,Depreciation!$A$14:$L$18,8,FALSE),0))</f>
        <v>1.671703928371859E-2</v>
      </c>
      <c r="K190" s="306">
        <f>+IF($H190=K$2,VLOOKUP($G190,Depreciation!$A$14:$L$18,9,FALSE)/2,IF($H190&lt;K$2,VLOOKUP($G190,Depreciation!$A$14:$L$18,9,FALSE),0))</f>
        <v>3.343407856743718E-2</v>
      </c>
      <c r="L190" s="306">
        <f>+IF($H190=L$2,VLOOKUP($G190,Depreciation!$A$14:$L$18,10,FALSE)/2,IF($H190&lt;L$2,VLOOKUP($G190,Depreciation!$A$14:$L$18,10,FALSE),0))</f>
        <v>3.343407856743718E-2</v>
      </c>
      <c r="M190" s="306">
        <f>+IF($H190=M$2,VLOOKUP($G190,Depreciation!$A$14:$L$18,11,FALSE)/2,IF($H190&lt;M$2,VLOOKUP($G190,Depreciation!$A$14:$L$18,11,FALSE),0))</f>
        <v>3.343407856743718E-2</v>
      </c>
      <c r="N190" s="306">
        <f>+IF($H190=N$2,VLOOKUP($G190,Depreciation!$A$14:$L$18,12,FALSE)/2,IF($H190&lt;N$2,VLOOKUP($G190,Depreciation!$A$14:$L$18,12,FALSE),0))</f>
        <v>3.343407856743718E-2</v>
      </c>
      <c r="O190" s="307">
        <f t="shared" si="17"/>
        <v>14832.75425748347</v>
      </c>
      <c r="P190" s="732">
        <f>'Func Future Subs 2015'!P190</f>
        <v>0.92307692307692313</v>
      </c>
      <c r="Q190" s="732">
        <f>'Func Future Subs 2015'!Q190</f>
        <v>7.6923076923076927E-2</v>
      </c>
      <c r="R190" s="732">
        <f>'Func Future Subs 2015'!R190</f>
        <v>0</v>
      </c>
      <c r="S190" s="735">
        <f t="shared" si="18"/>
        <v>13691.773160753974</v>
      </c>
      <c r="T190" s="735">
        <f t="shared" si="19"/>
        <v>1140.9810967294977</v>
      </c>
      <c r="U190" s="735">
        <f t="shared" si="20"/>
        <v>0</v>
      </c>
      <c r="V190" s="736">
        <f t="shared" si="21"/>
        <v>0</v>
      </c>
      <c r="W190" s="735">
        <f t="shared" si="22"/>
        <v>13691.773160753974</v>
      </c>
      <c r="X190" s="737">
        <f t="shared" si="23"/>
        <v>0</v>
      </c>
      <c r="Y190" s="738">
        <f t="shared" si="24"/>
        <v>1140.9810967294977</v>
      </c>
    </row>
    <row r="191" spans="1:25">
      <c r="A191" s="754" t="str">
        <f>'Func Future Subs 2015'!A191</f>
        <v>Ipiatik 167S 180</v>
      </c>
      <c r="B191" s="754">
        <f>'Func Future Subs 2015'!B191</f>
        <v>1101</v>
      </c>
      <c r="C191" s="754">
        <f>'Func Future Subs 2015'!C191</f>
        <v>240</v>
      </c>
      <c r="D191" s="754">
        <f>'Func Future Subs 2015'!D191</f>
        <v>138</v>
      </c>
      <c r="E191" s="754" t="str">
        <f>'Func Future Subs 2015'!E191</f>
        <v>167S</v>
      </c>
      <c r="F191" s="754">
        <f>'Func Future Subs 2015'!F191</f>
        <v>51249492.017830744</v>
      </c>
      <c r="G191" s="754" t="str">
        <f>'Func Future Subs 2015'!G191</f>
        <v>AltaLink</v>
      </c>
      <c r="H191" s="754">
        <f>'Func Future Subs 2015'!H191</f>
        <v>2016</v>
      </c>
      <c r="I191" s="306">
        <f>+IF($H191=I$2,VLOOKUP($G191,Depreciation!$A$14:$L$18,7,FALSE)/2,IF($H191&lt;I$2,VLOOKUP($G191,Depreciation!$A$14:$L$18,7,FALSE),0))</f>
        <v>0</v>
      </c>
      <c r="J191" s="306">
        <f>+IF($H191=J$2,VLOOKUP($G191,Depreciation!$A$14:$L$18,8,FALSE)/2,IF($H191&lt;J$2,VLOOKUP($G191,Depreciation!$A$14:$L$18,8,FALSE),0))</f>
        <v>1.671703928371859E-2</v>
      </c>
      <c r="K191" s="306">
        <f>+IF($H191=K$2,VLOOKUP($G191,Depreciation!$A$14:$L$18,9,FALSE)/2,IF($H191&lt;K$2,VLOOKUP($G191,Depreciation!$A$14:$L$18,9,FALSE),0))</f>
        <v>3.343407856743718E-2</v>
      </c>
      <c r="L191" s="306">
        <f>+IF($H191=L$2,VLOOKUP($G191,Depreciation!$A$14:$L$18,10,FALSE)/2,IF($H191&lt;L$2,VLOOKUP($G191,Depreciation!$A$14:$L$18,10,FALSE),0))</f>
        <v>3.343407856743718E-2</v>
      </c>
      <c r="M191" s="306">
        <f>+IF($H191=M$2,VLOOKUP($G191,Depreciation!$A$14:$L$18,11,FALSE)/2,IF($H191&lt;M$2,VLOOKUP($G191,Depreciation!$A$14:$L$18,11,FALSE),0))</f>
        <v>3.343407856743718E-2</v>
      </c>
      <c r="N191" s="306">
        <f>+IF($H191=N$2,VLOOKUP($G191,Depreciation!$A$14:$L$18,12,FALSE)/2,IF($H191&lt;N$2,VLOOKUP($G191,Depreciation!$A$14:$L$18,12,FALSE),0))</f>
        <v>3.343407856743718E-2</v>
      </c>
      <c r="O191" s="307">
        <f t="shared" si="17"/>
        <v>43983926.257467568</v>
      </c>
      <c r="P191" s="732">
        <f>'Func Future Subs 2015'!P191</f>
        <v>0</v>
      </c>
      <c r="Q191" s="732">
        <f>'Func Future Subs 2015'!Q191</f>
        <v>0</v>
      </c>
      <c r="R191" s="732">
        <f>'Func Future Subs 2015'!R191</f>
        <v>1</v>
      </c>
      <c r="S191" s="735">
        <f t="shared" si="18"/>
        <v>0</v>
      </c>
      <c r="T191" s="735">
        <f t="shared" si="19"/>
        <v>0</v>
      </c>
      <c r="U191" s="735">
        <f t="shared" si="20"/>
        <v>43983926.257467568</v>
      </c>
      <c r="V191" s="736">
        <f t="shared" si="21"/>
        <v>0</v>
      </c>
      <c r="W191" s="735">
        <f t="shared" si="22"/>
        <v>0</v>
      </c>
      <c r="X191" s="737">
        <f t="shared" si="23"/>
        <v>43983926.257467568</v>
      </c>
      <c r="Y191" s="738">
        <f t="shared" si="24"/>
        <v>0</v>
      </c>
    </row>
    <row r="192" spans="1:25">
      <c r="A192" s="754" t="str">
        <f>'Func Future Subs 2015'!A192</f>
        <v>Jackfish 698S mod 180</v>
      </c>
      <c r="B192" s="754">
        <f>'Func Future Subs 2015'!B192</f>
        <v>1101</v>
      </c>
      <c r="C192" s="754">
        <f>'Func Future Subs 2015'!C192</f>
        <v>240</v>
      </c>
      <c r="D192" s="754">
        <f>'Func Future Subs 2015'!D192</f>
        <v>25</v>
      </c>
      <c r="E192" s="754" t="str">
        <f>'Func Future Subs 2015'!E192</f>
        <v>698S</v>
      </c>
      <c r="F192" s="754">
        <f>'Func Future Subs 2015'!F192</f>
        <v>485910.49572502839</v>
      </c>
      <c r="G192" s="754" t="str">
        <f>'Func Future Subs 2015'!G192</f>
        <v>AltaLink</v>
      </c>
      <c r="H192" s="754">
        <f>'Func Future Subs 2015'!H192</f>
        <v>2016</v>
      </c>
      <c r="I192" s="306">
        <f>+IF($H192=I$2,VLOOKUP($G192,Depreciation!$A$14:$L$18,7,FALSE)/2,IF($H192&lt;I$2,VLOOKUP($G192,Depreciation!$A$14:$L$18,7,FALSE),0))</f>
        <v>0</v>
      </c>
      <c r="J192" s="306">
        <f>+IF($H192=J$2,VLOOKUP($G192,Depreciation!$A$14:$L$18,8,FALSE)/2,IF($H192&lt;J$2,VLOOKUP($G192,Depreciation!$A$14:$L$18,8,FALSE),0))</f>
        <v>1.671703928371859E-2</v>
      </c>
      <c r="K192" s="306">
        <f>+IF($H192=K$2,VLOOKUP($G192,Depreciation!$A$14:$L$18,9,FALSE)/2,IF($H192&lt;K$2,VLOOKUP($G192,Depreciation!$A$14:$L$18,9,FALSE),0))</f>
        <v>3.343407856743718E-2</v>
      </c>
      <c r="L192" s="306">
        <f>+IF($H192=L$2,VLOOKUP($G192,Depreciation!$A$14:$L$18,10,FALSE)/2,IF($H192&lt;L$2,VLOOKUP($G192,Depreciation!$A$14:$L$18,10,FALSE),0))</f>
        <v>3.343407856743718E-2</v>
      </c>
      <c r="M192" s="306">
        <f>+IF($H192=M$2,VLOOKUP($G192,Depreciation!$A$14:$L$18,11,FALSE)/2,IF($H192&lt;M$2,VLOOKUP($G192,Depreciation!$A$14:$L$18,11,FALSE),0))</f>
        <v>3.343407856743718E-2</v>
      </c>
      <c r="N192" s="306">
        <f>+IF($H192=N$2,VLOOKUP($G192,Depreciation!$A$14:$L$18,12,FALSE)/2,IF($H192&lt;N$2,VLOOKUP($G192,Depreciation!$A$14:$L$18,12,FALSE),0))</f>
        <v>3.343407856743718E-2</v>
      </c>
      <c r="O192" s="307">
        <f t="shared" si="17"/>
        <v>417023.67321540118</v>
      </c>
      <c r="P192" s="732">
        <f>'Func Future Subs 2015'!P192</f>
        <v>0</v>
      </c>
      <c r="Q192" s="732">
        <f>'Func Future Subs 2015'!Q192</f>
        <v>0</v>
      </c>
      <c r="R192" s="732">
        <f>'Func Future Subs 2015'!R192</f>
        <v>1</v>
      </c>
      <c r="S192" s="735">
        <f t="shared" si="18"/>
        <v>0</v>
      </c>
      <c r="T192" s="735">
        <f t="shared" si="19"/>
        <v>0</v>
      </c>
      <c r="U192" s="735">
        <f t="shared" si="20"/>
        <v>417023.67321540118</v>
      </c>
      <c r="V192" s="736">
        <f t="shared" si="21"/>
        <v>0</v>
      </c>
      <c r="W192" s="735">
        <f t="shared" si="22"/>
        <v>0</v>
      </c>
      <c r="X192" s="737">
        <f t="shared" si="23"/>
        <v>0</v>
      </c>
      <c r="Y192" s="738">
        <f t="shared" si="24"/>
        <v>417023.67321540118</v>
      </c>
    </row>
    <row r="193" spans="1:25">
      <c r="A193" s="754" t="str">
        <f>'Func Future Subs 2015'!A193</f>
        <v>Jackfish 698S180</v>
      </c>
      <c r="B193" s="754">
        <f>'Func Future Subs 2015'!B193</f>
        <v>1101</v>
      </c>
      <c r="C193" s="754">
        <f>'Func Future Subs 2015'!C193</f>
        <v>240</v>
      </c>
      <c r="D193" s="754">
        <f>'Func Future Subs 2015'!D193</f>
        <v>25</v>
      </c>
      <c r="E193" s="754" t="str">
        <f>'Func Future Subs 2015'!E193</f>
        <v>698S</v>
      </c>
      <c r="F193" s="754">
        <f>'Func Future Subs 2015'!F193</f>
        <v>17282.930052027419</v>
      </c>
      <c r="G193" s="754" t="str">
        <f>'Func Future Subs 2015'!G193</f>
        <v>AltaLink</v>
      </c>
      <c r="H193" s="754">
        <f>'Func Future Subs 2015'!H193</f>
        <v>2016</v>
      </c>
      <c r="I193" s="306">
        <f>+IF($H193=I$2,VLOOKUP($G193,Depreciation!$A$14:$L$18,7,FALSE)/2,IF($H193&lt;I$2,VLOOKUP($G193,Depreciation!$A$14:$L$18,7,FALSE),0))</f>
        <v>0</v>
      </c>
      <c r="J193" s="306">
        <f>+IF($H193=J$2,VLOOKUP($G193,Depreciation!$A$14:$L$18,8,FALSE)/2,IF($H193&lt;J$2,VLOOKUP($G193,Depreciation!$A$14:$L$18,8,FALSE),0))</f>
        <v>1.671703928371859E-2</v>
      </c>
      <c r="K193" s="306">
        <f>+IF($H193=K$2,VLOOKUP($G193,Depreciation!$A$14:$L$18,9,FALSE)/2,IF($H193&lt;K$2,VLOOKUP($G193,Depreciation!$A$14:$L$18,9,FALSE),0))</f>
        <v>3.343407856743718E-2</v>
      </c>
      <c r="L193" s="306">
        <f>+IF($H193=L$2,VLOOKUP($G193,Depreciation!$A$14:$L$18,10,FALSE)/2,IF($H193&lt;L$2,VLOOKUP($G193,Depreciation!$A$14:$L$18,10,FALSE),0))</f>
        <v>3.343407856743718E-2</v>
      </c>
      <c r="M193" s="306">
        <f>+IF($H193=M$2,VLOOKUP($G193,Depreciation!$A$14:$L$18,11,FALSE)/2,IF($H193&lt;M$2,VLOOKUP($G193,Depreciation!$A$14:$L$18,11,FALSE),0))</f>
        <v>3.343407856743718E-2</v>
      </c>
      <c r="N193" s="306">
        <f>+IF($H193=N$2,VLOOKUP($G193,Depreciation!$A$14:$L$18,12,FALSE)/2,IF($H193&lt;N$2,VLOOKUP($G193,Depreciation!$A$14:$L$18,12,FALSE),0))</f>
        <v>3.343407856743718E-2</v>
      </c>
      <c r="O193" s="307">
        <f t="shared" si="17"/>
        <v>14832.75425748347</v>
      </c>
      <c r="P193" s="732">
        <f>'Func Future Subs 2015'!P193</f>
        <v>0</v>
      </c>
      <c r="Q193" s="732">
        <f>'Func Future Subs 2015'!Q193</f>
        <v>0</v>
      </c>
      <c r="R193" s="732">
        <f>'Func Future Subs 2015'!R193</f>
        <v>1</v>
      </c>
      <c r="S193" s="735">
        <f t="shared" si="18"/>
        <v>0</v>
      </c>
      <c r="T193" s="735">
        <f t="shared" si="19"/>
        <v>0</v>
      </c>
      <c r="U193" s="735">
        <f t="shared" si="20"/>
        <v>14832.75425748347</v>
      </c>
      <c r="V193" s="736">
        <f t="shared" si="21"/>
        <v>0</v>
      </c>
      <c r="W193" s="735">
        <f t="shared" si="22"/>
        <v>0</v>
      </c>
      <c r="X193" s="737">
        <f t="shared" si="23"/>
        <v>0</v>
      </c>
      <c r="Y193" s="738">
        <f t="shared" si="24"/>
        <v>14832.75425748347</v>
      </c>
    </row>
    <row r="194" spans="1:25">
      <c r="A194" s="754" t="str">
        <f>'Func Future Subs 2015'!A194</f>
        <v>Pike 170S mod 180</v>
      </c>
      <c r="B194" s="754">
        <f>'Func Future Subs 2015'!B194</f>
        <v>1101</v>
      </c>
      <c r="C194" s="754">
        <f>'Func Future Subs 2015'!C194</f>
        <v>240</v>
      </c>
      <c r="D194" s="754">
        <f>'Func Future Subs 2015'!D194</f>
        <v>138</v>
      </c>
      <c r="E194" s="754" t="str">
        <f>'Func Future Subs 2015'!E194</f>
        <v>170S</v>
      </c>
      <c r="F194" s="754">
        <f>'Func Future Subs 2015'!F194</f>
        <v>31472.735128396711</v>
      </c>
      <c r="G194" s="754" t="str">
        <f>'Func Future Subs 2015'!G194</f>
        <v>AltaLink</v>
      </c>
      <c r="H194" s="754">
        <f>'Func Future Subs 2015'!H194</f>
        <v>2016</v>
      </c>
      <c r="I194" s="306">
        <f>+IF($H194=I$2,VLOOKUP($G194,Depreciation!$A$14:$L$18,7,FALSE)/2,IF($H194&lt;I$2,VLOOKUP($G194,Depreciation!$A$14:$L$18,7,FALSE),0))</f>
        <v>0</v>
      </c>
      <c r="J194" s="306">
        <f>+IF($H194=J$2,VLOOKUP($G194,Depreciation!$A$14:$L$18,8,FALSE)/2,IF($H194&lt;J$2,VLOOKUP($G194,Depreciation!$A$14:$L$18,8,FALSE),0))</f>
        <v>1.671703928371859E-2</v>
      </c>
      <c r="K194" s="306">
        <f>+IF($H194=K$2,VLOOKUP($G194,Depreciation!$A$14:$L$18,9,FALSE)/2,IF($H194&lt;K$2,VLOOKUP($G194,Depreciation!$A$14:$L$18,9,FALSE),0))</f>
        <v>3.343407856743718E-2</v>
      </c>
      <c r="L194" s="306">
        <f>+IF($H194=L$2,VLOOKUP($G194,Depreciation!$A$14:$L$18,10,FALSE)/2,IF($H194&lt;L$2,VLOOKUP($G194,Depreciation!$A$14:$L$18,10,FALSE),0))</f>
        <v>3.343407856743718E-2</v>
      </c>
      <c r="M194" s="306">
        <f>+IF($H194=M$2,VLOOKUP($G194,Depreciation!$A$14:$L$18,11,FALSE)/2,IF($H194&lt;M$2,VLOOKUP($G194,Depreciation!$A$14:$L$18,11,FALSE),0))</f>
        <v>3.343407856743718E-2</v>
      </c>
      <c r="N194" s="306">
        <f>+IF($H194=N$2,VLOOKUP($G194,Depreciation!$A$14:$L$18,12,FALSE)/2,IF($H194&lt;N$2,VLOOKUP($G194,Depreciation!$A$14:$L$18,12,FALSE),0))</f>
        <v>3.343407856743718E-2</v>
      </c>
      <c r="O194" s="307">
        <f t="shared" si="17"/>
        <v>27010.891357256492</v>
      </c>
      <c r="P194" s="732">
        <f>'Func Future Subs 2015'!P194</f>
        <v>0</v>
      </c>
      <c r="Q194" s="732">
        <f>'Func Future Subs 2015'!Q194</f>
        <v>0</v>
      </c>
      <c r="R194" s="732">
        <f>'Func Future Subs 2015'!R194</f>
        <v>1</v>
      </c>
      <c r="S194" s="735">
        <f t="shared" si="18"/>
        <v>0</v>
      </c>
      <c r="T194" s="735">
        <f t="shared" si="19"/>
        <v>0</v>
      </c>
      <c r="U194" s="735">
        <f t="shared" si="20"/>
        <v>27010.891357256492</v>
      </c>
      <c r="V194" s="736">
        <f t="shared" si="21"/>
        <v>0</v>
      </c>
      <c r="W194" s="735">
        <f t="shared" si="22"/>
        <v>0</v>
      </c>
      <c r="X194" s="737">
        <f t="shared" si="23"/>
        <v>27010.891357256492</v>
      </c>
      <c r="Y194" s="738">
        <f t="shared" si="24"/>
        <v>0</v>
      </c>
    </row>
    <row r="195" spans="1:25">
      <c r="A195" s="754" t="str">
        <f>'Func Future Subs 2015'!A195</f>
        <v>Pike 170S180</v>
      </c>
      <c r="B195" s="754">
        <f>'Func Future Subs 2015'!B195</f>
        <v>1101</v>
      </c>
      <c r="C195" s="754">
        <f>'Func Future Subs 2015'!C195</f>
        <v>240</v>
      </c>
      <c r="D195" s="754">
        <f>'Func Future Subs 2015'!D195</f>
        <v>138</v>
      </c>
      <c r="E195" s="754" t="str">
        <f>'Func Future Subs 2015'!E195</f>
        <v>170S</v>
      </c>
      <c r="F195" s="754">
        <f>'Func Future Subs 2015'!F195</f>
        <v>49648445.339725867</v>
      </c>
      <c r="G195" s="754" t="str">
        <f>'Func Future Subs 2015'!G195</f>
        <v>AltaLink</v>
      </c>
      <c r="H195" s="754">
        <f>'Func Future Subs 2015'!H195</f>
        <v>2016</v>
      </c>
      <c r="I195" s="306">
        <f>+IF($H195=I$2,VLOOKUP($G195,Depreciation!$A$14:$L$18,7,FALSE)/2,IF($H195&lt;I$2,VLOOKUP($G195,Depreciation!$A$14:$L$18,7,FALSE),0))</f>
        <v>0</v>
      </c>
      <c r="J195" s="306">
        <f>+IF($H195=J$2,VLOOKUP($G195,Depreciation!$A$14:$L$18,8,FALSE)/2,IF($H195&lt;J$2,VLOOKUP($G195,Depreciation!$A$14:$L$18,8,FALSE),0))</f>
        <v>1.671703928371859E-2</v>
      </c>
      <c r="K195" s="306">
        <f>+IF($H195=K$2,VLOOKUP($G195,Depreciation!$A$14:$L$18,9,FALSE)/2,IF($H195&lt;K$2,VLOOKUP($G195,Depreciation!$A$14:$L$18,9,FALSE),0))</f>
        <v>3.343407856743718E-2</v>
      </c>
      <c r="L195" s="306">
        <f>+IF($H195=L$2,VLOOKUP($G195,Depreciation!$A$14:$L$18,10,FALSE)/2,IF($H195&lt;L$2,VLOOKUP($G195,Depreciation!$A$14:$L$18,10,FALSE),0))</f>
        <v>3.343407856743718E-2</v>
      </c>
      <c r="M195" s="306">
        <f>+IF($H195=M$2,VLOOKUP($G195,Depreciation!$A$14:$L$18,11,FALSE)/2,IF($H195&lt;M$2,VLOOKUP($G195,Depreciation!$A$14:$L$18,11,FALSE),0))</f>
        <v>3.343407856743718E-2</v>
      </c>
      <c r="N195" s="306">
        <f>+IF($H195=N$2,VLOOKUP($G195,Depreciation!$A$14:$L$18,12,FALSE)/2,IF($H195&lt;N$2,VLOOKUP($G195,Depreciation!$A$14:$L$18,12,FALSE),0))</f>
        <v>3.343407856743718E-2</v>
      </c>
      <c r="O195" s="307">
        <f t="shared" si="17"/>
        <v>42609857.632552654</v>
      </c>
      <c r="P195" s="732">
        <f>'Func Future Subs 2015'!P195</f>
        <v>0</v>
      </c>
      <c r="Q195" s="732">
        <f>'Func Future Subs 2015'!Q195</f>
        <v>0</v>
      </c>
      <c r="R195" s="732">
        <f>'Func Future Subs 2015'!R195</f>
        <v>1</v>
      </c>
      <c r="S195" s="735">
        <f t="shared" si="18"/>
        <v>0</v>
      </c>
      <c r="T195" s="735">
        <f t="shared" si="19"/>
        <v>0</v>
      </c>
      <c r="U195" s="735">
        <f t="shared" si="20"/>
        <v>42609857.632552654</v>
      </c>
      <c r="V195" s="736">
        <f t="shared" si="21"/>
        <v>0</v>
      </c>
      <c r="W195" s="735">
        <f t="shared" si="22"/>
        <v>0</v>
      </c>
      <c r="X195" s="737">
        <f t="shared" si="23"/>
        <v>42609857.632552654</v>
      </c>
      <c r="Y195" s="738">
        <f t="shared" si="24"/>
        <v>0</v>
      </c>
    </row>
    <row r="196" spans="1:25">
      <c r="A196" s="754" t="str">
        <f>'Func Future Subs 2015'!A196</f>
        <v>Winefred 818S mod 180</v>
      </c>
      <c r="B196" s="754">
        <f>'Func Future Subs 2015'!B196</f>
        <v>1101</v>
      </c>
      <c r="C196" s="754">
        <f>'Func Future Subs 2015'!C196</f>
        <v>240</v>
      </c>
      <c r="D196" s="754">
        <f>'Func Future Subs 2015'!D196</f>
        <v>25</v>
      </c>
      <c r="E196" s="754" t="str">
        <f>'Func Future Subs 2015'!E196</f>
        <v>818S</v>
      </c>
      <c r="F196" s="754">
        <f>'Func Future Subs 2015'!F196</f>
        <v>467632.85141133214</v>
      </c>
      <c r="G196" s="754" t="str">
        <f>'Func Future Subs 2015'!G196</f>
        <v>AltaLink</v>
      </c>
      <c r="H196" s="754">
        <f>'Func Future Subs 2015'!H196</f>
        <v>2016</v>
      </c>
      <c r="I196" s="306">
        <f>+IF($H196=I$2,VLOOKUP($G196,Depreciation!$A$14:$L$18,7,FALSE)/2,IF($H196&lt;I$2,VLOOKUP($G196,Depreciation!$A$14:$L$18,7,FALSE),0))</f>
        <v>0</v>
      </c>
      <c r="J196" s="306">
        <f>+IF($H196=J$2,VLOOKUP($G196,Depreciation!$A$14:$L$18,8,FALSE)/2,IF($H196&lt;J$2,VLOOKUP($G196,Depreciation!$A$14:$L$18,8,FALSE),0))</f>
        <v>1.671703928371859E-2</v>
      </c>
      <c r="K196" s="306">
        <f>+IF($H196=K$2,VLOOKUP($G196,Depreciation!$A$14:$L$18,9,FALSE)/2,IF($H196&lt;K$2,VLOOKUP($G196,Depreciation!$A$14:$L$18,9,FALSE),0))</f>
        <v>3.343407856743718E-2</v>
      </c>
      <c r="L196" s="306">
        <f>+IF($H196=L$2,VLOOKUP($G196,Depreciation!$A$14:$L$18,10,FALSE)/2,IF($H196&lt;L$2,VLOOKUP($G196,Depreciation!$A$14:$L$18,10,FALSE),0))</f>
        <v>3.343407856743718E-2</v>
      </c>
      <c r="M196" s="306">
        <f>+IF($H196=M$2,VLOOKUP($G196,Depreciation!$A$14:$L$18,11,FALSE)/2,IF($H196&lt;M$2,VLOOKUP($G196,Depreciation!$A$14:$L$18,11,FALSE),0))</f>
        <v>3.343407856743718E-2</v>
      </c>
      <c r="N196" s="306">
        <f>+IF($H196=N$2,VLOOKUP($G196,Depreciation!$A$14:$L$18,12,FALSE)/2,IF($H196&lt;N$2,VLOOKUP($G196,Depreciation!$A$14:$L$18,12,FALSE),0))</f>
        <v>3.343407856743718E-2</v>
      </c>
      <c r="O196" s="307">
        <f t="shared" ref="O196:O259" si="25">IF(H196&lt;=2020,F196*(1-I196)*(1-J196)*(1-K196)*(1-L196)*(1-M196)*(1-N196),0)</f>
        <v>401337.22388680809</v>
      </c>
      <c r="P196" s="732">
        <f>'Func Future Subs 2015'!P196</f>
        <v>0</v>
      </c>
      <c r="Q196" s="732">
        <f>'Func Future Subs 2015'!Q196</f>
        <v>1</v>
      </c>
      <c r="R196" s="732">
        <f>'Func Future Subs 2015'!R196</f>
        <v>0</v>
      </c>
      <c r="S196" s="735">
        <f t="shared" ref="S196:S259" si="26">+P196*$O196</f>
        <v>0</v>
      </c>
      <c r="T196" s="735">
        <f t="shared" ref="T196:T259" si="27">+Q196*$O196</f>
        <v>401337.22388680809</v>
      </c>
      <c r="U196" s="735">
        <f t="shared" ref="U196:U259" si="28">+R196*$O196</f>
        <v>0</v>
      </c>
      <c r="V196" s="736">
        <f t="shared" ref="V196:V259" si="29">IF(AND(R196=1,D196=0),O196,0)</f>
        <v>0</v>
      </c>
      <c r="W196" s="735">
        <f t="shared" ref="W196:W259" si="30">S196+IF(D196&gt;144,U196,0)</f>
        <v>0</v>
      </c>
      <c r="X196" s="737">
        <f t="shared" ref="X196:X259" si="31">IF(AND(D196&lt;=144,D196&gt;=69),U196,0)</f>
        <v>0</v>
      </c>
      <c r="Y196" s="738">
        <f t="shared" ref="Y196:Y259" si="32">T196+IF(AND(D196&lt;69,D196&gt;0),U196,0)</f>
        <v>401337.22388680809</v>
      </c>
    </row>
    <row r="197" spans="1:25">
      <c r="A197" s="754" t="str">
        <f>'Func Future Subs 2015'!A197</f>
        <v>ENMAX No. 47</v>
      </c>
      <c r="B197" s="754">
        <f>'Func Future Subs 2015'!B197</f>
        <v>1107</v>
      </c>
      <c r="C197" s="754">
        <f>'Func Future Subs 2015'!C197</f>
        <v>138</v>
      </c>
      <c r="D197" s="754">
        <f>'Func Future Subs 2015'!D197</f>
        <v>25</v>
      </c>
      <c r="E197" s="754" t="str">
        <f>'Func Future Subs 2015'!E197</f>
        <v>SS-47</v>
      </c>
      <c r="F197" s="754">
        <f>'Func Future Subs 2015'!F197</f>
        <v>9408587.9999999944</v>
      </c>
      <c r="G197" s="754" t="str">
        <f>'Func Future Subs 2015'!G197</f>
        <v>AltaLink</v>
      </c>
      <c r="H197" s="754">
        <f>'Func Future Subs 2015'!H197</f>
        <v>2015</v>
      </c>
      <c r="I197" s="306">
        <f>+IF($H197=I$2,VLOOKUP($G197,Depreciation!$A$14:$L$18,7,FALSE)/2,IF($H197&lt;I$2,VLOOKUP($G197,Depreciation!$A$14:$L$18,7,FALSE),0))</f>
        <v>1.7228380322441735E-2</v>
      </c>
      <c r="J197" s="306">
        <f>+IF($H197=J$2,VLOOKUP($G197,Depreciation!$A$14:$L$18,8,FALSE)/2,IF($H197&lt;J$2,VLOOKUP($G197,Depreciation!$A$14:$L$18,8,FALSE),0))</f>
        <v>3.343407856743718E-2</v>
      </c>
      <c r="K197" s="306">
        <f>+IF($H197=K$2,VLOOKUP($G197,Depreciation!$A$14:$L$18,9,FALSE)/2,IF($H197&lt;K$2,VLOOKUP($G197,Depreciation!$A$14:$L$18,9,FALSE),0))</f>
        <v>3.343407856743718E-2</v>
      </c>
      <c r="L197" s="306">
        <f>+IF($H197=L$2,VLOOKUP($G197,Depreciation!$A$14:$L$18,10,FALSE)/2,IF($H197&lt;L$2,VLOOKUP($G197,Depreciation!$A$14:$L$18,10,FALSE),0))</f>
        <v>3.343407856743718E-2</v>
      </c>
      <c r="M197" s="306">
        <f>+IF($H197=M$2,VLOOKUP($G197,Depreciation!$A$14:$L$18,11,FALSE)/2,IF($H197&lt;M$2,VLOOKUP($G197,Depreciation!$A$14:$L$18,11,FALSE),0))</f>
        <v>3.343407856743718E-2</v>
      </c>
      <c r="N197" s="306">
        <f>+IF($H197=N$2,VLOOKUP($G197,Depreciation!$A$14:$L$18,12,FALSE)/2,IF($H197&lt;N$2,VLOOKUP($G197,Depreciation!$A$14:$L$18,12,FALSE),0))</f>
        <v>3.343407856743718E-2</v>
      </c>
      <c r="O197" s="307">
        <f t="shared" si="25"/>
        <v>7800715.7466084436</v>
      </c>
      <c r="P197" s="732">
        <f>'Func Future Subs 2015'!P197</f>
        <v>0</v>
      </c>
      <c r="Q197" s="732">
        <f>'Func Future Subs 2015'!Q197</f>
        <v>0</v>
      </c>
      <c r="R197" s="732">
        <f>'Func Future Subs 2015'!R197</f>
        <v>1</v>
      </c>
      <c r="S197" s="735">
        <f t="shared" si="26"/>
        <v>0</v>
      </c>
      <c r="T197" s="735">
        <f t="shared" si="27"/>
        <v>0</v>
      </c>
      <c r="U197" s="735">
        <f t="shared" si="28"/>
        <v>7800715.7466084436</v>
      </c>
      <c r="V197" s="736">
        <f t="shared" si="29"/>
        <v>0</v>
      </c>
      <c r="W197" s="735">
        <f t="shared" si="30"/>
        <v>0</v>
      </c>
      <c r="X197" s="737">
        <f t="shared" si="31"/>
        <v>0</v>
      </c>
      <c r="Y197" s="738">
        <f t="shared" si="32"/>
        <v>7800715.7466084436</v>
      </c>
    </row>
    <row r="198" spans="1:25">
      <c r="A198" s="754" t="str">
        <f>'Func Future Subs 2015'!A198</f>
        <v>Carseland 525S_180</v>
      </c>
      <c r="B198" s="754">
        <f>'Func Future Subs 2015'!B198</f>
        <v>1117</v>
      </c>
      <c r="C198" s="754">
        <f>'Func Future Subs 2015'!C198</f>
        <v>138</v>
      </c>
      <c r="D198" s="754">
        <f>'Func Future Subs 2015'!D198</f>
        <v>25</v>
      </c>
      <c r="E198" s="754" t="str">
        <f>'Func Future Subs 2015'!E198</f>
        <v>525S</v>
      </c>
      <c r="F198" s="754">
        <f>'Func Future Subs 2015'!F198</f>
        <v>179071.02078100035</v>
      </c>
      <c r="G198" s="754" t="str">
        <f>'Func Future Subs 2015'!G198</f>
        <v>AltaLink</v>
      </c>
      <c r="H198" s="754">
        <f>'Func Future Subs 2015'!H198</f>
        <v>2015</v>
      </c>
      <c r="I198" s="306">
        <f>+IF($H198=I$2,VLOOKUP($G198,Depreciation!$A$14:$L$18,7,FALSE)/2,IF($H198&lt;I$2,VLOOKUP($G198,Depreciation!$A$14:$L$18,7,FALSE),0))</f>
        <v>1.7228380322441735E-2</v>
      </c>
      <c r="J198" s="306">
        <f>+IF($H198=J$2,VLOOKUP($G198,Depreciation!$A$14:$L$18,8,FALSE)/2,IF($H198&lt;J$2,VLOOKUP($G198,Depreciation!$A$14:$L$18,8,FALSE),0))</f>
        <v>3.343407856743718E-2</v>
      </c>
      <c r="K198" s="306">
        <f>+IF($H198=K$2,VLOOKUP($G198,Depreciation!$A$14:$L$18,9,FALSE)/2,IF($H198&lt;K$2,VLOOKUP($G198,Depreciation!$A$14:$L$18,9,FALSE),0))</f>
        <v>3.343407856743718E-2</v>
      </c>
      <c r="L198" s="306">
        <f>+IF($H198=L$2,VLOOKUP($G198,Depreciation!$A$14:$L$18,10,FALSE)/2,IF($H198&lt;L$2,VLOOKUP($G198,Depreciation!$A$14:$L$18,10,FALSE),0))</f>
        <v>3.343407856743718E-2</v>
      </c>
      <c r="M198" s="306">
        <f>+IF($H198=M$2,VLOOKUP($G198,Depreciation!$A$14:$L$18,11,FALSE)/2,IF($H198&lt;M$2,VLOOKUP($G198,Depreciation!$A$14:$L$18,11,FALSE),0))</f>
        <v>3.343407856743718E-2</v>
      </c>
      <c r="N198" s="306">
        <f>+IF($H198=N$2,VLOOKUP($G198,Depreciation!$A$14:$L$18,12,FALSE)/2,IF($H198&lt;N$2,VLOOKUP($G198,Depreciation!$A$14:$L$18,12,FALSE),0))</f>
        <v>3.343407856743718E-2</v>
      </c>
      <c r="O198" s="307">
        <f t="shared" si="25"/>
        <v>148468.83842374632</v>
      </c>
      <c r="P198" s="732">
        <f>'Func Future Subs 2015'!P198</f>
        <v>0.7346189164370982</v>
      </c>
      <c r="Q198" s="732">
        <f>'Func Future Subs 2015'!Q198</f>
        <v>0.26538108356290174</v>
      </c>
      <c r="R198" s="732">
        <f>'Func Future Subs 2015'!R198</f>
        <v>0</v>
      </c>
      <c r="S198" s="735">
        <f t="shared" si="26"/>
        <v>109068.01720752713</v>
      </c>
      <c r="T198" s="735">
        <f t="shared" si="27"/>
        <v>39400.821216219178</v>
      </c>
      <c r="U198" s="735">
        <f t="shared" si="28"/>
        <v>0</v>
      </c>
      <c r="V198" s="736">
        <f t="shared" si="29"/>
        <v>0</v>
      </c>
      <c r="W198" s="735">
        <f t="shared" si="30"/>
        <v>109068.01720752713</v>
      </c>
      <c r="X198" s="737">
        <f t="shared" si="31"/>
        <v>0</v>
      </c>
      <c r="Y198" s="738">
        <f t="shared" si="32"/>
        <v>39400.821216219178</v>
      </c>
    </row>
    <row r="199" spans="1:25">
      <c r="A199" s="754" t="str">
        <f>'Func Future Subs 2015'!A199</f>
        <v>Enmax No. 25_v180</v>
      </c>
      <c r="B199" s="754">
        <f>'Func Future Subs 2015'!B199</f>
        <v>1117</v>
      </c>
      <c r="C199" s="754">
        <f>'Func Future Subs 2015'!C199</f>
        <v>240</v>
      </c>
      <c r="D199" s="754">
        <f>'Func Future Subs 2015'!D199</f>
        <v>25</v>
      </c>
      <c r="E199" s="754" t="str">
        <f>'Func Future Subs 2015'!E199</f>
        <v>SS-25</v>
      </c>
      <c r="F199" s="754">
        <f>'Func Future Subs 2015'!F199</f>
        <v>712675.2914213459</v>
      </c>
      <c r="G199" s="754" t="str">
        <f>'Func Future Subs 2015'!G199</f>
        <v>ENMAX</v>
      </c>
      <c r="H199" s="754">
        <f>'Func Future Subs 2015'!H199</f>
        <v>2015</v>
      </c>
      <c r="I199" s="306">
        <f>+IF($H199=I$2,VLOOKUP($G199,Depreciation!$A$14:$L$18,7,FALSE)/2,IF($H199&lt;I$2,VLOOKUP($G199,Depreciation!$A$14:$L$18,7,FALSE),0))</f>
        <v>1.3928409269726289E-2</v>
      </c>
      <c r="J199" s="306">
        <f>+IF($H199=J$2,VLOOKUP($G199,Depreciation!$A$14:$L$18,8,FALSE)/2,IF($H199&lt;J$2,VLOOKUP($G199,Depreciation!$A$14:$L$18,8,FALSE),0))</f>
        <v>2.7856818539452578E-2</v>
      </c>
      <c r="K199" s="306">
        <f>+IF($H199=K$2,VLOOKUP($G199,Depreciation!$A$14:$L$18,9,FALSE)/2,IF($H199&lt;K$2,VLOOKUP($G199,Depreciation!$A$14:$L$18,9,FALSE),0))</f>
        <v>2.7856818539452578E-2</v>
      </c>
      <c r="L199" s="306">
        <f>+IF($H199=L$2,VLOOKUP($G199,Depreciation!$A$14:$L$18,10,FALSE)/2,IF($H199&lt;L$2,VLOOKUP($G199,Depreciation!$A$14:$L$18,10,FALSE),0))</f>
        <v>2.7856818539452578E-2</v>
      </c>
      <c r="M199" s="306">
        <f>+IF($H199=M$2,VLOOKUP($G199,Depreciation!$A$14:$L$18,11,FALSE)/2,IF($H199&lt;M$2,VLOOKUP($G199,Depreciation!$A$14:$L$18,11,FALSE),0))</f>
        <v>2.7856818539452578E-2</v>
      </c>
      <c r="N199" s="306">
        <f>+IF($H199=N$2,VLOOKUP($G199,Depreciation!$A$14:$L$18,12,FALSE)/2,IF($H199&lt;N$2,VLOOKUP($G199,Depreciation!$A$14:$L$18,12,FALSE),0))</f>
        <v>2.7856818539452578E-2</v>
      </c>
      <c r="O199" s="307">
        <f t="shared" si="25"/>
        <v>610170.65994701488</v>
      </c>
      <c r="P199" s="732">
        <f>'Func Future Subs 2015'!P199</f>
        <v>0.9759174311926605</v>
      </c>
      <c r="Q199" s="732">
        <f>'Func Future Subs 2015'!Q199</f>
        <v>2.4082568807339451E-2</v>
      </c>
      <c r="R199" s="732">
        <f>'Func Future Subs 2015'!R199</f>
        <v>4.8572257327350599E-17</v>
      </c>
      <c r="S199" s="735">
        <f t="shared" si="26"/>
        <v>595476.18304462114</v>
      </c>
      <c r="T199" s="735">
        <f t="shared" si="27"/>
        <v>14694.476902393708</v>
      </c>
      <c r="U199" s="735">
        <f t="shared" si="28"/>
        <v>2.9637366308545741E-11</v>
      </c>
      <c r="V199" s="736">
        <f t="shared" si="29"/>
        <v>0</v>
      </c>
      <c r="W199" s="735">
        <f t="shared" si="30"/>
        <v>595476.18304462114</v>
      </c>
      <c r="X199" s="737">
        <f t="shared" si="31"/>
        <v>0</v>
      </c>
      <c r="Y199" s="738">
        <f t="shared" si="32"/>
        <v>14694.476902393737</v>
      </c>
    </row>
    <row r="200" spans="1:25">
      <c r="A200" s="754" t="str">
        <f>'Func Future Subs 2015'!A200</f>
        <v>Enmax No. 65_v180</v>
      </c>
      <c r="B200" s="754">
        <f>'Func Future Subs 2015'!B200</f>
        <v>1117</v>
      </c>
      <c r="C200" s="754">
        <f>'Func Future Subs 2015'!C200</f>
        <v>240</v>
      </c>
      <c r="D200" s="754">
        <f>'Func Future Subs 2015'!D200</f>
        <v>138</v>
      </c>
      <c r="E200" s="754" t="str">
        <f>'Func Future Subs 2015'!E200</f>
        <v>SS-65</v>
      </c>
      <c r="F200" s="754">
        <f>'Func Future Subs 2015'!F200</f>
        <v>3684124.7085786541</v>
      </c>
      <c r="G200" s="754" t="str">
        <f>'Func Future Subs 2015'!G200</f>
        <v>ENMAX</v>
      </c>
      <c r="H200" s="754">
        <f>'Func Future Subs 2015'!H200</f>
        <v>2015</v>
      </c>
      <c r="I200" s="306">
        <f>+IF($H200=I$2,VLOOKUP($G200,Depreciation!$A$14:$L$18,7,FALSE)/2,IF($H200&lt;I$2,VLOOKUP($G200,Depreciation!$A$14:$L$18,7,FALSE),0))</f>
        <v>1.3928409269726289E-2</v>
      </c>
      <c r="J200" s="306">
        <f>+IF($H200=J$2,VLOOKUP($G200,Depreciation!$A$14:$L$18,8,FALSE)/2,IF($H200&lt;J$2,VLOOKUP($G200,Depreciation!$A$14:$L$18,8,FALSE),0))</f>
        <v>2.7856818539452578E-2</v>
      </c>
      <c r="K200" s="306">
        <f>+IF($H200=K$2,VLOOKUP($G200,Depreciation!$A$14:$L$18,9,FALSE)/2,IF($H200&lt;K$2,VLOOKUP($G200,Depreciation!$A$14:$L$18,9,FALSE),0))</f>
        <v>2.7856818539452578E-2</v>
      </c>
      <c r="L200" s="306">
        <f>+IF($H200=L$2,VLOOKUP($G200,Depreciation!$A$14:$L$18,10,FALSE)/2,IF($H200&lt;L$2,VLOOKUP($G200,Depreciation!$A$14:$L$18,10,FALSE),0))</f>
        <v>2.7856818539452578E-2</v>
      </c>
      <c r="M200" s="306">
        <f>+IF($H200=M$2,VLOOKUP($G200,Depreciation!$A$14:$L$18,11,FALSE)/2,IF($H200&lt;M$2,VLOOKUP($G200,Depreciation!$A$14:$L$18,11,FALSE),0))</f>
        <v>2.7856818539452578E-2</v>
      </c>
      <c r="N200" s="306">
        <f>+IF($H200=N$2,VLOOKUP($G200,Depreciation!$A$14:$L$18,12,FALSE)/2,IF($H200&lt;N$2,VLOOKUP($G200,Depreciation!$A$14:$L$18,12,FALSE),0))</f>
        <v>2.7856818539452578E-2</v>
      </c>
      <c r="O200" s="307">
        <f t="shared" si="25"/>
        <v>3154234.237975732</v>
      </c>
      <c r="P200" s="732">
        <f>'Func Future Subs 2015'!P200</f>
        <v>0</v>
      </c>
      <c r="Q200" s="732">
        <f>'Func Future Subs 2015'!Q200</f>
        <v>0</v>
      </c>
      <c r="R200" s="732">
        <f>'Func Future Subs 2015'!R200</f>
        <v>1</v>
      </c>
      <c r="S200" s="735">
        <f t="shared" si="26"/>
        <v>0</v>
      </c>
      <c r="T200" s="735">
        <f t="shared" si="27"/>
        <v>0</v>
      </c>
      <c r="U200" s="735">
        <f t="shared" si="28"/>
        <v>3154234.237975732</v>
      </c>
      <c r="V200" s="736">
        <f t="shared" si="29"/>
        <v>0</v>
      </c>
      <c r="W200" s="735">
        <f t="shared" si="30"/>
        <v>0</v>
      </c>
      <c r="X200" s="737">
        <f t="shared" si="31"/>
        <v>3154234.237975732</v>
      </c>
      <c r="Y200" s="738">
        <f t="shared" si="32"/>
        <v>0</v>
      </c>
    </row>
    <row r="201" spans="1:25">
      <c r="A201" s="754" t="str">
        <f>'Func Future Subs 2015'!A201</f>
        <v>Foothills 237S 138kV_180</v>
      </c>
      <c r="B201" s="754">
        <f>'Func Future Subs 2015'!B201</f>
        <v>1117</v>
      </c>
      <c r="C201" s="754">
        <f>'Func Future Subs 2015'!C201</f>
        <v>240</v>
      </c>
      <c r="D201" s="754">
        <f>'Func Future Subs 2015'!D201</f>
        <v>138</v>
      </c>
      <c r="E201" s="754" t="str">
        <f>'Func Future Subs 2015'!E201</f>
        <v>237S</v>
      </c>
      <c r="F201" s="754">
        <f>'Func Future Subs 2015'!F201</f>
        <v>50320527.637888998</v>
      </c>
      <c r="G201" s="754" t="str">
        <f>'Func Future Subs 2015'!G201</f>
        <v>AltaLink</v>
      </c>
      <c r="H201" s="754">
        <f>'Func Future Subs 2015'!H201</f>
        <v>2015</v>
      </c>
      <c r="I201" s="306">
        <f>+IF($H201=I$2,VLOOKUP($G201,Depreciation!$A$14:$L$18,7,FALSE)/2,IF($H201&lt;I$2,VLOOKUP($G201,Depreciation!$A$14:$L$18,7,FALSE),0))</f>
        <v>1.7228380322441735E-2</v>
      </c>
      <c r="J201" s="306">
        <f>+IF($H201=J$2,VLOOKUP($G201,Depreciation!$A$14:$L$18,8,FALSE)/2,IF($H201&lt;J$2,VLOOKUP($G201,Depreciation!$A$14:$L$18,8,FALSE),0))</f>
        <v>3.343407856743718E-2</v>
      </c>
      <c r="K201" s="306">
        <f>+IF($H201=K$2,VLOOKUP($G201,Depreciation!$A$14:$L$18,9,FALSE)/2,IF($H201&lt;K$2,VLOOKUP($G201,Depreciation!$A$14:$L$18,9,FALSE),0))</f>
        <v>3.343407856743718E-2</v>
      </c>
      <c r="L201" s="306">
        <f>+IF($H201=L$2,VLOOKUP($G201,Depreciation!$A$14:$L$18,10,FALSE)/2,IF($H201&lt;L$2,VLOOKUP($G201,Depreciation!$A$14:$L$18,10,FALSE),0))</f>
        <v>3.343407856743718E-2</v>
      </c>
      <c r="M201" s="306">
        <f>+IF($H201=M$2,VLOOKUP($G201,Depreciation!$A$14:$L$18,11,FALSE)/2,IF($H201&lt;M$2,VLOOKUP($G201,Depreciation!$A$14:$L$18,11,FALSE),0))</f>
        <v>3.343407856743718E-2</v>
      </c>
      <c r="N201" s="306">
        <f>+IF($H201=N$2,VLOOKUP($G201,Depreciation!$A$14:$L$18,12,FALSE)/2,IF($H201&lt;N$2,VLOOKUP($G201,Depreciation!$A$14:$L$18,12,FALSE),0))</f>
        <v>3.343407856743718E-2</v>
      </c>
      <c r="O201" s="307">
        <f t="shared" si="25"/>
        <v>41721045.955304489</v>
      </c>
      <c r="P201" s="732">
        <f>'Func Future Subs 2015'!P201</f>
        <v>0</v>
      </c>
      <c r="Q201" s="732">
        <f>'Func Future Subs 2015'!Q201</f>
        <v>0</v>
      </c>
      <c r="R201" s="732">
        <f>'Func Future Subs 2015'!R201</f>
        <v>1</v>
      </c>
      <c r="S201" s="735">
        <f t="shared" si="26"/>
        <v>0</v>
      </c>
      <c r="T201" s="735">
        <f t="shared" si="27"/>
        <v>0</v>
      </c>
      <c r="U201" s="735">
        <f t="shared" si="28"/>
        <v>41721045.955304489</v>
      </c>
      <c r="V201" s="736">
        <f t="shared" si="29"/>
        <v>0</v>
      </c>
      <c r="W201" s="735">
        <f t="shared" si="30"/>
        <v>0</v>
      </c>
      <c r="X201" s="737">
        <f t="shared" si="31"/>
        <v>41721045.955304489</v>
      </c>
      <c r="Y201" s="738">
        <f t="shared" si="32"/>
        <v>0</v>
      </c>
    </row>
    <row r="202" spans="1:25">
      <c r="A202" s="754" t="str">
        <f>'Func Future Subs 2015'!A202</f>
        <v>Foothills 237S_180</v>
      </c>
      <c r="B202" s="754">
        <f>'Func Future Subs 2015'!B202</f>
        <v>1117</v>
      </c>
      <c r="C202" s="754">
        <f>'Func Future Subs 2015'!C202</f>
        <v>240</v>
      </c>
      <c r="D202" s="754">
        <f>'Func Future Subs 2015'!D202</f>
        <v>138</v>
      </c>
      <c r="E202" s="754" t="str">
        <f>'Func Future Subs 2015'!E202</f>
        <v>237S</v>
      </c>
      <c r="F202" s="754">
        <f>'Func Future Subs 2015'!F202</f>
        <v>7942848.7389275823</v>
      </c>
      <c r="G202" s="754" t="str">
        <f>'Func Future Subs 2015'!G202</f>
        <v>AltaLink</v>
      </c>
      <c r="H202" s="754">
        <f>'Func Future Subs 2015'!H202</f>
        <v>2015</v>
      </c>
      <c r="I202" s="306">
        <f>+IF($H202=I$2,VLOOKUP($G202,Depreciation!$A$14:$L$18,7,FALSE)/2,IF($H202&lt;I$2,VLOOKUP($G202,Depreciation!$A$14:$L$18,7,FALSE),0))</f>
        <v>1.7228380322441735E-2</v>
      </c>
      <c r="J202" s="306">
        <f>+IF($H202=J$2,VLOOKUP($G202,Depreciation!$A$14:$L$18,8,FALSE)/2,IF($H202&lt;J$2,VLOOKUP($G202,Depreciation!$A$14:$L$18,8,FALSE),0))</f>
        <v>3.343407856743718E-2</v>
      </c>
      <c r="K202" s="306">
        <f>+IF($H202=K$2,VLOOKUP($G202,Depreciation!$A$14:$L$18,9,FALSE)/2,IF($H202&lt;K$2,VLOOKUP($G202,Depreciation!$A$14:$L$18,9,FALSE),0))</f>
        <v>3.343407856743718E-2</v>
      </c>
      <c r="L202" s="306">
        <f>+IF($H202=L$2,VLOOKUP($G202,Depreciation!$A$14:$L$18,10,FALSE)/2,IF($H202&lt;L$2,VLOOKUP($G202,Depreciation!$A$14:$L$18,10,FALSE),0))</f>
        <v>3.343407856743718E-2</v>
      </c>
      <c r="M202" s="306">
        <f>+IF($H202=M$2,VLOOKUP($G202,Depreciation!$A$14:$L$18,11,FALSE)/2,IF($H202&lt;M$2,VLOOKUP($G202,Depreciation!$A$14:$L$18,11,FALSE),0))</f>
        <v>3.343407856743718E-2</v>
      </c>
      <c r="N202" s="306">
        <f>+IF($H202=N$2,VLOOKUP($G202,Depreciation!$A$14:$L$18,12,FALSE)/2,IF($H202&lt;N$2,VLOOKUP($G202,Depreciation!$A$14:$L$18,12,FALSE),0))</f>
        <v>3.343407856743718E-2</v>
      </c>
      <c r="O202" s="307">
        <f t="shared" si="25"/>
        <v>6585462.6890540263</v>
      </c>
      <c r="P202" s="732">
        <f>'Func Future Subs 2015'!P202</f>
        <v>0</v>
      </c>
      <c r="Q202" s="732">
        <f>'Func Future Subs 2015'!Q202</f>
        <v>0</v>
      </c>
      <c r="R202" s="732">
        <f>'Func Future Subs 2015'!R202</f>
        <v>1</v>
      </c>
      <c r="S202" s="735">
        <f t="shared" si="26"/>
        <v>0</v>
      </c>
      <c r="T202" s="735">
        <f t="shared" si="27"/>
        <v>0</v>
      </c>
      <c r="U202" s="735">
        <f t="shared" si="28"/>
        <v>6585462.6890540263</v>
      </c>
      <c r="V202" s="736">
        <f t="shared" si="29"/>
        <v>0</v>
      </c>
      <c r="W202" s="735">
        <f t="shared" si="30"/>
        <v>0</v>
      </c>
      <c r="X202" s="737">
        <f t="shared" si="31"/>
        <v>6585462.6890540263</v>
      </c>
      <c r="Y202" s="738">
        <f t="shared" si="32"/>
        <v>0</v>
      </c>
    </row>
    <row r="203" spans="1:25">
      <c r="A203" s="754" t="str">
        <f>'Func Future Subs 2015'!A203</f>
        <v>High River 65S_180</v>
      </c>
      <c r="B203" s="754">
        <f>'Func Future Subs 2015'!B203</f>
        <v>1117</v>
      </c>
      <c r="C203" s="754">
        <f>'Func Future Subs 2015'!C203</f>
        <v>138</v>
      </c>
      <c r="D203" s="754">
        <f>'Func Future Subs 2015'!D203</f>
        <v>25</v>
      </c>
      <c r="E203" s="754" t="str">
        <f>'Func Future Subs 2015'!E203</f>
        <v>65S</v>
      </c>
      <c r="F203" s="754">
        <f>'Func Future Subs 2015'!F203</f>
        <v>7010473.3837333731</v>
      </c>
      <c r="G203" s="754" t="str">
        <f>'Func Future Subs 2015'!G203</f>
        <v>AltaLink</v>
      </c>
      <c r="H203" s="754">
        <f>'Func Future Subs 2015'!H203</f>
        <v>2015</v>
      </c>
      <c r="I203" s="306">
        <f>+IF($H203=I$2,VLOOKUP($G203,Depreciation!$A$14:$L$18,7,FALSE)/2,IF($H203&lt;I$2,VLOOKUP($G203,Depreciation!$A$14:$L$18,7,FALSE),0))</f>
        <v>1.7228380322441735E-2</v>
      </c>
      <c r="J203" s="306">
        <f>+IF($H203=J$2,VLOOKUP($G203,Depreciation!$A$14:$L$18,8,FALSE)/2,IF($H203&lt;J$2,VLOOKUP($G203,Depreciation!$A$14:$L$18,8,FALSE),0))</f>
        <v>3.343407856743718E-2</v>
      </c>
      <c r="K203" s="306">
        <f>+IF($H203=K$2,VLOOKUP($G203,Depreciation!$A$14:$L$18,9,FALSE)/2,IF($H203&lt;K$2,VLOOKUP($G203,Depreciation!$A$14:$L$18,9,FALSE),0))</f>
        <v>3.343407856743718E-2</v>
      </c>
      <c r="L203" s="306">
        <f>+IF($H203=L$2,VLOOKUP($G203,Depreciation!$A$14:$L$18,10,FALSE)/2,IF($H203&lt;L$2,VLOOKUP($G203,Depreciation!$A$14:$L$18,10,FALSE),0))</f>
        <v>3.343407856743718E-2</v>
      </c>
      <c r="M203" s="306">
        <f>+IF($H203=M$2,VLOOKUP($G203,Depreciation!$A$14:$L$18,11,FALSE)/2,IF($H203&lt;M$2,VLOOKUP($G203,Depreciation!$A$14:$L$18,11,FALSE),0))</f>
        <v>3.343407856743718E-2</v>
      </c>
      <c r="N203" s="306">
        <f>+IF($H203=N$2,VLOOKUP($G203,Depreciation!$A$14:$L$18,12,FALSE)/2,IF($H203&lt;N$2,VLOOKUP($G203,Depreciation!$A$14:$L$18,12,FALSE),0))</f>
        <v>3.343407856743718E-2</v>
      </c>
      <c r="O203" s="307">
        <f t="shared" si="25"/>
        <v>5812424.7884664871</v>
      </c>
      <c r="P203" s="732">
        <f>'Func Future Subs 2015'!P203</f>
        <v>0</v>
      </c>
      <c r="Q203" s="732">
        <f>'Func Future Subs 2015'!Q203</f>
        <v>1</v>
      </c>
      <c r="R203" s="732">
        <f>'Func Future Subs 2015'!R203</f>
        <v>0</v>
      </c>
      <c r="S203" s="735">
        <f t="shared" si="26"/>
        <v>0</v>
      </c>
      <c r="T203" s="735">
        <f t="shared" si="27"/>
        <v>5812424.7884664871</v>
      </c>
      <c r="U203" s="735">
        <f t="shared" si="28"/>
        <v>0</v>
      </c>
      <c r="V203" s="736">
        <f t="shared" si="29"/>
        <v>0</v>
      </c>
      <c r="W203" s="735">
        <f t="shared" si="30"/>
        <v>0</v>
      </c>
      <c r="X203" s="737">
        <f t="shared" si="31"/>
        <v>0</v>
      </c>
      <c r="Y203" s="738">
        <f t="shared" si="32"/>
        <v>5812424.7884664871</v>
      </c>
    </row>
    <row r="204" spans="1:25">
      <c r="A204" s="754" t="str">
        <f>'Func Future Subs 2015'!A204</f>
        <v>Janet 74S expansion_(v180)</v>
      </c>
      <c r="B204" s="754">
        <f>'Func Future Subs 2015'!B204</f>
        <v>1117</v>
      </c>
      <c r="C204" s="754">
        <f>'Func Future Subs 2015'!C204</f>
        <v>240</v>
      </c>
      <c r="D204" s="754">
        <f>'Func Future Subs 2015'!D204</f>
        <v>138</v>
      </c>
      <c r="E204" s="754" t="str">
        <f>'Func Future Subs 2015'!E204</f>
        <v>74S</v>
      </c>
      <c r="F204" s="754">
        <f>'Func Future Subs 2015'!F204</f>
        <v>26955252.769418996</v>
      </c>
      <c r="G204" s="754" t="str">
        <f>'Func Future Subs 2015'!G204</f>
        <v>AltaLink</v>
      </c>
      <c r="H204" s="754">
        <f>'Func Future Subs 2015'!H204</f>
        <v>2015</v>
      </c>
      <c r="I204" s="306">
        <f>+IF($H204=I$2,VLOOKUP($G204,Depreciation!$A$14:$L$18,7,FALSE)/2,IF($H204&lt;I$2,VLOOKUP($G204,Depreciation!$A$14:$L$18,7,FALSE),0))</f>
        <v>1.7228380322441735E-2</v>
      </c>
      <c r="J204" s="306">
        <f>+IF($H204=J$2,VLOOKUP($G204,Depreciation!$A$14:$L$18,8,FALSE)/2,IF($H204&lt;J$2,VLOOKUP($G204,Depreciation!$A$14:$L$18,8,FALSE),0))</f>
        <v>3.343407856743718E-2</v>
      </c>
      <c r="K204" s="306">
        <f>+IF($H204=K$2,VLOOKUP($G204,Depreciation!$A$14:$L$18,9,FALSE)/2,IF($H204&lt;K$2,VLOOKUP($G204,Depreciation!$A$14:$L$18,9,FALSE),0))</f>
        <v>3.343407856743718E-2</v>
      </c>
      <c r="L204" s="306">
        <f>+IF($H204=L$2,VLOOKUP($G204,Depreciation!$A$14:$L$18,10,FALSE)/2,IF($H204&lt;L$2,VLOOKUP($G204,Depreciation!$A$14:$L$18,10,FALSE),0))</f>
        <v>3.343407856743718E-2</v>
      </c>
      <c r="M204" s="306">
        <f>+IF($H204=M$2,VLOOKUP($G204,Depreciation!$A$14:$L$18,11,FALSE)/2,IF($H204&lt;M$2,VLOOKUP($G204,Depreciation!$A$14:$L$18,11,FALSE),0))</f>
        <v>3.343407856743718E-2</v>
      </c>
      <c r="N204" s="306">
        <f>+IF($H204=N$2,VLOOKUP($G204,Depreciation!$A$14:$L$18,12,FALSE)/2,IF($H204&lt;N$2,VLOOKUP($G204,Depreciation!$A$14:$L$18,12,FALSE),0))</f>
        <v>3.343407856743718E-2</v>
      </c>
      <c r="O204" s="307">
        <f t="shared" si="25"/>
        <v>22348758.892643373</v>
      </c>
      <c r="P204" s="732">
        <f>'Func Future Subs 2015'!P204</f>
        <v>0</v>
      </c>
      <c r="Q204" s="732">
        <f>'Func Future Subs 2015'!Q204</f>
        <v>0</v>
      </c>
      <c r="R204" s="732">
        <f>'Func Future Subs 2015'!R204</f>
        <v>1</v>
      </c>
      <c r="S204" s="735">
        <f t="shared" si="26"/>
        <v>0</v>
      </c>
      <c r="T204" s="735">
        <f t="shared" si="27"/>
        <v>0</v>
      </c>
      <c r="U204" s="735">
        <f t="shared" si="28"/>
        <v>22348758.892643373</v>
      </c>
      <c r="V204" s="736">
        <f t="shared" si="29"/>
        <v>0</v>
      </c>
      <c r="W204" s="735">
        <f t="shared" si="30"/>
        <v>0</v>
      </c>
      <c r="X204" s="737">
        <f t="shared" si="31"/>
        <v>22348758.892643373</v>
      </c>
      <c r="Y204" s="738">
        <f t="shared" si="32"/>
        <v>0</v>
      </c>
    </row>
    <row r="205" spans="1:25">
      <c r="A205" s="754" t="str">
        <f>'Func Future Subs 2015'!A205</f>
        <v>Langdon 102S_(v180)</v>
      </c>
      <c r="B205" s="754">
        <f>'Func Future Subs 2015'!B205</f>
        <v>1117</v>
      </c>
      <c r="C205" s="754">
        <f>'Func Future Subs 2015'!C205</f>
        <v>500</v>
      </c>
      <c r="D205" s="754">
        <f>'Func Future Subs 2015'!D205</f>
        <v>240</v>
      </c>
      <c r="E205" s="754" t="str">
        <f>'Func Future Subs 2015'!E205</f>
        <v>102S</v>
      </c>
      <c r="F205" s="754">
        <f>'Func Future Subs 2015'!F205</f>
        <v>26111161.304189671</v>
      </c>
      <c r="G205" s="754" t="str">
        <f>'Func Future Subs 2015'!G205</f>
        <v>AltaLink</v>
      </c>
      <c r="H205" s="754">
        <f>'Func Future Subs 2015'!H205</f>
        <v>2015</v>
      </c>
      <c r="I205" s="306">
        <f>+IF($H205=I$2,VLOOKUP($G205,Depreciation!$A$14:$L$18,7,FALSE)/2,IF($H205&lt;I$2,VLOOKUP($G205,Depreciation!$A$14:$L$18,7,FALSE),0))</f>
        <v>1.7228380322441735E-2</v>
      </c>
      <c r="J205" s="306">
        <f>+IF($H205=J$2,VLOOKUP($G205,Depreciation!$A$14:$L$18,8,FALSE)/2,IF($H205&lt;J$2,VLOOKUP($G205,Depreciation!$A$14:$L$18,8,FALSE),0))</f>
        <v>3.343407856743718E-2</v>
      </c>
      <c r="K205" s="306">
        <f>+IF($H205=K$2,VLOOKUP($G205,Depreciation!$A$14:$L$18,9,FALSE)/2,IF($H205&lt;K$2,VLOOKUP($G205,Depreciation!$A$14:$L$18,9,FALSE),0))</f>
        <v>3.343407856743718E-2</v>
      </c>
      <c r="L205" s="306">
        <f>+IF($H205=L$2,VLOOKUP($G205,Depreciation!$A$14:$L$18,10,FALSE)/2,IF($H205&lt;L$2,VLOOKUP($G205,Depreciation!$A$14:$L$18,10,FALSE),0))</f>
        <v>3.343407856743718E-2</v>
      </c>
      <c r="M205" s="306">
        <f>+IF($H205=M$2,VLOOKUP($G205,Depreciation!$A$14:$L$18,11,FALSE)/2,IF($H205&lt;M$2,VLOOKUP($G205,Depreciation!$A$14:$L$18,11,FALSE),0))</f>
        <v>3.343407856743718E-2</v>
      </c>
      <c r="N205" s="306">
        <f>+IF($H205=N$2,VLOOKUP($G205,Depreciation!$A$14:$L$18,12,FALSE)/2,IF($H205&lt;N$2,VLOOKUP($G205,Depreciation!$A$14:$L$18,12,FALSE),0))</f>
        <v>3.343407856743718E-2</v>
      </c>
      <c r="O205" s="307">
        <f t="shared" si="25"/>
        <v>21648917.685398228</v>
      </c>
      <c r="P205" s="732">
        <f>'Func Future Subs 2015'!P205</f>
        <v>0</v>
      </c>
      <c r="Q205" s="732">
        <f>'Func Future Subs 2015'!Q205</f>
        <v>0</v>
      </c>
      <c r="R205" s="732">
        <f>'Func Future Subs 2015'!R205</f>
        <v>1</v>
      </c>
      <c r="S205" s="735">
        <f t="shared" si="26"/>
        <v>0</v>
      </c>
      <c r="T205" s="735">
        <f t="shared" si="27"/>
        <v>0</v>
      </c>
      <c r="U205" s="735">
        <f t="shared" si="28"/>
        <v>21648917.685398228</v>
      </c>
      <c r="V205" s="736">
        <f t="shared" si="29"/>
        <v>0</v>
      </c>
      <c r="W205" s="735">
        <f t="shared" si="30"/>
        <v>21648917.685398228</v>
      </c>
      <c r="X205" s="737">
        <f t="shared" si="31"/>
        <v>0</v>
      </c>
      <c r="Y205" s="738">
        <f t="shared" si="32"/>
        <v>0</v>
      </c>
    </row>
    <row r="206" spans="1:25">
      <c r="A206" s="754" t="str">
        <f>'Func Future Subs 2015'!A206</f>
        <v>Okotok 678S_180</v>
      </c>
      <c r="B206" s="754">
        <f>'Func Future Subs 2015'!B206</f>
        <v>1117</v>
      </c>
      <c r="C206" s="754">
        <f>'Func Future Subs 2015'!C206</f>
        <v>138</v>
      </c>
      <c r="D206" s="754">
        <f>'Func Future Subs 2015'!D206</f>
        <v>25</v>
      </c>
      <c r="E206" s="754" t="str">
        <f>'Func Future Subs 2015'!E206</f>
        <v>678S</v>
      </c>
      <c r="F206" s="754">
        <f>'Func Future Subs 2015'!F206</f>
        <v>5976888.018172862</v>
      </c>
      <c r="G206" s="754" t="str">
        <f>'Func Future Subs 2015'!G206</f>
        <v>AltaLink</v>
      </c>
      <c r="H206" s="754">
        <f>'Func Future Subs 2015'!H206</f>
        <v>2015</v>
      </c>
      <c r="I206" s="306">
        <f>+IF($H206=I$2,VLOOKUP($G206,Depreciation!$A$14:$L$18,7,FALSE)/2,IF($H206&lt;I$2,VLOOKUP($G206,Depreciation!$A$14:$L$18,7,FALSE),0))</f>
        <v>1.7228380322441735E-2</v>
      </c>
      <c r="J206" s="306">
        <f>+IF($H206=J$2,VLOOKUP($G206,Depreciation!$A$14:$L$18,8,FALSE)/2,IF($H206&lt;J$2,VLOOKUP($G206,Depreciation!$A$14:$L$18,8,FALSE),0))</f>
        <v>3.343407856743718E-2</v>
      </c>
      <c r="K206" s="306">
        <f>+IF($H206=K$2,VLOOKUP($G206,Depreciation!$A$14:$L$18,9,FALSE)/2,IF($H206&lt;K$2,VLOOKUP($G206,Depreciation!$A$14:$L$18,9,FALSE),0))</f>
        <v>3.343407856743718E-2</v>
      </c>
      <c r="L206" s="306">
        <f>+IF($H206=L$2,VLOOKUP($G206,Depreciation!$A$14:$L$18,10,FALSE)/2,IF($H206&lt;L$2,VLOOKUP($G206,Depreciation!$A$14:$L$18,10,FALSE),0))</f>
        <v>3.343407856743718E-2</v>
      </c>
      <c r="M206" s="306">
        <f>+IF($H206=M$2,VLOOKUP($G206,Depreciation!$A$14:$L$18,11,FALSE)/2,IF($H206&lt;M$2,VLOOKUP($G206,Depreciation!$A$14:$L$18,11,FALSE),0))</f>
        <v>3.343407856743718E-2</v>
      </c>
      <c r="N206" s="306">
        <f>+IF($H206=N$2,VLOOKUP($G206,Depreciation!$A$14:$L$18,12,FALSE)/2,IF($H206&lt;N$2,VLOOKUP($G206,Depreciation!$A$14:$L$18,12,FALSE),0))</f>
        <v>3.343407856743718E-2</v>
      </c>
      <c r="O206" s="307">
        <f t="shared" si="25"/>
        <v>4955473.0719504775</v>
      </c>
      <c r="P206" s="732">
        <f>'Func Future Subs 2015'!P206</f>
        <v>0</v>
      </c>
      <c r="Q206" s="732">
        <f>'Func Future Subs 2015'!Q206</f>
        <v>1</v>
      </c>
      <c r="R206" s="732">
        <f>'Func Future Subs 2015'!R206</f>
        <v>0</v>
      </c>
      <c r="S206" s="735">
        <f t="shared" si="26"/>
        <v>0</v>
      </c>
      <c r="T206" s="735">
        <f t="shared" si="27"/>
        <v>4955473.0719504775</v>
      </c>
      <c r="U206" s="735">
        <f t="shared" si="28"/>
        <v>0</v>
      </c>
      <c r="V206" s="736">
        <f t="shared" si="29"/>
        <v>0</v>
      </c>
      <c r="W206" s="735">
        <f t="shared" si="30"/>
        <v>0</v>
      </c>
      <c r="X206" s="737">
        <f t="shared" si="31"/>
        <v>0</v>
      </c>
      <c r="Y206" s="738">
        <f t="shared" si="32"/>
        <v>4955473.0719504775</v>
      </c>
    </row>
    <row r="207" spans="1:25">
      <c r="A207" s="754" t="str">
        <f>'Func Future Subs 2015'!A207</f>
        <v>2060S Engstrom Substation</v>
      </c>
      <c r="B207" s="754">
        <f>'Func Future Subs 2015'!B207</f>
        <v>1128</v>
      </c>
      <c r="C207" s="754">
        <f>'Func Future Subs 2015'!C207</f>
        <v>144</v>
      </c>
      <c r="D207" s="754">
        <f>'Func Future Subs 2015'!D207</f>
        <v>25</v>
      </c>
      <c r="E207" s="754" t="str">
        <f>'Func Future Subs 2015'!E207</f>
        <v>2060S</v>
      </c>
      <c r="F207" s="754">
        <f>'Func Future Subs 2015'!F207</f>
        <v>3013835.5296935784</v>
      </c>
      <c r="G207" s="754" t="str">
        <f>'Func Future Subs 2015'!G207</f>
        <v>ATCO</v>
      </c>
      <c r="H207" s="754">
        <f>'Func Future Subs 2015'!H207</f>
        <v>2015</v>
      </c>
      <c r="I207" s="306">
        <f>+IF($H207=I$2,VLOOKUP($G207,Depreciation!$A$14:$L$18,7,FALSE)/2,IF($H207&lt;I$2,VLOOKUP($G207,Depreciation!$A$14:$L$18,7,FALSE),0))</f>
        <v>1.221703683566912E-2</v>
      </c>
      <c r="J207" s="306">
        <f>+IF($H207=J$2,VLOOKUP($G207,Depreciation!$A$14:$L$18,8,FALSE)/2,IF($H207&lt;J$2,VLOOKUP($G207,Depreciation!$A$14:$L$18,8,FALSE),0))</f>
        <v>2.4632450501084719E-2</v>
      </c>
      <c r="K207" s="306">
        <f>+IF($H207=K$2,VLOOKUP($G207,Depreciation!$A$14:$L$18,9,FALSE)/2,IF($H207&lt;K$2,VLOOKUP($G207,Depreciation!$A$14:$L$18,9,FALSE),0))</f>
        <v>2.4351536427798831E-2</v>
      </c>
      <c r="L207" s="306">
        <f>+IF($H207=L$2,VLOOKUP($G207,Depreciation!$A$14:$L$18,10,FALSE)/2,IF($H207&lt;L$2,VLOOKUP($G207,Depreciation!$A$14:$L$18,10,FALSE),0))</f>
        <v>2.4351536427798831E-2</v>
      </c>
      <c r="M207" s="306">
        <f>+IF($H207=M$2,VLOOKUP($G207,Depreciation!$A$14:$L$18,11,FALSE)/2,IF($H207&lt;M$2,VLOOKUP($G207,Depreciation!$A$14:$L$18,11,FALSE),0))</f>
        <v>2.4351536427798831E-2</v>
      </c>
      <c r="N207" s="306">
        <f>+IF($H207=N$2,VLOOKUP($G207,Depreciation!$A$14:$L$18,12,FALSE)/2,IF($H207&lt;N$2,VLOOKUP($G207,Depreciation!$A$14:$L$18,12,FALSE),0))</f>
        <v>2.4351536427798831E-2</v>
      </c>
      <c r="O207" s="307">
        <f t="shared" si="25"/>
        <v>2631012.0804218608</v>
      </c>
      <c r="P207" s="732">
        <f>'Func Future Subs 2015'!P207</f>
        <v>0</v>
      </c>
      <c r="Q207" s="732">
        <f>'Func Future Subs 2015'!Q207</f>
        <v>1</v>
      </c>
      <c r="R207" s="732">
        <f>'Func Future Subs 2015'!R207</f>
        <v>0</v>
      </c>
      <c r="S207" s="735">
        <f t="shared" si="26"/>
        <v>0</v>
      </c>
      <c r="T207" s="735">
        <f t="shared" si="27"/>
        <v>2631012.0804218608</v>
      </c>
      <c r="U207" s="735">
        <f t="shared" si="28"/>
        <v>0</v>
      </c>
      <c r="V207" s="736">
        <f t="shared" si="29"/>
        <v>0</v>
      </c>
      <c r="W207" s="735">
        <f t="shared" si="30"/>
        <v>0</v>
      </c>
      <c r="X207" s="737">
        <f t="shared" si="31"/>
        <v>0</v>
      </c>
      <c r="Y207" s="738">
        <f t="shared" si="32"/>
        <v>2631012.0804218608</v>
      </c>
    </row>
    <row r="208" spans="1:25">
      <c r="A208" s="754" t="str">
        <f>'Func Future Subs 2015'!A208</f>
        <v>856S Kinosis Substation</v>
      </c>
      <c r="B208" s="754">
        <f>'Func Future Subs 2015'!B208</f>
        <v>1128</v>
      </c>
      <c r="C208" s="754">
        <f>'Func Future Subs 2015'!C208</f>
        <v>240</v>
      </c>
      <c r="D208" s="754">
        <f>'Func Future Subs 2015'!D208</f>
        <v>25</v>
      </c>
      <c r="E208" s="754" t="str">
        <f>'Func Future Subs 2015'!E208</f>
        <v>856S</v>
      </c>
      <c r="F208" s="754">
        <f>'Func Future Subs 2015'!F208</f>
        <v>26494192.572163552</v>
      </c>
      <c r="G208" s="754" t="str">
        <f>'Func Future Subs 2015'!G208</f>
        <v>ATCO</v>
      </c>
      <c r="H208" s="754">
        <f>'Func Future Subs 2015'!H208</f>
        <v>2015</v>
      </c>
      <c r="I208" s="306">
        <f>+IF($H208=I$2,VLOOKUP($G208,Depreciation!$A$14:$L$18,7,FALSE)/2,IF($H208&lt;I$2,VLOOKUP($G208,Depreciation!$A$14:$L$18,7,FALSE),0))</f>
        <v>1.221703683566912E-2</v>
      </c>
      <c r="J208" s="306">
        <f>+IF($H208=J$2,VLOOKUP($G208,Depreciation!$A$14:$L$18,8,FALSE)/2,IF($H208&lt;J$2,VLOOKUP($G208,Depreciation!$A$14:$L$18,8,FALSE),0))</f>
        <v>2.4632450501084719E-2</v>
      </c>
      <c r="K208" s="306">
        <f>+IF($H208=K$2,VLOOKUP($G208,Depreciation!$A$14:$L$18,9,FALSE)/2,IF($H208&lt;K$2,VLOOKUP($G208,Depreciation!$A$14:$L$18,9,FALSE),0))</f>
        <v>2.4351536427798831E-2</v>
      </c>
      <c r="L208" s="306">
        <f>+IF($H208=L$2,VLOOKUP($G208,Depreciation!$A$14:$L$18,10,FALSE)/2,IF($H208&lt;L$2,VLOOKUP($G208,Depreciation!$A$14:$L$18,10,FALSE),0))</f>
        <v>2.4351536427798831E-2</v>
      </c>
      <c r="M208" s="306">
        <f>+IF($H208=M$2,VLOOKUP($G208,Depreciation!$A$14:$L$18,11,FALSE)/2,IF($H208&lt;M$2,VLOOKUP($G208,Depreciation!$A$14:$L$18,11,FALSE),0))</f>
        <v>2.4351536427798831E-2</v>
      </c>
      <c r="N208" s="306">
        <f>+IF($H208=N$2,VLOOKUP($G208,Depreciation!$A$14:$L$18,12,FALSE)/2,IF($H208&lt;N$2,VLOOKUP($G208,Depreciation!$A$14:$L$18,12,FALSE),0))</f>
        <v>2.4351536427798831E-2</v>
      </c>
      <c r="O208" s="307">
        <f t="shared" si="25"/>
        <v>23128846.95651345</v>
      </c>
      <c r="P208" s="732">
        <f>'Func Future Subs 2015'!P208</f>
        <v>0</v>
      </c>
      <c r="Q208" s="732">
        <f>'Func Future Subs 2015'!Q208</f>
        <v>1</v>
      </c>
      <c r="R208" s="732">
        <f>'Func Future Subs 2015'!R208</f>
        <v>0</v>
      </c>
      <c r="S208" s="735">
        <f t="shared" si="26"/>
        <v>0</v>
      </c>
      <c r="T208" s="735">
        <f t="shared" si="27"/>
        <v>23128846.95651345</v>
      </c>
      <c r="U208" s="735">
        <f t="shared" si="28"/>
        <v>0</v>
      </c>
      <c r="V208" s="736">
        <f t="shared" si="29"/>
        <v>0</v>
      </c>
      <c r="W208" s="735">
        <f t="shared" si="30"/>
        <v>0</v>
      </c>
      <c r="X208" s="737">
        <f t="shared" si="31"/>
        <v>0</v>
      </c>
      <c r="Y208" s="738">
        <f t="shared" si="32"/>
        <v>23128846.95651345</v>
      </c>
    </row>
    <row r="209" spans="1:25">
      <c r="A209" s="754" t="str">
        <f>'Func Future Subs 2015'!A209</f>
        <v>989S Quigley substation</v>
      </c>
      <c r="B209" s="754">
        <f>'Func Future Subs 2015'!B209</f>
        <v>1128</v>
      </c>
      <c r="C209" s="754">
        <f>'Func Future Subs 2015'!C209</f>
        <v>144</v>
      </c>
      <c r="D209" s="754">
        <f>'Func Future Subs 2015'!D209</f>
        <v>25</v>
      </c>
      <c r="E209" s="754" t="str">
        <f>'Func Future Subs 2015'!E209</f>
        <v>989S</v>
      </c>
      <c r="F209" s="754">
        <f>'Func Future Subs 2015'!F209</f>
        <v>2933649.2335773744</v>
      </c>
      <c r="G209" s="754" t="str">
        <f>'Func Future Subs 2015'!G209</f>
        <v>ATCO</v>
      </c>
      <c r="H209" s="754">
        <f>'Func Future Subs 2015'!H209</f>
        <v>2015</v>
      </c>
      <c r="I209" s="306">
        <f>+IF($H209=I$2,VLOOKUP($G209,Depreciation!$A$14:$L$18,7,FALSE)/2,IF($H209&lt;I$2,VLOOKUP($G209,Depreciation!$A$14:$L$18,7,FALSE),0))</f>
        <v>1.221703683566912E-2</v>
      </c>
      <c r="J209" s="306">
        <f>+IF($H209=J$2,VLOOKUP($G209,Depreciation!$A$14:$L$18,8,FALSE)/2,IF($H209&lt;J$2,VLOOKUP($G209,Depreciation!$A$14:$L$18,8,FALSE),0))</f>
        <v>2.4632450501084719E-2</v>
      </c>
      <c r="K209" s="306">
        <f>+IF($H209=K$2,VLOOKUP($G209,Depreciation!$A$14:$L$18,9,FALSE)/2,IF($H209&lt;K$2,VLOOKUP($G209,Depreciation!$A$14:$L$18,9,FALSE),0))</f>
        <v>2.4351536427798831E-2</v>
      </c>
      <c r="L209" s="306">
        <f>+IF($H209=L$2,VLOOKUP($G209,Depreciation!$A$14:$L$18,10,FALSE)/2,IF($H209&lt;L$2,VLOOKUP($G209,Depreciation!$A$14:$L$18,10,FALSE),0))</f>
        <v>2.4351536427798831E-2</v>
      </c>
      <c r="M209" s="306">
        <f>+IF($H209=M$2,VLOOKUP($G209,Depreciation!$A$14:$L$18,11,FALSE)/2,IF($H209&lt;M$2,VLOOKUP($G209,Depreciation!$A$14:$L$18,11,FALSE),0))</f>
        <v>2.4351536427798831E-2</v>
      </c>
      <c r="N209" s="306">
        <f>+IF($H209=N$2,VLOOKUP($G209,Depreciation!$A$14:$L$18,12,FALSE)/2,IF($H209&lt;N$2,VLOOKUP($G209,Depreciation!$A$14:$L$18,12,FALSE),0))</f>
        <v>2.4351536427798831E-2</v>
      </c>
      <c r="O209" s="307">
        <f t="shared" si="25"/>
        <v>2561011.2088787924</v>
      </c>
      <c r="P209" s="732">
        <f>'Func Future Subs 2015'!P209</f>
        <v>0</v>
      </c>
      <c r="Q209" s="732">
        <f>'Func Future Subs 2015'!Q209</f>
        <v>1</v>
      </c>
      <c r="R209" s="732">
        <f>'Func Future Subs 2015'!R209</f>
        <v>0</v>
      </c>
      <c r="S209" s="735">
        <f t="shared" si="26"/>
        <v>0</v>
      </c>
      <c r="T209" s="735">
        <f t="shared" si="27"/>
        <v>2561011.2088787924</v>
      </c>
      <c r="U209" s="735">
        <f t="shared" si="28"/>
        <v>0</v>
      </c>
      <c r="V209" s="736">
        <f t="shared" si="29"/>
        <v>0</v>
      </c>
      <c r="W209" s="735">
        <f t="shared" si="30"/>
        <v>0</v>
      </c>
      <c r="X209" s="737">
        <f t="shared" si="31"/>
        <v>0</v>
      </c>
      <c r="Y209" s="738">
        <f t="shared" si="32"/>
        <v>2561011.2088787924</v>
      </c>
    </row>
    <row r="210" spans="1:25">
      <c r="A210" s="754" t="str">
        <f>'Func Future Subs 2015'!A210</f>
        <v>Engstorm 2060S substation</v>
      </c>
      <c r="B210" s="754">
        <f>'Func Future Subs 2015'!B210</f>
        <v>1128</v>
      </c>
      <c r="C210" s="754">
        <f>'Func Future Subs 2015'!C210</f>
        <v>144</v>
      </c>
      <c r="D210" s="754">
        <f>'Func Future Subs 2015'!D210</f>
        <v>25</v>
      </c>
      <c r="E210" s="754" t="str">
        <f>'Func Future Subs 2015'!E210</f>
        <v>2060S</v>
      </c>
      <c r="F210" s="754">
        <f>'Func Future Subs 2015'!F210</f>
        <v>25809473.341965247</v>
      </c>
      <c r="G210" s="754" t="str">
        <f>'Func Future Subs 2015'!G210</f>
        <v>ATCO</v>
      </c>
      <c r="H210" s="754">
        <f>'Func Future Subs 2015'!H210</f>
        <v>2015</v>
      </c>
      <c r="I210" s="306">
        <f>+IF($H210=I$2,VLOOKUP($G210,Depreciation!$A$14:$L$18,7,FALSE)/2,IF($H210&lt;I$2,VLOOKUP($G210,Depreciation!$A$14:$L$18,7,FALSE),0))</f>
        <v>1.221703683566912E-2</v>
      </c>
      <c r="J210" s="306">
        <f>+IF($H210=J$2,VLOOKUP($G210,Depreciation!$A$14:$L$18,8,FALSE)/2,IF($H210&lt;J$2,VLOOKUP($G210,Depreciation!$A$14:$L$18,8,FALSE),0))</f>
        <v>2.4632450501084719E-2</v>
      </c>
      <c r="K210" s="306">
        <f>+IF($H210=K$2,VLOOKUP($G210,Depreciation!$A$14:$L$18,9,FALSE)/2,IF($H210&lt;K$2,VLOOKUP($G210,Depreciation!$A$14:$L$18,9,FALSE),0))</f>
        <v>2.4351536427798831E-2</v>
      </c>
      <c r="L210" s="306">
        <f>+IF($H210=L$2,VLOOKUP($G210,Depreciation!$A$14:$L$18,10,FALSE)/2,IF($H210&lt;L$2,VLOOKUP($G210,Depreciation!$A$14:$L$18,10,FALSE),0))</f>
        <v>2.4351536427798831E-2</v>
      </c>
      <c r="M210" s="306">
        <f>+IF($H210=M$2,VLOOKUP($G210,Depreciation!$A$14:$L$18,11,FALSE)/2,IF($H210&lt;M$2,VLOOKUP($G210,Depreciation!$A$14:$L$18,11,FALSE),0))</f>
        <v>2.4351536427798831E-2</v>
      </c>
      <c r="N210" s="306">
        <f>+IF($H210=N$2,VLOOKUP($G210,Depreciation!$A$14:$L$18,12,FALSE)/2,IF($H210&lt;N$2,VLOOKUP($G210,Depreciation!$A$14:$L$18,12,FALSE),0))</f>
        <v>2.4351536427798831E-2</v>
      </c>
      <c r="O210" s="307">
        <f t="shared" si="25"/>
        <v>22531102.139784172</v>
      </c>
      <c r="P210" s="732">
        <f>'Func Future Subs 2015'!P210</f>
        <v>0</v>
      </c>
      <c r="Q210" s="732">
        <f>'Func Future Subs 2015'!Q210</f>
        <v>1</v>
      </c>
      <c r="R210" s="732">
        <f>'Func Future Subs 2015'!R210</f>
        <v>0</v>
      </c>
      <c r="S210" s="735">
        <f t="shared" si="26"/>
        <v>0</v>
      </c>
      <c r="T210" s="735">
        <f t="shared" si="27"/>
        <v>22531102.139784172</v>
      </c>
      <c r="U210" s="735">
        <f t="shared" si="28"/>
        <v>0</v>
      </c>
      <c r="V210" s="736">
        <f t="shared" si="29"/>
        <v>0</v>
      </c>
      <c r="W210" s="735">
        <f t="shared" si="30"/>
        <v>0</v>
      </c>
      <c r="X210" s="737">
        <f t="shared" si="31"/>
        <v>0</v>
      </c>
      <c r="Y210" s="738">
        <f t="shared" si="32"/>
        <v>22531102.139784172</v>
      </c>
    </row>
    <row r="211" spans="1:25">
      <c r="A211" s="754" t="str">
        <f>'Func Future Subs 2015'!A211</f>
        <v>Construction of a new switching station, Birchwood Creek 2060S 180day</v>
      </c>
      <c r="B211" s="754">
        <f>'Func Future Subs 2015'!B211</f>
        <v>1180</v>
      </c>
      <c r="C211" s="754">
        <f>'Func Future Subs 2015'!C211</f>
        <v>240</v>
      </c>
      <c r="D211" s="754">
        <f>'Func Future Subs 2015'!D211</f>
        <v>25</v>
      </c>
      <c r="E211" s="754" t="str">
        <f>'Func Future Subs 2015'!E211</f>
        <v>2060S</v>
      </c>
      <c r="F211" s="754">
        <f>'Func Future Subs 2015'!F211</f>
        <v>0</v>
      </c>
      <c r="G211" s="754" t="str">
        <f>'Func Future Subs 2015'!G211</f>
        <v>ATCO</v>
      </c>
      <c r="H211" s="754">
        <f>'Func Future Subs 2015'!H211</f>
        <v>2100</v>
      </c>
      <c r="I211" s="306">
        <f>+IF($H211=I$2,VLOOKUP($G211,Depreciation!$A$14:$L$18,7,FALSE)/2,IF($H211&lt;I$2,VLOOKUP($G211,Depreciation!$A$14:$L$18,7,FALSE),0))</f>
        <v>0</v>
      </c>
      <c r="J211" s="306">
        <f>+IF($H211=J$2,VLOOKUP($G211,Depreciation!$A$14:$L$18,8,FALSE)/2,IF($H211&lt;J$2,VLOOKUP($G211,Depreciation!$A$14:$L$18,8,FALSE),0))</f>
        <v>0</v>
      </c>
      <c r="K211" s="306">
        <f>+IF($H211=K$2,VLOOKUP($G211,Depreciation!$A$14:$L$18,9,FALSE)/2,IF($H211&lt;K$2,VLOOKUP($G211,Depreciation!$A$14:$L$18,9,FALSE),0))</f>
        <v>0</v>
      </c>
      <c r="L211" s="306">
        <f>+IF($H211=L$2,VLOOKUP($G211,Depreciation!$A$14:$L$18,10,FALSE)/2,IF($H211&lt;L$2,VLOOKUP($G211,Depreciation!$A$14:$L$18,10,FALSE),0))</f>
        <v>0</v>
      </c>
      <c r="M211" s="306">
        <f>+IF($H211=M$2,VLOOKUP($G211,Depreciation!$A$14:$L$18,11,FALSE)/2,IF($H211&lt;M$2,VLOOKUP($G211,Depreciation!$A$14:$L$18,11,FALSE),0))</f>
        <v>0</v>
      </c>
      <c r="N211" s="306">
        <f>+IF($H211=N$2,VLOOKUP($G211,Depreciation!$A$14:$L$18,12,FALSE)/2,IF($H211&lt;N$2,VLOOKUP($G211,Depreciation!$A$14:$L$18,12,FALSE),0))</f>
        <v>0</v>
      </c>
      <c r="O211" s="307">
        <f t="shared" si="25"/>
        <v>0</v>
      </c>
      <c r="P211" s="732">
        <f>'Func Future Subs 2015'!P211</f>
        <v>0</v>
      </c>
      <c r="Q211" s="732">
        <f>'Func Future Subs 2015'!Q211</f>
        <v>1</v>
      </c>
      <c r="R211" s="732">
        <f>'Func Future Subs 2015'!R211</f>
        <v>0</v>
      </c>
      <c r="S211" s="735">
        <f t="shared" si="26"/>
        <v>0</v>
      </c>
      <c r="T211" s="735">
        <f t="shared" si="27"/>
        <v>0</v>
      </c>
      <c r="U211" s="735">
        <f t="shared" si="28"/>
        <v>0</v>
      </c>
      <c r="V211" s="736">
        <f t="shared" si="29"/>
        <v>0</v>
      </c>
      <c r="W211" s="735">
        <f t="shared" si="30"/>
        <v>0</v>
      </c>
      <c r="X211" s="737">
        <f t="shared" si="31"/>
        <v>0</v>
      </c>
      <c r="Y211" s="738">
        <f t="shared" si="32"/>
        <v>0</v>
      </c>
    </row>
    <row r="212" spans="1:25">
      <c r="A212" s="754" t="str">
        <f>'Func Future Subs 2015'!A212</f>
        <v>Ells River 2079S</v>
      </c>
      <c r="B212" s="754">
        <f>'Func Future Subs 2015'!B212</f>
        <v>1180</v>
      </c>
      <c r="C212" s="754">
        <f>'Func Future Subs 2015'!C212</f>
        <v>240</v>
      </c>
      <c r="D212" s="754">
        <f>'Func Future Subs 2015'!D212</f>
        <v>240</v>
      </c>
      <c r="E212" s="754" t="str">
        <f>'Func Future Subs 2015'!E212</f>
        <v>2079S</v>
      </c>
      <c r="F212" s="754">
        <f>'Func Future Subs 2015'!F212</f>
        <v>0</v>
      </c>
      <c r="G212" s="754" t="str">
        <f>'Func Future Subs 2015'!G212</f>
        <v>ATCO</v>
      </c>
      <c r="H212" s="754">
        <f>'Func Future Subs 2015'!H212</f>
        <v>2100</v>
      </c>
      <c r="I212" s="306">
        <f>+IF($H212=I$2,VLOOKUP($G212,Depreciation!$A$14:$L$18,7,FALSE)/2,IF($H212&lt;I$2,VLOOKUP($G212,Depreciation!$A$14:$L$18,7,FALSE),0))</f>
        <v>0</v>
      </c>
      <c r="J212" s="306">
        <f>+IF($H212=J$2,VLOOKUP($G212,Depreciation!$A$14:$L$18,8,FALSE)/2,IF($H212&lt;J$2,VLOOKUP($G212,Depreciation!$A$14:$L$18,8,FALSE),0))</f>
        <v>0</v>
      </c>
      <c r="K212" s="306">
        <f>+IF($H212=K$2,VLOOKUP($G212,Depreciation!$A$14:$L$18,9,FALSE)/2,IF($H212&lt;K$2,VLOOKUP($G212,Depreciation!$A$14:$L$18,9,FALSE),0))</f>
        <v>0</v>
      </c>
      <c r="L212" s="306">
        <f>+IF($H212=L$2,VLOOKUP($G212,Depreciation!$A$14:$L$18,10,FALSE)/2,IF($H212&lt;L$2,VLOOKUP($G212,Depreciation!$A$14:$L$18,10,FALSE),0))</f>
        <v>0</v>
      </c>
      <c r="M212" s="306">
        <f>+IF($H212=M$2,VLOOKUP($G212,Depreciation!$A$14:$L$18,11,FALSE)/2,IF($H212&lt;M$2,VLOOKUP($G212,Depreciation!$A$14:$L$18,11,FALSE),0))</f>
        <v>0</v>
      </c>
      <c r="N212" s="306">
        <f>+IF($H212=N$2,VLOOKUP($G212,Depreciation!$A$14:$L$18,12,FALSE)/2,IF($H212&lt;N$2,VLOOKUP($G212,Depreciation!$A$14:$L$18,12,FALSE),0))</f>
        <v>0</v>
      </c>
      <c r="O212" s="307">
        <f t="shared" si="25"/>
        <v>0</v>
      </c>
      <c r="P212" s="732">
        <f>'Func Future Subs 2015'!P212</f>
        <v>0</v>
      </c>
      <c r="Q212" s="732">
        <f>'Func Future Subs 2015'!Q212</f>
        <v>0</v>
      </c>
      <c r="R212" s="732">
        <f>'Func Future Subs 2015'!R212</f>
        <v>1</v>
      </c>
      <c r="S212" s="735">
        <f t="shared" si="26"/>
        <v>0</v>
      </c>
      <c r="T212" s="735">
        <f t="shared" si="27"/>
        <v>0</v>
      </c>
      <c r="U212" s="735">
        <f t="shared" si="28"/>
        <v>0</v>
      </c>
      <c r="V212" s="736">
        <f t="shared" si="29"/>
        <v>0</v>
      </c>
      <c r="W212" s="735">
        <f t="shared" si="30"/>
        <v>0</v>
      </c>
      <c r="X212" s="737">
        <f t="shared" si="31"/>
        <v>0</v>
      </c>
      <c r="Y212" s="738">
        <f t="shared" si="32"/>
        <v>0</v>
      </c>
    </row>
    <row r="213" spans="1:25">
      <c r="A213" s="754" t="str">
        <f>'Func Future Subs 2015'!A213</f>
        <v>Modify Dover 888S substation</v>
      </c>
      <c r="B213" s="754">
        <f>'Func Future Subs 2015'!B213</f>
        <v>1180</v>
      </c>
      <c r="C213" s="754">
        <f>'Func Future Subs 2015'!C213</f>
        <v>240</v>
      </c>
      <c r="D213" s="754">
        <f>'Func Future Subs 2015'!D213</f>
        <v>240</v>
      </c>
      <c r="E213" s="754" t="str">
        <f>'Func Future Subs 2015'!E213</f>
        <v>888S</v>
      </c>
      <c r="F213" s="754">
        <f>'Func Future Subs 2015'!F213</f>
        <v>0</v>
      </c>
      <c r="G213" s="754" t="str">
        <f>'Func Future Subs 2015'!G213</f>
        <v>ATCO</v>
      </c>
      <c r="H213" s="754">
        <f>'Func Future Subs 2015'!H213</f>
        <v>2100</v>
      </c>
      <c r="I213" s="306">
        <f>+IF($H213=I$2,VLOOKUP($G213,Depreciation!$A$14:$L$18,7,FALSE)/2,IF($H213&lt;I$2,VLOOKUP($G213,Depreciation!$A$14:$L$18,7,FALSE),0))</f>
        <v>0</v>
      </c>
      <c r="J213" s="306">
        <f>+IF($H213=J$2,VLOOKUP($G213,Depreciation!$A$14:$L$18,8,FALSE)/2,IF($H213&lt;J$2,VLOOKUP($G213,Depreciation!$A$14:$L$18,8,FALSE),0))</f>
        <v>0</v>
      </c>
      <c r="K213" s="306">
        <f>+IF($H213=K$2,VLOOKUP($G213,Depreciation!$A$14:$L$18,9,FALSE)/2,IF($H213&lt;K$2,VLOOKUP($G213,Depreciation!$A$14:$L$18,9,FALSE),0))</f>
        <v>0</v>
      </c>
      <c r="L213" s="306">
        <f>+IF($H213=L$2,VLOOKUP($G213,Depreciation!$A$14:$L$18,10,FALSE)/2,IF($H213&lt;L$2,VLOOKUP($G213,Depreciation!$A$14:$L$18,10,FALSE),0))</f>
        <v>0</v>
      </c>
      <c r="M213" s="306">
        <f>+IF($H213=M$2,VLOOKUP($G213,Depreciation!$A$14:$L$18,11,FALSE)/2,IF($H213&lt;M$2,VLOOKUP($G213,Depreciation!$A$14:$L$18,11,FALSE),0))</f>
        <v>0</v>
      </c>
      <c r="N213" s="306">
        <f>+IF($H213=N$2,VLOOKUP($G213,Depreciation!$A$14:$L$18,12,FALSE)/2,IF($H213&lt;N$2,VLOOKUP($G213,Depreciation!$A$14:$L$18,12,FALSE),0))</f>
        <v>0</v>
      </c>
      <c r="O213" s="307">
        <f t="shared" si="25"/>
        <v>0</v>
      </c>
      <c r="P213" s="732">
        <f>'Func Future Subs 2015'!P213</f>
        <v>0</v>
      </c>
      <c r="Q213" s="732">
        <f>'Func Future Subs 2015'!Q213</f>
        <v>0</v>
      </c>
      <c r="R213" s="732">
        <f>'Func Future Subs 2015'!R213</f>
        <v>1</v>
      </c>
      <c r="S213" s="735">
        <f t="shared" si="26"/>
        <v>0</v>
      </c>
      <c r="T213" s="735">
        <f t="shared" si="27"/>
        <v>0</v>
      </c>
      <c r="U213" s="735">
        <f t="shared" si="28"/>
        <v>0</v>
      </c>
      <c r="V213" s="736">
        <f t="shared" si="29"/>
        <v>0</v>
      </c>
      <c r="W213" s="735">
        <f t="shared" si="30"/>
        <v>0</v>
      </c>
      <c r="X213" s="737">
        <f t="shared" si="31"/>
        <v>0</v>
      </c>
      <c r="Y213" s="738">
        <f t="shared" si="32"/>
        <v>0</v>
      </c>
    </row>
    <row r="214" spans="1:25">
      <c r="A214" s="754" t="str">
        <f>'Func Future Subs 2015'!A214</f>
        <v>Modify Joslyn 849S substation</v>
      </c>
      <c r="B214" s="754">
        <f>'Func Future Subs 2015'!B214</f>
        <v>1180</v>
      </c>
      <c r="C214" s="754">
        <f>'Func Future Subs 2015'!C214</f>
        <v>240</v>
      </c>
      <c r="D214" s="754">
        <f>'Func Future Subs 2015'!D214</f>
        <v>25</v>
      </c>
      <c r="E214" s="754" t="str">
        <f>'Func Future Subs 2015'!E214</f>
        <v>849S</v>
      </c>
      <c r="F214" s="754">
        <f>'Func Future Subs 2015'!F214</f>
        <v>0</v>
      </c>
      <c r="G214" s="754" t="str">
        <f>'Func Future Subs 2015'!G214</f>
        <v>ATCO</v>
      </c>
      <c r="H214" s="754">
        <f>'Func Future Subs 2015'!H214</f>
        <v>2100</v>
      </c>
      <c r="I214" s="306">
        <f>+IF($H214=I$2,VLOOKUP($G214,Depreciation!$A$14:$L$18,7,FALSE)/2,IF($H214&lt;I$2,VLOOKUP($G214,Depreciation!$A$14:$L$18,7,FALSE),0))</f>
        <v>0</v>
      </c>
      <c r="J214" s="306">
        <f>+IF($H214=J$2,VLOOKUP($G214,Depreciation!$A$14:$L$18,8,FALSE)/2,IF($H214&lt;J$2,VLOOKUP($G214,Depreciation!$A$14:$L$18,8,FALSE),0))</f>
        <v>0</v>
      </c>
      <c r="K214" s="306">
        <f>+IF($H214=K$2,VLOOKUP($G214,Depreciation!$A$14:$L$18,9,FALSE)/2,IF($H214&lt;K$2,VLOOKUP($G214,Depreciation!$A$14:$L$18,9,FALSE),0))</f>
        <v>0</v>
      </c>
      <c r="L214" s="306">
        <f>+IF($H214=L$2,VLOOKUP($G214,Depreciation!$A$14:$L$18,10,FALSE)/2,IF($H214&lt;L$2,VLOOKUP($G214,Depreciation!$A$14:$L$18,10,FALSE),0))</f>
        <v>0</v>
      </c>
      <c r="M214" s="306">
        <f>+IF($H214=M$2,VLOOKUP($G214,Depreciation!$A$14:$L$18,11,FALSE)/2,IF($H214&lt;M$2,VLOOKUP($G214,Depreciation!$A$14:$L$18,11,FALSE),0))</f>
        <v>0</v>
      </c>
      <c r="N214" s="306">
        <f>+IF($H214=N$2,VLOOKUP($G214,Depreciation!$A$14:$L$18,12,FALSE)/2,IF($H214&lt;N$2,VLOOKUP($G214,Depreciation!$A$14:$L$18,12,FALSE),0))</f>
        <v>0</v>
      </c>
      <c r="O214" s="307">
        <f t="shared" si="25"/>
        <v>0</v>
      </c>
      <c r="P214" s="732">
        <f>'Func Future Subs 2015'!P214</f>
        <v>0</v>
      </c>
      <c r="Q214" s="732">
        <f>'Func Future Subs 2015'!Q214</f>
        <v>1</v>
      </c>
      <c r="R214" s="732">
        <f>'Func Future Subs 2015'!R214</f>
        <v>0</v>
      </c>
      <c r="S214" s="735">
        <f t="shared" si="26"/>
        <v>0</v>
      </c>
      <c r="T214" s="735">
        <f t="shared" si="27"/>
        <v>0</v>
      </c>
      <c r="U214" s="735">
        <f t="shared" si="28"/>
        <v>0</v>
      </c>
      <c r="V214" s="736">
        <f t="shared" si="29"/>
        <v>0</v>
      </c>
      <c r="W214" s="735">
        <f t="shared" si="30"/>
        <v>0</v>
      </c>
      <c r="X214" s="737">
        <f t="shared" si="31"/>
        <v>0</v>
      </c>
      <c r="Y214" s="738">
        <f t="shared" si="32"/>
        <v>0</v>
      </c>
    </row>
    <row r="215" spans="1:25">
      <c r="A215" s="754" t="str">
        <f>'Func Future Subs 2015'!A215</f>
        <v>New Ells River 2079S switching station</v>
      </c>
      <c r="B215" s="754">
        <f>'Func Future Subs 2015'!B215</f>
        <v>1180</v>
      </c>
      <c r="C215" s="754">
        <f>'Func Future Subs 2015'!C215</f>
        <v>240</v>
      </c>
      <c r="D215" s="754">
        <f>'Func Future Subs 2015'!D215</f>
        <v>240</v>
      </c>
      <c r="E215" s="754" t="str">
        <f>'Func Future Subs 2015'!E215</f>
        <v>2079S</v>
      </c>
      <c r="F215" s="754">
        <f>'Func Future Subs 2015'!F215</f>
        <v>0</v>
      </c>
      <c r="G215" s="754" t="str">
        <f>'Func Future Subs 2015'!G215</f>
        <v>ATCO</v>
      </c>
      <c r="H215" s="754">
        <f>'Func Future Subs 2015'!H215</f>
        <v>2100</v>
      </c>
      <c r="I215" s="306">
        <f>+IF($H215=I$2,VLOOKUP($G215,Depreciation!$A$14:$L$18,7,FALSE)/2,IF($H215&lt;I$2,VLOOKUP($G215,Depreciation!$A$14:$L$18,7,FALSE),0))</f>
        <v>0</v>
      </c>
      <c r="J215" s="306">
        <f>+IF($H215=J$2,VLOOKUP($G215,Depreciation!$A$14:$L$18,8,FALSE)/2,IF($H215&lt;J$2,VLOOKUP($G215,Depreciation!$A$14:$L$18,8,FALSE),0))</f>
        <v>0</v>
      </c>
      <c r="K215" s="306">
        <f>+IF($H215=K$2,VLOOKUP($G215,Depreciation!$A$14:$L$18,9,FALSE)/2,IF($H215&lt;K$2,VLOOKUP($G215,Depreciation!$A$14:$L$18,9,FALSE),0))</f>
        <v>0</v>
      </c>
      <c r="L215" s="306">
        <f>+IF($H215=L$2,VLOOKUP($G215,Depreciation!$A$14:$L$18,10,FALSE)/2,IF($H215&lt;L$2,VLOOKUP($G215,Depreciation!$A$14:$L$18,10,FALSE),0))</f>
        <v>0</v>
      </c>
      <c r="M215" s="306">
        <f>+IF($H215=M$2,VLOOKUP($G215,Depreciation!$A$14:$L$18,11,FALSE)/2,IF($H215&lt;M$2,VLOOKUP($G215,Depreciation!$A$14:$L$18,11,FALSE),0))</f>
        <v>0</v>
      </c>
      <c r="N215" s="306">
        <f>+IF($H215=N$2,VLOOKUP($G215,Depreciation!$A$14:$L$18,12,FALSE)/2,IF($H215&lt;N$2,VLOOKUP($G215,Depreciation!$A$14:$L$18,12,FALSE),0))</f>
        <v>0</v>
      </c>
      <c r="O215" s="307">
        <f t="shared" si="25"/>
        <v>0</v>
      </c>
      <c r="P215" s="732">
        <f>'Func Future Subs 2015'!P215</f>
        <v>0</v>
      </c>
      <c r="Q215" s="732">
        <f>'Func Future Subs 2015'!Q215</f>
        <v>0</v>
      </c>
      <c r="R215" s="732">
        <f>'Func Future Subs 2015'!R215</f>
        <v>1</v>
      </c>
      <c r="S215" s="735">
        <f t="shared" si="26"/>
        <v>0</v>
      </c>
      <c r="T215" s="735">
        <f t="shared" si="27"/>
        <v>0</v>
      </c>
      <c r="U215" s="735">
        <f t="shared" si="28"/>
        <v>0</v>
      </c>
      <c r="V215" s="736">
        <f t="shared" si="29"/>
        <v>0</v>
      </c>
      <c r="W215" s="735">
        <f t="shared" si="30"/>
        <v>0</v>
      </c>
      <c r="X215" s="737">
        <f t="shared" si="31"/>
        <v>0</v>
      </c>
      <c r="Y215" s="738">
        <f t="shared" si="32"/>
        <v>0</v>
      </c>
    </row>
    <row r="216" spans="1:25">
      <c r="A216" s="754" t="str">
        <f>'Func Future Subs 2015'!A216</f>
        <v>Dawes</v>
      </c>
      <c r="B216" s="754">
        <f>'Func Future Subs 2015'!B216</f>
        <v>1186</v>
      </c>
      <c r="C216" s="754">
        <f>'Func Future Subs 2015'!C216</f>
        <v>240</v>
      </c>
      <c r="D216" s="754">
        <f>'Func Future Subs 2015'!D216</f>
        <v>0</v>
      </c>
      <c r="E216" s="754">
        <f>'Func Future Subs 2015'!E216</f>
        <v>0</v>
      </c>
      <c r="F216" s="754">
        <f>'Func Future Subs 2015'!F216</f>
        <v>75896.276001329621</v>
      </c>
      <c r="G216" s="754" t="str">
        <f>'Func Future Subs 2015'!G216</f>
        <v>ATCO</v>
      </c>
      <c r="H216" s="754">
        <f>'Func Future Subs 2015'!H216</f>
        <v>2018</v>
      </c>
      <c r="I216" s="306">
        <f>+IF($H216=I$2,VLOOKUP($G216,Depreciation!$A$14:$L$18,7,FALSE)/2,IF($H216&lt;I$2,VLOOKUP($G216,Depreciation!$A$14:$L$18,7,FALSE),0))</f>
        <v>0</v>
      </c>
      <c r="J216" s="306">
        <f>+IF($H216=J$2,VLOOKUP($G216,Depreciation!$A$14:$L$18,8,FALSE)/2,IF($H216&lt;J$2,VLOOKUP($G216,Depreciation!$A$14:$L$18,8,FALSE),0))</f>
        <v>0</v>
      </c>
      <c r="K216" s="306">
        <f>+IF($H216=K$2,VLOOKUP($G216,Depreciation!$A$14:$L$18,9,FALSE)/2,IF($H216&lt;K$2,VLOOKUP($G216,Depreciation!$A$14:$L$18,9,FALSE),0))</f>
        <v>0</v>
      </c>
      <c r="L216" s="306">
        <f>+IF($H216=L$2,VLOOKUP($G216,Depreciation!$A$14:$L$18,10,FALSE)/2,IF($H216&lt;L$2,VLOOKUP($G216,Depreciation!$A$14:$L$18,10,FALSE),0))</f>
        <v>1.2175768213899416E-2</v>
      </c>
      <c r="M216" s="306">
        <f>+IF($H216=M$2,VLOOKUP($G216,Depreciation!$A$14:$L$18,11,FALSE)/2,IF($H216&lt;M$2,VLOOKUP($G216,Depreciation!$A$14:$L$18,11,FALSE),0))</f>
        <v>2.4351536427798831E-2</v>
      </c>
      <c r="N216" s="306">
        <f>+IF($H216=N$2,VLOOKUP($G216,Depreciation!$A$14:$L$18,12,FALSE)/2,IF($H216&lt;N$2,VLOOKUP($G216,Depreciation!$A$14:$L$18,12,FALSE),0))</f>
        <v>2.4351536427798831E-2</v>
      </c>
      <c r="O216" s="307">
        <f t="shared" si="25"/>
        <v>71365.263268242124</v>
      </c>
      <c r="P216" s="732">
        <f>'Func Future Subs 2015'!P216</f>
        <v>0</v>
      </c>
      <c r="Q216" s="732">
        <f>'Func Future Subs 2015'!Q216</f>
        <v>0</v>
      </c>
      <c r="R216" s="732">
        <f>'Func Future Subs 2015'!R216</f>
        <v>1</v>
      </c>
      <c r="S216" s="735">
        <f t="shared" si="26"/>
        <v>0</v>
      </c>
      <c r="T216" s="735">
        <f t="shared" si="27"/>
        <v>0</v>
      </c>
      <c r="U216" s="735">
        <f t="shared" si="28"/>
        <v>71365.263268242124</v>
      </c>
      <c r="V216" s="736">
        <f t="shared" si="29"/>
        <v>71365.263268242124</v>
      </c>
      <c r="W216" s="735">
        <f t="shared" si="30"/>
        <v>0</v>
      </c>
      <c r="X216" s="737">
        <f t="shared" si="31"/>
        <v>0</v>
      </c>
      <c r="Y216" s="738">
        <f t="shared" si="32"/>
        <v>0</v>
      </c>
    </row>
    <row r="217" spans="1:25">
      <c r="A217" s="754" t="str">
        <f>'Func Future Subs 2015'!A217</f>
        <v>Dover</v>
      </c>
      <c r="B217" s="754">
        <f>'Func Future Subs 2015'!B217</f>
        <v>1186</v>
      </c>
      <c r="C217" s="754">
        <f>'Func Future Subs 2015'!C217</f>
        <v>240</v>
      </c>
      <c r="D217" s="754">
        <f>'Func Future Subs 2015'!D217</f>
        <v>0</v>
      </c>
      <c r="E217" s="754">
        <f>'Func Future Subs 2015'!E217</f>
        <v>0</v>
      </c>
      <c r="F217" s="754">
        <f>'Func Future Subs 2015'!F217</f>
        <v>107010.66953091667</v>
      </c>
      <c r="G217" s="754" t="str">
        <f>'Func Future Subs 2015'!G217</f>
        <v>ATCO</v>
      </c>
      <c r="H217" s="754">
        <f>'Func Future Subs 2015'!H217</f>
        <v>2018</v>
      </c>
      <c r="I217" s="306">
        <f>+IF($H217=I$2,VLOOKUP($G217,Depreciation!$A$14:$L$18,7,FALSE)/2,IF($H217&lt;I$2,VLOOKUP($G217,Depreciation!$A$14:$L$18,7,FALSE),0))</f>
        <v>0</v>
      </c>
      <c r="J217" s="306">
        <f>+IF($H217=J$2,VLOOKUP($G217,Depreciation!$A$14:$L$18,8,FALSE)/2,IF($H217&lt;J$2,VLOOKUP($G217,Depreciation!$A$14:$L$18,8,FALSE),0))</f>
        <v>0</v>
      </c>
      <c r="K217" s="306">
        <f>+IF($H217=K$2,VLOOKUP($G217,Depreciation!$A$14:$L$18,9,FALSE)/2,IF($H217&lt;K$2,VLOOKUP($G217,Depreciation!$A$14:$L$18,9,FALSE),0))</f>
        <v>0</v>
      </c>
      <c r="L217" s="306">
        <f>+IF($H217=L$2,VLOOKUP($G217,Depreciation!$A$14:$L$18,10,FALSE)/2,IF($H217&lt;L$2,VLOOKUP($G217,Depreciation!$A$14:$L$18,10,FALSE),0))</f>
        <v>1.2175768213899416E-2</v>
      </c>
      <c r="M217" s="306">
        <f>+IF($H217=M$2,VLOOKUP($G217,Depreciation!$A$14:$L$18,11,FALSE)/2,IF($H217&lt;M$2,VLOOKUP($G217,Depreciation!$A$14:$L$18,11,FALSE),0))</f>
        <v>2.4351536427798831E-2</v>
      </c>
      <c r="N217" s="306">
        <f>+IF($H217=N$2,VLOOKUP($G217,Depreciation!$A$14:$L$18,12,FALSE)/2,IF($H217&lt;N$2,VLOOKUP($G217,Depreciation!$A$14:$L$18,12,FALSE),0))</f>
        <v>2.4351536427798831E-2</v>
      </c>
      <c r="O217" s="307">
        <f t="shared" si="25"/>
        <v>100622.12543143667</v>
      </c>
      <c r="P217" s="732">
        <f>'Func Future Subs 2015'!P217</f>
        <v>0</v>
      </c>
      <c r="Q217" s="732">
        <f>'Func Future Subs 2015'!Q217</f>
        <v>0</v>
      </c>
      <c r="R217" s="732">
        <f>'Func Future Subs 2015'!R217</f>
        <v>1</v>
      </c>
      <c r="S217" s="735">
        <f t="shared" si="26"/>
        <v>0</v>
      </c>
      <c r="T217" s="735">
        <f t="shared" si="27"/>
        <v>0</v>
      </c>
      <c r="U217" s="735">
        <f t="shared" si="28"/>
        <v>100622.12543143667</v>
      </c>
      <c r="V217" s="736">
        <f t="shared" si="29"/>
        <v>100622.12543143667</v>
      </c>
      <c r="W217" s="735">
        <f t="shared" si="30"/>
        <v>0</v>
      </c>
      <c r="X217" s="737">
        <f t="shared" si="31"/>
        <v>0</v>
      </c>
      <c r="Y217" s="738">
        <f t="shared" si="32"/>
        <v>0</v>
      </c>
    </row>
    <row r="218" spans="1:25">
      <c r="A218" s="754" t="str">
        <f>'Func Future Subs 2015'!A218</f>
        <v>Ruth Lake sub</v>
      </c>
      <c r="B218" s="754">
        <f>'Func Future Subs 2015'!B218</f>
        <v>1186</v>
      </c>
      <c r="C218" s="754">
        <f>'Func Future Subs 2015'!C218</f>
        <v>240</v>
      </c>
      <c r="D218" s="754">
        <f>'Func Future Subs 2015'!D218</f>
        <v>0</v>
      </c>
      <c r="E218" s="754">
        <f>'Func Future Subs 2015'!E218</f>
        <v>0</v>
      </c>
      <c r="F218" s="754">
        <f>'Func Future Subs 2015'!F218</f>
        <v>75646.146350743249</v>
      </c>
      <c r="G218" s="754" t="str">
        <f>'Func Future Subs 2015'!G218</f>
        <v>ATCO</v>
      </c>
      <c r="H218" s="754">
        <f>'Func Future Subs 2015'!H218</f>
        <v>2018</v>
      </c>
      <c r="I218" s="306">
        <f>+IF($H218=I$2,VLOOKUP($G218,Depreciation!$A$14:$L$18,7,FALSE)/2,IF($H218&lt;I$2,VLOOKUP($G218,Depreciation!$A$14:$L$18,7,FALSE),0))</f>
        <v>0</v>
      </c>
      <c r="J218" s="306">
        <f>+IF($H218=J$2,VLOOKUP($G218,Depreciation!$A$14:$L$18,8,FALSE)/2,IF($H218&lt;J$2,VLOOKUP($G218,Depreciation!$A$14:$L$18,8,FALSE),0))</f>
        <v>0</v>
      </c>
      <c r="K218" s="306">
        <f>+IF($H218=K$2,VLOOKUP($G218,Depreciation!$A$14:$L$18,9,FALSE)/2,IF($H218&lt;K$2,VLOOKUP($G218,Depreciation!$A$14:$L$18,9,FALSE),0))</f>
        <v>0</v>
      </c>
      <c r="L218" s="306">
        <f>+IF($H218=L$2,VLOOKUP($G218,Depreciation!$A$14:$L$18,10,FALSE)/2,IF($H218&lt;L$2,VLOOKUP($G218,Depreciation!$A$14:$L$18,10,FALSE),0))</f>
        <v>1.2175768213899416E-2</v>
      </c>
      <c r="M218" s="306">
        <f>+IF($H218=M$2,VLOOKUP($G218,Depreciation!$A$14:$L$18,11,FALSE)/2,IF($H218&lt;M$2,VLOOKUP($G218,Depreciation!$A$14:$L$18,11,FALSE),0))</f>
        <v>2.4351536427798831E-2</v>
      </c>
      <c r="N218" s="306">
        <f>+IF($H218=N$2,VLOOKUP($G218,Depreciation!$A$14:$L$18,12,FALSE)/2,IF($H218&lt;N$2,VLOOKUP($G218,Depreciation!$A$14:$L$18,12,FALSE),0))</f>
        <v>2.4351536427798831E-2</v>
      </c>
      <c r="O218" s="307">
        <f t="shared" si="25"/>
        <v>71130.066374458067</v>
      </c>
      <c r="P218" s="732">
        <f>'Func Future Subs 2015'!P218</f>
        <v>0</v>
      </c>
      <c r="Q218" s="732">
        <f>'Func Future Subs 2015'!Q218</f>
        <v>0</v>
      </c>
      <c r="R218" s="732">
        <f>'Func Future Subs 2015'!R218</f>
        <v>1</v>
      </c>
      <c r="S218" s="735">
        <f t="shared" si="26"/>
        <v>0</v>
      </c>
      <c r="T218" s="735">
        <f t="shared" si="27"/>
        <v>0</v>
      </c>
      <c r="U218" s="735">
        <f t="shared" si="28"/>
        <v>71130.066374458067</v>
      </c>
      <c r="V218" s="736">
        <f t="shared" si="29"/>
        <v>71130.066374458067</v>
      </c>
      <c r="W218" s="735">
        <f t="shared" si="30"/>
        <v>0</v>
      </c>
      <c r="X218" s="737">
        <f t="shared" si="31"/>
        <v>0</v>
      </c>
      <c r="Y218" s="738">
        <f t="shared" si="32"/>
        <v>0</v>
      </c>
    </row>
    <row r="219" spans="1:25">
      <c r="A219" s="754" t="str">
        <f>'Func Future Subs 2015'!A219</f>
        <v>Thickwood Hills 951S substation</v>
      </c>
      <c r="B219" s="754">
        <f>'Func Future Subs 2015'!B219</f>
        <v>1186</v>
      </c>
      <c r="C219" s="754">
        <f>'Func Future Subs 2015'!C219</f>
        <v>240</v>
      </c>
      <c r="D219" s="754">
        <f>'Func Future Subs 2015'!D219</f>
        <v>240</v>
      </c>
      <c r="E219" s="754" t="str">
        <f>'Func Future Subs 2015'!E219</f>
        <v>951S</v>
      </c>
      <c r="F219" s="754">
        <f>'Func Future Subs 2015'!F219</f>
        <v>36719404.285963841</v>
      </c>
      <c r="G219" s="754" t="str">
        <f>'Func Future Subs 2015'!G219</f>
        <v>ATCO</v>
      </c>
      <c r="H219" s="754">
        <f>'Func Future Subs 2015'!H219</f>
        <v>2018</v>
      </c>
      <c r="I219" s="306">
        <f>+IF($H219=I$2,VLOOKUP($G219,Depreciation!$A$14:$L$18,7,FALSE)/2,IF($H219&lt;I$2,VLOOKUP($G219,Depreciation!$A$14:$L$18,7,FALSE),0))</f>
        <v>0</v>
      </c>
      <c r="J219" s="306">
        <f>+IF($H219=J$2,VLOOKUP($G219,Depreciation!$A$14:$L$18,8,FALSE)/2,IF($H219&lt;J$2,VLOOKUP($G219,Depreciation!$A$14:$L$18,8,FALSE),0))</f>
        <v>0</v>
      </c>
      <c r="K219" s="306">
        <f>+IF($H219=K$2,VLOOKUP($G219,Depreciation!$A$14:$L$18,9,FALSE)/2,IF($H219&lt;K$2,VLOOKUP($G219,Depreciation!$A$14:$L$18,9,FALSE),0))</f>
        <v>0</v>
      </c>
      <c r="L219" s="306">
        <f>+IF($H219=L$2,VLOOKUP($G219,Depreciation!$A$14:$L$18,10,FALSE)/2,IF($H219&lt;L$2,VLOOKUP($G219,Depreciation!$A$14:$L$18,10,FALSE),0))</f>
        <v>1.2175768213899416E-2</v>
      </c>
      <c r="M219" s="306">
        <f>+IF($H219=M$2,VLOOKUP($G219,Depreciation!$A$14:$L$18,11,FALSE)/2,IF($H219&lt;M$2,VLOOKUP($G219,Depreciation!$A$14:$L$18,11,FALSE),0))</f>
        <v>2.4351536427798831E-2</v>
      </c>
      <c r="N219" s="306">
        <f>+IF($H219=N$2,VLOOKUP($G219,Depreciation!$A$14:$L$18,12,FALSE)/2,IF($H219&lt;N$2,VLOOKUP($G219,Depreciation!$A$14:$L$18,12,FALSE),0))</f>
        <v>2.4351536427798831E-2</v>
      </c>
      <c r="O219" s="307">
        <f t="shared" si="25"/>
        <v>34527253.40403948</v>
      </c>
      <c r="P219" s="732">
        <f>'Func Future Subs 2015'!P219</f>
        <v>0</v>
      </c>
      <c r="Q219" s="732">
        <f>'Func Future Subs 2015'!Q219</f>
        <v>0</v>
      </c>
      <c r="R219" s="732">
        <f>'Func Future Subs 2015'!R219</f>
        <v>1</v>
      </c>
      <c r="S219" s="735">
        <f t="shared" si="26"/>
        <v>0</v>
      </c>
      <c r="T219" s="735">
        <f t="shared" si="27"/>
        <v>0</v>
      </c>
      <c r="U219" s="735">
        <f t="shared" si="28"/>
        <v>34527253.40403948</v>
      </c>
      <c r="V219" s="736">
        <f t="shared" si="29"/>
        <v>0</v>
      </c>
      <c r="W219" s="735">
        <f t="shared" si="30"/>
        <v>34527253.40403948</v>
      </c>
      <c r="X219" s="737">
        <f t="shared" si="31"/>
        <v>0</v>
      </c>
      <c r="Y219" s="738">
        <f t="shared" si="32"/>
        <v>0</v>
      </c>
    </row>
    <row r="220" spans="1:25">
      <c r="A220" s="754" t="str">
        <f>'Func Future Subs 2015'!A220</f>
        <v>Thickwood Hills 951S substation_SVS</v>
      </c>
      <c r="B220" s="754">
        <f>'Func Future Subs 2015'!B220</f>
        <v>1186</v>
      </c>
      <c r="C220" s="754">
        <f>'Func Future Subs 2015'!C220</f>
        <v>240</v>
      </c>
      <c r="D220" s="754">
        <f>'Func Future Subs 2015'!D220</f>
        <v>240</v>
      </c>
      <c r="E220" s="754" t="str">
        <f>'Func Future Subs 2015'!E220</f>
        <v>951S</v>
      </c>
      <c r="F220" s="754">
        <f>'Func Future Subs 2015'!F220</f>
        <v>35229814.262423903</v>
      </c>
      <c r="G220" s="754" t="str">
        <f>'Func Future Subs 2015'!G220</f>
        <v>ATCO</v>
      </c>
      <c r="H220" s="754">
        <f>'Func Future Subs 2015'!H220</f>
        <v>2018</v>
      </c>
      <c r="I220" s="306">
        <f>+IF($H220=I$2,VLOOKUP($G220,Depreciation!$A$14:$L$18,7,FALSE)/2,IF($H220&lt;I$2,VLOOKUP($G220,Depreciation!$A$14:$L$18,7,FALSE),0))</f>
        <v>0</v>
      </c>
      <c r="J220" s="306">
        <f>+IF($H220=J$2,VLOOKUP($G220,Depreciation!$A$14:$L$18,8,FALSE)/2,IF($H220&lt;J$2,VLOOKUP($G220,Depreciation!$A$14:$L$18,8,FALSE),0))</f>
        <v>0</v>
      </c>
      <c r="K220" s="306">
        <f>+IF($H220=K$2,VLOOKUP($G220,Depreciation!$A$14:$L$18,9,FALSE)/2,IF($H220&lt;K$2,VLOOKUP($G220,Depreciation!$A$14:$L$18,9,FALSE),0))</f>
        <v>0</v>
      </c>
      <c r="L220" s="306">
        <f>+IF($H220=L$2,VLOOKUP($G220,Depreciation!$A$14:$L$18,10,FALSE)/2,IF($H220&lt;L$2,VLOOKUP($G220,Depreciation!$A$14:$L$18,10,FALSE),0))</f>
        <v>1.2175768213899416E-2</v>
      </c>
      <c r="M220" s="306">
        <f>+IF($H220=M$2,VLOOKUP($G220,Depreciation!$A$14:$L$18,11,FALSE)/2,IF($H220&lt;M$2,VLOOKUP($G220,Depreciation!$A$14:$L$18,11,FALSE),0))</f>
        <v>2.4351536427798831E-2</v>
      </c>
      <c r="N220" s="306">
        <f>+IF($H220=N$2,VLOOKUP($G220,Depreciation!$A$14:$L$18,12,FALSE)/2,IF($H220&lt;N$2,VLOOKUP($G220,Depreciation!$A$14:$L$18,12,FALSE),0))</f>
        <v>2.4351536427798831E-2</v>
      </c>
      <c r="O220" s="307">
        <f t="shared" si="25"/>
        <v>33126592.004133474</v>
      </c>
      <c r="P220" s="732">
        <f>'Func Future Subs 2015'!P220</f>
        <v>0</v>
      </c>
      <c r="Q220" s="732">
        <f>'Func Future Subs 2015'!Q220</f>
        <v>0</v>
      </c>
      <c r="R220" s="732">
        <f>'Func Future Subs 2015'!R220</f>
        <v>1</v>
      </c>
      <c r="S220" s="735">
        <f t="shared" si="26"/>
        <v>0</v>
      </c>
      <c r="T220" s="735">
        <f t="shared" si="27"/>
        <v>0</v>
      </c>
      <c r="U220" s="735">
        <f t="shared" si="28"/>
        <v>33126592.004133474</v>
      </c>
      <c r="V220" s="736">
        <f t="shared" si="29"/>
        <v>0</v>
      </c>
      <c r="W220" s="735">
        <f t="shared" si="30"/>
        <v>33126592.004133474</v>
      </c>
      <c r="X220" s="737">
        <f t="shared" si="31"/>
        <v>0</v>
      </c>
      <c r="Y220" s="738">
        <f t="shared" si="32"/>
        <v>0</v>
      </c>
    </row>
    <row r="221" spans="1:25">
      <c r="A221" s="754" t="str">
        <f>'Func Future Subs 2015'!A221</f>
        <v>Steele 2016S</v>
      </c>
      <c r="B221" s="754">
        <f>'Func Future Subs 2015'!B221</f>
        <v>1250</v>
      </c>
      <c r="C221" s="754">
        <f>'Func Future Subs 2015'!C221</f>
        <v>144</v>
      </c>
      <c r="D221" s="754">
        <f>'Func Future Subs 2015'!D221</f>
        <v>144</v>
      </c>
      <c r="E221" s="754" t="str">
        <f>'Func Future Subs 2015'!E221</f>
        <v>2016S</v>
      </c>
      <c r="F221" s="754">
        <f>'Func Future Subs 2015'!F221</f>
        <v>7531332.8673087647</v>
      </c>
      <c r="G221" s="754" t="str">
        <f>'Func Future Subs 2015'!G221</f>
        <v>ATCO</v>
      </c>
      <c r="H221" s="754">
        <f>'Func Future Subs 2015'!H221</f>
        <v>2017</v>
      </c>
      <c r="I221" s="306">
        <f>+IF($H221=I$2,VLOOKUP($G221,Depreciation!$A$14:$L$18,7,FALSE)/2,IF($H221&lt;I$2,VLOOKUP($G221,Depreciation!$A$14:$L$18,7,FALSE),0))</f>
        <v>0</v>
      </c>
      <c r="J221" s="306">
        <f>+IF($H221=J$2,VLOOKUP($G221,Depreciation!$A$14:$L$18,8,FALSE)/2,IF($H221&lt;J$2,VLOOKUP($G221,Depreciation!$A$14:$L$18,8,FALSE),0))</f>
        <v>0</v>
      </c>
      <c r="K221" s="306">
        <f>+IF($H221=K$2,VLOOKUP($G221,Depreciation!$A$14:$L$18,9,FALSE)/2,IF($H221&lt;K$2,VLOOKUP($G221,Depreciation!$A$14:$L$18,9,FALSE),0))</f>
        <v>1.2175768213899416E-2</v>
      </c>
      <c r="L221" s="306">
        <f>+IF($H221=L$2,VLOOKUP($G221,Depreciation!$A$14:$L$18,10,FALSE)/2,IF($H221&lt;L$2,VLOOKUP($G221,Depreciation!$A$14:$L$18,10,FALSE),0))</f>
        <v>2.4351536427798831E-2</v>
      </c>
      <c r="M221" s="306">
        <f>+IF($H221=M$2,VLOOKUP($G221,Depreciation!$A$14:$L$18,11,FALSE)/2,IF($H221&lt;M$2,VLOOKUP($G221,Depreciation!$A$14:$L$18,11,FALSE),0))</f>
        <v>2.4351536427798831E-2</v>
      </c>
      <c r="N221" s="306">
        <f>+IF($H221=N$2,VLOOKUP($G221,Depreciation!$A$14:$L$18,12,FALSE)/2,IF($H221&lt;N$2,VLOOKUP($G221,Depreciation!$A$14:$L$18,12,FALSE),0))</f>
        <v>2.4351536427798831E-2</v>
      </c>
      <c r="O221" s="307">
        <f t="shared" si="25"/>
        <v>6909261.2307239529</v>
      </c>
      <c r="P221" s="732">
        <f>'Func Future Subs 2015'!P221</f>
        <v>0</v>
      </c>
      <c r="Q221" s="732">
        <f>'Func Future Subs 2015'!Q221</f>
        <v>0</v>
      </c>
      <c r="R221" s="732">
        <f>'Func Future Subs 2015'!R221</f>
        <v>1</v>
      </c>
      <c r="S221" s="735">
        <f t="shared" si="26"/>
        <v>0</v>
      </c>
      <c r="T221" s="735">
        <f t="shared" si="27"/>
        <v>0</v>
      </c>
      <c r="U221" s="735">
        <f t="shared" si="28"/>
        <v>6909261.2307239529</v>
      </c>
      <c r="V221" s="736">
        <f t="shared" si="29"/>
        <v>0</v>
      </c>
      <c r="W221" s="735">
        <f t="shared" si="30"/>
        <v>0</v>
      </c>
      <c r="X221" s="737">
        <f t="shared" si="31"/>
        <v>6909261.2307239529</v>
      </c>
      <c r="Y221" s="738">
        <f t="shared" si="32"/>
        <v>0</v>
      </c>
    </row>
    <row r="222" spans="1:25">
      <c r="A222" s="754" t="str">
        <f>'Func Future Subs 2015'!A222</f>
        <v>Vegreville 709S</v>
      </c>
      <c r="B222" s="754">
        <f>'Func Future Subs 2015'!B222</f>
        <v>1250</v>
      </c>
      <c r="C222" s="754">
        <f>'Func Future Subs 2015'!C222</f>
        <v>138</v>
      </c>
      <c r="D222" s="754">
        <f>'Func Future Subs 2015'!D222</f>
        <v>25</v>
      </c>
      <c r="E222" s="754" t="str">
        <f>'Func Future Subs 2015'!E222</f>
        <v>709S</v>
      </c>
      <c r="F222" s="754">
        <f>'Func Future Subs 2015'!F222</f>
        <v>153452.1754973343</v>
      </c>
      <c r="G222" s="754" t="str">
        <f>'Func Future Subs 2015'!G222</f>
        <v>ATCO</v>
      </c>
      <c r="H222" s="754">
        <f>'Func Future Subs 2015'!H222</f>
        <v>2017</v>
      </c>
      <c r="I222" s="306">
        <f>+IF($H222=I$2,VLOOKUP($G222,Depreciation!$A$14:$L$18,7,FALSE)/2,IF($H222&lt;I$2,VLOOKUP($G222,Depreciation!$A$14:$L$18,7,FALSE),0))</f>
        <v>0</v>
      </c>
      <c r="J222" s="306">
        <f>+IF($H222=J$2,VLOOKUP($G222,Depreciation!$A$14:$L$18,8,FALSE)/2,IF($H222&lt;J$2,VLOOKUP($G222,Depreciation!$A$14:$L$18,8,FALSE),0))</f>
        <v>0</v>
      </c>
      <c r="K222" s="306">
        <f>+IF($H222=K$2,VLOOKUP($G222,Depreciation!$A$14:$L$18,9,FALSE)/2,IF($H222&lt;K$2,VLOOKUP($G222,Depreciation!$A$14:$L$18,9,FALSE),0))</f>
        <v>1.2175768213899416E-2</v>
      </c>
      <c r="L222" s="306">
        <f>+IF($H222=L$2,VLOOKUP($G222,Depreciation!$A$14:$L$18,10,FALSE)/2,IF($H222&lt;L$2,VLOOKUP($G222,Depreciation!$A$14:$L$18,10,FALSE),0))</f>
        <v>2.4351536427798831E-2</v>
      </c>
      <c r="M222" s="306">
        <f>+IF($H222=M$2,VLOOKUP($G222,Depreciation!$A$14:$L$18,11,FALSE)/2,IF($H222&lt;M$2,VLOOKUP($G222,Depreciation!$A$14:$L$18,11,FALSE),0))</f>
        <v>2.4351536427798831E-2</v>
      </c>
      <c r="N222" s="306">
        <f>+IF($H222=N$2,VLOOKUP($G222,Depreciation!$A$14:$L$18,12,FALSE)/2,IF($H222&lt;N$2,VLOOKUP($G222,Depreciation!$A$14:$L$18,12,FALSE),0))</f>
        <v>2.4351536427798831E-2</v>
      </c>
      <c r="O222" s="307">
        <f t="shared" si="25"/>
        <v>140777.36114096959</v>
      </c>
      <c r="P222" s="732">
        <f>'Func Future Subs 2015'!P222</f>
        <v>0</v>
      </c>
      <c r="Q222" s="732">
        <f>'Func Future Subs 2015'!Q222</f>
        <v>1</v>
      </c>
      <c r="R222" s="732">
        <f>'Func Future Subs 2015'!R222</f>
        <v>0</v>
      </c>
      <c r="S222" s="735">
        <f t="shared" si="26"/>
        <v>0</v>
      </c>
      <c r="T222" s="735">
        <f t="shared" si="27"/>
        <v>140777.36114096959</v>
      </c>
      <c r="U222" s="735">
        <f t="shared" si="28"/>
        <v>0</v>
      </c>
      <c r="V222" s="736">
        <f t="shared" si="29"/>
        <v>0</v>
      </c>
      <c r="W222" s="735">
        <f t="shared" si="30"/>
        <v>0</v>
      </c>
      <c r="X222" s="737">
        <f t="shared" si="31"/>
        <v>0</v>
      </c>
      <c r="Y222" s="738">
        <f t="shared" si="32"/>
        <v>140777.36114096959</v>
      </c>
    </row>
    <row r="223" spans="1:25">
      <c r="A223" s="754" t="str">
        <f>'Func Future Subs 2015'!A223</f>
        <v>Vermillion 710S</v>
      </c>
      <c r="B223" s="754">
        <f>'Func Future Subs 2015'!B223</f>
        <v>1250</v>
      </c>
      <c r="C223" s="754">
        <f>'Func Future Subs 2015'!C223</f>
        <v>144</v>
      </c>
      <c r="D223" s="754">
        <f>'Func Future Subs 2015'!D223</f>
        <v>25</v>
      </c>
      <c r="E223" s="754" t="str">
        <f>'Func Future Subs 2015'!E223</f>
        <v>710S</v>
      </c>
      <c r="F223" s="754">
        <f>'Func Future Subs 2015'!F223</f>
        <v>796710.45575867116</v>
      </c>
      <c r="G223" s="754" t="str">
        <f>'Func Future Subs 2015'!G223</f>
        <v>ATCO</v>
      </c>
      <c r="H223" s="754">
        <f>'Func Future Subs 2015'!H223</f>
        <v>2017</v>
      </c>
      <c r="I223" s="306">
        <f>+IF($H223=I$2,VLOOKUP($G223,Depreciation!$A$14:$L$18,7,FALSE)/2,IF($H223&lt;I$2,VLOOKUP($G223,Depreciation!$A$14:$L$18,7,FALSE),0))</f>
        <v>0</v>
      </c>
      <c r="J223" s="306">
        <f>+IF($H223=J$2,VLOOKUP($G223,Depreciation!$A$14:$L$18,8,FALSE)/2,IF($H223&lt;J$2,VLOOKUP($G223,Depreciation!$A$14:$L$18,8,FALSE),0))</f>
        <v>0</v>
      </c>
      <c r="K223" s="306">
        <f>+IF($H223=K$2,VLOOKUP($G223,Depreciation!$A$14:$L$18,9,FALSE)/2,IF($H223&lt;K$2,VLOOKUP($G223,Depreciation!$A$14:$L$18,9,FALSE),0))</f>
        <v>1.2175768213899416E-2</v>
      </c>
      <c r="L223" s="306">
        <f>+IF($H223=L$2,VLOOKUP($G223,Depreciation!$A$14:$L$18,10,FALSE)/2,IF($H223&lt;L$2,VLOOKUP($G223,Depreciation!$A$14:$L$18,10,FALSE),0))</f>
        <v>2.4351536427798831E-2</v>
      </c>
      <c r="M223" s="306">
        <f>+IF($H223=M$2,VLOOKUP($G223,Depreciation!$A$14:$L$18,11,FALSE)/2,IF($H223&lt;M$2,VLOOKUP($G223,Depreciation!$A$14:$L$18,11,FALSE),0))</f>
        <v>2.4351536427798831E-2</v>
      </c>
      <c r="N223" s="306">
        <f>+IF($H223=N$2,VLOOKUP($G223,Depreciation!$A$14:$L$18,12,FALSE)/2,IF($H223&lt;N$2,VLOOKUP($G223,Depreciation!$A$14:$L$18,12,FALSE),0))</f>
        <v>2.4351536427798831E-2</v>
      </c>
      <c r="O223" s="307">
        <f t="shared" si="25"/>
        <v>730903.91316787351</v>
      </c>
      <c r="P223" s="732">
        <f>'Func Future Subs 2015'!P223</f>
        <v>0</v>
      </c>
      <c r="Q223" s="732">
        <f>'Func Future Subs 2015'!Q223</f>
        <v>1</v>
      </c>
      <c r="R223" s="732">
        <f>'Func Future Subs 2015'!R223</f>
        <v>0</v>
      </c>
      <c r="S223" s="735">
        <f t="shared" si="26"/>
        <v>0</v>
      </c>
      <c r="T223" s="735">
        <f t="shared" si="27"/>
        <v>730903.91316787351</v>
      </c>
      <c r="U223" s="735">
        <f t="shared" si="28"/>
        <v>0</v>
      </c>
      <c r="V223" s="736">
        <f t="shared" si="29"/>
        <v>0</v>
      </c>
      <c r="W223" s="735">
        <f t="shared" si="30"/>
        <v>0</v>
      </c>
      <c r="X223" s="737">
        <f t="shared" si="31"/>
        <v>0</v>
      </c>
      <c r="Y223" s="738">
        <f t="shared" si="32"/>
        <v>730903.91316787351</v>
      </c>
    </row>
    <row r="224" spans="1:25">
      <c r="A224" s="754" t="str">
        <f>'Func Future Subs 2015'!A224</f>
        <v>Vincent 2019S</v>
      </c>
      <c r="B224" s="754">
        <f>'Func Future Subs 2015'!B224</f>
        <v>1250</v>
      </c>
      <c r="C224" s="754">
        <f>'Func Future Subs 2015'!C224</f>
        <v>144</v>
      </c>
      <c r="D224" s="754">
        <f>'Func Future Subs 2015'!D224</f>
        <v>25</v>
      </c>
      <c r="E224" s="754" t="str">
        <f>'Func Future Subs 2015'!E224</f>
        <v>2019S</v>
      </c>
      <c r="F224" s="754">
        <f>'Func Future Subs 2015'!F224</f>
        <v>2371467.6461774474</v>
      </c>
      <c r="G224" s="754" t="str">
        <f>'Func Future Subs 2015'!G224</f>
        <v>ATCO</v>
      </c>
      <c r="H224" s="754">
        <f>'Func Future Subs 2015'!H224</f>
        <v>2017</v>
      </c>
      <c r="I224" s="306">
        <f>+IF($H224=I$2,VLOOKUP($G224,Depreciation!$A$14:$L$18,7,FALSE)/2,IF($H224&lt;I$2,VLOOKUP($G224,Depreciation!$A$14:$L$18,7,FALSE),0))</f>
        <v>0</v>
      </c>
      <c r="J224" s="306">
        <f>+IF($H224=J$2,VLOOKUP($G224,Depreciation!$A$14:$L$18,8,FALSE)/2,IF($H224&lt;J$2,VLOOKUP($G224,Depreciation!$A$14:$L$18,8,FALSE),0))</f>
        <v>0</v>
      </c>
      <c r="K224" s="306">
        <f>+IF($H224=K$2,VLOOKUP($G224,Depreciation!$A$14:$L$18,9,FALSE)/2,IF($H224&lt;K$2,VLOOKUP($G224,Depreciation!$A$14:$L$18,9,FALSE),0))</f>
        <v>1.2175768213899416E-2</v>
      </c>
      <c r="L224" s="306">
        <f>+IF($H224=L$2,VLOOKUP($G224,Depreciation!$A$14:$L$18,10,FALSE)/2,IF($H224&lt;L$2,VLOOKUP($G224,Depreciation!$A$14:$L$18,10,FALSE),0))</f>
        <v>2.4351536427798831E-2</v>
      </c>
      <c r="M224" s="306">
        <f>+IF($H224=M$2,VLOOKUP($G224,Depreciation!$A$14:$L$18,11,FALSE)/2,IF($H224&lt;M$2,VLOOKUP($G224,Depreciation!$A$14:$L$18,11,FALSE),0))</f>
        <v>2.4351536427798831E-2</v>
      </c>
      <c r="N224" s="306">
        <f>+IF($H224=N$2,VLOOKUP($G224,Depreciation!$A$14:$L$18,12,FALSE)/2,IF($H224&lt;N$2,VLOOKUP($G224,Depreciation!$A$14:$L$18,12,FALSE),0))</f>
        <v>2.4351536427798831E-2</v>
      </c>
      <c r="O224" s="307">
        <f t="shared" si="25"/>
        <v>2175589.6009818842</v>
      </c>
      <c r="P224" s="732">
        <f>'Func Future Subs 2015'!P224</f>
        <v>0</v>
      </c>
      <c r="Q224" s="732">
        <f>'Func Future Subs 2015'!Q224</f>
        <v>0</v>
      </c>
      <c r="R224" s="732">
        <f>'Func Future Subs 2015'!R224</f>
        <v>1</v>
      </c>
      <c r="S224" s="735">
        <f t="shared" si="26"/>
        <v>0</v>
      </c>
      <c r="T224" s="735">
        <f t="shared" si="27"/>
        <v>0</v>
      </c>
      <c r="U224" s="735">
        <f t="shared" si="28"/>
        <v>2175589.6009818842</v>
      </c>
      <c r="V224" s="736">
        <f t="shared" si="29"/>
        <v>0</v>
      </c>
      <c r="W224" s="735">
        <f t="shared" si="30"/>
        <v>0</v>
      </c>
      <c r="X224" s="737">
        <f t="shared" si="31"/>
        <v>0</v>
      </c>
      <c r="Y224" s="738">
        <f t="shared" si="32"/>
        <v>2175589.6009818842</v>
      </c>
    </row>
    <row r="225" spans="1:25">
      <c r="A225" s="754" t="str">
        <f>'Func Future Subs 2015'!A225</f>
        <v>Grist Lake 190S Substation A</v>
      </c>
      <c r="B225" s="754">
        <f>'Func Future Subs 2015'!B225</f>
        <v>1258</v>
      </c>
      <c r="C225" s="754">
        <f>'Func Future Subs 2015'!C225</f>
        <v>138</v>
      </c>
      <c r="D225" s="754">
        <f>'Func Future Subs 2015'!D225</f>
        <v>25</v>
      </c>
      <c r="E225" s="754" t="str">
        <f>'Func Future Subs 2015'!E225</f>
        <v>190S</v>
      </c>
      <c r="F225" s="754">
        <f>'Func Future Subs 2015'!F225</f>
        <v>41252104.186539032</v>
      </c>
      <c r="G225" s="754" t="str">
        <f>'Func Future Subs 2015'!G225</f>
        <v>AltaLink</v>
      </c>
      <c r="H225" s="754">
        <f>'Func Future Subs 2015'!H225</f>
        <v>2019</v>
      </c>
      <c r="I225" s="306">
        <f>+IF($H225=I$2,VLOOKUP($G225,Depreciation!$A$14:$L$18,7,FALSE)/2,IF($H225&lt;I$2,VLOOKUP($G225,Depreciation!$A$14:$L$18,7,FALSE),0))</f>
        <v>0</v>
      </c>
      <c r="J225" s="306">
        <f>+IF($H225=J$2,VLOOKUP($G225,Depreciation!$A$14:$L$18,8,FALSE)/2,IF($H225&lt;J$2,VLOOKUP($G225,Depreciation!$A$14:$L$18,8,FALSE),0))</f>
        <v>0</v>
      </c>
      <c r="K225" s="306">
        <f>+IF($H225=K$2,VLOOKUP($G225,Depreciation!$A$14:$L$18,9,FALSE)/2,IF($H225&lt;K$2,VLOOKUP($G225,Depreciation!$A$14:$L$18,9,FALSE),0))</f>
        <v>0</v>
      </c>
      <c r="L225" s="306">
        <f>+IF($H225=L$2,VLOOKUP($G225,Depreciation!$A$14:$L$18,10,FALSE)/2,IF($H225&lt;L$2,VLOOKUP($G225,Depreciation!$A$14:$L$18,10,FALSE),0))</f>
        <v>0</v>
      </c>
      <c r="M225" s="306">
        <f>+IF($H225=M$2,VLOOKUP($G225,Depreciation!$A$14:$L$18,11,FALSE)/2,IF($H225&lt;M$2,VLOOKUP($G225,Depreciation!$A$14:$L$18,11,FALSE),0))</f>
        <v>1.671703928371859E-2</v>
      </c>
      <c r="N225" s="306">
        <f>+IF($H225=N$2,VLOOKUP($G225,Depreciation!$A$14:$L$18,12,FALSE)/2,IF($H225&lt;N$2,VLOOKUP($G225,Depreciation!$A$14:$L$18,12,FALSE),0))</f>
        <v>3.343407856743718E-2</v>
      </c>
      <c r="O225" s="307">
        <f t="shared" si="25"/>
        <v>39206321.624640286</v>
      </c>
      <c r="P225" s="732">
        <f>'Func Future Subs 2015'!P225</f>
        <v>0</v>
      </c>
      <c r="Q225" s="732">
        <f>'Func Future Subs 2015'!Q225</f>
        <v>0</v>
      </c>
      <c r="R225" s="732">
        <f>'Func Future Subs 2015'!R225</f>
        <v>1</v>
      </c>
      <c r="S225" s="735">
        <f t="shared" si="26"/>
        <v>0</v>
      </c>
      <c r="T225" s="735">
        <f t="shared" si="27"/>
        <v>0</v>
      </c>
      <c r="U225" s="735">
        <f t="shared" si="28"/>
        <v>39206321.624640286</v>
      </c>
      <c r="V225" s="736">
        <f t="shared" si="29"/>
        <v>0</v>
      </c>
      <c r="W225" s="735">
        <f t="shared" si="30"/>
        <v>0</v>
      </c>
      <c r="X225" s="737">
        <f t="shared" si="31"/>
        <v>0</v>
      </c>
      <c r="Y225" s="738">
        <f t="shared" si="32"/>
        <v>39206321.624640286</v>
      </c>
    </row>
    <row r="226" spans="1:25">
      <c r="A226" s="754" t="str">
        <f>'Func Future Subs 2015'!A226</f>
        <v>Pike 170S Substation A</v>
      </c>
      <c r="B226" s="754">
        <f>'Func Future Subs 2015'!B226</f>
        <v>1258</v>
      </c>
      <c r="C226" s="754">
        <f>'Func Future Subs 2015'!C226</f>
        <v>138</v>
      </c>
      <c r="D226" s="754">
        <f>'Func Future Subs 2015'!D226</f>
        <v>138</v>
      </c>
      <c r="E226" s="754" t="str">
        <f>'Func Future Subs 2015'!E226</f>
        <v>170S</v>
      </c>
      <c r="F226" s="754">
        <f>'Func Future Subs 2015'!F226</f>
        <v>4886932.8273881162</v>
      </c>
      <c r="G226" s="754" t="str">
        <f>'Func Future Subs 2015'!G226</f>
        <v>AltaLink</v>
      </c>
      <c r="H226" s="754">
        <f>'Func Future Subs 2015'!H226</f>
        <v>2019</v>
      </c>
      <c r="I226" s="306">
        <f>+IF($H226=I$2,VLOOKUP($G226,Depreciation!$A$14:$L$18,7,FALSE)/2,IF($H226&lt;I$2,VLOOKUP($G226,Depreciation!$A$14:$L$18,7,FALSE),0))</f>
        <v>0</v>
      </c>
      <c r="J226" s="306">
        <f>+IF($H226=J$2,VLOOKUP($G226,Depreciation!$A$14:$L$18,8,FALSE)/2,IF($H226&lt;J$2,VLOOKUP($G226,Depreciation!$A$14:$L$18,8,FALSE),0))</f>
        <v>0</v>
      </c>
      <c r="K226" s="306">
        <f>+IF($H226=K$2,VLOOKUP($G226,Depreciation!$A$14:$L$18,9,FALSE)/2,IF($H226&lt;K$2,VLOOKUP($G226,Depreciation!$A$14:$L$18,9,FALSE),0))</f>
        <v>0</v>
      </c>
      <c r="L226" s="306">
        <f>+IF($H226=L$2,VLOOKUP($G226,Depreciation!$A$14:$L$18,10,FALSE)/2,IF($H226&lt;L$2,VLOOKUP($G226,Depreciation!$A$14:$L$18,10,FALSE),0))</f>
        <v>0</v>
      </c>
      <c r="M226" s="306">
        <f>+IF($H226=M$2,VLOOKUP($G226,Depreciation!$A$14:$L$18,11,FALSE)/2,IF($H226&lt;M$2,VLOOKUP($G226,Depreciation!$A$14:$L$18,11,FALSE),0))</f>
        <v>1.671703928371859E-2</v>
      </c>
      <c r="N226" s="306">
        <f>+IF($H226=N$2,VLOOKUP($G226,Depreciation!$A$14:$L$18,12,FALSE)/2,IF($H226&lt;N$2,VLOOKUP($G226,Depreciation!$A$14:$L$18,12,FALSE),0))</f>
        <v>3.343407856743718E-2</v>
      </c>
      <c r="O226" s="307">
        <f t="shared" si="25"/>
        <v>4644579.0818862459</v>
      </c>
      <c r="P226" s="732">
        <f>'Func Future Subs 2015'!P226</f>
        <v>0</v>
      </c>
      <c r="Q226" s="732">
        <f>'Func Future Subs 2015'!Q226</f>
        <v>0</v>
      </c>
      <c r="R226" s="732">
        <f>'Func Future Subs 2015'!R226</f>
        <v>1</v>
      </c>
      <c r="S226" s="735">
        <f t="shared" si="26"/>
        <v>0</v>
      </c>
      <c r="T226" s="735">
        <f t="shared" si="27"/>
        <v>0</v>
      </c>
      <c r="U226" s="735">
        <f t="shared" si="28"/>
        <v>4644579.0818862459</v>
      </c>
      <c r="V226" s="736">
        <f t="shared" si="29"/>
        <v>0</v>
      </c>
      <c r="W226" s="735">
        <f t="shared" si="30"/>
        <v>0</v>
      </c>
      <c r="X226" s="737">
        <f t="shared" si="31"/>
        <v>4644579.0818862459</v>
      </c>
      <c r="Y226" s="738">
        <f t="shared" si="32"/>
        <v>0</v>
      </c>
    </row>
    <row r="227" spans="1:25">
      <c r="A227" s="754" t="str">
        <f>'Func Future Subs 2015'!A227</f>
        <v>Chinook 181S substation[v180]</v>
      </c>
      <c r="B227" s="754">
        <f>'Func Future Subs 2015'!B227</f>
        <v>1260</v>
      </c>
      <c r="C227" s="754">
        <f>'Func Future Subs 2015'!C227</f>
        <v>240</v>
      </c>
      <c r="D227" s="754">
        <f>'Func Future Subs 2015'!D227</f>
        <v>25</v>
      </c>
      <c r="E227" s="754" t="str">
        <f>'Func Future Subs 2015'!E227</f>
        <v>181S</v>
      </c>
      <c r="F227" s="754">
        <f>'Func Future Subs 2015'!F227</f>
        <v>10887667.697433928</v>
      </c>
      <c r="G227" s="754" t="str">
        <f>'Func Future Subs 2015'!G227</f>
        <v>ENMAX</v>
      </c>
      <c r="H227" s="754">
        <f>'Func Future Subs 2015'!H227</f>
        <v>2016</v>
      </c>
      <c r="I227" s="306">
        <f>+IF($H227=I$2,VLOOKUP($G227,Depreciation!$A$14:$L$18,7,FALSE)/2,IF($H227&lt;I$2,VLOOKUP($G227,Depreciation!$A$14:$L$18,7,FALSE),0))</f>
        <v>0</v>
      </c>
      <c r="J227" s="306">
        <f>+IF($H227=J$2,VLOOKUP($G227,Depreciation!$A$14:$L$18,8,FALSE)/2,IF($H227&lt;J$2,VLOOKUP($G227,Depreciation!$A$14:$L$18,8,FALSE),0))</f>
        <v>1.3928409269726289E-2</v>
      </c>
      <c r="K227" s="306">
        <f>+IF($H227=K$2,VLOOKUP($G227,Depreciation!$A$14:$L$18,9,FALSE)/2,IF($H227&lt;K$2,VLOOKUP($G227,Depreciation!$A$14:$L$18,9,FALSE),0))</f>
        <v>2.7856818539452578E-2</v>
      </c>
      <c r="L227" s="306">
        <f>+IF($H227=L$2,VLOOKUP($G227,Depreciation!$A$14:$L$18,10,FALSE)/2,IF($H227&lt;L$2,VLOOKUP($G227,Depreciation!$A$14:$L$18,10,FALSE),0))</f>
        <v>2.7856818539452578E-2</v>
      </c>
      <c r="M227" s="306">
        <f>+IF($H227=M$2,VLOOKUP($G227,Depreciation!$A$14:$L$18,11,FALSE)/2,IF($H227&lt;M$2,VLOOKUP($G227,Depreciation!$A$14:$L$18,11,FALSE),0))</f>
        <v>2.7856818539452578E-2</v>
      </c>
      <c r="N227" s="306">
        <f>+IF($H227=N$2,VLOOKUP($G227,Depreciation!$A$14:$L$18,12,FALSE)/2,IF($H227&lt;N$2,VLOOKUP($G227,Depreciation!$A$14:$L$18,12,FALSE),0))</f>
        <v>2.7856818539452578E-2</v>
      </c>
      <c r="O227" s="307">
        <f t="shared" si="25"/>
        <v>9588799.5871125441</v>
      </c>
      <c r="P227" s="732">
        <f>'Func Future Subs 2015'!P227</f>
        <v>0</v>
      </c>
      <c r="Q227" s="732">
        <f>'Func Future Subs 2015'!Q227</f>
        <v>0</v>
      </c>
      <c r="R227" s="732">
        <f>'Func Future Subs 2015'!R227</f>
        <v>1</v>
      </c>
      <c r="S227" s="735">
        <f t="shared" si="26"/>
        <v>0</v>
      </c>
      <c r="T227" s="735">
        <f t="shared" si="27"/>
        <v>0</v>
      </c>
      <c r="U227" s="735">
        <f t="shared" si="28"/>
        <v>9588799.5871125441</v>
      </c>
      <c r="V227" s="736">
        <f t="shared" si="29"/>
        <v>0</v>
      </c>
      <c r="W227" s="735">
        <f t="shared" si="30"/>
        <v>0</v>
      </c>
      <c r="X227" s="737">
        <f t="shared" si="31"/>
        <v>0</v>
      </c>
      <c r="Y227" s="738">
        <f t="shared" si="32"/>
        <v>9588799.5871125441</v>
      </c>
    </row>
    <row r="228" spans="1:25">
      <c r="A228" s="754" t="str">
        <f>'Func Future Subs 2015'!A228</f>
        <v>North Lethbridge 370s substation</v>
      </c>
      <c r="B228" s="754">
        <f>'Func Future Subs 2015'!B228</f>
        <v>1260</v>
      </c>
      <c r="C228" s="754">
        <f>'Func Future Subs 2015'!C228</f>
        <v>240</v>
      </c>
      <c r="D228" s="754">
        <f>'Func Future Subs 2015'!D228</f>
        <v>25</v>
      </c>
      <c r="E228" s="754" t="str">
        <f>'Func Future Subs 2015'!E228</f>
        <v>370S</v>
      </c>
      <c r="F228" s="754">
        <f>'Func Future Subs 2015'!F228</f>
        <v>484549.80832004856</v>
      </c>
      <c r="G228" s="754" t="str">
        <f>'Func Future Subs 2015'!G228</f>
        <v>AltaLink</v>
      </c>
      <c r="H228" s="754">
        <f>'Func Future Subs 2015'!H228</f>
        <v>2016</v>
      </c>
      <c r="I228" s="306">
        <f>+IF($H228=I$2,VLOOKUP($G228,Depreciation!$A$14:$L$18,7,FALSE)/2,IF($H228&lt;I$2,VLOOKUP($G228,Depreciation!$A$14:$L$18,7,FALSE),0))</f>
        <v>0</v>
      </c>
      <c r="J228" s="306">
        <f>+IF($H228=J$2,VLOOKUP($G228,Depreciation!$A$14:$L$18,8,FALSE)/2,IF($H228&lt;J$2,VLOOKUP($G228,Depreciation!$A$14:$L$18,8,FALSE),0))</f>
        <v>1.671703928371859E-2</v>
      </c>
      <c r="K228" s="306">
        <f>+IF($H228=K$2,VLOOKUP($G228,Depreciation!$A$14:$L$18,9,FALSE)/2,IF($H228&lt;K$2,VLOOKUP($G228,Depreciation!$A$14:$L$18,9,FALSE),0))</f>
        <v>3.343407856743718E-2</v>
      </c>
      <c r="L228" s="306">
        <f>+IF($H228=L$2,VLOOKUP($G228,Depreciation!$A$14:$L$18,10,FALSE)/2,IF($H228&lt;L$2,VLOOKUP($G228,Depreciation!$A$14:$L$18,10,FALSE),0))</f>
        <v>3.343407856743718E-2</v>
      </c>
      <c r="M228" s="306">
        <f>+IF($H228=M$2,VLOOKUP($G228,Depreciation!$A$14:$L$18,11,FALSE)/2,IF($H228&lt;M$2,VLOOKUP($G228,Depreciation!$A$14:$L$18,11,FALSE),0))</f>
        <v>3.343407856743718E-2</v>
      </c>
      <c r="N228" s="306">
        <f>+IF($H228=N$2,VLOOKUP($G228,Depreciation!$A$14:$L$18,12,FALSE)/2,IF($H228&lt;N$2,VLOOKUP($G228,Depreciation!$A$14:$L$18,12,FALSE),0))</f>
        <v>3.343407856743718E-2</v>
      </c>
      <c r="O228" s="307">
        <f t="shared" si="25"/>
        <v>415855.88847990992</v>
      </c>
      <c r="P228" s="732">
        <f>'Func Future Subs 2015'!P228</f>
        <v>0</v>
      </c>
      <c r="Q228" s="732">
        <f>'Func Future Subs 2015'!Q228</f>
        <v>1</v>
      </c>
      <c r="R228" s="732">
        <f>'Func Future Subs 2015'!R228</f>
        <v>0</v>
      </c>
      <c r="S228" s="735">
        <f t="shared" si="26"/>
        <v>0</v>
      </c>
      <c r="T228" s="735">
        <f t="shared" si="27"/>
        <v>415855.88847990992</v>
      </c>
      <c r="U228" s="735">
        <f t="shared" si="28"/>
        <v>0</v>
      </c>
      <c r="V228" s="736">
        <f t="shared" si="29"/>
        <v>0</v>
      </c>
      <c r="W228" s="735">
        <f t="shared" si="30"/>
        <v>0</v>
      </c>
      <c r="X228" s="737">
        <f t="shared" si="31"/>
        <v>0</v>
      </c>
      <c r="Y228" s="738">
        <f t="shared" si="32"/>
        <v>415855.88847990992</v>
      </c>
    </row>
    <row r="229" spans="1:25">
      <c r="A229" s="754" t="str">
        <f>'Func Future Subs 2015'!A229</f>
        <v>Gaetz 87S</v>
      </c>
      <c r="B229" s="754">
        <f>'Func Future Subs 2015'!B229</f>
        <v>1263</v>
      </c>
      <c r="C229" s="754">
        <f>'Func Future Subs 2015'!C229</f>
        <v>240</v>
      </c>
      <c r="D229" s="754">
        <f>'Func Future Subs 2015'!D229</f>
        <v>138</v>
      </c>
      <c r="E229" s="754" t="str">
        <f>'Func Future Subs 2015'!E229</f>
        <v>87S</v>
      </c>
      <c r="F229" s="754">
        <f>'Func Future Subs 2015'!F229</f>
        <v>452029.41176470619</v>
      </c>
      <c r="G229" s="754" t="str">
        <f>'Func Future Subs 2015'!G229</f>
        <v>AltaLink</v>
      </c>
      <c r="H229" s="754">
        <f>'Func Future Subs 2015'!H229</f>
        <v>2016</v>
      </c>
      <c r="I229" s="306">
        <f>+IF($H229=I$2,VLOOKUP($G229,Depreciation!$A$14:$L$18,7,FALSE)/2,IF($H229&lt;I$2,VLOOKUP($G229,Depreciation!$A$14:$L$18,7,FALSE),0))</f>
        <v>0</v>
      </c>
      <c r="J229" s="306">
        <f>+IF($H229=J$2,VLOOKUP($G229,Depreciation!$A$14:$L$18,8,FALSE)/2,IF($H229&lt;J$2,VLOOKUP($G229,Depreciation!$A$14:$L$18,8,FALSE),0))</f>
        <v>1.671703928371859E-2</v>
      </c>
      <c r="K229" s="306">
        <f>+IF($H229=K$2,VLOOKUP($G229,Depreciation!$A$14:$L$18,9,FALSE)/2,IF($H229&lt;K$2,VLOOKUP($G229,Depreciation!$A$14:$L$18,9,FALSE),0))</f>
        <v>3.343407856743718E-2</v>
      </c>
      <c r="L229" s="306">
        <f>+IF($H229=L$2,VLOOKUP($G229,Depreciation!$A$14:$L$18,10,FALSE)/2,IF($H229&lt;L$2,VLOOKUP($G229,Depreciation!$A$14:$L$18,10,FALSE),0))</f>
        <v>3.343407856743718E-2</v>
      </c>
      <c r="M229" s="306">
        <f>+IF($H229=M$2,VLOOKUP($G229,Depreciation!$A$14:$L$18,11,FALSE)/2,IF($H229&lt;M$2,VLOOKUP($G229,Depreciation!$A$14:$L$18,11,FALSE),0))</f>
        <v>3.343407856743718E-2</v>
      </c>
      <c r="N229" s="306">
        <f>+IF($H229=N$2,VLOOKUP($G229,Depreciation!$A$14:$L$18,12,FALSE)/2,IF($H229&lt;N$2,VLOOKUP($G229,Depreciation!$A$14:$L$18,12,FALSE),0))</f>
        <v>3.343407856743718E-2</v>
      </c>
      <c r="O229" s="307">
        <f t="shared" si="25"/>
        <v>387945.86112869013</v>
      </c>
      <c r="P229" s="732">
        <f>'Func Future Subs 2015'!P229</f>
        <v>0</v>
      </c>
      <c r="Q229" s="732">
        <f>'Func Future Subs 2015'!Q229</f>
        <v>0</v>
      </c>
      <c r="R229" s="732">
        <f>'Func Future Subs 2015'!R229</f>
        <v>1</v>
      </c>
      <c r="S229" s="735">
        <f t="shared" si="26"/>
        <v>0</v>
      </c>
      <c r="T229" s="735">
        <f t="shared" si="27"/>
        <v>0</v>
      </c>
      <c r="U229" s="735">
        <f t="shared" si="28"/>
        <v>387945.86112869013</v>
      </c>
      <c r="V229" s="736">
        <f t="shared" si="29"/>
        <v>0</v>
      </c>
      <c r="W229" s="735">
        <f t="shared" si="30"/>
        <v>0</v>
      </c>
      <c r="X229" s="737">
        <f t="shared" si="31"/>
        <v>387945.86112869013</v>
      </c>
      <c r="Y229" s="738">
        <f t="shared" si="32"/>
        <v>0</v>
      </c>
    </row>
    <row r="230" spans="1:25">
      <c r="A230" s="754" t="str">
        <f>'Func Future Subs 2015'!A230</f>
        <v>North Red Deer 217S</v>
      </c>
      <c r="B230" s="754">
        <f>'Func Future Subs 2015'!B230</f>
        <v>1263</v>
      </c>
      <c r="C230" s="754">
        <f>'Func Future Subs 2015'!C230</f>
        <v>138</v>
      </c>
      <c r="D230" s="754">
        <f>'Func Future Subs 2015'!D230</f>
        <v>25</v>
      </c>
      <c r="E230" s="754" t="str">
        <f>'Func Future Subs 2015'!E230</f>
        <v>217S</v>
      </c>
      <c r="F230" s="754">
        <f>'Func Future Subs 2015'!F230</f>
        <v>369088.23529411788</v>
      </c>
      <c r="G230" s="754" t="str">
        <f>'Func Future Subs 2015'!G230</f>
        <v>AltaLink</v>
      </c>
      <c r="H230" s="754">
        <f>'Func Future Subs 2015'!H230</f>
        <v>2016</v>
      </c>
      <c r="I230" s="306">
        <f>+IF($H230=I$2,VLOOKUP($G230,Depreciation!$A$14:$L$18,7,FALSE)/2,IF($H230&lt;I$2,VLOOKUP($G230,Depreciation!$A$14:$L$18,7,FALSE),0))</f>
        <v>0</v>
      </c>
      <c r="J230" s="306">
        <f>+IF($H230=J$2,VLOOKUP($G230,Depreciation!$A$14:$L$18,8,FALSE)/2,IF($H230&lt;J$2,VLOOKUP($G230,Depreciation!$A$14:$L$18,8,FALSE),0))</f>
        <v>1.671703928371859E-2</v>
      </c>
      <c r="K230" s="306">
        <f>+IF($H230=K$2,VLOOKUP($G230,Depreciation!$A$14:$L$18,9,FALSE)/2,IF($H230&lt;K$2,VLOOKUP($G230,Depreciation!$A$14:$L$18,9,FALSE),0))</f>
        <v>3.343407856743718E-2</v>
      </c>
      <c r="L230" s="306">
        <f>+IF($H230=L$2,VLOOKUP($G230,Depreciation!$A$14:$L$18,10,FALSE)/2,IF($H230&lt;L$2,VLOOKUP($G230,Depreciation!$A$14:$L$18,10,FALSE),0))</f>
        <v>3.343407856743718E-2</v>
      </c>
      <c r="M230" s="306">
        <f>+IF($H230=M$2,VLOOKUP($G230,Depreciation!$A$14:$L$18,11,FALSE)/2,IF($H230&lt;M$2,VLOOKUP($G230,Depreciation!$A$14:$L$18,11,FALSE),0))</f>
        <v>3.343407856743718E-2</v>
      </c>
      <c r="N230" s="306">
        <f>+IF($H230=N$2,VLOOKUP($G230,Depreciation!$A$14:$L$18,12,FALSE)/2,IF($H230&lt;N$2,VLOOKUP($G230,Depreciation!$A$14:$L$18,12,FALSE),0))</f>
        <v>3.343407856743718E-2</v>
      </c>
      <c r="O230" s="307">
        <f t="shared" si="25"/>
        <v>316763.13431608642</v>
      </c>
      <c r="P230" s="732">
        <f>'Func Future Subs 2015'!P230</f>
        <v>0</v>
      </c>
      <c r="Q230" s="732">
        <f>'Func Future Subs 2015'!Q230</f>
        <v>1</v>
      </c>
      <c r="R230" s="732">
        <f>'Func Future Subs 2015'!R230</f>
        <v>0</v>
      </c>
      <c r="S230" s="735">
        <f t="shared" si="26"/>
        <v>0</v>
      </c>
      <c r="T230" s="735">
        <f t="shared" si="27"/>
        <v>316763.13431608642</v>
      </c>
      <c r="U230" s="735">
        <f t="shared" si="28"/>
        <v>0</v>
      </c>
      <c r="V230" s="736">
        <f t="shared" si="29"/>
        <v>0</v>
      </c>
      <c r="W230" s="735">
        <f t="shared" si="30"/>
        <v>0</v>
      </c>
      <c r="X230" s="737">
        <f t="shared" si="31"/>
        <v>0</v>
      </c>
      <c r="Y230" s="738">
        <f t="shared" si="32"/>
        <v>316763.13431608642</v>
      </c>
    </row>
    <row r="231" spans="1:25">
      <c r="A231" s="754" t="str">
        <f>'Func Future Subs 2015'!A231</f>
        <v>Algar Substation 875S_180</v>
      </c>
      <c r="B231" s="754">
        <f>'Func Future Subs 2015'!B231</f>
        <v>1267</v>
      </c>
      <c r="C231" s="754">
        <f>'Func Future Subs 2015'!C231</f>
        <v>144</v>
      </c>
      <c r="D231" s="754">
        <f>'Func Future Subs 2015'!D231</f>
        <v>25</v>
      </c>
      <c r="E231" s="754" t="str">
        <f>'Func Future Subs 2015'!E231</f>
        <v>875S</v>
      </c>
      <c r="F231" s="754">
        <f>'Func Future Subs 2015'!F231</f>
        <v>3416800.4605387161</v>
      </c>
      <c r="G231" s="754" t="str">
        <f>'Func Future Subs 2015'!G231</f>
        <v>ATCO</v>
      </c>
      <c r="H231" s="754">
        <f>'Func Future Subs 2015'!H231</f>
        <v>2015</v>
      </c>
      <c r="I231" s="306">
        <f>+IF($H231=I$2,VLOOKUP($G231,Depreciation!$A$14:$L$18,7,FALSE)/2,IF($H231&lt;I$2,VLOOKUP($G231,Depreciation!$A$14:$L$18,7,FALSE),0))</f>
        <v>1.221703683566912E-2</v>
      </c>
      <c r="J231" s="306">
        <f>+IF($H231=J$2,VLOOKUP($G231,Depreciation!$A$14:$L$18,8,FALSE)/2,IF($H231&lt;J$2,VLOOKUP($G231,Depreciation!$A$14:$L$18,8,FALSE),0))</f>
        <v>2.4632450501084719E-2</v>
      </c>
      <c r="K231" s="306">
        <f>+IF($H231=K$2,VLOOKUP($G231,Depreciation!$A$14:$L$18,9,FALSE)/2,IF($H231&lt;K$2,VLOOKUP($G231,Depreciation!$A$14:$L$18,9,FALSE),0))</f>
        <v>2.4351536427798831E-2</v>
      </c>
      <c r="L231" s="306">
        <f>+IF($H231=L$2,VLOOKUP($G231,Depreciation!$A$14:$L$18,10,FALSE)/2,IF($H231&lt;L$2,VLOOKUP($G231,Depreciation!$A$14:$L$18,10,FALSE),0))</f>
        <v>2.4351536427798831E-2</v>
      </c>
      <c r="M231" s="306">
        <f>+IF($H231=M$2,VLOOKUP($G231,Depreciation!$A$14:$L$18,11,FALSE)/2,IF($H231&lt;M$2,VLOOKUP($G231,Depreciation!$A$14:$L$18,11,FALSE),0))</f>
        <v>2.4351536427798831E-2</v>
      </c>
      <c r="N231" s="306">
        <f>+IF($H231=N$2,VLOOKUP($G231,Depreciation!$A$14:$L$18,12,FALSE)/2,IF($H231&lt;N$2,VLOOKUP($G231,Depreciation!$A$14:$L$18,12,FALSE),0))</f>
        <v>2.4351536427798831E-2</v>
      </c>
      <c r="O231" s="307">
        <f t="shared" si="25"/>
        <v>2982791.5954598663</v>
      </c>
      <c r="P231" s="732">
        <f>'Func Future Subs 2015'!P231</f>
        <v>0</v>
      </c>
      <c r="Q231" s="732">
        <f>'Func Future Subs 2015'!Q231</f>
        <v>1</v>
      </c>
      <c r="R231" s="732">
        <f>'Func Future Subs 2015'!R231</f>
        <v>0</v>
      </c>
      <c r="S231" s="735">
        <f t="shared" si="26"/>
        <v>0</v>
      </c>
      <c r="T231" s="735">
        <f t="shared" si="27"/>
        <v>2982791.5954598663</v>
      </c>
      <c r="U231" s="735">
        <f t="shared" si="28"/>
        <v>0</v>
      </c>
      <c r="V231" s="736">
        <f t="shared" si="29"/>
        <v>0</v>
      </c>
      <c r="W231" s="735">
        <f t="shared" si="30"/>
        <v>0</v>
      </c>
      <c r="X231" s="737">
        <f t="shared" si="31"/>
        <v>0</v>
      </c>
      <c r="Y231" s="738">
        <f t="shared" si="32"/>
        <v>2982791.5954598663</v>
      </c>
    </row>
    <row r="232" spans="1:25">
      <c r="A232" s="754" t="str">
        <f>'Func Future Subs 2015'!A232</f>
        <v>Dawes Substation 2011S_180</v>
      </c>
      <c r="B232" s="754">
        <f>'Func Future Subs 2015'!B232</f>
        <v>1267</v>
      </c>
      <c r="C232" s="754">
        <f>'Func Future Subs 2015'!C232</f>
        <v>240</v>
      </c>
      <c r="D232" s="754">
        <f>'Func Future Subs 2015'!D232</f>
        <v>144</v>
      </c>
      <c r="E232" s="754" t="str">
        <f>'Func Future Subs 2015'!E232</f>
        <v>2011S</v>
      </c>
      <c r="F232" s="754">
        <f>'Func Future Subs 2015'!F232</f>
        <v>30016954.600294784</v>
      </c>
      <c r="G232" s="754" t="str">
        <f>'Func Future Subs 2015'!G232</f>
        <v>ATCO</v>
      </c>
      <c r="H232" s="754">
        <f>'Func Future Subs 2015'!H232</f>
        <v>2015</v>
      </c>
      <c r="I232" s="306">
        <f>+IF($H232=I$2,VLOOKUP($G232,Depreciation!$A$14:$L$18,7,FALSE)/2,IF($H232&lt;I$2,VLOOKUP($G232,Depreciation!$A$14:$L$18,7,FALSE),0))</f>
        <v>1.221703683566912E-2</v>
      </c>
      <c r="J232" s="306">
        <f>+IF($H232=J$2,VLOOKUP($G232,Depreciation!$A$14:$L$18,8,FALSE)/2,IF($H232&lt;J$2,VLOOKUP($G232,Depreciation!$A$14:$L$18,8,FALSE),0))</f>
        <v>2.4632450501084719E-2</v>
      </c>
      <c r="K232" s="306">
        <f>+IF($H232=K$2,VLOOKUP($G232,Depreciation!$A$14:$L$18,9,FALSE)/2,IF($H232&lt;K$2,VLOOKUP($G232,Depreciation!$A$14:$L$18,9,FALSE),0))</f>
        <v>2.4351536427798831E-2</v>
      </c>
      <c r="L232" s="306">
        <f>+IF($H232=L$2,VLOOKUP($G232,Depreciation!$A$14:$L$18,10,FALSE)/2,IF($H232&lt;L$2,VLOOKUP($G232,Depreciation!$A$14:$L$18,10,FALSE),0))</f>
        <v>2.4351536427798831E-2</v>
      </c>
      <c r="M232" s="306">
        <f>+IF($H232=M$2,VLOOKUP($G232,Depreciation!$A$14:$L$18,11,FALSE)/2,IF($H232&lt;M$2,VLOOKUP($G232,Depreciation!$A$14:$L$18,11,FALSE),0))</f>
        <v>2.4351536427798831E-2</v>
      </c>
      <c r="N232" s="306">
        <f>+IF($H232=N$2,VLOOKUP($G232,Depreciation!$A$14:$L$18,12,FALSE)/2,IF($H232&lt;N$2,VLOOKUP($G232,Depreciation!$A$14:$L$18,12,FALSE),0))</f>
        <v>2.4351536427798831E-2</v>
      </c>
      <c r="O232" s="307">
        <f t="shared" si="25"/>
        <v>26204140.668180268</v>
      </c>
      <c r="P232" s="732">
        <f>'Func Future Subs 2015'!P232</f>
        <v>0</v>
      </c>
      <c r="Q232" s="732">
        <f>'Func Future Subs 2015'!Q232</f>
        <v>0</v>
      </c>
      <c r="R232" s="732">
        <f>'Func Future Subs 2015'!R232</f>
        <v>1</v>
      </c>
      <c r="S232" s="735">
        <f t="shared" si="26"/>
        <v>0</v>
      </c>
      <c r="T232" s="735">
        <f t="shared" si="27"/>
        <v>0</v>
      </c>
      <c r="U232" s="735">
        <f t="shared" si="28"/>
        <v>26204140.668180268</v>
      </c>
      <c r="V232" s="736">
        <f t="shared" si="29"/>
        <v>0</v>
      </c>
      <c r="W232" s="735">
        <f t="shared" si="30"/>
        <v>0</v>
      </c>
      <c r="X232" s="737">
        <f t="shared" si="31"/>
        <v>26204140.668180268</v>
      </c>
      <c r="Y232" s="738">
        <f t="shared" si="32"/>
        <v>0</v>
      </c>
    </row>
    <row r="233" spans="1:25">
      <c r="A233" s="754" t="str">
        <f>'Func Future Subs 2015'!A233</f>
        <v>Dover Substation 888S_180</v>
      </c>
      <c r="B233" s="754">
        <f>'Func Future Subs 2015'!B233</f>
        <v>1267</v>
      </c>
      <c r="C233" s="754">
        <f>'Func Future Subs 2015'!C233</f>
        <v>240</v>
      </c>
      <c r="D233" s="754">
        <f>'Func Future Subs 2015'!D233</f>
        <v>240</v>
      </c>
      <c r="E233" s="754" t="str">
        <f>'Func Future Subs 2015'!E233</f>
        <v>888S</v>
      </c>
      <c r="F233" s="754">
        <f>'Func Future Subs 2015'!F233</f>
        <v>362081.23436601309</v>
      </c>
      <c r="G233" s="754" t="str">
        <f>'Func Future Subs 2015'!G233</f>
        <v>ATCO</v>
      </c>
      <c r="H233" s="754">
        <f>'Func Future Subs 2015'!H233</f>
        <v>2015</v>
      </c>
      <c r="I233" s="306">
        <f>+IF($H233=I$2,VLOOKUP($G233,Depreciation!$A$14:$L$18,7,FALSE)/2,IF($H233&lt;I$2,VLOOKUP($G233,Depreciation!$A$14:$L$18,7,FALSE),0))</f>
        <v>1.221703683566912E-2</v>
      </c>
      <c r="J233" s="306">
        <f>+IF($H233=J$2,VLOOKUP($G233,Depreciation!$A$14:$L$18,8,FALSE)/2,IF($H233&lt;J$2,VLOOKUP($G233,Depreciation!$A$14:$L$18,8,FALSE),0))</f>
        <v>2.4632450501084719E-2</v>
      </c>
      <c r="K233" s="306">
        <f>+IF($H233=K$2,VLOOKUP($G233,Depreciation!$A$14:$L$18,9,FALSE)/2,IF($H233&lt;K$2,VLOOKUP($G233,Depreciation!$A$14:$L$18,9,FALSE),0))</f>
        <v>2.4351536427798831E-2</v>
      </c>
      <c r="L233" s="306">
        <f>+IF($H233=L$2,VLOOKUP($G233,Depreciation!$A$14:$L$18,10,FALSE)/2,IF($H233&lt;L$2,VLOOKUP($G233,Depreciation!$A$14:$L$18,10,FALSE),0))</f>
        <v>2.4351536427798831E-2</v>
      </c>
      <c r="M233" s="306">
        <f>+IF($H233=M$2,VLOOKUP($G233,Depreciation!$A$14:$L$18,11,FALSE)/2,IF($H233&lt;M$2,VLOOKUP($G233,Depreciation!$A$14:$L$18,11,FALSE),0))</f>
        <v>2.4351536427798831E-2</v>
      </c>
      <c r="N233" s="306">
        <f>+IF($H233=N$2,VLOOKUP($G233,Depreciation!$A$14:$L$18,12,FALSE)/2,IF($H233&lt;N$2,VLOOKUP($G233,Depreciation!$A$14:$L$18,12,FALSE),0))</f>
        <v>2.4351536427798831E-2</v>
      </c>
      <c r="O233" s="307">
        <f t="shared" si="25"/>
        <v>316088.94789553958</v>
      </c>
      <c r="P233" s="732">
        <f>'Func Future Subs 2015'!P233</f>
        <v>0</v>
      </c>
      <c r="Q233" s="732">
        <f>'Func Future Subs 2015'!Q233</f>
        <v>0</v>
      </c>
      <c r="R233" s="732">
        <f>'Func Future Subs 2015'!R233</f>
        <v>1</v>
      </c>
      <c r="S233" s="735">
        <f t="shared" si="26"/>
        <v>0</v>
      </c>
      <c r="T233" s="735">
        <f t="shared" si="27"/>
        <v>0</v>
      </c>
      <c r="U233" s="735">
        <f t="shared" si="28"/>
        <v>316088.94789553958</v>
      </c>
      <c r="V233" s="736">
        <f t="shared" si="29"/>
        <v>0</v>
      </c>
      <c r="W233" s="735">
        <f t="shared" si="30"/>
        <v>316088.94789553958</v>
      </c>
      <c r="X233" s="737">
        <f t="shared" si="31"/>
        <v>0</v>
      </c>
      <c r="Y233" s="738">
        <f t="shared" si="32"/>
        <v>0</v>
      </c>
    </row>
    <row r="234" spans="1:25">
      <c r="A234" s="754" t="str">
        <f>'Func Future Subs 2015'!A234</f>
        <v>Gregoire Substation 883S_180</v>
      </c>
      <c r="B234" s="754">
        <f>'Func Future Subs 2015'!B234</f>
        <v>1267</v>
      </c>
      <c r="C234" s="754">
        <f>'Func Future Subs 2015'!C234</f>
        <v>138</v>
      </c>
      <c r="D234" s="754">
        <f>'Func Future Subs 2015'!D234</f>
        <v>25</v>
      </c>
      <c r="E234" s="754" t="str">
        <f>'Func Future Subs 2015'!E234</f>
        <v>883S</v>
      </c>
      <c r="F234" s="754">
        <f>'Func Future Subs 2015'!F234</f>
        <v>89644.273802190583</v>
      </c>
      <c r="G234" s="754" t="str">
        <f>'Func Future Subs 2015'!G234</f>
        <v>ATCO</v>
      </c>
      <c r="H234" s="754">
        <f>'Func Future Subs 2015'!H234</f>
        <v>2015</v>
      </c>
      <c r="I234" s="306">
        <f>+IF($H234=I$2,VLOOKUP($G234,Depreciation!$A$14:$L$18,7,FALSE)/2,IF($H234&lt;I$2,VLOOKUP($G234,Depreciation!$A$14:$L$18,7,FALSE),0))</f>
        <v>1.221703683566912E-2</v>
      </c>
      <c r="J234" s="306">
        <f>+IF($H234=J$2,VLOOKUP($G234,Depreciation!$A$14:$L$18,8,FALSE)/2,IF($H234&lt;J$2,VLOOKUP($G234,Depreciation!$A$14:$L$18,8,FALSE),0))</f>
        <v>2.4632450501084719E-2</v>
      </c>
      <c r="K234" s="306">
        <f>+IF($H234=K$2,VLOOKUP($G234,Depreciation!$A$14:$L$18,9,FALSE)/2,IF($H234&lt;K$2,VLOOKUP($G234,Depreciation!$A$14:$L$18,9,FALSE),0))</f>
        <v>2.4351536427798831E-2</v>
      </c>
      <c r="L234" s="306">
        <f>+IF($H234=L$2,VLOOKUP($G234,Depreciation!$A$14:$L$18,10,FALSE)/2,IF($H234&lt;L$2,VLOOKUP($G234,Depreciation!$A$14:$L$18,10,FALSE),0))</f>
        <v>2.4351536427798831E-2</v>
      </c>
      <c r="M234" s="306">
        <f>+IF($H234=M$2,VLOOKUP($G234,Depreciation!$A$14:$L$18,11,FALSE)/2,IF($H234&lt;M$2,VLOOKUP($G234,Depreciation!$A$14:$L$18,11,FALSE),0))</f>
        <v>2.4351536427798831E-2</v>
      </c>
      <c r="N234" s="306">
        <f>+IF($H234=N$2,VLOOKUP($G234,Depreciation!$A$14:$L$18,12,FALSE)/2,IF($H234&lt;N$2,VLOOKUP($G234,Depreciation!$A$14:$L$18,12,FALSE),0))</f>
        <v>2.4351536427798831E-2</v>
      </c>
      <c r="O234" s="307">
        <f t="shared" si="25"/>
        <v>78257.477885061671</v>
      </c>
      <c r="P234" s="732">
        <f>'Func Future Subs 2015'!P234</f>
        <v>0</v>
      </c>
      <c r="Q234" s="732">
        <f>'Func Future Subs 2015'!Q234</f>
        <v>1</v>
      </c>
      <c r="R234" s="732">
        <f>'Func Future Subs 2015'!R234</f>
        <v>0</v>
      </c>
      <c r="S234" s="735">
        <f t="shared" si="26"/>
        <v>0</v>
      </c>
      <c r="T234" s="735">
        <f t="shared" si="27"/>
        <v>78257.477885061671</v>
      </c>
      <c r="U234" s="735">
        <f t="shared" si="28"/>
        <v>0</v>
      </c>
      <c r="V234" s="736">
        <f t="shared" si="29"/>
        <v>0</v>
      </c>
      <c r="W234" s="735">
        <f t="shared" si="30"/>
        <v>0</v>
      </c>
      <c r="X234" s="737">
        <f t="shared" si="31"/>
        <v>0</v>
      </c>
      <c r="Y234" s="738">
        <f t="shared" si="32"/>
        <v>78257.477885061671</v>
      </c>
    </row>
    <row r="235" spans="1:25">
      <c r="A235" s="754" t="str">
        <f>'Func Future Subs 2015'!A235</f>
        <v>Hangingston Substation 820S_180</v>
      </c>
      <c r="B235" s="754">
        <f>'Func Future Subs 2015'!B235</f>
        <v>1267</v>
      </c>
      <c r="C235" s="754">
        <f>'Func Future Subs 2015'!C235</f>
        <v>138</v>
      </c>
      <c r="D235" s="754">
        <f>'Func Future Subs 2015'!D235</f>
        <v>25</v>
      </c>
      <c r="E235" s="754" t="str">
        <f>'Func Future Subs 2015'!E235</f>
        <v>820S</v>
      </c>
      <c r="F235" s="754">
        <f>'Func Future Subs 2015'!F235</f>
        <v>147566.79268526638</v>
      </c>
      <c r="G235" s="754" t="str">
        <f>'Func Future Subs 2015'!G235</f>
        <v>ATCO</v>
      </c>
      <c r="H235" s="754">
        <f>'Func Future Subs 2015'!H235</f>
        <v>2015</v>
      </c>
      <c r="I235" s="306">
        <f>+IF($H235=I$2,VLOOKUP($G235,Depreciation!$A$14:$L$18,7,FALSE)/2,IF($H235&lt;I$2,VLOOKUP($G235,Depreciation!$A$14:$L$18,7,FALSE),0))</f>
        <v>1.221703683566912E-2</v>
      </c>
      <c r="J235" s="306">
        <f>+IF($H235=J$2,VLOOKUP($G235,Depreciation!$A$14:$L$18,8,FALSE)/2,IF($H235&lt;J$2,VLOOKUP($G235,Depreciation!$A$14:$L$18,8,FALSE),0))</f>
        <v>2.4632450501084719E-2</v>
      </c>
      <c r="K235" s="306">
        <f>+IF($H235=K$2,VLOOKUP($G235,Depreciation!$A$14:$L$18,9,FALSE)/2,IF($H235&lt;K$2,VLOOKUP($G235,Depreciation!$A$14:$L$18,9,FALSE),0))</f>
        <v>2.4351536427798831E-2</v>
      </c>
      <c r="L235" s="306">
        <f>+IF($H235=L$2,VLOOKUP($G235,Depreciation!$A$14:$L$18,10,FALSE)/2,IF($H235&lt;L$2,VLOOKUP($G235,Depreciation!$A$14:$L$18,10,FALSE),0))</f>
        <v>2.4351536427798831E-2</v>
      </c>
      <c r="M235" s="306">
        <f>+IF($H235=M$2,VLOOKUP($G235,Depreciation!$A$14:$L$18,11,FALSE)/2,IF($H235&lt;M$2,VLOOKUP($G235,Depreciation!$A$14:$L$18,11,FALSE),0))</f>
        <v>2.4351536427798831E-2</v>
      </c>
      <c r="N235" s="306">
        <f>+IF($H235=N$2,VLOOKUP($G235,Depreciation!$A$14:$L$18,12,FALSE)/2,IF($H235&lt;N$2,VLOOKUP($G235,Depreciation!$A$14:$L$18,12,FALSE),0))</f>
        <v>2.4351536427798831E-2</v>
      </c>
      <c r="O235" s="307">
        <f t="shared" si="25"/>
        <v>128822.56194767143</v>
      </c>
      <c r="P235" s="732">
        <f>'Func Future Subs 2015'!P235</f>
        <v>0</v>
      </c>
      <c r="Q235" s="732">
        <f>'Func Future Subs 2015'!Q235</f>
        <v>1</v>
      </c>
      <c r="R235" s="732">
        <f>'Func Future Subs 2015'!R235</f>
        <v>0</v>
      </c>
      <c r="S235" s="735">
        <f t="shared" si="26"/>
        <v>0</v>
      </c>
      <c r="T235" s="735">
        <f t="shared" si="27"/>
        <v>128822.56194767143</v>
      </c>
      <c r="U235" s="735">
        <f t="shared" si="28"/>
        <v>0</v>
      </c>
      <c r="V235" s="736">
        <f t="shared" si="29"/>
        <v>0</v>
      </c>
      <c r="W235" s="735">
        <f t="shared" si="30"/>
        <v>0</v>
      </c>
      <c r="X235" s="737">
        <f t="shared" si="31"/>
        <v>0</v>
      </c>
      <c r="Y235" s="738">
        <f t="shared" si="32"/>
        <v>128822.56194767143</v>
      </c>
    </row>
    <row r="236" spans="1:25">
      <c r="A236" s="754" t="str">
        <f>'Func Future Subs 2015'!A236</f>
        <v>MacMillan Substation 885S_180</v>
      </c>
      <c r="B236" s="754">
        <f>'Func Future Subs 2015'!B236</f>
        <v>1267</v>
      </c>
      <c r="C236" s="754">
        <f>'Func Future Subs 2015'!C236</f>
        <v>240</v>
      </c>
      <c r="D236" s="754">
        <f>'Func Future Subs 2015'!D236</f>
        <v>144</v>
      </c>
      <c r="E236" s="754" t="str">
        <f>'Func Future Subs 2015'!E236</f>
        <v>885S</v>
      </c>
      <c r="F236" s="754">
        <f>'Func Future Subs 2015'!F236</f>
        <v>143610.55197275945</v>
      </c>
      <c r="G236" s="754" t="str">
        <f>'Func Future Subs 2015'!G236</f>
        <v>ATCO</v>
      </c>
      <c r="H236" s="754">
        <f>'Func Future Subs 2015'!H236</f>
        <v>2015</v>
      </c>
      <c r="I236" s="306">
        <f>+IF($H236=I$2,VLOOKUP($G236,Depreciation!$A$14:$L$18,7,FALSE)/2,IF($H236&lt;I$2,VLOOKUP($G236,Depreciation!$A$14:$L$18,7,FALSE),0))</f>
        <v>1.221703683566912E-2</v>
      </c>
      <c r="J236" s="306">
        <f>+IF($H236=J$2,VLOOKUP($G236,Depreciation!$A$14:$L$18,8,FALSE)/2,IF($H236&lt;J$2,VLOOKUP($G236,Depreciation!$A$14:$L$18,8,FALSE),0))</f>
        <v>2.4632450501084719E-2</v>
      </c>
      <c r="K236" s="306">
        <f>+IF($H236=K$2,VLOOKUP($G236,Depreciation!$A$14:$L$18,9,FALSE)/2,IF($H236&lt;K$2,VLOOKUP($G236,Depreciation!$A$14:$L$18,9,FALSE),0))</f>
        <v>2.4351536427798831E-2</v>
      </c>
      <c r="L236" s="306">
        <f>+IF($H236=L$2,VLOOKUP($G236,Depreciation!$A$14:$L$18,10,FALSE)/2,IF($H236&lt;L$2,VLOOKUP($G236,Depreciation!$A$14:$L$18,10,FALSE),0))</f>
        <v>2.4351536427798831E-2</v>
      </c>
      <c r="M236" s="306">
        <f>+IF($H236=M$2,VLOOKUP($G236,Depreciation!$A$14:$L$18,11,FALSE)/2,IF($H236&lt;M$2,VLOOKUP($G236,Depreciation!$A$14:$L$18,11,FALSE),0))</f>
        <v>2.4351536427798831E-2</v>
      </c>
      <c r="N236" s="306">
        <f>+IF($H236=N$2,VLOOKUP($G236,Depreciation!$A$14:$L$18,12,FALSE)/2,IF($H236&lt;N$2,VLOOKUP($G236,Depreciation!$A$14:$L$18,12,FALSE),0))</f>
        <v>2.4351536427798831E-2</v>
      </c>
      <c r="O236" s="307">
        <f t="shared" si="25"/>
        <v>125368.85088576729</v>
      </c>
      <c r="P236" s="732">
        <f>'Func Future Subs 2015'!P236</f>
        <v>0</v>
      </c>
      <c r="Q236" s="732">
        <f>'Func Future Subs 2015'!Q236</f>
        <v>0</v>
      </c>
      <c r="R236" s="732">
        <f>'Func Future Subs 2015'!R236</f>
        <v>1</v>
      </c>
      <c r="S236" s="735">
        <f t="shared" si="26"/>
        <v>0</v>
      </c>
      <c r="T236" s="735">
        <f t="shared" si="27"/>
        <v>0</v>
      </c>
      <c r="U236" s="735">
        <f t="shared" si="28"/>
        <v>125368.85088576729</v>
      </c>
      <c r="V236" s="736">
        <f t="shared" si="29"/>
        <v>0</v>
      </c>
      <c r="W236" s="735">
        <f t="shared" si="30"/>
        <v>0</v>
      </c>
      <c r="X236" s="737">
        <f t="shared" si="31"/>
        <v>125368.85088576729</v>
      </c>
      <c r="Y236" s="738">
        <f t="shared" si="32"/>
        <v>0</v>
      </c>
    </row>
    <row r="237" spans="1:25">
      <c r="A237" s="754" t="str">
        <f>'Func Future Subs 2015'!A237</f>
        <v>Edwards Lake 189S preferred</v>
      </c>
      <c r="B237" s="754">
        <f>'Func Future Subs 2015'!B237</f>
        <v>1287</v>
      </c>
      <c r="C237" s="754">
        <f>'Func Future Subs 2015'!C237</f>
        <v>240</v>
      </c>
      <c r="D237" s="754">
        <f>'Func Future Subs 2015'!D237</f>
        <v>25</v>
      </c>
      <c r="E237" s="754" t="str">
        <f>'Func Future Subs 2015'!E237</f>
        <v>189S</v>
      </c>
      <c r="F237" s="754">
        <f>'Func Future Subs 2015'!F237</f>
        <v>36842122.514386363</v>
      </c>
      <c r="G237" s="754" t="str">
        <f>'Func Future Subs 2015'!G237</f>
        <v>AltaLink</v>
      </c>
      <c r="H237" s="754">
        <f>'Func Future Subs 2015'!H237</f>
        <v>2019</v>
      </c>
      <c r="I237" s="306">
        <f>+IF($H237=I$2,VLOOKUP($G237,Depreciation!$A$14:$L$18,7,FALSE)/2,IF($H237&lt;I$2,VLOOKUP($G237,Depreciation!$A$14:$L$18,7,FALSE),0))</f>
        <v>0</v>
      </c>
      <c r="J237" s="306">
        <f>+IF($H237=J$2,VLOOKUP($G237,Depreciation!$A$14:$L$18,8,FALSE)/2,IF($H237&lt;J$2,VLOOKUP($G237,Depreciation!$A$14:$L$18,8,FALSE),0))</f>
        <v>0</v>
      </c>
      <c r="K237" s="306">
        <f>+IF($H237=K$2,VLOOKUP($G237,Depreciation!$A$14:$L$18,9,FALSE)/2,IF($H237&lt;K$2,VLOOKUP($G237,Depreciation!$A$14:$L$18,9,FALSE),0))</f>
        <v>0</v>
      </c>
      <c r="L237" s="306">
        <f>+IF($H237=L$2,VLOOKUP($G237,Depreciation!$A$14:$L$18,10,FALSE)/2,IF($H237&lt;L$2,VLOOKUP($G237,Depreciation!$A$14:$L$18,10,FALSE),0))</f>
        <v>0</v>
      </c>
      <c r="M237" s="306">
        <f>+IF($H237=M$2,VLOOKUP($G237,Depreciation!$A$14:$L$18,11,FALSE)/2,IF($H237&lt;M$2,VLOOKUP($G237,Depreciation!$A$14:$L$18,11,FALSE),0))</f>
        <v>1.671703928371859E-2</v>
      </c>
      <c r="N237" s="306">
        <f>+IF($H237=N$2,VLOOKUP($G237,Depreciation!$A$14:$L$18,12,FALSE)/2,IF($H237&lt;N$2,VLOOKUP($G237,Depreciation!$A$14:$L$18,12,FALSE),0))</f>
        <v>3.343407856743718E-2</v>
      </c>
      <c r="O237" s="307">
        <f t="shared" si="25"/>
        <v>35015040.641363673</v>
      </c>
      <c r="P237" s="732">
        <f>'Func Future Subs 2015'!P237</f>
        <v>0</v>
      </c>
      <c r="Q237" s="732">
        <f>'Func Future Subs 2015'!Q237</f>
        <v>0</v>
      </c>
      <c r="R237" s="732">
        <f>'Func Future Subs 2015'!R237</f>
        <v>1</v>
      </c>
      <c r="S237" s="735">
        <f t="shared" si="26"/>
        <v>0</v>
      </c>
      <c r="T237" s="735">
        <f t="shared" si="27"/>
        <v>0</v>
      </c>
      <c r="U237" s="735">
        <f t="shared" si="28"/>
        <v>35015040.641363673</v>
      </c>
      <c r="V237" s="736">
        <f t="shared" si="29"/>
        <v>0</v>
      </c>
      <c r="W237" s="735">
        <f t="shared" si="30"/>
        <v>0</v>
      </c>
      <c r="X237" s="737">
        <f t="shared" si="31"/>
        <v>0</v>
      </c>
      <c r="Y237" s="738">
        <f t="shared" si="32"/>
        <v>35015040.641363673</v>
      </c>
    </row>
    <row r="238" spans="1:25">
      <c r="A238" s="754" t="str">
        <f>'Func Future Subs 2015'!A238</f>
        <v>Heart Lake 898S</v>
      </c>
      <c r="B238" s="754">
        <f>'Func Future Subs 2015'!B238</f>
        <v>1287</v>
      </c>
      <c r="C238" s="754">
        <f>'Func Future Subs 2015'!C238</f>
        <v>240</v>
      </c>
      <c r="D238" s="754">
        <f>'Func Future Subs 2015'!D238</f>
        <v>144</v>
      </c>
      <c r="E238" s="754" t="str">
        <f>'Func Future Subs 2015'!E238</f>
        <v>898S</v>
      </c>
      <c r="F238" s="754">
        <f>'Func Future Subs 2015'!F238</f>
        <v>267302.36990519403</v>
      </c>
      <c r="G238" s="754" t="str">
        <f>'Func Future Subs 2015'!G238</f>
        <v>ATCO</v>
      </c>
      <c r="H238" s="754">
        <f>'Func Future Subs 2015'!H238</f>
        <v>2019</v>
      </c>
      <c r="I238" s="306">
        <f>+IF($H238=I$2,VLOOKUP($G238,Depreciation!$A$14:$L$18,7,FALSE)/2,IF($H238&lt;I$2,VLOOKUP($G238,Depreciation!$A$14:$L$18,7,FALSE),0))</f>
        <v>0</v>
      </c>
      <c r="J238" s="306">
        <f>+IF($H238=J$2,VLOOKUP($G238,Depreciation!$A$14:$L$18,8,FALSE)/2,IF($H238&lt;J$2,VLOOKUP($G238,Depreciation!$A$14:$L$18,8,FALSE),0))</f>
        <v>0</v>
      </c>
      <c r="K238" s="306">
        <f>+IF($H238=K$2,VLOOKUP($G238,Depreciation!$A$14:$L$18,9,FALSE)/2,IF($H238&lt;K$2,VLOOKUP($G238,Depreciation!$A$14:$L$18,9,FALSE),0))</f>
        <v>0</v>
      </c>
      <c r="L238" s="306">
        <f>+IF($H238=L$2,VLOOKUP($G238,Depreciation!$A$14:$L$18,10,FALSE)/2,IF($H238&lt;L$2,VLOOKUP($G238,Depreciation!$A$14:$L$18,10,FALSE),0))</f>
        <v>0</v>
      </c>
      <c r="M238" s="306">
        <f>+IF($H238=M$2,VLOOKUP($G238,Depreciation!$A$14:$L$18,11,FALSE)/2,IF($H238&lt;M$2,VLOOKUP($G238,Depreciation!$A$14:$L$18,11,FALSE),0))</f>
        <v>1.2175768213899416E-2</v>
      </c>
      <c r="N238" s="306">
        <f>+IF($H238=N$2,VLOOKUP($G238,Depreciation!$A$14:$L$18,12,FALSE)/2,IF($H238&lt;N$2,VLOOKUP($G238,Depreciation!$A$14:$L$18,12,FALSE),0))</f>
        <v>2.4351536427798831E-2</v>
      </c>
      <c r="O238" s="307">
        <f t="shared" si="25"/>
        <v>257617.78960356538</v>
      </c>
      <c r="P238" s="732">
        <f>'Func Future Subs 2015'!P238</f>
        <v>0</v>
      </c>
      <c r="Q238" s="732">
        <f>'Func Future Subs 2015'!Q238</f>
        <v>0</v>
      </c>
      <c r="R238" s="732">
        <f>'Func Future Subs 2015'!R238</f>
        <v>1</v>
      </c>
      <c r="S238" s="735">
        <f t="shared" si="26"/>
        <v>0</v>
      </c>
      <c r="T238" s="735">
        <f t="shared" si="27"/>
        <v>0</v>
      </c>
      <c r="U238" s="735">
        <f t="shared" si="28"/>
        <v>257617.78960356538</v>
      </c>
      <c r="V238" s="736">
        <f t="shared" si="29"/>
        <v>0</v>
      </c>
      <c r="W238" s="735">
        <f t="shared" si="30"/>
        <v>0</v>
      </c>
      <c r="X238" s="737">
        <f t="shared" si="31"/>
        <v>257617.78960356538</v>
      </c>
      <c r="Y238" s="738">
        <f t="shared" si="32"/>
        <v>0</v>
      </c>
    </row>
    <row r="239" spans="1:25">
      <c r="A239" s="754" t="str">
        <f>'Func Future Subs 2015'!A239</f>
        <v>Deerland 13S substation</v>
      </c>
      <c r="B239" s="754">
        <f>'Func Future Subs 2015'!B239</f>
        <v>1289</v>
      </c>
      <c r="C239" s="754">
        <f>'Func Future Subs 2015'!C239</f>
        <v>138</v>
      </c>
      <c r="D239" s="754">
        <f>'Func Future Subs 2015'!D239</f>
        <v>138</v>
      </c>
      <c r="E239" s="754" t="str">
        <f>'Func Future Subs 2015'!E239</f>
        <v>13S</v>
      </c>
      <c r="F239" s="754">
        <f>'Func Future Subs 2015'!F239</f>
        <v>3106833.197389883</v>
      </c>
      <c r="G239" s="754" t="str">
        <f>'Func Future Subs 2015'!G239</f>
        <v>AltaLink</v>
      </c>
      <c r="H239" s="754">
        <f>'Func Future Subs 2015'!H239</f>
        <v>2017</v>
      </c>
      <c r="I239" s="306">
        <f>+IF($H239=I$2,VLOOKUP($G239,Depreciation!$A$14:$L$18,7,FALSE)/2,IF($H239&lt;I$2,VLOOKUP($G239,Depreciation!$A$14:$L$18,7,FALSE),0))</f>
        <v>0</v>
      </c>
      <c r="J239" s="306">
        <f>+IF($H239=J$2,VLOOKUP($G239,Depreciation!$A$14:$L$18,8,FALSE)/2,IF($H239&lt;J$2,VLOOKUP($G239,Depreciation!$A$14:$L$18,8,FALSE),0))</f>
        <v>0</v>
      </c>
      <c r="K239" s="306">
        <f>+IF($H239=K$2,VLOOKUP($G239,Depreciation!$A$14:$L$18,9,FALSE)/2,IF($H239&lt;K$2,VLOOKUP($G239,Depreciation!$A$14:$L$18,9,FALSE),0))</f>
        <v>1.671703928371859E-2</v>
      </c>
      <c r="L239" s="306">
        <f>+IF($H239=L$2,VLOOKUP($G239,Depreciation!$A$14:$L$18,10,FALSE)/2,IF($H239&lt;L$2,VLOOKUP($G239,Depreciation!$A$14:$L$18,10,FALSE),0))</f>
        <v>3.343407856743718E-2</v>
      </c>
      <c r="M239" s="306">
        <f>+IF($H239=M$2,VLOOKUP($G239,Depreciation!$A$14:$L$18,11,FALSE)/2,IF($H239&lt;M$2,VLOOKUP($G239,Depreciation!$A$14:$L$18,11,FALSE),0))</f>
        <v>3.343407856743718E-2</v>
      </c>
      <c r="N239" s="306">
        <f>+IF($H239=N$2,VLOOKUP($G239,Depreciation!$A$14:$L$18,12,FALSE)/2,IF($H239&lt;N$2,VLOOKUP($G239,Depreciation!$A$14:$L$18,12,FALSE),0))</f>
        <v>3.343407856743718E-2</v>
      </c>
      <c r="O239" s="307">
        <f t="shared" si="25"/>
        <v>2758613.6917410945</v>
      </c>
      <c r="P239" s="732">
        <f>'Func Future Subs 2015'!P239</f>
        <v>0</v>
      </c>
      <c r="Q239" s="732">
        <f>'Func Future Subs 2015'!Q239</f>
        <v>0</v>
      </c>
      <c r="R239" s="732">
        <f>'Func Future Subs 2015'!R239</f>
        <v>1</v>
      </c>
      <c r="S239" s="735">
        <f t="shared" si="26"/>
        <v>0</v>
      </c>
      <c r="T239" s="735">
        <f t="shared" si="27"/>
        <v>0</v>
      </c>
      <c r="U239" s="735">
        <f t="shared" si="28"/>
        <v>2758613.6917410945</v>
      </c>
      <c r="V239" s="736">
        <f t="shared" si="29"/>
        <v>0</v>
      </c>
      <c r="W239" s="735">
        <f t="shared" si="30"/>
        <v>0</v>
      </c>
      <c r="X239" s="737">
        <f t="shared" si="31"/>
        <v>2758613.6917410945</v>
      </c>
      <c r="Y239" s="738">
        <f t="shared" si="32"/>
        <v>0</v>
      </c>
    </row>
    <row r="240" spans="1:25">
      <c r="A240" s="754" t="str">
        <f>'Func Future Subs 2015'!A240</f>
        <v>New Whitetail Peaking Station 976S(part of scope)</v>
      </c>
      <c r="B240" s="754">
        <f>'Func Future Subs 2015'!B240</f>
        <v>1290</v>
      </c>
      <c r="C240" s="754">
        <f>'Func Future Subs 2015'!C240</f>
        <v>144</v>
      </c>
      <c r="D240" s="754">
        <f>'Func Future Subs 2015'!D240</f>
        <v>144</v>
      </c>
      <c r="E240" s="754" t="str">
        <f>'Func Future Subs 2015'!E240</f>
        <v>976S</v>
      </c>
      <c r="F240" s="754">
        <f>'Func Future Subs 2015'!F240</f>
        <v>561275.46753523592</v>
      </c>
      <c r="G240" s="754" t="str">
        <f>'Func Future Subs 2015'!G240</f>
        <v>ATCO</v>
      </c>
      <c r="H240" s="754">
        <f>'Func Future Subs 2015'!H240</f>
        <v>2018</v>
      </c>
      <c r="I240" s="306">
        <f>+IF($H240=I$2,VLOOKUP($G240,Depreciation!$A$14:$L$18,7,FALSE)/2,IF($H240&lt;I$2,VLOOKUP($G240,Depreciation!$A$14:$L$18,7,FALSE),0))</f>
        <v>0</v>
      </c>
      <c r="J240" s="306">
        <f>+IF($H240=J$2,VLOOKUP($G240,Depreciation!$A$14:$L$18,8,FALSE)/2,IF($H240&lt;J$2,VLOOKUP($G240,Depreciation!$A$14:$L$18,8,FALSE),0))</f>
        <v>0</v>
      </c>
      <c r="K240" s="306">
        <f>+IF($H240=K$2,VLOOKUP($G240,Depreciation!$A$14:$L$18,9,FALSE)/2,IF($H240&lt;K$2,VLOOKUP($G240,Depreciation!$A$14:$L$18,9,FALSE),0))</f>
        <v>0</v>
      </c>
      <c r="L240" s="306">
        <f>+IF($H240=L$2,VLOOKUP($G240,Depreciation!$A$14:$L$18,10,FALSE)/2,IF($H240&lt;L$2,VLOOKUP($G240,Depreciation!$A$14:$L$18,10,FALSE),0))</f>
        <v>1.2175768213899416E-2</v>
      </c>
      <c r="M240" s="306">
        <f>+IF($H240=M$2,VLOOKUP($G240,Depreciation!$A$14:$L$18,11,FALSE)/2,IF($H240&lt;M$2,VLOOKUP($G240,Depreciation!$A$14:$L$18,11,FALSE),0))</f>
        <v>2.4351536427798831E-2</v>
      </c>
      <c r="N240" s="306">
        <f>+IF($H240=N$2,VLOOKUP($G240,Depreciation!$A$14:$L$18,12,FALSE)/2,IF($H240&lt;N$2,VLOOKUP($G240,Depreciation!$A$14:$L$18,12,FALSE),0))</f>
        <v>2.4351536427798831E-2</v>
      </c>
      <c r="O240" s="307">
        <f t="shared" si="25"/>
        <v>527767.28473418206</v>
      </c>
      <c r="P240" s="732">
        <f>'Func Future Subs 2015'!P240</f>
        <v>0</v>
      </c>
      <c r="Q240" s="732">
        <f>'Func Future Subs 2015'!Q240</f>
        <v>0</v>
      </c>
      <c r="R240" s="732">
        <f>'Func Future Subs 2015'!R240</f>
        <v>1</v>
      </c>
      <c r="S240" s="735">
        <f t="shared" si="26"/>
        <v>0</v>
      </c>
      <c r="T240" s="735">
        <f t="shared" si="27"/>
        <v>0</v>
      </c>
      <c r="U240" s="735">
        <f t="shared" si="28"/>
        <v>527767.28473418206</v>
      </c>
      <c r="V240" s="736">
        <f t="shared" si="29"/>
        <v>0</v>
      </c>
      <c r="W240" s="735">
        <f t="shared" si="30"/>
        <v>0</v>
      </c>
      <c r="X240" s="737">
        <f t="shared" si="31"/>
        <v>527767.28473418206</v>
      </c>
      <c r="Y240" s="738">
        <f t="shared" si="32"/>
        <v>0</v>
      </c>
    </row>
    <row r="241" spans="1:25">
      <c r="A241" s="754" t="str">
        <f>'Func Future Subs 2015'!A241</f>
        <v>[Final]659S substation</v>
      </c>
      <c r="B241" s="754">
        <f>'Func Future Subs 2015'!B241</f>
        <v>1294</v>
      </c>
      <c r="C241" s="754">
        <f>'Func Future Subs 2015'!C241</f>
        <v>69</v>
      </c>
      <c r="D241" s="754">
        <f>'Func Future Subs 2015'!D241</f>
        <v>25</v>
      </c>
      <c r="E241" s="754" t="str">
        <f>'Func Future Subs 2015'!E241</f>
        <v>659S</v>
      </c>
      <c r="F241" s="754">
        <f>'Func Future Subs 2015'!F241</f>
        <v>4433924</v>
      </c>
      <c r="G241" s="754" t="str">
        <f>'Func Future Subs 2015'!G241</f>
        <v>AltaLink</v>
      </c>
      <c r="H241" s="754">
        <f>'Func Future Subs 2015'!H241</f>
        <v>2015</v>
      </c>
      <c r="I241" s="306">
        <f>+IF($H241=I$2,VLOOKUP($G241,Depreciation!$A$14:$L$18,7,FALSE)/2,IF($H241&lt;I$2,VLOOKUP($G241,Depreciation!$A$14:$L$18,7,FALSE),0))</f>
        <v>1.7228380322441735E-2</v>
      </c>
      <c r="J241" s="306">
        <f>+IF($H241=J$2,VLOOKUP($G241,Depreciation!$A$14:$L$18,8,FALSE)/2,IF($H241&lt;J$2,VLOOKUP($G241,Depreciation!$A$14:$L$18,8,FALSE),0))</f>
        <v>3.343407856743718E-2</v>
      </c>
      <c r="K241" s="306">
        <f>+IF($H241=K$2,VLOOKUP($G241,Depreciation!$A$14:$L$18,9,FALSE)/2,IF($H241&lt;K$2,VLOOKUP($G241,Depreciation!$A$14:$L$18,9,FALSE),0))</f>
        <v>3.343407856743718E-2</v>
      </c>
      <c r="L241" s="306">
        <f>+IF($H241=L$2,VLOOKUP($G241,Depreciation!$A$14:$L$18,10,FALSE)/2,IF($H241&lt;L$2,VLOOKUP($G241,Depreciation!$A$14:$L$18,10,FALSE),0))</f>
        <v>3.343407856743718E-2</v>
      </c>
      <c r="M241" s="306">
        <f>+IF($H241=M$2,VLOOKUP($G241,Depreciation!$A$14:$L$18,11,FALSE)/2,IF($H241&lt;M$2,VLOOKUP($G241,Depreciation!$A$14:$L$18,11,FALSE),0))</f>
        <v>3.343407856743718E-2</v>
      </c>
      <c r="N241" s="306">
        <f>+IF($H241=N$2,VLOOKUP($G241,Depreciation!$A$14:$L$18,12,FALSE)/2,IF($H241&lt;N$2,VLOOKUP($G241,Depreciation!$A$14:$L$18,12,FALSE),0))</f>
        <v>3.343407856743718E-2</v>
      </c>
      <c r="O241" s="307">
        <f t="shared" si="25"/>
        <v>3676192.5132724606</v>
      </c>
      <c r="P241" s="732">
        <f>'Func Future Subs 2015'!P241</f>
        <v>0.54090909090909089</v>
      </c>
      <c r="Q241" s="732">
        <f>'Func Future Subs 2015'!Q241</f>
        <v>0.45909090909090905</v>
      </c>
      <c r="R241" s="732">
        <f>'Func Future Subs 2015'!R241</f>
        <v>0</v>
      </c>
      <c r="S241" s="735">
        <f t="shared" si="26"/>
        <v>1988485.9503610127</v>
      </c>
      <c r="T241" s="735">
        <f t="shared" si="27"/>
        <v>1687706.5629114476</v>
      </c>
      <c r="U241" s="735">
        <f t="shared" si="28"/>
        <v>0</v>
      </c>
      <c r="V241" s="736">
        <f t="shared" si="29"/>
        <v>0</v>
      </c>
      <c r="W241" s="735">
        <f t="shared" si="30"/>
        <v>1988485.9503610127</v>
      </c>
      <c r="X241" s="737">
        <f t="shared" si="31"/>
        <v>0</v>
      </c>
      <c r="Y241" s="738">
        <f t="shared" si="32"/>
        <v>1687706.5629114476</v>
      </c>
    </row>
    <row r="242" spans="1:25">
      <c r="A242" s="754" t="str">
        <f>'Func Future Subs 2015'!A242</f>
        <v>659S substation</v>
      </c>
      <c r="B242" s="754">
        <f>'Func Future Subs 2015'!B242</f>
        <v>1294</v>
      </c>
      <c r="C242" s="754">
        <f>'Func Future Subs 2015'!C242</f>
        <v>69</v>
      </c>
      <c r="D242" s="754">
        <f>'Func Future Subs 2015'!D242</f>
        <v>25</v>
      </c>
      <c r="E242" s="754" t="str">
        <f>'Func Future Subs 2015'!E242</f>
        <v>659S</v>
      </c>
      <c r="F242" s="754">
        <f>'Func Future Subs 2015'!F242</f>
        <v>5633000.0000000028</v>
      </c>
      <c r="G242" s="754" t="str">
        <f>'Func Future Subs 2015'!G242</f>
        <v>AltaLink</v>
      </c>
      <c r="H242" s="754">
        <f>'Func Future Subs 2015'!H242</f>
        <v>2015</v>
      </c>
      <c r="I242" s="306">
        <f>+IF($H242=I$2,VLOOKUP($G242,Depreciation!$A$14:$L$18,7,FALSE)/2,IF($H242&lt;I$2,VLOOKUP($G242,Depreciation!$A$14:$L$18,7,FALSE),0))</f>
        <v>1.7228380322441735E-2</v>
      </c>
      <c r="J242" s="306">
        <f>+IF($H242=J$2,VLOOKUP($G242,Depreciation!$A$14:$L$18,8,FALSE)/2,IF($H242&lt;J$2,VLOOKUP($G242,Depreciation!$A$14:$L$18,8,FALSE),0))</f>
        <v>3.343407856743718E-2</v>
      </c>
      <c r="K242" s="306">
        <f>+IF($H242=K$2,VLOOKUP($G242,Depreciation!$A$14:$L$18,9,FALSE)/2,IF($H242&lt;K$2,VLOOKUP($G242,Depreciation!$A$14:$L$18,9,FALSE),0))</f>
        <v>3.343407856743718E-2</v>
      </c>
      <c r="L242" s="306">
        <f>+IF($H242=L$2,VLOOKUP($G242,Depreciation!$A$14:$L$18,10,FALSE)/2,IF($H242&lt;L$2,VLOOKUP($G242,Depreciation!$A$14:$L$18,10,FALSE),0))</f>
        <v>3.343407856743718E-2</v>
      </c>
      <c r="M242" s="306">
        <f>+IF($H242=M$2,VLOOKUP($G242,Depreciation!$A$14:$L$18,11,FALSE)/2,IF($H242&lt;M$2,VLOOKUP($G242,Depreciation!$A$14:$L$18,11,FALSE),0))</f>
        <v>3.343407856743718E-2</v>
      </c>
      <c r="N242" s="306">
        <f>+IF($H242=N$2,VLOOKUP($G242,Depreciation!$A$14:$L$18,12,FALSE)/2,IF($H242&lt;N$2,VLOOKUP($G242,Depreciation!$A$14:$L$18,12,FALSE),0))</f>
        <v>3.343407856743718E-2</v>
      </c>
      <c r="O242" s="307">
        <f t="shared" si="25"/>
        <v>4670353.489880247</v>
      </c>
      <c r="P242" s="732">
        <f>'Func Future Subs 2015'!P242</f>
        <v>0.54090909090909089</v>
      </c>
      <c r="Q242" s="732">
        <f>'Func Future Subs 2015'!Q242</f>
        <v>0.45909090909090905</v>
      </c>
      <c r="R242" s="732">
        <f>'Func Future Subs 2015'!R242</f>
        <v>0</v>
      </c>
      <c r="S242" s="735">
        <f t="shared" si="26"/>
        <v>2526236.6604352244</v>
      </c>
      <c r="T242" s="735">
        <f t="shared" si="27"/>
        <v>2144116.8294450222</v>
      </c>
      <c r="U242" s="735">
        <f t="shared" si="28"/>
        <v>0</v>
      </c>
      <c r="V242" s="736">
        <f t="shared" si="29"/>
        <v>0</v>
      </c>
      <c r="W242" s="735">
        <f t="shared" si="30"/>
        <v>2526236.6604352244</v>
      </c>
      <c r="X242" s="737">
        <f t="shared" si="31"/>
        <v>0</v>
      </c>
      <c r="Y242" s="738">
        <f t="shared" si="32"/>
        <v>2144116.8294450222</v>
      </c>
    </row>
    <row r="243" spans="1:25">
      <c r="A243" s="754" t="str">
        <f>'Func Future Subs 2015'!A243</f>
        <v>162SS</v>
      </c>
      <c r="B243" s="754">
        <f>'Func Future Subs 2015'!B243</f>
        <v>1314</v>
      </c>
      <c r="C243" s="754">
        <f>'Func Future Subs 2015'!C243</f>
        <v>138</v>
      </c>
      <c r="D243" s="754">
        <f>'Func Future Subs 2015'!D243</f>
        <v>0</v>
      </c>
      <c r="E243" s="754" t="str">
        <f>'Func Future Subs 2015'!E243</f>
        <v>162SS</v>
      </c>
      <c r="F243" s="754">
        <f>'Func Future Subs 2015'!F243</f>
        <v>16742409.726119097</v>
      </c>
      <c r="G243" s="754" t="str">
        <f>'Func Future Subs 2015'!G243</f>
        <v>ENMAX</v>
      </c>
      <c r="H243" s="754">
        <f>'Func Future Subs 2015'!H243</f>
        <v>2015</v>
      </c>
      <c r="I243" s="306">
        <f>+IF($H243=I$2,VLOOKUP($G243,Depreciation!$A$14:$L$18,7,FALSE)/2,IF($H243&lt;I$2,VLOOKUP($G243,Depreciation!$A$14:$L$18,7,FALSE),0))</f>
        <v>1.3928409269726289E-2</v>
      </c>
      <c r="J243" s="306">
        <f>+IF($H243=J$2,VLOOKUP($G243,Depreciation!$A$14:$L$18,8,FALSE)/2,IF($H243&lt;J$2,VLOOKUP($G243,Depreciation!$A$14:$L$18,8,FALSE),0))</f>
        <v>2.7856818539452578E-2</v>
      </c>
      <c r="K243" s="306">
        <f>+IF($H243=K$2,VLOOKUP($G243,Depreciation!$A$14:$L$18,9,FALSE)/2,IF($H243&lt;K$2,VLOOKUP($G243,Depreciation!$A$14:$L$18,9,FALSE),0))</f>
        <v>2.7856818539452578E-2</v>
      </c>
      <c r="L243" s="306">
        <f>+IF($H243=L$2,VLOOKUP($G243,Depreciation!$A$14:$L$18,10,FALSE)/2,IF($H243&lt;L$2,VLOOKUP($G243,Depreciation!$A$14:$L$18,10,FALSE),0))</f>
        <v>2.7856818539452578E-2</v>
      </c>
      <c r="M243" s="306">
        <f>+IF($H243=M$2,VLOOKUP($G243,Depreciation!$A$14:$L$18,11,FALSE)/2,IF($H243&lt;M$2,VLOOKUP($G243,Depreciation!$A$14:$L$18,11,FALSE),0))</f>
        <v>2.7856818539452578E-2</v>
      </c>
      <c r="N243" s="306">
        <f>+IF($H243=N$2,VLOOKUP($G243,Depreciation!$A$14:$L$18,12,FALSE)/2,IF($H243&lt;N$2,VLOOKUP($G243,Depreciation!$A$14:$L$18,12,FALSE),0))</f>
        <v>2.7856818539452578E-2</v>
      </c>
      <c r="O243" s="307">
        <f t="shared" si="25"/>
        <v>14334336.148115028</v>
      </c>
      <c r="P243" s="732">
        <f>'Func Future Subs 2015'!P243</f>
        <v>0</v>
      </c>
      <c r="Q243" s="732">
        <f>'Func Future Subs 2015'!Q243</f>
        <v>0</v>
      </c>
      <c r="R243" s="732">
        <f>'Func Future Subs 2015'!R243</f>
        <v>1</v>
      </c>
      <c r="S243" s="735">
        <f t="shared" si="26"/>
        <v>0</v>
      </c>
      <c r="T243" s="735">
        <f t="shared" si="27"/>
        <v>0</v>
      </c>
      <c r="U243" s="735">
        <f t="shared" si="28"/>
        <v>14334336.148115028</v>
      </c>
      <c r="V243" s="736">
        <f t="shared" si="29"/>
        <v>14334336.148115028</v>
      </c>
      <c r="W243" s="735">
        <f t="shared" si="30"/>
        <v>0</v>
      </c>
      <c r="X243" s="737">
        <f t="shared" si="31"/>
        <v>0</v>
      </c>
      <c r="Y243" s="738">
        <f t="shared" si="32"/>
        <v>0</v>
      </c>
    </row>
    <row r="244" spans="1:25">
      <c r="A244" s="754" t="str">
        <f>'Func Future Subs 2015'!A244</f>
        <v>Monitor 774S</v>
      </c>
      <c r="B244" s="754">
        <f>'Func Future Subs 2015'!B244</f>
        <v>1319</v>
      </c>
      <c r="C244" s="754">
        <f>'Func Future Subs 2015'!C244</f>
        <v>138</v>
      </c>
      <c r="D244" s="754">
        <f>'Func Future Subs 2015'!D244</f>
        <v>25</v>
      </c>
      <c r="E244" s="754" t="str">
        <f>'Func Future Subs 2015'!E244</f>
        <v>774S</v>
      </c>
      <c r="F244" s="754">
        <f>'Func Future Subs 2015'!F244</f>
        <v>3798763.0000000009</v>
      </c>
      <c r="G244" s="754" t="str">
        <f>'Func Future Subs 2015'!G244</f>
        <v>ATCO</v>
      </c>
      <c r="H244" s="754">
        <f>'Func Future Subs 2015'!H244</f>
        <v>2015</v>
      </c>
      <c r="I244" s="306">
        <f>+IF($H244=I$2,VLOOKUP($G244,Depreciation!$A$14:$L$18,7,FALSE)/2,IF($H244&lt;I$2,VLOOKUP($G244,Depreciation!$A$14:$L$18,7,FALSE),0))</f>
        <v>1.221703683566912E-2</v>
      </c>
      <c r="J244" s="306">
        <f>+IF($H244=J$2,VLOOKUP($G244,Depreciation!$A$14:$L$18,8,FALSE)/2,IF($H244&lt;J$2,VLOOKUP($G244,Depreciation!$A$14:$L$18,8,FALSE),0))</f>
        <v>2.4632450501084719E-2</v>
      </c>
      <c r="K244" s="306">
        <f>+IF($H244=K$2,VLOOKUP($G244,Depreciation!$A$14:$L$18,9,FALSE)/2,IF($H244&lt;K$2,VLOOKUP($G244,Depreciation!$A$14:$L$18,9,FALSE),0))</f>
        <v>2.4351536427798831E-2</v>
      </c>
      <c r="L244" s="306">
        <f>+IF($H244=L$2,VLOOKUP($G244,Depreciation!$A$14:$L$18,10,FALSE)/2,IF($H244&lt;L$2,VLOOKUP($G244,Depreciation!$A$14:$L$18,10,FALSE),0))</f>
        <v>2.4351536427798831E-2</v>
      </c>
      <c r="M244" s="306">
        <f>+IF($H244=M$2,VLOOKUP($G244,Depreciation!$A$14:$L$18,11,FALSE)/2,IF($H244&lt;M$2,VLOOKUP($G244,Depreciation!$A$14:$L$18,11,FALSE),0))</f>
        <v>2.4351536427798831E-2</v>
      </c>
      <c r="N244" s="306">
        <f>+IF($H244=N$2,VLOOKUP($G244,Depreciation!$A$14:$L$18,12,FALSE)/2,IF($H244&lt;N$2,VLOOKUP($G244,Depreciation!$A$14:$L$18,12,FALSE),0))</f>
        <v>2.4351536427798831E-2</v>
      </c>
      <c r="O244" s="307">
        <f t="shared" si="25"/>
        <v>3316236.4850996886</v>
      </c>
      <c r="P244" s="732">
        <f>'Func Future Subs 2015'!P244</f>
        <v>0</v>
      </c>
      <c r="Q244" s="732">
        <f>'Func Future Subs 2015'!Q244</f>
        <v>1</v>
      </c>
      <c r="R244" s="732">
        <f>'Func Future Subs 2015'!R244</f>
        <v>0</v>
      </c>
      <c r="S244" s="735">
        <f t="shared" si="26"/>
        <v>0</v>
      </c>
      <c r="T244" s="735">
        <f t="shared" si="27"/>
        <v>3316236.4850996886</v>
      </c>
      <c r="U244" s="735">
        <f t="shared" si="28"/>
        <v>0</v>
      </c>
      <c r="V244" s="736">
        <f t="shared" si="29"/>
        <v>0</v>
      </c>
      <c r="W244" s="735">
        <f t="shared" si="30"/>
        <v>0</v>
      </c>
      <c r="X244" s="737">
        <f t="shared" si="31"/>
        <v>0</v>
      </c>
      <c r="Y244" s="738">
        <f t="shared" si="32"/>
        <v>3316236.4850996886</v>
      </c>
    </row>
    <row r="245" spans="1:25">
      <c r="A245" s="754" t="str">
        <f>'Func Future Subs 2015'!A245</f>
        <v>Brintnell</v>
      </c>
      <c r="B245" s="754">
        <f>'Func Future Subs 2015'!B245</f>
        <v>1321</v>
      </c>
      <c r="C245" s="754">
        <f>'Func Future Subs 2015'!C245</f>
        <v>138</v>
      </c>
      <c r="D245" s="754">
        <f>'Func Future Subs 2015'!D245</f>
        <v>0</v>
      </c>
      <c r="E245" s="754">
        <f>'Func Future Subs 2015'!E245</f>
        <v>0</v>
      </c>
      <c r="F245" s="754">
        <f>'Func Future Subs 2015'!F245</f>
        <v>51372.123717071459</v>
      </c>
      <c r="G245" s="754" t="str">
        <f>'Func Future Subs 2015'!G245</f>
        <v>ATCO</v>
      </c>
      <c r="H245" s="754">
        <f>'Func Future Subs 2015'!H245</f>
        <v>2017</v>
      </c>
      <c r="I245" s="306">
        <f>+IF($H245=I$2,VLOOKUP($G245,Depreciation!$A$14:$L$18,7,FALSE)/2,IF($H245&lt;I$2,VLOOKUP($G245,Depreciation!$A$14:$L$18,7,FALSE),0))</f>
        <v>0</v>
      </c>
      <c r="J245" s="306">
        <f>+IF($H245=J$2,VLOOKUP($G245,Depreciation!$A$14:$L$18,8,FALSE)/2,IF($H245&lt;J$2,VLOOKUP($G245,Depreciation!$A$14:$L$18,8,FALSE),0))</f>
        <v>0</v>
      </c>
      <c r="K245" s="306">
        <f>+IF($H245=K$2,VLOOKUP($G245,Depreciation!$A$14:$L$18,9,FALSE)/2,IF($H245&lt;K$2,VLOOKUP($G245,Depreciation!$A$14:$L$18,9,FALSE),0))</f>
        <v>1.2175768213899416E-2</v>
      </c>
      <c r="L245" s="306">
        <f>+IF($H245=L$2,VLOOKUP($G245,Depreciation!$A$14:$L$18,10,FALSE)/2,IF($H245&lt;L$2,VLOOKUP($G245,Depreciation!$A$14:$L$18,10,FALSE),0))</f>
        <v>2.4351536427798831E-2</v>
      </c>
      <c r="M245" s="306">
        <f>+IF($H245=M$2,VLOOKUP($G245,Depreciation!$A$14:$L$18,11,FALSE)/2,IF($H245&lt;M$2,VLOOKUP($G245,Depreciation!$A$14:$L$18,11,FALSE),0))</f>
        <v>2.4351536427798831E-2</v>
      </c>
      <c r="N245" s="306">
        <f>+IF($H245=N$2,VLOOKUP($G245,Depreciation!$A$14:$L$18,12,FALSE)/2,IF($H245&lt;N$2,VLOOKUP($G245,Depreciation!$A$14:$L$18,12,FALSE),0))</f>
        <v>2.4351536427798831E-2</v>
      </c>
      <c r="O245" s="307">
        <f t="shared" si="25"/>
        <v>47128.898561769616</v>
      </c>
      <c r="P245" s="732">
        <f>'Func Future Subs 2015'!P245</f>
        <v>0</v>
      </c>
      <c r="Q245" s="732">
        <f>'Func Future Subs 2015'!Q245</f>
        <v>0</v>
      </c>
      <c r="R245" s="732">
        <f>'Func Future Subs 2015'!R245</f>
        <v>1</v>
      </c>
      <c r="S245" s="735">
        <f t="shared" si="26"/>
        <v>0</v>
      </c>
      <c r="T245" s="735">
        <f t="shared" si="27"/>
        <v>0</v>
      </c>
      <c r="U245" s="735">
        <f t="shared" si="28"/>
        <v>47128.898561769616</v>
      </c>
      <c r="V245" s="736">
        <f t="shared" si="29"/>
        <v>47128.898561769616</v>
      </c>
      <c r="W245" s="735">
        <f t="shared" si="30"/>
        <v>0</v>
      </c>
      <c r="X245" s="737">
        <f t="shared" si="31"/>
        <v>0</v>
      </c>
      <c r="Y245" s="738">
        <f t="shared" si="32"/>
        <v>0</v>
      </c>
    </row>
    <row r="246" spans="1:25">
      <c r="A246" s="754" t="str">
        <f>'Func Future Subs 2015'!A246</f>
        <v>Little Smoky 813S</v>
      </c>
      <c r="B246" s="754">
        <f>'Func Future Subs 2015'!B246</f>
        <v>1321</v>
      </c>
      <c r="C246" s="754">
        <f>'Func Future Subs 2015'!C246</f>
        <v>240</v>
      </c>
      <c r="D246" s="754">
        <f>'Func Future Subs 2015'!D246</f>
        <v>138</v>
      </c>
      <c r="E246" s="754" t="str">
        <f>'Func Future Subs 2015'!E246</f>
        <v>813S</v>
      </c>
      <c r="F246" s="754">
        <f>'Func Future Subs 2015'!F246</f>
        <v>71234.874916216097</v>
      </c>
      <c r="G246" s="754" t="str">
        <f>'Func Future Subs 2015'!G246</f>
        <v>ATCO</v>
      </c>
      <c r="H246" s="754">
        <f>'Func Future Subs 2015'!H246</f>
        <v>2017</v>
      </c>
      <c r="I246" s="306">
        <f>+IF($H246=I$2,VLOOKUP($G246,Depreciation!$A$14:$L$18,7,FALSE)/2,IF($H246&lt;I$2,VLOOKUP($G246,Depreciation!$A$14:$L$18,7,FALSE),0))</f>
        <v>0</v>
      </c>
      <c r="J246" s="306">
        <f>+IF($H246=J$2,VLOOKUP($G246,Depreciation!$A$14:$L$18,8,FALSE)/2,IF($H246&lt;J$2,VLOOKUP($G246,Depreciation!$A$14:$L$18,8,FALSE),0))</f>
        <v>0</v>
      </c>
      <c r="K246" s="306">
        <f>+IF($H246=K$2,VLOOKUP($G246,Depreciation!$A$14:$L$18,9,FALSE)/2,IF($H246&lt;K$2,VLOOKUP($G246,Depreciation!$A$14:$L$18,9,FALSE),0))</f>
        <v>1.2175768213899416E-2</v>
      </c>
      <c r="L246" s="306">
        <f>+IF($H246=L$2,VLOOKUP($G246,Depreciation!$A$14:$L$18,10,FALSE)/2,IF($H246&lt;L$2,VLOOKUP($G246,Depreciation!$A$14:$L$18,10,FALSE),0))</f>
        <v>2.4351536427798831E-2</v>
      </c>
      <c r="M246" s="306">
        <f>+IF($H246=M$2,VLOOKUP($G246,Depreciation!$A$14:$L$18,11,FALSE)/2,IF($H246&lt;M$2,VLOOKUP($G246,Depreciation!$A$14:$L$18,11,FALSE),0))</f>
        <v>2.4351536427798831E-2</v>
      </c>
      <c r="N246" s="306">
        <f>+IF($H246=N$2,VLOOKUP($G246,Depreciation!$A$14:$L$18,12,FALSE)/2,IF($H246&lt;N$2,VLOOKUP($G246,Depreciation!$A$14:$L$18,12,FALSE),0))</f>
        <v>2.4351536427798831E-2</v>
      </c>
      <c r="O246" s="307">
        <f t="shared" si="25"/>
        <v>65351.029918022599</v>
      </c>
      <c r="P246" s="732">
        <f>'Func Future Subs 2015'!P246</f>
        <v>0</v>
      </c>
      <c r="Q246" s="732">
        <f>'Func Future Subs 2015'!Q246</f>
        <v>0</v>
      </c>
      <c r="R246" s="732">
        <f>'Func Future Subs 2015'!R246</f>
        <v>1</v>
      </c>
      <c r="S246" s="735">
        <f t="shared" si="26"/>
        <v>0</v>
      </c>
      <c r="T246" s="735">
        <f t="shared" si="27"/>
        <v>0</v>
      </c>
      <c r="U246" s="735">
        <f t="shared" si="28"/>
        <v>65351.029918022599</v>
      </c>
      <c r="V246" s="736">
        <f t="shared" si="29"/>
        <v>0</v>
      </c>
      <c r="W246" s="735">
        <f t="shared" si="30"/>
        <v>0</v>
      </c>
      <c r="X246" s="737">
        <f t="shared" si="31"/>
        <v>65351.029918022599</v>
      </c>
      <c r="Y246" s="738">
        <f t="shared" si="32"/>
        <v>0</v>
      </c>
    </row>
    <row r="247" spans="1:25">
      <c r="A247" s="754" t="str">
        <f>'Func Future Subs 2015'!A247</f>
        <v>Louise Creek 809S</v>
      </c>
      <c r="B247" s="754">
        <f>'Func Future Subs 2015'!B247</f>
        <v>1321</v>
      </c>
      <c r="C247" s="754">
        <f>'Func Future Subs 2015'!C247</f>
        <v>240</v>
      </c>
      <c r="D247" s="754">
        <f>'Func Future Subs 2015'!D247</f>
        <v>144</v>
      </c>
      <c r="E247" s="754" t="str">
        <f>'Func Future Subs 2015'!E247</f>
        <v>809S</v>
      </c>
      <c r="F247" s="754">
        <f>'Func Future Subs 2015'!F247</f>
        <v>67376.674391001157</v>
      </c>
      <c r="G247" s="754" t="str">
        <f>'Func Future Subs 2015'!G247</f>
        <v>ATCO</v>
      </c>
      <c r="H247" s="754">
        <f>'Func Future Subs 2015'!H247</f>
        <v>2017</v>
      </c>
      <c r="I247" s="306">
        <f>+IF($H247=I$2,VLOOKUP($G247,Depreciation!$A$14:$L$18,7,FALSE)/2,IF($H247&lt;I$2,VLOOKUP($G247,Depreciation!$A$14:$L$18,7,FALSE),0))</f>
        <v>0</v>
      </c>
      <c r="J247" s="306">
        <f>+IF($H247=J$2,VLOOKUP($G247,Depreciation!$A$14:$L$18,8,FALSE)/2,IF($H247&lt;J$2,VLOOKUP($G247,Depreciation!$A$14:$L$18,8,FALSE),0))</f>
        <v>0</v>
      </c>
      <c r="K247" s="306">
        <f>+IF($H247=K$2,VLOOKUP($G247,Depreciation!$A$14:$L$18,9,FALSE)/2,IF($H247&lt;K$2,VLOOKUP($G247,Depreciation!$A$14:$L$18,9,FALSE),0))</f>
        <v>1.2175768213899416E-2</v>
      </c>
      <c r="L247" s="306">
        <f>+IF($H247=L$2,VLOOKUP($G247,Depreciation!$A$14:$L$18,10,FALSE)/2,IF($H247&lt;L$2,VLOOKUP($G247,Depreciation!$A$14:$L$18,10,FALSE),0))</f>
        <v>2.4351536427798831E-2</v>
      </c>
      <c r="M247" s="306">
        <f>+IF($H247=M$2,VLOOKUP($G247,Depreciation!$A$14:$L$18,11,FALSE)/2,IF($H247&lt;M$2,VLOOKUP($G247,Depreciation!$A$14:$L$18,11,FALSE),0))</f>
        <v>2.4351536427798831E-2</v>
      </c>
      <c r="N247" s="306">
        <f>+IF($H247=N$2,VLOOKUP($G247,Depreciation!$A$14:$L$18,12,FALSE)/2,IF($H247&lt;N$2,VLOOKUP($G247,Depreciation!$A$14:$L$18,12,FALSE),0))</f>
        <v>2.4351536427798831E-2</v>
      </c>
      <c r="O247" s="307">
        <f t="shared" si="25"/>
        <v>61811.508324847811</v>
      </c>
      <c r="P247" s="732">
        <f>'Func Future Subs 2015'!P247</f>
        <v>0</v>
      </c>
      <c r="Q247" s="732">
        <f>'Func Future Subs 2015'!Q247</f>
        <v>0</v>
      </c>
      <c r="R247" s="732">
        <f>'Func Future Subs 2015'!R247</f>
        <v>1</v>
      </c>
      <c r="S247" s="735">
        <f t="shared" si="26"/>
        <v>0</v>
      </c>
      <c r="T247" s="735">
        <f t="shared" si="27"/>
        <v>0</v>
      </c>
      <c r="U247" s="735">
        <f t="shared" si="28"/>
        <v>61811.508324847811</v>
      </c>
      <c r="V247" s="736">
        <f t="shared" si="29"/>
        <v>0</v>
      </c>
      <c r="W247" s="735">
        <f t="shared" si="30"/>
        <v>0</v>
      </c>
      <c r="X247" s="737">
        <f t="shared" si="31"/>
        <v>61811.508324847811</v>
      </c>
      <c r="Y247" s="738">
        <f t="shared" si="32"/>
        <v>0</v>
      </c>
    </row>
    <row r="248" spans="1:25">
      <c r="A248" s="754" t="str">
        <f>'Func Future Subs 2015'!A248</f>
        <v>Wesley 834S Substation</v>
      </c>
      <c r="B248" s="754">
        <f>'Func Future Subs 2015'!B248</f>
        <v>1321</v>
      </c>
      <c r="C248" s="754">
        <f>'Func Future Subs 2015'!C248</f>
        <v>240</v>
      </c>
      <c r="D248" s="754">
        <f>'Func Future Subs 2015'!D248</f>
        <v>144</v>
      </c>
      <c r="E248" s="754" t="str">
        <f>'Func Future Subs 2015'!E248</f>
        <v>834S</v>
      </c>
      <c r="F248" s="754">
        <f>'Func Future Subs 2015'!F248</f>
        <v>6851820.2017634856</v>
      </c>
      <c r="G248" s="754" t="str">
        <f>'Func Future Subs 2015'!G248</f>
        <v>ATCO</v>
      </c>
      <c r="H248" s="754">
        <f>'Func Future Subs 2015'!H248</f>
        <v>2017</v>
      </c>
      <c r="I248" s="306">
        <f>+IF($H248=I$2,VLOOKUP($G248,Depreciation!$A$14:$L$18,7,FALSE)/2,IF($H248&lt;I$2,VLOOKUP($G248,Depreciation!$A$14:$L$18,7,FALSE),0))</f>
        <v>0</v>
      </c>
      <c r="J248" s="306">
        <f>+IF($H248=J$2,VLOOKUP($G248,Depreciation!$A$14:$L$18,8,FALSE)/2,IF($H248&lt;J$2,VLOOKUP($G248,Depreciation!$A$14:$L$18,8,FALSE),0))</f>
        <v>0</v>
      </c>
      <c r="K248" s="306">
        <f>+IF($H248=K$2,VLOOKUP($G248,Depreciation!$A$14:$L$18,9,FALSE)/2,IF($H248&lt;K$2,VLOOKUP($G248,Depreciation!$A$14:$L$18,9,FALSE),0))</f>
        <v>1.2175768213899416E-2</v>
      </c>
      <c r="L248" s="306">
        <f>+IF($H248=L$2,VLOOKUP($G248,Depreciation!$A$14:$L$18,10,FALSE)/2,IF($H248&lt;L$2,VLOOKUP($G248,Depreciation!$A$14:$L$18,10,FALSE),0))</f>
        <v>2.4351536427798831E-2</v>
      </c>
      <c r="M248" s="306">
        <f>+IF($H248=M$2,VLOOKUP($G248,Depreciation!$A$14:$L$18,11,FALSE)/2,IF($H248&lt;M$2,VLOOKUP($G248,Depreciation!$A$14:$L$18,11,FALSE),0))</f>
        <v>2.4351536427798831E-2</v>
      </c>
      <c r="N248" s="306">
        <f>+IF($H248=N$2,VLOOKUP($G248,Depreciation!$A$14:$L$18,12,FALSE)/2,IF($H248&lt;N$2,VLOOKUP($G248,Depreciation!$A$14:$L$18,12,FALSE),0))</f>
        <v>2.4351536427798831E-2</v>
      </c>
      <c r="O248" s="307">
        <f t="shared" si="25"/>
        <v>6285874.8264106922</v>
      </c>
      <c r="P248" s="732">
        <f>'Func Future Subs 2015'!P248</f>
        <v>0</v>
      </c>
      <c r="Q248" s="732">
        <f>'Func Future Subs 2015'!Q248</f>
        <v>0</v>
      </c>
      <c r="R248" s="732">
        <f>'Func Future Subs 2015'!R248</f>
        <v>1</v>
      </c>
      <c r="S248" s="735">
        <f t="shared" si="26"/>
        <v>0</v>
      </c>
      <c r="T248" s="735">
        <f t="shared" si="27"/>
        <v>0</v>
      </c>
      <c r="U248" s="735">
        <f t="shared" si="28"/>
        <v>6285874.8264106922</v>
      </c>
      <c r="V248" s="736">
        <f t="shared" si="29"/>
        <v>0</v>
      </c>
      <c r="W248" s="735">
        <f t="shared" si="30"/>
        <v>0</v>
      </c>
      <c r="X248" s="737">
        <f t="shared" si="31"/>
        <v>6285874.8264106922</v>
      </c>
      <c r="Y248" s="738">
        <f t="shared" si="32"/>
        <v>0</v>
      </c>
    </row>
    <row r="249" spans="1:25">
      <c r="A249" s="754" t="str">
        <f>'Func Future Subs 2015'!A249</f>
        <v>West Pease A793S</v>
      </c>
      <c r="B249" s="754">
        <f>'Func Future Subs 2015'!B249</f>
        <v>1321</v>
      </c>
      <c r="C249" s="754">
        <f>'Func Future Subs 2015'!C249</f>
        <v>138</v>
      </c>
      <c r="D249" s="754">
        <f>'Func Future Subs 2015'!D249</f>
        <v>25</v>
      </c>
      <c r="E249" s="754" t="str">
        <f>'Func Future Subs 2015'!E249</f>
        <v>A793S</v>
      </c>
      <c r="F249" s="754">
        <f>'Func Future Subs 2015'!F249</f>
        <v>43376.462438149829</v>
      </c>
      <c r="G249" s="754" t="str">
        <f>'Func Future Subs 2015'!G249</f>
        <v>ATCO</v>
      </c>
      <c r="H249" s="754">
        <f>'Func Future Subs 2015'!H249</f>
        <v>2017</v>
      </c>
      <c r="I249" s="306">
        <f>+IF($H249=I$2,VLOOKUP($G249,Depreciation!$A$14:$L$18,7,FALSE)/2,IF($H249&lt;I$2,VLOOKUP($G249,Depreciation!$A$14:$L$18,7,FALSE),0))</f>
        <v>0</v>
      </c>
      <c r="J249" s="306">
        <f>+IF($H249=J$2,VLOOKUP($G249,Depreciation!$A$14:$L$18,8,FALSE)/2,IF($H249&lt;J$2,VLOOKUP($G249,Depreciation!$A$14:$L$18,8,FALSE),0))</f>
        <v>0</v>
      </c>
      <c r="K249" s="306">
        <f>+IF($H249=K$2,VLOOKUP($G249,Depreciation!$A$14:$L$18,9,FALSE)/2,IF($H249&lt;K$2,VLOOKUP($G249,Depreciation!$A$14:$L$18,9,FALSE),0))</f>
        <v>1.2175768213899416E-2</v>
      </c>
      <c r="L249" s="306">
        <f>+IF($H249=L$2,VLOOKUP($G249,Depreciation!$A$14:$L$18,10,FALSE)/2,IF($H249&lt;L$2,VLOOKUP($G249,Depreciation!$A$14:$L$18,10,FALSE),0))</f>
        <v>2.4351536427798831E-2</v>
      </c>
      <c r="M249" s="306">
        <f>+IF($H249=M$2,VLOOKUP($G249,Depreciation!$A$14:$L$18,11,FALSE)/2,IF($H249&lt;M$2,VLOOKUP($G249,Depreciation!$A$14:$L$18,11,FALSE),0))</f>
        <v>2.4351536427798831E-2</v>
      </c>
      <c r="N249" s="306">
        <f>+IF($H249=N$2,VLOOKUP($G249,Depreciation!$A$14:$L$18,12,FALSE)/2,IF($H249&lt;N$2,VLOOKUP($G249,Depreciation!$A$14:$L$18,12,FALSE),0))</f>
        <v>2.4351536427798831E-2</v>
      </c>
      <c r="O249" s="307">
        <f t="shared" si="25"/>
        <v>39793.661431533103</v>
      </c>
      <c r="P249" s="732">
        <f>'Func Future Subs 2015'!P249</f>
        <v>0</v>
      </c>
      <c r="Q249" s="732">
        <f>'Func Future Subs 2015'!Q249</f>
        <v>1</v>
      </c>
      <c r="R249" s="732">
        <f>'Func Future Subs 2015'!R249</f>
        <v>0</v>
      </c>
      <c r="S249" s="735">
        <f t="shared" si="26"/>
        <v>0</v>
      </c>
      <c r="T249" s="735">
        <f t="shared" si="27"/>
        <v>39793.661431533103</v>
      </c>
      <c r="U249" s="735">
        <f t="shared" si="28"/>
        <v>0</v>
      </c>
      <c r="V249" s="736">
        <f t="shared" si="29"/>
        <v>0</v>
      </c>
      <c r="W249" s="735">
        <f t="shared" si="30"/>
        <v>0</v>
      </c>
      <c r="X249" s="737">
        <f t="shared" si="31"/>
        <v>0</v>
      </c>
      <c r="Y249" s="738">
        <f t="shared" si="32"/>
        <v>39793.661431533103</v>
      </c>
    </row>
    <row r="250" spans="1:25">
      <c r="A250" s="754" t="str">
        <f>'Func Future Subs 2015'!A250</f>
        <v>Al Rothbauer 321S</v>
      </c>
      <c r="B250" s="754">
        <f>'Func Future Subs 2015'!B250</f>
        <v>1326</v>
      </c>
      <c r="C250" s="754">
        <f>'Func Future Subs 2015'!C250</f>
        <v>138</v>
      </c>
      <c r="D250" s="754">
        <f>'Func Future Subs 2015'!D250</f>
        <v>138</v>
      </c>
      <c r="E250" s="754" t="str">
        <f>'Func Future Subs 2015'!E250</f>
        <v>321S</v>
      </c>
      <c r="F250" s="754">
        <f>'Func Future Subs 2015'!F250</f>
        <v>6469865.2231551046</v>
      </c>
      <c r="G250" s="754" t="str">
        <f>'Func Future Subs 2015'!G250</f>
        <v>AltaLink</v>
      </c>
      <c r="H250" s="754">
        <f>'Func Future Subs 2015'!H250</f>
        <v>2017</v>
      </c>
      <c r="I250" s="306">
        <f>+IF($H250=I$2,VLOOKUP($G250,Depreciation!$A$14:$L$18,7,FALSE)/2,IF($H250&lt;I$2,VLOOKUP($G250,Depreciation!$A$14:$L$18,7,FALSE),0))</f>
        <v>0</v>
      </c>
      <c r="J250" s="306">
        <f>+IF($H250=J$2,VLOOKUP($G250,Depreciation!$A$14:$L$18,8,FALSE)/2,IF($H250&lt;J$2,VLOOKUP($G250,Depreciation!$A$14:$L$18,8,FALSE),0))</f>
        <v>0</v>
      </c>
      <c r="K250" s="306">
        <f>+IF($H250=K$2,VLOOKUP($G250,Depreciation!$A$14:$L$18,9,FALSE)/2,IF($H250&lt;K$2,VLOOKUP($G250,Depreciation!$A$14:$L$18,9,FALSE),0))</f>
        <v>1.671703928371859E-2</v>
      </c>
      <c r="L250" s="306">
        <f>+IF($H250=L$2,VLOOKUP($G250,Depreciation!$A$14:$L$18,10,FALSE)/2,IF($H250&lt;L$2,VLOOKUP($G250,Depreciation!$A$14:$L$18,10,FALSE),0))</f>
        <v>3.343407856743718E-2</v>
      </c>
      <c r="M250" s="306">
        <f>+IF($H250=M$2,VLOOKUP($G250,Depreciation!$A$14:$L$18,11,FALSE)/2,IF($H250&lt;M$2,VLOOKUP($G250,Depreciation!$A$14:$L$18,11,FALSE),0))</f>
        <v>3.343407856743718E-2</v>
      </c>
      <c r="N250" s="306">
        <f>+IF($H250=N$2,VLOOKUP($G250,Depreciation!$A$14:$L$18,12,FALSE)/2,IF($H250&lt;N$2,VLOOKUP($G250,Depreciation!$A$14:$L$18,12,FALSE),0))</f>
        <v>3.343407856743718E-2</v>
      </c>
      <c r="O250" s="307">
        <f t="shared" si="25"/>
        <v>5744710.9820088157</v>
      </c>
      <c r="P250" s="732">
        <f>'Func Future Subs 2015'!P250</f>
        <v>0</v>
      </c>
      <c r="Q250" s="732">
        <f>'Func Future Subs 2015'!Q250</f>
        <v>0</v>
      </c>
      <c r="R250" s="732">
        <f>'Func Future Subs 2015'!R250</f>
        <v>1</v>
      </c>
      <c r="S250" s="735">
        <f t="shared" si="26"/>
        <v>0</v>
      </c>
      <c r="T250" s="735">
        <f t="shared" si="27"/>
        <v>0</v>
      </c>
      <c r="U250" s="735">
        <f t="shared" si="28"/>
        <v>5744710.9820088157</v>
      </c>
      <c r="V250" s="736">
        <f t="shared" si="29"/>
        <v>0</v>
      </c>
      <c r="W250" s="735">
        <f t="shared" si="30"/>
        <v>0</v>
      </c>
      <c r="X250" s="737">
        <f t="shared" si="31"/>
        <v>5744710.9820088157</v>
      </c>
      <c r="Y250" s="738">
        <f t="shared" si="32"/>
        <v>0</v>
      </c>
    </row>
    <row r="251" spans="1:25">
      <c r="A251" s="754" t="str">
        <f>'Func Future Subs 2015'!A251</f>
        <v>Bowmanton 244S</v>
      </c>
      <c r="B251" s="754">
        <f>'Func Future Subs 2015'!B251</f>
        <v>1326</v>
      </c>
      <c r="C251" s="754">
        <f>'Func Future Subs 2015'!C251</f>
        <v>240</v>
      </c>
      <c r="D251" s="754">
        <f>'Func Future Subs 2015'!D251</f>
        <v>138</v>
      </c>
      <c r="E251" s="754" t="str">
        <f>'Func Future Subs 2015'!E251</f>
        <v>244S</v>
      </c>
      <c r="F251" s="754">
        <f>'Func Future Subs 2015'!F251</f>
        <v>14949.624392399472</v>
      </c>
      <c r="G251" s="754" t="str">
        <f>'Func Future Subs 2015'!G251</f>
        <v>AltaLink</v>
      </c>
      <c r="H251" s="754">
        <f>'Func Future Subs 2015'!H251</f>
        <v>2017</v>
      </c>
      <c r="I251" s="306">
        <f>+IF($H251=I$2,VLOOKUP($G251,Depreciation!$A$14:$L$18,7,FALSE)/2,IF($H251&lt;I$2,VLOOKUP($G251,Depreciation!$A$14:$L$18,7,FALSE),0))</f>
        <v>0</v>
      </c>
      <c r="J251" s="306">
        <f>+IF($H251=J$2,VLOOKUP($G251,Depreciation!$A$14:$L$18,8,FALSE)/2,IF($H251&lt;J$2,VLOOKUP($G251,Depreciation!$A$14:$L$18,8,FALSE),0))</f>
        <v>0</v>
      </c>
      <c r="K251" s="306">
        <f>+IF($H251=K$2,VLOOKUP($G251,Depreciation!$A$14:$L$18,9,FALSE)/2,IF($H251&lt;K$2,VLOOKUP($G251,Depreciation!$A$14:$L$18,9,FALSE),0))</f>
        <v>1.671703928371859E-2</v>
      </c>
      <c r="L251" s="306">
        <f>+IF($H251=L$2,VLOOKUP($G251,Depreciation!$A$14:$L$18,10,FALSE)/2,IF($H251&lt;L$2,VLOOKUP($G251,Depreciation!$A$14:$L$18,10,FALSE),0))</f>
        <v>3.343407856743718E-2</v>
      </c>
      <c r="M251" s="306">
        <f>+IF($H251=M$2,VLOOKUP($G251,Depreciation!$A$14:$L$18,11,FALSE)/2,IF($H251&lt;M$2,VLOOKUP($G251,Depreciation!$A$14:$L$18,11,FALSE),0))</f>
        <v>3.343407856743718E-2</v>
      </c>
      <c r="N251" s="306">
        <f>+IF($H251=N$2,VLOOKUP($G251,Depreciation!$A$14:$L$18,12,FALSE)/2,IF($H251&lt;N$2,VLOOKUP($G251,Depreciation!$A$14:$L$18,12,FALSE),0))</f>
        <v>3.343407856743718E-2</v>
      </c>
      <c r="O251" s="307">
        <f t="shared" si="25"/>
        <v>13274.04334738879</v>
      </c>
      <c r="P251" s="732">
        <f>'Func Future Subs 2015'!P251</f>
        <v>0</v>
      </c>
      <c r="Q251" s="732">
        <f>'Func Future Subs 2015'!Q251</f>
        <v>0</v>
      </c>
      <c r="R251" s="732">
        <f>'Func Future Subs 2015'!R251</f>
        <v>1</v>
      </c>
      <c r="S251" s="735">
        <f t="shared" si="26"/>
        <v>0</v>
      </c>
      <c r="T251" s="735">
        <f t="shared" si="27"/>
        <v>0</v>
      </c>
      <c r="U251" s="735">
        <f t="shared" si="28"/>
        <v>13274.04334738879</v>
      </c>
      <c r="V251" s="736">
        <f t="shared" si="29"/>
        <v>0</v>
      </c>
      <c r="W251" s="735">
        <f t="shared" si="30"/>
        <v>0</v>
      </c>
      <c r="X251" s="737">
        <f t="shared" si="31"/>
        <v>13274.04334738879</v>
      </c>
      <c r="Y251" s="738">
        <f t="shared" si="32"/>
        <v>0</v>
      </c>
    </row>
    <row r="252" spans="1:25">
      <c r="A252" s="754" t="str">
        <f>'Func Future Subs 2015'!A252</f>
        <v>Bullhead 523S</v>
      </c>
      <c r="B252" s="754">
        <f>'Func Future Subs 2015'!B252</f>
        <v>1326</v>
      </c>
      <c r="C252" s="754">
        <f>'Func Future Subs 2015'!C252</f>
        <v>240</v>
      </c>
      <c r="D252" s="754">
        <f>'Func Future Subs 2015'!D252</f>
        <v>25</v>
      </c>
      <c r="E252" s="754" t="str">
        <f>'Func Future Subs 2015'!E252</f>
        <v>523S</v>
      </c>
      <c r="F252" s="754">
        <f>'Func Future Subs 2015'!F252</f>
        <v>116274.85638532921</v>
      </c>
      <c r="G252" s="754" t="str">
        <f>'Func Future Subs 2015'!G252</f>
        <v>AltaLink</v>
      </c>
      <c r="H252" s="754">
        <f>'Func Future Subs 2015'!H252</f>
        <v>2017</v>
      </c>
      <c r="I252" s="306">
        <f>+IF($H252=I$2,VLOOKUP($G252,Depreciation!$A$14:$L$18,7,FALSE)/2,IF($H252&lt;I$2,VLOOKUP($G252,Depreciation!$A$14:$L$18,7,FALSE),0))</f>
        <v>0</v>
      </c>
      <c r="J252" s="306">
        <f>+IF($H252=J$2,VLOOKUP($G252,Depreciation!$A$14:$L$18,8,FALSE)/2,IF($H252&lt;J$2,VLOOKUP($G252,Depreciation!$A$14:$L$18,8,FALSE),0))</f>
        <v>0</v>
      </c>
      <c r="K252" s="306">
        <f>+IF($H252=K$2,VLOOKUP($G252,Depreciation!$A$14:$L$18,9,FALSE)/2,IF($H252&lt;K$2,VLOOKUP($G252,Depreciation!$A$14:$L$18,9,FALSE),0))</f>
        <v>1.671703928371859E-2</v>
      </c>
      <c r="L252" s="306">
        <f>+IF($H252=L$2,VLOOKUP($G252,Depreciation!$A$14:$L$18,10,FALSE)/2,IF($H252&lt;L$2,VLOOKUP($G252,Depreciation!$A$14:$L$18,10,FALSE),0))</f>
        <v>3.343407856743718E-2</v>
      </c>
      <c r="M252" s="306">
        <f>+IF($H252=M$2,VLOOKUP($G252,Depreciation!$A$14:$L$18,11,FALSE)/2,IF($H252&lt;M$2,VLOOKUP($G252,Depreciation!$A$14:$L$18,11,FALSE),0))</f>
        <v>3.343407856743718E-2</v>
      </c>
      <c r="N252" s="306">
        <f>+IF($H252=N$2,VLOOKUP($G252,Depreciation!$A$14:$L$18,12,FALSE)/2,IF($H252&lt;N$2,VLOOKUP($G252,Depreciation!$A$14:$L$18,12,FALSE),0))</f>
        <v>3.343407856743718E-2</v>
      </c>
      <c r="O252" s="307">
        <f t="shared" si="25"/>
        <v>103242.55936857947</v>
      </c>
      <c r="P252" s="732">
        <f>'Func Future Subs 2015'!P252</f>
        <v>0</v>
      </c>
      <c r="Q252" s="732">
        <f>'Func Future Subs 2015'!Q252</f>
        <v>1</v>
      </c>
      <c r="R252" s="732">
        <f>'Func Future Subs 2015'!R252</f>
        <v>0</v>
      </c>
      <c r="S252" s="735">
        <f t="shared" si="26"/>
        <v>0</v>
      </c>
      <c r="T252" s="735">
        <f t="shared" si="27"/>
        <v>103242.55936857947</v>
      </c>
      <c r="U252" s="735">
        <f t="shared" si="28"/>
        <v>0</v>
      </c>
      <c r="V252" s="736">
        <f t="shared" si="29"/>
        <v>0</v>
      </c>
      <c r="W252" s="735">
        <f t="shared" si="30"/>
        <v>0</v>
      </c>
      <c r="X252" s="737">
        <f t="shared" si="31"/>
        <v>0</v>
      </c>
      <c r="Y252" s="738">
        <f t="shared" si="32"/>
        <v>103242.55936857947</v>
      </c>
    </row>
    <row r="253" spans="1:25">
      <c r="A253" s="754" t="str">
        <f>'Func Future Subs 2015'!A253</f>
        <v>Fort Macleod 15S_(v1)</v>
      </c>
      <c r="B253" s="754">
        <f>'Func Future Subs 2015'!B253</f>
        <v>1336</v>
      </c>
      <c r="C253" s="754">
        <f>'Func Future Subs 2015'!C253</f>
        <v>138</v>
      </c>
      <c r="D253" s="754">
        <f>'Func Future Subs 2015'!D253</f>
        <v>25</v>
      </c>
      <c r="E253" s="754" t="str">
        <f>'Func Future Subs 2015'!E253</f>
        <v>15S</v>
      </c>
      <c r="F253" s="754">
        <f>'Func Future Subs 2015'!F253</f>
        <v>267677.39372268558</v>
      </c>
      <c r="G253" s="754" t="str">
        <f>'Func Future Subs 2015'!G253</f>
        <v>AltaLink</v>
      </c>
      <c r="H253" s="754">
        <f>'Func Future Subs 2015'!H253</f>
        <v>2018</v>
      </c>
      <c r="I253" s="306">
        <f>+IF($H253=I$2,VLOOKUP($G253,Depreciation!$A$14:$L$18,7,FALSE)/2,IF($H253&lt;I$2,VLOOKUP($G253,Depreciation!$A$14:$L$18,7,FALSE),0))</f>
        <v>0</v>
      </c>
      <c r="J253" s="306">
        <f>+IF($H253=J$2,VLOOKUP($G253,Depreciation!$A$14:$L$18,8,FALSE)/2,IF($H253&lt;J$2,VLOOKUP($G253,Depreciation!$A$14:$L$18,8,FALSE),0))</f>
        <v>0</v>
      </c>
      <c r="K253" s="306">
        <f>+IF($H253=K$2,VLOOKUP($G253,Depreciation!$A$14:$L$18,9,FALSE)/2,IF($H253&lt;K$2,VLOOKUP($G253,Depreciation!$A$14:$L$18,9,FALSE),0))</f>
        <v>0</v>
      </c>
      <c r="L253" s="306">
        <f>+IF($H253=L$2,VLOOKUP($G253,Depreciation!$A$14:$L$18,10,FALSE)/2,IF($H253&lt;L$2,VLOOKUP($G253,Depreciation!$A$14:$L$18,10,FALSE),0))</f>
        <v>1.671703928371859E-2</v>
      </c>
      <c r="M253" s="306">
        <f>+IF($H253=M$2,VLOOKUP($G253,Depreciation!$A$14:$L$18,11,FALSE)/2,IF($H253&lt;M$2,VLOOKUP($G253,Depreciation!$A$14:$L$18,11,FALSE),0))</f>
        <v>3.343407856743718E-2</v>
      </c>
      <c r="N253" s="306">
        <f>+IF($H253=N$2,VLOOKUP($G253,Depreciation!$A$14:$L$18,12,FALSE)/2,IF($H253&lt;N$2,VLOOKUP($G253,Depreciation!$A$14:$L$18,12,FALSE),0))</f>
        <v>3.343407856743718E-2</v>
      </c>
      <c r="O253" s="307">
        <f t="shared" si="25"/>
        <v>245896.96383735244</v>
      </c>
      <c r="P253" s="732">
        <f>'Func Future Subs 2015'!P253</f>
        <v>0.16326530612244897</v>
      </c>
      <c r="Q253" s="732">
        <f>'Func Future Subs 2015'!Q253</f>
        <v>0.83673469387755106</v>
      </c>
      <c r="R253" s="732">
        <f>'Func Future Subs 2015'!R253</f>
        <v>0</v>
      </c>
      <c r="S253" s="735">
        <f t="shared" si="26"/>
        <v>40146.44307548611</v>
      </c>
      <c r="T253" s="735">
        <f t="shared" si="27"/>
        <v>205750.52076186633</v>
      </c>
      <c r="U253" s="735">
        <f t="shared" si="28"/>
        <v>0</v>
      </c>
      <c r="V253" s="736">
        <f t="shared" si="29"/>
        <v>0</v>
      </c>
      <c r="W253" s="735">
        <f t="shared" si="30"/>
        <v>40146.44307548611</v>
      </c>
      <c r="X253" s="737">
        <f t="shared" si="31"/>
        <v>0</v>
      </c>
      <c r="Y253" s="738">
        <f t="shared" si="32"/>
        <v>205750.52076186633</v>
      </c>
    </row>
    <row r="254" spans="1:25">
      <c r="A254" s="754" t="str">
        <f>'Func Future Subs 2015'!A254</f>
        <v>McGregor Lake 200S_(v1)</v>
      </c>
      <c r="B254" s="754">
        <f>'Func Future Subs 2015'!B254</f>
        <v>1336</v>
      </c>
      <c r="C254" s="754">
        <f>'Func Future Subs 2015'!C254</f>
        <v>138</v>
      </c>
      <c r="D254" s="754">
        <f>'Func Future Subs 2015'!D254</f>
        <v>138</v>
      </c>
      <c r="E254" s="754" t="str">
        <f>'Func Future Subs 2015'!E254</f>
        <v>200S</v>
      </c>
      <c r="F254" s="754">
        <f>'Func Future Subs 2015'!F254</f>
        <v>732176.40047675755</v>
      </c>
      <c r="G254" s="754" t="str">
        <f>'Func Future Subs 2015'!G254</f>
        <v>AltaLink</v>
      </c>
      <c r="H254" s="754">
        <f>'Func Future Subs 2015'!H254</f>
        <v>2018</v>
      </c>
      <c r="I254" s="306">
        <f>+IF($H254=I$2,VLOOKUP($G254,Depreciation!$A$14:$L$18,7,FALSE)/2,IF($H254&lt;I$2,VLOOKUP($G254,Depreciation!$A$14:$L$18,7,FALSE),0))</f>
        <v>0</v>
      </c>
      <c r="J254" s="306">
        <f>+IF($H254=J$2,VLOOKUP($G254,Depreciation!$A$14:$L$18,8,FALSE)/2,IF($H254&lt;J$2,VLOOKUP($G254,Depreciation!$A$14:$L$18,8,FALSE),0))</f>
        <v>0</v>
      </c>
      <c r="K254" s="306">
        <f>+IF($H254=K$2,VLOOKUP($G254,Depreciation!$A$14:$L$18,9,FALSE)/2,IF($H254&lt;K$2,VLOOKUP($G254,Depreciation!$A$14:$L$18,9,FALSE),0))</f>
        <v>0</v>
      </c>
      <c r="L254" s="306">
        <f>+IF($H254=L$2,VLOOKUP($G254,Depreciation!$A$14:$L$18,10,FALSE)/2,IF($H254&lt;L$2,VLOOKUP($G254,Depreciation!$A$14:$L$18,10,FALSE),0))</f>
        <v>1.671703928371859E-2</v>
      </c>
      <c r="M254" s="306">
        <f>+IF($H254=M$2,VLOOKUP($G254,Depreciation!$A$14:$L$18,11,FALSE)/2,IF($H254&lt;M$2,VLOOKUP($G254,Depreciation!$A$14:$L$18,11,FALSE),0))</f>
        <v>3.343407856743718E-2</v>
      </c>
      <c r="N254" s="306">
        <f>+IF($H254=N$2,VLOOKUP($G254,Depreciation!$A$14:$L$18,12,FALSE)/2,IF($H254&lt;N$2,VLOOKUP($G254,Depreciation!$A$14:$L$18,12,FALSE),0))</f>
        <v>3.343407856743718E-2</v>
      </c>
      <c r="O254" s="307">
        <f t="shared" si="25"/>
        <v>672600.51873158163</v>
      </c>
      <c r="P254" s="732">
        <f>'Func Future Subs 2015'!P254</f>
        <v>0</v>
      </c>
      <c r="Q254" s="732">
        <f>'Func Future Subs 2015'!Q254</f>
        <v>0</v>
      </c>
      <c r="R254" s="732">
        <f>'Func Future Subs 2015'!R254</f>
        <v>1</v>
      </c>
      <c r="S254" s="735">
        <f t="shared" si="26"/>
        <v>0</v>
      </c>
      <c r="T254" s="735">
        <f t="shared" si="27"/>
        <v>0</v>
      </c>
      <c r="U254" s="735">
        <f t="shared" si="28"/>
        <v>672600.51873158163</v>
      </c>
      <c r="V254" s="736">
        <f t="shared" si="29"/>
        <v>0</v>
      </c>
      <c r="W254" s="735">
        <f t="shared" si="30"/>
        <v>0</v>
      </c>
      <c r="X254" s="737">
        <f t="shared" si="31"/>
        <v>672600.51873158163</v>
      </c>
      <c r="Y254" s="738">
        <f t="shared" si="32"/>
        <v>0</v>
      </c>
    </row>
    <row r="255" spans="1:25">
      <c r="A255" s="754" t="str">
        <f>'Func Future Subs 2015'!A255</f>
        <v>Queenstown 504S_(v1)</v>
      </c>
      <c r="B255" s="754">
        <f>'Func Future Subs 2015'!B255</f>
        <v>1336</v>
      </c>
      <c r="C255" s="754">
        <f>'Func Future Subs 2015'!C255</f>
        <v>138</v>
      </c>
      <c r="D255" s="754">
        <f>'Func Future Subs 2015'!D255</f>
        <v>138</v>
      </c>
      <c r="E255" s="754" t="str">
        <f>'Func Future Subs 2015'!E255</f>
        <v>504S</v>
      </c>
      <c r="F255" s="754">
        <f>'Func Future Subs 2015'!F255</f>
        <v>2125673.4207389737</v>
      </c>
      <c r="G255" s="754" t="str">
        <f>'Func Future Subs 2015'!G255</f>
        <v>AltaLink</v>
      </c>
      <c r="H255" s="754">
        <f>'Func Future Subs 2015'!H255</f>
        <v>2018</v>
      </c>
      <c r="I255" s="306">
        <f>+IF($H255=I$2,VLOOKUP($G255,Depreciation!$A$14:$L$18,7,FALSE)/2,IF($H255&lt;I$2,VLOOKUP($G255,Depreciation!$A$14:$L$18,7,FALSE),0))</f>
        <v>0</v>
      </c>
      <c r="J255" s="306">
        <f>+IF($H255=J$2,VLOOKUP($G255,Depreciation!$A$14:$L$18,8,FALSE)/2,IF($H255&lt;J$2,VLOOKUP($G255,Depreciation!$A$14:$L$18,8,FALSE),0))</f>
        <v>0</v>
      </c>
      <c r="K255" s="306">
        <f>+IF($H255=K$2,VLOOKUP($G255,Depreciation!$A$14:$L$18,9,FALSE)/2,IF($H255&lt;K$2,VLOOKUP($G255,Depreciation!$A$14:$L$18,9,FALSE),0))</f>
        <v>0</v>
      </c>
      <c r="L255" s="306">
        <f>+IF($H255=L$2,VLOOKUP($G255,Depreciation!$A$14:$L$18,10,FALSE)/2,IF($H255&lt;L$2,VLOOKUP($G255,Depreciation!$A$14:$L$18,10,FALSE),0))</f>
        <v>1.671703928371859E-2</v>
      </c>
      <c r="M255" s="306">
        <f>+IF($H255=M$2,VLOOKUP($G255,Depreciation!$A$14:$L$18,11,FALSE)/2,IF($H255&lt;M$2,VLOOKUP($G255,Depreciation!$A$14:$L$18,11,FALSE),0))</f>
        <v>3.343407856743718E-2</v>
      </c>
      <c r="N255" s="306">
        <f>+IF($H255=N$2,VLOOKUP($G255,Depreciation!$A$14:$L$18,12,FALSE)/2,IF($H255&lt;N$2,VLOOKUP($G255,Depreciation!$A$14:$L$18,12,FALSE),0))</f>
        <v>3.343407856743718E-2</v>
      </c>
      <c r="O255" s="307">
        <f t="shared" si="25"/>
        <v>1952711.1834142695</v>
      </c>
      <c r="P255" s="732">
        <f>'Func Future Subs 2015'!P255</f>
        <v>0</v>
      </c>
      <c r="Q255" s="732">
        <f>'Func Future Subs 2015'!Q255</f>
        <v>0</v>
      </c>
      <c r="R255" s="732">
        <f>'Func Future Subs 2015'!R255</f>
        <v>1</v>
      </c>
      <c r="S255" s="735">
        <f t="shared" si="26"/>
        <v>0</v>
      </c>
      <c r="T255" s="735">
        <f t="shared" si="27"/>
        <v>0</v>
      </c>
      <c r="U255" s="735">
        <f t="shared" si="28"/>
        <v>1952711.1834142695</v>
      </c>
      <c r="V255" s="736">
        <f t="shared" si="29"/>
        <v>0</v>
      </c>
      <c r="W255" s="735">
        <f t="shared" si="30"/>
        <v>0</v>
      </c>
      <c r="X255" s="737">
        <f t="shared" si="31"/>
        <v>1952711.1834142695</v>
      </c>
      <c r="Y255" s="738">
        <f t="shared" si="32"/>
        <v>0</v>
      </c>
    </row>
    <row r="256" spans="1:25">
      <c r="A256" s="754" t="str">
        <f>'Func Future Subs 2015'!A256</f>
        <v>Vulcan 255S_(v1)</v>
      </c>
      <c r="B256" s="754">
        <f>'Func Future Subs 2015'!B256</f>
        <v>1336</v>
      </c>
      <c r="C256" s="754">
        <f>'Func Future Subs 2015'!C256</f>
        <v>240</v>
      </c>
      <c r="D256" s="754">
        <f>'Func Future Subs 2015'!D256</f>
        <v>25</v>
      </c>
      <c r="E256" s="754" t="str">
        <f>'Func Future Subs 2015'!E256</f>
        <v>255S</v>
      </c>
      <c r="F256" s="754">
        <f>'Func Future Subs 2015'!F256</f>
        <v>799095.74890742893</v>
      </c>
      <c r="G256" s="754" t="str">
        <f>'Func Future Subs 2015'!G256</f>
        <v>AltaLink</v>
      </c>
      <c r="H256" s="754">
        <f>'Func Future Subs 2015'!H256</f>
        <v>2018</v>
      </c>
      <c r="I256" s="306">
        <f>+IF($H256=I$2,VLOOKUP($G256,Depreciation!$A$14:$L$18,7,FALSE)/2,IF($H256&lt;I$2,VLOOKUP($G256,Depreciation!$A$14:$L$18,7,FALSE),0))</f>
        <v>0</v>
      </c>
      <c r="J256" s="306">
        <f>+IF($H256=J$2,VLOOKUP($G256,Depreciation!$A$14:$L$18,8,FALSE)/2,IF($H256&lt;J$2,VLOOKUP($G256,Depreciation!$A$14:$L$18,8,FALSE),0))</f>
        <v>0</v>
      </c>
      <c r="K256" s="306">
        <f>+IF($H256=K$2,VLOOKUP($G256,Depreciation!$A$14:$L$18,9,FALSE)/2,IF($H256&lt;K$2,VLOOKUP($G256,Depreciation!$A$14:$L$18,9,FALSE),0))</f>
        <v>0</v>
      </c>
      <c r="L256" s="306">
        <f>+IF($H256=L$2,VLOOKUP($G256,Depreciation!$A$14:$L$18,10,FALSE)/2,IF($H256&lt;L$2,VLOOKUP($G256,Depreciation!$A$14:$L$18,10,FALSE),0))</f>
        <v>1.671703928371859E-2</v>
      </c>
      <c r="M256" s="306">
        <f>+IF($H256=M$2,VLOOKUP($G256,Depreciation!$A$14:$L$18,11,FALSE)/2,IF($H256&lt;M$2,VLOOKUP($G256,Depreciation!$A$14:$L$18,11,FALSE),0))</f>
        <v>3.343407856743718E-2</v>
      </c>
      <c r="N256" s="306">
        <f>+IF($H256=N$2,VLOOKUP($G256,Depreciation!$A$14:$L$18,12,FALSE)/2,IF($H256&lt;N$2,VLOOKUP($G256,Depreciation!$A$14:$L$18,12,FALSE),0))</f>
        <v>3.343407856743718E-2</v>
      </c>
      <c r="O256" s="307">
        <f t="shared" si="25"/>
        <v>734074.75969091977</v>
      </c>
      <c r="P256" s="732">
        <f>'Func Future Subs 2015'!P256</f>
        <v>0</v>
      </c>
      <c r="Q256" s="732">
        <f>'Func Future Subs 2015'!Q256</f>
        <v>1</v>
      </c>
      <c r="R256" s="732">
        <f>'Func Future Subs 2015'!R256</f>
        <v>0</v>
      </c>
      <c r="S256" s="735">
        <f t="shared" si="26"/>
        <v>0</v>
      </c>
      <c r="T256" s="735">
        <f t="shared" si="27"/>
        <v>734074.75969091977</v>
      </c>
      <c r="U256" s="735">
        <f t="shared" si="28"/>
        <v>0</v>
      </c>
      <c r="V256" s="736">
        <f t="shared" si="29"/>
        <v>0</v>
      </c>
      <c r="W256" s="735">
        <f t="shared" si="30"/>
        <v>0</v>
      </c>
      <c r="X256" s="737">
        <f t="shared" si="31"/>
        <v>0</v>
      </c>
      <c r="Y256" s="738">
        <f t="shared" si="32"/>
        <v>734074.75969091977</v>
      </c>
    </row>
    <row r="257" spans="1:25">
      <c r="A257" s="754" t="str">
        <f>'Func Future Subs 2015'!A257</f>
        <v>West Brooks 28S_(v1)</v>
      </c>
      <c r="B257" s="754">
        <f>'Func Future Subs 2015'!B257</f>
        <v>1336</v>
      </c>
      <c r="C257" s="754">
        <f>'Func Future Subs 2015'!C257</f>
        <v>240</v>
      </c>
      <c r="D257" s="754">
        <f>'Func Future Subs 2015'!D257</f>
        <v>25</v>
      </c>
      <c r="E257" s="754" t="str">
        <f>'Func Future Subs 2015'!E257</f>
        <v>28S</v>
      </c>
      <c r="F257" s="754">
        <f>'Func Future Subs 2015'!F257</f>
        <v>407420.73897496995</v>
      </c>
      <c r="G257" s="754" t="str">
        <f>'Func Future Subs 2015'!G257</f>
        <v>AltaLink</v>
      </c>
      <c r="H257" s="754">
        <f>'Func Future Subs 2015'!H257</f>
        <v>2018</v>
      </c>
      <c r="I257" s="306">
        <f>+IF($H257=I$2,VLOOKUP($G257,Depreciation!$A$14:$L$18,7,FALSE)/2,IF($H257&lt;I$2,VLOOKUP($G257,Depreciation!$A$14:$L$18,7,FALSE),0))</f>
        <v>0</v>
      </c>
      <c r="J257" s="306">
        <f>+IF($H257=J$2,VLOOKUP($G257,Depreciation!$A$14:$L$18,8,FALSE)/2,IF($H257&lt;J$2,VLOOKUP($G257,Depreciation!$A$14:$L$18,8,FALSE),0))</f>
        <v>0</v>
      </c>
      <c r="K257" s="306">
        <f>+IF($H257=K$2,VLOOKUP($G257,Depreciation!$A$14:$L$18,9,FALSE)/2,IF($H257&lt;K$2,VLOOKUP($G257,Depreciation!$A$14:$L$18,9,FALSE),0))</f>
        <v>0</v>
      </c>
      <c r="L257" s="306">
        <f>+IF($H257=L$2,VLOOKUP($G257,Depreciation!$A$14:$L$18,10,FALSE)/2,IF($H257&lt;L$2,VLOOKUP($G257,Depreciation!$A$14:$L$18,10,FALSE),0))</f>
        <v>1.671703928371859E-2</v>
      </c>
      <c r="M257" s="306">
        <f>+IF($H257=M$2,VLOOKUP($G257,Depreciation!$A$14:$L$18,11,FALSE)/2,IF($H257&lt;M$2,VLOOKUP($G257,Depreciation!$A$14:$L$18,11,FALSE),0))</f>
        <v>3.343407856743718E-2</v>
      </c>
      <c r="N257" s="306">
        <f>+IF($H257=N$2,VLOOKUP($G257,Depreciation!$A$14:$L$18,12,FALSE)/2,IF($H257&lt;N$2,VLOOKUP($G257,Depreciation!$A$14:$L$18,12,FALSE),0))</f>
        <v>3.343407856743718E-2</v>
      </c>
      <c r="O257" s="307">
        <f t="shared" si="25"/>
        <v>374269.64348773495</v>
      </c>
      <c r="P257" s="732">
        <f>'Func Future Subs 2015'!P257</f>
        <v>0</v>
      </c>
      <c r="Q257" s="732">
        <f>'Func Future Subs 2015'!Q257</f>
        <v>1</v>
      </c>
      <c r="R257" s="732">
        <f>'Func Future Subs 2015'!R257</f>
        <v>0</v>
      </c>
      <c r="S257" s="735">
        <f t="shared" si="26"/>
        <v>0</v>
      </c>
      <c r="T257" s="735">
        <f t="shared" si="27"/>
        <v>374269.64348773495</v>
      </c>
      <c r="U257" s="735">
        <f t="shared" si="28"/>
        <v>0</v>
      </c>
      <c r="V257" s="736">
        <f t="shared" si="29"/>
        <v>0</v>
      </c>
      <c r="W257" s="735">
        <f t="shared" si="30"/>
        <v>0</v>
      </c>
      <c r="X257" s="737">
        <f t="shared" si="31"/>
        <v>0</v>
      </c>
      <c r="Y257" s="738">
        <f t="shared" si="32"/>
        <v>374269.64348773495</v>
      </c>
    </row>
    <row r="258" spans="1:25">
      <c r="A258" s="754" t="str">
        <f>'Func Future Subs 2015'!A258</f>
        <v>Castle Rock Ridge 205S</v>
      </c>
      <c r="B258" s="754">
        <f>'Func Future Subs 2015'!B258</f>
        <v>1343</v>
      </c>
      <c r="C258" s="754">
        <f>'Func Future Subs 2015'!C258</f>
        <v>240</v>
      </c>
      <c r="D258" s="754">
        <f>'Func Future Subs 2015'!D258</f>
        <v>25</v>
      </c>
      <c r="E258" s="754" t="str">
        <f>'Func Future Subs 2015'!E258</f>
        <v>205S</v>
      </c>
      <c r="F258" s="754">
        <f>'Func Future Subs 2015'!F258</f>
        <v>296511.62301019125</v>
      </c>
      <c r="G258" s="754" t="str">
        <f>'Func Future Subs 2015'!G258</f>
        <v>AltaLink</v>
      </c>
      <c r="H258" s="754">
        <f>'Func Future Subs 2015'!H258</f>
        <v>2015</v>
      </c>
      <c r="I258" s="306">
        <f>+IF($H258=I$2,VLOOKUP($G258,Depreciation!$A$14:$L$18,7,FALSE)/2,IF($H258&lt;I$2,VLOOKUP($G258,Depreciation!$A$14:$L$18,7,FALSE),0))</f>
        <v>1.7228380322441735E-2</v>
      </c>
      <c r="J258" s="306">
        <f>+IF($H258=J$2,VLOOKUP($G258,Depreciation!$A$14:$L$18,8,FALSE)/2,IF($H258&lt;J$2,VLOOKUP($G258,Depreciation!$A$14:$L$18,8,FALSE),0))</f>
        <v>3.343407856743718E-2</v>
      </c>
      <c r="K258" s="306">
        <f>+IF($H258=K$2,VLOOKUP($G258,Depreciation!$A$14:$L$18,9,FALSE)/2,IF($H258&lt;K$2,VLOOKUP($G258,Depreciation!$A$14:$L$18,9,FALSE),0))</f>
        <v>3.343407856743718E-2</v>
      </c>
      <c r="L258" s="306">
        <f>+IF($H258=L$2,VLOOKUP($G258,Depreciation!$A$14:$L$18,10,FALSE)/2,IF($H258&lt;L$2,VLOOKUP($G258,Depreciation!$A$14:$L$18,10,FALSE),0))</f>
        <v>3.343407856743718E-2</v>
      </c>
      <c r="M258" s="306">
        <f>+IF($H258=M$2,VLOOKUP($G258,Depreciation!$A$14:$L$18,11,FALSE)/2,IF($H258&lt;M$2,VLOOKUP($G258,Depreciation!$A$14:$L$18,11,FALSE),0))</f>
        <v>3.343407856743718E-2</v>
      </c>
      <c r="N258" s="306">
        <f>+IF($H258=N$2,VLOOKUP($G258,Depreciation!$A$14:$L$18,12,FALSE)/2,IF($H258&lt;N$2,VLOOKUP($G258,Depreciation!$A$14:$L$18,12,FALSE),0))</f>
        <v>3.343407856743718E-2</v>
      </c>
      <c r="O258" s="307">
        <f t="shared" si="25"/>
        <v>245839.53369708892</v>
      </c>
      <c r="P258" s="732">
        <f>'Func Future Subs 2015'!P258</f>
        <v>0.99826388888888884</v>
      </c>
      <c r="Q258" s="732">
        <f>'Func Future Subs 2015'!Q258</f>
        <v>1.7361111111111112E-3</v>
      </c>
      <c r="R258" s="732">
        <f>'Func Future Subs 2015'!R258</f>
        <v>4.9222778630841901E-17</v>
      </c>
      <c r="S258" s="735">
        <f t="shared" si="26"/>
        <v>245412.72895108702</v>
      </c>
      <c r="T258" s="735">
        <f t="shared" si="27"/>
        <v>426.80474600189052</v>
      </c>
      <c r="U258" s="735">
        <f t="shared" si="28"/>
        <v>1.2100904945881205E-11</v>
      </c>
      <c r="V258" s="736">
        <f t="shared" si="29"/>
        <v>0</v>
      </c>
      <c r="W258" s="735">
        <f t="shared" si="30"/>
        <v>245412.72895108702</v>
      </c>
      <c r="X258" s="737">
        <f t="shared" si="31"/>
        <v>0</v>
      </c>
      <c r="Y258" s="738">
        <f t="shared" si="32"/>
        <v>426.80474600190263</v>
      </c>
    </row>
    <row r="259" spans="1:25">
      <c r="A259" s="754" t="str">
        <f>'Func Future Subs 2015'!A259</f>
        <v>Fidler 312S Stage 1</v>
      </c>
      <c r="B259" s="754">
        <f>'Func Future Subs 2015'!B259</f>
        <v>1343</v>
      </c>
      <c r="C259" s="754">
        <f>'Func Future Subs 2015'!C259</f>
        <v>240</v>
      </c>
      <c r="D259" s="754">
        <f>'Func Future Subs 2015'!D259</f>
        <v>138</v>
      </c>
      <c r="E259" s="754" t="str">
        <f>'Func Future Subs 2015'!E259</f>
        <v>312S</v>
      </c>
      <c r="F259" s="754">
        <f>'Func Future Subs 2015'!F259</f>
        <v>31755235.281731669</v>
      </c>
      <c r="G259" s="754" t="str">
        <f>'Func Future Subs 2015'!G259</f>
        <v>AltaLink</v>
      </c>
      <c r="H259" s="754">
        <f>'Func Future Subs 2015'!H259</f>
        <v>2019</v>
      </c>
      <c r="I259" s="306">
        <f>+IF($H259=I$2,VLOOKUP($G259,Depreciation!$A$14:$L$18,7,FALSE)/2,IF($H259&lt;I$2,VLOOKUP($G259,Depreciation!$A$14:$L$18,7,FALSE),0))</f>
        <v>0</v>
      </c>
      <c r="J259" s="306">
        <f>+IF($H259=J$2,VLOOKUP($G259,Depreciation!$A$14:$L$18,8,FALSE)/2,IF($H259&lt;J$2,VLOOKUP($G259,Depreciation!$A$14:$L$18,8,FALSE),0))</f>
        <v>0</v>
      </c>
      <c r="K259" s="306">
        <f>+IF($H259=K$2,VLOOKUP($G259,Depreciation!$A$14:$L$18,9,FALSE)/2,IF($H259&lt;K$2,VLOOKUP($G259,Depreciation!$A$14:$L$18,9,FALSE),0))</f>
        <v>0</v>
      </c>
      <c r="L259" s="306">
        <f>+IF($H259=L$2,VLOOKUP($G259,Depreciation!$A$14:$L$18,10,FALSE)/2,IF($H259&lt;L$2,VLOOKUP($G259,Depreciation!$A$14:$L$18,10,FALSE),0))</f>
        <v>0</v>
      </c>
      <c r="M259" s="306">
        <f>+IF($H259=M$2,VLOOKUP($G259,Depreciation!$A$14:$L$18,11,FALSE)/2,IF($H259&lt;M$2,VLOOKUP($G259,Depreciation!$A$14:$L$18,11,FALSE),0))</f>
        <v>1.671703928371859E-2</v>
      </c>
      <c r="N259" s="306">
        <f>+IF($H259=N$2,VLOOKUP($G259,Depreciation!$A$14:$L$18,12,FALSE)/2,IF($H259&lt;N$2,VLOOKUP($G259,Depreciation!$A$14:$L$18,12,FALSE),0))</f>
        <v>3.343407856743718E-2</v>
      </c>
      <c r="O259" s="307">
        <f t="shared" si="25"/>
        <v>30180423.332877025</v>
      </c>
      <c r="P259" s="732">
        <f>'Func Future Subs 2015'!P259</f>
        <v>0</v>
      </c>
      <c r="Q259" s="732">
        <f>'Func Future Subs 2015'!Q259</f>
        <v>0</v>
      </c>
      <c r="R259" s="732">
        <f>'Func Future Subs 2015'!R259</f>
        <v>1</v>
      </c>
      <c r="S259" s="735">
        <f t="shared" si="26"/>
        <v>0</v>
      </c>
      <c r="T259" s="735">
        <f t="shared" si="27"/>
        <v>0</v>
      </c>
      <c r="U259" s="735">
        <f t="shared" si="28"/>
        <v>30180423.332877025</v>
      </c>
      <c r="V259" s="736">
        <f t="shared" si="29"/>
        <v>0</v>
      </c>
      <c r="W259" s="735">
        <f t="shared" si="30"/>
        <v>0</v>
      </c>
      <c r="X259" s="737">
        <f t="shared" si="31"/>
        <v>30180423.332877025</v>
      </c>
      <c r="Y259" s="738">
        <f t="shared" si="32"/>
        <v>0</v>
      </c>
    </row>
    <row r="260" spans="1:25">
      <c r="A260" s="754" t="str">
        <f>'Func Future Subs 2015'!A260</f>
        <v>Fidler 312S stage 2</v>
      </c>
      <c r="B260" s="754">
        <f>'Func Future Subs 2015'!B260</f>
        <v>1343</v>
      </c>
      <c r="C260" s="754">
        <f>'Func Future Subs 2015'!C260</f>
        <v>240</v>
      </c>
      <c r="D260" s="754">
        <f>'Func Future Subs 2015'!D260</f>
        <v>138</v>
      </c>
      <c r="E260" s="754" t="str">
        <f>'Func Future Subs 2015'!E260</f>
        <v>312S</v>
      </c>
      <c r="F260" s="754">
        <f>'Func Future Subs 2015'!F260</f>
        <v>9276667.4068498276</v>
      </c>
      <c r="G260" s="754" t="str">
        <f>'Func Future Subs 2015'!G260</f>
        <v>AltaLink</v>
      </c>
      <c r="H260" s="754">
        <f>'Func Future Subs 2015'!H260</f>
        <v>2019</v>
      </c>
      <c r="I260" s="306">
        <f>+IF($H260=I$2,VLOOKUP($G260,Depreciation!$A$14:$L$18,7,FALSE)/2,IF($H260&lt;I$2,VLOOKUP($G260,Depreciation!$A$14:$L$18,7,FALSE),0))</f>
        <v>0</v>
      </c>
      <c r="J260" s="306">
        <f>+IF($H260=J$2,VLOOKUP($G260,Depreciation!$A$14:$L$18,8,FALSE)/2,IF($H260&lt;J$2,VLOOKUP($G260,Depreciation!$A$14:$L$18,8,FALSE),0))</f>
        <v>0</v>
      </c>
      <c r="K260" s="306">
        <f>+IF($H260=K$2,VLOOKUP($G260,Depreciation!$A$14:$L$18,9,FALSE)/2,IF($H260&lt;K$2,VLOOKUP($G260,Depreciation!$A$14:$L$18,9,FALSE),0))</f>
        <v>0</v>
      </c>
      <c r="L260" s="306">
        <f>+IF($H260=L$2,VLOOKUP($G260,Depreciation!$A$14:$L$18,10,FALSE)/2,IF($H260&lt;L$2,VLOOKUP($G260,Depreciation!$A$14:$L$18,10,FALSE),0))</f>
        <v>0</v>
      </c>
      <c r="M260" s="306">
        <f>+IF($H260=M$2,VLOOKUP($G260,Depreciation!$A$14:$L$18,11,FALSE)/2,IF($H260&lt;M$2,VLOOKUP($G260,Depreciation!$A$14:$L$18,11,FALSE),0))</f>
        <v>1.671703928371859E-2</v>
      </c>
      <c r="N260" s="306">
        <f>+IF($H260=N$2,VLOOKUP($G260,Depreciation!$A$14:$L$18,12,FALSE)/2,IF($H260&lt;N$2,VLOOKUP($G260,Depreciation!$A$14:$L$18,12,FALSE),0))</f>
        <v>3.343407856743718E-2</v>
      </c>
      <c r="O260" s="307">
        <f t="shared" ref="O260:O323" si="33">IF(H260&lt;=2020,F260*(1-I260)*(1-J260)*(1-K260)*(1-L260)*(1-M260)*(1-N260),0)</f>
        <v>8816617.070322739</v>
      </c>
      <c r="P260" s="732">
        <f>'Func Future Subs 2015'!P260</f>
        <v>0</v>
      </c>
      <c r="Q260" s="732">
        <f>'Func Future Subs 2015'!Q260</f>
        <v>0</v>
      </c>
      <c r="R260" s="732">
        <f>'Func Future Subs 2015'!R260</f>
        <v>1</v>
      </c>
      <c r="S260" s="735">
        <f t="shared" ref="S260:S323" si="34">+P260*$O260</f>
        <v>0</v>
      </c>
      <c r="T260" s="735">
        <f t="shared" ref="T260:T323" si="35">+Q260*$O260</f>
        <v>0</v>
      </c>
      <c r="U260" s="735">
        <f t="shared" ref="U260:U323" si="36">+R260*$O260</f>
        <v>8816617.070322739</v>
      </c>
      <c r="V260" s="736">
        <f t="shared" ref="V260:V323" si="37">IF(AND(R260=1,D260=0),O260,0)</f>
        <v>0</v>
      </c>
      <c r="W260" s="735">
        <f t="shared" ref="W260:W323" si="38">S260+IF(D260&gt;144,U260,0)</f>
        <v>0</v>
      </c>
      <c r="X260" s="737">
        <f t="shared" ref="X260:X323" si="39">IF(AND(D260&lt;=144,D260&gt;=69),U260,0)</f>
        <v>8816617.070322739</v>
      </c>
      <c r="Y260" s="738">
        <f t="shared" ref="Y260:Y323" si="40">T260+IF(AND(D260&lt;69,D260&gt;0),U260,0)</f>
        <v>0</v>
      </c>
    </row>
    <row r="261" spans="1:25">
      <c r="A261" s="754" t="str">
        <f>'Func Future Subs 2015'!A261</f>
        <v>Goose Lake 103S stage 1</v>
      </c>
      <c r="B261" s="754">
        <f>'Func Future Subs 2015'!B261</f>
        <v>1343</v>
      </c>
      <c r="C261" s="754">
        <f>'Func Future Subs 2015'!C261</f>
        <v>240</v>
      </c>
      <c r="D261" s="754">
        <f>'Func Future Subs 2015'!D261</f>
        <v>138</v>
      </c>
      <c r="E261" s="754" t="str">
        <f>'Func Future Subs 2015'!E261</f>
        <v>103S</v>
      </c>
      <c r="F261" s="754">
        <f>'Func Future Subs 2015'!F261</f>
        <v>296511.62301019125</v>
      </c>
      <c r="G261" s="754" t="str">
        <f>'Func Future Subs 2015'!G261</f>
        <v>AltaLink</v>
      </c>
      <c r="H261" s="754">
        <f>'Func Future Subs 2015'!H261</f>
        <v>2019</v>
      </c>
      <c r="I261" s="306">
        <f>+IF($H261=I$2,VLOOKUP($G261,Depreciation!$A$14:$L$18,7,FALSE)/2,IF($H261&lt;I$2,VLOOKUP($G261,Depreciation!$A$14:$L$18,7,FALSE),0))</f>
        <v>0</v>
      </c>
      <c r="J261" s="306">
        <f>+IF($H261=J$2,VLOOKUP($G261,Depreciation!$A$14:$L$18,8,FALSE)/2,IF($H261&lt;J$2,VLOOKUP($G261,Depreciation!$A$14:$L$18,8,FALSE),0))</f>
        <v>0</v>
      </c>
      <c r="K261" s="306">
        <f>+IF($H261=K$2,VLOOKUP($G261,Depreciation!$A$14:$L$18,9,FALSE)/2,IF($H261&lt;K$2,VLOOKUP($G261,Depreciation!$A$14:$L$18,9,FALSE),0))</f>
        <v>0</v>
      </c>
      <c r="L261" s="306">
        <f>+IF($H261=L$2,VLOOKUP($G261,Depreciation!$A$14:$L$18,10,FALSE)/2,IF($H261&lt;L$2,VLOOKUP($G261,Depreciation!$A$14:$L$18,10,FALSE),0))</f>
        <v>0</v>
      </c>
      <c r="M261" s="306">
        <f>+IF($H261=M$2,VLOOKUP($G261,Depreciation!$A$14:$L$18,11,FALSE)/2,IF($H261&lt;M$2,VLOOKUP($G261,Depreciation!$A$14:$L$18,11,FALSE),0))</f>
        <v>1.671703928371859E-2</v>
      </c>
      <c r="N261" s="306">
        <f>+IF($H261=N$2,VLOOKUP($G261,Depreciation!$A$14:$L$18,12,FALSE)/2,IF($H261&lt;N$2,VLOOKUP($G261,Depreciation!$A$14:$L$18,12,FALSE),0))</f>
        <v>3.343407856743718E-2</v>
      </c>
      <c r="O261" s="307">
        <f t="shared" si="33"/>
        <v>281806.95958231977</v>
      </c>
      <c r="P261" s="732">
        <f>'Func Future Subs 2015'!P261</f>
        <v>0</v>
      </c>
      <c r="Q261" s="732">
        <f>'Func Future Subs 2015'!Q261</f>
        <v>0</v>
      </c>
      <c r="R261" s="732">
        <f>'Func Future Subs 2015'!R261</f>
        <v>1</v>
      </c>
      <c r="S261" s="735">
        <f t="shared" si="34"/>
        <v>0</v>
      </c>
      <c r="T261" s="735">
        <f t="shared" si="35"/>
        <v>0</v>
      </c>
      <c r="U261" s="735">
        <f t="shared" si="36"/>
        <v>281806.95958231977</v>
      </c>
      <c r="V261" s="736">
        <f t="shared" si="37"/>
        <v>0</v>
      </c>
      <c r="W261" s="735">
        <f t="shared" si="38"/>
        <v>0</v>
      </c>
      <c r="X261" s="737">
        <f t="shared" si="39"/>
        <v>281806.95958231977</v>
      </c>
      <c r="Y261" s="738">
        <f t="shared" si="40"/>
        <v>0</v>
      </c>
    </row>
    <row r="262" spans="1:25">
      <c r="A262" s="754" t="str">
        <f>'Func Future Subs 2015'!A262</f>
        <v>Goose Lake stage 2</v>
      </c>
      <c r="B262" s="754">
        <f>'Func Future Subs 2015'!B262</f>
        <v>1343</v>
      </c>
      <c r="C262" s="754">
        <f>'Func Future Subs 2015'!C262</f>
        <v>240</v>
      </c>
      <c r="D262" s="754">
        <f>'Func Future Subs 2015'!D262</f>
        <v>0</v>
      </c>
      <c r="E262" s="754">
        <f>'Func Future Subs 2015'!E262</f>
        <v>0</v>
      </c>
      <c r="F262" s="754">
        <f>'Func Future Subs 2015'!F262</f>
        <v>198194.95671810306</v>
      </c>
      <c r="G262" s="754" t="str">
        <f>'Func Future Subs 2015'!G262</f>
        <v>AltaLink</v>
      </c>
      <c r="H262" s="754">
        <f>'Func Future Subs 2015'!H262</f>
        <v>2019</v>
      </c>
      <c r="I262" s="306">
        <f>+IF($H262=I$2,VLOOKUP($G262,Depreciation!$A$14:$L$18,7,FALSE)/2,IF($H262&lt;I$2,VLOOKUP($G262,Depreciation!$A$14:$L$18,7,FALSE),0))</f>
        <v>0</v>
      </c>
      <c r="J262" s="306">
        <f>+IF($H262=J$2,VLOOKUP($G262,Depreciation!$A$14:$L$18,8,FALSE)/2,IF($H262&lt;J$2,VLOOKUP($G262,Depreciation!$A$14:$L$18,8,FALSE),0))</f>
        <v>0</v>
      </c>
      <c r="K262" s="306">
        <f>+IF($H262=K$2,VLOOKUP($G262,Depreciation!$A$14:$L$18,9,FALSE)/2,IF($H262&lt;K$2,VLOOKUP($G262,Depreciation!$A$14:$L$18,9,FALSE),0))</f>
        <v>0</v>
      </c>
      <c r="L262" s="306">
        <f>+IF($H262=L$2,VLOOKUP($G262,Depreciation!$A$14:$L$18,10,FALSE)/2,IF($H262&lt;L$2,VLOOKUP($G262,Depreciation!$A$14:$L$18,10,FALSE),0))</f>
        <v>0</v>
      </c>
      <c r="M262" s="306">
        <f>+IF($H262=M$2,VLOOKUP($G262,Depreciation!$A$14:$L$18,11,FALSE)/2,IF($H262&lt;M$2,VLOOKUP($G262,Depreciation!$A$14:$L$18,11,FALSE),0))</f>
        <v>1.671703928371859E-2</v>
      </c>
      <c r="N262" s="306">
        <f>+IF($H262=N$2,VLOOKUP($G262,Depreciation!$A$14:$L$18,12,FALSE)/2,IF($H262&lt;N$2,VLOOKUP($G262,Depreciation!$A$14:$L$18,12,FALSE),0))</f>
        <v>3.343407856743718E-2</v>
      </c>
      <c r="O262" s="307">
        <f t="shared" si="33"/>
        <v>188366.03297456031</v>
      </c>
      <c r="P262" s="732">
        <f>'Func Future Subs 2015'!P262</f>
        <v>0</v>
      </c>
      <c r="Q262" s="732">
        <f>'Func Future Subs 2015'!Q262</f>
        <v>0</v>
      </c>
      <c r="R262" s="732">
        <f>'Func Future Subs 2015'!R262</f>
        <v>1</v>
      </c>
      <c r="S262" s="735">
        <f t="shared" si="34"/>
        <v>0</v>
      </c>
      <c r="T262" s="735">
        <f t="shared" si="35"/>
        <v>0</v>
      </c>
      <c r="U262" s="735">
        <f t="shared" si="36"/>
        <v>188366.03297456031</v>
      </c>
      <c r="V262" s="736">
        <f t="shared" si="37"/>
        <v>188366.03297456031</v>
      </c>
      <c r="W262" s="735">
        <f t="shared" si="38"/>
        <v>0</v>
      </c>
      <c r="X262" s="737">
        <f t="shared" si="39"/>
        <v>0</v>
      </c>
      <c r="Y262" s="738">
        <f t="shared" si="40"/>
        <v>0</v>
      </c>
    </row>
    <row r="263" spans="1:25">
      <c r="A263" s="754" t="str">
        <f>'Func Future Subs 2015'!A263</f>
        <v>Oldman River 806S stage 2</v>
      </c>
      <c r="B263" s="754">
        <f>'Func Future Subs 2015'!B263</f>
        <v>1343</v>
      </c>
      <c r="C263" s="754">
        <f>'Func Future Subs 2015'!C263</f>
        <v>138</v>
      </c>
      <c r="D263" s="754">
        <f>'Func Future Subs 2015'!D263</f>
        <v>25</v>
      </c>
      <c r="E263" s="754" t="str">
        <f>'Func Future Subs 2015'!E263</f>
        <v>806S</v>
      </c>
      <c r="F263" s="754">
        <f>'Func Future Subs 2015'!F263</f>
        <v>198194.95671810306</v>
      </c>
      <c r="G263" s="754" t="str">
        <f>'Func Future Subs 2015'!G263</f>
        <v>AltaLink</v>
      </c>
      <c r="H263" s="754">
        <f>'Func Future Subs 2015'!H263</f>
        <v>2015</v>
      </c>
      <c r="I263" s="306">
        <f>+IF($H263=I$2,VLOOKUP($G263,Depreciation!$A$14:$L$18,7,FALSE)/2,IF($H263&lt;I$2,VLOOKUP($G263,Depreciation!$A$14:$L$18,7,FALSE),0))</f>
        <v>1.7228380322441735E-2</v>
      </c>
      <c r="J263" s="306">
        <f>+IF($H263=J$2,VLOOKUP($G263,Depreciation!$A$14:$L$18,8,FALSE)/2,IF($H263&lt;J$2,VLOOKUP($G263,Depreciation!$A$14:$L$18,8,FALSE),0))</f>
        <v>3.343407856743718E-2</v>
      </c>
      <c r="K263" s="306">
        <f>+IF($H263=K$2,VLOOKUP($G263,Depreciation!$A$14:$L$18,9,FALSE)/2,IF($H263&lt;K$2,VLOOKUP($G263,Depreciation!$A$14:$L$18,9,FALSE),0))</f>
        <v>3.343407856743718E-2</v>
      </c>
      <c r="L263" s="306">
        <f>+IF($H263=L$2,VLOOKUP($G263,Depreciation!$A$14:$L$18,10,FALSE)/2,IF($H263&lt;L$2,VLOOKUP($G263,Depreciation!$A$14:$L$18,10,FALSE),0))</f>
        <v>3.343407856743718E-2</v>
      </c>
      <c r="M263" s="306">
        <f>+IF($H263=M$2,VLOOKUP($G263,Depreciation!$A$14:$L$18,11,FALSE)/2,IF($H263&lt;M$2,VLOOKUP($G263,Depreciation!$A$14:$L$18,11,FALSE),0))</f>
        <v>3.343407856743718E-2</v>
      </c>
      <c r="N263" s="306">
        <f>+IF($H263=N$2,VLOOKUP($G263,Depreciation!$A$14:$L$18,12,FALSE)/2,IF($H263&lt;N$2,VLOOKUP($G263,Depreciation!$A$14:$L$18,12,FALSE),0))</f>
        <v>3.343407856743718E-2</v>
      </c>
      <c r="O263" s="307">
        <f t="shared" si="33"/>
        <v>164324.60638825787</v>
      </c>
      <c r="P263" s="732">
        <f>'Func Future Subs 2015'!P263</f>
        <v>0.96969696969696972</v>
      </c>
      <c r="Q263" s="732">
        <f>'Func Future Subs 2015'!Q263</f>
        <v>3.0303030303030304E-2</v>
      </c>
      <c r="R263" s="732">
        <f>'Func Future Subs 2015'!R263</f>
        <v>-2.7755575615628914E-17</v>
      </c>
      <c r="S263" s="735">
        <f t="shared" si="34"/>
        <v>159345.07286134097</v>
      </c>
      <c r="T263" s="735">
        <f t="shared" si="35"/>
        <v>4979.5335269169054</v>
      </c>
      <c r="U263" s="735">
        <f t="shared" si="36"/>
        <v>-4.5609240381177495E-12</v>
      </c>
      <c r="V263" s="736">
        <f t="shared" si="37"/>
        <v>0</v>
      </c>
      <c r="W263" s="735">
        <f t="shared" si="38"/>
        <v>159345.07286134097</v>
      </c>
      <c r="X263" s="737">
        <f t="shared" si="39"/>
        <v>0</v>
      </c>
      <c r="Y263" s="738">
        <f t="shared" si="40"/>
        <v>4979.5335269169009</v>
      </c>
    </row>
    <row r="264" spans="1:25">
      <c r="A264" s="754" t="str">
        <f>'Func Future Subs 2015'!A264</f>
        <v>Oldman River Dam 806S stage 1</v>
      </c>
      <c r="B264" s="754">
        <f>'Func Future Subs 2015'!B264</f>
        <v>1343</v>
      </c>
      <c r="C264" s="754">
        <f>'Func Future Subs 2015'!C264</f>
        <v>138</v>
      </c>
      <c r="D264" s="754">
        <f>'Func Future Subs 2015'!D264</f>
        <v>25</v>
      </c>
      <c r="E264" s="754" t="str">
        <f>'Func Future Subs 2015'!E264</f>
        <v>806S</v>
      </c>
      <c r="F264" s="754">
        <f>'Func Future Subs 2015'!F264</f>
        <v>160679.48286027124</v>
      </c>
      <c r="G264" s="754" t="str">
        <f>'Func Future Subs 2015'!G264</f>
        <v>AltaLink</v>
      </c>
      <c r="H264" s="754">
        <f>'Func Future Subs 2015'!H264</f>
        <v>2015</v>
      </c>
      <c r="I264" s="306">
        <f>+IF($H264=I$2,VLOOKUP($G264,Depreciation!$A$14:$L$18,7,FALSE)/2,IF($H264&lt;I$2,VLOOKUP($G264,Depreciation!$A$14:$L$18,7,FALSE),0))</f>
        <v>1.7228380322441735E-2</v>
      </c>
      <c r="J264" s="306">
        <f>+IF($H264=J$2,VLOOKUP($G264,Depreciation!$A$14:$L$18,8,FALSE)/2,IF($H264&lt;J$2,VLOOKUP($G264,Depreciation!$A$14:$L$18,8,FALSE),0))</f>
        <v>3.343407856743718E-2</v>
      </c>
      <c r="K264" s="306">
        <f>+IF($H264=K$2,VLOOKUP($G264,Depreciation!$A$14:$L$18,9,FALSE)/2,IF($H264&lt;K$2,VLOOKUP($G264,Depreciation!$A$14:$L$18,9,FALSE),0))</f>
        <v>3.343407856743718E-2</v>
      </c>
      <c r="L264" s="306">
        <f>+IF($H264=L$2,VLOOKUP($G264,Depreciation!$A$14:$L$18,10,FALSE)/2,IF($H264&lt;L$2,VLOOKUP($G264,Depreciation!$A$14:$L$18,10,FALSE),0))</f>
        <v>3.343407856743718E-2</v>
      </c>
      <c r="M264" s="306">
        <f>+IF($H264=M$2,VLOOKUP($G264,Depreciation!$A$14:$L$18,11,FALSE)/2,IF($H264&lt;M$2,VLOOKUP($G264,Depreciation!$A$14:$L$18,11,FALSE),0))</f>
        <v>3.343407856743718E-2</v>
      </c>
      <c r="N264" s="306">
        <f>+IF($H264=N$2,VLOOKUP($G264,Depreciation!$A$14:$L$18,12,FALSE)/2,IF($H264&lt;N$2,VLOOKUP($G264,Depreciation!$A$14:$L$18,12,FALSE),0))</f>
        <v>3.343407856743718E-2</v>
      </c>
      <c r="O264" s="307">
        <f t="shared" si="33"/>
        <v>133220.30596993089</v>
      </c>
      <c r="P264" s="732">
        <f>'Func Future Subs 2015'!P264</f>
        <v>0.96969696969696972</v>
      </c>
      <c r="Q264" s="732">
        <f>'Func Future Subs 2015'!Q264</f>
        <v>3.0303030303030304E-2</v>
      </c>
      <c r="R264" s="732">
        <f>'Func Future Subs 2015'!R264</f>
        <v>-2.7755575615628914E-17</v>
      </c>
      <c r="S264" s="735">
        <f t="shared" si="34"/>
        <v>129183.32700114511</v>
      </c>
      <c r="T264" s="735">
        <f t="shared" si="35"/>
        <v>4036.9789687857847</v>
      </c>
      <c r="U264" s="735">
        <f t="shared" si="36"/>
        <v>-3.6976062758856369E-12</v>
      </c>
      <c r="V264" s="736">
        <f t="shared" si="37"/>
        <v>0</v>
      </c>
      <c r="W264" s="735">
        <f t="shared" si="38"/>
        <v>129183.32700114511</v>
      </c>
      <c r="X264" s="737">
        <f t="shared" si="39"/>
        <v>0</v>
      </c>
      <c r="Y264" s="738">
        <f t="shared" si="40"/>
        <v>4036.978968785781</v>
      </c>
    </row>
    <row r="265" spans="1:25">
      <c r="A265" s="754" t="str">
        <f>'Func Future Subs 2015'!A265</f>
        <v>Summerview 354S stage 2</v>
      </c>
      <c r="B265" s="754">
        <f>'Func Future Subs 2015'!B265</f>
        <v>1343</v>
      </c>
      <c r="C265" s="754">
        <f>'Func Future Subs 2015'!C265</f>
        <v>138</v>
      </c>
      <c r="D265" s="754">
        <f>'Func Future Subs 2015'!D265</f>
        <v>25</v>
      </c>
      <c r="E265" s="754" t="str">
        <f>'Func Future Subs 2015'!E265</f>
        <v>354S</v>
      </c>
      <c r="F265" s="754">
        <f>'Func Future Subs 2015'!F265</f>
        <v>198194.95671810306</v>
      </c>
      <c r="G265" s="754" t="str">
        <f>'Func Future Subs 2015'!G265</f>
        <v>AltaLink</v>
      </c>
      <c r="H265" s="754">
        <f>'Func Future Subs 2015'!H265</f>
        <v>2015</v>
      </c>
      <c r="I265" s="306">
        <f>+IF($H265=I$2,VLOOKUP($G265,Depreciation!$A$14:$L$18,7,FALSE)/2,IF($H265&lt;I$2,VLOOKUP($G265,Depreciation!$A$14:$L$18,7,FALSE),0))</f>
        <v>1.7228380322441735E-2</v>
      </c>
      <c r="J265" s="306">
        <f>+IF($H265=J$2,VLOOKUP($G265,Depreciation!$A$14:$L$18,8,FALSE)/2,IF($H265&lt;J$2,VLOOKUP($G265,Depreciation!$A$14:$L$18,8,FALSE),0))</f>
        <v>3.343407856743718E-2</v>
      </c>
      <c r="K265" s="306">
        <f>+IF($H265=K$2,VLOOKUP($G265,Depreciation!$A$14:$L$18,9,FALSE)/2,IF($H265&lt;K$2,VLOOKUP($G265,Depreciation!$A$14:$L$18,9,FALSE),0))</f>
        <v>3.343407856743718E-2</v>
      </c>
      <c r="L265" s="306">
        <f>+IF($H265=L$2,VLOOKUP($G265,Depreciation!$A$14:$L$18,10,FALSE)/2,IF($H265&lt;L$2,VLOOKUP($G265,Depreciation!$A$14:$L$18,10,FALSE),0))</f>
        <v>3.343407856743718E-2</v>
      </c>
      <c r="M265" s="306">
        <f>+IF($H265=M$2,VLOOKUP($G265,Depreciation!$A$14:$L$18,11,FALSE)/2,IF($H265&lt;M$2,VLOOKUP($G265,Depreciation!$A$14:$L$18,11,FALSE),0))</f>
        <v>3.343407856743718E-2</v>
      </c>
      <c r="N265" s="306">
        <f>+IF($H265=N$2,VLOOKUP($G265,Depreciation!$A$14:$L$18,12,FALSE)/2,IF($H265&lt;N$2,VLOOKUP($G265,Depreciation!$A$14:$L$18,12,FALSE),0))</f>
        <v>3.343407856743718E-2</v>
      </c>
      <c r="O265" s="307">
        <f t="shared" si="33"/>
        <v>164324.60638825787</v>
      </c>
      <c r="P265" s="732">
        <f>'Func Future Subs 2015'!P265</f>
        <v>0.9882352941176471</v>
      </c>
      <c r="Q265" s="732">
        <f>'Func Future Subs 2015'!Q265</f>
        <v>1.1764705882352941E-2</v>
      </c>
      <c r="R265" s="732">
        <f>'Func Future Subs 2015'!R265</f>
        <v>-4.163336342344337E-17</v>
      </c>
      <c r="S265" s="735">
        <f t="shared" si="34"/>
        <v>162391.37572486661</v>
      </c>
      <c r="T265" s="735">
        <f t="shared" si="35"/>
        <v>1933.230663391269</v>
      </c>
      <c r="U265" s="735">
        <f t="shared" si="36"/>
        <v>-6.8413860571766242E-12</v>
      </c>
      <c r="V265" s="736">
        <f t="shared" si="37"/>
        <v>0</v>
      </c>
      <c r="W265" s="735">
        <f t="shared" si="38"/>
        <v>162391.37572486661</v>
      </c>
      <c r="X265" s="737">
        <f t="shared" si="39"/>
        <v>0</v>
      </c>
      <c r="Y265" s="738">
        <f t="shared" si="40"/>
        <v>1933.2306633912622</v>
      </c>
    </row>
    <row r="266" spans="1:25">
      <c r="A266" s="754" t="str">
        <f>'Func Future Subs 2015'!A266</f>
        <v>Summerview 806S stage 1</v>
      </c>
      <c r="B266" s="754">
        <f>'Func Future Subs 2015'!B266</f>
        <v>1343</v>
      </c>
      <c r="C266" s="754">
        <f>'Func Future Subs 2015'!C266</f>
        <v>138</v>
      </c>
      <c r="D266" s="754">
        <f>'Func Future Subs 2015'!D266</f>
        <v>25</v>
      </c>
      <c r="E266" s="754" t="str">
        <f>'Func Future Subs 2015'!E266</f>
        <v>806S</v>
      </c>
      <c r="F266" s="754">
        <f>'Func Future Subs 2015'!F266</f>
        <v>183870.33605659907</v>
      </c>
      <c r="G266" s="754" t="str">
        <f>'Func Future Subs 2015'!G266</f>
        <v>AltaLink</v>
      </c>
      <c r="H266" s="754">
        <f>'Func Future Subs 2015'!H266</f>
        <v>2015</v>
      </c>
      <c r="I266" s="306">
        <f>+IF($H266=I$2,VLOOKUP($G266,Depreciation!$A$14:$L$18,7,FALSE)/2,IF($H266&lt;I$2,VLOOKUP($G266,Depreciation!$A$14:$L$18,7,FALSE),0))</f>
        <v>1.7228380322441735E-2</v>
      </c>
      <c r="J266" s="306">
        <f>+IF($H266=J$2,VLOOKUP($G266,Depreciation!$A$14:$L$18,8,FALSE)/2,IF($H266&lt;J$2,VLOOKUP($G266,Depreciation!$A$14:$L$18,8,FALSE),0))</f>
        <v>3.343407856743718E-2</v>
      </c>
      <c r="K266" s="306">
        <f>+IF($H266=K$2,VLOOKUP($G266,Depreciation!$A$14:$L$18,9,FALSE)/2,IF($H266&lt;K$2,VLOOKUP($G266,Depreciation!$A$14:$L$18,9,FALSE),0))</f>
        <v>3.343407856743718E-2</v>
      </c>
      <c r="L266" s="306">
        <f>+IF($H266=L$2,VLOOKUP($G266,Depreciation!$A$14:$L$18,10,FALSE)/2,IF($H266&lt;L$2,VLOOKUP($G266,Depreciation!$A$14:$L$18,10,FALSE),0))</f>
        <v>3.343407856743718E-2</v>
      </c>
      <c r="M266" s="306">
        <f>+IF($H266=M$2,VLOOKUP($G266,Depreciation!$A$14:$L$18,11,FALSE)/2,IF($H266&lt;M$2,VLOOKUP($G266,Depreciation!$A$14:$L$18,11,FALSE),0))</f>
        <v>3.343407856743718E-2</v>
      </c>
      <c r="N266" s="306">
        <f>+IF($H266=N$2,VLOOKUP($G266,Depreciation!$A$14:$L$18,12,FALSE)/2,IF($H266&lt;N$2,VLOOKUP($G266,Depreciation!$A$14:$L$18,12,FALSE),0))</f>
        <v>3.343407856743718E-2</v>
      </c>
      <c r="O266" s="307">
        <f t="shared" si="33"/>
        <v>152447.97899651888</v>
      </c>
      <c r="P266" s="732">
        <f>'Func Future Subs 2015'!P266</f>
        <v>0.96969696969696972</v>
      </c>
      <c r="Q266" s="732">
        <f>'Func Future Subs 2015'!Q266</f>
        <v>3.0303030303030304E-2</v>
      </c>
      <c r="R266" s="732">
        <f>'Func Future Subs 2015'!R266</f>
        <v>-2.7755575615628914E-17</v>
      </c>
      <c r="S266" s="735">
        <f t="shared" si="34"/>
        <v>147828.34326935164</v>
      </c>
      <c r="T266" s="735">
        <f t="shared" si="35"/>
        <v>4619.6357271672387</v>
      </c>
      <c r="U266" s="735">
        <f t="shared" si="36"/>
        <v>-4.2312814084876883E-12</v>
      </c>
      <c r="V266" s="736">
        <f t="shared" si="37"/>
        <v>0</v>
      </c>
      <c r="W266" s="735">
        <f t="shared" si="38"/>
        <v>147828.34326935164</v>
      </c>
      <c r="X266" s="737">
        <f t="shared" si="39"/>
        <v>0</v>
      </c>
      <c r="Y266" s="738">
        <f t="shared" si="40"/>
        <v>4619.6357271672341</v>
      </c>
    </row>
    <row r="267" spans="1:25">
      <c r="A267" s="754" t="str">
        <f>'Func Future Subs 2015'!A267</f>
        <v>Windy Point 112S stage 1</v>
      </c>
      <c r="B267" s="754">
        <f>'Func Future Subs 2015'!B267</f>
        <v>1343</v>
      </c>
      <c r="C267" s="754">
        <f>'Func Future Subs 2015'!C267</f>
        <v>138</v>
      </c>
      <c r="D267" s="754">
        <f>'Func Future Subs 2015'!D267</f>
        <v>25</v>
      </c>
      <c r="E267" s="754" t="str">
        <f>'Func Future Subs 2015'!E267</f>
        <v>112S</v>
      </c>
      <c r="F267" s="754">
        <f>'Func Future Subs 2015'!F267</f>
        <v>160679.48286027124</v>
      </c>
      <c r="G267" s="754" t="str">
        <f>'Func Future Subs 2015'!G267</f>
        <v>AltaLink</v>
      </c>
      <c r="H267" s="754">
        <f>'Func Future Subs 2015'!H267</f>
        <v>2015</v>
      </c>
      <c r="I267" s="306">
        <f>+IF($H267=I$2,VLOOKUP($G267,Depreciation!$A$14:$L$18,7,FALSE)/2,IF($H267&lt;I$2,VLOOKUP($G267,Depreciation!$A$14:$L$18,7,FALSE),0))</f>
        <v>1.7228380322441735E-2</v>
      </c>
      <c r="J267" s="306">
        <f>+IF($H267=J$2,VLOOKUP($G267,Depreciation!$A$14:$L$18,8,FALSE)/2,IF($H267&lt;J$2,VLOOKUP($G267,Depreciation!$A$14:$L$18,8,FALSE),0))</f>
        <v>3.343407856743718E-2</v>
      </c>
      <c r="K267" s="306">
        <f>+IF($H267=K$2,VLOOKUP($G267,Depreciation!$A$14:$L$18,9,FALSE)/2,IF($H267&lt;K$2,VLOOKUP($G267,Depreciation!$A$14:$L$18,9,FALSE),0))</f>
        <v>3.343407856743718E-2</v>
      </c>
      <c r="L267" s="306">
        <f>+IF($H267=L$2,VLOOKUP($G267,Depreciation!$A$14:$L$18,10,FALSE)/2,IF($H267&lt;L$2,VLOOKUP($G267,Depreciation!$A$14:$L$18,10,FALSE),0))</f>
        <v>3.343407856743718E-2</v>
      </c>
      <c r="M267" s="306">
        <f>+IF($H267=M$2,VLOOKUP($G267,Depreciation!$A$14:$L$18,11,FALSE)/2,IF($H267&lt;M$2,VLOOKUP($G267,Depreciation!$A$14:$L$18,11,FALSE),0))</f>
        <v>3.343407856743718E-2</v>
      </c>
      <c r="N267" s="306">
        <f>+IF($H267=N$2,VLOOKUP($G267,Depreciation!$A$14:$L$18,12,FALSE)/2,IF($H267&lt;N$2,VLOOKUP($G267,Depreciation!$A$14:$L$18,12,FALSE),0))</f>
        <v>3.343407856743718E-2</v>
      </c>
      <c r="O267" s="307">
        <f t="shared" si="33"/>
        <v>133220.30596993089</v>
      </c>
      <c r="P267" s="732">
        <f>'Func Future Subs 2015'!P267</f>
        <v>0.98712446351931327</v>
      </c>
      <c r="Q267" s="732">
        <f>'Func Future Subs 2015'!Q267</f>
        <v>1.2875536480686695E-2</v>
      </c>
      <c r="R267" s="732">
        <f>'Func Future Subs 2015'!R267</f>
        <v>3.8163916471489756E-17</v>
      </c>
      <c r="S267" s="735">
        <f t="shared" si="34"/>
        <v>131505.02306044681</v>
      </c>
      <c r="T267" s="735">
        <f t="shared" si="35"/>
        <v>1715.2829094840888</v>
      </c>
      <c r="U267" s="735">
        <f t="shared" si="36"/>
        <v>5.0842086293427505E-12</v>
      </c>
      <c r="V267" s="736">
        <f t="shared" si="37"/>
        <v>0</v>
      </c>
      <c r="W267" s="735">
        <f t="shared" si="38"/>
        <v>131505.02306044681</v>
      </c>
      <c r="X267" s="737">
        <f t="shared" si="39"/>
        <v>0</v>
      </c>
      <c r="Y267" s="738">
        <f t="shared" si="40"/>
        <v>1715.2829094840938</v>
      </c>
    </row>
    <row r="268" spans="1:25">
      <c r="A268" s="754" t="str">
        <f>'Func Future Subs 2015'!A268</f>
        <v>Windy Point 112S stage 2</v>
      </c>
      <c r="B268" s="754">
        <f>'Func Future Subs 2015'!B268</f>
        <v>1343</v>
      </c>
      <c r="C268" s="754">
        <f>'Func Future Subs 2015'!C268</f>
        <v>138</v>
      </c>
      <c r="D268" s="754">
        <f>'Func Future Subs 2015'!D268</f>
        <v>25</v>
      </c>
      <c r="E268" s="754" t="str">
        <f>'Func Future Subs 2015'!E268</f>
        <v>112S</v>
      </c>
      <c r="F268" s="754">
        <f>'Func Future Subs 2015'!F268</f>
        <v>198194.95671810306</v>
      </c>
      <c r="G268" s="754" t="str">
        <f>'Func Future Subs 2015'!G268</f>
        <v>AltaLink</v>
      </c>
      <c r="H268" s="754">
        <f>'Func Future Subs 2015'!H268</f>
        <v>2015</v>
      </c>
      <c r="I268" s="306">
        <f>+IF($H268=I$2,VLOOKUP($G268,Depreciation!$A$14:$L$18,7,FALSE)/2,IF($H268&lt;I$2,VLOOKUP($G268,Depreciation!$A$14:$L$18,7,FALSE),0))</f>
        <v>1.7228380322441735E-2</v>
      </c>
      <c r="J268" s="306">
        <f>+IF($H268=J$2,VLOOKUP($G268,Depreciation!$A$14:$L$18,8,FALSE)/2,IF($H268&lt;J$2,VLOOKUP($G268,Depreciation!$A$14:$L$18,8,FALSE),0))</f>
        <v>3.343407856743718E-2</v>
      </c>
      <c r="K268" s="306">
        <f>+IF($H268=K$2,VLOOKUP($G268,Depreciation!$A$14:$L$18,9,FALSE)/2,IF($H268&lt;K$2,VLOOKUP($G268,Depreciation!$A$14:$L$18,9,FALSE),0))</f>
        <v>3.343407856743718E-2</v>
      </c>
      <c r="L268" s="306">
        <f>+IF($H268=L$2,VLOOKUP($G268,Depreciation!$A$14:$L$18,10,FALSE)/2,IF($H268&lt;L$2,VLOOKUP($G268,Depreciation!$A$14:$L$18,10,FALSE),0))</f>
        <v>3.343407856743718E-2</v>
      </c>
      <c r="M268" s="306">
        <f>+IF($H268=M$2,VLOOKUP($G268,Depreciation!$A$14:$L$18,11,FALSE)/2,IF($H268&lt;M$2,VLOOKUP($G268,Depreciation!$A$14:$L$18,11,FALSE),0))</f>
        <v>3.343407856743718E-2</v>
      </c>
      <c r="N268" s="306">
        <f>+IF($H268=N$2,VLOOKUP($G268,Depreciation!$A$14:$L$18,12,FALSE)/2,IF($H268&lt;N$2,VLOOKUP($G268,Depreciation!$A$14:$L$18,12,FALSE),0))</f>
        <v>3.343407856743718E-2</v>
      </c>
      <c r="O268" s="307">
        <f t="shared" si="33"/>
        <v>164324.60638825787</v>
      </c>
      <c r="P268" s="732">
        <f>'Func Future Subs 2015'!P268</f>
        <v>0.98712446351931327</v>
      </c>
      <c r="Q268" s="732">
        <f>'Func Future Subs 2015'!Q268</f>
        <v>1.2875536480686695E-2</v>
      </c>
      <c r="R268" s="732">
        <f>'Func Future Subs 2015'!R268</f>
        <v>3.8163916471489756E-17</v>
      </c>
      <c r="S268" s="735">
        <f t="shared" si="34"/>
        <v>162208.83892403138</v>
      </c>
      <c r="T268" s="735">
        <f t="shared" si="35"/>
        <v>2115.767464226496</v>
      </c>
      <c r="U268" s="735">
        <f t="shared" si="36"/>
        <v>6.2712705524119057E-12</v>
      </c>
      <c r="V268" s="736">
        <f t="shared" si="37"/>
        <v>0</v>
      </c>
      <c r="W268" s="735">
        <f t="shared" si="38"/>
        <v>162208.83892403138</v>
      </c>
      <c r="X268" s="737">
        <f t="shared" si="39"/>
        <v>0</v>
      </c>
      <c r="Y268" s="738">
        <f t="shared" si="40"/>
        <v>2115.7674642265024</v>
      </c>
    </row>
    <row r="269" spans="1:25">
      <c r="A269" s="754" t="str">
        <f>'Func Future Subs 2015'!A269</f>
        <v>Secord 2005S</v>
      </c>
      <c r="B269" s="754">
        <f>'Func Future Subs 2015'!B269</f>
        <v>1348</v>
      </c>
      <c r="C269" s="754">
        <f>'Func Future Subs 2015'!C269</f>
        <v>240</v>
      </c>
      <c r="D269" s="754">
        <f>'Func Future Subs 2015'!D269</f>
        <v>25</v>
      </c>
      <c r="E269" s="754" t="str">
        <f>'Func Future Subs 2015'!E269</f>
        <v>2005S</v>
      </c>
      <c r="F269" s="754">
        <f>'Func Future Subs 2015'!F269</f>
        <v>19212616.594896249</v>
      </c>
      <c r="G269" s="754" t="str">
        <f>'Func Future Subs 2015'!G269</f>
        <v>ATCO</v>
      </c>
      <c r="H269" s="754">
        <f>'Func Future Subs 2015'!H269</f>
        <v>2016</v>
      </c>
      <c r="I269" s="306">
        <f>+IF($H269=I$2,VLOOKUP($G269,Depreciation!$A$14:$L$18,7,FALSE)/2,IF($H269&lt;I$2,VLOOKUP($G269,Depreciation!$A$14:$L$18,7,FALSE),0))</f>
        <v>0</v>
      </c>
      <c r="J269" s="306">
        <f>+IF($H269=J$2,VLOOKUP($G269,Depreciation!$A$14:$L$18,8,FALSE)/2,IF($H269&lt;J$2,VLOOKUP($G269,Depreciation!$A$14:$L$18,8,FALSE),0))</f>
        <v>1.231622525054236E-2</v>
      </c>
      <c r="K269" s="306">
        <f>+IF($H269=K$2,VLOOKUP($G269,Depreciation!$A$14:$L$18,9,FALSE)/2,IF($H269&lt;K$2,VLOOKUP($G269,Depreciation!$A$14:$L$18,9,FALSE),0))</f>
        <v>2.4351536427798831E-2</v>
      </c>
      <c r="L269" s="306">
        <f>+IF($H269=L$2,VLOOKUP($G269,Depreciation!$A$14:$L$18,10,FALSE)/2,IF($H269&lt;L$2,VLOOKUP($G269,Depreciation!$A$14:$L$18,10,FALSE),0))</f>
        <v>2.4351536427798831E-2</v>
      </c>
      <c r="M269" s="306">
        <f>+IF($H269=M$2,VLOOKUP($G269,Depreciation!$A$14:$L$18,11,FALSE)/2,IF($H269&lt;M$2,VLOOKUP($G269,Depreciation!$A$14:$L$18,11,FALSE),0))</f>
        <v>2.4351536427798831E-2</v>
      </c>
      <c r="N269" s="306">
        <f>+IF($H269=N$2,VLOOKUP($G269,Depreciation!$A$14:$L$18,12,FALSE)/2,IF($H269&lt;N$2,VLOOKUP($G269,Depreciation!$A$14:$L$18,12,FALSE),0))</f>
        <v>2.4351536427798831E-2</v>
      </c>
      <c r="O269" s="307">
        <f t="shared" si="33"/>
        <v>17194038.521840215</v>
      </c>
      <c r="P269" s="732">
        <f>'Func Future Subs 2015'!P269</f>
        <v>0</v>
      </c>
      <c r="Q269" s="732">
        <f>'Func Future Subs 2015'!Q269</f>
        <v>1</v>
      </c>
      <c r="R269" s="732">
        <f>'Func Future Subs 2015'!R269</f>
        <v>0</v>
      </c>
      <c r="S269" s="735">
        <f t="shared" si="34"/>
        <v>0</v>
      </c>
      <c r="T269" s="735">
        <f t="shared" si="35"/>
        <v>17194038.521840215</v>
      </c>
      <c r="U269" s="735">
        <f t="shared" si="36"/>
        <v>0</v>
      </c>
      <c r="V269" s="736">
        <f t="shared" si="37"/>
        <v>0</v>
      </c>
      <c r="W269" s="735">
        <f t="shared" si="38"/>
        <v>0</v>
      </c>
      <c r="X269" s="737">
        <f t="shared" si="39"/>
        <v>0</v>
      </c>
      <c r="Y269" s="738">
        <f t="shared" si="40"/>
        <v>17194038.521840215</v>
      </c>
    </row>
    <row r="270" spans="1:25">
      <c r="A270" s="754" t="str">
        <f>'Func Future Subs 2015'!A270</f>
        <v>Substation Joslyn 849S</v>
      </c>
      <c r="B270" s="754">
        <f>'Func Future Subs 2015'!B270</f>
        <v>1348</v>
      </c>
      <c r="C270" s="754">
        <f>'Func Future Subs 2015'!C270</f>
        <v>240</v>
      </c>
      <c r="D270" s="754">
        <f>'Func Future Subs 2015'!D270</f>
        <v>25</v>
      </c>
      <c r="E270" s="754" t="str">
        <f>'Func Future Subs 2015'!E270</f>
        <v>849S</v>
      </c>
      <c r="F270" s="754">
        <f>'Func Future Subs 2015'!F270</f>
        <v>60415.913503386022</v>
      </c>
      <c r="G270" s="754" t="str">
        <f>'Func Future Subs 2015'!G270</f>
        <v>ATCO</v>
      </c>
      <c r="H270" s="754">
        <f>'Func Future Subs 2015'!H270</f>
        <v>2016</v>
      </c>
      <c r="I270" s="306">
        <f>+IF($H270=I$2,VLOOKUP($G270,Depreciation!$A$14:$L$18,7,FALSE)/2,IF($H270&lt;I$2,VLOOKUP($G270,Depreciation!$A$14:$L$18,7,FALSE),0))</f>
        <v>0</v>
      </c>
      <c r="J270" s="306">
        <f>+IF($H270=J$2,VLOOKUP($G270,Depreciation!$A$14:$L$18,8,FALSE)/2,IF($H270&lt;J$2,VLOOKUP($G270,Depreciation!$A$14:$L$18,8,FALSE),0))</f>
        <v>1.231622525054236E-2</v>
      </c>
      <c r="K270" s="306">
        <f>+IF($H270=K$2,VLOOKUP($G270,Depreciation!$A$14:$L$18,9,FALSE)/2,IF($H270&lt;K$2,VLOOKUP($G270,Depreciation!$A$14:$L$18,9,FALSE),0))</f>
        <v>2.4351536427798831E-2</v>
      </c>
      <c r="L270" s="306">
        <f>+IF($H270=L$2,VLOOKUP($G270,Depreciation!$A$14:$L$18,10,FALSE)/2,IF($H270&lt;L$2,VLOOKUP($G270,Depreciation!$A$14:$L$18,10,FALSE),0))</f>
        <v>2.4351536427798831E-2</v>
      </c>
      <c r="M270" s="306">
        <f>+IF($H270=M$2,VLOOKUP($G270,Depreciation!$A$14:$L$18,11,FALSE)/2,IF($H270&lt;M$2,VLOOKUP($G270,Depreciation!$A$14:$L$18,11,FALSE),0))</f>
        <v>2.4351536427798831E-2</v>
      </c>
      <c r="N270" s="306">
        <f>+IF($H270=N$2,VLOOKUP($G270,Depreciation!$A$14:$L$18,12,FALSE)/2,IF($H270&lt;N$2,VLOOKUP($G270,Depreciation!$A$14:$L$18,12,FALSE),0))</f>
        <v>2.4351536427798831E-2</v>
      </c>
      <c r="O270" s="307">
        <f t="shared" si="33"/>
        <v>54068.301367411688</v>
      </c>
      <c r="P270" s="732">
        <f>'Func Future Subs 2015'!P270</f>
        <v>0</v>
      </c>
      <c r="Q270" s="732">
        <f>'Func Future Subs 2015'!Q270</f>
        <v>1</v>
      </c>
      <c r="R270" s="732">
        <f>'Func Future Subs 2015'!R270</f>
        <v>0</v>
      </c>
      <c r="S270" s="735">
        <f t="shared" si="34"/>
        <v>0</v>
      </c>
      <c r="T270" s="735">
        <f t="shared" si="35"/>
        <v>54068.301367411688</v>
      </c>
      <c r="U270" s="735">
        <f t="shared" si="36"/>
        <v>0</v>
      </c>
      <c r="V270" s="736">
        <f t="shared" si="37"/>
        <v>0</v>
      </c>
      <c r="W270" s="735">
        <f t="shared" si="38"/>
        <v>0</v>
      </c>
      <c r="X270" s="737">
        <f t="shared" si="39"/>
        <v>0</v>
      </c>
      <c r="Y270" s="738">
        <f t="shared" si="40"/>
        <v>54068.301367411688</v>
      </c>
    </row>
    <row r="271" spans="1:25">
      <c r="A271" s="754" t="str">
        <f>'Func Future Subs 2015'!A271</f>
        <v>Substation McClelland 957S</v>
      </c>
      <c r="B271" s="754">
        <f>'Func Future Subs 2015'!B271</f>
        <v>1348</v>
      </c>
      <c r="C271" s="754">
        <f>'Func Future Subs 2015'!C271</f>
        <v>240</v>
      </c>
      <c r="D271" s="754">
        <f>'Func Future Subs 2015'!D271</f>
        <v>25</v>
      </c>
      <c r="E271" s="754" t="str">
        <f>'Func Future Subs 2015'!E271</f>
        <v>957S</v>
      </c>
      <c r="F271" s="754">
        <f>'Func Future Subs 2015'!F271</f>
        <v>68295.591211377177</v>
      </c>
      <c r="G271" s="754" t="str">
        <f>'Func Future Subs 2015'!G271</f>
        <v>ATCO</v>
      </c>
      <c r="H271" s="754">
        <f>'Func Future Subs 2015'!H271</f>
        <v>2016</v>
      </c>
      <c r="I271" s="306">
        <f>+IF($H271=I$2,VLOOKUP($G271,Depreciation!$A$14:$L$18,7,FALSE)/2,IF($H271&lt;I$2,VLOOKUP($G271,Depreciation!$A$14:$L$18,7,FALSE),0))</f>
        <v>0</v>
      </c>
      <c r="J271" s="306">
        <f>+IF($H271=J$2,VLOOKUP($G271,Depreciation!$A$14:$L$18,8,FALSE)/2,IF($H271&lt;J$2,VLOOKUP($G271,Depreciation!$A$14:$L$18,8,FALSE),0))</f>
        <v>1.231622525054236E-2</v>
      </c>
      <c r="K271" s="306">
        <f>+IF($H271=K$2,VLOOKUP($G271,Depreciation!$A$14:$L$18,9,FALSE)/2,IF($H271&lt;K$2,VLOOKUP($G271,Depreciation!$A$14:$L$18,9,FALSE),0))</f>
        <v>2.4351536427798831E-2</v>
      </c>
      <c r="L271" s="306">
        <f>+IF($H271=L$2,VLOOKUP($G271,Depreciation!$A$14:$L$18,10,FALSE)/2,IF($H271&lt;L$2,VLOOKUP($G271,Depreciation!$A$14:$L$18,10,FALSE),0))</f>
        <v>2.4351536427798831E-2</v>
      </c>
      <c r="M271" s="306">
        <f>+IF($H271=M$2,VLOOKUP($G271,Depreciation!$A$14:$L$18,11,FALSE)/2,IF($H271&lt;M$2,VLOOKUP($G271,Depreciation!$A$14:$L$18,11,FALSE),0))</f>
        <v>2.4351536427798831E-2</v>
      </c>
      <c r="N271" s="306">
        <f>+IF($H271=N$2,VLOOKUP($G271,Depreciation!$A$14:$L$18,12,FALSE)/2,IF($H271&lt;N$2,VLOOKUP($G271,Depreciation!$A$14:$L$18,12,FALSE),0))</f>
        <v>2.4351536427798831E-2</v>
      </c>
      <c r="O271" s="307">
        <f t="shared" si="33"/>
        <v>61120.098887114233</v>
      </c>
      <c r="P271" s="732">
        <f>'Func Future Subs 2015'!P271</f>
        <v>0</v>
      </c>
      <c r="Q271" s="732">
        <f>'Func Future Subs 2015'!Q271</f>
        <v>1</v>
      </c>
      <c r="R271" s="732">
        <f>'Func Future Subs 2015'!R271</f>
        <v>0</v>
      </c>
      <c r="S271" s="735">
        <f t="shared" si="34"/>
        <v>0</v>
      </c>
      <c r="T271" s="735">
        <f t="shared" si="35"/>
        <v>61120.098887114233</v>
      </c>
      <c r="U271" s="735">
        <f t="shared" si="36"/>
        <v>0</v>
      </c>
      <c r="V271" s="736">
        <f t="shared" si="37"/>
        <v>0</v>
      </c>
      <c r="W271" s="735">
        <f t="shared" si="38"/>
        <v>0</v>
      </c>
      <c r="X271" s="737">
        <f t="shared" si="39"/>
        <v>0</v>
      </c>
      <c r="Y271" s="738">
        <f t="shared" si="40"/>
        <v>61120.098887114233</v>
      </c>
    </row>
    <row r="272" spans="1:25">
      <c r="A272" s="754" t="str">
        <f>'Func Future Subs 2015'!A272</f>
        <v>Queensland 301S</v>
      </c>
      <c r="B272" s="754">
        <f>'Func Future Subs 2015'!B272</f>
        <v>1349</v>
      </c>
      <c r="C272" s="754">
        <f>'Func Future Subs 2015'!C272</f>
        <v>138</v>
      </c>
      <c r="D272" s="754">
        <f>'Func Future Subs 2015'!D272</f>
        <v>25</v>
      </c>
      <c r="E272" s="754" t="str">
        <f>'Func Future Subs 2015'!E272</f>
        <v>301S</v>
      </c>
      <c r="F272" s="754">
        <f>'Func Future Subs 2015'!F272</f>
        <v>9656869.9129486643</v>
      </c>
      <c r="G272" s="754" t="str">
        <f>'Func Future Subs 2015'!G272</f>
        <v>AltaLink</v>
      </c>
      <c r="H272" s="754">
        <f>'Func Future Subs 2015'!H272</f>
        <v>2015</v>
      </c>
      <c r="I272" s="306">
        <f>+IF($H272=I$2,VLOOKUP($G272,Depreciation!$A$14:$L$18,7,FALSE)/2,IF($H272&lt;I$2,VLOOKUP($G272,Depreciation!$A$14:$L$18,7,FALSE),0))</f>
        <v>1.7228380322441735E-2</v>
      </c>
      <c r="J272" s="306">
        <f>+IF($H272=J$2,VLOOKUP($G272,Depreciation!$A$14:$L$18,8,FALSE)/2,IF($H272&lt;J$2,VLOOKUP($G272,Depreciation!$A$14:$L$18,8,FALSE),0))</f>
        <v>3.343407856743718E-2</v>
      </c>
      <c r="K272" s="306">
        <f>+IF($H272=K$2,VLOOKUP($G272,Depreciation!$A$14:$L$18,9,FALSE)/2,IF($H272&lt;K$2,VLOOKUP($G272,Depreciation!$A$14:$L$18,9,FALSE),0))</f>
        <v>3.343407856743718E-2</v>
      </c>
      <c r="L272" s="306">
        <f>+IF($H272=L$2,VLOOKUP($G272,Depreciation!$A$14:$L$18,10,FALSE)/2,IF($H272&lt;L$2,VLOOKUP($G272,Depreciation!$A$14:$L$18,10,FALSE),0))</f>
        <v>3.343407856743718E-2</v>
      </c>
      <c r="M272" s="306">
        <f>+IF($H272=M$2,VLOOKUP($G272,Depreciation!$A$14:$L$18,11,FALSE)/2,IF($H272&lt;M$2,VLOOKUP($G272,Depreciation!$A$14:$L$18,11,FALSE),0))</f>
        <v>3.343407856743718E-2</v>
      </c>
      <c r="N272" s="306">
        <f>+IF($H272=N$2,VLOOKUP($G272,Depreciation!$A$14:$L$18,12,FALSE)/2,IF($H272&lt;N$2,VLOOKUP($G272,Depreciation!$A$14:$L$18,12,FALSE),0))</f>
        <v>3.343407856743718E-2</v>
      </c>
      <c r="O272" s="307">
        <f t="shared" si="33"/>
        <v>8006567.7435219819</v>
      </c>
      <c r="P272" s="732">
        <f>'Func Future Subs 2015'!P272</f>
        <v>0</v>
      </c>
      <c r="Q272" s="732">
        <f>'Func Future Subs 2015'!Q272</f>
        <v>0</v>
      </c>
      <c r="R272" s="732">
        <f>'Func Future Subs 2015'!R272</f>
        <v>1</v>
      </c>
      <c r="S272" s="735">
        <f t="shared" si="34"/>
        <v>0</v>
      </c>
      <c r="T272" s="735">
        <f t="shared" si="35"/>
        <v>0</v>
      </c>
      <c r="U272" s="735">
        <f t="shared" si="36"/>
        <v>8006567.7435219819</v>
      </c>
      <c r="V272" s="736">
        <f t="shared" si="37"/>
        <v>0</v>
      </c>
      <c r="W272" s="735">
        <f t="shared" si="38"/>
        <v>0</v>
      </c>
      <c r="X272" s="737">
        <f t="shared" si="39"/>
        <v>0</v>
      </c>
      <c r="Y272" s="738">
        <f t="shared" si="40"/>
        <v>8006567.7435219819</v>
      </c>
    </row>
    <row r="273" spans="1:25">
      <c r="A273" s="754" t="str">
        <f>'Func Future Subs 2015'!A273</f>
        <v>Strome 223S</v>
      </c>
      <c r="B273" s="754">
        <f>'Func Future Subs 2015'!B273</f>
        <v>1350</v>
      </c>
      <c r="C273" s="754">
        <f>'Func Future Subs 2015'!C273</f>
        <v>138</v>
      </c>
      <c r="D273" s="754">
        <f>'Func Future Subs 2015'!D273</f>
        <v>25</v>
      </c>
      <c r="E273" s="754" t="str">
        <f>'Func Future Subs 2015'!E273</f>
        <v>223S</v>
      </c>
      <c r="F273" s="754">
        <f>'Func Future Subs 2015'!F273</f>
        <v>6530874.9999999981</v>
      </c>
      <c r="G273" s="754" t="str">
        <f>'Func Future Subs 2015'!G273</f>
        <v>AltaLink</v>
      </c>
      <c r="H273" s="754">
        <f>'Func Future Subs 2015'!H273</f>
        <v>2015</v>
      </c>
      <c r="I273" s="306">
        <f>+IF($H273=I$2,VLOOKUP($G273,Depreciation!$A$14:$L$18,7,FALSE)/2,IF($H273&lt;I$2,VLOOKUP($G273,Depreciation!$A$14:$L$18,7,FALSE),0))</f>
        <v>1.7228380322441735E-2</v>
      </c>
      <c r="J273" s="306">
        <f>+IF($H273=J$2,VLOOKUP($G273,Depreciation!$A$14:$L$18,8,FALSE)/2,IF($H273&lt;J$2,VLOOKUP($G273,Depreciation!$A$14:$L$18,8,FALSE),0))</f>
        <v>3.343407856743718E-2</v>
      </c>
      <c r="K273" s="306">
        <f>+IF($H273=K$2,VLOOKUP($G273,Depreciation!$A$14:$L$18,9,FALSE)/2,IF($H273&lt;K$2,VLOOKUP($G273,Depreciation!$A$14:$L$18,9,FALSE),0))</f>
        <v>3.343407856743718E-2</v>
      </c>
      <c r="L273" s="306">
        <f>+IF($H273=L$2,VLOOKUP($G273,Depreciation!$A$14:$L$18,10,FALSE)/2,IF($H273&lt;L$2,VLOOKUP($G273,Depreciation!$A$14:$L$18,10,FALSE),0))</f>
        <v>3.343407856743718E-2</v>
      </c>
      <c r="M273" s="306">
        <f>+IF($H273=M$2,VLOOKUP($G273,Depreciation!$A$14:$L$18,11,FALSE)/2,IF($H273&lt;M$2,VLOOKUP($G273,Depreciation!$A$14:$L$18,11,FALSE),0))</f>
        <v>3.343407856743718E-2</v>
      </c>
      <c r="N273" s="306">
        <f>+IF($H273=N$2,VLOOKUP($G273,Depreciation!$A$14:$L$18,12,FALSE)/2,IF($H273&lt;N$2,VLOOKUP($G273,Depreciation!$A$14:$L$18,12,FALSE),0))</f>
        <v>3.343407856743718E-2</v>
      </c>
      <c r="O273" s="307">
        <f t="shared" si="33"/>
        <v>5414786.9426986733</v>
      </c>
      <c r="P273" s="732">
        <f>'Func Future Subs 2015'!P273</f>
        <v>0</v>
      </c>
      <c r="Q273" s="732">
        <f>'Func Future Subs 2015'!Q273</f>
        <v>1</v>
      </c>
      <c r="R273" s="732">
        <f>'Func Future Subs 2015'!R273</f>
        <v>0</v>
      </c>
      <c r="S273" s="735">
        <f t="shared" si="34"/>
        <v>0</v>
      </c>
      <c r="T273" s="735">
        <f t="shared" si="35"/>
        <v>5414786.9426986733</v>
      </c>
      <c r="U273" s="735">
        <f t="shared" si="36"/>
        <v>0</v>
      </c>
      <c r="V273" s="736">
        <f t="shared" si="37"/>
        <v>0</v>
      </c>
      <c r="W273" s="735">
        <f t="shared" si="38"/>
        <v>0</v>
      </c>
      <c r="X273" s="737">
        <f t="shared" si="39"/>
        <v>0</v>
      </c>
      <c r="Y273" s="738">
        <f t="shared" si="40"/>
        <v>5414786.9426986733</v>
      </c>
    </row>
    <row r="274" spans="1:25">
      <c r="A274" s="754" t="str">
        <f>'Func Future Subs 2015'!A274</f>
        <v>Substation No.26</v>
      </c>
      <c r="B274" s="754">
        <f>'Func Future Subs 2015'!B274</f>
        <v>1354</v>
      </c>
      <c r="C274" s="754">
        <f>'Func Future Subs 2015'!C274</f>
        <v>138</v>
      </c>
      <c r="D274" s="754">
        <f>'Func Future Subs 2015'!D274</f>
        <v>25</v>
      </c>
      <c r="E274" s="754" t="str">
        <f>'Func Future Subs 2015'!E274</f>
        <v>SS-26</v>
      </c>
      <c r="F274" s="754">
        <f>'Func Future Subs 2015'!F274</f>
        <v>114690.57505760195</v>
      </c>
      <c r="G274" s="754" t="str">
        <f>'Func Future Subs 2015'!G274</f>
        <v>ENMAX</v>
      </c>
      <c r="H274" s="754">
        <f>'Func Future Subs 2015'!H274</f>
        <v>2017</v>
      </c>
      <c r="I274" s="306">
        <f>+IF($H274=I$2,VLOOKUP($G274,Depreciation!$A$14:$L$18,7,FALSE)/2,IF($H274&lt;I$2,VLOOKUP($G274,Depreciation!$A$14:$L$18,7,FALSE),0))</f>
        <v>0</v>
      </c>
      <c r="J274" s="306">
        <f>+IF($H274=J$2,VLOOKUP($G274,Depreciation!$A$14:$L$18,8,FALSE)/2,IF($H274&lt;J$2,VLOOKUP($G274,Depreciation!$A$14:$L$18,8,FALSE),0))</f>
        <v>0</v>
      </c>
      <c r="K274" s="306">
        <f>+IF($H274=K$2,VLOOKUP($G274,Depreciation!$A$14:$L$18,9,FALSE)/2,IF($H274&lt;K$2,VLOOKUP($G274,Depreciation!$A$14:$L$18,9,FALSE),0))</f>
        <v>1.3928409269726289E-2</v>
      </c>
      <c r="L274" s="306">
        <f>+IF($H274=L$2,VLOOKUP($G274,Depreciation!$A$14:$L$18,10,FALSE)/2,IF($H274&lt;L$2,VLOOKUP($G274,Depreciation!$A$14:$L$18,10,FALSE),0))</f>
        <v>2.7856818539452578E-2</v>
      </c>
      <c r="M274" s="306">
        <f>+IF($H274=M$2,VLOOKUP($G274,Depreciation!$A$14:$L$18,11,FALSE)/2,IF($H274&lt;M$2,VLOOKUP($G274,Depreciation!$A$14:$L$18,11,FALSE),0))</f>
        <v>2.7856818539452578E-2</v>
      </c>
      <c r="N274" s="306">
        <f>+IF($H274=N$2,VLOOKUP($G274,Depreciation!$A$14:$L$18,12,FALSE)/2,IF($H274&lt;N$2,VLOOKUP($G274,Depreciation!$A$14:$L$18,12,FALSE),0))</f>
        <v>2.7856818539452578E-2</v>
      </c>
      <c r="O274" s="307">
        <f t="shared" si="33"/>
        <v>103902.711250751</v>
      </c>
      <c r="P274" s="732">
        <f>'Func Future Subs 2015'!P274</f>
        <v>0</v>
      </c>
      <c r="Q274" s="732">
        <f>'Func Future Subs 2015'!Q274</f>
        <v>0</v>
      </c>
      <c r="R274" s="732">
        <f>'Func Future Subs 2015'!R274</f>
        <v>1</v>
      </c>
      <c r="S274" s="735">
        <f t="shared" si="34"/>
        <v>0</v>
      </c>
      <c r="T274" s="735">
        <f t="shared" si="35"/>
        <v>0</v>
      </c>
      <c r="U274" s="735">
        <f t="shared" si="36"/>
        <v>103902.711250751</v>
      </c>
      <c r="V274" s="736">
        <f t="shared" si="37"/>
        <v>0</v>
      </c>
      <c r="W274" s="735">
        <f t="shared" si="38"/>
        <v>0</v>
      </c>
      <c r="X274" s="737">
        <f t="shared" si="39"/>
        <v>0</v>
      </c>
      <c r="Y274" s="738">
        <f t="shared" si="40"/>
        <v>103902.711250751</v>
      </c>
    </row>
    <row r="275" spans="1:25">
      <c r="A275" s="754" t="str">
        <f>'Func Future Subs 2015'!A275</f>
        <v>Substation No.32</v>
      </c>
      <c r="B275" s="754">
        <f>'Func Future Subs 2015'!B275</f>
        <v>1354</v>
      </c>
      <c r="C275" s="754">
        <f>'Func Future Subs 2015'!C275</f>
        <v>138</v>
      </c>
      <c r="D275" s="754">
        <f>'Func Future Subs 2015'!D275</f>
        <v>25</v>
      </c>
      <c r="E275" s="754" t="str">
        <f>'Func Future Subs 2015'!E275</f>
        <v>SS-32</v>
      </c>
      <c r="F275" s="754">
        <f>'Func Future Subs 2015'!F275</f>
        <v>114690.57505760195</v>
      </c>
      <c r="G275" s="754" t="str">
        <f>'Func Future Subs 2015'!G275</f>
        <v>ENMAX</v>
      </c>
      <c r="H275" s="754">
        <f>'Func Future Subs 2015'!H275</f>
        <v>2017</v>
      </c>
      <c r="I275" s="306">
        <f>+IF($H275=I$2,VLOOKUP($G275,Depreciation!$A$14:$L$18,7,FALSE)/2,IF($H275&lt;I$2,VLOOKUP($G275,Depreciation!$A$14:$L$18,7,FALSE),0))</f>
        <v>0</v>
      </c>
      <c r="J275" s="306">
        <f>+IF($H275=J$2,VLOOKUP($G275,Depreciation!$A$14:$L$18,8,FALSE)/2,IF($H275&lt;J$2,VLOOKUP($G275,Depreciation!$A$14:$L$18,8,FALSE),0))</f>
        <v>0</v>
      </c>
      <c r="K275" s="306">
        <f>+IF($H275=K$2,VLOOKUP($G275,Depreciation!$A$14:$L$18,9,FALSE)/2,IF($H275&lt;K$2,VLOOKUP($G275,Depreciation!$A$14:$L$18,9,FALSE),0))</f>
        <v>1.3928409269726289E-2</v>
      </c>
      <c r="L275" s="306">
        <f>+IF($H275=L$2,VLOOKUP($G275,Depreciation!$A$14:$L$18,10,FALSE)/2,IF($H275&lt;L$2,VLOOKUP($G275,Depreciation!$A$14:$L$18,10,FALSE),0))</f>
        <v>2.7856818539452578E-2</v>
      </c>
      <c r="M275" s="306">
        <f>+IF($H275=M$2,VLOOKUP($G275,Depreciation!$A$14:$L$18,11,FALSE)/2,IF($H275&lt;M$2,VLOOKUP($G275,Depreciation!$A$14:$L$18,11,FALSE),0))</f>
        <v>2.7856818539452578E-2</v>
      </c>
      <c r="N275" s="306">
        <f>+IF($H275=N$2,VLOOKUP($G275,Depreciation!$A$14:$L$18,12,FALSE)/2,IF($H275&lt;N$2,VLOOKUP($G275,Depreciation!$A$14:$L$18,12,FALSE),0))</f>
        <v>2.7856818539452578E-2</v>
      </c>
      <c r="O275" s="307">
        <f t="shared" si="33"/>
        <v>103902.711250751</v>
      </c>
      <c r="P275" s="732">
        <f>'Func Future Subs 2015'!P275</f>
        <v>0</v>
      </c>
      <c r="Q275" s="732">
        <f>'Func Future Subs 2015'!Q275</f>
        <v>1</v>
      </c>
      <c r="R275" s="732">
        <f>'Func Future Subs 2015'!R275</f>
        <v>0</v>
      </c>
      <c r="S275" s="735">
        <f t="shared" si="34"/>
        <v>0</v>
      </c>
      <c r="T275" s="735">
        <f t="shared" si="35"/>
        <v>103902.711250751</v>
      </c>
      <c r="U275" s="735">
        <f t="shared" si="36"/>
        <v>0</v>
      </c>
      <c r="V275" s="736">
        <f t="shared" si="37"/>
        <v>0</v>
      </c>
      <c r="W275" s="735">
        <f t="shared" si="38"/>
        <v>0</v>
      </c>
      <c r="X275" s="737">
        <f t="shared" si="39"/>
        <v>0</v>
      </c>
      <c r="Y275" s="738">
        <f t="shared" si="40"/>
        <v>103902.711250751</v>
      </c>
    </row>
    <row r="276" spans="1:25">
      <c r="A276" s="754" t="str">
        <f>'Func Future Subs 2015'!A276</f>
        <v>Substation No.41</v>
      </c>
      <c r="B276" s="754">
        <f>'Func Future Subs 2015'!B276</f>
        <v>1354</v>
      </c>
      <c r="C276" s="754">
        <f>'Func Future Subs 2015'!C276</f>
        <v>138</v>
      </c>
      <c r="D276" s="754">
        <f>'Func Future Subs 2015'!D276</f>
        <v>25</v>
      </c>
      <c r="E276" s="754" t="str">
        <f>'Func Future Subs 2015'!E276</f>
        <v>SS-41</v>
      </c>
      <c r="F276" s="754">
        <f>'Func Future Subs 2015'!F276</f>
        <v>2523427.6016106843</v>
      </c>
      <c r="G276" s="754" t="str">
        <f>'Func Future Subs 2015'!G276</f>
        <v>ENMAX</v>
      </c>
      <c r="H276" s="754">
        <f>'Func Future Subs 2015'!H276</f>
        <v>2017</v>
      </c>
      <c r="I276" s="306">
        <f>+IF($H276=I$2,VLOOKUP($G276,Depreciation!$A$14:$L$18,7,FALSE)/2,IF($H276&lt;I$2,VLOOKUP($G276,Depreciation!$A$14:$L$18,7,FALSE),0))</f>
        <v>0</v>
      </c>
      <c r="J276" s="306">
        <f>+IF($H276=J$2,VLOOKUP($G276,Depreciation!$A$14:$L$18,8,FALSE)/2,IF($H276&lt;J$2,VLOOKUP($G276,Depreciation!$A$14:$L$18,8,FALSE),0))</f>
        <v>0</v>
      </c>
      <c r="K276" s="306">
        <f>+IF($H276=K$2,VLOOKUP($G276,Depreciation!$A$14:$L$18,9,FALSE)/2,IF($H276&lt;K$2,VLOOKUP($G276,Depreciation!$A$14:$L$18,9,FALSE),0))</f>
        <v>1.3928409269726289E-2</v>
      </c>
      <c r="L276" s="306">
        <f>+IF($H276=L$2,VLOOKUP($G276,Depreciation!$A$14:$L$18,10,FALSE)/2,IF($H276&lt;L$2,VLOOKUP($G276,Depreciation!$A$14:$L$18,10,FALSE),0))</f>
        <v>2.7856818539452578E-2</v>
      </c>
      <c r="M276" s="306">
        <f>+IF($H276=M$2,VLOOKUP($G276,Depreciation!$A$14:$L$18,11,FALSE)/2,IF($H276&lt;M$2,VLOOKUP($G276,Depreciation!$A$14:$L$18,11,FALSE),0))</f>
        <v>2.7856818539452578E-2</v>
      </c>
      <c r="N276" s="306">
        <f>+IF($H276=N$2,VLOOKUP($G276,Depreciation!$A$14:$L$18,12,FALSE)/2,IF($H276&lt;N$2,VLOOKUP($G276,Depreciation!$A$14:$L$18,12,FALSE),0))</f>
        <v>2.7856818539452578E-2</v>
      </c>
      <c r="O276" s="307">
        <f t="shared" si="33"/>
        <v>2286072.4982907078</v>
      </c>
      <c r="P276" s="732">
        <f>'Func Future Subs 2015'!P276</f>
        <v>0</v>
      </c>
      <c r="Q276" s="732">
        <f>'Func Future Subs 2015'!Q276</f>
        <v>1</v>
      </c>
      <c r="R276" s="732">
        <f>'Func Future Subs 2015'!R276</f>
        <v>0</v>
      </c>
      <c r="S276" s="735">
        <f t="shared" si="34"/>
        <v>0</v>
      </c>
      <c r="T276" s="735">
        <f t="shared" si="35"/>
        <v>2286072.4982907078</v>
      </c>
      <c r="U276" s="735">
        <f t="shared" si="36"/>
        <v>0</v>
      </c>
      <c r="V276" s="736">
        <f t="shared" si="37"/>
        <v>0</v>
      </c>
      <c r="W276" s="735">
        <f t="shared" si="38"/>
        <v>0</v>
      </c>
      <c r="X276" s="737">
        <f t="shared" si="39"/>
        <v>0</v>
      </c>
      <c r="Y276" s="738">
        <f t="shared" si="40"/>
        <v>2286072.4982907078</v>
      </c>
    </row>
    <row r="277" spans="1:25">
      <c r="A277" s="754" t="str">
        <f>'Func Future Subs 2015'!A277</f>
        <v>Substation No.54</v>
      </c>
      <c r="B277" s="754">
        <f>'Func Future Subs 2015'!B277</f>
        <v>1354</v>
      </c>
      <c r="C277" s="754">
        <f>'Func Future Subs 2015'!C277</f>
        <v>138</v>
      </c>
      <c r="D277" s="754">
        <f>'Func Future Subs 2015'!D277</f>
        <v>25</v>
      </c>
      <c r="E277" s="754" t="str">
        <f>'Func Future Subs 2015'!E277</f>
        <v>SS-54</v>
      </c>
      <c r="F277" s="754">
        <f>'Func Future Subs 2015'!F277</f>
        <v>114690.57505760195</v>
      </c>
      <c r="G277" s="754" t="str">
        <f>'Func Future Subs 2015'!G277</f>
        <v>ENMAX</v>
      </c>
      <c r="H277" s="754">
        <f>'Func Future Subs 2015'!H277</f>
        <v>2017</v>
      </c>
      <c r="I277" s="306">
        <f>+IF($H277=I$2,VLOOKUP($G277,Depreciation!$A$14:$L$18,7,FALSE)/2,IF($H277&lt;I$2,VLOOKUP($G277,Depreciation!$A$14:$L$18,7,FALSE),0))</f>
        <v>0</v>
      </c>
      <c r="J277" s="306">
        <f>+IF($H277=J$2,VLOOKUP($G277,Depreciation!$A$14:$L$18,8,FALSE)/2,IF($H277&lt;J$2,VLOOKUP($G277,Depreciation!$A$14:$L$18,8,FALSE),0))</f>
        <v>0</v>
      </c>
      <c r="K277" s="306">
        <f>+IF($H277=K$2,VLOOKUP($G277,Depreciation!$A$14:$L$18,9,FALSE)/2,IF($H277&lt;K$2,VLOOKUP($G277,Depreciation!$A$14:$L$18,9,FALSE),0))</f>
        <v>1.3928409269726289E-2</v>
      </c>
      <c r="L277" s="306">
        <f>+IF($H277=L$2,VLOOKUP($G277,Depreciation!$A$14:$L$18,10,FALSE)/2,IF($H277&lt;L$2,VLOOKUP($G277,Depreciation!$A$14:$L$18,10,FALSE),0))</f>
        <v>2.7856818539452578E-2</v>
      </c>
      <c r="M277" s="306">
        <f>+IF($H277=M$2,VLOOKUP($G277,Depreciation!$A$14:$L$18,11,FALSE)/2,IF($H277&lt;M$2,VLOOKUP($G277,Depreciation!$A$14:$L$18,11,FALSE),0))</f>
        <v>2.7856818539452578E-2</v>
      </c>
      <c r="N277" s="306">
        <f>+IF($H277=N$2,VLOOKUP($G277,Depreciation!$A$14:$L$18,12,FALSE)/2,IF($H277&lt;N$2,VLOOKUP($G277,Depreciation!$A$14:$L$18,12,FALSE),0))</f>
        <v>2.7856818539452578E-2</v>
      </c>
      <c r="O277" s="307">
        <f t="shared" si="33"/>
        <v>103902.711250751</v>
      </c>
      <c r="P277" s="732">
        <f>'Func Future Subs 2015'!P277</f>
        <v>0</v>
      </c>
      <c r="Q277" s="732">
        <f>'Func Future Subs 2015'!Q277</f>
        <v>0</v>
      </c>
      <c r="R277" s="732">
        <f>'Func Future Subs 2015'!R277</f>
        <v>1</v>
      </c>
      <c r="S277" s="735">
        <f t="shared" si="34"/>
        <v>0</v>
      </c>
      <c r="T277" s="735">
        <f t="shared" si="35"/>
        <v>0</v>
      </c>
      <c r="U277" s="735">
        <f t="shared" si="36"/>
        <v>103902.711250751</v>
      </c>
      <c r="V277" s="736">
        <f t="shared" si="37"/>
        <v>0</v>
      </c>
      <c r="W277" s="735">
        <f t="shared" si="38"/>
        <v>0</v>
      </c>
      <c r="X277" s="737">
        <f t="shared" si="39"/>
        <v>0</v>
      </c>
      <c r="Y277" s="738">
        <f t="shared" si="40"/>
        <v>103902.711250751</v>
      </c>
    </row>
    <row r="278" spans="1:25">
      <c r="A278" s="754" t="str">
        <f>'Func Future Subs 2015'!A278</f>
        <v>Substation No.65</v>
      </c>
      <c r="B278" s="754">
        <f>'Func Future Subs 2015'!B278</f>
        <v>1354</v>
      </c>
      <c r="C278" s="754">
        <f>'Func Future Subs 2015'!C278</f>
        <v>138</v>
      </c>
      <c r="D278" s="754">
        <f>'Func Future Subs 2015'!D278</f>
        <v>138</v>
      </c>
      <c r="E278" s="754" t="str">
        <f>'Func Future Subs 2015'!E278</f>
        <v>SS-65</v>
      </c>
      <c r="F278" s="754">
        <f>'Func Future Subs 2015'!F278</f>
        <v>1396717.4283952755</v>
      </c>
      <c r="G278" s="754" t="str">
        <f>'Func Future Subs 2015'!G278</f>
        <v>ENMAX</v>
      </c>
      <c r="H278" s="754">
        <f>'Func Future Subs 2015'!H278</f>
        <v>2017</v>
      </c>
      <c r="I278" s="306">
        <f>+IF($H278=I$2,VLOOKUP($G278,Depreciation!$A$14:$L$18,7,FALSE)/2,IF($H278&lt;I$2,VLOOKUP($G278,Depreciation!$A$14:$L$18,7,FALSE),0))</f>
        <v>0</v>
      </c>
      <c r="J278" s="306">
        <f>+IF($H278=J$2,VLOOKUP($G278,Depreciation!$A$14:$L$18,8,FALSE)/2,IF($H278&lt;J$2,VLOOKUP($G278,Depreciation!$A$14:$L$18,8,FALSE),0))</f>
        <v>0</v>
      </c>
      <c r="K278" s="306">
        <f>+IF($H278=K$2,VLOOKUP($G278,Depreciation!$A$14:$L$18,9,FALSE)/2,IF($H278&lt;K$2,VLOOKUP($G278,Depreciation!$A$14:$L$18,9,FALSE),0))</f>
        <v>1.3928409269726289E-2</v>
      </c>
      <c r="L278" s="306">
        <f>+IF($H278=L$2,VLOOKUP($G278,Depreciation!$A$14:$L$18,10,FALSE)/2,IF($H278&lt;L$2,VLOOKUP($G278,Depreciation!$A$14:$L$18,10,FALSE),0))</f>
        <v>2.7856818539452578E-2</v>
      </c>
      <c r="M278" s="306">
        <f>+IF($H278=M$2,VLOOKUP($G278,Depreciation!$A$14:$L$18,11,FALSE)/2,IF($H278&lt;M$2,VLOOKUP($G278,Depreciation!$A$14:$L$18,11,FALSE),0))</f>
        <v>2.7856818539452578E-2</v>
      </c>
      <c r="N278" s="306">
        <f>+IF($H278=N$2,VLOOKUP($G278,Depreciation!$A$14:$L$18,12,FALSE)/2,IF($H278&lt;N$2,VLOOKUP($G278,Depreciation!$A$14:$L$18,12,FALSE),0))</f>
        <v>2.7856818539452578E-2</v>
      </c>
      <c r="O278" s="307">
        <f t="shared" si="33"/>
        <v>1265341.3551075114</v>
      </c>
      <c r="P278" s="732">
        <f>'Func Future Subs 2015'!P278</f>
        <v>0</v>
      </c>
      <c r="Q278" s="732">
        <f>'Func Future Subs 2015'!Q278</f>
        <v>0</v>
      </c>
      <c r="R278" s="732">
        <f>'Func Future Subs 2015'!R278</f>
        <v>1</v>
      </c>
      <c r="S278" s="735">
        <f t="shared" si="34"/>
        <v>0</v>
      </c>
      <c r="T278" s="735">
        <f t="shared" si="35"/>
        <v>0</v>
      </c>
      <c r="U278" s="735">
        <f t="shared" si="36"/>
        <v>1265341.3551075114</v>
      </c>
      <c r="V278" s="736">
        <f t="shared" si="37"/>
        <v>0</v>
      </c>
      <c r="W278" s="735">
        <f t="shared" si="38"/>
        <v>0</v>
      </c>
      <c r="X278" s="737">
        <f t="shared" si="39"/>
        <v>1265341.3551075114</v>
      </c>
      <c r="Y278" s="738">
        <f t="shared" si="40"/>
        <v>0</v>
      </c>
    </row>
    <row r="279" spans="1:25">
      <c r="A279" s="754" t="str">
        <f>'Func Future Subs 2015'!A279</f>
        <v>Bonnyville 700S</v>
      </c>
      <c r="B279" s="754">
        <f>'Func Future Subs 2015'!B279</f>
        <v>1364</v>
      </c>
      <c r="C279" s="754">
        <f>'Func Future Subs 2015'!C279</f>
        <v>138</v>
      </c>
      <c r="D279" s="754">
        <f>'Func Future Subs 2015'!D279</f>
        <v>25</v>
      </c>
      <c r="E279" s="754" t="str">
        <f>'Func Future Subs 2015'!E279</f>
        <v>700S</v>
      </c>
      <c r="F279" s="754">
        <f>'Func Future Subs 2015'!F279</f>
        <v>57289.359501696126</v>
      </c>
      <c r="G279" s="754" t="str">
        <f>'Func Future Subs 2015'!G279</f>
        <v>AltaLink</v>
      </c>
      <c r="H279" s="754">
        <f>'Func Future Subs 2015'!H279</f>
        <v>2015</v>
      </c>
      <c r="I279" s="306">
        <f>+IF($H279=I$2,VLOOKUP($G279,Depreciation!$A$14:$L$18,7,FALSE)/2,IF($H279&lt;I$2,VLOOKUP($G279,Depreciation!$A$14:$L$18,7,FALSE),0))</f>
        <v>1.7228380322441735E-2</v>
      </c>
      <c r="J279" s="306">
        <f>+IF($H279=J$2,VLOOKUP($G279,Depreciation!$A$14:$L$18,8,FALSE)/2,IF($H279&lt;J$2,VLOOKUP($G279,Depreciation!$A$14:$L$18,8,FALSE),0))</f>
        <v>3.343407856743718E-2</v>
      </c>
      <c r="K279" s="306">
        <f>+IF($H279=K$2,VLOOKUP($G279,Depreciation!$A$14:$L$18,9,FALSE)/2,IF($H279&lt;K$2,VLOOKUP($G279,Depreciation!$A$14:$L$18,9,FALSE),0))</f>
        <v>3.343407856743718E-2</v>
      </c>
      <c r="L279" s="306">
        <f>+IF($H279=L$2,VLOOKUP($G279,Depreciation!$A$14:$L$18,10,FALSE)/2,IF($H279&lt;L$2,VLOOKUP($G279,Depreciation!$A$14:$L$18,10,FALSE),0))</f>
        <v>3.343407856743718E-2</v>
      </c>
      <c r="M279" s="306">
        <f>+IF($H279=M$2,VLOOKUP($G279,Depreciation!$A$14:$L$18,11,FALSE)/2,IF($H279&lt;M$2,VLOOKUP($G279,Depreciation!$A$14:$L$18,11,FALSE),0))</f>
        <v>3.343407856743718E-2</v>
      </c>
      <c r="N279" s="306">
        <f>+IF($H279=N$2,VLOOKUP($G279,Depreciation!$A$14:$L$18,12,FALSE)/2,IF($H279&lt;N$2,VLOOKUP($G279,Depreciation!$A$14:$L$18,12,FALSE),0))</f>
        <v>3.343407856743718E-2</v>
      </c>
      <c r="O279" s="307">
        <f t="shared" si="33"/>
        <v>47498.945514246479</v>
      </c>
      <c r="P279" s="732">
        <f>'Func Future Subs 2015'!P279</f>
        <v>0</v>
      </c>
      <c r="Q279" s="732">
        <f>'Func Future Subs 2015'!Q279</f>
        <v>1</v>
      </c>
      <c r="R279" s="732">
        <f>'Func Future Subs 2015'!R279</f>
        <v>0</v>
      </c>
      <c r="S279" s="735">
        <f t="shared" si="34"/>
        <v>0</v>
      </c>
      <c r="T279" s="735">
        <f t="shared" si="35"/>
        <v>47498.945514246479</v>
      </c>
      <c r="U279" s="735">
        <f t="shared" si="36"/>
        <v>0</v>
      </c>
      <c r="V279" s="736">
        <f t="shared" si="37"/>
        <v>0</v>
      </c>
      <c r="W279" s="735">
        <f t="shared" si="38"/>
        <v>0</v>
      </c>
      <c r="X279" s="737">
        <f t="shared" si="39"/>
        <v>0</v>
      </c>
      <c r="Y279" s="738">
        <f t="shared" si="40"/>
        <v>47498.945514246479</v>
      </c>
    </row>
    <row r="280" spans="1:25">
      <c r="A280" s="754" t="str">
        <f>'Func Future Subs 2015'!A280</f>
        <v>La Corey 721S</v>
      </c>
      <c r="B280" s="754">
        <f>'Func Future Subs 2015'!B280</f>
        <v>1364</v>
      </c>
      <c r="C280" s="754">
        <f>'Func Future Subs 2015'!C280</f>
        <v>138</v>
      </c>
      <c r="D280" s="754">
        <f>'Func Future Subs 2015'!D280</f>
        <v>25</v>
      </c>
      <c r="E280" s="754" t="str">
        <f>'Func Future Subs 2015'!E280</f>
        <v>721S</v>
      </c>
      <c r="F280" s="754">
        <f>'Func Future Subs 2015'!F280</f>
        <v>8476582.5247856006</v>
      </c>
      <c r="G280" s="754" t="str">
        <f>'Func Future Subs 2015'!G280</f>
        <v>AltaLink</v>
      </c>
      <c r="H280" s="754">
        <f>'Func Future Subs 2015'!H280</f>
        <v>2015</v>
      </c>
      <c r="I280" s="306">
        <f>+IF($H280=I$2,VLOOKUP($G280,Depreciation!$A$14:$L$18,7,FALSE)/2,IF($H280&lt;I$2,VLOOKUP($G280,Depreciation!$A$14:$L$18,7,FALSE),0))</f>
        <v>1.7228380322441735E-2</v>
      </c>
      <c r="J280" s="306">
        <f>+IF($H280=J$2,VLOOKUP($G280,Depreciation!$A$14:$L$18,8,FALSE)/2,IF($H280&lt;J$2,VLOOKUP($G280,Depreciation!$A$14:$L$18,8,FALSE),0))</f>
        <v>3.343407856743718E-2</v>
      </c>
      <c r="K280" s="306">
        <f>+IF($H280=K$2,VLOOKUP($G280,Depreciation!$A$14:$L$18,9,FALSE)/2,IF($H280&lt;K$2,VLOOKUP($G280,Depreciation!$A$14:$L$18,9,FALSE),0))</f>
        <v>3.343407856743718E-2</v>
      </c>
      <c r="L280" s="306">
        <f>+IF($H280=L$2,VLOOKUP($G280,Depreciation!$A$14:$L$18,10,FALSE)/2,IF($H280&lt;L$2,VLOOKUP($G280,Depreciation!$A$14:$L$18,10,FALSE),0))</f>
        <v>3.343407856743718E-2</v>
      </c>
      <c r="M280" s="306">
        <f>+IF($H280=M$2,VLOOKUP($G280,Depreciation!$A$14:$L$18,11,FALSE)/2,IF($H280&lt;M$2,VLOOKUP($G280,Depreciation!$A$14:$L$18,11,FALSE),0))</f>
        <v>3.343407856743718E-2</v>
      </c>
      <c r="N280" s="306">
        <f>+IF($H280=N$2,VLOOKUP($G280,Depreciation!$A$14:$L$18,12,FALSE)/2,IF($H280&lt;N$2,VLOOKUP($G280,Depreciation!$A$14:$L$18,12,FALSE),0))</f>
        <v>3.343407856743718E-2</v>
      </c>
      <c r="O280" s="307">
        <f t="shared" si="33"/>
        <v>7027984.5156915188</v>
      </c>
      <c r="P280" s="732">
        <f>'Func Future Subs 2015'!P280</f>
        <v>0</v>
      </c>
      <c r="Q280" s="732">
        <f>'Func Future Subs 2015'!Q280</f>
        <v>1</v>
      </c>
      <c r="R280" s="732">
        <f>'Func Future Subs 2015'!R280</f>
        <v>0</v>
      </c>
      <c r="S280" s="735">
        <f t="shared" si="34"/>
        <v>0</v>
      </c>
      <c r="T280" s="735">
        <f t="shared" si="35"/>
        <v>7027984.5156915188</v>
      </c>
      <c r="U280" s="735">
        <f t="shared" si="36"/>
        <v>0</v>
      </c>
      <c r="V280" s="736">
        <f t="shared" si="37"/>
        <v>0</v>
      </c>
      <c r="W280" s="735">
        <f t="shared" si="38"/>
        <v>0</v>
      </c>
      <c r="X280" s="737">
        <f t="shared" si="39"/>
        <v>0</v>
      </c>
      <c r="Y280" s="738">
        <f t="shared" si="40"/>
        <v>7027984.5156915188</v>
      </c>
    </row>
    <row r="281" spans="1:25">
      <c r="A281" s="754" t="str">
        <f>'Func Future Subs 2015'!A281</f>
        <v>Marguerite Lake 826S</v>
      </c>
      <c r="B281" s="754">
        <f>'Func Future Subs 2015'!B281</f>
        <v>1364</v>
      </c>
      <c r="C281" s="754">
        <f>'Func Future Subs 2015'!C281</f>
        <v>240</v>
      </c>
      <c r="D281" s="754">
        <f>'Func Future Subs 2015'!D281</f>
        <v>138</v>
      </c>
      <c r="E281" s="754" t="str">
        <f>'Func Future Subs 2015'!E281</f>
        <v>826S</v>
      </c>
      <c r="F281" s="754">
        <f>'Func Future Subs 2015'!F281</f>
        <v>57289.359501696126</v>
      </c>
      <c r="G281" s="754" t="str">
        <f>'Func Future Subs 2015'!G281</f>
        <v>AltaLink</v>
      </c>
      <c r="H281" s="754">
        <f>'Func Future Subs 2015'!H281</f>
        <v>2015</v>
      </c>
      <c r="I281" s="306">
        <f>+IF($H281=I$2,VLOOKUP($G281,Depreciation!$A$14:$L$18,7,FALSE)/2,IF($H281&lt;I$2,VLOOKUP($G281,Depreciation!$A$14:$L$18,7,FALSE),0))</f>
        <v>1.7228380322441735E-2</v>
      </c>
      <c r="J281" s="306">
        <f>+IF($H281=J$2,VLOOKUP($G281,Depreciation!$A$14:$L$18,8,FALSE)/2,IF($H281&lt;J$2,VLOOKUP($G281,Depreciation!$A$14:$L$18,8,FALSE),0))</f>
        <v>3.343407856743718E-2</v>
      </c>
      <c r="K281" s="306">
        <f>+IF($H281=K$2,VLOOKUP($G281,Depreciation!$A$14:$L$18,9,FALSE)/2,IF($H281&lt;K$2,VLOOKUP($G281,Depreciation!$A$14:$L$18,9,FALSE),0))</f>
        <v>3.343407856743718E-2</v>
      </c>
      <c r="L281" s="306">
        <f>+IF($H281=L$2,VLOOKUP($G281,Depreciation!$A$14:$L$18,10,FALSE)/2,IF($H281&lt;L$2,VLOOKUP($G281,Depreciation!$A$14:$L$18,10,FALSE),0))</f>
        <v>3.343407856743718E-2</v>
      </c>
      <c r="M281" s="306">
        <f>+IF($H281=M$2,VLOOKUP($G281,Depreciation!$A$14:$L$18,11,FALSE)/2,IF($H281&lt;M$2,VLOOKUP($G281,Depreciation!$A$14:$L$18,11,FALSE),0))</f>
        <v>3.343407856743718E-2</v>
      </c>
      <c r="N281" s="306">
        <f>+IF($H281=N$2,VLOOKUP($G281,Depreciation!$A$14:$L$18,12,FALSE)/2,IF($H281&lt;N$2,VLOOKUP($G281,Depreciation!$A$14:$L$18,12,FALSE),0))</f>
        <v>3.343407856743718E-2</v>
      </c>
      <c r="O281" s="307">
        <f t="shared" si="33"/>
        <v>47498.945514246479</v>
      </c>
      <c r="P281" s="732">
        <f>'Func Future Subs 2015'!P281</f>
        <v>0</v>
      </c>
      <c r="Q281" s="732">
        <f>'Func Future Subs 2015'!Q281</f>
        <v>0</v>
      </c>
      <c r="R281" s="732">
        <f>'Func Future Subs 2015'!R281</f>
        <v>1</v>
      </c>
      <c r="S281" s="735">
        <f t="shared" si="34"/>
        <v>0</v>
      </c>
      <c r="T281" s="735">
        <f t="shared" si="35"/>
        <v>0</v>
      </c>
      <c r="U281" s="735">
        <f t="shared" si="36"/>
        <v>47498.945514246479</v>
      </c>
      <c r="V281" s="736">
        <f t="shared" si="37"/>
        <v>0</v>
      </c>
      <c r="W281" s="735">
        <f t="shared" si="38"/>
        <v>0</v>
      </c>
      <c r="X281" s="737">
        <f t="shared" si="39"/>
        <v>47498.945514246479</v>
      </c>
      <c r="Y281" s="738">
        <f t="shared" si="40"/>
        <v>0</v>
      </c>
    </row>
    <row r="282" spans="1:25">
      <c r="A282" s="754" t="str">
        <f>'Func Future Subs 2015'!A282</f>
        <v>Josephburg 410S upgrade_(Alt3)</v>
      </c>
      <c r="B282" s="754">
        <f>'Func Future Subs 2015'!B282</f>
        <v>1381</v>
      </c>
      <c r="C282" s="754">
        <f>'Func Future Subs 2015'!C282</f>
        <v>240</v>
      </c>
      <c r="D282" s="754">
        <f>'Func Future Subs 2015'!D282</f>
        <v>138</v>
      </c>
      <c r="E282" s="754" t="str">
        <f>'Func Future Subs 2015'!E282</f>
        <v>410S</v>
      </c>
      <c r="F282" s="754">
        <f>'Func Future Subs 2015'!F282</f>
        <v>5362918.7901881374</v>
      </c>
      <c r="G282" s="754" t="str">
        <f>'Func Future Subs 2015'!G282</f>
        <v>AltaLink</v>
      </c>
      <c r="H282" s="754">
        <f>'Func Future Subs 2015'!H282</f>
        <v>2019</v>
      </c>
      <c r="I282" s="306">
        <f>+IF($H282=I$2,VLOOKUP($G282,Depreciation!$A$14:$L$18,7,FALSE)/2,IF($H282&lt;I$2,VLOOKUP($G282,Depreciation!$A$14:$L$18,7,FALSE),0))</f>
        <v>0</v>
      </c>
      <c r="J282" s="306">
        <f>+IF($H282=J$2,VLOOKUP($G282,Depreciation!$A$14:$L$18,8,FALSE)/2,IF($H282&lt;J$2,VLOOKUP($G282,Depreciation!$A$14:$L$18,8,FALSE),0))</f>
        <v>0</v>
      </c>
      <c r="K282" s="306">
        <f>+IF($H282=K$2,VLOOKUP($G282,Depreciation!$A$14:$L$18,9,FALSE)/2,IF($H282&lt;K$2,VLOOKUP($G282,Depreciation!$A$14:$L$18,9,FALSE),0))</f>
        <v>0</v>
      </c>
      <c r="L282" s="306">
        <f>+IF($H282=L$2,VLOOKUP($G282,Depreciation!$A$14:$L$18,10,FALSE)/2,IF($H282&lt;L$2,VLOOKUP($G282,Depreciation!$A$14:$L$18,10,FALSE),0))</f>
        <v>0</v>
      </c>
      <c r="M282" s="306">
        <f>+IF($H282=M$2,VLOOKUP($G282,Depreciation!$A$14:$L$18,11,FALSE)/2,IF($H282&lt;M$2,VLOOKUP($G282,Depreciation!$A$14:$L$18,11,FALSE),0))</f>
        <v>1.671703928371859E-2</v>
      </c>
      <c r="N282" s="306">
        <f>+IF($H282=N$2,VLOOKUP($G282,Depreciation!$A$14:$L$18,12,FALSE)/2,IF($H282&lt;N$2,VLOOKUP($G282,Depreciation!$A$14:$L$18,12,FALSE),0))</f>
        <v>3.343407856743718E-2</v>
      </c>
      <c r="O282" s="307">
        <f t="shared" si="33"/>
        <v>5096959.8540758295</v>
      </c>
      <c r="P282" s="732">
        <f>'Func Future Subs 2015'!P282</f>
        <v>0</v>
      </c>
      <c r="Q282" s="732">
        <f>'Func Future Subs 2015'!Q282</f>
        <v>0</v>
      </c>
      <c r="R282" s="732">
        <f>'Func Future Subs 2015'!R282</f>
        <v>1</v>
      </c>
      <c r="S282" s="735">
        <f t="shared" si="34"/>
        <v>0</v>
      </c>
      <c r="T282" s="735">
        <f t="shared" si="35"/>
        <v>0</v>
      </c>
      <c r="U282" s="735">
        <f t="shared" si="36"/>
        <v>5096959.8540758295</v>
      </c>
      <c r="V282" s="736">
        <f t="shared" si="37"/>
        <v>0</v>
      </c>
      <c r="W282" s="735">
        <f t="shared" si="38"/>
        <v>0</v>
      </c>
      <c r="X282" s="737">
        <f t="shared" si="39"/>
        <v>5096959.8540758295</v>
      </c>
      <c r="Y282" s="738">
        <f t="shared" si="40"/>
        <v>0</v>
      </c>
    </row>
    <row r="283" spans="1:25">
      <c r="A283" s="754" t="str">
        <f>'Func Future Subs 2015'!A283</f>
        <v>Red Deer 63S</v>
      </c>
      <c r="B283" s="754">
        <f>'Func Future Subs 2015'!B283</f>
        <v>1394</v>
      </c>
      <c r="C283" s="754">
        <f>'Func Future Subs 2015'!C283</f>
        <v>240</v>
      </c>
      <c r="D283" s="754">
        <f>'Func Future Subs 2015'!D283</f>
        <v>25</v>
      </c>
      <c r="E283" s="754" t="str">
        <f>'Func Future Subs 2015'!E283</f>
        <v>63S</v>
      </c>
      <c r="F283" s="754">
        <f>'Func Future Subs 2015'!F283</f>
        <v>5221999.9999999972</v>
      </c>
      <c r="G283" s="754" t="str">
        <f>'Func Future Subs 2015'!G283</f>
        <v>AltaLink</v>
      </c>
      <c r="H283" s="754">
        <f>'Func Future Subs 2015'!H283</f>
        <v>2015</v>
      </c>
      <c r="I283" s="306">
        <f>+IF($H283=I$2,VLOOKUP($G283,Depreciation!$A$14:$L$18,7,FALSE)/2,IF($H283&lt;I$2,VLOOKUP($G283,Depreciation!$A$14:$L$18,7,FALSE),0))</f>
        <v>1.7228380322441735E-2</v>
      </c>
      <c r="J283" s="306">
        <f>+IF($H283=J$2,VLOOKUP($G283,Depreciation!$A$14:$L$18,8,FALSE)/2,IF($H283&lt;J$2,VLOOKUP($G283,Depreciation!$A$14:$L$18,8,FALSE),0))</f>
        <v>3.343407856743718E-2</v>
      </c>
      <c r="K283" s="306">
        <f>+IF($H283=K$2,VLOOKUP($G283,Depreciation!$A$14:$L$18,9,FALSE)/2,IF($H283&lt;K$2,VLOOKUP($G283,Depreciation!$A$14:$L$18,9,FALSE),0))</f>
        <v>3.343407856743718E-2</v>
      </c>
      <c r="L283" s="306">
        <f>+IF($H283=L$2,VLOOKUP($G283,Depreciation!$A$14:$L$18,10,FALSE)/2,IF($H283&lt;L$2,VLOOKUP($G283,Depreciation!$A$14:$L$18,10,FALSE),0))</f>
        <v>3.343407856743718E-2</v>
      </c>
      <c r="M283" s="306">
        <f>+IF($H283=M$2,VLOOKUP($G283,Depreciation!$A$14:$L$18,11,FALSE)/2,IF($H283&lt;M$2,VLOOKUP($G283,Depreciation!$A$14:$L$18,11,FALSE),0))</f>
        <v>3.343407856743718E-2</v>
      </c>
      <c r="N283" s="306">
        <f>+IF($H283=N$2,VLOOKUP($G283,Depreciation!$A$14:$L$18,12,FALSE)/2,IF($H283&lt;N$2,VLOOKUP($G283,Depreciation!$A$14:$L$18,12,FALSE),0))</f>
        <v>3.343407856743718E-2</v>
      </c>
      <c r="O283" s="307">
        <f t="shared" si="33"/>
        <v>4329590.9682504209</v>
      </c>
      <c r="P283" s="732">
        <f>'Func Future Subs 2015'!P283</f>
        <v>0</v>
      </c>
      <c r="Q283" s="732">
        <f>'Func Future Subs 2015'!Q283</f>
        <v>1</v>
      </c>
      <c r="R283" s="732">
        <f>'Func Future Subs 2015'!R283</f>
        <v>0</v>
      </c>
      <c r="S283" s="735">
        <f t="shared" si="34"/>
        <v>0</v>
      </c>
      <c r="T283" s="735">
        <f t="shared" si="35"/>
        <v>4329590.9682504209</v>
      </c>
      <c r="U283" s="735">
        <f t="shared" si="36"/>
        <v>0</v>
      </c>
      <c r="V283" s="736">
        <f t="shared" si="37"/>
        <v>0</v>
      </c>
      <c r="W283" s="735">
        <f t="shared" si="38"/>
        <v>0</v>
      </c>
      <c r="X283" s="737">
        <f t="shared" si="39"/>
        <v>0</v>
      </c>
      <c r="Y283" s="738">
        <f t="shared" si="40"/>
        <v>4329590.9682504209</v>
      </c>
    </row>
    <row r="284" spans="1:25">
      <c r="A284" s="754" t="str">
        <f>'Func Future Subs 2015'!A284</f>
        <v>Black Spruce 154S</v>
      </c>
      <c r="B284" s="754">
        <f>'Func Future Subs 2015'!B284</f>
        <v>1404</v>
      </c>
      <c r="C284" s="754">
        <f>'Func Future Subs 2015'!C284</f>
        <v>240</v>
      </c>
      <c r="D284" s="754">
        <f>'Func Future Subs 2015'!D284</f>
        <v>240</v>
      </c>
      <c r="E284" s="754" t="str">
        <f>'Func Future Subs 2015'!E284</f>
        <v>154S</v>
      </c>
      <c r="F284" s="754">
        <f>'Func Future Subs 2015'!F284</f>
        <v>278684.58054174558</v>
      </c>
      <c r="G284" s="754" t="str">
        <f>'Func Future Subs 2015'!G284</f>
        <v>AltaLink</v>
      </c>
      <c r="H284" s="754">
        <f>'Func Future Subs 2015'!H284</f>
        <v>2017</v>
      </c>
      <c r="I284" s="306">
        <f>+IF($H284=I$2,VLOOKUP($G284,Depreciation!$A$14:$L$18,7,FALSE)/2,IF($H284&lt;I$2,VLOOKUP($G284,Depreciation!$A$14:$L$18,7,FALSE),0))</f>
        <v>0</v>
      </c>
      <c r="J284" s="306">
        <f>+IF($H284=J$2,VLOOKUP($G284,Depreciation!$A$14:$L$18,8,FALSE)/2,IF($H284&lt;J$2,VLOOKUP($G284,Depreciation!$A$14:$L$18,8,FALSE),0))</f>
        <v>0</v>
      </c>
      <c r="K284" s="306">
        <f>+IF($H284=K$2,VLOOKUP($G284,Depreciation!$A$14:$L$18,9,FALSE)/2,IF($H284&lt;K$2,VLOOKUP($G284,Depreciation!$A$14:$L$18,9,FALSE),0))</f>
        <v>1.671703928371859E-2</v>
      </c>
      <c r="L284" s="306">
        <f>+IF($H284=L$2,VLOOKUP($G284,Depreciation!$A$14:$L$18,10,FALSE)/2,IF($H284&lt;L$2,VLOOKUP($G284,Depreciation!$A$14:$L$18,10,FALSE),0))</f>
        <v>3.343407856743718E-2</v>
      </c>
      <c r="M284" s="306">
        <f>+IF($H284=M$2,VLOOKUP($G284,Depreciation!$A$14:$L$18,11,FALSE)/2,IF($H284&lt;M$2,VLOOKUP($G284,Depreciation!$A$14:$L$18,11,FALSE),0))</f>
        <v>3.343407856743718E-2</v>
      </c>
      <c r="N284" s="306">
        <f>+IF($H284=N$2,VLOOKUP($G284,Depreciation!$A$14:$L$18,12,FALSE)/2,IF($H284&lt;N$2,VLOOKUP($G284,Depreciation!$A$14:$L$18,12,FALSE),0))</f>
        <v>3.343407856743718E-2</v>
      </c>
      <c r="O284" s="307">
        <f t="shared" si="33"/>
        <v>247449.10676422997</v>
      </c>
      <c r="P284" s="732">
        <f>'Func Future Subs 2015'!P284</f>
        <v>0</v>
      </c>
      <c r="Q284" s="732">
        <f>'Func Future Subs 2015'!Q284</f>
        <v>0</v>
      </c>
      <c r="R284" s="732">
        <f>'Func Future Subs 2015'!R284</f>
        <v>1</v>
      </c>
      <c r="S284" s="735">
        <f t="shared" si="34"/>
        <v>0</v>
      </c>
      <c r="T284" s="735">
        <f t="shared" si="35"/>
        <v>0</v>
      </c>
      <c r="U284" s="735">
        <f t="shared" si="36"/>
        <v>247449.10676422997</v>
      </c>
      <c r="V284" s="736">
        <f t="shared" si="37"/>
        <v>0</v>
      </c>
      <c r="W284" s="735">
        <f t="shared" si="38"/>
        <v>247449.10676422997</v>
      </c>
      <c r="X284" s="737">
        <f t="shared" si="39"/>
        <v>0</v>
      </c>
      <c r="Y284" s="738">
        <f t="shared" si="40"/>
        <v>0</v>
      </c>
    </row>
    <row r="285" spans="1:25">
      <c r="A285" s="754" t="str">
        <f>'Func Future Subs 2015'!A285</f>
        <v>Boreal 193S</v>
      </c>
      <c r="B285" s="754">
        <f>'Func Future Subs 2015'!B285</f>
        <v>1404</v>
      </c>
      <c r="C285" s="754">
        <f>'Func Future Subs 2015'!C285</f>
        <v>240</v>
      </c>
      <c r="D285" s="754">
        <f>'Func Future Subs 2015'!D285</f>
        <v>25</v>
      </c>
      <c r="E285" s="754" t="str">
        <f>'Func Future Subs 2015'!E285</f>
        <v>193S</v>
      </c>
      <c r="F285" s="754">
        <f>'Func Future Subs 2015'!F285</f>
        <v>404849.17125705519</v>
      </c>
      <c r="G285" s="754" t="str">
        <f>'Func Future Subs 2015'!G285</f>
        <v>AltaLink</v>
      </c>
      <c r="H285" s="754">
        <f>'Func Future Subs 2015'!H285</f>
        <v>2017</v>
      </c>
      <c r="I285" s="306">
        <f>+IF($H285=I$2,VLOOKUP($G285,Depreciation!$A$14:$L$18,7,FALSE)/2,IF($H285&lt;I$2,VLOOKUP($G285,Depreciation!$A$14:$L$18,7,FALSE),0))</f>
        <v>0</v>
      </c>
      <c r="J285" s="306">
        <f>+IF($H285=J$2,VLOOKUP($G285,Depreciation!$A$14:$L$18,8,FALSE)/2,IF($H285&lt;J$2,VLOOKUP($G285,Depreciation!$A$14:$L$18,8,FALSE),0))</f>
        <v>0</v>
      </c>
      <c r="K285" s="306">
        <f>+IF($H285=K$2,VLOOKUP($G285,Depreciation!$A$14:$L$18,9,FALSE)/2,IF($H285&lt;K$2,VLOOKUP($G285,Depreciation!$A$14:$L$18,9,FALSE),0))</f>
        <v>1.671703928371859E-2</v>
      </c>
      <c r="L285" s="306">
        <f>+IF($H285=L$2,VLOOKUP($G285,Depreciation!$A$14:$L$18,10,FALSE)/2,IF($H285&lt;L$2,VLOOKUP($G285,Depreciation!$A$14:$L$18,10,FALSE),0))</f>
        <v>3.343407856743718E-2</v>
      </c>
      <c r="M285" s="306">
        <f>+IF($H285=M$2,VLOOKUP($G285,Depreciation!$A$14:$L$18,11,FALSE)/2,IF($H285&lt;M$2,VLOOKUP($G285,Depreciation!$A$14:$L$18,11,FALSE),0))</f>
        <v>3.343407856743718E-2</v>
      </c>
      <c r="N285" s="306">
        <f>+IF($H285=N$2,VLOOKUP($G285,Depreciation!$A$14:$L$18,12,FALSE)/2,IF($H285&lt;N$2,VLOOKUP($G285,Depreciation!$A$14:$L$18,12,FALSE),0))</f>
        <v>3.343407856743718E-2</v>
      </c>
      <c r="O285" s="307">
        <f t="shared" si="33"/>
        <v>359472.94108290534</v>
      </c>
      <c r="P285" s="732">
        <f>'Func Future Subs 2015'!P285</f>
        <v>0</v>
      </c>
      <c r="Q285" s="732">
        <f>'Func Future Subs 2015'!Q285</f>
        <v>0</v>
      </c>
      <c r="R285" s="732">
        <f>'Func Future Subs 2015'!R285</f>
        <v>1</v>
      </c>
      <c r="S285" s="735">
        <f t="shared" si="34"/>
        <v>0</v>
      </c>
      <c r="T285" s="735">
        <f t="shared" si="35"/>
        <v>0</v>
      </c>
      <c r="U285" s="735">
        <f t="shared" si="36"/>
        <v>359472.94108290534</v>
      </c>
      <c r="V285" s="736">
        <f t="shared" si="37"/>
        <v>0</v>
      </c>
      <c r="W285" s="735">
        <f t="shared" si="38"/>
        <v>0</v>
      </c>
      <c r="X285" s="737">
        <f t="shared" si="39"/>
        <v>0</v>
      </c>
      <c r="Y285" s="738">
        <f t="shared" si="40"/>
        <v>359472.94108290534</v>
      </c>
    </row>
    <row r="286" spans="1:25">
      <c r="A286" s="754" t="str">
        <f>'Func Future Subs 2015'!A286</f>
        <v>Conklin 762S</v>
      </c>
      <c r="B286" s="754">
        <f>'Func Future Subs 2015'!B286</f>
        <v>1404</v>
      </c>
      <c r="C286" s="754">
        <f>'Func Future Subs 2015'!C286</f>
        <v>240</v>
      </c>
      <c r="D286" s="754">
        <f>'Func Future Subs 2015'!D286</f>
        <v>25</v>
      </c>
      <c r="E286" s="754" t="str">
        <f>'Func Future Subs 2015'!E286</f>
        <v>762S</v>
      </c>
      <c r="F286" s="754">
        <f>'Func Future Subs 2015'!F286</f>
        <v>168402.5482694711</v>
      </c>
      <c r="G286" s="754" t="str">
        <f>'Func Future Subs 2015'!G286</f>
        <v>AltaLink</v>
      </c>
      <c r="H286" s="754">
        <f>'Func Future Subs 2015'!H286</f>
        <v>2017</v>
      </c>
      <c r="I286" s="306">
        <f>+IF($H286=I$2,VLOOKUP($G286,Depreciation!$A$14:$L$18,7,FALSE)/2,IF($H286&lt;I$2,VLOOKUP($G286,Depreciation!$A$14:$L$18,7,FALSE),0))</f>
        <v>0</v>
      </c>
      <c r="J286" s="306">
        <f>+IF($H286=J$2,VLOOKUP($G286,Depreciation!$A$14:$L$18,8,FALSE)/2,IF($H286&lt;J$2,VLOOKUP($G286,Depreciation!$A$14:$L$18,8,FALSE),0))</f>
        <v>0</v>
      </c>
      <c r="K286" s="306">
        <f>+IF($H286=K$2,VLOOKUP($G286,Depreciation!$A$14:$L$18,9,FALSE)/2,IF($H286&lt;K$2,VLOOKUP($G286,Depreciation!$A$14:$L$18,9,FALSE),0))</f>
        <v>1.671703928371859E-2</v>
      </c>
      <c r="L286" s="306">
        <f>+IF($H286=L$2,VLOOKUP($G286,Depreciation!$A$14:$L$18,10,FALSE)/2,IF($H286&lt;L$2,VLOOKUP($G286,Depreciation!$A$14:$L$18,10,FALSE),0))</f>
        <v>3.343407856743718E-2</v>
      </c>
      <c r="M286" s="306">
        <f>+IF($H286=M$2,VLOOKUP($G286,Depreciation!$A$14:$L$18,11,FALSE)/2,IF($H286&lt;M$2,VLOOKUP($G286,Depreciation!$A$14:$L$18,11,FALSE),0))</f>
        <v>3.343407856743718E-2</v>
      </c>
      <c r="N286" s="306">
        <f>+IF($H286=N$2,VLOOKUP($G286,Depreciation!$A$14:$L$18,12,FALSE)/2,IF($H286&lt;N$2,VLOOKUP($G286,Depreciation!$A$14:$L$18,12,FALSE),0))</f>
        <v>3.343407856743718E-2</v>
      </c>
      <c r="O286" s="307">
        <f t="shared" si="33"/>
        <v>149527.68490131307</v>
      </c>
      <c r="P286" s="732">
        <f>'Func Future Subs 2015'!P286</f>
        <v>0.92307692307692313</v>
      </c>
      <c r="Q286" s="732">
        <f>'Func Future Subs 2015'!Q286</f>
        <v>7.6923076923076927E-2</v>
      </c>
      <c r="R286" s="732">
        <f>'Func Future Subs 2015'!R286</f>
        <v>0</v>
      </c>
      <c r="S286" s="735">
        <f t="shared" si="34"/>
        <v>138025.55529351978</v>
      </c>
      <c r="T286" s="735">
        <f t="shared" si="35"/>
        <v>11502.129607793313</v>
      </c>
      <c r="U286" s="735">
        <f t="shared" si="36"/>
        <v>0</v>
      </c>
      <c r="V286" s="736">
        <f t="shared" si="37"/>
        <v>0</v>
      </c>
      <c r="W286" s="735">
        <f t="shared" si="38"/>
        <v>138025.55529351978</v>
      </c>
      <c r="X286" s="737">
        <f t="shared" si="39"/>
        <v>0</v>
      </c>
      <c r="Y286" s="738">
        <f t="shared" si="40"/>
        <v>11502.129607793313</v>
      </c>
    </row>
    <row r="287" spans="1:25">
      <c r="A287" s="754" t="str">
        <f>'Func Future Subs 2015'!A287</f>
        <v>Modify Vermillion 710S substation</v>
      </c>
      <c r="B287" s="754">
        <f>'Func Future Subs 2015'!B287</f>
        <v>1410</v>
      </c>
      <c r="C287" s="754">
        <f>'Func Future Subs 2015'!C287</f>
        <v>240</v>
      </c>
      <c r="D287" s="754">
        <f>'Func Future Subs 2015'!D287</f>
        <v>25</v>
      </c>
      <c r="E287" s="754" t="str">
        <f>'Func Future Subs 2015'!E287</f>
        <v>710S</v>
      </c>
      <c r="F287" s="754">
        <f>'Func Future Subs 2015'!F287</f>
        <v>15324.249757272422</v>
      </c>
      <c r="G287" s="754" t="str">
        <f>'Func Future Subs 2015'!G287</f>
        <v>ATCO</v>
      </c>
      <c r="H287" s="754">
        <f>'Func Future Subs 2015'!H287</f>
        <v>2017</v>
      </c>
      <c r="I287" s="306">
        <f>+IF($H287=I$2,VLOOKUP($G287,Depreciation!$A$14:$L$18,7,FALSE)/2,IF($H287&lt;I$2,VLOOKUP($G287,Depreciation!$A$14:$L$18,7,FALSE),0))</f>
        <v>0</v>
      </c>
      <c r="J287" s="306">
        <f>+IF($H287=J$2,VLOOKUP($G287,Depreciation!$A$14:$L$18,8,FALSE)/2,IF($H287&lt;J$2,VLOOKUP($G287,Depreciation!$A$14:$L$18,8,FALSE),0))</f>
        <v>0</v>
      </c>
      <c r="K287" s="306">
        <f>+IF($H287=K$2,VLOOKUP($G287,Depreciation!$A$14:$L$18,9,FALSE)/2,IF($H287&lt;K$2,VLOOKUP($G287,Depreciation!$A$14:$L$18,9,FALSE),0))</f>
        <v>1.2175768213899416E-2</v>
      </c>
      <c r="L287" s="306">
        <f>+IF($H287=L$2,VLOOKUP($G287,Depreciation!$A$14:$L$18,10,FALSE)/2,IF($H287&lt;L$2,VLOOKUP($G287,Depreciation!$A$14:$L$18,10,FALSE),0))</f>
        <v>2.4351536427798831E-2</v>
      </c>
      <c r="M287" s="306">
        <f>+IF($H287=M$2,VLOOKUP($G287,Depreciation!$A$14:$L$18,11,FALSE)/2,IF($H287&lt;M$2,VLOOKUP($G287,Depreciation!$A$14:$L$18,11,FALSE),0))</f>
        <v>2.4351536427798831E-2</v>
      </c>
      <c r="N287" s="306">
        <f>+IF($H287=N$2,VLOOKUP($G287,Depreciation!$A$14:$L$18,12,FALSE)/2,IF($H287&lt;N$2,VLOOKUP($G287,Depreciation!$A$14:$L$18,12,FALSE),0))</f>
        <v>2.4351536427798831E-2</v>
      </c>
      <c r="O287" s="307">
        <f t="shared" si="33"/>
        <v>14058.500215472222</v>
      </c>
      <c r="P287" s="732">
        <f>'Func Future Subs 2015'!P287</f>
        <v>0</v>
      </c>
      <c r="Q287" s="732">
        <f>'Func Future Subs 2015'!Q287</f>
        <v>1</v>
      </c>
      <c r="R287" s="732">
        <f>'Func Future Subs 2015'!R287</f>
        <v>0</v>
      </c>
      <c r="S287" s="735">
        <f t="shared" si="34"/>
        <v>0</v>
      </c>
      <c r="T287" s="735">
        <f t="shared" si="35"/>
        <v>14058.500215472222</v>
      </c>
      <c r="U287" s="735">
        <f t="shared" si="36"/>
        <v>0</v>
      </c>
      <c r="V287" s="736">
        <f t="shared" si="37"/>
        <v>0</v>
      </c>
      <c r="W287" s="735">
        <f t="shared" si="38"/>
        <v>0</v>
      </c>
      <c r="X287" s="737">
        <f t="shared" si="39"/>
        <v>0</v>
      </c>
      <c r="Y287" s="738">
        <f t="shared" si="40"/>
        <v>14058.500215472222</v>
      </c>
    </row>
    <row r="288" spans="1:25">
      <c r="A288" s="754" t="str">
        <f>'Func Future Subs 2015'!A288</f>
        <v>New Vincent 2019S POD substation</v>
      </c>
      <c r="B288" s="754">
        <f>'Func Future Subs 2015'!B288</f>
        <v>1410</v>
      </c>
      <c r="C288" s="754">
        <f>'Func Future Subs 2015'!C288</f>
        <v>144</v>
      </c>
      <c r="D288" s="754">
        <f>'Func Future Subs 2015'!D288</f>
        <v>25</v>
      </c>
      <c r="E288" s="754" t="str">
        <f>'Func Future Subs 2015'!E288</f>
        <v>2019S</v>
      </c>
      <c r="F288" s="754">
        <f>'Func Future Subs 2015'!F288</f>
        <v>8044760.2895575566</v>
      </c>
      <c r="G288" s="754" t="str">
        <f>'Func Future Subs 2015'!G288</f>
        <v>ATCO</v>
      </c>
      <c r="H288" s="754">
        <f>'Func Future Subs 2015'!H288</f>
        <v>2017</v>
      </c>
      <c r="I288" s="306">
        <f>+IF($H288=I$2,VLOOKUP($G288,Depreciation!$A$14:$L$18,7,FALSE)/2,IF($H288&lt;I$2,VLOOKUP($G288,Depreciation!$A$14:$L$18,7,FALSE),0))</f>
        <v>0</v>
      </c>
      <c r="J288" s="306">
        <f>+IF($H288=J$2,VLOOKUP($G288,Depreciation!$A$14:$L$18,8,FALSE)/2,IF($H288&lt;J$2,VLOOKUP($G288,Depreciation!$A$14:$L$18,8,FALSE),0))</f>
        <v>0</v>
      </c>
      <c r="K288" s="306">
        <f>+IF($H288=K$2,VLOOKUP($G288,Depreciation!$A$14:$L$18,9,FALSE)/2,IF($H288&lt;K$2,VLOOKUP($G288,Depreciation!$A$14:$L$18,9,FALSE),0))</f>
        <v>1.2175768213899416E-2</v>
      </c>
      <c r="L288" s="306">
        <f>+IF($H288=L$2,VLOOKUP($G288,Depreciation!$A$14:$L$18,10,FALSE)/2,IF($H288&lt;L$2,VLOOKUP($G288,Depreciation!$A$14:$L$18,10,FALSE),0))</f>
        <v>2.4351536427798831E-2</v>
      </c>
      <c r="M288" s="306">
        <f>+IF($H288=M$2,VLOOKUP($G288,Depreciation!$A$14:$L$18,11,FALSE)/2,IF($H288&lt;M$2,VLOOKUP($G288,Depreciation!$A$14:$L$18,11,FALSE),0))</f>
        <v>2.4351536427798831E-2</v>
      </c>
      <c r="N288" s="306">
        <f>+IF($H288=N$2,VLOOKUP($G288,Depreciation!$A$14:$L$18,12,FALSE)/2,IF($H288&lt;N$2,VLOOKUP($G288,Depreciation!$A$14:$L$18,12,FALSE),0))</f>
        <v>2.4351536427798831E-2</v>
      </c>
      <c r="O288" s="307">
        <f t="shared" si="33"/>
        <v>7380280.6698902026</v>
      </c>
      <c r="P288" s="732">
        <f>'Func Future Subs 2015'!P288</f>
        <v>0</v>
      </c>
      <c r="Q288" s="732">
        <f>'Func Future Subs 2015'!Q288</f>
        <v>0</v>
      </c>
      <c r="R288" s="732">
        <f>'Func Future Subs 2015'!R288</f>
        <v>1</v>
      </c>
      <c r="S288" s="735">
        <f t="shared" si="34"/>
        <v>0</v>
      </c>
      <c r="T288" s="735">
        <f t="shared" si="35"/>
        <v>0</v>
      </c>
      <c r="U288" s="735">
        <f t="shared" si="36"/>
        <v>7380280.6698902026</v>
      </c>
      <c r="V288" s="736">
        <f t="shared" si="37"/>
        <v>0</v>
      </c>
      <c r="W288" s="735">
        <f t="shared" si="38"/>
        <v>0</v>
      </c>
      <c r="X288" s="737">
        <f t="shared" si="39"/>
        <v>0</v>
      </c>
      <c r="Y288" s="738">
        <f t="shared" si="40"/>
        <v>7380280.6698902026</v>
      </c>
    </row>
    <row r="289" spans="1:25">
      <c r="A289" s="754" t="str">
        <f>'Func Future Subs 2015'!A289</f>
        <v>Upgrade Irish Creek 706S substation</v>
      </c>
      <c r="B289" s="754">
        <f>'Func Future Subs 2015'!B289</f>
        <v>1410</v>
      </c>
      <c r="C289" s="754">
        <f>'Func Future Subs 2015'!C289</f>
        <v>144</v>
      </c>
      <c r="D289" s="754">
        <f>'Func Future Subs 2015'!D289</f>
        <v>25</v>
      </c>
      <c r="E289" s="754" t="str">
        <f>'Func Future Subs 2015'!E289</f>
        <v>706S</v>
      </c>
      <c r="F289" s="754">
        <f>'Func Future Subs 2015'!F289</f>
        <v>3971812.508863166</v>
      </c>
      <c r="G289" s="754" t="str">
        <f>'Func Future Subs 2015'!G289</f>
        <v>ATCO</v>
      </c>
      <c r="H289" s="754">
        <f>'Func Future Subs 2015'!H289</f>
        <v>2017</v>
      </c>
      <c r="I289" s="306">
        <f>+IF($H289=I$2,VLOOKUP($G289,Depreciation!$A$14:$L$18,7,FALSE)/2,IF($H289&lt;I$2,VLOOKUP($G289,Depreciation!$A$14:$L$18,7,FALSE),0))</f>
        <v>0</v>
      </c>
      <c r="J289" s="306">
        <f>+IF($H289=J$2,VLOOKUP($G289,Depreciation!$A$14:$L$18,8,FALSE)/2,IF($H289&lt;J$2,VLOOKUP($G289,Depreciation!$A$14:$L$18,8,FALSE),0))</f>
        <v>0</v>
      </c>
      <c r="K289" s="306">
        <f>+IF($H289=K$2,VLOOKUP($G289,Depreciation!$A$14:$L$18,9,FALSE)/2,IF($H289&lt;K$2,VLOOKUP($G289,Depreciation!$A$14:$L$18,9,FALSE),0))</f>
        <v>1.2175768213899416E-2</v>
      </c>
      <c r="L289" s="306">
        <f>+IF($H289=L$2,VLOOKUP($G289,Depreciation!$A$14:$L$18,10,FALSE)/2,IF($H289&lt;L$2,VLOOKUP($G289,Depreciation!$A$14:$L$18,10,FALSE),0))</f>
        <v>2.4351536427798831E-2</v>
      </c>
      <c r="M289" s="306">
        <f>+IF($H289=M$2,VLOOKUP($G289,Depreciation!$A$14:$L$18,11,FALSE)/2,IF($H289&lt;M$2,VLOOKUP($G289,Depreciation!$A$14:$L$18,11,FALSE),0))</f>
        <v>2.4351536427798831E-2</v>
      </c>
      <c r="N289" s="306">
        <f>+IF($H289=N$2,VLOOKUP($G289,Depreciation!$A$14:$L$18,12,FALSE)/2,IF($H289&lt;N$2,VLOOKUP($G289,Depreciation!$A$14:$L$18,12,FALSE),0))</f>
        <v>2.4351536427798831E-2</v>
      </c>
      <c r="O289" s="307">
        <f t="shared" si="33"/>
        <v>3643749.4752504411</v>
      </c>
      <c r="P289" s="732">
        <f>'Func Future Subs 2015'!P289</f>
        <v>0</v>
      </c>
      <c r="Q289" s="732">
        <f>'Func Future Subs 2015'!Q289</f>
        <v>1</v>
      </c>
      <c r="R289" s="732">
        <f>'Func Future Subs 2015'!R289</f>
        <v>0</v>
      </c>
      <c r="S289" s="735">
        <f t="shared" si="34"/>
        <v>0</v>
      </c>
      <c r="T289" s="735">
        <f t="shared" si="35"/>
        <v>3643749.4752504411</v>
      </c>
      <c r="U289" s="735">
        <f t="shared" si="36"/>
        <v>0</v>
      </c>
      <c r="V289" s="736">
        <f t="shared" si="37"/>
        <v>0</v>
      </c>
      <c r="W289" s="735">
        <f t="shared" si="38"/>
        <v>0</v>
      </c>
      <c r="X289" s="737">
        <f t="shared" si="39"/>
        <v>0</v>
      </c>
      <c r="Y289" s="738">
        <f t="shared" si="40"/>
        <v>3643749.4752504411</v>
      </c>
    </row>
    <row r="290" spans="1:25">
      <c r="A290" s="754" t="str">
        <f>'Func Future Subs 2015'!A290</f>
        <v>Upgrade Vegreville 709S substation</v>
      </c>
      <c r="B290" s="754">
        <f>'Func Future Subs 2015'!B290</f>
        <v>1410</v>
      </c>
      <c r="C290" s="754">
        <f>'Func Future Subs 2015'!C290</f>
        <v>144</v>
      </c>
      <c r="D290" s="754">
        <f>'Func Future Subs 2015'!D290</f>
        <v>25</v>
      </c>
      <c r="E290" s="754" t="str">
        <f>'Func Future Subs 2015'!E290</f>
        <v>709S</v>
      </c>
      <c r="F290" s="754">
        <f>'Func Future Subs 2015'!F290</f>
        <v>775183.9038130251</v>
      </c>
      <c r="G290" s="754" t="str">
        <f>'Func Future Subs 2015'!G290</f>
        <v>ATCO</v>
      </c>
      <c r="H290" s="754">
        <f>'Func Future Subs 2015'!H290</f>
        <v>2017</v>
      </c>
      <c r="I290" s="306">
        <f>+IF($H290=I$2,VLOOKUP($G290,Depreciation!$A$14:$L$18,7,FALSE)/2,IF($H290&lt;I$2,VLOOKUP($G290,Depreciation!$A$14:$L$18,7,FALSE),0))</f>
        <v>0</v>
      </c>
      <c r="J290" s="306">
        <f>+IF($H290=J$2,VLOOKUP($G290,Depreciation!$A$14:$L$18,8,FALSE)/2,IF($H290&lt;J$2,VLOOKUP($G290,Depreciation!$A$14:$L$18,8,FALSE),0))</f>
        <v>0</v>
      </c>
      <c r="K290" s="306">
        <f>+IF($H290=K$2,VLOOKUP($G290,Depreciation!$A$14:$L$18,9,FALSE)/2,IF($H290&lt;K$2,VLOOKUP($G290,Depreciation!$A$14:$L$18,9,FALSE),0))</f>
        <v>1.2175768213899416E-2</v>
      </c>
      <c r="L290" s="306">
        <f>+IF($H290=L$2,VLOOKUP($G290,Depreciation!$A$14:$L$18,10,FALSE)/2,IF($H290&lt;L$2,VLOOKUP($G290,Depreciation!$A$14:$L$18,10,FALSE),0))</f>
        <v>2.4351536427798831E-2</v>
      </c>
      <c r="M290" s="306">
        <f>+IF($H290=M$2,VLOOKUP($G290,Depreciation!$A$14:$L$18,11,FALSE)/2,IF($H290&lt;M$2,VLOOKUP($G290,Depreciation!$A$14:$L$18,11,FALSE),0))</f>
        <v>2.4351536427798831E-2</v>
      </c>
      <c r="N290" s="306">
        <f>+IF($H290=N$2,VLOOKUP($G290,Depreciation!$A$14:$L$18,12,FALSE)/2,IF($H290&lt;N$2,VLOOKUP($G290,Depreciation!$A$14:$L$18,12,FALSE),0))</f>
        <v>2.4351536427798831E-2</v>
      </c>
      <c r="O290" s="307">
        <f t="shared" si="33"/>
        <v>711155.40737086907</v>
      </c>
      <c r="P290" s="732">
        <f>'Func Future Subs 2015'!P290</f>
        <v>0</v>
      </c>
      <c r="Q290" s="732">
        <f>'Func Future Subs 2015'!Q290</f>
        <v>1</v>
      </c>
      <c r="R290" s="732">
        <f>'Func Future Subs 2015'!R290</f>
        <v>0</v>
      </c>
      <c r="S290" s="735">
        <f t="shared" si="34"/>
        <v>0</v>
      </c>
      <c r="T290" s="735">
        <f t="shared" si="35"/>
        <v>711155.40737086907</v>
      </c>
      <c r="U290" s="735">
        <f t="shared" si="36"/>
        <v>0</v>
      </c>
      <c r="V290" s="736">
        <f t="shared" si="37"/>
        <v>0</v>
      </c>
      <c r="W290" s="735">
        <f t="shared" si="38"/>
        <v>0</v>
      </c>
      <c r="X290" s="737">
        <f t="shared" si="39"/>
        <v>0</v>
      </c>
      <c r="Y290" s="738">
        <f t="shared" si="40"/>
        <v>711155.40737086907</v>
      </c>
    </row>
    <row r="291" spans="1:25">
      <c r="A291" s="754" t="str">
        <f>'Func Future Subs 2015'!A291</f>
        <v>Gainford 165S</v>
      </c>
      <c r="B291" s="754">
        <f>'Func Future Subs 2015'!B291</f>
        <v>1412</v>
      </c>
      <c r="C291" s="754">
        <f>'Func Future Subs 2015'!C291</f>
        <v>138</v>
      </c>
      <c r="D291" s="754">
        <f>'Func Future Subs 2015'!D291</f>
        <v>25</v>
      </c>
      <c r="E291" s="754" t="str">
        <f>'Func Future Subs 2015'!E291</f>
        <v>165S</v>
      </c>
      <c r="F291" s="754">
        <f>'Func Future Subs 2015'!F291</f>
        <v>4938999.9999999953</v>
      </c>
      <c r="G291" s="754" t="str">
        <f>'Func Future Subs 2015'!G291</f>
        <v>AltaLink</v>
      </c>
      <c r="H291" s="754">
        <f>'Func Future Subs 2015'!H291</f>
        <v>2019</v>
      </c>
      <c r="I291" s="306">
        <f>+IF($H291=I$2,VLOOKUP($G291,Depreciation!$A$14:$L$18,7,FALSE)/2,IF($H291&lt;I$2,VLOOKUP($G291,Depreciation!$A$14:$L$18,7,FALSE),0))</f>
        <v>0</v>
      </c>
      <c r="J291" s="306">
        <f>+IF($H291=J$2,VLOOKUP($G291,Depreciation!$A$14:$L$18,8,FALSE)/2,IF($H291&lt;J$2,VLOOKUP($G291,Depreciation!$A$14:$L$18,8,FALSE),0))</f>
        <v>0</v>
      </c>
      <c r="K291" s="306">
        <f>+IF($H291=K$2,VLOOKUP($G291,Depreciation!$A$14:$L$18,9,FALSE)/2,IF($H291&lt;K$2,VLOOKUP($G291,Depreciation!$A$14:$L$18,9,FALSE),0))</f>
        <v>0</v>
      </c>
      <c r="L291" s="306">
        <f>+IF($H291=L$2,VLOOKUP($G291,Depreciation!$A$14:$L$18,10,FALSE)/2,IF($H291&lt;L$2,VLOOKUP($G291,Depreciation!$A$14:$L$18,10,FALSE),0))</f>
        <v>0</v>
      </c>
      <c r="M291" s="306">
        <f>+IF($H291=M$2,VLOOKUP($G291,Depreciation!$A$14:$L$18,11,FALSE)/2,IF($H291&lt;M$2,VLOOKUP($G291,Depreciation!$A$14:$L$18,11,FALSE),0))</f>
        <v>1.671703928371859E-2</v>
      </c>
      <c r="N291" s="306">
        <f>+IF($H291=N$2,VLOOKUP($G291,Depreciation!$A$14:$L$18,12,FALSE)/2,IF($H291&lt;N$2,VLOOKUP($G291,Depreciation!$A$14:$L$18,12,FALSE),0))</f>
        <v>3.343407856743718E-2</v>
      </c>
      <c r="O291" s="307">
        <f t="shared" si="33"/>
        <v>4694064.1289101765</v>
      </c>
      <c r="P291" s="732">
        <f>'Func Future Subs 2015'!P291</f>
        <v>0</v>
      </c>
      <c r="Q291" s="732">
        <f>'Func Future Subs 2015'!Q291</f>
        <v>1</v>
      </c>
      <c r="R291" s="732">
        <f>'Func Future Subs 2015'!R291</f>
        <v>0</v>
      </c>
      <c r="S291" s="735">
        <f t="shared" si="34"/>
        <v>0</v>
      </c>
      <c r="T291" s="735">
        <f t="shared" si="35"/>
        <v>4694064.1289101765</v>
      </c>
      <c r="U291" s="735">
        <f t="shared" si="36"/>
        <v>0</v>
      </c>
      <c r="V291" s="736">
        <f t="shared" si="37"/>
        <v>0</v>
      </c>
      <c r="W291" s="735">
        <f t="shared" si="38"/>
        <v>0</v>
      </c>
      <c r="X291" s="737">
        <f t="shared" si="39"/>
        <v>0</v>
      </c>
      <c r="Y291" s="738">
        <f t="shared" si="40"/>
        <v>4694064.1289101765</v>
      </c>
    </row>
    <row r="292" spans="1:25">
      <c r="A292" s="754" t="str">
        <f>'Func Future Subs 2015'!A292</f>
        <v>mercer Hill 728S</v>
      </c>
      <c r="B292" s="754">
        <f>'Func Future Subs 2015'!B292</f>
        <v>1416</v>
      </c>
      <c r="C292" s="754">
        <f>'Func Future Subs 2015'!C292</f>
        <v>144</v>
      </c>
      <c r="D292" s="754">
        <f>'Func Future Subs 2015'!D292</f>
        <v>25</v>
      </c>
      <c r="E292" s="754" t="str">
        <f>'Func Future Subs 2015'!E292</f>
        <v>728S</v>
      </c>
      <c r="F292" s="754">
        <f>'Func Future Subs 2015'!F292</f>
        <v>1896908</v>
      </c>
      <c r="G292" s="754" t="str">
        <f>'Func Future Subs 2015'!G292</f>
        <v>ATCO</v>
      </c>
      <c r="H292" s="754">
        <f>'Func Future Subs 2015'!H292</f>
        <v>2015</v>
      </c>
      <c r="I292" s="306">
        <f>+IF($H292=I$2,VLOOKUP($G292,Depreciation!$A$14:$L$18,7,FALSE)/2,IF($H292&lt;I$2,VLOOKUP($G292,Depreciation!$A$14:$L$18,7,FALSE),0))</f>
        <v>1.221703683566912E-2</v>
      </c>
      <c r="J292" s="306">
        <f>+IF($H292=J$2,VLOOKUP($G292,Depreciation!$A$14:$L$18,8,FALSE)/2,IF($H292&lt;J$2,VLOOKUP($G292,Depreciation!$A$14:$L$18,8,FALSE),0))</f>
        <v>2.4632450501084719E-2</v>
      </c>
      <c r="K292" s="306">
        <f>+IF($H292=K$2,VLOOKUP($G292,Depreciation!$A$14:$L$18,9,FALSE)/2,IF($H292&lt;K$2,VLOOKUP($G292,Depreciation!$A$14:$L$18,9,FALSE),0))</f>
        <v>2.4351536427798831E-2</v>
      </c>
      <c r="L292" s="306">
        <f>+IF($H292=L$2,VLOOKUP($G292,Depreciation!$A$14:$L$18,10,FALSE)/2,IF($H292&lt;L$2,VLOOKUP($G292,Depreciation!$A$14:$L$18,10,FALSE),0))</f>
        <v>2.4351536427798831E-2</v>
      </c>
      <c r="M292" s="306">
        <f>+IF($H292=M$2,VLOOKUP($G292,Depreciation!$A$14:$L$18,11,FALSE)/2,IF($H292&lt;M$2,VLOOKUP($G292,Depreciation!$A$14:$L$18,11,FALSE),0))</f>
        <v>2.4351536427798831E-2</v>
      </c>
      <c r="N292" s="306">
        <f>+IF($H292=N$2,VLOOKUP($G292,Depreciation!$A$14:$L$18,12,FALSE)/2,IF($H292&lt;N$2,VLOOKUP($G292,Depreciation!$A$14:$L$18,12,FALSE),0))</f>
        <v>2.4351536427798831E-2</v>
      </c>
      <c r="O292" s="307">
        <f t="shared" si="33"/>
        <v>1655958.931493615</v>
      </c>
      <c r="P292" s="732">
        <f>'Func Future Subs 2015'!P292</f>
        <v>0</v>
      </c>
      <c r="Q292" s="732">
        <f>'Func Future Subs 2015'!Q292</f>
        <v>1</v>
      </c>
      <c r="R292" s="732">
        <f>'Func Future Subs 2015'!R292</f>
        <v>0</v>
      </c>
      <c r="S292" s="735">
        <f t="shared" si="34"/>
        <v>0</v>
      </c>
      <c r="T292" s="735">
        <f t="shared" si="35"/>
        <v>1655958.931493615</v>
      </c>
      <c r="U292" s="735">
        <f t="shared" si="36"/>
        <v>0</v>
      </c>
      <c r="V292" s="736">
        <f t="shared" si="37"/>
        <v>0</v>
      </c>
      <c r="W292" s="735">
        <f t="shared" si="38"/>
        <v>0</v>
      </c>
      <c r="X292" s="737">
        <f t="shared" si="39"/>
        <v>0</v>
      </c>
      <c r="Y292" s="738">
        <f t="shared" si="40"/>
        <v>1655958.931493615</v>
      </c>
    </row>
    <row r="293" spans="1:25">
      <c r="A293" s="754" t="str">
        <f>'Func Future Subs 2015'!A293</f>
        <v>Lambton substation</v>
      </c>
      <c r="B293" s="754">
        <f>'Func Future Subs 2015'!B293</f>
        <v>1438</v>
      </c>
      <c r="C293" s="754">
        <f>'Func Future Subs 2015'!C293</f>
        <v>240</v>
      </c>
      <c r="D293" s="754">
        <f>'Func Future Subs 2015'!D293</f>
        <v>0</v>
      </c>
      <c r="E293" s="754">
        <f>'Func Future Subs 2015'!E293</f>
        <v>0</v>
      </c>
      <c r="F293" s="754">
        <f>'Func Future Subs 2015'!F293</f>
        <v>1059667.0000000005</v>
      </c>
      <c r="G293" s="754" t="str">
        <f>'Func Future Subs 2015'!G293</f>
        <v>EPCOR</v>
      </c>
      <c r="H293" s="754">
        <f>'Func Future Subs 2015'!H293</f>
        <v>2015</v>
      </c>
      <c r="I293" s="306">
        <f>+IF($H293=I$2,VLOOKUP($G293,Depreciation!$A$14:$L$18,7,FALSE)/2,IF($H293&lt;I$2,VLOOKUP($G293,Depreciation!$A$14:$L$18,7,FALSE),0))</f>
        <v>2.0607513622398654E-2</v>
      </c>
      <c r="J293" s="306">
        <f>+IF($H293=J$2,VLOOKUP($G293,Depreciation!$A$14:$L$18,8,FALSE)/2,IF($H293&lt;J$2,VLOOKUP($G293,Depreciation!$A$14:$L$18,8,FALSE),0))</f>
        <v>4.1600055599844914E-2</v>
      </c>
      <c r="K293" s="306">
        <f>+IF($H293=K$2,VLOOKUP($G293,Depreciation!$A$14:$L$18,9,FALSE)/2,IF($H293&lt;K$2,VLOOKUP($G293,Depreciation!$A$14:$L$18,9,FALSE),0))</f>
        <v>4.1145263498658789E-2</v>
      </c>
      <c r="L293" s="306">
        <f>+IF($H293=L$2,VLOOKUP($G293,Depreciation!$A$14:$L$18,10,FALSE)/2,IF($H293&lt;L$2,VLOOKUP($G293,Depreciation!$A$14:$L$18,10,FALSE),0))</f>
        <v>4.1145263498658789E-2</v>
      </c>
      <c r="M293" s="306">
        <f>+IF($H293=M$2,VLOOKUP($G293,Depreciation!$A$14:$L$18,11,FALSE)/2,IF($H293&lt;M$2,VLOOKUP($G293,Depreciation!$A$14:$L$18,11,FALSE),0))</f>
        <v>4.1145263498658789E-2</v>
      </c>
      <c r="N293" s="306">
        <f>+IF($H293=N$2,VLOOKUP($G293,Depreciation!$A$14:$L$18,12,FALSE)/2,IF($H293&lt;N$2,VLOOKUP($G293,Depreciation!$A$14:$L$18,12,FALSE),0))</f>
        <v>4.1145263498658789E-2</v>
      </c>
      <c r="O293" s="307">
        <f t="shared" si="33"/>
        <v>840783.59463938244</v>
      </c>
      <c r="P293" s="732">
        <f>'Func Future Subs 2015'!P293</f>
        <v>0</v>
      </c>
      <c r="Q293" s="732">
        <f>'Func Future Subs 2015'!Q293</f>
        <v>0</v>
      </c>
      <c r="R293" s="732">
        <f>'Func Future Subs 2015'!R293</f>
        <v>1</v>
      </c>
      <c r="S293" s="735">
        <f t="shared" si="34"/>
        <v>0</v>
      </c>
      <c r="T293" s="735">
        <f t="shared" si="35"/>
        <v>0</v>
      </c>
      <c r="U293" s="735">
        <f t="shared" si="36"/>
        <v>840783.59463938244</v>
      </c>
      <c r="V293" s="736">
        <f t="shared" si="37"/>
        <v>840783.59463938244</v>
      </c>
      <c r="W293" s="735">
        <f t="shared" si="38"/>
        <v>0</v>
      </c>
      <c r="X293" s="737">
        <f t="shared" si="39"/>
        <v>0</v>
      </c>
      <c r="Y293" s="738">
        <f t="shared" si="40"/>
        <v>0</v>
      </c>
    </row>
    <row r="294" spans="1:25">
      <c r="A294" s="754" t="str">
        <f>'Func Future Subs 2015'!A294</f>
        <v>Genesee 330S</v>
      </c>
      <c r="B294" s="754">
        <f>'Func Future Subs 2015'!B294</f>
        <v>1440</v>
      </c>
      <c r="C294" s="754">
        <f>'Func Future Subs 2015'!C294</f>
        <v>500</v>
      </c>
      <c r="D294" s="754">
        <f>'Func Future Subs 2015'!D294</f>
        <v>0</v>
      </c>
      <c r="E294" s="754" t="str">
        <f>'Func Future Subs 2015'!E294</f>
        <v>330S</v>
      </c>
      <c r="F294" s="754">
        <f>'Func Future Subs 2015'!F294</f>
        <v>36143375.999999993</v>
      </c>
      <c r="G294" s="754" t="str">
        <f>'Func Future Subs 2015'!G294</f>
        <v>EPCOR</v>
      </c>
      <c r="H294" s="754">
        <f>'Func Future Subs 2015'!H294</f>
        <v>2020</v>
      </c>
      <c r="I294" s="306">
        <f>+IF($H294=I$2,VLOOKUP($G294,Depreciation!$A$14:$L$18,7,FALSE)/2,IF($H294&lt;I$2,VLOOKUP($G294,Depreciation!$A$14:$L$18,7,FALSE),0))</f>
        <v>0</v>
      </c>
      <c r="J294" s="306">
        <f>+IF($H294=J$2,VLOOKUP($G294,Depreciation!$A$14:$L$18,8,FALSE)/2,IF($H294&lt;J$2,VLOOKUP($G294,Depreciation!$A$14:$L$18,8,FALSE),0))</f>
        <v>0</v>
      </c>
      <c r="K294" s="306">
        <f>+IF($H294=K$2,VLOOKUP($G294,Depreciation!$A$14:$L$18,9,FALSE)/2,IF($H294&lt;K$2,VLOOKUP($G294,Depreciation!$A$14:$L$18,9,FALSE),0))</f>
        <v>0</v>
      </c>
      <c r="L294" s="306">
        <f>+IF($H294=L$2,VLOOKUP($G294,Depreciation!$A$14:$L$18,10,FALSE)/2,IF($H294&lt;L$2,VLOOKUP($G294,Depreciation!$A$14:$L$18,10,FALSE),0))</f>
        <v>0</v>
      </c>
      <c r="M294" s="306">
        <f>+IF($H294=M$2,VLOOKUP($G294,Depreciation!$A$14:$L$18,11,FALSE)/2,IF($H294&lt;M$2,VLOOKUP($G294,Depreciation!$A$14:$L$18,11,FALSE),0))</f>
        <v>0</v>
      </c>
      <c r="N294" s="306">
        <f>+IF($H294=N$2,VLOOKUP($G294,Depreciation!$A$14:$L$18,12,FALSE)/2,IF($H294&lt;N$2,VLOOKUP($G294,Depreciation!$A$14:$L$18,12,FALSE),0))</f>
        <v>2.0572631749329395E-2</v>
      </c>
      <c r="O294" s="307">
        <f t="shared" si="33"/>
        <v>35399811.635374442</v>
      </c>
      <c r="P294" s="732">
        <f>'Func Future Subs 2015'!P294</f>
        <v>0.98836755406354904</v>
      </c>
      <c r="Q294" s="732">
        <f>'Func Future Subs 2015'!Q294</f>
        <v>1.1632445936450932E-2</v>
      </c>
      <c r="R294" s="732">
        <f>'Func Future Subs 2015'!R294</f>
        <v>3.1225022567582528E-17</v>
      </c>
      <c r="S294" s="735">
        <f t="shared" si="34"/>
        <v>34988025.240365401</v>
      </c>
      <c r="T294" s="735">
        <f t="shared" si="35"/>
        <v>411786.39500903984</v>
      </c>
      <c r="U294" s="735">
        <f t="shared" si="36"/>
        <v>1.1053599172027374E-9</v>
      </c>
      <c r="V294" s="736">
        <f t="shared" si="37"/>
        <v>0</v>
      </c>
      <c r="W294" s="735">
        <f t="shared" si="38"/>
        <v>34988025.240365401</v>
      </c>
      <c r="X294" s="737">
        <f t="shared" si="39"/>
        <v>0</v>
      </c>
      <c r="Y294" s="738">
        <f t="shared" si="40"/>
        <v>411786.39500903984</v>
      </c>
    </row>
    <row r="295" spans="1:25">
      <c r="A295" s="754" t="str">
        <f>'Func Future Subs 2015'!A295</f>
        <v>Anthony Henday 309S</v>
      </c>
      <c r="B295" s="754">
        <f>'Func Future Subs 2015'!B295</f>
        <v>1442</v>
      </c>
      <c r="C295" s="754">
        <f>'Func Future Subs 2015'!C295</f>
        <v>138</v>
      </c>
      <c r="D295" s="754">
        <f>'Func Future Subs 2015'!D295</f>
        <v>25</v>
      </c>
      <c r="E295" s="754" t="str">
        <f>'Func Future Subs 2015'!E295</f>
        <v>309S</v>
      </c>
      <c r="F295" s="754">
        <f>'Func Future Subs 2015'!F295</f>
        <v>7721658.7024087086</v>
      </c>
      <c r="G295" s="754" t="str">
        <f>'Func Future Subs 2015'!G295</f>
        <v>AltaLink</v>
      </c>
      <c r="H295" s="754">
        <f>'Func Future Subs 2015'!H295</f>
        <v>2019</v>
      </c>
      <c r="I295" s="306">
        <f>+IF($H295=I$2,VLOOKUP($G295,Depreciation!$A$14:$L$18,7,FALSE)/2,IF($H295&lt;I$2,VLOOKUP($G295,Depreciation!$A$14:$L$18,7,FALSE),0))</f>
        <v>0</v>
      </c>
      <c r="J295" s="306">
        <f>+IF($H295=J$2,VLOOKUP($G295,Depreciation!$A$14:$L$18,8,FALSE)/2,IF($H295&lt;J$2,VLOOKUP($G295,Depreciation!$A$14:$L$18,8,FALSE),0))</f>
        <v>0</v>
      </c>
      <c r="K295" s="306">
        <f>+IF($H295=K$2,VLOOKUP($G295,Depreciation!$A$14:$L$18,9,FALSE)/2,IF($H295&lt;K$2,VLOOKUP($G295,Depreciation!$A$14:$L$18,9,FALSE),0))</f>
        <v>0</v>
      </c>
      <c r="L295" s="306">
        <f>+IF($H295=L$2,VLOOKUP($G295,Depreciation!$A$14:$L$18,10,FALSE)/2,IF($H295&lt;L$2,VLOOKUP($G295,Depreciation!$A$14:$L$18,10,FALSE),0))</f>
        <v>0</v>
      </c>
      <c r="M295" s="306">
        <f>+IF($H295=M$2,VLOOKUP($G295,Depreciation!$A$14:$L$18,11,FALSE)/2,IF($H295&lt;M$2,VLOOKUP($G295,Depreciation!$A$14:$L$18,11,FALSE),0))</f>
        <v>1.671703928371859E-2</v>
      </c>
      <c r="N295" s="306">
        <f>+IF($H295=N$2,VLOOKUP($G295,Depreciation!$A$14:$L$18,12,FALSE)/2,IF($H295&lt;N$2,VLOOKUP($G295,Depreciation!$A$14:$L$18,12,FALSE),0))</f>
        <v>3.343407856743718E-2</v>
      </c>
      <c r="O295" s="307">
        <f t="shared" si="33"/>
        <v>7338724.6670710379</v>
      </c>
      <c r="P295" s="732">
        <f>'Func Future Subs 2015'!P295</f>
        <v>0</v>
      </c>
      <c r="Q295" s="732">
        <f>'Func Future Subs 2015'!Q295</f>
        <v>0</v>
      </c>
      <c r="R295" s="732">
        <f>'Func Future Subs 2015'!R295</f>
        <v>1</v>
      </c>
      <c r="S295" s="735">
        <f t="shared" si="34"/>
        <v>0</v>
      </c>
      <c r="T295" s="735">
        <f t="shared" si="35"/>
        <v>0</v>
      </c>
      <c r="U295" s="735">
        <f t="shared" si="36"/>
        <v>7338724.6670710379</v>
      </c>
      <c r="V295" s="736">
        <f t="shared" si="37"/>
        <v>0</v>
      </c>
      <c r="W295" s="735">
        <f t="shared" si="38"/>
        <v>0</v>
      </c>
      <c r="X295" s="737">
        <f t="shared" si="39"/>
        <v>0</v>
      </c>
      <c r="Y295" s="738">
        <f t="shared" si="40"/>
        <v>7338724.6670710379</v>
      </c>
    </row>
    <row r="296" spans="1:25">
      <c r="A296" s="754" t="str">
        <f>'Func Future Subs 2015'!A296</f>
        <v>East Edmonton 38S</v>
      </c>
      <c r="B296" s="754">
        <f>'Func Future Subs 2015'!B296</f>
        <v>1442</v>
      </c>
      <c r="C296" s="754">
        <f>'Func Future Subs 2015'!C296</f>
        <v>240</v>
      </c>
      <c r="D296" s="754">
        <f>'Func Future Subs 2015'!D296</f>
        <v>25</v>
      </c>
      <c r="E296" s="754" t="str">
        <f>'Func Future Subs 2015'!E296</f>
        <v>38S</v>
      </c>
      <c r="F296" s="754">
        <f>'Func Future Subs 2015'!F296</f>
        <v>9142.3853923854003</v>
      </c>
      <c r="G296" s="754" t="str">
        <f>'Func Future Subs 2015'!G296</f>
        <v>AltaLink</v>
      </c>
      <c r="H296" s="754">
        <f>'Func Future Subs 2015'!H296</f>
        <v>2019</v>
      </c>
      <c r="I296" s="306">
        <f>+IF($H296=I$2,VLOOKUP($G296,Depreciation!$A$14:$L$18,7,FALSE)/2,IF($H296&lt;I$2,VLOOKUP($G296,Depreciation!$A$14:$L$18,7,FALSE),0))</f>
        <v>0</v>
      </c>
      <c r="J296" s="306">
        <f>+IF($H296=J$2,VLOOKUP($G296,Depreciation!$A$14:$L$18,8,FALSE)/2,IF($H296&lt;J$2,VLOOKUP($G296,Depreciation!$A$14:$L$18,8,FALSE),0))</f>
        <v>0</v>
      </c>
      <c r="K296" s="306">
        <f>+IF($H296=K$2,VLOOKUP($G296,Depreciation!$A$14:$L$18,9,FALSE)/2,IF($H296&lt;K$2,VLOOKUP($G296,Depreciation!$A$14:$L$18,9,FALSE),0))</f>
        <v>0</v>
      </c>
      <c r="L296" s="306">
        <f>+IF($H296=L$2,VLOOKUP($G296,Depreciation!$A$14:$L$18,10,FALSE)/2,IF($H296&lt;L$2,VLOOKUP($G296,Depreciation!$A$14:$L$18,10,FALSE),0))</f>
        <v>0</v>
      </c>
      <c r="M296" s="306">
        <f>+IF($H296=M$2,VLOOKUP($G296,Depreciation!$A$14:$L$18,11,FALSE)/2,IF($H296&lt;M$2,VLOOKUP($G296,Depreciation!$A$14:$L$18,11,FALSE),0))</f>
        <v>1.671703928371859E-2</v>
      </c>
      <c r="N296" s="306">
        <f>+IF($H296=N$2,VLOOKUP($G296,Depreciation!$A$14:$L$18,12,FALSE)/2,IF($H296&lt;N$2,VLOOKUP($G296,Depreciation!$A$14:$L$18,12,FALSE),0))</f>
        <v>3.343407856743718E-2</v>
      </c>
      <c r="O296" s="307">
        <f t="shared" si="33"/>
        <v>8688.994396247972</v>
      </c>
      <c r="P296" s="732">
        <f>'Func Future Subs 2015'!P296</f>
        <v>0</v>
      </c>
      <c r="Q296" s="732">
        <f>'Func Future Subs 2015'!Q296</f>
        <v>1</v>
      </c>
      <c r="R296" s="732">
        <f>'Func Future Subs 2015'!R296</f>
        <v>0</v>
      </c>
      <c r="S296" s="735">
        <f t="shared" si="34"/>
        <v>0</v>
      </c>
      <c r="T296" s="735">
        <f t="shared" si="35"/>
        <v>8688.994396247972</v>
      </c>
      <c r="U296" s="735">
        <f t="shared" si="36"/>
        <v>0</v>
      </c>
      <c r="V296" s="736">
        <f t="shared" si="37"/>
        <v>0</v>
      </c>
      <c r="W296" s="735">
        <f t="shared" si="38"/>
        <v>0</v>
      </c>
      <c r="X296" s="737">
        <f t="shared" si="39"/>
        <v>0</v>
      </c>
      <c r="Y296" s="738">
        <f t="shared" si="40"/>
        <v>8688.994396247972</v>
      </c>
    </row>
    <row r="297" spans="1:25">
      <c r="A297" s="754" t="str">
        <f>'Func Future Subs 2015'!A297</f>
        <v>Yassa 286S</v>
      </c>
      <c r="B297" s="754">
        <f>'Func Future Subs 2015'!B297</f>
        <v>1442</v>
      </c>
      <c r="C297" s="754">
        <f>'Func Future Subs 2015'!C297</f>
        <v>138</v>
      </c>
      <c r="D297" s="754">
        <f>'Func Future Subs 2015'!D297</f>
        <v>25</v>
      </c>
      <c r="E297" s="754" t="str">
        <f>'Func Future Subs 2015'!E297</f>
        <v>286S</v>
      </c>
      <c r="F297" s="754">
        <f>'Func Future Subs 2015'!F297</f>
        <v>20113.247863247878</v>
      </c>
      <c r="G297" s="754" t="str">
        <f>'Func Future Subs 2015'!G297</f>
        <v>AltaLink</v>
      </c>
      <c r="H297" s="754">
        <f>'Func Future Subs 2015'!H297</f>
        <v>2019</v>
      </c>
      <c r="I297" s="306">
        <f>+IF($H297=I$2,VLOOKUP($G297,Depreciation!$A$14:$L$18,7,FALSE)/2,IF($H297&lt;I$2,VLOOKUP($G297,Depreciation!$A$14:$L$18,7,FALSE),0))</f>
        <v>0</v>
      </c>
      <c r="J297" s="306">
        <f>+IF($H297=J$2,VLOOKUP($G297,Depreciation!$A$14:$L$18,8,FALSE)/2,IF($H297&lt;J$2,VLOOKUP($G297,Depreciation!$A$14:$L$18,8,FALSE),0))</f>
        <v>0</v>
      </c>
      <c r="K297" s="306">
        <f>+IF($H297=K$2,VLOOKUP($G297,Depreciation!$A$14:$L$18,9,FALSE)/2,IF($H297&lt;K$2,VLOOKUP($G297,Depreciation!$A$14:$L$18,9,FALSE),0))</f>
        <v>0</v>
      </c>
      <c r="L297" s="306">
        <f>+IF($H297=L$2,VLOOKUP($G297,Depreciation!$A$14:$L$18,10,FALSE)/2,IF($H297&lt;L$2,VLOOKUP($G297,Depreciation!$A$14:$L$18,10,FALSE),0))</f>
        <v>0</v>
      </c>
      <c r="M297" s="306">
        <f>+IF($H297=M$2,VLOOKUP($G297,Depreciation!$A$14:$L$18,11,FALSE)/2,IF($H297&lt;M$2,VLOOKUP($G297,Depreciation!$A$14:$L$18,11,FALSE),0))</f>
        <v>1.671703928371859E-2</v>
      </c>
      <c r="N297" s="306">
        <f>+IF($H297=N$2,VLOOKUP($G297,Depreciation!$A$14:$L$18,12,FALSE)/2,IF($H297&lt;N$2,VLOOKUP($G297,Depreciation!$A$14:$L$18,12,FALSE),0))</f>
        <v>3.343407856743718E-2</v>
      </c>
      <c r="O297" s="307">
        <f t="shared" si="33"/>
        <v>19115.78767174554</v>
      </c>
      <c r="P297" s="732">
        <f>'Func Future Subs 2015'!P297</f>
        <v>0</v>
      </c>
      <c r="Q297" s="732">
        <f>'Func Future Subs 2015'!Q297</f>
        <v>1</v>
      </c>
      <c r="R297" s="732">
        <f>'Func Future Subs 2015'!R297</f>
        <v>0</v>
      </c>
      <c r="S297" s="735">
        <f t="shared" si="34"/>
        <v>0</v>
      </c>
      <c r="T297" s="735">
        <f t="shared" si="35"/>
        <v>19115.78767174554</v>
      </c>
      <c r="U297" s="735">
        <f t="shared" si="36"/>
        <v>0</v>
      </c>
      <c r="V297" s="736">
        <f t="shared" si="37"/>
        <v>0</v>
      </c>
      <c r="W297" s="735">
        <f t="shared" si="38"/>
        <v>0</v>
      </c>
      <c r="X297" s="737">
        <f t="shared" si="39"/>
        <v>0</v>
      </c>
      <c r="Y297" s="738">
        <f t="shared" si="40"/>
        <v>19115.78767174554</v>
      </c>
    </row>
    <row r="298" spans="1:25">
      <c r="A298" s="754" t="str">
        <f>'Func Future Subs 2015'!A298</f>
        <v>Cochrane 291S upgrade</v>
      </c>
      <c r="B298" s="754">
        <f>'Func Future Subs 2015'!B298</f>
        <v>1450</v>
      </c>
      <c r="C298" s="754">
        <f>'Func Future Subs 2015'!C298</f>
        <v>138</v>
      </c>
      <c r="D298" s="754">
        <f>'Func Future Subs 2015'!D298</f>
        <v>25</v>
      </c>
      <c r="E298" s="754" t="str">
        <f>'Func Future Subs 2015'!E298</f>
        <v>291S</v>
      </c>
      <c r="F298" s="754">
        <f>'Func Future Subs 2015'!F298</f>
        <v>6190999.9999999963</v>
      </c>
      <c r="G298" s="754" t="str">
        <f>'Func Future Subs 2015'!G298</f>
        <v>AltaLink</v>
      </c>
      <c r="H298" s="754">
        <f>'Func Future Subs 2015'!H298</f>
        <v>2015</v>
      </c>
      <c r="I298" s="306">
        <f>+IF($H298=I$2,VLOOKUP($G298,Depreciation!$A$14:$L$18,7,FALSE)/2,IF($H298&lt;I$2,VLOOKUP($G298,Depreciation!$A$14:$L$18,7,FALSE),0))</f>
        <v>1.7228380322441735E-2</v>
      </c>
      <c r="J298" s="306">
        <f>+IF($H298=J$2,VLOOKUP($G298,Depreciation!$A$14:$L$18,8,FALSE)/2,IF($H298&lt;J$2,VLOOKUP($G298,Depreciation!$A$14:$L$18,8,FALSE),0))</f>
        <v>3.343407856743718E-2</v>
      </c>
      <c r="K298" s="306">
        <f>+IF($H298=K$2,VLOOKUP($G298,Depreciation!$A$14:$L$18,9,FALSE)/2,IF($H298&lt;K$2,VLOOKUP($G298,Depreciation!$A$14:$L$18,9,FALSE),0))</f>
        <v>3.343407856743718E-2</v>
      </c>
      <c r="L298" s="306">
        <f>+IF($H298=L$2,VLOOKUP($G298,Depreciation!$A$14:$L$18,10,FALSE)/2,IF($H298&lt;L$2,VLOOKUP($G298,Depreciation!$A$14:$L$18,10,FALSE),0))</f>
        <v>3.343407856743718E-2</v>
      </c>
      <c r="M298" s="306">
        <f>+IF($H298=M$2,VLOOKUP($G298,Depreciation!$A$14:$L$18,11,FALSE)/2,IF($H298&lt;M$2,VLOOKUP($G298,Depreciation!$A$14:$L$18,11,FALSE),0))</f>
        <v>3.343407856743718E-2</v>
      </c>
      <c r="N298" s="306">
        <f>+IF($H298=N$2,VLOOKUP($G298,Depreciation!$A$14:$L$18,12,FALSE)/2,IF($H298&lt;N$2,VLOOKUP($G298,Depreciation!$A$14:$L$18,12,FALSE),0))</f>
        <v>3.343407856743718E-2</v>
      </c>
      <c r="O298" s="307">
        <f t="shared" si="33"/>
        <v>5132994.5776404347</v>
      </c>
      <c r="P298" s="732">
        <f>'Func Future Subs 2015'!P298</f>
        <v>0</v>
      </c>
      <c r="Q298" s="732">
        <f>'Func Future Subs 2015'!Q298</f>
        <v>1</v>
      </c>
      <c r="R298" s="732">
        <f>'Func Future Subs 2015'!R298</f>
        <v>0</v>
      </c>
      <c r="S298" s="735">
        <f t="shared" si="34"/>
        <v>0</v>
      </c>
      <c r="T298" s="735">
        <f t="shared" si="35"/>
        <v>5132994.5776404347</v>
      </c>
      <c r="U298" s="735">
        <f t="shared" si="36"/>
        <v>0</v>
      </c>
      <c r="V298" s="736">
        <f t="shared" si="37"/>
        <v>0</v>
      </c>
      <c r="W298" s="735">
        <f t="shared" si="38"/>
        <v>0</v>
      </c>
      <c r="X298" s="737">
        <f t="shared" si="39"/>
        <v>0</v>
      </c>
      <c r="Y298" s="738">
        <f t="shared" si="40"/>
        <v>5132994.5776404347</v>
      </c>
    </row>
    <row r="299" spans="1:25">
      <c r="A299" s="754" t="str">
        <f>'Func Future Subs 2015'!A299</f>
        <v>Cold Creek 602S</v>
      </c>
      <c r="B299" s="754">
        <f>'Func Future Subs 2015'!B299</f>
        <v>1460</v>
      </c>
      <c r="C299" s="754">
        <f>'Func Future Subs 2015'!C299</f>
        <v>138</v>
      </c>
      <c r="D299" s="754">
        <f>'Func Future Subs 2015'!D299</f>
        <v>25</v>
      </c>
      <c r="E299" s="754" t="str">
        <f>'Func Future Subs 2015'!E299</f>
        <v>602S</v>
      </c>
      <c r="F299" s="754">
        <f>'Func Future Subs 2015'!F299</f>
        <v>68876.329787234063</v>
      </c>
      <c r="G299" s="754" t="str">
        <f>'Func Future Subs 2015'!G299</f>
        <v>AltaLink</v>
      </c>
      <c r="H299" s="754">
        <f>'Func Future Subs 2015'!H299</f>
        <v>2019</v>
      </c>
      <c r="I299" s="306">
        <f>+IF($H299=I$2,VLOOKUP($G299,Depreciation!$A$14:$L$18,7,FALSE)/2,IF($H299&lt;I$2,VLOOKUP($G299,Depreciation!$A$14:$L$18,7,FALSE),0))</f>
        <v>0</v>
      </c>
      <c r="J299" s="306">
        <f>+IF($H299=J$2,VLOOKUP($G299,Depreciation!$A$14:$L$18,8,FALSE)/2,IF($H299&lt;J$2,VLOOKUP($G299,Depreciation!$A$14:$L$18,8,FALSE),0))</f>
        <v>0</v>
      </c>
      <c r="K299" s="306">
        <f>+IF($H299=K$2,VLOOKUP($G299,Depreciation!$A$14:$L$18,9,FALSE)/2,IF($H299&lt;K$2,VLOOKUP($G299,Depreciation!$A$14:$L$18,9,FALSE),0))</f>
        <v>0</v>
      </c>
      <c r="L299" s="306">
        <f>+IF($H299=L$2,VLOOKUP($G299,Depreciation!$A$14:$L$18,10,FALSE)/2,IF($H299&lt;L$2,VLOOKUP($G299,Depreciation!$A$14:$L$18,10,FALSE),0))</f>
        <v>0</v>
      </c>
      <c r="M299" s="306">
        <f>+IF($H299=M$2,VLOOKUP($G299,Depreciation!$A$14:$L$18,11,FALSE)/2,IF($H299&lt;M$2,VLOOKUP($G299,Depreciation!$A$14:$L$18,11,FALSE),0))</f>
        <v>1.671703928371859E-2</v>
      </c>
      <c r="N299" s="306">
        <f>+IF($H299=N$2,VLOOKUP($G299,Depreciation!$A$14:$L$18,12,FALSE)/2,IF($H299&lt;N$2,VLOOKUP($G299,Depreciation!$A$14:$L$18,12,FALSE),0))</f>
        <v>3.343407856743718E-2</v>
      </c>
      <c r="O299" s="307">
        <f t="shared" si="33"/>
        <v>65460.601130844945</v>
      </c>
      <c r="P299" s="732">
        <f>'Func Future Subs 2015'!P299</f>
        <v>0</v>
      </c>
      <c r="Q299" s="732">
        <f>'Func Future Subs 2015'!Q299</f>
        <v>1</v>
      </c>
      <c r="R299" s="732">
        <f>'Func Future Subs 2015'!R299</f>
        <v>0</v>
      </c>
      <c r="S299" s="735">
        <f t="shared" si="34"/>
        <v>0</v>
      </c>
      <c r="T299" s="735">
        <f t="shared" si="35"/>
        <v>65460.601130844945</v>
      </c>
      <c r="U299" s="735">
        <f t="shared" si="36"/>
        <v>0</v>
      </c>
      <c r="V299" s="736">
        <f t="shared" si="37"/>
        <v>0</v>
      </c>
      <c r="W299" s="735">
        <f t="shared" si="38"/>
        <v>0</v>
      </c>
      <c r="X299" s="737">
        <f t="shared" si="39"/>
        <v>0</v>
      </c>
      <c r="Y299" s="738">
        <f t="shared" si="40"/>
        <v>65460.601130844945</v>
      </c>
    </row>
    <row r="300" spans="1:25">
      <c r="A300" s="754" t="str">
        <f>'Func Future Subs 2015'!A300</f>
        <v>Hornbeck 345S</v>
      </c>
      <c r="B300" s="754">
        <f>'Func Future Subs 2015'!B300</f>
        <v>1460</v>
      </c>
      <c r="C300" s="754">
        <f>'Func Future Subs 2015'!C300</f>
        <v>138</v>
      </c>
      <c r="D300" s="754">
        <f>'Func Future Subs 2015'!D300</f>
        <v>25</v>
      </c>
      <c r="E300" s="754" t="str">
        <f>'Func Future Subs 2015'!E300</f>
        <v>345S</v>
      </c>
      <c r="F300" s="754">
        <f>'Func Future Subs 2015'!F300</f>
        <v>8201448.9694148954</v>
      </c>
      <c r="G300" s="754" t="str">
        <f>'Func Future Subs 2015'!G300</f>
        <v>AltaLink</v>
      </c>
      <c r="H300" s="754">
        <f>'Func Future Subs 2015'!H300</f>
        <v>2019</v>
      </c>
      <c r="I300" s="306">
        <f>+IF($H300=I$2,VLOOKUP($G300,Depreciation!$A$14:$L$18,7,FALSE)/2,IF($H300&lt;I$2,VLOOKUP($G300,Depreciation!$A$14:$L$18,7,FALSE),0))</f>
        <v>0</v>
      </c>
      <c r="J300" s="306">
        <f>+IF($H300=J$2,VLOOKUP($G300,Depreciation!$A$14:$L$18,8,FALSE)/2,IF($H300&lt;J$2,VLOOKUP($G300,Depreciation!$A$14:$L$18,8,FALSE),0))</f>
        <v>0</v>
      </c>
      <c r="K300" s="306">
        <f>+IF($H300=K$2,VLOOKUP($G300,Depreciation!$A$14:$L$18,9,FALSE)/2,IF($H300&lt;K$2,VLOOKUP($G300,Depreciation!$A$14:$L$18,9,FALSE),0))</f>
        <v>0</v>
      </c>
      <c r="L300" s="306">
        <f>+IF($H300=L$2,VLOOKUP($G300,Depreciation!$A$14:$L$18,10,FALSE)/2,IF($H300&lt;L$2,VLOOKUP($G300,Depreciation!$A$14:$L$18,10,FALSE),0))</f>
        <v>0</v>
      </c>
      <c r="M300" s="306">
        <f>+IF($H300=M$2,VLOOKUP($G300,Depreciation!$A$14:$L$18,11,FALSE)/2,IF($H300&lt;M$2,VLOOKUP($G300,Depreciation!$A$14:$L$18,11,FALSE),0))</f>
        <v>1.671703928371859E-2</v>
      </c>
      <c r="N300" s="306">
        <f>+IF($H300=N$2,VLOOKUP($G300,Depreciation!$A$14:$L$18,12,FALSE)/2,IF($H300&lt;N$2,VLOOKUP($G300,Depreciation!$A$14:$L$18,12,FALSE),0))</f>
        <v>3.343407856743718E-2</v>
      </c>
      <c r="O300" s="307">
        <f t="shared" si="33"/>
        <v>7794721.0796553623</v>
      </c>
      <c r="P300" s="732">
        <f>'Func Future Subs 2015'!P300</f>
        <v>0</v>
      </c>
      <c r="Q300" s="732">
        <f>'Func Future Subs 2015'!Q300</f>
        <v>0</v>
      </c>
      <c r="R300" s="732">
        <f>'Func Future Subs 2015'!R300</f>
        <v>1</v>
      </c>
      <c r="S300" s="735">
        <f t="shared" si="34"/>
        <v>0</v>
      </c>
      <c r="T300" s="735">
        <f t="shared" si="35"/>
        <v>0</v>
      </c>
      <c r="U300" s="735">
        <f t="shared" si="36"/>
        <v>7794721.0796553623</v>
      </c>
      <c r="V300" s="736">
        <f t="shared" si="37"/>
        <v>0</v>
      </c>
      <c r="W300" s="735">
        <f t="shared" si="38"/>
        <v>0</v>
      </c>
      <c r="X300" s="737">
        <f t="shared" si="39"/>
        <v>0</v>
      </c>
      <c r="Y300" s="738">
        <f t="shared" si="40"/>
        <v>7794721.0796553623</v>
      </c>
    </row>
    <row r="301" spans="1:25">
      <c r="A301" s="754" t="str">
        <f>'Func Future Subs 2015'!A301</f>
        <v>Norcen 812S substation upgrade</v>
      </c>
      <c r="B301" s="754">
        <f>'Func Future Subs 2015'!B301</f>
        <v>1466</v>
      </c>
      <c r="C301" s="754">
        <f>'Func Future Subs 2015'!C301</f>
        <v>138</v>
      </c>
      <c r="D301" s="754">
        <f>'Func Future Subs 2015'!D301</f>
        <v>25</v>
      </c>
      <c r="E301" s="754" t="str">
        <f>'Func Future Subs 2015'!E301</f>
        <v>812s</v>
      </c>
      <c r="F301" s="754">
        <f>'Func Future Subs 2015'!F301</f>
        <v>6820539.9999999963</v>
      </c>
      <c r="G301" s="754" t="str">
        <f>'Func Future Subs 2015'!G301</f>
        <v>ATCO</v>
      </c>
      <c r="H301" s="754">
        <f>'Func Future Subs 2015'!H301</f>
        <v>2016</v>
      </c>
      <c r="I301" s="306">
        <f>+IF($H301=I$2,VLOOKUP($G301,Depreciation!$A$14:$L$18,7,FALSE)/2,IF($H301&lt;I$2,VLOOKUP($G301,Depreciation!$A$14:$L$18,7,FALSE),0))</f>
        <v>0</v>
      </c>
      <c r="J301" s="306">
        <f>+IF($H301=J$2,VLOOKUP($G301,Depreciation!$A$14:$L$18,8,FALSE)/2,IF($H301&lt;J$2,VLOOKUP($G301,Depreciation!$A$14:$L$18,8,FALSE),0))</f>
        <v>1.231622525054236E-2</v>
      </c>
      <c r="K301" s="306">
        <f>+IF($H301=K$2,VLOOKUP($G301,Depreciation!$A$14:$L$18,9,FALSE)/2,IF($H301&lt;K$2,VLOOKUP($G301,Depreciation!$A$14:$L$18,9,FALSE),0))</f>
        <v>2.4351536427798831E-2</v>
      </c>
      <c r="L301" s="306">
        <f>+IF($H301=L$2,VLOOKUP($G301,Depreciation!$A$14:$L$18,10,FALSE)/2,IF($H301&lt;L$2,VLOOKUP($G301,Depreciation!$A$14:$L$18,10,FALSE),0))</f>
        <v>2.4351536427798831E-2</v>
      </c>
      <c r="M301" s="306">
        <f>+IF($H301=M$2,VLOOKUP($G301,Depreciation!$A$14:$L$18,11,FALSE)/2,IF($H301&lt;M$2,VLOOKUP($G301,Depreciation!$A$14:$L$18,11,FALSE),0))</f>
        <v>2.4351536427798831E-2</v>
      </c>
      <c r="N301" s="306">
        <f>+IF($H301=N$2,VLOOKUP($G301,Depreciation!$A$14:$L$18,12,FALSE)/2,IF($H301&lt;N$2,VLOOKUP($G301,Depreciation!$A$14:$L$18,12,FALSE),0))</f>
        <v>2.4351536427798831E-2</v>
      </c>
      <c r="O301" s="307">
        <f t="shared" si="33"/>
        <v>6103938.363653441</v>
      </c>
      <c r="P301" s="732">
        <f>'Func Future Subs 2015'!P301</f>
        <v>0</v>
      </c>
      <c r="Q301" s="732">
        <f>'Func Future Subs 2015'!Q301</f>
        <v>1</v>
      </c>
      <c r="R301" s="732">
        <f>'Func Future Subs 2015'!R301</f>
        <v>0</v>
      </c>
      <c r="S301" s="735">
        <f t="shared" si="34"/>
        <v>0</v>
      </c>
      <c r="T301" s="735">
        <f t="shared" si="35"/>
        <v>6103938.363653441</v>
      </c>
      <c r="U301" s="735">
        <f t="shared" si="36"/>
        <v>0</v>
      </c>
      <c r="V301" s="736">
        <f t="shared" si="37"/>
        <v>0</v>
      </c>
      <c r="W301" s="735">
        <f t="shared" si="38"/>
        <v>0</v>
      </c>
      <c r="X301" s="737">
        <f t="shared" si="39"/>
        <v>0</v>
      </c>
      <c r="Y301" s="738">
        <f t="shared" si="40"/>
        <v>6103938.363653441</v>
      </c>
    </row>
    <row r="302" spans="1:25">
      <c r="A302" s="754" t="str">
        <f>'Func Future Subs 2015'!A302</f>
        <v>Enmax Sub11 modify</v>
      </c>
      <c r="B302" s="754">
        <f>'Func Future Subs 2015'!B302</f>
        <v>1480</v>
      </c>
      <c r="C302" s="754">
        <f>'Func Future Subs 2015'!C302</f>
        <v>25</v>
      </c>
      <c r="D302" s="754">
        <f>'Func Future Subs 2015'!D302</f>
        <v>25</v>
      </c>
      <c r="E302" s="754" t="str">
        <f>'Func Future Subs 2015'!E302</f>
        <v>SS-11</v>
      </c>
      <c r="F302" s="754">
        <f>'Func Future Subs 2015'!F302</f>
        <v>1181844.0000000002</v>
      </c>
      <c r="G302" s="754" t="str">
        <f>'Func Future Subs 2015'!G302</f>
        <v>ENMAX</v>
      </c>
      <c r="H302" s="754">
        <f>'Func Future Subs 2015'!H302</f>
        <v>2016</v>
      </c>
      <c r="I302" s="306">
        <f>+IF($H302=I$2,VLOOKUP($G302,Depreciation!$A$14:$L$18,7,FALSE)/2,IF($H302&lt;I$2,VLOOKUP($G302,Depreciation!$A$14:$L$18,7,FALSE),0))</f>
        <v>0</v>
      </c>
      <c r="J302" s="306">
        <f>+IF($H302=J$2,VLOOKUP($G302,Depreciation!$A$14:$L$18,8,FALSE)/2,IF($H302&lt;J$2,VLOOKUP($G302,Depreciation!$A$14:$L$18,8,FALSE),0))</f>
        <v>1.3928409269726289E-2</v>
      </c>
      <c r="K302" s="306">
        <f>+IF($H302=K$2,VLOOKUP($G302,Depreciation!$A$14:$L$18,9,FALSE)/2,IF($H302&lt;K$2,VLOOKUP($G302,Depreciation!$A$14:$L$18,9,FALSE),0))</f>
        <v>2.7856818539452578E-2</v>
      </c>
      <c r="L302" s="306">
        <f>+IF($H302=L$2,VLOOKUP($G302,Depreciation!$A$14:$L$18,10,FALSE)/2,IF($H302&lt;L$2,VLOOKUP($G302,Depreciation!$A$14:$L$18,10,FALSE),0))</f>
        <v>2.7856818539452578E-2</v>
      </c>
      <c r="M302" s="306">
        <f>+IF($H302=M$2,VLOOKUP($G302,Depreciation!$A$14:$L$18,11,FALSE)/2,IF($H302&lt;M$2,VLOOKUP($G302,Depreciation!$A$14:$L$18,11,FALSE),0))</f>
        <v>2.7856818539452578E-2</v>
      </c>
      <c r="N302" s="306">
        <f>+IF($H302=N$2,VLOOKUP($G302,Depreciation!$A$14:$L$18,12,FALSE)/2,IF($H302&lt;N$2,VLOOKUP($G302,Depreciation!$A$14:$L$18,12,FALSE),0))</f>
        <v>2.7856818539452578E-2</v>
      </c>
      <c r="O302" s="307">
        <f t="shared" si="33"/>
        <v>1040853.3373866969</v>
      </c>
      <c r="P302" s="732">
        <f>'Func Future Subs 2015'!P302</f>
        <v>0</v>
      </c>
      <c r="Q302" s="732">
        <f>'Func Future Subs 2015'!Q302</f>
        <v>1</v>
      </c>
      <c r="R302" s="732">
        <f>'Func Future Subs 2015'!R302</f>
        <v>0</v>
      </c>
      <c r="S302" s="735">
        <f t="shared" si="34"/>
        <v>0</v>
      </c>
      <c r="T302" s="735">
        <f t="shared" si="35"/>
        <v>1040853.3373866969</v>
      </c>
      <c r="U302" s="735">
        <f t="shared" si="36"/>
        <v>0</v>
      </c>
      <c r="V302" s="736">
        <f t="shared" si="37"/>
        <v>0</v>
      </c>
      <c r="W302" s="735">
        <f t="shared" si="38"/>
        <v>0</v>
      </c>
      <c r="X302" s="737">
        <f t="shared" si="39"/>
        <v>0</v>
      </c>
      <c r="Y302" s="738">
        <f t="shared" si="40"/>
        <v>1040853.3373866969</v>
      </c>
    </row>
    <row r="303" spans="1:25">
      <c r="A303" s="754" t="str">
        <f>'Func Future Subs 2015'!A303</f>
        <v>Amelia 108S substation</v>
      </c>
      <c r="B303" s="754">
        <f>'Func Future Subs 2015'!B303</f>
        <v>1481</v>
      </c>
      <c r="C303" s="754">
        <f>'Func Future Subs 2015'!C303</f>
        <v>240</v>
      </c>
      <c r="D303" s="754">
        <f>'Func Future Subs 2015'!D303</f>
        <v>25</v>
      </c>
      <c r="E303" s="754" t="str">
        <f>'Func Future Subs 2015'!E303</f>
        <v>108S</v>
      </c>
      <c r="F303" s="754">
        <f>'Func Future Subs 2015'!F303</f>
        <v>1115000</v>
      </c>
      <c r="G303" s="754" t="str">
        <f>'Func Future Subs 2015'!G303</f>
        <v>AltaLink</v>
      </c>
      <c r="H303" s="754">
        <f>'Func Future Subs 2015'!H303</f>
        <v>2015</v>
      </c>
      <c r="I303" s="306">
        <f>+IF($H303=I$2,VLOOKUP($G303,Depreciation!$A$14:$L$18,7,FALSE)/2,IF($H303&lt;I$2,VLOOKUP($G303,Depreciation!$A$14:$L$18,7,FALSE),0))</f>
        <v>1.7228380322441735E-2</v>
      </c>
      <c r="J303" s="306">
        <f>+IF($H303=J$2,VLOOKUP($G303,Depreciation!$A$14:$L$18,8,FALSE)/2,IF($H303&lt;J$2,VLOOKUP($G303,Depreciation!$A$14:$L$18,8,FALSE),0))</f>
        <v>3.343407856743718E-2</v>
      </c>
      <c r="K303" s="306">
        <f>+IF($H303=K$2,VLOOKUP($G303,Depreciation!$A$14:$L$18,9,FALSE)/2,IF($H303&lt;K$2,VLOOKUP($G303,Depreciation!$A$14:$L$18,9,FALSE),0))</f>
        <v>3.343407856743718E-2</v>
      </c>
      <c r="L303" s="306">
        <f>+IF($H303=L$2,VLOOKUP($G303,Depreciation!$A$14:$L$18,10,FALSE)/2,IF($H303&lt;L$2,VLOOKUP($G303,Depreciation!$A$14:$L$18,10,FALSE),0))</f>
        <v>3.343407856743718E-2</v>
      </c>
      <c r="M303" s="306">
        <f>+IF($H303=M$2,VLOOKUP($G303,Depreciation!$A$14:$L$18,11,FALSE)/2,IF($H303&lt;M$2,VLOOKUP($G303,Depreciation!$A$14:$L$18,11,FALSE),0))</f>
        <v>3.343407856743718E-2</v>
      </c>
      <c r="N303" s="306">
        <f>+IF($H303=N$2,VLOOKUP($G303,Depreciation!$A$14:$L$18,12,FALSE)/2,IF($H303&lt;N$2,VLOOKUP($G303,Depreciation!$A$14:$L$18,12,FALSE),0))</f>
        <v>3.343407856743718E-2</v>
      </c>
      <c r="O303" s="307">
        <f t="shared" si="33"/>
        <v>924453.06962834578</v>
      </c>
      <c r="P303" s="732">
        <f>'Func Future Subs 2015'!P303</f>
        <v>0</v>
      </c>
      <c r="Q303" s="732">
        <f>'Func Future Subs 2015'!Q303</f>
        <v>1</v>
      </c>
      <c r="R303" s="732">
        <f>'Func Future Subs 2015'!R303</f>
        <v>0</v>
      </c>
      <c r="S303" s="735">
        <f t="shared" si="34"/>
        <v>0</v>
      </c>
      <c r="T303" s="735">
        <f t="shared" si="35"/>
        <v>924453.06962834578</v>
      </c>
      <c r="U303" s="735">
        <f t="shared" si="36"/>
        <v>0</v>
      </c>
      <c r="V303" s="736">
        <f t="shared" si="37"/>
        <v>0</v>
      </c>
      <c r="W303" s="735">
        <f t="shared" si="38"/>
        <v>0</v>
      </c>
      <c r="X303" s="737">
        <f t="shared" si="39"/>
        <v>0</v>
      </c>
      <c r="Y303" s="738">
        <f t="shared" si="40"/>
        <v>924453.06962834578</v>
      </c>
    </row>
    <row r="304" spans="1:25">
      <c r="A304" s="754" t="str">
        <f>'Func Future Subs 2015'!A304</f>
        <v>Birchwood creek substation</v>
      </c>
      <c r="B304" s="754">
        <f>'Func Future Subs 2015'!B304</f>
        <v>1482</v>
      </c>
      <c r="C304" s="754">
        <f>'Func Future Subs 2015'!C304</f>
        <v>240</v>
      </c>
      <c r="D304" s="754">
        <f>'Func Future Subs 2015'!D304</f>
        <v>0</v>
      </c>
      <c r="E304" s="754">
        <f>'Func Future Subs 2015'!E304</f>
        <v>0</v>
      </c>
      <c r="F304" s="754">
        <f>'Func Future Subs 2015'!F304</f>
        <v>2387527.4359669439</v>
      </c>
      <c r="G304" s="754" t="str">
        <f>'Func Future Subs 2015'!G304</f>
        <v>ATCO</v>
      </c>
      <c r="H304" s="754">
        <f>'Func Future Subs 2015'!H304</f>
        <v>2016</v>
      </c>
      <c r="I304" s="306">
        <f>+IF($H304=I$2,VLOOKUP($G304,Depreciation!$A$14:$L$18,7,FALSE)/2,IF($H304&lt;I$2,VLOOKUP($G304,Depreciation!$A$14:$L$18,7,FALSE),0))</f>
        <v>0</v>
      </c>
      <c r="J304" s="306">
        <f>+IF($H304=J$2,VLOOKUP($G304,Depreciation!$A$14:$L$18,8,FALSE)/2,IF($H304&lt;J$2,VLOOKUP($G304,Depreciation!$A$14:$L$18,8,FALSE),0))</f>
        <v>1.231622525054236E-2</v>
      </c>
      <c r="K304" s="306">
        <f>+IF($H304=K$2,VLOOKUP($G304,Depreciation!$A$14:$L$18,9,FALSE)/2,IF($H304&lt;K$2,VLOOKUP($G304,Depreciation!$A$14:$L$18,9,FALSE),0))</f>
        <v>2.4351536427798831E-2</v>
      </c>
      <c r="L304" s="306">
        <f>+IF($H304=L$2,VLOOKUP($G304,Depreciation!$A$14:$L$18,10,FALSE)/2,IF($H304&lt;L$2,VLOOKUP($G304,Depreciation!$A$14:$L$18,10,FALSE),0))</f>
        <v>2.4351536427798831E-2</v>
      </c>
      <c r="M304" s="306">
        <f>+IF($H304=M$2,VLOOKUP($G304,Depreciation!$A$14:$L$18,11,FALSE)/2,IF($H304&lt;M$2,VLOOKUP($G304,Depreciation!$A$14:$L$18,11,FALSE),0))</f>
        <v>2.4351536427798831E-2</v>
      </c>
      <c r="N304" s="306">
        <f>+IF($H304=N$2,VLOOKUP($G304,Depreciation!$A$14:$L$18,12,FALSE)/2,IF($H304&lt;N$2,VLOOKUP($G304,Depreciation!$A$14:$L$18,12,FALSE),0))</f>
        <v>2.4351536427798831E-2</v>
      </c>
      <c r="O304" s="307">
        <f t="shared" si="33"/>
        <v>2136681.3053913289</v>
      </c>
      <c r="P304" s="732">
        <f>'Func Future Subs 2015'!P304</f>
        <v>0</v>
      </c>
      <c r="Q304" s="732">
        <f>'Func Future Subs 2015'!Q304</f>
        <v>0</v>
      </c>
      <c r="R304" s="732">
        <f>'Func Future Subs 2015'!R304</f>
        <v>1</v>
      </c>
      <c r="S304" s="735">
        <f t="shared" si="34"/>
        <v>0</v>
      </c>
      <c r="T304" s="735">
        <f t="shared" si="35"/>
        <v>0</v>
      </c>
      <c r="U304" s="735">
        <f t="shared" si="36"/>
        <v>2136681.3053913289</v>
      </c>
      <c r="V304" s="736">
        <f t="shared" si="37"/>
        <v>2136681.3053913289</v>
      </c>
      <c r="W304" s="735">
        <f t="shared" si="38"/>
        <v>0</v>
      </c>
      <c r="X304" s="737">
        <f t="shared" si="39"/>
        <v>0</v>
      </c>
      <c r="Y304" s="738">
        <f t="shared" si="40"/>
        <v>0</v>
      </c>
    </row>
    <row r="305" spans="1:25">
      <c r="A305" s="754" t="str">
        <f>'Func Future Subs 2015'!A305</f>
        <v>Yeo substation</v>
      </c>
      <c r="B305" s="754">
        <f>'Func Future Subs 2015'!B305</f>
        <v>1482</v>
      </c>
      <c r="C305" s="754">
        <f>'Func Future Subs 2015'!C305</f>
        <v>240</v>
      </c>
      <c r="D305" s="754">
        <f>'Func Future Subs 2015'!D305</f>
        <v>0</v>
      </c>
      <c r="E305" s="754">
        <f>'Func Future Subs 2015'!E305</f>
        <v>0</v>
      </c>
      <c r="F305" s="754">
        <f>'Func Future Subs 2015'!F305</f>
        <v>15506138.00545691</v>
      </c>
      <c r="G305" s="754" t="str">
        <f>'Func Future Subs 2015'!G305</f>
        <v>ATCO</v>
      </c>
      <c r="H305" s="754">
        <f>'Func Future Subs 2015'!H305</f>
        <v>2016</v>
      </c>
      <c r="I305" s="306">
        <f>+IF($H305=I$2,VLOOKUP($G305,Depreciation!$A$14:$L$18,7,FALSE)/2,IF($H305&lt;I$2,VLOOKUP($G305,Depreciation!$A$14:$L$18,7,FALSE),0))</f>
        <v>0</v>
      </c>
      <c r="J305" s="306">
        <f>+IF($H305=J$2,VLOOKUP($G305,Depreciation!$A$14:$L$18,8,FALSE)/2,IF($H305&lt;J$2,VLOOKUP($G305,Depreciation!$A$14:$L$18,8,FALSE),0))</f>
        <v>1.231622525054236E-2</v>
      </c>
      <c r="K305" s="306">
        <f>+IF($H305=K$2,VLOOKUP($G305,Depreciation!$A$14:$L$18,9,FALSE)/2,IF($H305&lt;K$2,VLOOKUP($G305,Depreciation!$A$14:$L$18,9,FALSE),0))</f>
        <v>2.4351536427798831E-2</v>
      </c>
      <c r="L305" s="306">
        <f>+IF($H305=L$2,VLOOKUP($G305,Depreciation!$A$14:$L$18,10,FALSE)/2,IF($H305&lt;L$2,VLOOKUP($G305,Depreciation!$A$14:$L$18,10,FALSE),0))</f>
        <v>2.4351536427798831E-2</v>
      </c>
      <c r="M305" s="306">
        <f>+IF($H305=M$2,VLOOKUP($G305,Depreciation!$A$14:$L$18,11,FALSE)/2,IF($H305&lt;M$2,VLOOKUP($G305,Depreciation!$A$14:$L$18,11,FALSE),0))</f>
        <v>2.4351536427798831E-2</v>
      </c>
      <c r="N305" s="306">
        <f>+IF($H305=N$2,VLOOKUP($G305,Depreciation!$A$14:$L$18,12,FALSE)/2,IF($H305&lt;N$2,VLOOKUP($G305,Depreciation!$A$14:$L$18,12,FALSE),0))</f>
        <v>2.4351536427798831E-2</v>
      </c>
      <c r="O305" s="307">
        <f t="shared" si="33"/>
        <v>13876981.975563979</v>
      </c>
      <c r="P305" s="732">
        <f>'Func Future Subs 2015'!P305</f>
        <v>0</v>
      </c>
      <c r="Q305" s="732">
        <f>'Func Future Subs 2015'!Q305</f>
        <v>0</v>
      </c>
      <c r="R305" s="732">
        <f>'Func Future Subs 2015'!R305</f>
        <v>1</v>
      </c>
      <c r="S305" s="735">
        <f t="shared" si="34"/>
        <v>0</v>
      </c>
      <c r="T305" s="735">
        <f t="shared" si="35"/>
        <v>0</v>
      </c>
      <c r="U305" s="735">
        <f t="shared" si="36"/>
        <v>13876981.975563979</v>
      </c>
      <c r="V305" s="736">
        <f t="shared" si="37"/>
        <v>13876981.975563979</v>
      </c>
      <c r="W305" s="735">
        <f t="shared" si="38"/>
        <v>0</v>
      </c>
      <c r="X305" s="737">
        <f t="shared" si="39"/>
        <v>0</v>
      </c>
      <c r="Y305" s="738">
        <f t="shared" si="40"/>
        <v>0</v>
      </c>
    </row>
    <row r="306" spans="1:25">
      <c r="A306" s="754" t="str">
        <f>'Func Future Subs 2015'!A306</f>
        <v>Wabasca 720S</v>
      </c>
      <c r="B306" s="754">
        <f>'Func Future Subs 2015'!B306</f>
        <v>1491</v>
      </c>
      <c r="C306" s="754">
        <f>'Func Future Subs 2015'!C306</f>
        <v>240</v>
      </c>
      <c r="D306" s="754">
        <f>'Func Future Subs 2015'!D306</f>
        <v>25</v>
      </c>
      <c r="E306" s="754" t="str">
        <f>'Func Future Subs 2015'!E306</f>
        <v>720S</v>
      </c>
      <c r="F306" s="754">
        <f>'Func Future Subs 2015'!F306</f>
        <v>2147023.9999999977</v>
      </c>
      <c r="G306" s="754" t="str">
        <f>'Func Future Subs 2015'!G306</f>
        <v>ATCO</v>
      </c>
      <c r="H306" s="754">
        <f>'Func Future Subs 2015'!H306</f>
        <v>2018</v>
      </c>
      <c r="I306" s="306">
        <f>+IF($H306=I$2,VLOOKUP($G306,Depreciation!$A$14:$L$18,7,FALSE)/2,IF($H306&lt;I$2,VLOOKUP($G306,Depreciation!$A$14:$L$18,7,FALSE),0))</f>
        <v>0</v>
      </c>
      <c r="J306" s="306">
        <f>+IF($H306=J$2,VLOOKUP($G306,Depreciation!$A$14:$L$18,8,FALSE)/2,IF($H306&lt;J$2,VLOOKUP($G306,Depreciation!$A$14:$L$18,8,FALSE),0))</f>
        <v>0</v>
      </c>
      <c r="K306" s="306">
        <f>+IF($H306=K$2,VLOOKUP($G306,Depreciation!$A$14:$L$18,9,FALSE)/2,IF($H306&lt;K$2,VLOOKUP($G306,Depreciation!$A$14:$L$18,9,FALSE),0))</f>
        <v>0</v>
      </c>
      <c r="L306" s="306">
        <f>+IF($H306=L$2,VLOOKUP($G306,Depreciation!$A$14:$L$18,10,FALSE)/2,IF($H306&lt;L$2,VLOOKUP($G306,Depreciation!$A$14:$L$18,10,FALSE),0))</f>
        <v>1.2175768213899416E-2</v>
      </c>
      <c r="M306" s="306">
        <f>+IF($H306=M$2,VLOOKUP($G306,Depreciation!$A$14:$L$18,11,FALSE)/2,IF($H306&lt;M$2,VLOOKUP($G306,Depreciation!$A$14:$L$18,11,FALSE),0))</f>
        <v>2.4351536427798831E-2</v>
      </c>
      <c r="N306" s="306">
        <f>+IF($H306=N$2,VLOOKUP($G306,Depreciation!$A$14:$L$18,12,FALSE)/2,IF($H306&lt;N$2,VLOOKUP($G306,Depreciation!$A$14:$L$18,12,FALSE),0))</f>
        <v>2.4351536427798831E-2</v>
      </c>
      <c r="O306" s="307">
        <f t="shared" si="33"/>
        <v>2018846.5241766255</v>
      </c>
      <c r="P306" s="732">
        <f>'Func Future Subs 2015'!P306</f>
        <v>0</v>
      </c>
      <c r="Q306" s="732">
        <f>'Func Future Subs 2015'!Q306</f>
        <v>1</v>
      </c>
      <c r="R306" s="732">
        <f>'Func Future Subs 2015'!R306</f>
        <v>0</v>
      </c>
      <c r="S306" s="735">
        <f t="shared" si="34"/>
        <v>0</v>
      </c>
      <c r="T306" s="735">
        <f t="shared" si="35"/>
        <v>2018846.5241766255</v>
      </c>
      <c r="U306" s="735">
        <f t="shared" si="36"/>
        <v>0</v>
      </c>
      <c r="V306" s="736">
        <f t="shared" si="37"/>
        <v>0</v>
      </c>
      <c r="W306" s="735">
        <f t="shared" si="38"/>
        <v>0</v>
      </c>
      <c r="X306" s="737">
        <f t="shared" si="39"/>
        <v>0</v>
      </c>
      <c r="Y306" s="738">
        <f t="shared" si="40"/>
        <v>2018846.5241766255</v>
      </c>
    </row>
    <row r="307" spans="1:25">
      <c r="A307" s="754" t="str">
        <f>'Func Future Subs 2015'!A307</f>
        <v xml:space="preserve">v180 - Fortis 263S substation upgrade </v>
      </c>
      <c r="B307" s="754">
        <f>'Func Future Subs 2015'!B307</f>
        <v>1494</v>
      </c>
      <c r="C307" s="754">
        <f>'Func Future Subs 2015'!C307</f>
        <v>138</v>
      </c>
      <c r="D307" s="754">
        <f>'Func Future Subs 2015'!D307</f>
        <v>25</v>
      </c>
      <c r="E307" s="754" t="str">
        <f>'Func Future Subs 2015'!E307</f>
        <v>263S</v>
      </c>
      <c r="F307" s="754">
        <f>'Func Future Subs 2015'!F307</f>
        <v>7308312.4068950815</v>
      </c>
      <c r="G307" s="754" t="str">
        <f>'Func Future Subs 2015'!G307</f>
        <v>AltaLink</v>
      </c>
      <c r="H307" s="754">
        <f>'Func Future Subs 2015'!H307</f>
        <v>2015</v>
      </c>
      <c r="I307" s="306">
        <f>+IF($H307=I$2,VLOOKUP($G307,Depreciation!$A$14:$L$18,7,FALSE)/2,IF($H307&lt;I$2,VLOOKUP($G307,Depreciation!$A$14:$L$18,7,FALSE),0))</f>
        <v>1.7228380322441735E-2</v>
      </c>
      <c r="J307" s="306">
        <f>+IF($H307=J$2,VLOOKUP($G307,Depreciation!$A$14:$L$18,8,FALSE)/2,IF($H307&lt;J$2,VLOOKUP($G307,Depreciation!$A$14:$L$18,8,FALSE),0))</f>
        <v>3.343407856743718E-2</v>
      </c>
      <c r="K307" s="306">
        <f>+IF($H307=K$2,VLOOKUP($G307,Depreciation!$A$14:$L$18,9,FALSE)/2,IF($H307&lt;K$2,VLOOKUP($G307,Depreciation!$A$14:$L$18,9,FALSE),0))</f>
        <v>3.343407856743718E-2</v>
      </c>
      <c r="L307" s="306">
        <f>+IF($H307=L$2,VLOOKUP($G307,Depreciation!$A$14:$L$18,10,FALSE)/2,IF($H307&lt;L$2,VLOOKUP($G307,Depreciation!$A$14:$L$18,10,FALSE),0))</f>
        <v>3.343407856743718E-2</v>
      </c>
      <c r="M307" s="306">
        <f>+IF($H307=M$2,VLOOKUP($G307,Depreciation!$A$14:$L$18,11,FALSE)/2,IF($H307&lt;M$2,VLOOKUP($G307,Depreciation!$A$14:$L$18,11,FALSE),0))</f>
        <v>3.343407856743718E-2</v>
      </c>
      <c r="N307" s="306">
        <f>+IF($H307=N$2,VLOOKUP($G307,Depreciation!$A$14:$L$18,12,FALSE)/2,IF($H307&lt;N$2,VLOOKUP($G307,Depreciation!$A$14:$L$18,12,FALSE),0))</f>
        <v>3.343407856743718E-2</v>
      </c>
      <c r="O307" s="307">
        <f t="shared" si="33"/>
        <v>6059364.8774502994</v>
      </c>
      <c r="P307" s="732">
        <f>'Func Future Subs 2015'!P307</f>
        <v>0</v>
      </c>
      <c r="Q307" s="732">
        <f>'Func Future Subs 2015'!Q307</f>
        <v>1</v>
      </c>
      <c r="R307" s="732">
        <f>'Func Future Subs 2015'!R307</f>
        <v>0</v>
      </c>
      <c r="S307" s="735">
        <f t="shared" si="34"/>
        <v>0</v>
      </c>
      <c r="T307" s="735">
        <f t="shared" si="35"/>
        <v>6059364.8774502994</v>
      </c>
      <c r="U307" s="735">
        <f t="shared" si="36"/>
        <v>0</v>
      </c>
      <c r="V307" s="736">
        <f t="shared" si="37"/>
        <v>0</v>
      </c>
      <c r="W307" s="735">
        <f t="shared" si="38"/>
        <v>0</v>
      </c>
      <c r="X307" s="737">
        <f t="shared" si="39"/>
        <v>0</v>
      </c>
      <c r="Y307" s="738">
        <f t="shared" si="40"/>
        <v>6059364.8774502994</v>
      </c>
    </row>
    <row r="308" spans="1:25">
      <c r="A308" s="754" t="str">
        <f>'Func Future Subs 2015'!A308</f>
        <v>[Final]Hayter 277s substation</v>
      </c>
      <c r="B308" s="754">
        <f>'Func Future Subs 2015'!B308</f>
        <v>1495</v>
      </c>
      <c r="C308" s="754">
        <f>'Func Future Subs 2015'!C308</f>
        <v>138</v>
      </c>
      <c r="D308" s="754">
        <f>'Func Future Subs 2015'!D308</f>
        <v>25</v>
      </c>
      <c r="E308" s="754" t="str">
        <f>'Func Future Subs 2015'!E308</f>
        <v>277S</v>
      </c>
      <c r="F308" s="754">
        <f>'Func Future Subs 2015'!F308</f>
        <v>4998436.9999999991</v>
      </c>
      <c r="G308" s="754" t="str">
        <f>'Func Future Subs 2015'!G308</f>
        <v>AltaLink</v>
      </c>
      <c r="H308" s="754">
        <f>'Func Future Subs 2015'!H308</f>
        <v>2015</v>
      </c>
      <c r="I308" s="306">
        <f>+IF($H308=I$2,VLOOKUP($G308,Depreciation!$A$14:$L$18,7,FALSE)/2,IF($H308&lt;I$2,VLOOKUP($G308,Depreciation!$A$14:$L$18,7,FALSE),0))</f>
        <v>1.7228380322441735E-2</v>
      </c>
      <c r="J308" s="306">
        <f>+IF($H308=J$2,VLOOKUP($G308,Depreciation!$A$14:$L$18,8,FALSE)/2,IF($H308&lt;J$2,VLOOKUP($G308,Depreciation!$A$14:$L$18,8,FALSE),0))</f>
        <v>3.343407856743718E-2</v>
      </c>
      <c r="K308" s="306">
        <f>+IF($H308=K$2,VLOOKUP($G308,Depreciation!$A$14:$L$18,9,FALSE)/2,IF($H308&lt;K$2,VLOOKUP($G308,Depreciation!$A$14:$L$18,9,FALSE),0))</f>
        <v>3.343407856743718E-2</v>
      </c>
      <c r="L308" s="306">
        <f>+IF($H308=L$2,VLOOKUP($G308,Depreciation!$A$14:$L$18,10,FALSE)/2,IF($H308&lt;L$2,VLOOKUP($G308,Depreciation!$A$14:$L$18,10,FALSE),0))</f>
        <v>3.343407856743718E-2</v>
      </c>
      <c r="M308" s="306">
        <f>+IF($H308=M$2,VLOOKUP($G308,Depreciation!$A$14:$L$18,11,FALSE)/2,IF($H308&lt;M$2,VLOOKUP($G308,Depreciation!$A$14:$L$18,11,FALSE),0))</f>
        <v>3.343407856743718E-2</v>
      </c>
      <c r="N308" s="306">
        <f>+IF($H308=N$2,VLOOKUP($G308,Depreciation!$A$14:$L$18,12,FALSE)/2,IF($H308&lt;N$2,VLOOKUP($G308,Depreciation!$A$14:$L$18,12,FALSE),0))</f>
        <v>3.343407856743718E-2</v>
      </c>
      <c r="O308" s="307">
        <f t="shared" si="33"/>
        <v>4144233.567707533</v>
      </c>
      <c r="P308" s="732">
        <f>'Func Future Subs 2015'!P308</f>
        <v>0.2544529262086514</v>
      </c>
      <c r="Q308" s="732">
        <f>'Func Future Subs 2015'!Q308</f>
        <v>0.74554707379134866</v>
      </c>
      <c r="R308" s="732">
        <f>'Func Future Subs 2015'!R308</f>
        <v>0</v>
      </c>
      <c r="S308" s="735">
        <f t="shared" si="34"/>
        <v>1054512.3581953009</v>
      </c>
      <c r="T308" s="735">
        <f t="shared" si="35"/>
        <v>3089721.2095122323</v>
      </c>
      <c r="U308" s="735">
        <f t="shared" si="36"/>
        <v>0</v>
      </c>
      <c r="V308" s="736">
        <f t="shared" si="37"/>
        <v>0</v>
      </c>
      <c r="W308" s="735">
        <f t="shared" si="38"/>
        <v>1054512.3581953009</v>
      </c>
      <c r="X308" s="737">
        <f t="shared" si="39"/>
        <v>0</v>
      </c>
      <c r="Y308" s="738">
        <f t="shared" si="40"/>
        <v>3089721.2095122323</v>
      </c>
    </row>
    <row r="309" spans="1:25">
      <c r="A309" s="754" t="str">
        <f>'Func Future Subs 2015'!A309</f>
        <v>Hayter 277s substation</v>
      </c>
      <c r="B309" s="754">
        <f>'Func Future Subs 2015'!B309</f>
        <v>1495</v>
      </c>
      <c r="C309" s="754">
        <f>'Func Future Subs 2015'!C309</f>
        <v>138</v>
      </c>
      <c r="D309" s="754">
        <f>'Func Future Subs 2015'!D309</f>
        <v>25</v>
      </c>
      <c r="E309" s="754" t="str">
        <f>'Func Future Subs 2015'!E309</f>
        <v>277S</v>
      </c>
      <c r="F309" s="754">
        <f>'Func Future Subs 2015'!F309</f>
        <v>6860894.0285954578</v>
      </c>
      <c r="G309" s="754" t="str">
        <f>'Func Future Subs 2015'!G309</f>
        <v>AltaLink</v>
      </c>
      <c r="H309" s="754">
        <f>'Func Future Subs 2015'!H309</f>
        <v>2015</v>
      </c>
      <c r="I309" s="306">
        <f>+IF($H309=I$2,VLOOKUP($G309,Depreciation!$A$14:$L$18,7,FALSE)/2,IF($H309&lt;I$2,VLOOKUP($G309,Depreciation!$A$14:$L$18,7,FALSE),0))</f>
        <v>1.7228380322441735E-2</v>
      </c>
      <c r="J309" s="306">
        <f>+IF($H309=J$2,VLOOKUP($G309,Depreciation!$A$14:$L$18,8,FALSE)/2,IF($H309&lt;J$2,VLOOKUP($G309,Depreciation!$A$14:$L$18,8,FALSE),0))</f>
        <v>3.343407856743718E-2</v>
      </c>
      <c r="K309" s="306">
        <f>+IF($H309=K$2,VLOOKUP($G309,Depreciation!$A$14:$L$18,9,FALSE)/2,IF($H309&lt;K$2,VLOOKUP($G309,Depreciation!$A$14:$L$18,9,FALSE),0))</f>
        <v>3.343407856743718E-2</v>
      </c>
      <c r="L309" s="306">
        <f>+IF($H309=L$2,VLOOKUP($G309,Depreciation!$A$14:$L$18,10,FALSE)/2,IF($H309&lt;L$2,VLOOKUP($G309,Depreciation!$A$14:$L$18,10,FALSE),0))</f>
        <v>3.343407856743718E-2</v>
      </c>
      <c r="M309" s="306">
        <f>+IF($H309=M$2,VLOOKUP($G309,Depreciation!$A$14:$L$18,11,FALSE)/2,IF($H309&lt;M$2,VLOOKUP($G309,Depreciation!$A$14:$L$18,11,FALSE),0))</f>
        <v>3.343407856743718E-2</v>
      </c>
      <c r="N309" s="306">
        <f>+IF($H309=N$2,VLOOKUP($G309,Depreciation!$A$14:$L$18,12,FALSE)/2,IF($H309&lt;N$2,VLOOKUP($G309,Depreciation!$A$14:$L$18,12,FALSE),0))</f>
        <v>3.343407856743718E-2</v>
      </c>
      <c r="O309" s="307">
        <f t="shared" si="33"/>
        <v>5688407.6637935964</v>
      </c>
      <c r="P309" s="732">
        <f>'Func Future Subs 2015'!P309</f>
        <v>0.2544529262086514</v>
      </c>
      <c r="Q309" s="732">
        <f>'Func Future Subs 2015'!Q309</f>
        <v>0.74554707379134866</v>
      </c>
      <c r="R309" s="732">
        <f>'Func Future Subs 2015'!R309</f>
        <v>0</v>
      </c>
      <c r="S309" s="735">
        <f t="shared" si="34"/>
        <v>1447431.9755199992</v>
      </c>
      <c r="T309" s="735">
        <f t="shared" si="35"/>
        <v>4240975.6882735975</v>
      </c>
      <c r="U309" s="735">
        <f t="shared" si="36"/>
        <v>0</v>
      </c>
      <c r="V309" s="736">
        <f t="shared" si="37"/>
        <v>0</v>
      </c>
      <c r="W309" s="735">
        <f t="shared" si="38"/>
        <v>1447431.9755199992</v>
      </c>
      <c r="X309" s="737">
        <f t="shared" si="39"/>
        <v>0</v>
      </c>
      <c r="Y309" s="738">
        <f t="shared" si="40"/>
        <v>4240975.6882735975</v>
      </c>
    </row>
    <row r="310" spans="1:25">
      <c r="A310" s="754" t="str">
        <f>'Func Future Subs 2015'!A310</f>
        <v>Upgrade Scotford 409S substation</v>
      </c>
      <c r="B310" s="754">
        <f>'Func Future Subs 2015'!B310</f>
        <v>1503</v>
      </c>
      <c r="C310" s="754">
        <f>'Func Future Subs 2015'!C310</f>
        <v>240</v>
      </c>
      <c r="D310" s="754">
        <f>'Func Future Subs 2015'!D310</f>
        <v>25</v>
      </c>
      <c r="E310" s="754" t="str">
        <f>'Func Future Subs 2015'!E310</f>
        <v>409S</v>
      </c>
      <c r="F310" s="754">
        <f>'Func Future Subs 2015'!F310</f>
        <v>5335410.2564102598</v>
      </c>
      <c r="G310" s="754" t="str">
        <f>'Func Future Subs 2015'!G310</f>
        <v>AltaLink</v>
      </c>
      <c r="H310" s="754">
        <f>'Func Future Subs 2015'!H310</f>
        <v>2016</v>
      </c>
      <c r="I310" s="306">
        <f>+IF($H310=I$2,VLOOKUP($G310,Depreciation!$A$14:$L$18,7,FALSE)/2,IF($H310&lt;I$2,VLOOKUP($G310,Depreciation!$A$14:$L$18,7,FALSE),0))</f>
        <v>0</v>
      </c>
      <c r="J310" s="306">
        <f>+IF($H310=J$2,VLOOKUP($G310,Depreciation!$A$14:$L$18,8,FALSE)/2,IF($H310&lt;J$2,VLOOKUP($G310,Depreciation!$A$14:$L$18,8,FALSE),0))</f>
        <v>1.671703928371859E-2</v>
      </c>
      <c r="K310" s="306">
        <f>+IF($H310=K$2,VLOOKUP($G310,Depreciation!$A$14:$L$18,9,FALSE)/2,IF($H310&lt;K$2,VLOOKUP($G310,Depreciation!$A$14:$L$18,9,FALSE),0))</f>
        <v>3.343407856743718E-2</v>
      </c>
      <c r="L310" s="306">
        <f>+IF($H310=L$2,VLOOKUP($G310,Depreciation!$A$14:$L$18,10,FALSE)/2,IF($H310&lt;L$2,VLOOKUP($G310,Depreciation!$A$14:$L$18,10,FALSE),0))</f>
        <v>3.343407856743718E-2</v>
      </c>
      <c r="M310" s="306">
        <f>+IF($H310=M$2,VLOOKUP($G310,Depreciation!$A$14:$L$18,11,FALSE)/2,IF($H310&lt;M$2,VLOOKUP($G310,Depreciation!$A$14:$L$18,11,FALSE),0))</f>
        <v>3.343407856743718E-2</v>
      </c>
      <c r="N310" s="306">
        <f>+IF($H310=N$2,VLOOKUP($G310,Depreciation!$A$14:$L$18,12,FALSE)/2,IF($H310&lt;N$2,VLOOKUP($G310,Depreciation!$A$14:$L$18,12,FALSE),0))</f>
        <v>3.343407856743718E-2</v>
      </c>
      <c r="O310" s="307">
        <f t="shared" si="33"/>
        <v>4579016.9235167773</v>
      </c>
      <c r="P310" s="732">
        <f>'Func Future Subs 2015'!P310</f>
        <v>0.29078014184397161</v>
      </c>
      <c r="Q310" s="732">
        <f>'Func Future Subs 2015'!Q310</f>
        <v>0.70921985815602839</v>
      </c>
      <c r="R310" s="732">
        <f>'Func Future Subs 2015'!R310</f>
        <v>0</v>
      </c>
      <c r="S310" s="735">
        <f t="shared" si="34"/>
        <v>1331487.1905261551</v>
      </c>
      <c r="T310" s="735">
        <f t="shared" si="35"/>
        <v>3247529.7329906225</v>
      </c>
      <c r="U310" s="735">
        <f t="shared" si="36"/>
        <v>0</v>
      </c>
      <c r="V310" s="736">
        <f t="shared" si="37"/>
        <v>0</v>
      </c>
      <c r="W310" s="735">
        <f t="shared" si="38"/>
        <v>1331487.1905261551</v>
      </c>
      <c r="X310" s="737">
        <f t="shared" si="39"/>
        <v>0</v>
      </c>
      <c r="Y310" s="738">
        <f t="shared" si="40"/>
        <v>3247529.7329906225</v>
      </c>
    </row>
    <row r="311" spans="1:25">
      <c r="A311" s="754" t="str">
        <f>'Func Future Subs 2015'!A311</f>
        <v>North ST Albert 99S substation[180D]</v>
      </c>
      <c r="B311" s="754">
        <f>'Func Future Subs 2015'!B311</f>
        <v>1510</v>
      </c>
      <c r="C311" s="754">
        <f>'Func Future Subs 2015'!C311</f>
        <v>138</v>
      </c>
      <c r="D311" s="754">
        <f>'Func Future Subs 2015'!D311</f>
        <v>25</v>
      </c>
      <c r="E311" s="754" t="str">
        <f>'Func Future Subs 2015'!E311</f>
        <v>99S</v>
      </c>
      <c r="F311" s="754">
        <f>'Func Future Subs 2015'!F311</f>
        <v>968000.00000000012</v>
      </c>
      <c r="G311" s="754" t="str">
        <f>'Func Future Subs 2015'!G311</f>
        <v>AltaLink</v>
      </c>
      <c r="H311" s="754">
        <f>'Func Future Subs 2015'!H311</f>
        <v>2015</v>
      </c>
      <c r="I311" s="306">
        <f>+IF($H311=I$2,VLOOKUP($G311,Depreciation!$A$14:$L$18,7,FALSE)/2,IF($H311&lt;I$2,VLOOKUP($G311,Depreciation!$A$14:$L$18,7,FALSE),0))</f>
        <v>1.7228380322441735E-2</v>
      </c>
      <c r="J311" s="306">
        <f>+IF($H311=J$2,VLOOKUP($G311,Depreciation!$A$14:$L$18,8,FALSE)/2,IF($H311&lt;J$2,VLOOKUP($G311,Depreciation!$A$14:$L$18,8,FALSE),0))</f>
        <v>3.343407856743718E-2</v>
      </c>
      <c r="K311" s="306">
        <f>+IF($H311=K$2,VLOOKUP($G311,Depreciation!$A$14:$L$18,9,FALSE)/2,IF($H311&lt;K$2,VLOOKUP($G311,Depreciation!$A$14:$L$18,9,FALSE),0))</f>
        <v>3.343407856743718E-2</v>
      </c>
      <c r="L311" s="306">
        <f>+IF($H311=L$2,VLOOKUP($G311,Depreciation!$A$14:$L$18,10,FALSE)/2,IF($H311&lt;L$2,VLOOKUP($G311,Depreciation!$A$14:$L$18,10,FALSE),0))</f>
        <v>3.343407856743718E-2</v>
      </c>
      <c r="M311" s="306">
        <f>+IF($H311=M$2,VLOOKUP($G311,Depreciation!$A$14:$L$18,11,FALSE)/2,IF($H311&lt;M$2,VLOOKUP($G311,Depreciation!$A$14:$L$18,11,FALSE),0))</f>
        <v>3.343407856743718E-2</v>
      </c>
      <c r="N311" s="306">
        <f>+IF($H311=N$2,VLOOKUP($G311,Depreciation!$A$14:$L$18,12,FALSE)/2,IF($H311&lt;N$2,VLOOKUP($G311,Depreciation!$A$14:$L$18,12,FALSE),0))</f>
        <v>3.343407856743718E-2</v>
      </c>
      <c r="O311" s="307">
        <f t="shared" si="33"/>
        <v>802574.50349797215</v>
      </c>
      <c r="P311" s="732">
        <f>'Func Future Subs 2015'!P311</f>
        <v>0</v>
      </c>
      <c r="Q311" s="732">
        <f>'Func Future Subs 2015'!Q311</f>
        <v>1</v>
      </c>
      <c r="R311" s="732">
        <f>'Func Future Subs 2015'!R311</f>
        <v>0</v>
      </c>
      <c r="S311" s="735">
        <f t="shared" si="34"/>
        <v>0</v>
      </c>
      <c r="T311" s="735">
        <f t="shared" si="35"/>
        <v>802574.50349797215</v>
      </c>
      <c r="U311" s="735">
        <f t="shared" si="36"/>
        <v>0</v>
      </c>
      <c r="V311" s="736">
        <f t="shared" si="37"/>
        <v>0</v>
      </c>
      <c r="W311" s="735">
        <f t="shared" si="38"/>
        <v>0</v>
      </c>
      <c r="X311" s="737">
        <f t="shared" si="39"/>
        <v>0</v>
      </c>
      <c r="Y311" s="738">
        <f t="shared" si="40"/>
        <v>802574.50349797215</v>
      </c>
    </row>
    <row r="312" spans="1:25">
      <c r="A312" s="754" t="str">
        <f>'Func Future Subs 2015'!A312</f>
        <v>Modify P&amp;C at Benbow 397S</v>
      </c>
      <c r="B312" s="754">
        <f>'Func Future Subs 2015'!B312</f>
        <v>1515</v>
      </c>
      <c r="C312" s="754">
        <f>'Func Future Subs 2015'!C312</f>
        <v>138</v>
      </c>
      <c r="D312" s="754">
        <f>'Func Future Subs 2015'!D312</f>
        <v>25</v>
      </c>
      <c r="E312" s="754" t="str">
        <f>'Func Future Subs 2015'!E312</f>
        <v>397S</v>
      </c>
      <c r="F312" s="754">
        <f>'Func Future Subs 2015'!F312</f>
        <v>10972.383408553622</v>
      </c>
      <c r="G312" s="754" t="str">
        <f>'Func Future Subs 2015'!G312</f>
        <v>AltaLink</v>
      </c>
      <c r="H312" s="754">
        <f>'Func Future Subs 2015'!H312</f>
        <v>2016</v>
      </c>
      <c r="I312" s="306">
        <f>+IF($H312=I$2,VLOOKUP($G312,Depreciation!$A$14:$L$18,7,FALSE)/2,IF($H312&lt;I$2,VLOOKUP($G312,Depreciation!$A$14:$L$18,7,FALSE),0))</f>
        <v>0</v>
      </c>
      <c r="J312" s="306">
        <f>+IF($H312=J$2,VLOOKUP($G312,Depreciation!$A$14:$L$18,8,FALSE)/2,IF($H312&lt;J$2,VLOOKUP($G312,Depreciation!$A$14:$L$18,8,FALSE),0))</f>
        <v>1.671703928371859E-2</v>
      </c>
      <c r="K312" s="306">
        <f>+IF($H312=K$2,VLOOKUP($G312,Depreciation!$A$14:$L$18,9,FALSE)/2,IF($H312&lt;K$2,VLOOKUP($G312,Depreciation!$A$14:$L$18,9,FALSE),0))</f>
        <v>3.343407856743718E-2</v>
      </c>
      <c r="L312" s="306">
        <f>+IF($H312=L$2,VLOOKUP($G312,Depreciation!$A$14:$L$18,10,FALSE)/2,IF($H312&lt;L$2,VLOOKUP($G312,Depreciation!$A$14:$L$18,10,FALSE),0))</f>
        <v>3.343407856743718E-2</v>
      </c>
      <c r="M312" s="306">
        <f>+IF($H312=M$2,VLOOKUP($G312,Depreciation!$A$14:$L$18,11,FALSE)/2,IF($H312&lt;M$2,VLOOKUP($G312,Depreciation!$A$14:$L$18,11,FALSE),0))</f>
        <v>3.343407856743718E-2</v>
      </c>
      <c r="N312" s="306">
        <f>+IF($H312=N$2,VLOOKUP($G312,Depreciation!$A$14:$L$18,12,FALSE)/2,IF($H312&lt;N$2,VLOOKUP($G312,Depreciation!$A$14:$L$18,12,FALSE),0))</f>
        <v>3.343407856743718E-2</v>
      </c>
      <c r="O312" s="307">
        <f t="shared" si="33"/>
        <v>9416.8446107246054</v>
      </c>
      <c r="P312" s="732">
        <f>'Func Future Subs 2015'!P312</f>
        <v>0</v>
      </c>
      <c r="Q312" s="732">
        <f>'Func Future Subs 2015'!Q312</f>
        <v>1</v>
      </c>
      <c r="R312" s="732">
        <f>'Func Future Subs 2015'!R312</f>
        <v>0</v>
      </c>
      <c r="S312" s="735">
        <f t="shared" si="34"/>
        <v>0</v>
      </c>
      <c r="T312" s="735">
        <f t="shared" si="35"/>
        <v>9416.8446107246054</v>
      </c>
      <c r="U312" s="735">
        <f t="shared" si="36"/>
        <v>0</v>
      </c>
      <c r="V312" s="736">
        <f t="shared" si="37"/>
        <v>0</v>
      </c>
      <c r="W312" s="735">
        <f t="shared" si="38"/>
        <v>0</v>
      </c>
      <c r="X312" s="737">
        <f t="shared" si="39"/>
        <v>0</v>
      </c>
      <c r="Y312" s="738">
        <f t="shared" si="40"/>
        <v>9416.8446107246054</v>
      </c>
    </row>
    <row r="313" spans="1:25">
      <c r="A313" s="754" t="str">
        <f>'Func Future Subs 2015'!A313</f>
        <v>Modify P&amp;C at Bickerdike 39S</v>
      </c>
      <c r="B313" s="754">
        <f>'Func Future Subs 2015'!B313</f>
        <v>1515</v>
      </c>
      <c r="C313" s="754">
        <f>'Func Future Subs 2015'!C313</f>
        <v>240</v>
      </c>
      <c r="D313" s="754">
        <f>'Func Future Subs 2015'!D313</f>
        <v>138</v>
      </c>
      <c r="E313" s="754" t="str">
        <f>'Func Future Subs 2015'!E313</f>
        <v>39S</v>
      </c>
      <c r="F313" s="754">
        <f>'Func Future Subs 2015'!F313</f>
        <v>10972.383408553622</v>
      </c>
      <c r="G313" s="754" t="str">
        <f>'Func Future Subs 2015'!G313</f>
        <v>AltaLink</v>
      </c>
      <c r="H313" s="754">
        <f>'Func Future Subs 2015'!H313</f>
        <v>2016</v>
      </c>
      <c r="I313" s="306">
        <f>+IF($H313=I$2,VLOOKUP($G313,Depreciation!$A$14:$L$18,7,FALSE)/2,IF($H313&lt;I$2,VLOOKUP($G313,Depreciation!$A$14:$L$18,7,FALSE),0))</f>
        <v>0</v>
      </c>
      <c r="J313" s="306">
        <f>+IF($H313=J$2,VLOOKUP($G313,Depreciation!$A$14:$L$18,8,FALSE)/2,IF($H313&lt;J$2,VLOOKUP($G313,Depreciation!$A$14:$L$18,8,FALSE),0))</f>
        <v>1.671703928371859E-2</v>
      </c>
      <c r="K313" s="306">
        <f>+IF($H313=K$2,VLOOKUP($G313,Depreciation!$A$14:$L$18,9,FALSE)/2,IF($H313&lt;K$2,VLOOKUP($G313,Depreciation!$A$14:$L$18,9,FALSE),0))</f>
        <v>3.343407856743718E-2</v>
      </c>
      <c r="L313" s="306">
        <f>+IF($H313=L$2,VLOOKUP($G313,Depreciation!$A$14:$L$18,10,FALSE)/2,IF($H313&lt;L$2,VLOOKUP($G313,Depreciation!$A$14:$L$18,10,FALSE),0))</f>
        <v>3.343407856743718E-2</v>
      </c>
      <c r="M313" s="306">
        <f>+IF($H313=M$2,VLOOKUP($G313,Depreciation!$A$14:$L$18,11,FALSE)/2,IF($H313&lt;M$2,VLOOKUP($G313,Depreciation!$A$14:$L$18,11,FALSE),0))</f>
        <v>3.343407856743718E-2</v>
      </c>
      <c r="N313" s="306">
        <f>+IF($H313=N$2,VLOOKUP($G313,Depreciation!$A$14:$L$18,12,FALSE)/2,IF($H313&lt;N$2,VLOOKUP($G313,Depreciation!$A$14:$L$18,12,FALSE),0))</f>
        <v>3.343407856743718E-2</v>
      </c>
      <c r="O313" s="307">
        <f t="shared" si="33"/>
        <v>9416.8446107246054</v>
      </c>
      <c r="P313" s="732">
        <f>'Func Future Subs 2015'!P313</f>
        <v>0</v>
      </c>
      <c r="Q313" s="732">
        <f>'Func Future Subs 2015'!Q313</f>
        <v>0</v>
      </c>
      <c r="R313" s="732">
        <f>'Func Future Subs 2015'!R313</f>
        <v>1</v>
      </c>
      <c r="S313" s="735">
        <f t="shared" si="34"/>
        <v>0</v>
      </c>
      <c r="T313" s="735">
        <f t="shared" si="35"/>
        <v>0</v>
      </c>
      <c r="U313" s="735">
        <f t="shared" si="36"/>
        <v>9416.8446107246054</v>
      </c>
      <c r="V313" s="736">
        <f t="shared" si="37"/>
        <v>0</v>
      </c>
      <c r="W313" s="735">
        <f t="shared" si="38"/>
        <v>0</v>
      </c>
      <c r="X313" s="737">
        <f t="shared" si="39"/>
        <v>9416.8446107246054</v>
      </c>
      <c r="Y313" s="738">
        <f t="shared" si="40"/>
        <v>0</v>
      </c>
    </row>
    <row r="314" spans="1:25">
      <c r="A314" s="754" t="str">
        <f>'Func Future Subs 2015'!A314</f>
        <v>Modify P&amp;C at Marlboro 348S</v>
      </c>
      <c r="B314" s="754">
        <f>'Func Future Subs 2015'!B314</f>
        <v>1515</v>
      </c>
      <c r="C314" s="754">
        <f>'Func Future Subs 2015'!C314</f>
        <v>138</v>
      </c>
      <c r="D314" s="754">
        <f>'Func Future Subs 2015'!D314</f>
        <v>25</v>
      </c>
      <c r="E314" s="754" t="str">
        <f>'Func Future Subs 2015'!E314</f>
        <v>348S</v>
      </c>
      <c r="F314" s="754">
        <f>'Func Future Subs 2015'!F314</f>
        <v>6269.9333763163559</v>
      </c>
      <c r="G314" s="754" t="str">
        <f>'Func Future Subs 2015'!G314</f>
        <v>AltaLink</v>
      </c>
      <c r="H314" s="754">
        <f>'Func Future Subs 2015'!H314</f>
        <v>2016</v>
      </c>
      <c r="I314" s="306">
        <f>+IF($H314=I$2,VLOOKUP($G314,Depreciation!$A$14:$L$18,7,FALSE)/2,IF($H314&lt;I$2,VLOOKUP($G314,Depreciation!$A$14:$L$18,7,FALSE),0))</f>
        <v>0</v>
      </c>
      <c r="J314" s="306">
        <f>+IF($H314=J$2,VLOOKUP($G314,Depreciation!$A$14:$L$18,8,FALSE)/2,IF($H314&lt;J$2,VLOOKUP($G314,Depreciation!$A$14:$L$18,8,FALSE),0))</f>
        <v>1.671703928371859E-2</v>
      </c>
      <c r="K314" s="306">
        <f>+IF($H314=K$2,VLOOKUP($G314,Depreciation!$A$14:$L$18,9,FALSE)/2,IF($H314&lt;K$2,VLOOKUP($G314,Depreciation!$A$14:$L$18,9,FALSE),0))</f>
        <v>3.343407856743718E-2</v>
      </c>
      <c r="L314" s="306">
        <f>+IF($H314=L$2,VLOOKUP($G314,Depreciation!$A$14:$L$18,10,FALSE)/2,IF($H314&lt;L$2,VLOOKUP($G314,Depreciation!$A$14:$L$18,10,FALSE),0))</f>
        <v>3.343407856743718E-2</v>
      </c>
      <c r="M314" s="306">
        <f>+IF($H314=M$2,VLOOKUP($G314,Depreciation!$A$14:$L$18,11,FALSE)/2,IF($H314&lt;M$2,VLOOKUP($G314,Depreciation!$A$14:$L$18,11,FALSE),0))</f>
        <v>3.343407856743718E-2</v>
      </c>
      <c r="N314" s="306">
        <f>+IF($H314=N$2,VLOOKUP($G314,Depreciation!$A$14:$L$18,12,FALSE)/2,IF($H314&lt;N$2,VLOOKUP($G314,Depreciation!$A$14:$L$18,12,FALSE),0))</f>
        <v>3.343407856743718E-2</v>
      </c>
      <c r="O314" s="307">
        <f t="shared" si="33"/>
        <v>5381.0540632712036</v>
      </c>
      <c r="P314" s="732">
        <f>'Func Future Subs 2015'!P314</f>
        <v>0</v>
      </c>
      <c r="Q314" s="732">
        <f>'Func Future Subs 2015'!Q314</f>
        <v>1</v>
      </c>
      <c r="R314" s="732">
        <f>'Func Future Subs 2015'!R314</f>
        <v>0</v>
      </c>
      <c r="S314" s="735">
        <f t="shared" si="34"/>
        <v>0</v>
      </c>
      <c r="T314" s="735">
        <f t="shared" si="35"/>
        <v>5381.0540632712036</v>
      </c>
      <c r="U314" s="735">
        <f t="shared" si="36"/>
        <v>0</v>
      </c>
      <c r="V314" s="736">
        <f t="shared" si="37"/>
        <v>0</v>
      </c>
      <c r="W314" s="735">
        <f t="shared" si="38"/>
        <v>0</v>
      </c>
      <c r="X314" s="737">
        <f t="shared" si="39"/>
        <v>0</v>
      </c>
      <c r="Y314" s="738">
        <f t="shared" si="40"/>
        <v>5381.0540632712036</v>
      </c>
    </row>
    <row r="315" spans="1:25">
      <c r="A315" s="754" t="str">
        <f>'Func Future Subs 2015'!A315</f>
        <v>New Deerhill 1012S substation</v>
      </c>
      <c r="B315" s="754">
        <f>'Func Future Subs 2015'!B315</f>
        <v>1515</v>
      </c>
      <c r="C315" s="754">
        <f>'Func Future Subs 2015'!C315</f>
        <v>138</v>
      </c>
      <c r="D315" s="754">
        <f>'Func Future Subs 2015'!D315</f>
        <v>25</v>
      </c>
      <c r="E315" s="754" t="str">
        <f>'Func Future Subs 2015'!E315</f>
        <v>1012S</v>
      </c>
      <c r="F315" s="754">
        <f>'Func Future Subs 2015'!F315</f>
        <v>13162157.64023211</v>
      </c>
      <c r="G315" s="754" t="str">
        <f>'Func Future Subs 2015'!G315</f>
        <v>AltaLink</v>
      </c>
      <c r="H315" s="754">
        <f>'Func Future Subs 2015'!H315</f>
        <v>2016</v>
      </c>
      <c r="I315" s="306">
        <f>+IF($H315=I$2,VLOOKUP($G315,Depreciation!$A$14:$L$18,7,FALSE)/2,IF($H315&lt;I$2,VLOOKUP($G315,Depreciation!$A$14:$L$18,7,FALSE),0))</f>
        <v>0</v>
      </c>
      <c r="J315" s="306">
        <f>+IF($H315=J$2,VLOOKUP($G315,Depreciation!$A$14:$L$18,8,FALSE)/2,IF($H315&lt;J$2,VLOOKUP($G315,Depreciation!$A$14:$L$18,8,FALSE),0))</f>
        <v>1.671703928371859E-2</v>
      </c>
      <c r="K315" s="306">
        <f>+IF($H315=K$2,VLOOKUP($G315,Depreciation!$A$14:$L$18,9,FALSE)/2,IF($H315&lt;K$2,VLOOKUP($G315,Depreciation!$A$14:$L$18,9,FALSE),0))</f>
        <v>3.343407856743718E-2</v>
      </c>
      <c r="L315" s="306">
        <f>+IF($H315=L$2,VLOOKUP($G315,Depreciation!$A$14:$L$18,10,FALSE)/2,IF($H315&lt;L$2,VLOOKUP($G315,Depreciation!$A$14:$L$18,10,FALSE),0))</f>
        <v>3.343407856743718E-2</v>
      </c>
      <c r="M315" s="306">
        <f>+IF($H315=M$2,VLOOKUP($G315,Depreciation!$A$14:$L$18,11,FALSE)/2,IF($H315&lt;M$2,VLOOKUP($G315,Depreciation!$A$14:$L$18,11,FALSE),0))</f>
        <v>3.343407856743718E-2</v>
      </c>
      <c r="N315" s="306">
        <f>+IF($H315=N$2,VLOOKUP($G315,Depreciation!$A$14:$L$18,12,FALSE)/2,IF($H315&lt;N$2,VLOOKUP($G315,Depreciation!$A$14:$L$18,12,FALSE),0))</f>
        <v>3.343407856743718E-2</v>
      </c>
      <c r="O315" s="307">
        <f t="shared" si="33"/>
        <v>11296177.742322076</v>
      </c>
      <c r="P315" s="732">
        <f>'Func Future Subs 2015'!P315</f>
        <v>0</v>
      </c>
      <c r="Q315" s="732">
        <f>'Func Future Subs 2015'!Q315</f>
        <v>1</v>
      </c>
      <c r="R315" s="732">
        <f>'Func Future Subs 2015'!R315</f>
        <v>0</v>
      </c>
      <c r="S315" s="735">
        <f t="shared" si="34"/>
        <v>0</v>
      </c>
      <c r="T315" s="735">
        <f t="shared" si="35"/>
        <v>11296177.742322076</v>
      </c>
      <c r="U315" s="735">
        <f t="shared" si="36"/>
        <v>0</v>
      </c>
      <c r="V315" s="736">
        <f t="shared" si="37"/>
        <v>0</v>
      </c>
      <c r="W315" s="735">
        <f t="shared" si="38"/>
        <v>0</v>
      </c>
      <c r="X315" s="737">
        <f t="shared" si="39"/>
        <v>0</v>
      </c>
      <c r="Y315" s="738">
        <f t="shared" si="40"/>
        <v>11296177.742322076</v>
      </c>
    </row>
    <row r="316" spans="1:25">
      <c r="A316" s="754" t="str">
        <f>'Func Future Subs 2015'!A316</f>
        <v>Halsbury 306S</v>
      </c>
      <c r="B316" s="754">
        <f>'Func Future Subs 2015'!B316</f>
        <v>1533</v>
      </c>
      <c r="C316" s="754">
        <f>'Func Future Subs 2015'!C316</f>
        <v>34</v>
      </c>
      <c r="D316" s="754">
        <f>'Func Future Subs 2015'!D316</f>
        <v>240</v>
      </c>
      <c r="E316" s="754" t="str">
        <f>'Func Future Subs 2015'!E316</f>
        <v>306S</v>
      </c>
      <c r="F316" s="754">
        <f>'Func Future Subs 2015'!F316</f>
        <v>121881.13948919451</v>
      </c>
      <c r="G316" s="754" t="str">
        <f>'Func Future Subs 2015'!G316</f>
        <v>AltaLink</v>
      </c>
      <c r="H316" s="754">
        <f>'Func Future Subs 2015'!H316</f>
        <v>2017</v>
      </c>
      <c r="I316" s="306">
        <f>+IF($H316=I$2,VLOOKUP($G316,Depreciation!$A$14:$L$18,7,FALSE)/2,IF($H316&lt;I$2,VLOOKUP($G316,Depreciation!$A$14:$L$18,7,FALSE),0))</f>
        <v>0</v>
      </c>
      <c r="J316" s="306">
        <f>+IF($H316=J$2,VLOOKUP($G316,Depreciation!$A$14:$L$18,8,FALSE)/2,IF($H316&lt;J$2,VLOOKUP($G316,Depreciation!$A$14:$L$18,8,FALSE),0))</f>
        <v>0</v>
      </c>
      <c r="K316" s="306">
        <f>+IF($H316=K$2,VLOOKUP($G316,Depreciation!$A$14:$L$18,9,FALSE)/2,IF($H316&lt;K$2,VLOOKUP($G316,Depreciation!$A$14:$L$18,9,FALSE),0))</f>
        <v>1.671703928371859E-2</v>
      </c>
      <c r="L316" s="306">
        <f>+IF($H316=L$2,VLOOKUP($G316,Depreciation!$A$14:$L$18,10,FALSE)/2,IF($H316&lt;L$2,VLOOKUP($G316,Depreciation!$A$14:$L$18,10,FALSE),0))</f>
        <v>3.343407856743718E-2</v>
      </c>
      <c r="M316" s="306">
        <f>+IF($H316=M$2,VLOOKUP($G316,Depreciation!$A$14:$L$18,11,FALSE)/2,IF($H316&lt;M$2,VLOOKUP($G316,Depreciation!$A$14:$L$18,11,FALSE),0))</f>
        <v>3.343407856743718E-2</v>
      </c>
      <c r="N316" s="306">
        <f>+IF($H316=N$2,VLOOKUP($G316,Depreciation!$A$14:$L$18,12,FALSE)/2,IF($H316&lt;N$2,VLOOKUP($G316,Depreciation!$A$14:$L$18,12,FALSE),0))</f>
        <v>3.343407856743718E-2</v>
      </c>
      <c r="O316" s="307">
        <f t="shared" si="33"/>
        <v>108220.48008318125</v>
      </c>
      <c r="P316" s="732">
        <f>'Func Future Subs 2015'!P316</f>
        <v>0</v>
      </c>
      <c r="Q316" s="732">
        <f>'Func Future Subs 2015'!Q316</f>
        <v>0</v>
      </c>
      <c r="R316" s="732">
        <f>'Func Future Subs 2015'!R316</f>
        <v>1</v>
      </c>
      <c r="S316" s="735">
        <f t="shared" si="34"/>
        <v>0</v>
      </c>
      <c r="T316" s="735">
        <f t="shared" si="35"/>
        <v>0</v>
      </c>
      <c r="U316" s="735">
        <f t="shared" si="36"/>
        <v>108220.48008318125</v>
      </c>
      <c r="V316" s="736">
        <f t="shared" si="37"/>
        <v>0</v>
      </c>
      <c r="W316" s="735">
        <f t="shared" si="38"/>
        <v>108220.48008318125</v>
      </c>
      <c r="X316" s="737">
        <f t="shared" si="39"/>
        <v>0</v>
      </c>
      <c r="Y316" s="738">
        <f t="shared" si="40"/>
        <v>0</v>
      </c>
    </row>
    <row r="317" spans="1:25">
      <c r="A317" s="754" t="str">
        <f>'Func Future Subs 2015'!A317</f>
        <v>Jenner 275S</v>
      </c>
      <c r="B317" s="754">
        <f>'Func Future Subs 2015'!B317</f>
        <v>1533</v>
      </c>
      <c r="C317" s="754">
        <f>'Func Future Subs 2015'!C317</f>
        <v>240</v>
      </c>
      <c r="D317" s="754">
        <f>'Func Future Subs 2015'!D317</f>
        <v>25</v>
      </c>
      <c r="E317" s="754" t="str">
        <f>'Func Future Subs 2015'!E317</f>
        <v>275S</v>
      </c>
      <c r="F317" s="754">
        <f>'Func Future Subs 2015'!F317</f>
        <v>4711112.3117223317</v>
      </c>
      <c r="G317" s="754" t="str">
        <f>'Func Future Subs 2015'!G317</f>
        <v>AltaLink</v>
      </c>
      <c r="H317" s="754">
        <f>'Func Future Subs 2015'!H317</f>
        <v>2017</v>
      </c>
      <c r="I317" s="306">
        <f>+IF($H317=I$2,VLOOKUP($G317,Depreciation!$A$14:$L$18,7,FALSE)/2,IF($H317&lt;I$2,VLOOKUP($G317,Depreciation!$A$14:$L$18,7,FALSE),0))</f>
        <v>0</v>
      </c>
      <c r="J317" s="306">
        <f>+IF($H317=J$2,VLOOKUP($G317,Depreciation!$A$14:$L$18,8,FALSE)/2,IF($H317&lt;J$2,VLOOKUP($G317,Depreciation!$A$14:$L$18,8,FALSE),0))</f>
        <v>0</v>
      </c>
      <c r="K317" s="306">
        <f>+IF($H317=K$2,VLOOKUP($G317,Depreciation!$A$14:$L$18,9,FALSE)/2,IF($H317&lt;K$2,VLOOKUP($G317,Depreciation!$A$14:$L$18,9,FALSE),0))</f>
        <v>1.671703928371859E-2</v>
      </c>
      <c r="L317" s="306">
        <f>+IF($H317=L$2,VLOOKUP($G317,Depreciation!$A$14:$L$18,10,FALSE)/2,IF($H317&lt;L$2,VLOOKUP($G317,Depreciation!$A$14:$L$18,10,FALSE),0))</f>
        <v>3.343407856743718E-2</v>
      </c>
      <c r="M317" s="306">
        <f>+IF($H317=M$2,VLOOKUP($G317,Depreciation!$A$14:$L$18,11,FALSE)/2,IF($H317&lt;M$2,VLOOKUP($G317,Depreciation!$A$14:$L$18,11,FALSE),0))</f>
        <v>3.343407856743718E-2</v>
      </c>
      <c r="N317" s="306">
        <f>+IF($H317=N$2,VLOOKUP($G317,Depreciation!$A$14:$L$18,12,FALSE)/2,IF($H317&lt;N$2,VLOOKUP($G317,Depreciation!$A$14:$L$18,12,FALSE),0))</f>
        <v>3.343407856743718E-2</v>
      </c>
      <c r="O317" s="307">
        <f t="shared" si="33"/>
        <v>4183082.290148566</v>
      </c>
      <c r="P317" s="732">
        <f>'Func Future Subs 2015'!P317</f>
        <v>0</v>
      </c>
      <c r="Q317" s="732">
        <f>'Func Future Subs 2015'!Q317</f>
        <v>1</v>
      </c>
      <c r="R317" s="732">
        <f>'Func Future Subs 2015'!R317</f>
        <v>0</v>
      </c>
      <c r="S317" s="735">
        <f t="shared" si="34"/>
        <v>0</v>
      </c>
      <c r="T317" s="735">
        <f t="shared" si="35"/>
        <v>4183082.290148566</v>
      </c>
      <c r="U317" s="735">
        <f t="shared" si="36"/>
        <v>0</v>
      </c>
      <c r="V317" s="736">
        <f t="shared" si="37"/>
        <v>0</v>
      </c>
      <c r="W317" s="735">
        <f t="shared" si="38"/>
        <v>0</v>
      </c>
      <c r="X317" s="737">
        <f t="shared" si="39"/>
        <v>0</v>
      </c>
      <c r="Y317" s="738">
        <f t="shared" si="40"/>
        <v>4183082.290148566</v>
      </c>
    </row>
    <row r="318" spans="1:25">
      <c r="A318" s="754" t="str">
        <f>'Func Future Subs 2015'!A318</f>
        <v>Upgrade Bauer 918S substation</v>
      </c>
      <c r="B318" s="754">
        <f>'Func Future Subs 2015'!B318</f>
        <v>1554</v>
      </c>
      <c r="C318" s="754">
        <f>'Func Future Subs 2015'!C318</f>
        <v>144</v>
      </c>
      <c r="D318" s="754">
        <f>'Func Future Subs 2015'!D318</f>
        <v>25</v>
      </c>
      <c r="E318" s="754" t="str">
        <f>'Func Future Subs 2015'!E318</f>
        <v>918S</v>
      </c>
      <c r="F318" s="754">
        <f>'Func Future Subs 2015'!F318</f>
        <v>5879941.0000000009</v>
      </c>
      <c r="G318" s="754" t="str">
        <f>'Func Future Subs 2015'!G318</f>
        <v>ATCO</v>
      </c>
      <c r="H318" s="754">
        <f>'Func Future Subs 2015'!H318</f>
        <v>2016</v>
      </c>
      <c r="I318" s="306">
        <f>+IF($H318=I$2,VLOOKUP($G318,Depreciation!$A$14:$L$18,7,FALSE)/2,IF($H318&lt;I$2,VLOOKUP($G318,Depreciation!$A$14:$L$18,7,FALSE),0))</f>
        <v>0</v>
      </c>
      <c r="J318" s="306">
        <f>+IF($H318=J$2,VLOOKUP($G318,Depreciation!$A$14:$L$18,8,FALSE)/2,IF($H318&lt;J$2,VLOOKUP($G318,Depreciation!$A$14:$L$18,8,FALSE),0))</f>
        <v>1.231622525054236E-2</v>
      </c>
      <c r="K318" s="306">
        <f>+IF($H318=K$2,VLOOKUP($G318,Depreciation!$A$14:$L$18,9,FALSE)/2,IF($H318&lt;K$2,VLOOKUP($G318,Depreciation!$A$14:$L$18,9,FALSE),0))</f>
        <v>2.4351536427798831E-2</v>
      </c>
      <c r="L318" s="306">
        <f>+IF($H318=L$2,VLOOKUP($G318,Depreciation!$A$14:$L$18,10,FALSE)/2,IF($H318&lt;L$2,VLOOKUP($G318,Depreciation!$A$14:$L$18,10,FALSE),0))</f>
        <v>2.4351536427798831E-2</v>
      </c>
      <c r="M318" s="306">
        <f>+IF($H318=M$2,VLOOKUP($G318,Depreciation!$A$14:$L$18,11,FALSE)/2,IF($H318&lt;M$2,VLOOKUP($G318,Depreciation!$A$14:$L$18,11,FALSE),0))</f>
        <v>2.4351536427798831E-2</v>
      </c>
      <c r="N318" s="306">
        <f>+IF($H318=N$2,VLOOKUP($G318,Depreciation!$A$14:$L$18,12,FALSE)/2,IF($H318&lt;N$2,VLOOKUP($G318,Depreciation!$A$14:$L$18,12,FALSE),0))</f>
        <v>2.4351536427798831E-2</v>
      </c>
      <c r="O318" s="307">
        <f t="shared" si="33"/>
        <v>5262163.61841127</v>
      </c>
      <c r="P318" s="732">
        <f>'Func Future Subs 2015'!P318</f>
        <v>0</v>
      </c>
      <c r="Q318" s="732">
        <f>'Func Future Subs 2015'!Q318</f>
        <v>1</v>
      </c>
      <c r="R318" s="732">
        <f>'Func Future Subs 2015'!R318</f>
        <v>0</v>
      </c>
      <c r="S318" s="735">
        <f t="shared" si="34"/>
        <v>0</v>
      </c>
      <c r="T318" s="735">
        <f t="shared" si="35"/>
        <v>5262163.61841127</v>
      </c>
      <c r="U318" s="735">
        <f t="shared" si="36"/>
        <v>0</v>
      </c>
      <c r="V318" s="736">
        <f t="shared" si="37"/>
        <v>0</v>
      </c>
      <c r="W318" s="735">
        <f t="shared" si="38"/>
        <v>0</v>
      </c>
      <c r="X318" s="737">
        <f t="shared" si="39"/>
        <v>0</v>
      </c>
      <c r="Y318" s="738">
        <f t="shared" si="40"/>
        <v>5262163.61841127</v>
      </c>
    </row>
    <row r="319" spans="1:25">
      <c r="A319" s="754" t="str">
        <f>'Func Future Subs 2015'!A319</f>
        <v>Hardisty 377S</v>
      </c>
      <c r="B319" s="754">
        <f>'Func Future Subs 2015'!B319</f>
        <v>1558</v>
      </c>
      <c r="C319" s="754">
        <f>'Func Future Subs 2015'!C319</f>
        <v>138</v>
      </c>
      <c r="D319" s="754">
        <f>'Func Future Subs 2015'!D319</f>
        <v>25</v>
      </c>
      <c r="E319" s="754" t="str">
        <f>'Func Future Subs 2015'!E319</f>
        <v>377S</v>
      </c>
      <c r="F319" s="754">
        <f>'Func Future Subs 2015'!F319</f>
        <v>40190.931633014516</v>
      </c>
      <c r="G319" s="754" t="str">
        <f>'Func Future Subs 2015'!G319</f>
        <v>AltaLink</v>
      </c>
      <c r="H319" s="754">
        <f>'Func Future Subs 2015'!H319</f>
        <v>2018</v>
      </c>
      <c r="I319" s="306">
        <f>+IF($H319=I$2,VLOOKUP($G319,Depreciation!$A$14:$L$18,7,FALSE)/2,IF($H319&lt;I$2,VLOOKUP($G319,Depreciation!$A$14:$L$18,7,FALSE),0))</f>
        <v>0</v>
      </c>
      <c r="J319" s="306">
        <f>+IF($H319=J$2,VLOOKUP($G319,Depreciation!$A$14:$L$18,8,FALSE)/2,IF($H319&lt;J$2,VLOOKUP($G319,Depreciation!$A$14:$L$18,8,FALSE),0))</f>
        <v>0</v>
      </c>
      <c r="K319" s="306">
        <f>+IF($H319=K$2,VLOOKUP($G319,Depreciation!$A$14:$L$18,9,FALSE)/2,IF($H319&lt;K$2,VLOOKUP($G319,Depreciation!$A$14:$L$18,9,FALSE),0))</f>
        <v>0</v>
      </c>
      <c r="L319" s="306">
        <f>+IF($H319=L$2,VLOOKUP($G319,Depreciation!$A$14:$L$18,10,FALSE)/2,IF($H319&lt;L$2,VLOOKUP($G319,Depreciation!$A$14:$L$18,10,FALSE),0))</f>
        <v>1.671703928371859E-2</v>
      </c>
      <c r="M319" s="306">
        <f>+IF($H319=M$2,VLOOKUP($G319,Depreciation!$A$14:$L$18,11,FALSE)/2,IF($H319&lt;M$2,VLOOKUP($G319,Depreciation!$A$14:$L$18,11,FALSE),0))</f>
        <v>3.343407856743718E-2</v>
      </c>
      <c r="N319" s="306">
        <f>+IF($H319=N$2,VLOOKUP($G319,Depreciation!$A$14:$L$18,12,FALSE)/2,IF($H319&lt;N$2,VLOOKUP($G319,Depreciation!$A$14:$L$18,12,FALSE),0))</f>
        <v>3.343407856743718E-2</v>
      </c>
      <c r="O319" s="307">
        <f t="shared" si="33"/>
        <v>36920.667542779156</v>
      </c>
      <c r="P319" s="732">
        <f>'Func Future Subs 2015'!P319</f>
        <v>0</v>
      </c>
      <c r="Q319" s="732">
        <f>'Func Future Subs 2015'!Q319</f>
        <v>1</v>
      </c>
      <c r="R319" s="732">
        <f>'Func Future Subs 2015'!R319</f>
        <v>0</v>
      </c>
      <c r="S319" s="735">
        <f t="shared" si="34"/>
        <v>0</v>
      </c>
      <c r="T319" s="735">
        <f t="shared" si="35"/>
        <v>36920.667542779156</v>
      </c>
      <c r="U319" s="735">
        <f t="shared" si="36"/>
        <v>0</v>
      </c>
      <c r="V319" s="736">
        <f t="shared" si="37"/>
        <v>0</v>
      </c>
      <c r="W319" s="735">
        <f t="shared" si="38"/>
        <v>0</v>
      </c>
      <c r="X319" s="737">
        <f t="shared" si="39"/>
        <v>0</v>
      </c>
      <c r="Y319" s="738">
        <f t="shared" si="40"/>
        <v>36920.667542779156</v>
      </c>
    </row>
    <row r="320" spans="1:25">
      <c r="A320" s="754" t="str">
        <f>'Func Future Subs 2015'!A320</f>
        <v>Rosyth 296S</v>
      </c>
      <c r="B320" s="754">
        <f>'Func Future Subs 2015'!B320</f>
        <v>1558</v>
      </c>
      <c r="C320" s="754">
        <f>'Func Future Subs 2015'!C320</f>
        <v>138</v>
      </c>
      <c r="D320" s="754">
        <f>'Func Future Subs 2015'!D320</f>
        <v>25</v>
      </c>
      <c r="E320" s="754" t="str">
        <f>'Func Future Subs 2015'!E320</f>
        <v>296S</v>
      </c>
      <c r="F320" s="754">
        <f>'Func Future Subs 2015'!F320</f>
        <v>1504538.7885228479</v>
      </c>
      <c r="G320" s="754" t="str">
        <f>'Func Future Subs 2015'!G320</f>
        <v>AltaLink</v>
      </c>
      <c r="H320" s="754">
        <f>'Func Future Subs 2015'!H320</f>
        <v>2018</v>
      </c>
      <c r="I320" s="306">
        <f>+IF($H320=I$2,VLOOKUP($G320,Depreciation!$A$14:$L$18,7,FALSE)/2,IF($H320&lt;I$2,VLOOKUP($G320,Depreciation!$A$14:$L$18,7,FALSE),0))</f>
        <v>0</v>
      </c>
      <c r="J320" s="306">
        <f>+IF($H320=J$2,VLOOKUP($G320,Depreciation!$A$14:$L$18,8,FALSE)/2,IF($H320&lt;J$2,VLOOKUP($G320,Depreciation!$A$14:$L$18,8,FALSE),0))</f>
        <v>0</v>
      </c>
      <c r="K320" s="306">
        <f>+IF($H320=K$2,VLOOKUP($G320,Depreciation!$A$14:$L$18,9,FALSE)/2,IF($H320&lt;K$2,VLOOKUP($G320,Depreciation!$A$14:$L$18,9,FALSE),0))</f>
        <v>0</v>
      </c>
      <c r="L320" s="306">
        <f>+IF($H320=L$2,VLOOKUP($G320,Depreciation!$A$14:$L$18,10,FALSE)/2,IF($H320&lt;L$2,VLOOKUP($G320,Depreciation!$A$14:$L$18,10,FALSE),0))</f>
        <v>1.671703928371859E-2</v>
      </c>
      <c r="M320" s="306">
        <f>+IF($H320=M$2,VLOOKUP($G320,Depreciation!$A$14:$L$18,11,FALSE)/2,IF($H320&lt;M$2,VLOOKUP($G320,Depreciation!$A$14:$L$18,11,FALSE),0))</f>
        <v>3.343407856743718E-2</v>
      </c>
      <c r="N320" s="306">
        <f>+IF($H320=N$2,VLOOKUP($G320,Depreciation!$A$14:$L$18,12,FALSE)/2,IF($H320&lt;N$2,VLOOKUP($G320,Depreciation!$A$14:$L$18,12,FALSE),0))</f>
        <v>3.343407856743718E-2</v>
      </c>
      <c r="O320" s="307">
        <f t="shared" si="33"/>
        <v>1382117.1632318634</v>
      </c>
      <c r="P320" s="732">
        <f>'Func Future Subs 2015'!P320</f>
        <v>0</v>
      </c>
      <c r="Q320" s="732">
        <f>'Func Future Subs 2015'!Q320</f>
        <v>0</v>
      </c>
      <c r="R320" s="732">
        <f>'Func Future Subs 2015'!R320</f>
        <v>1</v>
      </c>
      <c r="S320" s="735">
        <f t="shared" si="34"/>
        <v>0</v>
      </c>
      <c r="T320" s="735">
        <f t="shared" si="35"/>
        <v>0</v>
      </c>
      <c r="U320" s="735">
        <f t="shared" si="36"/>
        <v>1382117.1632318634</v>
      </c>
      <c r="V320" s="736">
        <f t="shared" si="37"/>
        <v>0</v>
      </c>
      <c r="W320" s="735">
        <f t="shared" si="38"/>
        <v>0</v>
      </c>
      <c r="X320" s="737">
        <f t="shared" si="39"/>
        <v>0</v>
      </c>
      <c r="Y320" s="738">
        <f t="shared" si="40"/>
        <v>1382117.1632318634</v>
      </c>
    </row>
    <row r="321" spans="1:25">
      <c r="A321" s="754" t="str">
        <f>'Func Future Subs 2015'!A321</f>
        <v>Blackfalds 198S</v>
      </c>
      <c r="B321" s="754">
        <f>'Func Future Subs 2015'!B321</f>
        <v>1568</v>
      </c>
      <c r="C321" s="754">
        <f>'Func Future Subs 2015'!C321</f>
        <v>138</v>
      </c>
      <c r="D321" s="754">
        <f>'Func Future Subs 2015'!D321</f>
        <v>25</v>
      </c>
      <c r="E321" s="754" t="str">
        <f>'Func Future Subs 2015'!E321</f>
        <v>198S</v>
      </c>
      <c r="F321" s="754">
        <f>'Func Future Subs 2015'!F321</f>
        <v>6213000</v>
      </c>
      <c r="G321" s="754" t="str">
        <f>'Func Future Subs 2015'!G321</f>
        <v>AltaLink</v>
      </c>
      <c r="H321" s="754">
        <f>'Func Future Subs 2015'!H321</f>
        <v>2016</v>
      </c>
      <c r="I321" s="306">
        <f>+IF($H321=I$2,VLOOKUP($G321,Depreciation!$A$14:$L$18,7,FALSE)/2,IF($H321&lt;I$2,VLOOKUP($G321,Depreciation!$A$14:$L$18,7,FALSE),0))</f>
        <v>0</v>
      </c>
      <c r="J321" s="306">
        <f>+IF($H321=J$2,VLOOKUP($G321,Depreciation!$A$14:$L$18,8,FALSE)/2,IF($H321&lt;J$2,VLOOKUP($G321,Depreciation!$A$14:$L$18,8,FALSE),0))</f>
        <v>1.671703928371859E-2</v>
      </c>
      <c r="K321" s="306">
        <f>+IF($H321=K$2,VLOOKUP($G321,Depreciation!$A$14:$L$18,9,FALSE)/2,IF($H321&lt;K$2,VLOOKUP($G321,Depreciation!$A$14:$L$18,9,FALSE),0))</f>
        <v>3.343407856743718E-2</v>
      </c>
      <c r="L321" s="306">
        <f>+IF($H321=L$2,VLOOKUP($G321,Depreciation!$A$14:$L$18,10,FALSE)/2,IF($H321&lt;L$2,VLOOKUP($G321,Depreciation!$A$14:$L$18,10,FALSE),0))</f>
        <v>3.343407856743718E-2</v>
      </c>
      <c r="M321" s="306">
        <f>+IF($H321=M$2,VLOOKUP($G321,Depreciation!$A$14:$L$18,11,FALSE)/2,IF($H321&lt;M$2,VLOOKUP($G321,Depreciation!$A$14:$L$18,11,FALSE),0))</f>
        <v>3.343407856743718E-2</v>
      </c>
      <c r="N321" s="306">
        <f>+IF($H321=N$2,VLOOKUP($G321,Depreciation!$A$14:$L$18,12,FALSE)/2,IF($H321&lt;N$2,VLOOKUP($G321,Depreciation!$A$14:$L$18,12,FALSE),0))</f>
        <v>3.343407856743718E-2</v>
      </c>
      <c r="O321" s="307">
        <f t="shared" si="33"/>
        <v>5332192.0487049706</v>
      </c>
      <c r="P321" s="732">
        <f>'Func Future Subs 2015'!P321</f>
        <v>0</v>
      </c>
      <c r="Q321" s="732">
        <f>'Func Future Subs 2015'!Q321</f>
        <v>1</v>
      </c>
      <c r="R321" s="732">
        <f>'Func Future Subs 2015'!R321</f>
        <v>0</v>
      </c>
      <c r="S321" s="735">
        <f t="shared" si="34"/>
        <v>0</v>
      </c>
      <c r="T321" s="735">
        <f t="shared" si="35"/>
        <v>5332192.0487049706</v>
      </c>
      <c r="U321" s="735">
        <f t="shared" si="36"/>
        <v>0</v>
      </c>
      <c r="V321" s="736">
        <f t="shared" si="37"/>
        <v>0</v>
      </c>
      <c r="W321" s="735">
        <f t="shared" si="38"/>
        <v>0</v>
      </c>
      <c r="X321" s="737">
        <f t="shared" si="39"/>
        <v>0</v>
      </c>
      <c r="Y321" s="738">
        <f t="shared" si="40"/>
        <v>5332192.0487049706</v>
      </c>
    </row>
    <row r="322" spans="1:25">
      <c r="A322" s="754" t="str">
        <f>'Func Future Subs 2015'!A322</f>
        <v>Colinton 159S</v>
      </c>
      <c r="B322" s="754">
        <f>'Func Future Subs 2015'!B322</f>
        <v>1569</v>
      </c>
      <c r="C322" s="754">
        <f>'Func Future Subs 2015'!C322</f>
        <v>138</v>
      </c>
      <c r="D322" s="754">
        <f>'Func Future Subs 2015'!D322</f>
        <v>25</v>
      </c>
      <c r="E322" s="754" t="str">
        <f>'Func Future Subs 2015'!E322</f>
        <v>159S</v>
      </c>
      <c r="F322" s="754">
        <f>'Func Future Subs 2015'!F322</f>
        <v>5247000.0000000019</v>
      </c>
      <c r="G322" s="754" t="str">
        <f>'Func Future Subs 2015'!G322</f>
        <v>AltaLink</v>
      </c>
      <c r="H322" s="754">
        <f>'Func Future Subs 2015'!H322</f>
        <v>2016</v>
      </c>
      <c r="I322" s="306">
        <f>+IF($H322=I$2,VLOOKUP($G322,Depreciation!$A$14:$L$18,7,FALSE)/2,IF($H322&lt;I$2,VLOOKUP($G322,Depreciation!$A$14:$L$18,7,FALSE),0))</f>
        <v>0</v>
      </c>
      <c r="J322" s="306">
        <f>+IF($H322=J$2,VLOOKUP($G322,Depreciation!$A$14:$L$18,8,FALSE)/2,IF($H322&lt;J$2,VLOOKUP($G322,Depreciation!$A$14:$L$18,8,FALSE),0))</f>
        <v>1.671703928371859E-2</v>
      </c>
      <c r="K322" s="306">
        <f>+IF($H322=K$2,VLOOKUP($G322,Depreciation!$A$14:$L$18,9,FALSE)/2,IF($H322&lt;K$2,VLOOKUP($G322,Depreciation!$A$14:$L$18,9,FALSE),0))</f>
        <v>3.343407856743718E-2</v>
      </c>
      <c r="L322" s="306">
        <f>+IF($H322=L$2,VLOOKUP($G322,Depreciation!$A$14:$L$18,10,FALSE)/2,IF($H322&lt;L$2,VLOOKUP($G322,Depreciation!$A$14:$L$18,10,FALSE),0))</f>
        <v>3.343407856743718E-2</v>
      </c>
      <c r="M322" s="306">
        <f>+IF($H322=M$2,VLOOKUP($G322,Depreciation!$A$14:$L$18,11,FALSE)/2,IF($H322&lt;M$2,VLOOKUP($G322,Depreciation!$A$14:$L$18,11,FALSE),0))</f>
        <v>3.343407856743718E-2</v>
      </c>
      <c r="N322" s="306">
        <f>+IF($H322=N$2,VLOOKUP($G322,Depreciation!$A$14:$L$18,12,FALSE)/2,IF($H322&lt;N$2,VLOOKUP($G322,Depreciation!$A$14:$L$18,12,FALSE),0))</f>
        <v>3.343407856743718E-2</v>
      </c>
      <c r="O322" s="307">
        <f t="shared" si="33"/>
        <v>4503140.4602535004</v>
      </c>
      <c r="P322" s="732">
        <f>'Func Future Subs 2015'!P322</f>
        <v>0</v>
      </c>
      <c r="Q322" s="732">
        <f>'Func Future Subs 2015'!Q322</f>
        <v>1</v>
      </c>
      <c r="R322" s="732">
        <f>'Func Future Subs 2015'!R322</f>
        <v>0</v>
      </c>
      <c r="S322" s="735">
        <f t="shared" si="34"/>
        <v>0</v>
      </c>
      <c r="T322" s="735">
        <f t="shared" si="35"/>
        <v>4503140.4602535004</v>
      </c>
      <c r="U322" s="735">
        <f t="shared" si="36"/>
        <v>0</v>
      </c>
      <c r="V322" s="736">
        <f t="shared" si="37"/>
        <v>0</v>
      </c>
      <c r="W322" s="735">
        <f t="shared" si="38"/>
        <v>0</v>
      </c>
      <c r="X322" s="737">
        <f t="shared" si="39"/>
        <v>0</v>
      </c>
      <c r="Y322" s="738">
        <f t="shared" si="40"/>
        <v>4503140.4602535004</v>
      </c>
    </row>
    <row r="323" spans="1:25">
      <c r="A323" s="754" t="str">
        <f>'Func Future Subs 2015'!A323</f>
        <v>Bohn 931S</v>
      </c>
      <c r="B323" s="754">
        <f>'Func Future Subs 2015'!B323</f>
        <v>1570</v>
      </c>
      <c r="C323" s="754">
        <f>'Func Future Subs 2015'!C323</f>
        <v>240</v>
      </c>
      <c r="D323" s="754">
        <f>'Func Future Subs 2015'!D323</f>
        <v>25</v>
      </c>
      <c r="E323" s="754" t="str">
        <f>'Func Future Subs 2015'!E323</f>
        <v>931S</v>
      </c>
      <c r="F323" s="754">
        <f>'Func Future Subs 2015'!F323</f>
        <v>6197779.730344899</v>
      </c>
      <c r="G323" s="754" t="str">
        <f>'Func Future Subs 2015'!G323</f>
        <v>ATCO</v>
      </c>
      <c r="H323" s="754">
        <f>'Func Future Subs 2015'!H323</f>
        <v>2017</v>
      </c>
      <c r="I323" s="306">
        <f>+IF($H323=I$2,VLOOKUP($G323,Depreciation!$A$14:$L$18,7,FALSE)/2,IF($H323&lt;I$2,VLOOKUP($G323,Depreciation!$A$14:$L$18,7,FALSE),0))</f>
        <v>0</v>
      </c>
      <c r="J323" s="306">
        <f>+IF($H323=J$2,VLOOKUP($G323,Depreciation!$A$14:$L$18,8,FALSE)/2,IF($H323&lt;J$2,VLOOKUP($G323,Depreciation!$A$14:$L$18,8,FALSE),0))</f>
        <v>0</v>
      </c>
      <c r="K323" s="306">
        <f>+IF($H323=K$2,VLOOKUP($G323,Depreciation!$A$14:$L$18,9,FALSE)/2,IF($H323&lt;K$2,VLOOKUP($G323,Depreciation!$A$14:$L$18,9,FALSE),0))</f>
        <v>1.2175768213899416E-2</v>
      </c>
      <c r="L323" s="306">
        <f>+IF($H323=L$2,VLOOKUP($G323,Depreciation!$A$14:$L$18,10,FALSE)/2,IF($H323&lt;L$2,VLOOKUP($G323,Depreciation!$A$14:$L$18,10,FALSE),0))</f>
        <v>2.4351536427798831E-2</v>
      </c>
      <c r="M323" s="306">
        <f>+IF($H323=M$2,VLOOKUP($G323,Depreciation!$A$14:$L$18,11,FALSE)/2,IF($H323&lt;M$2,VLOOKUP($G323,Depreciation!$A$14:$L$18,11,FALSE),0))</f>
        <v>2.4351536427798831E-2</v>
      </c>
      <c r="N323" s="306">
        <f>+IF($H323=N$2,VLOOKUP($G323,Depreciation!$A$14:$L$18,12,FALSE)/2,IF($H323&lt;N$2,VLOOKUP($G323,Depreciation!$A$14:$L$18,12,FALSE),0))</f>
        <v>2.4351536427798831E-2</v>
      </c>
      <c r="O323" s="307">
        <f t="shared" si="33"/>
        <v>5685856.6686537582</v>
      </c>
      <c r="P323" s="732">
        <f>'Func Future Subs 2015'!P323</f>
        <v>0</v>
      </c>
      <c r="Q323" s="732">
        <f>'Func Future Subs 2015'!Q323</f>
        <v>1</v>
      </c>
      <c r="R323" s="732">
        <f>'Func Future Subs 2015'!R323</f>
        <v>0</v>
      </c>
      <c r="S323" s="735">
        <f t="shared" si="34"/>
        <v>0</v>
      </c>
      <c r="T323" s="735">
        <f t="shared" si="35"/>
        <v>5685856.6686537582</v>
      </c>
      <c r="U323" s="735">
        <f t="shared" si="36"/>
        <v>0</v>
      </c>
      <c r="V323" s="736">
        <f t="shared" si="37"/>
        <v>0</v>
      </c>
      <c r="W323" s="735">
        <f t="shared" si="38"/>
        <v>0</v>
      </c>
      <c r="X323" s="737">
        <f t="shared" si="39"/>
        <v>0</v>
      </c>
      <c r="Y323" s="738">
        <f t="shared" si="40"/>
        <v>5685856.6686537582</v>
      </c>
    </row>
    <row r="324" spans="1:25">
      <c r="A324" s="754" t="str">
        <f>'Func Future Subs 2015'!A324</f>
        <v>Mahihkan 837S</v>
      </c>
      <c r="B324" s="754">
        <f>'Func Future Subs 2015'!B324</f>
        <v>1571</v>
      </c>
      <c r="C324" s="754">
        <f>'Func Future Subs 2015'!C324</f>
        <v>138</v>
      </c>
      <c r="D324" s="754">
        <f>'Func Future Subs 2015'!D324</f>
        <v>25</v>
      </c>
      <c r="E324" s="754" t="str">
        <f>'Func Future Subs 2015'!E324</f>
        <v>837S</v>
      </c>
      <c r="F324" s="754">
        <f>'Func Future Subs 2015'!F324</f>
        <v>1810761.9999999988</v>
      </c>
      <c r="G324" s="754" t="str">
        <f>'Func Future Subs 2015'!G324</f>
        <v>ATCO</v>
      </c>
      <c r="H324" s="754">
        <f>'Func Future Subs 2015'!H324</f>
        <v>2017</v>
      </c>
      <c r="I324" s="306">
        <f>+IF($H324=I$2,VLOOKUP($G324,Depreciation!$A$14:$L$18,7,FALSE)/2,IF($H324&lt;I$2,VLOOKUP($G324,Depreciation!$A$14:$L$18,7,FALSE),0))</f>
        <v>0</v>
      </c>
      <c r="J324" s="306">
        <f>+IF($H324=J$2,VLOOKUP($G324,Depreciation!$A$14:$L$18,8,FALSE)/2,IF($H324&lt;J$2,VLOOKUP($G324,Depreciation!$A$14:$L$18,8,FALSE),0))</f>
        <v>0</v>
      </c>
      <c r="K324" s="306">
        <f>+IF($H324=K$2,VLOOKUP($G324,Depreciation!$A$14:$L$18,9,FALSE)/2,IF($H324&lt;K$2,VLOOKUP($G324,Depreciation!$A$14:$L$18,9,FALSE),0))</f>
        <v>1.2175768213899416E-2</v>
      </c>
      <c r="L324" s="306">
        <f>+IF($H324=L$2,VLOOKUP($G324,Depreciation!$A$14:$L$18,10,FALSE)/2,IF($H324&lt;L$2,VLOOKUP($G324,Depreciation!$A$14:$L$18,10,FALSE),0))</f>
        <v>2.4351536427798831E-2</v>
      </c>
      <c r="M324" s="306">
        <f>+IF($H324=M$2,VLOOKUP($G324,Depreciation!$A$14:$L$18,11,FALSE)/2,IF($H324&lt;M$2,VLOOKUP($G324,Depreciation!$A$14:$L$18,11,FALSE),0))</f>
        <v>2.4351536427798831E-2</v>
      </c>
      <c r="N324" s="306">
        <f>+IF($H324=N$2,VLOOKUP($G324,Depreciation!$A$14:$L$18,12,FALSE)/2,IF($H324&lt;N$2,VLOOKUP($G324,Depreciation!$A$14:$L$18,12,FALSE),0))</f>
        <v>2.4351536427798831E-2</v>
      </c>
      <c r="O324" s="307">
        <f t="shared" ref="O324:O354" si="41">IF(H324&lt;=2020,F324*(1-I324)*(1-J324)*(1-K324)*(1-L324)*(1-M324)*(1-N324),0)</f>
        <v>1661197.0158661741</v>
      </c>
      <c r="P324" s="732">
        <f>'Func Future Subs 2015'!P324</f>
        <v>0</v>
      </c>
      <c r="Q324" s="732">
        <f>'Func Future Subs 2015'!Q324</f>
        <v>1</v>
      </c>
      <c r="R324" s="732">
        <f>'Func Future Subs 2015'!R324</f>
        <v>0</v>
      </c>
      <c r="S324" s="735">
        <f t="shared" ref="S324:S354" si="42">+P324*$O324</f>
        <v>0</v>
      </c>
      <c r="T324" s="735">
        <f t="shared" ref="T324:T354" si="43">+Q324*$O324</f>
        <v>1661197.0158661741</v>
      </c>
      <c r="U324" s="735">
        <f t="shared" ref="U324:U354" si="44">+R324*$O324</f>
        <v>0</v>
      </c>
      <c r="V324" s="736">
        <f t="shared" ref="V324:V354" si="45">IF(AND(R324=1,D324=0),O324,0)</f>
        <v>0</v>
      </c>
      <c r="W324" s="735">
        <f t="shared" ref="W324:W354" si="46">S324+IF(D324&gt;144,U324,0)</f>
        <v>0</v>
      </c>
      <c r="X324" s="737">
        <f t="shared" ref="X324:X354" si="47">IF(AND(D324&lt;=144,D324&gt;=69),U324,0)</f>
        <v>0</v>
      </c>
      <c r="Y324" s="738">
        <f t="shared" ref="Y324:Y354" si="48">T324+IF(AND(D324&lt;69,D324&gt;0),U324,0)</f>
        <v>1661197.0158661741</v>
      </c>
    </row>
    <row r="325" spans="1:25">
      <c r="A325" s="754" t="str">
        <f>'Func Future Subs 2015'!A325</f>
        <v>Leduc 325S 180D</v>
      </c>
      <c r="B325" s="754">
        <f>'Func Future Subs 2015'!B325</f>
        <v>1574</v>
      </c>
      <c r="C325" s="754">
        <f>'Func Future Subs 2015'!C325</f>
        <v>138</v>
      </c>
      <c r="D325" s="754">
        <f>'Func Future Subs 2015'!D325</f>
        <v>25</v>
      </c>
      <c r="E325" s="754" t="str">
        <f>'Func Future Subs 2015'!E325</f>
        <v>325S</v>
      </c>
      <c r="F325" s="754">
        <f>'Func Future Subs 2015'!F325</f>
        <v>6315643.0000000047</v>
      </c>
      <c r="G325" s="754" t="str">
        <f>'Func Future Subs 2015'!G325</f>
        <v>AltaLink</v>
      </c>
      <c r="H325" s="754">
        <f>'Func Future Subs 2015'!H325</f>
        <v>2016</v>
      </c>
      <c r="I325" s="306">
        <f>+IF($H325=I$2,VLOOKUP($G325,Depreciation!$A$14:$L$18,7,FALSE)/2,IF($H325&lt;I$2,VLOOKUP($G325,Depreciation!$A$14:$L$18,7,FALSE),0))</f>
        <v>0</v>
      </c>
      <c r="J325" s="306">
        <f>+IF($H325=J$2,VLOOKUP($G325,Depreciation!$A$14:$L$18,8,FALSE)/2,IF($H325&lt;J$2,VLOOKUP($G325,Depreciation!$A$14:$L$18,8,FALSE),0))</f>
        <v>1.671703928371859E-2</v>
      </c>
      <c r="K325" s="306">
        <f>+IF($H325=K$2,VLOOKUP($G325,Depreciation!$A$14:$L$18,9,FALSE)/2,IF($H325&lt;K$2,VLOOKUP($G325,Depreciation!$A$14:$L$18,9,FALSE),0))</f>
        <v>3.343407856743718E-2</v>
      </c>
      <c r="L325" s="306">
        <f>+IF($H325=L$2,VLOOKUP($G325,Depreciation!$A$14:$L$18,10,FALSE)/2,IF($H325&lt;L$2,VLOOKUP($G325,Depreciation!$A$14:$L$18,10,FALSE),0))</f>
        <v>3.343407856743718E-2</v>
      </c>
      <c r="M325" s="306">
        <f>+IF($H325=M$2,VLOOKUP($G325,Depreciation!$A$14:$L$18,11,FALSE)/2,IF($H325&lt;M$2,VLOOKUP($G325,Depreciation!$A$14:$L$18,11,FALSE),0))</f>
        <v>3.343407856743718E-2</v>
      </c>
      <c r="N325" s="306">
        <f>+IF($H325=N$2,VLOOKUP($G325,Depreciation!$A$14:$L$18,12,FALSE)/2,IF($H325&lt;N$2,VLOOKUP($G325,Depreciation!$A$14:$L$18,12,FALSE),0))</f>
        <v>3.343407856743718E-2</v>
      </c>
      <c r="O325" s="307">
        <f t="shared" si="41"/>
        <v>5420283.5002509635</v>
      </c>
      <c r="P325" s="732">
        <f>'Func Future Subs 2015'!P325</f>
        <v>0</v>
      </c>
      <c r="Q325" s="732">
        <f>'Func Future Subs 2015'!Q325</f>
        <v>1</v>
      </c>
      <c r="R325" s="732">
        <f>'Func Future Subs 2015'!R325</f>
        <v>0</v>
      </c>
      <c r="S325" s="735">
        <f t="shared" si="42"/>
        <v>0</v>
      </c>
      <c r="T325" s="735">
        <f t="shared" si="43"/>
        <v>5420283.5002509635</v>
      </c>
      <c r="U325" s="735">
        <f t="shared" si="44"/>
        <v>0</v>
      </c>
      <c r="V325" s="736">
        <f t="shared" si="45"/>
        <v>0</v>
      </c>
      <c r="W325" s="735">
        <f t="shared" si="46"/>
        <v>0</v>
      </c>
      <c r="X325" s="737">
        <f t="shared" si="47"/>
        <v>0</v>
      </c>
      <c r="Y325" s="738">
        <f t="shared" si="48"/>
        <v>5420283.5002509635</v>
      </c>
    </row>
    <row r="326" spans="1:25">
      <c r="A326" s="754" t="str">
        <f>'Func Future Subs 2015'!A326</f>
        <v>Modify Vilna 777S</v>
      </c>
      <c r="B326" s="754">
        <f>'Func Future Subs 2015'!B326</f>
        <v>1579</v>
      </c>
      <c r="C326" s="754">
        <f>'Func Future Subs 2015'!C326</f>
        <v>138</v>
      </c>
      <c r="D326" s="754">
        <f>'Func Future Subs 2015'!D326</f>
        <v>25</v>
      </c>
      <c r="E326" s="754" t="str">
        <f>'Func Future Subs 2015'!E326</f>
        <v>777S</v>
      </c>
      <c r="F326" s="754">
        <f>'Func Future Subs 2015'!F326</f>
        <v>196941.99999999985</v>
      </c>
      <c r="G326" s="754" t="str">
        <f>'Func Future Subs 2015'!G326</f>
        <v>ATCO</v>
      </c>
      <c r="H326" s="754">
        <f>'Func Future Subs 2015'!H326</f>
        <v>2015</v>
      </c>
      <c r="I326" s="306">
        <f>+IF($H326=I$2,VLOOKUP($G326,Depreciation!$A$14:$L$18,7,FALSE)/2,IF($H326&lt;I$2,VLOOKUP($G326,Depreciation!$A$14:$L$18,7,FALSE),0))</f>
        <v>1.221703683566912E-2</v>
      </c>
      <c r="J326" s="306">
        <f>+IF($H326=J$2,VLOOKUP($G326,Depreciation!$A$14:$L$18,8,FALSE)/2,IF($H326&lt;J$2,VLOOKUP($G326,Depreciation!$A$14:$L$18,8,FALSE),0))</f>
        <v>2.4632450501084719E-2</v>
      </c>
      <c r="K326" s="306">
        <f>+IF($H326=K$2,VLOOKUP($G326,Depreciation!$A$14:$L$18,9,FALSE)/2,IF($H326&lt;K$2,VLOOKUP($G326,Depreciation!$A$14:$L$18,9,FALSE),0))</f>
        <v>2.4351536427798831E-2</v>
      </c>
      <c r="L326" s="306">
        <f>+IF($H326=L$2,VLOOKUP($G326,Depreciation!$A$14:$L$18,10,FALSE)/2,IF($H326&lt;L$2,VLOOKUP($G326,Depreciation!$A$14:$L$18,10,FALSE),0))</f>
        <v>2.4351536427798831E-2</v>
      </c>
      <c r="M326" s="306">
        <f>+IF($H326=M$2,VLOOKUP($G326,Depreciation!$A$14:$L$18,11,FALSE)/2,IF($H326&lt;M$2,VLOOKUP($G326,Depreciation!$A$14:$L$18,11,FALSE),0))</f>
        <v>2.4351536427798831E-2</v>
      </c>
      <c r="N326" s="306">
        <f>+IF($H326=N$2,VLOOKUP($G326,Depreciation!$A$14:$L$18,12,FALSE)/2,IF($H326&lt;N$2,VLOOKUP($G326,Depreciation!$A$14:$L$18,12,FALSE),0))</f>
        <v>2.4351536427798831E-2</v>
      </c>
      <c r="O326" s="307">
        <f t="shared" si="41"/>
        <v>171926.03114448104</v>
      </c>
      <c r="P326" s="732">
        <f>'Func Future Subs 2015'!P326</f>
        <v>0</v>
      </c>
      <c r="Q326" s="732">
        <f>'Func Future Subs 2015'!Q326</f>
        <v>1</v>
      </c>
      <c r="R326" s="732">
        <f>'Func Future Subs 2015'!R326</f>
        <v>0</v>
      </c>
      <c r="S326" s="735">
        <f t="shared" si="42"/>
        <v>0</v>
      </c>
      <c r="T326" s="735">
        <f t="shared" si="43"/>
        <v>171926.03114448104</v>
      </c>
      <c r="U326" s="735">
        <f t="shared" si="44"/>
        <v>0</v>
      </c>
      <c r="V326" s="736">
        <f t="shared" si="45"/>
        <v>0</v>
      </c>
      <c r="W326" s="735">
        <f t="shared" si="46"/>
        <v>0</v>
      </c>
      <c r="X326" s="737">
        <f t="shared" si="47"/>
        <v>0</v>
      </c>
      <c r="Y326" s="738">
        <f t="shared" si="48"/>
        <v>171926.03114448104</v>
      </c>
    </row>
    <row r="327" spans="1:25">
      <c r="A327" s="754" t="str">
        <f>'Func Future Subs 2015'!A327</f>
        <v>Upgrade Simonette 733S</v>
      </c>
      <c r="B327" s="754">
        <f>'Func Future Subs 2015'!B327</f>
        <v>1581</v>
      </c>
      <c r="C327" s="754">
        <f>'Func Future Subs 2015'!C327</f>
        <v>144</v>
      </c>
      <c r="D327" s="754">
        <f>'Func Future Subs 2015'!D327</f>
        <v>25</v>
      </c>
      <c r="E327" s="754" t="str">
        <f>'Func Future Subs 2015'!E327</f>
        <v>733S</v>
      </c>
      <c r="F327" s="754">
        <f>'Func Future Subs 2015'!F327</f>
        <v>6524690.9999999991</v>
      </c>
      <c r="G327" s="754" t="str">
        <f>'Func Future Subs 2015'!G327</f>
        <v>ATCO</v>
      </c>
      <c r="H327" s="754">
        <f>'Func Future Subs 2015'!H327</f>
        <v>2016</v>
      </c>
      <c r="I327" s="306">
        <f>+IF($H327=I$2,VLOOKUP($G327,Depreciation!$A$14:$L$18,7,FALSE)/2,IF($H327&lt;I$2,VLOOKUP($G327,Depreciation!$A$14:$L$18,7,FALSE),0))</f>
        <v>0</v>
      </c>
      <c r="J327" s="306">
        <f>+IF($H327=J$2,VLOOKUP($G327,Depreciation!$A$14:$L$18,8,FALSE)/2,IF($H327&lt;J$2,VLOOKUP($G327,Depreciation!$A$14:$L$18,8,FALSE),0))</f>
        <v>1.231622525054236E-2</v>
      </c>
      <c r="K327" s="306">
        <f>+IF($H327=K$2,VLOOKUP($G327,Depreciation!$A$14:$L$18,9,FALSE)/2,IF($H327&lt;K$2,VLOOKUP($G327,Depreciation!$A$14:$L$18,9,FALSE),0))</f>
        <v>2.4351536427798831E-2</v>
      </c>
      <c r="L327" s="306">
        <f>+IF($H327=L$2,VLOOKUP($G327,Depreciation!$A$14:$L$18,10,FALSE)/2,IF($H327&lt;L$2,VLOOKUP($G327,Depreciation!$A$14:$L$18,10,FALSE),0))</f>
        <v>2.4351536427798831E-2</v>
      </c>
      <c r="M327" s="306">
        <f>+IF($H327=M$2,VLOOKUP($G327,Depreciation!$A$14:$L$18,11,FALSE)/2,IF($H327&lt;M$2,VLOOKUP($G327,Depreciation!$A$14:$L$18,11,FALSE),0))</f>
        <v>2.4351536427798831E-2</v>
      </c>
      <c r="N327" s="306">
        <f>+IF($H327=N$2,VLOOKUP($G327,Depreciation!$A$14:$L$18,12,FALSE)/2,IF($H327&lt;N$2,VLOOKUP($G327,Depreciation!$A$14:$L$18,12,FALSE),0))</f>
        <v>2.4351536427798831E-2</v>
      </c>
      <c r="O327" s="307">
        <f t="shared" si="41"/>
        <v>5839172.8082944099</v>
      </c>
      <c r="P327" s="732">
        <f>'Func Future Subs 2015'!P327</f>
        <v>0</v>
      </c>
      <c r="Q327" s="732">
        <f>'Func Future Subs 2015'!Q327</f>
        <v>1</v>
      </c>
      <c r="R327" s="732">
        <f>'Func Future Subs 2015'!R327</f>
        <v>0</v>
      </c>
      <c r="S327" s="735">
        <f t="shared" si="42"/>
        <v>0</v>
      </c>
      <c r="T327" s="735">
        <f t="shared" si="43"/>
        <v>5839172.8082944099</v>
      </c>
      <c r="U327" s="735">
        <f t="shared" si="44"/>
        <v>0</v>
      </c>
      <c r="V327" s="736">
        <f t="shared" si="45"/>
        <v>0</v>
      </c>
      <c r="W327" s="735">
        <f t="shared" si="46"/>
        <v>0</v>
      </c>
      <c r="X327" s="737">
        <f t="shared" si="47"/>
        <v>0</v>
      </c>
      <c r="Y327" s="738">
        <f t="shared" si="48"/>
        <v>5839172.8082944099</v>
      </c>
    </row>
    <row r="328" spans="1:25">
      <c r="A328" s="754" t="str">
        <f>'Func Future Subs 2015'!A328</f>
        <v>Jarrow 252S</v>
      </c>
      <c r="B328" s="754">
        <f>'Func Future Subs 2015'!B328</f>
        <v>1594</v>
      </c>
      <c r="C328" s="754">
        <f>'Func Future Subs 2015'!C328</f>
        <v>138</v>
      </c>
      <c r="D328" s="754">
        <f>'Func Future Subs 2015'!D328</f>
        <v>25</v>
      </c>
      <c r="E328" s="754" t="str">
        <f>'Func Future Subs 2015'!E328</f>
        <v>252S</v>
      </c>
      <c r="F328" s="754">
        <f>'Func Future Subs 2015'!F328</f>
        <v>13928.712350388019</v>
      </c>
      <c r="G328" s="754" t="str">
        <f>'Func Future Subs 2015'!G328</f>
        <v>AltaLink</v>
      </c>
      <c r="H328" s="754">
        <f>'Func Future Subs 2015'!H328</f>
        <v>2018</v>
      </c>
      <c r="I328" s="306">
        <f>+IF($H328=I$2,VLOOKUP($G328,Depreciation!$A$14:$L$18,7,FALSE)/2,IF($H328&lt;I$2,VLOOKUP($G328,Depreciation!$A$14:$L$18,7,FALSE),0))</f>
        <v>0</v>
      </c>
      <c r="J328" s="306">
        <f>+IF($H328=J$2,VLOOKUP($G328,Depreciation!$A$14:$L$18,8,FALSE)/2,IF($H328&lt;J$2,VLOOKUP($G328,Depreciation!$A$14:$L$18,8,FALSE),0))</f>
        <v>0</v>
      </c>
      <c r="K328" s="306">
        <f>+IF($H328=K$2,VLOOKUP($G328,Depreciation!$A$14:$L$18,9,FALSE)/2,IF($H328&lt;K$2,VLOOKUP($G328,Depreciation!$A$14:$L$18,9,FALSE),0))</f>
        <v>0</v>
      </c>
      <c r="L328" s="306">
        <f>+IF($H328=L$2,VLOOKUP($G328,Depreciation!$A$14:$L$18,10,FALSE)/2,IF($H328&lt;L$2,VLOOKUP($G328,Depreciation!$A$14:$L$18,10,FALSE),0))</f>
        <v>1.671703928371859E-2</v>
      </c>
      <c r="M328" s="306">
        <f>+IF($H328=M$2,VLOOKUP($G328,Depreciation!$A$14:$L$18,11,FALSE)/2,IF($H328&lt;M$2,VLOOKUP($G328,Depreciation!$A$14:$L$18,11,FALSE),0))</f>
        <v>3.343407856743718E-2</v>
      </c>
      <c r="N328" s="306">
        <f>+IF($H328=N$2,VLOOKUP($G328,Depreciation!$A$14:$L$18,12,FALSE)/2,IF($H328&lt;N$2,VLOOKUP($G328,Depreciation!$A$14:$L$18,12,FALSE),0))</f>
        <v>3.343407856743718E-2</v>
      </c>
      <c r="O328" s="307">
        <f t="shared" si="41"/>
        <v>12795.357984815799</v>
      </c>
      <c r="P328" s="732">
        <f>'Func Future Subs 2015'!P328</f>
        <v>0</v>
      </c>
      <c r="Q328" s="732">
        <f>'Func Future Subs 2015'!Q328</f>
        <v>1</v>
      </c>
      <c r="R328" s="732">
        <f>'Func Future Subs 2015'!R328</f>
        <v>0</v>
      </c>
      <c r="S328" s="735">
        <f t="shared" si="42"/>
        <v>0</v>
      </c>
      <c r="T328" s="735">
        <f t="shared" si="43"/>
        <v>12795.357984815799</v>
      </c>
      <c r="U328" s="735">
        <f t="shared" si="44"/>
        <v>0</v>
      </c>
      <c r="V328" s="736">
        <f t="shared" si="45"/>
        <v>0</v>
      </c>
      <c r="W328" s="735">
        <f t="shared" si="46"/>
        <v>0</v>
      </c>
      <c r="X328" s="737">
        <f t="shared" si="47"/>
        <v>0</v>
      </c>
      <c r="Y328" s="738">
        <f t="shared" si="48"/>
        <v>12795.357984815799</v>
      </c>
    </row>
    <row r="329" spans="1:25">
      <c r="A329" s="754" t="str">
        <f>'Func Future Subs 2015'!A329</f>
        <v>Tucuman 478S</v>
      </c>
      <c r="B329" s="754">
        <f>'Func Future Subs 2015'!B329</f>
        <v>1594</v>
      </c>
      <c r="C329" s="754">
        <f>'Func Future Subs 2015'!C329</f>
        <v>138</v>
      </c>
      <c r="D329" s="754">
        <f>'Func Future Subs 2015'!D329</f>
        <v>25</v>
      </c>
      <c r="E329" s="754" t="str">
        <f>'Func Future Subs 2015'!E329</f>
        <v>478S</v>
      </c>
      <c r="F329" s="754">
        <f>'Func Future Subs 2015'!F329</f>
        <v>13928.712350388019</v>
      </c>
      <c r="G329" s="754" t="str">
        <f>'Func Future Subs 2015'!G329</f>
        <v>AltaLink</v>
      </c>
      <c r="H329" s="754">
        <f>'Func Future Subs 2015'!H329</f>
        <v>2018</v>
      </c>
      <c r="I329" s="306">
        <f>+IF($H329=I$2,VLOOKUP($G329,Depreciation!$A$14:$L$18,7,FALSE)/2,IF($H329&lt;I$2,VLOOKUP($G329,Depreciation!$A$14:$L$18,7,FALSE),0))</f>
        <v>0</v>
      </c>
      <c r="J329" s="306">
        <f>+IF($H329=J$2,VLOOKUP($G329,Depreciation!$A$14:$L$18,8,FALSE)/2,IF($H329&lt;J$2,VLOOKUP($G329,Depreciation!$A$14:$L$18,8,FALSE),0))</f>
        <v>0</v>
      </c>
      <c r="K329" s="306">
        <f>+IF($H329=K$2,VLOOKUP($G329,Depreciation!$A$14:$L$18,9,FALSE)/2,IF($H329&lt;K$2,VLOOKUP($G329,Depreciation!$A$14:$L$18,9,FALSE),0))</f>
        <v>0</v>
      </c>
      <c r="L329" s="306">
        <f>+IF($H329=L$2,VLOOKUP($G329,Depreciation!$A$14:$L$18,10,FALSE)/2,IF($H329&lt;L$2,VLOOKUP($G329,Depreciation!$A$14:$L$18,10,FALSE),0))</f>
        <v>1.671703928371859E-2</v>
      </c>
      <c r="M329" s="306">
        <f>+IF($H329=M$2,VLOOKUP($G329,Depreciation!$A$14:$L$18,11,FALSE)/2,IF($H329&lt;M$2,VLOOKUP($G329,Depreciation!$A$14:$L$18,11,FALSE),0))</f>
        <v>3.343407856743718E-2</v>
      </c>
      <c r="N329" s="306">
        <f>+IF($H329=N$2,VLOOKUP($G329,Depreciation!$A$14:$L$18,12,FALSE)/2,IF($H329&lt;N$2,VLOOKUP($G329,Depreciation!$A$14:$L$18,12,FALSE),0))</f>
        <v>3.343407856743718E-2</v>
      </c>
      <c r="O329" s="307">
        <f t="shared" si="41"/>
        <v>12795.357984815799</v>
      </c>
      <c r="P329" s="732">
        <f>'Func Future Subs 2015'!P329</f>
        <v>0</v>
      </c>
      <c r="Q329" s="732">
        <f>'Func Future Subs 2015'!Q329</f>
        <v>1</v>
      </c>
      <c r="R329" s="732">
        <f>'Func Future Subs 2015'!R329</f>
        <v>0</v>
      </c>
      <c r="S329" s="735">
        <f t="shared" si="42"/>
        <v>0</v>
      </c>
      <c r="T329" s="735">
        <f t="shared" si="43"/>
        <v>12795.357984815799</v>
      </c>
      <c r="U329" s="735">
        <f t="shared" si="44"/>
        <v>0</v>
      </c>
      <c r="V329" s="736">
        <f t="shared" si="45"/>
        <v>0</v>
      </c>
      <c r="W329" s="735">
        <f t="shared" si="46"/>
        <v>0</v>
      </c>
      <c r="X329" s="737">
        <f t="shared" si="47"/>
        <v>0</v>
      </c>
      <c r="Y329" s="738">
        <f t="shared" si="48"/>
        <v>12795.357984815799</v>
      </c>
    </row>
    <row r="330" spans="1:25">
      <c r="A330" s="754" t="str">
        <f>'Func Future Subs 2015'!A330</f>
        <v>Wainwright 51S</v>
      </c>
      <c r="B330" s="754">
        <f>'Func Future Subs 2015'!B330</f>
        <v>1594</v>
      </c>
      <c r="C330" s="754">
        <f>'Func Future Subs 2015'!C330</f>
        <v>138</v>
      </c>
      <c r="D330" s="754">
        <f>'Func Future Subs 2015'!D330</f>
        <v>25</v>
      </c>
      <c r="E330" s="754" t="str">
        <f>'Func Future Subs 2015'!E330</f>
        <v>51S</v>
      </c>
      <c r="F330" s="754">
        <f>'Func Future Subs 2015'!F330</f>
        <v>3535571.4849401587</v>
      </c>
      <c r="G330" s="754" t="str">
        <f>'Func Future Subs 2015'!G330</f>
        <v>AltaLink</v>
      </c>
      <c r="H330" s="754">
        <f>'Func Future Subs 2015'!H330</f>
        <v>2018</v>
      </c>
      <c r="I330" s="306">
        <f>+IF($H330=I$2,VLOOKUP($G330,Depreciation!$A$14:$L$18,7,FALSE)/2,IF($H330&lt;I$2,VLOOKUP($G330,Depreciation!$A$14:$L$18,7,FALSE),0))</f>
        <v>0</v>
      </c>
      <c r="J330" s="306">
        <f>+IF($H330=J$2,VLOOKUP($G330,Depreciation!$A$14:$L$18,8,FALSE)/2,IF($H330&lt;J$2,VLOOKUP($G330,Depreciation!$A$14:$L$18,8,FALSE),0))</f>
        <v>0</v>
      </c>
      <c r="K330" s="306">
        <f>+IF($H330=K$2,VLOOKUP($G330,Depreciation!$A$14:$L$18,9,FALSE)/2,IF($H330&lt;K$2,VLOOKUP($G330,Depreciation!$A$14:$L$18,9,FALSE),0))</f>
        <v>0</v>
      </c>
      <c r="L330" s="306">
        <f>+IF($H330=L$2,VLOOKUP($G330,Depreciation!$A$14:$L$18,10,FALSE)/2,IF($H330&lt;L$2,VLOOKUP($G330,Depreciation!$A$14:$L$18,10,FALSE),0))</f>
        <v>1.671703928371859E-2</v>
      </c>
      <c r="M330" s="306">
        <f>+IF($H330=M$2,VLOOKUP($G330,Depreciation!$A$14:$L$18,11,FALSE)/2,IF($H330&lt;M$2,VLOOKUP($G330,Depreciation!$A$14:$L$18,11,FALSE),0))</f>
        <v>3.343407856743718E-2</v>
      </c>
      <c r="N330" s="306">
        <f>+IF($H330=N$2,VLOOKUP($G330,Depreciation!$A$14:$L$18,12,FALSE)/2,IF($H330&lt;N$2,VLOOKUP($G330,Depreciation!$A$14:$L$18,12,FALSE),0))</f>
        <v>3.343407856743718E-2</v>
      </c>
      <c r="O330" s="307">
        <f t="shared" si="41"/>
        <v>3247888.3684790763</v>
      </c>
      <c r="P330" s="732">
        <f>'Func Future Subs 2015'!P330</f>
        <v>0</v>
      </c>
      <c r="Q330" s="732">
        <f>'Func Future Subs 2015'!Q330</f>
        <v>1</v>
      </c>
      <c r="R330" s="732">
        <f>'Func Future Subs 2015'!R330</f>
        <v>0</v>
      </c>
      <c r="S330" s="735">
        <f t="shared" si="42"/>
        <v>0</v>
      </c>
      <c r="T330" s="735">
        <f t="shared" si="43"/>
        <v>3247888.3684790763</v>
      </c>
      <c r="U330" s="735">
        <f t="shared" si="44"/>
        <v>0</v>
      </c>
      <c r="V330" s="736">
        <f t="shared" si="45"/>
        <v>0</v>
      </c>
      <c r="W330" s="735">
        <f t="shared" si="46"/>
        <v>0</v>
      </c>
      <c r="X330" s="737">
        <f t="shared" si="47"/>
        <v>0</v>
      </c>
      <c r="Y330" s="738">
        <f t="shared" si="48"/>
        <v>3247888.3684790763</v>
      </c>
    </row>
    <row r="331" spans="1:25">
      <c r="A331" s="754" t="str">
        <f>'Func Future Subs 2015'!A331</f>
        <v>Fortis Broadmoor 420S</v>
      </c>
      <c r="B331" s="754">
        <f>'Func Future Subs 2015'!B331</f>
        <v>1597</v>
      </c>
      <c r="C331" s="754">
        <f>'Func Future Subs 2015'!C331</f>
        <v>138</v>
      </c>
      <c r="D331" s="754">
        <f>'Func Future Subs 2015'!D331</f>
        <v>25</v>
      </c>
      <c r="E331" s="754" t="str">
        <f>'Func Future Subs 2015'!E331</f>
        <v>420S</v>
      </c>
      <c r="F331" s="754">
        <f>'Func Future Subs 2015'!F331</f>
        <v>5892730</v>
      </c>
      <c r="G331" s="754" t="str">
        <f>'Func Future Subs 2015'!G331</f>
        <v>AltaLink</v>
      </c>
      <c r="H331" s="754">
        <f>'Func Future Subs 2015'!H331</f>
        <v>2016</v>
      </c>
      <c r="I331" s="306">
        <f>+IF($H331=I$2,VLOOKUP($G331,Depreciation!$A$14:$L$18,7,FALSE)/2,IF($H331&lt;I$2,VLOOKUP($G331,Depreciation!$A$14:$L$18,7,FALSE),0))</f>
        <v>0</v>
      </c>
      <c r="J331" s="306">
        <f>+IF($H331=J$2,VLOOKUP($G331,Depreciation!$A$14:$L$18,8,FALSE)/2,IF($H331&lt;J$2,VLOOKUP($G331,Depreciation!$A$14:$L$18,8,FALSE),0))</f>
        <v>1.671703928371859E-2</v>
      </c>
      <c r="K331" s="306">
        <f>+IF($H331=K$2,VLOOKUP($G331,Depreciation!$A$14:$L$18,9,FALSE)/2,IF($H331&lt;K$2,VLOOKUP($G331,Depreciation!$A$14:$L$18,9,FALSE),0))</f>
        <v>3.343407856743718E-2</v>
      </c>
      <c r="L331" s="306">
        <f>+IF($H331=L$2,VLOOKUP($G331,Depreciation!$A$14:$L$18,10,FALSE)/2,IF($H331&lt;L$2,VLOOKUP($G331,Depreciation!$A$14:$L$18,10,FALSE),0))</f>
        <v>3.343407856743718E-2</v>
      </c>
      <c r="M331" s="306">
        <f>+IF($H331=M$2,VLOOKUP($G331,Depreciation!$A$14:$L$18,11,FALSE)/2,IF($H331&lt;M$2,VLOOKUP($G331,Depreciation!$A$14:$L$18,11,FALSE),0))</f>
        <v>3.343407856743718E-2</v>
      </c>
      <c r="N331" s="306">
        <f>+IF($H331=N$2,VLOOKUP($G331,Depreciation!$A$14:$L$18,12,FALSE)/2,IF($H331&lt;N$2,VLOOKUP($G331,Depreciation!$A$14:$L$18,12,FALSE),0))</f>
        <v>3.343407856743718E-2</v>
      </c>
      <c r="O331" s="307">
        <f t="shared" si="41"/>
        <v>5057326.2596435286</v>
      </c>
      <c r="P331" s="732">
        <f>'Func Future Subs 2015'!P331</f>
        <v>0</v>
      </c>
      <c r="Q331" s="732">
        <f>'Func Future Subs 2015'!Q331</f>
        <v>1</v>
      </c>
      <c r="R331" s="732">
        <f>'Func Future Subs 2015'!R331</f>
        <v>0</v>
      </c>
      <c r="S331" s="735">
        <f t="shared" si="42"/>
        <v>0</v>
      </c>
      <c r="T331" s="735">
        <f t="shared" si="43"/>
        <v>5057326.2596435286</v>
      </c>
      <c r="U331" s="735">
        <f t="shared" si="44"/>
        <v>0</v>
      </c>
      <c r="V331" s="736">
        <f t="shared" si="45"/>
        <v>0</v>
      </c>
      <c r="W331" s="735">
        <f t="shared" si="46"/>
        <v>0</v>
      </c>
      <c r="X331" s="737">
        <f t="shared" si="47"/>
        <v>0</v>
      </c>
      <c r="Y331" s="738">
        <f t="shared" si="48"/>
        <v>5057326.2596435286</v>
      </c>
    </row>
    <row r="332" spans="1:25">
      <c r="A332" s="754" t="str">
        <f>'Func Future Subs 2015'!A332</f>
        <v>Upgrade Broadmoor 420S</v>
      </c>
      <c r="B332" s="754">
        <f>'Func Future Subs 2015'!B332</f>
        <v>1597</v>
      </c>
      <c r="C332" s="754">
        <f>'Func Future Subs 2015'!C332</f>
        <v>138</v>
      </c>
      <c r="D332" s="754">
        <f>'Func Future Subs 2015'!D332</f>
        <v>25</v>
      </c>
      <c r="E332" s="754" t="str">
        <f>'Func Future Subs 2015'!E332</f>
        <v>420S</v>
      </c>
      <c r="F332" s="754">
        <f>'Func Future Subs 2015'!F332</f>
        <v>4899999.9999999991</v>
      </c>
      <c r="G332" s="754" t="str">
        <f>'Func Future Subs 2015'!G332</f>
        <v>AltaLink</v>
      </c>
      <c r="H332" s="754">
        <f>'Func Future Subs 2015'!H332</f>
        <v>2016</v>
      </c>
      <c r="I332" s="306">
        <f>+IF($H332=I$2,VLOOKUP($G332,Depreciation!$A$14:$L$18,7,FALSE)/2,IF($H332&lt;I$2,VLOOKUP($G332,Depreciation!$A$14:$L$18,7,FALSE),0))</f>
        <v>0</v>
      </c>
      <c r="J332" s="306">
        <f>+IF($H332=J$2,VLOOKUP($G332,Depreciation!$A$14:$L$18,8,FALSE)/2,IF($H332&lt;J$2,VLOOKUP($G332,Depreciation!$A$14:$L$18,8,FALSE),0))</f>
        <v>1.671703928371859E-2</v>
      </c>
      <c r="K332" s="306">
        <f>+IF($H332=K$2,VLOOKUP($G332,Depreciation!$A$14:$L$18,9,FALSE)/2,IF($H332&lt;K$2,VLOOKUP($G332,Depreciation!$A$14:$L$18,9,FALSE),0))</f>
        <v>3.343407856743718E-2</v>
      </c>
      <c r="L332" s="306">
        <f>+IF($H332=L$2,VLOOKUP($G332,Depreciation!$A$14:$L$18,10,FALSE)/2,IF($H332&lt;L$2,VLOOKUP($G332,Depreciation!$A$14:$L$18,10,FALSE),0))</f>
        <v>3.343407856743718E-2</v>
      </c>
      <c r="M332" s="306">
        <f>+IF($H332=M$2,VLOOKUP($G332,Depreciation!$A$14:$L$18,11,FALSE)/2,IF($H332&lt;M$2,VLOOKUP($G332,Depreciation!$A$14:$L$18,11,FALSE),0))</f>
        <v>3.343407856743718E-2</v>
      </c>
      <c r="N332" s="306">
        <f>+IF($H332=N$2,VLOOKUP($G332,Depreciation!$A$14:$L$18,12,FALSE)/2,IF($H332&lt;N$2,VLOOKUP($G332,Depreciation!$A$14:$L$18,12,FALSE),0))</f>
        <v>3.343407856743718E-2</v>
      </c>
      <c r="O332" s="307">
        <f t="shared" si="41"/>
        <v>4205334.1443190658</v>
      </c>
      <c r="P332" s="732">
        <f>'Func Future Subs 2015'!P332</f>
        <v>0</v>
      </c>
      <c r="Q332" s="732">
        <f>'Func Future Subs 2015'!Q332</f>
        <v>1</v>
      </c>
      <c r="R332" s="732">
        <f>'Func Future Subs 2015'!R332</f>
        <v>0</v>
      </c>
      <c r="S332" s="735">
        <f t="shared" si="42"/>
        <v>0</v>
      </c>
      <c r="T332" s="735">
        <f t="shared" si="43"/>
        <v>4205334.1443190658</v>
      </c>
      <c r="U332" s="735">
        <f t="shared" si="44"/>
        <v>0</v>
      </c>
      <c r="V332" s="736">
        <f t="shared" si="45"/>
        <v>0</v>
      </c>
      <c r="W332" s="735">
        <f t="shared" si="46"/>
        <v>0</v>
      </c>
      <c r="X332" s="737">
        <f t="shared" si="47"/>
        <v>0</v>
      </c>
      <c r="Y332" s="738">
        <f t="shared" si="48"/>
        <v>4205334.1443190658</v>
      </c>
    </row>
    <row r="333" spans="1:25">
      <c r="A333" s="754" t="str">
        <f>'Func Future Subs 2015'!A333</f>
        <v>Fox Creek 741S</v>
      </c>
      <c r="B333" s="754">
        <f>'Func Future Subs 2015'!B333</f>
        <v>1616</v>
      </c>
      <c r="C333" s="754">
        <f>'Func Future Subs 2015'!C333</f>
        <v>138</v>
      </c>
      <c r="D333" s="754">
        <f>'Func Future Subs 2015'!D333</f>
        <v>25</v>
      </c>
      <c r="E333" s="754" t="str">
        <f>'Func Future Subs 2015'!E333</f>
        <v>741S</v>
      </c>
      <c r="F333" s="754">
        <f>'Func Future Subs 2015'!F333</f>
        <v>1395036.0000000014</v>
      </c>
      <c r="G333" s="754" t="str">
        <f>'Func Future Subs 2015'!G333</f>
        <v>ATCO</v>
      </c>
      <c r="H333" s="754">
        <f>'Func Future Subs 2015'!H333</f>
        <v>2016</v>
      </c>
      <c r="I333" s="306">
        <f>+IF($H333=I$2,VLOOKUP($G333,Depreciation!$A$14:$L$18,7,FALSE)/2,IF($H333&lt;I$2,VLOOKUP($G333,Depreciation!$A$14:$L$18,7,FALSE),0))</f>
        <v>0</v>
      </c>
      <c r="J333" s="306">
        <f>+IF($H333=J$2,VLOOKUP($G333,Depreciation!$A$14:$L$18,8,FALSE)/2,IF($H333&lt;J$2,VLOOKUP($G333,Depreciation!$A$14:$L$18,8,FALSE),0))</f>
        <v>1.231622525054236E-2</v>
      </c>
      <c r="K333" s="306">
        <f>+IF($H333=K$2,VLOOKUP($G333,Depreciation!$A$14:$L$18,9,FALSE)/2,IF($H333&lt;K$2,VLOOKUP($G333,Depreciation!$A$14:$L$18,9,FALSE),0))</f>
        <v>2.4351536427798831E-2</v>
      </c>
      <c r="L333" s="306">
        <f>+IF($H333=L$2,VLOOKUP($G333,Depreciation!$A$14:$L$18,10,FALSE)/2,IF($H333&lt;L$2,VLOOKUP($G333,Depreciation!$A$14:$L$18,10,FALSE),0))</f>
        <v>2.4351536427798831E-2</v>
      </c>
      <c r="M333" s="306">
        <f>+IF($H333=M$2,VLOOKUP($G333,Depreciation!$A$14:$L$18,11,FALSE)/2,IF($H333&lt;M$2,VLOOKUP($G333,Depreciation!$A$14:$L$18,11,FALSE),0))</f>
        <v>2.4351536427798831E-2</v>
      </c>
      <c r="N333" s="306">
        <f>+IF($H333=N$2,VLOOKUP($G333,Depreciation!$A$14:$L$18,12,FALSE)/2,IF($H333&lt;N$2,VLOOKUP($G333,Depreciation!$A$14:$L$18,12,FALSE),0))</f>
        <v>2.4351536427798831E-2</v>
      </c>
      <c r="O333" s="307">
        <f t="shared" si="41"/>
        <v>1248466.2151497763</v>
      </c>
      <c r="P333" s="732">
        <f>'Func Future Subs 2015'!P333</f>
        <v>0</v>
      </c>
      <c r="Q333" s="732">
        <f>'Func Future Subs 2015'!Q333</f>
        <v>1</v>
      </c>
      <c r="R333" s="732">
        <f>'Func Future Subs 2015'!R333</f>
        <v>0</v>
      </c>
      <c r="S333" s="735">
        <f t="shared" si="42"/>
        <v>0</v>
      </c>
      <c r="T333" s="735">
        <f t="shared" si="43"/>
        <v>1248466.2151497763</v>
      </c>
      <c r="U333" s="735">
        <f t="shared" si="44"/>
        <v>0</v>
      </c>
      <c r="V333" s="736">
        <f t="shared" si="45"/>
        <v>0</v>
      </c>
      <c r="W333" s="735">
        <f t="shared" si="46"/>
        <v>0</v>
      </c>
      <c r="X333" s="737">
        <f t="shared" si="47"/>
        <v>0</v>
      </c>
      <c r="Y333" s="738">
        <f t="shared" si="48"/>
        <v>1248466.2151497763</v>
      </c>
    </row>
    <row r="334" spans="1:25">
      <c r="A334" s="754" t="str">
        <f>'Func Future Subs 2015'!A334</f>
        <v>Clairmont Lake 811S</v>
      </c>
      <c r="B334" s="754">
        <f>'Func Future Subs 2015'!B334</f>
        <v>1618</v>
      </c>
      <c r="C334" s="754">
        <f>'Func Future Subs 2015'!C334</f>
        <v>138</v>
      </c>
      <c r="D334" s="754">
        <f>'Func Future Subs 2015'!D334</f>
        <v>138</v>
      </c>
      <c r="E334" s="754" t="str">
        <f>'Func Future Subs 2015'!E334</f>
        <v>811S</v>
      </c>
      <c r="F334" s="754">
        <f>'Func Future Subs 2015'!F334</f>
        <v>400830.59344754874</v>
      </c>
      <c r="G334" s="754" t="str">
        <f>'Func Future Subs 2015'!G334</f>
        <v>ATCO</v>
      </c>
      <c r="H334" s="754">
        <f>'Func Future Subs 2015'!H334</f>
        <v>2017</v>
      </c>
      <c r="I334" s="306">
        <f>+IF($H334=I$2,VLOOKUP($G334,Depreciation!$A$14:$L$18,7,FALSE)/2,IF($H334&lt;I$2,VLOOKUP($G334,Depreciation!$A$14:$L$18,7,FALSE),0))</f>
        <v>0</v>
      </c>
      <c r="J334" s="306">
        <f>+IF($H334=J$2,VLOOKUP($G334,Depreciation!$A$14:$L$18,8,FALSE)/2,IF($H334&lt;J$2,VLOOKUP($G334,Depreciation!$A$14:$L$18,8,FALSE),0))</f>
        <v>0</v>
      </c>
      <c r="K334" s="306">
        <f>+IF($H334=K$2,VLOOKUP($G334,Depreciation!$A$14:$L$18,9,FALSE)/2,IF($H334&lt;K$2,VLOOKUP($G334,Depreciation!$A$14:$L$18,9,FALSE),0))</f>
        <v>1.2175768213899416E-2</v>
      </c>
      <c r="L334" s="306">
        <f>+IF($H334=L$2,VLOOKUP($G334,Depreciation!$A$14:$L$18,10,FALSE)/2,IF($H334&lt;L$2,VLOOKUP($G334,Depreciation!$A$14:$L$18,10,FALSE),0))</f>
        <v>2.4351536427798831E-2</v>
      </c>
      <c r="M334" s="306">
        <f>+IF($H334=M$2,VLOOKUP($G334,Depreciation!$A$14:$L$18,11,FALSE)/2,IF($H334&lt;M$2,VLOOKUP($G334,Depreciation!$A$14:$L$18,11,FALSE),0))</f>
        <v>2.4351536427798831E-2</v>
      </c>
      <c r="N334" s="306">
        <f>+IF($H334=N$2,VLOOKUP($G334,Depreciation!$A$14:$L$18,12,FALSE)/2,IF($H334&lt;N$2,VLOOKUP($G334,Depreciation!$A$14:$L$18,12,FALSE),0))</f>
        <v>2.4351536427798831E-2</v>
      </c>
      <c r="O334" s="307">
        <f t="shared" si="41"/>
        <v>367722.86236564285</v>
      </c>
      <c r="P334" s="732">
        <f>'Func Future Subs 2015'!P334</f>
        <v>0</v>
      </c>
      <c r="Q334" s="732">
        <f>'Func Future Subs 2015'!Q334</f>
        <v>0</v>
      </c>
      <c r="R334" s="732">
        <f>'Func Future Subs 2015'!R334</f>
        <v>1</v>
      </c>
      <c r="S334" s="735">
        <f t="shared" si="42"/>
        <v>0</v>
      </c>
      <c r="T334" s="735">
        <f t="shared" si="43"/>
        <v>0</v>
      </c>
      <c r="U334" s="735">
        <f t="shared" si="44"/>
        <v>367722.86236564285</v>
      </c>
      <c r="V334" s="736">
        <f t="shared" si="45"/>
        <v>0</v>
      </c>
      <c r="W334" s="735">
        <f t="shared" si="46"/>
        <v>0</v>
      </c>
      <c r="X334" s="737">
        <f t="shared" si="47"/>
        <v>367722.86236564285</v>
      </c>
      <c r="Y334" s="738">
        <f t="shared" si="48"/>
        <v>0</v>
      </c>
    </row>
    <row r="335" spans="1:25">
      <c r="A335" s="754" t="str">
        <f>'Func Future Subs 2015'!A335</f>
        <v>Mowat 233S</v>
      </c>
      <c r="B335" s="754">
        <f>'Func Future Subs 2015'!B335</f>
        <v>1618</v>
      </c>
      <c r="C335" s="754">
        <f>'Func Future Subs 2015'!C335</f>
        <v>144</v>
      </c>
      <c r="D335" s="754">
        <f>'Func Future Subs 2015'!D335</f>
        <v>25</v>
      </c>
      <c r="E335" s="754" t="str">
        <f>'Func Future Subs 2015'!E335</f>
        <v>233S</v>
      </c>
      <c r="F335" s="754">
        <f>'Func Future Subs 2015'!F335</f>
        <v>13185051.811204772</v>
      </c>
      <c r="G335" s="754" t="str">
        <f>'Func Future Subs 2015'!G335</f>
        <v>ATCO</v>
      </c>
      <c r="H335" s="754">
        <f>'Func Future Subs 2015'!H335</f>
        <v>2017</v>
      </c>
      <c r="I335" s="306">
        <f>+IF($H335=I$2,VLOOKUP($G335,Depreciation!$A$14:$L$18,7,FALSE)/2,IF($H335&lt;I$2,VLOOKUP($G335,Depreciation!$A$14:$L$18,7,FALSE),0))</f>
        <v>0</v>
      </c>
      <c r="J335" s="306">
        <f>+IF($H335=J$2,VLOOKUP($G335,Depreciation!$A$14:$L$18,8,FALSE)/2,IF($H335&lt;J$2,VLOOKUP($G335,Depreciation!$A$14:$L$18,8,FALSE),0))</f>
        <v>0</v>
      </c>
      <c r="K335" s="306">
        <f>+IF($H335=K$2,VLOOKUP($G335,Depreciation!$A$14:$L$18,9,FALSE)/2,IF($H335&lt;K$2,VLOOKUP($G335,Depreciation!$A$14:$L$18,9,FALSE),0))</f>
        <v>1.2175768213899416E-2</v>
      </c>
      <c r="L335" s="306">
        <f>+IF($H335=L$2,VLOOKUP($G335,Depreciation!$A$14:$L$18,10,FALSE)/2,IF($H335&lt;L$2,VLOOKUP($G335,Depreciation!$A$14:$L$18,10,FALSE),0))</f>
        <v>2.4351536427798831E-2</v>
      </c>
      <c r="M335" s="306">
        <f>+IF($H335=M$2,VLOOKUP($G335,Depreciation!$A$14:$L$18,11,FALSE)/2,IF($H335&lt;M$2,VLOOKUP($G335,Depreciation!$A$14:$L$18,11,FALSE),0))</f>
        <v>2.4351536427798831E-2</v>
      </c>
      <c r="N335" s="306">
        <f>+IF($H335=N$2,VLOOKUP($G335,Depreciation!$A$14:$L$18,12,FALSE)/2,IF($H335&lt;N$2,VLOOKUP($G335,Depreciation!$A$14:$L$18,12,FALSE),0))</f>
        <v>2.4351536427798831E-2</v>
      </c>
      <c r="O335" s="307">
        <f t="shared" si="41"/>
        <v>12095995.344951065</v>
      </c>
      <c r="P335" s="732">
        <f>'Func Future Subs 2015'!P335</f>
        <v>0</v>
      </c>
      <c r="Q335" s="732">
        <f>'Func Future Subs 2015'!Q335</f>
        <v>1</v>
      </c>
      <c r="R335" s="732">
        <f>'Func Future Subs 2015'!R335</f>
        <v>0</v>
      </c>
      <c r="S335" s="735">
        <f t="shared" si="42"/>
        <v>0</v>
      </c>
      <c r="T335" s="735">
        <f t="shared" si="43"/>
        <v>12095995.344951065</v>
      </c>
      <c r="U335" s="735">
        <f t="shared" si="44"/>
        <v>0</v>
      </c>
      <c r="V335" s="736">
        <f t="shared" si="45"/>
        <v>0</v>
      </c>
      <c r="W335" s="735">
        <f t="shared" si="46"/>
        <v>0</v>
      </c>
      <c r="X335" s="737">
        <f t="shared" si="47"/>
        <v>0</v>
      </c>
      <c r="Y335" s="738">
        <f t="shared" si="48"/>
        <v>12095995.344951065</v>
      </c>
    </row>
    <row r="336" spans="1:25">
      <c r="A336" s="754" t="str">
        <f>'Func Future Subs 2015'!A336</f>
        <v xml:space="preserve">Rycroft 730S </v>
      </c>
      <c r="B336" s="754">
        <f>'Func Future Subs 2015'!B336</f>
        <v>1618</v>
      </c>
      <c r="C336" s="754">
        <f>'Func Future Subs 2015'!C336</f>
        <v>144</v>
      </c>
      <c r="D336" s="754">
        <f>'Func Future Subs 2015'!D336</f>
        <v>25</v>
      </c>
      <c r="E336" s="754" t="str">
        <f>'Func Future Subs 2015'!E336</f>
        <v>730S</v>
      </c>
      <c r="F336" s="754">
        <f>'Func Future Subs 2015'!F336</f>
        <v>1174290.4338164157</v>
      </c>
      <c r="G336" s="754" t="str">
        <f>'Func Future Subs 2015'!G336</f>
        <v>ATCO</v>
      </c>
      <c r="H336" s="754">
        <f>'Func Future Subs 2015'!H336</f>
        <v>2017</v>
      </c>
      <c r="I336" s="306">
        <f>+IF($H336=I$2,VLOOKUP($G336,Depreciation!$A$14:$L$18,7,FALSE)/2,IF($H336&lt;I$2,VLOOKUP($G336,Depreciation!$A$14:$L$18,7,FALSE),0))</f>
        <v>0</v>
      </c>
      <c r="J336" s="306">
        <f>+IF($H336=J$2,VLOOKUP($G336,Depreciation!$A$14:$L$18,8,FALSE)/2,IF($H336&lt;J$2,VLOOKUP($G336,Depreciation!$A$14:$L$18,8,FALSE),0))</f>
        <v>0</v>
      </c>
      <c r="K336" s="306">
        <f>+IF($H336=K$2,VLOOKUP($G336,Depreciation!$A$14:$L$18,9,FALSE)/2,IF($H336&lt;K$2,VLOOKUP($G336,Depreciation!$A$14:$L$18,9,FALSE),0))</f>
        <v>1.2175768213899416E-2</v>
      </c>
      <c r="L336" s="306">
        <f>+IF($H336=L$2,VLOOKUP($G336,Depreciation!$A$14:$L$18,10,FALSE)/2,IF($H336&lt;L$2,VLOOKUP($G336,Depreciation!$A$14:$L$18,10,FALSE),0))</f>
        <v>2.4351536427798831E-2</v>
      </c>
      <c r="M336" s="306">
        <f>+IF($H336=M$2,VLOOKUP($G336,Depreciation!$A$14:$L$18,11,FALSE)/2,IF($H336&lt;M$2,VLOOKUP($G336,Depreciation!$A$14:$L$18,11,FALSE),0))</f>
        <v>2.4351536427798831E-2</v>
      </c>
      <c r="N336" s="306">
        <f>+IF($H336=N$2,VLOOKUP($G336,Depreciation!$A$14:$L$18,12,FALSE)/2,IF($H336&lt;N$2,VLOOKUP($G336,Depreciation!$A$14:$L$18,12,FALSE),0))</f>
        <v>2.4351536427798831E-2</v>
      </c>
      <c r="O336" s="307">
        <f t="shared" si="41"/>
        <v>1077296.6101652379</v>
      </c>
      <c r="P336" s="732">
        <f>'Func Future Subs 2015'!P336</f>
        <v>0</v>
      </c>
      <c r="Q336" s="732">
        <f>'Func Future Subs 2015'!Q336</f>
        <v>1</v>
      </c>
      <c r="R336" s="732">
        <f>'Func Future Subs 2015'!R336</f>
        <v>0</v>
      </c>
      <c r="S336" s="735">
        <f t="shared" si="42"/>
        <v>0</v>
      </c>
      <c r="T336" s="735">
        <f t="shared" si="43"/>
        <v>1077296.6101652379</v>
      </c>
      <c r="U336" s="735">
        <f t="shared" si="44"/>
        <v>0</v>
      </c>
      <c r="V336" s="736">
        <f t="shared" si="45"/>
        <v>0</v>
      </c>
      <c r="W336" s="735">
        <f t="shared" si="46"/>
        <v>0</v>
      </c>
      <c r="X336" s="737">
        <f t="shared" si="47"/>
        <v>0</v>
      </c>
      <c r="Y336" s="738">
        <f t="shared" si="48"/>
        <v>1077296.6101652379</v>
      </c>
    </row>
    <row r="337" spans="1:25">
      <c r="A337" s="754" t="str">
        <f>'Func Future Subs 2015'!A337</f>
        <v>Dome 810S_(v1)</v>
      </c>
      <c r="B337" s="754">
        <f>'Func Future Subs 2015'!B337</f>
        <v>1634</v>
      </c>
      <c r="C337" s="754">
        <f>'Func Future Subs 2015'!C337</f>
        <v>138</v>
      </c>
      <c r="D337" s="754">
        <f>'Func Future Subs 2015'!D337</f>
        <v>25</v>
      </c>
      <c r="E337" s="754" t="str">
        <f>'Func Future Subs 2015'!E337</f>
        <v>810S</v>
      </c>
      <c r="F337" s="754">
        <f>'Func Future Subs 2015'!F337</f>
        <v>39972.664599992102</v>
      </c>
      <c r="G337" s="754" t="str">
        <f>'Func Future Subs 2015'!G337</f>
        <v>ATCO</v>
      </c>
      <c r="H337" s="754">
        <f>'Func Future Subs 2015'!H337</f>
        <v>2016</v>
      </c>
      <c r="I337" s="306">
        <f>+IF($H337=I$2,VLOOKUP($G337,Depreciation!$A$14:$L$18,7,FALSE)/2,IF($H337&lt;I$2,VLOOKUP($G337,Depreciation!$A$14:$L$18,7,FALSE),0))</f>
        <v>0</v>
      </c>
      <c r="J337" s="306">
        <f>+IF($H337=J$2,VLOOKUP($G337,Depreciation!$A$14:$L$18,8,FALSE)/2,IF($H337&lt;J$2,VLOOKUP($G337,Depreciation!$A$14:$L$18,8,FALSE),0))</f>
        <v>1.231622525054236E-2</v>
      </c>
      <c r="K337" s="306">
        <f>+IF($H337=K$2,VLOOKUP($G337,Depreciation!$A$14:$L$18,9,FALSE)/2,IF($H337&lt;K$2,VLOOKUP($G337,Depreciation!$A$14:$L$18,9,FALSE),0))</f>
        <v>2.4351536427798831E-2</v>
      </c>
      <c r="L337" s="306">
        <f>+IF($H337=L$2,VLOOKUP($G337,Depreciation!$A$14:$L$18,10,FALSE)/2,IF($H337&lt;L$2,VLOOKUP($G337,Depreciation!$A$14:$L$18,10,FALSE),0))</f>
        <v>2.4351536427798831E-2</v>
      </c>
      <c r="M337" s="306">
        <f>+IF($H337=M$2,VLOOKUP($G337,Depreciation!$A$14:$L$18,11,FALSE)/2,IF($H337&lt;M$2,VLOOKUP($G337,Depreciation!$A$14:$L$18,11,FALSE),0))</f>
        <v>2.4351536427798831E-2</v>
      </c>
      <c r="N337" s="306">
        <f>+IF($H337=N$2,VLOOKUP($G337,Depreciation!$A$14:$L$18,12,FALSE)/2,IF($H337&lt;N$2,VLOOKUP($G337,Depreciation!$A$14:$L$18,12,FALSE),0))</f>
        <v>2.4351536427798831E-2</v>
      </c>
      <c r="O337" s="307">
        <f t="shared" si="41"/>
        <v>35772.927209479574</v>
      </c>
      <c r="P337" s="732">
        <f>'Func Future Subs 2015'!P337</f>
        <v>0</v>
      </c>
      <c r="Q337" s="732">
        <f>'Func Future Subs 2015'!Q337</f>
        <v>1</v>
      </c>
      <c r="R337" s="732">
        <f>'Func Future Subs 2015'!R337</f>
        <v>0</v>
      </c>
      <c r="S337" s="735">
        <f t="shared" si="42"/>
        <v>0</v>
      </c>
      <c r="T337" s="735">
        <f t="shared" si="43"/>
        <v>35772.927209479574</v>
      </c>
      <c r="U337" s="735">
        <f t="shared" si="44"/>
        <v>0</v>
      </c>
      <c r="V337" s="736">
        <f t="shared" si="45"/>
        <v>0</v>
      </c>
      <c r="W337" s="735">
        <f t="shared" si="46"/>
        <v>0</v>
      </c>
      <c r="X337" s="737">
        <f t="shared" si="47"/>
        <v>0</v>
      </c>
      <c r="Y337" s="738">
        <f t="shared" si="48"/>
        <v>35772.927209479574</v>
      </c>
    </row>
    <row r="338" spans="1:25">
      <c r="A338" s="754" t="str">
        <f>'Func Future Subs 2015'!A338</f>
        <v>HR Milner 740S_(v1)</v>
      </c>
      <c r="B338" s="754">
        <f>'Func Future Subs 2015'!B338</f>
        <v>1634</v>
      </c>
      <c r="C338" s="754">
        <f>'Func Future Subs 2015'!C338</f>
        <v>240</v>
      </c>
      <c r="D338" s="754">
        <f>'Func Future Subs 2015'!D338</f>
        <v>25</v>
      </c>
      <c r="E338" s="754" t="str">
        <f>'Func Future Subs 2015'!E338</f>
        <v>740S</v>
      </c>
      <c r="F338" s="754">
        <f>'Func Future Subs 2015'!F338</f>
        <v>56242.040999609831</v>
      </c>
      <c r="G338" s="754" t="str">
        <f>'Func Future Subs 2015'!G338</f>
        <v>ATCO</v>
      </c>
      <c r="H338" s="754">
        <f>'Func Future Subs 2015'!H338</f>
        <v>2016</v>
      </c>
      <c r="I338" s="306">
        <f>+IF($H338=I$2,VLOOKUP($G338,Depreciation!$A$14:$L$18,7,FALSE)/2,IF($H338&lt;I$2,VLOOKUP($G338,Depreciation!$A$14:$L$18,7,FALSE),0))</f>
        <v>0</v>
      </c>
      <c r="J338" s="306">
        <f>+IF($H338=J$2,VLOOKUP($G338,Depreciation!$A$14:$L$18,8,FALSE)/2,IF($H338&lt;J$2,VLOOKUP($G338,Depreciation!$A$14:$L$18,8,FALSE),0))</f>
        <v>1.231622525054236E-2</v>
      </c>
      <c r="K338" s="306">
        <f>+IF($H338=K$2,VLOOKUP($G338,Depreciation!$A$14:$L$18,9,FALSE)/2,IF($H338&lt;K$2,VLOOKUP($G338,Depreciation!$A$14:$L$18,9,FALSE),0))</f>
        <v>2.4351536427798831E-2</v>
      </c>
      <c r="L338" s="306">
        <f>+IF($H338=L$2,VLOOKUP($G338,Depreciation!$A$14:$L$18,10,FALSE)/2,IF($H338&lt;L$2,VLOOKUP($G338,Depreciation!$A$14:$L$18,10,FALSE),0))</f>
        <v>2.4351536427798831E-2</v>
      </c>
      <c r="M338" s="306">
        <f>+IF($H338=M$2,VLOOKUP($G338,Depreciation!$A$14:$L$18,11,FALSE)/2,IF($H338&lt;M$2,VLOOKUP($G338,Depreciation!$A$14:$L$18,11,FALSE),0))</f>
        <v>2.4351536427798831E-2</v>
      </c>
      <c r="N338" s="306">
        <f>+IF($H338=N$2,VLOOKUP($G338,Depreciation!$A$14:$L$18,12,FALSE)/2,IF($H338&lt;N$2,VLOOKUP($G338,Depreciation!$A$14:$L$18,12,FALSE),0))</f>
        <v>2.4351536427798831E-2</v>
      </c>
      <c r="O338" s="307">
        <f t="shared" si="41"/>
        <v>50332.957758137687</v>
      </c>
      <c r="P338" s="732">
        <f>'Func Future Subs 2015'!P338</f>
        <v>0.89437344274894326</v>
      </c>
      <c r="Q338" s="732">
        <f>'Func Future Subs 2015'!Q338</f>
        <v>0.10562655725105677</v>
      </c>
      <c r="R338" s="732">
        <f>'Func Future Subs 2015'!R338</f>
        <v>0</v>
      </c>
      <c r="S338" s="735">
        <f t="shared" si="42"/>
        <v>45016.460713882734</v>
      </c>
      <c r="T338" s="735">
        <f t="shared" si="43"/>
        <v>5316.497044254952</v>
      </c>
      <c r="U338" s="735">
        <f t="shared" si="44"/>
        <v>0</v>
      </c>
      <c r="V338" s="736">
        <f t="shared" si="45"/>
        <v>0</v>
      </c>
      <c r="W338" s="735">
        <f t="shared" si="46"/>
        <v>45016.460713882734</v>
      </c>
      <c r="X338" s="737">
        <f t="shared" si="47"/>
        <v>0</v>
      </c>
      <c r="Y338" s="738">
        <f t="shared" si="48"/>
        <v>5316.497044254952</v>
      </c>
    </row>
    <row r="339" spans="1:25">
      <c r="A339" s="754" t="str">
        <f>'Func Future Subs 2015'!A339</f>
        <v>Thorton POD 2091S_(v1)</v>
      </c>
      <c r="B339" s="754">
        <f>'Func Future Subs 2015'!B339</f>
        <v>1634</v>
      </c>
      <c r="C339" s="754">
        <f>'Func Future Subs 2015'!C339</f>
        <v>144</v>
      </c>
      <c r="D339" s="754">
        <f>'Func Future Subs 2015'!D339</f>
        <v>25</v>
      </c>
      <c r="E339" s="754" t="str">
        <f>'Func Future Subs 2015'!E339</f>
        <v>2091S</v>
      </c>
      <c r="F339" s="754">
        <f>'Func Future Subs 2015'!F339</f>
        <v>12550982.644961169</v>
      </c>
      <c r="G339" s="754" t="str">
        <f>'Func Future Subs 2015'!G339</f>
        <v>ATCO</v>
      </c>
      <c r="H339" s="754">
        <f>'Func Future Subs 2015'!H339</f>
        <v>2016</v>
      </c>
      <c r="I339" s="306">
        <f>+IF($H339=I$2,VLOOKUP($G339,Depreciation!$A$14:$L$18,7,FALSE)/2,IF($H339&lt;I$2,VLOOKUP($G339,Depreciation!$A$14:$L$18,7,FALSE),0))</f>
        <v>0</v>
      </c>
      <c r="J339" s="306">
        <f>+IF($H339=J$2,VLOOKUP($G339,Depreciation!$A$14:$L$18,8,FALSE)/2,IF($H339&lt;J$2,VLOOKUP($G339,Depreciation!$A$14:$L$18,8,FALSE),0))</f>
        <v>1.231622525054236E-2</v>
      </c>
      <c r="K339" s="306">
        <f>+IF($H339=K$2,VLOOKUP($G339,Depreciation!$A$14:$L$18,9,FALSE)/2,IF($H339&lt;K$2,VLOOKUP($G339,Depreciation!$A$14:$L$18,9,FALSE),0))</f>
        <v>2.4351536427798831E-2</v>
      </c>
      <c r="L339" s="306">
        <f>+IF($H339=L$2,VLOOKUP($G339,Depreciation!$A$14:$L$18,10,FALSE)/2,IF($H339&lt;L$2,VLOOKUP($G339,Depreciation!$A$14:$L$18,10,FALSE),0))</f>
        <v>2.4351536427798831E-2</v>
      </c>
      <c r="M339" s="306">
        <f>+IF($H339=M$2,VLOOKUP($G339,Depreciation!$A$14:$L$18,11,FALSE)/2,IF($H339&lt;M$2,VLOOKUP($G339,Depreciation!$A$14:$L$18,11,FALSE),0))</f>
        <v>2.4351536427798831E-2</v>
      </c>
      <c r="N339" s="306">
        <f>+IF($H339=N$2,VLOOKUP($G339,Depreciation!$A$14:$L$18,12,FALSE)/2,IF($H339&lt;N$2,VLOOKUP($G339,Depreciation!$A$14:$L$18,12,FALSE),0))</f>
        <v>2.4351536427798831E-2</v>
      </c>
      <c r="O339" s="307">
        <f t="shared" si="41"/>
        <v>11232310.706795512</v>
      </c>
      <c r="P339" s="732">
        <f>'Func Future Subs 2015'!P339</f>
        <v>0</v>
      </c>
      <c r="Q339" s="732">
        <f>'Func Future Subs 2015'!Q339</f>
        <v>0</v>
      </c>
      <c r="R339" s="732">
        <f>'Func Future Subs 2015'!R339</f>
        <v>1</v>
      </c>
      <c r="S339" s="735">
        <f t="shared" si="42"/>
        <v>0</v>
      </c>
      <c r="T339" s="735">
        <f t="shared" si="43"/>
        <v>0</v>
      </c>
      <c r="U339" s="735">
        <f t="shared" si="44"/>
        <v>11232310.706795512</v>
      </c>
      <c r="V339" s="736">
        <f t="shared" si="45"/>
        <v>0</v>
      </c>
      <c r="W339" s="735">
        <f t="shared" si="46"/>
        <v>0</v>
      </c>
      <c r="X339" s="737">
        <f t="shared" si="47"/>
        <v>0</v>
      </c>
      <c r="Y339" s="738">
        <f t="shared" si="48"/>
        <v>11232310.706795512</v>
      </c>
    </row>
    <row r="340" spans="1:25">
      <c r="A340" s="754" t="str">
        <f>'Func Future Subs 2015'!A340</f>
        <v>Boyle 56S substation</v>
      </c>
      <c r="B340" s="754">
        <f>'Func Future Subs 2015'!B340</f>
        <v>1636</v>
      </c>
      <c r="C340" s="754">
        <f>'Func Future Subs 2015'!C340</f>
        <v>138</v>
      </c>
      <c r="D340" s="754">
        <f>'Func Future Subs 2015'!D340</f>
        <v>25</v>
      </c>
      <c r="E340" s="754" t="str">
        <f>'Func Future Subs 2015'!E340</f>
        <v>56S</v>
      </c>
      <c r="F340" s="754">
        <f>'Func Future Subs 2015'!F340</f>
        <v>6332999.3866284983</v>
      </c>
      <c r="G340" s="754" t="str">
        <f>'Func Future Subs 2015'!G340</f>
        <v>AltaLink</v>
      </c>
      <c r="H340" s="754">
        <f>'Func Future Subs 2015'!H340</f>
        <v>2016</v>
      </c>
      <c r="I340" s="306">
        <f>+IF($H340=I$2,VLOOKUP($G340,Depreciation!$A$14:$L$18,7,FALSE)/2,IF($H340&lt;I$2,VLOOKUP($G340,Depreciation!$A$14:$L$18,7,FALSE),0))</f>
        <v>0</v>
      </c>
      <c r="J340" s="306">
        <f>+IF($H340=J$2,VLOOKUP($G340,Depreciation!$A$14:$L$18,8,FALSE)/2,IF($H340&lt;J$2,VLOOKUP($G340,Depreciation!$A$14:$L$18,8,FALSE),0))</f>
        <v>1.671703928371859E-2</v>
      </c>
      <c r="K340" s="306">
        <f>+IF($H340=K$2,VLOOKUP($G340,Depreciation!$A$14:$L$18,9,FALSE)/2,IF($H340&lt;K$2,VLOOKUP($G340,Depreciation!$A$14:$L$18,9,FALSE),0))</f>
        <v>3.343407856743718E-2</v>
      </c>
      <c r="L340" s="306">
        <f>+IF($H340=L$2,VLOOKUP($G340,Depreciation!$A$14:$L$18,10,FALSE)/2,IF($H340&lt;L$2,VLOOKUP($G340,Depreciation!$A$14:$L$18,10,FALSE),0))</f>
        <v>3.343407856743718E-2</v>
      </c>
      <c r="M340" s="306">
        <f>+IF($H340=M$2,VLOOKUP($G340,Depreciation!$A$14:$L$18,11,FALSE)/2,IF($H340&lt;M$2,VLOOKUP($G340,Depreciation!$A$14:$L$18,11,FALSE),0))</f>
        <v>3.343407856743718E-2</v>
      </c>
      <c r="N340" s="306">
        <f>+IF($H340=N$2,VLOOKUP($G340,Depreciation!$A$14:$L$18,12,FALSE)/2,IF($H340&lt;N$2,VLOOKUP($G340,Depreciation!$A$14:$L$18,12,FALSE),0))</f>
        <v>3.343407856743718E-2</v>
      </c>
      <c r="O340" s="307">
        <f t="shared" si="41"/>
        <v>5435179.2972531691</v>
      </c>
      <c r="P340" s="732">
        <f>'Func Future Subs 2015'!P340</f>
        <v>0</v>
      </c>
      <c r="Q340" s="732">
        <f>'Func Future Subs 2015'!Q340</f>
        <v>1</v>
      </c>
      <c r="R340" s="732">
        <f>'Func Future Subs 2015'!R340</f>
        <v>0</v>
      </c>
      <c r="S340" s="735">
        <f t="shared" si="42"/>
        <v>0</v>
      </c>
      <c r="T340" s="735">
        <f t="shared" si="43"/>
        <v>5435179.2972531691</v>
      </c>
      <c r="U340" s="735">
        <f t="shared" si="44"/>
        <v>0</v>
      </c>
      <c r="V340" s="736">
        <f t="shared" si="45"/>
        <v>0</v>
      </c>
      <c r="W340" s="735">
        <f t="shared" si="46"/>
        <v>0</v>
      </c>
      <c r="X340" s="737">
        <f t="shared" si="47"/>
        <v>0</v>
      </c>
      <c r="Y340" s="738">
        <f t="shared" si="48"/>
        <v>5435179.2972531691</v>
      </c>
    </row>
    <row r="341" spans="1:25">
      <c r="A341" s="754" t="str">
        <f>'Func Future Subs 2015'!A341</f>
        <v>Upgrade Benbow 397S</v>
      </c>
      <c r="B341" s="754">
        <f>'Func Future Subs 2015'!B341</f>
        <v>1638</v>
      </c>
      <c r="C341" s="754">
        <f>'Func Future Subs 2015'!C341</f>
        <v>138</v>
      </c>
      <c r="D341" s="754">
        <f>'Func Future Subs 2015'!D341</f>
        <v>25</v>
      </c>
      <c r="E341" s="754" t="str">
        <f>'Func Future Subs 2015'!E341</f>
        <v>397S</v>
      </c>
      <c r="F341" s="754">
        <f>'Func Future Subs 2015'!F341</f>
        <v>2192000.0000000009</v>
      </c>
      <c r="G341" s="754" t="str">
        <f>'Func Future Subs 2015'!G341</f>
        <v>AltaLink</v>
      </c>
      <c r="H341" s="754">
        <f>'Func Future Subs 2015'!H341</f>
        <v>2016</v>
      </c>
      <c r="I341" s="306">
        <f>+IF($H341=I$2,VLOOKUP($G341,Depreciation!$A$14:$L$18,7,FALSE)/2,IF($H341&lt;I$2,VLOOKUP($G341,Depreciation!$A$14:$L$18,7,FALSE),0))</f>
        <v>0</v>
      </c>
      <c r="J341" s="306">
        <f>+IF($H341=J$2,VLOOKUP($G341,Depreciation!$A$14:$L$18,8,FALSE)/2,IF($H341&lt;J$2,VLOOKUP($G341,Depreciation!$A$14:$L$18,8,FALSE),0))</f>
        <v>1.671703928371859E-2</v>
      </c>
      <c r="K341" s="306">
        <f>+IF($H341=K$2,VLOOKUP($G341,Depreciation!$A$14:$L$18,9,FALSE)/2,IF($H341&lt;K$2,VLOOKUP($G341,Depreciation!$A$14:$L$18,9,FALSE),0))</f>
        <v>3.343407856743718E-2</v>
      </c>
      <c r="L341" s="306">
        <f>+IF($H341=L$2,VLOOKUP($G341,Depreciation!$A$14:$L$18,10,FALSE)/2,IF($H341&lt;L$2,VLOOKUP($G341,Depreciation!$A$14:$L$18,10,FALSE),0))</f>
        <v>3.343407856743718E-2</v>
      </c>
      <c r="M341" s="306">
        <f>+IF($H341=M$2,VLOOKUP($G341,Depreciation!$A$14:$L$18,11,FALSE)/2,IF($H341&lt;M$2,VLOOKUP($G341,Depreciation!$A$14:$L$18,11,FALSE),0))</f>
        <v>3.343407856743718E-2</v>
      </c>
      <c r="N341" s="306">
        <f>+IF($H341=N$2,VLOOKUP($G341,Depreciation!$A$14:$L$18,12,FALSE)/2,IF($H341&lt;N$2,VLOOKUP($G341,Depreciation!$A$14:$L$18,12,FALSE),0))</f>
        <v>3.343407856743718E-2</v>
      </c>
      <c r="O341" s="307">
        <f t="shared" si="41"/>
        <v>1881243.3559892648</v>
      </c>
      <c r="P341" s="732">
        <f>'Func Future Subs 2015'!P341</f>
        <v>0</v>
      </c>
      <c r="Q341" s="732">
        <f>'Func Future Subs 2015'!Q341</f>
        <v>1</v>
      </c>
      <c r="R341" s="732">
        <f>'Func Future Subs 2015'!R341</f>
        <v>0</v>
      </c>
      <c r="S341" s="735">
        <f t="shared" si="42"/>
        <v>0</v>
      </c>
      <c r="T341" s="735">
        <f t="shared" si="43"/>
        <v>1881243.3559892648</v>
      </c>
      <c r="U341" s="735">
        <f t="shared" si="44"/>
        <v>0</v>
      </c>
      <c r="V341" s="736">
        <f t="shared" si="45"/>
        <v>0</v>
      </c>
      <c r="W341" s="735">
        <f t="shared" si="46"/>
        <v>0</v>
      </c>
      <c r="X341" s="737">
        <f t="shared" si="47"/>
        <v>0</v>
      </c>
      <c r="Y341" s="738">
        <f t="shared" si="48"/>
        <v>1881243.3559892648</v>
      </c>
    </row>
    <row r="342" spans="1:25">
      <c r="A342" s="754" t="str">
        <f>'Func Future Subs 2015'!A342</f>
        <v>Plamondon 353S</v>
      </c>
      <c r="B342" s="754">
        <f>'Func Future Subs 2015'!B342</f>
        <v>1640</v>
      </c>
      <c r="C342" s="754">
        <f>'Func Future Subs 2015'!C342</f>
        <v>138</v>
      </c>
      <c r="D342" s="754">
        <f>'Func Future Subs 2015'!D342</f>
        <v>25</v>
      </c>
      <c r="E342" s="754" t="str">
        <f>'Func Future Subs 2015'!E342</f>
        <v>353S</v>
      </c>
      <c r="F342" s="754">
        <f>'Func Future Subs 2015'!F342</f>
        <v>8107602.9999999944</v>
      </c>
      <c r="G342" s="754" t="str">
        <f>'Func Future Subs 2015'!G342</f>
        <v>AltaLink</v>
      </c>
      <c r="H342" s="754">
        <f>'Func Future Subs 2015'!H342</f>
        <v>2016</v>
      </c>
      <c r="I342" s="306">
        <f>+IF($H342=I$2,VLOOKUP($G342,Depreciation!$A$14:$L$18,7,FALSE)/2,IF($H342&lt;I$2,VLOOKUP($G342,Depreciation!$A$14:$L$18,7,FALSE),0))</f>
        <v>0</v>
      </c>
      <c r="J342" s="306">
        <f>+IF($H342=J$2,VLOOKUP($G342,Depreciation!$A$14:$L$18,8,FALSE)/2,IF($H342&lt;J$2,VLOOKUP($G342,Depreciation!$A$14:$L$18,8,FALSE),0))</f>
        <v>1.671703928371859E-2</v>
      </c>
      <c r="K342" s="306">
        <f>+IF($H342=K$2,VLOOKUP($G342,Depreciation!$A$14:$L$18,9,FALSE)/2,IF($H342&lt;K$2,VLOOKUP($G342,Depreciation!$A$14:$L$18,9,FALSE),0))</f>
        <v>3.343407856743718E-2</v>
      </c>
      <c r="L342" s="306">
        <f>+IF($H342=L$2,VLOOKUP($G342,Depreciation!$A$14:$L$18,10,FALSE)/2,IF($H342&lt;L$2,VLOOKUP($G342,Depreciation!$A$14:$L$18,10,FALSE),0))</f>
        <v>3.343407856743718E-2</v>
      </c>
      <c r="M342" s="306">
        <f>+IF($H342=M$2,VLOOKUP($G342,Depreciation!$A$14:$L$18,11,FALSE)/2,IF($H342&lt;M$2,VLOOKUP($G342,Depreciation!$A$14:$L$18,11,FALSE),0))</f>
        <v>3.343407856743718E-2</v>
      </c>
      <c r="N342" s="306">
        <f>+IF($H342=N$2,VLOOKUP($G342,Depreciation!$A$14:$L$18,12,FALSE)/2,IF($H342&lt;N$2,VLOOKUP($G342,Depreciation!$A$14:$L$18,12,FALSE),0))</f>
        <v>3.343407856743718E-2</v>
      </c>
      <c r="O342" s="307">
        <f t="shared" si="41"/>
        <v>6958199.9437721781</v>
      </c>
      <c r="P342" s="732">
        <f>'Func Future Subs 2015'!P342</f>
        <v>0</v>
      </c>
      <c r="Q342" s="732">
        <f>'Func Future Subs 2015'!Q342</f>
        <v>1</v>
      </c>
      <c r="R342" s="732">
        <f>'Func Future Subs 2015'!R342</f>
        <v>0</v>
      </c>
      <c r="S342" s="735">
        <f t="shared" si="42"/>
        <v>0</v>
      </c>
      <c r="T342" s="735">
        <f t="shared" si="43"/>
        <v>6958199.9437721781</v>
      </c>
      <c r="U342" s="735">
        <f t="shared" si="44"/>
        <v>0</v>
      </c>
      <c r="V342" s="736">
        <f t="shared" si="45"/>
        <v>0</v>
      </c>
      <c r="W342" s="735">
        <f t="shared" si="46"/>
        <v>0</v>
      </c>
      <c r="X342" s="737">
        <f t="shared" si="47"/>
        <v>0</v>
      </c>
      <c r="Y342" s="738">
        <f t="shared" si="48"/>
        <v>6958199.9437721781</v>
      </c>
    </row>
    <row r="343" spans="1:25">
      <c r="A343" s="754" t="str">
        <f>'Func Future Subs 2015'!A343</f>
        <v>Hughenden 213S</v>
      </c>
      <c r="B343" s="754">
        <f>'Func Future Subs 2015'!B343</f>
        <v>1642</v>
      </c>
      <c r="C343" s="754">
        <f>'Func Future Subs 2015'!C343</f>
        <v>138</v>
      </c>
      <c r="D343" s="754">
        <f>'Func Future Subs 2015'!D343</f>
        <v>25</v>
      </c>
      <c r="E343" s="754" t="str">
        <f>'Func Future Subs 2015'!E343</f>
        <v>213S</v>
      </c>
      <c r="F343" s="754">
        <f>'Func Future Subs 2015'!F343</f>
        <v>9130743.8789546061</v>
      </c>
      <c r="G343" s="754" t="str">
        <f>'Func Future Subs 2015'!G343</f>
        <v>AltaLink</v>
      </c>
      <c r="H343" s="754">
        <f>'Func Future Subs 2015'!H343</f>
        <v>2016</v>
      </c>
      <c r="I343" s="306">
        <f>+IF($H343=I$2,VLOOKUP($G343,Depreciation!$A$14:$L$18,7,FALSE)/2,IF($H343&lt;I$2,VLOOKUP($G343,Depreciation!$A$14:$L$18,7,FALSE),0))</f>
        <v>0</v>
      </c>
      <c r="J343" s="306">
        <f>+IF($H343=J$2,VLOOKUP($G343,Depreciation!$A$14:$L$18,8,FALSE)/2,IF($H343&lt;J$2,VLOOKUP($G343,Depreciation!$A$14:$L$18,8,FALSE),0))</f>
        <v>1.671703928371859E-2</v>
      </c>
      <c r="K343" s="306">
        <f>+IF($H343=K$2,VLOOKUP($G343,Depreciation!$A$14:$L$18,9,FALSE)/2,IF($H343&lt;K$2,VLOOKUP($G343,Depreciation!$A$14:$L$18,9,FALSE),0))</f>
        <v>3.343407856743718E-2</v>
      </c>
      <c r="L343" s="306">
        <f>+IF($H343=L$2,VLOOKUP($G343,Depreciation!$A$14:$L$18,10,FALSE)/2,IF($H343&lt;L$2,VLOOKUP($G343,Depreciation!$A$14:$L$18,10,FALSE),0))</f>
        <v>3.343407856743718E-2</v>
      </c>
      <c r="M343" s="306">
        <f>+IF($H343=M$2,VLOOKUP($G343,Depreciation!$A$14:$L$18,11,FALSE)/2,IF($H343&lt;M$2,VLOOKUP($G343,Depreciation!$A$14:$L$18,11,FALSE),0))</f>
        <v>3.343407856743718E-2</v>
      </c>
      <c r="N343" s="306">
        <f>+IF($H343=N$2,VLOOKUP($G343,Depreciation!$A$14:$L$18,12,FALSE)/2,IF($H343&lt;N$2,VLOOKUP($G343,Depreciation!$A$14:$L$18,12,FALSE),0))</f>
        <v>3.343407856743718E-2</v>
      </c>
      <c r="O343" s="307">
        <f t="shared" si="41"/>
        <v>7836291.6320816567</v>
      </c>
      <c r="P343" s="732">
        <f>'Func Future Subs 2015'!P343</f>
        <v>0</v>
      </c>
      <c r="Q343" s="732">
        <f>'Func Future Subs 2015'!Q343</f>
        <v>1</v>
      </c>
      <c r="R343" s="732">
        <f>'Func Future Subs 2015'!R343</f>
        <v>0</v>
      </c>
      <c r="S343" s="735">
        <f t="shared" si="42"/>
        <v>0</v>
      </c>
      <c r="T343" s="735">
        <f t="shared" si="43"/>
        <v>7836291.6320816567</v>
      </c>
      <c r="U343" s="735">
        <f t="shared" si="44"/>
        <v>0</v>
      </c>
      <c r="V343" s="736">
        <f t="shared" si="45"/>
        <v>0</v>
      </c>
      <c r="W343" s="735">
        <f t="shared" si="46"/>
        <v>0</v>
      </c>
      <c r="X343" s="737">
        <f t="shared" si="47"/>
        <v>0</v>
      </c>
      <c r="Y343" s="738">
        <f t="shared" si="48"/>
        <v>7836291.6320816567</v>
      </c>
    </row>
    <row r="344" spans="1:25">
      <c r="A344" s="754" t="str">
        <f>'Func Future Subs 2015'!A344</f>
        <v>Sunnybrook 510S</v>
      </c>
      <c r="B344" s="754">
        <f>'Func Future Subs 2015'!B344</f>
        <v>1655</v>
      </c>
      <c r="C344" s="754">
        <f>'Func Future Subs 2015'!C344</f>
        <v>500</v>
      </c>
      <c r="D344" s="754">
        <f>'Func Future Subs 2015'!D344</f>
        <v>500</v>
      </c>
      <c r="E344" s="754" t="str">
        <f>'Func Future Subs 2015'!E344</f>
        <v>510S</v>
      </c>
      <c r="F344" s="754">
        <f>'Func Future Subs 2015'!F344</f>
        <v>33890666.715976343</v>
      </c>
      <c r="G344" s="754" t="str">
        <f>'Func Future Subs 2015'!G344</f>
        <v>AltaLink</v>
      </c>
      <c r="H344" s="754">
        <f>'Func Future Subs 2015'!H344</f>
        <v>2018</v>
      </c>
      <c r="I344" s="306">
        <f>+IF($H344=I$2,VLOOKUP($G344,Depreciation!$A$14:$L$18,7,FALSE)/2,IF($H344&lt;I$2,VLOOKUP($G344,Depreciation!$A$14:$L$18,7,FALSE),0))</f>
        <v>0</v>
      </c>
      <c r="J344" s="306">
        <f>+IF($H344=J$2,VLOOKUP($G344,Depreciation!$A$14:$L$18,8,FALSE)/2,IF($H344&lt;J$2,VLOOKUP($G344,Depreciation!$A$14:$L$18,8,FALSE),0))</f>
        <v>0</v>
      </c>
      <c r="K344" s="306">
        <f>+IF($H344=K$2,VLOOKUP($G344,Depreciation!$A$14:$L$18,9,FALSE)/2,IF($H344&lt;K$2,VLOOKUP($G344,Depreciation!$A$14:$L$18,9,FALSE),0))</f>
        <v>0</v>
      </c>
      <c r="L344" s="306">
        <f>+IF($H344=L$2,VLOOKUP($G344,Depreciation!$A$14:$L$18,10,FALSE)/2,IF($H344&lt;L$2,VLOOKUP($G344,Depreciation!$A$14:$L$18,10,FALSE),0))</f>
        <v>1.671703928371859E-2</v>
      </c>
      <c r="M344" s="306">
        <f>+IF($H344=M$2,VLOOKUP($G344,Depreciation!$A$14:$L$18,11,FALSE)/2,IF($H344&lt;M$2,VLOOKUP($G344,Depreciation!$A$14:$L$18,11,FALSE),0))</f>
        <v>3.343407856743718E-2</v>
      </c>
      <c r="N344" s="306">
        <f>+IF($H344=N$2,VLOOKUP($G344,Depreciation!$A$14:$L$18,12,FALSE)/2,IF($H344&lt;N$2,VLOOKUP($G344,Depreciation!$A$14:$L$18,12,FALSE),0))</f>
        <v>3.343407856743718E-2</v>
      </c>
      <c r="O344" s="307">
        <f t="shared" si="41"/>
        <v>31133043.892813154</v>
      </c>
      <c r="P344" s="732">
        <f>'Func Future Subs 2015'!P344</f>
        <v>0</v>
      </c>
      <c r="Q344" s="732">
        <f>'Func Future Subs 2015'!Q344</f>
        <v>0</v>
      </c>
      <c r="R344" s="732">
        <f>'Func Future Subs 2015'!R344</f>
        <v>1</v>
      </c>
      <c r="S344" s="735">
        <f t="shared" si="42"/>
        <v>0</v>
      </c>
      <c r="T344" s="735">
        <f t="shared" si="43"/>
        <v>0</v>
      </c>
      <c r="U344" s="735">
        <f t="shared" si="44"/>
        <v>31133043.892813154</v>
      </c>
      <c r="V344" s="736">
        <f t="shared" si="45"/>
        <v>0</v>
      </c>
      <c r="W344" s="735">
        <f t="shared" si="46"/>
        <v>31133043.892813154</v>
      </c>
      <c r="X344" s="737">
        <f t="shared" si="47"/>
        <v>0</v>
      </c>
      <c r="Y344" s="738">
        <f t="shared" si="48"/>
        <v>0</v>
      </c>
    </row>
    <row r="345" spans="1:25">
      <c r="A345" s="754" t="str">
        <f>'Func Future Subs 2015'!A345</f>
        <v>High river 65S</v>
      </c>
      <c r="B345" s="754">
        <f>'Func Future Subs 2015'!B345</f>
        <v>1670</v>
      </c>
      <c r="C345" s="754">
        <f>'Func Future Subs 2015'!C345</f>
        <v>138</v>
      </c>
      <c r="D345" s="754">
        <f>'Func Future Subs 2015'!D345</f>
        <v>25</v>
      </c>
      <c r="E345" s="754" t="str">
        <f>'Func Future Subs 2015'!E345</f>
        <v>65S</v>
      </c>
      <c r="F345" s="754">
        <f>'Func Future Subs 2015'!F345</f>
        <v>2865685.0135288215</v>
      </c>
      <c r="G345" s="754" t="str">
        <f>'Func Future Subs 2015'!G345</f>
        <v>AltaLink</v>
      </c>
      <c r="H345" s="754">
        <f>'Func Future Subs 2015'!H345</f>
        <v>2018</v>
      </c>
      <c r="I345" s="306">
        <f>+IF($H345=I$2,VLOOKUP($G345,Depreciation!$A$14:$L$18,7,FALSE)/2,IF($H345&lt;I$2,VLOOKUP($G345,Depreciation!$A$14:$L$18,7,FALSE),0))</f>
        <v>0</v>
      </c>
      <c r="J345" s="306">
        <f>+IF($H345=J$2,VLOOKUP($G345,Depreciation!$A$14:$L$18,8,FALSE)/2,IF($H345&lt;J$2,VLOOKUP($G345,Depreciation!$A$14:$L$18,8,FALSE),0))</f>
        <v>0</v>
      </c>
      <c r="K345" s="306">
        <f>+IF($H345=K$2,VLOOKUP($G345,Depreciation!$A$14:$L$18,9,FALSE)/2,IF($H345&lt;K$2,VLOOKUP($G345,Depreciation!$A$14:$L$18,9,FALSE),0))</f>
        <v>0</v>
      </c>
      <c r="L345" s="306">
        <f>+IF($H345=L$2,VLOOKUP($G345,Depreciation!$A$14:$L$18,10,FALSE)/2,IF($H345&lt;L$2,VLOOKUP($G345,Depreciation!$A$14:$L$18,10,FALSE),0))</f>
        <v>1.671703928371859E-2</v>
      </c>
      <c r="M345" s="306">
        <f>+IF($H345=M$2,VLOOKUP($G345,Depreciation!$A$14:$L$18,11,FALSE)/2,IF($H345&lt;M$2,VLOOKUP($G345,Depreciation!$A$14:$L$18,11,FALSE),0))</f>
        <v>3.343407856743718E-2</v>
      </c>
      <c r="N345" s="306">
        <f>+IF($H345=N$2,VLOOKUP($G345,Depreciation!$A$14:$L$18,12,FALSE)/2,IF($H345&lt;N$2,VLOOKUP($G345,Depreciation!$A$14:$L$18,12,FALSE),0))</f>
        <v>3.343407856743718E-2</v>
      </c>
      <c r="O345" s="307">
        <f t="shared" si="41"/>
        <v>2632509.3589000357</v>
      </c>
      <c r="P345" s="732">
        <f>'Func Future Subs 2015'!P345</f>
        <v>0</v>
      </c>
      <c r="Q345" s="732">
        <f>'Func Future Subs 2015'!Q345</f>
        <v>1</v>
      </c>
      <c r="R345" s="732">
        <f>'Func Future Subs 2015'!R345</f>
        <v>0</v>
      </c>
      <c r="S345" s="735">
        <f t="shared" si="42"/>
        <v>0</v>
      </c>
      <c r="T345" s="735">
        <f t="shared" si="43"/>
        <v>2632509.3589000357</v>
      </c>
      <c r="U345" s="735">
        <f t="shared" si="44"/>
        <v>0</v>
      </c>
      <c r="V345" s="736">
        <f t="shared" si="45"/>
        <v>0</v>
      </c>
      <c r="W345" s="735">
        <f t="shared" si="46"/>
        <v>0</v>
      </c>
      <c r="X345" s="737">
        <f t="shared" si="47"/>
        <v>0</v>
      </c>
      <c r="Y345" s="738">
        <f t="shared" si="48"/>
        <v>2632509.3589000357</v>
      </c>
    </row>
    <row r="346" spans="1:25">
      <c r="A346" s="754" t="str">
        <f>'Func Future Subs 2015'!A346</f>
        <v>Okotoks 678S</v>
      </c>
      <c r="B346" s="754">
        <f>'Func Future Subs 2015'!B346</f>
        <v>1670</v>
      </c>
      <c r="C346" s="754">
        <f>'Func Future Subs 2015'!C346</f>
        <v>138</v>
      </c>
      <c r="D346" s="754">
        <f>'Func Future Subs 2015'!D346</f>
        <v>25</v>
      </c>
      <c r="E346" s="754" t="str">
        <f>'Func Future Subs 2015'!E346</f>
        <v>678S</v>
      </c>
      <c r="F346" s="754">
        <f>'Func Future Subs 2015'!F346</f>
        <v>17512173.986471187</v>
      </c>
      <c r="G346" s="754" t="str">
        <f>'Func Future Subs 2015'!G346</f>
        <v>AltaLink</v>
      </c>
      <c r="H346" s="754">
        <f>'Func Future Subs 2015'!H346</f>
        <v>2018</v>
      </c>
      <c r="I346" s="306">
        <f>+IF($H346=I$2,VLOOKUP($G346,Depreciation!$A$14:$L$18,7,FALSE)/2,IF($H346&lt;I$2,VLOOKUP($G346,Depreciation!$A$14:$L$18,7,FALSE),0))</f>
        <v>0</v>
      </c>
      <c r="J346" s="306">
        <f>+IF($H346=J$2,VLOOKUP($G346,Depreciation!$A$14:$L$18,8,FALSE)/2,IF($H346&lt;J$2,VLOOKUP($G346,Depreciation!$A$14:$L$18,8,FALSE),0))</f>
        <v>0</v>
      </c>
      <c r="K346" s="306">
        <f>+IF($H346=K$2,VLOOKUP($G346,Depreciation!$A$14:$L$18,9,FALSE)/2,IF($H346&lt;K$2,VLOOKUP($G346,Depreciation!$A$14:$L$18,9,FALSE),0))</f>
        <v>0</v>
      </c>
      <c r="L346" s="306">
        <f>+IF($H346=L$2,VLOOKUP($G346,Depreciation!$A$14:$L$18,10,FALSE)/2,IF($H346&lt;L$2,VLOOKUP($G346,Depreciation!$A$14:$L$18,10,FALSE),0))</f>
        <v>1.671703928371859E-2</v>
      </c>
      <c r="M346" s="306">
        <f>+IF($H346=M$2,VLOOKUP($G346,Depreciation!$A$14:$L$18,11,FALSE)/2,IF($H346&lt;M$2,VLOOKUP($G346,Depreciation!$A$14:$L$18,11,FALSE),0))</f>
        <v>3.343407856743718E-2</v>
      </c>
      <c r="N346" s="306">
        <f>+IF($H346=N$2,VLOOKUP($G346,Depreciation!$A$14:$L$18,12,FALSE)/2,IF($H346&lt;N$2,VLOOKUP($G346,Depreciation!$A$14:$L$18,12,FALSE),0))</f>
        <v>3.343407856743718E-2</v>
      </c>
      <c r="O346" s="307">
        <f t="shared" si="41"/>
        <v>16087239.768652087</v>
      </c>
      <c r="P346" s="732">
        <f>'Func Future Subs 2015'!P346</f>
        <v>0</v>
      </c>
      <c r="Q346" s="732">
        <f>'Func Future Subs 2015'!Q346</f>
        <v>1</v>
      </c>
      <c r="R346" s="732">
        <f>'Func Future Subs 2015'!R346</f>
        <v>0</v>
      </c>
      <c r="S346" s="735">
        <f t="shared" si="42"/>
        <v>0</v>
      </c>
      <c r="T346" s="735">
        <f t="shared" si="43"/>
        <v>16087239.768652087</v>
      </c>
      <c r="U346" s="735">
        <f t="shared" si="44"/>
        <v>0</v>
      </c>
      <c r="V346" s="736">
        <f t="shared" si="45"/>
        <v>0</v>
      </c>
      <c r="W346" s="735">
        <f t="shared" si="46"/>
        <v>0</v>
      </c>
      <c r="X346" s="737">
        <f t="shared" si="47"/>
        <v>0</v>
      </c>
      <c r="Y346" s="738">
        <f t="shared" si="48"/>
        <v>16087239.768652087</v>
      </c>
    </row>
    <row r="347" spans="1:25">
      <c r="A347" s="754" t="str">
        <f>'Func Future Subs 2015'!A347</f>
        <v>Cooking Lake 522S</v>
      </c>
      <c r="B347" s="754">
        <f>'Func Future Subs 2015'!B347</f>
        <v>1674</v>
      </c>
      <c r="C347" s="754">
        <f>'Func Future Subs 2015'!C347</f>
        <v>138</v>
      </c>
      <c r="D347" s="754">
        <f>'Func Future Subs 2015'!D347</f>
        <v>25</v>
      </c>
      <c r="E347" s="754" t="str">
        <f>'Func Future Subs 2015'!E347</f>
        <v>522S</v>
      </c>
      <c r="F347" s="754">
        <f>'Func Future Subs 2015'!F347</f>
        <v>9946465.9999999963</v>
      </c>
      <c r="G347" s="754" t="str">
        <f>'Func Future Subs 2015'!G347</f>
        <v>AltaLink</v>
      </c>
      <c r="H347" s="754">
        <f>'Func Future Subs 2015'!H347</f>
        <v>2018</v>
      </c>
      <c r="I347" s="306">
        <f>+IF($H347=I$2,VLOOKUP($G347,Depreciation!$A$14:$L$18,7,FALSE)/2,IF($H347&lt;I$2,VLOOKUP($G347,Depreciation!$A$14:$L$18,7,FALSE),0))</f>
        <v>0</v>
      </c>
      <c r="J347" s="306">
        <f>+IF($H347=J$2,VLOOKUP($G347,Depreciation!$A$14:$L$18,8,FALSE)/2,IF($H347&lt;J$2,VLOOKUP($G347,Depreciation!$A$14:$L$18,8,FALSE),0))</f>
        <v>0</v>
      </c>
      <c r="K347" s="306">
        <f>+IF($H347=K$2,VLOOKUP($G347,Depreciation!$A$14:$L$18,9,FALSE)/2,IF($H347&lt;K$2,VLOOKUP($G347,Depreciation!$A$14:$L$18,9,FALSE),0))</f>
        <v>0</v>
      </c>
      <c r="L347" s="306">
        <f>+IF($H347=L$2,VLOOKUP($G347,Depreciation!$A$14:$L$18,10,FALSE)/2,IF($H347&lt;L$2,VLOOKUP($G347,Depreciation!$A$14:$L$18,10,FALSE),0))</f>
        <v>1.671703928371859E-2</v>
      </c>
      <c r="M347" s="306">
        <f>+IF($H347=M$2,VLOOKUP($G347,Depreciation!$A$14:$L$18,11,FALSE)/2,IF($H347&lt;M$2,VLOOKUP($G347,Depreciation!$A$14:$L$18,11,FALSE),0))</f>
        <v>3.343407856743718E-2</v>
      </c>
      <c r="N347" s="306">
        <f>+IF($H347=N$2,VLOOKUP($G347,Depreciation!$A$14:$L$18,12,FALSE)/2,IF($H347&lt;N$2,VLOOKUP($G347,Depreciation!$A$14:$L$18,12,FALSE),0))</f>
        <v>3.343407856743718E-2</v>
      </c>
      <c r="O347" s="307">
        <f t="shared" si="41"/>
        <v>9137139.8843090776</v>
      </c>
      <c r="P347" s="732">
        <f>'Func Future Subs 2015'!P347</f>
        <v>0</v>
      </c>
      <c r="Q347" s="732">
        <f>'Func Future Subs 2015'!Q347</f>
        <v>1</v>
      </c>
      <c r="R347" s="732">
        <f>'Func Future Subs 2015'!R347</f>
        <v>0</v>
      </c>
      <c r="S347" s="735">
        <f t="shared" si="42"/>
        <v>0</v>
      </c>
      <c r="T347" s="735">
        <f t="shared" si="43"/>
        <v>9137139.8843090776</v>
      </c>
      <c r="U347" s="735">
        <f t="shared" si="44"/>
        <v>0</v>
      </c>
      <c r="V347" s="736">
        <f t="shared" si="45"/>
        <v>0</v>
      </c>
      <c r="W347" s="735">
        <f t="shared" si="46"/>
        <v>0</v>
      </c>
      <c r="X347" s="737">
        <f t="shared" si="47"/>
        <v>0</v>
      </c>
      <c r="Y347" s="738">
        <f t="shared" si="48"/>
        <v>9137139.8843090776</v>
      </c>
    </row>
    <row r="348" spans="1:25">
      <c r="A348" s="754" t="str">
        <f>'Func Future Subs 2015'!A348</f>
        <v>Empress 394S</v>
      </c>
      <c r="B348" s="754">
        <f>'Func Future Subs 2015'!B348</f>
        <v>1679</v>
      </c>
      <c r="C348" s="754">
        <f>'Func Future Subs 2015'!C348</f>
        <v>138</v>
      </c>
      <c r="D348" s="754">
        <f>'Func Future Subs 2015'!D348</f>
        <v>25</v>
      </c>
      <c r="E348" s="754" t="str">
        <f>'Func Future Subs 2015'!E348</f>
        <v>394S</v>
      </c>
      <c r="F348" s="754">
        <f>'Func Future Subs 2015'!F348</f>
        <v>2923999.9999999986</v>
      </c>
      <c r="G348" s="754" t="str">
        <f>'Func Future Subs 2015'!G348</f>
        <v>AltaLink</v>
      </c>
      <c r="H348" s="754">
        <f>'Func Future Subs 2015'!H348</f>
        <v>2017</v>
      </c>
      <c r="I348" s="306">
        <f>+IF($H348=I$2,VLOOKUP($G348,Depreciation!$A$14:$L$18,7,FALSE)/2,IF($H348&lt;I$2,VLOOKUP($G348,Depreciation!$A$14:$L$18,7,FALSE),0))</f>
        <v>0</v>
      </c>
      <c r="J348" s="306">
        <f>+IF($H348=J$2,VLOOKUP($G348,Depreciation!$A$14:$L$18,8,FALSE)/2,IF($H348&lt;J$2,VLOOKUP($G348,Depreciation!$A$14:$L$18,8,FALSE),0))</f>
        <v>0</v>
      </c>
      <c r="K348" s="306">
        <f>+IF($H348=K$2,VLOOKUP($G348,Depreciation!$A$14:$L$18,9,FALSE)/2,IF($H348&lt;K$2,VLOOKUP($G348,Depreciation!$A$14:$L$18,9,FALSE),0))</f>
        <v>1.671703928371859E-2</v>
      </c>
      <c r="L348" s="306">
        <f>+IF($H348=L$2,VLOOKUP($G348,Depreciation!$A$14:$L$18,10,FALSE)/2,IF($H348&lt;L$2,VLOOKUP($G348,Depreciation!$A$14:$L$18,10,FALSE),0))</f>
        <v>3.343407856743718E-2</v>
      </c>
      <c r="M348" s="306">
        <f>+IF($H348=M$2,VLOOKUP($G348,Depreciation!$A$14:$L$18,11,FALSE)/2,IF($H348&lt;M$2,VLOOKUP($G348,Depreciation!$A$14:$L$18,11,FALSE),0))</f>
        <v>3.343407856743718E-2</v>
      </c>
      <c r="N348" s="306">
        <f>+IF($H348=N$2,VLOOKUP($G348,Depreciation!$A$14:$L$18,12,FALSE)/2,IF($H348&lt;N$2,VLOOKUP($G348,Depreciation!$A$14:$L$18,12,FALSE),0))</f>
        <v>3.343407856743718E-2</v>
      </c>
      <c r="O348" s="307">
        <f t="shared" si="41"/>
        <v>2596272.7710736231</v>
      </c>
      <c r="P348" s="732">
        <f>'Func Future Subs 2015'!P348</f>
        <v>0</v>
      </c>
      <c r="Q348" s="732">
        <f>'Func Future Subs 2015'!Q348</f>
        <v>1</v>
      </c>
      <c r="R348" s="732">
        <f>'Func Future Subs 2015'!R348</f>
        <v>0</v>
      </c>
      <c r="S348" s="735">
        <f t="shared" si="42"/>
        <v>0</v>
      </c>
      <c r="T348" s="735">
        <f t="shared" si="43"/>
        <v>2596272.7710736231</v>
      </c>
      <c r="U348" s="735">
        <f t="shared" si="44"/>
        <v>0</v>
      </c>
      <c r="V348" s="736">
        <f t="shared" si="45"/>
        <v>0</v>
      </c>
      <c r="W348" s="735">
        <f t="shared" si="46"/>
        <v>0</v>
      </c>
      <c r="X348" s="737">
        <f t="shared" si="47"/>
        <v>0</v>
      </c>
      <c r="Y348" s="738">
        <f t="shared" si="48"/>
        <v>2596272.7710736231</v>
      </c>
    </row>
    <row r="349" spans="1:25">
      <c r="A349" s="754" t="str">
        <f>'Func Future Subs 2015'!A349</f>
        <v>Fortis Bullhead 523S</v>
      </c>
      <c r="B349" s="754">
        <f>'Func Future Subs 2015'!B349</f>
        <v>1681</v>
      </c>
      <c r="C349" s="754">
        <f>'Func Future Subs 2015'!C349</f>
        <v>138</v>
      </c>
      <c r="D349" s="754">
        <f>'Func Future Subs 2015'!D349</f>
        <v>25</v>
      </c>
      <c r="E349" s="754" t="str">
        <f>'Func Future Subs 2015'!E349</f>
        <v>523S</v>
      </c>
      <c r="F349" s="754">
        <f>'Func Future Subs 2015'!F349</f>
        <v>5565999.9999999972</v>
      </c>
      <c r="G349" s="754" t="str">
        <f>'Func Future Subs 2015'!G349</f>
        <v>AltaLink</v>
      </c>
      <c r="H349" s="754">
        <f>'Func Future Subs 2015'!H349</f>
        <v>2017</v>
      </c>
      <c r="I349" s="306">
        <f>+IF($H349=I$2,VLOOKUP($G349,Depreciation!$A$14:$L$18,7,FALSE)/2,IF($H349&lt;I$2,VLOOKUP($G349,Depreciation!$A$14:$L$18,7,FALSE),0))</f>
        <v>0</v>
      </c>
      <c r="J349" s="306">
        <f>+IF($H349=J$2,VLOOKUP($G349,Depreciation!$A$14:$L$18,8,FALSE)/2,IF($H349&lt;J$2,VLOOKUP($G349,Depreciation!$A$14:$L$18,8,FALSE),0))</f>
        <v>0</v>
      </c>
      <c r="K349" s="306">
        <f>+IF($H349=K$2,VLOOKUP($G349,Depreciation!$A$14:$L$18,9,FALSE)/2,IF($H349&lt;K$2,VLOOKUP($G349,Depreciation!$A$14:$L$18,9,FALSE),0))</f>
        <v>1.671703928371859E-2</v>
      </c>
      <c r="L349" s="306">
        <f>+IF($H349=L$2,VLOOKUP($G349,Depreciation!$A$14:$L$18,10,FALSE)/2,IF($H349&lt;L$2,VLOOKUP($G349,Depreciation!$A$14:$L$18,10,FALSE),0))</f>
        <v>3.343407856743718E-2</v>
      </c>
      <c r="M349" s="306">
        <f>+IF($H349=M$2,VLOOKUP($G349,Depreciation!$A$14:$L$18,11,FALSE)/2,IF($H349&lt;M$2,VLOOKUP($G349,Depreciation!$A$14:$L$18,11,FALSE),0))</f>
        <v>3.343407856743718E-2</v>
      </c>
      <c r="N349" s="306">
        <f>+IF($H349=N$2,VLOOKUP($G349,Depreciation!$A$14:$L$18,12,FALSE)/2,IF($H349&lt;N$2,VLOOKUP($G349,Depreciation!$A$14:$L$18,12,FALSE),0))</f>
        <v>3.343407856743718E-2</v>
      </c>
      <c r="O349" s="307">
        <f t="shared" si="41"/>
        <v>4942152.6141572464</v>
      </c>
      <c r="P349" s="732">
        <f>'Func Future Subs 2015'!P349</f>
        <v>0</v>
      </c>
      <c r="Q349" s="732">
        <f>'Func Future Subs 2015'!Q349</f>
        <v>1</v>
      </c>
      <c r="R349" s="732">
        <f>'Func Future Subs 2015'!R349</f>
        <v>0</v>
      </c>
      <c r="S349" s="735">
        <f t="shared" si="42"/>
        <v>0</v>
      </c>
      <c r="T349" s="735">
        <f t="shared" si="43"/>
        <v>4942152.6141572464</v>
      </c>
      <c r="U349" s="735">
        <f t="shared" si="44"/>
        <v>0</v>
      </c>
      <c r="V349" s="736">
        <f t="shared" si="45"/>
        <v>0</v>
      </c>
      <c r="W349" s="735">
        <f t="shared" si="46"/>
        <v>0</v>
      </c>
      <c r="X349" s="737">
        <f t="shared" si="47"/>
        <v>0</v>
      </c>
      <c r="Y349" s="738">
        <f t="shared" si="48"/>
        <v>4942152.6141572464</v>
      </c>
    </row>
    <row r="350" spans="1:25">
      <c r="A350" s="754" t="str">
        <f>'Func Future Subs 2015'!A350</f>
        <v>Fox creek substation</v>
      </c>
      <c r="B350" s="754">
        <f>'Func Future Subs 2015'!B350</f>
        <v>1722</v>
      </c>
      <c r="C350" s="754">
        <f>'Func Future Subs 2015'!C350</f>
        <v>144</v>
      </c>
      <c r="D350" s="754">
        <f>'Func Future Subs 2015'!D350</f>
        <v>0</v>
      </c>
      <c r="E350" s="754">
        <f>'Func Future Subs 2015'!E350</f>
        <v>0</v>
      </c>
      <c r="F350" s="754">
        <f>'Func Future Subs 2015'!F350</f>
        <v>4905391.5342857111</v>
      </c>
      <c r="G350" s="754" t="str">
        <f>'Func Future Subs 2015'!G350</f>
        <v>ATCO</v>
      </c>
      <c r="H350" s="754">
        <f>'Func Future Subs 2015'!H350</f>
        <v>2017</v>
      </c>
      <c r="I350" s="306">
        <f>+IF($H350=I$2,VLOOKUP($G350,Depreciation!$A$14:$L$18,7,FALSE)/2,IF($H350&lt;I$2,VLOOKUP($G350,Depreciation!$A$14:$L$18,7,FALSE),0))</f>
        <v>0</v>
      </c>
      <c r="J350" s="306">
        <f>+IF($H350=J$2,VLOOKUP($G350,Depreciation!$A$14:$L$18,8,FALSE)/2,IF($H350&lt;J$2,VLOOKUP($G350,Depreciation!$A$14:$L$18,8,FALSE),0))</f>
        <v>0</v>
      </c>
      <c r="K350" s="306">
        <f>+IF($H350=K$2,VLOOKUP($G350,Depreciation!$A$14:$L$18,9,FALSE)/2,IF($H350&lt;K$2,VLOOKUP($G350,Depreciation!$A$14:$L$18,9,FALSE),0))</f>
        <v>1.2175768213899416E-2</v>
      </c>
      <c r="L350" s="306">
        <f>+IF($H350=L$2,VLOOKUP($G350,Depreciation!$A$14:$L$18,10,FALSE)/2,IF($H350&lt;L$2,VLOOKUP($G350,Depreciation!$A$14:$L$18,10,FALSE),0))</f>
        <v>2.4351536427798831E-2</v>
      </c>
      <c r="M350" s="306">
        <f>+IF($H350=M$2,VLOOKUP($G350,Depreciation!$A$14:$L$18,11,FALSE)/2,IF($H350&lt;M$2,VLOOKUP($G350,Depreciation!$A$14:$L$18,11,FALSE),0))</f>
        <v>2.4351536427798831E-2</v>
      </c>
      <c r="N350" s="306">
        <f>+IF($H350=N$2,VLOOKUP($G350,Depreciation!$A$14:$L$18,12,FALSE)/2,IF($H350&lt;N$2,VLOOKUP($G350,Depreciation!$A$14:$L$18,12,FALSE),0))</f>
        <v>2.4351536427798831E-2</v>
      </c>
      <c r="O350" s="307">
        <f t="shared" si="41"/>
        <v>4500216.9133274406</v>
      </c>
      <c r="P350" s="732">
        <f>'Func Future Subs 2015'!P350</f>
        <v>0</v>
      </c>
      <c r="Q350" s="732">
        <f>'Func Future Subs 2015'!Q350</f>
        <v>0</v>
      </c>
      <c r="R350" s="732">
        <f>'Func Future Subs 2015'!R350</f>
        <v>1</v>
      </c>
      <c r="S350" s="735">
        <f t="shared" si="42"/>
        <v>0</v>
      </c>
      <c r="T350" s="735">
        <f t="shared" si="43"/>
        <v>0</v>
      </c>
      <c r="U350" s="735">
        <f t="shared" si="44"/>
        <v>4500216.9133274406</v>
      </c>
      <c r="V350" s="736">
        <f t="shared" si="45"/>
        <v>4500216.9133274406</v>
      </c>
      <c r="W350" s="735">
        <f t="shared" si="46"/>
        <v>0</v>
      </c>
      <c r="X350" s="737">
        <f t="shared" si="47"/>
        <v>0</v>
      </c>
      <c r="Y350" s="738">
        <f t="shared" si="48"/>
        <v>0</v>
      </c>
    </row>
    <row r="351" spans="1:25">
      <c r="A351" s="754" t="str">
        <f>'Func Future Subs 2015'!A351</f>
        <v>New Muir POD</v>
      </c>
      <c r="B351" s="754">
        <f>'Func Future Subs 2015'!B351</f>
        <v>1722</v>
      </c>
      <c r="C351" s="754">
        <f>'Func Future Subs 2015'!C351</f>
        <v>144</v>
      </c>
      <c r="D351" s="754">
        <f>'Func Future Subs 2015'!D351</f>
        <v>0</v>
      </c>
      <c r="E351" s="754">
        <f>'Func Future Subs 2015'!E351</f>
        <v>0</v>
      </c>
      <c r="F351" s="754">
        <f>'Func Future Subs 2015'!F351</f>
        <v>12202149.6335527</v>
      </c>
      <c r="G351" s="754" t="str">
        <f>'Func Future Subs 2015'!G351</f>
        <v>ATCO</v>
      </c>
      <c r="H351" s="754">
        <f>'Func Future Subs 2015'!H351</f>
        <v>2017</v>
      </c>
      <c r="I351" s="306">
        <f>+IF($H351=I$2,VLOOKUP($G351,Depreciation!$A$14:$L$18,7,FALSE)/2,IF($H351&lt;I$2,VLOOKUP($G351,Depreciation!$A$14:$L$18,7,FALSE),0))</f>
        <v>0</v>
      </c>
      <c r="J351" s="306">
        <f>+IF($H351=J$2,VLOOKUP($G351,Depreciation!$A$14:$L$18,8,FALSE)/2,IF($H351&lt;J$2,VLOOKUP($G351,Depreciation!$A$14:$L$18,8,FALSE),0))</f>
        <v>0</v>
      </c>
      <c r="K351" s="306">
        <f>+IF($H351=K$2,VLOOKUP($G351,Depreciation!$A$14:$L$18,9,FALSE)/2,IF($H351&lt;K$2,VLOOKUP($G351,Depreciation!$A$14:$L$18,9,FALSE),0))</f>
        <v>1.2175768213899416E-2</v>
      </c>
      <c r="L351" s="306">
        <f>+IF($H351=L$2,VLOOKUP($G351,Depreciation!$A$14:$L$18,10,FALSE)/2,IF($H351&lt;L$2,VLOOKUP($G351,Depreciation!$A$14:$L$18,10,FALSE),0))</f>
        <v>2.4351536427798831E-2</v>
      </c>
      <c r="M351" s="306">
        <f>+IF($H351=M$2,VLOOKUP($G351,Depreciation!$A$14:$L$18,11,FALSE)/2,IF($H351&lt;M$2,VLOOKUP($G351,Depreciation!$A$14:$L$18,11,FALSE),0))</f>
        <v>2.4351536427798831E-2</v>
      </c>
      <c r="N351" s="306">
        <f>+IF($H351=N$2,VLOOKUP($G351,Depreciation!$A$14:$L$18,12,FALSE)/2,IF($H351&lt;N$2,VLOOKUP($G351,Depreciation!$A$14:$L$18,12,FALSE),0))</f>
        <v>2.4351536427798831E-2</v>
      </c>
      <c r="O351" s="307">
        <f t="shared" si="41"/>
        <v>11194278.739232594</v>
      </c>
      <c r="P351" s="732">
        <f>'Func Future Subs 2015'!P351</f>
        <v>0</v>
      </c>
      <c r="Q351" s="732">
        <f>'Func Future Subs 2015'!Q351</f>
        <v>0</v>
      </c>
      <c r="R351" s="732">
        <f>'Func Future Subs 2015'!R351</f>
        <v>1</v>
      </c>
      <c r="S351" s="735">
        <f t="shared" si="42"/>
        <v>0</v>
      </c>
      <c r="T351" s="735">
        <f t="shared" si="43"/>
        <v>0</v>
      </c>
      <c r="U351" s="735">
        <f t="shared" si="44"/>
        <v>11194278.739232594</v>
      </c>
      <c r="V351" s="736">
        <f t="shared" si="45"/>
        <v>11194278.739232594</v>
      </c>
      <c r="W351" s="735">
        <f t="shared" si="46"/>
        <v>0</v>
      </c>
      <c r="X351" s="737">
        <f t="shared" si="47"/>
        <v>0</v>
      </c>
      <c r="Y351" s="738">
        <f t="shared" si="48"/>
        <v>0</v>
      </c>
    </row>
    <row r="352" spans="1:25">
      <c r="A352" s="754" t="str">
        <f>'Func Future Subs 2015'!A352</f>
        <v>Calgary Downtown</v>
      </c>
      <c r="B352" s="754">
        <f>'Func Future Subs 2015'!B352</f>
        <v>1456</v>
      </c>
      <c r="C352" s="754">
        <f>'Func Future Subs 2015'!C352</f>
        <v>138</v>
      </c>
      <c r="D352" s="754">
        <f>'Func Future Subs 2015'!D352</f>
        <v>25</v>
      </c>
      <c r="E352" s="754" t="str">
        <f>'Func Future Subs 2015'!E352</f>
        <v>SS-2</v>
      </c>
      <c r="F352" s="754">
        <f>'Func Future Subs 2015'!F352</f>
        <v>70361149.105234668</v>
      </c>
      <c r="G352" s="754" t="str">
        <f>'Func Future Subs 2015'!G352</f>
        <v>ENMAX</v>
      </c>
      <c r="H352" s="754">
        <f>'Func Future Subs 2015'!H352</f>
        <v>2020</v>
      </c>
      <c r="I352" s="306">
        <f>+IF($H352=I$2,VLOOKUP($G352,Depreciation!$A$14:$L$18,7,FALSE)/2,IF($H352&lt;I$2,VLOOKUP($G352,Depreciation!$A$14:$L$18,7,FALSE),0))</f>
        <v>0</v>
      </c>
      <c r="J352" s="306">
        <f>+IF($H352=J$2,VLOOKUP($G352,Depreciation!$A$14:$L$18,8,FALSE)/2,IF($H352&lt;J$2,VLOOKUP($G352,Depreciation!$A$14:$L$18,8,FALSE),0))</f>
        <v>0</v>
      </c>
      <c r="K352" s="306">
        <f>+IF($H352=K$2,VLOOKUP($G352,Depreciation!$A$14:$L$18,9,FALSE)/2,IF($H352&lt;K$2,VLOOKUP($G352,Depreciation!$A$14:$L$18,9,FALSE),0))</f>
        <v>0</v>
      </c>
      <c r="L352" s="306">
        <f>+IF($H352=L$2,VLOOKUP($G352,Depreciation!$A$14:$L$18,10,FALSE)/2,IF($H352&lt;L$2,VLOOKUP($G352,Depreciation!$A$14:$L$18,10,FALSE),0))</f>
        <v>0</v>
      </c>
      <c r="M352" s="306">
        <f>+IF($H352=M$2,VLOOKUP($G352,Depreciation!$A$14:$L$18,11,FALSE)/2,IF($H352&lt;M$2,VLOOKUP($G352,Depreciation!$A$14:$L$18,11,FALSE),0))</f>
        <v>0</v>
      </c>
      <c r="N352" s="306">
        <f>+IF($H352=N$2,VLOOKUP($G352,Depreciation!$A$14:$L$18,12,FALSE)/2,IF($H352&lt;N$2,VLOOKUP($G352,Depreciation!$A$14:$L$18,12,FALSE),0))</f>
        <v>1.3928409269726289E-2</v>
      </c>
      <c r="O352" s="307">
        <f t="shared" si="41"/>
        <v>69381130.223808721</v>
      </c>
      <c r="P352" s="732">
        <f>'Func Future Subs 2015'!P352</f>
        <v>0</v>
      </c>
      <c r="Q352" s="732">
        <f>'Func Future Subs 2015'!Q352</f>
        <v>1</v>
      </c>
      <c r="R352" s="732">
        <f>'Func Future Subs 2015'!R352</f>
        <v>0</v>
      </c>
      <c r="S352" s="735">
        <f t="shared" si="42"/>
        <v>0</v>
      </c>
      <c r="T352" s="735">
        <f t="shared" si="43"/>
        <v>69381130.223808721</v>
      </c>
      <c r="U352" s="735">
        <f t="shared" si="44"/>
        <v>0</v>
      </c>
      <c r="V352" s="736">
        <f t="shared" si="45"/>
        <v>0</v>
      </c>
      <c r="W352" s="735">
        <f t="shared" si="46"/>
        <v>0</v>
      </c>
      <c r="X352" s="737">
        <f t="shared" si="47"/>
        <v>0</v>
      </c>
      <c r="Y352" s="738">
        <f t="shared" si="48"/>
        <v>69381130.223808721</v>
      </c>
    </row>
    <row r="353" spans="1:25">
      <c r="A353" s="754" t="str">
        <f>'Func Future Subs 2015'!A353</f>
        <v>PENV</v>
      </c>
      <c r="B353" s="754">
        <f>'Func Future Subs 2015'!B353</f>
        <v>1781</v>
      </c>
      <c r="C353" s="754">
        <f>'Func Future Subs 2015'!C353</f>
        <v>240</v>
      </c>
      <c r="D353" s="754">
        <f>'Func Future Subs 2015'!D353</f>
        <v>144</v>
      </c>
      <c r="E353" s="754">
        <f>'Func Future Subs 2015'!E353</f>
        <v>0</v>
      </c>
      <c r="F353" s="754">
        <f>'Func Future Subs 2015'!F353</f>
        <v>25938027.308870837</v>
      </c>
      <c r="G353" s="754" t="str">
        <f>'Func Future Subs 2015'!G353</f>
        <v>AltaLink</v>
      </c>
      <c r="H353" s="754">
        <f>'Func Future Subs 2015'!H353</f>
        <v>2021</v>
      </c>
      <c r="I353" s="306">
        <f>+IF($H353=I$2,VLOOKUP($G353,Depreciation!$A$14:$L$18,7,FALSE)/2,IF($H353&lt;I$2,VLOOKUP($G353,Depreciation!$A$14:$L$18,7,FALSE),0))</f>
        <v>0</v>
      </c>
      <c r="J353" s="306">
        <f>+IF($H353=J$2,VLOOKUP($G353,Depreciation!$A$14:$L$18,8,FALSE)/2,IF($H353&lt;J$2,VLOOKUP($G353,Depreciation!$A$14:$L$18,8,FALSE),0))</f>
        <v>0</v>
      </c>
      <c r="K353" s="306">
        <f>+IF($H353=K$2,VLOOKUP($G353,Depreciation!$A$14:$L$18,9,FALSE)/2,IF($H353&lt;K$2,VLOOKUP($G353,Depreciation!$A$14:$L$18,9,FALSE),0))</f>
        <v>0</v>
      </c>
      <c r="L353" s="306">
        <f>+IF($H353=L$2,VLOOKUP($G353,Depreciation!$A$14:$L$18,10,FALSE)/2,IF($H353&lt;L$2,VLOOKUP($G353,Depreciation!$A$14:$L$18,10,FALSE),0))</f>
        <v>0</v>
      </c>
      <c r="M353" s="306">
        <f>+IF($H353=M$2,VLOOKUP($G353,Depreciation!$A$14:$L$18,11,FALSE)/2,IF($H353&lt;M$2,VLOOKUP($G353,Depreciation!$A$14:$L$18,11,FALSE),0))</f>
        <v>0</v>
      </c>
      <c r="N353" s="306">
        <f>+IF($H353=N$2,VLOOKUP($G353,Depreciation!$A$14:$L$18,12,FALSE)/2,IF($H353&lt;N$2,VLOOKUP($G353,Depreciation!$A$14:$L$18,12,FALSE),0))</f>
        <v>0</v>
      </c>
      <c r="O353" s="307">
        <f t="shared" si="41"/>
        <v>0</v>
      </c>
      <c r="P353" s="732">
        <f>'Func Future Subs 2015'!P353</f>
        <v>0</v>
      </c>
      <c r="Q353" s="732">
        <f>'Func Future Subs 2015'!Q353</f>
        <v>0</v>
      </c>
      <c r="R353" s="732">
        <f>'Func Future Subs 2015'!R353</f>
        <v>1</v>
      </c>
      <c r="S353" s="735">
        <f t="shared" si="42"/>
        <v>0</v>
      </c>
      <c r="T353" s="735">
        <f t="shared" si="43"/>
        <v>0</v>
      </c>
      <c r="U353" s="735">
        <f t="shared" si="44"/>
        <v>0</v>
      </c>
      <c r="V353" s="736">
        <f t="shared" si="45"/>
        <v>0</v>
      </c>
      <c r="W353" s="735">
        <f t="shared" si="46"/>
        <v>0</v>
      </c>
      <c r="X353" s="737">
        <f t="shared" si="47"/>
        <v>0</v>
      </c>
      <c r="Y353" s="738">
        <f t="shared" si="48"/>
        <v>0</v>
      </c>
    </row>
    <row r="354" spans="1:25">
      <c r="A354" s="754" t="str">
        <f>'Func Future Subs 2015'!A354</f>
        <v>PENV</v>
      </c>
      <c r="B354" s="754">
        <f>'Func Future Subs 2015'!B354</f>
        <v>1781</v>
      </c>
      <c r="C354" s="754">
        <f>'Func Future Subs 2015'!C354</f>
        <v>240</v>
      </c>
      <c r="D354" s="754">
        <f>'Func Future Subs 2015'!D354</f>
        <v>144</v>
      </c>
      <c r="E354" s="754">
        <f>'Func Future Subs 2015'!E354</f>
        <v>0</v>
      </c>
      <c r="F354" s="754">
        <f>'Func Future Subs 2015'!F354</f>
        <v>22116340.596381165</v>
      </c>
      <c r="G354" s="754" t="str">
        <f>'Func Future Subs 2015'!G354</f>
        <v>ATCO</v>
      </c>
      <c r="H354" s="754">
        <f>'Func Future Subs 2015'!H354</f>
        <v>2021</v>
      </c>
      <c r="I354" s="306">
        <f>+IF($H354=I$2,VLOOKUP($G354,Depreciation!$A$14:$L$18,7,FALSE)/2,IF($H354&lt;I$2,VLOOKUP($G354,Depreciation!$A$14:$L$18,7,FALSE),0))</f>
        <v>0</v>
      </c>
      <c r="J354" s="306">
        <f>+IF($H354=J$2,VLOOKUP($G354,Depreciation!$A$14:$L$18,8,FALSE)/2,IF($H354&lt;J$2,VLOOKUP($G354,Depreciation!$A$14:$L$18,8,FALSE),0))</f>
        <v>0</v>
      </c>
      <c r="K354" s="306">
        <f>+IF($H354=K$2,VLOOKUP($G354,Depreciation!$A$14:$L$18,9,FALSE)/2,IF($H354&lt;K$2,VLOOKUP($G354,Depreciation!$A$14:$L$18,9,FALSE),0))</f>
        <v>0</v>
      </c>
      <c r="L354" s="306">
        <f>+IF($H354=L$2,VLOOKUP($G354,Depreciation!$A$14:$L$18,10,FALSE)/2,IF($H354&lt;L$2,VLOOKUP($G354,Depreciation!$A$14:$L$18,10,FALSE),0))</f>
        <v>0</v>
      </c>
      <c r="M354" s="306">
        <f>+IF($H354=M$2,VLOOKUP($G354,Depreciation!$A$14:$L$18,11,FALSE)/2,IF($H354&lt;M$2,VLOOKUP($G354,Depreciation!$A$14:$L$18,11,FALSE),0))</f>
        <v>0</v>
      </c>
      <c r="N354" s="306">
        <f>+IF($H354=N$2,VLOOKUP($G354,Depreciation!$A$14:$L$18,12,FALSE)/2,IF($H354&lt;N$2,VLOOKUP($G354,Depreciation!$A$14:$L$18,12,FALSE),0))</f>
        <v>0</v>
      </c>
      <c r="O354" s="307">
        <f t="shared" si="41"/>
        <v>0</v>
      </c>
      <c r="P354" s="732">
        <f>'Func Future Subs 2015'!P354</f>
        <v>0</v>
      </c>
      <c r="Q354" s="732">
        <f>'Func Future Subs 2015'!Q354</f>
        <v>0</v>
      </c>
      <c r="R354" s="732">
        <f>'Func Future Subs 2015'!R354</f>
        <v>1</v>
      </c>
      <c r="S354" s="735">
        <f t="shared" si="42"/>
        <v>0</v>
      </c>
      <c r="T354" s="735">
        <f t="shared" si="43"/>
        <v>0</v>
      </c>
      <c r="U354" s="735">
        <f t="shared" si="44"/>
        <v>0</v>
      </c>
      <c r="V354" s="736">
        <f t="shared" si="45"/>
        <v>0</v>
      </c>
      <c r="W354" s="735">
        <f t="shared" si="46"/>
        <v>0</v>
      </c>
      <c r="X354" s="737">
        <f t="shared" si="47"/>
        <v>0</v>
      </c>
      <c r="Y354" s="738">
        <f t="shared" si="48"/>
        <v>0</v>
      </c>
    </row>
    <row r="355" spans="1:25">
      <c r="I355" s="319"/>
      <c r="J355" s="319"/>
      <c r="K355" s="319"/>
      <c r="L355" s="319"/>
      <c r="M355" s="319"/>
      <c r="N355" s="319"/>
      <c r="O355" s="320"/>
      <c r="P355" s="755"/>
      <c r="Q355" s="755"/>
      <c r="R355" s="755"/>
      <c r="S355" s="756"/>
      <c r="T355" s="756"/>
      <c r="U355" s="756"/>
      <c r="V355" s="756"/>
      <c r="W355" s="756"/>
      <c r="X355" s="756"/>
      <c r="Y355" s="756"/>
    </row>
    <row r="356" spans="1:25">
      <c r="F356" s="322">
        <f>SUM(F3:F355)</f>
        <v>3497345536.4569278</v>
      </c>
      <c r="O356" s="601">
        <f>SUM(O3:O355)</f>
        <v>3003076487.6022167</v>
      </c>
      <c r="P356" s="601"/>
      <c r="Q356" s="601"/>
      <c r="R356" s="601"/>
      <c r="S356" s="601">
        <f t="shared" ref="S356:Y356" si="49">SUM(S3:S355)</f>
        <v>79245783.474145174</v>
      </c>
      <c r="T356" s="601">
        <f t="shared" si="49"/>
        <v>592091650.60745788</v>
      </c>
      <c r="U356" s="601">
        <f t="shared" si="49"/>
        <v>2331739053.5206127</v>
      </c>
      <c r="V356" s="601">
        <f t="shared" si="49"/>
        <v>200238670.25615031</v>
      </c>
      <c r="W356" s="601">
        <f t="shared" si="49"/>
        <v>1456734689.6687403</v>
      </c>
      <c r="X356" s="601">
        <f t="shared" si="49"/>
        <v>608097689.78330362</v>
      </c>
      <c r="Y356" s="601">
        <f t="shared" si="49"/>
        <v>738005437.89402008</v>
      </c>
    </row>
    <row r="357" spans="1:25">
      <c r="F357" s="322">
        <f>SUMIF(H3:H355,"&lt;=2020",F3:F355)</f>
        <v>3449291168.5516758</v>
      </c>
      <c r="O357" s="601"/>
      <c r="P357" s="601"/>
      <c r="Q357" s="601"/>
      <c r="R357" s="601"/>
      <c r="S357" s="601"/>
      <c r="T357" s="601"/>
      <c r="U357" s="601"/>
      <c r="V357" s="601"/>
      <c r="W357" s="601"/>
      <c r="X357" s="601"/>
      <c r="Y357" s="601"/>
    </row>
    <row r="358" spans="1:25">
      <c r="O358" s="601"/>
      <c r="P358" s="601"/>
      <c r="Q358" s="601"/>
      <c r="R358" s="601"/>
      <c r="S358" s="601"/>
      <c r="T358" s="601"/>
      <c r="U358" s="601"/>
      <c r="V358" s="601">
        <f>SUM(S356:U356)-V356</f>
        <v>2802837817.3460655</v>
      </c>
      <c r="W358" s="601"/>
      <c r="X358" s="601"/>
      <c r="Y358" s="601">
        <f>SUM(W356:Y356)</f>
        <v>2802837817.3460641</v>
      </c>
    </row>
    <row r="359" spans="1:25">
      <c r="P359" s="627"/>
      <c r="Q359" s="627"/>
      <c r="R359" s="627"/>
      <c r="S359" s="627"/>
      <c r="T359" s="627"/>
      <c r="U359" s="627"/>
      <c r="V359" s="627"/>
      <c r="W359" s="627"/>
      <c r="X359" s="627"/>
      <c r="Y359" s="627"/>
    </row>
    <row r="360" spans="1:25">
      <c r="P360" s="627"/>
      <c r="Q360" s="627"/>
      <c r="R360" s="627"/>
      <c r="S360" s="627"/>
      <c r="T360" s="627"/>
      <c r="U360" s="627"/>
      <c r="V360" s="627"/>
      <c r="W360" s="627"/>
      <c r="X360" s="627"/>
      <c r="Y360" s="627"/>
    </row>
    <row r="361" spans="1:25">
      <c r="P361" s="627"/>
      <c r="Q361" s="627"/>
      <c r="R361" s="627"/>
      <c r="S361" s="627"/>
      <c r="T361" s="627"/>
      <c r="U361" s="627"/>
      <c r="V361" s="627"/>
      <c r="W361" s="627"/>
      <c r="X361" s="627"/>
      <c r="Y361" s="627"/>
    </row>
    <row r="362" spans="1:25">
      <c r="P362" s="627"/>
      <c r="Q362" s="627"/>
      <c r="R362" s="627"/>
      <c r="S362" s="627"/>
      <c r="T362" s="627"/>
      <c r="U362" s="627"/>
      <c r="V362" s="627"/>
      <c r="W362" s="627"/>
      <c r="X362" s="627"/>
      <c r="Y362" s="627"/>
    </row>
    <row r="363" spans="1:25">
      <c r="P363" s="627"/>
      <c r="Q363" s="627"/>
      <c r="R363" s="627"/>
      <c r="S363" s="627"/>
      <c r="T363" s="627"/>
      <c r="U363" s="627"/>
      <c r="V363" s="627"/>
      <c r="W363" s="627"/>
      <c r="X363" s="627"/>
      <c r="Y363" s="627"/>
    </row>
    <row r="364" spans="1:25">
      <c r="P364" s="627"/>
      <c r="Q364" s="627"/>
      <c r="R364" s="627"/>
      <c r="S364" s="627"/>
      <c r="T364" s="627"/>
      <c r="U364" s="627"/>
      <c r="V364" s="627"/>
      <c r="W364" s="627"/>
      <c r="X364" s="627"/>
      <c r="Y364" s="627"/>
    </row>
    <row r="365" spans="1:25">
      <c r="P365" s="627"/>
      <c r="Q365" s="627"/>
      <c r="R365" s="627"/>
      <c r="S365" s="627"/>
      <c r="T365" s="627"/>
      <c r="U365" s="627"/>
      <c r="V365" s="627"/>
      <c r="W365" s="627"/>
      <c r="X365" s="627"/>
      <c r="Y365" s="627"/>
    </row>
    <row r="366" spans="1:25">
      <c r="P366" s="627"/>
      <c r="Q366" s="627"/>
      <c r="R366" s="627"/>
      <c r="S366" s="627"/>
      <c r="T366" s="627"/>
      <c r="U366" s="627"/>
      <c r="V366" s="627"/>
      <c r="W366" s="627"/>
      <c r="X366" s="627"/>
      <c r="Y366" s="627"/>
    </row>
    <row r="367" spans="1:25">
      <c r="P367" s="627"/>
      <c r="Q367" s="627"/>
      <c r="R367" s="627"/>
      <c r="S367" s="627"/>
      <c r="T367" s="627"/>
      <c r="U367" s="627"/>
      <c r="V367" s="627"/>
      <c r="W367" s="627"/>
      <c r="X367" s="627"/>
      <c r="Y367" s="627"/>
    </row>
    <row r="368" spans="1:25">
      <c r="P368" s="627"/>
      <c r="Q368" s="627"/>
      <c r="R368" s="627"/>
      <c r="S368" s="627"/>
      <c r="T368" s="627"/>
      <c r="U368" s="627"/>
      <c r="V368" s="627"/>
      <c r="W368" s="627"/>
      <c r="X368" s="627"/>
      <c r="Y368" s="627"/>
    </row>
    <row r="369" spans="16:25">
      <c r="P369" s="627"/>
      <c r="Q369" s="627"/>
      <c r="R369" s="627"/>
      <c r="S369" s="627"/>
      <c r="T369" s="627"/>
      <c r="U369" s="627"/>
      <c r="V369" s="627"/>
      <c r="W369" s="627"/>
      <c r="X369" s="627"/>
      <c r="Y369" s="627"/>
    </row>
    <row r="370" spans="16:25">
      <c r="P370" s="627"/>
      <c r="Q370" s="627"/>
      <c r="R370" s="627"/>
      <c r="S370" s="627"/>
      <c r="T370" s="627"/>
      <c r="U370" s="627"/>
      <c r="V370" s="627"/>
      <c r="W370" s="627"/>
      <c r="X370" s="627"/>
      <c r="Y370" s="627"/>
    </row>
    <row r="371" spans="16:25">
      <c r="P371" s="627"/>
      <c r="Q371" s="627"/>
      <c r="R371" s="627"/>
      <c r="S371" s="627"/>
      <c r="T371" s="627"/>
      <c r="U371" s="627"/>
      <c r="V371" s="627"/>
      <c r="W371" s="627"/>
      <c r="X371" s="627"/>
      <c r="Y371" s="627"/>
    </row>
    <row r="372" spans="16:25">
      <c r="P372" s="627"/>
      <c r="Q372" s="627"/>
      <c r="R372" s="627"/>
      <c r="S372" s="627"/>
      <c r="T372" s="627"/>
      <c r="U372" s="627"/>
      <c r="V372" s="627"/>
      <c r="W372" s="627"/>
      <c r="X372" s="627"/>
      <c r="Y372" s="627"/>
    </row>
    <row r="373" spans="16:25">
      <c r="P373" s="627"/>
      <c r="Q373" s="627"/>
      <c r="R373" s="627"/>
      <c r="S373" s="627"/>
      <c r="T373" s="627"/>
      <c r="U373" s="627"/>
      <c r="V373" s="627"/>
      <c r="W373" s="627"/>
      <c r="X373" s="627"/>
      <c r="Y373" s="627"/>
    </row>
    <row r="374" spans="16:25">
      <c r="P374" s="627"/>
      <c r="Q374" s="627"/>
      <c r="R374" s="627"/>
      <c r="S374" s="627"/>
      <c r="T374" s="627"/>
      <c r="U374" s="627"/>
      <c r="V374" s="627"/>
      <c r="W374" s="627"/>
      <c r="X374" s="627"/>
      <c r="Y374" s="627"/>
    </row>
  </sheetData>
  <autoFilter ref="A2:Y354"/>
  <mergeCells count="7">
    <mergeCell ref="AA8:AD8"/>
    <mergeCell ref="A1:F1"/>
    <mergeCell ref="G1:O1"/>
    <mergeCell ref="P1:R1"/>
    <mergeCell ref="S1:U1"/>
    <mergeCell ref="W1:Y1"/>
    <mergeCell ref="AA1:AD1"/>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0000"/>
  </sheetPr>
  <dimension ref="A1:V102"/>
  <sheetViews>
    <sheetView showGridLines="0" topLeftCell="A82" zoomScale="70" zoomScaleNormal="70" workbookViewId="0">
      <selection activeCell="G102" sqref="A1:M102"/>
    </sheetView>
  </sheetViews>
  <sheetFormatPr defaultColWidth="9.109375" defaultRowHeight="13.8"/>
  <cols>
    <col min="1" max="1" width="9.109375" style="4"/>
    <col min="2" max="2" width="47.6640625" style="243" customWidth="1"/>
    <col min="3" max="3" width="18.6640625" style="4" customWidth="1"/>
    <col min="4" max="4" width="22.44140625" style="4" customWidth="1"/>
    <col min="5" max="6" width="18" style="4" bestFit="1" customWidth="1"/>
    <col min="7" max="7" width="14.6640625" style="4" bestFit="1" customWidth="1"/>
    <col min="8" max="11" width="5" style="4" bestFit="1" customWidth="1"/>
    <col min="12" max="12" width="5.6640625" style="4" bestFit="1" customWidth="1"/>
    <col min="13" max="13" width="5" style="4" bestFit="1" customWidth="1"/>
    <col min="14" max="14" width="21.6640625" style="4" customWidth="1"/>
    <col min="15" max="19" width="23" style="4" bestFit="1" customWidth="1"/>
    <col min="20" max="21" width="21.88671875" style="4" bestFit="1" customWidth="1"/>
    <col min="22" max="25" width="23" style="4" bestFit="1" customWidth="1"/>
    <col min="26" max="16384" width="9.109375" style="4"/>
  </cols>
  <sheetData>
    <row r="1" spans="1:22">
      <c r="A1" s="776" t="s">
        <v>168</v>
      </c>
    </row>
    <row r="2" spans="1:22">
      <c r="A2" s="776"/>
      <c r="B2" s="244" t="s">
        <v>227</v>
      </c>
    </row>
    <row r="3" spans="1:22">
      <c r="A3" s="776"/>
      <c r="B3" s="4"/>
      <c r="C3" s="758" t="s">
        <v>52</v>
      </c>
      <c r="D3" s="4" t="s">
        <v>226</v>
      </c>
    </row>
    <row r="4" spans="1:22">
      <c r="A4" s="776"/>
      <c r="B4" s="245" t="s">
        <v>223</v>
      </c>
      <c r="C4" s="476">
        <f>134120943*60%</f>
        <v>80472565.799999997</v>
      </c>
      <c r="D4" s="4" t="s">
        <v>2073</v>
      </c>
    </row>
    <row r="5" spans="1:22">
      <c r="A5" s="776"/>
      <c r="B5" s="245" t="s">
        <v>224</v>
      </c>
      <c r="C5" s="476">
        <v>275824546.27868605</v>
      </c>
      <c r="D5" s="4" t="s">
        <v>2094</v>
      </c>
    </row>
    <row r="6" spans="1:22">
      <c r="A6" s="776"/>
    </row>
    <row r="7" spans="1:22">
      <c r="B7" s="244" t="s">
        <v>218</v>
      </c>
    </row>
    <row r="8" spans="1:22">
      <c r="C8" s="997" t="s">
        <v>60</v>
      </c>
      <c r="D8" s="997"/>
      <c r="E8" s="997"/>
      <c r="G8" s="1022" t="s">
        <v>2072</v>
      </c>
      <c r="H8" s="1022"/>
      <c r="I8" s="1022"/>
      <c r="J8" s="1022"/>
      <c r="K8" s="1022"/>
      <c r="L8" s="1022"/>
      <c r="M8" s="1022"/>
      <c r="O8" s="1020"/>
      <c r="P8" s="1020"/>
      <c r="Q8" s="1020"/>
      <c r="R8" s="1020"/>
      <c r="S8" s="1020"/>
      <c r="T8" s="11"/>
      <c r="U8" s="11"/>
      <c r="V8" s="11"/>
    </row>
    <row r="9" spans="1:22">
      <c r="C9" s="246" t="s">
        <v>170</v>
      </c>
      <c r="D9" s="246" t="s">
        <v>74</v>
      </c>
      <c r="E9" s="246" t="s">
        <v>50</v>
      </c>
      <c r="G9" s="247">
        <v>2015</v>
      </c>
      <c r="H9" s="247">
        <v>2016</v>
      </c>
      <c r="I9" s="247">
        <v>2017</v>
      </c>
      <c r="J9" s="247">
        <v>2018</v>
      </c>
      <c r="K9" s="247">
        <v>2019</v>
      </c>
      <c r="L9" s="247">
        <v>2020</v>
      </c>
      <c r="M9" s="786"/>
      <c r="N9" s="11"/>
      <c r="O9" s="248"/>
      <c r="P9" s="248"/>
      <c r="Q9" s="248"/>
      <c r="R9" s="248"/>
      <c r="S9" s="248"/>
      <c r="T9" s="248"/>
      <c r="U9" s="248"/>
    </row>
    <row r="10" spans="1:22">
      <c r="B10" s="249" t="s">
        <v>34</v>
      </c>
      <c r="C10" s="250">
        <f>'Func AL Subs'!Z12/L10*G10</f>
        <v>325003764.5928095</v>
      </c>
      <c r="D10" s="251">
        <f>'Func AL Subs'!AA12/L10*G10</f>
        <v>491660590.37894458</v>
      </c>
      <c r="E10" s="251">
        <f>'Func AL Subs'!AB12/L10*G10</f>
        <v>812619390.49292612</v>
      </c>
      <c r="G10" s="152">
        <f>+'Func AL Subs'!H3</f>
        <v>0.96533000000000002</v>
      </c>
      <c r="H10" s="152">
        <f>+'Func AL Subs'!I3</f>
        <v>0.93093529209999992</v>
      </c>
      <c r="I10" s="152">
        <f>+'Func AL Subs'!J3</f>
        <v>0.89885827756423553</v>
      </c>
      <c r="J10" s="152">
        <f>+'Func AL Subs'!K3</f>
        <v>0.86880577929116165</v>
      </c>
      <c r="K10" s="152">
        <f>+'Func AL Subs'!L3</f>
        <v>0.83975805860649744</v>
      </c>
      <c r="L10" s="152">
        <f>+'Func AL Subs'!M3</f>
        <v>0.81168152169740926</v>
      </c>
      <c r="M10" s="786"/>
      <c r="N10" s="11"/>
      <c r="O10" s="11"/>
      <c r="P10" s="11"/>
      <c r="Q10" s="11"/>
      <c r="R10" s="11"/>
      <c r="S10" s="11"/>
      <c r="T10" s="11"/>
      <c r="U10" s="11"/>
    </row>
    <row r="11" spans="1:22">
      <c r="B11" s="249" t="s">
        <v>35</v>
      </c>
      <c r="C11" s="251">
        <f>('Func AL Lines'!V13)/L11*G11</f>
        <v>1503316105.9672554</v>
      </c>
      <c r="D11" s="251">
        <f>('Func AL Lines'!W13)/L11*G11</f>
        <v>394636462.77597433</v>
      </c>
      <c r="E11" s="251">
        <f>'Func AL Lines'!X13/L11*G11</f>
        <v>171221648.61953023</v>
      </c>
      <c r="G11" s="152">
        <f>+'Func AL Lines'!I3</f>
        <v>0.97291408520456379</v>
      </c>
      <c r="H11" s="152">
        <f>+'Func AL Lines'!J3</f>
        <v>0.94528775683694444</v>
      </c>
      <c r="I11" s="152">
        <f>+'Func AL Lines'!K3</f>
        <v>0.91513268407767112</v>
      </c>
      <c r="J11" s="152">
        <f>+'Func AL Lines'!L3</f>
        <v>0.88705974104899432</v>
      </c>
      <c r="K11" s="152">
        <f>+'Func AL Lines'!M3</f>
        <v>0.85984797383012446</v>
      </c>
      <c r="L11" s="152">
        <f>+'Func AL Lines'!N3</f>
        <v>0.83347096467873072</v>
      </c>
      <c r="M11" s="786"/>
      <c r="N11" s="11"/>
      <c r="O11" s="11"/>
      <c r="P11" s="11"/>
      <c r="Q11" s="11"/>
      <c r="R11" s="11"/>
      <c r="S11" s="11"/>
      <c r="T11" s="11"/>
      <c r="U11" s="11"/>
    </row>
    <row r="12" spans="1:22">
      <c r="B12" s="249" t="s">
        <v>36</v>
      </c>
      <c r="C12" s="252">
        <f>+'Func ATCO Subs'!X15/L12*G12</f>
        <v>127849209.26437923</v>
      </c>
      <c r="D12" s="252">
        <f>+'Func ATCO Subs'!Y15/L12*G12</f>
        <v>698380747.34322941</v>
      </c>
      <c r="E12" s="252">
        <f>+'Func ATCO Subs'!Z15/L12*G12</f>
        <v>529826123.99862361</v>
      </c>
      <c r="G12" s="152">
        <f>+'Func ATCO Subs'!F3</f>
        <v>0.97556592632866179</v>
      </c>
      <c r="H12" s="152">
        <f>+'Func ATCO Subs'!G3</f>
        <v>0.95153534693782615</v>
      </c>
      <c r="I12" s="152">
        <f>+'Func ATCO Subs'!H3</f>
        <v>0.9283639992745315</v>
      </c>
      <c r="J12" s="152">
        <f>+'Func ATCO Subs'!I3</f>
        <v>0.90575690952794075</v>
      </c>
      <c r="K12" s="152">
        <f>+'Func ATCO Subs'!J3</f>
        <v>0.88370033715084062</v>
      </c>
      <c r="L12" s="152">
        <f>+'Func ATCO Subs'!K3</f>
        <v>0.86218087619945383</v>
      </c>
      <c r="M12" s="786"/>
    </row>
    <row r="13" spans="1:22">
      <c r="B13" s="249" t="s">
        <v>39</v>
      </c>
      <c r="C13" s="252">
        <f>+'Func ATCO Lines'!T16/L13*G13</f>
        <v>1065331125.883057</v>
      </c>
      <c r="D13" s="252">
        <f>+'Func ATCO Lines'!U16/L13*G13</f>
        <v>641144338.06742132</v>
      </c>
      <c r="E13" s="252">
        <f>+'Func ATCO Lines'!V16/L13*G13</f>
        <v>150553465.50275579</v>
      </c>
      <c r="G13" s="152">
        <f>+'Func ATCO Lines'!F3</f>
        <v>0.97521794281816965</v>
      </c>
      <c r="H13" s="152">
        <f>+'Func ATCO Lines'!G3</f>
        <v>0.95186746118817056</v>
      </c>
      <c r="I13" s="152">
        <f>+'Func ATCO Lines'!H3</f>
        <v>0.92902070228339195</v>
      </c>
      <c r="J13" s="152">
        <f>+'Func ATCO Lines'!I3</f>
        <v>0.90672231215235166</v>
      </c>
      <c r="K13" s="152">
        <f>+'Func ATCO Lines'!J3</f>
        <v>0.88495912882694439</v>
      </c>
      <c r="L13" s="152">
        <f>+'Func ATCO Lines'!K3</f>
        <v>0.86371830625312263</v>
      </c>
      <c r="M13" s="786"/>
    </row>
    <row r="15" spans="1:22">
      <c r="B15" s="244" t="s">
        <v>228</v>
      </c>
    </row>
    <row r="16" spans="1:22">
      <c r="B16" s="244"/>
      <c r="C16" s="1021" t="s">
        <v>67</v>
      </c>
      <c r="D16" s="1021"/>
      <c r="E16" s="1021"/>
      <c r="F16" s="253" t="s">
        <v>172</v>
      </c>
      <c r="G16" s="254" t="s">
        <v>174</v>
      </c>
    </row>
    <row r="17" spans="2:15" s="786" customFormat="1">
      <c r="B17" s="255"/>
      <c r="C17" s="997" t="s">
        <v>60</v>
      </c>
      <c r="D17" s="997"/>
      <c r="E17" s="997"/>
      <c r="F17" s="256"/>
      <c r="G17" s="257"/>
    </row>
    <row r="18" spans="2:15" ht="13.5" customHeight="1">
      <c r="C18" s="258" t="s">
        <v>170</v>
      </c>
      <c r="D18" s="258" t="s">
        <v>74</v>
      </c>
      <c r="E18" s="258" t="s">
        <v>50</v>
      </c>
      <c r="F18" s="256"/>
      <c r="G18" s="259"/>
    </row>
    <row r="19" spans="2:15">
      <c r="B19" s="251" t="s">
        <v>4</v>
      </c>
      <c r="C19" s="251">
        <f>+SUM(C10:C11)</f>
        <v>1828319870.5600648</v>
      </c>
      <c r="D19" s="251">
        <f t="shared" ref="D19:E19" si="0">+SUM(D10:D11)</f>
        <v>886297053.15491891</v>
      </c>
      <c r="E19" s="251">
        <f t="shared" si="0"/>
        <v>983841039.11245632</v>
      </c>
      <c r="F19" s="251"/>
      <c r="G19" s="252">
        <f>+SUM(C19:F19)</f>
        <v>3698457962.8274403</v>
      </c>
      <c r="H19" s="9"/>
    </row>
    <row r="20" spans="2:15">
      <c r="B20" s="251" t="s">
        <v>28</v>
      </c>
      <c r="C20" s="251">
        <f>+SUM(C12:C13)</f>
        <v>1193180335.1474361</v>
      </c>
      <c r="D20" s="251">
        <f t="shared" ref="D20:E20" si="1">+SUM(D12:D13)</f>
        <v>1339525085.4106507</v>
      </c>
      <c r="E20" s="251">
        <f t="shared" si="1"/>
        <v>680379589.50137937</v>
      </c>
      <c r="F20" s="251"/>
      <c r="G20" s="252">
        <f t="shared" ref="G20:G23" si="2">+SUM(C20:F20)</f>
        <v>3213085010.0594664</v>
      </c>
      <c r="H20" s="9"/>
    </row>
    <row r="21" spans="2:15">
      <c r="B21" s="251" t="s">
        <v>40</v>
      </c>
      <c r="C21" s="251">
        <f>'Func Enmax'!B18</f>
        <v>0</v>
      </c>
      <c r="D21" s="251">
        <f>'Func Enmax'!C18</f>
        <v>95274866.211131766</v>
      </c>
      <c r="E21" s="251">
        <f>'Func Enmax'!D18</f>
        <v>161539717.66881058</v>
      </c>
      <c r="F21" s="251"/>
      <c r="G21" s="252">
        <f t="shared" si="2"/>
        <v>256814583.87994236</v>
      </c>
      <c r="H21" s="9"/>
    </row>
    <row r="22" spans="2:15">
      <c r="B22" s="251" t="s">
        <v>29</v>
      </c>
      <c r="C22" s="251">
        <f>'Func EPCOR'!B21</f>
        <v>318042034.38324147</v>
      </c>
      <c r="D22" s="251">
        <f>'Func EPCOR'!C21</f>
        <v>20741893.656998068</v>
      </c>
      <c r="E22" s="251">
        <f>'Func EPCOR'!D21</f>
        <v>71113568.795113087</v>
      </c>
      <c r="F22" s="251"/>
      <c r="G22" s="252">
        <f t="shared" si="2"/>
        <v>409897496.83535266</v>
      </c>
    </row>
    <row r="23" spans="2:15">
      <c r="B23" s="249" t="s">
        <v>223</v>
      </c>
      <c r="C23" s="245"/>
      <c r="D23" s="245"/>
      <c r="E23" s="251">
        <f>+C4-(C4*Depreciation!G24/2)</f>
        <v>79273759.684755415</v>
      </c>
      <c r="F23" s="251"/>
      <c r="G23" s="252">
        <f t="shared" si="2"/>
        <v>79273759.684755415</v>
      </c>
    </row>
    <row r="24" spans="2:15">
      <c r="B24" s="249" t="s">
        <v>224</v>
      </c>
      <c r="C24" s="245"/>
      <c r="D24" s="245"/>
      <c r="E24" s="251"/>
      <c r="F24" s="251">
        <f>+C5-(C5*Depreciation!G18/2)</f>
        <v>271667185.53284258</v>
      </c>
      <c r="G24" s="252">
        <f>+SUM(F24)</f>
        <v>271667185.53284258</v>
      </c>
    </row>
    <row r="25" spans="2:15">
      <c r="B25" s="260" t="s">
        <v>48</v>
      </c>
      <c r="C25" s="260">
        <f>+SUM(C19:C24)</f>
        <v>3339542240.0907426</v>
      </c>
      <c r="D25" s="260">
        <f t="shared" ref="D25:G25" si="3">+SUM(D19:D24)</f>
        <v>2341838898.4336996</v>
      </c>
      <c r="E25" s="260">
        <f t="shared" si="3"/>
        <v>1976147674.7625148</v>
      </c>
      <c r="F25" s="260">
        <f t="shared" si="3"/>
        <v>271667185.53284258</v>
      </c>
      <c r="G25" s="260">
        <f t="shared" si="3"/>
        <v>7929195998.8197994</v>
      </c>
    </row>
    <row r="26" spans="2:15">
      <c r="B26" s="4"/>
    </row>
    <row r="27" spans="2:15">
      <c r="B27" s="777" t="s">
        <v>173</v>
      </c>
    </row>
    <row r="28" spans="2:15">
      <c r="B28" s="4"/>
      <c r="C28" s="4" t="s">
        <v>33</v>
      </c>
    </row>
    <row r="29" spans="2:15">
      <c r="B29" s="4"/>
      <c r="C29" s="779" t="s">
        <v>30</v>
      </c>
      <c r="D29" s="779" t="s">
        <v>31</v>
      </c>
      <c r="E29" s="779" t="s">
        <v>75</v>
      </c>
      <c r="F29" s="779" t="s">
        <v>50</v>
      </c>
      <c r="G29" s="242"/>
      <c r="H29" s="261"/>
      <c r="I29" s="261"/>
      <c r="J29" s="242"/>
      <c r="K29" s="261"/>
      <c r="L29" s="261"/>
      <c r="M29" s="261"/>
      <c r="N29" s="261"/>
      <c r="O29" s="242"/>
    </row>
    <row r="30" spans="2:15">
      <c r="B30" s="4"/>
      <c r="C30" s="262" t="s">
        <v>4</v>
      </c>
      <c r="D30" s="263">
        <f>C19/SUM($C19:$E19)</f>
        <v>0.49434653278101059</v>
      </c>
      <c r="E30" s="263">
        <f t="shared" ref="D30:F31" si="4">D19/SUM($C19:$E19)</f>
        <v>0.23963961793345684</v>
      </c>
      <c r="F30" s="263">
        <f t="shared" si="4"/>
        <v>0.26601384928553251</v>
      </c>
      <c r="G30" s="261"/>
      <c r="H30" s="261"/>
      <c r="I30" s="261"/>
      <c r="J30" s="261"/>
      <c r="K30" s="261"/>
      <c r="L30" s="261"/>
      <c r="M30" s="261"/>
      <c r="N30" s="261"/>
      <c r="O30" s="261"/>
    </row>
    <row r="31" spans="2:15">
      <c r="B31" s="4"/>
      <c r="C31" s="262" t="s">
        <v>32</v>
      </c>
      <c r="D31" s="263">
        <f t="shared" si="4"/>
        <v>0.37135037865846982</v>
      </c>
      <c r="E31" s="263">
        <f t="shared" si="4"/>
        <v>0.41689687052066493</v>
      </c>
      <c r="F31" s="263">
        <f t="shared" si="4"/>
        <v>0.2117527508208652</v>
      </c>
      <c r="G31" s="261"/>
      <c r="H31" s="261"/>
      <c r="I31" s="261"/>
      <c r="J31" s="261"/>
      <c r="K31" s="261"/>
      <c r="L31" s="261"/>
      <c r="M31" s="261"/>
      <c r="N31" s="261"/>
      <c r="O31" s="261"/>
    </row>
    <row r="32" spans="2:15">
      <c r="B32" s="4"/>
      <c r="C32" s="262" t="s">
        <v>64</v>
      </c>
      <c r="D32" s="263">
        <f t="shared" ref="D32:F33" si="5">C21/SUM($C21:$E21)</f>
        <v>0</v>
      </c>
      <c r="E32" s="263">
        <f t="shared" si="5"/>
        <v>0.37098697734265584</v>
      </c>
      <c r="F32" s="263">
        <f t="shared" si="5"/>
        <v>0.62901302265734405</v>
      </c>
      <c r="G32" s="261"/>
      <c r="H32" s="261"/>
      <c r="I32" s="261"/>
      <c r="J32" s="261"/>
      <c r="K32" s="261"/>
      <c r="L32" s="261"/>
      <c r="M32" s="261"/>
      <c r="N32" s="261"/>
      <c r="O32" s="261"/>
    </row>
    <row r="33" spans="1:15">
      <c r="B33" s="4"/>
      <c r="C33" s="262" t="s">
        <v>38</v>
      </c>
      <c r="D33" s="263">
        <f>C22/SUM($C22:$E22)</f>
        <v>0.77590626153785069</v>
      </c>
      <c r="E33" s="263">
        <f t="shared" si="5"/>
        <v>5.0602635578742401E-2</v>
      </c>
      <c r="F33" s="263">
        <f t="shared" si="5"/>
        <v>0.1734911028834068</v>
      </c>
      <c r="G33" s="261"/>
      <c r="H33" s="261"/>
      <c r="I33" s="261"/>
      <c r="J33" s="261"/>
      <c r="K33" s="261"/>
      <c r="L33" s="261"/>
      <c r="M33" s="261"/>
      <c r="N33" s="261"/>
      <c r="O33" s="261"/>
    </row>
    <row r="34" spans="1:15">
      <c r="B34" s="4"/>
      <c r="C34" s="264" t="s">
        <v>76</v>
      </c>
      <c r="D34" s="265">
        <f t="shared" ref="D34:F34" si="6">C25/SUM($C25:$E25)</f>
        <v>0.43611226565626987</v>
      </c>
      <c r="E34" s="265">
        <f t="shared" si="6"/>
        <v>0.30582175471155382</v>
      </c>
      <c r="F34" s="265">
        <f t="shared" si="6"/>
        <v>0.25806597963217626</v>
      </c>
      <c r="G34" s="261"/>
      <c r="H34" s="261"/>
      <c r="I34" s="261"/>
      <c r="J34" s="261"/>
      <c r="K34" s="261"/>
      <c r="L34" s="261"/>
      <c r="M34" s="261"/>
      <c r="N34" s="261"/>
      <c r="O34" s="261"/>
    </row>
    <row r="35" spans="1:15">
      <c r="B35" s="4"/>
      <c r="G35" s="261"/>
      <c r="H35" s="266"/>
      <c r="I35" s="266"/>
      <c r="J35" s="266"/>
      <c r="K35" s="261"/>
      <c r="L35" s="261"/>
      <c r="M35" s="261"/>
      <c r="N35" s="261"/>
      <c r="O35" s="261"/>
    </row>
    <row r="36" spans="1:15">
      <c r="B36" s="4"/>
      <c r="C36" s="4" t="s">
        <v>173</v>
      </c>
      <c r="G36" s="261"/>
      <c r="H36" s="266"/>
      <c r="I36" s="266"/>
      <c r="J36" s="266"/>
      <c r="K36" s="261"/>
      <c r="L36" s="261"/>
      <c r="M36" s="261"/>
      <c r="N36" s="261"/>
      <c r="O36" s="261"/>
    </row>
    <row r="37" spans="1:15">
      <c r="B37" s="4"/>
      <c r="C37" s="779" t="s">
        <v>65</v>
      </c>
      <c r="D37" s="779" t="s">
        <v>31</v>
      </c>
      <c r="E37" s="779" t="s">
        <v>75</v>
      </c>
      <c r="F37" s="779" t="s">
        <v>50</v>
      </c>
      <c r="G37" s="261"/>
      <c r="H37" s="266"/>
      <c r="I37" s="266"/>
      <c r="J37" s="266"/>
      <c r="K37" s="261"/>
      <c r="L37" s="261"/>
      <c r="M37" s="261"/>
      <c r="N37" s="261"/>
      <c r="O37" s="261"/>
    </row>
    <row r="38" spans="1:15">
      <c r="B38" s="4"/>
      <c r="C38" s="262" t="s">
        <v>47</v>
      </c>
      <c r="D38" s="263">
        <f>D34</f>
        <v>0.43611226565626987</v>
      </c>
      <c r="E38" s="263">
        <f>E34</f>
        <v>0.30582175471155382</v>
      </c>
      <c r="F38" s="263">
        <f>F34</f>
        <v>0.25806597963217626</v>
      </c>
      <c r="G38" s="261"/>
      <c r="H38" s="266"/>
      <c r="I38" s="266"/>
      <c r="J38" s="266"/>
      <c r="K38" s="261"/>
      <c r="L38" s="261"/>
      <c r="M38" s="261"/>
      <c r="N38" s="261"/>
      <c r="O38" s="261"/>
    </row>
    <row r="39" spans="1:15">
      <c r="B39" s="4"/>
      <c r="G39" s="261"/>
      <c r="H39" s="266"/>
      <c r="I39" s="266"/>
      <c r="J39" s="266"/>
      <c r="K39" s="261"/>
      <c r="L39" s="261"/>
      <c r="M39" s="261"/>
      <c r="N39" s="261"/>
      <c r="O39" s="261"/>
    </row>
    <row r="40" spans="1:15">
      <c r="B40" s="4"/>
      <c r="C40" s="4" t="s">
        <v>1999</v>
      </c>
    </row>
    <row r="41" spans="1:15">
      <c r="B41" s="4"/>
      <c r="C41" s="779" t="s">
        <v>65</v>
      </c>
      <c r="D41" s="779" t="s">
        <v>31</v>
      </c>
      <c r="E41" s="779" t="s">
        <v>75</v>
      </c>
      <c r="F41" s="779" t="s">
        <v>50</v>
      </c>
    </row>
    <row r="42" spans="1:15">
      <c r="B42" s="4"/>
      <c r="C42" s="262" t="s">
        <v>47</v>
      </c>
      <c r="D42" s="267">
        <f>+D38*$G$25</f>
        <v>3458019631.8779325</v>
      </c>
      <c r="E42" s="267">
        <f>+E38*$G$25</f>
        <v>2424920633.8109026</v>
      </c>
      <c r="F42" s="267">
        <f>+F38*$G$25</f>
        <v>2046255733.1309638</v>
      </c>
    </row>
    <row r="44" spans="1:15">
      <c r="A44" s="776" t="s">
        <v>175</v>
      </c>
    </row>
    <row r="45" spans="1:15">
      <c r="A45" s="776"/>
      <c r="B45" s="243" t="s">
        <v>178</v>
      </c>
    </row>
    <row r="46" spans="1:15">
      <c r="C46" s="77" t="s">
        <v>211</v>
      </c>
      <c r="D46" s="268"/>
      <c r="E46" s="268"/>
      <c r="F46" s="268"/>
    </row>
    <row r="47" spans="1:15">
      <c r="C47" s="779" t="s">
        <v>65</v>
      </c>
      <c r="D47" s="779" t="s">
        <v>31</v>
      </c>
      <c r="E47" s="779" t="s">
        <v>75</v>
      </c>
      <c r="F47" s="779" t="s">
        <v>50</v>
      </c>
    </row>
    <row r="48" spans="1:15">
      <c r="C48" s="262" t="s">
        <v>47</v>
      </c>
      <c r="D48" s="284">
        <f>'Func Future Lines 2015'!V4</f>
        <v>3774960505.141726</v>
      </c>
      <c r="E48" s="284">
        <f>'Func Future Lines 2015'!W4</f>
        <v>121468930.79420269</v>
      </c>
      <c r="F48" s="284">
        <v>0</v>
      </c>
    </row>
    <row r="49" spans="1:6">
      <c r="B49" s="4"/>
      <c r="C49" s="262"/>
      <c r="D49" s="270"/>
      <c r="E49" s="270"/>
      <c r="F49" s="270"/>
    </row>
    <row r="50" spans="1:6">
      <c r="B50" s="4"/>
      <c r="C50" s="77" t="s">
        <v>210</v>
      </c>
      <c r="D50" s="268"/>
      <c r="E50" s="268"/>
      <c r="F50" s="268"/>
    </row>
    <row r="51" spans="1:6">
      <c r="B51" s="4"/>
      <c r="C51" s="779" t="s">
        <v>65</v>
      </c>
      <c r="D51" s="779" t="s">
        <v>31</v>
      </c>
      <c r="E51" s="779" t="s">
        <v>75</v>
      </c>
      <c r="F51" s="779" t="s">
        <v>50</v>
      </c>
    </row>
    <row r="52" spans="1:6">
      <c r="B52" s="4"/>
      <c r="C52" s="262" t="s">
        <v>47</v>
      </c>
      <c r="D52" s="263">
        <f>'Func Future Lines 2015'!V5</f>
        <v>0.96882557921518586</v>
      </c>
      <c r="E52" s="263">
        <f>'Func Future Lines 2015'!W5</f>
        <v>3.1174420784814149E-2</v>
      </c>
      <c r="F52" s="263">
        <v>0</v>
      </c>
    </row>
    <row r="53" spans="1:6">
      <c r="B53" s="4"/>
      <c r="C53" s="262"/>
      <c r="D53" s="270"/>
      <c r="E53" s="270"/>
      <c r="F53" s="270"/>
    </row>
    <row r="54" spans="1:6">
      <c r="B54" s="4"/>
      <c r="C54" s="77" t="s">
        <v>212</v>
      </c>
      <c r="D54" s="268"/>
      <c r="E54" s="268"/>
      <c r="F54" s="268"/>
    </row>
    <row r="55" spans="1:6">
      <c r="B55" s="4"/>
      <c r="C55" s="788" t="s">
        <v>65</v>
      </c>
      <c r="D55" s="779" t="s">
        <v>31</v>
      </c>
      <c r="E55" s="779" t="s">
        <v>75</v>
      </c>
      <c r="F55" s="779" t="s">
        <v>50</v>
      </c>
    </row>
    <row r="56" spans="1:6">
      <c r="B56" s="4"/>
      <c r="C56" s="262" t="s">
        <v>47</v>
      </c>
      <c r="D56" s="284">
        <f>'Func Future Subs 2015'!AB10</f>
        <v>1505374211.4150169</v>
      </c>
      <c r="E56" s="284">
        <f>'Func Future Subs 2015'!AC10</f>
        <v>201308803.55614713</v>
      </c>
      <c r="F56" s="284">
        <f>'Func Future Subs 2015'!AD10</f>
        <v>273984547.08438081</v>
      </c>
    </row>
    <row r="57" spans="1:6">
      <c r="B57" s="4"/>
      <c r="C57" s="262"/>
      <c r="D57" s="270"/>
      <c r="E57" s="270"/>
      <c r="F57" s="270"/>
    </row>
    <row r="58" spans="1:6">
      <c r="B58" s="4"/>
      <c r="C58" s="77" t="s">
        <v>213</v>
      </c>
      <c r="D58" s="268"/>
      <c r="E58" s="268"/>
      <c r="F58" s="268"/>
    </row>
    <row r="59" spans="1:6">
      <c r="B59" s="4"/>
      <c r="C59" s="788" t="s">
        <v>65</v>
      </c>
      <c r="D59" s="779" t="s">
        <v>31</v>
      </c>
      <c r="E59" s="779" t="s">
        <v>75</v>
      </c>
      <c r="F59" s="779" t="s">
        <v>50</v>
      </c>
    </row>
    <row r="60" spans="1:6">
      <c r="B60" s="4"/>
      <c r="C60" s="262" t="s">
        <v>47</v>
      </c>
      <c r="D60" s="270">
        <f>'Func Future Subs 2015'!AB4</f>
        <v>0.76003375844290266</v>
      </c>
      <c r="E60" s="270">
        <f>'Func Future Subs 2015'!AC4</f>
        <v>0.10163684578507866</v>
      </c>
      <c r="F60" s="270">
        <f>'Func Future Subs 2015'!AD4</f>
        <v>0.13832939577201867</v>
      </c>
    </row>
    <row r="62" spans="1:6">
      <c r="A62" s="776" t="s">
        <v>182</v>
      </c>
    </row>
    <row r="63" spans="1:6">
      <c r="B63" s="4" t="s">
        <v>183</v>
      </c>
    </row>
    <row r="64" spans="1:6">
      <c r="C64" s="779" t="s">
        <v>65</v>
      </c>
      <c r="D64" s="779" t="s">
        <v>31</v>
      </c>
      <c r="E64" s="779" t="s">
        <v>75</v>
      </c>
      <c r="F64" s="779" t="s">
        <v>50</v>
      </c>
    </row>
    <row r="65" spans="1:8">
      <c r="C65" s="262" t="s">
        <v>47</v>
      </c>
      <c r="D65" s="267">
        <f>D48+D56+D42</f>
        <v>8738354348.4346752</v>
      </c>
      <c r="E65" s="267">
        <f>E48+E56+E42</f>
        <v>2747698368.1612525</v>
      </c>
      <c r="F65" s="267">
        <f>F48+F56+F42</f>
        <v>2320240280.2153444</v>
      </c>
    </row>
    <row r="67" spans="1:8">
      <c r="B67" s="243" t="s">
        <v>177</v>
      </c>
    </row>
    <row r="68" spans="1:8">
      <c r="C68" s="779" t="s">
        <v>65</v>
      </c>
      <c r="D68" s="779" t="s">
        <v>31</v>
      </c>
      <c r="E68" s="779" t="s">
        <v>75</v>
      </c>
      <c r="F68" s="779" t="s">
        <v>50</v>
      </c>
    </row>
    <row r="69" spans="1:8">
      <c r="C69" s="262" t="s">
        <v>47</v>
      </c>
      <c r="D69" s="263">
        <f>+D65/SUM($D65:$F65)</f>
        <v>0.63292546018347595</v>
      </c>
      <c r="E69" s="263">
        <f>+E65/SUM($D65:$F65)</f>
        <v>0.199017822437628</v>
      </c>
      <c r="F69" s="263">
        <f>+F65/SUM($D65:$F65)</f>
        <v>0.1680567173788961</v>
      </c>
      <c r="H69" s="271"/>
    </row>
    <row r="71" spans="1:8">
      <c r="A71" s="776" t="s">
        <v>235</v>
      </c>
    </row>
    <row r="72" spans="1:8">
      <c r="B72" s="243" t="s">
        <v>236</v>
      </c>
    </row>
    <row r="73" spans="1:8">
      <c r="C73" s="272" t="s">
        <v>231</v>
      </c>
      <c r="D73" s="273">
        <v>2015</v>
      </c>
    </row>
    <row r="74" spans="1:8">
      <c r="C74" s="274" t="s">
        <v>232</v>
      </c>
      <c r="D74" s="275">
        <f>'Sum 1.0'!H28</f>
        <v>0.17353244694289444</v>
      </c>
    </row>
    <row r="75" spans="1:8">
      <c r="C75" s="274" t="s">
        <v>233</v>
      </c>
      <c r="D75" s="275">
        <f>1-D74</f>
        <v>0.82646755305710551</v>
      </c>
    </row>
    <row r="76" spans="1:8">
      <c r="C76" s="276"/>
    </row>
    <row r="77" spans="1:8">
      <c r="B77" s="243" t="s">
        <v>237</v>
      </c>
      <c r="C77" s="276"/>
    </row>
    <row r="78" spans="1:8">
      <c r="C78" s="277" t="s">
        <v>241</v>
      </c>
      <c r="D78" s="278" t="s">
        <v>31</v>
      </c>
      <c r="E78" s="278" t="s">
        <v>75</v>
      </c>
      <c r="F78" s="278" t="s">
        <v>50</v>
      </c>
    </row>
    <row r="79" spans="1:8">
      <c r="C79" s="602" t="s">
        <v>2088</v>
      </c>
      <c r="D79" s="279">
        <f>'Sum 3.0'!H28</f>
        <v>43797728.986689351</v>
      </c>
      <c r="E79" s="279">
        <f>'Sum 3.0'!H29</f>
        <v>69974700.056748301</v>
      </c>
      <c r="F79" s="279">
        <f>'Sum 3.0'!H30</f>
        <v>70888939.304122895</v>
      </c>
    </row>
    <row r="80" spans="1:8">
      <c r="C80" s="602" t="s">
        <v>86</v>
      </c>
      <c r="D80" s="280">
        <f>'Sum 3.0'!H58</f>
        <v>0.23717862257066902</v>
      </c>
      <c r="E80" s="280">
        <f>'Sum 3.0'!H59</f>
        <v>0.37893524066736772</v>
      </c>
      <c r="F80" s="280">
        <f>'Sum 3.0'!H60</f>
        <v>0.3838861367619632</v>
      </c>
    </row>
    <row r="82" spans="1:6">
      <c r="B82" s="243" t="s">
        <v>238</v>
      </c>
    </row>
    <row r="84" spans="1:6">
      <c r="C84" s="779" t="s">
        <v>2093</v>
      </c>
      <c r="D84" s="779" t="s">
        <v>31</v>
      </c>
      <c r="E84" s="779" t="s">
        <v>75</v>
      </c>
      <c r="F84" s="779" t="s">
        <v>50</v>
      </c>
    </row>
    <row r="85" spans="1:6">
      <c r="C85" s="262" t="s">
        <v>86</v>
      </c>
      <c r="D85" s="263">
        <f>+D69*$D$75+D$80*$D$74</f>
        <v>0.56425054308261324</v>
      </c>
      <c r="E85" s="263">
        <f>+E69*$D$75+E$80*$D$74</f>
        <v>0.23023933227068286</v>
      </c>
      <c r="F85" s="263">
        <f>+F69*$D$75+F$80*$D$74</f>
        <v>0.20551012464670387</v>
      </c>
    </row>
    <row r="87" spans="1:6">
      <c r="A87" s="776" t="s">
        <v>234</v>
      </c>
    </row>
    <row r="88" spans="1:6">
      <c r="B88" s="243" t="s">
        <v>230</v>
      </c>
      <c r="C88" s="281">
        <v>1788.7652712700001</v>
      </c>
      <c r="D88" s="759" t="s">
        <v>2020</v>
      </c>
    </row>
    <row r="90" spans="1:6">
      <c r="B90" s="243" t="s">
        <v>697</v>
      </c>
    </row>
    <row r="91" spans="1:6">
      <c r="C91" s="779" t="s">
        <v>2093</v>
      </c>
      <c r="D91" s="779" t="s">
        <v>31</v>
      </c>
      <c r="E91" s="779" t="s">
        <v>75</v>
      </c>
      <c r="F91" s="779" t="s">
        <v>50</v>
      </c>
    </row>
    <row r="92" spans="1:6">
      <c r="C92" s="262" t="s">
        <v>2095</v>
      </c>
      <c r="D92" s="267">
        <f>D85*$C$88</f>
        <v>1009.3117757614156</v>
      </c>
      <c r="E92" s="267">
        <f>E85*$C$88</f>
        <v>411.8441216461917</v>
      </c>
      <c r="F92" s="267">
        <f>F85*$C$88</f>
        <v>367.60937386239277</v>
      </c>
    </row>
    <row r="94" spans="1:6">
      <c r="B94" s="243" t="s">
        <v>698</v>
      </c>
      <c r="C94" s="283">
        <v>9.6492000000000129</v>
      </c>
      <c r="D94" s="759" t="s">
        <v>2022</v>
      </c>
    </row>
    <row r="95" spans="1:6">
      <c r="B95" s="243" t="s">
        <v>2018</v>
      </c>
      <c r="C95" s="283">
        <v>0</v>
      </c>
      <c r="D95" s="282"/>
    </row>
    <row r="97" spans="2:6">
      <c r="B97" s="243" t="s">
        <v>695</v>
      </c>
    </row>
    <row r="98" spans="2:6">
      <c r="C98" s="779" t="s">
        <v>2093</v>
      </c>
      <c r="D98" s="779" t="s">
        <v>31</v>
      </c>
      <c r="E98" s="779" t="s">
        <v>75</v>
      </c>
      <c r="F98" s="779" t="s">
        <v>50</v>
      </c>
    </row>
    <row r="99" spans="2:6">
      <c r="C99" s="262" t="s">
        <v>2095</v>
      </c>
      <c r="D99" s="267">
        <f>D92-$C$94+$C$95</f>
        <v>999.6625757614155</v>
      </c>
      <c r="E99" s="267">
        <f>E92</f>
        <v>411.8441216461917</v>
      </c>
      <c r="F99" s="267">
        <f t="shared" ref="F99" si="7">F92</f>
        <v>367.60937386239277</v>
      </c>
    </row>
    <row r="100" spans="2:6">
      <c r="B100" s="243" t="s">
        <v>696</v>
      </c>
    </row>
    <row r="101" spans="2:6">
      <c r="C101" s="779" t="s">
        <v>2093</v>
      </c>
      <c r="D101" s="779" t="s">
        <v>31</v>
      </c>
      <c r="E101" s="779" t="s">
        <v>75</v>
      </c>
      <c r="F101" s="779" t="s">
        <v>50</v>
      </c>
    </row>
    <row r="102" spans="2:6">
      <c r="C102" s="262" t="s">
        <v>86</v>
      </c>
      <c r="D102" s="263">
        <f>D99/SUM($D99:$F99)</f>
        <v>0.56188721573844191</v>
      </c>
      <c r="E102" s="263">
        <f>E99/SUM($D99:$F99)</f>
        <v>0.23148805651123253</v>
      </c>
      <c r="F102" s="263">
        <f>F99/SUM($D99:$F99)</f>
        <v>0.2066247277503257</v>
      </c>
    </row>
  </sheetData>
  <mergeCells count="5">
    <mergeCell ref="C17:E17"/>
    <mergeCell ref="O8:S8"/>
    <mergeCell ref="C8:E8"/>
    <mergeCell ref="C16:E16"/>
    <mergeCell ref="G8:M8"/>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U95"/>
  <sheetViews>
    <sheetView showGridLines="0" zoomScale="80" zoomScaleNormal="80" workbookViewId="0">
      <selection activeCell="D33" sqref="D33"/>
    </sheetView>
  </sheetViews>
  <sheetFormatPr defaultColWidth="9.109375" defaultRowHeight="13.8"/>
  <cols>
    <col min="1" max="1" width="22.33203125" style="4" customWidth="1"/>
    <col min="2" max="2" width="33" style="4" customWidth="1"/>
    <col min="3" max="3" width="27.109375" style="4" bestFit="1" customWidth="1"/>
    <col min="4" max="4" width="27" style="4" customWidth="1"/>
    <col min="5" max="5" width="27.5546875" style="4" bestFit="1" customWidth="1"/>
    <col min="6" max="6" width="16.44140625" style="4" customWidth="1"/>
    <col min="7" max="8" width="9.109375" style="4"/>
    <col min="9" max="9" width="17" style="4" bestFit="1" customWidth="1"/>
    <col min="10" max="10" width="34.44140625" style="4" bestFit="1" customWidth="1"/>
    <col min="11" max="16" width="9.109375" style="4"/>
    <col min="17" max="17" width="25.33203125" style="4" customWidth="1"/>
    <col min="18" max="18" width="9.109375" style="4"/>
    <col min="19" max="19" width="11" style="4" customWidth="1"/>
    <col min="20" max="16384" width="9.109375" style="4"/>
  </cols>
  <sheetData>
    <row r="1" spans="1:17" ht="18">
      <c r="A1" s="768" t="s">
        <v>2133</v>
      </c>
    </row>
    <row r="3" spans="1:17">
      <c r="A3" s="483" t="s">
        <v>81</v>
      </c>
      <c r="B3" s="454"/>
      <c r="C3" s="454"/>
      <c r="D3" s="454"/>
      <c r="E3" s="454"/>
      <c r="F3" s="454"/>
    </row>
    <row r="4" spans="1:17">
      <c r="A4" s="454" t="s">
        <v>82</v>
      </c>
      <c r="B4" s="454"/>
      <c r="C4" s="454"/>
      <c r="D4" s="454"/>
      <c r="E4" s="454"/>
      <c r="F4" s="454"/>
    </row>
    <row r="5" spans="1:17">
      <c r="A5" s="484" t="s">
        <v>96</v>
      </c>
      <c r="B5" s="9"/>
      <c r="C5" s="9"/>
      <c r="D5" s="9"/>
      <c r="E5" s="9"/>
    </row>
    <row r="6" spans="1:17" s="785" customFormat="1"/>
    <row r="7" spans="1:17" s="785" customFormat="1">
      <c r="B7" s="485" t="s">
        <v>27</v>
      </c>
      <c r="C7" s="485" t="s">
        <v>77</v>
      </c>
      <c r="D7" s="485" t="s">
        <v>79</v>
      </c>
      <c r="E7" s="4"/>
      <c r="F7" s="4"/>
      <c r="Q7" s="4"/>
    </row>
    <row r="8" spans="1:17">
      <c r="B8" s="245" t="s">
        <v>6</v>
      </c>
      <c r="C8" s="245" t="s">
        <v>5</v>
      </c>
      <c r="D8" s="486">
        <v>1593624.09</v>
      </c>
    </row>
    <row r="9" spans="1:17">
      <c r="B9" s="245" t="s">
        <v>78</v>
      </c>
      <c r="C9" s="245" t="s">
        <v>71</v>
      </c>
      <c r="D9" s="486">
        <v>1701334.06</v>
      </c>
    </row>
    <row r="11" spans="1:17">
      <c r="B11" s="9"/>
      <c r="C11" s="485" t="s">
        <v>80</v>
      </c>
    </row>
    <row r="12" spans="1:17">
      <c r="B12" s="245" t="s">
        <v>7</v>
      </c>
      <c r="C12" s="435">
        <f>D8/D9</f>
        <v>0.9366908753945713</v>
      </c>
      <c r="D12" s="9"/>
      <c r="E12" s="9"/>
    </row>
    <row r="13" spans="1:17">
      <c r="B13" s="245" t="s">
        <v>8</v>
      </c>
      <c r="C13" s="435">
        <f>1-C12</f>
        <v>6.3309124605428702E-2</v>
      </c>
      <c r="D13" s="105"/>
      <c r="E13" s="105"/>
    </row>
    <row r="14" spans="1:17">
      <c r="H14" s="77"/>
    </row>
    <row r="15" spans="1:17">
      <c r="A15" s="777" t="s">
        <v>242</v>
      </c>
      <c r="B15" s="121"/>
    </row>
    <row r="16" spans="1:17">
      <c r="B16" s="485" t="s">
        <v>27</v>
      </c>
      <c r="C16" s="485" t="s">
        <v>77</v>
      </c>
      <c r="D16" s="485" t="s">
        <v>79</v>
      </c>
    </row>
    <row r="17" spans="1:21">
      <c r="B17" s="245" t="s">
        <v>6</v>
      </c>
      <c r="C17" s="245" t="s">
        <v>239</v>
      </c>
      <c r="D17" s="486">
        <v>1900000</v>
      </c>
    </row>
    <row r="18" spans="1:21">
      <c r="B18" s="245" t="s">
        <v>78</v>
      </c>
      <c r="C18" s="245" t="s">
        <v>240</v>
      </c>
      <c r="D18" s="486">
        <v>2100000</v>
      </c>
    </row>
    <row r="20" spans="1:21">
      <c r="B20" s="9"/>
      <c r="C20" s="485" t="s">
        <v>247</v>
      </c>
    </row>
    <row r="21" spans="1:21">
      <c r="B21" s="245" t="s">
        <v>7</v>
      </c>
      <c r="C21" s="435">
        <f>D17/D18</f>
        <v>0.90476190476190477</v>
      </c>
      <c r="D21" s="9"/>
    </row>
    <row r="22" spans="1:21">
      <c r="B22" s="245" t="s">
        <v>8</v>
      </c>
      <c r="C22" s="435">
        <f>1-C21</f>
        <v>9.5238095238095233E-2</v>
      </c>
      <c r="D22" s="105"/>
    </row>
    <row r="23" spans="1:21">
      <c r="B23" s="9"/>
      <c r="C23" s="225"/>
      <c r="D23" s="105"/>
    </row>
    <row r="24" spans="1:21">
      <c r="A24" s="777" t="s">
        <v>669</v>
      </c>
      <c r="B24" s="9"/>
      <c r="C24" s="225"/>
      <c r="D24" s="105"/>
    </row>
    <row r="26" spans="1:21">
      <c r="B26" s="9"/>
      <c r="C26" s="485" t="s">
        <v>244</v>
      </c>
      <c r="D26" s="485" t="s">
        <v>2083</v>
      </c>
      <c r="E26" s="485" t="s">
        <v>246</v>
      </c>
    </row>
    <row r="27" spans="1:21">
      <c r="B27" s="245" t="s">
        <v>243</v>
      </c>
      <c r="C27" s="487">
        <f>+SUMIF('Func AL Lines'!E5:E421,240,'Func AL Lines'!N5:N421)+SUMIF('Func ATCO Lines'!C5:C435,240,'Func ATCO Lines'!K5:K435)</f>
        <v>1987272160.7052848</v>
      </c>
      <c r="D27" s="487">
        <f>+SUMIF('Func Future Lines 2020'!D4:D277,240,'Func Future Lines 2020'!P4:P277)</f>
        <v>1617236605.2422602</v>
      </c>
      <c r="E27" s="435">
        <f>+(D27+C27)/SUM(C27:C28,D27:D28)</f>
        <v>0.57012158974995242</v>
      </c>
      <c r="U27" s="77"/>
    </row>
    <row r="28" spans="1:21">
      <c r="B28" s="245" t="s">
        <v>245</v>
      </c>
      <c r="C28" s="487">
        <f>+SUMIF('Func AL Lines'!E5:E421,500,'Func AL Lines'!N5:N421)+SUMIF('Func ATCO Lines'!C5:C435,500,'Func ATCO Lines'!K5:K435)</f>
        <v>264224176.3452563</v>
      </c>
      <c r="D28" s="487">
        <f>+SUMIF('Func Future Lines 2020'!D4:D277,500,'Func Future Lines 2020'!P4:P277)</f>
        <v>2453617992.5813437</v>
      </c>
      <c r="E28" s="435">
        <f>+(D28+C28)/SUM($C$27:$C$28,D27:D28)</f>
        <v>0.42987841025004769</v>
      </c>
    </row>
    <row r="29" spans="1:21">
      <c r="B29" s="121"/>
    </row>
    <row r="30" spans="1:21">
      <c r="B30" s="9"/>
      <c r="C30" s="485" t="s">
        <v>248</v>
      </c>
    </row>
    <row r="31" spans="1:21">
      <c r="B31" s="245" t="s">
        <v>7</v>
      </c>
      <c r="C31" s="435">
        <f>+C12*$E$27+C21*$E$28</f>
        <v>0.92296530025808021</v>
      </c>
    </row>
    <row r="32" spans="1:21">
      <c r="B32" s="245" t="s">
        <v>8</v>
      </c>
      <c r="C32" s="435">
        <f>+C13*$E$27+C22*$E$28</f>
        <v>7.7034699741919843E-2</v>
      </c>
    </row>
    <row r="33" spans="1:6">
      <c r="B33" s="121"/>
    </row>
    <row r="34" spans="1:6">
      <c r="A34" s="973" t="s">
        <v>46</v>
      </c>
      <c r="B34" s="973"/>
      <c r="C34" s="973"/>
      <c r="D34" s="973"/>
      <c r="E34" s="973"/>
      <c r="F34" s="973"/>
    </row>
    <row r="35" spans="1:6">
      <c r="A35" s="488" t="s">
        <v>37</v>
      </c>
      <c r="B35" s="9"/>
      <c r="C35" s="9"/>
      <c r="D35" s="9"/>
      <c r="E35" s="9"/>
    </row>
    <row r="36" spans="1:6">
      <c r="B36" s="9"/>
      <c r="C36" s="485" t="s">
        <v>83</v>
      </c>
      <c r="D36" s="9"/>
      <c r="E36" s="9"/>
    </row>
    <row r="37" spans="1:6">
      <c r="B37" s="245" t="s">
        <v>7</v>
      </c>
      <c r="C37" s="435">
        <f>$C$88</f>
        <v>0.97167896122691</v>
      </c>
      <c r="D37" s="9"/>
      <c r="E37" s="9"/>
    </row>
    <row r="38" spans="1:6">
      <c r="B38" s="245" t="s">
        <v>8</v>
      </c>
      <c r="C38" s="435">
        <f>$C$89</f>
        <v>2.8321038773090002E-2</v>
      </c>
      <c r="D38" s="105"/>
      <c r="E38" s="105"/>
    </row>
    <row r="41" spans="1:6">
      <c r="A41" s="454" t="s">
        <v>670</v>
      </c>
      <c r="B41" s="454"/>
      <c r="C41" s="454"/>
      <c r="D41" s="454"/>
      <c r="F41" s="479"/>
    </row>
    <row r="42" spans="1:6">
      <c r="A42" s="777"/>
      <c r="B42" s="777"/>
      <c r="C42" s="489" t="s">
        <v>85</v>
      </c>
      <c r="D42" s="485" t="s">
        <v>86</v>
      </c>
      <c r="F42" s="77"/>
    </row>
    <row r="43" spans="1:6">
      <c r="B43" s="245" t="s">
        <v>2084</v>
      </c>
      <c r="C43" s="311">
        <f>'Func AL Lines'!V13+'Func ATCO Lines'!T16+'Func Future Lines 2020'!V4</f>
        <v>6302236174.2934532</v>
      </c>
      <c r="D43" s="490">
        <f>C43/C45</f>
        <v>0.76397168661564063</v>
      </c>
      <c r="F43" s="77"/>
    </row>
    <row r="44" spans="1:6">
      <c r="B44" s="245" t="s">
        <v>72</v>
      </c>
      <c r="C44" s="311">
        <f>'Func AL Subs'!Z12+'Func ATCO Subs'!X15+'Func Future Subs 2020'!AB10</f>
        <v>1947069768.1977782</v>
      </c>
      <c r="D44" s="490">
        <f>C44/C45</f>
        <v>0.23602831338435934</v>
      </c>
    </row>
    <row r="45" spans="1:6">
      <c r="B45" s="245" t="s">
        <v>89</v>
      </c>
      <c r="C45" s="311">
        <f>SUM(C43:C44)</f>
        <v>8249305942.4912319</v>
      </c>
    </row>
    <row r="46" spans="1:6">
      <c r="A46" s="488"/>
      <c r="B46" s="9"/>
      <c r="C46" s="9"/>
      <c r="D46" s="9"/>
      <c r="E46" s="9"/>
    </row>
    <row r="47" spans="1:6">
      <c r="B47" s="9"/>
      <c r="C47" s="485" t="s">
        <v>84</v>
      </c>
      <c r="D47" s="105"/>
      <c r="E47" s="105"/>
    </row>
    <row r="48" spans="1:6">
      <c r="B48" s="245" t="s">
        <v>7</v>
      </c>
      <c r="C48" s="435">
        <f>C31*$D$43+C37*$D$44</f>
        <v>0.93446310349533057</v>
      </c>
    </row>
    <row r="49" spans="1:8">
      <c r="B49" s="245" t="s">
        <v>8</v>
      </c>
      <c r="C49" s="435">
        <f>C32*$D$43+C38*$D$44</f>
        <v>6.5536896504669442E-2</v>
      </c>
    </row>
    <row r="51" spans="1:8">
      <c r="A51" s="483" t="s">
        <v>201</v>
      </c>
      <c r="B51" s="456"/>
      <c r="C51" s="456"/>
      <c r="D51" s="456"/>
      <c r="E51" s="456"/>
      <c r="F51" s="456"/>
    </row>
    <row r="52" spans="1:8">
      <c r="A52" s="454" t="s">
        <v>87</v>
      </c>
      <c r="B52" s="9"/>
      <c r="C52" s="9"/>
      <c r="D52" s="9"/>
      <c r="E52" s="9"/>
    </row>
    <row r="53" spans="1:8">
      <c r="A53" s="484" t="s">
        <v>96</v>
      </c>
      <c r="B53" s="9"/>
      <c r="C53" s="9"/>
      <c r="D53" s="9"/>
      <c r="E53" s="9"/>
    </row>
    <row r="54" spans="1:8">
      <c r="A54" s="484" t="s">
        <v>97</v>
      </c>
      <c r="B54" s="9"/>
      <c r="C54" s="9"/>
      <c r="D54" s="9"/>
      <c r="E54" s="9"/>
    </row>
    <row r="55" spans="1:8">
      <c r="A55" s="484"/>
      <c r="B55" s="9"/>
      <c r="C55" s="9"/>
      <c r="D55" s="9"/>
      <c r="E55" s="9"/>
    </row>
    <row r="56" spans="1:8">
      <c r="A56" s="491"/>
      <c r="B56" s="485" t="s">
        <v>27</v>
      </c>
      <c r="C56" s="485" t="s">
        <v>77</v>
      </c>
      <c r="D56" s="485" t="s">
        <v>79</v>
      </c>
    </row>
    <row r="57" spans="1:8">
      <c r="A57" s="491"/>
      <c r="B57" s="245" t="s">
        <v>6</v>
      </c>
      <c r="C57" s="245" t="s">
        <v>9</v>
      </c>
      <c r="D57" s="486">
        <v>362335.66</v>
      </c>
    </row>
    <row r="58" spans="1:8">
      <c r="A58" s="488"/>
      <c r="B58" s="245" t="s">
        <v>73</v>
      </c>
      <c r="C58" s="245" t="s">
        <v>10</v>
      </c>
      <c r="D58" s="486">
        <v>442661.72</v>
      </c>
    </row>
    <row r="60" spans="1:8">
      <c r="B60" s="9"/>
      <c r="C60" s="485" t="s">
        <v>88</v>
      </c>
    </row>
    <row r="61" spans="1:8">
      <c r="A61" s="488"/>
      <c r="B61" s="245" t="s">
        <v>7</v>
      </c>
      <c r="C61" s="435">
        <f>D57/D58</f>
        <v>0.81853849933082079</v>
      </c>
      <c r="D61" s="9"/>
      <c r="E61" s="9"/>
    </row>
    <row r="62" spans="1:8">
      <c r="B62" s="245" t="s">
        <v>8</v>
      </c>
      <c r="C62" s="435">
        <f>1-C61</f>
        <v>0.18146150066917921</v>
      </c>
      <c r="D62" s="105"/>
      <c r="E62" s="105"/>
    </row>
    <row r="64" spans="1:8">
      <c r="A64" s="973" t="s">
        <v>46</v>
      </c>
      <c r="B64" s="973"/>
      <c r="C64" s="973"/>
      <c r="D64" s="973"/>
      <c r="E64" s="973"/>
      <c r="F64" s="973"/>
      <c r="H64" s="77"/>
    </row>
    <row r="65" spans="1:11">
      <c r="A65" s="488" t="s">
        <v>37</v>
      </c>
      <c r="B65" s="9"/>
      <c r="C65" s="9"/>
      <c r="D65" s="9"/>
      <c r="E65" s="9"/>
    </row>
    <row r="66" spans="1:11">
      <c r="A66" s="488"/>
      <c r="B66" s="9"/>
      <c r="C66" s="485" t="s">
        <v>83</v>
      </c>
      <c r="D66" s="9"/>
      <c r="E66" s="9"/>
    </row>
    <row r="67" spans="1:11">
      <c r="A67" s="488"/>
      <c r="B67" s="245" t="s">
        <v>7</v>
      </c>
      <c r="C67" s="435">
        <f>C88</f>
        <v>0.97167896122691</v>
      </c>
      <c r="D67" s="9"/>
      <c r="E67" s="9"/>
    </row>
    <row r="68" spans="1:11">
      <c r="B68" s="245" t="s">
        <v>8</v>
      </c>
      <c r="C68" s="435">
        <f>C89</f>
        <v>2.8321038773090002E-2</v>
      </c>
      <c r="D68" s="105"/>
      <c r="E68" s="105"/>
    </row>
    <row r="70" spans="1:11">
      <c r="A70" s="492" t="s">
        <v>671</v>
      </c>
      <c r="B70" s="492"/>
      <c r="C70" s="492"/>
      <c r="D70" s="492"/>
      <c r="F70" s="492"/>
      <c r="K70" s="77"/>
    </row>
    <row r="71" spans="1:11">
      <c r="B71" s="777"/>
      <c r="C71" s="493" t="s">
        <v>85</v>
      </c>
      <c r="D71" s="494" t="s">
        <v>86</v>
      </c>
      <c r="K71" s="77"/>
    </row>
    <row r="72" spans="1:11">
      <c r="A72" s="488"/>
      <c r="B72" s="245" t="s">
        <v>204</v>
      </c>
      <c r="C72" s="311">
        <f>'Func AL Lines'!W13+'Func ATCO Lines'!U16+'Func Future Lines 2020'!W4</f>
        <v>1667835171.9113116</v>
      </c>
      <c r="D72" s="490">
        <f>C72/C74</f>
        <v>0.49786239220967488</v>
      </c>
    </row>
    <row r="73" spans="1:11">
      <c r="A73" s="488"/>
      <c r="B73" s="245" t="s">
        <v>205</v>
      </c>
      <c r="C73" s="311">
        <f>'Func AL Subs'!AA12+'Func ATCO Subs'!Y15+'Func Future Subs 2020'!AC10</f>
        <v>1682157111.114763</v>
      </c>
      <c r="D73" s="490">
        <f>C73/C74</f>
        <v>0.50213760779032524</v>
      </c>
    </row>
    <row r="74" spans="1:11">
      <c r="A74" s="488"/>
      <c r="B74" s="245" t="s">
        <v>206</v>
      </c>
      <c r="C74" s="311">
        <f>SUM(C72:C73)</f>
        <v>3349992283.0260744</v>
      </c>
      <c r="E74" s="9"/>
    </row>
    <row r="75" spans="1:11">
      <c r="B75" s="105"/>
      <c r="C75" s="105"/>
      <c r="E75" s="105"/>
    </row>
    <row r="76" spans="1:11">
      <c r="B76" s="9"/>
      <c r="C76" s="485" t="s">
        <v>207</v>
      </c>
    </row>
    <row r="77" spans="1:11">
      <c r="B77" s="245" t="s">
        <v>7</v>
      </c>
      <c r="C77" s="495">
        <f>C61*D72+C67*D73</f>
        <v>0.89543608452322854</v>
      </c>
    </row>
    <row r="78" spans="1:11">
      <c r="B78" s="245" t="s">
        <v>8</v>
      </c>
      <c r="C78" s="495">
        <f>C62*D72+C68*D73</f>
        <v>0.10456391547677155</v>
      </c>
    </row>
    <row r="79" spans="1:11">
      <c r="B79" s="9"/>
      <c r="C79" s="496"/>
    </row>
    <row r="80" spans="1:11">
      <c r="A80" s="972" t="s">
        <v>90</v>
      </c>
      <c r="B80" s="972"/>
      <c r="C80" s="972"/>
      <c r="D80" s="972"/>
      <c r="E80" s="972"/>
      <c r="F80" s="972"/>
    </row>
    <row r="81" spans="1:8">
      <c r="A81" s="4" t="s">
        <v>723</v>
      </c>
      <c r="B81" s="9"/>
      <c r="C81" s="9"/>
      <c r="D81" s="9"/>
      <c r="E81" s="9"/>
    </row>
    <row r="82" spans="1:8">
      <c r="A82" s="491"/>
      <c r="E82" s="27"/>
    </row>
    <row r="83" spans="1:8">
      <c r="B83" s="9"/>
      <c r="C83" s="485" t="s">
        <v>91</v>
      </c>
      <c r="E83" s="27"/>
    </row>
    <row r="84" spans="1:8">
      <c r="B84" s="245" t="s">
        <v>92</v>
      </c>
      <c r="C84" s="497">
        <v>966840</v>
      </c>
      <c r="D84" s="9"/>
      <c r="E84" s="9"/>
    </row>
    <row r="85" spans="1:8">
      <c r="B85" s="245" t="s">
        <v>93</v>
      </c>
      <c r="C85" s="497">
        <v>995020</v>
      </c>
    </row>
    <row r="87" spans="1:8">
      <c r="B87" s="9"/>
      <c r="C87" s="485" t="s">
        <v>94</v>
      </c>
      <c r="D87" s="105"/>
      <c r="E87" s="105"/>
    </row>
    <row r="88" spans="1:8">
      <c r="B88" s="245" t="s">
        <v>7</v>
      </c>
      <c r="C88" s="495">
        <f>C84/C85</f>
        <v>0.97167896122691</v>
      </c>
    </row>
    <row r="89" spans="1:8">
      <c r="B89" s="245" t="s">
        <v>8</v>
      </c>
      <c r="C89" s="495">
        <f>1-C88</f>
        <v>2.8321038773090002E-2</v>
      </c>
      <c r="G89" s="786"/>
      <c r="H89" s="77"/>
    </row>
    <row r="90" spans="1:8">
      <c r="G90" s="786"/>
    </row>
    <row r="91" spans="1:8">
      <c r="A91" s="776" t="s">
        <v>95</v>
      </c>
      <c r="G91" s="786"/>
    </row>
    <row r="93" spans="1:8">
      <c r="B93" s="498"/>
      <c r="C93" s="498" t="s">
        <v>49</v>
      </c>
      <c r="D93" s="498" t="s">
        <v>74</v>
      </c>
    </row>
    <row r="94" spans="1:8">
      <c r="B94" s="499" t="s">
        <v>7</v>
      </c>
      <c r="C94" s="500">
        <f>+C48</f>
        <v>0.93446310349533057</v>
      </c>
      <c r="D94" s="500">
        <f>+C77</f>
        <v>0.89543608452322854</v>
      </c>
    </row>
    <row r="95" spans="1:8">
      <c r="B95" s="499" t="s">
        <v>8</v>
      </c>
      <c r="C95" s="500">
        <f>+C49</f>
        <v>6.5536896504669442E-2</v>
      </c>
      <c r="D95" s="500">
        <f>+C78</f>
        <v>0.10456391547677155</v>
      </c>
    </row>
  </sheetData>
  <mergeCells count="3">
    <mergeCell ref="A80:F80"/>
    <mergeCell ref="A34:F34"/>
    <mergeCell ref="A64:F64"/>
  </mergeCells>
  <phoneticPr fontId="0" type="noConversion"/>
  <pageMargins left="0.7" right="0.7" top="0.75" bottom="0.75" header="0.3" footer="0.3"/>
  <pageSetup orientation="portrait" r:id="rId1"/>
  <headerFooter>
    <oddHeader>&amp;LAlberta Electric System Operator&amp;CConfidentiality: Public&amp;R&amp;D</oddHeader>
    <oddFooter>&amp;L&amp;F&amp;CPage &amp;P of &amp;N&amp;RTab &amp;A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03"/>
  <sheetViews>
    <sheetView showGridLines="0" zoomScale="80" zoomScaleNormal="80" workbookViewId="0">
      <selection activeCell="L1" sqref="A1:L103"/>
    </sheetView>
  </sheetViews>
  <sheetFormatPr defaultColWidth="9.109375" defaultRowHeight="13.8"/>
  <cols>
    <col min="1" max="1" width="9.109375" style="4"/>
    <col min="2" max="2" width="47.6640625" style="243" customWidth="1"/>
    <col min="3" max="3" width="18.6640625" style="4" customWidth="1"/>
    <col min="4" max="4" width="22.44140625" style="4" customWidth="1"/>
    <col min="5" max="7" width="18" style="4" bestFit="1" customWidth="1"/>
    <col min="8" max="12" width="5" style="4" bestFit="1" customWidth="1"/>
    <col min="13" max="13" width="21" style="4" customWidth="1"/>
    <col min="14" max="14" width="21.6640625" style="4" customWidth="1"/>
    <col min="15" max="19" width="23" style="4" bestFit="1" customWidth="1"/>
    <col min="20" max="21" width="21.88671875" style="4" bestFit="1" customWidth="1"/>
    <col min="22" max="25" width="23" style="4" bestFit="1" customWidth="1"/>
    <col min="26" max="16384" width="9.109375" style="4"/>
  </cols>
  <sheetData>
    <row r="1" spans="1:22">
      <c r="A1" s="776" t="s">
        <v>168</v>
      </c>
    </row>
    <row r="2" spans="1:22">
      <c r="A2" s="776"/>
      <c r="B2" s="244" t="s">
        <v>227</v>
      </c>
    </row>
    <row r="3" spans="1:22">
      <c r="A3" s="776"/>
      <c r="B3" s="4"/>
      <c r="C3" s="758" t="s">
        <v>52</v>
      </c>
      <c r="D3" s="4" t="s">
        <v>226</v>
      </c>
    </row>
    <row r="4" spans="1:22">
      <c r="A4" s="776"/>
      <c r="B4" s="245" t="s">
        <v>223</v>
      </c>
      <c r="C4" s="486">
        <f>188571948*60%</f>
        <v>113143168.8</v>
      </c>
      <c r="D4" s="4" t="s">
        <v>2073</v>
      </c>
    </row>
    <row r="5" spans="1:22">
      <c r="A5" s="776"/>
      <c r="B5" s="245" t="s">
        <v>224</v>
      </c>
      <c r="C5" s="486">
        <f>'Func Results 2015'!C5</f>
        <v>275824546.27868605</v>
      </c>
      <c r="D5" s="4" t="s">
        <v>225</v>
      </c>
    </row>
    <row r="6" spans="1:22">
      <c r="A6" s="776"/>
    </row>
    <row r="7" spans="1:22">
      <c r="B7" s="244" t="s">
        <v>176</v>
      </c>
      <c r="O7" s="11"/>
      <c r="P7" s="11"/>
      <c r="Q7" s="11"/>
      <c r="R7" s="11"/>
      <c r="S7" s="11"/>
      <c r="T7" s="11"/>
      <c r="U7" s="11"/>
      <c r="V7" s="11"/>
    </row>
    <row r="8" spans="1:22">
      <c r="C8" s="997" t="s">
        <v>169</v>
      </c>
      <c r="D8" s="997"/>
      <c r="E8" s="997"/>
      <c r="G8" s="1023" t="s">
        <v>2072</v>
      </c>
      <c r="H8" s="1023"/>
      <c r="I8" s="1023"/>
      <c r="J8" s="1023"/>
      <c r="K8" s="1023"/>
      <c r="L8" s="1023"/>
      <c r="M8" s="456"/>
      <c r="O8" s="1020"/>
      <c r="P8" s="1020"/>
      <c r="Q8" s="1020"/>
      <c r="R8" s="1020"/>
      <c r="S8" s="1020"/>
      <c r="T8" s="11"/>
      <c r="U8" s="11"/>
      <c r="V8" s="11"/>
    </row>
    <row r="9" spans="1:22">
      <c r="C9" s="246" t="s">
        <v>170</v>
      </c>
      <c r="D9" s="246" t="s">
        <v>74</v>
      </c>
      <c r="E9" s="246" t="s">
        <v>50</v>
      </c>
      <c r="G9" s="247">
        <v>2015</v>
      </c>
      <c r="H9" s="247">
        <v>2016</v>
      </c>
      <c r="I9" s="247">
        <v>2017</v>
      </c>
      <c r="J9" s="247">
        <v>2018</v>
      </c>
      <c r="K9" s="247">
        <v>2019</v>
      </c>
      <c r="L9" s="247">
        <v>2020</v>
      </c>
      <c r="N9" s="11"/>
      <c r="O9" s="248"/>
      <c r="P9" s="248"/>
      <c r="Q9" s="248"/>
      <c r="R9" s="248"/>
      <c r="S9" s="248"/>
      <c r="T9" s="248"/>
      <c r="U9" s="248"/>
    </row>
    <row r="10" spans="1:22">
      <c r="B10" s="249" t="s">
        <v>34</v>
      </c>
      <c r="C10" s="250">
        <f>'Func AL Subs'!Z12/L10*H10</f>
        <v>313423880.46036768</v>
      </c>
      <c r="D10" s="251">
        <f>'Func AL Subs'!AA12/L10*H10</f>
        <v>474142723.54374272</v>
      </c>
      <c r="E10" s="251">
        <f>'Func AL Subs'!AB12/L10*H10</f>
        <v>783665761.60966313</v>
      </c>
      <c r="G10" s="212">
        <f>+'Func AL Subs'!H3</f>
        <v>0.96533000000000002</v>
      </c>
      <c r="H10" s="212">
        <f>+'Func AL Subs'!I3</f>
        <v>0.93093529209999992</v>
      </c>
      <c r="I10" s="212">
        <f>+'Func AL Subs'!J3</f>
        <v>0.89885827756423553</v>
      </c>
      <c r="J10" s="212">
        <f>+'Func AL Subs'!K3</f>
        <v>0.86880577929116165</v>
      </c>
      <c r="K10" s="212">
        <f>+'Func AL Subs'!L3</f>
        <v>0.83975805860649744</v>
      </c>
      <c r="L10" s="212">
        <f>+'Func AL Subs'!M3</f>
        <v>0.81168152169740926</v>
      </c>
      <c r="N10" s="11"/>
      <c r="O10" s="11"/>
      <c r="P10" s="11"/>
      <c r="Q10" s="11"/>
      <c r="R10" s="11"/>
      <c r="S10" s="11"/>
      <c r="T10" s="11"/>
      <c r="U10" s="11"/>
    </row>
    <row r="11" spans="1:22">
      <c r="B11" s="249" t="s">
        <v>35</v>
      </c>
      <c r="C11" s="251">
        <f>('Func AL Lines'!V13)/L11*H11</f>
        <v>1460628776.2067349</v>
      </c>
      <c r="D11" s="251">
        <f>('Func AL Lines'!W13)/L11*H11</f>
        <v>383430584.81379789</v>
      </c>
      <c r="E11" s="251">
        <f>'Func AL Lines'!X13/L11*H11</f>
        <v>166359733.71836635</v>
      </c>
      <c r="G11" s="212">
        <f>+'Func AL Lines'!I3</f>
        <v>0.97291408520456379</v>
      </c>
      <c r="H11" s="212">
        <f>+'Func AL Lines'!J3</f>
        <v>0.94528775683694444</v>
      </c>
      <c r="I11" s="212">
        <f>+'Func AL Lines'!K3</f>
        <v>0.91513268407767112</v>
      </c>
      <c r="J11" s="212">
        <f>+'Func AL Lines'!L3</f>
        <v>0.88705974104899432</v>
      </c>
      <c r="K11" s="212">
        <f>+'Func AL Lines'!M3</f>
        <v>0.85984797383012446</v>
      </c>
      <c r="L11" s="212">
        <f>+'Func AL Lines'!N3</f>
        <v>0.83347096467873072</v>
      </c>
      <c r="N11" s="11"/>
      <c r="O11" s="11"/>
      <c r="P11" s="11"/>
      <c r="Q11" s="11"/>
      <c r="R11" s="11"/>
      <c r="S11" s="11"/>
      <c r="T11" s="11"/>
      <c r="U11" s="11"/>
    </row>
    <row r="12" spans="1:22">
      <c r="B12" s="249" t="s">
        <v>36</v>
      </c>
      <c r="C12" s="252">
        <f>+'Func ATCO Subs'!X15/L12*H12</f>
        <v>124699969.94557159</v>
      </c>
      <c r="D12" s="252">
        <f>+'Func ATCO Subs'!Y15/L12*H12</f>
        <v>681177918.15338683</v>
      </c>
      <c r="E12" s="252">
        <f>+'Func ATCO Subs'!Z15/L12*H12</f>
        <v>516775208.22504592</v>
      </c>
      <c r="G12" s="212">
        <f>+'Func ATCO Subs'!F3</f>
        <v>0.97556592632866179</v>
      </c>
      <c r="H12" s="212">
        <f>+'Func ATCO Subs'!G3</f>
        <v>0.95153534693782615</v>
      </c>
      <c r="I12" s="212">
        <f>+'Func ATCO Subs'!H3</f>
        <v>0.9283639992745315</v>
      </c>
      <c r="J12" s="212">
        <f>+'Func ATCO Subs'!I3</f>
        <v>0.90575690952794075</v>
      </c>
      <c r="K12" s="212">
        <f>+'Func ATCO Subs'!J3</f>
        <v>0.88370033715084062</v>
      </c>
      <c r="L12" s="212">
        <f>+'Func ATCO Subs'!K3</f>
        <v>0.86218087619945383</v>
      </c>
      <c r="N12" s="11"/>
      <c r="O12" s="11"/>
      <c r="P12" s="11"/>
      <c r="Q12" s="11"/>
      <c r="R12" s="11"/>
      <c r="S12" s="11"/>
      <c r="T12" s="11"/>
      <c r="U12" s="11"/>
    </row>
    <row r="13" spans="1:22">
      <c r="B13" s="249" t="s">
        <v>39</v>
      </c>
      <c r="C13" s="252">
        <f>+'Func ATCO Lines'!T16/L13*H13</f>
        <v>1039822986.8378378</v>
      </c>
      <c r="D13" s="252">
        <f>+'Func ATCO Lines'!U16/L13*H13</f>
        <v>625792867.96940589</v>
      </c>
      <c r="E13" s="252">
        <f>+'Func ATCO Lines'!V16/L13*H13</f>
        <v>146948634.44274086</v>
      </c>
      <c r="G13" s="212">
        <f>+'Func ATCO Lines'!F3</f>
        <v>0.97521794281816965</v>
      </c>
      <c r="H13" s="212">
        <f>+'Func ATCO Lines'!G3</f>
        <v>0.95186746118817056</v>
      </c>
      <c r="I13" s="212">
        <f>+'Func ATCO Lines'!H3</f>
        <v>0.92902070228339195</v>
      </c>
      <c r="J13" s="212">
        <f>+'Func ATCO Lines'!I3</f>
        <v>0.90672231215235166</v>
      </c>
      <c r="K13" s="212">
        <f>+'Func ATCO Lines'!J3</f>
        <v>0.88495912882694439</v>
      </c>
      <c r="L13" s="212">
        <f>+'Func ATCO Lines'!K3</f>
        <v>0.86371830625312263</v>
      </c>
      <c r="N13" s="11"/>
      <c r="O13" s="11"/>
      <c r="P13" s="11"/>
      <c r="Q13" s="11"/>
      <c r="R13" s="11"/>
      <c r="S13" s="11"/>
      <c r="T13" s="11"/>
      <c r="U13" s="11"/>
    </row>
    <row r="14" spans="1:22">
      <c r="O14" s="11"/>
      <c r="P14" s="11"/>
      <c r="Q14" s="11"/>
      <c r="R14" s="11"/>
      <c r="S14" s="11"/>
      <c r="T14" s="11"/>
      <c r="U14" s="11"/>
      <c r="V14" s="11"/>
    </row>
    <row r="15" spans="1:22">
      <c r="B15" s="244" t="s">
        <v>171</v>
      </c>
    </row>
    <row r="16" spans="1:22">
      <c r="B16" s="244"/>
      <c r="C16" s="1021" t="s">
        <v>67</v>
      </c>
      <c r="D16" s="1021"/>
      <c r="E16" s="1021"/>
      <c r="F16" s="253" t="s">
        <v>172</v>
      </c>
      <c r="G16" s="254" t="s">
        <v>174</v>
      </c>
    </row>
    <row r="17" spans="2:15" s="786" customFormat="1">
      <c r="B17" s="255"/>
      <c r="C17" s="997" t="s">
        <v>169</v>
      </c>
      <c r="D17" s="997"/>
      <c r="E17" s="997"/>
      <c r="F17" s="256"/>
      <c r="G17" s="257"/>
    </row>
    <row r="18" spans="2:15" ht="13.5" customHeight="1">
      <c r="C18" s="258" t="s">
        <v>170</v>
      </c>
      <c r="D18" s="258" t="s">
        <v>74</v>
      </c>
      <c r="E18" s="258" t="s">
        <v>50</v>
      </c>
      <c r="F18" s="256"/>
      <c r="G18" s="259"/>
    </row>
    <row r="19" spans="2:15">
      <c r="B19" s="251" t="s">
        <v>4</v>
      </c>
      <c r="C19" s="251">
        <f>+SUM(C10:C11)</f>
        <v>1774052656.6671026</v>
      </c>
      <c r="D19" s="251">
        <f t="shared" ref="D19:E19" si="0">+SUM(D10:D11)</f>
        <v>857573308.35754061</v>
      </c>
      <c r="E19" s="251">
        <f t="shared" si="0"/>
        <v>950025495.32802951</v>
      </c>
      <c r="F19" s="251"/>
      <c r="G19" s="252">
        <f>+SUM(C19:F19)</f>
        <v>3581651460.3526726</v>
      </c>
      <c r="H19" s="9"/>
    </row>
    <row r="20" spans="2:15">
      <c r="B20" s="251" t="s">
        <v>28</v>
      </c>
      <c r="C20" s="251">
        <f>+SUM(C12:C13)</f>
        <v>1164522956.7834094</v>
      </c>
      <c r="D20" s="251">
        <f t="shared" ref="D20:E20" si="1">+SUM(D12:D13)</f>
        <v>1306970786.1227927</v>
      </c>
      <c r="E20" s="251">
        <f t="shared" si="1"/>
        <v>663723842.66778684</v>
      </c>
      <c r="F20" s="251"/>
      <c r="G20" s="252">
        <f t="shared" ref="G20:G23" si="2">+SUM(C20:F20)</f>
        <v>3135217585.5739889</v>
      </c>
      <c r="H20" s="9"/>
    </row>
    <row r="21" spans="2:15">
      <c r="B21" s="251" t="s">
        <v>40</v>
      </c>
      <c r="C21" s="251">
        <f>'Func Enmax'!B19</f>
        <v>0</v>
      </c>
      <c r="D21" s="251">
        <f>'Func Enmax'!C19</f>
        <v>92707174.442328617</v>
      </c>
      <c r="E21" s="251">
        <f>'Func Enmax'!D19</f>
        <v>157039735.06679612</v>
      </c>
      <c r="F21" s="251"/>
      <c r="G21" s="252">
        <f t="shared" si="2"/>
        <v>249746909.50912476</v>
      </c>
      <c r="H21" s="9"/>
    </row>
    <row r="22" spans="2:15">
      <c r="B22" s="251" t="s">
        <v>29</v>
      </c>
      <c r="C22" s="251">
        <f>'Func EPCOR'!B22</f>
        <v>304811468.06981087</v>
      </c>
      <c r="D22" s="251">
        <f>'Func EPCOR'!C22</f>
        <v>20263537.111105356</v>
      </c>
      <c r="E22" s="251">
        <f>'Func EPCOR'!D22</f>
        <v>68432079.874856561</v>
      </c>
      <c r="F22" s="251"/>
      <c r="G22" s="252">
        <f t="shared" si="2"/>
        <v>393507085.05577278</v>
      </c>
    </row>
    <row r="23" spans="2:15">
      <c r="B23" s="249" t="s">
        <v>223</v>
      </c>
      <c r="C23" s="245"/>
      <c r="D23" s="245"/>
      <c r="E23" s="251">
        <f>+C4-C4*Depreciation!H24/2+'Func Results 2015'!E23*(1-Depreciation!H24)</f>
        <v>188452530.00572127</v>
      </c>
      <c r="F23" s="251"/>
      <c r="G23" s="252">
        <f t="shared" si="2"/>
        <v>188452530.00572127</v>
      </c>
    </row>
    <row r="24" spans="2:15">
      <c r="B24" s="249" t="s">
        <v>224</v>
      </c>
      <c r="C24" s="245"/>
      <c r="D24" s="245"/>
      <c r="E24" s="251"/>
      <c r="F24" s="251">
        <f>+C5-(C5*Depreciation!H18/2)+'Func Results 2015'!F24*(1-Depreciation!H18)</f>
        <v>535348688.99481422</v>
      </c>
      <c r="G24" s="252">
        <f>+SUM(F24)</f>
        <v>535348688.99481422</v>
      </c>
    </row>
    <row r="25" spans="2:15">
      <c r="B25" s="260" t="s">
        <v>48</v>
      </c>
      <c r="C25" s="260">
        <f>+SUM(C19:C24)</f>
        <v>3243387081.5203228</v>
      </c>
      <c r="D25" s="260">
        <f t="shared" ref="D25:G25" si="3">+SUM(D19:D24)</f>
        <v>2277514806.0337672</v>
      </c>
      <c r="E25" s="260">
        <f t="shared" si="3"/>
        <v>2027673682.9431901</v>
      </c>
      <c r="F25" s="260">
        <f t="shared" si="3"/>
        <v>535348688.99481422</v>
      </c>
      <c r="G25" s="260">
        <f t="shared" si="3"/>
        <v>8083924259.492094</v>
      </c>
    </row>
    <row r="26" spans="2:15">
      <c r="B26" s="4"/>
    </row>
    <row r="27" spans="2:15">
      <c r="B27" s="777" t="s">
        <v>173</v>
      </c>
    </row>
    <row r="28" spans="2:15">
      <c r="B28" s="4"/>
      <c r="C28" s="4" t="s">
        <v>33</v>
      </c>
    </row>
    <row r="29" spans="2:15">
      <c r="B29" s="4"/>
      <c r="C29" s="779" t="s">
        <v>30</v>
      </c>
      <c r="D29" s="779" t="s">
        <v>31</v>
      </c>
      <c r="E29" s="779" t="s">
        <v>75</v>
      </c>
      <c r="F29" s="779" t="s">
        <v>50</v>
      </c>
      <c r="G29" s="242"/>
      <c r="H29" s="261"/>
      <c r="I29" s="261"/>
      <c r="J29" s="242"/>
      <c r="K29" s="261"/>
      <c r="L29" s="261"/>
      <c r="M29" s="261"/>
      <c r="N29" s="261"/>
      <c r="O29" s="242"/>
    </row>
    <row r="30" spans="2:15">
      <c r="B30" s="4"/>
      <c r="C30" s="262" t="s">
        <v>4</v>
      </c>
      <c r="D30" s="263">
        <f t="shared" ref="D30:F31" si="4">C19/SUM($C19:$E19)</f>
        <v>0.49531694423790135</v>
      </c>
      <c r="E30" s="263">
        <f t="shared" si="4"/>
        <v>0.23943516499316167</v>
      </c>
      <c r="F30" s="263">
        <f t="shared" si="4"/>
        <v>0.26524789076893701</v>
      </c>
      <c r="G30" s="261"/>
      <c r="H30" s="261"/>
      <c r="I30" s="261"/>
      <c r="J30" s="261"/>
      <c r="K30" s="261"/>
      <c r="L30" s="261"/>
      <c r="M30" s="261"/>
      <c r="N30" s="261"/>
      <c r="O30" s="261"/>
    </row>
    <row r="31" spans="2:15">
      <c r="B31" s="4"/>
      <c r="C31" s="262" t="s">
        <v>32</v>
      </c>
      <c r="D31" s="263">
        <f t="shared" si="4"/>
        <v>0.37143289899294535</v>
      </c>
      <c r="E31" s="263">
        <f t="shared" si="4"/>
        <v>0.41686764967654238</v>
      </c>
      <c r="F31" s="263">
        <f t="shared" si="4"/>
        <v>0.21169945133051227</v>
      </c>
      <c r="G31" s="261"/>
      <c r="H31" s="261"/>
      <c r="I31" s="261"/>
      <c r="J31" s="261"/>
      <c r="K31" s="261"/>
      <c r="L31" s="261"/>
      <c r="M31" s="261"/>
      <c r="N31" s="261"/>
      <c r="O31" s="261"/>
    </row>
    <row r="32" spans="2:15" hidden="1">
      <c r="B32" s="4"/>
      <c r="C32" s="262" t="s">
        <v>64</v>
      </c>
      <c r="D32" s="263">
        <f t="shared" ref="D32:F33" si="5">C21/SUM($C21:$E21)</f>
        <v>0</v>
      </c>
      <c r="E32" s="263">
        <f t="shared" si="5"/>
        <v>0.37120449107676134</v>
      </c>
      <c r="F32" s="263">
        <f t="shared" si="5"/>
        <v>0.62879550892323866</v>
      </c>
      <c r="G32" s="261"/>
      <c r="H32" s="261"/>
      <c r="I32" s="261"/>
      <c r="J32" s="261"/>
      <c r="K32" s="261"/>
      <c r="L32" s="261"/>
      <c r="M32" s="261"/>
      <c r="N32" s="261"/>
      <c r="O32" s="261"/>
    </row>
    <row r="33" spans="1:15">
      <c r="B33" s="4"/>
      <c r="C33" s="262" t="s">
        <v>38</v>
      </c>
      <c r="D33" s="263">
        <f t="shared" si="5"/>
        <v>0.77460223626369817</v>
      </c>
      <c r="E33" s="263">
        <f t="shared" si="5"/>
        <v>5.1494719868216229E-2</v>
      </c>
      <c r="F33" s="263">
        <f t="shared" si="5"/>
        <v>0.17390304386808564</v>
      </c>
      <c r="G33" s="261"/>
      <c r="H33" s="261"/>
      <c r="I33" s="261"/>
      <c r="J33" s="261"/>
      <c r="K33" s="261"/>
      <c r="L33" s="261"/>
      <c r="M33" s="261"/>
      <c r="N33" s="261"/>
      <c r="O33" s="261"/>
    </row>
    <row r="34" spans="1:15">
      <c r="B34" s="4"/>
      <c r="C34" s="264" t="s">
        <v>76</v>
      </c>
      <c r="D34" s="265">
        <f t="shared" ref="D34:F34" si="6">C25/SUM($C25:$E25)</f>
        <v>0.42966875687072931</v>
      </c>
      <c r="E34" s="265">
        <f t="shared" si="6"/>
        <v>0.30171451352161938</v>
      </c>
      <c r="F34" s="265">
        <f t="shared" si="6"/>
        <v>0.26861672960765132</v>
      </c>
      <c r="G34" s="261"/>
      <c r="H34" s="261"/>
      <c r="I34" s="261"/>
      <c r="J34" s="261"/>
      <c r="K34" s="261"/>
      <c r="L34" s="261"/>
      <c r="M34" s="261"/>
      <c r="N34" s="261"/>
      <c r="O34" s="261"/>
    </row>
    <row r="35" spans="1:15">
      <c r="B35" s="4"/>
      <c r="G35" s="261"/>
      <c r="H35" s="266"/>
      <c r="I35" s="266"/>
      <c r="J35" s="266"/>
      <c r="K35" s="261"/>
      <c r="L35" s="261"/>
      <c r="M35" s="261"/>
      <c r="N35" s="261"/>
      <c r="O35" s="261"/>
    </row>
    <row r="36" spans="1:15">
      <c r="B36" s="4"/>
      <c r="C36" s="4" t="s">
        <v>173</v>
      </c>
      <c r="G36" s="261"/>
      <c r="H36" s="266"/>
      <c r="I36" s="266"/>
      <c r="J36" s="266"/>
      <c r="K36" s="261"/>
      <c r="L36" s="261"/>
      <c r="M36" s="261"/>
      <c r="N36" s="261"/>
      <c r="O36" s="261"/>
    </row>
    <row r="37" spans="1:15">
      <c r="B37" s="4"/>
      <c r="C37" s="779" t="s">
        <v>65</v>
      </c>
      <c r="D37" s="779" t="s">
        <v>31</v>
      </c>
      <c r="E37" s="779" t="s">
        <v>75</v>
      </c>
      <c r="F37" s="779" t="s">
        <v>50</v>
      </c>
      <c r="G37" s="261"/>
      <c r="H37" s="266"/>
      <c r="I37" s="266"/>
      <c r="J37" s="266"/>
      <c r="K37" s="261"/>
      <c r="L37" s="261"/>
      <c r="M37" s="261"/>
      <c r="N37" s="261"/>
      <c r="O37" s="261"/>
    </row>
    <row r="38" spans="1:15">
      <c r="B38" s="4"/>
      <c r="C38" s="262" t="s">
        <v>47</v>
      </c>
      <c r="D38" s="263">
        <f>D34</f>
        <v>0.42966875687072931</v>
      </c>
      <c r="E38" s="263">
        <f>E34</f>
        <v>0.30171451352161938</v>
      </c>
      <c r="F38" s="263">
        <f>F34</f>
        <v>0.26861672960765132</v>
      </c>
      <c r="G38" s="261"/>
      <c r="H38" s="266"/>
      <c r="I38" s="266"/>
      <c r="J38" s="266"/>
      <c r="K38" s="261"/>
      <c r="L38" s="261"/>
      <c r="M38" s="261"/>
      <c r="N38" s="261"/>
      <c r="O38" s="261"/>
    </row>
    <row r="39" spans="1:15">
      <c r="B39" s="4"/>
      <c r="G39" s="261"/>
      <c r="H39" s="266"/>
      <c r="I39" s="266"/>
      <c r="J39" s="266"/>
      <c r="K39" s="261"/>
      <c r="L39" s="261"/>
      <c r="M39" s="261"/>
      <c r="N39" s="261"/>
      <c r="O39" s="261"/>
    </row>
    <row r="40" spans="1:15">
      <c r="B40" s="4"/>
      <c r="C40" s="4" t="s">
        <v>181</v>
      </c>
    </row>
    <row r="41" spans="1:15">
      <c r="B41" s="4"/>
      <c r="C41" s="779" t="s">
        <v>65</v>
      </c>
      <c r="D41" s="779" t="s">
        <v>31</v>
      </c>
      <c r="E41" s="779" t="s">
        <v>75</v>
      </c>
      <c r="F41" s="779" t="s">
        <v>50</v>
      </c>
    </row>
    <row r="42" spans="1:15">
      <c r="B42" s="4"/>
      <c r="C42" s="262" t="s">
        <v>47</v>
      </c>
      <c r="D42" s="267">
        <f>+D38*$G$25</f>
        <v>3473409687.213099</v>
      </c>
      <c r="E42" s="267">
        <f>+E38*$G$25</f>
        <v>2439037275.2982745</v>
      </c>
      <c r="F42" s="267">
        <f>+F38*$G$25</f>
        <v>2171477296.9807205</v>
      </c>
    </row>
    <row r="44" spans="1:15">
      <c r="A44" s="776" t="s">
        <v>175</v>
      </c>
    </row>
    <row r="45" spans="1:15">
      <c r="A45" s="776"/>
      <c r="B45" s="243" t="s">
        <v>178</v>
      </c>
    </row>
    <row r="46" spans="1:15">
      <c r="C46" s="77" t="s">
        <v>211</v>
      </c>
      <c r="D46" s="268"/>
      <c r="E46" s="268"/>
      <c r="F46" s="268"/>
    </row>
    <row r="47" spans="1:15">
      <c r="C47" s="779" t="s">
        <v>65</v>
      </c>
      <c r="D47" s="779" t="s">
        <v>31</v>
      </c>
      <c r="E47" s="779" t="s">
        <v>75</v>
      </c>
      <c r="F47" s="779" t="s">
        <v>50</v>
      </c>
    </row>
    <row r="48" spans="1:15">
      <c r="C48" s="262" t="s">
        <v>47</v>
      </c>
      <c r="D48" s="269">
        <f>'Func Future Lines 2016'!V4</f>
        <v>4151532221.6367512</v>
      </c>
      <c r="E48" s="269">
        <f>'Func Future Lines 2016'!W4</f>
        <v>272197600.25485688</v>
      </c>
      <c r="F48" s="269">
        <v>0</v>
      </c>
    </row>
    <row r="49" spans="1:6">
      <c r="B49" s="4"/>
      <c r="C49" s="262"/>
      <c r="D49" s="270"/>
      <c r="E49" s="270"/>
      <c r="F49" s="270"/>
    </row>
    <row r="50" spans="1:6">
      <c r="B50" s="4"/>
      <c r="C50" s="77" t="s">
        <v>210</v>
      </c>
      <c r="D50" s="268"/>
      <c r="E50" s="268"/>
      <c r="F50" s="268"/>
    </row>
    <row r="51" spans="1:6">
      <c r="B51" s="4"/>
      <c r="C51" s="779" t="s">
        <v>65</v>
      </c>
      <c r="D51" s="779" t="s">
        <v>31</v>
      </c>
      <c r="E51" s="779" t="s">
        <v>75</v>
      </c>
      <c r="F51" s="779" t="s">
        <v>50</v>
      </c>
    </row>
    <row r="52" spans="1:6">
      <c r="B52" s="4"/>
      <c r="C52" s="262" t="s">
        <v>47</v>
      </c>
      <c r="D52" s="263">
        <f>'Func Future Lines 2016'!V5</f>
        <v>0.93846875573009925</v>
      </c>
      <c r="E52" s="263">
        <f>'Func Future Lines 2016'!W5</f>
        <v>6.1531244269900705E-2</v>
      </c>
      <c r="F52" s="263">
        <v>0</v>
      </c>
    </row>
    <row r="53" spans="1:6">
      <c r="B53" s="4"/>
      <c r="C53" s="262"/>
      <c r="D53" s="270"/>
      <c r="E53" s="270"/>
      <c r="F53" s="270"/>
    </row>
    <row r="54" spans="1:6">
      <c r="B54" s="4"/>
      <c r="C54" s="77" t="s">
        <v>212</v>
      </c>
      <c r="D54" s="268"/>
      <c r="E54" s="268"/>
      <c r="F54" s="268"/>
    </row>
    <row r="55" spans="1:6">
      <c r="B55" s="4"/>
      <c r="C55" s="788" t="s">
        <v>65</v>
      </c>
      <c r="D55" s="779" t="s">
        <v>31</v>
      </c>
      <c r="E55" s="779" t="s">
        <v>75</v>
      </c>
      <c r="F55" s="779" t="s">
        <v>50</v>
      </c>
    </row>
    <row r="56" spans="1:6">
      <c r="B56" s="4"/>
      <c r="C56" s="262" t="s">
        <v>47</v>
      </c>
      <c r="D56" s="269">
        <f>'Func Future Subs 2016'!AB10</f>
        <v>1520629393.1660876</v>
      </c>
      <c r="E56" s="269">
        <f>'Func Future Subs 2016'!AC10</f>
        <v>354050462.42340094</v>
      </c>
      <c r="F56" s="269">
        <f>'Func Future Subs 2016'!AD10</f>
        <v>426154337.3230108</v>
      </c>
    </row>
    <row r="57" spans="1:6">
      <c r="B57" s="4"/>
      <c r="C57" s="262"/>
      <c r="D57" s="270"/>
      <c r="E57" s="270"/>
      <c r="F57" s="270"/>
    </row>
    <row r="58" spans="1:6">
      <c r="B58" s="4"/>
      <c r="C58" s="77" t="s">
        <v>213</v>
      </c>
      <c r="D58" s="268"/>
      <c r="E58" s="268"/>
      <c r="F58" s="268"/>
    </row>
    <row r="59" spans="1:6">
      <c r="B59" s="4"/>
      <c r="C59" s="788" t="s">
        <v>65</v>
      </c>
      <c r="D59" s="779" t="s">
        <v>31</v>
      </c>
      <c r="E59" s="779" t="s">
        <v>75</v>
      </c>
      <c r="F59" s="779" t="s">
        <v>50</v>
      </c>
    </row>
    <row r="60" spans="1:6">
      <c r="B60" s="4"/>
      <c r="C60" s="262" t="s">
        <v>47</v>
      </c>
      <c r="D60" s="270">
        <f>'Func Future Subs 2016'!AB4</f>
        <v>0.6609035096271787</v>
      </c>
      <c r="E60" s="270">
        <f>'Func Future Subs 2016'!AC4</f>
        <v>0.15387917282958491</v>
      </c>
      <c r="F60" s="270">
        <f>'Func Future Subs 2016'!AD4</f>
        <v>0.18521731754323659</v>
      </c>
    </row>
    <row r="62" spans="1:6">
      <c r="A62" s="776" t="s">
        <v>182</v>
      </c>
    </row>
    <row r="63" spans="1:6">
      <c r="B63" s="4" t="s">
        <v>183</v>
      </c>
    </row>
    <row r="64" spans="1:6">
      <c r="C64" s="779" t="s">
        <v>65</v>
      </c>
      <c r="D64" s="779" t="s">
        <v>31</v>
      </c>
      <c r="E64" s="779" t="s">
        <v>75</v>
      </c>
      <c r="F64" s="779" t="s">
        <v>50</v>
      </c>
    </row>
    <row r="65" spans="1:8">
      <c r="C65" s="262" t="s">
        <v>47</v>
      </c>
      <c r="D65" s="267">
        <f>D42+D48+D56</f>
        <v>9145571302.0159378</v>
      </c>
      <c r="E65" s="267">
        <f t="shared" ref="E65:F65" si="7">E42+E48+E56</f>
        <v>3065285337.9765325</v>
      </c>
      <c r="F65" s="267">
        <f t="shared" si="7"/>
        <v>2597631634.3037314</v>
      </c>
    </row>
    <row r="67" spans="1:8">
      <c r="B67" s="243" t="s">
        <v>177</v>
      </c>
    </row>
    <row r="68" spans="1:8">
      <c r="C68" s="779" t="s">
        <v>65</v>
      </c>
      <c r="D68" s="779" t="s">
        <v>31</v>
      </c>
      <c r="E68" s="779" t="s">
        <v>75</v>
      </c>
      <c r="F68" s="779" t="s">
        <v>50</v>
      </c>
    </row>
    <row r="69" spans="1:8">
      <c r="C69" s="262" t="s">
        <v>47</v>
      </c>
      <c r="D69" s="263">
        <f>+D65/SUM($D65:$F65)</f>
        <v>0.61758979935111546</v>
      </c>
      <c r="E69" s="263">
        <f>+E65/SUM($D65:$F65)</f>
        <v>0.20699515583215164</v>
      </c>
      <c r="F69" s="263">
        <f>+F65/SUM($D65:$F65)</f>
        <v>0.17541504481673287</v>
      </c>
      <c r="H69" s="271"/>
    </row>
    <row r="71" spans="1:8">
      <c r="A71" s="776" t="s">
        <v>235</v>
      </c>
    </row>
    <row r="72" spans="1:8">
      <c r="B72" s="243" t="s">
        <v>236</v>
      </c>
    </row>
    <row r="73" spans="1:8">
      <c r="C73" s="272" t="s">
        <v>231</v>
      </c>
      <c r="D73" s="273">
        <v>2016</v>
      </c>
    </row>
    <row r="74" spans="1:8">
      <c r="C74" s="274" t="s">
        <v>232</v>
      </c>
      <c r="D74" s="275">
        <f>'Sum 1.0'!I28</f>
        <v>0.16738164598183161</v>
      </c>
    </row>
    <row r="75" spans="1:8">
      <c r="C75" s="274" t="s">
        <v>233</v>
      </c>
      <c r="D75" s="275">
        <f>1-D74</f>
        <v>0.83261835401816842</v>
      </c>
    </row>
    <row r="76" spans="1:8">
      <c r="C76" s="276"/>
    </row>
    <row r="77" spans="1:8">
      <c r="B77" s="243" t="s">
        <v>237</v>
      </c>
      <c r="C77" s="276"/>
    </row>
    <row r="78" spans="1:8">
      <c r="C78" s="277" t="s">
        <v>241</v>
      </c>
      <c r="D78" s="278" t="s">
        <v>31</v>
      </c>
      <c r="E78" s="278" t="s">
        <v>75</v>
      </c>
      <c r="F78" s="278" t="s">
        <v>50</v>
      </c>
    </row>
    <row r="79" spans="1:8">
      <c r="C79" s="602" t="s">
        <v>2088</v>
      </c>
      <c r="D79" s="279">
        <f>'Sum 3.0'!I28</f>
        <v>49366157.259563275</v>
      </c>
      <c r="E79" s="279">
        <f>'Sum 3.0'!I29</f>
        <v>77615457.28608802</v>
      </c>
      <c r="F79" s="279">
        <f>'Sum 3.0'!I30</f>
        <v>82615594.585334808</v>
      </c>
    </row>
    <row r="80" spans="1:8">
      <c r="C80" s="602" t="s">
        <v>86</v>
      </c>
      <c r="D80" s="280">
        <f>'Sum 3.0'!I58</f>
        <v>0.23552869555964503</v>
      </c>
      <c r="E80" s="280">
        <f>'Sum 3.0'!I59</f>
        <v>0.37030768495387201</v>
      </c>
      <c r="F80" s="280">
        <f>'Sum 3.0'!I60</f>
        <v>0.39416361948648304</v>
      </c>
    </row>
    <row r="82" spans="1:6">
      <c r="B82" s="243" t="s">
        <v>238</v>
      </c>
    </row>
    <row r="84" spans="1:6">
      <c r="C84" s="779" t="s">
        <v>2093</v>
      </c>
      <c r="D84" s="779" t="s">
        <v>31</v>
      </c>
      <c r="E84" s="779" t="s">
        <v>75</v>
      </c>
      <c r="F84" s="779" t="s">
        <v>50</v>
      </c>
    </row>
    <row r="85" spans="1:6">
      <c r="C85" s="262" t="s">
        <v>86</v>
      </c>
      <c r="D85" s="263">
        <f>+D69*$D$75+D$80*$D$74</f>
        <v>0.55363978293286376</v>
      </c>
      <c r="E85" s="263">
        <f>+E69*$D$75+E$80*$D$74</f>
        <v>0.234330675766001</v>
      </c>
      <c r="F85" s="263">
        <f>+F69*$D$75+F$80*$D$74</f>
        <v>0.21202954130113524</v>
      </c>
    </row>
    <row r="87" spans="1:6">
      <c r="A87" s="776" t="s">
        <v>234</v>
      </c>
    </row>
    <row r="88" spans="1:6">
      <c r="B88" s="243" t="s">
        <v>230</v>
      </c>
      <c r="C88" s="281">
        <v>1978.6399625172812</v>
      </c>
      <c r="D88" s="759" t="s">
        <v>2061</v>
      </c>
    </row>
    <row r="90" spans="1:6">
      <c r="B90" s="243" t="s">
        <v>697</v>
      </c>
    </row>
    <row r="91" spans="1:6">
      <c r="C91" s="779" t="s">
        <v>2093</v>
      </c>
      <c r="D91" s="779" t="s">
        <v>31</v>
      </c>
      <c r="E91" s="779" t="s">
        <v>75</v>
      </c>
      <c r="F91" s="779" t="s">
        <v>50</v>
      </c>
    </row>
    <row r="92" spans="1:6" ht="14.4" customHeight="1">
      <c r="C92" s="262" t="s">
        <v>2095</v>
      </c>
      <c r="D92" s="267">
        <f>D85*$C$88</f>
        <v>1095.4537993503573</v>
      </c>
      <c r="E92" s="267">
        <f>E85*$C$88</f>
        <v>463.65603951428938</v>
      </c>
      <c r="F92" s="267">
        <f>F85*$C$88</f>
        <v>419.53012365263459</v>
      </c>
    </row>
    <row r="94" spans="1:6">
      <c r="B94" s="243" t="s">
        <v>698</v>
      </c>
      <c r="C94" s="283">
        <v>7.8948000000000125</v>
      </c>
      <c r="D94" s="759" t="s">
        <v>2022</v>
      </c>
    </row>
    <row r="95" spans="1:6">
      <c r="B95" s="243" t="s">
        <v>2018</v>
      </c>
      <c r="C95" s="283">
        <v>0</v>
      </c>
      <c r="D95" s="282"/>
    </row>
    <row r="97" spans="2:6">
      <c r="B97" s="243" t="s">
        <v>695</v>
      </c>
    </row>
    <row r="98" spans="2:6">
      <c r="C98" s="779" t="s">
        <v>2093</v>
      </c>
      <c r="D98" s="779" t="s">
        <v>31</v>
      </c>
      <c r="E98" s="779" t="s">
        <v>75</v>
      </c>
      <c r="F98" s="779" t="s">
        <v>50</v>
      </c>
    </row>
    <row r="99" spans="2:6">
      <c r="C99" s="262" t="s">
        <v>2095</v>
      </c>
      <c r="D99" s="267">
        <f>D92-$C$94+$C$95</f>
        <v>1087.5589993503572</v>
      </c>
      <c r="E99" s="267">
        <f>E92</f>
        <v>463.65603951428938</v>
      </c>
      <c r="F99" s="267">
        <f>F92</f>
        <v>419.53012365263459</v>
      </c>
    </row>
    <row r="101" spans="2:6">
      <c r="B101" s="243" t="s">
        <v>696</v>
      </c>
    </row>
    <row r="102" spans="2:6">
      <c r="C102" s="779" t="s">
        <v>2093</v>
      </c>
      <c r="D102" s="779" t="s">
        <v>31</v>
      </c>
      <c r="E102" s="779" t="s">
        <v>75</v>
      </c>
      <c r="F102" s="779" t="s">
        <v>50</v>
      </c>
    </row>
    <row r="103" spans="2:6">
      <c r="C103" s="262" t="s">
        <v>86</v>
      </c>
      <c r="D103" s="263">
        <f>D99/SUM($D99:$F99)</f>
        <v>0.55185166506317407</v>
      </c>
      <c r="E103" s="263">
        <f>E99/SUM($D99:$F99)</f>
        <v>0.23526940384420386</v>
      </c>
      <c r="F103" s="263">
        <f>F99/SUM($D99:$F99)</f>
        <v>0.21287893109262207</v>
      </c>
    </row>
  </sheetData>
  <mergeCells count="5">
    <mergeCell ref="C8:E8"/>
    <mergeCell ref="O8:S8"/>
    <mergeCell ref="C16:E16"/>
    <mergeCell ref="C17:E17"/>
    <mergeCell ref="G8:L8"/>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03"/>
  <sheetViews>
    <sheetView showGridLines="0" zoomScale="80" zoomScaleNormal="80" workbookViewId="0">
      <selection activeCell="L1" sqref="A1:L103"/>
    </sheetView>
  </sheetViews>
  <sheetFormatPr defaultColWidth="9.109375" defaultRowHeight="13.8"/>
  <cols>
    <col min="1" max="1" width="9.109375" style="4"/>
    <col min="2" max="2" width="47.6640625" style="243" customWidth="1"/>
    <col min="3" max="3" width="18.6640625" style="4" customWidth="1"/>
    <col min="4" max="4" width="22.44140625" style="4" customWidth="1"/>
    <col min="5" max="7" width="18" style="4" bestFit="1" customWidth="1"/>
    <col min="8" max="12" width="5" style="4" bestFit="1" customWidth="1"/>
    <col min="13" max="13" width="21" style="4" customWidth="1"/>
    <col min="14" max="14" width="21.6640625" style="4" customWidth="1"/>
    <col min="15" max="19" width="23" style="4" bestFit="1" customWidth="1"/>
    <col min="20" max="21" width="21.88671875" style="4" bestFit="1" customWidth="1"/>
    <col min="22" max="25" width="23" style="4" bestFit="1" customWidth="1"/>
    <col min="26" max="16384" width="9.109375" style="4"/>
  </cols>
  <sheetData>
    <row r="1" spans="1:22">
      <c r="A1" s="776" t="s">
        <v>168</v>
      </c>
    </row>
    <row r="2" spans="1:22">
      <c r="A2" s="776"/>
      <c r="B2" s="244" t="s">
        <v>227</v>
      </c>
    </row>
    <row r="3" spans="1:22">
      <c r="A3" s="776"/>
      <c r="B3" s="4"/>
      <c r="C3" s="758" t="s">
        <v>52</v>
      </c>
      <c r="D3" s="4" t="s">
        <v>226</v>
      </c>
    </row>
    <row r="4" spans="1:22">
      <c r="A4" s="776"/>
      <c r="B4" s="245" t="s">
        <v>223</v>
      </c>
      <c r="C4" s="486">
        <f>'Func Results 2016'!C4</f>
        <v>113143168.8</v>
      </c>
      <c r="D4" s="4" t="s">
        <v>2073</v>
      </c>
    </row>
    <row r="5" spans="1:22">
      <c r="A5" s="776"/>
      <c r="B5" s="245" t="s">
        <v>224</v>
      </c>
      <c r="C5" s="486">
        <f>'Func Results 2015'!C5</f>
        <v>275824546.27868605</v>
      </c>
      <c r="D5" s="4" t="s">
        <v>225</v>
      </c>
    </row>
    <row r="6" spans="1:22">
      <c r="A6" s="776"/>
    </row>
    <row r="7" spans="1:22">
      <c r="B7" s="244" t="s">
        <v>2074</v>
      </c>
      <c r="O7" s="11"/>
      <c r="P7" s="11"/>
      <c r="Q7" s="11"/>
      <c r="R7" s="11"/>
      <c r="S7" s="11"/>
      <c r="T7" s="11"/>
      <c r="U7" s="11"/>
      <c r="V7" s="11"/>
    </row>
    <row r="8" spans="1:22">
      <c r="C8" s="997" t="s">
        <v>169</v>
      </c>
      <c r="D8" s="997"/>
      <c r="E8" s="997"/>
      <c r="G8" s="1023" t="s">
        <v>2072</v>
      </c>
      <c r="H8" s="1023"/>
      <c r="I8" s="1023"/>
      <c r="J8" s="1023"/>
      <c r="K8" s="1023"/>
      <c r="L8" s="1023"/>
      <c r="M8" s="456"/>
      <c r="O8" s="1020"/>
      <c r="P8" s="1020"/>
      <c r="Q8" s="1020"/>
      <c r="R8" s="1020"/>
      <c r="S8" s="1020"/>
      <c r="T8" s="11"/>
      <c r="U8" s="11"/>
      <c r="V8" s="11"/>
    </row>
    <row r="9" spans="1:22">
      <c r="C9" s="246" t="s">
        <v>170</v>
      </c>
      <c r="D9" s="246" t="s">
        <v>74</v>
      </c>
      <c r="E9" s="246" t="s">
        <v>50</v>
      </c>
      <c r="G9" s="247">
        <v>2015</v>
      </c>
      <c r="H9" s="247">
        <v>2016</v>
      </c>
      <c r="I9" s="247">
        <v>2017</v>
      </c>
      <c r="J9" s="247">
        <v>2018</v>
      </c>
      <c r="K9" s="247">
        <v>2019</v>
      </c>
      <c r="L9" s="247">
        <v>2020</v>
      </c>
      <c r="N9" s="11"/>
      <c r="O9" s="248"/>
      <c r="P9" s="248"/>
      <c r="Q9" s="248"/>
      <c r="R9" s="248"/>
      <c r="S9" s="248"/>
      <c r="T9" s="248"/>
      <c r="U9" s="248"/>
    </row>
    <row r="10" spans="1:22">
      <c r="B10" s="249" t="s">
        <v>34</v>
      </c>
      <c r="C10" s="250">
        <f>'Func AL Subs'!Z12/L10*I10</f>
        <v>302624308.83095419</v>
      </c>
      <c r="D10" s="251">
        <f>'Func AL Subs'!AA12/L10*I10</f>
        <v>457805301.20708281</v>
      </c>
      <c r="E10" s="251">
        <f>'Func AL Subs'!AB12/L10*I10</f>
        <v>756663178.03628862</v>
      </c>
      <c r="G10" s="212">
        <f>+'Func AL Subs'!H3</f>
        <v>0.96533000000000002</v>
      </c>
      <c r="H10" s="212">
        <f>+'Func AL Subs'!I3</f>
        <v>0.93093529209999992</v>
      </c>
      <c r="I10" s="212">
        <f>+'Func AL Subs'!J3</f>
        <v>0.89885827756423553</v>
      </c>
      <c r="J10" s="212">
        <f>+'Func AL Subs'!K3</f>
        <v>0.86880577929116165</v>
      </c>
      <c r="K10" s="212">
        <f>+'Func AL Subs'!L3</f>
        <v>0.83975805860649744</v>
      </c>
      <c r="L10" s="212">
        <f>+'Func AL Subs'!M3</f>
        <v>0.81168152169740926</v>
      </c>
      <c r="N10" s="11"/>
      <c r="O10" s="11"/>
      <c r="P10" s="11"/>
      <c r="Q10" s="11"/>
      <c r="R10" s="11"/>
      <c r="S10" s="11"/>
      <c r="T10" s="11"/>
      <c r="U10" s="11"/>
    </row>
    <row r="11" spans="1:22">
      <c r="B11" s="249" t="s">
        <v>35</v>
      </c>
      <c r="C11" s="251">
        <f>('Func AL Lines'!V13)/L11*I11</f>
        <v>1414034110.5060134</v>
      </c>
      <c r="D11" s="251">
        <f>('Func AL Lines'!W13)/L11*I11</f>
        <v>371198989.62009728</v>
      </c>
      <c r="E11" s="251">
        <f>'Func AL Lines'!X13/L11*I11</f>
        <v>161052788.99364376</v>
      </c>
      <c r="G11" s="212">
        <f>+'Func AL Lines'!I3</f>
        <v>0.97291408520456379</v>
      </c>
      <c r="H11" s="212">
        <f>+'Func AL Lines'!J3</f>
        <v>0.94528775683694444</v>
      </c>
      <c r="I11" s="212">
        <f>+'Func AL Lines'!K3</f>
        <v>0.91513268407767112</v>
      </c>
      <c r="J11" s="212">
        <f>+'Func AL Lines'!L3</f>
        <v>0.88705974104899432</v>
      </c>
      <c r="K11" s="212">
        <f>+'Func AL Lines'!M3</f>
        <v>0.85984797383012446</v>
      </c>
      <c r="L11" s="212">
        <f>+'Func AL Lines'!N3</f>
        <v>0.83347096467873072</v>
      </c>
      <c r="N11" s="11"/>
      <c r="O11" s="11"/>
      <c r="P11" s="11"/>
      <c r="Q11" s="11"/>
      <c r="R11" s="11"/>
      <c r="S11" s="11"/>
      <c r="T11" s="11"/>
      <c r="U11" s="11"/>
    </row>
    <row r="12" spans="1:22">
      <c r="B12" s="249" t="s">
        <v>36</v>
      </c>
      <c r="C12" s="252">
        <f>+'Func ATCO Subs'!X15/L12*I12</f>
        <v>121663334.08489658</v>
      </c>
      <c r="D12" s="252">
        <f>+'Func ATCO Subs'!Y15/L12*I12</f>
        <v>664590189.26566243</v>
      </c>
      <c r="E12" s="252">
        <f>+'Func ATCO Subs'!Z15/L12*I12</f>
        <v>504190937.91697037</v>
      </c>
      <c r="G12" s="212">
        <f>+'Func ATCO Subs'!F3</f>
        <v>0.97556592632866179</v>
      </c>
      <c r="H12" s="212">
        <f>+'Func ATCO Subs'!G3</f>
        <v>0.95153534693782615</v>
      </c>
      <c r="I12" s="212">
        <f>+'Func ATCO Subs'!H3</f>
        <v>0.9283639992745315</v>
      </c>
      <c r="J12" s="212">
        <f>+'Func ATCO Subs'!I3</f>
        <v>0.90575690952794075</v>
      </c>
      <c r="K12" s="212">
        <f>+'Func ATCO Subs'!J3</f>
        <v>0.88370033715084062</v>
      </c>
      <c r="L12" s="212">
        <f>+'Func ATCO Subs'!K3</f>
        <v>0.86218087619945383</v>
      </c>
      <c r="N12" s="11"/>
      <c r="O12" s="11"/>
      <c r="P12" s="11"/>
      <c r="Q12" s="11"/>
      <c r="R12" s="11"/>
      <c r="S12" s="11"/>
      <c r="T12" s="11"/>
      <c r="U12" s="11"/>
    </row>
    <row r="13" spans="1:22">
      <c r="B13" s="249" t="s">
        <v>39</v>
      </c>
      <c r="C13" s="252">
        <f>+'Func ATCO Lines'!T16/L13*I13</f>
        <v>1014865116.0705394</v>
      </c>
      <c r="D13" s="252">
        <f>+'Func ATCO Lines'!U16/L13*I13</f>
        <v>610772563.81804824</v>
      </c>
      <c r="E13" s="252">
        <f>+'Func ATCO Lines'!V16/L13*I13</f>
        <v>143421567.74554649</v>
      </c>
      <c r="G13" s="212">
        <f>+'Func ATCO Lines'!F3</f>
        <v>0.97521794281816965</v>
      </c>
      <c r="H13" s="212">
        <f>+'Func ATCO Lines'!G3</f>
        <v>0.95186746118817056</v>
      </c>
      <c r="I13" s="212">
        <f>+'Func ATCO Lines'!H3</f>
        <v>0.92902070228339195</v>
      </c>
      <c r="J13" s="212">
        <f>+'Func ATCO Lines'!I3</f>
        <v>0.90672231215235166</v>
      </c>
      <c r="K13" s="212">
        <f>+'Func ATCO Lines'!J3</f>
        <v>0.88495912882694439</v>
      </c>
      <c r="L13" s="212">
        <f>+'Func ATCO Lines'!K3</f>
        <v>0.86371830625312263</v>
      </c>
      <c r="N13" s="11"/>
      <c r="O13" s="11"/>
      <c r="P13" s="11"/>
      <c r="Q13" s="11"/>
      <c r="R13" s="11"/>
      <c r="S13" s="11"/>
      <c r="T13" s="11"/>
      <c r="U13" s="11"/>
    </row>
    <row r="14" spans="1:22">
      <c r="O14" s="11"/>
      <c r="P14" s="11"/>
      <c r="Q14" s="11"/>
      <c r="R14" s="11"/>
      <c r="S14" s="11"/>
      <c r="T14" s="11"/>
      <c r="U14" s="11"/>
      <c r="V14" s="11"/>
    </row>
    <row r="15" spans="1:22">
      <c r="B15" s="244" t="s">
        <v>2075</v>
      </c>
    </row>
    <row r="16" spans="1:22">
      <c r="B16" s="244"/>
      <c r="C16" s="1021" t="s">
        <v>67</v>
      </c>
      <c r="D16" s="1021"/>
      <c r="E16" s="1021"/>
      <c r="F16" s="253" t="s">
        <v>172</v>
      </c>
      <c r="G16" s="254" t="s">
        <v>174</v>
      </c>
    </row>
    <row r="17" spans="2:15" s="786" customFormat="1">
      <c r="B17" s="255"/>
      <c r="C17" s="997" t="s">
        <v>169</v>
      </c>
      <c r="D17" s="997"/>
      <c r="E17" s="997"/>
      <c r="F17" s="256"/>
      <c r="G17" s="257"/>
    </row>
    <row r="18" spans="2:15" ht="13.5" customHeight="1">
      <c r="C18" s="258" t="s">
        <v>170</v>
      </c>
      <c r="D18" s="258" t="s">
        <v>74</v>
      </c>
      <c r="E18" s="258" t="s">
        <v>50</v>
      </c>
      <c r="F18" s="256"/>
      <c r="G18" s="259"/>
    </row>
    <row r="19" spans="2:15">
      <c r="B19" s="251" t="s">
        <v>4</v>
      </c>
      <c r="C19" s="251">
        <f>+SUM(C10:C11)</f>
        <v>1716658419.3369675</v>
      </c>
      <c r="D19" s="251">
        <f t="shared" ref="D19:E19" si="0">+SUM(D10:D11)</f>
        <v>829004290.82718015</v>
      </c>
      <c r="E19" s="251">
        <f t="shared" si="0"/>
        <v>917715967.02993238</v>
      </c>
      <c r="F19" s="251"/>
      <c r="G19" s="252">
        <f>+SUM(C19:F19)</f>
        <v>3463378677.1940799</v>
      </c>
      <c r="H19" s="9"/>
    </row>
    <row r="20" spans="2:15">
      <c r="B20" s="251" t="s">
        <v>28</v>
      </c>
      <c r="C20" s="251">
        <f>+SUM(C12:C13)</f>
        <v>1136528450.155436</v>
      </c>
      <c r="D20" s="251">
        <f t="shared" ref="D20:E20" si="1">+SUM(D12:D13)</f>
        <v>1275362753.0837107</v>
      </c>
      <c r="E20" s="251">
        <f t="shared" si="1"/>
        <v>647612505.66251683</v>
      </c>
      <c r="F20" s="251"/>
      <c r="G20" s="252">
        <f t="shared" ref="G20:G23" si="2">+SUM(C20:F20)</f>
        <v>3059503708.9016638</v>
      </c>
      <c r="H20" s="9"/>
    </row>
    <row r="21" spans="2:15">
      <c r="B21" s="251" t="s">
        <v>40</v>
      </c>
      <c r="C21" s="251">
        <f>'Func Enmax'!B20</f>
        <v>0</v>
      </c>
      <c r="D21" s="251">
        <f>'Func Enmax'!C20</f>
        <v>90208682.88635987</v>
      </c>
      <c r="E21" s="251">
        <f>'Func Enmax'!D20</f>
        <v>152665107.66355669</v>
      </c>
      <c r="F21" s="251"/>
      <c r="G21" s="252">
        <f t="shared" si="2"/>
        <v>242873790.54991657</v>
      </c>
      <c r="H21" s="9"/>
    </row>
    <row r="22" spans="2:15">
      <c r="B22" s="251" t="s">
        <v>29</v>
      </c>
      <c r="C22" s="251">
        <f>'Func EPCOR'!B23</f>
        <v>292269919.89866549</v>
      </c>
      <c r="D22" s="251">
        <f>'Func EPCOR'!C23</f>
        <v>19796180.667888686</v>
      </c>
      <c r="E22" s="251">
        <f>'Func EPCOR'!D23</f>
        <v>65876266.254950933</v>
      </c>
      <c r="F22" s="251"/>
      <c r="G22" s="252">
        <f t="shared" si="2"/>
        <v>377942366.82150513</v>
      </c>
    </row>
    <row r="23" spans="2:15">
      <c r="B23" s="249" t="s">
        <v>223</v>
      </c>
      <c r="C23" s="245"/>
      <c r="D23" s="245"/>
      <c r="E23" s="251">
        <f>+C4-C4*Depreciation!I24/2+'Func Results 2016'!E23*(1-Depreciation!I24)</f>
        <v>294467069.24238867</v>
      </c>
      <c r="F23" s="251"/>
      <c r="G23" s="252">
        <f t="shared" si="2"/>
        <v>294467069.24238867</v>
      </c>
    </row>
    <row r="24" spans="2:15">
      <c r="B24" s="249" t="s">
        <v>224</v>
      </c>
      <c r="C24" s="245"/>
      <c r="D24" s="245"/>
      <c r="E24" s="251"/>
      <c r="F24" s="251">
        <f>+C5-(C5*Depreciation!I18/2)+'Func Results 2016'!F24*(1-Depreciation!I18)</f>
        <v>791294035.75729275</v>
      </c>
      <c r="G24" s="252">
        <f>+SUM(F24)</f>
        <v>791294035.75729275</v>
      </c>
    </row>
    <row r="25" spans="2:15">
      <c r="B25" s="260" t="s">
        <v>48</v>
      </c>
      <c r="C25" s="260">
        <f>+SUM(C19:C24)</f>
        <v>3145456789.3910689</v>
      </c>
      <c r="D25" s="260">
        <f t="shared" ref="D25:G25" si="3">+SUM(D19:D24)</f>
        <v>2214371907.4651394</v>
      </c>
      <c r="E25" s="260">
        <f t="shared" si="3"/>
        <v>2078336915.8533454</v>
      </c>
      <c r="F25" s="260">
        <f t="shared" si="3"/>
        <v>791294035.75729275</v>
      </c>
      <c r="G25" s="260">
        <f t="shared" si="3"/>
        <v>8229459648.4668465</v>
      </c>
    </row>
    <row r="26" spans="2:15">
      <c r="B26" s="4"/>
    </row>
    <row r="27" spans="2:15">
      <c r="B27" s="777" t="s">
        <v>173</v>
      </c>
    </row>
    <row r="28" spans="2:15">
      <c r="B28" s="4"/>
      <c r="C28" s="4" t="s">
        <v>33</v>
      </c>
    </row>
    <row r="29" spans="2:15">
      <c r="B29" s="4"/>
      <c r="C29" s="779" t="s">
        <v>30</v>
      </c>
      <c r="D29" s="779" t="s">
        <v>31</v>
      </c>
      <c r="E29" s="779" t="s">
        <v>75</v>
      </c>
      <c r="F29" s="779" t="s">
        <v>50</v>
      </c>
      <c r="G29" s="242"/>
      <c r="H29" s="261"/>
      <c r="I29" s="261"/>
      <c r="J29" s="242"/>
      <c r="K29" s="261"/>
      <c r="L29" s="261"/>
      <c r="M29" s="261"/>
      <c r="N29" s="261"/>
      <c r="O29" s="242"/>
    </row>
    <row r="30" spans="2:15">
      <c r="B30" s="4"/>
      <c r="C30" s="262" t="s">
        <v>4</v>
      </c>
      <c r="D30" s="263">
        <f t="shared" ref="D30:F31" si="4">C19/SUM($C19:$E19)</f>
        <v>0.49566004163534033</v>
      </c>
      <c r="E30" s="263">
        <f t="shared" si="4"/>
        <v>0.23936287888069266</v>
      </c>
      <c r="F30" s="263">
        <f t="shared" si="4"/>
        <v>0.26497707948396704</v>
      </c>
      <c r="G30" s="261"/>
      <c r="H30" s="261"/>
      <c r="I30" s="261"/>
      <c r="J30" s="261"/>
      <c r="K30" s="261"/>
      <c r="L30" s="261"/>
      <c r="M30" s="261"/>
      <c r="N30" s="261"/>
      <c r="O30" s="261"/>
    </row>
    <row r="31" spans="2:15">
      <c r="B31" s="4"/>
      <c r="C31" s="262" t="s">
        <v>32</v>
      </c>
      <c r="D31" s="263">
        <f t="shared" si="4"/>
        <v>0.37147477443766208</v>
      </c>
      <c r="E31" s="263">
        <f t="shared" si="4"/>
        <v>0.41685282138179047</v>
      </c>
      <c r="F31" s="263">
        <f t="shared" si="4"/>
        <v>0.21167240418054742</v>
      </c>
      <c r="G31" s="261"/>
      <c r="H31" s="261"/>
      <c r="I31" s="261"/>
      <c r="J31" s="261"/>
      <c r="K31" s="261"/>
      <c r="L31" s="261"/>
      <c r="M31" s="261"/>
      <c r="N31" s="261"/>
      <c r="O31" s="261"/>
    </row>
    <row r="32" spans="2:15" hidden="1">
      <c r="B32" s="4"/>
      <c r="C32" s="262" t="s">
        <v>64</v>
      </c>
      <c r="D32" s="263">
        <f t="shared" ref="D32:F33" si="5">C21/SUM($C21:$E21)</f>
        <v>0</v>
      </c>
      <c r="E32" s="263">
        <f t="shared" si="5"/>
        <v>0.37142205703673803</v>
      </c>
      <c r="F32" s="263">
        <f t="shared" si="5"/>
        <v>0.62857794296326197</v>
      </c>
      <c r="G32" s="261"/>
      <c r="H32" s="261"/>
      <c r="I32" s="261"/>
      <c r="J32" s="261"/>
      <c r="K32" s="261"/>
      <c r="L32" s="261"/>
      <c r="M32" s="261"/>
      <c r="N32" s="261"/>
      <c r="O32" s="261"/>
    </row>
    <row r="33" spans="1:15">
      <c r="B33" s="4"/>
      <c r="C33" s="262" t="s">
        <v>38</v>
      </c>
      <c r="D33" s="263">
        <f t="shared" si="5"/>
        <v>0.7733187532179977</v>
      </c>
      <c r="E33" s="263">
        <f t="shared" si="5"/>
        <v>5.2378834461916886E-2</v>
      </c>
      <c r="F33" s="263">
        <f t="shared" si="5"/>
        <v>0.17430241232008536</v>
      </c>
      <c r="G33" s="261"/>
      <c r="H33" s="261"/>
      <c r="I33" s="261"/>
      <c r="J33" s="261"/>
      <c r="K33" s="261"/>
      <c r="L33" s="261"/>
      <c r="M33" s="261"/>
      <c r="N33" s="261"/>
      <c r="O33" s="261"/>
    </row>
    <row r="34" spans="1:15">
      <c r="B34" s="4"/>
      <c r="C34" s="264" t="s">
        <v>76</v>
      </c>
      <c r="D34" s="265">
        <f t="shared" ref="D34:F34" si="6">C25/SUM($C25:$E25)</f>
        <v>0.4228807145697917</v>
      </c>
      <c r="E34" s="265">
        <f t="shared" si="6"/>
        <v>0.29770403386574962</v>
      </c>
      <c r="F34" s="265">
        <f t="shared" si="6"/>
        <v>0.27941525156445857</v>
      </c>
      <c r="G34" s="261"/>
      <c r="H34" s="261"/>
      <c r="I34" s="261"/>
      <c r="J34" s="261"/>
      <c r="K34" s="261"/>
      <c r="L34" s="261"/>
      <c r="M34" s="261"/>
      <c r="N34" s="261"/>
      <c r="O34" s="261"/>
    </row>
    <row r="35" spans="1:15">
      <c r="B35" s="4"/>
      <c r="G35" s="261"/>
      <c r="H35" s="266"/>
      <c r="I35" s="266"/>
      <c r="J35" s="266"/>
      <c r="K35" s="261"/>
      <c r="L35" s="261"/>
      <c r="M35" s="261"/>
      <c r="N35" s="261"/>
      <c r="O35" s="261"/>
    </row>
    <row r="36" spans="1:15">
      <c r="B36" s="4"/>
      <c r="C36" s="4" t="s">
        <v>173</v>
      </c>
      <c r="G36" s="261"/>
      <c r="H36" s="266"/>
      <c r="I36" s="266"/>
      <c r="J36" s="266"/>
      <c r="K36" s="261"/>
      <c r="L36" s="261"/>
      <c r="M36" s="261"/>
      <c r="N36" s="261"/>
      <c r="O36" s="261"/>
    </row>
    <row r="37" spans="1:15">
      <c r="B37" s="4"/>
      <c r="C37" s="779" t="s">
        <v>65</v>
      </c>
      <c r="D37" s="779" t="s">
        <v>31</v>
      </c>
      <c r="E37" s="779" t="s">
        <v>75</v>
      </c>
      <c r="F37" s="779" t="s">
        <v>50</v>
      </c>
      <c r="G37" s="261"/>
      <c r="H37" s="266"/>
      <c r="I37" s="266"/>
      <c r="J37" s="266"/>
      <c r="K37" s="261"/>
      <c r="L37" s="261"/>
      <c r="M37" s="261"/>
      <c r="N37" s="261"/>
      <c r="O37" s="261"/>
    </row>
    <row r="38" spans="1:15">
      <c r="B38" s="4"/>
      <c r="C38" s="262" t="s">
        <v>47</v>
      </c>
      <c r="D38" s="263">
        <f>D34</f>
        <v>0.4228807145697917</v>
      </c>
      <c r="E38" s="263">
        <f>E34</f>
        <v>0.29770403386574962</v>
      </c>
      <c r="F38" s="263">
        <f>F34</f>
        <v>0.27941525156445857</v>
      </c>
      <c r="G38" s="261"/>
      <c r="H38" s="266"/>
      <c r="I38" s="266"/>
      <c r="J38" s="266"/>
      <c r="K38" s="261"/>
      <c r="L38" s="261"/>
      <c r="M38" s="261"/>
      <c r="N38" s="261"/>
      <c r="O38" s="261"/>
    </row>
    <row r="39" spans="1:15">
      <c r="B39" s="4"/>
      <c r="G39" s="261"/>
      <c r="H39" s="266"/>
      <c r="I39" s="266"/>
      <c r="J39" s="266"/>
      <c r="K39" s="261"/>
      <c r="L39" s="261"/>
      <c r="M39" s="261"/>
      <c r="N39" s="261"/>
      <c r="O39" s="261"/>
    </row>
    <row r="40" spans="1:15">
      <c r="B40" s="4"/>
      <c r="C40" s="4" t="s">
        <v>181</v>
      </c>
    </row>
    <row r="41" spans="1:15">
      <c r="B41" s="4"/>
      <c r="C41" s="779" t="s">
        <v>65</v>
      </c>
      <c r="D41" s="779" t="s">
        <v>31</v>
      </c>
      <c r="E41" s="779" t="s">
        <v>75</v>
      </c>
      <c r="F41" s="779" t="s">
        <v>50</v>
      </c>
    </row>
    <row r="42" spans="1:15">
      <c r="B42" s="4"/>
      <c r="C42" s="262" t="s">
        <v>47</v>
      </c>
      <c r="D42" s="267">
        <f>+D38*$G$25</f>
        <v>3480079776.6669269</v>
      </c>
      <c r="E42" s="267">
        <f>+E38*$G$25</f>
        <v>2449943333.8839941</v>
      </c>
      <c r="F42" s="267">
        <f>+F38*$G$25</f>
        <v>2299436537.9159245</v>
      </c>
    </row>
    <row r="44" spans="1:15">
      <c r="A44" s="776" t="s">
        <v>175</v>
      </c>
    </row>
    <row r="45" spans="1:15">
      <c r="A45" s="776"/>
      <c r="B45" s="243" t="s">
        <v>178</v>
      </c>
    </row>
    <row r="46" spans="1:15">
      <c r="C46" s="77" t="s">
        <v>211</v>
      </c>
      <c r="D46" s="268"/>
      <c r="E46" s="268"/>
      <c r="F46" s="268"/>
    </row>
    <row r="47" spans="1:15">
      <c r="C47" s="779" t="s">
        <v>65</v>
      </c>
      <c r="D47" s="779" t="s">
        <v>31</v>
      </c>
      <c r="E47" s="779" t="s">
        <v>75</v>
      </c>
      <c r="F47" s="779" t="s">
        <v>50</v>
      </c>
    </row>
    <row r="48" spans="1:15">
      <c r="C48" s="262" t="s">
        <v>47</v>
      </c>
      <c r="D48" s="269">
        <f>'Func Future Lines 2017'!V4</f>
        <v>4231111729.1205444</v>
      </c>
      <c r="E48" s="269">
        <f>'Func Future Lines 2017'!W4</f>
        <v>694856956.45022488</v>
      </c>
      <c r="F48" s="269">
        <f>'Func Future Lines 2017'!S12</f>
        <v>0</v>
      </c>
    </row>
    <row r="49" spans="1:6">
      <c r="B49" s="4"/>
      <c r="C49" s="262"/>
      <c r="D49" s="270"/>
      <c r="E49" s="270"/>
      <c r="F49" s="270"/>
    </row>
    <row r="50" spans="1:6">
      <c r="B50" s="4"/>
      <c r="C50" s="77" t="s">
        <v>210</v>
      </c>
      <c r="D50" s="268"/>
      <c r="E50" s="268"/>
      <c r="F50" s="268"/>
    </row>
    <row r="51" spans="1:6">
      <c r="B51" s="4"/>
      <c r="C51" s="779" t="s">
        <v>65</v>
      </c>
      <c r="D51" s="779" t="s">
        <v>31</v>
      </c>
      <c r="E51" s="779" t="s">
        <v>75</v>
      </c>
      <c r="F51" s="779" t="s">
        <v>50</v>
      </c>
    </row>
    <row r="52" spans="1:6">
      <c r="B52" s="4"/>
      <c r="C52" s="262" t="s">
        <v>47</v>
      </c>
      <c r="D52" s="263">
        <f>'Func Future Lines 2017'!V5</f>
        <v>0.85894003782735939</v>
      </c>
      <c r="E52" s="263">
        <f>'Func Future Lines 2017'!W5</f>
        <v>0.14105996217264061</v>
      </c>
      <c r="F52" s="263">
        <v>0</v>
      </c>
    </row>
    <row r="53" spans="1:6">
      <c r="B53" s="4"/>
      <c r="C53" s="262"/>
      <c r="D53" s="270"/>
      <c r="E53" s="270"/>
      <c r="F53" s="270"/>
    </row>
    <row r="54" spans="1:6">
      <c r="B54" s="4"/>
      <c r="C54" s="77" t="s">
        <v>212</v>
      </c>
      <c r="D54" s="268"/>
      <c r="E54" s="268"/>
      <c r="F54" s="268"/>
    </row>
    <row r="55" spans="1:6">
      <c r="B55" s="4"/>
      <c r="C55" s="788" t="s">
        <v>65</v>
      </c>
      <c r="D55" s="779" t="s">
        <v>31</v>
      </c>
      <c r="E55" s="779" t="s">
        <v>75</v>
      </c>
      <c r="F55" s="779" t="s">
        <v>50</v>
      </c>
    </row>
    <row r="56" spans="1:6">
      <c r="B56" s="4"/>
      <c r="C56" s="262" t="s">
        <v>47</v>
      </c>
      <c r="D56" s="269">
        <f>'Func Future Subs 2017'!AB10</f>
        <v>1528860041.5564446</v>
      </c>
      <c r="E56" s="269">
        <f>'Func Future Subs 2017'!AC10</f>
        <v>650633007.38961411</v>
      </c>
      <c r="F56" s="269">
        <f>'Func Future Subs 2017'!AD10</f>
        <v>638126508.08840823</v>
      </c>
    </row>
    <row r="57" spans="1:6">
      <c r="B57" s="4"/>
      <c r="C57" s="262"/>
      <c r="D57" s="270"/>
      <c r="E57" s="270"/>
      <c r="F57" s="270"/>
    </row>
    <row r="58" spans="1:6">
      <c r="B58" s="4"/>
      <c r="C58" s="77" t="s">
        <v>213</v>
      </c>
      <c r="D58" s="268"/>
      <c r="E58" s="268"/>
      <c r="F58" s="268"/>
    </row>
    <row r="59" spans="1:6">
      <c r="B59" s="4"/>
      <c r="C59" s="788" t="s">
        <v>65</v>
      </c>
      <c r="D59" s="779" t="s">
        <v>31</v>
      </c>
      <c r="E59" s="779" t="s">
        <v>75</v>
      </c>
      <c r="F59" s="779" t="s">
        <v>50</v>
      </c>
    </row>
    <row r="60" spans="1:6">
      <c r="B60" s="4"/>
      <c r="C60" s="262" t="s">
        <v>47</v>
      </c>
      <c r="D60" s="270">
        <f>'Func Future Subs 2017'!AB4</f>
        <v>0.54260698103812266</v>
      </c>
      <c r="E60" s="270">
        <f>'Func Future Subs 2017'!AC4</f>
        <v>0.23091584730282133</v>
      </c>
      <c r="F60" s="270">
        <f>'Func Future Subs 2017'!AD4</f>
        <v>0.22647717165905595</v>
      </c>
    </row>
    <row r="61" spans="1:6">
      <c r="B61" s="4"/>
      <c r="C61" s="262"/>
      <c r="D61" s="270"/>
      <c r="E61" s="270"/>
      <c r="F61" s="270"/>
    </row>
    <row r="62" spans="1:6">
      <c r="A62" s="776" t="s">
        <v>182</v>
      </c>
    </row>
    <row r="63" spans="1:6">
      <c r="B63" s="4" t="s">
        <v>183</v>
      </c>
    </row>
    <row r="64" spans="1:6">
      <c r="C64" s="779" t="s">
        <v>65</v>
      </c>
      <c r="D64" s="779" t="s">
        <v>31</v>
      </c>
      <c r="E64" s="779" t="s">
        <v>75</v>
      </c>
      <c r="F64" s="779" t="s">
        <v>50</v>
      </c>
    </row>
    <row r="65" spans="1:8">
      <c r="C65" s="262" t="s">
        <v>47</v>
      </c>
      <c r="D65" s="267">
        <f>D42+D48+D56</f>
        <v>9240051547.3439159</v>
      </c>
      <c r="E65" s="267">
        <f t="shared" ref="E65:F65" si="7">E42+E48+E56</f>
        <v>3795433297.7238331</v>
      </c>
      <c r="F65" s="267">
        <f t="shared" si="7"/>
        <v>2937563046.0043325</v>
      </c>
    </row>
    <row r="67" spans="1:8">
      <c r="B67" s="243" t="s">
        <v>177</v>
      </c>
    </row>
    <row r="68" spans="1:8">
      <c r="C68" s="779" t="s">
        <v>65</v>
      </c>
      <c r="D68" s="779" t="s">
        <v>31</v>
      </c>
      <c r="E68" s="779" t="s">
        <v>75</v>
      </c>
      <c r="F68" s="779" t="s">
        <v>50</v>
      </c>
    </row>
    <row r="69" spans="1:8">
      <c r="C69" s="262" t="s">
        <v>47</v>
      </c>
      <c r="D69" s="263">
        <f>+D65/SUM($D65:$F65)</f>
        <v>0.57847767128454652</v>
      </c>
      <c r="E69" s="263">
        <f>+E65/SUM($D65:$F65)</f>
        <v>0.23761484493170767</v>
      </c>
      <c r="F69" s="263">
        <f>+F65/SUM($D65:$F65)</f>
        <v>0.18390748378374572</v>
      </c>
      <c r="H69" s="271"/>
    </row>
    <row r="71" spans="1:8">
      <c r="A71" s="776" t="s">
        <v>235</v>
      </c>
    </row>
    <row r="72" spans="1:8">
      <c r="B72" s="243" t="s">
        <v>236</v>
      </c>
    </row>
    <row r="73" spans="1:8">
      <c r="C73" s="272" t="s">
        <v>231</v>
      </c>
      <c r="D73" s="273">
        <v>2017</v>
      </c>
    </row>
    <row r="74" spans="1:8">
      <c r="C74" s="274" t="s">
        <v>232</v>
      </c>
      <c r="D74" s="275">
        <f>'Sum 1.0'!J28</f>
        <v>0.17253452603260688</v>
      </c>
    </row>
    <row r="75" spans="1:8">
      <c r="C75" s="274" t="s">
        <v>233</v>
      </c>
      <c r="D75" s="275">
        <f>1-D74</f>
        <v>0.82746547396739312</v>
      </c>
    </row>
    <row r="76" spans="1:8">
      <c r="C76" s="276"/>
    </row>
    <row r="77" spans="1:8">
      <c r="B77" s="243" t="s">
        <v>237</v>
      </c>
      <c r="C77" s="276"/>
    </row>
    <row r="78" spans="1:8">
      <c r="C78" s="277" t="s">
        <v>241</v>
      </c>
      <c r="D78" s="278" t="s">
        <v>31</v>
      </c>
      <c r="E78" s="278" t="s">
        <v>75</v>
      </c>
      <c r="F78" s="278" t="s">
        <v>50</v>
      </c>
    </row>
    <row r="79" spans="1:8">
      <c r="C79" s="602" t="s">
        <v>2088</v>
      </c>
      <c r="D79" s="279">
        <f>'Sum 3.0'!J28</f>
        <v>51872043.799387284</v>
      </c>
      <c r="E79" s="279">
        <f>'Sum 3.0'!J29</f>
        <v>81443795.488235205</v>
      </c>
      <c r="F79" s="279">
        <f>'Sum 3.0'!J30</f>
        <v>87538348.056837142</v>
      </c>
    </row>
    <row r="80" spans="1:8">
      <c r="C80" s="602" t="s">
        <v>86</v>
      </c>
      <c r="D80" s="280">
        <f>'Sum 3.0'!J58</f>
        <v>0.23487009426035477</v>
      </c>
      <c r="E80" s="280">
        <f>'Sum 3.0'!J59</f>
        <v>0.3687672688822955</v>
      </c>
      <c r="F80" s="280">
        <f>'Sum 3.0'!J60</f>
        <v>0.39636263685734974</v>
      </c>
    </row>
    <row r="82" spans="1:6">
      <c r="B82" s="243" t="s">
        <v>238</v>
      </c>
    </row>
    <row r="84" spans="1:6">
      <c r="C84" s="779" t="s">
        <v>2093</v>
      </c>
      <c r="D84" s="779" t="s">
        <v>31</v>
      </c>
      <c r="E84" s="779" t="s">
        <v>75</v>
      </c>
      <c r="F84" s="779" t="s">
        <v>50</v>
      </c>
    </row>
    <row r="85" spans="1:6">
      <c r="C85" s="262" t="s">
        <v>86</v>
      </c>
      <c r="D85" s="263">
        <f>+D69*$D$75+D$80*$D$74</f>
        <v>0.51919350084146521</v>
      </c>
      <c r="E85" s="263">
        <f>+E69*$D$75+E$80*$D$74</f>
        <v>0.26024316623604982</v>
      </c>
      <c r="F85" s="263">
        <f>+F69*$D$75+F$80*$D$74</f>
        <v>0.22056333292248492</v>
      </c>
    </row>
    <row r="87" spans="1:6">
      <c r="A87" s="776" t="s">
        <v>234</v>
      </c>
    </row>
    <row r="88" spans="1:6">
      <c r="B88" s="243" t="s">
        <v>230</v>
      </c>
      <c r="C88" s="281">
        <v>2023.2597608378358</v>
      </c>
      <c r="D88" s="759" t="s">
        <v>2145</v>
      </c>
    </row>
    <row r="90" spans="1:6">
      <c r="B90" s="243" t="s">
        <v>697</v>
      </c>
    </row>
    <row r="91" spans="1:6">
      <c r="C91" s="779" t="s">
        <v>2093</v>
      </c>
      <c r="D91" s="779" t="s">
        <v>31</v>
      </c>
      <c r="E91" s="779" t="s">
        <v>75</v>
      </c>
      <c r="F91" s="779" t="s">
        <v>50</v>
      </c>
    </row>
    <row r="92" spans="1:6" ht="14.4" customHeight="1">
      <c r="C92" s="262" t="s">
        <v>2095</v>
      </c>
      <c r="D92" s="267">
        <f>D85*$C$88</f>
        <v>1050.4633183410615</v>
      </c>
      <c r="E92" s="267">
        <f>E85*$C$88</f>
        <v>526.53952627843125</v>
      </c>
      <c r="F92" s="267">
        <f>F85*$C$88</f>
        <v>446.25691621834278</v>
      </c>
    </row>
    <row r="94" spans="1:6">
      <c r="B94" s="243" t="s">
        <v>698</v>
      </c>
      <c r="C94" s="283">
        <v>6.1404000000000121</v>
      </c>
      <c r="D94" s="759" t="s">
        <v>2022</v>
      </c>
    </row>
    <row r="95" spans="1:6">
      <c r="B95" s="243" t="s">
        <v>2018</v>
      </c>
      <c r="C95" s="283">
        <v>0</v>
      </c>
      <c r="D95" s="759" t="s">
        <v>2019</v>
      </c>
    </row>
    <row r="97" spans="2:6">
      <c r="B97" s="243" t="s">
        <v>695</v>
      </c>
    </row>
    <row r="98" spans="2:6">
      <c r="C98" s="779" t="s">
        <v>2093</v>
      </c>
      <c r="D98" s="779" t="s">
        <v>31</v>
      </c>
      <c r="E98" s="779" t="s">
        <v>75</v>
      </c>
      <c r="F98" s="779" t="s">
        <v>50</v>
      </c>
    </row>
    <row r="99" spans="2:6">
      <c r="C99" s="262" t="s">
        <v>2095</v>
      </c>
      <c r="D99" s="267">
        <f>D92-$C$94+$C$95</f>
        <v>1044.3229183410615</v>
      </c>
      <c r="E99" s="267">
        <f>E92</f>
        <v>526.53952627843125</v>
      </c>
      <c r="F99" s="267">
        <f>F92</f>
        <v>446.25691621834278</v>
      </c>
    </row>
    <row r="101" spans="2:6">
      <c r="B101" s="243" t="s">
        <v>696</v>
      </c>
    </row>
    <row r="102" spans="2:6">
      <c r="C102" s="779" t="s">
        <v>2093</v>
      </c>
      <c r="D102" s="779" t="s">
        <v>31</v>
      </c>
      <c r="E102" s="779" t="s">
        <v>75</v>
      </c>
      <c r="F102" s="779" t="s">
        <v>50</v>
      </c>
    </row>
    <row r="103" spans="2:6">
      <c r="C103" s="262" t="s">
        <v>86</v>
      </c>
      <c r="D103" s="263">
        <f>D99/SUM($D99:$F99)</f>
        <v>0.51772985705084362</v>
      </c>
      <c r="E103" s="263">
        <f>E99/SUM($D99:$F99)</f>
        <v>0.2610353836769117</v>
      </c>
      <c r="F103" s="263">
        <f>F99/SUM($D99:$F99)</f>
        <v>0.22123475927224479</v>
      </c>
    </row>
  </sheetData>
  <mergeCells count="5">
    <mergeCell ref="C8:E8"/>
    <mergeCell ref="O8:S8"/>
    <mergeCell ref="C16:E16"/>
    <mergeCell ref="C17:E17"/>
    <mergeCell ref="G8:L8"/>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02"/>
  <sheetViews>
    <sheetView showGridLines="0" zoomScale="72" zoomScaleNormal="72" workbookViewId="0">
      <selection activeCell="L1" sqref="A1:L102"/>
    </sheetView>
  </sheetViews>
  <sheetFormatPr defaultColWidth="9.109375" defaultRowHeight="13.8"/>
  <cols>
    <col min="1" max="1" width="9.109375" style="4"/>
    <col min="2" max="2" width="47.6640625" style="243" customWidth="1"/>
    <col min="3" max="3" width="18.6640625" style="4" customWidth="1"/>
    <col min="4" max="4" width="22.44140625" style="4" customWidth="1"/>
    <col min="5" max="7" width="18" style="4" bestFit="1" customWidth="1"/>
    <col min="8" max="11" width="5" style="4" bestFit="1" customWidth="1"/>
    <col min="12" max="12" width="5.6640625" style="4" bestFit="1" customWidth="1"/>
    <col min="13" max="13" width="21" style="4" customWidth="1"/>
    <col min="14" max="14" width="21.6640625" style="4" customWidth="1"/>
    <col min="15" max="19" width="23" style="4" bestFit="1" customWidth="1"/>
    <col min="20" max="21" width="21.88671875" style="4" bestFit="1" customWidth="1"/>
    <col min="22" max="25" width="23" style="4" bestFit="1" customWidth="1"/>
    <col min="26" max="16384" width="9.109375" style="4"/>
  </cols>
  <sheetData>
    <row r="1" spans="1:22">
      <c r="A1" s="776" t="s">
        <v>168</v>
      </c>
    </row>
    <row r="2" spans="1:22">
      <c r="A2" s="776"/>
      <c r="B2" s="244" t="s">
        <v>227</v>
      </c>
    </row>
    <row r="3" spans="1:22">
      <c r="A3" s="776"/>
      <c r="B3" s="4"/>
      <c r="C3" s="758" t="s">
        <v>52</v>
      </c>
      <c r="D3" s="4" t="s">
        <v>226</v>
      </c>
    </row>
    <row r="4" spans="1:22">
      <c r="A4" s="776"/>
      <c r="B4" s="245" t="s">
        <v>223</v>
      </c>
      <c r="C4" s="486">
        <f>'Func Results 2017'!C4</f>
        <v>113143168.8</v>
      </c>
      <c r="D4" s="4" t="s">
        <v>2073</v>
      </c>
    </row>
    <row r="5" spans="1:22">
      <c r="A5" s="776"/>
      <c r="B5" s="245" t="s">
        <v>224</v>
      </c>
      <c r="C5" s="486">
        <f>'Func Results 2015'!C5</f>
        <v>275824546.27868605</v>
      </c>
      <c r="D5" s="4" t="s">
        <v>225</v>
      </c>
    </row>
    <row r="6" spans="1:22">
      <c r="A6" s="776"/>
    </row>
    <row r="7" spans="1:22">
      <c r="B7" s="244" t="s">
        <v>2076</v>
      </c>
      <c r="O7" s="11"/>
      <c r="P7" s="11"/>
      <c r="Q7" s="11"/>
      <c r="R7" s="11"/>
      <c r="S7" s="11"/>
      <c r="T7" s="11"/>
      <c r="U7" s="11"/>
      <c r="V7" s="11"/>
    </row>
    <row r="8" spans="1:22">
      <c r="C8" s="997" t="s">
        <v>169</v>
      </c>
      <c r="D8" s="997"/>
      <c r="E8" s="997"/>
      <c r="G8" s="1023" t="s">
        <v>2072</v>
      </c>
      <c r="H8" s="1023"/>
      <c r="I8" s="1023"/>
      <c r="J8" s="1023"/>
      <c r="K8" s="1023"/>
      <c r="L8" s="1023"/>
      <c r="M8" s="456"/>
      <c r="O8" s="1020"/>
      <c r="P8" s="1020"/>
      <c r="Q8" s="1020"/>
      <c r="R8" s="1020"/>
      <c r="S8" s="1020"/>
      <c r="T8" s="11"/>
      <c r="U8" s="11"/>
      <c r="V8" s="11"/>
    </row>
    <row r="9" spans="1:22">
      <c r="C9" s="246" t="s">
        <v>170</v>
      </c>
      <c r="D9" s="246" t="s">
        <v>74</v>
      </c>
      <c r="E9" s="246" t="s">
        <v>50</v>
      </c>
      <c r="G9" s="247">
        <v>2015</v>
      </c>
      <c r="H9" s="247">
        <v>2016</v>
      </c>
      <c r="I9" s="247">
        <v>2017</v>
      </c>
      <c r="J9" s="247">
        <v>2018</v>
      </c>
      <c r="K9" s="247">
        <v>2019</v>
      </c>
      <c r="L9" s="247">
        <v>2020</v>
      </c>
      <c r="N9" s="11"/>
      <c r="O9" s="248"/>
      <c r="P9" s="248"/>
      <c r="Q9" s="248"/>
      <c r="R9" s="248"/>
      <c r="S9" s="248"/>
      <c r="T9" s="248"/>
      <c r="U9" s="248"/>
    </row>
    <row r="10" spans="1:22">
      <c r="B10" s="249" t="s">
        <v>34</v>
      </c>
      <c r="C10" s="250">
        <f>'Func AL Subs'!Z12/L10*J10</f>
        <v>292506343.91308373</v>
      </c>
      <c r="D10" s="251">
        <f>'Func AL Subs'!AA12/L10*J10</f>
        <v>442499002.79793596</v>
      </c>
      <c r="E10" s="251">
        <f>'Func AL Subs'!AB12/L10*J10</f>
        <v>731364841.89273667</v>
      </c>
      <c r="G10" s="212">
        <f>+'Func AL Subs'!H3</f>
        <v>0.96533000000000002</v>
      </c>
      <c r="H10" s="212">
        <f>+'Func AL Subs'!I3</f>
        <v>0.93093529209999992</v>
      </c>
      <c r="I10" s="212">
        <f>+'Func AL Subs'!J3</f>
        <v>0.89885827756423553</v>
      </c>
      <c r="J10" s="212">
        <f>+'Func AL Subs'!K3</f>
        <v>0.86880577929116165</v>
      </c>
      <c r="K10" s="212">
        <f>+'Func AL Subs'!L3</f>
        <v>0.83975805860649744</v>
      </c>
      <c r="L10" s="212">
        <f>+'Func AL Subs'!M3</f>
        <v>0.81168152169740926</v>
      </c>
      <c r="N10" s="11"/>
      <c r="O10" s="11"/>
      <c r="P10" s="11"/>
      <c r="Q10" s="11"/>
      <c r="R10" s="11"/>
      <c r="S10" s="11"/>
      <c r="T10" s="11"/>
      <c r="U10" s="11"/>
    </row>
    <row r="11" spans="1:22">
      <c r="B11" s="249" t="s">
        <v>35</v>
      </c>
      <c r="C11" s="251">
        <f>('Func AL Lines'!V13)/L11*J11</f>
        <v>1370656685.8816822</v>
      </c>
      <c r="D11" s="251">
        <f>('Func AL Lines'!W13)/L11*J11</f>
        <v>359811954.41830033</v>
      </c>
      <c r="E11" s="251">
        <f>'Func AL Lines'!X13/L11*J11</f>
        <v>156112275.06742021</v>
      </c>
      <c r="G11" s="212">
        <f>+'Func AL Lines'!I3</f>
        <v>0.97291408520456379</v>
      </c>
      <c r="H11" s="212">
        <f>+'Func AL Lines'!J3</f>
        <v>0.94528775683694444</v>
      </c>
      <c r="I11" s="212">
        <f>+'Func AL Lines'!K3</f>
        <v>0.91513268407767112</v>
      </c>
      <c r="J11" s="212">
        <f>+'Func AL Lines'!L3</f>
        <v>0.88705974104899432</v>
      </c>
      <c r="K11" s="212">
        <f>+'Func AL Lines'!M3</f>
        <v>0.85984797383012446</v>
      </c>
      <c r="L11" s="212">
        <f>+'Func AL Lines'!N3</f>
        <v>0.83347096467873072</v>
      </c>
      <c r="N11" s="11"/>
      <c r="O11" s="11"/>
      <c r="P11" s="11"/>
      <c r="Q11" s="11"/>
      <c r="R11" s="11"/>
      <c r="S11" s="11"/>
      <c r="T11" s="11"/>
      <c r="U11" s="11"/>
    </row>
    <row r="12" spans="1:22">
      <c r="B12" s="249" t="s">
        <v>36</v>
      </c>
      <c r="C12" s="252">
        <f>+'Func ATCO Subs'!X15/L12*J12</f>
        <v>118700644.97300076</v>
      </c>
      <c r="D12" s="252">
        <f>+'Func ATCO Subs'!Y15/L12*J12</f>
        <v>648406397.06220198</v>
      </c>
      <c r="E12" s="252">
        <f>+'Func ATCO Subs'!Z15/L12*J12</f>
        <v>491913113.9257192</v>
      </c>
      <c r="G12" s="212">
        <f>+'Func ATCO Subs'!F3</f>
        <v>0.97556592632866179</v>
      </c>
      <c r="H12" s="212">
        <f>+'Func ATCO Subs'!G3</f>
        <v>0.95153534693782615</v>
      </c>
      <c r="I12" s="212">
        <f>+'Func ATCO Subs'!H3</f>
        <v>0.9283639992745315</v>
      </c>
      <c r="J12" s="212">
        <f>+'Func ATCO Subs'!I3</f>
        <v>0.90575690952794075</v>
      </c>
      <c r="K12" s="212">
        <f>+'Func ATCO Subs'!J3</f>
        <v>0.88370033715084062</v>
      </c>
      <c r="L12" s="212">
        <f>+'Func ATCO Subs'!K3</f>
        <v>0.86218087619945383</v>
      </c>
      <c r="N12" s="11"/>
      <c r="O12" s="11"/>
      <c r="P12" s="11"/>
      <c r="Q12" s="11"/>
      <c r="R12" s="11"/>
      <c r="S12" s="11"/>
      <c r="T12" s="11"/>
      <c r="U12" s="11"/>
    </row>
    <row r="13" spans="1:22">
      <c r="B13" s="249" t="s">
        <v>39</v>
      </c>
      <c r="C13" s="252">
        <f>+'Func ATCO Lines'!T16/L13*J13</f>
        <v>990506285.06397116</v>
      </c>
      <c r="D13" s="252">
        <f>+'Func ATCO Lines'!U16/L13*J13</f>
        <v>596112777.57660437</v>
      </c>
      <c r="E13" s="252">
        <f>+'Func ATCO Lines'!V16/L13*J13</f>
        <v>139979157.83698875</v>
      </c>
      <c r="G13" s="212">
        <f>+'Func ATCO Lines'!F3</f>
        <v>0.97521794281816965</v>
      </c>
      <c r="H13" s="212">
        <f>+'Func ATCO Lines'!G3</f>
        <v>0.95186746118817056</v>
      </c>
      <c r="I13" s="212">
        <f>+'Func ATCO Lines'!H3</f>
        <v>0.92902070228339195</v>
      </c>
      <c r="J13" s="212">
        <f>+'Func ATCO Lines'!I3</f>
        <v>0.90672231215235166</v>
      </c>
      <c r="K13" s="212">
        <f>+'Func ATCO Lines'!J3</f>
        <v>0.88495912882694439</v>
      </c>
      <c r="L13" s="212">
        <f>+'Func ATCO Lines'!K3</f>
        <v>0.86371830625312263</v>
      </c>
      <c r="N13" s="11"/>
      <c r="O13" s="11"/>
      <c r="P13" s="11"/>
      <c r="Q13" s="11"/>
      <c r="R13" s="11"/>
      <c r="S13" s="11"/>
      <c r="T13" s="11"/>
      <c r="U13" s="11"/>
    </row>
    <row r="14" spans="1:22">
      <c r="O14" s="11"/>
      <c r="P14" s="11"/>
      <c r="Q14" s="11"/>
      <c r="R14" s="11"/>
      <c r="S14" s="11"/>
      <c r="T14" s="11"/>
      <c r="U14" s="11"/>
      <c r="V14" s="11"/>
    </row>
    <row r="15" spans="1:22">
      <c r="B15" s="244" t="s">
        <v>2077</v>
      </c>
    </row>
    <row r="16" spans="1:22">
      <c r="B16" s="244"/>
      <c r="C16" s="1021" t="s">
        <v>67</v>
      </c>
      <c r="D16" s="1021"/>
      <c r="E16" s="1021"/>
      <c r="F16" s="253" t="s">
        <v>172</v>
      </c>
      <c r="G16" s="254" t="s">
        <v>174</v>
      </c>
    </row>
    <row r="17" spans="2:15" s="786" customFormat="1">
      <c r="B17" s="255"/>
      <c r="C17" s="997" t="s">
        <v>169</v>
      </c>
      <c r="D17" s="997"/>
      <c r="E17" s="997"/>
      <c r="F17" s="256"/>
      <c r="G17" s="257"/>
    </row>
    <row r="18" spans="2:15" ht="13.5" customHeight="1">
      <c r="C18" s="258" t="s">
        <v>170</v>
      </c>
      <c r="D18" s="258" t="s">
        <v>74</v>
      </c>
      <c r="E18" s="258" t="s">
        <v>50</v>
      </c>
      <c r="F18" s="256"/>
      <c r="G18" s="259"/>
    </row>
    <row r="19" spans="2:15">
      <c r="B19" s="251" t="s">
        <v>4</v>
      </c>
      <c r="C19" s="251">
        <f>+SUM(C10:C11)</f>
        <v>1663163029.7947659</v>
      </c>
      <c r="D19" s="251">
        <f t="shared" ref="D19:E19" si="0">+SUM(D10:D11)</f>
        <v>802310957.21623635</v>
      </c>
      <c r="E19" s="251">
        <f t="shared" si="0"/>
        <v>887477116.96015692</v>
      </c>
      <c r="F19" s="251"/>
      <c r="G19" s="252">
        <f>+SUM(C19:F19)</f>
        <v>3352951103.9711595</v>
      </c>
      <c r="H19" s="9"/>
    </row>
    <row r="20" spans="2:15">
      <c r="B20" s="251" t="s">
        <v>28</v>
      </c>
      <c r="C20" s="251">
        <f>+SUM(C12:C13)</f>
        <v>1109206930.036972</v>
      </c>
      <c r="D20" s="251">
        <f t="shared" ref="D20:E20" si="1">+SUM(D12:D13)</f>
        <v>1244519174.6388063</v>
      </c>
      <c r="E20" s="251">
        <f t="shared" si="1"/>
        <v>631892271.76270795</v>
      </c>
      <c r="F20" s="251"/>
      <c r="G20" s="252">
        <f t="shared" ref="G20:G23" si="2">+SUM(C20:F20)</f>
        <v>2985618376.4384861</v>
      </c>
      <c r="H20" s="9"/>
    </row>
    <row r="21" spans="2:15">
      <c r="B21" s="251" t="s">
        <v>40</v>
      </c>
      <c r="C21" s="251">
        <f>'Func Enmax'!B21</f>
        <v>0</v>
      </c>
      <c r="D21" s="251">
        <f>'Func Enmax'!C21</f>
        <v>87777526.57270433</v>
      </c>
      <c r="E21" s="251">
        <f>'Func Enmax'!D21</f>
        <v>148412343.46206701</v>
      </c>
      <c r="F21" s="251"/>
      <c r="G21" s="252">
        <f t="shared" si="2"/>
        <v>236189870.03477132</v>
      </c>
      <c r="H21" s="9"/>
    </row>
    <row r="22" spans="2:15">
      <c r="B22" s="251" t="s">
        <v>29</v>
      </c>
      <c r="C22" s="251">
        <f>'Func EPCOR'!B24</f>
        <v>280244397.031703</v>
      </c>
      <c r="D22" s="251">
        <f>'Func EPCOR'!C24</f>
        <v>19339603.292700391</v>
      </c>
      <c r="E22" s="251">
        <f>'Func EPCOR'!D24</f>
        <v>63415907.62153177</v>
      </c>
      <c r="F22" s="251"/>
      <c r="G22" s="252">
        <f t="shared" si="2"/>
        <v>362999907.94593519</v>
      </c>
    </row>
    <row r="23" spans="2:15">
      <c r="B23" s="249" t="s">
        <v>223</v>
      </c>
      <c r="C23" s="245"/>
      <c r="D23" s="245"/>
      <c r="E23" s="251">
        <f>+C4-C4*Depreciation!J24/2+'Func Results 2017'!E23*(1-Depreciation!J24)</f>
        <v>397397265.61599314</v>
      </c>
      <c r="F23" s="251"/>
      <c r="G23" s="252">
        <f t="shared" si="2"/>
        <v>397397265.61599314</v>
      </c>
    </row>
    <row r="24" spans="2:15">
      <c r="B24" s="249" t="s">
        <v>224</v>
      </c>
      <c r="C24" s="245"/>
      <c r="D24" s="245"/>
      <c r="E24" s="251"/>
      <c r="F24" s="251">
        <f>+C5-(C5*Depreciation!J18/2)+'Func Results 2017'!F24*(1-Depreciation!J18)</f>
        <v>1039682151.5206532</v>
      </c>
      <c r="G24" s="252">
        <f>+SUM(F24)</f>
        <v>1039682151.5206532</v>
      </c>
    </row>
    <row r="25" spans="2:15">
      <c r="B25" s="260" t="s">
        <v>48</v>
      </c>
      <c r="C25" s="260">
        <f>+SUM(C19:C24)</f>
        <v>3052614356.863441</v>
      </c>
      <c r="D25" s="260">
        <f t="shared" ref="D25:G25" si="3">+SUM(D19:D24)</f>
        <v>2153947261.7204475</v>
      </c>
      <c r="E25" s="260">
        <f t="shared" si="3"/>
        <v>2128594905.4224567</v>
      </c>
      <c r="F25" s="260">
        <f t="shared" si="3"/>
        <v>1039682151.5206532</v>
      </c>
      <c r="G25" s="260">
        <f t="shared" si="3"/>
        <v>8374838675.5269985</v>
      </c>
    </row>
    <row r="26" spans="2:15">
      <c r="B26" s="4"/>
    </row>
    <row r="27" spans="2:15">
      <c r="B27" s="777" t="s">
        <v>173</v>
      </c>
    </row>
    <row r="28" spans="2:15">
      <c r="B28" s="4"/>
      <c r="C28" s="4" t="s">
        <v>33</v>
      </c>
    </row>
    <row r="29" spans="2:15">
      <c r="B29" s="4"/>
      <c r="C29" s="779" t="s">
        <v>30</v>
      </c>
      <c r="D29" s="779" t="s">
        <v>31</v>
      </c>
      <c r="E29" s="779" t="s">
        <v>75</v>
      </c>
      <c r="F29" s="779" t="s">
        <v>50</v>
      </c>
      <c r="G29" s="242"/>
      <c r="H29" s="261"/>
      <c r="I29" s="261"/>
      <c r="J29" s="242"/>
      <c r="K29" s="261"/>
      <c r="L29" s="261"/>
      <c r="M29" s="261"/>
      <c r="N29" s="261"/>
      <c r="O29" s="242"/>
    </row>
    <row r="30" spans="2:15">
      <c r="B30" s="4"/>
      <c r="C30" s="262" t="s">
        <v>4</v>
      </c>
      <c r="D30" s="263">
        <f t="shared" ref="D30:F31" si="4">C19/SUM($C19:$E19)</f>
        <v>0.49602961040050758</v>
      </c>
      <c r="E30" s="263">
        <f t="shared" si="4"/>
        <v>0.23928501559894427</v>
      </c>
      <c r="F30" s="263">
        <f t="shared" si="4"/>
        <v>0.26468537400054809</v>
      </c>
      <c r="G30" s="261"/>
      <c r="H30" s="261"/>
      <c r="I30" s="261"/>
      <c r="J30" s="261"/>
      <c r="K30" s="261"/>
      <c r="L30" s="261"/>
      <c r="M30" s="261"/>
      <c r="N30" s="261"/>
      <c r="O30" s="261"/>
    </row>
    <row r="31" spans="2:15">
      <c r="B31" s="4"/>
      <c r="C31" s="262" t="s">
        <v>32</v>
      </c>
      <c r="D31" s="263">
        <f t="shared" si="4"/>
        <v>0.37151664753622454</v>
      </c>
      <c r="E31" s="263">
        <f t="shared" si="4"/>
        <v>0.41683799391782306</v>
      </c>
      <c r="F31" s="263">
        <f t="shared" si="4"/>
        <v>0.21164535854595248</v>
      </c>
      <c r="G31" s="261"/>
      <c r="H31" s="261"/>
      <c r="I31" s="261"/>
      <c r="J31" s="261"/>
      <c r="K31" s="261"/>
      <c r="L31" s="261"/>
      <c r="M31" s="261"/>
      <c r="N31" s="261"/>
      <c r="O31" s="261"/>
    </row>
    <row r="32" spans="2:15" hidden="1">
      <c r="B32" s="4"/>
      <c r="C32" s="262" t="s">
        <v>64</v>
      </c>
      <c r="D32" s="263">
        <f t="shared" ref="D32:F33" si="5">C21/SUM($C21:$E21)</f>
        <v>0</v>
      </c>
      <c r="E32" s="263">
        <f t="shared" si="5"/>
        <v>0.37163967514687202</v>
      </c>
      <c r="F32" s="263">
        <f t="shared" si="5"/>
        <v>0.62836032485312809</v>
      </c>
      <c r="G32" s="261"/>
      <c r="H32" s="261"/>
      <c r="I32" s="261"/>
      <c r="J32" s="261"/>
      <c r="K32" s="261"/>
      <c r="L32" s="261"/>
      <c r="M32" s="261"/>
      <c r="N32" s="261"/>
      <c r="O32" s="261"/>
    </row>
    <row r="33" spans="1:15">
      <c r="B33" s="4"/>
      <c r="C33" s="262" t="s">
        <v>38</v>
      </c>
      <c r="D33" s="263">
        <f t="shared" si="5"/>
        <v>0.77202332809803986</v>
      </c>
      <c r="E33" s="263">
        <f t="shared" si="5"/>
        <v>5.3277157567711592E-2</v>
      </c>
      <c r="F33" s="263">
        <f t="shared" si="5"/>
        <v>0.17469951433424843</v>
      </c>
      <c r="G33" s="261"/>
      <c r="H33" s="261"/>
      <c r="I33" s="261"/>
      <c r="J33" s="261"/>
      <c r="K33" s="261"/>
      <c r="L33" s="261"/>
      <c r="M33" s="261"/>
      <c r="N33" s="261"/>
      <c r="O33" s="261"/>
    </row>
    <row r="34" spans="1:15">
      <c r="B34" s="4"/>
      <c r="C34" s="264" t="s">
        <v>76</v>
      </c>
      <c r="D34" s="265">
        <f t="shared" ref="D34:F34" si="6">C25/SUM($C25:$E25)</f>
        <v>0.41616212917514561</v>
      </c>
      <c r="E34" s="265">
        <f t="shared" si="6"/>
        <v>0.29364707551516511</v>
      </c>
      <c r="F34" s="265">
        <f t="shared" si="6"/>
        <v>0.29019079530968916</v>
      </c>
      <c r="G34" s="261"/>
      <c r="H34" s="261"/>
      <c r="I34" s="261"/>
      <c r="J34" s="261"/>
      <c r="K34" s="261"/>
      <c r="L34" s="261"/>
      <c r="M34" s="261"/>
      <c r="N34" s="261"/>
      <c r="O34" s="261"/>
    </row>
    <row r="35" spans="1:15">
      <c r="B35" s="4"/>
      <c r="G35" s="261"/>
      <c r="H35" s="266"/>
      <c r="I35" s="266"/>
      <c r="J35" s="266"/>
      <c r="K35" s="261"/>
      <c r="L35" s="261"/>
      <c r="M35" s="261"/>
      <c r="N35" s="261"/>
      <c r="O35" s="261"/>
    </row>
    <row r="36" spans="1:15">
      <c r="B36" s="4"/>
      <c r="C36" s="4" t="s">
        <v>173</v>
      </c>
      <c r="G36" s="261"/>
      <c r="H36" s="266"/>
      <c r="I36" s="266"/>
      <c r="J36" s="266"/>
      <c r="K36" s="261"/>
      <c r="L36" s="261"/>
      <c r="M36" s="261"/>
      <c r="N36" s="261"/>
      <c r="O36" s="261"/>
    </row>
    <row r="37" spans="1:15">
      <c r="B37" s="4"/>
      <c r="C37" s="779" t="s">
        <v>65</v>
      </c>
      <c r="D37" s="779" t="s">
        <v>31</v>
      </c>
      <c r="E37" s="779" t="s">
        <v>75</v>
      </c>
      <c r="F37" s="779" t="s">
        <v>50</v>
      </c>
      <c r="G37" s="261"/>
      <c r="H37" s="266"/>
      <c r="I37" s="266"/>
      <c r="J37" s="266"/>
      <c r="K37" s="261"/>
      <c r="L37" s="261"/>
      <c r="M37" s="261"/>
      <c r="N37" s="261"/>
      <c r="O37" s="261"/>
    </row>
    <row r="38" spans="1:15">
      <c r="B38" s="4"/>
      <c r="C38" s="262" t="s">
        <v>47</v>
      </c>
      <c r="D38" s="263">
        <f>D34</f>
        <v>0.41616212917514561</v>
      </c>
      <c r="E38" s="263">
        <f>E34</f>
        <v>0.29364707551516511</v>
      </c>
      <c r="F38" s="263">
        <f>F34</f>
        <v>0.29019079530968916</v>
      </c>
      <c r="G38" s="261"/>
      <c r="H38" s="266"/>
      <c r="I38" s="266"/>
      <c r="J38" s="266"/>
      <c r="K38" s="261"/>
      <c r="L38" s="261"/>
      <c r="M38" s="261"/>
      <c r="N38" s="261"/>
      <c r="O38" s="261"/>
    </row>
    <row r="39" spans="1:15">
      <c r="B39" s="4"/>
      <c r="G39" s="261"/>
      <c r="H39" s="266"/>
      <c r="I39" s="266"/>
      <c r="J39" s="266"/>
      <c r="K39" s="261"/>
      <c r="L39" s="261"/>
      <c r="M39" s="261"/>
      <c r="N39" s="261"/>
      <c r="O39" s="261"/>
    </row>
    <row r="40" spans="1:15">
      <c r="B40" s="4"/>
      <c r="C40" s="4" t="s">
        <v>181</v>
      </c>
    </row>
    <row r="41" spans="1:15">
      <c r="B41" s="4"/>
      <c r="C41" s="779" t="s">
        <v>65</v>
      </c>
      <c r="D41" s="779" t="s">
        <v>31</v>
      </c>
      <c r="E41" s="779" t="s">
        <v>75</v>
      </c>
      <c r="F41" s="779" t="s">
        <v>50</v>
      </c>
    </row>
    <row r="42" spans="1:15">
      <c r="B42" s="4"/>
      <c r="C42" s="262" t="s">
        <v>47</v>
      </c>
      <c r="D42" s="267">
        <f>+D38*$G$25</f>
        <v>3485290694.7056723</v>
      </c>
      <c r="E42" s="267">
        <f>+E38*$G$25</f>
        <v>2459246884.9798021</v>
      </c>
      <c r="F42" s="267">
        <f>+F38*$G$25</f>
        <v>2430301095.8415236</v>
      </c>
    </row>
    <row r="44" spans="1:15">
      <c r="A44" s="776" t="s">
        <v>175</v>
      </c>
    </row>
    <row r="45" spans="1:15">
      <c r="A45" s="776"/>
      <c r="B45" s="243" t="s">
        <v>178</v>
      </c>
    </row>
    <row r="46" spans="1:15">
      <c r="C46" s="77" t="s">
        <v>211</v>
      </c>
      <c r="D46" s="268"/>
      <c r="E46" s="268"/>
      <c r="F46" s="268"/>
    </row>
    <row r="47" spans="1:15">
      <c r="C47" s="779" t="s">
        <v>65</v>
      </c>
      <c r="D47" s="779" t="s">
        <v>31</v>
      </c>
      <c r="E47" s="779" t="s">
        <v>75</v>
      </c>
      <c r="F47" s="779" t="s">
        <v>50</v>
      </c>
    </row>
    <row r="48" spans="1:15">
      <c r="C48" s="262" t="s">
        <v>47</v>
      </c>
      <c r="D48" s="269">
        <f>'Func Future Lines 2018'!V4</f>
        <v>4170648806.3380013</v>
      </c>
      <c r="E48" s="269">
        <f>'Func Future Lines 2018'!W4</f>
        <v>697900439.63669682</v>
      </c>
      <c r="F48" s="269">
        <f>'Func Future Lines 2018'!U12</f>
        <v>0</v>
      </c>
    </row>
    <row r="49" spans="1:6">
      <c r="B49" s="4"/>
      <c r="C49" s="262"/>
      <c r="D49" s="270"/>
      <c r="E49" s="270"/>
      <c r="F49" s="270"/>
    </row>
    <row r="50" spans="1:6">
      <c r="B50" s="4"/>
      <c r="C50" s="77" t="s">
        <v>210</v>
      </c>
      <c r="D50" s="268"/>
      <c r="E50" s="268"/>
      <c r="F50" s="268"/>
    </row>
    <row r="51" spans="1:6">
      <c r="B51" s="4"/>
      <c r="C51" s="779" t="s">
        <v>65</v>
      </c>
      <c r="D51" s="779" t="s">
        <v>31</v>
      </c>
      <c r="E51" s="779" t="s">
        <v>75</v>
      </c>
      <c r="F51" s="779" t="s">
        <v>50</v>
      </c>
    </row>
    <row r="52" spans="1:6">
      <c r="B52" s="4"/>
      <c r="C52" s="262" t="s">
        <v>47</v>
      </c>
      <c r="D52" s="263">
        <f>'Func Future Lines 2018'!V5</f>
        <v>0.8566512518665147</v>
      </c>
      <c r="E52" s="263">
        <f>'Func Future Lines 2018'!W5</f>
        <v>0.1433487481334853</v>
      </c>
      <c r="F52" s="263">
        <v>0</v>
      </c>
    </row>
    <row r="53" spans="1:6">
      <c r="B53" s="4"/>
      <c r="C53" s="262"/>
      <c r="D53" s="270"/>
      <c r="E53" s="270"/>
      <c r="F53" s="270"/>
    </row>
    <row r="54" spans="1:6">
      <c r="B54" s="4"/>
      <c r="C54" s="77" t="s">
        <v>212</v>
      </c>
      <c r="D54" s="268"/>
      <c r="E54" s="268"/>
      <c r="F54" s="268"/>
    </row>
    <row r="55" spans="1:6">
      <c r="B55" s="4"/>
      <c r="C55" s="788" t="s">
        <v>65</v>
      </c>
      <c r="D55" s="779" t="s">
        <v>31</v>
      </c>
      <c r="E55" s="779" t="s">
        <v>75</v>
      </c>
      <c r="F55" s="779" t="s">
        <v>50</v>
      </c>
    </row>
    <row r="56" spans="1:6">
      <c r="B56" s="4"/>
      <c r="C56" s="262" t="s">
        <v>47</v>
      </c>
      <c r="D56" s="269">
        <f>'Func Future Subs 2018'!AB10</f>
        <v>1589371227.2143197</v>
      </c>
      <c r="E56" s="269">
        <f>'Func Future Subs 2018'!AC10</f>
        <v>636894795.51203489</v>
      </c>
      <c r="F56" s="269">
        <f>'Func Future Subs 2018'!AD10</f>
        <v>658065382.72674072</v>
      </c>
    </row>
    <row r="57" spans="1:6">
      <c r="B57" s="4"/>
      <c r="C57" s="262"/>
      <c r="D57" s="270"/>
      <c r="E57" s="270"/>
      <c r="F57" s="270"/>
    </row>
    <row r="58" spans="1:6">
      <c r="B58" s="4"/>
      <c r="C58" s="77" t="s">
        <v>213</v>
      </c>
      <c r="D58" s="268"/>
      <c r="E58" s="268"/>
      <c r="F58" s="268"/>
    </row>
    <row r="59" spans="1:6">
      <c r="B59" s="4"/>
      <c r="C59" s="788" t="s">
        <v>65</v>
      </c>
      <c r="D59" s="779" t="s">
        <v>31</v>
      </c>
      <c r="E59" s="779" t="s">
        <v>75</v>
      </c>
      <c r="F59" s="779" t="s">
        <v>50</v>
      </c>
    </row>
    <row r="60" spans="1:6">
      <c r="B60" s="4"/>
      <c r="C60" s="262" t="s">
        <v>47</v>
      </c>
      <c r="D60" s="270">
        <f>'Func Future Subs 2018'!AB4</f>
        <v>0.55103627281160084</v>
      </c>
      <c r="E60" s="270">
        <f>'Func Future Subs 2018'!AC4</f>
        <v>0.22081193385334516</v>
      </c>
      <c r="F60" s="270">
        <f>'Func Future Subs 2018'!AD4</f>
        <v>0.22815179333505411</v>
      </c>
    </row>
    <row r="62" spans="1:6">
      <c r="A62" s="776" t="s">
        <v>182</v>
      </c>
    </row>
    <row r="63" spans="1:6">
      <c r="B63" s="4" t="s">
        <v>183</v>
      </c>
    </row>
    <row r="64" spans="1:6">
      <c r="C64" s="779" t="s">
        <v>65</v>
      </c>
      <c r="D64" s="779" t="s">
        <v>31</v>
      </c>
      <c r="E64" s="779" t="s">
        <v>75</v>
      </c>
      <c r="F64" s="779" t="s">
        <v>50</v>
      </c>
    </row>
    <row r="65" spans="1:8">
      <c r="C65" s="262" t="s">
        <v>47</v>
      </c>
      <c r="D65" s="267">
        <f>D42+D48+D56</f>
        <v>9245310728.2579937</v>
      </c>
      <c r="E65" s="267">
        <f t="shared" ref="E65:F65" si="7">E42+E48+E56</f>
        <v>3794042120.1285338</v>
      </c>
      <c r="F65" s="267">
        <f t="shared" si="7"/>
        <v>3088366478.5682645</v>
      </c>
    </row>
    <row r="67" spans="1:8">
      <c r="B67" s="243" t="s">
        <v>177</v>
      </c>
    </row>
    <row r="68" spans="1:8">
      <c r="C68" s="779" t="s">
        <v>65</v>
      </c>
      <c r="D68" s="779" t="s">
        <v>31</v>
      </c>
      <c r="E68" s="779" t="s">
        <v>75</v>
      </c>
      <c r="F68" s="779" t="s">
        <v>50</v>
      </c>
    </row>
    <row r="69" spans="1:8">
      <c r="C69" s="262" t="s">
        <v>47</v>
      </c>
      <c r="D69" s="263">
        <f>+D65/SUM($D65:$F65)</f>
        <v>0.57325592917567703</v>
      </c>
      <c r="E69" s="263">
        <f>+E65/SUM($D65:$F65)</f>
        <v>0.23524976118523006</v>
      </c>
      <c r="F69" s="263">
        <f>+F65/SUM($D65:$F65)</f>
        <v>0.19149430963909295</v>
      </c>
      <c r="H69" s="271"/>
    </row>
    <row r="71" spans="1:8">
      <c r="A71" s="776" t="s">
        <v>235</v>
      </c>
    </row>
    <row r="72" spans="1:8">
      <c r="B72" s="243" t="s">
        <v>236</v>
      </c>
    </row>
    <row r="73" spans="1:8">
      <c r="C73" s="272" t="s">
        <v>231</v>
      </c>
      <c r="D73" s="273">
        <v>2018</v>
      </c>
    </row>
    <row r="74" spans="1:8">
      <c r="C74" s="274" t="s">
        <v>232</v>
      </c>
      <c r="D74" s="275">
        <f>'Sum 1.0'!K28</f>
        <v>0.17114953965244431</v>
      </c>
    </row>
    <row r="75" spans="1:8">
      <c r="C75" s="274" t="s">
        <v>233</v>
      </c>
      <c r="D75" s="275">
        <f>1-D74</f>
        <v>0.82885046034755572</v>
      </c>
    </row>
    <row r="76" spans="1:8">
      <c r="C76" s="276"/>
    </row>
    <row r="77" spans="1:8">
      <c r="B77" s="243" t="s">
        <v>237</v>
      </c>
      <c r="C77" s="276"/>
    </row>
    <row r="78" spans="1:8">
      <c r="C78" s="277" t="s">
        <v>241</v>
      </c>
      <c r="D78" s="278" t="s">
        <v>31</v>
      </c>
      <c r="E78" s="278" t="s">
        <v>75</v>
      </c>
      <c r="F78" s="278" t="s">
        <v>50</v>
      </c>
    </row>
    <row r="79" spans="1:8">
      <c r="C79" s="602" t="s">
        <v>86</v>
      </c>
      <c r="D79" s="280">
        <f>'Sum 3.0'!K58</f>
        <v>0.23355060915324177</v>
      </c>
      <c r="E79" s="280">
        <f>'Sum 3.0'!K59</f>
        <v>0.36250209304943937</v>
      </c>
      <c r="F79" s="280">
        <f>'Sum 3.0'!K60</f>
        <v>0.40394729779731797</v>
      </c>
    </row>
    <row r="81" spans="1:6">
      <c r="B81" s="243" t="s">
        <v>238</v>
      </c>
    </row>
    <row r="83" spans="1:6">
      <c r="C83" s="779" t="s">
        <v>2093</v>
      </c>
      <c r="D83" s="779" t="s">
        <v>31</v>
      </c>
      <c r="E83" s="779" t="s">
        <v>75</v>
      </c>
      <c r="F83" s="779" t="s">
        <v>50</v>
      </c>
    </row>
    <row r="84" spans="1:6">
      <c r="C84" s="262" t="s">
        <v>86</v>
      </c>
      <c r="D84" s="263">
        <f>+D69*$D$75+D$79*$D$74</f>
        <v>0.51511552003635097</v>
      </c>
      <c r="E84" s="263">
        <f>+E69*$D$75+E$79*$D$74</f>
        <v>0.25702893920348957</v>
      </c>
      <c r="F84" s="263">
        <f>+F69*$D$75+F$79*$D$74</f>
        <v>0.22785554076015935</v>
      </c>
    </row>
    <row r="86" spans="1:6">
      <c r="A86" s="776" t="s">
        <v>234</v>
      </c>
    </row>
    <row r="87" spans="1:6">
      <c r="B87" s="243" t="s">
        <v>230</v>
      </c>
      <c r="C87" s="281">
        <v>2017.4544062220446</v>
      </c>
      <c r="D87" s="759" t="s">
        <v>2107</v>
      </c>
    </row>
    <row r="89" spans="1:6">
      <c r="B89" s="243" t="s">
        <v>697</v>
      </c>
    </row>
    <row r="90" spans="1:6">
      <c r="C90" s="779" t="s">
        <v>2093</v>
      </c>
      <c r="D90" s="779" t="s">
        <v>31</v>
      </c>
      <c r="E90" s="779" t="s">
        <v>75</v>
      </c>
      <c r="F90" s="779" t="s">
        <v>50</v>
      </c>
    </row>
    <row r="91" spans="1:6" ht="14.4" customHeight="1">
      <c r="C91" s="262" t="s">
        <v>2095</v>
      </c>
      <c r="D91" s="267">
        <f>D84*$C$87</f>
        <v>1039.222075610696</v>
      </c>
      <c r="E91" s="267">
        <f>E84*$C$87</f>
        <v>518.54416592265807</v>
      </c>
      <c r="F91" s="267">
        <f>F84*$C$87</f>
        <v>459.68816468869016</v>
      </c>
    </row>
    <row r="93" spans="1:6">
      <c r="B93" s="243" t="s">
        <v>698</v>
      </c>
      <c r="C93" s="283">
        <v>4.3860000000000117</v>
      </c>
      <c r="D93" s="759" t="s">
        <v>2021</v>
      </c>
    </row>
    <row r="94" spans="1:6">
      <c r="B94" s="243" t="s">
        <v>2018</v>
      </c>
      <c r="C94" s="283">
        <v>0</v>
      </c>
      <c r="D94" s="759" t="s">
        <v>2019</v>
      </c>
    </row>
    <row r="95" spans="1:6">
      <c r="D95" s="627"/>
    </row>
    <row r="96" spans="1:6">
      <c r="B96" s="243" t="s">
        <v>695</v>
      </c>
    </row>
    <row r="97" spans="2:6">
      <c r="C97" s="779" t="s">
        <v>2093</v>
      </c>
      <c r="D97" s="779" t="s">
        <v>31</v>
      </c>
      <c r="E97" s="779" t="s">
        <v>75</v>
      </c>
      <c r="F97" s="779" t="s">
        <v>50</v>
      </c>
    </row>
    <row r="98" spans="2:6">
      <c r="C98" s="262" t="s">
        <v>2095</v>
      </c>
      <c r="D98" s="267">
        <f>D91-$C$93+$C$94</f>
        <v>1034.8360756106961</v>
      </c>
      <c r="E98" s="267">
        <f>E91</f>
        <v>518.54416592265807</v>
      </c>
      <c r="F98" s="267">
        <f>F91</f>
        <v>459.68816468869016</v>
      </c>
    </row>
    <row r="100" spans="2:6">
      <c r="B100" s="243" t="s">
        <v>696</v>
      </c>
    </row>
    <row r="101" spans="2:6">
      <c r="C101" s="779" t="s">
        <v>2093</v>
      </c>
      <c r="D101" s="779" t="s">
        <v>31</v>
      </c>
      <c r="E101" s="779" t="s">
        <v>75</v>
      </c>
      <c r="F101" s="779" t="s">
        <v>50</v>
      </c>
    </row>
    <row r="102" spans="2:6">
      <c r="C102" s="262" t="s">
        <v>86</v>
      </c>
      <c r="D102" s="263">
        <f>D98/SUM($D98:$F98)</f>
        <v>0.51405907142161578</v>
      </c>
      <c r="E102" s="263">
        <f>E98/SUM($D98:$F98)</f>
        <v>0.25758894447894976</v>
      </c>
      <c r="F102" s="263">
        <f>F98/SUM($D98:$F98)</f>
        <v>0.22835198409943447</v>
      </c>
    </row>
  </sheetData>
  <mergeCells count="5">
    <mergeCell ref="C8:E8"/>
    <mergeCell ref="O8:S8"/>
    <mergeCell ref="C16:E16"/>
    <mergeCell ref="C17:E17"/>
    <mergeCell ref="G8:L8"/>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02"/>
  <sheetViews>
    <sheetView showGridLines="0" zoomScale="70" zoomScaleNormal="70" workbookViewId="0">
      <selection activeCell="L1" sqref="A1:L102"/>
    </sheetView>
  </sheetViews>
  <sheetFormatPr defaultColWidth="9.109375" defaultRowHeight="13.8"/>
  <cols>
    <col min="1" max="1" width="9.109375" style="4"/>
    <col min="2" max="2" width="47.6640625" style="243" customWidth="1"/>
    <col min="3" max="3" width="18.6640625" style="4" customWidth="1"/>
    <col min="4" max="4" width="22.44140625" style="4" customWidth="1"/>
    <col min="5" max="7" width="18" style="4" bestFit="1" customWidth="1"/>
    <col min="8" max="11" width="5" style="4" bestFit="1" customWidth="1"/>
    <col min="12" max="12" width="5.6640625" style="4" bestFit="1" customWidth="1"/>
    <col min="13" max="13" width="21" style="4" customWidth="1"/>
    <col min="14" max="14" width="21.6640625" style="4" customWidth="1"/>
    <col min="15" max="19" width="23" style="4" bestFit="1" customWidth="1"/>
    <col min="20" max="21" width="21.88671875" style="4" bestFit="1" customWidth="1"/>
    <col min="22" max="25" width="23" style="4" bestFit="1" customWidth="1"/>
    <col min="26" max="16384" width="9.109375" style="4"/>
  </cols>
  <sheetData>
    <row r="1" spans="1:22">
      <c r="A1" s="776" t="s">
        <v>168</v>
      </c>
    </row>
    <row r="2" spans="1:22">
      <c r="A2" s="776"/>
      <c r="B2" s="244" t="s">
        <v>227</v>
      </c>
    </row>
    <row r="3" spans="1:22">
      <c r="A3" s="776"/>
      <c r="B3" s="4"/>
      <c r="C3" s="758" t="s">
        <v>52</v>
      </c>
      <c r="D3" s="4" t="s">
        <v>226</v>
      </c>
    </row>
    <row r="4" spans="1:22">
      <c r="A4" s="776"/>
      <c r="B4" s="245" t="s">
        <v>223</v>
      </c>
      <c r="C4" s="486">
        <f>'Func Results 2018'!C4</f>
        <v>113143168.8</v>
      </c>
      <c r="D4" s="4" t="s">
        <v>2073</v>
      </c>
    </row>
    <row r="5" spans="1:22">
      <c r="A5" s="776"/>
      <c r="B5" s="245" t="s">
        <v>224</v>
      </c>
      <c r="C5" s="486">
        <f>'Func Results 2015'!C5</f>
        <v>275824546.27868605</v>
      </c>
      <c r="D5" s="4" t="s">
        <v>225</v>
      </c>
    </row>
    <row r="6" spans="1:22">
      <c r="A6" s="776"/>
    </row>
    <row r="7" spans="1:22">
      <c r="B7" s="244" t="s">
        <v>2078</v>
      </c>
      <c r="O7" s="11"/>
      <c r="P7" s="11"/>
      <c r="Q7" s="11"/>
      <c r="R7" s="11"/>
      <c r="S7" s="11"/>
      <c r="T7" s="11"/>
      <c r="U7" s="11"/>
      <c r="V7" s="11"/>
    </row>
    <row r="8" spans="1:22">
      <c r="C8" s="997" t="s">
        <v>169</v>
      </c>
      <c r="D8" s="997"/>
      <c r="E8" s="997"/>
      <c r="G8" s="1023" t="s">
        <v>2072</v>
      </c>
      <c r="H8" s="1023"/>
      <c r="I8" s="1023"/>
      <c r="J8" s="1023"/>
      <c r="K8" s="1023"/>
      <c r="L8" s="1023"/>
      <c r="M8" s="456"/>
      <c r="O8" s="1020"/>
      <c r="P8" s="1020"/>
      <c r="Q8" s="1020"/>
      <c r="R8" s="1020"/>
      <c r="S8" s="1020"/>
      <c r="T8" s="11"/>
      <c r="U8" s="11"/>
      <c r="V8" s="11"/>
    </row>
    <row r="9" spans="1:22">
      <c r="C9" s="246" t="s">
        <v>170</v>
      </c>
      <c r="D9" s="246" t="s">
        <v>74</v>
      </c>
      <c r="E9" s="246" t="s">
        <v>50</v>
      </c>
      <c r="G9" s="247">
        <v>2015</v>
      </c>
      <c r="H9" s="247">
        <v>2016</v>
      </c>
      <c r="I9" s="247">
        <v>2017</v>
      </c>
      <c r="J9" s="247">
        <v>2018</v>
      </c>
      <c r="K9" s="247">
        <v>2019</v>
      </c>
      <c r="L9" s="247">
        <v>2020</v>
      </c>
      <c r="N9" s="11"/>
      <c r="O9" s="248"/>
      <c r="P9" s="248"/>
      <c r="Q9" s="248"/>
      <c r="R9" s="248"/>
      <c r="S9" s="248"/>
      <c r="T9" s="248"/>
      <c r="U9" s="248"/>
    </row>
    <row r="10" spans="1:22">
      <c r="B10" s="249" t="s">
        <v>34</v>
      </c>
      <c r="C10" s="250">
        <f>'Func AL Subs'!Z12/L10*K10</f>
        <v>282726663.82921988</v>
      </c>
      <c r="D10" s="251">
        <f>'Func AL Subs'!AA12/L10*K10</f>
        <v>427704456.37237716</v>
      </c>
      <c r="E10" s="251">
        <f>'Func AL Subs'!AB12/L10*K10</f>
        <v>706912332.30743361</v>
      </c>
      <c r="G10" s="212">
        <f>+'Func AL Subs'!H3</f>
        <v>0.96533000000000002</v>
      </c>
      <c r="H10" s="212">
        <f>+'Func AL Subs'!I3</f>
        <v>0.93093529209999992</v>
      </c>
      <c r="I10" s="212">
        <f>+'Func AL Subs'!J3</f>
        <v>0.89885827756423553</v>
      </c>
      <c r="J10" s="212">
        <f>+'Func AL Subs'!K3</f>
        <v>0.86880577929116165</v>
      </c>
      <c r="K10" s="212">
        <f>+'Func AL Subs'!L3</f>
        <v>0.83975805860649744</v>
      </c>
      <c r="L10" s="212">
        <f>+'Func AL Subs'!M3</f>
        <v>0.81168152169740926</v>
      </c>
      <c r="N10" s="11"/>
      <c r="O10" s="11"/>
      <c r="P10" s="11"/>
      <c r="Q10" s="11"/>
      <c r="R10" s="11"/>
      <c r="S10" s="11"/>
      <c r="T10" s="11"/>
      <c r="U10" s="11"/>
    </row>
    <row r="11" spans="1:22">
      <c r="B11" s="249" t="s">
        <v>35</v>
      </c>
      <c r="C11" s="251">
        <f>('Func AL Lines'!V13)/L11*K11</f>
        <v>1328609922.9104609</v>
      </c>
      <c r="D11" s="251">
        <f>('Func AL Lines'!W13)/L11*K11</f>
        <v>348774232.0495466</v>
      </c>
      <c r="E11" s="251">
        <f>'Func AL Lines'!X13/L11*K11</f>
        <v>151323318.14314449</v>
      </c>
      <c r="G11" s="212">
        <f>+'Func AL Lines'!I3</f>
        <v>0.97291408520456379</v>
      </c>
      <c r="H11" s="212">
        <f>+'Func AL Lines'!J3</f>
        <v>0.94528775683694444</v>
      </c>
      <c r="I11" s="212">
        <f>+'Func AL Lines'!K3</f>
        <v>0.91513268407767112</v>
      </c>
      <c r="J11" s="212">
        <f>+'Func AL Lines'!L3</f>
        <v>0.88705974104899432</v>
      </c>
      <c r="K11" s="212">
        <f>+'Func AL Lines'!M3</f>
        <v>0.85984797383012446</v>
      </c>
      <c r="L11" s="212">
        <f>+'Func AL Lines'!N3</f>
        <v>0.83347096467873072</v>
      </c>
      <c r="N11" s="11"/>
      <c r="O11" s="11"/>
      <c r="P11" s="11"/>
      <c r="Q11" s="11"/>
      <c r="R11" s="11"/>
      <c r="S11" s="11"/>
      <c r="T11" s="11"/>
      <c r="U11" s="11"/>
    </row>
    <row r="12" spans="1:22">
      <c r="B12" s="249" t="s">
        <v>36</v>
      </c>
      <c r="C12" s="252">
        <f>+'Func ATCO Subs'!X15/L12*K12</f>
        <v>115810101.89293753</v>
      </c>
      <c r="D12" s="252">
        <f>+'Func ATCO Subs'!Y15/L12*K12</f>
        <v>632616705.06412399</v>
      </c>
      <c r="E12" s="252">
        <f>+'Func ATCO Subs'!Z15/L12*K12</f>
        <v>479934273.81264514</v>
      </c>
      <c r="G12" s="212">
        <f>+'Func ATCO Subs'!F3</f>
        <v>0.97556592632866179</v>
      </c>
      <c r="H12" s="212">
        <f>+'Func ATCO Subs'!G3</f>
        <v>0.95153534693782615</v>
      </c>
      <c r="I12" s="212">
        <f>+'Func ATCO Subs'!H3</f>
        <v>0.9283639992745315</v>
      </c>
      <c r="J12" s="212">
        <f>+'Func ATCO Subs'!I3</f>
        <v>0.90575690952794075</v>
      </c>
      <c r="K12" s="212">
        <f>+'Func ATCO Subs'!J3</f>
        <v>0.88370033715084062</v>
      </c>
      <c r="L12" s="212">
        <f>+'Func ATCO Subs'!K3</f>
        <v>0.86218087619945383</v>
      </c>
      <c r="N12" s="11"/>
      <c r="O12" s="11"/>
      <c r="P12" s="11"/>
      <c r="Q12" s="11"/>
      <c r="R12" s="11"/>
      <c r="S12" s="11"/>
      <c r="T12" s="11"/>
      <c r="U12" s="11"/>
    </row>
    <row r="13" spans="1:22">
      <c r="B13" s="249" t="s">
        <v>39</v>
      </c>
      <c r="C13" s="252">
        <f>+'Func ATCO Lines'!T16/L13*K13</f>
        <v>966732115.64307654</v>
      </c>
      <c r="D13" s="252">
        <f>+'Func ATCO Lines'!U16/L13*K13</f>
        <v>581804856.08052731</v>
      </c>
      <c r="E13" s="252">
        <f>+'Func ATCO Lines'!V16/L13*K13</f>
        <v>136619372.781616</v>
      </c>
      <c r="G13" s="212">
        <f>+'Func ATCO Lines'!F3</f>
        <v>0.97521794281816965</v>
      </c>
      <c r="H13" s="212">
        <f>+'Func ATCO Lines'!G3</f>
        <v>0.95186746118817056</v>
      </c>
      <c r="I13" s="212">
        <f>+'Func ATCO Lines'!H3</f>
        <v>0.92902070228339195</v>
      </c>
      <c r="J13" s="212">
        <f>+'Func ATCO Lines'!I3</f>
        <v>0.90672231215235166</v>
      </c>
      <c r="K13" s="212">
        <f>+'Func ATCO Lines'!J3</f>
        <v>0.88495912882694439</v>
      </c>
      <c r="L13" s="212">
        <f>+'Func ATCO Lines'!K3</f>
        <v>0.86371830625312263</v>
      </c>
      <c r="N13" s="11"/>
      <c r="O13" s="11"/>
      <c r="P13" s="11"/>
      <c r="Q13" s="11"/>
      <c r="R13" s="11"/>
      <c r="S13" s="11"/>
      <c r="T13" s="11"/>
      <c r="U13" s="11"/>
    </row>
    <row r="14" spans="1:22">
      <c r="O14" s="11"/>
      <c r="P14" s="11"/>
      <c r="Q14" s="11"/>
      <c r="R14" s="11"/>
      <c r="S14" s="11"/>
      <c r="T14" s="11"/>
      <c r="U14" s="11"/>
      <c r="V14" s="11"/>
    </row>
    <row r="15" spans="1:22">
      <c r="B15" s="244" t="s">
        <v>2079</v>
      </c>
    </row>
    <row r="16" spans="1:22">
      <c r="B16" s="244"/>
      <c r="C16" s="1021" t="s">
        <v>67</v>
      </c>
      <c r="D16" s="1021"/>
      <c r="E16" s="1021"/>
      <c r="F16" s="253" t="s">
        <v>172</v>
      </c>
      <c r="G16" s="254" t="s">
        <v>174</v>
      </c>
    </row>
    <row r="17" spans="2:15" s="786" customFormat="1">
      <c r="B17" s="255"/>
      <c r="C17" s="997" t="s">
        <v>169</v>
      </c>
      <c r="D17" s="997"/>
      <c r="E17" s="997"/>
      <c r="F17" s="256"/>
      <c r="G17" s="257"/>
    </row>
    <row r="18" spans="2:15" ht="13.5" customHeight="1">
      <c r="C18" s="258" t="s">
        <v>170</v>
      </c>
      <c r="D18" s="258" t="s">
        <v>74</v>
      </c>
      <c r="E18" s="258" t="s">
        <v>50</v>
      </c>
      <c r="F18" s="256"/>
      <c r="G18" s="259"/>
    </row>
    <row r="19" spans="2:15">
      <c r="B19" s="251" t="s">
        <v>4</v>
      </c>
      <c r="C19" s="251">
        <f>+SUM(C10:C11)</f>
        <v>1611336586.7396808</v>
      </c>
      <c r="D19" s="251">
        <f t="shared" ref="D19:E19" si="0">+SUM(D10:D11)</f>
        <v>776478688.42192376</v>
      </c>
      <c r="E19" s="251">
        <f t="shared" si="0"/>
        <v>858235650.45057809</v>
      </c>
      <c r="F19" s="251"/>
      <c r="G19" s="252">
        <f>+SUM(C19:F19)</f>
        <v>3246050925.6121826</v>
      </c>
      <c r="H19" s="9"/>
    </row>
    <row r="20" spans="2:15">
      <c r="B20" s="251" t="s">
        <v>28</v>
      </c>
      <c r="C20" s="251">
        <f>+SUM(C12:C13)</f>
        <v>1082542217.5360141</v>
      </c>
      <c r="D20" s="251">
        <f t="shared" ref="D20:E20" si="1">+SUM(D12:D13)</f>
        <v>1214421561.1446514</v>
      </c>
      <c r="E20" s="251">
        <f t="shared" si="1"/>
        <v>616553646.59426117</v>
      </c>
      <c r="F20" s="251"/>
      <c r="G20" s="252">
        <f t="shared" ref="G20:G23" si="2">+SUM(C20:F20)</f>
        <v>2913517425.2749267</v>
      </c>
      <c r="H20" s="9"/>
    </row>
    <row r="21" spans="2:15">
      <c r="B21" s="251" t="s">
        <v>40</v>
      </c>
      <c r="C21" s="251">
        <f>'Func Enmax'!B22</f>
        <v>0</v>
      </c>
      <c r="D21" s="251">
        <f>'Func Enmax'!C22</f>
        <v>85411890.792464331</v>
      </c>
      <c r="E21" s="251">
        <f>'Func Enmax'!D22</f>
        <v>144278047.7412293</v>
      </c>
      <c r="F21" s="251"/>
      <c r="G21" s="252">
        <f t="shared" si="2"/>
        <v>229689938.53369361</v>
      </c>
      <c r="H21" s="9"/>
    </row>
    <row r="22" spans="2:15">
      <c r="B22" s="251" t="s">
        <v>29</v>
      </c>
      <c r="C22" s="251">
        <f>'Func EPCOR'!B25</f>
        <v>268713667.47181082</v>
      </c>
      <c r="D22" s="251">
        <f>'Func EPCOR'!C25</f>
        <v>18893556.378060579</v>
      </c>
      <c r="E22" s="251">
        <f>'Func EPCOR'!D25</f>
        <v>61047438.904605635</v>
      </c>
      <c r="F22" s="251"/>
      <c r="G22" s="252">
        <f t="shared" si="2"/>
        <v>348654662.75447702</v>
      </c>
    </row>
    <row r="23" spans="2:15">
      <c r="B23" s="249" t="s">
        <v>223</v>
      </c>
      <c r="C23" s="245"/>
      <c r="D23" s="245"/>
      <c r="E23" s="251">
        <f>+C4-C4*Depreciation!K24/2+'Func Results 2018'!E23*(1-Depreciation!K24)</f>
        <v>497332853.71355861</v>
      </c>
      <c r="F23" s="251"/>
      <c r="G23" s="252">
        <f t="shared" si="2"/>
        <v>497332853.71355861</v>
      </c>
    </row>
    <row r="24" spans="2:15">
      <c r="B24" s="249" t="s">
        <v>224</v>
      </c>
      <c r="C24" s="245"/>
      <c r="D24" s="245"/>
      <c r="E24" s="251"/>
      <c r="F24" s="251">
        <f>+C5-(C5*Depreciation!K18/2)+'Func Results 2018'!F24*(1-Depreciation!K18)</f>
        <v>1280736176.6587937</v>
      </c>
      <c r="G24" s="252">
        <f>+SUM(F24)</f>
        <v>1280736176.6587937</v>
      </c>
    </row>
    <row r="25" spans="2:15">
      <c r="B25" s="260" t="s">
        <v>48</v>
      </c>
      <c r="C25" s="260">
        <f>+SUM(C19:C24)</f>
        <v>2962592471.7475057</v>
      </c>
      <c r="D25" s="260">
        <f t="shared" ref="D25:G25" si="3">+SUM(D19:D24)</f>
        <v>2095205696.7370999</v>
      </c>
      <c r="E25" s="260">
        <f t="shared" si="3"/>
        <v>2177447637.404233</v>
      </c>
      <c r="F25" s="260">
        <f t="shared" si="3"/>
        <v>1280736176.6587937</v>
      </c>
      <c r="G25" s="260">
        <f t="shared" si="3"/>
        <v>8515981982.5476313</v>
      </c>
    </row>
    <row r="26" spans="2:15">
      <c r="B26" s="4"/>
    </row>
    <row r="27" spans="2:15">
      <c r="B27" s="777" t="s">
        <v>173</v>
      </c>
    </row>
    <row r="28" spans="2:15">
      <c r="B28" s="4"/>
      <c r="C28" s="4" t="s">
        <v>33</v>
      </c>
    </row>
    <row r="29" spans="2:15">
      <c r="B29" s="4"/>
      <c r="C29" s="779" t="s">
        <v>30</v>
      </c>
      <c r="D29" s="779" t="s">
        <v>31</v>
      </c>
      <c r="E29" s="779" t="s">
        <v>75</v>
      </c>
      <c r="F29" s="779" t="s">
        <v>50</v>
      </c>
      <c r="G29" s="242"/>
      <c r="H29" s="261"/>
      <c r="I29" s="261"/>
      <c r="J29" s="242"/>
      <c r="K29" s="261"/>
      <c r="L29" s="261"/>
      <c r="M29" s="261"/>
      <c r="N29" s="261"/>
      <c r="O29" s="242"/>
    </row>
    <row r="30" spans="2:15">
      <c r="B30" s="4"/>
      <c r="C30" s="262" t="s">
        <v>4</v>
      </c>
      <c r="D30" s="263">
        <f t="shared" ref="D30:F31" si="4">C19/SUM($C19:$E19)</f>
        <v>0.49639904723176637</v>
      </c>
      <c r="E30" s="263">
        <f t="shared" si="4"/>
        <v>0.23920718011393652</v>
      </c>
      <c r="F30" s="263">
        <f t="shared" si="4"/>
        <v>0.26439377265429709</v>
      </c>
      <c r="G30" s="261"/>
      <c r="H30" s="261"/>
      <c r="I30" s="261"/>
      <c r="J30" s="261"/>
      <c r="K30" s="261"/>
      <c r="L30" s="261"/>
      <c r="M30" s="261"/>
      <c r="N30" s="261"/>
      <c r="O30" s="261"/>
    </row>
    <row r="31" spans="2:15">
      <c r="B31" s="4"/>
      <c r="C31" s="262" t="s">
        <v>32</v>
      </c>
      <c r="D31" s="263">
        <f t="shared" si="4"/>
        <v>0.37155851828614439</v>
      </c>
      <c r="E31" s="263">
        <f t="shared" si="4"/>
        <v>0.4168231672855211</v>
      </c>
      <c r="F31" s="263">
        <f t="shared" si="4"/>
        <v>0.21161831442833456</v>
      </c>
      <c r="G31" s="261"/>
      <c r="H31" s="261"/>
      <c r="I31" s="261"/>
      <c r="J31" s="261"/>
      <c r="K31" s="261"/>
      <c r="L31" s="261"/>
      <c r="M31" s="261"/>
      <c r="N31" s="261"/>
      <c r="O31" s="261"/>
    </row>
    <row r="32" spans="2:15">
      <c r="B32" s="4"/>
      <c r="C32" s="262" t="s">
        <v>64</v>
      </c>
      <c r="D32" s="263">
        <f t="shared" ref="D32:F33" si="5">C21/SUM($C21:$E21)</f>
        <v>0</v>
      </c>
      <c r="E32" s="263">
        <f t="shared" si="5"/>
        <v>0.37185734533136772</v>
      </c>
      <c r="F32" s="263">
        <f t="shared" si="5"/>
        <v>0.62814265466863239</v>
      </c>
      <c r="G32" s="261"/>
      <c r="H32" s="261"/>
      <c r="I32" s="261"/>
      <c r="J32" s="261"/>
      <c r="K32" s="261"/>
      <c r="L32" s="261"/>
      <c r="M32" s="261"/>
      <c r="N32" s="261"/>
      <c r="O32" s="261"/>
    </row>
    <row r="33" spans="1:15">
      <c r="B33" s="4"/>
      <c r="C33" s="262" t="s">
        <v>38</v>
      </c>
      <c r="D33" s="263">
        <f t="shared" si="5"/>
        <v>0.77071582909258052</v>
      </c>
      <c r="E33" s="263">
        <f t="shared" si="5"/>
        <v>5.4189885856669132E-2</v>
      </c>
      <c r="F33" s="263">
        <f t="shared" si="5"/>
        <v>0.17509428505075036</v>
      </c>
      <c r="G33" s="261"/>
      <c r="H33" s="261"/>
      <c r="I33" s="261"/>
      <c r="J33" s="261"/>
      <c r="K33" s="261"/>
      <c r="L33" s="261"/>
      <c r="M33" s="261"/>
      <c r="N33" s="261"/>
      <c r="O33" s="261"/>
    </row>
    <row r="34" spans="1:15">
      <c r="B34" s="4"/>
      <c r="C34" s="264" t="s">
        <v>76</v>
      </c>
      <c r="D34" s="265">
        <f t="shared" ref="D34:F34" si="6">C25/SUM($C25:$E25)</f>
        <v>0.40946673426578295</v>
      </c>
      <c r="E34" s="265">
        <f t="shared" si="6"/>
        <v>0.28958320877388727</v>
      </c>
      <c r="F34" s="265">
        <f t="shared" si="6"/>
        <v>0.30095005696032973</v>
      </c>
      <c r="G34" s="261"/>
      <c r="H34" s="261"/>
      <c r="I34" s="261"/>
      <c r="J34" s="261"/>
      <c r="K34" s="261"/>
      <c r="L34" s="261"/>
      <c r="M34" s="261"/>
      <c r="N34" s="261"/>
      <c r="O34" s="261"/>
    </row>
    <row r="35" spans="1:15">
      <c r="B35" s="4"/>
      <c r="G35" s="261"/>
      <c r="H35" s="266"/>
      <c r="I35" s="266"/>
      <c r="J35" s="266"/>
      <c r="K35" s="261"/>
      <c r="L35" s="261"/>
      <c r="M35" s="261"/>
      <c r="N35" s="261"/>
      <c r="O35" s="261"/>
    </row>
    <row r="36" spans="1:15">
      <c r="B36" s="4"/>
      <c r="C36" s="4" t="s">
        <v>173</v>
      </c>
      <c r="G36" s="261"/>
      <c r="H36" s="266"/>
      <c r="I36" s="266"/>
      <c r="J36" s="266"/>
      <c r="K36" s="261"/>
      <c r="L36" s="261"/>
      <c r="M36" s="261"/>
      <c r="N36" s="261"/>
      <c r="O36" s="261"/>
    </row>
    <row r="37" spans="1:15">
      <c r="B37" s="4"/>
      <c r="C37" s="779" t="s">
        <v>65</v>
      </c>
      <c r="D37" s="779" t="s">
        <v>31</v>
      </c>
      <c r="E37" s="779" t="s">
        <v>75</v>
      </c>
      <c r="F37" s="779" t="s">
        <v>50</v>
      </c>
      <c r="G37" s="261"/>
      <c r="H37" s="266"/>
      <c r="I37" s="266"/>
      <c r="J37" s="266"/>
      <c r="K37" s="261"/>
      <c r="L37" s="261"/>
      <c r="M37" s="261"/>
      <c r="N37" s="261"/>
      <c r="O37" s="261"/>
    </row>
    <row r="38" spans="1:15">
      <c r="B38" s="4"/>
      <c r="C38" s="262" t="s">
        <v>47</v>
      </c>
      <c r="D38" s="263">
        <f>D34</f>
        <v>0.40946673426578295</v>
      </c>
      <c r="E38" s="263">
        <f>E34</f>
        <v>0.28958320877388727</v>
      </c>
      <c r="F38" s="263">
        <f>F34</f>
        <v>0.30095005696032973</v>
      </c>
      <c r="G38" s="261"/>
      <c r="H38" s="266"/>
      <c r="I38" s="266"/>
      <c r="J38" s="266"/>
      <c r="K38" s="261"/>
      <c r="L38" s="261"/>
      <c r="M38" s="261"/>
      <c r="N38" s="261"/>
      <c r="O38" s="261"/>
    </row>
    <row r="39" spans="1:15">
      <c r="B39" s="4"/>
      <c r="G39" s="261"/>
      <c r="H39" s="266"/>
      <c r="I39" s="266"/>
      <c r="J39" s="266"/>
      <c r="K39" s="261"/>
      <c r="L39" s="261"/>
      <c r="M39" s="261"/>
      <c r="N39" s="261"/>
      <c r="O39" s="261"/>
    </row>
    <row r="40" spans="1:15">
      <c r="B40" s="4"/>
      <c r="C40" s="4" t="s">
        <v>181</v>
      </c>
    </row>
    <row r="41" spans="1:15">
      <c r="B41" s="4"/>
      <c r="C41" s="779" t="s">
        <v>65</v>
      </c>
      <c r="D41" s="779" t="s">
        <v>31</v>
      </c>
      <c r="E41" s="779" t="s">
        <v>75</v>
      </c>
      <c r="F41" s="779" t="s">
        <v>50</v>
      </c>
    </row>
    <row r="42" spans="1:15">
      <c r="B42" s="4"/>
      <c r="C42" s="262" t="s">
        <v>47</v>
      </c>
      <c r="D42" s="267">
        <f>+D38*$G$25</f>
        <v>3487011331.4600263</v>
      </c>
      <c r="E42" s="267">
        <f>+E38*$G$25</f>
        <v>2466085388.3667531</v>
      </c>
      <c r="F42" s="267">
        <f>+F38*$G$25</f>
        <v>2562885262.7208514</v>
      </c>
    </row>
    <row r="44" spans="1:15">
      <c r="A44" s="776" t="s">
        <v>175</v>
      </c>
    </row>
    <row r="45" spans="1:15">
      <c r="A45" s="776"/>
      <c r="B45" s="243" t="s">
        <v>178</v>
      </c>
    </row>
    <row r="46" spans="1:15">
      <c r="C46" s="77" t="s">
        <v>211</v>
      </c>
      <c r="D46" s="268"/>
      <c r="E46" s="268"/>
      <c r="F46" s="268"/>
    </row>
    <row r="47" spans="1:15">
      <c r="C47" s="779" t="s">
        <v>65</v>
      </c>
      <c r="D47" s="779" t="s">
        <v>31</v>
      </c>
      <c r="E47" s="779" t="s">
        <v>75</v>
      </c>
      <c r="F47" s="779" t="s">
        <v>50</v>
      </c>
    </row>
    <row r="48" spans="1:15">
      <c r="C48" s="262" t="s">
        <v>47</v>
      </c>
      <c r="D48" s="269">
        <f>'Func Future Lines 2019'!V4</f>
        <v>4190249490.1499691</v>
      </c>
      <c r="E48" s="269">
        <f>'Func Future Lines 2019'!W4</f>
        <v>708339764.37101686</v>
      </c>
      <c r="F48" s="269">
        <f>'Func Future Lines 2019'!U12</f>
        <v>0</v>
      </c>
    </row>
    <row r="49" spans="1:6">
      <c r="B49" s="4"/>
      <c r="C49" s="262"/>
      <c r="D49" s="270"/>
      <c r="E49" s="270"/>
      <c r="F49" s="270"/>
    </row>
    <row r="50" spans="1:6">
      <c r="B50" s="4"/>
      <c r="C50" s="77" t="s">
        <v>210</v>
      </c>
      <c r="D50" s="268"/>
      <c r="E50" s="268"/>
      <c r="F50" s="268"/>
    </row>
    <row r="51" spans="1:6">
      <c r="B51" s="4"/>
      <c r="C51" s="779" t="s">
        <v>65</v>
      </c>
      <c r="D51" s="779" t="s">
        <v>31</v>
      </c>
      <c r="E51" s="779" t="s">
        <v>75</v>
      </c>
      <c r="F51" s="779" t="s">
        <v>50</v>
      </c>
    </row>
    <row r="52" spans="1:6">
      <c r="B52" s="4"/>
      <c r="C52" s="262" t="s">
        <v>47</v>
      </c>
      <c r="D52" s="263">
        <f>'Func Future Lines 2019'!V5</f>
        <v>0.85539923280620467</v>
      </c>
      <c r="E52" s="263">
        <f>'Func Future Lines 2019'!W5</f>
        <v>0.14460076719379542</v>
      </c>
      <c r="F52" s="263">
        <v>0</v>
      </c>
    </row>
    <row r="53" spans="1:6">
      <c r="B53" s="4"/>
      <c r="C53" s="262"/>
      <c r="D53" s="270"/>
      <c r="E53" s="270"/>
      <c r="F53" s="270"/>
    </row>
    <row r="54" spans="1:6">
      <c r="B54" s="4"/>
      <c r="C54" s="77" t="s">
        <v>212</v>
      </c>
      <c r="D54" s="268"/>
      <c r="E54" s="268"/>
      <c r="F54" s="268"/>
    </row>
    <row r="55" spans="1:6">
      <c r="B55" s="4"/>
      <c r="C55" s="788" t="s">
        <v>65</v>
      </c>
      <c r="D55" s="779" t="s">
        <v>31</v>
      </c>
      <c r="E55" s="779" t="s">
        <v>75</v>
      </c>
      <c r="F55" s="779" t="s">
        <v>50</v>
      </c>
    </row>
    <row r="56" spans="1:6">
      <c r="B56" s="4"/>
      <c r="C56" s="262" t="s">
        <v>47</v>
      </c>
      <c r="D56" s="269">
        <f>'Func Future Subs 2019'!AB10</f>
        <v>1574032270.5346384</v>
      </c>
      <c r="E56" s="269">
        <f>'Func Future Subs 2019'!AC10</f>
        <v>674890356.05578959</v>
      </c>
      <c r="F56" s="269">
        <f>'Func Future Subs 2019'!AD10</f>
        <v>740129670.73686945</v>
      </c>
    </row>
    <row r="57" spans="1:6">
      <c r="B57" s="4"/>
      <c r="C57" s="262"/>
      <c r="D57" s="270"/>
      <c r="E57" s="270"/>
      <c r="F57" s="270"/>
    </row>
    <row r="58" spans="1:6">
      <c r="B58" s="4"/>
      <c r="C58" s="77" t="s">
        <v>213</v>
      </c>
      <c r="D58" s="268"/>
      <c r="E58" s="268"/>
      <c r="F58" s="268"/>
    </row>
    <row r="59" spans="1:6">
      <c r="B59" s="4"/>
      <c r="C59" s="788" t="s">
        <v>65</v>
      </c>
      <c r="D59" s="779" t="s">
        <v>31</v>
      </c>
      <c r="E59" s="779" t="s">
        <v>75</v>
      </c>
      <c r="F59" s="779" t="s">
        <v>50</v>
      </c>
    </row>
    <row r="60" spans="1:6">
      <c r="B60" s="4"/>
      <c r="C60" s="262" t="s">
        <v>47</v>
      </c>
      <c r="D60" s="270">
        <f>'Func Future Subs 2019'!AB4</f>
        <v>0.52659910699524426</v>
      </c>
      <c r="E60" s="270">
        <f>'Func Future Subs 2019'!AC4</f>
        <v>0.22578740313752693</v>
      </c>
      <c r="F60" s="270">
        <f>'Func Future Subs 2019'!AD4</f>
        <v>0.2476134898672287</v>
      </c>
    </row>
    <row r="62" spans="1:6">
      <c r="A62" s="776" t="s">
        <v>182</v>
      </c>
    </row>
    <row r="63" spans="1:6">
      <c r="B63" s="4" t="s">
        <v>183</v>
      </c>
    </row>
    <row r="64" spans="1:6">
      <c r="C64" s="779" t="s">
        <v>65</v>
      </c>
      <c r="D64" s="779" t="s">
        <v>31</v>
      </c>
      <c r="E64" s="779" t="s">
        <v>75</v>
      </c>
      <c r="F64" s="779" t="s">
        <v>50</v>
      </c>
    </row>
    <row r="65" spans="1:8">
      <c r="C65" s="262" t="s">
        <v>47</v>
      </c>
      <c r="D65" s="267">
        <f>D42+D48+D56</f>
        <v>9251293092.1446342</v>
      </c>
      <c r="E65" s="267">
        <f t="shared" ref="E65:F65" si="7">E42+E48+E56</f>
        <v>3849315508.7935596</v>
      </c>
      <c r="F65" s="267">
        <f t="shared" si="7"/>
        <v>3303014933.4577208</v>
      </c>
    </row>
    <row r="67" spans="1:8">
      <c r="B67" s="243" t="s">
        <v>177</v>
      </c>
    </row>
    <row r="68" spans="1:8">
      <c r="C68" s="779" t="s">
        <v>65</v>
      </c>
      <c r="D68" s="779" t="s">
        <v>31</v>
      </c>
      <c r="E68" s="779" t="s">
        <v>75</v>
      </c>
      <c r="F68" s="779" t="s">
        <v>50</v>
      </c>
    </row>
    <row r="69" spans="1:8">
      <c r="C69" s="262" t="s">
        <v>47</v>
      </c>
      <c r="D69" s="263">
        <f>+D65/SUM($D65:$F65)</f>
        <v>0.56397862781635244</v>
      </c>
      <c r="E69" s="263">
        <f>+E65/SUM($D65:$F65)</f>
        <v>0.23466251226274046</v>
      </c>
      <c r="F69" s="263">
        <f>+F65/SUM($D65:$F65)</f>
        <v>0.20135885992090702</v>
      </c>
      <c r="H69" s="271"/>
    </row>
    <row r="71" spans="1:8">
      <c r="A71" s="776" t="s">
        <v>235</v>
      </c>
    </row>
    <row r="72" spans="1:8">
      <c r="B72" s="243" t="s">
        <v>236</v>
      </c>
    </row>
    <row r="73" spans="1:8">
      <c r="C73" s="272" t="s">
        <v>231</v>
      </c>
      <c r="D73" s="273">
        <v>2019</v>
      </c>
    </row>
    <row r="74" spans="1:8">
      <c r="C74" s="274" t="s">
        <v>232</v>
      </c>
      <c r="D74" s="275">
        <f>'Sum 1.0'!L28</f>
        <v>0.17114953965244431</v>
      </c>
    </row>
    <row r="75" spans="1:8">
      <c r="C75" s="274" t="s">
        <v>233</v>
      </c>
      <c r="D75" s="275">
        <f>1-D74</f>
        <v>0.82885046034755572</v>
      </c>
    </row>
    <row r="76" spans="1:8">
      <c r="C76" s="276"/>
    </row>
    <row r="77" spans="1:8">
      <c r="B77" s="243" t="s">
        <v>237</v>
      </c>
      <c r="C77" s="276"/>
    </row>
    <row r="78" spans="1:8">
      <c r="C78" s="277" t="s">
        <v>241</v>
      </c>
      <c r="D78" s="278" t="s">
        <v>31</v>
      </c>
      <c r="E78" s="278" t="s">
        <v>75</v>
      </c>
      <c r="F78" s="278" t="s">
        <v>50</v>
      </c>
    </row>
    <row r="79" spans="1:8">
      <c r="C79" s="602" t="s">
        <v>86</v>
      </c>
      <c r="D79" s="280">
        <f>'Sum 3.0'!L58</f>
        <v>0.23239634499808481</v>
      </c>
      <c r="E79" s="280">
        <f>'Sum 3.0'!L59</f>
        <v>0.3574181071569047</v>
      </c>
      <c r="F79" s="280">
        <f>'Sum 3.0'!L60</f>
        <v>0.41018554784501227</v>
      </c>
    </row>
    <row r="81" spans="1:6">
      <c r="B81" s="243" t="s">
        <v>238</v>
      </c>
    </row>
    <row r="83" spans="1:6">
      <c r="C83" s="779" t="s">
        <v>2093</v>
      </c>
      <c r="D83" s="779" t="s">
        <v>31</v>
      </c>
      <c r="E83" s="779" t="s">
        <v>75</v>
      </c>
      <c r="F83" s="779" t="s">
        <v>50</v>
      </c>
    </row>
    <row r="84" spans="1:6">
      <c r="C84" s="262" t="s">
        <v>86</v>
      </c>
      <c r="D84" s="263">
        <f>+D69*$D$75+D$79*$D$74</f>
        <v>0.50722847275509941</v>
      </c>
      <c r="E84" s="263">
        <f>+E69*$D$75+E$79*$D$74</f>
        <v>0.2556720758186386</v>
      </c>
      <c r="F84" s="263">
        <f>+F69*$D$75+F$79*$D$74</f>
        <v>0.23709945142626232</v>
      </c>
    </row>
    <row r="86" spans="1:6">
      <c r="A86" s="776" t="s">
        <v>234</v>
      </c>
    </row>
    <row r="87" spans="1:6">
      <c r="B87" s="243" t="s">
        <v>230</v>
      </c>
      <c r="C87" s="281">
        <v>2163.9551874362955</v>
      </c>
      <c r="D87" s="759" t="s">
        <v>2019</v>
      </c>
    </row>
    <row r="89" spans="1:6">
      <c r="B89" s="243" t="s">
        <v>697</v>
      </c>
    </row>
    <row r="90" spans="1:6">
      <c r="C90" s="779" t="s">
        <v>2093</v>
      </c>
      <c r="D90" s="779" t="s">
        <v>31</v>
      </c>
      <c r="E90" s="779" t="s">
        <v>75</v>
      </c>
      <c r="F90" s="779" t="s">
        <v>50</v>
      </c>
    </row>
    <row r="91" spans="1:6" ht="14.4" customHeight="1">
      <c r="C91" s="262" t="s">
        <v>2095</v>
      </c>
      <c r="D91" s="267">
        <f>D84*$C$87</f>
        <v>1097.619684833787</v>
      </c>
      <c r="E91" s="267">
        <f>E84*$C$87</f>
        <v>553.26291475034884</v>
      </c>
      <c r="F91" s="267">
        <f>F84*$C$87</f>
        <v>513.07258785216038</v>
      </c>
    </row>
    <row r="93" spans="1:6">
      <c r="B93" s="243" t="s">
        <v>698</v>
      </c>
      <c r="C93" s="283">
        <v>2.6316000000000122</v>
      </c>
      <c r="D93" s="759" t="s">
        <v>2021</v>
      </c>
    </row>
    <row r="94" spans="1:6">
      <c r="B94" s="243" t="s">
        <v>2018</v>
      </c>
      <c r="C94" s="283">
        <v>96.370438973020839</v>
      </c>
      <c r="D94" s="759" t="s">
        <v>2019</v>
      </c>
    </row>
    <row r="96" spans="1:6">
      <c r="B96" s="243" t="s">
        <v>695</v>
      </c>
    </row>
    <row r="97" spans="2:6">
      <c r="C97" s="779" t="s">
        <v>2093</v>
      </c>
      <c r="D97" s="779" t="s">
        <v>31</v>
      </c>
      <c r="E97" s="779" t="s">
        <v>75</v>
      </c>
      <c r="F97" s="779" t="s">
        <v>50</v>
      </c>
    </row>
    <row r="98" spans="2:6">
      <c r="C98" s="262" t="s">
        <v>2095</v>
      </c>
      <c r="D98" s="267">
        <f>D91-$C$93+$C$94</f>
        <v>1191.3585238068079</v>
      </c>
      <c r="E98" s="267">
        <f>E91</f>
        <v>553.26291475034884</v>
      </c>
      <c r="F98" s="267">
        <f>F91</f>
        <v>513.07258785216038</v>
      </c>
    </row>
    <row r="100" spans="2:6">
      <c r="B100" s="243" t="s">
        <v>696</v>
      </c>
    </row>
    <row r="101" spans="2:6">
      <c r="C101" s="779" t="s">
        <v>2093</v>
      </c>
      <c r="D101" s="779" t="s">
        <v>31</v>
      </c>
      <c r="E101" s="779" t="s">
        <v>75</v>
      </c>
      <c r="F101" s="779" t="s">
        <v>50</v>
      </c>
    </row>
    <row r="102" spans="2:6">
      <c r="C102" s="262" t="s">
        <v>86</v>
      </c>
      <c r="D102" s="263">
        <f>D98/SUM($D98:$F98)</f>
        <v>0.52768821189714932</v>
      </c>
      <c r="E102" s="263">
        <f>E98/SUM($D98:$F98)</f>
        <v>0.24505664110307701</v>
      </c>
      <c r="F102" s="263">
        <f>F98/SUM($D98:$F98)</f>
        <v>0.22725514699977375</v>
      </c>
    </row>
  </sheetData>
  <mergeCells count="5">
    <mergeCell ref="C8:E8"/>
    <mergeCell ref="O8:S8"/>
    <mergeCell ref="C16:E16"/>
    <mergeCell ref="C17:E17"/>
    <mergeCell ref="G8:L8"/>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02"/>
  <sheetViews>
    <sheetView showGridLines="0" zoomScale="80" zoomScaleNormal="80" workbookViewId="0">
      <selection activeCell="L1" sqref="A1:L102"/>
    </sheetView>
  </sheetViews>
  <sheetFormatPr defaultColWidth="9.109375" defaultRowHeight="13.8"/>
  <cols>
    <col min="1" max="1" width="9.109375" style="4"/>
    <col min="2" max="2" width="47.6640625" style="243" customWidth="1"/>
    <col min="3" max="3" width="18.6640625" style="4" customWidth="1"/>
    <col min="4" max="4" width="22.44140625" style="4" customWidth="1"/>
    <col min="5" max="7" width="18" style="4" bestFit="1" customWidth="1"/>
    <col min="8" max="8" width="5.88671875" style="4" bestFit="1" customWidth="1"/>
    <col min="9" max="12" width="5" style="4" bestFit="1" customWidth="1"/>
    <col min="13" max="13" width="21" style="4" customWidth="1"/>
    <col min="14" max="14" width="21.6640625" style="4" customWidth="1"/>
    <col min="15" max="19" width="23" style="4" bestFit="1" customWidth="1"/>
    <col min="20" max="21" width="21.88671875" style="4" bestFit="1" customWidth="1"/>
    <col min="22" max="25" width="23" style="4" bestFit="1" customWidth="1"/>
    <col min="26" max="16384" width="9.109375" style="4"/>
  </cols>
  <sheetData>
    <row r="1" spans="1:22">
      <c r="A1" s="776" t="s">
        <v>168</v>
      </c>
    </row>
    <row r="2" spans="1:22">
      <c r="A2" s="776"/>
      <c r="B2" s="244" t="s">
        <v>227</v>
      </c>
    </row>
    <row r="3" spans="1:22">
      <c r="A3" s="776"/>
      <c r="B3" s="4"/>
      <c r="C3" s="758" t="s">
        <v>52</v>
      </c>
      <c r="D3" s="4" t="s">
        <v>226</v>
      </c>
    </row>
    <row r="4" spans="1:22">
      <c r="A4" s="776"/>
      <c r="B4" s="245" t="s">
        <v>223</v>
      </c>
      <c r="C4" s="486">
        <f>'Func Results 2019'!C4</f>
        <v>113143168.8</v>
      </c>
      <c r="D4" s="4" t="s">
        <v>2073</v>
      </c>
    </row>
    <row r="5" spans="1:22">
      <c r="A5" s="776"/>
      <c r="B5" s="245" t="s">
        <v>224</v>
      </c>
      <c r="C5" s="486">
        <f>'Func Results 2015'!C5</f>
        <v>275824546.27868605</v>
      </c>
      <c r="D5" s="4" t="s">
        <v>225</v>
      </c>
    </row>
    <row r="6" spans="1:22">
      <c r="A6" s="776"/>
    </row>
    <row r="7" spans="1:22">
      <c r="B7" s="244" t="s">
        <v>2080</v>
      </c>
      <c r="O7" s="11"/>
      <c r="P7" s="11"/>
      <c r="Q7" s="11"/>
      <c r="R7" s="11"/>
      <c r="S7" s="11"/>
      <c r="T7" s="11"/>
      <c r="U7" s="11"/>
      <c r="V7" s="11"/>
    </row>
    <row r="8" spans="1:22">
      <c r="C8" s="997" t="s">
        <v>169</v>
      </c>
      <c r="D8" s="997"/>
      <c r="E8" s="997"/>
      <c r="G8" s="1023" t="s">
        <v>2072</v>
      </c>
      <c r="H8" s="1023"/>
      <c r="I8" s="1023"/>
      <c r="J8" s="1023"/>
      <c r="K8" s="1023"/>
      <c r="L8" s="1023"/>
      <c r="M8" s="456"/>
      <c r="O8" s="1020"/>
      <c r="P8" s="1020"/>
      <c r="Q8" s="1020"/>
      <c r="R8" s="1020"/>
      <c r="S8" s="1020"/>
      <c r="T8" s="11"/>
      <c r="U8" s="11"/>
      <c r="V8" s="11"/>
    </row>
    <row r="9" spans="1:22">
      <c r="C9" s="246" t="s">
        <v>170</v>
      </c>
      <c r="D9" s="246" t="s">
        <v>74</v>
      </c>
      <c r="E9" s="246" t="s">
        <v>50</v>
      </c>
      <c r="G9" s="247">
        <v>2015</v>
      </c>
      <c r="H9" s="247">
        <v>2016</v>
      </c>
      <c r="I9" s="247">
        <v>2017</v>
      </c>
      <c r="J9" s="247">
        <v>2018</v>
      </c>
      <c r="K9" s="247">
        <v>2019</v>
      </c>
      <c r="L9" s="247">
        <v>2020</v>
      </c>
      <c r="N9" s="11"/>
      <c r="O9" s="248"/>
      <c r="P9" s="248"/>
      <c r="Q9" s="248"/>
      <c r="R9" s="248"/>
      <c r="S9" s="248"/>
      <c r="T9" s="248"/>
      <c r="U9" s="248"/>
    </row>
    <row r="10" spans="1:22">
      <c r="B10" s="249" t="s">
        <v>34</v>
      </c>
      <c r="C10" s="250">
        <f>'Func AL Subs'!Z12/L10*L10</f>
        <v>273273958.33764434</v>
      </c>
      <c r="D10" s="251">
        <f>'Func AL Subs'!AA12/L10*L10</f>
        <v>413404551.97438008</v>
      </c>
      <c r="E10" s="251">
        <f>'Func AL Subs'!AB12/L10*L10</f>
        <v>683277369.84877658</v>
      </c>
      <c r="G10" s="212">
        <f>+'Func AL Subs'!H3</f>
        <v>0.96533000000000002</v>
      </c>
      <c r="H10" s="212">
        <f>+'Func AL Subs'!I3</f>
        <v>0.93093529209999992</v>
      </c>
      <c r="I10" s="212">
        <f>+'Func AL Subs'!J3</f>
        <v>0.89885827756423553</v>
      </c>
      <c r="J10" s="212">
        <f>+'Func AL Subs'!K3</f>
        <v>0.86880577929116165</v>
      </c>
      <c r="K10" s="212">
        <f>+'Func AL Subs'!L3</f>
        <v>0.83975805860649744</v>
      </c>
      <c r="L10" s="212">
        <f>+'Func AL Subs'!M3</f>
        <v>0.81168152169740926</v>
      </c>
      <c r="N10" s="11"/>
      <c r="O10" s="11"/>
      <c r="P10" s="11"/>
      <c r="Q10" s="11"/>
      <c r="R10" s="11"/>
      <c r="S10" s="11"/>
      <c r="T10" s="11"/>
      <c r="U10" s="11"/>
    </row>
    <row r="11" spans="1:22">
      <c r="B11" s="249" t="s">
        <v>35</v>
      </c>
      <c r="C11" s="251">
        <f>('Func AL Lines'!V13)/L11*L11</f>
        <v>1287853001.7315488</v>
      </c>
      <c r="D11" s="251">
        <f>('Func AL Lines'!W13)/L11*L11</f>
        <v>338075106.86633283</v>
      </c>
      <c r="E11" s="251">
        <f>'Func AL Lines'!X13/L11*L11</f>
        <v>146681269.00310713</v>
      </c>
      <c r="G11" s="212">
        <f>+'Func AL Lines'!I3</f>
        <v>0.97291408520456379</v>
      </c>
      <c r="H11" s="212">
        <f>+'Func AL Lines'!J3</f>
        <v>0.94528775683694444</v>
      </c>
      <c r="I11" s="212">
        <f>+'Func AL Lines'!K3</f>
        <v>0.91513268407767112</v>
      </c>
      <c r="J11" s="212">
        <f>+'Func AL Lines'!L3</f>
        <v>0.88705974104899432</v>
      </c>
      <c r="K11" s="212">
        <f>+'Func AL Lines'!M3</f>
        <v>0.85984797383012446</v>
      </c>
      <c r="L11" s="212">
        <f>+'Func AL Lines'!N3</f>
        <v>0.83347096467873072</v>
      </c>
      <c r="N11" s="11"/>
      <c r="O11" s="11"/>
      <c r="P11" s="11"/>
      <c r="Q11" s="11"/>
      <c r="R11" s="11"/>
      <c r="S11" s="11"/>
      <c r="T11" s="11"/>
      <c r="U11" s="11"/>
    </row>
    <row r="12" spans="1:22">
      <c r="B12" s="249" t="s">
        <v>36</v>
      </c>
      <c r="C12" s="252">
        <f>+'Func ATCO Subs'!X15/L12*L12</f>
        <v>112989947.97798456</v>
      </c>
      <c r="D12" s="252">
        <f>+'Func ATCO Subs'!Y15/L12*L12</f>
        <v>617211516.32592082</v>
      </c>
      <c r="E12" s="252">
        <f>+'Func ATCO Subs'!Z15/L12*L12</f>
        <v>468247136.86094731</v>
      </c>
      <c r="G12" s="212">
        <f>+'Func ATCO Subs'!F3</f>
        <v>0.97556592632866179</v>
      </c>
      <c r="H12" s="212">
        <f>+'Func ATCO Subs'!G3</f>
        <v>0.95153534693782615</v>
      </c>
      <c r="I12" s="212">
        <f>+'Func ATCO Subs'!H3</f>
        <v>0.9283639992745315</v>
      </c>
      <c r="J12" s="212">
        <f>+'Func ATCO Subs'!I3</f>
        <v>0.90575690952794075</v>
      </c>
      <c r="K12" s="212">
        <f>+'Func ATCO Subs'!J3</f>
        <v>0.88370033715084062</v>
      </c>
      <c r="L12" s="212">
        <f>+'Func ATCO Subs'!K3</f>
        <v>0.86218087619945383</v>
      </c>
      <c r="N12" s="11"/>
      <c r="O12" s="11"/>
      <c r="P12" s="11"/>
      <c r="Q12" s="11"/>
      <c r="R12" s="11"/>
      <c r="S12" s="11"/>
      <c r="T12" s="11"/>
      <c r="U12" s="11"/>
    </row>
    <row r="13" spans="1:22">
      <c r="B13" s="249" t="s">
        <v>39</v>
      </c>
      <c r="C13" s="252">
        <f>+'Func ATCO Lines'!T16/L13*L13</f>
        <v>943528574.73830163</v>
      </c>
      <c r="D13" s="252">
        <f>+'Func ATCO Lines'!U16/L13*L13</f>
        <v>567840353.85885346</v>
      </c>
      <c r="E13" s="252">
        <f>+'Func ATCO Lines'!V16/L13*L13</f>
        <v>133340229.41456838</v>
      </c>
      <c r="G13" s="212">
        <f>+'Func ATCO Lines'!F3</f>
        <v>0.97521794281816965</v>
      </c>
      <c r="H13" s="212">
        <f>+'Func ATCO Lines'!G3</f>
        <v>0.95186746118817056</v>
      </c>
      <c r="I13" s="212">
        <f>+'Func ATCO Lines'!H3</f>
        <v>0.92902070228339195</v>
      </c>
      <c r="J13" s="212">
        <f>+'Func ATCO Lines'!I3</f>
        <v>0.90672231215235166</v>
      </c>
      <c r="K13" s="212">
        <f>+'Func ATCO Lines'!J3</f>
        <v>0.88495912882694439</v>
      </c>
      <c r="L13" s="212">
        <f>+'Func ATCO Lines'!K3</f>
        <v>0.86371830625312263</v>
      </c>
      <c r="N13" s="11"/>
      <c r="O13" s="11"/>
      <c r="P13" s="11"/>
      <c r="Q13" s="11"/>
      <c r="R13" s="11"/>
      <c r="S13" s="11"/>
      <c r="T13" s="11"/>
      <c r="U13" s="11"/>
    </row>
    <row r="14" spans="1:22">
      <c r="O14" s="11"/>
      <c r="P14" s="11"/>
      <c r="Q14" s="11"/>
      <c r="R14" s="11"/>
      <c r="S14" s="11"/>
      <c r="T14" s="11"/>
      <c r="U14" s="11"/>
      <c r="V14" s="11"/>
    </row>
    <row r="15" spans="1:22">
      <c r="B15" s="244" t="s">
        <v>2081</v>
      </c>
    </row>
    <row r="16" spans="1:22">
      <c r="B16" s="244"/>
      <c r="C16" s="1021" t="s">
        <v>67</v>
      </c>
      <c r="D16" s="1021"/>
      <c r="E16" s="1021"/>
      <c r="F16" s="253" t="s">
        <v>172</v>
      </c>
      <c r="G16" s="254" t="s">
        <v>174</v>
      </c>
    </row>
    <row r="17" spans="2:15" s="786" customFormat="1">
      <c r="B17" s="255"/>
      <c r="C17" s="997" t="s">
        <v>169</v>
      </c>
      <c r="D17" s="997"/>
      <c r="E17" s="997"/>
      <c r="F17" s="256"/>
      <c r="G17" s="257"/>
    </row>
    <row r="18" spans="2:15" ht="13.5" customHeight="1">
      <c r="C18" s="258" t="s">
        <v>170</v>
      </c>
      <c r="D18" s="258" t="s">
        <v>74</v>
      </c>
      <c r="E18" s="258" t="s">
        <v>50</v>
      </c>
      <c r="F18" s="256"/>
      <c r="G18" s="259"/>
    </row>
    <row r="19" spans="2:15">
      <c r="B19" s="251" t="s">
        <v>4</v>
      </c>
      <c r="C19" s="251">
        <f>+SUM(C10:C11)</f>
        <v>1561126960.0691931</v>
      </c>
      <c r="D19" s="251">
        <f t="shared" ref="D19:E19" si="0">+SUM(D10:D11)</f>
        <v>751479658.8407129</v>
      </c>
      <c r="E19" s="251">
        <f t="shared" si="0"/>
        <v>829958638.85188365</v>
      </c>
      <c r="F19" s="251"/>
      <c r="G19" s="252">
        <f>+SUM(C19:F19)</f>
        <v>3142565257.7617893</v>
      </c>
      <c r="H19" s="9"/>
    </row>
    <row r="20" spans="2:15">
      <c r="B20" s="251" t="s">
        <v>28</v>
      </c>
      <c r="C20" s="251">
        <f>+SUM(C12:C13)</f>
        <v>1056518522.7162862</v>
      </c>
      <c r="D20" s="251">
        <f t="shared" ref="D20:E20" si="1">+SUM(D12:D13)</f>
        <v>1185051870.1847744</v>
      </c>
      <c r="E20" s="251">
        <f t="shared" si="1"/>
        <v>601587366.27551568</v>
      </c>
      <c r="F20" s="251"/>
      <c r="G20" s="252">
        <f t="shared" ref="G20:G23" si="2">+SUM(C20:F20)</f>
        <v>2843157759.1765761</v>
      </c>
      <c r="H20" s="9"/>
    </row>
    <row r="21" spans="2:15">
      <c r="B21" s="251" t="s">
        <v>40</v>
      </c>
      <c r="C21" s="251">
        <f>'Func Enmax'!B23</f>
        <v>0</v>
      </c>
      <c r="D21" s="251">
        <f>'Func Enmax'!C23</f>
        <v>83110009.74379696</v>
      </c>
      <c r="E21" s="251">
        <f>'Func Enmax'!D23</f>
        <v>140258920.34607539</v>
      </c>
      <c r="F21" s="251"/>
      <c r="G21" s="252">
        <f t="shared" si="2"/>
        <v>223368930.08987236</v>
      </c>
      <c r="H21" s="9"/>
    </row>
    <row r="22" spans="2:15">
      <c r="B22" s="251" t="s">
        <v>29</v>
      </c>
      <c r="C22" s="251">
        <f>'Func EPCOR'!B26</f>
        <v>257657372.81799218</v>
      </c>
      <c r="D22" s="251">
        <f>'Func EPCOR'!C26</f>
        <v>18457797.050350476</v>
      </c>
      <c r="E22" s="251">
        <f>'Func EPCOR'!D26</f>
        <v>58767428.183054045</v>
      </c>
      <c r="F22" s="251"/>
      <c r="G22" s="252">
        <f t="shared" si="2"/>
        <v>334882598.05139667</v>
      </c>
    </row>
    <row r="23" spans="2:15">
      <c r="B23" s="249" t="s">
        <v>223</v>
      </c>
      <c r="C23" s="245"/>
      <c r="D23" s="245"/>
      <c r="E23" s="251">
        <f>+C4-C4*Depreciation!L24/2+'Func Results 2019'!E23*(1-Depreciation!L24)</f>
        <v>594360957.42139697</v>
      </c>
      <c r="F23" s="251"/>
      <c r="G23" s="252">
        <f t="shared" si="2"/>
        <v>594360957.42139697</v>
      </c>
    </row>
    <row r="24" spans="2:15">
      <c r="B24" s="249" t="s">
        <v>224</v>
      </c>
      <c r="C24" s="245"/>
      <c r="D24" s="245"/>
      <c r="E24" s="251"/>
      <c r="F24" s="251">
        <f>+C5-(C5*Depreciation!L18/2)+'Func Results 2019'!F24*(1-Depreciation!L18)</f>
        <v>1514672662.9384265</v>
      </c>
      <c r="G24" s="252">
        <f>+SUM(F24)</f>
        <v>1514672662.9384265</v>
      </c>
    </row>
    <row r="25" spans="2:15">
      <c r="B25" s="260" t="s">
        <v>48</v>
      </c>
      <c r="C25" s="260">
        <f>+SUM(C19:C24)</f>
        <v>2875302855.6034718</v>
      </c>
      <c r="D25" s="260">
        <f t="shared" ref="D25:G25" si="3">+SUM(D19:D24)</f>
        <v>2038099335.8196349</v>
      </c>
      <c r="E25" s="260">
        <f t="shared" si="3"/>
        <v>2224933311.0779257</v>
      </c>
      <c r="F25" s="260">
        <f t="shared" si="3"/>
        <v>1514672662.9384265</v>
      </c>
      <c r="G25" s="260">
        <f t="shared" si="3"/>
        <v>8653008165.4394588</v>
      </c>
    </row>
    <row r="26" spans="2:15">
      <c r="B26" s="4"/>
    </row>
    <row r="27" spans="2:15">
      <c r="B27" s="777" t="s">
        <v>173</v>
      </c>
    </row>
    <row r="28" spans="2:15">
      <c r="B28" s="4"/>
      <c r="C28" s="4" t="s">
        <v>33</v>
      </c>
    </row>
    <row r="29" spans="2:15">
      <c r="B29" s="4"/>
      <c r="C29" s="779" t="s">
        <v>30</v>
      </c>
      <c r="D29" s="779" t="s">
        <v>31</v>
      </c>
      <c r="E29" s="779" t="s">
        <v>75</v>
      </c>
      <c r="F29" s="779" t="s">
        <v>50</v>
      </c>
      <c r="G29" s="242"/>
      <c r="H29" s="261"/>
      <c r="I29" s="261"/>
      <c r="J29" s="242"/>
      <c r="K29" s="261"/>
      <c r="L29" s="261"/>
      <c r="M29" s="261"/>
      <c r="N29" s="261"/>
      <c r="O29" s="242"/>
    </row>
    <row r="30" spans="2:15">
      <c r="B30" s="4"/>
      <c r="C30" s="262" t="s">
        <v>4</v>
      </c>
      <c r="D30" s="263">
        <f>C19/SUM($C19:$E19)</f>
        <v>0.49676835070119285</v>
      </c>
      <c r="E30" s="263">
        <f t="shared" ref="D30:F31" si="4">D19/SUM($C19:$E19)</f>
        <v>0.23912937272651413</v>
      </c>
      <c r="F30" s="263">
        <f>E19/SUM($C19:$E19)</f>
        <v>0.26410227657229313</v>
      </c>
      <c r="G30" s="261"/>
      <c r="H30" s="261"/>
      <c r="I30" s="261"/>
      <c r="J30" s="261"/>
      <c r="K30" s="261"/>
      <c r="L30" s="261"/>
      <c r="M30" s="261"/>
      <c r="N30" s="261"/>
      <c r="O30" s="261"/>
    </row>
    <row r="31" spans="2:15">
      <c r="B31" s="4"/>
      <c r="C31" s="262" t="s">
        <v>32</v>
      </c>
      <c r="D31" s="263">
        <f t="shared" si="4"/>
        <v>0.371600386684934</v>
      </c>
      <c r="E31" s="263">
        <f t="shared" si="4"/>
        <v>0.41680834148576557</v>
      </c>
      <c r="F31" s="263">
        <f t="shared" si="4"/>
        <v>0.21159127182930046</v>
      </c>
      <c r="G31" s="261"/>
      <c r="H31" s="261"/>
      <c r="I31" s="261"/>
      <c r="J31" s="261"/>
      <c r="K31" s="261"/>
      <c r="L31" s="261"/>
      <c r="M31" s="261"/>
      <c r="N31" s="261"/>
      <c r="O31" s="261"/>
    </row>
    <row r="32" spans="2:15">
      <c r="B32" s="4"/>
      <c r="C32" s="262" t="s">
        <v>64</v>
      </c>
      <c r="D32" s="263">
        <f t="shared" ref="D32:F33" si="5">C21/SUM($C21:$E21)</f>
        <v>0</v>
      </c>
      <c r="E32" s="263">
        <f t="shared" si="5"/>
        <v>0.3720750675143481</v>
      </c>
      <c r="F32" s="263">
        <f t="shared" si="5"/>
        <v>0.62792493248565184</v>
      </c>
      <c r="G32" s="261"/>
      <c r="H32" s="261"/>
      <c r="I32" s="261"/>
      <c r="J32" s="261"/>
      <c r="K32" s="261"/>
      <c r="L32" s="261"/>
      <c r="M32" s="261"/>
      <c r="N32" s="261"/>
      <c r="O32" s="261"/>
    </row>
    <row r="33" spans="1:15">
      <c r="B33" s="4"/>
      <c r="C33" s="262" t="s">
        <v>38</v>
      </c>
      <c r="D33" s="263">
        <f t="shared" si="5"/>
        <v>0.76939612364822785</v>
      </c>
      <c r="E33" s="263">
        <f t="shared" si="5"/>
        <v>5.5117217668974351E-2</v>
      </c>
      <c r="F33" s="263">
        <f>E22/SUM($C22:$E22)</f>
        <v>0.17548665868279789</v>
      </c>
      <c r="G33" s="261"/>
      <c r="H33" s="261"/>
      <c r="I33" s="261"/>
      <c r="J33" s="261"/>
      <c r="K33" s="261"/>
      <c r="L33" s="261"/>
      <c r="M33" s="261"/>
      <c r="N33" s="261"/>
      <c r="O33" s="261"/>
    </row>
    <row r="34" spans="1:15">
      <c r="B34" s="4"/>
      <c r="C34" s="264" t="s">
        <v>76</v>
      </c>
      <c r="D34" s="265">
        <f>C25/SUM($C25:$E25)</f>
        <v>0.40279738247047403</v>
      </c>
      <c r="E34" s="265">
        <f t="shared" ref="E34:F34" si="6">D25/SUM($C25:$E25)</f>
        <v>0.28551464625129391</v>
      </c>
      <c r="F34" s="265">
        <f t="shared" si="6"/>
        <v>0.311687971278232</v>
      </c>
      <c r="G34" s="261"/>
      <c r="H34" s="261"/>
      <c r="I34" s="261"/>
      <c r="J34" s="261"/>
      <c r="K34" s="261"/>
      <c r="L34" s="261"/>
      <c r="M34" s="261"/>
      <c r="N34" s="261"/>
      <c r="O34" s="261"/>
    </row>
    <row r="35" spans="1:15">
      <c r="B35" s="4"/>
      <c r="G35" s="261"/>
      <c r="H35" s="266"/>
      <c r="I35" s="266"/>
      <c r="J35" s="266"/>
      <c r="K35" s="261"/>
      <c r="L35" s="261"/>
      <c r="M35" s="261"/>
      <c r="N35" s="261"/>
      <c r="O35" s="261"/>
    </row>
    <row r="36" spans="1:15">
      <c r="B36" s="4"/>
      <c r="C36" s="4" t="s">
        <v>173</v>
      </c>
      <c r="G36" s="261"/>
      <c r="H36" s="266"/>
      <c r="I36" s="266"/>
      <c r="J36" s="266"/>
      <c r="K36" s="261"/>
      <c r="L36" s="261"/>
      <c r="M36" s="261"/>
      <c r="N36" s="261"/>
      <c r="O36" s="261"/>
    </row>
    <row r="37" spans="1:15">
      <c r="B37" s="4"/>
      <c r="C37" s="779" t="s">
        <v>65</v>
      </c>
      <c r="D37" s="779" t="s">
        <v>31</v>
      </c>
      <c r="E37" s="779" t="s">
        <v>75</v>
      </c>
      <c r="F37" s="779" t="s">
        <v>50</v>
      </c>
      <c r="G37" s="261"/>
      <c r="H37" s="266"/>
      <c r="I37" s="266"/>
      <c r="J37" s="266"/>
      <c r="K37" s="261"/>
      <c r="L37" s="261"/>
      <c r="M37" s="261"/>
      <c r="N37" s="261"/>
      <c r="O37" s="261"/>
    </row>
    <row r="38" spans="1:15">
      <c r="B38" s="4"/>
      <c r="C38" s="262" t="s">
        <v>47</v>
      </c>
      <c r="D38" s="263">
        <f>D34</f>
        <v>0.40279738247047403</v>
      </c>
      <c r="E38" s="263">
        <f>E34</f>
        <v>0.28551464625129391</v>
      </c>
      <c r="F38" s="263">
        <f>F34</f>
        <v>0.311687971278232</v>
      </c>
      <c r="G38" s="261"/>
      <c r="H38" s="266"/>
      <c r="I38" s="266"/>
      <c r="J38" s="266"/>
      <c r="K38" s="261"/>
      <c r="L38" s="261"/>
      <c r="M38" s="261"/>
      <c r="N38" s="261"/>
      <c r="O38" s="261"/>
    </row>
    <row r="39" spans="1:15">
      <c r="B39" s="4"/>
      <c r="G39" s="261"/>
      <c r="H39" s="266"/>
      <c r="I39" s="266"/>
      <c r="J39" s="266"/>
      <c r="K39" s="261"/>
      <c r="L39" s="261"/>
      <c r="M39" s="261"/>
      <c r="N39" s="261"/>
      <c r="O39" s="261"/>
    </row>
    <row r="40" spans="1:15">
      <c r="B40" s="4"/>
      <c r="C40" s="4" t="s">
        <v>2060</v>
      </c>
    </row>
    <row r="41" spans="1:15">
      <c r="B41" s="4"/>
      <c r="C41" s="779" t="s">
        <v>65</v>
      </c>
      <c r="D41" s="779" t="s">
        <v>31</v>
      </c>
      <c r="E41" s="779" t="s">
        <v>75</v>
      </c>
      <c r="F41" s="779" t="s">
        <v>50</v>
      </c>
    </row>
    <row r="42" spans="1:15">
      <c r="B42" s="4"/>
      <c r="C42" s="262" t="s">
        <v>47</v>
      </c>
      <c r="D42" s="267">
        <f>+D38*$G$25</f>
        <v>3485409039.5346527</v>
      </c>
      <c r="E42" s="267">
        <f>+E38*$G$25</f>
        <v>2470560565.365005</v>
      </c>
      <c r="F42" s="267">
        <f>+F38*$G$25</f>
        <v>2697038560.5398011</v>
      </c>
    </row>
    <row r="44" spans="1:15">
      <c r="A44" s="776" t="s">
        <v>175</v>
      </c>
    </row>
    <row r="45" spans="1:15">
      <c r="A45" s="776"/>
      <c r="B45" s="243" t="s">
        <v>178</v>
      </c>
    </row>
    <row r="46" spans="1:15">
      <c r="C46" s="77" t="s">
        <v>211</v>
      </c>
      <c r="D46" s="268"/>
      <c r="E46" s="268"/>
      <c r="F46" s="268"/>
    </row>
    <row r="47" spans="1:15">
      <c r="C47" s="779" t="s">
        <v>65</v>
      </c>
      <c r="D47" s="779" t="s">
        <v>31</v>
      </c>
      <c r="E47" s="779" t="s">
        <v>75</v>
      </c>
      <c r="F47" s="779" t="s">
        <v>50</v>
      </c>
    </row>
    <row r="48" spans="1:15">
      <c r="C48" s="262" t="s">
        <v>47</v>
      </c>
      <c r="D48" s="269">
        <f>'Func Future Lines 2020'!V4</f>
        <v>4070854597.8236027</v>
      </c>
      <c r="E48" s="269">
        <f>'Func Future Lines 2020'!W4</f>
        <v>761919711.1861254</v>
      </c>
      <c r="F48" s="269">
        <f>'Func Future Lines 2020'!U12</f>
        <v>0</v>
      </c>
    </row>
    <row r="49" spans="1:6">
      <c r="B49" s="4"/>
      <c r="C49" s="262"/>
      <c r="D49" s="270"/>
      <c r="E49" s="270"/>
      <c r="F49" s="270"/>
    </row>
    <row r="50" spans="1:6">
      <c r="B50" s="4"/>
      <c r="C50" s="77" t="s">
        <v>210</v>
      </c>
      <c r="D50" s="268"/>
      <c r="E50" s="268"/>
      <c r="F50" s="268"/>
    </row>
    <row r="51" spans="1:6">
      <c r="B51" s="4"/>
      <c r="C51" s="779" t="s">
        <v>65</v>
      </c>
      <c r="D51" s="779" t="s">
        <v>31</v>
      </c>
      <c r="E51" s="779" t="s">
        <v>75</v>
      </c>
      <c r="F51" s="779" t="s">
        <v>50</v>
      </c>
    </row>
    <row r="52" spans="1:6">
      <c r="B52" s="4"/>
      <c r="C52" s="262" t="s">
        <v>47</v>
      </c>
      <c r="D52" s="263">
        <f>'Func Future Lines 2020'!V5</f>
        <v>0.84234320444766464</v>
      </c>
      <c r="E52" s="263">
        <f>'Func Future Lines 2020'!W5</f>
        <v>0.15765679555233533</v>
      </c>
      <c r="F52" s="263">
        <v>0</v>
      </c>
    </row>
    <row r="53" spans="1:6">
      <c r="B53" s="4"/>
      <c r="C53" s="262"/>
      <c r="D53" s="270"/>
      <c r="E53" s="270"/>
      <c r="F53" s="270"/>
    </row>
    <row r="54" spans="1:6">
      <c r="B54" s="4"/>
      <c r="C54" s="77" t="s">
        <v>212</v>
      </c>
      <c r="D54" s="268"/>
      <c r="E54" s="268"/>
      <c r="F54" s="268"/>
    </row>
    <row r="55" spans="1:6">
      <c r="B55" s="4"/>
      <c r="C55" s="788" t="s">
        <v>65</v>
      </c>
      <c r="D55" s="779" t="s">
        <v>31</v>
      </c>
      <c r="E55" s="779" t="s">
        <v>75</v>
      </c>
      <c r="F55" s="779" t="s">
        <v>50</v>
      </c>
    </row>
    <row r="56" spans="1:6">
      <c r="B56" s="4"/>
      <c r="C56" s="262" t="s">
        <v>47</v>
      </c>
      <c r="D56" s="269">
        <f>'Func Future Subs 2020'!AB10</f>
        <v>1560805861.8821492</v>
      </c>
      <c r="E56" s="269">
        <f>'Func Future Subs 2020'!AC10</f>
        <v>651541042.81446218</v>
      </c>
      <c r="F56" s="269">
        <f>'Func Future Subs 2020'!AD10</f>
        <v>790729582.90560508</v>
      </c>
    </row>
    <row r="57" spans="1:6">
      <c r="B57" s="4"/>
      <c r="C57" s="262"/>
      <c r="D57" s="270"/>
      <c r="E57" s="270"/>
      <c r="F57" s="270"/>
    </row>
    <row r="58" spans="1:6">
      <c r="B58" s="4"/>
      <c r="C58" s="77" t="s">
        <v>213</v>
      </c>
      <c r="D58" s="268"/>
      <c r="E58" s="268"/>
      <c r="F58" s="268"/>
    </row>
    <row r="59" spans="1:6">
      <c r="B59" s="4"/>
      <c r="C59" s="788" t="s">
        <v>65</v>
      </c>
      <c r="D59" s="779" t="s">
        <v>31</v>
      </c>
      <c r="E59" s="779" t="s">
        <v>75</v>
      </c>
      <c r="F59" s="779" t="s">
        <v>50</v>
      </c>
    </row>
    <row r="60" spans="1:6">
      <c r="B60" s="4"/>
      <c r="C60" s="262" t="s">
        <v>47</v>
      </c>
      <c r="D60" s="270">
        <f>'Func Future Subs 2020'!AB4</f>
        <v>0.51973563388269295</v>
      </c>
      <c r="E60" s="270">
        <f>'Func Future Subs 2020'!AC4</f>
        <v>0.21695785821781721</v>
      </c>
      <c r="F60" s="270">
        <f>'Func Future Subs 2020'!AD4</f>
        <v>0.26330650789948978</v>
      </c>
    </row>
    <row r="62" spans="1:6">
      <c r="A62" s="776" t="s">
        <v>182</v>
      </c>
    </row>
    <row r="63" spans="1:6">
      <c r="B63" s="4" t="s">
        <v>183</v>
      </c>
    </row>
    <row r="64" spans="1:6">
      <c r="C64" s="779" t="s">
        <v>65</v>
      </c>
      <c r="D64" s="779" t="s">
        <v>31</v>
      </c>
      <c r="E64" s="779" t="s">
        <v>75</v>
      </c>
      <c r="F64" s="779" t="s">
        <v>50</v>
      </c>
    </row>
    <row r="65" spans="1:8">
      <c r="C65" s="262" t="s">
        <v>47</v>
      </c>
      <c r="D65" s="267">
        <f>D42+D48+D56</f>
        <v>9117069499.2404041</v>
      </c>
      <c r="E65" s="267">
        <f t="shared" ref="E65:F65" si="7">E42+E48+E56</f>
        <v>3884021319.3655925</v>
      </c>
      <c r="F65" s="267">
        <f t="shared" si="7"/>
        <v>3487768143.445406</v>
      </c>
    </row>
    <row r="67" spans="1:8">
      <c r="B67" s="243" t="s">
        <v>177</v>
      </c>
    </row>
    <row r="68" spans="1:8">
      <c r="C68" s="779" t="s">
        <v>65</v>
      </c>
      <c r="D68" s="779" t="s">
        <v>31</v>
      </c>
      <c r="E68" s="779" t="s">
        <v>75</v>
      </c>
      <c r="F68" s="779" t="s">
        <v>50</v>
      </c>
    </row>
    <row r="69" spans="1:8">
      <c r="C69" s="262" t="s">
        <v>47</v>
      </c>
      <c r="D69" s="263">
        <f>+D65/SUM($D65:$F65)</f>
        <v>0.55292300820954665</v>
      </c>
      <c r="E69" s="263">
        <f>+E65/SUM($D65:$F65)</f>
        <v>0.2355542811242759</v>
      </c>
      <c r="F69" s="263">
        <f>+F65/SUM($D65:$F65)</f>
        <v>0.21152271066617745</v>
      </c>
      <c r="H69" s="271"/>
    </row>
    <row r="71" spans="1:8">
      <c r="A71" s="776" t="s">
        <v>235</v>
      </c>
    </row>
    <row r="72" spans="1:8">
      <c r="B72" s="243" t="s">
        <v>236</v>
      </c>
    </row>
    <row r="73" spans="1:8">
      <c r="C73" s="272" t="s">
        <v>231</v>
      </c>
      <c r="D73" s="273">
        <v>2020</v>
      </c>
    </row>
    <row r="74" spans="1:8">
      <c r="C74" s="274" t="s">
        <v>232</v>
      </c>
      <c r="D74" s="275">
        <f>'Sum 1.0'!M28</f>
        <v>0.17114953965244431</v>
      </c>
    </row>
    <row r="75" spans="1:8">
      <c r="C75" s="274" t="s">
        <v>233</v>
      </c>
      <c r="D75" s="275">
        <f>1-D74</f>
        <v>0.82885046034755572</v>
      </c>
    </row>
    <row r="76" spans="1:8">
      <c r="C76" s="276"/>
    </row>
    <row r="77" spans="1:8">
      <c r="B77" s="243" t="s">
        <v>237</v>
      </c>
      <c r="C77" s="276"/>
    </row>
    <row r="78" spans="1:8">
      <c r="C78" s="277" t="s">
        <v>241</v>
      </c>
      <c r="D78" s="278" t="s">
        <v>31</v>
      </c>
      <c r="E78" s="278" t="s">
        <v>75</v>
      </c>
      <c r="F78" s="278" t="s">
        <v>50</v>
      </c>
    </row>
    <row r="79" spans="1:8">
      <c r="C79" s="602" t="s">
        <v>86</v>
      </c>
      <c r="D79" s="280">
        <f>'Sum 3.0'!M58</f>
        <v>0.23124208084292741</v>
      </c>
      <c r="E79" s="280">
        <f>'Sum 3.0'!M59</f>
        <v>0.35233412126436825</v>
      </c>
      <c r="F79" s="280">
        <f>'Sum 3.0'!M60</f>
        <v>0.41642379789270478</v>
      </c>
    </row>
    <row r="81" spans="1:6">
      <c r="B81" s="243" t="s">
        <v>238</v>
      </c>
    </row>
    <row r="83" spans="1:6">
      <c r="C83" s="779" t="s">
        <v>2093</v>
      </c>
      <c r="D83" s="779" t="s">
        <v>31</v>
      </c>
      <c r="E83" s="779" t="s">
        <v>75</v>
      </c>
      <c r="F83" s="779" t="s">
        <v>50</v>
      </c>
    </row>
    <row r="84" spans="1:6">
      <c r="C84" s="262" t="s">
        <v>86</v>
      </c>
      <c r="D84" s="263">
        <f>+D69*$D$75+D$79*$D$74</f>
        <v>0.49786746557577838</v>
      </c>
      <c r="E84" s="263">
        <f>+E69*$D$75+E$79*$D$74</f>
        <v>0.25554109700493877</v>
      </c>
      <c r="F84" s="263">
        <f>+F69*$D$75+F$79*$D$74</f>
        <v>0.24659143741928294</v>
      </c>
    </row>
    <row r="86" spans="1:6">
      <c r="A86" s="776" t="s">
        <v>234</v>
      </c>
    </row>
    <row r="87" spans="1:6">
      <c r="B87" s="243" t="s">
        <v>230</v>
      </c>
      <c r="C87" s="281">
        <v>2420.3783194428638</v>
      </c>
      <c r="D87" s="759" t="s">
        <v>2019</v>
      </c>
    </row>
    <row r="89" spans="1:6">
      <c r="B89" s="243" t="s">
        <v>697</v>
      </c>
    </row>
    <row r="90" spans="1:6">
      <c r="C90" s="779" t="s">
        <v>2093</v>
      </c>
      <c r="D90" s="779" t="s">
        <v>31</v>
      </c>
      <c r="E90" s="779" t="s">
        <v>75</v>
      </c>
      <c r="F90" s="779" t="s">
        <v>50</v>
      </c>
    </row>
    <row r="91" spans="1:6" ht="14.4" customHeight="1">
      <c r="C91" s="262" t="s">
        <v>2095</v>
      </c>
      <c r="D91" s="765">
        <f>D84*$C$87</f>
        <v>1205.0276196355803</v>
      </c>
      <c r="E91" s="765">
        <f>E84*$C$87</f>
        <v>618.50613091739956</v>
      </c>
      <c r="F91" s="765">
        <f>F84*$C$87</f>
        <v>596.84456888988416</v>
      </c>
    </row>
    <row r="93" spans="1:6">
      <c r="B93" s="243" t="s">
        <v>698</v>
      </c>
      <c r="C93" s="283">
        <v>0.87720000000000597</v>
      </c>
      <c r="D93" s="759" t="s">
        <v>2021</v>
      </c>
    </row>
    <row r="94" spans="1:6">
      <c r="B94" s="243" t="s">
        <v>2018</v>
      </c>
      <c r="C94" s="283">
        <v>96.370438973020839</v>
      </c>
      <c r="D94" s="759" t="s">
        <v>2019</v>
      </c>
    </row>
    <row r="96" spans="1:6">
      <c r="B96" s="243" t="s">
        <v>2055</v>
      </c>
    </row>
    <row r="97" spans="2:8">
      <c r="C97" s="779" t="s">
        <v>2093</v>
      </c>
      <c r="D97" s="779" t="s">
        <v>31</v>
      </c>
      <c r="E97" s="779" t="s">
        <v>75</v>
      </c>
      <c r="F97" s="779" t="s">
        <v>50</v>
      </c>
    </row>
    <row r="98" spans="2:8">
      <c r="C98" s="262" t="s">
        <v>2095</v>
      </c>
      <c r="D98" s="766">
        <f>D91-$C$93+$C$94</f>
        <v>1300.5208586086012</v>
      </c>
      <c r="E98" s="766">
        <f>E91</f>
        <v>618.50613091739956</v>
      </c>
      <c r="F98" s="766">
        <f>F91</f>
        <v>596.84456888988416</v>
      </c>
      <c r="H98" s="104"/>
    </row>
    <row r="100" spans="2:8">
      <c r="B100" s="243" t="s">
        <v>696</v>
      </c>
    </row>
    <row r="101" spans="2:8">
      <c r="C101" s="779" t="s">
        <v>2093</v>
      </c>
      <c r="D101" s="779" t="s">
        <v>31</v>
      </c>
      <c r="E101" s="779" t="s">
        <v>75</v>
      </c>
      <c r="F101" s="779" t="s">
        <v>50</v>
      </c>
    </row>
    <row r="102" spans="2:8">
      <c r="C102" s="262" t="s">
        <v>86</v>
      </c>
      <c r="D102" s="263">
        <f>D98/SUM($D98:$F98)</f>
        <v>0.51692657133398034</v>
      </c>
      <c r="E102" s="263">
        <f>E98/SUM($D98:$F98)</f>
        <v>0.24584169603111261</v>
      </c>
      <c r="F102" s="263">
        <f>F98/SUM($D98:$F98)</f>
        <v>0.23723173263490704</v>
      </c>
    </row>
  </sheetData>
  <mergeCells count="5">
    <mergeCell ref="C8:E8"/>
    <mergeCell ref="O8:S8"/>
    <mergeCell ref="C16:E16"/>
    <mergeCell ref="C17:E17"/>
    <mergeCell ref="G8:L8"/>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000"/>
  </sheetPr>
  <dimension ref="A1:O93"/>
  <sheetViews>
    <sheetView showGridLines="0" topLeftCell="E68" zoomScale="85" zoomScaleNormal="85" workbookViewId="0">
      <selection activeCell="K80" sqref="K80"/>
    </sheetView>
  </sheetViews>
  <sheetFormatPr defaultColWidth="9.109375" defaultRowHeight="13.8"/>
  <cols>
    <col min="1" max="1" width="2.6640625" style="4" customWidth="1"/>
    <col min="2" max="2" width="42.109375" style="4" customWidth="1"/>
    <col min="3" max="3" width="9.6640625" style="4" hidden="1" customWidth="1"/>
    <col min="4" max="4" width="7.44140625" style="4" customWidth="1"/>
    <col min="5" max="5" width="15.5546875" style="4" bestFit="1" customWidth="1"/>
    <col min="6" max="10" width="16.33203125" style="4" bestFit="1" customWidth="1"/>
    <col min="11" max="11" width="19.33203125" style="4" bestFit="1" customWidth="1"/>
    <col min="12" max="12" width="6.33203125" style="4" customWidth="1"/>
    <col min="13" max="13" width="9.33203125" style="4" bestFit="1" customWidth="1"/>
    <col min="14" max="16384" width="9.109375" style="4"/>
  </cols>
  <sheetData>
    <row r="1" spans="1:10" ht="18">
      <c r="A1" s="768" t="s">
        <v>2147</v>
      </c>
    </row>
    <row r="3" spans="1:10">
      <c r="B3" s="214" t="s">
        <v>256</v>
      </c>
      <c r="C3" s="214"/>
      <c r="D3" s="215"/>
      <c r="E3" s="215">
        <v>2015</v>
      </c>
      <c r="F3" s="215">
        <v>2016</v>
      </c>
      <c r="G3" s="215">
        <v>2017</v>
      </c>
      <c r="H3" s="215">
        <v>2018</v>
      </c>
      <c r="I3" s="215">
        <v>2019</v>
      </c>
      <c r="J3" s="215">
        <v>2020</v>
      </c>
    </row>
    <row r="4" spans="1:10">
      <c r="B4" s="4" t="s">
        <v>257</v>
      </c>
      <c r="D4" s="216"/>
      <c r="E4" s="216">
        <f>'Sum 1.0'!H28</f>
        <v>0.17353244694289444</v>
      </c>
      <c r="F4" s="216">
        <f>'Sum 1.0'!I28</f>
        <v>0.16738164598183161</v>
      </c>
      <c r="G4" s="216">
        <f>'Sum 1.0'!J28</f>
        <v>0.17253452603260688</v>
      </c>
      <c r="H4" s="216">
        <f>'Sum 1.0'!K28</f>
        <v>0.17114953965244431</v>
      </c>
      <c r="I4" s="216">
        <f>'Sum 1.0'!L28</f>
        <v>0.17114953965244431</v>
      </c>
      <c r="J4" s="216">
        <f>'Sum 1.0'!M28</f>
        <v>0.17114953965244431</v>
      </c>
    </row>
    <row r="5" spans="1:10">
      <c r="B5" s="4" t="s">
        <v>233</v>
      </c>
      <c r="D5" s="216"/>
      <c r="E5" s="216">
        <f t="shared" ref="E5:J5" si="0">1-E4</f>
        <v>0.82646755305710551</v>
      </c>
      <c r="F5" s="216">
        <f t="shared" si="0"/>
        <v>0.83261835401816842</v>
      </c>
      <c r="G5" s="216">
        <f t="shared" si="0"/>
        <v>0.82746547396739312</v>
      </c>
      <c r="H5" s="216">
        <f t="shared" si="0"/>
        <v>0.82885046034755572</v>
      </c>
      <c r="I5" s="216">
        <f t="shared" si="0"/>
        <v>0.82885046034755572</v>
      </c>
      <c r="J5" s="216">
        <f t="shared" si="0"/>
        <v>0.82885046034755572</v>
      </c>
    </row>
    <row r="7" spans="1:10">
      <c r="B7" s="214" t="s">
        <v>699</v>
      </c>
      <c r="C7" s="214"/>
      <c r="D7" s="215"/>
      <c r="E7" s="215">
        <v>2015</v>
      </c>
      <c r="F7" s="215">
        <v>2016</v>
      </c>
      <c r="G7" s="215">
        <v>2017</v>
      </c>
      <c r="H7" s="215">
        <v>2018</v>
      </c>
      <c r="I7" s="215">
        <v>2019</v>
      </c>
      <c r="J7" s="215">
        <v>2020</v>
      </c>
    </row>
    <row r="8" spans="1:10">
      <c r="B8" s="4" t="s">
        <v>49</v>
      </c>
      <c r="D8" s="217"/>
      <c r="E8" s="217">
        <f>+SUM('Func Results 2015'!$D$56,'Func Results 2015'!$D$48)</f>
        <v>5280334716.5567427</v>
      </c>
      <c r="F8" s="217">
        <f>+SUM('Func Results 2016'!$D$56,'Func Results 2016'!$D$48)</f>
        <v>5672161614.8028393</v>
      </c>
      <c r="G8" s="217">
        <f>+SUM('Func Results 2017'!$D$56,'Func Results 2017'!$D$48)</f>
        <v>5759971770.6769886</v>
      </c>
      <c r="H8" s="217">
        <f>+SUM('Func Results 2018'!$D$56,'Func Results 2018'!$D$48)</f>
        <v>5760020033.5523205</v>
      </c>
      <c r="I8" s="217">
        <f>+SUM('Func Results 2019'!$D$56,'Func Results 2019'!$D$48)</f>
        <v>5764281760.6846075</v>
      </c>
      <c r="J8" s="217">
        <f>+SUM('Func Results 2020'!$D$56,'Func Results 2020'!$D$48)</f>
        <v>5631660459.7057514</v>
      </c>
    </row>
    <row r="9" spans="1:10">
      <c r="B9" s="4" t="s">
        <v>74</v>
      </c>
      <c r="D9" s="217"/>
      <c r="E9" s="217">
        <f>+SUM('Func Results 2015'!$E$56,'Func Results 2015'!$E$48)</f>
        <v>322777734.35034978</v>
      </c>
      <c r="F9" s="217">
        <f>+SUM('Func Results 2016'!$E$56,'Func Results 2016'!$E$48)</f>
        <v>626248062.67825782</v>
      </c>
      <c r="G9" s="217">
        <f>+SUM('Func Results 2017'!$E$56,'Func Results 2017'!$E$48)</f>
        <v>1345489963.839839</v>
      </c>
      <c r="H9" s="217">
        <f>+SUM('Func Results 2018'!$E$56,'Func Results 2018'!$E$48)</f>
        <v>1334795235.1487317</v>
      </c>
      <c r="I9" s="217">
        <f>+SUM('Func Results 2019'!$E$56,'Func Results 2019'!$E$48)</f>
        <v>1383230120.4268064</v>
      </c>
      <c r="J9" s="217">
        <f>+SUM('Func Results 2020'!$E$56,'Func Results 2020'!$E$48)</f>
        <v>1413460754.0005875</v>
      </c>
    </row>
    <row r="10" spans="1:10">
      <c r="B10" s="4" t="s">
        <v>50</v>
      </c>
      <c r="D10" s="217"/>
      <c r="E10" s="217">
        <f>+SUM('Func Results 2015'!$F$56,'Func Results 2015'!$F$48)</f>
        <v>273984547.08438081</v>
      </c>
      <c r="F10" s="217">
        <f>+SUM('Func Results 2016'!$F$56,'Func Results 2016'!$F$48)</f>
        <v>426154337.3230108</v>
      </c>
      <c r="G10" s="217">
        <f>+SUM('Func Results 2017'!$F$56,'Func Results 2017'!$F$48)</f>
        <v>638126508.08840823</v>
      </c>
      <c r="H10" s="217">
        <f>+SUM('Func Results 2018'!$F$56,'Func Results 2018'!$F$48)</f>
        <v>658065382.72674072</v>
      </c>
      <c r="I10" s="217">
        <f>+SUM('Func Results 2019'!$F$56,'Func Results 2019'!$F$48)</f>
        <v>740129670.73686945</v>
      </c>
      <c r="J10" s="217">
        <f>+SUM('Func Results 2020'!$F$56,'Func Results 2020'!$F$48)</f>
        <v>790729582.90560508</v>
      </c>
    </row>
    <row r="12" spans="1:10">
      <c r="B12" s="214" t="s">
        <v>683</v>
      </c>
      <c r="C12" s="214"/>
      <c r="D12" s="215"/>
      <c r="E12" s="215">
        <v>2015</v>
      </c>
      <c r="F12" s="215">
        <v>2016</v>
      </c>
      <c r="G12" s="215">
        <v>2017</v>
      </c>
      <c r="H12" s="215">
        <v>2018</v>
      </c>
      <c r="I12" s="215">
        <v>2019</v>
      </c>
      <c r="J12" s="215">
        <v>2020</v>
      </c>
    </row>
    <row r="13" spans="1:10">
      <c r="B13" s="4" t="s">
        <v>49</v>
      </c>
      <c r="D13" s="216"/>
      <c r="E13" s="216">
        <f>E8/SUM($E$8:$E$10)</f>
        <v>0.89845968483442129</v>
      </c>
      <c r="F13" s="216">
        <f>F8/SUM($F$8:$F$10)</f>
        <v>0.84349879074919831</v>
      </c>
      <c r="G13" s="216">
        <f>G8/SUM($G$8:$G$10)</f>
        <v>0.74383755827635745</v>
      </c>
      <c r="H13" s="216">
        <f>H8/SUM($H$8:$H$10)</f>
        <v>0.74295223833886037</v>
      </c>
      <c r="I13" s="216">
        <f>I8/SUM($I$8:$I$10)</f>
        <v>0.73079915242014049</v>
      </c>
      <c r="J13" s="216">
        <f>J8/SUM($J$8:$J$10)</f>
        <v>0.71870440184246009</v>
      </c>
    </row>
    <row r="14" spans="1:10">
      <c r="B14" s="4" t="s">
        <v>74</v>
      </c>
      <c r="D14" s="216"/>
      <c r="E14" s="216">
        <f t="shared" ref="E14:E15" si="1">E9/SUM($E$8:$E$10)</f>
        <v>5.4921287577976111E-2</v>
      </c>
      <c r="F14" s="216">
        <f t="shared" ref="F14:F15" si="2">F9/SUM($F$8:$F$10)</f>
        <v>9.3128426065924058E-2</v>
      </c>
      <c r="G14" s="216">
        <f t="shared" ref="G14:G15" si="3">G9/SUM($G$8:$G$10)</f>
        <v>0.17375536013613829</v>
      </c>
      <c r="H14" s="216">
        <f t="shared" ref="H14:H15" si="4">H9/SUM($H$8:$H$10)</f>
        <v>0.17216764905350529</v>
      </c>
      <c r="I14" s="216">
        <f t="shared" ref="I14:I15" si="5">I9/SUM($I$8:$I$10)</f>
        <v>0.17536675713955066</v>
      </c>
      <c r="J14" s="216">
        <f t="shared" ref="J14:J15" si="6">J9/SUM($J$8:$J$10)</f>
        <v>0.18038382693704913</v>
      </c>
    </row>
    <row r="15" spans="1:10">
      <c r="B15" s="4" t="s">
        <v>50</v>
      </c>
      <c r="D15" s="216"/>
      <c r="E15" s="216">
        <f t="shared" si="1"/>
        <v>4.6619027587602585E-2</v>
      </c>
      <c r="F15" s="216">
        <f t="shared" si="2"/>
        <v>6.3372783184877601E-2</v>
      </c>
      <c r="G15" s="216">
        <f t="shared" si="3"/>
        <v>8.2407081587504233E-2</v>
      </c>
      <c r="H15" s="216">
        <f t="shared" si="4"/>
        <v>8.4880112607634367E-2</v>
      </c>
      <c r="I15" s="216">
        <f t="shared" si="5"/>
        <v>9.3834090440308798E-2</v>
      </c>
      <c r="J15" s="216">
        <f t="shared" si="6"/>
        <v>0.1009117712204908</v>
      </c>
    </row>
    <row r="17" spans="2:11">
      <c r="B17" s="214" t="s">
        <v>685</v>
      </c>
      <c r="C17" s="214"/>
      <c r="D17" s="215"/>
      <c r="E17" s="215">
        <v>2015</v>
      </c>
      <c r="F17" s="215">
        <v>2016</v>
      </c>
      <c r="G17" s="215">
        <v>2017</v>
      </c>
      <c r="H17" s="215">
        <v>2018</v>
      </c>
      <c r="I17" s="215">
        <v>2019</v>
      </c>
      <c r="J17" s="215">
        <v>2020</v>
      </c>
      <c r="K17" s="230" t="s">
        <v>2057</v>
      </c>
    </row>
    <row r="18" spans="2:11">
      <c r="B18" s="4" t="s">
        <v>49</v>
      </c>
      <c r="D18" s="217"/>
      <c r="E18" s="217">
        <f>'Func Results 2015'!$D$65</f>
        <v>8738354348.4346752</v>
      </c>
      <c r="F18" s="217">
        <f>'Func Results 2016'!$D$65</f>
        <v>9145571302.0159378</v>
      </c>
      <c r="G18" s="217">
        <f>'Func Results 2017'!$D$65</f>
        <v>9240051547.3439159</v>
      </c>
      <c r="H18" s="217">
        <f>'Func Results 2018'!$D$65</f>
        <v>9245310728.2579937</v>
      </c>
      <c r="I18" s="217">
        <f>'Func Results 2019'!$D$65</f>
        <v>9251293092.1446342</v>
      </c>
      <c r="J18" s="217">
        <f>'Func Results 2020'!$D$65</f>
        <v>9117069499.2404041</v>
      </c>
      <c r="K18" s="101">
        <f>J18-F18</f>
        <v>-28501802.775533676</v>
      </c>
    </row>
    <row r="19" spans="2:11">
      <c r="B19" s="4" t="s">
        <v>74</v>
      </c>
      <c r="D19" s="217"/>
      <c r="E19" s="217">
        <f>'Func Results 2015'!$E$65</f>
        <v>2747698368.1612525</v>
      </c>
      <c r="F19" s="217">
        <f>'Func Results 2016'!$E$65</f>
        <v>3065285337.9765325</v>
      </c>
      <c r="G19" s="217">
        <f>'Func Results 2017'!$E$65</f>
        <v>3795433297.7238331</v>
      </c>
      <c r="H19" s="217">
        <f>'Func Results 2018'!$E$65</f>
        <v>3794042120.1285338</v>
      </c>
      <c r="I19" s="217">
        <f>'Func Results 2019'!$E$65</f>
        <v>3849315508.7935596</v>
      </c>
      <c r="J19" s="217">
        <f>'Func Results 2020'!$E$65</f>
        <v>3884021319.3655925</v>
      </c>
      <c r="K19" s="101">
        <f t="shared" ref="K19:K20" si="7">J19-F19</f>
        <v>818735981.38906002</v>
      </c>
    </row>
    <row r="20" spans="2:11">
      <c r="B20" s="4" t="s">
        <v>50</v>
      </c>
      <c r="D20" s="217"/>
      <c r="E20" s="217">
        <f>'Func Results 2015'!$F$65</f>
        <v>2320240280.2153444</v>
      </c>
      <c r="F20" s="217">
        <f>'Func Results 2016'!$F$65</f>
        <v>2597631634.3037314</v>
      </c>
      <c r="G20" s="217">
        <f>'Func Results 2017'!$F$65</f>
        <v>2937563046.0043325</v>
      </c>
      <c r="H20" s="217">
        <f>'Func Results 2018'!$F$65</f>
        <v>3088366478.5682645</v>
      </c>
      <c r="I20" s="217">
        <f>'Func Results 2019'!$F$65</f>
        <v>3303014933.4577208</v>
      </c>
      <c r="J20" s="217">
        <f>'Func Results 2020'!$F$65</f>
        <v>3487768143.445406</v>
      </c>
      <c r="K20" s="101">
        <f t="shared" si="7"/>
        <v>890136509.14167452</v>
      </c>
    </row>
    <row r="21" spans="2:11" hidden="1">
      <c r="B21" s="4" t="s">
        <v>229</v>
      </c>
      <c r="D21" s="217"/>
      <c r="E21" s="217" t="e">
        <f>'Func Results 2015'!#REF!</f>
        <v>#REF!</v>
      </c>
      <c r="F21" s="217" t="e">
        <f>#REF!</f>
        <v>#REF!</v>
      </c>
      <c r="G21" s="217"/>
      <c r="H21" s="217"/>
      <c r="I21" s="217"/>
      <c r="J21" s="217"/>
      <c r="K21" s="4">
        <f>SUM(K18:K20)</f>
        <v>1680370687.7552009</v>
      </c>
    </row>
    <row r="23" spans="2:11">
      <c r="B23" s="214" t="s">
        <v>682</v>
      </c>
      <c r="C23" s="214"/>
      <c r="D23" s="215"/>
      <c r="E23" s="215">
        <v>2015</v>
      </c>
      <c r="F23" s="215">
        <v>2016</v>
      </c>
      <c r="G23" s="215">
        <v>2017</v>
      </c>
      <c r="H23" s="215">
        <v>2018</v>
      </c>
      <c r="I23" s="215">
        <v>2019</v>
      </c>
      <c r="J23" s="215">
        <v>2020</v>
      </c>
    </row>
    <row r="24" spans="2:11">
      <c r="B24" s="4" t="s">
        <v>49</v>
      </c>
      <c r="D24" s="216"/>
      <c r="E24" s="216">
        <f>'Func Results 2015'!$D$69</f>
        <v>0.63292546018347595</v>
      </c>
      <c r="F24" s="216">
        <f>'Func Results 2016'!$D$69</f>
        <v>0.61758979935111546</v>
      </c>
      <c r="G24" s="216">
        <f>'Func Results 2017'!$D$69</f>
        <v>0.57847767128454652</v>
      </c>
      <c r="H24" s="216">
        <f>'Func Results 2018'!$D$69</f>
        <v>0.57325592917567703</v>
      </c>
      <c r="I24" s="216">
        <f>'Func Results 2019'!$D$69</f>
        <v>0.56397862781635244</v>
      </c>
      <c r="J24" s="216">
        <f>'Func Results 2020'!$D$69</f>
        <v>0.55292300820954665</v>
      </c>
      <c r="K24" s="218"/>
    </row>
    <row r="25" spans="2:11">
      <c r="B25" s="4" t="s">
        <v>74</v>
      </c>
      <c r="D25" s="216"/>
      <c r="E25" s="216">
        <f>'Func Results 2015'!$E$69</f>
        <v>0.199017822437628</v>
      </c>
      <c r="F25" s="216">
        <f>'Func Results 2016'!$E$69</f>
        <v>0.20699515583215164</v>
      </c>
      <c r="G25" s="216">
        <f>'Func Results 2017'!$E$69</f>
        <v>0.23761484493170767</v>
      </c>
      <c r="H25" s="216">
        <f>'Func Results 2018'!$E$69</f>
        <v>0.23524976118523006</v>
      </c>
      <c r="I25" s="216">
        <f>'Func Results 2019'!$E$69</f>
        <v>0.23466251226274046</v>
      </c>
      <c r="J25" s="216">
        <f>'Func Results 2020'!$E$69</f>
        <v>0.2355542811242759</v>
      </c>
    </row>
    <row r="26" spans="2:11">
      <c r="B26" s="4" t="s">
        <v>50</v>
      </c>
      <c r="D26" s="216"/>
      <c r="E26" s="216">
        <f>'Func Results 2015'!$F$69</f>
        <v>0.1680567173788961</v>
      </c>
      <c r="F26" s="216">
        <f>'Func Results 2016'!$F$69</f>
        <v>0.17541504481673287</v>
      </c>
      <c r="G26" s="216">
        <f>'Func Results 2017'!$F$69</f>
        <v>0.18390748378374572</v>
      </c>
      <c r="H26" s="216">
        <f>'Func Results 2018'!$F$69</f>
        <v>0.19149430963909295</v>
      </c>
      <c r="I26" s="216">
        <f>'Func Results 2019'!$F$69</f>
        <v>0.20135885992090702</v>
      </c>
      <c r="J26" s="216">
        <f>'Func Results 2020'!$F$69</f>
        <v>0.21152271066617745</v>
      </c>
    </row>
    <row r="27" spans="2:11" hidden="1">
      <c r="B27" s="4" t="s">
        <v>229</v>
      </c>
      <c r="D27" s="216"/>
      <c r="E27" s="216" t="e">
        <f>'Func Results 2015'!#REF!</f>
        <v>#REF!</v>
      </c>
      <c r="F27" s="216" t="e">
        <f>#REF!</f>
        <v>#REF!</v>
      </c>
      <c r="G27" s="216"/>
      <c r="H27" s="216"/>
      <c r="I27" s="216"/>
      <c r="J27" s="216"/>
    </row>
    <row r="28" spans="2:11" ht="7.5" customHeight="1"/>
    <row r="29" spans="2:11">
      <c r="B29" s="214" t="s">
        <v>684</v>
      </c>
      <c r="C29" s="214"/>
      <c r="D29" s="215"/>
      <c r="E29" s="215">
        <v>2015</v>
      </c>
      <c r="F29" s="215">
        <v>2016</v>
      </c>
      <c r="G29" s="215">
        <v>2017</v>
      </c>
      <c r="H29" s="215">
        <v>2018</v>
      </c>
      <c r="I29" s="215">
        <v>2019</v>
      </c>
      <c r="J29" s="215">
        <v>2020</v>
      </c>
    </row>
    <row r="30" spans="2:11">
      <c r="B30" s="4" t="s">
        <v>49</v>
      </c>
      <c r="D30" s="220"/>
      <c r="E30" s="220">
        <f>'Func Results 2015'!$D$80</f>
        <v>0.23717862257066902</v>
      </c>
      <c r="F30" s="220">
        <f>'Func Results 2016'!$D$80</f>
        <v>0.23552869555964503</v>
      </c>
      <c r="G30" s="220">
        <f>'Func Results 2017'!$D$80</f>
        <v>0.23487009426035477</v>
      </c>
      <c r="H30" s="220">
        <f>'Func Results 2018'!$D$79</f>
        <v>0.23355060915324177</v>
      </c>
      <c r="I30" s="220">
        <f>'Func Results 2019'!$D$79</f>
        <v>0.23239634499808481</v>
      </c>
      <c r="J30" s="220">
        <f>'Func Results 2020'!$D$79</f>
        <v>0.23124208084292741</v>
      </c>
    </row>
    <row r="31" spans="2:11">
      <c r="B31" s="4" t="s">
        <v>74</v>
      </c>
      <c r="D31" s="220"/>
      <c r="E31" s="220">
        <f>'Func Results 2015'!$E$80</f>
        <v>0.37893524066736772</v>
      </c>
      <c r="F31" s="220">
        <f>'Func Results 2016'!$E$80</f>
        <v>0.37030768495387201</v>
      </c>
      <c r="G31" s="220">
        <f>'Func Results 2017'!$E$80</f>
        <v>0.3687672688822955</v>
      </c>
      <c r="H31" s="220">
        <f>'Func Results 2018'!$E$79</f>
        <v>0.36250209304943937</v>
      </c>
      <c r="I31" s="220">
        <f>'Func Results 2019'!$E$79</f>
        <v>0.3574181071569047</v>
      </c>
      <c r="J31" s="220">
        <f>'Func Results 2020'!$E$79</f>
        <v>0.35233412126436825</v>
      </c>
    </row>
    <row r="32" spans="2:11">
      <c r="B32" s="4" t="s">
        <v>50</v>
      </c>
      <c r="D32" s="220"/>
      <c r="E32" s="220">
        <f>'Func Results 2015'!$F$80</f>
        <v>0.3838861367619632</v>
      </c>
      <c r="F32" s="220">
        <f>'Func Results 2016'!$F$80</f>
        <v>0.39416361948648304</v>
      </c>
      <c r="G32" s="220">
        <f>'Func Results 2017'!$F$80</f>
        <v>0.39636263685734974</v>
      </c>
      <c r="H32" s="220">
        <f>'Func Results 2018'!$F$79</f>
        <v>0.40394729779731797</v>
      </c>
      <c r="I32" s="220">
        <f>'Func Results 2019'!$F$79</f>
        <v>0.41018554784501227</v>
      </c>
      <c r="J32" s="220">
        <f>'Func Results 2020'!$F$79</f>
        <v>0.41642379789270478</v>
      </c>
    </row>
    <row r="33" spans="2:13" ht="7.5" customHeight="1">
      <c r="D33" s="216"/>
      <c r="E33" s="216"/>
      <c r="F33" s="216"/>
      <c r="G33" s="216"/>
      <c r="H33" s="216"/>
      <c r="I33" s="216"/>
      <c r="J33" s="216"/>
    </row>
    <row r="34" spans="2:13">
      <c r="B34" s="214" t="s">
        <v>722</v>
      </c>
      <c r="C34" s="214"/>
      <c r="D34" s="215"/>
      <c r="E34" s="215">
        <v>2015</v>
      </c>
      <c r="F34" s="215">
        <v>2016</v>
      </c>
      <c r="G34" s="215">
        <v>2017</v>
      </c>
      <c r="H34" s="215">
        <v>2018</v>
      </c>
      <c r="I34" s="215">
        <v>2019</v>
      </c>
      <c r="J34" s="215">
        <v>2020</v>
      </c>
    </row>
    <row r="35" spans="2:13">
      <c r="B35" s="4" t="s">
        <v>49</v>
      </c>
      <c r="D35" s="216"/>
      <c r="E35" s="216">
        <f t="shared" ref="E35:F37" si="8">(E24*E$5)+(E30*E$4)</f>
        <v>0.56425054308261324</v>
      </c>
      <c r="F35" s="216">
        <f t="shared" si="8"/>
        <v>0.55363978293286376</v>
      </c>
      <c r="G35" s="216">
        <f t="shared" ref="G35:J35" si="9">(G24*G$5)+(G30*G$4)</f>
        <v>0.51919350084146521</v>
      </c>
      <c r="H35" s="216">
        <f t="shared" si="9"/>
        <v>0.51511552003635097</v>
      </c>
      <c r="I35" s="216">
        <f t="shared" si="9"/>
        <v>0.50722847275509941</v>
      </c>
      <c r="J35" s="216">
        <f t="shared" si="9"/>
        <v>0.49786746557577838</v>
      </c>
    </row>
    <row r="36" spans="2:13">
      <c r="B36" s="4" t="s">
        <v>74</v>
      </c>
      <c r="D36" s="216"/>
      <c r="E36" s="216">
        <f t="shared" si="8"/>
        <v>0.23023933227068286</v>
      </c>
      <c r="F36" s="216">
        <f t="shared" si="8"/>
        <v>0.234330675766001</v>
      </c>
      <c r="G36" s="216">
        <f t="shared" ref="G36:J36" si="10">(G25*G$5)+(G31*G$4)</f>
        <v>0.26024316623604982</v>
      </c>
      <c r="H36" s="216">
        <f t="shared" si="10"/>
        <v>0.25702893920348957</v>
      </c>
      <c r="I36" s="216">
        <f t="shared" si="10"/>
        <v>0.2556720758186386</v>
      </c>
      <c r="J36" s="216">
        <f t="shared" si="10"/>
        <v>0.25554109700493877</v>
      </c>
    </row>
    <row r="37" spans="2:13">
      <c r="B37" s="4" t="s">
        <v>50</v>
      </c>
      <c r="D37" s="216"/>
      <c r="E37" s="216">
        <f t="shared" si="8"/>
        <v>0.20551012464670387</v>
      </c>
      <c r="F37" s="216">
        <f t="shared" si="8"/>
        <v>0.21202954130113524</v>
      </c>
      <c r="G37" s="216">
        <f t="shared" ref="G37:J37" si="11">(G26*G$5)+(G32*G$4)</f>
        <v>0.22056333292248492</v>
      </c>
      <c r="H37" s="216">
        <f t="shared" si="11"/>
        <v>0.22785554076015935</v>
      </c>
      <c r="I37" s="216">
        <f t="shared" si="11"/>
        <v>0.23709945142626232</v>
      </c>
      <c r="J37" s="216">
        <f t="shared" si="11"/>
        <v>0.24659143741928294</v>
      </c>
    </row>
    <row r="38" spans="2:13">
      <c r="L38" s="1026"/>
      <c r="M38" s="1026"/>
    </row>
    <row r="39" spans="2:13">
      <c r="B39" s="214" t="s">
        <v>2146</v>
      </c>
      <c r="C39" s="214"/>
      <c r="D39" s="215"/>
      <c r="E39" s="215">
        <v>2015</v>
      </c>
      <c r="F39" s="215">
        <v>2016</v>
      </c>
      <c r="G39" s="215">
        <v>2017</v>
      </c>
      <c r="H39" s="215">
        <v>2018</v>
      </c>
      <c r="I39" s="215">
        <v>2019</v>
      </c>
      <c r="J39" s="215">
        <v>2020</v>
      </c>
      <c r="K39" s="221" t="s">
        <v>2154</v>
      </c>
      <c r="L39" s="202"/>
      <c r="M39" s="222"/>
    </row>
    <row r="40" spans="2:13">
      <c r="B40" s="4" t="s">
        <v>49</v>
      </c>
      <c r="D40" s="216"/>
      <c r="E40" s="216">
        <f>'Func Results 2015'!$D$102</f>
        <v>0.56188721573844191</v>
      </c>
      <c r="F40" s="216">
        <f>'Func Results 2016'!$D$103</f>
        <v>0.55185166506317407</v>
      </c>
      <c r="G40" s="216">
        <f>'Func Results 2017'!$D$103</f>
        <v>0.51772985705084362</v>
      </c>
      <c r="H40" s="216">
        <f>'Func Results 2018'!$D$102</f>
        <v>0.51405907142161578</v>
      </c>
      <c r="I40" s="216">
        <f>'Func Results 2019'!$D$102</f>
        <v>0.52768821189714932</v>
      </c>
      <c r="J40" s="216">
        <f>'Func Results 2020'!$D$102</f>
        <v>0.51692657133398034</v>
      </c>
      <c r="K40" s="223">
        <f>AVERAGE(H40:J40)</f>
        <v>0.51955795155091511</v>
      </c>
      <c r="L40" s="194"/>
      <c r="M40" s="194"/>
    </row>
    <row r="41" spans="2:13">
      <c r="B41" s="4" t="s">
        <v>74</v>
      </c>
      <c r="D41" s="216"/>
      <c r="E41" s="216">
        <f>'Func Results 2015'!$E$102</f>
        <v>0.23148805651123253</v>
      </c>
      <c r="F41" s="216">
        <f>'Func Results 2016'!$E$103</f>
        <v>0.23526940384420386</v>
      </c>
      <c r="G41" s="216">
        <f>'Func Results 2017'!$E$103</f>
        <v>0.2610353836769117</v>
      </c>
      <c r="H41" s="216">
        <f>'Func Results 2018'!$E$102</f>
        <v>0.25758894447894976</v>
      </c>
      <c r="I41" s="216">
        <f>'Func Results 2019'!$E$102</f>
        <v>0.24505664110307701</v>
      </c>
      <c r="J41" s="216">
        <f>'Func Results 2020'!$E$102</f>
        <v>0.24584169603111261</v>
      </c>
      <c r="K41" s="223">
        <f t="shared" ref="K41:K43" si="12">AVERAGE(H41:J41)</f>
        <v>0.24949576053771313</v>
      </c>
      <c r="L41" s="194"/>
      <c r="M41" s="194"/>
    </row>
    <row r="42" spans="2:13">
      <c r="B42" s="4" t="s">
        <v>50</v>
      </c>
      <c r="D42" s="216"/>
      <c r="E42" s="216">
        <f>'Func Results 2015'!$F$102</f>
        <v>0.2066247277503257</v>
      </c>
      <c r="F42" s="216">
        <f>'Func Results 2016'!$F$103</f>
        <v>0.21287893109262207</v>
      </c>
      <c r="G42" s="216">
        <f>'Func Results 2017'!$F$103</f>
        <v>0.22123475927224479</v>
      </c>
      <c r="H42" s="216">
        <f>'Func Results 2018'!$F$102</f>
        <v>0.22835198409943447</v>
      </c>
      <c r="I42" s="216">
        <f>'Func Results 2019'!$F$102</f>
        <v>0.22725514699977375</v>
      </c>
      <c r="J42" s="216">
        <f>'Func Results 2020'!$F$102</f>
        <v>0.23723173263490704</v>
      </c>
      <c r="K42" s="223">
        <f t="shared" si="12"/>
        <v>0.23094628791137176</v>
      </c>
      <c r="L42" s="194"/>
      <c r="M42" s="194"/>
    </row>
    <row r="43" spans="2:13" hidden="1">
      <c r="B43" s="4" t="s">
        <v>229</v>
      </c>
      <c r="D43" s="216"/>
      <c r="E43" s="216" t="e">
        <f>'Func Results 2015'!#REF!</f>
        <v>#REF!</v>
      </c>
      <c r="F43" s="216" t="e">
        <f>#REF!</f>
        <v>#REF!</v>
      </c>
      <c r="G43" s="216"/>
      <c r="H43" s="216"/>
      <c r="I43" s="216"/>
      <c r="J43" s="216"/>
      <c r="K43" s="223" t="e">
        <f t="shared" si="12"/>
        <v>#DIV/0!</v>
      </c>
      <c r="L43" s="194"/>
      <c r="M43" s="194"/>
    </row>
    <row r="44" spans="2:13">
      <c r="D44" s="216"/>
      <c r="E44" s="216"/>
      <c r="F44" s="216"/>
      <c r="G44" s="216"/>
      <c r="H44" s="216"/>
      <c r="I44" s="216"/>
      <c r="J44" s="216"/>
      <c r="K44" s="216"/>
      <c r="L44" s="194"/>
      <c r="M44" s="194"/>
    </row>
    <row r="45" spans="2:13">
      <c r="B45" s="192" t="s">
        <v>260</v>
      </c>
      <c r="C45" s="192"/>
      <c r="D45" s="224" t="s">
        <v>49</v>
      </c>
      <c r="E45" s="224" t="s">
        <v>74</v>
      </c>
      <c r="F45" s="216"/>
      <c r="G45" s="216"/>
      <c r="H45" s="216"/>
      <c r="I45" s="216"/>
      <c r="J45" s="216"/>
      <c r="K45" s="216"/>
      <c r="L45" s="194"/>
      <c r="M45" s="194"/>
    </row>
    <row r="46" spans="2:13">
      <c r="B46" s="9" t="s">
        <v>252</v>
      </c>
      <c r="C46" s="9"/>
      <c r="D46" s="225">
        <f>'2014StudyClassification'!C94</f>
        <v>0.93446310349533057</v>
      </c>
      <c r="E46" s="225">
        <f>'2014StudyClassification'!D94</f>
        <v>0.89543608452322854</v>
      </c>
      <c r="F46" s="216"/>
      <c r="G46" s="216"/>
      <c r="H46" s="216"/>
      <c r="I46" s="216"/>
      <c r="J46" s="216"/>
      <c r="K46" s="216"/>
      <c r="L46" s="194"/>
      <c r="M46" s="194"/>
    </row>
    <row r="47" spans="2:13">
      <c r="B47" s="9" t="s">
        <v>253</v>
      </c>
      <c r="C47" s="9"/>
      <c r="D47" s="225">
        <f>'2014StudyClassification'!C95</f>
        <v>6.5536896504669442E-2</v>
      </c>
      <c r="E47" s="225">
        <f>'2014StudyClassification'!D95</f>
        <v>0.10456391547677155</v>
      </c>
      <c r="F47" s="216"/>
      <c r="G47" s="216"/>
      <c r="H47" s="216"/>
      <c r="I47" s="216"/>
      <c r="J47" s="216"/>
      <c r="K47" s="216"/>
      <c r="L47" s="194"/>
      <c r="M47" s="194"/>
    </row>
    <row r="48" spans="2:13">
      <c r="D48" s="216"/>
      <c r="E48" s="216"/>
      <c r="F48" s="216"/>
      <c r="G48" s="216"/>
      <c r="H48" s="216"/>
      <c r="I48" s="216"/>
      <c r="J48" s="216"/>
      <c r="K48" s="216"/>
      <c r="L48" s="194"/>
      <c r="M48" s="194"/>
    </row>
    <row r="49" spans="2:15">
      <c r="B49" s="1025" t="s">
        <v>2056</v>
      </c>
      <c r="C49" s="1025"/>
      <c r="D49" s="1025"/>
      <c r="E49" s="1025"/>
      <c r="F49" s="1025"/>
      <c r="G49" s="1025"/>
      <c r="H49" s="1025"/>
      <c r="I49" s="1025"/>
      <c r="J49" s="1025"/>
      <c r="L49" s="226"/>
      <c r="M49" s="227"/>
      <c r="N49" s="228"/>
      <c r="O49" s="229"/>
    </row>
    <row r="51" spans="2:15">
      <c r="B51" s="230" t="s">
        <v>259</v>
      </c>
      <c r="C51" s="221"/>
      <c r="D51" s="221"/>
      <c r="E51" s="221">
        <v>2015</v>
      </c>
      <c r="F51" s="221">
        <v>2016</v>
      </c>
      <c r="G51" s="215">
        <v>2017</v>
      </c>
      <c r="H51" s="215">
        <v>2018</v>
      </c>
      <c r="I51" s="215">
        <v>2019</v>
      </c>
      <c r="J51" s="215">
        <v>2020</v>
      </c>
    </row>
    <row r="52" spans="2:15">
      <c r="B52" s="9" t="s">
        <v>48</v>
      </c>
      <c r="C52" s="43"/>
      <c r="D52" s="231"/>
      <c r="E52" s="231">
        <f>'Func Results 2015'!$C$88-'Func Results 2015'!$C$94+'Func Results 2015'!C95</f>
        <v>1779.11607127</v>
      </c>
      <c r="F52" s="231">
        <f>'Func Results 2016'!$C$88-'Func Results 2016'!$C$94+'Func Results 2016'!$C$95</f>
        <v>1970.7451625172812</v>
      </c>
      <c r="G52" s="231">
        <f>'Func Results 2017'!$C$88-'Func Results 2017'!$C$94+'Func Results 2017'!$C$95</f>
        <v>2017.1193608378358</v>
      </c>
      <c r="H52" s="231">
        <f>'Func Results 2018'!$C$87-'Func Results 2018'!$C$93+'Func Results 2018'!$C$94</f>
        <v>2013.0684062220446</v>
      </c>
      <c r="I52" s="231">
        <f>'Func Results 2019'!$C$87-'Func Results 2019'!$C$93+'Func Results 2019'!$C$94</f>
        <v>2257.6940264093164</v>
      </c>
      <c r="J52" s="231">
        <f>'Func Results 2020'!$C$87-'Func Results 2020'!$C$93+'Func Results 2020'!$C$94</f>
        <v>2515.8715584158849</v>
      </c>
    </row>
    <row r="53" spans="2:15">
      <c r="B53" s="9" t="s">
        <v>49</v>
      </c>
      <c r="C53" s="232"/>
      <c r="D53" s="231"/>
      <c r="E53" s="231">
        <f>'Func Results 2015'!$D$99</f>
        <v>999.6625757614155</v>
      </c>
      <c r="F53" s="231">
        <f>'Func Results 2016'!$D$99</f>
        <v>1087.5589993503572</v>
      </c>
      <c r="G53" s="231">
        <f>'Func Results 2017'!$D$99</f>
        <v>1044.3229183410615</v>
      </c>
      <c r="H53" s="231">
        <f>'Func Results 2018'!$D$98</f>
        <v>1034.8360756106961</v>
      </c>
      <c r="I53" s="231">
        <f>'Func Results 2019'!$D$98</f>
        <v>1191.3585238068079</v>
      </c>
      <c r="J53" s="231">
        <f>'Func Results 2020'!$D$98</f>
        <v>1300.5208586086012</v>
      </c>
    </row>
    <row r="54" spans="2:15">
      <c r="B54" s="9" t="s">
        <v>74</v>
      </c>
      <c r="C54" s="232"/>
      <c r="D54" s="233"/>
      <c r="E54" s="231">
        <f>'Func Results 2015'!$E$99</f>
        <v>411.8441216461917</v>
      </c>
      <c r="F54" s="231">
        <f>'Func Results 2016'!$E$99</f>
        <v>463.65603951428938</v>
      </c>
      <c r="G54" s="231">
        <f>'Func Results 2017'!$E$99</f>
        <v>526.53952627843125</v>
      </c>
      <c r="H54" s="231">
        <f>'Func Results 2018'!$E$98</f>
        <v>518.54416592265807</v>
      </c>
      <c r="I54" s="231">
        <f>'Func Results 2019'!$E$98</f>
        <v>553.26291475034884</v>
      </c>
      <c r="J54" s="231">
        <f>'Func Results 2020'!$E$98</f>
        <v>618.50613091739956</v>
      </c>
    </row>
    <row r="55" spans="2:15">
      <c r="B55" s="9" t="s">
        <v>50</v>
      </c>
      <c r="C55" s="232"/>
      <c r="D55" s="233"/>
      <c r="E55" s="231">
        <f>'Func Results 2015'!$F$99</f>
        <v>367.60937386239277</v>
      </c>
      <c r="F55" s="231">
        <f>'Func Results 2016'!$F$99</f>
        <v>419.53012365263459</v>
      </c>
      <c r="G55" s="231">
        <f>'Func Results 2017'!$F$99</f>
        <v>446.25691621834278</v>
      </c>
      <c r="H55" s="231">
        <f>'Func Results 2018'!$F$98</f>
        <v>459.68816468869016</v>
      </c>
      <c r="I55" s="231">
        <f>'Func Results 2019'!$F$98</f>
        <v>513.07258785216038</v>
      </c>
      <c r="J55" s="231">
        <f>'Func Results 2020'!$F$98</f>
        <v>596.84456888988416</v>
      </c>
    </row>
    <row r="56" spans="2:15">
      <c r="B56" s="234" t="s">
        <v>251</v>
      </c>
      <c r="C56" s="231"/>
      <c r="D56" s="235"/>
      <c r="E56" s="235">
        <f t="shared" ref="E56" si="13">SUM(E53:E55)-E52</f>
        <v>0</v>
      </c>
      <c r="F56" s="235">
        <f t="shared" ref="F56:J56" si="14">SUM(F53:F55)-F52</f>
        <v>0</v>
      </c>
      <c r="G56" s="235">
        <f t="shared" si="14"/>
        <v>0</v>
      </c>
      <c r="H56" s="235">
        <f t="shared" si="14"/>
        <v>0</v>
      </c>
      <c r="I56" s="235">
        <f t="shared" si="14"/>
        <v>0</v>
      </c>
      <c r="J56" s="235">
        <f t="shared" si="14"/>
        <v>0</v>
      </c>
      <c r="K56" s="101"/>
    </row>
    <row r="57" spans="2:15">
      <c r="B57" s="9"/>
      <c r="C57" s="9"/>
      <c r="D57" s="9"/>
      <c r="E57" s="9"/>
      <c r="F57" s="9"/>
      <c r="G57" s="9"/>
      <c r="H57" s="9"/>
      <c r="I57" s="9"/>
      <c r="J57" s="9"/>
    </row>
    <row r="58" spans="2:15">
      <c r="B58" s="230" t="s">
        <v>259</v>
      </c>
      <c r="C58" s="230"/>
      <c r="D58" s="221"/>
      <c r="E58" s="221">
        <v>2015</v>
      </c>
      <c r="F58" s="221">
        <v>2016</v>
      </c>
      <c r="G58" s="215">
        <v>2017</v>
      </c>
      <c r="H58" s="215">
        <v>2018</v>
      </c>
      <c r="I58" s="215">
        <v>2019</v>
      </c>
      <c r="J58" s="215">
        <v>2020</v>
      </c>
    </row>
    <row r="59" spans="2:15">
      <c r="B59" s="9" t="s">
        <v>249</v>
      </c>
      <c r="C59" s="9"/>
      <c r="D59" s="193"/>
      <c r="E59" s="193">
        <f>E53*$D$46</f>
        <v>934.1477929941484</v>
      </c>
      <c r="F59" s="193">
        <f>F53*$D$46</f>
        <v>1016.283757767211</v>
      </c>
      <c r="G59" s="193">
        <f t="shared" ref="G59:J59" si="15">G53*$D$46</f>
        <v>975.88123532428904</v>
      </c>
      <c r="H59" s="193">
        <f t="shared" si="15"/>
        <v>967.0161308240996</v>
      </c>
      <c r="I59" s="193">
        <f t="shared" si="15"/>
        <v>1113.2805835321253</v>
      </c>
      <c r="J59" s="193">
        <f t="shared" si="15"/>
        <v>1215.2887576958055</v>
      </c>
    </row>
    <row r="60" spans="2:15">
      <c r="B60" s="9" t="s">
        <v>250</v>
      </c>
      <c r="C60" s="9"/>
      <c r="D60" s="193"/>
      <c r="E60" s="193">
        <f>E53*$D$47</f>
        <v>65.514782767267164</v>
      </c>
      <c r="F60" s="193">
        <f>F53*$D$47</f>
        <v>71.275241583146226</v>
      </c>
      <c r="G60" s="193">
        <f t="shared" ref="G60:J60" si="16">G53*$D$47</f>
        <v>68.441683016772501</v>
      </c>
      <c r="H60" s="193">
        <f t="shared" si="16"/>
        <v>67.819944786596466</v>
      </c>
      <c r="I60" s="193">
        <f t="shared" si="16"/>
        <v>78.077940274682533</v>
      </c>
      <c r="J60" s="193">
        <f t="shared" si="16"/>
        <v>85.232100912795744</v>
      </c>
    </row>
    <row r="61" spans="2:15" ht="6" customHeight="1">
      <c r="B61" s="9"/>
      <c r="C61" s="9"/>
      <c r="D61" s="9"/>
      <c r="E61" s="9"/>
      <c r="F61" s="9"/>
      <c r="G61" s="9"/>
      <c r="H61" s="9"/>
      <c r="I61" s="9"/>
      <c r="J61" s="9"/>
    </row>
    <row r="62" spans="2:15">
      <c r="B62" s="9" t="s">
        <v>254</v>
      </c>
      <c r="C62" s="9"/>
      <c r="D62" s="193"/>
      <c r="E62" s="193">
        <f>E54*$E$46</f>
        <v>368.78008772077413</v>
      </c>
      <c r="F62" s="193">
        <f>F54*$E$46</f>
        <v>415.17434858822259</v>
      </c>
      <c r="G62" s="193">
        <f t="shared" ref="G62:J62" si="17">G54*$E$46</f>
        <v>471.48249175747407</v>
      </c>
      <c r="H62" s="193">
        <f t="shared" si="17"/>
        <v>464.32315758614828</v>
      </c>
      <c r="I62" s="193">
        <f t="shared" si="17"/>
        <v>495.41157809596115</v>
      </c>
      <c r="J62" s="193">
        <f t="shared" si="17"/>
        <v>553.83270812228761</v>
      </c>
    </row>
    <row r="63" spans="2:15">
      <c r="B63" s="9" t="s">
        <v>255</v>
      </c>
      <c r="C63" s="9"/>
      <c r="D63" s="193"/>
      <c r="E63" s="193">
        <f>E54*$E$47</f>
        <v>43.064033925417604</v>
      </c>
      <c r="F63" s="193">
        <f>F54*$E$47</f>
        <v>48.481690926066804</v>
      </c>
      <c r="G63" s="193">
        <f t="shared" ref="G63:J63" si="18">G54*$E$47</f>
        <v>55.057034520957217</v>
      </c>
      <c r="H63" s="193">
        <f t="shared" si="18"/>
        <v>54.221008336509819</v>
      </c>
      <c r="I63" s="193">
        <f t="shared" si="18"/>
        <v>57.851336654387737</v>
      </c>
      <c r="J63" s="193">
        <f t="shared" si="18"/>
        <v>64.673422795111961</v>
      </c>
    </row>
    <row r="64" spans="2:15" ht="6.75" customHeight="1">
      <c r="B64" s="9"/>
      <c r="C64" s="9"/>
      <c r="D64" s="9"/>
      <c r="E64" s="9"/>
      <c r="F64" s="9"/>
      <c r="G64" s="9"/>
      <c r="H64" s="9"/>
      <c r="I64" s="9"/>
      <c r="J64" s="9"/>
    </row>
    <row r="65" spans="2:10">
      <c r="B65" s="34" t="s">
        <v>50</v>
      </c>
      <c r="C65" s="34"/>
      <c r="D65" s="236"/>
      <c r="E65" s="236">
        <f>E55</f>
        <v>367.60937386239277</v>
      </c>
      <c r="F65" s="236">
        <f>F55</f>
        <v>419.53012365263459</v>
      </c>
      <c r="G65" s="236">
        <f t="shared" ref="G65:J65" si="19">G55</f>
        <v>446.25691621834278</v>
      </c>
      <c r="H65" s="236">
        <f t="shared" si="19"/>
        <v>459.68816468869016</v>
      </c>
      <c r="I65" s="236">
        <f t="shared" si="19"/>
        <v>513.07258785216038</v>
      </c>
      <c r="J65" s="236">
        <f t="shared" si="19"/>
        <v>596.84456888988416</v>
      </c>
    </row>
    <row r="66" spans="2:10" s="777" customFormat="1">
      <c r="B66" s="760" t="s">
        <v>48</v>
      </c>
      <c r="C66" s="760"/>
      <c r="D66" s="761"/>
      <c r="E66" s="761">
        <f t="shared" ref="E66:F66" si="20">SUM(E59:E65)</f>
        <v>1779.1160712700002</v>
      </c>
      <c r="F66" s="761">
        <f t="shared" si="20"/>
        <v>1970.7451625172812</v>
      </c>
      <c r="G66" s="761">
        <f t="shared" ref="G66" si="21">SUM(G59:G65)</f>
        <v>2017.1193608378353</v>
      </c>
      <c r="H66" s="761">
        <f>SUM(H59:H65)</f>
        <v>2013.0684062220444</v>
      </c>
      <c r="I66" s="761">
        <f>SUM(I59:I65)</f>
        <v>2257.6940264093173</v>
      </c>
      <c r="J66" s="761">
        <f>SUM(J59:J65)</f>
        <v>2515.8715584158849</v>
      </c>
    </row>
    <row r="67" spans="2:10" ht="13.2" customHeight="1"/>
    <row r="68" spans="2:10">
      <c r="B68" s="1025" t="s">
        <v>2058</v>
      </c>
      <c r="C68" s="1025"/>
      <c r="D68" s="1025"/>
      <c r="E68" s="1025"/>
      <c r="F68" s="1025"/>
      <c r="G68" s="1025"/>
      <c r="H68" s="1025"/>
      <c r="I68" s="1025"/>
      <c r="J68" s="1025"/>
    </row>
    <row r="70" spans="2:10">
      <c r="B70" s="230"/>
      <c r="C70" s="221"/>
      <c r="D70" s="221"/>
      <c r="E70" s="221"/>
      <c r="F70" s="221"/>
      <c r="G70" s="221" t="s">
        <v>259</v>
      </c>
      <c r="H70" s="215">
        <v>2018</v>
      </c>
      <c r="I70" s="215">
        <v>2019</v>
      </c>
      <c r="J70" s="215">
        <v>2020</v>
      </c>
    </row>
    <row r="71" spans="2:10">
      <c r="B71" s="9"/>
      <c r="C71" s="43"/>
      <c r="D71" s="231"/>
      <c r="E71" s="231"/>
      <c r="F71" s="231"/>
      <c r="G71" s="543" t="s">
        <v>2090</v>
      </c>
      <c r="H71" s="231">
        <f>'Func Results 2018'!$C$87</f>
        <v>2017.4544062220446</v>
      </c>
      <c r="I71" s="231">
        <f>'Func Results 2019'!$C$87</f>
        <v>2163.9551874362955</v>
      </c>
      <c r="J71" s="231">
        <f>'Func Results 2020'!$C$87</f>
        <v>2420.3783194428638</v>
      </c>
    </row>
    <row r="72" spans="2:10">
      <c r="B72" s="9"/>
      <c r="C72" s="232"/>
      <c r="D72" s="231"/>
      <c r="E72" s="231"/>
      <c r="F72" s="231"/>
      <c r="G72" s="543" t="s">
        <v>2091</v>
      </c>
      <c r="H72" s="231">
        <f>H71*'Func Results 2018'!D69-'Func Results 2018'!C93+'Func Results 2018'!C94</f>
        <v>1152.131700208382</v>
      </c>
      <c r="I72" s="231">
        <f>I71*'Func Results 2019'!D69-'Func Results 2019'!C93+'Func Results 2019'!C94</f>
        <v>1314.1633162394205</v>
      </c>
      <c r="J72" s="231">
        <f>J71*'Func Results 2020'!D69-'Func Results 2020'!C93+'Func Results 2020'!C94</f>
        <v>1433.7761003645362</v>
      </c>
    </row>
    <row r="73" spans="2:10">
      <c r="B73" s="9"/>
      <c r="C73" s="232"/>
      <c r="D73" s="233"/>
      <c r="E73" s="231"/>
      <c r="F73" s="231"/>
      <c r="G73" s="9" t="s">
        <v>74</v>
      </c>
      <c r="H73" s="231">
        <f>H71*'Func Results 2018'!E69</f>
        <v>474.60566726582607</v>
      </c>
      <c r="I73" s="231">
        <f>I71*'Func Results 2019'!E69</f>
        <v>507.79916070779052</v>
      </c>
      <c r="J73" s="231">
        <f>J71*'Func Results 2020'!E69</f>
        <v>570.13047508514683</v>
      </c>
    </row>
    <row r="74" spans="2:10">
      <c r="B74" s="9"/>
      <c r="C74" s="232"/>
      <c r="D74" s="233"/>
      <c r="E74" s="231"/>
      <c r="F74" s="231"/>
      <c r="G74" s="9" t="s">
        <v>50</v>
      </c>
      <c r="H74" s="231">
        <f>H71*'Func Results 2018'!F69</f>
        <v>386.3310387478366</v>
      </c>
      <c r="I74" s="231">
        <f>I71*'Func Results 2019'!F69</f>
        <v>435.73154946210514</v>
      </c>
      <c r="J74" s="231">
        <f>J71*'Func Results 2020'!F69</f>
        <v>511.96498296620172</v>
      </c>
    </row>
    <row r="75" spans="2:10">
      <c r="B75" s="234"/>
      <c r="C75" s="231"/>
      <c r="D75" s="235"/>
      <c r="E75" s="235"/>
      <c r="F75" s="235"/>
      <c r="G75" s="235" t="s">
        <v>2089</v>
      </c>
      <c r="H75" s="235">
        <f>SUM(H72:H74)-H71+'Func Results 2018'!C93-'Func Results 2018'!C94</f>
        <v>4.4408920985006262E-14</v>
      </c>
      <c r="I75" s="235">
        <f>SUM(I72:I74)-I71+'Func Results 2019'!C93-'Func Results 2019'!C94</f>
        <v>0</v>
      </c>
      <c r="J75" s="235">
        <f>SUM(J72:J74)-J71+'Func Results 2020'!C93-'Func Results 2020'!C94</f>
        <v>2.7000623958883807E-13</v>
      </c>
    </row>
    <row r="76" spans="2:10">
      <c r="B76" s="9"/>
      <c r="C76" s="9"/>
      <c r="D76" s="9"/>
      <c r="E76" s="9"/>
      <c r="F76" s="9"/>
      <c r="G76" s="9"/>
      <c r="H76" s="9"/>
      <c r="I76" s="9"/>
      <c r="J76" s="9"/>
    </row>
    <row r="77" spans="2:10">
      <c r="B77" s="230"/>
      <c r="C77" s="230"/>
      <c r="D77" s="221"/>
      <c r="E77" s="221"/>
      <c r="F77" s="221"/>
      <c r="G77" s="221" t="s">
        <v>259</v>
      </c>
      <c r="H77" s="215">
        <v>2018</v>
      </c>
      <c r="I77" s="215">
        <v>2019</v>
      </c>
      <c r="J77" s="215">
        <v>2020</v>
      </c>
    </row>
    <row r="78" spans="2:10">
      <c r="B78" s="9"/>
      <c r="C78" s="9"/>
      <c r="D78" s="193"/>
      <c r="E78" s="193"/>
      <c r="F78" s="193"/>
      <c r="G78" s="9" t="s">
        <v>249</v>
      </c>
      <c r="H78" s="193">
        <f>H72*$D$46</f>
        <v>1076.6245642120764</v>
      </c>
      <c r="I78" s="193">
        <f t="shared" ref="I78:J78" si="22">I72*$D$46</f>
        <v>1228.0371309928044</v>
      </c>
      <c r="J78" s="193">
        <f t="shared" si="22"/>
        <v>1339.810864464077</v>
      </c>
    </row>
    <row r="79" spans="2:10">
      <c r="B79" s="9"/>
      <c r="C79" s="9"/>
      <c r="D79" s="193"/>
      <c r="E79" s="193"/>
      <c r="F79" s="193"/>
      <c r="G79" s="9" t="s">
        <v>250</v>
      </c>
      <c r="H79" s="193">
        <f>H72*$D$47</f>
        <v>75.507135996305564</v>
      </c>
      <c r="I79" s="193">
        <f>I72*$D$47</f>
        <v>86.126185246616075</v>
      </c>
      <c r="J79" s="193">
        <f>J72*$D$47</f>
        <v>93.965235900459163</v>
      </c>
    </row>
    <row r="80" spans="2:10">
      <c r="B80" s="9"/>
      <c r="C80" s="9"/>
      <c r="D80" s="9"/>
      <c r="E80" s="9"/>
      <c r="F80" s="9"/>
      <c r="G80" s="9"/>
      <c r="H80" s="9"/>
      <c r="I80" s="9"/>
      <c r="J80" s="9"/>
    </row>
    <row r="81" spans="2:11">
      <c r="B81" s="9"/>
      <c r="C81" s="9"/>
      <c r="D81" s="193"/>
      <c r="E81" s="193"/>
      <c r="F81" s="193"/>
      <c r="G81" s="9" t="s">
        <v>254</v>
      </c>
      <c r="H81" s="193">
        <f>H73*$E$46</f>
        <v>424.97904038904551</v>
      </c>
      <c r="I81" s="193">
        <f t="shared" ref="I81:J81" si="23">I73*$E$46</f>
        <v>454.7016921883656</v>
      </c>
      <c r="J81" s="193">
        <f t="shared" si="23"/>
        <v>510.515400277612</v>
      </c>
    </row>
    <row r="82" spans="2:11">
      <c r="B82" s="9"/>
      <c r="C82" s="9"/>
      <c r="D82" s="193"/>
      <c r="E82" s="193"/>
      <c r="F82" s="193"/>
      <c r="G82" s="9" t="s">
        <v>255</v>
      </c>
      <c r="H82" s="193">
        <f>H73*$E$47</f>
        <v>49.626626876780598</v>
      </c>
      <c r="I82" s="193">
        <f>I73*$E$47</f>
        <v>53.097468519424936</v>
      </c>
      <c r="J82" s="193">
        <f>J73*$E$47</f>
        <v>59.615074807534896</v>
      </c>
    </row>
    <row r="83" spans="2:11">
      <c r="B83" s="9"/>
      <c r="C83" s="9"/>
      <c r="D83" s="9"/>
      <c r="E83" s="9"/>
      <c r="F83" s="9"/>
      <c r="G83" s="9"/>
      <c r="H83" s="9"/>
      <c r="I83" s="9"/>
      <c r="J83" s="9"/>
    </row>
    <row r="84" spans="2:11">
      <c r="B84" s="34"/>
      <c r="C84" s="34"/>
      <c r="D84" s="236"/>
      <c r="E84" s="236"/>
      <c r="F84" s="236"/>
      <c r="G84" s="34" t="s">
        <v>50</v>
      </c>
      <c r="H84" s="236">
        <f>H74</f>
        <v>386.3310387478366</v>
      </c>
      <c r="I84" s="236">
        <f t="shared" ref="I84:J84" si="24">I74</f>
        <v>435.73154946210514</v>
      </c>
      <c r="J84" s="236">
        <f t="shared" si="24"/>
        <v>511.96498296620172</v>
      </c>
    </row>
    <row r="85" spans="2:11">
      <c r="B85" s="161"/>
      <c r="C85" s="161"/>
      <c r="D85" s="237"/>
      <c r="E85" s="237"/>
      <c r="F85" s="237"/>
      <c r="G85" s="161" t="s">
        <v>48</v>
      </c>
      <c r="H85" s="237">
        <f t="shared" ref="H85:J85" si="25">SUM(H78:H84)</f>
        <v>2013.0684062220448</v>
      </c>
      <c r="I85" s="237">
        <f t="shared" si="25"/>
        <v>2257.6940264093159</v>
      </c>
      <c r="J85" s="237">
        <f t="shared" si="25"/>
        <v>2515.8715584158849</v>
      </c>
    </row>
    <row r="87" spans="2:11">
      <c r="B87" s="1024" t="s">
        <v>2063</v>
      </c>
      <c r="C87" s="1024"/>
      <c r="D87" s="1024"/>
      <c r="E87" s="1024"/>
      <c r="F87" s="1024"/>
      <c r="G87" s="1024"/>
      <c r="H87" s="1024"/>
      <c r="I87" s="1024"/>
      <c r="J87" s="1024"/>
      <c r="K87" s="1024"/>
    </row>
    <row r="88" spans="2:11">
      <c r="C88" s="786"/>
      <c r="D88" s="786"/>
      <c r="E88" s="786"/>
      <c r="F88" s="786"/>
      <c r="G88" s="786"/>
      <c r="H88" s="786"/>
      <c r="I88" s="786"/>
      <c r="J88" s="786"/>
    </row>
    <row r="89" spans="2:11">
      <c r="B89" s="238" t="s">
        <v>2062</v>
      </c>
      <c r="C89" s="779"/>
      <c r="D89" s="779">
        <v>2007</v>
      </c>
      <c r="E89" s="779">
        <v>2014</v>
      </c>
      <c r="F89" s="779">
        <f>E89+1</f>
        <v>2015</v>
      </c>
      <c r="G89" s="779">
        <f t="shared" ref="G89:J89" si="26">F89+1</f>
        <v>2016</v>
      </c>
      <c r="H89" s="779">
        <f t="shared" si="26"/>
        <v>2017</v>
      </c>
      <c r="I89" s="779">
        <f t="shared" si="26"/>
        <v>2018</v>
      </c>
      <c r="J89" s="779">
        <f t="shared" si="26"/>
        <v>2019</v>
      </c>
      <c r="K89" s="779">
        <f>J89+1</f>
        <v>2020</v>
      </c>
    </row>
    <row r="90" spans="2:11">
      <c r="B90" s="4" t="s">
        <v>49</v>
      </c>
      <c r="C90" s="786"/>
      <c r="D90" s="239">
        <v>0.41699999999999998</v>
      </c>
      <c r="E90" s="240">
        <v>0.5281532656516521</v>
      </c>
      <c r="F90" s="240">
        <v>0.58213266116181828</v>
      </c>
      <c r="G90" s="240">
        <v>0.59216812767308835</v>
      </c>
      <c r="H90" s="241">
        <f>G40</f>
        <v>0.51772985705084362</v>
      </c>
      <c r="I90" s="241">
        <f t="shared" ref="I90:K90" si="27">H40</f>
        <v>0.51405907142161578</v>
      </c>
      <c r="J90" s="241">
        <f t="shared" si="27"/>
        <v>0.52768821189714932</v>
      </c>
      <c r="K90" s="241">
        <f t="shared" si="27"/>
        <v>0.51692657133398034</v>
      </c>
    </row>
    <row r="91" spans="2:11">
      <c r="B91" s="4" t="s">
        <v>74</v>
      </c>
      <c r="C91" s="786"/>
      <c r="D91" s="239">
        <v>0.17399999999999999</v>
      </c>
      <c r="E91" s="240">
        <v>0.24387217632117442</v>
      </c>
      <c r="F91" s="240">
        <v>0.22315496439995261</v>
      </c>
      <c r="G91" s="240">
        <v>0.21599177021978588</v>
      </c>
      <c r="H91" s="241">
        <f t="shared" ref="H91:K91" si="28">G41</f>
        <v>0.2610353836769117</v>
      </c>
      <c r="I91" s="241">
        <f t="shared" si="28"/>
        <v>0.25758894447894976</v>
      </c>
      <c r="J91" s="241">
        <f t="shared" si="28"/>
        <v>0.24505664110307701</v>
      </c>
      <c r="K91" s="241">
        <f t="shared" si="28"/>
        <v>0.24584169603111261</v>
      </c>
    </row>
    <row r="92" spans="2:11">
      <c r="B92" s="4" t="s">
        <v>50</v>
      </c>
      <c r="C92" s="786"/>
      <c r="D92" s="239">
        <v>0.40899999999999997</v>
      </c>
      <c r="E92" s="240">
        <v>0.22797455802717356</v>
      </c>
      <c r="F92" s="240">
        <v>0.19471237443822906</v>
      </c>
      <c r="G92" s="240">
        <v>0.1918401021071259</v>
      </c>
      <c r="H92" s="241">
        <f t="shared" ref="H92:K92" si="29">G42</f>
        <v>0.22123475927224479</v>
      </c>
      <c r="I92" s="241">
        <f t="shared" si="29"/>
        <v>0.22835198409943447</v>
      </c>
      <c r="J92" s="241">
        <f t="shared" si="29"/>
        <v>0.22725514699977375</v>
      </c>
      <c r="K92" s="241">
        <f t="shared" si="29"/>
        <v>0.23723173263490704</v>
      </c>
    </row>
    <row r="93" spans="2:11">
      <c r="C93" s="786"/>
      <c r="D93" s="242"/>
      <c r="E93" s="786"/>
      <c r="F93" s="786"/>
      <c r="G93" s="786"/>
      <c r="H93" s="786"/>
      <c r="I93" s="786"/>
      <c r="J93" s="786"/>
    </row>
  </sheetData>
  <mergeCells count="4">
    <mergeCell ref="B87:K87"/>
    <mergeCell ref="B49:J49"/>
    <mergeCell ref="B68:J68"/>
    <mergeCell ref="L38:M38"/>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ignoredErrors>
    <ignoredError sqref="E66:F66" emptyCellReferenc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2" tint="-0.499984740745262"/>
  </sheetPr>
  <dimension ref="B2:F39"/>
  <sheetViews>
    <sheetView showGridLines="0" topLeftCell="A25" workbookViewId="0">
      <selection activeCell="C39" sqref="A1:C39"/>
    </sheetView>
  </sheetViews>
  <sheetFormatPr defaultColWidth="9.109375" defaultRowHeight="13.8"/>
  <cols>
    <col min="1" max="1" width="4" style="4" customWidth="1"/>
    <col min="2" max="2" width="9.109375" style="4"/>
    <col min="3" max="3" width="67.109375" style="4" customWidth="1"/>
    <col min="4" max="16384" width="9.109375" style="4"/>
  </cols>
  <sheetData>
    <row r="2" spans="2:6">
      <c r="B2" s="1027" t="s">
        <v>654</v>
      </c>
      <c r="C2" s="1027"/>
      <c r="D2" s="9"/>
      <c r="E2" s="9"/>
      <c r="F2" s="9"/>
    </row>
    <row r="3" spans="2:6">
      <c r="B3" s="9"/>
      <c r="C3" s="9"/>
      <c r="D3" s="9"/>
      <c r="E3" s="9"/>
      <c r="F3" s="9"/>
    </row>
    <row r="4" spans="2:6">
      <c r="B4" s="27" t="s">
        <v>322</v>
      </c>
      <c r="C4" s="27" t="s">
        <v>321</v>
      </c>
      <c r="D4" s="9"/>
      <c r="E4" s="9"/>
      <c r="F4" s="9"/>
    </row>
    <row r="5" spans="2:6">
      <c r="B5" s="9"/>
      <c r="C5" s="9"/>
      <c r="D5" s="9"/>
      <c r="E5" s="9"/>
      <c r="F5" s="9"/>
    </row>
    <row r="6" spans="2:6">
      <c r="B6" s="9" t="s">
        <v>320</v>
      </c>
      <c r="C6" s="9" t="s">
        <v>319</v>
      </c>
      <c r="D6" s="9"/>
      <c r="E6" s="9"/>
      <c r="F6" s="9"/>
    </row>
    <row r="7" spans="2:6">
      <c r="B7" s="9" t="s">
        <v>318</v>
      </c>
      <c r="C7" s="9" t="s">
        <v>317</v>
      </c>
      <c r="D7" s="9"/>
      <c r="E7" s="9"/>
      <c r="F7" s="9"/>
    </row>
    <row r="8" spans="2:6">
      <c r="B8" s="9" t="s">
        <v>316</v>
      </c>
      <c r="C8" s="9" t="s">
        <v>315</v>
      </c>
      <c r="D8" s="9"/>
      <c r="E8" s="9"/>
      <c r="F8" s="9"/>
    </row>
    <row r="9" spans="2:6">
      <c r="B9" s="9" t="s">
        <v>314</v>
      </c>
      <c r="C9" s="9" t="s">
        <v>313</v>
      </c>
      <c r="D9" s="9"/>
      <c r="E9" s="9"/>
      <c r="F9" s="9"/>
    </row>
    <row r="11" spans="2:6">
      <c r="B11" s="4" t="s">
        <v>312</v>
      </c>
      <c r="C11" s="4" t="s">
        <v>311</v>
      </c>
    </row>
    <row r="12" spans="2:6">
      <c r="B12" s="4" t="s">
        <v>310</v>
      </c>
      <c r="C12" s="4" t="s">
        <v>309</v>
      </c>
    </row>
    <row r="13" spans="2:6">
      <c r="B13" s="4" t="s">
        <v>308</v>
      </c>
      <c r="C13" s="4" t="s">
        <v>307</v>
      </c>
    </row>
    <row r="14" spans="2:6">
      <c r="B14" s="4" t="s">
        <v>306</v>
      </c>
      <c r="C14" s="4" t="s">
        <v>305</v>
      </c>
    </row>
    <row r="15" spans="2:6">
      <c r="B15" s="4" t="s">
        <v>304</v>
      </c>
      <c r="C15" s="4" t="s">
        <v>303</v>
      </c>
    </row>
    <row r="16" spans="2:6">
      <c r="B16" s="4" t="s">
        <v>302</v>
      </c>
      <c r="C16" s="4" t="s">
        <v>301</v>
      </c>
    </row>
    <row r="17" spans="2:3">
      <c r="B17" s="4" t="s">
        <v>300</v>
      </c>
      <c r="C17" s="4" t="s">
        <v>299</v>
      </c>
    </row>
    <row r="18" spans="2:3">
      <c r="B18" s="4" t="s">
        <v>298</v>
      </c>
      <c r="C18" s="4" t="s">
        <v>297</v>
      </c>
    </row>
    <row r="20" spans="2:3">
      <c r="B20" s="4" t="s">
        <v>296</v>
      </c>
      <c r="C20" s="4" t="s">
        <v>295</v>
      </c>
    </row>
    <row r="21" spans="2:3">
      <c r="B21" s="4" t="s">
        <v>294</v>
      </c>
      <c r="C21" s="4" t="s">
        <v>293</v>
      </c>
    </row>
    <row r="22" spans="2:3">
      <c r="B22" s="4" t="s">
        <v>292</v>
      </c>
      <c r="C22" s="4" t="s">
        <v>291</v>
      </c>
    </row>
    <row r="23" spans="2:3">
      <c r="B23" s="4" t="s">
        <v>290</v>
      </c>
      <c r="C23" s="4" t="s">
        <v>289</v>
      </c>
    </row>
    <row r="24" spans="2:3">
      <c r="B24" s="4" t="s">
        <v>288</v>
      </c>
      <c r="C24" s="4" t="s">
        <v>287</v>
      </c>
    </row>
    <row r="25" spans="2:3">
      <c r="B25" s="4" t="s">
        <v>286</v>
      </c>
      <c r="C25" s="4" t="s">
        <v>285</v>
      </c>
    </row>
    <row r="26" spans="2:3">
      <c r="B26" s="4" t="s">
        <v>284</v>
      </c>
      <c r="C26" s="4" t="s">
        <v>283</v>
      </c>
    </row>
    <row r="28" spans="2:3">
      <c r="B28" s="4" t="s">
        <v>282</v>
      </c>
      <c r="C28" s="4" t="s">
        <v>281</v>
      </c>
    </row>
    <row r="29" spans="2:3">
      <c r="B29" s="4" t="s">
        <v>280</v>
      </c>
      <c r="C29" s="4" t="s">
        <v>279</v>
      </c>
    </row>
    <row r="30" spans="2:3">
      <c r="B30" s="4" t="s">
        <v>278</v>
      </c>
      <c r="C30" s="4" t="s">
        <v>277</v>
      </c>
    </row>
    <row r="31" spans="2:3">
      <c r="B31" s="4" t="s">
        <v>276</v>
      </c>
      <c r="C31" s="4" t="s">
        <v>275</v>
      </c>
    </row>
    <row r="33" spans="2:3">
      <c r="B33" s="4" t="s">
        <v>274</v>
      </c>
      <c r="C33" s="4" t="s">
        <v>273</v>
      </c>
    </row>
    <row r="34" spans="2:3">
      <c r="B34" s="4" t="s">
        <v>272</v>
      </c>
      <c r="C34" s="4" t="s">
        <v>271</v>
      </c>
    </row>
    <row r="35" spans="2:3">
      <c r="B35" s="4" t="s">
        <v>270</v>
      </c>
      <c r="C35" s="4" t="s">
        <v>269</v>
      </c>
    </row>
    <row r="36" spans="2:3">
      <c r="B36" s="4" t="s">
        <v>268</v>
      </c>
      <c r="C36" s="4" t="s">
        <v>267</v>
      </c>
    </row>
    <row r="37" spans="2:3">
      <c r="B37" s="4" t="s">
        <v>266</v>
      </c>
      <c r="C37" s="4" t="s">
        <v>265</v>
      </c>
    </row>
    <row r="38" spans="2:3">
      <c r="B38" s="4" t="s">
        <v>264</v>
      </c>
      <c r="C38" s="4" t="s">
        <v>263</v>
      </c>
    </row>
    <row r="39" spans="2:3">
      <c r="B39" s="4" t="s">
        <v>262</v>
      </c>
      <c r="C39" s="4" t="s">
        <v>261</v>
      </c>
    </row>
  </sheetData>
  <mergeCells count="1">
    <mergeCell ref="B2:C2"/>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2" tint="-0.499984740745262"/>
  </sheetPr>
  <dimension ref="A1:Y46"/>
  <sheetViews>
    <sheetView showGridLines="0" zoomScale="70" zoomScaleNormal="70" workbookViewId="0">
      <selection activeCell="C25" sqref="C1:F1048576"/>
    </sheetView>
  </sheetViews>
  <sheetFormatPr defaultColWidth="9.109375" defaultRowHeight="13.8"/>
  <cols>
    <col min="1" max="1" width="24.33203125" style="4" customWidth="1"/>
    <col min="2" max="2" width="12.6640625" style="4" customWidth="1"/>
    <col min="3" max="5" width="12.6640625" style="4" bestFit="1" customWidth="1"/>
    <col min="6" max="6" width="13.88671875" style="4" bestFit="1" customWidth="1"/>
    <col min="7" max="7" width="14.33203125" style="4" bestFit="1" customWidth="1"/>
    <col min="8" max="8" width="13.88671875" style="4" bestFit="1" customWidth="1"/>
    <col min="9" max="9" width="14.33203125" style="4" bestFit="1" customWidth="1"/>
    <col min="10" max="10" width="13.88671875" style="4" bestFit="1" customWidth="1"/>
    <col min="11" max="13" width="9.109375" style="4"/>
    <col min="14" max="14" width="31.33203125" style="4" bestFit="1" customWidth="1"/>
    <col min="15" max="16" width="9.109375" style="4"/>
    <col min="17" max="17" width="10" style="4" customWidth="1"/>
    <col min="18" max="16384" width="9.109375" style="4"/>
  </cols>
  <sheetData>
    <row r="1" spans="1:25">
      <c r="A1" s="192" t="s">
        <v>330</v>
      </c>
      <c r="B1" s="68"/>
      <c r="C1" s="68">
        <v>2010</v>
      </c>
      <c r="D1" s="68">
        <v>2011</v>
      </c>
      <c r="E1" s="68">
        <v>2012</v>
      </c>
      <c r="F1" s="68">
        <v>2013</v>
      </c>
      <c r="G1" s="68">
        <v>2014</v>
      </c>
      <c r="H1" s="68">
        <v>2015</v>
      </c>
      <c r="I1" s="68">
        <v>2016</v>
      </c>
      <c r="J1" s="68">
        <v>2017</v>
      </c>
      <c r="N1" s="192" t="s">
        <v>655</v>
      </c>
      <c r="O1" s="68" t="s">
        <v>344</v>
      </c>
      <c r="P1" s="68" t="s">
        <v>343</v>
      </c>
      <c r="Q1" s="68" t="s">
        <v>342</v>
      </c>
      <c r="R1" s="205" t="s">
        <v>341</v>
      </c>
      <c r="S1" s="68" t="s">
        <v>340</v>
      </c>
      <c r="T1" s="68" t="s">
        <v>339</v>
      </c>
      <c r="U1" s="68" t="s">
        <v>338</v>
      </c>
      <c r="V1" s="68" t="s">
        <v>337</v>
      </c>
      <c r="W1" s="68" t="s">
        <v>1510</v>
      </c>
      <c r="X1" s="68" t="s">
        <v>2046</v>
      </c>
      <c r="Y1" s="68" t="s">
        <v>2047</v>
      </c>
    </row>
    <row r="2" spans="1:25" hidden="1">
      <c r="A2" s="9"/>
      <c r="B2" s="43" t="s">
        <v>329</v>
      </c>
      <c r="C2" s="206"/>
      <c r="D2" s="206"/>
      <c r="E2" s="9"/>
      <c r="F2" s="9"/>
      <c r="G2" s="9"/>
      <c r="H2" s="9"/>
      <c r="I2" s="9"/>
      <c r="J2" s="9"/>
      <c r="N2" s="9"/>
    </row>
    <row r="3" spans="1:25" ht="5.25" customHeight="1">
      <c r="A3" s="9"/>
      <c r="B3" s="9"/>
      <c r="C3" s="195"/>
      <c r="D3" s="195"/>
      <c r="E3" s="9"/>
      <c r="F3" s="9"/>
      <c r="G3" s="9"/>
      <c r="H3" s="9"/>
      <c r="I3" s="9"/>
      <c r="J3" s="9"/>
      <c r="N3" s="9"/>
    </row>
    <row r="4" spans="1:25">
      <c r="A4" s="9" t="s">
        <v>4</v>
      </c>
      <c r="B4" s="43" t="s">
        <v>328</v>
      </c>
      <c r="C4" s="14">
        <f>'AL Sch 1.0'!B13</f>
        <v>283515889.21408027</v>
      </c>
      <c r="D4" s="14">
        <f>'AL Sch 1.0'!C13</f>
        <v>351752643.86822355</v>
      </c>
      <c r="E4" s="14">
        <f>'AL Sch 1.0'!D13</f>
        <v>378534593.16728121</v>
      </c>
      <c r="F4" s="14">
        <f>'AL Sch 1.0'!E13</f>
        <v>493333995.38388914</v>
      </c>
      <c r="G4" s="14">
        <f>'AL Sch 1.0'!F13</f>
        <v>542657852.21714902</v>
      </c>
      <c r="H4" s="14">
        <f>'AL Sch 1.0'!G13</f>
        <v>747622816.82075298</v>
      </c>
      <c r="I4" s="14">
        <f>'AL Sch 1.0'!H13</f>
        <v>845354103.58121395</v>
      </c>
      <c r="J4" s="14">
        <f>'AL Sch 1.0'!I13</f>
        <v>890659274.02354205</v>
      </c>
      <c r="N4" s="9" t="s">
        <v>4</v>
      </c>
      <c r="O4" s="128" t="e">
        <f>#REF!/#REF!-1</f>
        <v>#REF!</v>
      </c>
      <c r="P4" s="128" t="e">
        <f>#REF!/#REF!-1</f>
        <v>#REF!</v>
      </c>
      <c r="Q4" s="128" t="e">
        <f>#REF!/#REF!-1</f>
        <v>#REF!</v>
      </c>
      <c r="R4" s="128" t="e">
        <f>C4/#REF!-1</f>
        <v>#REF!</v>
      </c>
      <c r="S4" s="128">
        <f t="shared" ref="S4:S7" si="0">D4/C4-1</f>
        <v>0.24068053061611061</v>
      </c>
      <c r="T4" s="128">
        <f t="shared" ref="T4:T7" si="1">E4/D4-1</f>
        <v>7.6138587060886165E-2</v>
      </c>
      <c r="U4" s="128">
        <f t="shared" ref="U4:U7" si="2">F4/E4-1</f>
        <v>0.30327321277576336</v>
      </c>
      <c r="V4" s="128">
        <f t="shared" ref="V4:V7" si="3">G4/F4-1</f>
        <v>9.9980656704751203E-2</v>
      </c>
      <c r="W4" s="128">
        <f>H4/G4-1</f>
        <v>0.3777057012372973</v>
      </c>
      <c r="X4" s="128">
        <f>I4/H4-1</f>
        <v>0.13072271814290093</v>
      </c>
      <c r="Y4" s="128">
        <f>J4/I4-1</f>
        <v>5.3593127720560796E-2</v>
      </c>
    </row>
    <row r="5" spans="1:25">
      <c r="A5" s="9" t="s">
        <v>28</v>
      </c>
      <c r="B5" s="43" t="s">
        <v>327</v>
      </c>
      <c r="C5" s="14">
        <f>'AT Sch 1.0'!B13</f>
        <v>244277999.99999997</v>
      </c>
      <c r="D5" s="14">
        <f>'AT Sch 1.0'!C13</f>
        <v>313295000</v>
      </c>
      <c r="E5" s="14">
        <f>'AT Sch 1.0'!D13</f>
        <v>402249999.99999994</v>
      </c>
      <c r="F5" s="14">
        <f>'AT Sch 1.0'!E13</f>
        <v>486569407.57520157</v>
      </c>
      <c r="G5" s="14">
        <f>'AT Sch 1.0'!F13</f>
        <v>563625480.5582757</v>
      </c>
      <c r="H5" s="14">
        <f>'AT Sch 1.0'!G13</f>
        <v>721065192.27481472</v>
      </c>
      <c r="I5" s="14">
        <f>'AT Sch 1.0'!H13</f>
        <v>845612753.11800325</v>
      </c>
      <c r="J5" s="14">
        <f>'AT Sch 1.0'!I13</f>
        <v>884424466.82401264</v>
      </c>
      <c r="N5" s="9" t="s">
        <v>28</v>
      </c>
      <c r="O5" s="128" t="e">
        <f>#REF!/#REF!-1</f>
        <v>#REF!</v>
      </c>
      <c r="P5" s="128" t="e">
        <f>#REF!/#REF!-1</f>
        <v>#REF!</v>
      </c>
      <c r="Q5" s="128" t="e">
        <f>#REF!/#REF!-1</f>
        <v>#REF!</v>
      </c>
      <c r="R5" s="128" t="e">
        <f>C5/#REF!-1</f>
        <v>#REF!</v>
      </c>
      <c r="S5" s="128">
        <f t="shared" si="0"/>
        <v>0.28253465314109349</v>
      </c>
      <c r="T5" s="128">
        <f t="shared" si="1"/>
        <v>0.28393367273655801</v>
      </c>
      <c r="U5" s="128">
        <f t="shared" si="2"/>
        <v>0.20961940975811477</v>
      </c>
      <c r="V5" s="128">
        <f t="shared" si="3"/>
        <v>0.15836604559065859</v>
      </c>
      <c r="W5" s="128">
        <f t="shared" ref="W5:W6" si="4">H5/G5-1</f>
        <v>0.27933391435850918</v>
      </c>
      <c r="X5" s="128">
        <f t="shared" ref="X5:X7" si="5">I5/H5-1</f>
        <v>0.17272718497236861</v>
      </c>
      <c r="Y5" s="128">
        <f t="shared" ref="Y5:Y6" si="6">J5/I5-1</f>
        <v>4.5897739317317665E-2</v>
      </c>
    </row>
    <row r="6" spans="1:25">
      <c r="A6" s="9" t="s">
        <v>64</v>
      </c>
      <c r="B6" s="784" t="s">
        <v>326</v>
      </c>
      <c r="C6" s="14">
        <f>'EN Sch 1.0'!B14</f>
        <v>37924000</v>
      </c>
      <c r="D6" s="14">
        <f>'EN Sch 1.0'!C14</f>
        <v>40574000</v>
      </c>
      <c r="E6" s="17">
        <f>'EN Sch 1.0'!D14</f>
        <v>42231000</v>
      </c>
      <c r="F6" s="17">
        <f>'EN Sch 1.0'!E14</f>
        <v>54779000.000000007</v>
      </c>
      <c r="G6" s="17">
        <f>'EN Sch 1.0'!F14</f>
        <v>65208000.000000007</v>
      </c>
      <c r="H6" s="17">
        <f>'EN Sch 1.0'!G14</f>
        <v>73930000</v>
      </c>
      <c r="I6" s="17">
        <f>'EN Sch 1.0'!H14</f>
        <v>75192360.484999985</v>
      </c>
      <c r="J6" s="17">
        <f>'EN Sch 1.0'!I14</f>
        <v>81857766.347000003</v>
      </c>
      <c r="N6" s="9" t="s">
        <v>64</v>
      </c>
      <c r="O6" s="128" t="e">
        <f>#REF!/#REF!-1</f>
        <v>#REF!</v>
      </c>
      <c r="P6" s="128" t="e">
        <f>#REF!/#REF!-1</f>
        <v>#REF!</v>
      </c>
      <c r="Q6" s="128" t="e">
        <f>#REF!/#REF!-1</f>
        <v>#REF!</v>
      </c>
      <c r="R6" s="128" t="e">
        <f>C6/#REF!-1</f>
        <v>#REF!</v>
      </c>
      <c r="S6" s="128">
        <f t="shared" si="0"/>
        <v>6.9876595295854882E-2</v>
      </c>
      <c r="T6" s="128">
        <f t="shared" si="1"/>
        <v>4.083896091092809E-2</v>
      </c>
      <c r="U6" s="128">
        <f t="shared" si="2"/>
        <v>0.297127702398712</v>
      </c>
      <c r="V6" s="128">
        <f t="shared" si="3"/>
        <v>0.19038317603461175</v>
      </c>
      <c r="W6" s="128">
        <f t="shared" si="4"/>
        <v>0.13375659428290998</v>
      </c>
      <c r="X6" s="128">
        <f t="shared" si="5"/>
        <v>1.7075077573380115E-2</v>
      </c>
      <c r="Y6" s="128">
        <f t="shared" si="6"/>
        <v>8.8644721604792531E-2</v>
      </c>
    </row>
    <row r="7" spans="1:25">
      <c r="A7" s="9" t="s">
        <v>38</v>
      </c>
      <c r="B7" s="784" t="s">
        <v>325</v>
      </c>
      <c r="C7" s="14">
        <f>'EP Sch 1.0'!B14</f>
        <v>55136688.416599996</v>
      </c>
      <c r="D7" s="14">
        <f>'EP Sch 1.0'!C14</f>
        <v>58660363.950000003</v>
      </c>
      <c r="E7" s="17">
        <f>'EP Sch 1.0'!D14</f>
        <v>65447452</v>
      </c>
      <c r="F7" s="17">
        <f>'EP Sch 1.0'!E14</f>
        <v>70885055.790721998</v>
      </c>
      <c r="G7" s="17">
        <f>'EP Sch 1.0'!F14</f>
        <v>94480927.631316692</v>
      </c>
      <c r="H7" s="17">
        <f>'EP Sch 1.0'!G14</f>
        <v>93867300.420828581</v>
      </c>
      <c r="I7" s="17">
        <f>'EP Sch 1.0'!H14</f>
        <v>99816129.597767293</v>
      </c>
      <c r="J7" s="17">
        <f>'EP Sch 1.0'!I14</f>
        <v>98591311.302909508</v>
      </c>
      <c r="N7" s="34" t="s">
        <v>38</v>
      </c>
      <c r="O7" s="165" t="e">
        <f>#REF!/#REF!-1</f>
        <v>#REF!</v>
      </c>
      <c r="P7" s="165" t="e">
        <f>#REF!/#REF!-1</f>
        <v>#REF!</v>
      </c>
      <c r="Q7" s="165" t="e">
        <f>#REF!/#REF!-1</f>
        <v>#REF!</v>
      </c>
      <c r="R7" s="165" t="e">
        <f>C7/#REF!-1</f>
        <v>#REF!</v>
      </c>
      <c r="S7" s="165">
        <f t="shared" si="0"/>
        <v>6.390800090814186E-2</v>
      </c>
      <c r="T7" s="165">
        <f t="shared" si="1"/>
        <v>0.11570143096597674</v>
      </c>
      <c r="U7" s="165">
        <f t="shared" si="2"/>
        <v>8.3083506302460863E-2</v>
      </c>
      <c r="V7" s="165">
        <f t="shared" si="3"/>
        <v>0.33287512547437559</v>
      </c>
      <c r="W7" s="165">
        <f>H7/G7-1</f>
        <v>-6.4947204252968627E-3</v>
      </c>
      <c r="X7" s="165">
        <f t="shared" si="5"/>
        <v>6.3374882949320588E-2</v>
      </c>
      <c r="Y7" s="165">
        <f>J7/I7-1</f>
        <v>-1.2270745217165646E-2</v>
      </c>
    </row>
    <row r="8" spans="1:25">
      <c r="A8" s="9"/>
      <c r="B8" s="43"/>
      <c r="C8" s="9"/>
      <c r="D8" s="9"/>
      <c r="E8" s="11"/>
      <c r="F8" s="11"/>
      <c r="G8" s="11"/>
      <c r="H8" s="11"/>
      <c r="I8" s="11"/>
      <c r="J8" s="11"/>
    </row>
    <row r="9" spans="1:25">
      <c r="A9" s="105" t="s">
        <v>335</v>
      </c>
      <c r="B9" s="27"/>
      <c r="C9" s="163">
        <f t="shared" ref="C9:G9" si="7">SUM(C4:C7)</f>
        <v>620854577.6306802</v>
      </c>
      <c r="D9" s="163">
        <f t="shared" si="7"/>
        <v>764282007.8182236</v>
      </c>
      <c r="E9" s="620">
        <f t="shared" si="7"/>
        <v>888463045.16728115</v>
      </c>
      <c r="F9" s="620">
        <f t="shared" si="7"/>
        <v>1105567458.7498126</v>
      </c>
      <c r="G9" s="620">
        <f t="shared" si="7"/>
        <v>1265972260.4067414</v>
      </c>
      <c r="H9" s="620">
        <f t="shared" ref="H9:I9" si="8">SUM(H4:H7)</f>
        <v>1636485309.5163963</v>
      </c>
      <c r="I9" s="620">
        <f t="shared" si="8"/>
        <v>1865975346.7819846</v>
      </c>
      <c r="J9" s="620">
        <f t="shared" ref="J9" si="9">SUM(J4:J7)</f>
        <v>1955532818.4974644</v>
      </c>
      <c r="O9" s="128"/>
      <c r="P9" s="128"/>
      <c r="Q9" s="128"/>
      <c r="R9" s="128"/>
      <c r="S9" s="128"/>
    </row>
    <row r="10" spans="1:25">
      <c r="B10" s="786"/>
      <c r="C10" s="128"/>
      <c r="D10" s="128"/>
      <c r="E10" s="128"/>
      <c r="F10" s="128"/>
      <c r="G10" s="128"/>
      <c r="H10" s="128"/>
      <c r="I10" s="128"/>
      <c r="J10" s="128"/>
    </row>
    <row r="11" spans="1:25">
      <c r="A11" s="192" t="s">
        <v>336</v>
      </c>
      <c r="B11" s="68"/>
      <c r="C11" s="68">
        <v>2010</v>
      </c>
      <c r="D11" s="68">
        <v>2011</v>
      </c>
      <c r="E11" s="68">
        <v>2012</v>
      </c>
      <c r="F11" s="68">
        <v>2013</v>
      </c>
      <c r="G11" s="68">
        <v>2014</v>
      </c>
      <c r="H11" s="68">
        <v>2015</v>
      </c>
      <c r="I11" s="68">
        <v>2016</v>
      </c>
      <c r="J11" s="68">
        <v>2017</v>
      </c>
    </row>
    <row r="12" spans="1:25">
      <c r="A12" s="9"/>
      <c r="B12" s="43"/>
      <c r="C12" s="9"/>
      <c r="D12" s="9"/>
      <c r="E12" s="9"/>
      <c r="F12" s="9"/>
      <c r="G12" s="9"/>
      <c r="H12" s="9"/>
      <c r="I12" s="9"/>
      <c r="J12" s="9"/>
    </row>
    <row r="13" spans="1:25">
      <c r="A13" s="9" t="s">
        <v>4</v>
      </c>
      <c r="B13" s="43" t="s">
        <v>328</v>
      </c>
      <c r="C13" s="14">
        <f>'AL Sch 1.0'!B39</f>
        <v>63847612.820000008</v>
      </c>
      <c r="D13" s="14">
        <f>'AL Sch 1.0'!C39</f>
        <v>63109125.725229993</v>
      </c>
      <c r="E13" s="14">
        <f>'AL Sch 1.0'!D39</f>
        <v>80562572.61999999</v>
      </c>
      <c r="F13" s="14">
        <f>'AL Sch 1.0'!E39</f>
        <v>88488132.960000008</v>
      </c>
      <c r="G13" s="14">
        <f>'AL Sch 1.0'!F39</f>
        <v>106294966.83954561</v>
      </c>
      <c r="H13" s="14">
        <f>'AL Sch 1.0'!G39</f>
        <v>99376335.951101109</v>
      </c>
      <c r="I13" s="14">
        <f>'AL Sch 1.0'!H39</f>
        <v>110225804.50000001</v>
      </c>
      <c r="J13" s="14">
        <f>'AL Sch 1.0'!I39</f>
        <v>119961187.42779998</v>
      </c>
    </row>
    <row r="14" spans="1:25">
      <c r="A14" s="9" t="s">
        <v>28</v>
      </c>
      <c r="B14" s="43" t="s">
        <v>327</v>
      </c>
      <c r="C14" s="14">
        <f>'AT Sch 1.0'!B39</f>
        <v>61962862.883597955</v>
      </c>
      <c r="D14" s="14">
        <f>'AT Sch 1.0'!C39</f>
        <v>72583189.802685767</v>
      </c>
      <c r="E14" s="14">
        <f>'AT Sch 1.0'!D39</f>
        <v>82057090.436880633</v>
      </c>
      <c r="F14" s="14">
        <f>'AT Sch 1.0'!E39</f>
        <v>80655880.649264649</v>
      </c>
      <c r="G14" s="14">
        <f>'AT Sch 1.0'!F39</f>
        <v>82242392.760701075</v>
      </c>
      <c r="H14" s="14">
        <f>'AT Sch 1.0'!G39</f>
        <v>120992720.49537911</v>
      </c>
      <c r="I14" s="14">
        <f>'AT Sch 1.0'!H39</f>
        <v>142415701.4058876</v>
      </c>
      <c r="J14" s="14">
        <f>'AT Sch 1.0'!I39</f>
        <v>153608893.55286789</v>
      </c>
    </row>
    <row r="15" spans="1:25">
      <c r="A15" s="9" t="s">
        <v>64</v>
      </c>
      <c r="B15" s="784" t="s">
        <v>326</v>
      </c>
      <c r="C15" s="14">
        <f>'EN Sch 1.0'!B32</f>
        <v>20881000</v>
      </c>
      <c r="D15" s="14">
        <f>'EN Sch 1.0'!C32</f>
        <v>23344655.789999999</v>
      </c>
      <c r="E15" s="14">
        <f>'EN Sch 1.0'!D32</f>
        <v>27752369.310000002</v>
      </c>
      <c r="F15" s="14">
        <f>'EN Sch 1.0'!E32</f>
        <v>32868000.000000004</v>
      </c>
      <c r="G15" s="14">
        <f>'EN Sch 1.0'!F32</f>
        <v>36417000.000000007</v>
      </c>
      <c r="H15" s="14">
        <f>'EN Sch 1.0'!G32</f>
        <v>38908000</v>
      </c>
      <c r="I15" s="14">
        <f>'EN Sch 1.0'!H32</f>
        <v>34962999.999999993</v>
      </c>
      <c r="J15" s="14">
        <f>'EN Sch 1.0'!I32</f>
        <v>38041000</v>
      </c>
    </row>
    <row r="16" spans="1:25">
      <c r="A16" s="9" t="s">
        <v>38</v>
      </c>
      <c r="B16" s="784" t="s">
        <v>325</v>
      </c>
      <c r="C16" s="14">
        <f>'EP Sch 1.0'!B38</f>
        <v>18073084.0266</v>
      </c>
      <c r="D16" s="14">
        <f>'EP Sch 1.0'!C38</f>
        <v>19055546</v>
      </c>
      <c r="E16" s="14">
        <f>'EP Sch 1.0'!D38</f>
        <v>20716560</v>
      </c>
      <c r="F16" s="14">
        <f>'EP Sch 1.0'!E38</f>
        <v>22545570.120000001</v>
      </c>
      <c r="G16" s="14">
        <f>'EP Sch 1.0'!F38</f>
        <v>23710048.179999996</v>
      </c>
      <c r="H16" s="14">
        <f>'EP Sch 1.0'!G38</f>
        <v>24706243.699999999</v>
      </c>
      <c r="I16" s="14">
        <f>'EP Sch 1.0'!H38</f>
        <v>24725519</v>
      </c>
      <c r="J16" s="14">
        <f>'EP Sch 1.0'!I38</f>
        <v>25785847</v>
      </c>
    </row>
    <row r="17" spans="1:21">
      <c r="A17" s="9"/>
      <c r="B17" s="9"/>
      <c r="C17" s="14"/>
      <c r="D17" s="14"/>
      <c r="E17" s="17"/>
      <c r="F17" s="17"/>
      <c r="G17" s="17"/>
      <c r="H17" s="17"/>
      <c r="I17" s="17"/>
      <c r="J17" s="17"/>
    </row>
    <row r="18" spans="1:21">
      <c r="A18" s="105" t="s">
        <v>335</v>
      </c>
      <c r="B18" s="105"/>
      <c r="C18" s="163">
        <f t="shared" ref="C18:G18" si="10">SUM(C13:C17)</f>
        <v>164764559.73019797</v>
      </c>
      <c r="D18" s="163">
        <f t="shared" si="10"/>
        <v>178092517.31791577</v>
      </c>
      <c r="E18" s="620">
        <f t="shared" si="10"/>
        <v>211088592.36688063</v>
      </c>
      <c r="F18" s="620">
        <f t="shared" si="10"/>
        <v>224557583.72926468</v>
      </c>
      <c r="G18" s="620">
        <f t="shared" si="10"/>
        <v>248664407.78024668</v>
      </c>
      <c r="H18" s="620">
        <f t="shared" ref="H18:I18" si="11">SUM(H13:H17)</f>
        <v>283983300.1464802</v>
      </c>
      <c r="I18" s="620">
        <f t="shared" si="11"/>
        <v>312330024.9058876</v>
      </c>
      <c r="J18" s="620">
        <f t="shared" ref="J18" si="12">SUM(J13:J17)</f>
        <v>337396927.98066789</v>
      </c>
    </row>
    <row r="20" spans="1:21">
      <c r="A20" s="192" t="s">
        <v>334</v>
      </c>
      <c r="B20" s="68"/>
      <c r="C20" s="68">
        <v>2010</v>
      </c>
      <c r="D20" s="68">
        <v>2011</v>
      </c>
      <c r="E20" s="68">
        <v>2012</v>
      </c>
      <c r="F20" s="68">
        <v>2013</v>
      </c>
      <c r="G20" s="68">
        <v>2014</v>
      </c>
      <c r="H20" s="6">
        <v>2015</v>
      </c>
      <c r="I20" s="129">
        <v>2016</v>
      </c>
      <c r="J20" s="68">
        <v>2017</v>
      </c>
      <c r="K20" s="68" t="s">
        <v>1507</v>
      </c>
      <c r="L20" s="68" t="s">
        <v>1508</v>
      </c>
      <c r="M20" s="68" t="s">
        <v>1509</v>
      </c>
    </row>
    <row r="21" spans="1:21" hidden="1">
      <c r="A21" s="9"/>
      <c r="B21" s="40"/>
      <c r="C21" s="9"/>
      <c r="D21" s="9"/>
      <c r="E21" s="9"/>
      <c r="F21" s="9"/>
      <c r="G21" s="9"/>
    </row>
    <row r="22" spans="1:21" ht="5.25" customHeight="1">
      <c r="A22" s="9"/>
      <c r="B22" s="40"/>
      <c r="C22" s="9"/>
      <c r="D22" s="9"/>
      <c r="E22" s="9"/>
      <c r="F22" s="9"/>
      <c r="G22" s="9"/>
    </row>
    <row r="23" spans="1:21">
      <c r="A23" s="9" t="s">
        <v>4</v>
      </c>
      <c r="B23" s="200"/>
      <c r="C23" s="200">
        <f t="shared" ref="C23:G23" si="13">C13/C4</f>
        <v>0.22519941650180056</v>
      </c>
      <c r="D23" s="200">
        <f t="shared" si="13"/>
        <v>0.1794133656856676</v>
      </c>
      <c r="E23" s="200">
        <f t="shared" si="13"/>
        <v>0.2128275039433396</v>
      </c>
      <c r="F23" s="200">
        <f t="shared" si="13"/>
        <v>0.17936759637077662</v>
      </c>
      <c r="G23" s="200">
        <f t="shared" si="13"/>
        <v>0.19587842764138388</v>
      </c>
      <c r="H23" s="200">
        <f t="shared" ref="H23" si="14">H13/H4</f>
        <v>0.13292309131721855</v>
      </c>
      <c r="I23" s="200">
        <f t="shared" ref="I23:J23" si="15">I13/I4</f>
        <v>0.13039009810568752</v>
      </c>
      <c r="J23" s="200">
        <f t="shared" si="15"/>
        <v>0.13468807986007583</v>
      </c>
    </row>
    <row r="24" spans="1:21">
      <c r="A24" s="9" t="s">
        <v>28</v>
      </c>
      <c r="B24" s="200"/>
      <c r="C24" s="200">
        <f t="shared" ref="C24:G24" si="16">C14/C5</f>
        <v>0.25365715653312193</v>
      </c>
      <c r="D24" s="200">
        <f t="shared" si="16"/>
        <v>0.23167682153461042</v>
      </c>
      <c r="E24" s="200">
        <f t="shared" si="16"/>
        <v>0.20399525279522845</v>
      </c>
      <c r="F24" s="200">
        <f t="shared" si="16"/>
        <v>0.16576438919826439</v>
      </c>
      <c r="G24" s="200">
        <f t="shared" si="16"/>
        <v>0.14591674010060601</v>
      </c>
      <c r="H24" s="200">
        <f t="shared" ref="H24" si="17">H14/H5</f>
        <v>0.16779720029706546</v>
      </c>
      <c r="I24" s="200">
        <f t="shared" ref="I24:J24" si="18">I14/I5</f>
        <v>0.16841716362574044</v>
      </c>
      <c r="J24" s="200">
        <f t="shared" si="18"/>
        <v>0.17368232032802161</v>
      </c>
    </row>
    <row r="25" spans="1:21">
      <c r="A25" s="9" t="s">
        <v>64</v>
      </c>
      <c r="B25" s="200"/>
      <c r="C25" s="200">
        <f t="shared" ref="C25:G26" si="19">C15/C6</f>
        <v>0.55060120240480959</v>
      </c>
      <c r="D25" s="200">
        <f t="shared" si="19"/>
        <v>0.57535997905062353</v>
      </c>
      <c r="E25" s="149">
        <f t="shared" si="19"/>
        <v>0.6571563379981531</v>
      </c>
      <c r="F25" s="149">
        <f t="shared" si="19"/>
        <v>0.60001095310246622</v>
      </c>
      <c r="G25" s="149">
        <f t="shared" si="19"/>
        <v>0.55847442031652561</v>
      </c>
      <c r="H25" s="149">
        <f t="shared" ref="H25:J25" si="20">H15/H6</f>
        <v>0.52628161774651694</v>
      </c>
      <c r="I25" s="149">
        <f t="shared" si="20"/>
        <v>0.46498074770474468</v>
      </c>
      <c r="J25" s="149">
        <f t="shared" si="20"/>
        <v>0.46472071860282516</v>
      </c>
    </row>
    <row r="26" spans="1:21">
      <c r="A26" s="9" t="s">
        <v>38</v>
      </c>
      <c r="B26" s="200"/>
      <c r="C26" s="200">
        <f t="shared" si="19"/>
        <v>0.32778689735669253</v>
      </c>
      <c r="D26" s="200">
        <f t="shared" si="19"/>
        <v>0.32484534218441374</v>
      </c>
      <c r="E26" s="149">
        <f>E16/E7</f>
        <v>0.31653730385103457</v>
      </c>
      <c r="F26" s="149">
        <f t="shared" ref="F26:G26" si="21">F16/F7</f>
        <v>0.31805815582007269</v>
      </c>
      <c r="G26" s="149">
        <f t="shared" si="21"/>
        <v>0.25095062860222228</v>
      </c>
      <c r="H26" s="149">
        <f t="shared" ref="H26" si="22">H16/H7</f>
        <v>0.2632039441768993</v>
      </c>
      <c r="I26" s="149">
        <f t="shared" ref="I26:J26" si="23">I16/I7</f>
        <v>0.24771065658062807</v>
      </c>
      <c r="J26" s="149">
        <f t="shared" si="23"/>
        <v>0.26154279377394829</v>
      </c>
    </row>
    <row r="27" spans="1:21" ht="7.5" customHeight="1">
      <c r="A27" s="9"/>
      <c r="B27" s="200"/>
      <c r="C27" s="200"/>
      <c r="D27" s="200"/>
      <c r="E27" s="200"/>
      <c r="F27" s="200"/>
      <c r="G27" s="200"/>
    </row>
    <row r="28" spans="1:21">
      <c r="A28" s="9" t="s">
        <v>333</v>
      </c>
      <c r="B28" s="200"/>
      <c r="C28" s="200">
        <f t="shared" ref="C28:F28" si="24">C18/C9</f>
        <v>0.26538349827261698</v>
      </c>
      <c r="D28" s="200">
        <f t="shared" si="24"/>
        <v>0.23301937700497746</v>
      </c>
      <c r="E28" s="200">
        <f t="shared" si="24"/>
        <v>0.2375884889248675</v>
      </c>
      <c r="F28" s="207">
        <f t="shared" si="24"/>
        <v>0.20311522553603087</v>
      </c>
      <c r="G28" s="200">
        <f>G18/G9</f>
        <v>0.19642168754973655</v>
      </c>
      <c r="H28" s="200">
        <f t="shared" ref="H28" si="25">H18/H9</f>
        <v>0.17353244694289444</v>
      </c>
      <c r="I28" s="200">
        <f>I18/I9</f>
        <v>0.16738164598183161</v>
      </c>
      <c r="J28" s="200">
        <f>J18/J9</f>
        <v>0.17253452603260688</v>
      </c>
      <c r="K28" s="208">
        <f>AVERAGE($H$28:$J$28)</f>
        <v>0.17114953965244431</v>
      </c>
      <c r="L28" s="208">
        <f t="shared" ref="L28:M28" si="26">AVERAGE($H$28:$J$28)</f>
        <v>0.17114953965244431</v>
      </c>
      <c r="M28" s="208">
        <f t="shared" si="26"/>
        <v>0.17114953965244431</v>
      </c>
      <c r="N28" s="208"/>
    </row>
    <row r="30" spans="1:21">
      <c r="A30" s="4" t="s">
        <v>332</v>
      </c>
      <c r="C30" s="128"/>
      <c r="D30" s="128"/>
      <c r="E30" s="128"/>
      <c r="F30" s="128"/>
      <c r="G30" s="128"/>
    </row>
    <row r="31" spans="1:21">
      <c r="U31" s="128"/>
    </row>
    <row r="32" spans="1:21">
      <c r="A32" s="34" t="s">
        <v>331</v>
      </c>
      <c r="B32" s="34"/>
      <c r="C32" s="83" t="e">
        <f>C28/#REF!-1</f>
        <v>#REF!</v>
      </c>
      <c r="D32" s="83">
        <f t="shared" ref="D32:F32" si="27">D28/C28-1</f>
        <v>-0.121952274645175</v>
      </c>
      <c r="E32" s="83">
        <f t="shared" si="27"/>
        <v>1.9608291716411319E-2</v>
      </c>
      <c r="F32" s="83">
        <f t="shared" si="27"/>
        <v>-0.14509652190994027</v>
      </c>
      <c r="G32" s="83">
        <f>G28/F28-1</f>
        <v>-3.2954388173657367E-2</v>
      </c>
      <c r="H32" s="83">
        <f>H28/G28-1</f>
        <v>-0.11653112694618439</v>
      </c>
      <c r="I32" s="209">
        <f>I28/H28-1</f>
        <v>-3.5444673716189312E-2</v>
      </c>
      <c r="J32" s="209">
        <f>J28/I28-1</f>
        <v>3.0785215550661826E-2</v>
      </c>
      <c r="K32" s="9"/>
      <c r="L32" s="9"/>
      <c r="M32" s="9"/>
      <c r="U32" s="128"/>
    </row>
    <row r="33" spans="1:21">
      <c r="C33" s="128"/>
      <c r="D33" s="210"/>
      <c r="E33" s="210"/>
      <c r="F33" s="210"/>
      <c r="G33" s="210"/>
      <c r="H33" s="210"/>
      <c r="I33" s="210"/>
      <c r="J33" s="210"/>
      <c r="K33" s="210"/>
      <c r="L33" s="210"/>
      <c r="M33" s="210"/>
      <c r="U33" s="128"/>
    </row>
    <row r="35" spans="1:21">
      <c r="A35" s="192" t="s">
        <v>330</v>
      </c>
      <c r="B35" s="68"/>
      <c r="C35" s="68">
        <v>2010</v>
      </c>
      <c r="D35" s="68">
        <v>2011</v>
      </c>
      <c r="E35" s="68">
        <v>2012</v>
      </c>
      <c r="F35" s="68">
        <v>2013</v>
      </c>
      <c r="G35" s="68">
        <v>2014</v>
      </c>
      <c r="H35" s="68">
        <v>2015</v>
      </c>
      <c r="I35" s="68">
        <v>2016</v>
      </c>
      <c r="J35" s="68">
        <v>2017</v>
      </c>
    </row>
    <row r="36" spans="1:21">
      <c r="A36" s="9"/>
      <c r="B36" s="43" t="s">
        <v>329</v>
      </c>
      <c r="C36" s="206"/>
      <c r="D36" s="206"/>
      <c r="E36" s="9"/>
      <c r="F36" s="9"/>
      <c r="G36" s="9"/>
      <c r="H36" s="9"/>
      <c r="I36" s="9"/>
    </row>
    <row r="37" spans="1:21">
      <c r="A37" s="9"/>
      <c r="B37" s="9"/>
      <c r="C37" s="195"/>
      <c r="D37" s="195"/>
      <c r="E37" s="9"/>
      <c r="F37" s="9"/>
      <c r="G37" s="9"/>
      <c r="H37" s="9"/>
      <c r="I37" s="9"/>
    </row>
    <row r="38" spans="1:21">
      <c r="A38" s="9" t="s">
        <v>4</v>
      </c>
      <c r="B38" s="43" t="s">
        <v>328</v>
      </c>
      <c r="C38" s="195">
        <f t="shared" ref="C38:J38" si="28">C4/C$9</f>
        <v>0.45665426241365614</v>
      </c>
      <c r="D38" s="195">
        <f t="shared" si="28"/>
        <v>0.46023933609579909</v>
      </c>
      <c r="E38" s="195">
        <f t="shared" si="28"/>
        <v>0.4260555295195313</v>
      </c>
      <c r="F38" s="195">
        <f t="shared" si="28"/>
        <v>0.4462269502231519</v>
      </c>
      <c r="G38" s="195">
        <f t="shared" si="28"/>
        <v>0.42864908591504186</v>
      </c>
      <c r="H38" s="195">
        <f t="shared" si="28"/>
        <v>0.45684664107475897</v>
      </c>
      <c r="I38" s="195">
        <f t="shared" si="28"/>
        <v>0.45303605164939126</v>
      </c>
      <c r="J38" s="195">
        <f t="shared" si="28"/>
        <v>0.45545606066988997</v>
      </c>
    </row>
    <row r="39" spans="1:21">
      <c r="A39" s="9" t="s">
        <v>28</v>
      </c>
      <c r="B39" s="43" t="s">
        <v>327</v>
      </c>
      <c r="C39" s="195">
        <f t="shared" ref="C39:J39" si="29">C5/C$9</f>
        <v>0.39345445584410349</v>
      </c>
      <c r="D39" s="195">
        <f t="shared" si="29"/>
        <v>0.40992067953340322</v>
      </c>
      <c r="E39" s="195">
        <f t="shared" si="29"/>
        <v>0.45274814995176721</v>
      </c>
      <c r="F39" s="195">
        <f t="shared" si="29"/>
        <v>0.44010829345992097</v>
      </c>
      <c r="G39" s="195">
        <f t="shared" si="29"/>
        <v>0.4452115565132444</v>
      </c>
      <c r="H39" s="195">
        <f t="shared" si="29"/>
        <v>0.44061818830985983</v>
      </c>
      <c r="I39" s="195">
        <f t="shared" si="29"/>
        <v>0.45317466523677619</v>
      </c>
      <c r="J39" s="195">
        <f t="shared" si="29"/>
        <v>0.45226776991835965</v>
      </c>
    </row>
    <row r="40" spans="1:21">
      <c r="A40" s="9" t="s">
        <v>64</v>
      </c>
      <c r="B40" s="784" t="s">
        <v>326</v>
      </c>
      <c r="C40" s="195">
        <f t="shared" ref="C40:J40" si="30">C6/C$9</f>
        <v>6.1083547365836391E-2</v>
      </c>
      <c r="D40" s="195">
        <f t="shared" si="30"/>
        <v>5.3087734088920355E-2</v>
      </c>
      <c r="E40" s="123">
        <f t="shared" si="30"/>
        <v>4.7532646664047447E-2</v>
      </c>
      <c r="F40" s="123">
        <f t="shared" si="30"/>
        <v>4.9548310748893314E-2</v>
      </c>
      <c r="G40" s="123">
        <f t="shared" si="30"/>
        <v>5.1508237612607304E-2</v>
      </c>
      <c r="H40" s="123">
        <f t="shared" si="30"/>
        <v>4.5176085339774498E-2</v>
      </c>
      <c r="I40" s="123">
        <f t="shared" si="30"/>
        <v>4.0296545511533631E-2</v>
      </c>
      <c r="J40" s="123">
        <f t="shared" si="30"/>
        <v>4.1859571761058707E-2</v>
      </c>
    </row>
    <row r="41" spans="1:21">
      <c r="A41" s="34" t="s">
        <v>38</v>
      </c>
      <c r="B41" s="150" t="s">
        <v>325</v>
      </c>
      <c r="C41" s="165">
        <f t="shared" ref="C41:J41" si="31">C7/C$9</f>
        <v>8.8807734376404088E-2</v>
      </c>
      <c r="D41" s="165">
        <f t="shared" si="31"/>
        <v>7.6752250281877307E-2</v>
      </c>
      <c r="E41" s="211">
        <f t="shared" si="31"/>
        <v>7.3663673864654056E-2</v>
      </c>
      <c r="F41" s="211">
        <f t="shared" si="31"/>
        <v>6.4116445568033961E-2</v>
      </c>
      <c r="G41" s="211">
        <f t="shared" si="31"/>
        <v>7.4631119959106471E-2</v>
      </c>
      <c r="H41" s="211">
        <f t="shared" si="31"/>
        <v>5.7359085275606687E-2</v>
      </c>
      <c r="I41" s="211">
        <f t="shared" si="31"/>
        <v>5.3492737602298848E-2</v>
      </c>
      <c r="J41" s="211">
        <f t="shared" si="31"/>
        <v>5.0416597650691557E-2</v>
      </c>
    </row>
    <row r="42" spans="1:21">
      <c r="C42" s="212">
        <f t="shared" ref="C42:G42" si="32">SUM(C38:C41)</f>
        <v>1</v>
      </c>
      <c r="D42" s="212">
        <f t="shared" si="32"/>
        <v>0.99999999999999989</v>
      </c>
      <c r="E42" s="212">
        <f t="shared" si="32"/>
        <v>1</v>
      </c>
      <c r="F42" s="212">
        <f t="shared" si="32"/>
        <v>1.0000000000000002</v>
      </c>
      <c r="G42" s="212">
        <f t="shared" si="32"/>
        <v>0.99999999999999989</v>
      </c>
      <c r="H42" s="212">
        <f t="shared" ref="H42:J42" si="33">SUM(H38:H41)</f>
        <v>1</v>
      </c>
      <c r="I42" s="212">
        <f t="shared" si="33"/>
        <v>1</v>
      </c>
      <c r="J42" s="212">
        <f t="shared" si="33"/>
        <v>0.99999999999999978</v>
      </c>
    </row>
    <row r="44" spans="1:21">
      <c r="C44" s="68">
        <v>2010</v>
      </c>
      <c r="D44" s="68">
        <v>2011</v>
      </c>
      <c r="E44" s="68">
        <v>2012</v>
      </c>
      <c r="F44" s="68">
        <v>2013</v>
      </c>
      <c r="G44" s="68">
        <v>2014</v>
      </c>
      <c r="H44" s="68">
        <v>2015</v>
      </c>
      <c r="I44" s="68">
        <v>2016</v>
      </c>
      <c r="J44" s="68">
        <v>2017</v>
      </c>
    </row>
    <row r="45" spans="1:21">
      <c r="A45" s="4" t="s">
        <v>324</v>
      </c>
      <c r="C45" s="212">
        <f t="shared" ref="C45:D45" si="34">SUM(C38:C39)</f>
        <v>0.85010871825775958</v>
      </c>
      <c r="D45" s="212">
        <f t="shared" si="34"/>
        <v>0.87016001562920231</v>
      </c>
      <c r="E45" s="212">
        <f t="shared" ref="E45:F45" si="35">SUM(E38:E39)</f>
        <v>0.87880367947129856</v>
      </c>
      <c r="F45" s="212">
        <f t="shared" si="35"/>
        <v>0.88633524368307293</v>
      </c>
      <c r="G45" s="212">
        <f t="shared" ref="G45:H45" si="36">SUM(G38:G39)</f>
        <v>0.87386064242828621</v>
      </c>
      <c r="H45" s="212">
        <f t="shared" si="36"/>
        <v>0.8974648293846188</v>
      </c>
      <c r="I45" s="212">
        <f t="shared" ref="I45:J45" si="37">SUM(I38:I39)</f>
        <v>0.9062107168861675</v>
      </c>
      <c r="J45" s="212">
        <f t="shared" si="37"/>
        <v>0.90772383058824957</v>
      </c>
    </row>
    <row r="46" spans="1:21">
      <c r="A46" s="4" t="s">
        <v>323</v>
      </c>
      <c r="C46" s="212">
        <f t="shared" ref="C46:D46" si="38">SUM(C40:C41)</f>
        <v>0.14989128174224048</v>
      </c>
      <c r="D46" s="212">
        <f t="shared" si="38"/>
        <v>0.12983998437079766</v>
      </c>
      <c r="E46" s="212">
        <f t="shared" ref="E46:F46" si="39">SUM(E40:E41)</f>
        <v>0.1211963205287015</v>
      </c>
      <c r="F46" s="212">
        <f t="shared" si="39"/>
        <v>0.11366475631692727</v>
      </c>
      <c r="G46" s="212">
        <f t="shared" ref="G46:H46" si="40">SUM(G40:G41)</f>
        <v>0.12613935757171377</v>
      </c>
      <c r="H46" s="212">
        <f t="shared" si="40"/>
        <v>0.10253517061538119</v>
      </c>
      <c r="I46" s="212">
        <f t="shared" ref="I46:J46" si="41">SUM(I40:I41)</f>
        <v>9.3789283113832472E-2</v>
      </c>
      <c r="J46" s="212">
        <f t="shared" si="41"/>
        <v>9.2276169411750264E-2</v>
      </c>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ignoredErrors>
    <ignoredError sqref="C18:G18 F7:G7 F6:G6" emptyCellReference="1"/>
    <ignoredError sqref="F25:G26" evalError="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2" tint="-0.499984740745262"/>
  </sheetPr>
  <dimension ref="A1:J39"/>
  <sheetViews>
    <sheetView showGridLines="0" zoomScale="70" zoomScaleNormal="70" workbookViewId="0">
      <selection activeCell="C1" sqref="C1:F1048576"/>
    </sheetView>
  </sheetViews>
  <sheetFormatPr defaultColWidth="9.109375" defaultRowHeight="13.8"/>
  <cols>
    <col min="1" max="1" width="25.6640625" style="4" customWidth="1"/>
    <col min="2" max="5" width="12.6640625" style="4" customWidth="1"/>
    <col min="6" max="8" width="12.6640625" style="4" bestFit="1" customWidth="1"/>
    <col min="9" max="9" width="12.33203125" style="4" bestFit="1" customWidth="1"/>
    <col min="10" max="10" width="12.6640625" style="4" bestFit="1" customWidth="1"/>
    <col min="11" max="16384" width="9.109375" style="4"/>
  </cols>
  <sheetData>
    <row r="1" spans="1:10">
      <c r="A1" s="188" t="s">
        <v>336</v>
      </c>
      <c r="B1" s="189"/>
      <c r="C1" s="7">
        <v>2010</v>
      </c>
      <c r="D1" s="6">
        <v>2011</v>
      </c>
      <c r="E1" s="6">
        <v>2012</v>
      </c>
      <c r="F1" s="6">
        <v>2013</v>
      </c>
      <c r="G1" s="6">
        <v>2014</v>
      </c>
      <c r="H1" s="6">
        <v>2015</v>
      </c>
      <c r="I1" s="6">
        <v>2016</v>
      </c>
      <c r="J1" s="6">
        <v>2017</v>
      </c>
    </row>
    <row r="2" spans="1:10">
      <c r="A2" s="8"/>
      <c r="B2" s="43" t="s">
        <v>329</v>
      </c>
      <c r="C2" s="8"/>
      <c r="D2" s="9"/>
      <c r="E2" s="9"/>
      <c r="F2" s="9"/>
      <c r="G2" s="9"/>
      <c r="H2" s="9"/>
      <c r="I2" s="9"/>
      <c r="J2" s="9"/>
    </row>
    <row r="3" spans="1:10">
      <c r="A3" s="8"/>
      <c r="B3" s="9"/>
      <c r="C3" s="8"/>
      <c r="D3" s="9"/>
      <c r="E3" s="9"/>
      <c r="F3" s="9"/>
      <c r="G3" s="9"/>
      <c r="H3" s="9"/>
      <c r="I3" s="9"/>
      <c r="J3" s="9"/>
    </row>
    <row r="4" spans="1:10">
      <c r="A4" s="8" t="s">
        <v>4</v>
      </c>
      <c r="B4" s="43" t="s">
        <v>328</v>
      </c>
      <c r="C4" s="14">
        <f>'AL Sch 1.0'!B39</f>
        <v>63847612.820000008</v>
      </c>
      <c r="D4" s="14">
        <f>'AL Sch 1.0'!C39</f>
        <v>63109125.725229993</v>
      </c>
      <c r="E4" s="14">
        <f>'AL Sch 1.0'!D39</f>
        <v>80562572.61999999</v>
      </c>
      <c r="F4" s="14">
        <f>'AL Sch 1.0'!E39</f>
        <v>88488132.960000008</v>
      </c>
      <c r="G4" s="14">
        <f>'AL Sch 1.0'!F39</f>
        <v>106294966.83954561</v>
      </c>
      <c r="H4" s="14">
        <f>'AL Sch 1.0'!G39</f>
        <v>99376335.951101109</v>
      </c>
      <c r="I4" s="14">
        <f>'AL Sch 1.0'!H39</f>
        <v>110225804.50000001</v>
      </c>
      <c r="J4" s="14">
        <f>'AL Sch 1.0'!I39</f>
        <v>119961187.42779998</v>
      </c>
    </row>
    <row r="5" spans="1:10">
      <c r="A5" s="8" t="s">
        <v>28</v>
      </c>
      <c r="B5" s="43" t="s">
        <v>327</v>
      </c>
      <c r="C5" s="16">
        <f>'AT Sch 1.0'!B39</f>
        <v>61962862.883597955</v>
      </c>
      <c r="D5" s="14">
        <f>'AT Sch 1.0'!C39</f>
        <v>72583189.802685767</v>
      </c>
      <c r="E5" s="14">
        <f>'AT Sch 1.0'!D39</f>
        <v>82057090.436880633</v>
      </c>
      <c r="F5" s="14">
        <f>'AT Sch 1.0'!E39</f>
        <v>80655880.649264649</v>
      </c>
      <c r="G5" s="14">
        <f>'AT Sch 1.0'!F39</f>
        <v>82242392.760701075</v>
      </c>
      <c r="H5" s="14">
        <f>'AT Sch 1.0'!G39</f>
        <v>120992720.49537911</v>
      </c>
      <c r="I5" s="14">
        <f>'AT Sch 1.0'!H39</f>
        <v>142415701.4058876</v>
      </c>
      <c r="J5" s="14">
        <f>'AT Sch 1.0'!I39</f>
        <v>153608893.55286789</v>
      </c>
    </row>
    <row r="6" spans="1:10">
      <c r="A6" s="8" t="s">
        <v>64</v>
      </c>
      <c r="B6" s="784" t="s">
        <v>326</v>
      </c>
      <c r="C6" s="16">
        <f>'EN Sch 1.0'!B32</f>
        <v>20881000</v>
      </c>
      <c r="D6" s="14">
        <f>'EN Sch 1.0'!C32</f>
        <v>23344655.789999999</v>
      </c>
      <c r="E6" s="17">
        <f>'EN Sch 1.0'!D32</f>
        <v>27752369.310000002</v>
      </c>
      <c r="F6" s="17">
        <f>'EN Sch 1.0'!E32</f>
        <v>32868000.000000004</v>
      </c>
      <c r="G6" s="17">
        <f>'EN Sch 1.0'!F32</f>
        <v>36417000.000000007</v>
      </c>
      <c r="H6" s="17">
        <f>'EN Sch 1.0'!G32</f>
        <v>38908000</v>
      </c>
      <c r="I6" s="17">
        <f>'EN Sch 1.0'!H32</f>
        <v>34962999.999999993</v>
      </c>
      <c r="J6" s="17">
        <f>'EN Sch 1.0'!I32</f>
        <v>38041000</v>
      </c>
    </row>
    <row r="7" spans="1:10">
      <c r="A7" s="8" t="s">
        <v>38</v>
      </c>
      <c r="B7" s="784" t="s">
        <v>325</v>
      </c>
      <c r="C7" s="16">
        <f>'EP Sch 1.0'!B38</f>
        <v>18073084.0266</v>
      </c>
      <c r="D7" s="14">
        <f>'EP Sch 1.0'!C38</f>
        <v>19055546</v>
      </c>
      <c r="E7" s="17">
        <f>'EP Sch 1.0'!D38</f>
        <v>20716560</v>
      </c>
      <c r="F7" s="17">
        <f>'EP Sch 1.0'!E38</f>
        <v>22545570.120000001</v>
      </c>
      <c r="G7" s="17">
        <f>'EP Sch 1.0'!F38</f>
        <v>23710048.179999996</v>
      </c>
      <c r="H7" s="17">
        <f>'EP Sch 1.0'!G38</f>
        <v>24706243.699999999</v>
      </c>
      <c r="I7" s="17">
        <f>'EP Sch 1.0'!H38</f>
        <v>24725519</v>
      </c>
      <c r="J7" s="17">
        <f>'EP Sch 1.0'!I38</f>
        <v>25785847</v>
      </c>
    </row>
    <row r="8" spans="1:10">
      <c r="A8" s="8"/>
      <c r="B8" s="43"/>
      <c r="C8" s="16"/>
      <c r="D8" s="14"/>
      <c r="E8" s="14"/>
      <c r="F8" s="14"/>
      <c r="G8" s="14"/>
      <c r="H8" s="14"/>
      <c r="I8" s="14"/>
      <c r="J8" s="14"/>
    </row>
    <row r="9" spans="1:10">
      <c r="A9" s="29" t="s">
        <v>48</v>
      </c>
      <c r="B9" s="609"/>
      <c r="C9" s="655">
        <f t="shared" ref="C9:G9" si="0">SUM(C4:C8)</f>
        <v>164764559.73019797</v>
      </c>
      <c r="D9" s="160">
        <f t="shared" si="0"/>
        <v>178092517.31791577</v>
      </c>
      <c r="E9" s="160">
        <f t="shared" si="0"/>
        <v>211088592.36688063</v>
      </c>
      <c r="F9" s="160">
        <f t="shared" si="0"/>
        <v>224557583.72926468</v>
      </c>
      <c r="G9" s="160">
        <f t="shared" si="0"/>
        <v>248664407.78024668</v>
      </c>
      <c r="H9" s="160">
        <f t="shared" ref="H9:J9" si="1">SUM(H4:H8)</f>
        <v>283983300.1464802</v>
      </c>
      <c r="I9" s="160">
        <f t="shared" si="1"/>
        <v>312330024.9058876</v>
      </c>
      <c r="J9" s="160">
        <f t="shared" si="1"/>
        <v>337396927.98066789</v>
      </c>
    </row>
    <row r="10" spans="1:10">
      <c r="B10" s="786"/>
    </row>
    <row r="11" spans="1:10">
      <c r="A11" s="188" t="s">
        <v>351</v>
      </c>
      <c r="B11" s="189"/>
      <c r="C11" s="7">
        <v>2010</v>
      </c>
      <c r="D11" s="6">
        <v>2011</v>
      </c>
      <c r="E11" s="6">
        <v>2012</v>
      </c>
      <c r="F11" s="6">
        <v>2013</v>
      </c>
      <c r="G11" s="6">
        <v>2014</v>
      </c>
      <c r="H11" s="6">
        <v>2015</v>
      </c>
      <c r="I11" s="6">
        <v>2016</v>
      </c>
      <c r="J11" s="6">
        <v>2017</v>
      </c>
    </row>
    <row r="12" spans="1:10">
      <c r="A12" s="8"/>
      <c r="B12" s="43" t="s">
        <v>329</v>
      </c>
      <c r="C12" s="8"/>
      <c r="D12" s="9"/>
      <c r="E12" s="9"/>
      <c r="F12" s="9"/>
      <c r="G12" s="9"/>
      <c r="H12" s="9"/>
      <c r="I12" s="9"/>
      <c r="J12" s="9"/>
    </row>
    <row r="13" spans="1:10">
      <c r="A13" s="8"/>
      <c r="B13" s="43"/>
      <c r="C13" s="8"/>
      <c r="D13" s="9"/>
      <c r="E13" s="9"/>
      <c r="F13" s="9"/>
      <c r="G13" s="9"/>
      <c r="H13" s="9"/>
      <c r="I13" s="9"/>
      <c r="J13" s="9"/>
    </row>
    <row r="14" spans="1:10">
      <c r="A14" s="8" t="s">
        <v>4</v>
      </c>
      <c r="B14" s="43" t="s">
        <v>349</v>
      </c>
      <c r="C14" s="14">
        <f>'AL Sch 4.0'!B44</f>
        <v>41519691.340000004</v>
      </c>
      <c r="D14" s="14">
        <f>'AL Sch 4.0'!C44</f>
        <v>44389899.7984889</v>
      </c>
      <c r="E14" s="14">
        <f>'AL Sch 4.0'!D44</f>
        <v>46880670.490000017</v>
      </c>
      <c r="F14" s="14">
        <f>'AL Sch 4.0'!E44</f>
        <v>49937269.600000001</v>
      </c>
      <c r="G14" s="14">
        <f>'AL Sch 4.0'!F44</f>
        <v>67070360.030000001</v>
      </c>
      <c r="H14" s="14">
        <f>'AL Sch 4.0'!G44</f>
        <v>73452387.226101115</v>
      </c>
      <c r="I14" s="14">
        <f>'AL Sch 4.0'!H44</f>
        <v>80601666.569999993</v>
      </c>
      <c r="J14" s="14">
        <f>'AL Sch 4.0'!I44</f>
        <v>86906067.590000004</v>
      </c>
    </row>
    <row r="15" spans="1:10">
      <c r="A15" s="8" t="s">
        <v>28</v>
      </c>
      <c r="B15" s="43" t="s">
        <v>348</v>
      </c>
      <c r="C15" s="16">
        <f>'AT Sch 4.0'!B44</f>
        <v>40152922.310648315</v>
      </c>
      <c r="D15" s="14">
        <f>'AT Sch 4.0'!C44</f>
        <v>45495352.031165965</v>
      </c>
      <c r="E15" s="14">
        <f>'AT Sch 4.0'!D44</f>
        <v>56044843.287973441</v>
      </c>
      <c r="F15" s="14">
        <f>'AT Sch 4.0'!E44</f>
        <v>53904517.679273151</v>
      </c>
      <c r="G15" s="14">
        <f>'AT Sch 4.0'!F44</f>
        <v>55091052.975585878</v>
      </c>
      <c r="H15" s="14">
        <f>'AT Sch 4.0'!G44</f>
        <v>63622958.21495261</v>
      </c>
      <c r="I15" s="14">
        <f>'AT Sch 4.0'!H44</f>
        <v>82215858.954002827</v>
      </c>
      <c r="J15" s="14">
        <f>'AT Sch 4.0'!I44</f>
        <v>87211757.857384548</v>
      </c>
    </row>
    <row r="16" spans="1:10">
      <c r="A16" s="8" t="s">
        <v>64</v>
      </c>
      <c r="B16" s="784" t="s">
        <v>347</v>
      </c>
      <c r="C16" s="16">
        <f>'EN Sch 4.0'!B30</f>
        <v>16509704</v>
      </c>
      <c r="D16" s="14">
        <f>'EN Sch 4.0'!C30</f>
        <v>18732162.739999998</v>
      </c>
      <c r="E16" s="17">
        <f>'EN Sch 4.0'!D30</f>
        <v>23784461.170000002</v>
      </c>
      <c r="F16" s="17">
        <f>'EN Sch 4.0'!E30</f>
        <v>26673677.261368759</v>
      </c>
      <c r="G16" s="17">
        <f>'EN Sch 4.0'!F30</f>
        <v>29551449.615560956</v>
      </c>
      <c r="H16" s="17">
        <f>'EN Sch 4.0'!G30</f>
        <v>29796774.278345488</v>
      </c>
      <c r="I16" s="17">
        <f>'EN Sch 4.0'!H30</f>
        <v>29915391.72516416</v>
      </c>
      <c r="J16" s="17">
        <f>'EN Sch 4.0'!I30</f>
        <v>29718538.5396902</v>
      </c>
    </row>
    <row r="17" spans="1:10">
      <c r="A17" s="8" t="s">
        <v>38</v>
      </c>
      <c r="B17" s="784" t="s">
        <v>346</v>
      </c>
      <c r="C17" s="16">
        <f>'EP Sch 4.0'!B40</f>
        <v>11792645</v>
      </c>
      <c r="D17" s="14">
        <f>'EP Sch 4.0'!C40</f>
        <v>12294540</v>
      </c>
      <c r="E17" s="17">
        <f>'EP Sch 4.0'!D40</f>
        <v>13417053</v>
      </c>
      <c r="F17" s="17">
        <f>'EP Sch 4.0'!E40</f>
        <v>15487351.260000004</v>
      </c>
      <c r="G17" s="17">
        <f>'EP Sch 4.0'!F40</f>
        <v>16734936.079999998</v>
      </c>
      <c r="H17" s="17">
        <f>'EP Sch 4.0'!G40</f>
        <v>18248336</v>
      </c>
      <c r="I17" s="17">
        <f>'EP Sch 4.0'!H40</f>
        <v>17570813</v>
      </c>
      <c r="J17" s="17">
        <f>'EP Sch 4.0'!I40</f>
        <v>17926644</v>
      </c>
    </row>
    <row r="18" spans="1:10">
      <c r="A18" s="8"/>
      <c r="B18" s="9"/>
      <c r="C18" s="16"/>
      <c r="D18" s="14"/>
      <c r="E18" s="14"/>
      <c r="F18" s="14"/>
      <c r="G18" s="14"/>
      <c r="H18" s="14"/>
      <c r="I18" s="14"/>
      <c r="J18" s="14"/>
    </row>
    <row r="19" spans="1:10">
      <c r="A19" s="29" t="s">
        <v>48</v>
      </c>
      <c r="B19" s="762"/>
      <c r="C19" s="655">
        <f t="shared" ref="C19:G19" si="2">SUM(C14:C18)</f>
        <v>109974962.65064833</v>
      </c>
      <c r="D19" s="160">
        <f t="shared" si="2"/>
        <v>120911954.56965487</v>
      </c>
      <c r="E19" s="160">
        <f t="shared" si="2"/>
        <v>140127027.94797346</v>
      </c>
      <c r="F19" s="160">
        <f t="shared" si="2"/>
        <v>146002815.80064189</v>
      </c>
      <c r="G19" s="160">
        <f t="shared" si="2"/>
        <v>168447798.70114684</v>
      </c>
      <c r="H19" s="160">
        <f t="shared" ref="H19:J19" si="3">SUM(H14:H18)</f>
        <v>185120455.71939921</v>
      </c>
      <c r="I19" s="160">
        <f t="shared" si="3"/>
        <v>210303730.24916697</v>
      </c>
      <c r="J19" s="160">
        <f t="shared" si="3"/>
        <v>221763007.98707473</v>
      </c>
    </row>
    <row r="20" spans="1:10">
      <c r="B20" s="786"/>
    </row>
    <row r="21" spans="1:10">
      <c r="A21" s="188" t="s">
        <v>350</v>
      </c>
      <c r="B21" s="189"/>
      <c r="C21" s="7">
        <v>2010</v>
      </c>
      <c r="D21" s="6">
        <v>2011</v>
      </c>
      <c r="E21" s="6">
        <v>2012</v>
      </c>
      <c r="F21" s="6">
        <v>2013</v>
      </c>
      <c r="G21" s="6">
        <v>2014</v>
      </c>
      <c r="H21" s="6">
        <v>2015</v>
      </c>
      <c r="I21" s="6">
        <v>2016</v>
      </c>
      <c r="J21" s="6">
        <v>2017</v>
      </c>
    </row>
    <row r="22" spans="1:10">
      <c r="A22" s="8"/>
      <c r="B22" s="43" t="s">
        <v>329</v>
      </c>
      <c r="C22" s="8"/>
      <c r="D22" s="9"/>
      <c r="E22" s="9"/>
      <c r="F22" s="9"/>
      <c r="G22" s="9"/>
      <c r="H22" s="9"/>
      <c r="I22" s="9"/>
      <c r="J22" s="9"/>
    </row>
    <row r="23" spans="1:10">
      <c r="A23" s="8"/>
      <c r="B23" s="43"/>
      <c r="C23" s="8"/>
      <c r="D23" s="9"/>
      <c r="E23" s="9"/>
      <c r="F23" s="9"/>
      <c r="G23" s="9"/>
      <c r="H23" s="9"/>
      <c r="I23" s="9"/>
      <c r="J23" s="9"/>
    </row>
    <row r="24" spans="1:10">
      <c r="A24" s="8" t="s">
        <v>4</v>
      </c>
      <c r="B24" s="43" t="s">
        <v>349</v>
      </c>
      <c r="C24" s="14">
        <f>'AL Sch 4.0'!B49</f>
        <v>32948633.119999997</v>
      </c>
      <c r="D24" s="14">
        <f>'AL Sch 4.0'!C49</f>
        <v>34170319.631511115</v>
      </c>
      <c r="E24" s="14">
        <f>'AL Sch 4.0'!D49</f>
        <v>32221191.389999978</v>
      </c>
      <c r="F24" s="14">
        <f>'AL Sch 4.0'!E49</f>
        <v>35452852.409999996</v>
      </c>
      <c r="G24" s="14">
        <f>'AL Sch 4.0'!F49</f>
        <v>43524476.520454392</v>
      </c>
      <c r="H24" s="14">
        <f>'AL Sch 4.0'!G49</f>
        <v>50486877.245000005</v>
      </c>
      <c r="I24" s="14">
        <f>'AL Sch 4.0'!H49</f>
        <v>58858667.540000007</v>
      </c>
      <c r="J24" s="14">
        <f>'AL Sch 4.0'!I49</f>
        <v>68597454.56220001</v>
      </c>
    </row>
    <row r="25" spans="1:10">
      <c r="A25" s="8" t="s">
        <v>28</v>
      </c>
      <c r="B25" s="43" t="s">
        <v>348</v>
      </c>
      <c r="C25" s="14">
        <f>'AT Sch 4.0'!B50</f>
        <v>21809940.572949644</v>
      </c>
      <c r="D25" s="14">
        <f>'AT Sch 4.0'!C50</f>
        <v>27087837.771519795</v>
      </c>
      <c r="E25" s="14">
        <f>'AT Sch 4.0'!D50</f>
        <v>26105292.048907194</v>
      </c>
      <c r="F25" s="14">
        <f>'AT Sch 4.0'!E50</f>
        <v>26868211.659271479</v>
      </c>
      <c r="G25" s="14">
        <f>'AT Sch 4.0'!F50</f>
        <v>27151339.785115201</v>
      </c>
      <c r="H25" s="14">
        <f>'AT Sch 4.0'!G50</f>
        <v>57408029.95235166</v>
      </c>
      <c r="I25" s="14">
        <f>'AT Sch 4.0'!H50</f>
        <v>60240310.514945716</v>
      </c>
      <c r="J25" s="14">
        <f>'AT Sch 4.0'!I50</f>
        <v>66439930.672170267</v>
      </c>
    </row>
    <row r="26" spans="1:10">
      <c r="A26" s="8" t="s">
        <v>64</v>
      </c>
      <c r="B26" s="784" t="s">
        <v>347</v>
      </c>
      <c r="C26" s="14">
        <f>'EN Sch 4.0'!B34</f>
        <v>4370908</v>
      </c>
      <c r="D26" s="14">
        <f>'EN Sch 4.0'!C34</f>
        <v>4502035</v>
      </c>
      <c r="E26" s="14">
        <f>'EN Sch 4.0'!D34</f>
        <v>4576915</v>
      </c>
      <c r="F26" s="14">
        <f>'EN Sch 4.0'!E34</f>
        <v>6194322.7386312475</v>
      </c>
      <c r="G26" s="14">
        <f>'EN Sch 4.0'!F34</f>
        <v>6865550.3844390521</v>
      </c>
      <c r="H26" s="14">
        <f>'EN Sch 4.0'!G34</f>
        <v>6609225.7216545194</v>
      </c>
      <c r="I26" s="14">
        <f>'EN Sch 4.0'!H34</f>
        <v>6452608.2748358501</v>
      </c>
      <c r="J26" s="14">
        <f>'EN Sch 4.0'!I34</f>
        <v>6642461.4603098081</v>
      </c>
    </row>
    <row r="27" spans="1:10">
      <c r="A27" s="8" t="s">
        <v>38</v>
      </c>
      <c r="B27" s="784" t="s">
        <v>346</v>
      </c>
      <c r="C27" s="14">
        <f>'EP Sch 4.0'!B47</f>
        <v>6280439.0265999995</v>
      </c>
      <c r="D27" s="14">
        <f>'EP Sch 4.0'!C47</f>
        <v>6761006</v>
      </c>
      <c r="E27" s="14">
        <f>'EP Sch 4.0'!D47</f>
        <v>7299507</v>
      </c>
      <c r="F27" s="14">
        <f>'EP Sch 4.0'!E47</f>
        <v>7058218.8599999994</v>
      </c>
      <c r="G27" s="14">
        <f>'EP Sch 4.0'!F47</f>
        <v>6975112.0999999996</v>
      </c>
      <c r="H27" s="14">
        <f>'EP Sch 4.0'!G47</f>
        <v>6457907.6999999993</v>
      </c>
      <c r="I27" s="14">
        <f>'EP Sch 4.0'!H47</f>
        <v>7154706</v>
      </c>
      <c r="J27" s="14">
        <f>'EP Sch 4.0'!I47</f>
        <v>7859203</v>
      </c>
    </row>
    <row r="28" spans="1:10">
      <c r="A28" s="8"/>
      <c r="B28" s="9"/>
      <c r="C28" s="16"/>
      <c r="D28" s="14"/>
      <c r="E28" s="14"/>
      <c r="F28" s="14"/>
      <c r="G28" s="14"/>
      <c r="H28" s="14"/>
      <c r="I28" s="14"/>
      <c r="J28" s="14"/>
    </row>
    <row r="29" spans="1:10">
      <c r="A29" s="29" t="s">
        <v>48</v>
      </c>
      <c r="B29" s="762"/>
      <c r="C29" s="655">
        <f t="shared" ref="C29:G29" si="4">SUM(C24:C28)</f>
        <v>65409920.719549641</v>
      </c>
      <c r="D29" s="160">
        <f t="shared" si="4"/>
        <v>72521198.403030902</v>
      </c>
      <c r="E29" s="160">
        <f t="shared" si="4"/>
        <v>70202905.438907176</v>
      </c>
      <c r="F29" s="160">
        <f t="shared" si="4"/>
        <v>75573605.667902723</v>
      </c>
      <c r="G29" s="160">
        <f t="shared" si="4"/>
        <v>84516478.790008634</v>
      </c>
      <c r="H29" s="160">
        <f t="shared" ref="H29:J29" si="5">SUM(H24:H28)</f>
        <v>120962040.61900619</v>
      </c>
      <c r="I29" s="160">
        <f t="shared" si="5"/>
        <v>132706292.32978158</v>
      </c>
      <c r="J29" s="160">
        <f t="shared" si="5"/>
        <v>149539049.69468009</v>
      </c>
    </row>
    <row r="31" spans="1:10">
      <c r="A31" s="188" t="s">
        <v>345</v>
      </c>
      <c r="B31" s="189"/>
      <c r="C31" s="7">
        <v>2010</v>
      </c>
      <c r="D31" s="6">
        <v>2011</v>
      </c>
      <c r="E31" s="6">
        <v>2012</v>
      </c>
      <c r="F31" s="6">
        <v>2013</v>
      </c>
      <c r="G31" s="6">
        <v>2014</v>
      </c>
      <c r="H31" s="6">
        <v>2015</v>
      </c>
      <c r="I31" s="6">
        <v>2016</v>
      </c>
      <c r="J31" s="6">
        <v>2017</v>
      </c>
    </row>
    <row r="32" spans="1:10">
      <c r="A32" s="8"/>
      <c r="B32" s="40"/>
      <c r="C32" s="8"/>
      <c r="D32" s="9"/>
      <c r="E32" s="9"/>
      <c r="F32" s="9"/>
      <c r="G32" s="9"/>
      <c r="H32" s="9"/>
      <c r="I32" s="9"/>
      <c r="J32" s="9"/>
    </row>
    <row r="33" spans="1:10">
      <c r="A33" s="8"/>
      <c r="B33" s="40"/>
      <c r="C33" s="8"/>
      <c r="D33" s="9"/>
      <c r="E33" s="9"/>
      <c r="F33" s="9"/>
      <c r="G33" s="9"/>
      <c r="H33" s="9"/>
      <c r="I33" s="9"/>
      <c r="J33" s="9"/>
    </row>
    <row r="34" spans="1:10">
      <c r="A34" s="8" t="s">
        <v>4</v>
      </c>
      <c r="B34" s="200"/>
      <c r="C34" s="204">
        <f t="shared" ref="C34:G34" si="6">C14/C4</f>
        <v>0.65029355846165837</v>
      </c>
      <c r="D34" s="200">
        <f t="shared" si="6"/>
        <v>0.70338321579287144</v>
      </c>
      <c r="E34" s="200">
        <f t="shared" si="6"/>
        <v>0.58191625422797999</v>
      </c>
      <c r="F34" s="200">
        <f t="shared" si="6"/>
        <v>0.56433860597526153</v>
      </c>
      <c r="G34" s="200">
        <f t="shared" si="6"/>
        <v>0.63098340424005273</v>
      </c>
      <c r="H34" s="200">
        <f t="shared" ref="H34:J34" si="7">H14/H4</f>
        <v>0.7391335826895844</v>
      </c>
      <c r="I34" s="200">
        <f t="shared" si="7"/>
        <v>0.73124135437813909</v>
      </c>
      <c r="J34" s="200">
        <f t="shared" si="7"/>
        <v>0.72445154514917931</v>
      </c>
    </row>
    <row r="35" spans="1:10">
      <c r="A35" s="8" t="s">
        <v>28</v>
      </c>
      <c r="B35" s="200"/>
      <c r="C35" s="204">
        <f t="shared" ref="C35:G35" si="8">C15/C5</f>
        <v>0.64801593151172976</v>
      </c>
      <c r="D35" s="200">
        <f t="shared" si="8"/>
        <v>0.62680287480948538</v>
      </c>
      <c r="E35" s="200">
        <f t="shared" si="8"/>
        <v>0.68299817833638465</v>
      </c>
      <c r="F35" s="200">
        <f t="shared" si="8"/>
        <v>0.66832718513953271</v>
      </c>
      <c r="G35" s="200">
        <f t="shared" si="8"/>
        <v>0.66986199119817846</v>
      </c>
      <c r="H35" s="200">
        <f t="shared" ref="H35:J35" si="9">H15/H5</f>
        <v>0.52584120725992323</v>
      </c>
      <c r="I35" s="200">
        <f t="shared" si="9"/>
        <v>0.57729490598572397</v>
      </c>
      <c r="J35" s="200">
        <f t="shared" si="9"/>
        <v>0.56775200862552078</v>
      </c>
    </row>
    <row r="36" spans="1:10">
      <c r="A36" s="8" t="s">
        <v>64</v>
      </c>
      <c r="B36" s="200"/>
      <c r="C36" s="204">
        <f t="shared" ref="C36:G37" si="10">C16/C6</f>
        <v>0.79065676931181461</v>
      </c>
      <c r="D36" s="200">
        <f t="shared" si="10"/>
        <v>0.80241760291981579</v>
      </c>
      <c r="E36" s="149">
        <f t="shared" si="10"/>
        <v>0.85702452660248196</v>
      </c>
      <c r="F36" s="149">
        <f t="shared" si="10"/>
        <v>0.81153940797641344</v>
      </c>
      <c r="G36" s="149">
        <f t="shared" si="10"/>
        <v>0.81147402629433918</v>
      </c>
      <c r="H36" s="149">
        <f t="shared" ref="H36:J36" si="11">H16/H6</f>
        <v>0.76582641817480945</v>
      </c>
      <c r="I36" s="149">
        <f t="shared" si="11"/>
        <v>0.8556300010057537</v>
      </c>
      <c r="J36" s="149">
        <f t="shared" si="11"/>
        <v>0.78122390420047316</v>
      </c>
    </row>
    <row r="37" spans="1:10">
      <c r="A37" s="8" t="s">
        <v>38</v>
      </c>
      <c r="B37" s="200"/>
      <c r="C37" s="204">
        <f t="shared" si="10"/>
        <v>0.65249765798928183</v>
      </c>
      <c r="D37" s="200">
        <f t="shared" si="10"/>
        <v>0.64519484248837577</v>
      </c>
      <c r="E37" s="149">
        <f>E17/E7</f>
        <v>0.64764869264009084</v>
      </c>
      <c r="F37" s="149">
        <f t="shared" ref="F37:G37" si="12">F17/F7</f>
        <v>0.68693544574689169</v>
      </c>
      <c r="G37" s="149">
        <f t="shared" si="12"/>
        <v>0.7058161988095969</v>
      </c>
      <c r="H37" s="149">
        <f t="shared" ref="H37:J37" si="13">H17/H7</f>
        <v>0.73861232090089035</v>
      </c>
      <c r="I37" s="149">
        <f t="shared" si="13"/>
        <v>0.71063474946673511</v>
      </c>
      <c r="J37" s="149">
        <f t="shared" si="13"/>
        <v>0.69521253267344685</v>
      </c>
    </row>
    <row r="38" spans="1:10">
      <c r="A38" s="8"/>
      <c r="B38" s="200"/>
      <c r="C38" s="204"/>
      <c r="D38" s="200"/>
      <c r="E38" s="200"/>
      <c r="F38" s="200"/>
      <c r="G38" s="200"/>
      <c r="H38" s="200"/>
      <c r="I38" s="200"/>
      <c r="J38" s="200"/>
    </row>
    <row r="39" spans="1:10">
      <c r="A39" s="29" t="s">
        <v>12</v>
      </c>
      <c r="B39" s="763"/>
      <c r="C39" s="764">
        <f t="shared" ref="C39:G39" si="14">C19/C9</f>
        <v>0.66746734146428321</v>
      </c>
      <c r="D39" s="763">
        <f t="shared" si="14"/>
        <v>0.67892776401050603</v>
      </c>
      <c r="E39" s="763">
        <f t="shared" si="14"/>
        <v>0.66383041535672827</v>
      </c>
      <c r="F39" s="763">
        <f t="shared" si="14"/>
        <v>0.6501798486426027</v>
      </c>
      <c r="G39" s="763">
        <f t="shared" si="14"/>
        <v>0.67741016981412949</v>
      </c>
      <c r="H39" s="763">
        <f t="shared" ref="H39:J39" si="15">H19/H9</f>
        <v>0.65187092207151975</v>
      </c>
      <c r="I39" s="763">
        <f t="shared" si="15"/>
        <v>0.67333817910249405</v>
      </c>
      <c r="J39" s="763">
        <f t="shared" si="15"/>
        <v>0.65727631047008606</v>
      </c>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ignoredErrors>
    <ignoredError sqref="C9:G9 C19:G19 C29:G29" emptyCellReference="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2" tint="-0.499984740745262"/>
  </sheetPr>
  <dimension ref="A1:U68"/>
  <sheetViews>
    <sheetView showGridLines="0" zoomScale="70" zoomScaleNormal="70" workbookViewId="0">
      <pane ySplit="2" topLeftCell="A42" activePane="bottomLeft" state="frozenSplit"/>
      <selection activeCell="O24" sqref="A1:XFD1048576"/>
      <selection pane="bottomLeft" activeCell="C1" sqref="C1:F1048576"/>
    </sheetView>
  </sheetViews>
  <sheetFormatPr defaultColWidth="9.109375" defaultRowHeight="13.8"/>
  <cols>
    <col min="1" max="1" width="24.5546875" style="9" bestFit="1" customWidth="1"/>
    <col min="2" max="2" width="14.88671875" style="9" customWidth="1"/>
    <col min="3" max="7" width="12" style="9" bestFit="1" customWidth="1"/>
    <col min="8" max="8" width="15.44140625" style="9" customWidth="1"/>
    <col min="9" max="9" width="15.109375" style="9" customWidth="1"/>
    <col min="10" max="10" width="14.33203125" style="9" customWidth="1"/>
    <col min="11" max="13" width="13.5546875" style="9" bestFit="1" customWidth="1"/>
    <col min="14" max="16384" width="9.109375" style="9"/>
  </cols>
  <sheetData>
    <row r="1" spans="1:21">
      <c r="A1" s="192" t="s">
        <v>356</v>
      </c>
      <c r="B1" s="788"/>
    </row>
    <row r="2" spans="1:21">
      <c r="B2" s="43"/>
    </row>
    <row r="3" spans="1:21">
      <c r="A3" s="192" t="s">
        <v>656</v>
      </c>
      <c r="B3" s="788" t="s">
        <v>329</v>
      </c>
      <c r="C3" s="68">
        <v>2010</v>
      </c>
      <c r="D3" s="68">
        <v>2011</v>
      </c>
      <c r="E3" s="68">
        <v>2012</v>
      </c>
      <c r="F3" s="68">
        <v>2013</v>
      </c>
      <c r="G3" s="68">
        <v>2014</v>
      </c>
      <c r="H3" s="68">
        <v>2015</v>
      </c>
      <c r="I3" s="68">
        <v>2016</v>
      </c>
      <c r="J3" s="68">
        <v>2017</v>
      </c>
    </row>
    <row r="4" spans="1:21">
      <c r="A4" s="9" t="s">
        <v>49</v>
      </c>
      <c r="B4" s="43" t="s">
        <v>355</v>
      </c>
      <c r="C4" s="14">
        <f>'AL Sch 5.3'!B39</f>
        <v>16369013.42500612</v>
      </c>
      <c r="D4" s="14">
        <f>'AL Sch 5.3'!C39</f>
        <v>16794554.689796295</v>
      </c>
      <c r="E4" s="14">
        <f>'AL Sch 5.3'!D39</f>
        <v>18192042.883158907</v>
      </c>
      <c r="F4" s="14">
        <f>'AL Sch 5.3'!E39</f>
        <v>19268702.38603171</v>
      </c>
      <c r="G4" s="14">
        <f>'AL Sch 5.3'!F39</f>
        <v>23079045.880521525</v>
      </c>
      <c r="H4" s="14">
        <f>'AL Sch 5.3'!G39</f>
        <v>23321857.756723009</v>
      </c>
      <c r="I4" s="14">
        <f>'AL Sch 5.3'!H39</f>
        <v>25413015.537159942</v>
      </c>
      <c r="J4" s="14">
        <f>'AL Sch 5.3'!I39</f>
        <v>27164655.529297054</v>
      </c>
      <c r="K4" s="130"/>
      <c r="L4" s="130"/>
      <c r="M4" s="130"/>
      <c r="P4" s="193"/>
      <c r="Q4" s="193"/>
      <c r="R4" s="193"/>
      <c r="S4" s="193"/>
      <c r="T4" s="193"/>
      <c r="U4" s="193"/>
    </row>
    <row r="5" spans="1:21">
      <c r="A5" s="194" t="s">
        <v>74</v>
      </c>
      <c r="B5" s="43" t="s">
        <v>355</v>
      </c>
      <c r="C5" s="14">
        <f>'AL Sch 5.3'!B40</f>
        <v>17505830.715822309</v>
      </c>
      <c r="D5" s="14">
        <f>'AL Sch 5.3'!C40</f>
        <v>18182885.824577693</v>
      </c>
      <c r="E5" s="14">
        <f>'AL Sch 5.3'!D40</f>
        <v>19634280.709721018</v>
      </c>
      <c r="F5" s="14">
        <f>'AL Sch 5.3'!E40</f>
        <v>21014821.274166673</v>
      </c>
      <c r="G5" s="14">
        <f>'AL Sch 5.3'!F40</f>
        <v>26186164.860526916</v>
      </c>
      <c r="H5" s="14">
        <f>'AL Sch 5.3'!G40</f>
        <v>25857805.687607184</v>
      </c>
      <c r="I5" s="14">
        <f>'AL Sch 5.3'!H40</f>
        <v>28284788.848026272</v>
      </c>
      <c r="J5" s="14">
        <f>'AL Sch 5.3'!I40</f>
        <v>30415864.824131459</v>
      </c>
      <c r="K5" s="130"/>
      <c r="L5" s="130"/>
      <c r="M5" s="130"/>
      <c r="P5" s="193"/>
      <c r="Q5" s="193"/>
      <c r="R5" s="193"/>
      <c r="S5" s="193"/>
      <c r="T5" s="193"/>
      <c r="U5" s="193"/>
    </row>
    <row r="6" spans="1:21">
      <c r="A6" s="9" t="s">
        <v>50</v>
      </c>
      <c r="B6" s="43" t="s">
        <v>355</v>
      </c>
      <c r="C6" s="14">
        <f>'AL Sch 5.3'!B41</f>
        <v>13871815.19917158</v>
      </c>
      <c r="D6" s="14">
        <f>'AL Sch 5.3'!C41</f>
        <v>15452823.901805064</v>
      </c>
      <c r="E6" s="14">
        <f>'AL Sch 5.3'!D41</f>
        <v>15040412.715080485</v>
      </c>
      <c r="F6" s="14">
        <f>'AL Sch 5.3'!E41</f>
        <v>15245674.280536322</v>
      </c>
      <c r="G6" s="14">
        <f>'AL Sch 5.3'!F41</f>
        <v>24066563.047317885</v>
      </c>
      <c r="H6" s="14">
        <f>'AL Sch 5.3'!G41</f>
        <v>23813636.409932233</v>
      </c>
      <c r="I6" s="14">
        <f>'AL Sch 5.3'!H41</f>
        <v>26197341.066632893</v>
      </c>
      <c r="J6" s="14">
        <f>'AL Sch 5.3'!I41</f>
        <v>28416726.593956385</v>
      </c>
      <c r="K6" s="130"/>
      <c r="L6" s="130"/>
      <c r="M6" s="130"/>
      <c r="P6" s="193"/>
      <c r="Q6" s="193"/>
      <c r="R6" s="193"/>
      <c r="S6" s="193"/>
      <c r="T6" s="193"/>
      <c r="U6" s="193"/>
    </row>
    <row r="7" spans="1:21" s="105" customFormat="1">
      <c r="A7" s="105" t="s">
        <v>48</v>
      </c>
      <c r="B7" s="27"/>
      <c r="C7" s="163">
        <f t="shared" ref="C7:J7" si="0">SUM(C4:C6)</f>
        <v>47746659.340000011</v>
      </c>
      <c r="D7" s="163">
        <f t="shared" si="0"/>
        <v>50430264.416179053</v>
      </c>
      <c r="E7" s="163">
        <f t="shared" si="0"/>
        <v>52866736.307960406</v>
      </c>
      <c r="F7" s="163">
        <f t="shared" si="0"/>
        <v>55529197.940734707</v>
      </c>
      <c r="G7" s="163">
        <f t="shared" si="0"/>
        <v>73331773.788366318</v>
      </c>
      <c r="H7" s="163">
        <f t="shared" si="0"/>
        <v>72993299.854262426</v>
      </c>
      <c r="I7" s="163">
        <f t="shared" si="0"/>
        <v>79895145.451819107</v>
      </c>
      <c r="J7" s="163">
        <f t="shared" si="0"/>
        <v>85997246.947384894</v>
      </c>
      <c r="K7" s="603"/>
      <c r="L7" s="603"/>
      <c r="M7" s="603"/>
      <c r="P7" s="604"/>
      <c r="Q7" s="604"/>
      <c r="R7" s="604"/>
      <c r="S7" s="604"/>
      <c r="T7" s="604"/>
      <c r="U7" s="604"/>
    </row>
    <row r="8" spans="1:21">
      <c r="B8" s="43"/>
      <c r="C8" s="14"/>
      <c r="D8" s="14"/>
      <c r="E8" s="14"/>
      <c r="F8" s="14"/>
      <c r="G8" s="14"/>
      <c r="H8" s="14"/>
      <c r="I8" s="14"/>
      <c r="J8" s="14"/>
      <c r="K8" s="130"/>
      <c r="L8" s="130"/>
      <c r="M8" s="130"/>
      <c r="P8" s="193"/>
      <c r="Q8" s="193"/>
      <c r="R8" s="193"/>
      <c r="S8" s="193"/>
      <c r="T8" s="193"/>
      <c r="U8" s="193"/>
    </row>
    <row r="9" spans="1:21">
      <c r="A9" s="192" t="s">
        <v>657</v>
      </c>
      <c r="B9" s="788" t="s">
        <v>329</v>
      </c>
      <c r="C9" s="68">
        <v>2010</v>
      </c>
      <c r="D9" s="68">
        <v>2011</v>
      </c>
      <c r="E9" s="68">
        <v>2012</v>
      </c>
      <c r="F9" s="68">
        <v>2013</v>
      </c>
      <c r="G9" s="68">
        <v>2014</v>
      </c>
      <c r="H9" s="68">
        <v>2015</v>
      </c>
      <c r="I9" s="68">
        <v>2016</v>
      </c>
      <c r="J9" s="68">
        <v>2017</v>
      </c>
    </row>
    <row r="10" spans="1:21">
      <c r="A10" s="9" t="s">
        <v>49</v>
      </c>
      <c r="B10" s="43" t="s">
        <v>354</v>
      </c>
      <c r="C10" s="14">
        <f>'AT Sch 5.2'!B26</f>
        <v>8495763.3997360021</v>
      </c>
      <c r="D10" s="14">
        <f>'AT Sch 5.2'!C26</f>
        <v>10723843.859691633</v>
      </c>
      <c r="E10" s="14">
        <f>'AT Sch 5.2'!D26</f>
        <v>13003086.160926513</v>
      </c>
      <c r="F10" s="14">
        <f>'AT Sch 5.2'!E26</f>
        <v>11908026.016194122</v>
      </c>
      <c r="G10" s="14">
        <f>'AT Sch 5.2'!F26</f>
        <v>10739088.379858844</v>
      </c>
      <c r="H10" s="14">
        <f>'AT Sch 5.2'!G26</f>
        <v>16362369.378488827</v>
      </c>
      <c r="I10" s="14">
        <f>'AT Sch 5.2'!H26</f>
        <v>19780486.519829892</v>
      </c>
      <c r="J10" s="14">
        <f>'AT Sch 5.2'!I26</f>
        <v>20477330.0491804</v>
      </c>
    </row>
    <row r="11" spans="1:21">
      <c r="A11" s="194" t="s">
        <v>74</v>
      </c>
      <c r="B11" s="43" t="s">
        <v>354</v>
      </c>
      <c r="C11" s="14">
        <f>'AT Sch 5.2'!B27</f>
        <v>17175164.921070129</v>
      </c>
      <c r="D11" s="14">
        <f>'AT Sch 5.2'!C27</f>
        <v>20005675.682757404</v>
      </c>
      <c r="E11" s="14">
        <f>'AT Sch 5.2'!D27</f>
        <v>22980342.284050748</v>
      </c>
      <c r="F11" s="14">
        <f>'AT Sch 5.2'!E27</f>
        <v>21801364.293844521</v>
      </c>
      <c r="G11" s="14">
        <f>'AT Sch 5.2'!F27</f>
        <v>21976010.152266283</v>
      </c>
      <c r="H11" s="14">
        <f>'AT Sch 5.2'!G27</f>
        <v>28498266.284092534</v>
      </c>
      <c r="I11" s="14">
        <f>'AT Sch 5.2'!H27</f>
        <v>33697245.395275176</v>
      </c>
      <c r="J11" s="14">
        <f>'AT Sch 5.2'!I27</f>
        <v>35363805.244326241</v>
      </c>
    </row>
    <row r="12" spans="1:21">
      <c r="A12" s="9" t="s">
        <v>50</v>
      </c>
      <c r="B12" s="43" t="s">
        <v>354</v>
      </c>
      <c r="C12" s="14">
        <f>'AT Sch 5.2'!B28</f>
        <v>14481993.989842184</v>
      </c>
      <c r="D12" s="14">
        <f>'AT Sch 5.2'!C28</f>
        <v>14765832.488716926</v>
      </c>
      <c r="E12" s="14">
        <f>'AT Sch 5.2'!D28</f>
        <v>20061414.842996184</v>
      </c>
      <c r="F12" s="14">
        <f>'AT Sch 5.2'!E28</f>
        <v>20195127.369234506</v>
      </c>
      <c r="G12" s="14">
        <f>'AT Sch 5.2'!F28</f>
        <v>22375954.443460748</v>
      </c>
      <c r="H12" s="14">
        <f>'AT Sch 5.2'!G28</f>
        <v>18762322.552371249</v>
      </c>
      <c r="I12" s="14">
        <f>'AT Sch 5.2'!H28</f>
        <v>28738127.03889776</v>
      </c>
      <c r="J12" s="14">
        <f>'AT Sch 5.2'!I28</f>
        <v>31370622.563877899</v>
      </c>
    </row>
    <row r="13" spans="1:21" s="105" customFormat="1">
      <c r="A13" s="105" t="s">
        <v>48</v>
      </c>
      <c r="B13" s="27"/>
      <c r="C13" s="163">
        <f t="shared" ref="C13:J13" si="1">SUM(C10:C12)</f>
        <v>40152922.310648315</v>
      </c>
      <c r="D13" s="163">
        <f t="shared" si="1"/>
        <v>45495352.031165957</v>
      </c>
      <c r="E13" s="163">
        <f t="shared" si="1"/>
        <v>56044843.287973449</v>
      </c>
      <c r="F13" s="163">
        <f t="shared" si="1"/>
        <v>53904517.679273143</v>
      </c>
      <c r="G13" s="163">
        <f t="shared" si="1"/>
        <v>55091052.975585878</v>
      </c>
      <c r="H13" s="163">
        <f t="shared" si="1"/>
        <v>63622958.21495261</v>
      </c>
      <c r="I13" s="163">
        <f t="shared" si="1"/>
        <v>82215858.954002827</v>
      </c>
      <c r="J13" s="163">
        <f t="shared" si="1"/>
        <v>87211757.857384533</v>
      </c>
    </row>
    <row r="14" spans="1:21">
      <c r="B14" s="43"/>
      <c r="C14" s="14"/>
      <c r="D14" s="14"/>
      <c r="E14" s="14"/>
      <c r="F14" s="14"/>
      <c r="G14" s="14"/>
      <c r="H14" s="14"/>
      <c r="I14" s="14"/>
      <c r="J14" s="14"/>
    </row>
    <row r="15" spans="1:21">
      <c r="A15" s="192" t="s">
        <v>658</v>
      </c>
      <c r="B15" s="788" t="s">
        <v>329</v>
      </c>
      <c r="C15" s="68">
        <v>2010</v>
      </c>
      <c r="D15" s="68">
        <v>2011</v>
      </c>
      <c r="E15" s="68">
        <v>2012</v>
      </c>
      <c r="F15" s="68">
        <v>2013</v>
      </c>
      <c r="G15" s="68">
        <v>2014</v>
      </c>
      <c r="H15" s="68">
        <v>2015</v>
      </c>
      <c r="I15" s="68">
        <v>2016</v>
      </c>
      <c r="J15" s="68">
        <v>2017</v>
      </c>
    </row>
    <row r="16" spans="1:21">
      <c r="A16" s="9" t="s">
        <v>49</v>
      </c>
      <c r="B16" s="43" t="s">
        <v>353</v>
      </c>
      <c r="C16" s="14">
        <f>'EN Sch 5.1'!B36</f>
        <v>397739.95998314774</v>
      </c>
      <c r="D16" s="14">
        <f>'EN Sch 5.1'!C36</f>
        <v>451281.82853216823</v>
      </c>
      <c r="E16" s="14">
        <f>'EN Sch 5.1'!D36</f>
        <v>572998.18054249475</v>
      </c>
      <c r="F16" s="14">
        <f>'EN Sch 5.1'!E36</f>
        <v>642603.10789571272</v>
      </c>
      <c r="G16" s="14">
        <f>'EN Sch 5.1'!F36</f>
        <v>711932.33612696757</v>
      </c>
      <c r="H16" s="14">
        <f>'EN Sch 5.1'!G36</f>
        <v>717842.51709090057</v>
      </c>
      <c r="I16" s="14">
        <f>'EN Sch 5.1'!H36</f>
        <v>720700.1647976517</v>
      </c>
      <c r="J16" s="14">
        <f>'EN Sch 5.1'!I36</f>
        <v>715957.71981959394</v>
      </c>
    </row>
    <row r="17" spans="1:11">
      <c r="A17" s="194" t="s">
        <v>74</v>
      </c>
      <c r="B17" s="43" t="s">
        <v>353</v>
      </c>
      <c r="C17" s="14">
        <f>'EN Sch 5.1'!B37</f>
        <v>5889078.5169154424</v>
      </c>
      <c r="D17" s="14">
        <f>'EN Sch 5.1'!C37</f>
        <v>6681838.3857677691</v>
      </c>
      <c r="E17" s="14">
        <f>'EN Sch 5.1'!D37</f>
        <v>8484013.8716942109</v>
      </c>
      <c r="F17" s="14">
        <f>'EN Sch 5.1'!E37</f>
        <v>9514608.9594912566</v>
      </c>
      <c r="G17" s="14">
        <f>'EN Sch 5.1'!F37</f>
        <v>10541122.040394008</v>
      </c>
      <c r="H17" s="14">
        <f>'EN Sch 5.1'!G37</f>
        <v>10628630.297084067</v>
      </c>
      <c r="I17" s="14">
        <f>'EN Sch 5.1'!H37</f>
        <v>10670941.661646733</v>
      </c>
      <c r="J17" s="14">
        <f>'EN Sch 5.1'!I37</f>
        <v>10600723.320259131</v>
      </c>
    </row>
    <row r="18" spans="1:11">
      <c r="A18" s="9" t="s">
        <v>50</v>
      </c>
      <c r="B18" s="43" t="s">
        <v>353</v>
      </c>
      <c r="C18" s="14">
        <f>'EN Sch 5.1'!B38</f>
        <v>10222885.523101408</v>
      </c>
      <c r="D18" s="14">
        <f>'EN Sch 5.1'!C38</f>
        <v>11599042.525700059</v>
      </c>
      <c r="E18" s="14">
        <f>'EN Sch 5.1'!D38</f>
        <v>14727449.117763294</v>
      </c>
      <c r="F18" s="14">
        <f>'EN Sch 5.1'!E38</f>
        <v>16516465.193981793</v>
      </c>
      <c r="G18" s="14">
        <f>'EN Sch 5.1'!F38</f>
        <v>18298395.23903998</v>
      </c>
      <c r="H18" s="14">
        <f>'EN Sch 5.1'!G38</f>
        <v>18450301.464170523</v>
      </c>
      <c r="I18" s="14">
        <f>'EN Sch 5.1'!H38</f>
        <v>18523749.898719776</v>
      </c>
      <c r="J18" s="14">
        <f>'EN Sch 5.1'!I38</f>
        <v>18401857.499611475</v>
      </c>
    </row>
    <row r="19" spans="1:11" s="105" customFormat="1">
      <c r="A19" s="105" t="s">
        <v>48</v>
      </c>
      <c r="B19" s="27"/>
      <c r="C19" s="163">
        <f t="shared" ref="C19:J19" si="2">SUM(C16:C18)</f>
        <v>16509703.999999998</v>
      </c>
      <c r="D19" s="163">
        <f t="shared" si="2"/>
        <v>18732162.739999995</v>
      </c>
      <c r="E19" s="163">
        <f t="shared" si="2"/>
        <v>23784461.170000002</v>
      </c>
      <c r="F19" s="163">
        <f t="shared" si="2"/>
        <v>26673677.261368763</v>
      </c>
      <c r="G19" s="163">
        <f t="shared" si="2"/>
        <v>29551449.615560956</v>
      </c>
      <c r="H19" s="163">
        <f t="shared" si="2"/>
        <v>29796774.278345488</v>
      </c>
      <c r="I19" s="163">
        <f t="shared" si="2"/>
        <v>29915391.72516416</v>
      </c>
      <c r="J19" s="163">
        <f t="shared" si="2"/>
        <v>29718538.5396902</v>
      </c>
    </row>
    <row r="20" spans="1:11">
      <c r="B20" s="43"/>
      <c r="C20" s="14"/>
      <c r="D20" s="14"/>
      <c r="E20" s="14"/>
      <c r="F20" s="14"/>
      <c r="G20" s="14"/>
      <c r="H20" s="14"/>
      <c r="I20" s="14"/>
      <c r="J20" s="14"/>
    </row>
    <row r="21" spans="1:11">
      <c r="A21" s="192" t="s">
        <v>659</v>
      </c>
      <c r="B21" s="788" t="s">
        <v>329</v>
      </c>
      <c r="C21" s="68">
        <v>2010</v>
      </c>
      <c r="D21" s="68">
        <v>2011</v>
      </c>
      <c r="E21" s="68">
        <v>2012</v>
      </c>
      <c r="F21" s="68">
        <v>2013</v>
      </c>
      <c r="G21" s="68">
        <v>2014</v>
      </c>
      <c r="H21" s="68">
        <v>2015</v>
      </c>
      <c r="I21" s="68">
        <v>2016</v>
      </c>
      <c r="J21" s="68">
        <v>2017</v>
      </c>
    </row>
    <row r="22" spans="1:11">
      <c r="A22" s="9" t="s">
        <v>49</v>
      </c>
      <c r="B22" s="43" t="s">
        <v>352</v>
      </c>
      <c r="C22" s="14">
        <f>'EP Sch 5.2'!B14</f>
        <v>2204036.5810406315</v>
      </c>
      <c r="D22" s="14">
        <f>'EP Sch 5.2'!C14</f>
        <v>2238297.5530682085</v>
      </c>
      <c r="E22" s="14">
        <f>'EP Sch 5.2'!D14</f>
        <v>2451650.3979230858</v>
      </c>
      <c r="F22" s="14">
        <f>'EP Sch 5.2'!E14</f>
        <v>2904391.4349368904</v>
      </c>
      <c r="G22" s="14">
        <f>'EP Sch 5.2'!F14</f>
        <v>3123971.2404935388</v>
      </c>
      <c r="H22" s="14">
        <f>'EP Sch 5.2'!G14</f>
        <v>3395659.3343866151</v>
      </c>
      <c r="I22" s="14">
        <f>'EP Sch 5.2'!H14</f>
        <v>3451955.0377757885</v>
      </c>
      <c r="J22" s="14">
        <f>'EP Sch 5.2'!I14</f>
        <v>3514100.501090236</v>
      </c>
    </row>
    <row r="23" spans="1:11">
      <c r="A23" s="194" t="s">
        <v>74</v>
      </c>
      <c r="B23" s="43" t="s">
        <v>352</v>
      </c>
      <c r="C23" s="14">
        <f>'EP Sch 5.2'!B15</f>
        <v>3247437.415972902</v>
      </c>
      <c r="D23" s="14">
        <f>'EP Sch 5.2'!C15</f>
        <v>3354327.5146396561</v>
      </c>
      <c r="E23" s="14">
        <f>'EP Sch 5.2'!D15</f>
        <v>3758569.3119168156</v>
      </c>
      <c r="F23" s="14">
        <f>'EP Sch 5.2'!E15</f>
        <v>4399239.9808734078</v>
      </c>
      <c r="G23" s="14">
        <f>'EP Sch 5.2'!F15</f>
        <v>4733822.5291929655</v>
      </c>
      <c r="H23" s="14">
        <f>'EP Sch 5.2'!G15</f>
        <v>4989997.7879645061</v>
      </c>
      <c r="I23" s="14">
        <f>'EP Sch 5.2'!H15</f>
        <v>4962481.3811398335</v>
      </c>
      <c r="J23" s="14">
        <f>'EP Sch 5.2'!I15</f>
        <v>5063402.0995183829</v>
      </c>
    </row>
    <row r="24" spans="1:11">
      <c r="A24" s="9" t="s">
        <v>50</v>
      </c>
      <c r="B24" s="43" t="s">
        <v>352</v>
      </c>
      <c r="C24" s="14">
        <f>'EP Sch 5.2'!B16</f>
        <v>6341171.0029864665</v>
      </c>
      <c r="D24" s="14">
        <f>'EP Sch 5.2'!C16</f>
        <v>6701914.9322921345</v>
      </c>
      <c r="E24" s="14">
        <f>'EP Sch 5.2'!D16</f>
        <v>7206833.2901601</v>
      </c>
      <c r="F24" s="14">
        <f>'EP Sch 5.2'!E16</f>
        <v>8183719.8441897063</v>
      </c>
      <c r="G24" s="14">
        <f>'EP Sch 5.2'!F16</f>
        <v>8877142.3103134949</v>
      </c>
      <c r="H24" s="14">
        <f>'EP Sch 5.2'!G16</f>
        <v>9862678.8776488788</v>
      </c>
      <c r="I24" s="14">
        <f>'EP Sch 5.2'!H16</f>
        <v>9156376.5810843781</v>
      </c>
      <c r="J24" s="14">
        <f>'EP Sch 5.2'!I16</f>
        <v>9349141.3993913811</v>
      </c>
    </row>
    <row r="25" spans="1:11" s="105" customFormat="1">
      <c r="A25" s="105" t="s">
        <v>48</v>
      </c>
      <c r="B25" s="27"/>
      <c r="C25" s="163">
        <f t="shared" ref="C25:J25" si="3">SUM(C22:C24)</f>
        <v>11792645</v>
      </c>
      <c r="D25" s="163">
        <f t="shared" si="3"/>
        <v>12294540</v>
      </c>
      <c r="E25" s="163">
        <f t="shared" si="3"/>
        <v>13417053</v>
      </c>
      <c r="F25" s="163">
        <f t="shared" si="3"/>
        <v>15487351.260000005</v>
      </c>
      <c r="G25" s="163">
        <f t="shared" si="3"/>
        <v>16734936.079999998</v>
      </c>
      <c r="H25" s="163">
        <f t="shared" si="3"/>
        <v>18248336</v>
      </c>
      <c r="I25" s="163">
        <f t="shared" si="3"/>
        <v>17570813</v>
      </c>
      <c r="J25" s="163">
        <f t="shared" si="3"/>
        <v>17926644</v>
      </c>
      <c r="K25" s="605"/>
    </row>
    <row r="26" spans="1:11">
      <c r="B26" s="43"/>
      <c r="C26" s="14"/>
      <c r="D26" s="14"/>
      <c r="E26" s="14"/>
      <c r="F26" s="14"/>
      <c r="G26" s="14"/>
      <c r="H26" s="14"/>
      <c r="I26" s="14"/>
      <c r="J26" s="14"/>
      <c r="K26" s="195"/>
    </row>
    <row r="27" spans="1:11">
      <c r="A27" s="192" t="s">
        <v>660</v>
      </c>
      <c r="B27" s="196"/>
      <c r="C27" s="197">
        <v>2010</v>
      </c>
      <c r="D27" s="197">
        <v>2011</v>
      </c>
      <c r="E27" s="197">
        <v>2012</v>
      </c>
      <c r="F27" s="197">
        <v>2013</v>
      </c>
      <c r="G27" s="197">
        <v>2014</v>
      </c>
      <c r="H27" s="197">
        <v>2015</v>
      </c>
      <c r="I27" s="197">
        <v>2016</v>
      </c>
      <c r="J27" s="197">
        <v>2017</v>
      </c>
    </row>
    <row r="28" spans="1:11">
      <c r="A28" s="194" t="s">
        <v>49</v>
      </c>
      <c r="B28" s="198"/>
      <c r="C28" s="199">
        <f t="shared" ref="C28:J28" si="4">C22+C16+C10+C4</f>
        <v>27466553.365765899</v>
      </c>
      <c r="D28" s="199">
        <f t="shared" si="4"/>
        <v>30207977.931088306</v>
      </c>
      <c r="E28" s="199">
        <f t="shared" si="4"/>
        <v>34219777.622551002</v>
      </c>
      <c r="F28" s="199">
        <f t="shared" si="4"/>
        <v>34723722.945058435</v>
      </c>
      <c r="G28" s="199">
        <f t="shared" si="4"/>
        <v>37654037.837000877</v>
      </c>
      <c r="H28" s="199">
        <f t="shared" si="4"/>
        <v>43797728.986689351</v>
      </c>
      <c r="I28" s="199">
        <f t="shared" si="4"/>
        <v>49366157.259563275</v>
      </c>
      <c r="J28" s="199">
        <f t="shared" si="4"/>
        <v>51872043.799387284</v>
      </c>
    </row>
    <row r="29" spans="1:11">
      <c r="A29" s="194" t="s">
        <v>74</v>
      </c>
      <c r="B29" s="198"/>
      <c r="C29" s="199">
        <f t="shared" ref="C29:J29" si="5">C23+C17+C11+C5</f>
        <v>43817511.569780782</v>
      </c>
      <c r="D29" s="199">
        <f t="shared" si="5"/>
        <v>48224727.407742523</v>
      </c>
      <c r="E29" s="199">
        <f t="shared" si="5"/>
        <v>54857206.177382797</v>
      </c>
      <c r="F29" s="199">
        <f t="shared" si="5"/>
        <v>56730034.508375861</v>
      </c>
      <c r="G29" s="199">
        <f t="shared" si="5"/>
        <v>63437119.582380176</v>
      </c>
      <c r="H29" s="199">
        <f t="shared" si="5"/>
        <v>69974700.056748301</v>
      </c>
      <c r="I29" s="199">
        <f t="shared" si="5"/>
        <v>77615457.28608802</v>
      </c>
      <c r="J29" s="199">
        <f t="shared" si="5"/>
        <v>81443795.488235205</v>
      </c>
    </row>
    <row r="30" spans="1:11">
      <c r="A30" s="194" t="s">
        <v>50</v>
      </c>
      <c r="B30" s="198"/>
      <c r="C30" s="199">
        <f t="shared" ref="C30:J30" si="6">C24+C18+C12+C6</f>
        <v>44917865.715101637</v>
      </c>
      <c r="D30" s="199">
        <f t="shared" si="6"/>
        <v>48519613.848514184</v>
      </c>
      <c r="E30" s="199">
        <f t="shared" si="6"/>
        <v>57036109.966000065</v>
      </c>
      <c r="F30" s="199">
        <f t="shared" si="6"/>
        <v>60140986.687942326</v>
      </c>
      <c r="G30" s="199">
        <f t="shared" si="6"/>
        <v>73618055.040132105</v>
      </c>
      <c r="H30" s="199">
        <f t="shared" si="6"/>
        <v>70888939.304122895</v>
      </c>
      <c r="I30" s="199">
        <f t="shared" si="6"/>
        <v>82615594.585334808</v>
      </c>
      <c r="J30" s="199">
        <f t="shared" si="6"/>
        <v>87538348.056837142</v>
      </c>
    </row>
    <row r="31" spans="1:11" s="105" customFormat="1">
      <c r="A31" s="606" t="s">
        <v>48</v>
      </c>
      <c r="B31" s="607"/>
      <c r="C31" s="608">
        <f t="shared" ref="C31:J31" si="7">SUM(C28:C30)</f>
        <v>116201930.65064833</v>
      </c>
      <c r="D31" s="608">
        <f t="shared" si="7"/>
        <v>126952319.18734501</v>
      </c>
      <c r="E31" s="608">
        <f t="shared" si="7"/>
        <v>146113093.76593387</v>
      </c>
      <c r="F31" s="608">
        <f t="shared" si="7"/>
        <v>151594744.14137661</v>
      </c>
      <c r="G31" s="608">
        <f t="shared" si="7"/>
        <v>174709212.45951316</v>
      </c>
      <c r="H31" s="608">
        <f t="shared" si="7"/>
        <v>184661368.34756055</v>
      </c>
      <c r="I31" s="608">
        <f t="shared" si="7"/>
        <v>209597209.13098609</v>
      </c>
      <c r="J31" s="608">
        <f t="shared" si="7"/>
        <v>220854187.34445962</v>
      </c>
    </row>
    <row r="32" spans="1:11">
      <c r="A32" s="194"/>
      <c r="B32" s="198"/>
      <c r="C32" s="199"/>
      <c r="D32" s="199"/>
      <c r="E32" s="199"/>
      <c r="F32" s="199"/>
      <c r="G32" s="199"/>
      <c r="H32" s="199"/>
      <c r="I32" s="199"/>
      <c r="J32" s="199"/>
    </row>
    <row r="33" spans="1:10">
      <c r="A33" s="192" t="s">
        <v>661</v>
      </c>
      <c r="B33" s="788"/>
      <c r="C33" s="68">
        <v>2010</v>
      </c>
      <c r="D33" s="68">
        <v>2011</v>
      </c>
      <c r="E33" s="68">
        <v>2012</v>
      </c>
      <c r="F33" s="68">
        <v>2013</v>
      </c>
      <c r="G33" s="68">
        <v>2014</v>
      </c>
      <c r="H33" s="68">
        <v>2015</v>
      </c>
      <c r="I33" s="68">
        <v>2016</v>
      </c>
      <c r="J33" s="68">
        <v>2017</v>
      </c>
    </row>
    <row r="34" spans="1:10">
      <c r="A34" s="9" t="s">
        <v>49</v>
      </c>
      <c r="B34" s="200"/>
      <c r="C34" s="200">
        <f t="shared" ref="C34:J34" si="8">C4/C$7</f>
        <v>0.34283054880224667</v>
      </c>
      <c r="D34" s="200">
        <f t="shared" si="8"/>
        <v>0.33302531494180032</v>
      </c>
      <c r="E34" s="200">
        <f t="shared" si="8"/>
        <v>0.34411132885499573</v>
      </c>
      <c r="F34" s="200">
        <f t="shared" si="8"/>
        <v>0.34700127321480206</v>
      </c>
      <c r="G34" s="200">
        <f t="shared" si="8"/>
        <v>0.31472095502731295</v>
      </c>
      <c r="H34" s="200">
        <f t="shared" si="8"/>
        <v>0.31950682875397002</v>
      </c>
      <c r="I34" s="200">
        <f t="shared" si="8"/>
        <v>0.31807959536772235</v>
      </c>
      <c r="J34" s="200">
        <f t="shared" si="8"/>
        <v>0.31587819951860807</v>
      </c>
    </row>
    <row r="35" spans="1:10">
      <c r="A35" s="194" t="s">
        <v>74</v>
      </c>
      <c r="B35" s="200"/>
      <c r="C35" s="200">
        <f t="shared" ref="C35:J35" si="9">C5/C$7</f>
        <v>0.36663990649408029</v>
      </c>
      <c r="D35" s="200">
        <f t="shared" si="9"/>
        <v>0.36055503644641318</v>
      </c>
      <c r="E35" s="200">
        <f t="shared" si="9"/>
        <v>0.37139195798558472</v>
      </c>
      <c r="F35" s="200">
        <f t="shared" si="9"/>
        <v>0.37844633190263988</v>
      </c>
      <c r="G35" s="200">
        <f t="shared" si="9"/>
        <v>0.35709166037766299</v>
      </c>
      <c r="H35" s="200">
        <f t="shared" si="9"/>
        <v>0.35424903024297544</v>
      </c>
      <c r="I35" s="200">
        <f t="shared" si="9"/>
        <v>0.3540238732662857</v>
      </c>
      <c r="J35" s="200">
        <f t="shared" si="9"/>
        <v>0.35368416901462657</v>
      </c>
    </row>
    <row r="36" spans="1:10">
      <c r="A36" s="9" t="s">
        <v>50</v>
      </c>
      <c r="B36" s="200"/>
      <c r="C36" s="200">
        <f t="shared" ref="C36:J36" si="10">C6/C$7</f>
        <v>0.29052954470367304</v>
      </c>
      <c r="D36" s="200">
        <f t="shared" si="10"/>
        <v>0.30641964861178644</v>
      </c>
      <c r="E36" s="200">
        <f t="shared" si="10"/>
        <v>0.2844967131594196</v>
      </c>
      <c r="F36" s="200">
        <f t="shared" si="10"/>
        <v>0.274552394882558</v>
      </c>
      <c r="G36" s="200">
        <f t="shared" si="10"/>
        <v>0.32818738459502411</v>
      </c>
      <c r="H36" s="200">
        <f t="shared" si="10"/>
        <v>0.32624414100305454</v>
      </c>
      <c r="I36" s="200">
        <f t="shared" si="10"/>
        <v>0.32789653136599195</v>
      </c>
      <c r="J36" s="200">
        <f t="shared" si="10"/>
        <v>0.33043763146676541</v>
      </c>
    </row>
    <row r="37" spans="1:10" s="105" customFormat="1">
      <c r="A37" s="105" t="s">
        <v>48</v>
      </c>
      <c r="B37" s="51"/>
      <c r="C37" s="51">
        <f t="shared" ref="C37:J37" si="11">SUM(C34:C36)</f>
        <v>1</v>
      </c>
      <c r="D37" s="51">
        <f t="shared" si="11"/>
        <v>1</v>
      </c>
      <c r="E37" s="51">
        <f t="shared" si="11"/>
        <v>1</v>
      </c>
      <c r="F37" s="51">
        <f t="shared" si="11"/>
        <v>0.99999999999999989</v>
      </c>
      <c r="G37" s="51">
        <f t="shared" si="11"/>
        <v>1</v>
      </c>
      <c r="H37" s="51">
        <f t="shared" si="11"/>
        <v>1</v>
      </c>
      <c r="I37" s="51">
        <f t="shared" si="11"/>
        <v>1</v>
      </c>
      <c r="J37" s="51">
        <f t="shared" si="11"/>
        <v>1</v>
      </c>
    </row>
    <row r="38" spans="1:10">
      <c r="B38" s="200"/>
      <c r="C38" s="200"/>
      <c r="D38" s="200"/>
      <c r="E38" s="200"/>
      <c r="F38" s="200"/>
      <c r="G38" s="200"/>
      <c r="H38" s="200"/>
      <c r="I38" s="200"/>
      <c r="J38" s="200"/>
    </row>
    <row r="39" spans="1:10">
      <c r="A39" s="192" t="s">
        <v>662</v>
      </c>
      <c r="B39" s="788"/>
      <c r="C39" s="68">
        <v>2010</v>
      </c>
      <c r="D39" s="68">
        <v>2011</v>
      </c>
      <c r="E39" s="68">
        <v>2012</v>
      </c>
      <c r="F39" s="68">
        <v>2013</v>
      </c>
      <c r="G39" s="68">
        <v>2014</v>
      </c>
      <c r="H39" s="68">
        <v>2015</v>
      </c>
      <c r="I39" s="68">
        <v>2016</v>
      </c>
      <c r="J39" s="68">
        <v>2017</v>
      </c>
    </row>
    <row r="40" spans="1:10">
      <c r="A40" s="9" t="s">
        <v>49</v>
      </c>
      <c r="B40" s="200"/>
      <c r="C40" s="200">
        <f t="shared" ref="C40:J40" si="12">C10/C$13</f>
        <v>0.21158518261777864</v>
      </c>
      <c r="D40" s="200">
        <f t="shared" si="12"/>
        <v>0.23571295486065066</v>
      </c>
      <c r="E40" s="200">
        <f t="shared" si="12"/>
        <v>0.23201217807164107</v>
      </c>
      <c r="F40" s="200">
        <f t="shared" si="12"/>
        <v>0.2209096107128862</v>
      </c>
      <c r="G40" s="200">
        <f t="shared" si="12"/>
        <v>0.19493343836825869</v>
      </c>
      <c r="H40" s="200">
        <f t="shared" si="12"/>
        <v>0.25717712344037719</v>
      </c>
      <c r="I40" s="200">
        <f t="shared" si="12"/>
        <v>0.24059210438823547</v>
      </c>
      <c r="J40" s="200">
        <f t="shared" si="12"/>
        <v>0.23480010668591875</v>
      </c>
    </row>
    <row r="41" spans="1:10">
      <c r="A41" s="194" t="s">
        <v>74</v>
      </c>
      <c r="B41" s="200"/>
      <c r="C41" s="200">
        <f t="shared" ref="C41:J41" si="13">C11/C$13</f>
        <v>0.42774383364160218</v>
      </c>
      <c r="D41" s="200">
        <f t="shared" si="13"/>
        <v>0.4397300996605718</v>
      </c>
      <c r="E41" s="200">
        <f t="shared" si="13"/>
        <v>0.41003491018739369</v>
      </c>
      <c r="F41" s="200">
        <f t="shared" si="13"/>
        <v>0.40444410287762161</v>
      </c>
      <c r="G41" s="200">
        <f t="shared" si="13"/>
        <v>0.39890343286785895</v>
      </c>
      <c r="H41" s="200">
        <f t="shared" si="13"/>
        <v>0.44792425696098642</v>
      </c>
      <c r="I41" s="200">
        <f t="shared" si="13"/>
        <v>0.40986308267031202</v>
      </c>
      <c r="J41" s="200">
        <f t="shared" si="13"/>
        <v>0.40549354941515908</v>
      </c>
    </row>
    <row r="42" spans="1:10">
      <c r="A42" s="9" t="s">
        <v>50</v>
      </c>
      <c r="B42" s="200"/>
      <c r="C42" s="200">
        <f t="shared" ref="C42:J42" si="14">C12/C$13</f>
        <v>0.36067098374061918</v>
      </c>
      <c r="D42" s="200">
        <f t="shared" si="14"/>
        <v>0.32455694547877767</v>
      </c>
      <c r="E42" s="200">
        <f t="shared" si="14"/>
        <v>0.35795291174096516</v>
      </c>
      <c r="F42" s="200">
        <f t="shared" si="14"/>
        <v>0.37464628640949227</v>
      </c>
      <c r="G42" s="200">
        <f t="shared" si="14"/>
        <v>0.40616312876388228</v>
      </c>
      <c r="H42" s="200">
        <f t="shared" si="14"/>
        <v>0.29489861959863639</v>
      </c>
      <c r="I42" s="200">
        <f t="shared" si="14"/>
        <v>0.34954481294145251</v>
      </c>
      <c r="J42" s="200">
        <f t="shared" si="14"/>
        <v>0.35970634389892231</v>
      </c>
    </row>
    <row r="43" spans="1:10" s="105" customFormat="1">
      <c r="A43" s="105" t="s">
        <v>48</v>
      </c>
      <c r="B43" s="51"/>
      <c r="C43" s="51">
        <f t="shared" ref="C43:J43" si="15">SUM(C40:C42)</f>
        <v>1</v>
      </c>
      <c r="D43" s="51">
        <f t="shared" si="15"/>
        <v>1</v>
      </c>
      <c r="E43" s="51">
        <f t="shared" si="15"/>
        <v>1</v>
      </c>
      <c r="F43" s="51">
        <f t="shared" si="15"/>
        <v>1</v>
      </c>
      <c r="G43" s="51">
        <f t="shared" si="15"/>
        <v>0.99999999999999989</v>
      </c>
      <c r="H43" s="51">
        <f t="shared" si="15"/>
        <v>1</v>
      </c>
      <c r="I43" s="51">
        <f t="shared" si="15"/>
        <v>1</v>
      </c>
      <c r="J43" s="51">
        <f t="shared" si="15"/>
        <v>1</v>
      </c>
    </row>
    <row r="44" spans="1:10">
      <c r="B44" s="200"/>
      <c r="C44" s="200"/>
      <c r="D44" s="200"/>
      <c r="E44" s="200"/>
      <c r="F44" s="200"/>
      <c r="G44" s="200"/>
      <c r="H44" s="200"/>
      <c r="I44" s="200"/>
      <c r="J44" s="200"/>
    </row>
    <row r="45" spans="1:10">
      <c r="A45" s="192" t="s">
        <v>663</v>
      </c>
      <c r="B45" s="788"/>
      <c r="C45" s="68">
        <v>2010</v>
      </c>
      <c r="D45" s="68">
        <v>2011</v>
      </c>
      <c r="E45" s="68">
        <v>2012</v>
      </c>
      <c r="F45" s="68">
        <v>2013</v>
      </c>
      <c r="G45" s="68">
        <v>2014</v>
      </c>
      <c r="H45" s="68">
        <v>2015</v>
      </c>
      <c r="I45" s="68">
        <v>2016</v>
      </c>
      <c r="J45" s="68">
        <v>2017</v>
      </c>
    </row>
    <row r="46" spans="1:10">
      <c r="A46" s="9" t="s">
        <v>49</v>
      </c>
      <c r="B46" s="200"/>
      <c r="C46" s="200">
        <f t="shared" ref="C46:J46" si="16">C16/C$19</f>
        <v>2.4091283525322308E-2</v>
      </c>
      <c r="D46" s="200">
        <f t="shared" si="16"/>
        <v>2.4091282720308482E-2</v>
      </c>
      <c r="E46" s="200">
        <f t="shared" si="16"/>
        <v>2.4091282810528126E-2</v>
      </c>
      <c r="F46" s="200">
        <f t="shared" si="16"/>
        <v>2.4091283012799617E-2</v>
      </c>
      <c r="G46" s="200">
        <f t="shared" si="16"/>
        <v>2.4091283012799621E-2</v>
      </c>
      <c r="H46" s="200">
        <f t="shared" si="16"/>
        <v>2.4091282847774082E-2</v>
      </c>
      <c r="I46" s="200">
        <f t="shared" si="16"/>
        <v>2.4091282889383489E-2</v>
      </c>
      <c r="J46" s="200">
        <f t="shared" si="16"/>
        <v>2.4091282916332044E-2</v>
      </c>
    </row>
    <row r="47" spans="1:10">
      <c r="A47" s="194" t="s">
        <v>74</v>
      </c>
      <c r="B47" s="200"/>
      <c r="C47" s="200">
        <f t="shared" ref="C47:J47" si="17">C17/C$19</f>
        <v>0.35670406428337198</v>
      </c>
      <c r="D47" s="200">
        <f t="shared" si="17"/>
        <v>0.35670405379831605</v>
      </c>
      <c r="E47" s="200">
        <f t="shared" si="17"/>
        <v>0.35670406031292951</v>
      </c>
      <c r="F47" s="200">
        <f t="shared" si="17"/>
        <v>0.35670405944632072</v>
      </c>
      <c r="G47" s="200">
        <f t="shared" si="17"/>
        <v>0.35670405944632078</v>
      </c>
      <c r="H47" s="200">
        <f t="shared" si="17"/>
        <v>0.35670405788885406</v>
      </c>
      <c r="I47" s="200">
        <f t="shared" si="17"/>
        <v>0.35670405922415432</v>
      </c>
      <c r="J47" s="200">
        <f t="shared" si="17"/>
        <v>0.35670405885206891</v>
      </c>
    </row>
    <row r="48" spans="1:10">
      <c r="A48" s="9" t="s">
        <v>50</v>
      </c>
      <c r="B48" s="200"/>
      <c r="C48" s="200">
        <f t="shared" ref="C48:J48" si="18">C18/C$19</f>
        <v>0.61920465219130572</v>
      </c>
      <c r="D48" s="200">
        <f t="shared" si="18"/>
        <v>0.61920466348137559</v>
      </c>
      <c r="E48" s="200">
        <f t="shared" si="18"/>
        <v>0.61920465687654225</v>
      </c>
      <c r="F48" s="200">
        <f t="shared" si="18"/>
        <v>0.61920465754087961</v>
      </c>
      <c r="G48" s="200">
        <f t="shared" si="18"/>
        <v>0.61920465754087961</v>
      </c>
      <c r="H48" s="200">
        <f t="shared" si="18"/>
        <v>0.61920465926337198</v>
      </c>
      <c r="I48" s="200">
        <f t="shared" si="18"/>
        <v>0.61920465788646217</v>
      </c>
      <c r="J48" s="200">
        <f t="shared" si="18"/>
        <v>0.61920465823159898</v>
      </c>
    </row>
    <row r="49" spans="1:13" s="105" customFormat="1">
      <c r="A49" s="105" t="s">
        <v>48</v>
      </c>
      <c r="B49" s="51"/>
      <c r="C49" s="51">
        <f t="shared" ref="C49:J49" si="19">SUM(C46:C48)</f>
        <v>1</v>
      </c>
      <c r="D49" s="51">
        <f t="shared" si="19"/>
        <v>1</v>
      </c>
      <c r="E49" s="51">
        <f t="shared" si="19"/>
        <v>0.99999999999999989</v>
      </c>
      <c r="F49" s="51">
        <f t="shared" si="19"/>
        <v>1</v>
      </c>
      <c r="G49" s="51">
        <f t="shared" si="19"/>
        <v>1</v>
      </c>
      <c r="H49" s="51">
        <f t="shared" si="19"/>
        <v>1</v>
      </c>
      <c r="I49" s="51">
        <f t="shared" si="19"/>
        <v>1</v>
      </c>
      <c r="J49" s="51">
        <f t="shared" si="19"/>
        <v>1</v>
      </c>
    </row>
    <row r="50" spans="1:13">
      <c r="B50" s="200"/>
      <c r="C50" s="200"/>
      <c r="D50" s="200"/>
      <c r="E50" s="200"/>
      <c r="F50" s="200"/>
      <c r="G50" s="200"/>
      <c r="H50" s="200"/>
      <c r="I50" s="200"/>
      <c r="J50" s="200"/>
    </row>
    <row r="51" spans="1:13">
      <c r="A51" s="192" t="s">
        <v>664</v>
      </c>
      <c r="B51" s="788"/>
      <c r="C51" s="68">
        <v>2010</v>
      </c>
      <c r="D51" s="68">
        <v>2011</v>
      </c>
      <c r="E51" s="68">
        <v>2012</v>
      </c>
      <c r="F51" s="68">
        <v>2013</v>
      </c>
      <c r="G51" s="68">
        <v>2014</v>
      </c>
      <c r="H51" s="68">
        <v>2015</v>
      </c>
      <c r="I51" s="68">
        <v>2016</v>
      </c>
      <c r="J51" s="68">
        <v>2017</v>
      </c>
    </row>
    <row r="52" spans="1:13">
      <c r="A52" s="9" t="s">
        <v>49</v>
      </c>
      <c r="B52" s="200"/>
      <c r="C52" s="200">
        <f t="shared" ref="C52:J52" si="20">C22/C$25</f>
        <v>0.18689925636196389</v>
      </c>
      <c r="D52" s="200">
        <f t="shared" si="20"/>
        <v>0.18205622602132399</v>
      </c>
      <c r="E52" s="200">
        <f t="shared" si="20"/>
        <v>0.18272644506383673</v>
      </c>
      <c r="F52" s="200">
        <f t="shared" si="20"/>
        <v>0.18753312856267518</v>
      </c>
      <c r="G52" s="200">
        <f t="shared" si="20"/>
        <v>0.18667362848352984</v>
      </c>
      <c r="H52" s="200">
        <f t="shared" si="20"/>
        <v>0.18608049163422982</v>
      </c>
      <c r="I52" s="200">
        <f t="shared" si="20"/>
        <v>0.19645960820229483</v>
      </c>
      <c r="J52" s="200">
        <f t="shared" si="20"/>
        <v>0.1960266796780388</v>
      </c>
    </row>
    <row r="53" spans="1:13">
      <c r="A53" s="194" t="s">
        <v>74</v>
      </c>
      <c r="B53" s="200"/>
      <c r="C53" s="200">
        <f t="shared" ref="C53:J53" si="21">C23/C$25</f>
        <v>0.27537820531126833</v>
      </c>
      <c r="D53" s="200">
        <f t="shared" si="21"/>
        <v>0.27283066423303809</v>
      </c>
      <c r="E53" s="200">
        <f t="shared" si="21"/>
        <v>0.28013374560842946</v>
      </c>
      <c r="F53" s="200">
        <f t="shared" si="21"/>
        <v>0.28405373565947045</v>
      </c>
      <c r="G53" s="200">
        <f t="shared" si="21"/>
        <v>0.28287066688293955</v>
      </c>
      <c r="H53" s="200">
        <f t="shared" si="21"/>
        <v>0.27344946892497518</v>
      </c>
      <c r="I53" s="200">
        <f t="shared" si="21"/>
        <v>0.28242753372537932</v>
      </c>
      <c r="J53" s="200">
        <f t="shared" si="21"/>
        <v>0.28245119942797897</v>
      </c>
    </row>
    <row r="54" spans="1:13">
      <c r="A54" s="9" t="s">
        <v>50</v>
      </c>
      <c r="B54" s="200"/>
      <c r="C54" s="200">
        <f t="shared" ref="C54:J54" si="22">C24/C$25</f>
        <v>0.53772253832676775</v>
      </c>
      <c r="D54" s="200">
        <f t="shared" si="22"/>
        <v>0.54511310974563787</v>
      </c>
      <c r="E54" s="200">
        <f t="shared" si="22"/>
        <v>0.53713980932773386</v>
      </c>
      <c r="F54" s="200">
        <f t="shared" si="22"/>
        <v>0.52841313577785431</v>
      </c>
      <c r="G54" s="200">
        <f t="shared" si="22"/>
        <v>0.53045570463353064</v>
      </c>
      <c r="H54" s="200">
        <f t="shared" si="22"/>
        <v>0.54047003944079497</v>
      </c>
      <c r="I54" s="200">
        <f t="shared" si="22"/>
        <v>0.52111285807232588</v>
      </c>
      <c r="J54" s="200">
        <f t="shared" si="22"/>
        <v>0.5215221208939822</v>
      </c>
    </row>
    <row r="55" spans="1:13" s="105" customFormat="1">
      <c r="A55" s="105" t="s">
        <v>48</v>
      </c>
      <c r="B55" s="51"/>
      <c r="C55" s="51">
        <f t="shared" ref="C55:J55" si="23">SUM(C52:C54)</f>
        <v>1</v>
      </c>
      <c r="D55" s="51">
        <f t="shared" si="23"/>
        <v>1</v>
      </c>
      <c r="E55" s="51">
        <f t="shared" si="23"/>
        <v>1</v>
      </c>
      <c r="F55" s="51">
        <f t="shared" si="23"/>
        <v>1</v>
      </c>
      <c r="G55" s="51">
        <f t="shared" si="23"/>
        <v>1</v>
      </c>
      <c r="H55" s="51">
        <f t="shared" si="23"/>
        <v>1</v>
      </c>
      <c r="I55" s="51">
        <f t="shared" si="23"/>
        <v>1</v>
      </c>
      <c r="J55" s="51">
        <f t="shared" si="23"/>
        <v>1</v>
      </c>
    </row>
    <row r="56" spans="1:13">
      <c r="B56" s="200"/>
      <c r="C56" s="200"/>
      <c r="D56" s="200"/>
      <c r="E56" s="200"/>
      <c r="F56" s="200"/>
      <c r="G56" s="200"/>
      <c r="H56" s="200"/>
      <c r="I56" s="200"/>
      <c r="J56" s="200"/>
      <c r="K56" s="1028" t="s">
        <v>2126</v>
      </c>
      <c r="L56" s="1029"/>
      <c r="M56" s="1030"/>
    </row>
    <row r="57" spans="1:13">
      <c r="A57" s="192" t="s">
        <v>673</v>
      </c>
      <c r="B57" s="196"/>
      <c r="C57" s="68">
        <v>2010</v>
      </c>
      <c r="D57" s="68">
        <v>2011</v>
      </c>
      <c r="E57" s="68">
        <v>2012</v>
      </c>
      <c r="F57" s="68">
        <v>2013</v>
      </c>
      <c r="G57" s="68">
        <v>2014</v>
      </c>
      <c r="H57" s="68">
        <v>2015</v>
      </c>
      <c r="I57" s="68">
        <v>2016</v>
      </c>
      <c r="J57" s="68">
        <v>2017</v>
      </c>
      <c r="K57" s="68">
        <v>2018</v>
      </c>
      <c r="L57" s="68">
        <v>2019</v>
      </c>
      <c r="M57" s="68">
        <v>2020</v>
      </c>
    </row>
    <row r="58" spans="1:13">
      <c r="A58" s="194" t="s">
        <v>49</v>
      </c>
      <c r="B58" s="198"/>
      <c r="C58" s="149">
        <f t="shared" ref="C58:J58" si="24">C28/C$31</f>
        <v>0.23636916540002992</v>
      </c>
      <c r="D58" s="149">
        <f t="shared" si="24"/>
        <v>0.23794742880206893</v>
      </c>
      <c r="E58" s="149">
        <f t="shared" si="24"/>
        <v>0.23420062323346211</v>
      </c>
      <c r="F58" s="149">
        <f t="shared" si="24"/>
        <v>0.22905624559566021</v>
      </c>
      <c r="G58" s="149">
        <f t="shared" si="24"/>
        <v>0.21552405455280021</v>
      </c>
      <c r="H58" s="149">
        <f t="shared" si="24"/>
        <v>0.23717862257066902</v>
      </c>
      <c r="I58" s="149">
        <f t="shared" si="24"/>
        <v>0.23552869555964503</v>
      </c>
      <c r="J58" s="149">
        <f t="shared" si="24"/>
        <v>0.23487009426035477</v>
      </c>
      <c r="K58" s="223">
        <f t="array" ref="K58:M58">TREND(H58:J58,$H$57:$J$57,K57:M57)</f>
        <v>0.23355060915324177</v>
      </c>
      <c r="L58" s="223">
        <v>0.23239634499808481</v>
      </c>
      <c r="M58" s="223">
        <v>0.23124208084292741</v>
      </c>
    </row>
    <row r="59" spans="1:13">
      <c r="A59" s="194" t="s">
        <v>74</v>
      </c>
      <c r="B59" s="198"/>
      <c r="C59" s="149">
        <f t="shared" ref="C59:J59" si="25">C29/C$31</f>
        <v>0.37708075351617498</v>
      </c>
      <c r="D59" s="149">
        <f t="shared" si="25"/>
        <v>0.37986487932195023</v>
      </c>
      <c r="E59" s="149">
        <f t="shared" si="25"/>
        <v>0.37544346480857765</v>
      </c>
      <c r="F59" s="149">
        <f t="shared" si="25"/>
        <v>0.37422164488413706</v>
      </c>
      <c r="G59" s="149">
        <f t="shared" si="25"/>
        <v>0.36310117073580761</v>
      </c>
      <c r="H59" s="149">
        <f t="shared" si="25"/>
        <v>0.37893524066736772</v>
      </c>
      <c r="I59" s="149">
        <f t="shared" si="25"/>
        <v>0.37030768495387201</v>
      </c>
      <c r="J59" s="149">
        <f t="shared" si="25"/>
        <v>0.3687672688822955</v>
      </c>
      <c r="K59" s="223">
        <f t="array" ref="K59:M59">TREND(H59:J59,$H$57:$J$57,K57:M57)</f>
        <v>0.36250209304943937</v>
      </c>
      <c r="L59" s="223">
        <v>0.3574181071569047</v>
      </c>
      <c r="M59" s="223">
        <v>0.35233412126436825</v>
      </c>
    </row>
    <row r="60" spans="1:13">
      <c r="A60" s="194" t="s">
        <v>50</v>
      </c>
      <c r="B60" s="198"/>
      <c r="C60" s="149">
        <f t="shared" ref="C60:J60" si="26">C30/C$31</f>
        <v>0.38655008108379502</v>
      </c>
      <c r="D60" s="149">
        <f t="shared" si="26"/>
        <v>0.38218769187598084</v>
      </c>
      <c r="E60" s="149">
        <f t="shared" si="26"/>
        <v>0.39035591195796021</v>
      </c>
      <c r="F60" s="149">
        <f t="shared" si="26"/>
        <v>0.39672210952020276</v>
      </c>
      <c r="G60" s="149">
        <f t="shared" si="26"/>
        <v>0.42137477471139217</v>
      </c>
      <c r="H60" s="149">
        <f t="shared" si="26"/>
        <v>0.3838861367619632</v>
      </c>
      <c r="I60" s="149">
        <f t="shared" si="26"/>
        <v>0.39416361948648304</v>
      </c>
      <c r="J60" s="149">
        <f t="shared" si="26"/>
        <v>0.39636263685734974</v>
      </c>
      <c r="K60" s="223">
        <f t="array" ref="K60:M60">TREND(H60:J60,$H$57:$J$57,K57:M57)</f>
        <v>0.40394729779731797</v>
      </c>
      <c r="L60" s="223">
        <v>0.41018554784501227</v>
      </c>
      <c r="M60" s="223">
        <v>0.41642379789270478</v>
      </c>
    </row>
    <row r="61" spans="1:13" s="105" customFormat="1">
      <c r="A61" s="606" t="s">
        <v>48</v>
      </c>
      <c r="B61" s="607"/>
      <c r="C61" s="607">
        <f t="shared" ref="C61:M61" si="27">SUM(C58:C60)</f>
        <v>1</v>
      </c>
      <c r="D61" s="607">
        <f t="shared" si="27"/>
        <v>1</v>
      </c>
      <c r="E61" s="607">
        <f t="shared" si="27"/>
        <v>1</v>
      </c>
      <c r="F61" s="607">
        <f t="shared" si="27"/>
        <v>1</v>
      </c>
      <c r="G61" s="607">
        <f t="shared" si="27"/>
        <v>1</v>
      </c>
      <c r="H61" s="607">
        <f t="shared" si="27"/>
        <v>1</v>
      </c>
      <c r="I61" s="607">
        <f t="shared" si="27"/>
        <v>1</v>
      </c>
      <c r="J61" s="607">
        <f t="shared" si="27"/>
        <v>1</v>
      </c>
      <c r="K61" s="607">
        <f t="shared" si="27"/>
        <v>0.99999999999999911</v>
      </c>
      <c r="L61" s="607">
        <f t="shared" si="27"/>
        <v>1.0000000000000018</v>
      </c>
      <c r="M61" s="607">
        <f t="shared" si="27"/>
        <v>1.0000000000000004</v>
      </c>
    </row>
    <row r="63" spans="1:13">
      <c r="G63" s="201"/>
    </row>
    <row r="64" spans="1:13">
      <c r="A64" s="202"/>
      <c r="B64" s="787"/>
      <c r="C64" s="203"/>
      <c r="D64" s="203"/>
      <c r="E64" s="203"/>
      <c r="F64" s="203"/>
      <c r="G64" s="201"/>
    </row>
    <row r="65" spans="1:7">
      <c r="A65" s="11"/>
      <c r="B65" s="149"/>
      <c r="C65" s="149"/>
      <c r="D65" s="149"/>
      <c r="E65" s="149"/>
      <c r="F65" s="149"/>
      <c r="G65" s="201"/>
    </row>
    <row r="66" spans="1:7">
      <c r="A66" s="11"/>
      <c r="B66" s="149"/>
      <c r="C66" s="149"/>
      <c r="D66" s="149"/>
      <c r="E66" s="149"/>
      <c r="F66" s="149"/>
      <c r="G66" s="201"/>
    </row>
    <row r="67" spans="1:7">
      <c r="A67" s="11"/>
      <c r="B67" s="149"/>
      <c r="C67" s="149"/>
      <c r="D67" s="149"/>
      <c r="E67" s="149"/>
      <c r="F67" s="149"/>
      <c r="G67" s="149"/>
    </row>
    <row r="68" spans="1:7">
      <c r="A68" s="11"/>
      <c r="B68" s="149"/>
      <c r="C68" s="149"/>
      <c r="D68" s="149"/>
      <c r="E68" s="149"/>
      <c r="F68" s="149"/>
      <c r="G68" s="149"/>
    </row>
  </sheetData>
  <mergeCells count="1">
    <mergeCell ref="K56:M56"/>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144"/>
  <sheetViews>
    <sheetView topLeftCell="H1" zoomScale="60" zoomScaleNormal="60" workbookViewId="0">
      <selection activeCell="B14" sqref="B14:O14"/>
    </sheetView>
  </sheetViews>
  <sheetFormatPr defaultColWidth="12.33203125" defaultRowHeight="15.6"/>
  <cols>
    <col min="1" max="1" width="12.33203125" style="810"/>
    <col min="2" max="2" width="46.109375" style="810" customWidth="1"/>
    <col min="3" max="3" width="18.33203125" style="810" customWidth="1"/>
    <col min="4" max="4" width="9.5546875" style="810" customWidth="1"/>
    <col min="5" max="5" width="93.88671875" style="810" customWidth="1"/>
    <col min="6" max="6" width="8.33203125" style="810" customWidth="1"/>
    <col min="7" max="7" width="35.109375" style="810" customWidth="1"/>
    <col min="8" max="8" width="17.5546875" style="810" bestFit="1" customWidth="1"/>
    <col min="9" max="9" width="5.6640625" style="810" customWidth="1"/>
    <col min="10" max="10" width="9" style="810" customWidth="1"/>
    <col min="11" max="11" width="14" style="810" customWidth="1"/>
    <col min="12" max="13" width="12.33203125" style="810"/>
    <col min="14" max="14" width="22.6640625" style="810" customWidth="1"/>
    <col min="15" max="15" width="28.33203125" style="810" customWidth="1"/>
    <col min="16" max="16" width="12.33203125" style="810"/>
    <col min="17" max="17" width="21.6640625" style="810" bestFit="1" customWidth="1"/>
    <col min="18" max="18" width="4.33203125" style="810" customWidth="1"/>
    <col min="19" max="16384" width="12.33203125" style="810"/>
  </cols>
  <sheetData>
    <row r="1" spans="1:17" ht="20.399999999999999">
      <c r="A1" s="809" t="s">
        <v>3141</v>
      </c>
      <c r="O1" s="811"/>
    </row>
    <row r="3" spans="1:17">
      <c r="A3" s="933" t="s">
        <v>2508</v>
      </c>
    </row>
    <row r="4" spans="1:17">
      <c r="C4" s="934" t="s">
        <v>2508</v>
      </c>
      <c r="G4" s="974" t="s">
        <v>2509</v>
      </c>
      <c r="H4" s="974"/>
      <c r="I4" s="935"/>
      <c r="J4" s="935"/>
      <c r="K4" s="935"/>
    </row>
    <row r="5" spans="1:17">
      <c r="B5" s="936" t="s">
        <v>2510</v>
      </c>
      <c r="C5" s="936">
        <v>1</v>
      </c>
      <c r="G5" s="937"/>
      <c r="H5" s="938" t="s">
        <v>2511</v>
      </c>
      <c r="I5" s="939"/>
      <c r="J5" s="939"/>
      <c r="K5" s="939"/>
    </row>
    <row r="6" spans="1:17">
      <c r="B6" s="936" t="s">
        <v>2512</v>
      </c>
      <c r="C6" s="936">
        <v>1.18</v>
      </c>
      <c r="G6" s="940" t="s">
        <v>3123</v>
      </c>
      <c r="H6" s="941">
        <f>1-(O62/O39)</f>
        <v>6.3309124833851538E-2</v>
      </c>
      <c r="I6" s="915"/>
      <c r="J6" s="915"/>
      <c r="K6" s="915"/>
    </row>
    <row r="7" spans="1:17">
      <c r="B7" s="936" t="s">
        <v>2513</v>
      </c>
      <c r="C7" s="936">
        <v>1.62</v>
      </c>
      <c r="G7" s="942" t="s">
        <v>2000</v>
      </c>
      <c r="H7" s="943">
        <f>1-(O144/O93)</f>
        <v>0.18146150397564909</v>
      </c>
      <c r="I7" s="915"/>
      <c r="J7" s="915"/>
      <c r="K7" s="915"/>
      <c r="P7" s="944"/>
    </row>
    <row r="8" spans="1:17">
      <c r="B8" s="936" t="s">
        <v>2514</v>
      </c>
      <c r="C8" s="936">
        <v>0.88</v>
      </c>
    </row>
    <row r="9" spans="1:17">
      <c r="B9" s="936" t="s">
        <v>2515</v>
      </c>
      <c r="C9" s="936">
        <v>0.94</v>
      </c>
      <c r="E9" s="813"/>
    </row>
    <row r="10" spans="1:17">
      <c r="B10" s="936" t="s">
        <v>2516</v>
      </c>
      <c r="C10" s="936">
        <v>1</v>
      </c>
    </row>
    <row r="11" spans="1:17">
      <c r="A11" s="899" t="s">
        <v>2517</v>
      </c>
      <c r="B11" s="839"/>
      <c r="C11" s="839"/>
    </row>
    <row r="12" spans="1:17">
      <c r="B12" s="839"/>
      <c r="C12" s="839"/>
    </row>
    <row r="13" spans="1:17">
      <c r="A13" s="810" t="s">
        <v>2518</v>
      </c>
    </row>
    <row r="14" spans="1:17">
      <c r="B14" s="1033"/>
      <c r="C14" s="1033" t="s">
        <v>2519</v>
      </c>
      <c r="D14" s="1033" t="s">
        <v>120</v>
      </c>
      <c r="E14" s="1033" t="s">
        <v>121</v>
      </c>
      <c r="F14" s="1033" t="s">
        <v>2520</v>
      </c>
      <c r="G14" s="1033" t="s">
        <v>2521</v>
      </c>
      <c r="H14" s="1033" t="s">
        <v>122</v>
      </c>
      <c r="I14" s="1033" t="s">
        <v>2522</v>
      </c>
      <c r="J14" s="1033" t="s">
        <v>123</v>
      </c>
      <c r="K14" s="1033" t="s">
        <v>2523</v>
      </c>
      <c r="L14" s="1033" t="s">
        <v>2524</v>
      </c>
      <c r="M14" s="1033" t="s">
        <v>2525</v>
      </c>
      <c r="N14" s="1033" t="s">
        <v>44</v>
      </c>
      <c r="O14" s="1033" t="s">
        <v>2527</v>
      </c>
      <c r="Q14" s="810" t="s">
        <v>2528</v>
      </c>
    </row>
    <row r="15" spans="1:17">
      <c r="B15" s="810" t="s">
        <v>2529</v>
      </c>
      <c r="C15" s="848">
        <v>40877</v>
      </c>
      <c r="D15" s="810" t="s">
        <v>1191</v>
      </c>
      <c r="E15" s="810" t="s">
        <v>2530</v>
      </c>
      <c r="F15" s="810" t="s">
        <v>2531</v>
      </c>
      <c r="G15" s="810" t="s">
        <v>2532</v>
      </c>
      <c r="H15" s="810">
        <v>240</v>
      </c>
      <c r="I15" s="810" t="s">
        <v>2533</v>
      </c>
      <c r="J15" s="810">
        <v>3</v>
      </c>
      <c r="K15" s="810" t="s">
        <v>2534</v>
      </c>
      <c r="L15" s="810">
        <v>2</v>
      </c>
      <c r="M15" s="810" t="s">
        <v>2535</v>
      </c>
      <c r="N15" s="810">
        <v>1469000</v>
      </c>
      <c r="O15" s="850">
        <f>N15*C7</f>
        <v>2379780</v>
      </c>
      <c r="Q15" s="850">
        <f>O15/J15</f>
        <v>793260</v>
      </c>
    </row>
    <row r="16" spans="1:17">
      <c r="B16" s="810" t="s">
        <v>2536</v>
      </c>
      <c r="C16" s="848">
        <v>41452</v>
      </c>
      <c r="D16" s="810" t="s">
        <v>1191</v>
      </c>
      <c r="E16" s="810" t="s">
        <v>2537</v>
      </c>
      <c r="F16" s="810" t="s">
        <v>2531</v>
      </c>
      <c r="G16" s="810" t="s">
        <v>126</v>
      </c>
      <c r="H16" s="810">
        <v>240</v>
      </c>
      <c r="I16" s="810" t="s">
        <v>2533</v>
      </c>
      <c r="J16" s="810">
        <v>4</v>
      </c>
      <c r="K16" s="810" t="s">
        <v>2538</v>
      </c>
      <c r="L16" s="810">
        <v>2</v>
      </c>
      <c r="M16" s="810">
        <v>1033</v>
      </c>
      <c r="N16" s="810">
        <v>13971000</v>
      </c>
      <c r="O16" s="850">
        <f>N16*C5</f>
        <v>13971000</v>
      </c>
      <c r="Q16" s="850">
        <f t="shared" ref="Q16:Q34" si="0">O16/J16</f>
        <v>3492750</v>
      </c>
    </row>
    <row r="17" spans="2:17">
      <c r="B17" s="810" t="s">
        <v>2539</v>
      </c>
      <c r="C17" s="848">
        <v>40354</v>
      </c>
      <c r="D17" s="810" t="s">
        <v>1191</v>
      </c>
      <c r="E17" s="810" t="s">
        <v>2540</v>
      </c>
      <c r="F17" s="810" t="s">
        <v>2531</v>
      </c>
      <c r="G17" s="810" t="s">
        <v>2541</v>
      </c>
      <c r="H17" s="810">
        <v>240</v>
      </c>
      <c r="I17" s="810" t="s">
        <v>2533</v>
      </c>
      <c r="J17" s="810">
        <v>130</v>
      </c>
      <c r="K17" s="810" t="s">
        <v>2538</v>
      </c>
      <c r="L17" s="810">
        <v>2</v>
      </c>
      <c r="M17" s="810" t="s">
        <v>2542</v>
      </c>
      <c r="N17" s="813">
        <v>173172000</v>
      </c>
      <c r="O17" s="850">
        <f>N17*C5</f>
        <v>173172000</v>
      </c>
      <c r="Q17" s="850">
        <f t="shared" si="0"/>
        <v>1332092.3076923077</v>
      </c>
    </row>
    <row r="18" spans="2:17">
      <c r="B18" s="810" t="s">
        <v>2543</v>
      </c>
      <c r="C18" s="848">
        <v>41467</v>
      </c>
      <c r="D18" s="810" t="s">
        <v>1191</v>
      </c>
      <c r="E18" s="810" t="s">
        <v>2544</v>
      </c>
      <c r="F18" s="810" t="s">
        <v>2531</v>
      </c>
      <c r="G18" s="810" t="s">
        <v>2544</v>
      </c>
      <c r="H18" s="810">
        <v>240</v>
      </c>
      <c r="I18" s="810" t="s">
        <v>2533</v>
      </c>
      <c r="J18" s="810">
        <v>70</v>
      </c>
      <c r="K18" s="810" t="s">
        <v>2545</v>
      </c>
      <c r="L18" s="810">
        <v>2</v>
      </c>
      <c r="M18" s="810" t="s">
        <v>2546</v>
      </c>
      <c r="N18" s="810">
        <v>128996000</v>
      </c>
      <c r="O18" s="850">
        <f>N18*C6</f>
        <v>152215280</v>
      </c>
      <c r="Q18" s="850">
        <f t="shared" si="0"/>
        <v>2174504</v>
      </c>
    </row>
    <row r="19" spans="2:17">
      <c r="B19" s="810" t="s">
        <v>2547</v>
      </c>
      <c r="C19" s="848">
        <v>41185</v>
      </c>
      <c r="D19" s="810" t="s">
        <v>1191</v>
      </c>
      <c r="E19" s="810" t="s">
        <v>2548</v>
      </c>
      <c r="F19" s="810" t="s">
        <v>2531</v>
      </c>
      <c r="G19" s="810" t="s">
        <v>2549</v>
      </c>
      <c r="H19" s="810">
        <v>240</v>
      </c>
      <c r="I19" s="810" t="s">
        <v>2533</v>
      </c>
      <c r="J19" s="810">
        <v>9</v>
      </c>
      <c r="K19" s="810" t="s">
        <v>2538</v>
      </c>
      <c r="L19" s="810">
        <v>2</v>
      </c>
      <c r="M19" s="810" t="s">
        <v>2546</v>
      </c>
      <c r="N19" s="810">
        <v>23146000</v>
      </c>
      <c r="O19" s="850">
        <f>N19*C5</f>
        <v>23146000</v>
      </c>
      <c r="Q19" s="850">
        <f t="shared" si="0"/>
        <v>2571777.777777778</v>
      </c>
    </row>
    <row r="20" spans="2:17">
      <c r="B20" s="810" t="s">
        <v>2550</v>
      </c>
      <c r="C20" s="848">
        <v>41344</v>
      </c>
      <c r="D20" s="810" t="s">
        <v>1191</v>
      </c>
      <c r="E20" s="810" t="s">
        <v>2551</v>
      </c>
      <c r="F20" s="810" t="s">
        <v>2531</v>
      </c>
      <c r="G20" s="810" t="s">
        <v>2552</v>
      </c>
      <c r="H20" s="810">
        <v>240</v>
      </c>
      <c r="I20" s="810" t="s">
        <v>2533</v>
      </c>
      <c r="J20" s="810">
        <v>40</v>
      </c>
      <c r="K20" s="810" t="s">
        <v>2545</v>
      </c>
      <c r="L20" s="810">
        <v>2</v>
      </c>
      <c r="M20" s="810" t="s">
        <v>2546</v>
      </c>
      <c r="N20" s="810">
        <v>71300000</v>
      </c>
      <c r="O20" s="850">
        <f>N20*C6</f>
        <v>84134000</v>
      </c>
      <c r="Q20" s="850">
        <f t="shared" si="0"/>
        <v>2103350</v>
      </c>
    </row>
    <row r="21" spans="2:17">
      <c r="B21" s="810" t="s">
        <v>2553</v>
      </c>
      <c r="C21" s="848">
        <v>41122</v>
      </c>
      <c r="D21" s="810" t="s">
        <v>1512</v>
      </c>
      <c r="E21" s="810" t="s">
        <v>2554</v>
      </c>
      <c r="F21" s="810" t="s">
        <v>2531</v>
      </c>
      <c r="G21" s="810" t="s">
        <v>2555</v>
      </c>
      <c r="H21" s="810">
        <v>240</v>
      </c>
      <c r="I21" s="810" t="s">
        <v>2533</v>
      </c>
      <c r="J21" s="810">
        <v>4.5</v>
      </c>
      <c r="K21" s="810" t="s">
        <v>2538</v>
      </c>
      <c r="L21" s="810">
        <v>2</v>
      </c>
      <c r="M21" s="810" t="s">
        <v>2546</v>
      </c>
      <c r="N21" s="810">
        <v>15947591</v>
      </c>
      <c r="O21" s="850">
        <f>N21*C5</f>
        <v>15947591</v>
      </c>
      <c r="Q21" s="850">
        <f t="shared" si="0"/>
        <v>3543909.111111111</v>
      </c>
    </row>
    <row r="22" spans="2:17">
      <c r="B22" s="810" t="s">
        <v>2556</v>
      </c>
      <c r="C22" s="848">
        <v>41249</v>
      </c>
      <c r="D22" s="810" t="s">
        <v>1191</v>
      </c>
      <c r="E22" s="810" t="s">
        <v>2557</v>
      </c>
      <c r="F22" s="810" t="s">
        <v>2531</v>
      </c>
      <c r="G22" s="810" t="s">
        <v>2558</v>
      </c>
      <c r="H22" s="810">
        <v>240</v>
      </c>
      <c r="I22" s="810" t="s">
        <v>2533</v>
      </c>
      <c r="J22" s="810">
        <v>22</v>
      </c>
      <c r="K22" s="810" t="s">
        <v>2545</v>
      </c>
      <c r="L22" s="810">
        <v>2</v>
      </c>
      <c r="M22" s="810" t="s">
        <v>2546</v>
      </c>
      <c r="N22" s="810">
        <v>39860583</v>
      </c>
      <c r="O22" s="850">
        <f>N22*C6</f>
        <v>47035487.939999998</v>
      </c>
      <c r="Q22" s="850">
        <f t="shared" si="0"/>
        <v>2137976.7245454546</v>
      </c>
    </row>
    <row r="23" spans="2:17">
      <c r="B23" s="810" t="s">
        <v>2559</v>
      </c>
      <c r="C23" s="848">
        <v>39969</v>
      </c>
      <c r="D23" s="810" t="s">
        <v>1191</v>
      </c>
      <c r="E23" s="810" t="s">
        <v>2560</v>
      </c>
      <c r="F23" s="810" t="s">
        <v>2531</v>
      </c>
      <c r="G23" s="810" t="s">
        <v>2561</v>
      </c>
      <c r="H23" s="810">
        <v>240</v>
      </c>
      <c r="I23" s="810" t="s">
        <v>2533</v>
      </c>
      <c r="J23" s="810">
        <v>1</v>
      </c>
      <c r="K23" s="810" t="s">
        <v>2538</v>
      </c>
      <c r="L23" s="810">
        <v>2</v>
      </c>
      <c r="M23" s="810" t="s">
        <v>2546</v>
      </c>
      <c r="N23" s="810">
        <v>3503000</v>
      </c>
      <c r="O23" s="850">
        <f>N23*C5</f>
        <v>3503000</v>
      </c>
      <c r="Q23" s="850">
        <f t="shared" si="0"/>
        <v>3503000</v>
      </c>
    </row>
    <row r="24" spans="2:17">
      <c r="B24" s="810" t="s">
        <v>2562</v>
      </c>
      <c r="C24" s="848">
        <v>41467</v>
      </c>
      <c r="D24" s="810" t="s">
        <v>1191</v>
      </c>
      <c r="E24" s="810" t="s">
        <v>2563</v>
      </c>
      <c r="F24" s="810" t="s">
        <v>2531</v>
      </c>
      <c r="G24" s="810" t="s">
        <v>2564</v>
      </c>
      <c r="H24" s="810">
        <v>240</v>
      </c>
      <c r="J24" s="810">
        <v>86</v>
      </c>
      <c r="K24" s="810" t="s">
        <v>2538</v>
      </c>
      <c r="L24" s="810">
        <v>2</v>
      </c>
      <c r="M24" s="810" t="s">
        <v>2546</v>
      </c>
      <c r="N24" s="810">
        <v>129168000</v>
      </c>
      <c r="O24" s="850">
        <f>N24*C5</f>
        <v>129168000</v>
      </c>
      <c r="Q24" s="850">
        <f t="shared" si="0"/>
        <v>1501953.4883720931</v>
      </c>
    </row>
    <row r="25" spans="2:17">
      <c r="B25" s="810" t="s">
        <v>2529</v>
      </c>
      <c r="C25" s="848">
        <v>40877</v>
      </c>
      <c r="D25" s="810" t="s">
        <v>1191</v>
      </c>
      <c r="E25" s="810" t="s">
        <v>2565</v>
      </c>
      <c r="F25" s="810" t="s">
        <v>2531</v>
      </c>
      <c r="G25" s="810" t="s">
        <v>2566</v>
      </c>
      <c r="H25" s="810">
        <v>240</v>
      </c>
      <c r="I25" s="810" t="s">
        <v>2533</v>
      </c>
      <c r="J25" s="810">
        <v>52</v>
      </c>
      <c r="K25" s="810" t="s">
        <v>2538</v>
      </c>
      <c r="L25" s="810">
        <v>2</v>
      </c>
      <c r="M25" s="810" t="s">
        <v>2546</v>
      </c>
      <c r="N25" s="810">
        <v>92942000</v>
      </c>
      <c r="O25" s="850">
        <f>N25*C5</f>
        <v>92942000</v>
      </c>
      <c r="Q25" s="850">
        <f t="shared" si="0"/>
        <v>1787346.1538461538</v>
      </c>
    </row>
    <row r="26" spans="2:17">
      <c r="B26" s="810" t="s">
        <v>2567</v>
      </c>
      <c r="C26" s="848">
        <v>40820</v>
      </c>
      <c r="D26" s="810" t="s">
        <v>1191</v>
      </c>
      <c r="E26" s="810" t="s">
        <v>133</v>
      </c>
      <c r="F26" s="810" t="s">
        <v>2531</v>
      </c>
      <c r="G26" s="810" t="s">
        <v>133</v>
      </c>
      <c r="H26" s="810">
        <v>240</v>
      </c>
      <c r="I26" s="810" t="s">
        <v>2533</v>
      </c>
      <c r="J26" s="810">
        <v>120</v>
      </c>
      <c r="K26" s="810" t="s">
        <v>2538</v>
      </c>
      <c r="L26" s="810">
        <v>2</v>
      </c>
      <c r="M26" s="810" t="s">
        <v>2546</v>
      </c>
      <c r="N26" s="810">
        <v>164441000</v>
      </c>
      <c r="O26" s="850">
        <f>N26*C5</f>
        <v>164441000</v>
      </c>
      <c r="Q26" s="850">
        <f t="shared" si="0"/>
        <v>1370341.6666666667</v>
      </c>
    </row>
    <row r="27" spans="2:17">
      <c r="B27" s="810" t="s">
        <v>2553</v>
      </c>
      <c r="C27" s="848">
        <v>41122</v>
      </c>
      <c r="D27" s="810" t="s">
        <v>1512</v>
      </c>
      <c r="E27" s="810" t="s">
        <v>2568</v>
      </c>
      <c r="F27" s="810" t="s">
        <v>2531</v>
      </c>
      <c r="G27" s="810" t="s">
        <v>2569</v>
      </c>
      <c r="H27" s="810">
        <v>240</v>
      </c>
      <c r="I27" s="810" t="s">
        <v>2533</v>
      </c>
      <c r="J27" s="810">
        <v>0.2</v>
      </c>
      <c r="K27" s="810" t="s">
        <v>2538</v>
      </c>
      <c r="L27" s="810">
        <v>2</v>
      </c>
      <c r="M27" s="810" t="s">
        <v>2546</v>
      </c>
      <c r="N27" s="810">
        <v>597618</v>
      </c>
      <c r="O27" s="850">
        <f>N27*C5</f>
        <v>597618</v>
      </c>
      <c r="Q27" s="850">
        <f>O27/J27</f>
        <v>2988090</v>
      </c>
    </row>
    <row r="28" spans="2:17">
      <c r="B28" s="810" t="s">
        <v>2570</v>
      </c>
      <c r="C28" s="848">
        <v>39994</v>
      </c>
      <c r="D28" s="810" t="s">
        <v>1191</v>
      </c>
      <c r="E28" s="810" t="s">
        <v>2571</v>
      </c>
      <c r="F28" s="810" t="s">
        <v>2531</v>
      </c>
      <c r="G28" s="810" t="s">
        <v>1710</v>
      </c>
      <c r="H28" s="810">
        <v>240</v>
      </c>
      <c r="I28" s="810" t="s">
        <v>2533</v>
      </c>
      <c r="J28" s="810">
        <v>12</v>
      </c>
      <c r="K28" s="810" t="s">
        <v>2545</v>
      </c>
      <c r="L28" s="810">
        <v>2</v>
      </c>
      <c r="M28" s="810" t="s">
        <v>2546</v>
      </c>
      <c r="N28" s="810">
        <v>18782529</v>
      </c>
      <c r="O28" s="850">
        <f>N28*C6</f>
        <v>22163384.219999999</v>
      </c>
      <c r="Q28" s="850">
        <f t="shared" si="0"/>
        <v>1846948.6849999998</v>
      </c>
    </row>
    <row r="29" spans="2:17">
      <c r="B29" s="810" t="s">
        <v>2572</v>
      </c>
      <c r="C29" s="848">
        <v>41194</v>
      </c>
      <c r="D29" s="810" t="s">
        <v>1191</v>
      </c>
      <c r="E29" s="810" t="s">
        <v>2573</v>
      </c>
      <c r="F29" s="810" t="s">
        <v>2531</v>
      </c>
      <c r="G29" s="810" t="s">
        <v>1696</v>
      </c>
      <c r="H29" s="810">
        <v>240</v>
      </c>
      <c r="I29" s="810" t="s">
        <v>2533</v>
      </c>
      <c r="J29" s="810">
        <v>22</v>
      </c>
      <c r="K29" s="810" t="s">
        <v>2538</v>
      </c>
      <c r="L29" s="810">
        <v>2</v>
      </c>
      <c r="M29" s="810" t="s">
        <v>2546</v>
      </c>
      <c r="N29" s="810">
        <v>55731903</v>
      </c>
      <c r="O29" s="850">
        <f>N29*C5</f>
        <v>55731903</v>
      </c>
      <c r="Q29" s="850">
        <f t="shared" si="0"/>
        <v>2533268.3181818184</v>
      </c>
    </row>
    <row r="30" spans="2:17">
      <c r="B30" s="810" t="s">
        <v>2574</v>
      </c>
      <c r="C30" s="848">
        <v>40354</v>
      </c>
      <c r="D30" s="810" t="s">
        <v>1191</v>
      </c>
      <c r="E30" s="810" t="s">
        <v>2575</v>
      </c>
      <c r="F30" s="810" t="s">
        <v>2531</v>
      </c>
      <c r="G30" s="810" t="s">
        <v>2576</v>
      </c>
      <c r="H30" s="810">
        <v>240</v>
      </c>
      <c r="I30" s="810" t="s">
        <v>2533</v>
      </c>
      <c r="J30" s="810">
        <v>110</v>
      </c>
      <c r="K30" s="810" t="s">
        <v>2538</v>
      </c>
      <c r="L30" s="810">
        <v>2</v>
      </c>
      <c r="M30" s="810" t="s">
        <v>2546</v>
      </c>
      <c r="N30" s="810">
        <v>158822000</v>
      </c>
      <c r="O30" s="850">
        <f>N30*C5</f>
        <v>158822000</v>
      </c>
      <c r="Q30" s="850">
        <f t="shared" si="0"/>
        <v>1443836.3636363635</v>
      </c>
    </row>
    <row r="31" spans="2:17">
      <c r="B31" s="810" t="s">
        <v>2577</v>
      </c>
      <c r="C31" s="848">
        <v>40330</v>
      </c>
      <c r="D31" s="810" t="s">
        <v>1191</v>
      </c>
      <c r="E31" s="810" t="s">
        <v>2578</v>
      </c>
      <c r="F31" s="810" t="s">
        <v>2531</v>
      </c>
      <c r="G31" s="810" t="s">
        <v>2579</v>
      </c>
      <c r="H31" s="810">
        <v>240</v>
      </c>
      <c r="I31" s="810" t="s">
        <v>2533</v>
      </c>
      <c r="J31" s="810">
        <v>6</v>
      </c>
      <c r="K31" s="810" t="s">
        <v>2538</v>
      </c>
      <c r="L31" s="810">
        <v>2</v>
      </c>
      <c r="M31" s="810" t="s">
        <v>2546</v>
      </c>
      <c r="N31" s="810">
        <v>11610000</v>
      </c>
      <c r="O31" s="850">
        <f>N31*C5</f>
        <v>11610000</v>
      </c>
      <c r="Q31" s="850">
        <f t="shared" si="0"/>
        <v>1935000</v>
      </c>
    </row>
    <row r="32" spans="2:17">
      <c r="B32" s="810" t="s">
        <v>2580</v>
      </c>
      <c r="C32" s="848">
        <v>41262</v>
      </c>
      <c r="D32" s="810" t="s">
        <v>1191</v>
      </c>
      <c r="E32" s="810" t="s">
        <v>2581</v>
      </c>
      <c r="F32" s="810" t="s">
        <v>2531</v>
      </c>
      <c r="G32" s="810" t="s">
        <v>2582</v>
      </c>
      <c r="H32" s="810">
        <v>240</v>
      </c>
      <c r="I32" s="810" t="s">
        <v>2533</v>
      </c>
      <c r="J32" s="810">
        <v>22</v>
      </c>
      <c r="K32" s="810" t="s">
        <v>2545</v>
      </c>
      <c r="L32" s="810">
        <v>2</v>
      </c>
      <c r="M32" s="810" t="s">
        <v>2546</v>
      </c>
      <c r="N32" s="810">
        <v>38446021</v>
      </c>
      <c r="O32" s="850">
        <f>N32*C6</f>
        <v>45366304.780000001</v>
      </c>
      <c r="Q32" s="850">
        <f t="shared" si="0"/>
        <v>2062104.7627272727</v>
      </c>
    </row>
    <row r="33" spans="1:17">
      <c r="B33" s="810" t="s">
        <v>2583</v>
      </c>
      <c r="C33" s="848">
        <v>40877</v>
      </c>
      <c r="D33" s="810" t="s">
        <v>1191</v>
      </c>
      <c r="E33" s="810" t="s">
        <v>2584</v>
      </c>
      <c r="F33" s="810" t="s">
        <v>2531</v>
      </c>
      <c r="G33" s="810" t="s">
        <v>2585</v>
      </c>
      <c r="H33" s="810">
        <v>240</v>
      </c>
      <c r="I33" s="810" t="s">
        <v>2533</v>
      </c>
      <c r="J33" s="810">
        <v>18</v>
      </c>
      <c r="K33" s="810" t="s">
        <v>2538</v>
      </c>
      <c r="L33" s="810">
        <v>2</v>
      </c>
      <c r="M33" s="810" t="s">
        <v>2546</v>
      </c>
      <c r="N33" s="810">
        <v>29722000</v>
      </c>
      <c r="O33" s="850">
        <f>N33*C5</f>
        <v>29722000</v>
      </c>
      <c r="Q33" s="850">
        <f t="shared" si="0"/>
        <v>1651222.2222222222</v>
      </c>
    </row>
    <row r="34" spans="1:17">
      <c r="B34" s="810" t="s">
        <v>2580</v>
      </c>
      <c r="C34" s="848">
        <v>41262</v>
      </c>
      <c r="D34" s="810" t="s">
        <v>1191</v>
      </c>
      <c r="E34" s="810" t="s">
        <v>2586</v>
      </c>
      <c r="F34" s="810" t="s">
        <v>2531</v>
      </c>
      <c r="G34" s="810" t="s">
        <v>2587</v>
      </c>
      <c r="H34" s="810">
        <v>240</v>
      </c>
      <c r="I34" s="810" t="s">
        <v>2533</v>
      </c>
      <c r="J34" s="810">
        <v>56</v>
      </c>
      <c r="K34" s="810" t="s">
        <v>2545</v>
      </c>
      <c r="L34" s="810">
        <v>2</v>
      </c>
      <c r="M34" s="810" t="s">
        <v>2546</v>
      </c>
      <c r="N34" s="810">
        <v>96671599</v>
      </c>
      <c r="O34" s="850">
        <f>N34*C6</f>
        <v>114072486.81999999</v>
      </c>
      <c r="Q34" s="850">
        <f t="shared" si="0"/>
        <v>2037008.6932142857</v>
      </c>
    </row>
    <row r="35" spans="1:17">
      <c r="C35" s="848"/>
      <c r="O35" s="850"/>
      <c r="Q35" s="850"/>
    </row>
    <row r="36" spans="1:17">
      <c r="C36" s="848"/>
      <c r="O36" s="850"/>
      <c r="Q36" s="850"/>
    </row>
    <row r="37" spans="1:17">
      <c r="C37" s="848"/>
      <c r="N37" s="810" t="s">
        <v>2588</v>
      </c>
      <c r="O37" s="810">
        <f>SUM(J15:J34)</f>
        <v>787.7</v>
      </c>
      <c r="Q37" s="850"/>
    </row>
    <row r="38" spans="1:17">
      <c r="C38" s="848"/>
      <c r="N38" s="810" t="s">
        <v>2589</v>
      </c>
      <c r="O38" s="850">
        <f>SUM(O15:O34)</f>
        <v>1340140835.76</v>
      </c>
      <c r="Q38" s="850"/>
    </row>
    <row r="39" spans="1:17">
      <c r="C39" s="848"/>
      <c r="N39" s="810" t="s">
        <v>2590</v>
      </c>
      <c r="O39" s="945">
        <f>O38/O37</f>
        <v>1701334.0558080487</v>
      </c>
      <c r="Q39" s="850"/>
    </row>
    <row r="40" spans="1:17">
      <c r="C40" s="848"/>
      <c r="Q40" s="850"/>
    </row>
    <row r="41" spans="1:17">
      <c r="A41" s="810" t="s">
        <v>2591</v>
      </c>
      <c r="C41" s="848"/>
      <c r="Q41" s="850"/>
    </row>
    <row r="42" spans="1:17">
      <c r="B42" s="842"/>
      <c r="C42" s="842" t="s">
        <v>2519</v>
      </c>
      <c r="D42" s="842" t="s">
        <v>120</v>
      </c>
      <c r="E42" s="842" t="s">
        <v>121</v>
      </c>
      <c r="F42" s="842" t="s">
        <v>2520</v>
      </c>
      <c r="G42" s="842" t="s">
        <v>2521</v>
      </c>
      <c r="H42" s="842" t="s">
        <v>122</v>
      </c>
      <c r="I42" s="842" t="s">
        <v>2522</v>
      </c>
      <c r="J42" s="842" t="s">
        <v>123</v>
      </c>
      <c r="K42" s="842" t="s">
        <v>2523</v>
      </c>
      <c r="L42" s="842" t="s">
        <v>2524</v>
      </c>
      <c r="M42" s="842" t="s">
        <v>2525</v>
      </c>
      <c r="N42" s="842" t="s">
        <v>2526</v>
      </c>
      <c r="O42" s="842" t="s">
        <v>2527</v>
      </c>
      <c r="Q42" s="810" t="s">
        <v>2528</v>
      </c>
    </row>
    <row r="43" spans="1:17">
      <c r="B43" s="810" t="s">
        <v>2592</v>
      </c>
      <c r="C43" s="848">
        <v>40324</v>
      </c>
      <c r="D43" s="810" t="s">
        <v>1191</v>
      </c>
      <c r="E43" s="810" t="s">
        <v>2593</v>
      </c>
      <c r="F43" s="810" t="s">
        <v>2531</v>
      </c>
      <c r="G43" s="810" t="s">
        <v>2594</v>
      </c>
      <c r="H43" s="810">
        <v>240</v>
      </c>
      <c r="I43" s="810" t="s">
        <v>2533</v>
      </c>
      <c r="J43" s="810">
        <v>68.7</v>
      </c>
      <c r="K43" s="810" t="s">
        <v>2545</v>
      </c>
      <c r="L43" s="810">
        <v>2</v>
      </c>
      <c r="M43" s="810" t="s">
        <v>2595</v>
      </c>
      <c r="N43" s="810">
        <v>46582000</v>
      </c>
      <c r="O43" s="850">
        <f>N43*C6</f>
        <v>54966760</v>
      </c>
      <c r="Q43" s="850">
        <f t="shared" ref="Q43:Q57" si="1">O43/J43</f>
        <v>800098.39883551665</v>
      </c>
    </row>
    <row r="44" spans="1:17">
      <c r="B44" s="810" t="s">
        <v>2596</v>
      </c>
      <c r="C44" s="848">
        <v>40324</v>
      </c>
      <c r="D44" s="810" t="s">
        <v>1191</v>
      </c>
      <c r="E44" s="810" t="s">
        <v>2597</v>
      </c>
      <c r="F44" s="810" t="s">
        <v>2531</v>
      </c>
      <c r="G44" s="810" t="s">
        <v>2598</v>
      </c>
      <c r="H44" s="810">
        <v>240</v>
      </c>
      <c r="I44" s="810" t="s">
        <v>2533</v>
      </c>
      <c r="J44" s="810">
        <v>44.7</v>
      </c>
      <c r="K44" s="810" t="s">
        <v>2545</v>
      </c>
      <c r="L44" s="810">
        <v>2</v>
      </c>
      <c r="M44" s="810" t="s">
        <v>2595</v>
      </c>
      <c r="N44" s="810">
        <v>29801000</v>
      </c>
      <c r="O44" s="850">
        <f>N44*C6</f>
        <v>35165180</v>
      </c>
      <c r="Q44" s="850">
        <f t="shared" si="1"/>
        <v>786693.06487695745</v>
      </c>
    </row>
    <row r="45" spans="1:17">
      <c r="B45" s="810" t="s">
        <v>2599</v>
      </c>
      <c r="C45" s="848">
        <v>40324</v>
      </c>
      <c r="D45" s="810" t="s">
        <v>1191</v>
      </c>
      <c r="E45" s="810" t="s">
        <v>2600</v>
      </c>
      <c r="F45" s="810" t="s">
        <v>2531</v>
      </c>
      <c r="G45" s="810" t="s">
        <v>2601</v>
      </c>
      <c r="H45" s="810">
        <v>240</v>
      </c>
      <c r="I45" s="810" t="s">
        <v>2533</v>
      </c>
      <c r="J45" s="810">
        <v>9.1999999999999993</v>
      </c>
      <c r="K45" s="810" t="s">
        <v>2538</v>
      </c>
      <c r="L45" s="810">
        <v>2</v>
      </c>
      <c r="M45" s="810" t="s">
        <v>2595</v>
      </c>
      <c r="N45" s="810">
        <v>8438000</v>
      </c>
      <c r="O45" s="850">
        <f>N45*C5</f>
        <v>8438000</v>
      </c>
      <c r="Q45" s="850">
        <f t="shared" si="1"/>
        <v>917173.91304347839</v>
      </c>
    </row>
    <row r="46" spans="1:17">
      <c r="B46" s="810" t="s">
        <v>2602</v>
      </c>
      <c r="C46" s="848">
        <v>40822</v>
      </c>
      <c r="D46" s="810" t="s">
        <v>1512</v>
      </c>
      <c r="E46" s="810" t="s">
        <v>2603</v>
      </c>
      <c r="F46" s="810" t="s">
        <v>2531</v>
      </c>
      <c r="G46" s="810" t="s">
        <v>2604</v>
      </c>
      <c r="H46" s="810">
        <v>240</v>
      </c>
      <c r="I46" s="810" t="s">
        <v>2533</v>
      </c>
      <c r="J46" s="810">
        <v>30</v>
      </c>
      <c r="K46" s="810" t="s">
        <v>2545</v>
      </c>
      <c r="L46" s="810">
        <v>2</v>
      </c>
      <c r="M46" s="810" t="s">
        <v>2595</v>
      </c>
      <c r="N46" s="810">
        <v>50362771</v>
      </c>
      <c r="O46" s="850">
        <f>N46*C6</f>
        <v>59428069.779999994</v>
      </c>
      <c r="Q46" s="850">
        <f t="shared" si="1"/>
        <v>1980935.6593333331</v>
      </c>
    </row>
    <row r="47" spans="1:17">
      <c r="B47" s="810" t="s">
        <v>2605</v>
      </c>
      <c r="C47" s="848">
        <v>40324</v>
      </c>
      <c r="D47" s="810" t="s">
        <v>1191</v>
      </c>
      <c r="E47" s="810" t="s">
        <v>2606</v>
      </c>
      <c r="F47" s="810" t="s">
        <v>2531</v>
      </c>
      <c r="G47" s="810" t="s">
        <v>2607</v>
      </c>
      <c r="H47" s="810">
        <v>240</v>
      </c>
      <c r="I47" s="810" t="s">
        <v>2533</v>
      </c>
      <c r="J47" s="810">
        <v>88.6</v>
      </c>
      <c r="K47" s="810" t="s">
        <v>2545</v>
      </c>
      <c r="L47" s="810">
        <v>2</v>
      </c>
      <c r="M47" s="810" t="s">
        <v>2595</v>
      </c>
      <c r="N47" s="810">
        <v>58236000</v>
      </c>
      <c r="O47" s="850">
        <f>N47*C6</f>
        <v>68718480</v>
      </c>
      <c r="Q47" s="850">
        <f t="shared" si="1"/>
        <v>775603.61173814908</v>
      </c>
    </row>
    <row r="48" spans="1:17">
      <c r="B48" s="810" t="s">
        <v>2608</v>
      </c>
      <c r="C48" s="848">
        <v>40324</v>
      </c>
      <c r="D48" s="810" t="s">
        <v>1191</v>
      </c>
      <c r="E48" s="810" t="s">
        <v>2609</v>
      </c>
      <c r="F48" s="810" t="s">
        <v>2531</v>
      </c>
      <c r="G48" s="810" t="s">
        <v>2610</v>
      </c>
      <c r="H48" s="810">
        <v>240</v>
      </c>
      <c r="I48" s="810" t="s">
        <v>2533</v>
      </c>
      <c r="J48" s="810">
        <v>40</v>
      </c>
      <c r="K48" s="810" t="s">
        <v>2545</v>
      </c>
      <c r="L48" s="810">
        <v>2</v>
      </c>
      <c r="M48" s="810" t="s">
        <v>2595</v>
      </c>
      <c r="N48" s="810">
        <v>31227000</v>
      </c>
      <c r="O48" s="850">
        <f>N48*C6</f>
        <v>36847860</v>
      </c>
      <c r="Q48" s="850">
        <f t="shared" si="1"/>
        <v>921196.5</v>
      </c>
    </row>
    <row r="49" spans="1:17">
      <c r="B49" s="810" t="s">
        <v>2611</v>
      </c>
      <c r="C49" s="848">
        <v>39933</v>
      </c>
      <c r="D49" s="810" t="s">
        <v>1191</v>
      </c>
      <c r="E49" s="810" t="s">
        <v>2612</v>
      </c>
      <c r="F49" s="810" t="s">
        <v>2531</v>
      </c>
      <c r="G49" s="810" t="s">
        <v>2613</v>
      </c>
      <c r="H49" s="810">
        <v>240</v>
      </c>
      <c r="I49" s="810" t="s">
        <v>2533</v>
      </c>
      <c r="J49" s="810">
        <v>8.9</v>
      </c>
      <c r="K49" s="810" t="s">
        <v>2534</v>
      </c>
      <c r="L49" s="810">
        <v>2</v>
      </c>
      <c r="M49" s="810" t="s">
        <v>2595</v>
      </c>
      <c r="N49" s="810">
        <v>7227000</v>
      </c>
      <c r="O49" s="850">
        <f>N49*C7</f>
        <v>11707740</v>
      </c>
      <c r="Q49" s="850">
        <f t="shared" si="1"/>
        <v>1315476.404494382</v>
      </c>
    </row>
    <row r="50" spans="1:17">
      <c r="B50" s="810" t="s">
        <v>2614</v>
      </c>
      <c r="C50" s="848">
        <v>41075</v>
      </c>
      <c r="D50" s="810" t="s">
        <v>1191</v>
      </c>
      <c r="E50" s="810" t="s">
        <v>2615</v>
      </c>
      <c r="F50" s="810" t="s">
        <v>2531</v>
      </c>
      <c r="G50" s="810" t="s">
        <v>2616</v>
      </c>
      <c r="H50" s="810">
        <v>240</v>
      </c>
      <c r="I50" s="810" t="s">
        <v>2617</v>
      </c>
      <c r="J50" s="810">
        <v>34</v>
      </c>
      <c r="K50" s="810" t="s">
        <v>2545</v>
      </c>
      <c r="L50" s="810">
        <v>2</v>
      </c>
      <c r="M50" s="810">
        <v>795</v>
      </c>
      <c r="N50" s="810">
        <v>66799208</v>
      </c>
      <c r="O50" s="850">
        <f>N50*C6</f>
        <v>78823065.439999998</v>
      </c>
      <c r="Q50" s="850">
        <f t="shared" si="1"/>
        <v>2318325.4541176469</v>
      </c>
    </row>
    <row r="51" spans="1:17">
      <c r="B51" s="810" t="s">
        <v>2614</v>
      </c>
      <c r="C51" s="848">
        <v>41075</v>
      </c>
      <c r="D51" s="810" t="s">
        <v>1191</v>
      </c>
      <c r="E51" s="810" t="s">
        <v>2618</v>
      </c>
      <c r="F51" s="810" t="s">
        <v>2531</v>
      </c>
      <c r="G51" s="810" t="s">
        <v>2619</v>
      </c>
      <c r="H51" s="810">
        <v>240</v>
      </c>
      <c r="I51" s="810" t="s">
        <v>2617</v>
      </c>
      <c r="J51" s="810">
        <v>82</v>
      </c>
      <c r="K51" s="810" t="s">
        <v>2545</v>
      </c>
      <c r="L51" s="810">
        <v>2</v>
      </c>
      <c r="M51" s="810">
        <v>795</v>
      </c>
      <c r="N51" s="810">
        <v>183739858</v>
      </c>
      <c r="O51" s="850">
        <f>N51*C6</f>
        <v>216813032.44</v>
      </c>
      <c r="Q51" s="850">
        <f t="shared" si="1"/>
        <v>2644061.3712195121</v>
      </c>
    </row>
    <row r="52" spans="1:17">
      <c r="B52" s="810" t="s">
        <v>2602</v>
      </c>
      <c r="C52" s="848">
        <v>40822</v>
      </c>
      <c r="D52" s="810" t="s">
        <v>1512</v>
      </c>
      <c r="E52" s="810" t="s">
        <v>2620</v>
      </c>
      <c r="F52" s="810" t="s">
        <v>2531</v>
      </c>
      <c r="G52" s="810" t="s">
        <v>2621</v>
      </c>
      <c r="H52" s="810">
        <v>240</v>
      </c>
      <c r="I52" s="810" t="s">
        <v>2533</v>
      </c>
      <c r="J52" s="810">
        <v>30</v>
      </c>
      <c r="K52" s="810" t="s">
        <v>2545</v>
      </c>
      <c r="L52" s="810">
        <v>2</v>
      </c>
      <c r="M52" s="810" t="s">
        <v>2622</v>
      </c>
      <c r="N52" s="810">
        <v>48956939</v>
      </c>
      <c r="O52" s="850">
        <f>N52*C6</f>
        <v>57769188.019999996</v>
      </c>
      <c r="Q52" s="850">
        <f t="shared" si="1"/>
        <v>1925639.6006666666</v>
      </c>
    </row>
    <row r="53" spans="1:17">
      <c r="B53" s="810" t="s">
        <v>2623</v>
      </c>
      <c r="C53" s="848">
        <v>41344</v>
      </c>
      <c r="D53" s="810" t="s">
        <v>1191</v>
      </c>
      <c r="E53" s="810" t="s">
        <v>2624</v>
      </c>
      <c r="F53" s="810" t="s">
        <v>2531</v>
      </c>
      <c r="G53" s="810" t="s">
        <v>2625</v>
      </c>
      <c r="H53" s="810">
        <v>240</v>
      </c>
      <c r="I53" s="810" t="s">
        <v>2533</v>
      </c>
      <c r="J53" s="810">
        <v>20</v>
      </c>
      <c r="K53" s="810" t="s">
        <v>2545</v>
      </c>
      <c r="L53" s="810">
        <v>2</v>
      </c>
      <c r="M53" s="810" t="s">
        <v>2622</v>
      </c>
      <c r="N53" s="810">
        <v>42058000</v>
      </c>
      <c r="O53" s="850">
        <f>N53*C6</f>
        <v>49628440</v>
      </c>
      <c r="Q53" s="850">
        <f t="shared" si="1"/>
        <v>2481422</v>
      </c>
    </row>
    <row r="54" spans="1:17">
      <c r="B54" s="810" t="s">
        <v>2626</v>
      </c>
      <c r="C54" s="848">
        <v>41296</v>
      </c>
      <c r="D54" s="810" t="s">
        <v>1191</v>
      </c>
      <c r="E54" s="810" t="s">
        <v>2627</v>
      </c>
      <c r="F54" s="810" t="s">
        <v>2531</v>
      </c>
      <c r="G54" s="810" t="s">
        <v>2628</v>
      </c>
      <c r="H54" s="810">
        <v>240</v>
      </c>
      <c r="I54" s="810" t="s">
        <v>2533</v>
      </c>
      <c r="J54" s="810">
        <v>58</v>
      </c>
      <c r="K54" s="810" t="s">
        <v>2538</v>
      </c>
      <c r="L54" s="810">
        <v>2</v>
      </c>
      <c r="M54" s="810" t="s">
        <v>2622</v>
      </c>
      <c r="N54" s="810">
        <v>71880877</v>
      </c>
      <c r="O54" s="850">
        <f>N54*C5</f>
        <v>71880877</v>
      </c>
      <c r="Q54" s="850">
        <f t="shared" si="1"/>
        <v>1239325.4655172413</v>
      </c>
    </row>
    <row r="55" spans="1:17">
      <c r="B55" s="810" t="s">
        <v>2629</v>
      </c>
      <c r="C55" s="848">
        <v>41299</v>
      </c>
      <c r="D55" s="810" t="s">
        <v>1191</v>
      </c>
      <c r="E55" s="810" t="s">
        <v>2630</v>
      </c>
      <c r="F55" s="810" t="s">
        <v>2531</v>
      </c>
      <c r="G55" s="810" t="s">
        <v>1115</v>
      </c>
      <c r="H55" s="810">
        <v>240</v>
      </c>
      <c r="I55" s="810" t="s">
        <v>2533</v>
      </c>
      <c r="J55" s="810">
        <v>68.11</v>
      </c>
      <c r="K55" s="810" t="s">
        <v>2534</v>
      </c>
      <c r="L55" s="810">
        <v>2</v>
      </c>
      <c r="M55" s="810" t="s">
        <v>2622</v>
      </c>
      <c r="N55" s="810">
        <v>77765496</v>
      </c>
      <c r="O55" s="850">
        <f>N55*C7</f>
        <v>125980103.52000001</v>
      </c>
      <c r="Q55" s="850">
        <f t="shared" si="1"/>
        <v>1849656.4897959186</v>
      </c>
    </row>
    <row r="56" spans="1:17">
      <c r="B56" s="810" t="s">
        <v>2602</v>
      </c>
      <c r="C56" s="848">
        <v>40822</v>
      </c>
      <c r="D56" s="810" t="s">
        <v>1512</v>
      </c>
      <c r="E56" s="810" t="s">
        <v>2631</v>
      </c>
      <c r="F56" s="810" t="s">
        <v>2531</v>
      </c>
      <c r="G56" s="810" t="s">
        <v>2632</v>
      </c>
      <c r="H56" s="810">
        <v>240</v>
      </c>
      <c r="I56" s="810" t="s">
        <v>2533</v>
      </c>
      <c r="J56" s="810">
        <v>60</v>
      </c>
      <c r="K56" s="810" t="s">
        <v>2545</v>
      </c>
      <c r="L56" s="810">
        <v>2</v>
      </c>
      <c r="M56" s="810" t="s">
        <v>2622</v>
      </c>
      <c r="N56" s="810">
        <v>96321086</v>
      </c>
      <c r="O56" s="850">
        <f>N56*C6</f>
        <v>113658881.47999999</v>
      </c>
      <c r="Q56" s="850">
        <f t="shared" si="1"/>
        <v>1894314.6913333333</v>
      </c>
    </row>
    <row r="57" spans="1:17">
      <c r="B57" s="810" t="s">
        <v>2629</v>
      </c>
      <c r="C57" s="848">
        <v>41299</v>
      </c>
      <c r="D57" s="810" t="s">
        <v>1191</v>
      </c>
      <c r="E57" s="810" t="s">
        <v>2630</v>
      </c>
      <c r="F57" s="810" t="s">
        <v>2531</v>
      </c>
      <c r="G57" s="810" t="s">
        <v>2633</v>
      </c>
      <c r="H57" s="810">
        <v>240</v>
      </c>
      <c r="I57" s="810" t="s">
        <v>2533</v>
      </c>
      <c r="J57" s="810">
        <v>65.5</v>
      </c>
      <c r="K57" s="810" t="s">
        <v>2538</v>
      </c>
      <c r="L57" s="810">
        <v>2</v>
      </c>
      <c r="M57" s="810" t="s">
        <v>2622</v>
      </c>
      <c r="N57" s="810">
        <v>137998024</v>
      </c>
      <c r="O57" s="850">
        <f>N57*C5</f>
        <v>137998024</v>
      </c>
      <c r="Q57" s="850">
        <f t="shared" si="1"/>
        <v>2106840.0610687025</v>
      </c>
    </row>
    <row r="58" spans="1:17">
      <c r="C58" s="848"/>
      <c r="O58" s="850"/>
      <c r="Q58" s="850"/>
    </row>
    <row r="59" spans="1:17">
      <c r="C59" s="848"/>
      <c r="O59" s="850"/>
      <c r="Q59" s="850"/>
    </row>
    <row r="60" spans="1:17">
      <c r="C60" s="848"/>
      <c r="N60" s="810" t="s">
        <v>2588</v>
      </c>
      <c r="O60" s="810">
        <f>SUM(J43:J57)</f>
        <v>707.71</v>
      </c>
      <c r="Q60" s="850"/>
    </row>
    <row r="61" spans="1:17">
      <c r="N61" s="810" t="s">
        <v>2589</v>
      </c>
      <c r="O61" s="850">
        <f>SUM(O43:O57)</f>
        <v>1127823701.6799998</v>
      </c>
      <c r="Q61" s="850"/>
    </row>
    <row r="62" spans="1:17">
      <c r="N62" s="810" t="s">
        <v>2590</v>
      </c>
      <c r="O62" s="945">
        <f>O61/O60</f>
        <v>1593624.085684814</v>
      </c>
      <c r="Q62" s="850"/>
    </row>
    <row r="63" spans="1:17">
      <c r="Q63" s="850"/>
    </row>
    <row r="64" spans="1:17">
      <c r="A64" s="810" t="s">
        <v>2634</v>
      </c>
      <c r="Q64" s="850"/>
    </row>
    <row r="65" spans="2:17">
      <c r="B65" s="842"/>
      <c r="C65" s="842" t="s">
        <v>2519</v>
      </c>
      <c r="D65" s="842" t="s">
        <v>120</v>
      </c>
      <c r="E65" s="842" t="s">
        <v>121</v>
      </c>
      <c r="F65" s="842" t="s">
        <v>2520</v>
      </c>
      <c r="G65" s="842" t="s">
        <v>2521</v>
      </c>
      <c r="H65" s="842" t="s">
        <v>122</v>
      </c>
      <c r="I65" s="842" t="s">
        <v>2522</v>
      </c>
      <c r="J65" s="842" t="s">
        <v>123</v>
      </c>
      <c r="K65" s="842" t="s">
        <v>2523</v>
      </c>
      <c r="L65" s="842" t="s">
        <v>2524</v>
      </c>
      <c r="M65" s="842" t="s">
        <v>2525</v>
      </c>
      <c r="N65" s="842" t="s">
        <v>2526</v>
      </c>
      <c r="O65" s="842" t="s">
        <v>2635</v>
      </c>
      <c r="Q65" s="810" t="s">
        <v>2528</v>
      </c>
    </row>
    <row r="66" spans="2:17">
      <c r="B66" s="810" t="s">
        <v>2626</v>
      </c>
      <c r="C66" s="848">
        <v>41296</v>
      </c>
      <c r="D66" s="810" t="s">
        <v>1191</v>
      </c>
      <c r="E66" s="810" t="s">
        <v>2636</v>
      </c>
      <c r="F66" s="810" t="s">
        <v>2531</v>
      </c>
      <c r="G66" s="810" t="s">
        <v>2637</v>
      </c>
      <c r="H66" s="810">
        <v>144</v>
      </c>
      <c r="J66" s="810">
        <v>0.7</v>
      </c>
      <c r="K66" s="810" t="s">
        <v>2534</v>
      </c>
      <c r="L66" s="810">
        <v>1</v>
      </c>
      <c r="M66" s="810" t="s">
        <v>2638</v>
      </c>
      <c r="N66" s="810">
        <v>1178040</v>
      </c>
      <c r="O66" s="850">
        <f>N66*C10</f>
        <v>1178040</v>
      </c>
      <c r="Q66" s="850">
        <f t="shared" ref="Q66:Q88" si="2">O66/J66</f>
        <v>1682914.2857142859</v>
      </c>
    </row>
    <row r="67" spans="2:17">
      <c r="B67" s="810" t="s">
        <v>2639</v>
      </c>
      <c r="C67" s="848">
        <v>40203</v>
      </c>
      <c r="D67" s="810" t="s">
        <v>1191</v>
      </c>
      <c r="E67" s="810" t="s">
        <v>2640</v>
      </c>
      <c r="F67" s="810" t="s">
        <v>2531</v>
      </c>
      <c r="G67" s="810" t="s">
        <v>1725</v>
      </c>
      <c r="H67" s="810">
        <v>144</v>
      </c>
      <c r="I67" s="810" t="s">
        <v>2533</v>
      </c>
      <c r="J67" s="810">
        <v>24</v>
      </c>
      <c r="K67" s="810" t="s">
        <v>2534</v>
      </c>
      <c r="L67" s="810">
        <v>1</v>
      </c>
      <c r="M67" s="810" t="s">
        <v>2638</v>
      </c>
      <c r="N67" s="810">
        <v>3153299</v>
      </c>
      <c r="O67" s="850">
        <f>N67*C10</f>
        <v>3153299</v>
      </c>
      <c r="Q67" s="850">
        <f t="shared" si="2"/>
        <v>131387.45833333334</v>
      </c>
    </row>
    <row r="68" spans="2:17">
      <c r="B68" s="810" t="s">
        <v>2641</v>
      </c>
      <c r="C68" s="848">
        <v>40366</v>
      </c>
      <c r="D68" s="810" t="s">
        <v>1191</v>
      </c>
      <c r="E68" s="810" t="s">
        <v>2642</v>
      </c>
      <c r="F68" s="810" t="s">
        <v>2531</v>
      </c>
      <c r="G68" s="810" t="s">
        <v>2643</v>
      </c>
      <c r="H68" s="810">
        <v>144</v>
      </c>
      <c r="I68" s="810" t="s">
        <v>2533</v>
      </c>
      <c r="J68" s="810">
        <v>14</v>
      </c>
      <c r="K68" s="810" t="s">
        <v>2534</v>
      </c>
      <c r="L68" s="810">
        <v>1</v>
      </c>
      <c r="M68" s="810" t="s">
        <v>2638</v>
      </c>
      <c r="N68" s="810">
        <v>6014000</v>
      </c>
      <c r="O68" s="850">
        <f>N68*C10</f>
        <v>6014000</v>
      </c>
      <c r="Q68" s="850">
        <f t="shared" si="2"/>
        <v>429571.42857142858</v>
      </c>
    </row>
    <row r="69" spans="2:17">
      <c r="B69" s="810" t="s">
        <v>2644</v>
      </c>
      <c r="C69" s="848">
        <v>41090</v>
      </c>
      <c r="D69" s="810" t="s">
        <v>1191</v>
      </c>
      <c r="E69" s="810" t="s">
        <v>2645</v>
      </c>
      <c r="F69" s="810" t="s">
        <v>2531</v>
      </c>
      <c r="G69" s="810" t="s">
        <v>2645</v>
      </c>
      <c r="H69" s="810">
        <v>144</v>
      </c>
      <c r="I69" s="810" t="s">
        <v>2533</v>
      </c>
      <c r="J69" s="810">
        <v>10</v>
      </c>
      <c r="K69" s="810" t="s">
        <v>2534</v>
      </c>
      <c r="L69" s="810">
        <v>1</v>
      </c>
      <c r="M69" s="810" t="s">
        <v>2638</v>
      </c>
      <c r="N69" s="810">
        <v>5326173</v>
      </c>
      <c r="O69" s="850">
        <f>N69*C10</f>
        <v>5326173</v>
      </c>
      <c r="Q69" s="850">
        <f t="shared" si="2"/>
        <v>532617.30000000005</v>
      </c>
    </row>
    <row r="70" spans="2:17">
      <c r="B70" s="810" t="s">
        <v>2626</v>
      </c>
      <c r="C70" s="848">
        <v>41296</v>
      </c>
      <c r="D70" s="810" t="s">
        <v>1191</v>
      </c>
      <c r="E70" s="810" t="s">
        <v>2646</v>
      </c>
      <c r="F70" s="810" t="s">
        <v>2531</v>
      </c>
      <c r="G70" s="810" t="s">
        <v>2647</v>
      </c>
      <c r="H70" s="810">
        <v>144</v>
      </c>
      <c r="I70" s="810" t="s">
        <v>2533</v>
      </c>
      <c r="J70" s="810">
        <v>6.5</v>
      </c>
      <c r="K70" s="810" t="s">
        <v>2534</v>
      </c>
      <c r="L70" s="810">
        <v>1</v>
      </c>
      <c r="M70" s="810" t="s">
        <v>2638</v>
      </c>
      <c r="N70" s="810">
        <v>4976948</v>
      </c>
      <c r="O70" s="850">
        <f>N70*C10</f>
        <v>4976948</v>
      </c>
      <c r="Q70" s="850">
        <f t="shared" si="2"/>
        <v>765684.30769230775</v>
      </c>
    </row>
    <row r="71" spans="2:17">
      <c r="B71" s="810" t="s">
        <v>2648</v>
      </c>
      <c r="C71" s="848">
        <v>40844</v>
      </c>
      <c r="D71" s="810" t="s">
        <v>1191</v>
      </c>
      <c r="E71" s="810" t="s">
        <v>2649</v>
      </c>
      <c r="F71" s="810" t="s">
        <v>2531</v>
      </c>
      <c r="G71" s="810" t="s">
        <v>1731</v>
      </c>
      <c r="H71" s="810">
        <v>144</v>
      </c>
      <c r="I71" s="810" t="s">
        <v>2533</v>
      </c>
      <c r="J71" s="810">
        <v>51</v>
      </c>
      <c r="K71" s="810" t="s">
        <v>2534</v>
      </c>
      <c r="L71" s="810">
        <v>1</v>
      </c>
      <c r="M71" s="810" t="s">
        <v>2638</v>
      </c>
      <c r="N71" s="810">
        <v>18846000</v>
      </c>
      <c r="O71" s="850">
        <f>N71*C10</f>
        <v>18846000</v>
      </c>
      <c r="Q71" s="850">
        <f t="shared" si="2"/>
        <v>369529.4117647059</v>
      </c>
    </row>
    <row r="72" spans="2:17">
      <c r="B72" s="810" t="s">
        <v>2650</v>
      </c>
      <c r="C72" s="848">
        <v>40268</v>
      </c>
      <c r="D72" s="810" t="s">
        <v>1191</v>
      </c>
      <c r="E72" s="810" t="s">
        <v>2651</v>
      </c>
      <c r="F72" s="810" t="s">
        <v>2531</v>
      </c>
      <c r="G72" s="810" t="s">
        <v>2652</v>
      </c>
      <c r="H72" s="810">
        <v>144</v>
      </c>
      <c r="I72" s="810" t="s">
        <v>2533</v>
      </c>
      <c r="J72" s="810">
        <v>4.3</v>
      </c>
      <c r="K72" s="810" t="s">
        <v>2534</v>
      </c>
      <c r="L72" s="810">
        <v>1</v>
      </c>
      <c r="M72" s="810" t="s">
        <v>2653</v>
      </c>
      <c r="N72" s="810">
        <v>2018964</v>
      </c>
      <c r="O72" s="850">
        <f>N72*C10</f>
        <v>2018964</v>
      </c>
      <c r="Q72" s="850">
        <f t="shared" si="2"/>
        <v>469526.51162790699</v>
      </c>
    </row>
    <row r="73" spans="2:17">
      <c r="B73" s="810" t="s">
        <v>2654</v>
      </c>
      <c r="C73" s="848">
        <v>40324</v>
      </c>
      <c r="D73" s="810" t="s">
        <v>1191</v>
      </c>
      <c r="E73" s="810" t="s">
        <v>2655</v>
      </c>
      <c r="F73" s="810" t="s">
        <v>2531</v>
      </c>
      <c r="G73" s="810" t="s">
        <v>2656</v>
      </c>
      <c r="H73" s="810">
        <v>144</v>
      </c>
      <c r="I73" s="810" t="s">
        <v>2533</v>
      </c>
      <c r="J73" s="810">
        <v>7.1</v>
      </c>
      <c r="K73" s="810" t="s">
        <v>2538</v>
      </c>
      <c r="L73" s="810">
        <v>1</v>
      </c>
      <c r="M73" s="810" t="s">
        <v>2653</v>
      </c>
      <c r="N73" s="810">
        <v>6320000</v>
      </c>
      <c r="O73" s="850">
        <f>N73*C8</f>
        <v>5561600</v>
      </c>
      <c r="Q73" s="850">
        <f t="shared" si="2"/>
        <v>783323.94366197183</v>
      </c>
    </row>
    <row r="74" spans="2:17">
      <c r="B74" s="810" t="s">
        <v>2553</v>
      </c>
      <c r="C74" s="848">
        <v>41122</v>
      </c>
      <c r="D74" s="810" t="s">
        <v>1512</v>
      </c>
      <c r="E74" s="810" t="s">
        <v>2657</v>
      </c>
      <c r="F74" s="810" t="s">
        <v>2531</v>
      </c>
      <c r="G74" s="810" t="s">
        <v>2658</v>
      </c>
      <c r="H74" s="810">
        <v>138</v>
      </c>
      <c r="I74" s="810" t="s">
        <v>2533</v>
      </c>
      <c r="J74" s="810">
        <v>17</v>
      </c>
      <c r="K74" s="810" t="s">
        <v>2534</v>
      </c>
      <c r="L74" s="810">
        <v>1</v>
      </c>
      <c r="M74" s="810" t="s">
        <v>2638</v>
      </c>
      <c r="N74" s="810">
        <v>5886545</v>
      </c>
      <c r="O74" s="850">
        <f>N74*C10</f>
        <v>5886545</v>
      </c>
      <c r="Q74" s="850">
        <f t="shared" si="2"/>
        <v>346267.35294117645</v>
      </c>
    </row>
    <row r="75" spans="2:17">
      <c r="B75" s="810" t="s">
        <v>2553</v>
      </c>
      <c r="C75" s="848">
        <v>41122</v>
      </c>
      <c r="D75" s="810" t="s">
        <v>1512</v>
      </c>
      <c r="E75" s="810" t="s">
        <v>2659</v>
      </c>
      <c r="F75" s="810" t="s">
        <v>2531</v>
      </c>
      <c r="G75" s="810" t="s">
        <v>2660</v>
      </c>
      <c r="H75" s="810">
        <v>138</v>
      </c>
      <c r="I75" s="810" t="s">
        <v>2533</v>
      </c>
      <c r="J75" s="810">
        <v>0.4</v>
      </c>
      <c r="K75" s="810" t="s">
        <v>2534</v>
      </c>
      <c r="L75" s="810">
        <v>1</v>
      </c>
      <c r="M75" s="810" t="s">
        <v>2638</v>
      </c>
      <c r="N75" s="810">
        <v>119783</v>
      </c>
      <c r="O75" s="850">
        <f>N75*C10</f>
        <v>119783</v>
      </c>
      <c r="Q75" s="850">
        <f t="shared" si="2"/>
        <v>299457.5</v>
      </c>
    </row>
    <row r="76" spans="2:17">
      <c r="B76" s="810" t="s">
        <v>2553</v>
      </c>
      <c r="C76" s="848">
        <v>41122</v>
      </c>
      <c r="D76" s="810" t="s">
        <v>1512</v>
      </c>
      <c r="E76" s="810" t="s">
        <v>2661</v>
      </c>
      <c r="F76" s="810" t="s">
        <v>2531</v>
      </c>
      <c r="G76" s="810" t="s">
        <v>2662</v>
      </c>
      <c r="H76" s="810">
        <v>138</v>
      </c>
      <c r="I76" s="810" t="s">
        <v>2533</v>
      </c>
      <c r="J76" s="810">
        <v>2</v>
      </c>
      <c r="K76" s="810" t="s">
        <v>2534</v>
      </c>
      <c r="L76" s="810">
        <v>1</v>
      </c>
      <c r="M76" s="810" t="s">
        <v>2638</v>
      </c>
      <c r="N76" s="810">
        <v>681986</v>
      </c>
      <c r="O76" s="850">
        <f>N76*C10</f>
        <v>681986</v>
      </c>
      <c r="Q76" s="850">
        <f t="shared" si="2"/>
        <v>340993</v>
      </c>
    </row>
    <row r="77" spans="2:17">
      <c r="B77" s="810" t="s">
        <v>2663</v>
      </c>
      <c r="C77" s="848">
        <v>41249</v>
      </c>
      <c r="D77" s="810" t="s">
        <v>1191</v>
      </c>
      <c r="E77" s="810" t="s">
        <v>2664</v>
      </c>
      <c r="F77" s="810" t="s">
        <v>2531</v>
      </c>
      <c r="G77" s="810" t="s">
        <v>2665</v>
      </c>
      <c r="H77" s="810">
        <v>138</v>
      </c>
      <c r="I77" s="810" t="s">
        <v>2533</v>
      </c>
      <c r="J77" s="810">
        <v>7</v>
      </c>
      <c r="K77" s="810" t="s">
        <v>2538</v>
      </c>
      <c r="L77" s="810">
        <v>1</v>
      </c>
      <c r="M77" s="810" t="s">
        <v>2638</v>
      </c>
      <c r="N77" s="810">
        <v>5004629</v>
      </c>
      <c r="O77" s="850">
        <f>N77*C8</f>
        <v>4404073.5200000005</v>
      </c>
      <c r="Q77" s="850">
        <f t="shared" si="2"/>
        <v>629153.3600000001</v>
      </c>
    </row>
    <row r="78" spans="2:17">
      <c r="B78" s="810" t="s">
        <v>2553</v>
      </c>
      <c r="C78" s="848">
        <v>41122</v>
      </c>
      <c r="D78" s="810" t="s">
        <v>1512</v>
      </c>
      <c r="E78" s="810" t="s">
        <v>2666</v>
      </c>
      <c r="F78" s="810" t="s">
        <v>2531</v>
      </c>
      <c r="G78" s="810" t="s">
        <v>2667</v>
      </c>
      <c r="H78" s="810">
        <v>138</v>
      </c>
      <c r="I78" s="810" t="s">
        <v>2533</v>
      </c>
      <c r="J78" s="810">
        <v>8</v>
      </c>
      <c r="K78" s="810" t="s">
        <v>2534</v>
      </c>
      <c r="L78" s="810">
        <v>1</v>
      </c>
      <c r="M78" s="810" t="s">
        <v>2638</v>
      </c>
      <c r="N78" s="810">
        <v>2602075</v>
      </c>
      <c r="O78" s="850">
        <f>N78*C10</f>
        <v>2602075</v>
      </c>
      <c r="Q78" s="850">
        <f t="shared" si="2"/>
        <v>325259.375</v>
      </c>
    </row>
    <row r="79" spans="2:17">
      <c r="B79" s="810" t="s">
        <v>2553</v>
      </c>
      <c r="C79" s="848">
        <v>41122</v>
      </c>
      <c r="D79" s="810" t="s">
        <v>1512</v>
      </c>
      <c r="E79" s="810" t="s">
        <v>2668</v>
      </c>
      <c r="F79" s="810" t="s">
        <v>2531</v>
      </c>
      <c r="G79" s="810" t="s">
        <v>2669</v>
      </c>
      <c r="H79" s="810">
        <v>138</v>
      </c>
      <c r="I79" s="810" t="s">
        <v>2533</v>
      </c>
      <c r="J79" s="810">
        <v>1</v>
      </c>
      <c r="K79" s="810" t="s">
        <v>2538</v>
      </c>
      <c r="L79" s="810">
        <v>1</v>
      </c>
      <c r="M79" s="810" t="s">
        <v>2638</v>
      </c>
      <c r="N79" s="810">
        <v>710073</v>
      </c>
      <c r="O79" s="850">
        <f>N79*C8</f>
        <v>624864.24</v>
      </c>
      <c r="Q79" s="850">
        <f t="shared" si="2"/>
        <v>624864.24</v>
      </c>
    </row>
    <row r="80" spans="2:17">
      <c r="B80" s="810" t="s">
        <v>2670</v>
      </c>
      <c r="C80" s="848">
        <v>40843</v>
      </c>
      <c r="D80" s="810" t="s">
        <v>1191</v>
      </c>
      <c r="E80" s="810" t="s">
        <v>2671</v>
      </c>
      <c r="F80" s="810" t="s">
        <v>2531</v>
      </c>
      <c r="G80" s="810" t="s">
        <v>2672</v>
      </c>
      <c r="H80" s="810">
        <v>138</v>
      </c>
      <c r="I80" s="810" t="s">
        <v>2533</v>
      </c>
      <c r="J80" s="810">
        <v>1.6</v>
      </c>
      <c r="K80" s="810" t="s">
        <v>2538</v>
      </c>
      <c r="L80" s="810">
        <v>1</v>
      </c>
      <c r="M80" s="810" t="s">
        <v>2638</v>
      </c>
      <c r="N80" s="810">
        <v>1000000</v>
      </c>
      <c r="O80" s="850">
        <f>N80*C8</f>
        <v>880000</v>
      </c>
      <c r="Q80" s="850">
        <f t="shared" si="2"/>
        <v>550000</v>
      </c>
    </row>
    <row r="81" spans="1:17">
      <c r="B81" s="810" t="s">
        <v>2673</v>
      </c>
      <c r="C81" s="848">
        <v>39600</v>
      </c>
      <c r="D81" s="810" t="s">
        <v>1191</v>
      </c>
      <c r="E81" s="810" t="s">
        <v>2674</v>
      </c>
      <c r="F81" s="810" t="s">
        <v>2531</v>
      </c>
      <c r="G81" s="810" t="s">
        <v>2675</v>
      </c>
      <c r="H81" s="810">
        <v>138</v>
      </c>
      <c r="I81" s="810" t="s">
        <v>2533</v>
      </c>
      <c r="J81" s="810">
        <v>12.2</v>
      </c>
      <c r="K81" s="810" t="s">
        <v>2534</v>
      </c>
      <c r="L81" s="810">
        <v>1</v>
      </c>
      <c r="M81" s="810" t="s">
        <v>2638</v>
      </c>
      <c r="N81" s="810">
        <v>3462000</v>
      </c>
      <c r="O81" s="850">
        <f>N81*C10</f>
        <v>3462000</v>
      </c>
      <c r="Q81" s="850">
        <f t="shared" si="2"/>
        <v>283770.49180327868</v>
      </c>
    </row>
    <row r="82" spans="1:17">
      <c r="B82" s="810" t="s">
        <v>2547</v>
      </c>
      <c r="C82" s="848">
        <v>41185</v>
      </c>
      <c r="D82" s="810" t="s">
        <v>1191</v>
      </c>
      <c r="E82" s="810" t="s">
        <v>2676</v>
      </c>
      <c r="F82" s="810" t="s">
        <v>2531</v>
      </c>
      <c r="G82" s="810" t="s">
        <v>2677</v>
      </c>
      <c r="H82" s="810">
        <v>138</v>
      </c>
      <c r="I82" s="810" t="s">
        <v>2533</v>
      </c>
      <c r="J82" s="810">
        <v>3.5</v>
      </c>
      <c r="K82" s="810" t="s">
        <v>2534</v>
      </c>
      <c r="L82" s="810">
        <v>1</v>
      </c>
      <c r="M82" s="810" t="s">
        <v>2638</v>
      </c>
      <c r="N82" s="810">
        <v>1879000</v>
      </c>
      <c r="O82" s="850">
        <f>N82*C10</f>
        <v>1879000</v>
      </c>
      <c r="Q82" s="850">
        <f t="shared" si="2"/>
        <v>536857.14285714284</v>
      </c>
    </row>
    <row r="83" spans="1:17">
      <c r="B83" s="810" t="s">
        <v>2678</v>
      </c>
      <c r="C83" s="848">
        <v>41193</v>
      </c>
      <c r="D83" s="810" t="s">
        <v>1191</v>
      </c>
      <c r="E83" s="810" t="s">
        <v>2679</v>
      </c>
      <c r="F83" s="810" t="s">
        <v>2531</v>
      </c>
      <c r="G83" s="810" t="s">
        <v>2680</v>
      </c>
      <c r="H83" s="810">
        <v>138</v>
      </c>
      <c r="I83" s="810" t="s">
        <v>2533</v>
      </c>
      <c r="J83" s="810">
        <v>0.5</v>
      </c>
      <c r="K83" s="810" t="s">
        <v>2681</v>
      </c>
      <c r="L83" s="810">
        <v>1</v>
      </c>
      <c r="M83" s="810" t="s">
        <v>2638</v>
      </c>
      <c r="N83" s="810">
        <v>386408</v>
      </c>
      <c r="O83" s="850">
        <f>N83*C10</f>
        <v>386408</v>
      </c>
      <c r="Q83" s="850">
        <f t="shared" si="2"/>
        <v>772816</v>
      </c>
    </row>
    <row r="84" spans="1:17">
      <c r="B84" s="810" t="s">
        <v>2547</v>
      </c>
      <c r="C84" s="848">
        <v>41185</v>
      </c>
      <c r="D84" s="810" t="s">
        <v>1191</v>
      </c>
      <c r="E84" s="810" t="s">
        <v>2682</v>
      </c>
      <c r="F84" s="810" t="s">
        <v>2531</v>
      </c>
      <c r="G84" s="810" t="s">
        <v>2683</v>
      </c>
      <c r="H84" s="810">
        <v>138</v>
      </c>
      <c r="I84" s="810" t="s">
        <v>2533</v>
      </c>
      <c r="J84" s="810">
        <v>5.0999999999999996</v>
      </c>
      <c r="K84" s="810" t="s">
        <v>2534</v>
      </c>
      <c r="L84" s="810">
        <v>1</v>
      </c>
      <c r="M84" s="810" t="s">
        <v>2638</v>
      </c>
      <c r="N84" s="810">
        <v>2611000</v>
      </c>
      <c r="O84" s="850">
        <f>N84*C10</f>
        <v>2611000</v>
      </c>
      <c r="Q84" s="850">
        <f t="shared" si="2"/>
        <v>511960.78431372554</v>
      </c>
    </row>
    <row r="85" spans="1:17">
      <c r="B85" s="810" t="s">
        <v>2684</v>
      </c>
      <c r="C85" s="848">
        <v>41344</v>
      </c>
      <c r="D85" s="810" t="s">
        <v>1191</v>
      </c>
      <c r="E85" s="810" t="s">
        <v>2685</v>
      </c>
      <c r="F85" s="810" t="s">
        <v>2531</v>
      </c>
      <c r="G85" s="810" t="s">
        <v>2686</v>
      </c>
      <c r="H85" s="810">
        <v>138</v>
      </c>
      <c r="I85" s="810" t="s">
        <v>2533</v>
      </c>
      <c r="J85" s="810">
        <v>3</v>
      </c>
      <c r="K85" s="810" t="s">
        <v>2538</v>
      </c>
      <c r="L85" s="810">
        <v>1</v>
      </c>
      <c r="M85" s="810" t="s">
        <v>2638</v>
      </c>
      <c r="N85" s="810">
        <v>5044000</v>
      </c>
      <c r="O85" s="850">
        <f>N85*C8</f>
        <v>4438720</v>
      </c>
      <c r="Q85" s="850">
        <f t="shared" si="2"/>
        <v>1479573.3333333333</v>
      </c>
    </row>
    <row r="86" spans="1:17">
      <c r="B86" s="810" t="s">
        <v>2670</v>
      </c>
      <c r="C86" s="848">
        <v>40843</v>
      </c>
      <c r="D86" s="810" t="s">
        <v>1191</v>
      </c>
      <c r="E86" s="810" t="s">
        <v>2687</v>
      </c>
      <c r="F86" s="810" t="s">
        <v>2531</v>
      </c>
      <c r="G86" s="810" t="s">
        <v>2688</v>
      </c>
      <c r="H86" s="810">
        <v>138</v>
      </c>
      <c r="I86" s="810" t="s">
        <v>2533</v>
      </c>
      <c r="J86" s="810">
        <v>1</v>
      </c>
      <c r="K86" s="810" t="s">
        <v>2534</v>
      </c>
      <c r="L86" s="810">
        <v>1</v>
      </c>
      <c r="M86" s="810" t="s">
        <v>2638</v>
      </c>
      <c r="N86" s="810">
        <v>687000</v>
      </c>
      <c r="O86" s="850">
        <f>N86*C10</f>
        <v>687000</v>
      </c>
      <c r="Q86" s="850">
        <f t="shared" si="2"/>
        <v>687000</v>
      </c>
    </row>
    <row r="87" spans="1:17">
      <c r="B87" s="810" t="s">
        <v>2553</v>
      </c>
      <c r="C87" s="848">
        <v>41122</v>
      </c>
      <c r="D87" s="810" t="s">
        <v>1512</v>
      </c>
      <c r="E87" s="810" t="s">
        <v>2689</v>
      </c>
      <c r="F87" s="810" t="s">
        <v>2531</v>
      </c>
      <c r="G87" s="810" t="s">
        <v>2690</v>
      </c>
      <c r="H87" s="810">
        <v>138</v>
      </c>
      <c r="I87" s="810" t="s">
        <v>2533</v>
      </c>
      <c r="J87" s="810">
        <v>25</v>
      </c>
      <c r="K87" s="810" t="s">
        <v>2538</v>
      </c>
      <c r="L87" s="810">
        <v>1</v>
      </c>
      <c r="M87" s="810" t="s">
        <v>2638</v>
      </c>
      <c r="N87" s="810">
        <v>16350909</v>
      </c>
      <c r="O87" s="850">
        <f>N87*C8</f>
        <v>14388799.92</v>
      </c>
      <c r="Q87" s="850">
        <f t="shared" si="2"/>
        <v>575551.99679999996</v>
      </c>
    </row>
    <row r="88" spans="1:17">
      <c r="B88" s="810" t="s">
        <v>2691</v>
      </c>
      <c r="C88" s="848">
        <v>39326</v>
      </c>
      <c r="D88" s="810" t="s">
        <v>1191</v>
      </c>
      <c r="E88" s="810" t="s">
        <v>2692</v>
      </c>
      <c r="F88" s="810" t="s">
        <v>2531</v>
      </c>
      <c r="G88" s="810" t="s">
        <v>2693</v>
      </c>
      <c r="H88" s="810">
        <v>138</v>
      </c>
      <c r="I88" s="810" t="s">
        <v>2533</v>
      </c>
      <c r="J88" s="810">
        <v>0.2</v>
      </c>
      <c r="K88" s="810" t="s">
        <v>2538</v>
      </c>
      <c r="L88" s="810">
        <v>1</v>
      </c>
      <c r="M88" s="810" t="s">
        <v>2638</v>
      </c>
      <c r="N88" s="810">
        <v>753000</v>
      </c>
      <c r="O88" s="850">
        <f>N88*C8</f>
        <v>662640</v>
      </c>
      <c r="Q88" s="850">
        <f t="shared" si="2"/>
        <v>3313200</v>
      </c>
    </row>
    <row r="89" spans="1:17">
      <c r="C89" s="848"/>
      <c r="O89" s="850"/>
      <c r="Q89" s="850"/>
    </row>
    <row r="90" spans="1:17">
      <c r="C90" s="848"/>
      <c r="O90" s="850"/>
      <c r="Q90" s="850"/>
    </row>
    <row r="91" spans="1:17">
      <c r="C91" s="848"/>
      <c r="N91" s="810" t="s">
        <v>2588</v>
      </c>
      <c r="O91" s="810">
        <f>SUM(J66:J88)</f>
        <v>205.09999999999997</v>
      </c>
      <c r="Q91" s="850"/>
    </row>
    <row r="92" spans="1:17">
      <c r="C92" s="848"/>
      <c r="N92" s="810" t="s">
        <v>2589</v>
      </c>
      <c r="O92" s="850">
        <f>SUM(O66:O88)</f>
        <v>90789918.680000007</v>
      </c>
      <c r="Q92" s="850"/>
    </row>
    <row r="93" spans="1:17">
      <c r="C93" s="848"/>
      <c r="N93" s="810" t="s">
        <v>2590</v>
      </c>
      <c r="O93" s="945">
        <f>O92/O91</f>
        <v>442661.71955143841</v>
      </c>
      <c r="Q93" s="850"/>
    </row>
    <row r="94" spans="1:17">
      <c r="C94" s="848"/>
      <c r="Q94" s="850"/>
    </row>
    <row r="95" spans="1:17">
      <c r="A95" s="810" t="s">
        <v>2694</v>
      </c>
      <c r="C95" s="848"/>
      <c r="Q95" s="850"/>
    </row>
    <row r="96" spans="1:17">
      <c r="B96" s="842"/>
      <c r="C96" s="842" t="s">
        <v>2519</v>
      </c>
      <c r="D96" s="842" t="s">
        <v>120</v>
      </c>
      <c r="E96" s="842" t="s">
        <v>121</v>
      </c>
      <c r="F96" s="842" t="s">
        <v>2520</v>
      </c>
      <c r="G96" s="842" t="s">
        <v>2521</v>
      </c>
      <c r="H96" s="842" t="s">
        <v>122</v>
      </c>
      <c r="I96" s="842" t="s">
        <v>2522</v>
      </c>
      <c r="J96" s="842" t="s">
        <v>123</v>
      </c>
      <c r="K96" s="842" t="s">
        <v>2523</v>
      </c>
      <c r="L96" s="842" t="s">
        <v>2524</v>
      </c>
      <c r="M96" s="842" t="s">
        <v>2525</v>
      </c>
      <c r="N96" s="842" t="s">
        <v>2526</v>
      </c>
      <c r="O96" s="842" t="s">
        <v>2635</v>
      </c>
      <c r="Q96" s="810" t="s">
        <v>2528</v>
      </c>
    </row>
    <row r="97" spans="2:17">
      <c r="B97" s="810" t="s">
        <v>2695</v>
      </c>
      <c r="C97" s="848">
        <v>39605</v>
      </c>
      <c r="D97" s="810" t="s">
        <v>1191</v>
      </c>
      <c r="E97" s="810" t="s">
        <v>2696</v>
      </c>
      <c r="F97" s="810" t="s">
        <v>2531</v>
      </c>
      <c r="G97" s="810" t="s">
        <v>2697</v>
      </c>
      <c r="H97" s="810">
        <v>138</v>
      </c>
      <c r="I97" s="810" t="s">
        <v>2533</v>
      </c>
      <c r="J97" s="810">
        <v>0.1</v>
      </c>
      <c r="K97" s="810" t="s">
        <v>2538</v>
      </c>
      <c r="L97" s="810">
        <v>1</v>
      </c>
      <c r="M97" s="810" t="s">
        <v>2698</v>
      </c>
      <c r="N97" s="810">
        <v>651000</v>
      </c>
      <c r="O97" s="850">
        <f>N97*C8</f>
        <v>572880</v>
      </c>
      <c r="Q97" s="850">
        <f t="shared" ref="Q97:Q139" si="3">O97/J97</f>
        <v>5728800</v>
      </c>
    </row>
    <row r="98" spans="2:17">
      <c r="B98" s="810" t="s">
        <v>2699</v>
      </c>
      <c r="C98" s="848">
        <v>39595</v>
      </c>
      <c r="D98" s="810" t="s">
        <v>1191</v>
      </c>
      <c r="E98" s="810" t="s">
        <v>2700</v>
      </c>
      <c r="F98" s="810" t="s">
        <v>2531</v>
      </c>
      <c r="G98" s="810" t="s">
        <v>2504</v>
      </c>
      <c r="H98" s="810">
        <v>138</v>
      </c>
      <c r="I98" s="810" t="s">
        <v>2533</v>
      </c>
      <c r="J98" s="810">
        <v>1.2</v>
      </c>
      <c r="K98" s="810" t="s">
        <v>2534</v>
      </c>
      <c r="L98" s="810">
        <v>1</v>
      </c>
      <c r="M98" s="810" t="s">
        <v>2698</v>
      </c>
      <c r="N98" s="810">
        <v>663000</v>
      </c>
      <c r="O98" s="850">
        <f>N98*C10</f>
        <v>663000</v>
      </c>
      <c r="Q98" s="850">
        <f t="shared" si="3"/>
        <v>552500</v>
      </c>
    </row>
    <row r="99" spans="2:17">
      <c r="B99" s="810" t="s">
        <v>2701</v>
      </c>
      <c r="C99" s="848">
        <v>40893</v>
      </c>
      <c r="D99" s="810" t="s">
        <v>1191</v>
      </c>
      <c r="E99" s="810" t="s">
        <v>2702</v>
      </c>
      <c r="F99" s="810" t="s">
        <v>2531</v>
      </c>
      <c r="G99" s="810" t="s">
        <v>1692</v>
      </c>
      <c r="H99" s="810">
        <v>138</v>
      </c>
      <c r="I99" s="810" t="s">
        <v>2533</v>
      </c>
      <c r="J99" s="810">
        <v>0.3</v>
      </c>
      <c r="K99" s="810" t="s">
        <v>2534</v>
      </c>
      <c r="L99" s="810">
        <v>1</v>
      </c>
      <c r="M99" s="810" t="s">
        <v>2698</v>
      </c>
      <c r="N99" s="810">
        <v>208000</v>
      </c>
      <c r="O99" s="850">
        <f>N99*C10</f>
        <v>208000</v>
      </c>
      <c r="Q99" s="850">
        <f t="shared" si="3"/>
        <v>693333.33333333337</v>
      </c>
    </row>
    <row r="100" spans="2:17">
      <c r="B100" s="810" t="s">
        <v>2703</v>
      </c>
      <c r="C100" s="848">
        <v>41244</v>
      </c>
      <c r="D100" s="810" t="s">
        <v>1191</v>
      </c>
      <c r="E100" s="810" t="s">
        <v>2704</v>
      </c>
      <c r="F100" s="810" t="s">
        <v>2531</v>
      </c>
      <c r="G100" s="810" t="s">
        <v>2705</v>
      </c>
      <c r="H100" s="810">
        <v>138</v>
      </c>
      <c r="I100" s="810" t="s">
        <v>2533</v>
      </c>
      <c r="J100" s="810">
        <v>3</v>
      </c>
      <c r="K100" s="810" t="s">
        <v>2534</v>
      </c>
      <c r="L100" s="810">
        <v>1</v>
      </c>
      <c r="M100" s="810" t="s">
        <v>2698</v>
      </c>
      <c r="N100" s="810">
        <v>3309000</v>
      </c>
      <c r="O100" s="850">
        <f>N100*C10</f>
        <v>3309000</v>
      </c>
      <c r="Q100" s="850">
        <f t="shared" si="3"/>
        <v>1103000</v>
      </c>
    </row>
    <row r="101" spans="2:17">
      <c r="B101" s="810" t="s">
        <v>2706</v>
      </c>
      <c r="C101" s="848">
        <v>39675</v>
      </c>
      <c r="D101" s="810" t="s">
        <v>1191</v>
      </c>
      <c r="E101" s="810" t="s">
        <v>2707</v>
      </c>
      <c r="F101" s="810" t="s">
        <v>2531</v>
      </c>
      <c r="G101" s="810" t="s">
        <v>2708</v>
      </c>
      <c r="H101" s="810">
        <v>138</v>
      </c>
      <c r="I101" s="810" t="s">
        <v>2533</v>
      </c>
      <c r="J101" s="810">
        <v>0.5</v>
      </c>
      <c r="K101" s="810" t="s">
        <v>2534</v>
      </c>
      <c r="L101" s="810">
        <v>1</v>
      </c>
      <c r="M101" s="810" t="s">
        <v>2698</v>
      </c>
      <c r="N101" s="810">
        <v>801057</v>
      </c>
      <c r="O101" s="850">
        <f>N101*C10</f>
        <v>801057</v>
      </c>
      <c r="Q101" s="850">
        <f t="shared" si="3"/>
        <v>1602114</v>
      </c>
    </row>
    <row r="102" spans="2:17">
      <c r="B102" s="810" t="s">
        <v>2580</v>
      </c>
      <c r="C102" s="848">
        <v>41262</v>
      </c>
      <c r="D102" s="810" t="s">
        <v>1191</v>
      </c>
      <c r="E102" s="810" t="s">
        <v>2586</v>
      </c>
      <c r="F102" s="810" t="s">
        <v>2531</v>
      </c>
      <c r="G102" s="810" t="s">
        <v>2709</v>
      </c>
      <c r="H102" s="810">
        <v>138</v>
      </c>
      <c r="I102" s="810" t="s">
        <v>2533</v>
      </c>
      <c r="J102" s="810">
        <v>0.5</v>
      </c>
      <c r="K102" s="810" t="s">
        <v>2538</v>
      </c>
      <c r="L102" s="810">
        <v>1</v>
      </c>
      <c r="M102" s="810" t="s">
        <v>2698</v>
      </c>
      <c r="N102" s="810">
        <v>1258888</v>
      </c>
      <c r="O102" s="850">
        <f>N102*C8</f>
        <v>1107821.44</v>
      </c>
      <c r="Q102" s="850">
        <f t="shared" si="3"/>
        <v>2215642.88</v>
      </c>
    </row>
    <row r="103" spans="2:17">
      <c r="B103" s="810" t="s">
        <v>2710</v>
      </c>
      <c r="C103" s="848">
        <v>40210</v>
      </c>
      <c r="D103" s="810" t="s">
        <v>1191</v>
      </c>
      <c r="E103" s="810" t="s">
        <v>2711</v>
      </c>
      <c r="F103" s="810" t="s">
        <v>2531</v>
      </c>
      <c r="G103" s="810" t="s">
        <v>2712</v>
      </c>
      <c r="H103" s="810">
        <v>138</v>
      </c>
      <c r="I103" s="810" t="s">
        <v>2533</v>
      </c>
      <c r="J103" s="810">
        <v>11.2</v>
      </c>
      <c r="K103" s="810" t="s">
        <v>2534</v>
      </c>
      <c r="L103" s="810">
        <v>1</v>
      </c>
      <c r="M103" s="810" t="s">
        <v>2698</v>
      </c>
      <c r="N103" s="810">
        <v>3191000</v>
      </c>
      <c r="O103" s="850">
        <f>N103*C10</f>
        <v>3191000</v>
      </c>
      <c r="Q103" s="850">
        <f t="shared" si="3"/>
        <v>284910.71428571432</v>
      </c>
    </row>
    <row r="104" spans="2:17">
      <c r="B104" s="810" t="s">
        <v>2713</v>
      </c>
      <c r="C104" s="848">
        <v>41136</v>
      </c>
      <c r="D104" s="810" t="s">
        <v>1191</v>
      </c>
      <c r="E104" s="810" t="s">
        <v>2714</v>
      </c>
      <c r="F104" s="810" t="s">
        <v>2531</v>
      </c>
      <c r="G104" s="810" t="s">
        <v>2715</v>
      </c>
      <c r="H104" s="810">
        <v>138</v>
      </c>
      <c r="I104" s="810" t="s">
        <v>2533</v>
      </c>
      <c r="J104" s="810">
        <v>0.05</v>
      </c>
      <c r="K104" s="810" t="s">
        <v>2534</v>
      </c>
      <c r="L104" s="810">
        <v>1</v>
      </c>
      <c r="M104" s="810" t="s">
        <v>2698</v>
      </c>
      <c r="N104" s="810">
        <v>143000</v>
      </c>
      <c r="O104" s="850">
        <f>N104*C10</f>
        <v>143000</v>
      </c>
      <c r="Q104" s="850">
        <f t="shared" si="3"/>
        <v>2860000</v>
      </c>
    </row>
    <row r="105" spans="2:17">
      <c r="B105" s="810" t="s">
        <v>2713</v>
      </c>
      <c r="C105" s="848">
        <v>41136</v>
      </c>
      <c r="D105" s="810" t="s">
        <v>1191</v>
      </c>
      <c r="E105" s="810" t="s">
        <v>2714</v>
      </c>
      <c r="F105" s="810" t="s">
        <v>2531</v>
      </c>
      <c r="G105" s="810" t="s">
        <v>2716</v>
      </c>
      <c r="H105" s="810">
        <v>138</v>
      </c>
      <c r="I105" s="810" t="s">
        <v>2533</v>
      </c>
      <c r="J105" s="810">
        <v>0.05</v>
      </c>
      <c r="K105" s="810" t="s">
        <v>2534</v>
      </c>
      <c r="L105" s="810">
        <v>1</v>
      </c>
      <c r="M105" s="810" t="s">
        <v>2698</v>
      </c>
      <c r="N105" s="810">
        <v>192000</v>
      </c>
      <c r="O105" s="850">
        <f>N105*C10</f>
        <v>192000</v>
      </c>
      <c r="Q105" s="850">
        <f t="shared" si="3"/>
        <v>3840000</v>
      </c>
    </row>
    <row r="106" spans="2:17">
      <c r="B106" s="810" t="s">
        <v>2717</v>
      </c>
      <c r="C106" s="848">
        <v>41110</v>
      </c>
      <c r="D106" s="810" t="s">
        <v>1191</v>
      </c>
      <c r="E106" s="810" t="s">
        <v>2718</v>
      </c>
      <c r="F106" s="810" t="s">
        <v>2531</v>
      </c>
      <c r="G106" s="810" t="s">
        <v>2719</v>
      </c>
      <c r="H106" s="810">
        <v>138</v>
      </c>
      <c r="I106" s="810" t="s">
        <v>2533</v>
      </c>
      <c r="J106" s="810">
        <v>0.1</v>
      </c>
      <c r="K106" s="810" t="s">
        <v>2534</v>
      </c>
      <c r="L106" s="810">
        <v>1</v>
      </c>
      <c r="M106" s="810" t="s">
        <v>2698</v>
      </c>
      <c r="N106" s="810">
        <v>280000</v>
      </c>
      <c r="O106" s="850">
        <f>N106*C10</f>
        <v>280000</v>
      </c>
      <c r="Q106" s="850">
        <f t="shared" si="3"/>
        <v>2800000</v>
      </c>
    </row>
    <row r="107" spans="2:17">
      <c r="B107" s="810" t="s">
        <v>2720</v>
      </c>
      <c r="C107" s="848">
        <v>40438</v>
      </c>
      <c r="D107" s="810" t="s">
        <v>1191</v>
      </c>
      <c r="E107" s="810" t="s">
        <v>2721</v>
      </c>
      <c r="F107" s="810" t="s">
        <v>2531</v>
      </c>
      <c r="G107" s="810" t="s">
        <v>2503</v>
      </c>
      <c r="H107" s="810">
        <v>138</v>
      </c>
      <c r="I107" s="810" t="s">
        <v>2533</v>
      </c>
      <c r="J107" s="810">
        <v>0.1</v>
      </c>
      <c r="K107" s="810" t="s">
        <v>2534</v>
      </c>
      <c r="L107" s="810">
        <v>1</v>
      </c>
      <c r="M107" s="810" t="s">
        <v>2698</v>
      </c>
      <c r="N107" s="810">
        <v>474000</v>
      </c>
      <c r="O107" s="850">
        <f>N107*C10</f>
        <v>474000</v>
      </c>
      <c r="Q107" s="850">
        <f t="shared" si="3"/>
        <v>4740000</v>
      </c>
    </row>
    <row r="108" spans="2:17">
      <c r="B108" s="810" t="s">
        <v>2722</v>
      </c>
      <c r="C108" s="848">
        <v>41026</v>
      </c>
      <c r="D108" s="810" t="s">
        <v>1191</v>
      </c>
      <c r="E108" s="810" t="s">
        <v>2723</v>
      </c>
      <c r="F108" s="810" t="s">
        <v>2531</v>
      </c>
      <c r="G108" s="810" t="s">
        <v>2724</v>
      </c>
      <c r="H108" s="810">
        <v>138</v>
      </c>
      <c r="I108" s="810" t="s">
        <v>2533</v>
      </c>
      <c r="J108" s="810">
        <v>0.5</v>
      </c>
      <c r="K108" s="810" t="s">
        <v>2534</v>
      </c>
      <c r="L108" s="810">
        <v>1</v>
      </c>
      <c r="M108" s="810" t="s">
        <v>2698</v>
      </c>
      <c r="N108" s="810">
        <v>1015000</v>
      </c>
      <c r="O108" s="850">
        <f>N108*C10</f>
        <v>1015000</v>
      </c>
      <c r="Q108" s="850">
        <f t="shared" si="3"/>
        <v>2030000</v>
      </c>
    </row>
    <row r="109" spans="2:17">
      <c r="B109" s="810" t="s">
        <v>2725</v>
      </c>
      <c r="C109" s="848">
        <v>39626</v>
      </c>
      <c r="D109" s="810" t="s">
        <v>1191</v>
      </c>
      <c r="E109" s="810" t="s">
        <v>2726</v>
      </c>
      <c r="F109" s="810" t="s">
        <v>2531</v>
      </c>
      <c r="G109" s="810" t="s">
        <v>2727</v>
      </c>
      <c r="H109" s="810">
        <v>138</v>
      </c>
      <c r="I109" s="810" t="s">
        <v>2533</v>
      </c>
      <c r="J109" s="810">
        <v>16</v>
      </c>
      <c r="K109" s="810" t="s">
        <v>2538</v>
      </c>
      <c r="L109" s="810">
        <v>1</v>
      </c>
      <c r="M109" s="810" t="s">
        <v>2698</v>
      </c>
      <c r="N109" s="810">
        <v>5430000</v>
      </c>
      <c r="O109" s="850">
        <f>N109*C8</f>
        <v>4778400</v>
      </c>
      <c r="Q109" s="850">
        <f t="shared" si="3"/>
        <v>298650</v>
      </c>
    </row>
    <row r="110" spans="2:17">
      <c r="B110" s="810" t="s">
        <v>2706</v>
      </c>
      <c r="C110" s="848">
        <v>39675</v>
      </c>
      <c r="D110" s="810" t="s">
        <v>1191</v>
      </c>
      <c r="E110" s="810" t="s">
        <v>2728</v>
      </c>
      <c r="F110" s="810" t="s">
        <v>2531</v>
      </c>
      <c r="G110" s="810" t="s">
        <v>2729</v>
      </c>
      <c r="H110" s="810">
        <v>138</v>
      </c>
      <c r="I110" s="810" t="s">
        <v>2533</v>
      </c>
      <c r="J110" s="810">
        <v>0.2</v>
      </c>
      <c r="K110" s="810" t="s">
        <v>2534</v>
      </c>
      <c r="L110" s="810">
        <v>1</v>
      </c>
      <c r="M110" s="810" t="s">
        <v>2698</v>
      </c>
      <c r="N110" s="810">
        <v>387321</v>
      </c>
      <c r="O110" s="850">
        <f>N110*C10</f>
        <v>387321</v>
      </c>
      <c r="Q110" s="850">
        <f t="shared" si="3"/>
        <v>1936605</v>
      </c>
    </row>
    <row r="111" spans="2:17">
      <c r="B111" s="810" t="s">
        <v>2730</v>
      </c>
      <c r="C111" s="848">
        <v>40700</v>
      </c>
      <c r="D111" s="810" t="s">
        <v>1191</v>
      </c>
      <c r="E111" s="810" t="s">
        <v>2731</v>
      </c>
      <c r="F111" s="810" t="s">
        <v>2531</v>
      </c>
      <c r="G111" s="810" t="s">
        <v>2732</v>
      </c>
      <c r="H111" s="810">
        <v>138</v>
      </c>
      <c r="I111" s="810" t="s">
        <v>2533</v>
      </c>
      <c r="J111" s="810">
        <v>0.2</v>
      </c>
      <c r="K111" s="810" t="s">
        <v>2534</v>
      </c>
      <c r="L111" s="810">
        <v>1</v>
      </c>
      <c r="M111" s="810" t="s">
        <v>2733</v>
      </c>
      <c r="N111" s="810">
        <v>300000</v>
      </c>
      <c r="O111" s="850">
        <f>N111*C10</f>
        <v>300000</v>
      </c>
      <c r="Q111" s="850">
        <f t="shared" si="3"/>
        <v>1500000</v>
      </c>
    </row>
    <row r="112" spans="2:17">
      <c r="B112" s="810" t="s">
        <v>2734</v>
      </c>
      <c r="C112" s="848">
        <v>40877</v>
      </c>
      <c r="D112" s="810" t="s">
        <v>1191</v>
      </c>
      <c r="E112" s="810" t="s">
        <v>2735</v>
      </c>
      <c r="F112" s="810" t="s">
        <v>2531</v>
      </c>
      <c r="G112" s="810" t="s">
        <v>2736</v>
      </c>
      <c r="H112" s="810">
        <v>138</v>
      </c>
      <c r="I112" s="810" t="s">
        <v>2533</v>
      </c>
      <c r="J112" s="810">
        <v>7</v>
      </c>
      <c r="K112" s="810" t="s">
        <v>2534</v>
      </c>
      <c r="L112" s="810">
        <v>1</v>
      </c>
      <c r="M112" s="810" t="s">
        <v>2733</v>
      </c>
      <c r="N112" s="810">
        <v>1483000</v>
      </c>
      <c r="O112" s="850">
        <f>N112*C10</f>
        <v>1483000</v>
      </c>
      <c r="Q112" s="850">
        <f t="shared" si="3"/>
        <v>211857.14285714287</v>
      </c>
    </row>
    <row r="113" spans="2:17">
      <c r="B113" s="810" t="s">
        <v>2737</v>
      </c>
      <c r="C113" s="848">
        <v>40738</v>
      </c>
      <c r="D113" s="810" t="s">
        <v>1191</v>
      </c>
      <c r="E113" s="810" t="s">
        <v>2738</v>
      </c>
      <c r="F113" s="810" t="s">
        <v>2531</v>
      </c>
      <c r="G113" s="810" t="s">
        <v>2739</v>
      </c>
      <c r="H113" s="810">
        <v>138</v>
      </c>
      <c r="I113" s="810" t="s">
        <v>2533</v>
      </c>
      <c r="J113" s="810">
        <v>2</v>
      </c>
      <c r="K113" s="810" t="s">
        <v>2534</v>
      </c>
      <c r="L113" s="810">
        <v>1</v>
      </c>
      <c r="M113" s="810" t="s">
        <v>2733</v>
      </c>
      <c r="N113" s="810">
        <v>1464000</v>
      </c>
      <c r="O113" s="850">
        <f>N113*C10</f>
        <v>1464000</v>
      </c>
      <c r="Q113" s="850">
        <f t="shared" si="3"/>
        <v>732000</v>
      </c>
    </row>
    <row r="114" spans="2:17">
      <c r="B114" s="810" t="s">
        <v>2730</v>
      </c>
      <c r="C114" s="848">
        <v>40700</v>
      </c>
      <c r="D114" s="810" t="s">
        <v>1191</v>
      </c>
      <c r="E114" s="810" t="s">
        <v>2740</v>
      </c>
      <c r="F114" s="810" t="s">
        <v>2531</v>
      </c>
      <c r="G114" s="810" t="s">
        <v>2502</v>
      </c>
      <c r="H114" s="810">
        <v>138</v>
      </c>
      <c r="I114" s="810" t="s">
        <v>2533</v>
      </c>
      <c r="J114" s="810">
        <v>11</v>
      </c>
      <c r="K114" s="810" t="s">
        <v>2534</v>
      </c>
      <c r="L114" s="810">
        <v>1</v>
      </c>
      <c r="M114" s="810" t="s">
        <v>2733</v>
      </c>
      <c r="N114" s="810">
        <v>2920000</v>
      </c>
      <c r="O114" s="850">
        <f>N114*C10</f>
        <v>2920000</v>
      </c>
      <c r="Q114" s="850">
        <f t="shared" si="3"/>
        <v>265454.54545454547</v>
      </c>
    </row>
    <row r="115" spans="2:17">
      <c r="B115" s="810" t="s">
        <v>2741</v>
      </c>
      <c r="C115" s="848">
        <v>39539</v>
      </c>
      <c r="D115" s="810" t="s">
        <v>1191</v>
      </c>
      <c r="E115" s="810" t="s">
        <v>2742</v>
      </c>
      <c r="F115" s="810" t="s">
        <v>2531</v>
      </c>
      <c r="G115" s="810" t="s">
        <v>2743</v>
      </c>
      <c r="H115" s="810">
        <v>138</v>
      </c>
      <c r="I115" s="810" t="s">
        <v>2533</v>
      </c>
      <c r="J115" s="810">
        <v>6.5</v>
      </c>
      <c r="K115" s="810" t="s">
        <v>2538</v>
      </c>
      <c r="L115" s="810">
        <v>1</v>
      </c>
      <c r="M115" s="810" t="s">
        <v>2733</v>
      </c>
      <c r="N115" s="810">
        <v>952000</v>
      </c>
      <c r="O115" s="850">
        <f>N115*C8</f>
        <v>837760</v>
      </c>
      <c r="Q115" s="850">
        <f t="shared" si="3"/>
        <v>128886.15384615384</v>
      </c>
    </row>
    <row r="116" spans="2:17">
      <c r="B116" s="810" t="s">
        <v>2744</v>
      </c>
      <c r="C116" s="848">
        <v>40151</v>
      </c>
      <c r="D116" s="810" t="s">
        <v>1191</v>
      </c>
      <c r="E116" s="810" t="s">
        <v>2745</v>
      </c>
      <c r="F116" s="810" t="s">
        <v>2531</v>
      </c>
      <c r="G116" s="810" t="s">
        <v>2746</v>
      </c>
      <c r="H116" s="810">
        <v>138</v>
      </c>
      <c r="I116" s="810" t="s">
        <v>2533</v>
      </c>
      <c r="J116" s="810">
        <v>17</v>
      </c>
      <c r="K116" s="810" t="s">
        <v>2534</v>
      </c>
      <c r="L116" s="810">
        <v>1</v>
      </c>
      <c r="M116" s="810" t="s">
        <v>2733</v>
      </c>
      <c r="N116" s="810">
        <v>3361269</v>
      </c>
      <c r="O116" s="850">
        <f>N116*C10</f>
        <v>3361269</v>
      </c>
      <c r="Q116" s="850">
        <f t="shared" si="3"/>
        <v>197721.70588235295</v>
      </c>
    </row>
    <row r="117" spans="2:17">
      <c r="B117" s="810" t="s">
        <v>2747</v>
      </c>
      <c r="C117" s="848">
        <v>39387</v>
      </c>
      <c r="D117" s="810" t="s">
        <v>1191</v>
      </c>
      <c r="E117" s="810" t="s">
        <v>2748</v>
      </c>
      <c r="F117" s="810" t="s">
        <v>2531</v>
      </c>
      <c r="G117" s="810" t="s">
        <v>2501</v>
      </c>
      <c r="H117" s="810">
        <v>138</v>
      </c>
      <c r="I117" s="810" t="s">
        <v>2533</v>
      </c>
      <c r="J117" s="810">
        <v>0.4</v>
      </c>
      <c r="K117" s="810" t="s">
        <v>2534</v>
      </c>
      <c r="L117" s="810">
        <v>1</v>
      </c>
      <c r="M117" s="810">
        <v>266</v>
      </c>
      <c r="N117" s="810">
        <v>575000</v>
      </c>
      <c r="O117" s="850">
        <f>N117*C10</f>
        <v>575000</v>
      </c>
      <c r="Q117" s="850">
        <f t="shared" si="3"/>
        <v>1437500</v>
      </c>
    </row>
    <row r="118" spans="2:17">
      <c r="B118" s="810" t="s">
        <v>2749</v>
      </c>
      <c r="C118" s="848">
        <v>39612</v>
      </c>
      <c r="D118" s="810" t="s">
        <v>1191</v>
      </c>
      <c r="E118" s="810" t="s">
        <v>2750</v>
      </c>
      <c r="F118" s="810" t="s">
        <v>2531</v>
      </c>
      <c r="G118" s="810" t="s">
        <v>2751</v>
      </c>
      <c r="H118" s="810">
        <v>144</v>
      </c>
      <c r="J118" s="810">
        <v>105</v>
      </c>
      <c r="K118" s="810" t="s">
        <v>2534</v>
      </c>
      <c r="L118" s="810">
        <v>1</v>
      </c>
      <c r="M118" s="810" t="s">
        <v>2733</v>
      </c>
      <c r="N118" s="810">
        <v>36248000</v>
      </c>
      <c r="O118" s="850">
        <f>N118*C10</f>
        <v>36248000</v>
      </c>
      <c r="Q118" s="850">
        <f t="shared" si="3"/>
        <v>345219.04761904763</v>
      </c>
    </row>
    <row r="119" spans="2:17">
      <c r="B119" s="810" t="s">
        <v>2752</v>
      </c>
      <c r="C119" s="848">
        <v>40268</v>
      </c>
      <c r="D119" s="810" t="s">
        <v>1191</v>
      </c>
      <c r="E119" s="810" t="s">
        <v>2753</v>
      </c>
      <c r="F119" s="810" t="s">
        <v>2531</v>
      </c>
      <c r="G119" s="810" t="s">
        <v>2754</v>
      </c>
      <c r="H119" s="810">
        <v>144</v>
      </c>
      <c r="I119" s="810" t="s">
        <v>2533</v>
      </c>
      <c r="J119" s="810">
        <v>8</v>
      </c>
      <c r="K119" s="810" t="s">
        <v>2681</v>
      </c>
      <c r="L119" s="810">
        <v>1</v>
      </c>
      <c r="M119" s="810" t="s">
        <v>2733</v>
      </c>
      <c r="N119" s="810">
        <v>2068688</v>
      </c>
      <c r="O119" s="850">
        <f>N119*C10</f>
        <v>2068688</v>
      </c>
      <c r="Q119" s="850">
        <f t="shared" si="3"/>
        <v>258586</v>
      </c>
    </row>
    <row r="120" spans="2:17">
      <c r="B120" s="810" t="s">
        <v>2755</v>
      </c>
      <c r="C120" s="848">
        <v>39514</v>
      </c>
      <c r="D120" s="810" t="s">
        <v>1191</v>
      </c>
      <c r="E120" s="810" t="s">
        <v>2756</v>
      </c>
      <c r="F120" s="810" t="s">
        <v>2531</v>
      </c>
      <c r="G120" s="810" t="s">
        <v>2757</v>
      </c>
      <c r="H120" s="810">
        <v>144</v>
      </c>
      <c r="I120" s="810" t="s">
        <v>2533</v>
      </c>
      <c r="J120" s="810">
        <v>29</v>
      </c>
      <c r="K120" s="810" t="s">
        <v>2534</v>
      </c>
      <c r="L120" s="810">
        <v>1</v>
      </c>
      <c r="M120" s="810" t="s">
        <v>2733</v>
      </c>
      <c r="N120" s="810">
        <v>7499000</v>
      </c>
      <c r="O120" s="850">
        <f>N120*C10</f>
        <v>7499000</v>
      </c>
      <c r="Q120" s="850">
        <f t="shared" si="3"/>
        <v>258586.20689655171</v>
      </c>
    </row>
    <row r="121" spans="2:17">
      <c r="B121" s="810" t="s">
        <v>2758</v>
      </c>
      <c r="C121" s="848">
        <v>40268</v>
      </c>
      <c r="D121" s="810" t="s">
        <v>1191</v>
      </c>
      <c r="E121" s="810" t="s">
        <v>2759</v>
      </c>
      <c r="F121" s="810" t="s">
        <v>2531</v>
      </c>
      <c r="G121" s="810" t="s">
        <v>2760</v>
      </c>
      <c r="H121" s="810">
        <v>144</v>
      </c>
      <c r="I121" s="810" t="s">
        <v>2533</v>
      </c>
      <c r="J121" s="810">
        <v>9.1999999999999993</v>
      </c>
      <c r="K121" s="810" t="s">
        <v>2534</v>
      </c>
      <c r="L121" s="810">
        <v>1</v>
      </c>
      <c r="M121" s="810" t="s">
        <v>2733</v>
      </c>
      <c r="N121" s="810">
        <v>1864185</v>
      </c>
      <c r="O121" s="850">
        <f>N121*C10</f>
        <v>1864185</v>
      </c>
      <c r="Q121" s="850">
        <f t="shared" si="3"/>
        <v>202628.80434782611</v>
      </c>
    </row>
    <row r="122" spans="2:17">
      <c r="B122" s="810" t="s">
        <v>2761</v>
      </c>
      <c r="C122" s="848">
        <v>39766</v>
      </c>
      <c r="D122" s="810" t="s">
        <v>1191</v>
      </c>
      <c r="E122" s="810" t="s">
        <v>2762</v>
      </c>
      <c r="F122" s="810" t="s">
        <v>2531</v>
      </c>
      <c r="G122" s="810" t="s">
        <v>2763</v>
      </c>
      <c r="H122" s="810">
        <v>144</v>
      </c>
      <c r="I122" s="810" t="s">
        <v>2533</v>
      </c>
      <c r="J122" s="810">
        <v>0.76500000000000001</v>
      </c>
      <c r="K122" s="810" t="s">
        <v>2538</v>
      </c>
      <c r="L122" s="810">
        <v>1</v>
      </c>
      <c r="M122" s="810" t="s">
        <v>2733</v>
      </c>
      <c r="N122" s="810">
        <v>699688</v>
      </c>
      <c r="O122" s="850">
        <f>N122*C8</f>
        <v>615725.44000000006</v>
      </c>
      <c r="Q122" s="850">
        <f t="shared" si="3"/>
        <v>804869.8562091504</v>
      </c>
    </row>
    <row r="123" spans="2:17">
      <c r="B123" s="810" t="s">
        <v>2764</v>
      </c>
      <c r="C123" s="848">
        <v>40268</v>
      </c>
      <c r="D123" s="810" t="s">
        <v>1191</v>
      </c>
      <c r="E123" s="810" t="s">
        <v>2765</v>
      </c>
      <c r="F123" s="810" t="s">
        <v>2531</v>
      </c>
      <c r="G123" s="810" t="s">
        <v>2766</v>
      </c>
      <c r="H123" s="810">
        <v>144</v>
      </c>
      <c r="I123" s="810" t="s">
        <v>2533</v>
      </c>
      <c r="J123" s="810">
        <v>5</v>
      </c>
      <c r="K123" s="810" t="s">
        <v>2534</v>
      </c>
      <c r="L123" s="810">
        <v>1</v>
      </c>
      <c r="M123" s="810">
        <v>266</v>
      </c>
      <c r="N123" s="810">
        <v>1425473</v>
      </c>
      <c r="O123" s="850">
        <f>N123*C10</f>
        <v>1425473</v>
      </c>
      <c r="Q123" s="850">
        <f t="shared" si="3"/>
        <v>285094.59999999998</v>
      </c>
    </row>
    <row r="124" spans="2:17">
      <c r="B124" s="810" t="s">
        <v>2767</v>
      </c>
      <c r="C124" s="848">
        <v>40891</v>
      </c>
      <c r="D124" s="810" t="s">
        <v>1191</v>
      </c>
      <c r="E124" s="810" t="s">
        <v>2768</v>
      </c>
      <c r="F124" s="810" t="s">
        <v>2531</v>
      </c>
      <c r="G124" s="810" t="s">
        <v>2769</v>
      </c>
      <c r="H124" s="810">
        <v>144</v>
      </c>
      <c r="I124" s="810" t="s">
        <v>2533</v>
      </c>
      <c r="J124" s="810">
        <v>13</v>
      </c>
      <c r="K124" s="810" t="s">
        <v>2534</v>
      </c>
      <c r="L124" s="810">
        <v>1</v>
      </c>
      <c r="M124" s="810" t="s">
        <v>2698</v>
      </c>
      <c r="N124" s="810">
        <v>11826616</v>
      </c>
      <c r="O124" s="850">
        <f>N124*C10</f>
        <v>11826616</v>
      </c>
      <c r="Q124" s="850">
        <f t="shared" si="3"/>
        <v>909739.69230769225</v>
      </c>
    </row>
    <row r="125" spans="2:17">
      <c r="B125" s="810" t="s">
        <v>2770</v>
      </c>
      <c r="C125" s="848">
        <v>40022</v>
      </c>
      <c r="D125" s="810" t="s">
        <v>1191</v>
      </c>
      <c r="E125" s="810" t="s">
        <v>2771</v>
      </c>
      <c r="F125" s="810" t="s">
        <v>2531</v>
      </c>
      <c r="G125" s="810" t="s">
        <v>2772</v>
      </c>
      <c r="H125" s="810">
        <v>144</v>
      </c>
      <c r="I125" s="810" t="s">
        <v>2533</v>
      </c>
      <c r="J125" s="810">
        <v>106</v>
      </c>
      <c r="K125" s="810" t="s">
        <v>2534</v>
      </c>
      <c r="L125" s="810">
        <v>1</v>
      </c>
      <c r="M125" s="810" t="s">
        <v>2698</v>
      </c>
      <c r="N125" s="810">
        <v>55596000</v>
      </c>
      <c r="O125" s="850">
        <f>N125*C10</f>
        <v>55596000</v>
      </c>
      <c r="Q125" s="850">
        <f t="shared" si="3"/>
        <v>524490.5660377359</v>
      </c>
    </row>
    <row r="126" spans="2:17">
      <c r="B126" s="810" t="s">
        <v>2770</v>
      </c>
      <c r="C126" s="848">
        <v>40022</v>
      </c>
      <c r="D126" s="810" t="s">
        <v>1191</v>
      </c>
      <c r="E126" s="810" t="s">
        <v>2773</v>
      </c>
      <c r="F126" s="810" t="s">
        <v>2531</v>
      </c>
      <c r="G126" s="810" t="s">
        <v>2774</v>
      </c>
      <c r="H126" s="810">
        <v>144</v>
      </c>
      <c r="I126" s="810" t="s">
        <v>2533</v>
      </c>
      <c r="J126" s="810">
        <v>7.5</v>
      </c>
      <c r="K126" s="810" t="s">
        <v>2534</v>
      </c>
      <c r="L126" s="810">
        <v>1</v>
      </c>
      <c r="M126" s="810" t="s">
        <v>2698</v>
      </c>
      <c r="N126" s="810">
        <v>2167000</v>
      </c>
      <c r="O126" s="850">
        <f>N126*C10</f>
        <v>2167000</v>
      </c>
      <c r="Q126" s="850">
        <f t="shared" si="3"/>
        <v>288933.33333333331</v>
      </c>
    </row>
    <row r="127" spans="2:17">
      <c r="B127" s="810" t="s">
        <v>2767</v>
      </c>
      <c r="C127" s="848">
        <v>40891</v>
      </c>
      <c r="D127" s="810" t="s">
        <v>1191</v>
      </c>
      <c r="E127" s="810" t="s">
        <v>2775</v>
      </c>
      <c r="F127" s="810" t="s">
        <v>2531</v>
      </c>
      <c r="G127" s="810" t="s">
        <v>2776</v>
      </c>
      <c r="H127" s="810">
        <v>144</v>
      </c>
      <c r="I127" s="810" t="s">
        <v>2533</v>
      </c>
      <c r="J127" s="810">
        <v>46</v>
      </c>
      <c r="K127" s="810" t="s">
        <v>2534</v>
      </c>
      <c r="L127" s="810">
        <v>1</v>
      </c>
      <c r="M127" s="810" t="s">
        <v>2698</v>
      </c>
      <c r="N127" s="810">
        <v>10395427</v>
      </c>
      <c r="O127" s="850">
        <f>N127*C10</f>
        <v>10395427</v>
      </c>
      <c r="Q127" s="850">
        <f t="shared" si="3"/>
        <v>225987.54347826086</v>
      </c>
    </row>
    <row r="128" spans="2:17">
      <c r="B128" s="810" t="s">
        <v>2777</v>
      </c>
      <c r="C128" s="848">
        <v>39577</v>
      </c>
      <c r="D128" s="810" t="s">
        <v>1191</v>
      </c>
      <c r="E128" s="810" t="s">
        <v>2778</v>
      </c>
      <c r="F128" s="810" t="s">
        <v>2531</v>
      </c>
      <c r="G128" s="810" t="s">
        <v>2779</v>
      </c>
      <c r="H128" s="810">
        <v>144</v>
      </c>
      <c r="I128" s="810" t="s">
        <v>2533</v>
      </c>
      <c r="J128" s="810">
        <v>26</v>
      </c>
      <c r="K128" s="810" t="s">
        <v>2534</v>
      </c>
      <c r="L128" s="810">
        <v>1</v>
      </c>
      <c r="M128" s="810" t="s">
        <v>2698</v>
      </c>
      <c r="N128" s="810">
        <v>5372000</v>
      </c>
      <c r="O128" s="850">
        <f>N128*C10</f>
        <v>5372000</v>
      </c>
      <c r="Q128" s="850">
        <f t="shared" si="3"/>
        <v>206615.38461538462</v>
      </c>
    </row>
    <row r="129" spans="2:17">
      <c r="B129" s="810" t="s">
        <v>2780</v>
      </c>
      <c r="C129" s="848">
        <v>39925</v>
      </c>
      <c r="D129" s="810" t="s">
        <v>1191</v>
      </c>
      <c r="E129" s="810" t="s">
        <v>2781</v>
      </c>
      <c r="F129" s="810" t="s">
        <v>2531</v>
      </c>
      <c r="G129" s="810" t="s">
        <v>2782</v>
      </c>
      <c r="H129" s="810">
        <v>144</v>
      </c>
      <c r="I129" s="810" t="s">
        <v>2533</v>
      </c>
      <c r="J129" s="810">
        <v>4</v>
      </c>
      <c r="K129" s="810" t="s">
        <v>2534</v>
      </c>
      <c r="L129" s="810">
        <v>1</v>
      </c>
      <c r="M129" s="810" t="s">
        <v>2698</v>
      </c>
      <c r="N129" s="810">
        <v>917000</v>
      </c>
      <c r="O129" s="850">
        <f>N129*C10</f>
        <v>917000</v>
      </c>
      <c r="Q129" s="850">
        <f t="shared" si="3"/>
        <v>229250</v>
      </c>
    </row>
    <row r="130" spans="2:17">
      <c r="B130" s="810" t="s">
        <v>2783</v>
      </c>
      <c r="C130" s="848">
        <v>40480</v>
      </c>
      <c r="D130" s="810" t="s">
        <v>1191</v>
      </c>
      <c r="E130" s="810" t="s">
        <v>2784</v>
      </c>
      <c r="F130" s="810" t="s">
        <v>2531</v>
      </c>
      <c r="G130" s="810" t="s">
        <v>2785</v>
      </c>
      <c r="H130" s="810">
        <v>144</v>
      </c>
      <c r="I130" s="810" t="s">
        <v>2533</v>
      </c>
      <c r="J130" s="810">
        <v>32</v>
      </c>
      <c r="K130" s="810" t="s">
        <v>2534</v>
      </c>
      <c r="L130" s="810">
        <v>1</v>
      </c>
      <c r="M130" s="810" t="s">
        <v>2698</v>
      </c>
      <c r="N130" s="810">
        <v>8605000</v>
      </c>
      <c r="O130" s="850">
        <f>N130*C10</f>
        <v>8605000</v>
      </c>
      <c r="Q130" s="850">
        <f t="shared" si="3"/>
        <v>268906.25</v>
      </c>
    </row>
    <row r="131" spans="2:17">
      <c r="B131" s="810" t="s">
        <v>2786</v>
      </c>
      <c r="C131" s="848">
        <v>40877</v>
      </c>
      <c r="D131" s="810" t="s">
        <v>1191</v>
      </c>
      <c r="E131" s="810" t="s">
        <v>2787</v>
      </c>
      <c r="F131" s="810" t="s">
        <v>2531</v>
      </c>
      <c r="G131" s="810" t="s">
        <v>2788</v>
      </c>
      <c r="H131" s="810">
        <v>144</v>
      </c>
      <c r="I131" s="810" t="s">
        <v>2533</v>
      </c>
      <c r="J131" s="810">
        <v>17</v>
      </c>
      <c r="K131" s="810" t="s">
        <v>2534</v>
      </c>
      <c r="L131" s="810">
        <v>1</v>
      </c>
      <c r="M131" s="810" t="s">
        <v>2698</v>
      </c>
      <c r="N131" s="810">
        <v>3250000</v>
      </c>
      <c r="O131" s="850">
        <f>N131*C10</f>
        <v>3250000</v>
      </c>
      <c r="Q131" s="850">
        <f t="shared" si="3"/>
        <v>191176.4705882353</v>
      </c>
    </row>
    <row r="132" spans="2:17">
      <c r="B132" s="810" t="s">
        <v>2789</v>
      </c>
      <c r="C132" s="848">
        <v>40996</v>
      </c>
      <c r="D132" s="810" t="s">
        <v>1512</v>
      </c>
      <c r="E132" s="810" t="s">
        <v>2790</v>
      </c>
      <c r="F132" s="810" t="s">
        <v>2531</v>
      </c>
      <c r="G132" s="810" t="s">
        <v>2791</v>
      </c>
      <c r="H132" s="810">
        <v>144</v>
      </c>
      <c r="I132" s="810" t="s">
        <v>2533</v>
      </c>
      <c r="J132" s="810">
        <v>0.55000000000000004</v>
      </c>
      <c r="K132" s="810" t="s">
        <v>2534</v>
      </c>
      <c r="L132" s="810">
        <v>1</v>
      </c>
      <c r="M132" s="810" t="s">
        <v>2698</v>
      </c>
      <c r="N132" s="810">
        <v>888630</v>
      </c>
      <c r="O132" s="850">
        <f>N132*C10</f>
        <v>888630</v>
      </c>
      <c r="Q132" s="850">
        <f t="shared" si="3"/>
        <v>1615690.9090909089</v>
      </c>
    </row>
    <row r="133" spans="2:17">
      <c r="B133" s="810" t="s">
        <v>2792</v>
      </c>
      <c r="C133" s="848">
        <v>39790</v>
      </c>
      <c r="D133" s="810" t="s">
        <v>1191</v>
      </c>
      <c r="E133" s="810" t="s">
        <v>2793</v>
      </c>
      <c r="F133" s="810" t="s">
        <v>2531</v>
      </c>
      <c r="G133" s="810" t="s">
        <v>2794</v>
      </c>
      <c r="H133" s="810">
        <v>144</v>
      </c>
      <c r="I133" s="810" t="s">
        <v>2533</v>
      </c>
      <c r="J133" s="810">
        <v>25</v>
      </c>
      <c r="K133" s="810" t="s">
        <v>2534</v>
      </c>
      <c r="L133" s="810">
        <v>1</v>
      </c>
      <c r="M133" s="810" t="s">
        <v>2698</v>
      </c>
      <c r="N133" s="810">
        <v>4059000</v>
      </c>
      <c r="O133" s="850">
        <f>N133*C10</f>
        <v>4059000</v>
      </c>
      <c r="Q133" s="850">
        <f t="shared" si="3"/>
        <v>162360</v>
      </c>
    </row>
    <row r="134" spans="2:17">
      <c r="B134" s="810" t="s">
        <v>2795</v>
      </c>
      <c r="C134" s="848">
        <v>41079</v>
      </c>
      <c r="D134" s="810" t="s">
        <v>1191</v>
      </c>
      <c r="E134" s="810" t="s">
        <v>2796</v>
      </c>
      <c r="F134" s="810" t="s">
        <v>2531</v>
      </c>
      <c r="G134" s="810" t="s">
        <v>2797</v>
      </c>
      <c r="H134" s="810">
        <v>144</v>
      </c>
      <c r="I134" s="810" t="s">
        <v>2533</v>
      </c>
      <c r="J134" s="810">
        <v>5</v>
      </c>
      <c r="K134" s="810" t="s">
        <v>2534</v>
      </c>
      <c r="L134" s="810">
        <v>1</v>
      </c>
      <c r="M134" s="810" t="s">
        <v>2698</v>
      </c>
      <c r="N134" s="810">
        <v>2467632</v>
      </c>
      <c r="O134" s="850">
        <f>N134*C10</f>
        <v>2467632</v>
      </c>
      <c r="Q134" s="850">
        <f t="shared" si="3"/>
        <v>493526.4</v>
      </c>
    </row>
    <row r="135" spans="2:17">
      <c r="B135" s="810" t="s">
        <v>2770</v>
      </c>
      <c r="C135" s="848">
        <v>40022</v>
      </c>
      <c r="D135" s="810" t="s">
        <v>1191</v>
      </c>
      <c r="E135" s="810" t="s">
        <v>2773</v>
      </c>
      <c r="F135" s="810" t="s">
        <v>2531</v>
      </c>
      <c r="G135" s="810" t="s">
        <v>2798</v>
      </c>
      <c r="H135" s="810">
        <v>144</v>
      </c>
      <c r="I135" s="810" t="s">
        <v>2533</v>
      </c>
      <c r="J135" s="810">
        <v>7.5</v>
      </c>
      <c r="K135" s="810" t="s">
        <v>2534</v>
      </c>
      <c r="L135" s="810">
        <v>1</v>
      </c>
      <c r="M135" s="810" t="s">
        <v>2698</v>
      </c>
      <c r="N135" s="810">
        <v>1248000</v>
      </c>
      <c r="O135" s="850">
        <f>N135*C10</f>
        <v>1248000</v>
      </c>
      <c r="Q135" s="850">
        <f t="shared" si="3"/>
        <v>166400</v>
      </c>
    </row>
    <row r="136" spans="2:17">
      <c r="B136" s="810" t="s">
        <v>2799</v>
      </c>
      <c r="C136" s="848">
        <v>41530</v>
      </c>
      <c r="D136" s="810" t="s">
        <v>1191</v>
      </c>
      <c r="E136" s="810" t="s">
        <v>2800</v>
      </c>
      <c r="F136" s="810" t="s">
        <v>2531</v>
      </c>
      <c r="G136" s="810" t="s">
        <v>1724</v>
      </c>
      <c r="H136" s="810">
        <v>144</v>
      </c>
      <c r="I136" s="810" t="s">
        <v>2533</v>
      </c>
      <c r="J136" s="810">
        <v>12</v>
      </c>
      <c r="K136" s="810" t="s">
        <v>2538</v>
      </c>
      <c r="L136" s="810">
        <v>1</v>
      </c>
      <c r="M136" s="810" t="s">
        <v>2698</v>
      </c>
      <c r="N136" s="810">
        <v>8242669</v>
      </c>
      <c r="O136" s="850">
        <f>N136*C8</f>
        <v>7253548.7199999997</v>
      </c>
      <c r="Q136" s="850">
        <f t="shared" si="3"/>
        <v>604462.39333333331</v>
      </c>
    </row>
    <row r="137" spans="2:17">
      <c r="B137" s="810" t="s">
        <v>2786</v>
      </c>
      <c r="C137" s="848">
        <v>40877</v>
      </c>
      <c r="D137" s="810" t="s">
        <v>1191</v>
      </c>
      <c r="E137" s="810" t="s">
        <v>2801</v>
      </c>
      <c r="F137" s="810" t="s">
        <v>2531</v>
      </c>
      <c r="G137" s="810" t="s">
        <v>2802</v>
      </c>
      <c r="H137" s="810">
        <v>144</v>
      </c>
      <c r="I137" s="810" t="s">
        <v>2533</v>
      </c>
      <c r="J137" s="810">
        <v>11</v>
      </c>
      <c r="K137" s="810" t="s">
        <v>2534</v>
      </c>
      <c r="L137" s="810">
        <v>1</v>
      </c>
      <c r="M137" s="810" t="s">
        <v>2698</v>
      </c>
      <c r="N137" s="810">
        <v>2243000</v>
      </c>
      <c r="O137" s="850">
        <f>N137*C10</f>
        <v>2243000</v>
      </c>
      <c r="Q137" s="850">
        <f t="shared" si="3"/>
        <v>203909.09090909091</v>
      </c>
    </row>
    <row r="138" spans="2:17">
      <c r="B138" s="810" t="s">
        <v>2803</v>
      </c>
      <c r="C138" s="848">
        <v>41039</v>
      </c>
      <c r="D138" s="810" t="s">
        <v>1191</v>
      </c>
      <c r="E138" s="810" t="s">
        <v>2804</v>
      </c>
      <c r="F138" s="810" t="s">
        <v>2531</v>
      </c>
      <c r="G138" s="810" t="s">
        <v>1384</v>
      </c>
      <c r="H138" s="810">
        <v>144</v>
      </c>
      <c r="I138" s="810" t="s">
        <v>2533</v>
      </c>
      <c r="J138" s="810">
        <v>21.5</v>
      </c>
      <c r="K138" s="810" t="s">
        <v>2534</v>
      </c>
      <c r="L138" s="810">
        <v>1</v>
      </c>
      <c r="M138" s="810" t="s">
        <v>2698</v>
      </c>
      <c r="N138" s="810">
        <v>11897100</v>
      </c>
      <c r="O138" s="850">
        <f>N138*C10</f>
        <v>11897100</v>
      </c>
      <c r="Q138" s="850">
        <f t="shared" si="3"/>
        <v>553353.48837209307</v>
      </c>
    </row>
    <row r="139" spans="2:17">
      <c r="B139" s="810" t="s">
        <v>2805</v>
      </c>
      <c r="C139" s="848">
        <v>40480</v>
      </c>
      <c r="D139" s="810" t="s">
        <v>1191</v>
      </c>
      <c r="E139" s="810" t="s">
        <v>2806</v>
      </c>
      <c r="F139" s="810" t="s">
        <v>2531</v>
      </c>
      <c r="G139" s="810" t="s">
        <v>2807</v>
      </c>
      <c r="H139" s="810">
        <v>144</v>
      </c>
      <c r="I139" s="810" t="s">
        <v>2533</v>
      </c>
      <c r="J139" s="810">
        <v>4</v>
      </c>
      <c r="K139" s="810" t="s">
        <v>2534</v>
      </c>
      <c r="L139" s="810">
        <v>1</v>
      </c>
      <c r="M139" s="810" t="s">
        <v>2808</v>
      </c>
      <c r="N139" s="813">
        <v>1617000</v>
      </c>
      <c r="O139" s="850">
        <f>N139*C10</f>
        <v>1617000</v>
      </c>
      <c r="Q139" s="850">
        <f t="shared" si="3"/>
        <v>404250</v>
      </c>
    </row>
    <row r="140" spans="2:17">
      <c r="C140" s="848"/>
      <c r="O140" s="850"/>
    </row>
    <row r="141" spans="2:17">
      <c r="C141" s="848"/>
      <c r="O141" s="850"/>
    </row>
    <row r="142" spans="2:17">
      <c r="N142" s="810" t="s">
        <v>2588</v>
      </c>
      <c r="O142" s="810">
        <f>SUM(J97:J139)</f>
        <v>572.91499999999996</v>
      </c>
    </row>
    <row r="143" spans="2:17">
      <c r="N143" s="810" t="s">
        <v>2589</v>
      </c>
      <c r="O143" s="850">
        <f>SUM(O97:O139)</f>
        <v>207587533.59999999</v>
      </c>
    </row>
    <row r="144" spans="2:17">
      <c r="N144" s="810" t="s">
        <v>2590</v>
      </c>
      <c r="O144" s="945">
        <f>O143/O142</f>
        <v>362335.65816918743</v>
      </c>
    </row>
  </sheetData>
  <mergeCells count="1">
    <mergeCell ref="G4:H4"/>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2" tint="-0.499984740745262"/>
  </sheetPr>
  <dimension ref="A1:I21"/>
  <sheetViews>
    <sheetView showGridLines="0" workbookViewId="0">
      <selection activeCell="B1" sqref="B1:E1048576"/>
    </sheetView>
  </sheetViews>
  <sheetFormatPr defaultColWidth="9.109375" defaultRowHeight="13.8"/>
  <cols>
    <col min="1" max="1" width="42.33203125" style="4" customWidth="1"/>
    <col min="2" max="6" width="11.109375" style="4" bestFit="1" customWidth="1"/>
    <col min="7" max="9" width="10.88671875" style="4" bestFit="1" customWidth="1"/>
    <col min="10" max="16384" width="9.109375" style="4"/>
  </cols>
  <sheetData>
    <row r="1" spans="1:9">
      <c r="A1" s="188" t="s">
        <v>362</v>
      </c>
      <c r="B1" s="6">
        <v>2010</v>
      </c>
      <c r="C1" s="6">
        <v>2011</v>
      </c>
      <c r="D1" s="6">
        <v>2012</v>
      </c>
      <c r="E1" s="6">
        <v>2013</v>
      </c>
      <c r="F1" s="6">
        <v>2014</v>
      </c>
      <c r="G1" s="6">
        <v>2015</v>
      </c>
      <c r="H1" s="6">
        <v>2016</v>
      </c>
      <c r="I1" s="6">
        <v>2017</v>
      </c>
    </row>
    <row r="2" spans="1:9">
      <c r="A2" s="21"/>
      <c r="B2" s="46"/>
      <c r="C2" s="46"/>
      <c r="D2" s="46"/>
      <c r="E2" s="46"/>
      <c r="F2" s="46"/>
      <c r="G2" s="46"/>
      <c r="H2" s="46"/>
      <c r="I2" s="46"/>
    </row>
    <row r="3" spans="1:9">
      <c r="A3" s="22" t="s">
        <v>361</v>
      </c>
      <c r="B3" s="190"/>
      <c r="C3" s="190"/>
      <c r="D3" s="190"/>
      <c r="E3" s="190"/>
      <c r="F3" s="190"/>
      <c r="G3" s="190"/>
      <c r="H3" s="190"/>
      <c r="I3" s="190"/>
    </row>
    <row r="4" spans="1:9">
      <c r="A4" s="8" t="s">
        <v>49</v>
      </c>
      <c r="B4" s="14">
        <f>'Sum 3.0'!C28</f>
        <v>27466553.365765899</v>
      </c>
      <c r="C4" s="14">
        <f>'Sum 3.0'!D28</f>
        <v>30207977.931088306</v>
      </c>
      <c r="D4" s="14">
        <f>'Sum 3.0'!E28</f>
        <v>34219777.622551002</v>
      </c>
      <c r="E4" s="14">
        <f>'Sum 3.0'!F28</f>
        <v>34723722.945058435</v>
      </c>
      <c r="F4" s="14">
        <f>'Sum 3.0'!G28</f>
        <v>37654037.837000877</v>
      </c>
      <c r="G4" s="14">
        <f>'Sum 3.0'!H28</f>
        <v>43797728.986689351</v>
      </c>
      <c r="H4" s="14">
        <f>'Sum 3.0'!I28</f>
        <v>49366157.259563275</v>
      </c>
      <c r="I4" s="14">
        <f>'Sum 3.0'!J28</f>
        <v>51872043.799387284</v>
      </c>
    </row>
    <row r="5" spans="1:9">
      <c r="A5" s="8" t="s">
        <v>74</v>
      </c>
      <c r="B5" s="14">
        <f>'Sum 3.0'!C29</f>
        <v>43817511.569780782</v>
      </c>
      <c r="C5" s="14">
        <f>'Sum 3.0'!D29</f>
        <v>48224727.407742523</v>
      </c>
      <c r="D5" s="14">
        <f>'Sum 3.0'!E29</f>
        <v>54857206.177382797</v>
      </c>
      <c r="E5" s="14">
        <f>'Sum 3.0'!F29</f>
        <v>56730034.508375861</v>
      </c>
      <c r="F5" s="14">
        <f>'Sum 3.0'!G29</f>
        <v>63437119.582380176</v>
      </c>
      <c r="G5" s="14">
        <f>'Sum 3.0'!H29</f>
        <v>69974700.056748301</v>
      </c>
      <c r="H5" s="14">
        <f>'Sum 3.0'!I29</f>
        <v>77615457.28608802</v>
      </c>
      <c r="I5" s="14">
        <f>'Sum 3.0'!J29</f>
        <v>81443795.488235205</v>
      </c>
    </row>
    <row r="6" spans="1:9">
      <c r="A6" s="8" t="s">
        <v>50</v>
      </c>
      <c r="B6" s="14">
        <f>'Sum 3.0'!C30</f>
        <v>44917865.715101637</v>
      </c>
      <c r="C6" s="14">
        <f>'Sum 3.0'!D30</f>
        <v>48519613.848514184</v>
      </c>
      <c r="D6" s="14">
        <f>'Sum 3.0'!E30</f>
        <v>57036109.966000065</v>
      </c>
      <c r="E6" s="14">
        <f>'Sum 3.0'!F30</f>
        <v>60140986.687942326</v>
      </c>
      <c r="F6" s="14">
        <f>'Sum 3.0'!G30</f>
        <v>73618055.040132105</v>
      </c>
      <c r="G6" s="14">
        <f>'Sum 3.0'!H30</f>
        <v>70888939.304122895</v>
      </c>
      <c r="H6" s="14">
        <f>'Sum 3.0'!I30</f>
        <v>82615594.585334808</v>
      </c>
      <c r="I6" s="14">
        <f>'Sum 3.0'!J30</f>
        <v>87538348.056837142</v>
      </c>
    </row>
    <row r="7" spans="1:9" s="777" customFormat="1">
      <c r="A7" s="12" t="s">
        <v>48</v>
      </c>
      <c r="B7" s="163">
        <f t="shared" ref="B7:I7" si="0">SUM(B4:B6)</f>
        <v>116201930.65064833</v>
      </c>
      <c r="C7" s="163">
        <f t="shared" si="0"/>
        <v>126952319.18734501</v>
      </c>
      <c r="D7" s="163">
        <f t="shared" si="0"/>
        <v>146113093.76593387</v>
      </c>
      <c r="E7" s="163">
        <f t="shared" si="0"/>
        <v>151594744.14137661</v>
      </c>
      <c r="F7" s="163">
        <f t="shared" si="0"/>
        <v>174709212.45951316</v>
      </c>
      <c r="G7" s="163">
        <f t="shared" si="0"/>
        <v>184661368.34756055</v>
      </c>
      <c r="H7" s="163">
        <f t="shared" si="0"/>
        <v>209597209.13098609</v>
      </c>
      <c r="I7" s="163">
        <f t="shared" si="0"/>
        <v>220854187.34445962</v>
      </c>
    </row>
    <row r="8" spans="1:9">
      <c r="A8" s="19"/>
      <c r="B8" s="23"/>
      <c r="C8" s="23"/>
      <c r="D8" s="23"/>
      <c r="E8" s="23"/>
      <c r="F8" s="23"/>
      <c r="G8" s="23"/>
      <c r="H8" s="23"/>
      <c r="I8" s="23"/>
    </row>
    <row r="9" spans="1:9">
      <c r="A9" s="188" t="s">
        <v>360</v>
      </c>
      <c r="B9" s="6">
        <v>2010</v>
      </c>
      <c r="C9" s="6">
        <v>2011</v>
      </c>
      <c r="D9" s="6">
        <v>2012</v>
      </c>
      <c r="E9" s="6">
        <v>2013</v>
      </c>
      <c r="F9" s="6">
        <v>2014</v>
      </c>
      <c r="G9" s="6">
        <v>2015</v>
      </c>
      <c r="H9" s="6">
        <v>2016</v>
      </c>
      <c r="I9" s="6">
        <v>2017</v>
      </c>
    </row>
    <row r="10" spans="1:9">
      <c r="A10" s="29"/>
      <c r="B10" s="18"/>
      <c r="C10" s="18"/>
      <c r="D10" s="18"/>
      <c r="E10" s="18"/>
      <c r="F10" s="18"/>
      <c r="G10" s="18"/>
      <c r="H10" s="18"/>
      <c r="I10" s="18"/>
    </row>
    <row r="11" spans="1:9">
      <c r="A11" s="22" t="s">
        <v>359</v>
      </c>
      <c r="B11" s="190"/>
      <c r="C11" s="190"/>
      <c r="D11" s="190"/>
      <c r="E11" s="190"/>
      <c r="F11" s="190"/>
      <c r="G11" s="190"/>
      <c r="H11" s="190"/>
      <c r="I11" s="190"/>
    </row>
    <row r="12" spans="1:9">
      <c r="A12" s="8" t="s">
        <v>49</v>
      </c>
      <c r="B12" s="191">
        <f>'AT Sch 5.1'!B8+'AT Sch 5.1'!B44</f>
        <v>0</v>
      </c>
      <c r="C12" s="191">
        <f>'AT Sch 5.1'!C8+'AT Sch 5.1'!C44</f>
        <v>0</v>
      </c>
      <c r="D12" s="191">
        <f>'AT Sch 5.1'!D8+'AT Sch 5.1'!D44</f>
        <v>0</v>
      </c>
      <c r="E12" s="191">
        <f>'AT Sch 5.1'!E8+'AT Sch 5.1'!E44</f>
        <v>0</v>
      </c>
      <c r="F12" s="191">
        <f>'AT Sch 5.1'!F8+'AT Sch 5.1'!F44</f>
        <v>0</v>
      </c>
      <c r="G12" s="191">
        <f>'AT Sch 5.1'!G8+'AT Sch 5.1'!G44</f>
        <v>0</v>
      </c>
      <c r="H12" s="191">
        <f>'AT Sch 5.1'!H8+'AT Sch 5.1'!H44</f>
        <v>0</v>
      </c>
      <c r="I12" s="191">
        <f>'AT Sch 5.1'!I8+'AT Sch 5.1'!I44</f>
        <v>0</v>
      </c>
    </row>
    <row r="13" spans="1:9">
      <c r="A13" s="8" t="s">
        <v>74</v>
      </c>
      <c r="B13" s="14">
        <f>'AT Sch 5.1'!B9+'AT Sch 5.1'!B45</f>
        <v>6698362.5956592355</v>
      </c>
      <c r="C13" s="14">
        <f>'AT Sch 5.1'!C9+'AT Sch 5.1'!C45</f>
        <v>6251475.3775335802</v>
      </c>
      <c r="D13" s="14">
        <f>'AT Sch 5.1'!D9+'AT Sch 5.1'!D45</f>
        <v>6279983.0205104379</v>
      </c>
      <c r="E13" s="14">
        <f>'AT Sch 5.1'!E9+'AT Sch 5.1'!E45</f>
        <v>7238414.1594073717</v>
      </c>
      <c r="F13" s="14">
        <f>'AT Sch 5.1'!F9+'AT Sch 5.1'!F45</f>
        <v>8356796.6358478013</v>
      </c>
      <c r="G13" s="14">
        <f>'AT Sch 5.1'!G9+'AT Sch 5.1'!G45</f>
        <v>6620347.3404802326</v>
      </c>
      <c r="H13" s="14">
        <f>'AT Sch 5.1'!H9+'AT Sch 5.1'!H45</f>
        <v>8837775.4099758342</v>
      </c>
      <c r="I13" s="14">
        <f>'AT Sch 5.1'!I9+'AT Sch 5.1'!I45</f>
        <v>9534423.9945647027</v>
      </c>
    </row>
    <row r="14" spans="1:9">
      <c r="A14" s="8" t="s">
        <v>50</v>
      </c>
      <c r="B14" s="14">
        <f>'AT Sch 5.1'!B10+'AT Sch 5.1'!B46</f>
        <v>6014986.4672222035</v>
      </c>
      <c r="C14" s="14">
        <f>'AT Sch 5.1'!C10+'AT Sch 5.1'!C46</f>
        <v>5613691.2953032749</v>
      </c>
      <c r="D14" s="14">
        <f>'AT Sch 5.1'!D10+'AT Sch 5.1'!D46</f>
        <v>5639290.5494895615</v>
      </c>
      <c r="E14" s="14">
        <f>'AT Sch 5.1'!E10+'AT Sch 5.1'!E46</f>
        <v>6499941.2305926271</v>
      </c>
      <c r="F14" s="14">
        <f>'AT Sch 5.1'!F10+'AT Sch 5.1'!F46</f>
        <v>7504224.7946575228</v>
      </c>
      <c r="G14" s="14">
        <f>'AT Sch 5.1'!G10+'AT Sch 5.1'!G46</f>
        <v>5944930.4352536313</v>
      </c>
      <c r="H14" s="14">
        <f>'AT Sch 5.1'!H10+'AT Sch 5.1'!H46</f>
        <v>7936133.4553317083</v>
      </c>
      <c r="I14" s="14">
        <f>'AT Sch 5.1'!I10+'AT Sch 5.1'!I46</f>
        <v>8561708.9969464634</v>
      </c>
    </row>
    <row r="15" spans="1:9" s="777" customFormat="1">
      <c r="A15" s="29" t="s">
        <v>48</v>
      </c>
      <c r="B15" s="160">
        <f t="shared" ref="B15:I15" si="1">SUM(B12:B14)</f>
        <v>12713349.06288144</v>
      </c>
      <c r="C15" s="160">
        <f t="shared" si="1"/>
        <v>11865166.672836855</v>
      </c>
      <c r="D15" s="160">
        <f t="shared" si="1"/>
        <v>11919273.57</v>
      </c>
      <c r="E15" s="160">
        <f t="shared" si="1"/>
        <v>13738355.389999999</v>
      </c>
      <c r="F15" s="160">
        <f t="shared" si="1"/>
        <v>15861021.430505324</v>
      </c>
      <c r="G15" s="160">
        <f t="shared" si="1"/>
        <v>12565277.775733864</v>
      </c>
      <c r="H15" s="160">
        <f t="shared" si="1"/>
        <v>16773908.865307543</v>
      </c>
      <c r="I15" s="160">
        <f t="shared" si="1"/>
        <v>18096132.991511166</v>
      </c>
    </row>
    <row r="16" spans="1:9" s="777" customFormat="1">
      <c r="A16" s="12"/>
      <c r="B16" s="163"/>
      <c r="C16" s="163"/>
      <c r="D16" s="163"/>
      <c r="E16" s="163"/>
      <c r="F16" s="163"/>
      <c r="G16" s="163"/>
      <c r="H16" s="163"/>
      <c r="I16" s="163"/>
    </row>
    <row r="17" spans="1:9">
      <c r="A17" s="12" t="s">
        <v>358</v>
      </c>
      <c r="B17" s="40"/>
      <c r="C17" s="40"/>
      <c r="D17" s="40"/>
      <c r="E17" s="40"/>
      <c r="F17" s="40"/>
      <c r="G17" s="40"/>
      <c r="H17" s="40"/>
      <c r="I17" s="40"/>
    </row>
    <row r="18" spans="1:9">
      <c r="A18" s="8" t="s">
        <v>49</v>
      </c>
      <c r="B18" s="14">
        <f t="shared" ref="B18:I18" si="2">B4-B12</f>
        <v>27466553.365765899</v>
      </c>
      <c r="C18" s="14">
        <f t="shared" si="2"/>
        <v>30207977.931088306</v>
      </c>
      <c r="D18" s="14">
        <f t="shared" si="2"/>
        <v>34219777.622551002</v>
      </c>
      <c r="E18" s="14">
        <f t="shared" si="2"/>
        <v>34723722.945058435</v>
      </c>
      <c r="F18" s="14">
        <f t="shared" si="2"/>
        <v>37654037.837000877</v>
      </c>
      <c r="G18" s="14">
        <f t="shared" si="2"/>
        <v>43797728.986689351</v>
      </c>
      <c r="H18" s="14">
        <f t="shared" si="2"/>
        <v>49366157.259563275</v>
      </c>
      <c r="I18" s="14">
        <f t="shared" si="2"/>
        <v>51872043.799387284</v>
      </c>
    </row>
    <row r="19" spans="1:9">
      <c r="A19" s="8" t="s">
        <v>74</v>
      </c>
      <c r="B19" s="14">
        <f t="shared" ref="B19:I19" si="3">B5-B13</f>
        <v>37119148.974121548</v>
      </c>
      <c r="C19" s="14">
        <f t="shared" si="3"/>
        <v>41973252.030208945</v>
      </c>
      <c r="D19" s="14">
        <f t="shared" si="3"/>
        <v>48577223.156872362</v>
      </c>
      <c r="E19" s="14">
        <f t="shared" si="3"/>
        <v>49491620.348968491</v>
      </c>
      <c r="F19" s="14">
        <f t="shared" si="3"/>
        <v>55080322.946532376</v>
      </c>
      <c r="G19" s="14">
        <f t="shared" si="3"/>
        <v>63354352.71626807</v>
      </c>
      <c r="H19" s="14">
        <f t="shared" si="3"/>
        <v>68777681.876112193</v>
      </c>
      <c r="I19" s="14">
        <f t="shared" si="3"/>
        <v>71909371.493670508</v>
      </c>
    </row>
    <row r="20" spans="1:9">
      <c r="A20" s="8" t="s">
        <v>50</v>
      </c>
      <c r="B20" s="14">
        <f t="shared" ref="B20:I20" si="4">B6-B14</f>
        <v>38902879.247879431</v>
      </c>
      <c r="C20" s="14">
        <f t="shared" si="4"/>
        <v>42905922.553210907</v>
      </c>
      <c r="D20" s="14">
        <f t="shared" si="4"/>
        <v>51396819.416510507</v>
      </c>
      <c r="E20" s="14">
        <f t="shared" si="4"/>
        <v>53641045.457349703</v>
      </c>
      <c r="F20" s="14">
        <f t="shared" si="4"/>
        <v>66113830.245474584</v>
      </c>
      <c r="G20" s="14">
        <f t="shared" si="4"/>
        <v>64944008.86886926</v>
      </c>
      <c r="H20" s="14">
        <f t="shared" si="4"/>
        <v>74679461.130003095</v>
      </c>
      <c r="I20" s="14">
        <f t="shared" si="4"/>
        <v>78976639.059890673</v>
      </c>
    </row>
    <row r="21" spans="1:9" s="777" customFormat="1">
      <c r="A21" s="29" t="s">
        <v>48</v>
      </c>
      <c r="B21" s="160">
        <f t="shared" ref="B21:I21" si="5">SUM(B18:B20)</f>
        <v>103488581.58776689</v>
      </c>
      <c r="C21" s="160">
        <f t="shared" si="5"/>
        <v>115087152.51450816</v>
      </c>
      <c r="D21" s="160">
        <f t="shared" si="5"/>
        <v>134193820.19593386</v>
      </c>
      <c r="E21" s="160">
        <f t="shared" si="5"/>
        <v>137856388.75137663</v>
      </c>
      <c r="F21" s="160">
        <f t="shared" si="5"/>
        <v>158848191.02900782</v>
      </c>
      <c r="G21" s="160">
        <f t="shared" si="5"/>
        <v>172096090.5718267</v>
      </c>
      <c r="H21" s="160">
        <f t="shared" si="5"/>
        <v>192823300.26567855</v>
      </c>
      <c r="I21" s="160">
        <f t="shared" si="5"/>
        <v>202758054.35294849</v>
      </c>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2" tint="-0.499984740745262"/>
  </sheetPr>
  <dimension ref="A1:U55"/>
  <sheetViews>
    <sheetView showGridLines="0" zoomScale="70" zoomScaleNormal="70" zoomScaleSheetLayoutView="70" workbookViewId="0">
      <pane xSplit="1" topLeftCell="B1" activePane="topRight" state="frozen"/>
      <selection activeCell="O24" sqref="A1:XFD1048576"/>
      <selection pane="topRight" activeCell="C6" sqref="C6"/>
    </sheetView>
  </sheetViews>
  <sheetFormatPr defaultColWidth="9.109375" defaultRowHeight="13.8"/>
  <cols>
    <col min="1" max="1" width="39.44140625" style="4" customWidth="1"/>
    <col min="2" max="3" width="12.6640625" style="30" customWidth="1"/>
    <col min="4" max="5" width="14.44140625" style="4" bestFit="1" customWidth="1"/>
    <col min="6" max="6" width="14.44140625" style="91" bestFit="1" customWidth="1"/>
    <col min="7" max="8" width="14.109375" style="91" bestFit="1" customWidth="1"/>
    <col min="9" max="9" width="14.44140625" style="91" bestFit="1" customWidth="1"/>
    <col min="10" max="10" width="13.44140625" style="91" bestFit="1" customWidth="1"/>
    <col min="11" max="11" width="62.6640625" style="91" bestFit="1" customWidth="1"/>
    <col min="12" max="12" width="11" style="4" bestFit="1" customWidth="1"/>
    <col min="13" max="16384" width="9.109375" style="4"/>
  </cols>
  <sheetData>
    <row r="1" spans="1:21">
      <c r="A1" s="22" t="s">
        <v>665</v>
      </c>
      <c r="B1" s="14"/>
      <c r="C1" s="14"/>
      <c r="E1" s="9"/>
    </row>
    <row r="2" spans="1:21">
      <c r="A2" s="8" t="s">
        <v>378</v>
      </c>
      <c r="B2" s="14"/>
      <c r="C2" s="14"/>
      <c r="E2" s="9"/>
    </row>
    <row r="3" spans="1:21" s="785" customFormat="1">
      <c r="A3" s="158" t="s">
        <v>4</v>
      </c>
      <c r="B3" s="68">
        <v>2010</v>
      </c>
      <c r="C3" s="68">
        <v>2011</v>
      </c>
      <c r="D3" s="7">
        <v>2012</v>
      </c>
      <c r="E3" s="6">
        <v>2013</v>
      </c>
      <c r="F3" s="166">
        <v>2014</v>
      </c>
      <c r="G3" s="166">
        <v>2015</v>
      </c>
      <c r="H3" s="166">
        <v>2016</v>
      </c>
      <c r="I3" s="166">
        <v>2017</v>
      </c>
      <c r="J3" s="166">
        <v>2018</v>
      </c>
      <c r="K3" s="167" t="s">
        <v>2149</v>
      </c>
      <c r="L3" s="168"/>
      <c r="M3" s="168"/>
      <c r="N3" s="168"/>
      <c r="O3" s="168"/>
      <c r="P3" s="168"/>
      <c r="Q3" s="168"/>
      <c r="R3" s="168"/>
      <c r="S3" s="168"/>
      <c r="T3" s="168"/>
      <c r="U3" s="135"/>
    </row>
    <row r="4" spans="1:21">
      <c r="A4" s="8"/>
      <c r="B4" s="14"/>
      <c r="C4" s="14"/>
      <c r="D4" s="8"/>
      <c r="E4" s="9"/>
      <c r="F4" s="169"/>
      <c r="G4" s="169"/>
      <c r="H4" s="169"/>
      <c r="I4" s="169"/>
      <c r="J4" s="169"/>
      <c r="L4" s="11"/>
      <c r="M4" s="11"/>
      <c r="N4" s="11"/>
      <c r="O4" s="11"/>
      <c r="P4" s="11"/>
      <c r="Q4" s="11"/>
      <c r="R4" s="11"/>
      <c r="S4" s="11"/>
      <c r="T4" s="11"/>
      <c r="U4" s="11"/>
    </row>
    <row r="5" spans="1:21">
      <c r="A5" s="28" t="s">
        <v>377</v>
      </c>
      <c r="B5" s="80">
        <v>0</v>
      </c>
      <c r="C5" s="80">
        <v>0</v>
      </c>
      <c r="D5" s="79">
        <v>0</v>
      </c>
      <c r="E5" s="80">
        <v>0</v>
      </c>
      <c r="F5" s="170">
        <v>0</v>
      </c>
      <c r="G5" s="170">
        <v>0</v>
      </c>
      <c r="H5" s="170">
        <v>0</v>
      </c>
      <c r="I5" s="170">
        <v>0</v>
      </c>
      <c r="J5" s="170">
        <v>0</v>
      </c>
      <c r="K5" s="91" t="s">
        <v>2082</v>
      </c>
      <c r="L5" s="11"/>
      <c r="M5" s="11"/>
      <c r="N5" s="11"/>
      <c r="O5" s="11"/>
      <c r="P5" s="11"/>
      <c r="Q5" s="11"/>
      <c r="R5" s="11"/>
      <c r="S5" s="11"/>
      <c r="T5" s="11"/>
      <c r="U5" s="11"/>
    </row>
    <row r="6" spans="1:21">
      <c r="A6" s="28" t="s">
        <v>370</v>
      </c>
      <c r="B6" s="171">
        <v>92445702.960000008</v>
      </c>
      <c r="C6" s="171">
        <v>95985179.479999989</v>
      </c>
      <c r="D6" s="173">
        <v>102628262.48999999</v>
      </c>
      <c r="E6" s="171">
        <v>115556192.48</v>
      </c>
      <c r="F6" s="174">
        <v>140477036.33000001</v>
      </c>
      <c r="G6" s="174">
        <v>142516073.88</v>
      </c>
      <c r="H6" s="174">
        <v>156679378.52000001</v>
      </c>
      <c r="I6" s="174">
        <v>174297423.94999999</v>
      </c>
      <c r="J6" s="174">
        <v>175036964.28999999</v>
      </c>
      <c r="K6" s="91" t="s">
        <v>1172</v>
      </c>
      <c r="L6" s="123"/>
      <c r="M6" s="123"/>
      <c r="N6" s="123"/>
      <c r="O6" s="123"/>
      <c r="P6" s="123"/>
      <c r="Q6" s="123"/>
      <c r="R6" s="123"/>
      <c r="S6" s="123"/>
      <c r="T6" s="123"/>
      <c r="U6" s="124"/>
    </row>
    <row r="7" spans="1:21">
      <c r="A7" s="28" t="s">
        <v>51</v>
      </c>
      <c r="B7" s="171">
        <v>90118235.753887489</v>
      </c>
      <c r="C7" s="171">
        <v>94488653.660000011</v>
      </c>
      <c r="D7" s="173">
        <v>102200180.510396</v>
      </c>
      <c r="E7" s="171">
        <v>142187419.76388901</v>
      </c>
      <c r="F7" s="174">
        <v>173930781.929232</v>
      </c>
      <c r="G7" s="174">
        <v>251370516.413499</v>
      </c>
      <c r="H7" s="174">
        <v>305948336.30786002</v>
      </c>
      <c r="I7" s="174">
        <v>298802059.53083098</v>
      </c>
      <c r="J7" s="174">
        <v>314018520.05962902</v>
      </c>
      <c r="K7" s="91" t="s">
        <v>1173</v>
      </c>
      <c r="L7" s="123"/>
      <c r="M7" s="123"/>
      <c r="N7" s="123"/>
      <c r="O7" s="123"/>
      <c r="P7" s="123"/>
      <c r="Q7" s="123"/>
      <c r="R7" s="123"/>
      <c r="S7" s="123"/>
      <c r="T7" s="123"/>
      <c r="U7" s="124"/>
    </row>
    <row r="8" spans="1:21">
      <c r="A8" s="28" t="s">
        <v>376</v>
      </c>
      <c r="B8" s="171">
        <v>83780833.638250515</v>
      </c>
      <c r="C8" s="171">
        <v>132166330.30409268</v>
      </c>
      <c r="D8" s="173">
        <v>162843444.786286</v>
      </c>
      <c r="E8" s="171">
        <v>207243267.82198</v>
      </c>
      <c r="F8" s="174">
        <v>203604404.598831</v>
      </c>
      <c r="G8" s="174">
        <v>300650401.69963098</v>
      </c>
      <c r="H8" s="174">
        <v>391748579.32440901</v>
      </c>
      <c r="I8" s="174">
        <v>425039692.488271</v>
      </c>
      <c r="J8" s="174">
        <v>436876863.09865302</v>
      </c>
      <c r="K8" s="91" t="s">
        <v>1174</v>
      </c>
      <c r="L8" s="123"/>
      <c r="M8" s="123"/>
      <c r="N8" s="123"/>
      <c r="O8" s="123"/>
      <c r="P8" s="123"/>
      <c r="Q8" s="123"/>
      <c r="R8" s="123"/>
      <c r="S8" s="123"/>
      <c r="T8" s="123"/>
      <c r="U8" s="124"/>
    </row>
    <row r="9" spans="1:21">
      <c r="A9" s="28" t="s">
        <v>375</v>
      </c>
      <c r="B9" s="171">
        <v>12375393.571942206</v>
      </c>
      <c r="C9" s="171">
        <v>19101222.428900924</v>
      </c>
      <c r="D9" s="173">
        <v>20450734.440599199</v>
      </c>
      <c r="E9" s="171">
        <v>40600592.088020101</v>
      </c>
      <c r="F9" s="174">
        <v>37957127.859084897</v>
      </c>
      <c r="G9" s="174">
        <v>61882736.771521501</v>
      </c>
      <c r="H9" s="174">
        <v>-79.991055266873403</v>
      </c>
      <c r="I9" s="174">
        <v>88.524646813166299</v>
      </c>
      <c r="J9" s="174">
        <v>74.777177366486299</v>
      </c>
      <c r="K9" s="169" t="s">
        <v>1175</v>
      </c>
      <c r="L9" s="71"/>
      <c r="M9" s="71"/>
      <c r="N9" s="71"/>
      <c r="O9" s="71"/>
      <c r="P9" s="71"/>
      <c r="Q9" s="123"/>
      <c r="R9" s="123"/>
      <c r="S9" s="123"/>
      <c r="T9" s="123"/>
      <c r="U9" s="124"/>
    </row>
    <row r="10" spans="1:21">
      <c r="A10" s="28" t="s">
        <v>369</v>
      </c>
      <c r="B10" s="171">
        <v>-7084000</v>
      </c>
      <c r="C10" s="171">
        <v>-7265801.0447699996</v>
      </c>
      <c r="D10" s="173">
        <v>-9588029.0600000005</v>
      </c>
      <c r="E10" s="171">
        <v>-12253476.77</v>
      </c>
      <c r="F10" s="174">
        <v>-13311498.5</v>
      </c>
      <c r="G10" s="174">
        <v>-8796911.9438988697</v>
      </c>
      <c r="H10" s="174">
        <v>-9022110.5800000001</v>
      </c>
      <c r="I10" s="174">
        <v>-7479990.4702060698</v>
      </c>
      <c r="J10" s="174">
        <v>-7481238.9502060702</v>
      </c>
      <c r="K10" s="91" t="s">
        <v>1176</v>
      </c>
      <c r="L10" s="123"/>
      <c r="M10" s="123"/>
      <c r="N10" s="123"/>
      <c r="O10" s="123"/>
      <c r="P10" s="123"/>
      <c r="Q10" s="123"/>
      <c r="R10" s="123"/>
      <c r="S10" s="123"/>
      <c r="T10" s="123"/>
      <c r="U10" s="124"/>
    </row>
    <row r="11" spans="1:21">
      <c r="A11" s="28" t="s">
        <v>374</v>
      </c>
      <c r="B11" s="171">
        <v>11879723.289999999</v>
      </c>
      <c r="C11" s="172">
        <v>17277059.039999999</v>
      </c>
      <c r="D11" s="175">
        <f>D21</f>
        <v>13829183</v>
      </c>
      <c r="E11" s="175">
        <f t="shared" ref="E11:J11" si="0">E21</f>
        <v>14099374</v>
      </c>
      <c r="F11" s="174">
        <f t="shared" si="0"/>
        <v>12262234.420454402</v>
      </c>
      <c r="G11" s="174">
        <f t="shared" si="0"/>
        <v>25133852.435000006</v>
      </c>
      <c r="H11" s="174">
        <f t="shared" si="0"/>
        <v>29855199.939999998</v>
      </c>
      <c r="I11" s="174">
        <f t="shared" si="0"/>
        <v>37164175.282200001</v>
      </c>
      <c r="J11" s="174">
        <f t="shared" si="0"/>
        <v>39093825.302200004</v>
      </c>
      <c r="K11" s="91" t="s">
        <v>2029</v>
      </c>
      <c r="L11" s="123"/>
      <c r="M11" s="123"/>
      <c r="N11" s="123"/>
      <c r="O11" s="123"/>
      <c r="P11" s="123"/>
      <c r="Q11" s="123"/>
      <c r="R11" s="123"/>
      <c r="S11" s="123"/>
      <c r="T11" s="123"/>
      <c r="U11" s="124"/>
    </row>
    <row r="12" spans="1:21">
      <c r="A12" s="8"/>
      <c r="B12" s="137"/>
      <c r="C12" s="137"/>
      <c r="D12" s="177"/>
      <c r="E12" s="709"/>
      <c r="F12" s="178"/>
      <c r="G12" s="178"/>
      <c r="H12" s="178"/>
      <c r="I12" s="178"/>
      <c r="J12" s="178"/>
    </row>
    <row r="13" spans="1:21" s="777" customFormat="1">
      <c r="A13" s="29" t="s">
        <v>258</v>
      </c>
      <c r="B13" s="616">
        <f t="shared" ref="B13:C13" si="1">SUM(B5:B12)</f>
        <v>283515889.21408027</v>
      </c>
      <c r="C13" s="617">
        <f t="shared" si="1"/>
        <v>351752643.86822355</v>
      </c>
      <c r="D13" s="618">
        <f>SUM(D5:D10)</f>
        <v>378534593.16728121</v>
      </c>
      <c r="E13" s="618">
        <f t="shared" ref="E13" si="2">SUM(E5:E10)</f>
        <v>493333995.38388914</v>
      </c>
      <c r="F13" s="619">
        <v>542657852.21714902</v>
      </c>
      <c r="G13" s="619">
        <v>747622816.82075298</v>
      </c>
      <c r="H13" s="619">
        <v>845354103.58121395</v>
      </c>
      <c r="I13" s="619">
        <v>890659274.02354205</v>
      </c>
      <c r="J13" s="619">
        <v>918451183.27525306</v>
      </c>
      <c r="K13" s="501" t="s">
        <v>1177</v>
      </c>
    </row>
    <row r="14" spans="1:21">
      <c r="B14" s="23"/>
      <c r="E14" s="9"/>
    </row>
    <row r="15" spans="1:21">
      <c r="A15" s="158" t="s">
        <v>373</v>
      </c>
      <c r="B15" s="68">
        <v>2010</v>
      </c>
      <c r="C15" s="159">
        <v>2011</v>
      </c>
      <c r="D15" s="7">
        <v>2012</v>
      </c>
      <c r="E15" s="6">
        <v>2013</v>
      </c>
      <c r="F15" s="166">
        <v>2014</v>
      </c>
      <c r="G15" s="166">
        <v>2015</v>
      </c>
      <c r="H15" s="166">
        <v>2016</v>
      </c>
      <c r="I15" s="166">
        <v>2017</v>
      </c>
      <c r="J15" s="166">
        <v>2018</v>
      </c>
    </row>
    <row r="16" spans="1:21">
      <c r="A16" s="8" t="str">
        <f t="shared" ref="A16:J16" si="3">A7</f>
        <v>Depreciation</v>
      </c>
      <c r="B16" s="137">
        <f t="shared" ref="B16:C16" si="4">B7</f>
        <v>90118235.753887489</v>
      </c>
      <c r="C16" s="176">
        <f t="shared" si="4"/>
        <v>94488653.660000011</v>
      </c>
      <c r="D16" s="180">
        <f t="shared" si="3"/>
        <v>102200180.510396</v>
      </c>
      <c r="E16" s="137">
        <f t="shared" si="3"/>
        <v>142187419.76388901</v>
      </c>
      <c r="F16" s="181">
        <f t="shared" si="3"/>
        <v>173930781.929232</v>
      </c>
      <c r="G16" s="181">
        <f t="shared" si="3"/>
        <v>251370516.413499</v>
      </c>
      <c r="H16" s="181">
        <f t="shared" si="3"/>
        <v>305948336.30786002</v>
      </c>
      <c r="I16" s="181">
        <f t="shared" si="3"/>
        <v>298802059.53083098</v>
      </c>
      <c r="J16" s="181">
        <f t="shared" si="3"/>
        <v>314018520.05962902</v>
      </c>
    </row>
    <row r="17" spans="1:11">
      <c r="A17" s="8" t="str">
        <f t="shared" ref="A17:H17" si="5">A8</f>
        <v>Return on Rate Base</v>
      </c>
      <c r="B17" s="137">
        <f t="shared" ref="B17:C17" si="6">B8</f>
        <v>83780833.638250515</v>
      </c>
      <c r="C17" s="176">
        <f t="shared" si="6"/>
        <v>132166330.30409268</v>
      </c>
      <c r="D17" s="180">
        <f t="shared" si="5"/>
        <v>162843444.786286</v>
      </c>
      <c r="E17" s="137">
        <f t="shared" si="5"/>
        <v>207243267.82198</v>
      </c>
      <c r="F17" s="181">
        <f t="shared" si="5"/>
        <v>203604404.598831</v>
      </c>
      <c r="G17" s="181">
        <f t="shared" si="5"/>
        <v>300650401.69963098</v>
      </c>
      <c r="H17" s="181">
        <f t="shared" si="5"/>
        <v>391748579.32440901</v>
      </c>
      <c r="I17" s="181">
        <f t="shared" ref="I17:J17" si="7">I8</f>
        <v>425039692.488271</v>
      </c>
      <c r="J17" s="181">
        <f t="shared" si="7"/>
        <v>436876863.09865302</v>
      </c>
    </row>
    <row r="18" spans="1:11">
      <c r="A18" s="8" t="str">
        <f t="shared" ref="A18:H18" si="8">A9</f>
        <v>Income Tax Expense</v>
      </c>
      <c r="B18" s="137">
        <f t="shared" ref="B18:C18" si="9">B9</f>
        <v>12375393.571942206</v>
      </c>
      <c r="C18" s="176">
        <f t="shared" si="9"/>
        <v>19101222.428900924</v>
      </c>
      <c r="D18" s="180">
        <f t="shared" si="8"/>
        <v>20450734.440599199</v>
      </c>
      <c r="E18" s="137">
        <f t="shared" si="8"/>
        <v>40600592.088020101</v>
      </c>
      <c r="F18" s="181">
        <f t="shared" si="8"/>
        <v>37957127.859084897</v>
      </c>
      <c r="G18" s="181">
        <f t="shared" si="8"/>
        <v>61882736.771521501</v>
      </c>
      <c r="H18" s="181">
        <f t="shared" si="8"/>
        <v>-79.991055266873403</v>
      </c>
      <c r="I18" s="181">
        <f t="shared" ref="I18:J18" si="10">I9</f>
        <v>88.524646813166299</v>
      </c>
      <c r="J18" s="181">
        <f t="shared" si="10"/>
        <v>74.777177366486299</v>
      </c>
    </row>
    <row r="19" spans="1:11">
      <c r="A19" s="8" t="s">
        <v>368</v>
      </c>
      <c r="B19" s="137"/>
      <c r="C19" s="176"/>
      <c r="D19" s="177"/>
      <c r="E19" s="709"/>
      <c r="F19" s="178"/>
      <c r="G19" s="178"/>
      <c r="H19" s="178"/>
      <c r="I19" s="178"/>
      <c r="J19" s="178"/>
    </row>
    <row r="20" spans="1:11">
      <c r="A20" s="8" t="s">
        <v>367</v>
      </c>
      <c r="B20" s="137">
        <f>-'AL Sch 2.0'!D44</f>
        <v>-7785010.9100000001</v>
      </c>
      <c r="C20" s="176">
        <f>-'AL Sch 2.0'!E44</f>
        <v>-7905859.4199999999</v>
      </c>
      <c r="D20" s="180">
        <f>-'AL Sch 2.0'!D44</f>
        <v>-7785010.9100000001</v>
      </c>
      <c r="E20" s="137">
        <f>-'AL Sch 2.0'!E44</f>
        <v>-7905859.4199999999</v>
      </c>
      <c r="F20" s="181">
        <f>-'AL Sch 2.0'!F44</f>
        <v>-3996498.4999999981</v>
      </c>
      <c r="G20" s="181">
        <f>-'AL Sch 2.0'!G44</f>
        <v>-4972256.4999999991</v>
      </c>
      <c r="H20" s="181">
        <f>-'AL Sch 2.0'!H44</f>
        <v>-6622110.5800000001</v>
      </c>
      <c r="I20" s="181">
        <f>-'AL Sch 2.0'!I44</f>
        <v>-5079990.4702060716</v>
      </c>
      <c r="J20" s="181">
        <f>-'AL Sch 2.0'!J44</f>
        <v>-5081238.9502060711</v>
      </c>
    </row>
    <row r="21" spans="1:11">
      <c r="A21" s="8" t="s">
        <v>366</v>
      </c>
      <c r="B21" s="137">
        <f>'AL Sch 3.0'!D18</f>
        <v>22865612.329999998</v>
      </c>
      <c r="C21" s="176">
        <f>'AL Sch 3.0'!E18</f>
        <v>24895043.960000001</v>
      </c>
      <c r="D21" s="180">
        <f>'AL Sch 3.0'!D5</f>
        <v>13829183</v>
      </c>
      <c r="E21" s="137">
        <f>'AL Sch 3.0'!E5</f>
        <v>14099374</v>
      </c>
      <c r="F21" s="181">
        <f>'AL Sch 3.0'!F5</f>
        <v>12262234.420454402</v>
      </c>
      <c r="G21" s="181">
        <f>'AL Sch 3.0'!G5</f>
        <v>25133852.435000006</v>
      </c>
      <c r="H21" s="181">
        <f>'AL Sch 3.0'!H5</f>
        <v>29855199.939999998</v>
      </c>
      <c r="I21" s="181">
        <f>'AL Sch 3.0'!I5</f>
        <v>37164175.282200001</v>
      </c>
      <c r="J21" s="181">
        <f>'AL Sch 3.0'!J5</f>
        <v>39093825.302200004</v>
      </c>
    </row>
    <row r="22" spans="1:11">
      <c r="A22" s="8" t="s">
        <v>365</v>
      </c>
      <c r="B22" s="137">
        <f>'AL Sch 4.0'!D33</f>
        <v>6433488.7199999997</v>
      </c>
      <c r="C22" s="176">
        <f>'AL Sch 4.0'!E33</f>
        <v>8621068.1699999999</v>
      </c>
      <c r="D22" s="180">
        <f>'AL Sch 4.0'!D33</f>
        <v>6433488.7199999997</v>
      </c>
      <c r="E22" s="137">
        <f>'AL Sch 4.0'!E33</f>
        <v>8621068.1699999999</v>
      </c>
      <c r="F22" s="181">
        <f>'AL Sch 4.0'!F33</f>
        <v>12604835.07</v>
      </c>
      <c r="G22" s="181">
        <f>'AL Sch 4.0'!G33</f>
        <v>14181230.050000001</v>
      </c>
      <c r="H22" s="181">
        <f>'AL Sch 4.0'!H33</f>
        <v>14198374.08</v>
      </c>
      <c r="I22" s="181">
        <f>'AL Sch 4.0'!I33</f>
        <v>14772061.24</v>
      </c>
      <c r="J22" s="181">
        <f>'AL Sch 4.0'!J33</f>
        <v>15232557.67</v>
      </c>
    </row>
    <row r="23" spans="1:11">
      <c r="A23" s="8"/>
      <c r="B23" s="137"/>
      <c r="C23" s="176"/>
      <c r="D23" s="177"/>
      <c r="E23" s="709"/>
      <c r="F23" s="178"/>
      <c r="G23" s="178"/>
      <c r="H23" s="178"/>
      <c r="I23" s="178"/>
      <c r="J23" s="178"/>
    </row>
    <row r="24" spans="1:11" s="777" customFormat="1">
      <c r="A24" s="12" t="s">
        <v>372</v>
      </c>
      <c r="B24" s="610">
        <f t="shared" ref="B24:C24" si="11">SUM(B16:B22)</f>
        <v>207788553.10408023</v>
      </c>
      <c r="C24" s="610">
        <f t="shared" si="11"/>
        <v>271366459.10299361</v>
      </c>
      <c r="D24" s="611">
        <f>SUM(D16:D22)</f>
        <v>297972020.54728121</v>
      </c>
      <c r="E24" s="610">
        <f t="shared" ref="E24:H24" si="12">SUM(E16:E22)</f>
        <v>404845862.4238891</v>
      </c>
      <c r="F24" s="612">
        <f t="shared" si="12"/>
        <v>436362885.37760228</v>
      </c>
      <c r="G24" s="612">
        <f t="shared" si="12"/>
        <v>648246480.86965144</v>
      </c>
      <c r="H24" s="612">
        <f t="shared" si="12"/>
        <v>735128299.08121383</v>
      </c>
      <c r="I24" s="612">
        <f t="shared" ref="I24:J24" si="13">SUM(I16:I22)</f>
        <v>770698086.5957427</v>
      </c>
      <c r="J24" s="612">
        <f t="shared" si="13"/>
        <v>800140601.95745325</v>
      </c>
      <c r="K24" s="501"/>
    </row>
    <row r="25" spans="1:11">
      <c r="A25" s="8"/>
      <c r="B25" s="137"/>
      <c r="C25" s="176"/>
      <c r="D25" s="182"/>
      <c r="E25" s="628"/>
      <c r="F25" s="183"/>
      <c r="G25" s="183"/>
      <c r="H25" s="183"/>
      <c r="I25" s="183"/>
      <c r="J25" s="183"/>
    </row>
    <row r="26" spans="1:11">
      <c r="A26" s="29" t="s">
        <v>371</v>
      </c>
      <c r="B26" s="184">
        <f t="shared" ref="B26:C26" si="14">B24/B13</f>
        <v>0.73289914607636319</v>
      </c>
      <c r="C26" s="185">
        <f t="shared" si="14"/>
        <v>0.77146956485892149</v>
      </c>
      <c r="D26" s="186">
        <f t="shared" ref="D26:H26" si="15">D24/D13</f>
        <v>0.7871724960566604</v>
      </c>
      <c r="E26" s="712">
        <f t="shared" si="15"/>
        <v>0.82063240362922329</v>
      </c>
      <c r="F26" s="187">
        <f t="shared" si="15"/>
        <v>0.80412157235861403</v>
      </c>
      <c r="G26" s="187">
        <f t="shared" si="15"/>
        <v>0.86707690868278087</v>
      </c>
      <c r="H26" s="187">
        <f t="shared" si="15"/>
        <v>0.86960990189431231</v>
      </c>
      <c r="I26" s="187">
        <f t="shared" ref="I26:J26" si="16">I24/I13</f>
        <v>0.86531192013992486</v>
      </c>
      <c r="J26" s="187">
        <f t="shared" si="16"/>
        <v>0.87118468191646614</v>
      </c>
    </row>
    <row r="27" spans="1:11">
      <c r="B27" s="14"/>
      <c r="E27" s="9"/>
    </row>
    <row r="28" spans="1:11">
      <c r="A28" s="158" t="s">
        <v>336</v>
      </c>
      <c r="B28" s="68">
        <v>2010</v>
      </c>
      <c r="C28" s="159">
        <v>2011</v>
      </c>
      <c r="D28" s="7">
        <v>2012</v>
      </c>
      <c r="E28" s="6">
        <v>2013</v>
      </c>
      <c r="F28" s="166">
        <v>2014</v>
      </c>
      <c r="G28" s="166">
        <v>2015</v>
      </c>
      <c r="H28" s="166">
        <v>2016</v>
      </c>
      <c r="I28" s="166">
        <v>2017</v>
      </c>
      <c r="J28" s="166">
        <v>2018</v>
      </c>
    </row>
    <row r="29" spans="1:11">
      <c r="A29" s="8"/>
      <c r="B29" s="14"/>
      <c r="C29" s="15"/>
      <c r="D29" s="8"/>
      <c r="E29" s="9"/>
      <c r="F29" s="169"/>
      <c r="G29" s="169"/>
      <c r="H29" s="169"/>
      <c r="I29" s="169"/>
      <c r="J29" s="169"/>
    </row>
    <row r="30" spans="1:11">
      <c r="A30" s="8" t="str">
        <f t="shared" ref="A30:H30" si="17">A5</f>
        <v>Fuel</v>
      </c>
      <c r="B30" s="137">
        <f t="shared" ref="B30:C30" si="18">B5</f>
        <v>0</v>
      </c>
      <c r="C30" s="176">
        <f t="shared" si="18"/>
        <v>0</v>
      </c>
      <c r="D30" s="177">
        <f t="shared" si="17"/>
        <v>0</v>
      </c>
      <c r="E30" s="709">
        <f t="shared" si="17"/>
        <v>0</v>
      </c>
      <c r="F30" s="178">
        <f t="shared" si="17"/>
        <v>0</v>
      </c>
      <c r="G30" s="178">
        <f t="shared" si="17"/>
        <v>0</v>
      </c>
      <c r="H30" s="178">
        <f t="shared" si="17"/>
        <v>0</v>
      </c>
      <c r="I30" s="178">
        <f t="shared" ref="I30:J30" si="19">I5</f>
        <v>0</v>
      </c>
      <c r="J30" s="178">
        <f t="shared" si="19"/>
        <v>0</v>
      </c>
    </row>
    <row r="31" spans="1:11">
      <c r="A31" s="8" t="s">
        <v>370</v>
      </c>
      <c r="B31" s="137">
        <f t="shared" ref="B31:C31" si="20">B6</f>
        <v>92445702.960000008</v>
      </c>
      <c r="C31" s="176">
        <f t="shared" si="20"/>
        <v>95985179.479999989</v>
      </c>
      <c r="D31" s="177">
        <f t="shared" ref="D31:H31" si="21">D6</f>
        <v>102628262.48999999</v>
      </c>
      <c r="E31" s="709">
        <f t="shared" si="21"/>
        <v>115556192.48</v>
      </c>
      <c r="F31" s="178">
        <f t="shared" si="21"/>
        <v>140477036.33000001</v>
      </c>
      <c r="G31" s="178">
        <f t="shared" si="21"/>
        <v>142516073.88</v>
      </c>
      <c r="H31" s="178">
        <f t="shared" si="21"/>
        <v>156679378.52000001</v>
      </c>
      <c r="I31" s="178">
        <f t="shared" ref="I31:J31" si="22">I6</f>
        <v>174297423.94999999</v>
      </c>
      <c r="J31" s="178">
        <f t="shared" si="22"/>
        <v>175036964.28999999</v>
      </c>
    </row>
    <row r="32" spans="1:11">
      <c r="A32" s="8" t="s">
        <v>369</v>
      </c>
      <c r="B32" s="137">
        <f t="shared" ref="B32:C32" si="23">B10</f>
        <v>-7084000</v>
      </c>
      <c r="C32" s="176">
        <f t="shared" si="23"/>
        <v>-7265801.0447699996</v>
      </c>
      <c r="D32" s="177">
        <f t="shared" ref="D32:H32" si="24">D10</f>
        <v>-9588029.0600000005</v>
      </c>
      <c r="E32" s="709">
        <f t="shared" si="24"/>
        <v>-12253476.77</v>
      </c>
      <c r="F32" s="178">
        <f t="shared" si="24"/>
        <v>-13311498.5</v>
      </c>
      <c r="G32" s="178">
        <f t="shared" si="24"/>
        <v>-8796911.9438988697</v>
      </c>
      <c r="H32" s="178">
        <f t="shared" si="24"/>
        <v>-9022110.5800000001</v>
      </c>
      <c r="I32" s="178">
        <f t="shared" ref="I32:J32" si="25">I10</f>
        <v>-7479990.4702060698</v>
      </c>
      <c r="J32" s="178">
        <f t="shared" si="25"/>
        <v>-7481238.9502060702</v>
      </c>
    </row>
    <row r="33" spans="1:11">
      <c r="A33" s="8"/>
      <c r="B33" s="137"/>
      <c r="C33" s="176"/>
      <c r="D33" s="177"/>
      <c r="E33" s="709"/>
      <c r="F33" s="178"/>
      <c r="G33" s="178"/>
      <c r="H33" s="178"/>
      <c r="I33" s="178"/>
      <c r="J33" s="178"/>
    </row>
    <row r="34" spans="1:11">
      <c r="A34" s="8" t="s">
        <v>368</v>
      </c>
      <c r="B34" s="137"/>
      <c r="C34" s="176"/>
      <c r="D34" s="177"/>
      <c r="E34" s="709"/>
      <c r="F34" s="178"/>
      <c r="G34" s="178"/>
      <c r="H34" s="178"/>
      <c r="I34" s="178"/>
      <c r="J34" s="178"/>
    </row>
    <row r="35" spans="1:11">
      <c r="A35" s="8" t="s">
        <v>367</v>
      </c>
      <c r="B35" s="137">
        <f t="shared" ref="B35:C35" si="26">-B20</f>
        <v>7785010.9100000001</v>
      </c>
      <c r="C35" s="176">
        <f t="shared" si="26"/>
        <v>7905859.4199999999</v>
      </c>
      <c r="D35" s="177">
        <f t="shared" ref="D35:H35" si="27">-D20</f>
        <v>7785010.9100000001</v>
      </c>
      <c r="E35" s="709">
        <f t="shared" si="27"/>
        <v>7905859.4199999999</v>
      </c>
      <c r="F35" s="178">
        <f t="shared" si="27"/>
        <v>3996498.4999999981</v>
      </c>
      <c r="G35" s="178">
        <f t="shared" si="27"/>
        <v>4972256.4999999991</v>
      </c>
      <c r="H35" s="178">
        <f t="shared" si="27"/>
        <v>6622110.5800000001</v>
      </c>
      <c r="I35" s="178">
        <f t="shared" ref="I35:J35" si="28">-I20</f>
        <v>5079990.4702060716</v>
      </c>
      <c r="J35" s="178">
        <f t="shared" si="28"/>
        <v>5081238.9502060711</v>
      </c>
    </row>
    <row r="36" spans="1:11">
      <c r="A36" s="8" t="s">
        <v>366</v>
      </c>
      <c r="B36" s="137">
        <f t="shared" ref="B36:C36" si="29">-B21</f>
        <v>-22865612.329999998</v>
      </c>
      <c r="C36" s="176">
        <f t="shared" si="29"/>
        <v>-24895043.960000001</v>
      </c>
      <c r="D36" s="177">
        <f t="shared" ref="D36:H36" si="30">-D21</f>
        <v>-13829183</v>
      </c>
      <c r="E36" s="709">
        <f t="shared" si="30"/>
        <v>-14099374</v>
      </c>
      <c r="F36" s="178">
        <f t="shared" si="30"/>
        <v>-12262234.420454402</v>
      </c>
      <c r="G36" s="178">
        <f t="shared" si="30"/>
        <v>-25133852.435000006</v>
      </c>
      <c r="H36" s="178">
        <f t="shared" si="30"/>
        <v>-29855199.939999998</v>
      </c>
      <c r="I36" s="178">
        <f t="shared" ref="I36:J36" si="31">-I21</f>
        <v>-37164175.282200001</v>
      </c>
      <c r="J36" s="178">
        <f t="shared" si="31"/>
        <v>-39093825.302200004</v>
      </c>
    </row>
    <row r="37" spans="1:11">
      <c r="A37" s="8" t="s">
        <v>365</v>
      </c>
      <c r="B37" s="137">
        <f t="shared" ref="B37:C37" si="32">-B22</f>
        <v>-6433488.7199999997</v>
      </c>
      <c r="C37" s="176">
        <f t="shared" si="32"/>
        <v>-8621068.1699999999</v>
      </c>
      <c r="D37" s="177">
        <f t="shared" ref="D37:H37" si="33">-D22</f>
        <v>-6433488.7199999997</v>
      </c>
      <c r="E37" s="709">
        <f t="shared" si="33"/>
        <v>-8621068.1699999999</v>
      </c>
      <c r="F37" s="178">
        <f t="shared" si="33"/>
        <v>-12604835.07</v>
      </c>
      <c r="G37" s="178">
        <f t="shared" si="33"/>
        <v>-14181230.050000001</v>
      </c>
      <c r="H37" s="178">
        <f t="shared" si="33"/>
        <v>-14198374.08</v>
      </c>
      <c r="I37" s="178">
        <f t="shared" ref="I37:J37" si="34">-I22</f>
        <v>-14772061.24</v>
      </c>
      <c r="J37" s="178">
        <f t="shared" si="34"/>
        <v>-15232557.67</v>
      </c>
    </row>
    <row r="38" spans="1:11">
      <c r="A38" s="8"/>
      <c r="B38" s="137"/>
      <c r="C38" s="176"/>
      <c r="D38" s="177"/>
      <c r="E38" s="709"/>
      <c r="F38" s="178"/>
      <c r="G38" s="178"/>
      <c r="H38" s="178"/>
      <c r="I38" s="178"/>
      <c r="J38" s="178"/>
    </row>
    <row r="39" spans="1:11" s="777" customFormat="1">
      <c r="A39" s="12" t="s">
        <v>364</v>
      </c>
      <c r="B39" s="610">
        <f t="shared" ref="B39:C39" si="35">SUM(B30:B38)</f>
        <v>63847612.820000008</v>
      </c>
      <c r="C39" s="613">
        <f t="shared" si="35"/>
        <v>63109125.725229993</v>
      </c>
      <c r="D39" s="614">
        <f>SUM(D30:D38)</f>
        <v>80562572.61999999</v>
      </c>
      <c r="E39" s="710">
        <f t="shared" ref="E39:H39" si="36">SUM(E30:E38)</f>
        <v>88488132.960000008</v>
      </c>
      <c r="F39" s="615">
        <f t="shared" si="36"/>
        <v>106294966.83954561</v>
      </c>
      <c r="G39" s="615">
        <f t="shared" si="36"/>
        <v>99376335.951101109</v>
      </c>
      <c r="H39" s="615">
        <f t="shared" si="36"/>
        <v>110225804.50000001</v>
      </c>
      <c r="I39" s="615">
        <f t="shared" ref="I39:J39" si="37">SUM(I30:I38)</f>
        <v>119961187.42779998</v>
      </c>
      <c r="J39" s="615">
        <f t="shared" si="37"/>
        <v>118310581.31779999</v>
      </c>
      <c r="K39" s="501"/>
    </row>
    <row r="40" spans="1:11">
      <c r="A40" s="8"/>
      <c r="B40" s="137"/>
      <c r="C40" s="176"/>
      <c r="D40" s="180"/>
      <c r="E40" s="137"/>
      <c r="F40" s="181"/>
      <c r="G40" s="181"/>
      <c r="H40" s="181"/>
      <c r="I40" s="181"/>
      <c r="J40" s="181"/>
    </row>
    <row r="41" spans="1:11">
      <c r="A41" s="29" t="s">
        <v>363</v>
      </c>
      <c r="B41" s="184">
        <f t="shared" ref="B41" si="38">B39/B13</f>
        <v>0.22519941650180056</v>
      </c>
      <c r="C41" s="185">
        <f>C39/C13</f>
        <v>0.1794133656856676</v>
      </c>
      <c r="D41" s="186">
        <f t="shared" ref="D41:H41" si="39">D39/D13</f>
        <v>0.2128275039433396</v>
      </c>
      <c r="E41" s="184">
        <f t="shared" si="39"/>
        <v>0.17936759637077662</v>
      </c>
      <c r="F41" s="187">
        <f t="shared" si="39"/>
        <v>0.19587842764138388</v>
      </c>
      <c r="G41" s="187">
        <f>G39/G13</f>
        <v>0.13292309131721855</v>
      </c>
      <c r="H41" s="187">
        <f t="shared" si="39"/>
        <v>0.13039009810568752</v>
      </c>
      <c r="I41" s="187">
        <f t="shared" ref="I41:J41" si="40">I39/I13</f>
        <v>0.13468807986007583</v>
      </c>
      <c r="J41" s="187">
        <f t="shared" si="40"/>
        <v>0.12881531808353408</v>
      </c>
    </row>
    <row r="42" spans="1:11">
      <c r="E42" s="9"/>
    </row>
    <row r="43" spans="1:11">
      <c r="E43" s="9"/>
    </row>
    <row r="44" spans="1:11">
      <c r="E44" s="9"/>
    </row>
    <row r="45" spans="1:11">
      <c r="E45" s="9"/>
    </row>
    <row r="46" spans="1:11">
      <c r="E46" s="9"/>
    </row>
    <row r="47" spans="1:11">
      <c r="E47" s="9"/>
    </row>
    <row r="48" spans="1:11">
      <c r="E48" s="9"/>
    </row>
    <row r="49" spans="5:5">
      <c r="E49" s="9"/>
    </row>
    <row r="50" spans="5:5">
      <c r="E50" s="9"/>
    </row>
    <row r="51" spans="5:5">
      <c r="E51" s="9"/>
    </row>
    <row r="52" spans="5:5">
      <c r="E52" s="9"/>
    </row>
    <row r="53" spans="5:5">
      <c r="E53" s="9"/>
    </row>
    <row r="54" spans="5:5">
      <c r="E54" s="9"/>
    </row>
    <row r="55" spans="5:5">
      <c r="E55" s="9"/>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ignoredErrors>
    <ignoredError sqref="D14:H14 D25:H27 E24:H24 D40:H40 E39:H39 D16:H20 D29:H32 D34:H38 D22:H23 D41:F41 H41" emptyCellReference="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2" tint="-0.499984740745262"/>
  </sheetPr>
  <dimension ref="A1:P144"/>
  <sheetViews>
    <sheetView showGridLines="0" zoomScale="80" zoomScaleNormal="80" workbookViewId="0">
      <selection activeCell="D8" sqref="D8"/>
    </sheetView>
  </sheetViews>
  <sheetFormatPr defaultColWidth="9.109375" defaultRowHeight="13.8"/>
  <cols>
    <col min="1" max="1" width="37.6640625" style="627" customWidth="1"/>
    <col min="2" max="3" width="12.6640625" style="638" customWidth="1"/>
    <col min="4" max="4" width="12.6640625" style="627" customWidth="1"/>
    <col min="5" max="8" width="11.33203125" style="627" bestFit="1" customWidth="1"/>
    <col min="9" max="10" width="11.33203125" style="627" customWidth="1"/>
    <col min="11" max="11" width="11.88671875" style="627" bestFit="1" customWidth="1"/>
    <col min="12" max="12" width="10" style="627" bestFit="1" customWidth="1"/>
    <col min="13" max="15" width="11" style="627" bestFit="1" customWidth="1"/>
    <col min="16" max="16384" width="9.109375" style="627"/>
  </cols>
  <sheetData>
    <row r="1" spans="1:16">
      <c r="A1" s="625" t="s">
        <v>665</v>
      </c>
      <c r="B1" s="137"/>
      <c r="C1" s="137"/>
      <c r="E1" s="628"/>
    </row>
    <row r="2" spans="1:16">
      <c r="A2" s="182" t="s">
        <v>378</v>
      </c>
      <c r="B2" s="137"/>
      <c r="C2" s="137"/>
      <c r="E2" s="628"/>
    </row>
    <row r="3" spans="1:16" s="653" customFormat="1">
      <c r="A3" s="158" t="s">
        <v>4</v>
      </c>
      <c r="B3" s="68">
        <v>2010</v>
      </c>
      <c r="C3" s="68">
        <v>2011</v>
      </c>
      <c r="D3" s="6">
        <v>2012</v>
      </c>
      <c r="E3" s="6">
        <v>2013</v>
      </c>
      <c r="F3" s="6">
        <v>2014</v>
      </c>
      <c r="G3" s="6">
        <v>2015</v>
      </c>
      <c r="H3" s="6">
        <v>2016</v>
      </c>
      <c r="I3" s="68">
        <v>2017</v>
      </c>
      <c r="J3" s="68">
        <v>2018</v>
      </c>
      <c r="K3" s="775" t="s">
        <v>2148</v>
      </c>
      <c r="L3" s="654"/>
      <c r="M3" s="654"/>
      <c r="N3" s="654"/>
      <c r="O3" s="654"/>
      <c r="P3" s="654"/>
    </row>
    <row r="4" spans="1:16">
      <c r="A4" s="182"/>
      <c r="B4" s="137"/>
      <c r="C4" s="137"/>
      <c r="D4" s="628"/>
      <c r="E4" s="628"/>
      <c r="F4" s="628"/>
      <c r="G4" s="628"/>
      <c r="H4" s="628"/>
      <c r="I4" s="628"/>
      <c r="J4" s="628"/>
      <c r="L4" s="629"/>
      <c r="M4" s="629"/>
      <c r="N4" s="629"/>
      <c r="O4" s="629"/>
      <c r="P4" s="629"/>
    </row>
    <row r="5" spans="1:16">
      <c r="A5" s="630" t="s">
        <v>369</v>
      </c>
      <c r="B5" s="137"/>
      <c r="C5" s="137"/>
      <c r="D5" s="628"/>
      <c r="E5" s="628"/>
      <c r="F5" s="628"/>
      <c r="G5" s="628"/>
      <c r="H5" s="628"/>
      <c r="I5" s="628"/>
      <c r="J5" s="628"/>
      <c r="L5" s="629"/>
      <c r="M5" s="629"/>
      <c r="N5" s="629"/>
      <c r="O5" s="629"/>
      <c r="P5" s="629"/>
    </row>
    <row r="6" spans="1:16">
      <c r="A6" s="631" t="s">
        <v>408</v>
      </c>
      <c r="B6" s="137"/>
      <c r="C6" s="137"/>
      <c r="D6" s="632"/>
      <c r="E6" s="632"/>
      <c r="F6" s="632"/>
      <c r="G6" s="632"/>
      <c r="H6" s="632"/>
      <c r="I6" s="632"/>
      <c r="J6" s="632"/>
      <c r="L6" s="633"/>
      <c r="M6" s="633"/>
      <c r="N6" s="633"/>
      <c r="O6" s="633"/>
      <c r="P6" s="634"/>
    </row>
    <row r="7" spans="1:16">
      <c r="A7" s="631" t="s">
        <v>407</v>
      </c>
      <c r="B7" s="137"/>
      <c r="C7" s="137"/>
      <c r="D7" s="632"/>
      <c r="E7" s="632"/>
      <c r="F7" s="632"/>
      <c r="G7" s="632"/>
      <c r="H7" s="632"/>
      <c r="I7" s="632"/>
      <c r="J7" s="632"/>
      <c r="L7" s="633"/>
      <c r="M7" s="633"/>
      <c r="N7" s="633"/>
      <c r="O7" s="633"/>
      <c r="P7" s="634"/>
    </row>
    <row r="8" spans="1:16">
      <c r="A8" s="631" t="s">
        <v>406</v>
      </c>
      <c r="B8" s="137"/>
      <c r="C8" s="137"/>
      <c r="D8" s="632"/>
      <c r="E8" s="632"/>
      <c r="F8" s="632"/>
      <c r="G8" s="632"/>
      <c r="H8" s="632"/>
      <c r="I8" s="632"/>
      <c r="J8" s="632"/>
      <c r="L8" s="633"/>
      <c r="M8" s="633"/>
      <c r="N8" s="633"/>
      <c r="O8" s="633"/>
      <c r="P8" s="634"/>
    </row>
    <row r="9" spans="1:16">
      <c r="A9" s="631" t="s">
        <v>405</v>
      </c>
      <c r="B9" s="137"/>
      <c r="C9" s="137"/>
      <c r="D9" s="632"/>
      <c r="E9" s="632"/>
      <c r="F9" s="632"/>
      <c r="G9" s="632"/>
      <c r="H9" s="632"/>
      <c r="I9" s="632"/>
      <c r="J9" s="632"/>
      <c r="L9" s="633"/>
      <c r="M9" s="633"/>
      <c r="N9" s="633"/>
      <c r="O9" s="633"/>
      <c r="P9" s="634"/>
    </row>
    <row r="10" spans="1:16">
      <c r="A10" s="631" t="s">
        <v>404</v>
      </c>
      <c r="B10" s="137"/>
      <c r="C10" s="137"/>
      <c r="D10" s="632"/>
      <c r="E10" s="632"/>
      <c r="F10" s="632"/>
      <c r="G10" s="632"/>
      <c r="H10" s="632"/>
      <c r="I10" s="632"/>
      <c r="J10" s="632"/>
      <c r="L10" s="633"/>
      <c r="M10" s="633"/>
      <c r="N10" s="633"/>
      <c r="O10" s="633"/>
      <c r="P10" s="634"/>
    </row>
    <row r="11" spans="1:16">
      <c r="A11" s="631" t="s">
        <v>403</v>
      </c>
      <c r="B11" s="137"/>
      <c r="C11" s="137"/>
      <c r="D11" s="632"/>
      <c r="E11" s="632"/>
      <c r="F11" s="632"/>
      <c r="G11" s="632"/>
      <c r="H11" s="632"/>
      <c r="I11" s="632"/>
      <c r="J11" s="632"/>
      <c r="L11" s="633"/>
      <c r="M11" s="633"/>
      <c r="N11" s="633"/>
      <c r="O11" s="633"/>
      <c r="P11" s="634"/>
    </row>
    <row r="12" spans="1:16">
      <c r="A12" s="631"/>
      <c r="B12" s="635"/>
      <c r="C12" s="635"/>
      <c r="D12" s="628"/>
      <c r="E12" s="628"/>
      <c r="F12" s="628"/>
      <c r="G12" s="628"/>
      <c r="H12" s="628"/>
      <c r="I12" s="628"/>
      <c r="J12" s="628"/>
      <c r="L12" s="629"/>
      <c r="M12" s="629"/>
      <c r="N12" s="629"/>
      <c r="O12" s="629"/>
      <c r="P12" s="629"/>
    </row>
    <row r="13" spans="1:16">
      <c r="A13" s="636" t="s">
        <v>48</v>
      </c>
      <c r="B13" s="616">
        <v>6680000</v>
      </c>
      <c r="C13" s="616">
        <v>6619976.9747700002</v>
      </c>
      <c r="D13" s="616">
        <f>-'AL Sch 1.0'!D10</f>
        <v>9588029.0600000005</v>
      </c>
      <c r="E13" s="616">
        <f>-'AL Sch 1.0'!E10</f>
        <v>12253476.77</v>
      </c>
      <c r="F13" s="616">
        <v>13311498.5</v>
      </c>
      <c r="G13" s="616">
        <v>8796911.9438988697</v>
      </c>
      <c r="H13" s="616">
        <v>9022110.5800000001</v>
      </c>
      <c r="I13" s="616">
        <v>7479990.4702060698</v>
      </c>
      <c r="J13" s="616">
        <v>7481238.9502060702</v>
      </c>
      <c r="K13" s="637" t="s">
        <v>2023</v>
      </c>
      <c r="L13" s="629"/>
      <c r="M13" s="629"/>
      <c r="N13" s="629"/>
      <c r="O13" s="629"/>
      <c r="P13" s="629"/>
    </row>
    <row r="14" spans="1:16">
      <c r="C14" s="137"/>
      <c r="E14" s="628"/>
      <c r="I14" s="639"/>
      <c r="J14" s="639"/>
      <c r="L14" s="629"/>
      <c r="M14" s="629"/>
      <c r="N14" s="629"/>
      <c r="O14" s="629"/>
      <c r="P14" s="629"/>
    </row>
    <row r="15" spans="1:16">
      <c r="A15" s="625" t="s">
        <v>401</v>
      </c>
      <c r="B15" s="626"/>
      <c r="C15" s="626"/>
      <c r="D15" s="640"/>
      <c r="E15" s="640"/>
      <c r="F15" s="640"/>
      <c r="G15" s="640"/>
      <c r="H15" s="640"/>
      <c r="I15" s="628"/>
      <c r="J15" s="628"/>
      <c r="L15" s="629"/>
      <c r="M15" s="629"/>
      <c r="N15" s="629"/>
      <c r="O15" s="629"/>
      <c r="P15" s="629"/>
    </row>
    <row r="16" spans="1:16">
      <c r="A16" s="182" t="s">
        <v>394</v>
      </c>
      <c r="B16" s="137"/>
      <c r="C16" s="137"/>
      <c r="D16" s="632"/>
      <c r="E16" s="632"/>
      <c r="F16" s="632"/>
      <c r="G16" s="632"/>
      <c r="H16" s="632"/>
      <c r="I16" s="632"/>
      <c r="J16" s="632"/>
      <c r="L16" s="633"/>
      <c r="M16" s="633"/>
      <c r="N16" s="633"/>
      <c r="O16" s="633"/>
      <c r="P16" s="634"/>
    </row>
    <row r="17" spans="1:16">
      <c r="A17" s="182" t="s">
        <v>400</v>
      </c>
      <c r="B17" s="137"/>
      <c r="C17" s="137"/>
      <c r="D17" s="632"/>
      <c r="E17" s="632"/>
      <c r="F17" s="632"/>
      <c r="G17" s="632"/>
      <c r="H17" s="632"/>
      <c r="I17" s="632"/>
      <c r="J17" s="632"/>
      <c r="L17" s="633"/>
      <c r="M17" s="633"/>
      <c r="N17" s="633"/>
      <c r="O17" s="633"/>
      <c r="P17" s="634"/>
    </row>
    <row r="18" spans="1:16">
      <c r="A18" s="182" t="s">
        <v>399</v>
      </c>
      <c r="B18" s="137"/>
      <c r="C18" s="137"/>
      <c r="D18" s="632"/>
      <c r="E18" s="632"/>
      <c r="F18" s="632"/>
      <c r="G18" s="632"/>
      <c r="H18" s="632"/>
      <c r="I18" s="632"/>
      <c r="J18" s="632"/>
      <c r="L18" s="633"/>
      <c r="M18" s="633"/>
      <c r="N18" s="633"/>
      <c r="O18" s="633"/>
      <c r="P18" s="634"/>
    </row>
    <row r="19" spans="1:16">
      <c r="A19" s="641" t="s">
        <v>398</v>
      </c>
      <c r="B19" s="610"/>
      <c r="C19" s="610"/>
      <c r="D19" s="642"/>
      <c r="E19" s="642"/>
      <c r="F19" s="642">
        <v>3400000</v>
      </c>
      <c r="G19" s="642">
        <v>3200000</v>
      </c>
      <c r="H19" s="642">
        <v>3300000</v>
      </c>
      <c r="I19" s="642">
        <v>3300000</v>
      </c>
      <c r="J19" s="642">
        <v>3300000</v>
      </c>
      <c r="K19" s="637" t="s">
        <v>2025</v>
      </c>
      <c r="L19" s="643"/>
      <c r="M19" s="643"/>
      <c r="N19" s="643"/>
      <c r="O19" s="643"/>
      <c r="P19" s="634"/>
    </row>
    <row r="20" spans="1:16">
      <c r="A20" s="182"/>
      <c r="B20" s="137"/>
      <c r="C20" s="137"/>
      <c r="D20" s="644"/>
      <c r="E20" s="644"/>
      <c r="F20" s="644"/>
      <c r="G20" s="644"/>
      <c r="H20" s="644"/>
      <c r="I20" s="644"/>
      <c r="J20" s="644"/>
      <c r="L20" s="629"/>
      <c r="M20" s="629"/>
      <c r="N20" s="629"/>
      <c r="O20" s="629"/>
      <c r="P20" s="629"/>
    </row>
    <row r="21" spans="1:16">
      <c r="A21" s="641" t="s">
        <v>397</v>
      </c>
      <c r="B21" s="137"/>
      <c r="C21" s="137"/>
      <c r="D21" s="644"/>
      <c r="E21" s="644"/>
      <c r="F21" s="644"/>
      <c r="G21" s="644"/>
      <c r="H21" s="644"/>
      <c r="I21" s="644"/>
      <c r="J21" s="644"/>
      <c r="L21" s="629"/>
      <c r="M21" s="629"/>
      <c r="N21" s="629"/>
      <c r="O21" s="629"/>
      <c r="P21" s="629"/>
    </row>
    <row r="22" spans="1:16">
      <c r="A22" s="182" t="s">
        <v>396</v>
      </c>
      <c r="B22" s="137"/>
      <c r="C22" s="137"/>
      <c r="D22" s="632"/>
      <c r="E22" s="632"/>
      <c r="F22" s="632">
        <v>300000</v>
      </c>
      <c r="G22" s="632">
        <v>300000</v>
      </c>
      <c r="H22" s="632">
        <v>300000</v>
      </c>
      <c r="I22" s="632">
        <v>300000</v>
      </c>
      <c r="J22" s="632">
        <v>300000</v>
      </c>
      <c r="K22" s="627" t="s">
        <v>2025</v>
      </c>
      <c r="L22" s="633"/>
      <c r="M22" s="633"/>
      <c r="N22" s="633"/>
      <c r="O22" s="633"/>
      <c r="P22" s="634"/>
    </row>
    <row r="23" spans="1:16">
      <c r="A23" s="182" t="s">
        <v>395</v>
      </c>
      <c r="B23" s="137"/>
      <c r="C23" s="137"/>
      <c r="D23" s="632"/>
      <c r="E23" s="632"/>
      <c r="F23" s="632"/>
      <c r="G23" s="632"/>
      <c r="H23" s="632"/>
      <c r="I23" s="632"/>
      <c r="J23" s="632"/>
      <c r="L23" s="633"/>
      <c r="M23" s="633"/>
      <c r="N23" s="633"/>
      <c r="O23" s="633"/>
      <c r="P23" s="634"/>
    </row>
    <row r="24" spans="1:16">
      <c r="A24" s="182" t="s">
        <v>394</v>
      </c>
      <c r="B24" s="137"/>
      <c r="C24" s="137"/>
      <c r="D24" s="632"/>
      <c r="E24" s="632"/>
      <c r="F24" s="632">
        <v>100000</v>
      </c>
      <c r="G24" s="632">
        <v>100000</v>
      </c>
      <c r="H24" s="632">
        <v>100000</v>
      </c>
      <c r="I24" s="632">
        <v>100000</v>
      </c>
      <c r="J24" s="632">
        <v>100000</v>
      </c>
      <c r="K24" s="627" t="s">
        <v>2025</v>
      </c>
      <c r="L24" s="633"/>
      <c r="M24" s="633"/>
      <c r="N24" s="633"/>
      <c r="O24" s="633"/>
      <c r="P24" s="634"/>
    </row>
    <row r="25" spans="1:16">
      <c r="A25" s="182" t="s">
        <v>393</v>
      </c>
      <c r="B25" s="137"/>
      <c r="C25" s="137"/>
      <c r="D25" s="632"/>
      <c r="E25" s="632"/>
      <c r="F25" s="632"/>
      <c r="G25" s="632"/>
      <c r="H25" s="632"/>
      <c r="I25" s="632"/>
      <c r="J25" s="632"/>
      <c r="L25" s="633"/>
      <c r="M25" s="633"/>
      <c r="N25" s="633"/>
      <c r="O25" s="633"/>
      <c r="P25" s="634"/>
    </row>
    <row r="26" spans="1:16">
      <c r="A26" s="641" t="s">
        <v>391</v>
      </c>
      <c r="B26" s="645"/>
      <c r="C26" s="610"/>
      <c r="D26" s="646"/>
      <c r="E26" s="646"/>
      <c r="F26" s="646">
        <f>SUM(F22:F25)</f>
        <v>400000</v>
      </c>
      <c r="G26" s="646">
        <f t="shared" ref="G26:J26" si="0">SUM(G22:G25)</f>
        <v>400000</v>
      </c>
      <c r="H26" s="646">
        <f t="shared" si="0"/>
        <v>400000</v>
      </c>
      <c r="I26" s="646">
        <f t="shared" si="0"/>
        <v>400000</v>
      </c>
      <c r="J26" s="646">
        <f t="shared" si="0"/>
        <v>400000</v>
      </c>
      <c r="K26" s="637"/>
      <c r="L26" s="643"/>
      <c r="M26" s="643"/>
      <c r="N26" s="643"/>
      <c r="O26" s="643"/>
      <c r="P26" s="634"/>
    </row>
    <row r="27" spans="1:16">
      <c r="A27" s="182"/>
      <c r="B27" s="137"/>
      <c r="C27" s="137"/>
      <c r="D27" s="628"/>
      <c r="E27" s="628"/>
      <c r="F27" s="628"/>
      <c r="G27" s="628"/>
      <c r="H27" s="628"/>
      <c r="I27" s="628"/>
      <c r="J27" s="628"/>
    </row>
    <row r="28" spans="1:16">
      <c r="A28" s="641" t="s">
        <v>392</v>
      </c>
      <c r="B28" s="137">
        <v>636629.29</v>
      </c>
      <c r="C28" s="137">
        <v>624827.9</v>
      </c>
      <c r="D28" s="138"/>
      <c r="E28" s="138"/>
      <c r="F28" s="138">
        <v>600000</v>
      </c>
      <c r="G28" s="138">
        <v>600000</v>
      </c>
      <c r="H28" s="138">
        <v>600000</v>
      </c>
      <c r="I28" s="138">
        <v>600000</v>
      </c>
      <c r="J28" s="138">
        <v>600000</v>
      </c>
      <c r="K28" s="627" t="s">
        <v>2025</v>
      </c>
    </row>
    <row r="29" spans="1:16" s="637" customFormat="1">
      <c r="A29" s="641" t="s">
        <v>391</v>
      </c>
      <c r="B29" s="610">
        <v>636629.29</v>
      </c>
      <c r="C29" s="610">
        <v>624827.9</v>
      </c>
      <c r="D29" s="642"/>
      <c r="E29" s="642"/>
      <c r="F29" s="642">
        <f>F28</f>
        <v>600000</v>
      </c>
      <c r="G29" s="642">
        <f t="shared" ref="G29:J29" si="1">G28</f>
        <v>600000</v>
      </c>
      <c r="H29" s="642">
        <f t="shared" si="1"/>
        <v>600000</v>
      </c>
      <c r="I29" s="642">
        <f t="shared" si="1"/>
        <v>600000</v>
      </c>
      <c r="J29" s="642">
        <f t="shared" si="1"/>
        <v>600000</v>
      </c>
      <c r="L29" s="647"/>
      <c r="M29" s="647"/>
      <c r="N29" s="647"/>
      <c r="O29" s="647"/>
      <c r="P29" s="648"/>
    </row>
    <row r="30" spans="1:16">
      <c r="A30" s="182"/>
      <c r="B30" s="137"/>
      <c r="C30" s="137"/>
      <c r="D30" s="628"/>
      <c r="E30" s="628"/>
      <c r="F30" s="628"/>
      <c r="G30" s="628"/>
      <c r="H30" s="628"/>
      <c r="I30" s="628"/>
      <c r="J30" s="628"/>
      <c r="L30" s="629"/>
      <c r="M30" s="629"/>
      <c r="N30" s="629"/>
      <c r="O30" s="629"/>
      <c r="P30" s="629"/>
    </row>
    <row r="31" spans="1:16">
      <c r="A31" s="641" t="s">
        <v>4</v>
      </c>
      <c r="B31" s="137">
        <v>404000</v>
      </c>
      <c r="C31" s="137">
        <v>645824.06999999995</v>
      </c>
      <c r="D31" s="138"/>
      <c r="E31" s="138"/>
      <c r="F31" s="138"/>
      <c r="G31" s="138"/>
      <c r="H31" s="138"/>
      <c r="I31" s="138"/>
      <c r="J31" s="138"/>
      <c r="L31" s="629"/>
      <c r="M31" s="629"/>
      <c r="N31" s="629"/>
      <c r="O31" s="629"/>
      <c r="P31" s="629"/>
    </row>
    <row r="32" spans="1:16" s="637" customFormat="1">
      <c r="A32" s="641" t="s">
        <v>390</v>
      </c>
      <c r="B32" s="610">
        <v>404000</v>
      </c>
      <c r="C32" s="610">
        <v>645824.06999999995</v>
      </c>
      <c r="D32" s="642"/>
      <c r="E32" s="642"/>
      <c r="F32" s="642">
        <f>3200000+2300000</f>
        <v>5500000</v>
      </c>
      <c r="G32" s="642">
        <v>1600000</v>
      </c>
      <c r="H32" s="642">
        <v>900000</v>
      </c>
      <c r="I32" s="642">
        <v>900000</v>
      </c>
      <c r="J32" s="642">
        <v>900000</v>
      </c>
      <c r="K32" s="637" t="s">
        <v>2025</v>
      </c>
      <c r="L32" s="647"/>
      <c r="M32" s="647"/>
      <c r="N32" s="647"/>
      <c r="O32" s="647"/>
      <c r="P32" s="648"/>
    </row>
    <row r="33" spans="1:16">
      <c r="A33" s="182"/>
      <c r="B33" s="137"/>
      <c r="C33" s="137"/>
      <c r="D33" s="628"/>
      <c r="E33" s="628"/>
      <c r="F33" s="628"/>
      <c r="G33" s="628"/>
      <c r="H33" s="628"/>
      <c r="I33" s="628"/>
      <c r="J33" s="628"/>
      <c r="L33" s="629"/>
      <c r="M33" s="629"/>
      <c r="N33" s="629"/>
      <c r="O33" s="629"/>
      <c r="P33" s="629"/>
    </row>
    <row r="34" spans="1:16">
      <c r="A34" s="641" t="s">
        <v>389</v>
      </c>
      <c r="B34" s="137"/>
      <c r="C34" s="137"/>
      <c r="D34" s="628"/>
      <c r="E34" s="628"/>
      <c r="F34" s="628"/>
      <c r="G34" s="628"/>
      <c r="H34" s="628"/>
      <c r="I34" s="628"/>
      <c r="J34" s="628"/>
      <c r="L34" s="629"/>
      <c r="M34" s="629"/>
      <c r="N34" s="629"/>
      <c r="O34" s="629"/>
      <c r="P34" s="629"/>
    </row>
    <row r="35" spans="1:16">
      <c r="A35" s="182" t="s">
        <v>388</v>
      </c>
      <c r="B35" s="137"/>
      <c r="C35" s="137"/>
      <c r="D35" s="632"/>
      <c r="E35" s="632"/>
      <c r="F35" s="632"/>
      <c r="G35" s="632"/>
      <c r="H35" s="632"/>
      <c r="I35" s="632"/>
      <c r="J35" s="632"/>
      <c r="L35" s="633"/>
      <c r="M35" s="633"/>
      <c r="N35" s="633"/>
      <c r="O35" s="633"/>
      <c r="P35" s="634"/>
    </row>
    <row r="36" spans="1:16">
      <c r="A36" s="182" t="s">
        <v>387</v>
      </c>
      <c r="B36" s="137"/>
      <c r="C36" s="137"/>
      <c r="D36" s="632"/>
      <c r="E36" s="632"/>
      <c r="F36" s="632"/>
      <c r="G36" s="632"/>
      <c r="H36" s="632"/>
      <c r="I36" s="632"/>
      <c r="J36" s="632"/>
      <c r="L36" s="633"/>
      <c r="M36" s="633"/>
      <c r="N36" s="633"/>
      <c r="O36" s="633"/>
      <c r="P36" s="634"/>
    </row>
    <row r="37" spans="1:16">
      <c r="A37" s="182" t="s">
        <v>102</v>
      </c>
      <c r="B37" s="137"/>
      <c r="C37" s="137"/>
      <c r="D37" s="632"/>
      <c r="E37" s="632"/>
      <c r="F37" s="632"/>
      <c r="G37" s="632"/>
      <c r="H37" s="632"/>
      <c r="I37" s="632"/>
      <c r="J37" s="632"/>
      <c r="L37" s="633"/>
      <c r="M37" s="633"/>
      <c r="N37" s="633"/>
      <c r="O37" s="633"/>
      <c r="P37" s="634"/>
    </row>
    <row r="38" spans="1:16">
      <c r="A38" s="641" t="s">
        <v>386</v>
      </c>
      <c r="B38" s="610"/>
      <c r="C38" s="610"/>
      <c r="D38" s="642"/>
      <c r="E38" s="642"/>
      <c r="F38" s="642">
        <v>3400000</v>
      </c>
      <c r="G38" s="642">
        <v>2900000</v>
      </c>
      <c r="H38" s="642">
        <v>3900000</v>
      </c>
      <c r="I38" s="642">
        <v>2200000</v>
      </c>
      <c r="J38" s="642">
        <v>2200000</v>
      </c>
      <c r="K38" s="637" t="s">
        <v>2025</v>
      </c>
      <c r="L38" s="643"/>
      <c r="M38" s="643"/>
      <c r="N38" s="643"/>
      <c r="O38" s="643"/>
      <c r="P38" s="634"/>
    </row>
    <row r="39" spans="1:16">
      <c r="A39" s="182"/>
      <c r="B39" s="137"/>
      <c r="C39" s="137"/>
      <c r="D39" s="628"/>
      <c r="E39" s="628"/>
      <c r="F39" s="628"/>
      <c r="G39" s="628"/>
      <c r="H39" s="628"/>
      <c r="I39" s="628"/>
      <c r="J39" s="628"/>
      <c r="L39" s="629"/>
      <c r="M39" s="629"/>
      <c r="N39" s="629"/>
      <c r="O39" s="629"/>
      <c r="P39" s="629"/>
    </row>
    <row r="40" spans="1:16" s="637" customFormat="1">
      <c r="A40" s="649" t="s">
        <v>402</v>
      </c>
      <c r="B40" s="616">
        <v>7084000</v>
      </c>
      <c r="C40" s="616">
        <v>7265801.0447699996</v>
      </c>
      <c r="D40" s="616">
        <v>7785010.9100000001</v>
      </c>
      <c r="E40" s="616">
        <v>7905859.4199999999</v>
      </c>
      <c r="F40" s="616">
        <v>10096498.499999998</v>
      </c>
      <c r="G40" s="616">
        <v>7172256.4999999991</v>
      </c>
      <c r="H40" s="616">
        <v>8122110.5800000001</v>
      </c>
      <c r="I40" s="616">
        <v>6579990.4702060716</v>
      </c>
      <c r="J40" s="616">
        <v>6581238.9502060711</v>
      </c>
      <c r="K40" s="637" t="s">
        <v>2024</v>
      </c>
      <c r="L40" s="647"/>
      <c r="M40" s="647"/>
      <c r="N40" s="647"/>
      <c r="O40" s="647"/>
      <c r="P40" s="648"/>
    </row>
    <row r="41" spans="1:16">
      <c r="C41" s="137"/>
      <c r="E41" s="628"/>
      <c r="I41" s="639"/>
      <c r="J41" s="639"/>
    </row>
    <row r="42" spans="1:16">
      <c r="A42" s="625" t="s">
        <v>385</v>
      </c>
      <c r="B42" s="626"/>
      <c r="C42" s="626"/>
      <c r="D42" s="640"/>
      <c r="E42" s="640"/>
      <c r="F42" s="640"/>
      <c r="G42" s="640"/>
      <c r="H42" s="640"/>
      <c r="I42" s="628"/>
      <c r="J42" s="628"/>
    </row>
    <row r="43" spans="1:16">
      <c r="A43" s="641"/>
      <c r="B43" s="137"/>
      <c r="C43" s="137"/>
      <c r="D43" s="628"/>
      <c r="E43" s="628"/>
      <c r="F43" s="628"/>
      <c r="G43" s="628"/>
      <c r="H43" s="628"/>
      <c r="I43" s="628"/>
      <c r="J43" s="628"/>
    </row>
    <row r="44" spans="1:16">
      <c r="A44" s="650" t="s">
        <v>384</v>
      </c>
      <c r="B44" s="179">
        <v>6043370.71</v>
      </c>
      <c r="C44" s="179">
        <v>5995149.0747699998</v>
      </c>
      <c r="D44" s="179">
        <f>D40</f>
        <v>7785010.9100000001</v>
      </c>
      <c r="E44" s="179">
        <f t="shared" ref="E44" si="2">E40</f>
        <v>7905859.4199999999</v>
      </c>
      <c r="F44" s="179">
        <f>F40-F52</f>
        <v>3996498.4999999981</v>
      </c>
      <c r="G44" s="179">
        <f>G40-G52</f>
        <v>4972256.4999999991</v>
      </c>
      <c r="H44" s="179">
        <f t="shared" ref="H44:J44" si="3">H40-H52</f>
        <v>6622110.5800000001</v>
      </c>
      <c r="I44" s="179">
        <f t="shared" si="3"/>
        <v>5079990.4702060716</v>
      </c>
      <c r="J44" s="179">
        <f t="shared" si="3"/>
        <v>5081238.9502060711</v>
      </c>
    </row>
    <row r="45" spans="1:16">
      <c r="A45" s="182"/>
      <c r="B45" s="137"/>
      <c r="C45" s="137"/>
      <c r="E45" s="628"/>
    </row>
    <row r="46" spans="1:16">
      <c r="A46" s="649" t="s">
        <v>383</v>
      </c>
      <c r="B46" s="184">
        <f t="shared" ref="B46:G46" si="4">B44/B40</f>
        <v>0.85310145539243365</v>
      </c>
      <c r="C46" s="184">
        <f t="shared" si="4"/>
        <v>0.82511880490938727</v>
      </c>
      <c r="D46" s="184"/>
      <c r="E46" s="184"/>
      <c r="F46" s="184">
        <f t="shared" si="4"/>
        <v>0.39583014844205633</v>
      </c>
      <c r="G46" s="184">
        <f t="shared" si="4"/>
        <v>0.69326250392745992</v>
      </c>
      <c r="H46" s="184">
        <f>H44/H40</f>
        <v>0.81531893893520468</v>
      </c>
      <c r="I46" s="184">
        <f t="shared" ref="I46:J46" si="5">I44/I40</f>
        <v>0.77203614400477649</v>
      </c>
      <c r="J46" s="184">
        <f t="shared" si="5"/>
        <v>0.77207938940538967</v>
      </c>
    </row>
    <row r="47" spans="1:16">
      <c r="C47" s="137"/>
      <c r="E47" s="628"/>
      <c r="H47" s="639"/>
      <c r="I47" s="639"/>
      <c r="J47" s="639"/>
    </row>
    <row r="48" spans="1:16">
      <c r="A48" s="625" t="s">
        <v>382</v>
      </c>
      <c r="B48" s="626"/>
      <c r="C48" s="626"/>
      <c r="D48" s="626"/>
      <c r="E48" s="626"/>
      <c r="F48" s="626"/>
      <c r="G48" s="626"/>
      <c r="H48" s="626"/>
      <c r="I48" s="137"/>
      <c r="J48" s="137"/>
    </row>
    <row r="49" spans="1:10">
      <c r="A49" s="182" t="str">
        <f t="shared" ref="A49:J49" si="6">A25</f>
        <v>Maintenance &amp; Technical Services</v>
      </c>
      <c r="B49" s="137"/>
      <c r="C49" s="137"/>
      <c r="D49" s="137">
        <f t="shared" si="6"/>
        <v>0</v>
      </c>
      <c r="E49" s="137">
        <f t="shared" si="6"/>
        <v>0</v>
      </c>
      <c r="F49" s="137">
        <f t="shared" si="6"/>
        <v>0</v>
      </c>
      <c r="G49" s="137">
        <f t="shared" si="6"/>
        <v>0</v>
      </c>
      <c r="H49" s="137">
        <f t="shared" si="6"/>
        <v>0</v>
      </c>
      <c r="I49" s="137">
        <f t="shared" si="6"/>
        <v>0</v>
      </c>
      <c r="J49" s="137">
        <f t="shared" si="6"/>
        <v>0</v>
      </c>
    </row>
    <row r="50" spans="1:10">
      <c r="A50" s="182" t="str">
        <f t="shared" ref="A50" si="7">A28</f>
        <v>First Nations</v>
      </c>
      <c r="B50" s="137">
        <f>B28</f>
        <v>636629.29</v>
      </c>
      <c r="C50" s="137">
        <f t="shared" ref="C50" si="8">C28</f>
        <v>624827.9</v>
      </c>
      <c r="D50" s="137">
        <v>637858.69999999995</v>
      </c>
      <c r="E50" s="137">
        <v>659733.48</v>
      </c>
      <c r="F50" s="137">
        <f>F29</f>
        <v>600000</v>
      </c>
      <c r="G50" s="137">
        <f t="shared" ref="G50:J50" si="9">G29</f>
        <v>600000</v>
      </c>
      <c r="H50" s="137">
        <f t="shared" si="9"/>
        <v>600000</v>
      </c>
      <c r="I50" s="137">
        <f t="shared" si="9"/>
        <v>600000</v>
      </c>
      <c r="J50" s="137">
        <f t="shared" si="9"/>
        <v>600000</v>
      </c>
    </row>
    <row r="51" spans="1:10">
      <c r="A51" s="182" t="str">
        <f t="shared" ref="A51" si="10">A31</f>
        <v>AltaLink</v>
      </c>
      <c r="B51" s="137">
        <f t="shared" ref="B51:C51" si="11">B31</f>
        <v>404000</v>
      </c>
      <c r="C51" s="137">
        <f t="shared" si="11"/>
        <v>645824.06999999995</v>
      </c>
      <c r="D51" s="137">
        <v>1803018.15</v>
      </c>
      <c r="E51" s="137">
        <v>4347617.3499999996</v>
      </c>
      <c r="F51" s="137">
        <f>F32</f>
        <v>5500000</v>
      </c>
      <c r="G51" s="137">
        <f t="shared" ref="G51:J51" si="12">G32</f>
        <v>1600000</v>
      </c>
      <c r="H51" s="137">
        <f t="shared" si="12"/>
        <v>900000</v>
      </c>
      <c r="I51" s="137">
        <f t="shared" si="12"/>
        <v>900000</v>
      </c>
      <c r="J51" s="137">
        <f t="shared" si="12"/>
        <v>900000</v>
      </c>
    </row>
    <row r="52" spans="1:10">
      <c r="A52" s="641" t="s">
        <v>381</v>
      </c>
      <c r="B52" s="610">
        <v>1040629.29</v>
      </c>
      <c r="C52" s="610">
        <v>1270651.97</v>
      </c>
      <c r="D52" s="610">
        <f>SUM(D49:D51)</f>
        <v>2440876.8499999996</v>
      </c>
      <c r="E52" s="610">
        <f t="shared" ref="E52:J52" si="13">SUM(E49:E51)</f>
        <v>5007350.83</v>
      </c>
      <c r="F52" s="610">
        <f t="shared" si="13"/>
        <v>6100000</v>
      </c>
      <c r="G52" s="610">
        <f t="shared" si="13"/>
        <v>2200000</v>
      </c>
      <c r="H52" s="610">
        <f t="shared" si="13"/>
        <v>1500000</v>
      </c>
      <c r="I52" s="610">
        <f t="shared" si="13"/>
        <v>1500000</v>
      </c>
      <c r="J52" s="610">
        <f t="shared" si="13"/>
        <v>1500000</v>
      </c>
    </row>
    <row r="53" spans="1:10">
      <c r="A53" s="182"/>
      <c r="B53" s="137"/>
      <c r="C53" s="137"/>
      <c r="D53" s="137"/>
      <c r="E53" s="137"/>
      <c r="F53" s="137"/>
      <c r="G53" s="137"/>
      <c r="H53" s="137"/>
      <c r="I53" s="137"/>
      <c r="J53" s="137"/>
    </row>
    <row r="54" spans="1:10">
      <c r="A54" s="649" t="s">
        <v>380</v>
      </c>
      <c r="B54" s="184">
        <f t="shared" ref="B54:C54" si="14">B52/B40</f>
        <v>0.14689854460756635</v>
      </c>
      <c r="C54" s="184">
        <f t="shared" si="14"/>
        <v>0.1748811950906127</v>
      </c>
      <c r="D54" s="184">
        <f>D52/D13</f>
        <v>0.25457545390460046</v>
      </c>
      <c r="E54" s="184">
        <f t="shared" ref="E54:J54" si="15">E52/E13</f>
        <v>0.4086473516038665</v>
      </c>
      <c r="F54" s="184">
        <f>F52/F13</f>
        <v>0.45825043664317733</v>
      </c>
      <c r="G54" s="184">
        <f t="shared" si="15"/>
        <v>0.25008775966273233</v>
      </c>
      <c r="H54" s="184">
        <f t="shared" si="15"/>
        <v>0.16625821493755177</v>
      </c>
      <c r="I54" s="184">
        <f>I52/I13</f>
        <v>0.20053501484724162</v>
      </c>
      <c r="J54" s="184">
        <f t="shared" si="15"/>
        <v>0.20050154927329017</v>
      </c>
    </row>
    <row r="55" spans="1:10">
      <c r="C55" s="137"/>
      <c r="D55" s="638"/>
      <c r="E55" s="137"/>
      <c r="F55" s="638"/>
      <c r="G55" s="638"/>
      <c r="H55" s="638"/>
      <c r="I55" s="638"/>
      <c r="J55" s="638"/>
    </row>
    <row r="56" spans="1:10">
      <c r="A56" s="651"/>
      <c r="B56" s="652"/>
      <c r="C56" s="652"/>
      <c r="D56" s="652"/>
      <c r="E56" s="652"/>
      <c r="F56" s="652"/>
      <c r="G56" s="652"/>
      <c r="H56" s="652"/>
      <c r="I56" s="652"/>
      <c r="J56" s="652"/>
    </row>
    <row r="57" spans="1:10">
      <c r="C57" s="137"/>
      <c r="E57" s="628"/>
    </row>
    <row r="58" spans="1:10">
      <c r="C58" s="137"/>
      <c r="E58" s="628"/>
    </row>
    <row r="59" spans="1:10">
      <c r="E59" s="628"/>
    </row>
    <row r="60" spans="1:10">
      <c r="E60" s="628"/>
    </row>
    <row r="61" spans="1:10">
      <c r="E61" s="628"/>
    </row>
    <row r="62" spans="1:10">
      <c r="E62" s="628"/>
    </row>
    <row r="63" spans="1:10">
      <c r="E63" s="628"/>
    </row>
    <row r="64" spans="1:10">
      <c r="E64" s="628"/>
    </row>
    <row r="65" spans="5:5">
      <c r="E65" s="628"/>
    </row>
    <row r="66" spans="5:5">
      <c r="E66" s="628"/>
    </row>
    <row r="67" spans="5:5">
      <c r="E67" s="628"/>
    </row>
    <row r="68" spans="5:5">
      <c r="E68" s="628"/>
    </row>
    <row r="69" spans="5:5">
      <c r="E69" s="628"/>
    </row>
    <row r="70" spans="5:5">
      <c r="E70" s="628"/>
    </row>
    <row r="71" spans="5:5">
      <c r="E71" s="628"/>
    </row>
    <row r="72" spans="5:5">
      <c r="E72" s="628"/>
    </row>
    <row r="73" spans="5:5">
      <c r="E73" s="628"/>
    </row>
    <row r="74" spans="5:5">
      <c r="E74" s="628"/>
    </row>
    <row r="75" spans="5:5">
      <c r="E75" s="628"/>
    </row>
    <row r="76" spans="5:5">
      <c r="E76" s="628"/>
    </row>
    <row r="77" spans="5:5">
      <c r="E77" s="628"/>
    </row>
    <row r="78" spans="5:5">
      <c r="E78" s="628"/>
    </row>
    <row r="79" spans="5:5">
      <c r="E79" s="628"/>
    </row>
    <row r="80" spans="5:5">
      <c r="E80" s="628"/>
    </row>
    <row r="81" spans="5:5">
      <c r="E81" s="628"/>
    </row>
    <row r="82" spans="5:5">
      <c r="E82" s="628"/>
    </row>
    <row r="83" spans="5:5">
      <c r="E83" s="628"/>
    </row>
    <row r="84" spans="5:5">
      <c r="E84" s="628"/>
    </row>
    <row r="85" spans="5:5">
      <c r="E85" s="628"/>
    </row>
    <row r="86" spans="5:5">
      <c r="E86" s="628"/>
    </row>
    <row r="87" spans="5:5">
      <c r="E87" s="628"/>
    </row>
    <row r="88" spans="5:5">
      <c r="E88" s="628"/>
    </row>
    <row r="89" spans="5:5">
      <c r="E89" s="628"/>
    </row>
    <row r="90" spans="5:5">
      <c r="E90" s="628"/>
    </row>
    <row r="91" spans="5:5">
      <c r="E91" s="628"/>
    </row>
    <row r="92" spans="5:5">
      <c r="E92" s="628"/>
    </row>
    <row r="93" spans="5:5">
      <c r="E93" s="628"/>
    </row>
    <row r="94" spans="5:5">
      <c r="E94" s="628"/>
    </row>
    <row r="95" spans="5:5">
      <c r="E95" s="628"/>
    </row>
    <row r="96" spans="5:5">
      <c r="E96" s="628"/>
    </row>
    <row r="97" spans="5:5">
      <c r="E97" s="628"/>
    </row>
    <row r="98" spans="5:5">
      <c r="E98" s="628"/>
    </row>
    <row r="99" spans="5:5">
      <c r="E99" s="628"/>
    </row>
    <row r="100" spans="5:5">
      <c r="E100" s="628"/>
    </row>
    <row r="101" spans="5:5">
      <c r="E101" s="628"/>
    </row>
    <row r="102" spans="5:5">
      <c r="E102" s="628"/>
    </row>
    <row r="103" spans="5:5">
      <c r="E103" s="628"/>
    </row>
    <row r="104" spans="5:5">
      <c r="E104" s="628"/>
    </row>
    <row r="105" spans="5:5">
      <c r="E105" s="628"/>
    </row>
    <row r="106" spans="5:5">
      <c r="E106" s="628"/>
    </row>
    <row r="107" spans="5:5">
      <c r="E107" s="628"/>
    </row>
    <row r="108" spans="5:5">
      <c r="E108" s="628"/>
    </row>
    <row r="109" spans="5:5">
      <c r="E109" s="628"/>
    </row>
    <row r="110" spans="5:5">
      <c r="E110" s="628"/>
    </row>
    <row r="111" spans="5:5">
      <c r="E111" s="628"/>
    </row>
    <row r="112" spans="5:5">
      <c r="E112" s="628"/>
    </row>
    <row r="113" spans="5:5">
      <c r="E113" s="628"/>
    </row>
    <row r="114" spans="5:5">
      <c r="E114" s="628"/>
    </row>
    <row r="115" spans="5:5">
      <c r="E115" s="628"/>
    </row>
    <row r="116" spans="5:5">
      <c r="E116" s="628"/>
    </row>
    <row r="117" spans="5:5">
      <c r="E117" s="628"/>
    </row>
    <row r="118" spans="5:5">
      <c r="E118" s="628"/>
    </row>
    <row r="119" spans="5:5">
      <c r="E119" s="628"/>
    </row>
    <row r="120" spans="5:5">
      <c r="E120" s="628"/>
    </row>
    <row r="121" spans="5:5">
      <c r="E121" s="628"/>
    </row>
    <row r="122" spans="5:5">
      <c r="E122" s="628"/>
    </row>
    <row r="123" spans="5:5">
      <c r="E123" s="628"/>
    </row>
    <row r="124" spans="5:5">
      <c r="E124" s="628"/>
    </row>
    <row r="125" spans="5:5">
      <c r="E125" s="628"/>
    </row>
    <row r="126" spans="5:5">
      <c r="E126" s="628"/>
    </row>
    <row r="127" spans="5:5">
      <c r="E127" s="628"/>
    </row>
    <row r="128" spans="5:5">
      <c r="E128" s="628"/>
    </row>
    <row r="129" spans="5:5">
      <c r="E129" s="628"/>
    </row>
    <row r="130" spans="5:5">
      <c r="E130" s="628"/>
    </row>
    <row r="131" spans="5:5">
      <c r="E131" s="628"/>
    </row>
    <row r="132" spans="5:5">
      <c r="E132" s="628"/>
    </row>
    <row r="133" spans="5:5">
      <c r="E133" s="628"/>
    </row>
    <row r="134" spans="5:5">
      <c r="E134" s="628"/>
    </row>
    <row r="135" spans="5:5">
      <c r="E135" s="628"/>
    </row>
    <row r="136" spans="5:5">
      <c r="E136" s="628"/>
    </row>
    <row r="137" spans="5:5">
      <c r="E137" s="628"/>
    </row>
    <row r="138" spans="5:5">
      <c r="E138" s="628"/>
    </row>
    <row r="139" spans="5:5">
      <c r="E139" s="628"/>
    </row>
    <row r="140" spans="5:5">
      <c r="E140" s="628"/>
    </row>
    <row r="141" spans="5:5">
      <c r="E141" s="628"/>
    </row>
    <row r="142" spans="5:5">
      <c r="E142" s="628"/>
    </row>
    <row r="143" spans="5:5">
      <c r="E143" s="628"/>
    </row>
    <row r="144" spans="5:5">
      <c r="E144" s="628"/>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2" tint="-0.499984740745262"/>
  </sheetPr>
  <dimension ref="A1:K26"/>
  <sheetViews>
    <sheetView showGridLines="0" zoomScale="85" zoomScaleNormal="85" zoomScaleSheetLayoutView="80" workbookViewId="0">
      <selection activeCell="B1" sqref="B1:E1048576"/>
    </sheetView>
  </sheetViews>
  <sheetFormatPr defaultColWidth="9.109375" defaultRowHeight="13.8"/>
  <cols>
    <col min="1" max="1" width="37.6640625" style="4" customWidth="1"/>
    <col min="2" max="3" width="12.6640625" style="4" customWidth="1"/>
    <col min="4" max="4" width="13.88671875" style="4" customWidth="1"/>
    <col min="5" max="8" width="11.33203125" style="4" bestFit="1" customWidth="1"/>
    <col min="9" max="10" width="11.33203125" style="4" customWidth="1"/>
    <col min="11" max="11" width="54.33203125" style="4" bestFit="1" customWidth="1"/>
    <col min="12" max="16384" width="9.109375" style="4"/>
  </cols>
  <sheetData>
    <row r="1" spans="1:11">
      <c r="A1" s="22" t="s">
        <v>379</v>
      </c>
      <c r="B1" s="14"/>
      <c r="C1" s="14"/>
      <c r="E1" s="9"/>
    </row>
    <row r="2" spans="1:11">
      <c r="A2" s="8" t="s">
        <v>378</v>
      </c>
      <c r="B2" s="14"/>
      <c r="C2" s="14"/>
      <c r="D2" s="9"/>
      <c r="E2" s="9"/>
      <c r="F2" s="9"/>
      <c r="G2" s="9"/>
      <c r="H2" s="9"/>
      <c r="I2" s="9"/>
    </row>
    <row r="3" spans="1:11">
      <c r="A3" s="158" t="s">
        <v>4</v>
      </c>
      <c r="B3" s="68">
        <v>2010</v>
      </c>
      <c r="C3" s="68">
        <v>2011</v>
      </c>
      <c r="D3" s="68">
        <v>2012</v>
      </c>
      <c r="E3" s="68">
        <v>2013</v>
      </c>
      <c r="F3" s="68">
        <v>2014</v>
      </c>
      <c r="G3" s="68">
        <v>2015</v>
      </c>
      <c r="H3" s="68">
        <v>2016</v>
      </c>
      <c r="I3" s="68">
        <v>2017</v>
      </c>
      <c r="J3" s="68">
        <v>2018</v>
      </c>
      <c r="K3" s="777" t="s">
        <v>2148</v>
      </c>
    </row>
    <row r="4" spans="1:11">
      <c r="A4" s="8"/>
      <c r="B4" s="14"/>
      <c r="C4" s="14"/>
      <c r="D4" s="9"/>
      <c r="E4" s="9"/>
      <c r="F4" s="9"/>
      <c r="G4" s="9"/>
      <c r="H4" s="9"/>
      <c r="I4" s="9"/>
      <c r="J4" s="9"/>
    </row>
    <row r="5" spans="1:11">
      <c r="A5" s="28" t="s">
        <v>422</v>
      </c>
      <c r="B5" s="14">
        <f>'AL Sch 1.0'!B11</f>
        <v>11879723.289999999</v>
      </c>
      <c r="C5" s="14">
        <f>'AL Sch 1.0'!C11</f>
        <v>17277059.039999999</v>
      </c>
      <c r="D5" s="17">
        <v>13829183</v>
      </c>
      <c r="E5" s="17">
        <v>14099374</v>
      </c>
      <c r="F5" s="17">
        <v>12262234.420454402</v>
      </c>
      <c r="G5" s="17">
        <v>25133852.435000006</v>
      </c>
      <c r="H5" s="17">
        <v>29855199.939999998</v>
      </c>
      <c r="I5" s="17">
        <v>37164175.282200001</v>
      </c>
      <c r="J5" s="17">
        <v>39093825.302200004</v>
      </c>
      <c r="K5" s="4" t="s">
        <v>2029</v>
      </c>
    </row>
    <row r="6" spans="1:11">
      <c r="A6" s="28"/>
      <c r="B6" s="14"/>
      <c r="C6" s="14"/>
      <c r="D6" s="9"/>
      <c r="E6" s="9"/>
      <c r="F6" s="9"/>
      <c r="G6" s="9"/>
      <c r="H6" s="9"/>
      <c r="I6" s="9"/>
      <c r="J6" s="9"/>
    </row>
    <row r="7" spans="1:11">
      <c r="A7" s="8" t="s">
        <v>421</v>
      </c>
      <c r="B7" s="9"/>
      <c r="C7" s="9"/>
      <c r="D7" s="9"/>
      <c r="E7" s="9"/>
      <c r="F7" s="9"/>
      <c r="G7" s="9"/>
      <c r="H7" s="9"/>
      <c r="I7" s="9"/>
      <c r="J7" s="9"/>
    </row>
    <row r="8" spans="1:11">
      <c r="A8" s="8" t="s">
        <v>420</v>
      </c>
      <c r="B8" s="14">
        <v>8361790.0000000009</v>
      </c>
      <c r="C8" s="14">
        <v>9083938.0996855944</v>
      </c>
      <c r="D8" s="72"/>
      <c r="E8" s="72"/>
      <c r="F8" s="72">
        <v>9777772.9645456001</v>
      </c>
      <c r="G8" s="72">
        <v>10741645.35</v>
      </c>
      <c r="H8" s="72">
        <v>11828158.42</v>
      </c>
      <c r="I8" s="72">
        <v>13142827.5778</v>
      </c>
      <c r="J8" s="72">
        <v>13236366.557800001</v>
      </c>
      <c r="K8" s="4" t="s">
        <v>2026</v>
      </c>
    </row>
    <row r="9" spans="1:11">
      <c r="A9" s="8" t="s">
        <v>23</v>
      </c>
      <c r="B9" s="14">
        <v>9780143.1600000001</v>
      </c>
      <c r="C9" s="14">
        <v>12370807.730314406</v>
      </c>
      <c r="D9" s="72"/>
      <c r="E9" s="72"/>
      <c r="F9" s="72">
        <v>19350703.885454401</v>
      </c>
      <c r="G9" s="72">
        <v>25478908.690000001</v>
      </c>
      <c r="H9" s="72">
        <v>30522087.579999998</v>
      </c>
      <c r="I9" s="72">
        <v>38915278.422200002</v>
      </c>
      <c r="J9" s="72">
        <v>39444173.442199998</v>
      </c>
      <c r="K9" s="4" t="s">
        <v>2027</v>
      </c>
    </row>
    <row r="10" spans="1:11">
      <c r="A10" s="8" t="s">
        <v>419</v>
      </c>
      <c r="B10" s="14"/>
      <c r="C10" s="14"/>
      <c r="D10" s="11"/>
      <c r="E10" s="11"/>
      <c r="F10" s="11"/>
      <c r="G10" s="11"/>
      <c r="H10" s="11"/>
      <c r="I10" s="11"/>
      <c r="J10" s="11"/>
    </row>
    <row r="11" spans="1:11">
      <c r="A11" s="8" t="s">
        <v>418</v>
      </c>
      <c r="B11" s="14"/>
      <c r="C11" s="14"/>
      <c r="D11" s="11"/>
      <c r="E11" s="11"/>
      <c r="F11" s="11"/>
      <c r="G11" s="11"/>
      <c r="H11" s="11"/>
      <c r="I11" s="11"/>
      <c r="J11" s="11"/>
    </row>
    <row r="12" spans="1:11">
      <c r="A12" s="8" t="s">
        <v>417</v>
      </c>
      <c r="B12" s="14"/>
      <c r="C12" s="14"/>
      <c r="D12" s="11"/>
      <c r="E12" s="11"/>
      <c r="F12" s="11"/>
      <c r="G12" s="11"/>
      <c r="H12" s="11"/>
      <c r="I12" s="11"/>
      <c r="J12" s="11"/>
    </row>
    <row r="13" spans="1:11">
      <c r="A13" s="8" t="s">
        <v>416</v>
      </c>
      <c r="B13" s="17"/>
      <c r="C13" s="17"/>
      <c r="D13" s="11">
        <v>224200</v>
      </c>
      <c r="E13" s="11">
        <v>198900</v>
      </c>
      <c r="F13" s="11">
        <v>198750</v>
      </c>
      <c r="G13" s="11">
        <v>200000</v>
      </c>
      <c r="H13" s="11">
        <v>200000</v>
      </c>
      <c r="I13" s="11">
        <v>200000</v>
      </c>
      <c r="J13" s="11">
        <v>200000</v>
      </c>
      <c r="K13" s="4" t="s">
        <v>2028</v>
      </c>
    </row>
    <row r="14" spans="1:11">
      <c r="A14" s="29" t="s">
        <v>415</v>
      </c>
      <c r="B14" s="160">
        <v>18141933.16</v>
      </c>
      <c r="C14" s="160">
        <v>21454745.829999998</v>
      </c>
      <c r="D14" s="160">
        <v>22865612.329999998</v>
      </c>
      <c r="E14" s="160">
        <v>24895043.960000001</v>
      </c>
      <c r="F14" s="160">
        <f>SUM(F8:F13)</f>
        <v>29327226.850000001</v>
      </c>
      <c r="G14" s="160">
        <f t="shared" ref="G14:J14" si="0">SUM(G8:G13)</f>
        <v>36420554.039999999</v>
      </c>
      <c r="H14" s="160">
        <f t="shared" si="0"/>
        <v>42550246</v>
      </c>
      <c r="I14" s="160">
        <f t="shared" si="0"/>
        <v>52258106</v>
      </c>
      <c r="J14" s="160">
        <f t="shared" si="0"/>
        <v>52880540</v>
      </c>
    </row>
    <row r="15" spans="1:11">
      <c r="B15" s="30"/>
      <c r="C15" s="30"/>
      <c r="E15" s="9"/>
      <c r="I15" s="161"/>
      <c r="J15" s="161"/>
    </row>
    <row r="16" spans="1:11">
      <c r="A16" s="22" t="s">
        <v>414</v>
      </c>
      <c r="B16" s="23"/>
      <c r="C16" s="23"/>
      <c r="D16" s="2"/>
      <c r="E16" s="2"/>
      <c r="F16" s="2"/>
      <c r="G16" s="2"/>
      <c r="H16" s="2"/>
      <c r="I16" s="9"/>
      <c r="J16" s="9"/>
    </row>
    <row r="17" spans="1:10">
      <c r="A17" s="12"/>
      <c r="B17" s="14"/>
      <c r="C17" s="14"/>
      <c r="D17" s="9"/>
      <c r="E17" s="9"/>
      <c r="F17" s="9"/>
      <c r="G17" s="9"/>
      <c r="H17" s="9"/>
      <c r="I17" s="9"/>
      <c r="J17" s="9"/>
    </row>
    <row r="18" spans="1:10">
      <c r="A18" s="29" t="s">
        <v>413</v>
      </c>
      <c r="B18" s="160">
        <f>SUM(B8:B12)</f>
        <v>18141933.16</v>
      </c>
      <c r="C18" s="160">
        <f>SUM(C8:C12)</f>
        <v>21454745.829999998</v>
      </c>
      <c r="D18" s="162">
        <f>D14</f>
        <v>22865612.329999998</v>
      </c>
      <c r="E18" s="162">
        <f>E14</f>
        <v>24895043.960000001</v>
      </c>
      <c r="F18" s="162">
        <f t="shared" ref="F18:J18" si="1">SUM(F8:F12)</f>
        <v>29128476.850000001</v>
      </c>
      <c r="G18" s="162">
        <f t="shared" si="1"/>
        <v>36220554.039999999</v>
      </c>
      <c r="H18" s="162">
        <f t="shared" si="1"/>
        <v>42350246</v>
      </c>
      <c r="I18" s="162">
        <f t="shared" si="1"/>
        <v>52058106</v>
      </c>
      <c r="J18" s="162">
        <f t="shared" si="1"/>
        <v>52680540</v>
      </c>
    </row>
    <row r="19" spans="1:10" hidden="1">
      <c r="A19" s="8"/>
      <c r="B19" s="14"/>
      <c r="C19" s="14"/>
      <c r="E19" s="9"/>
    </row>
    <row r="20" spans="1:10" hidden="1">
      <c r="A20" s="29" t="s">
        <v>412</v>
      </c>
      <c r="B20" s="82"/>
      <c r="C20" s="82"/>
      <c r="E20" s="9"/>
    </row>
    <row r="21" spans="1:10" hidden="1">
      <c r="B21" s="30"/>
      <c r="C21" s="30"/>
      <c r="E21" s="9"/>
    </row>
    <row r="22" spans="1:10" hidden="1">
      <c r="A22" s="22" t="s">
        <v>411</v>
      </c>
      <c r="B22" s="14"/>
      <c r="C22" s="14"/>
      <c r="E22" s="9"/>
    </row>
    <row r="23" spans="1:10" hidden="1">
      <c r="A23" s="8" t="s">
        <v>410</v>
      </c>
      <c r="B23" s="14"/>
      <c r="C23" s="14"/>
      <c r="E23" s="9"/>
    </row>
    <row r="24" spans="1:10" hidden="1">
      <c r="A24" s="8"/>
      <c r="B24" s="9"/>
      <c r="C24" s="9"/>
      <c r="E24" s="9"/>
    </row>
    <row r="25" spans="1:10" hidden="1">
      <c r="A25" s="29" t="s">
        <v>409</v>
      </c>
      <c r="B25" s="82"/>
      <c r="C25" s="82"/>
      <c r="E25" s="9"/>
    </row>
    <row r="26" spans="1:10">
      <c r="E26" s="9"/>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ignoredErrors>
    <ignoredError sqref="D15:H17"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2" tint="-0.499984740745262"/>
  </sheetPr>
  <dimension ref="A1:P83"/>
  <sheetViews>
    <sheetView showGridLines="0" zoomScale="80" zoomScaleNormal="80" workbookViewId="0">
      <selection activeCell="C60" sqref="C60"/>
    </sheetView>
  </sheetViews>
  <sheetFormatPr defaultColWidth="8.88671875" defaultRowHeight="13.8"/>
  <cols>
    <col min="1" max="1" width="48.6640625" style="9" bestFit="1" customWidth="1"/>
    <col min="2" max="4" width="12.6640625" style="9" customWidth="1"/>
    <col min="5" max="5" width="12.109375" style="9" bestFit="1" customWidth="1"/>
    <col min="6" max="6" width="12.5546875" style="9" bestFit="1" customWidth="1"/>
    <col min="7" max="7" width="12.109375" style="9" bestFit="1" customWidth="1"/>
    <col min="8" max="8" width="12.88671875" style="9" bestFit="1" customWidth="1"/>
    <col min="9" max="10" width="12.88671875" style="9" customWidth="1"/>
    <col min="11" max="11" width="52.88671875" style="9" bestFit="1" customWidth="1"/>
    <col min="12" max="16384" width="8.88671875" style="9"/>
  </cols>
  <sheetData>
    <row r="1" spans="1:16">
      <c r="A1" s="22" t="s">
        <v>447</v>
      </c>
      <c r="B1" s="14"/>
      <c r="C1" s="14"/>
    </row>
    <row r="2" spans="1:16">
      <c r="A2" s="8" t="s">
        <v>378</v>
      </c>
      <c r="B2" s="14"/>
      <c r="C2" s="14"/>
      <c r="E2" s="125"/>
      <c r="F2" s="125"/>
      <c r="G2" s="125"/>
      <c r="H2" s="125"/>
      <c r="I2" s="125"/>
      <c r="J2" s="125"/>
      <c r="K2" s="125"/>
      <c r="L2" s="125"/>
      <c r="M2" s="125"/>
      <c r="N2" s="125"/>
      <c r="O2" s="125"/>
      <c r="P2" s="126"/>
    </row>
    <row r="3" spans="1:16">
      <c r="A3" s="5" t="s">
        <v>4</v>
      </c>
      <c r="B3" s="6">
        <v>2010</v>
      </c>
      <c r="C3" s="6">
        <v>2011</v>
      </c>
      <c r="D3" s="6">
        <v>2012</v>
      </c>
      <c r="E3" s="6">
        <v>2013</v>
      </c>
      <c r="F3" s="68">
        <v>2014</v>
      </c>
      <c r="G3" s="6">
        <v>2015</v>
      </c>
      <c r="H3" s="6">
        <v>2016</v>
      </c>
      <c r="I3" s="68">
        <v>2017</v>
      </c>
      <c r="J3" s="68">
        <v>2018</v>
      </c>
      <c r="K3" s="105" t="s">
        <v>2148</v>
      </c>
      <c r="L3" s="156"/>
      <c r="M3" s="156"/>
      <c r="N3" s="156"/>
      <c r="O3" s="156"/>
      <c r="P3" s="156"/>
    </row>
    <row r="4" spans="1:16">
      <c r="A4" s="8"/>
      <c r="B4" s="14"/>
      <c r="C4" s="14"/>
      <c r="L4" s="11"/>
      <c r="M4" s="11"/>
      <c r="N4" s="11"/>
      <c r="O4" s="11"/>
      <c r="P4" s="11"/>
    </row>
    <row r="5" spans="1:16">
      <c r="A5" s="12" t="s">
        <v>336</v>
      </c>
      <c r="B5" s="14"/>
      <c r="C5" s="14"/>
      <c r="L5" s="11"/>
      <c r="M5" s="11"/>
      <c r="N5" s="11"/>
      <c r="O5" s="11"/>
      <c r="P5" s="11"/>
    </row>
    <row r="6" spans="1:16">
      <c r="A6" s="8"/>
      <c r="B6" s="14"/>
      <c r="C6" s="14"/>
      <c r="L6" s="11"/>
      <c r="M6" s="11"/>
      <c r="N6" s="11"/>
      <c r="O6" s="11"/>
      <c r="P6" s="11"/>
    </row>
    <row r="7" spans="1:16">
      <c r="A7" s="16" t="str">
        <f>'AL Sch 1.0'!A30</f>
        <v>Fuel</v>
      </c>
      <c r="B7" s="14">
        <f>'AL Sch 1.0'!B30</f>
        <v>0</v>
      </c>
      <c r="C7" s="14">
        <f>'AL Sch 1.0'!C30</f>
        <v>0</v>
      </c>
      <c r="D7" s="14">
        <f>'AL Sch 1.0'!D30</f>
        <v>0</v>
      </c>
      <c r="E7" s="14">
        <f>'AL Sch 1.0'!E30</f>
        <v>0</v>
      </c>
      <c r="F7" s="14">
        <f>'AL Sch 1.0'!F30</f>
        <v>0</v>
      </c>
      <c r="G7" s="14">
        <f>'AL Sch 1.0'!G30</f>
        <v>0</v>
      </c>
      <c r="H7" s="14">
        <f>'AL Sch 1.0'!H30</f>
        <v>0</v>
      </c>
      <c r="I7" s="14">
        <f>'AL Sch 1.0'!I30</f>
        <v>0</v>
      </c>
      <c r="J7" s="14">
        <f>'AL Sch 1.0'!J30</f>
        <v>0</v>
      </c>
      <c r="L7" s="11"/>
      <c r="M7" s="11"/>
      <c r="N7" s="11"/>
      <c r="O7" s="11"/>
      <c r="P7" s="11"/>
    </row>
    <row r="8" spans="1:16">
      <c r="A8" s="16" t="s">
        <v>446</v>
      </c>
      <c r="B8" s="14">
        <f>'AL Sch 1.0'!B31</f>
        <v>92445702.960000008</v>
      </c>
      <c r="C8" s="14">
        <f>'AL Sch 1.0'!C31</f>
        <v>95985179.479999989</v>
      </c>
      <c r="D8" s="14">
        <f>'AL Sch 1.0'!D31</f>
        <v>102628262.48999999</v>
      </c>
      <c r="E8" s="14">
        <f>'AL Sch 1.0'!E31</f>
        <v>115556192.48</v>
      </c>
      <c r="F8" s="14">
        <f>'AL Sch 1.0'!F31</f>
        <v>140477036.33000001</v>
      </c>
      <c r="G8" s="14">
        <f>'AL Sch 1.0'!G31</f>
        <v>142516073.88</v>
      </c>
      <c r="H8" s="14">
        <f>'AL Sch 1.0'!H31</f>
        <v>156679378.52000001</v>
      </c>
      <c r="I8" s="14">
        <f>'AL Sch 1.0'!I31</f>
        <v>174297423.94999999</v>
      </c>
      <c r="J8" s="14">
        <f>'AL Sch 1.0'!J31</f>
        <v>175036964.28999999</v>
      </c>
      <c r="L8" s="11"/>
      <c r="M8" s="11"/>
      <c r="N8" s="11"/>
      <c r="O8" s="11"/>
      <c r="P8" s="11"/>
    </row>
    <row r="9" spans="1:16">
      <c r="A9" s="16" t="str">
        <f>'AL Sch 1.0'!A32</f>
        <v>Revenue Offsets</v>
      </c>
      <c r="B9" s="14">
        <f>'AL Sch 1.0'!B32</f>
        <v>-7084000</v>
      </c>
      <c r="C9" s="14">
        <f>'AL Sch 1.0'!C32</f>
        <v>-7265801.0447699996</v>
      </c>
      <c r="D9" s="14">
        <f>'AL Sch 1.0'!D32</f>
        <v>-9588029.0600000005</v>
      </c>
      <c r="E9" s="14">
        <f>'AL Sch 1.0'!E32</f>
        <v>-12253476.77</v>
      </c>
      <c r="F9" s="14">
        <f>'AL Sch 1.0'!F32</f>
        <v>-13311498.5</v>
      </c>
      <c r="G9" s="14">
        <f>'AL Sch 1.0'!G32</f>
        <v>-8796911.9438988697</v>
      </c>
      <c r="H9" s="14">
        <f>'AL Sch 1.0'!H32</f>
        <v>-9022110.5800000001</v>
      </c>
      <c r="I9" s="14">
        <f>'AL Sch 1.0'!I32</f>
        <v>-7479990.4702060698</v>
      </c>
      <c r="J9" s="14">
        <f>'AL Sch 1.0'!J32</f>
        <v>-7481238.9502060702</v>
      </c>
      <c r="L9" s="11"/>
      <c r="M9" s="11"/>
      <c r="N9" s="11"/>
      <c r="O9" s="11"/>
      <c r="P9" s="11"/>
    </row>
    <row r="10" spans="1:16">
      <c r="A10" s="16" t="str">
        <f>'AL Sch 3.0'!A5</f>
        <v>Hearings, Self Ins and Other Taxes</v>
      </c>
      <c r="B10" s="14">
        <f>'AL Sch 3.0'!B5</f>
        <v>11879723.289999999</v>
      </c>
      <c r="C10" s="14">
        <f>'AL Sch 3.0'!C5</f>
        <v>17277059.039999999</v>
      </c>
      <c r="D10" s="14">
        <f>'AL Sch 3.0'!D5</f>
        <v>13829183</v>
      </c>
      <c r="E10" s="14">
        <f>'AL Sch 3.0'!E5</f>
        <v>14099374</v>
      </c>
      <c r="F10" s="14">
        <f>'AL Sch 3.0'!F5</f>
        <v>12262234.420454402</v>
      </c>
      <c r="G10" s="14">
        <f>'AL Sch 3.0'!G5</f>
        <v>25133852.435000006</v>
      </c>
      <c r="H10" s="14">
        <f>'AL Sch 3.0'!H5</f>
        <v>29855199.939999998</v>
      </c>
      <c r="I10" s="14">
        <f>'AL Sch 3.0'!I5</f>
        <v>37164175.282200001</v>
      </c>
      <c r="J10" s="14">
        <f>'AL Sch 3.0'!J5</f>
        <v>39093825.302200004</v>
      </c>
      <c r="L10" s="11"/>
      <c r="M10" s="11"/>
      <c r="N10" s="11"/>
      <c r="O10" s="11"/>
      <c r="P10" s="11"/>
    </row>
    <row r="11" spans="1:16">
      <c r="A11" s="16" t="str">
        <f>'AL Sch 1.0'!A34</f>
        <v xml:space="preserve">  Adjustments</v>
      </c>
      <c r="B11" s="14"/>
      <c r="C11" s="14"/>
      <c r="L11" s="11"/>
      <c r="M11" s="11"/>
      <c r="N11" s="11"/>
      <c r="O11" s="11"/>
      <c r="P11" s="11"/>
    </row>
    <row r="12" spans="1:16">
      <c r="A12" s="16" t="str">
        <f>'AL Sch 1.0'!A35</f>
        <v>Revenue Offsets (Sch 2.0)</v>
      </c>
      <c r="B12" s="14">
        <f>'AL Sch 1.0'!B35</f>
        <v>7785010.9100000001</v>
      </c>
      <c r="C12" s="14">
        <f>'AL Sch 1.0'!C35</f>
        <v>7905859.4199999999</v>
      </c>
      <c r="D12" s="14">
        <f>'AL Sch 1.0'!D35</f>
        <v>7785010.9100000001</v>
      </c>
      <c r="E12" s="14">
        <f>'AL Sch 1.0'!E35</f>
        <v>7905859.4199999999</v>
      </c>
      <c r="F12" s="14">
        <f>'AL Sch 1.0'!F35</f>
        <v>3996498.4999999981</v>
      </c>
      <c r="G12" s="14">
        <f>'AL Sch 1.0'!G35</f>
        <v>4972256.4999999991</v>
      </c>
      <c r="H12" s="14">
        <f>'AL Sch 1.0'!H35</f>
        <v>6622110.5800000001</v>
      </c>
      <c r="I12" s="14">
        <f>'AL Sch 1.0'!I35</f>
        <v>5079990.4702060716</v>
      </c>
      <c r="J12" s="14">
        <f>'AL Sch 1.0'!J35</f>
        <v>5081238.9502060711</v>
      </c>
      <c r="L12" s="11"/>
      <c r="M12" s="11"/>
      <c r="N12" s="11"/>
      <c r="O12" s="11"/>
      <c r="P12" s="11"/>
    </row>
    <row r="13" spans="1:16">
      <c r="A13" s="16" t="str">
        <f>'AL Sch 1.0'!A36</f>
        <v>Hearings, Self Ins, Other Tax (Sch 3.0)</v>
      </c>
      <c r="B13" s="14">
        <f>'AL Sch 1.0'!B36</f>
        <v>-22865612.329999998</v>
      </c>
      <c r="C13" s="14">
        <f>'AL Sch 1.0'!C36</f>
        <v>-24895043.960000001</v>
      </c>
      <c r="D13" s="14">
        <f>'AL Sch 1.0'!D36</f>
        <v>-13829183</v>
      </c>
      <c r="E13" s="14">
        <f>'AL Sch 1.0'!E36</f>
        <v>-14099374</v>
      </c>
      <c r="F13" s="14">
        <f>'AL Sch 1.0'!F36</f>
        <v>-12262234.420454402</v>
      </c>
      <c r="G13" s="14">
        <f>'AL Sch 1.0'!G36</f>
        <v>-25133852.435000006</v>
      </c>
      <c r="H13" s="14">
        <f>'AL Sch 1.0'!H36</f>
        <v>-29855199.939999998</v>
      </c>
      <c r="I13" s="14">
        <f>'AL Sch 1.0'!I36</f>
        <v>-37164175.282200001</v>
      </c>
      <c r="J13" s="14">
        <f>'AL Sch 1.0'!J36</f>
        <v>-39093825.302200004</v>
      </c>
      <c r="L13" s="11"/>
      <c r="M13" s="11"/>
      <c r="N13" s="11"/>
      <c r="O13" s="11"/>
      <c r="P13" s="11"/>
    </row>
    <row r="14" spans="1:16">
      <c r="A14" s="16" t="str">
        <f>'AL Sch 1.0'!A37</f>
        <v>Annual Structure Payments (Sch 4.0)</v>
      </c>
      <c r="B14" s="14">
        <f>'AL Sch 1.0'!B37</f>
        <v>-6433488.7199999997</v>
      </c>
      <c r="C14" s="14">
        <f>'AL Sch 1.0'!C37</f>
        <v>-8621068.1699999999</v>
      </c>
      <c r="D14" s="14">
        <f>'AL Sch 1.0'!D37</f>
        <v>-6433488.7199999997</v>
      </c>
      <c r="E14" s="14">
        <f>'AL Sch 1.0'!E37</f>
        <v>-8621068.1699999999</v>
      </c>
      <c r="F14" s="14">
        <f>'AL Sch 1.0'!F37</f>
        <v>-12604835.07</v>
      </c>
      <c r="G14" s="14">
        <f>'AL Sch 1.0'!G37</f>
        <v>-14181230.050000001</v>
      </c>
      <c r="H14" s="14">
        <f>'AL Sch 1.0'!H37</f>
        <v>-14198374.08</v>
      </c>
      <c r="I14" s="14">
        <f>'AL Sch 1.0'!I37</f>
        <v>-14772061.24</v>
      </c>
      <c r="J14" s="14">
        <f>'AL Sch 1.0'!J37</f>
        <v>-15232557.67</v>
      </c>
      <c r="L14" s="11"/>
      <c r="M14" s="11"/>
      <c r="N14" s="11"/>
      <c r="O14" s="11"/>
      <c r="P14" s="11"/>
    </row>
    <row r="15" spans="1:16" s="105" customFormat="1">
      <c r="A15" s="29" t="s">
        <v>423</v>
      </c>
      <c r="B15" s="160">
        <f t="shared" ref="B15:C15" si="0">SUM(B7:B14)</f>
        <v>75727336.109999999</v>
      </c>
      <c r="C15" s="160">
        <f t="shared" si="0"/>
        <v>80386184.765229985</v>
      </c>
      <c r="D15" s="160">
        <f t="shared" ref="D15:H15" si="1">SUM(D7:D14)</f>
        <v>94391755.61999999</v>
      </c>
      <c r="E15" s="160">
        <f t="shared" si="1"/>
        <v>102587506.96000001</v>
      </c>
      <c r="F15" s="163">
        <f t="shared" si="1"/>
        <v>118557201.26000002</v>
      </c>
      <c r="G15" s="160">
        <f t="shared" si="1"/>
        <v>124510188.38610114</v>
      </c>
      <c r="H15" s="160">
        <f t="shared" si="1"/>
        <v>140081004.44</v>
      </c>
      <c r="I15" s="160">
        <f t="shared" ref="I15:J15" si="2">SUM(I7:I14)</f>
        <v>157125362.70999998</v>
      </c>
      <c r="J15" s="160">
        <f t="shared" si="2"/>
        <v>157404406.62000003</v>
      </c>
      <c r="L15" s="31"/>
      <c r="M15" s="31"/>
      <c r="N15" s="31"/>
      <c r="O15" s="31"/>
      <c r="P15" s="31"/>
    </row>
    <row r="16" spans="1:16">
      <c r="A16" s="8"/>
      <c r="B16" s="14"/>
      <c r="C16" s="14"/>
      <c r="D16" s="2"/>
      <c r="L16" s="11"/>
      <c r="M16" s="11"/>
      <c r="N16" s="11"/>
      <c r="O16" s="11"/>
      <c r="P16" s="11"/>
    </row>
    <row r="17" spans="1:16">
      <c r="A17" s="12" t="s">
        <v>370</v>
      </c>
      <c r="B17" s="14"/>
      <c r="C17" s="14"/>
      <c r="L17" s="11"/>
      <c r="M17" s="17"/>
      <c r="N17" s="11"/>
      <c r="O17" s="11"/>
      <c r="P17" s="11"/>
    </row>
    <row r="18" spans="1:16">
      <c r="A18" s="8" t="s">
        <v>445</v>
      </c>
      <c r="B18" s="70">
        <v>30993038.920000002</v>
      </c>
      <c r="C18" s="70">
        <v>29407711.098488901</v>
      </c>
      <c r="D18" s="72">
        <v>35565126.87000002</v>
      </c>
      <c r="E18" s="72">
        <v>39893935.820000008</v>
      </c>
      <c r="F18" s="72">
        <v>44783363.340000011</v>
      </c>
      <c r="G18" s="72">
        <v>45469264.979999989</v>
      </c>
      <c r="H18" s="72">
        <v>48190290.839999989</v>
      </c>
      <c r="I18" s="72">
        <v>51371264.420000002</v>
      </c>
      <c r="J18" s="72">
        <v>52035992.120000027</v>
      </c>
      <c r="K18" s="9" t="s">
        <v>2030</v>
      </c>
      <c r="L18" s="139"/>
      <c r="M18" s="139"/>
      <c r="N18" s="139"/>
      <c r="O18" s="139"/>
      <c r="P18" s="140"/>
    </row>
    <row r="19" spans="1:16">
      <c r="A19" s="8" t="s">
        <v>444</v>
      </c>
      <c r="B19" s="70">
        <v>6226970.2400000002</v>
      </c>
      <c r="C19" s="70">
        <v>6175581.4199999999</v>
      </c>
      <c r="D19" s="72">
        <v>6215178</v>
      </c>
      <c r="E19" s="72">
        <v>6208876</v>
      </c>
      <c r="F19" s="72">
        <v>6978243.2300000004</v>
      </c>
      <c r="G19" s="72">
        <v>7228971.9500000002</v>
      </c>
      <c r="H19" s="72">
        <v>7583178.5599999996</v>
      </c>
      <c r="I19" s="72">
        <v>7806288.2000000002</v>
      </c>
      <c r="J19" s="72">
        <v>8115380.7199999997</v>
      </c>
      <c r="K19" s="157" t="s">
        <v>2032</v>
      </c>
      <c r="L19" s="139"/>
      <c r="M19" s="139"/>
      <c r="N19" s="139"/>
      <c r="O19" s="139"/>
      <c r="P19" s="140"/>
    </row>
    <row r="20" spans="1:16">
      <c r="A20" s="8" t="s">
        <v>443</v>
      </c>
      <c r="B20" s="70">
        <v>11567281.710000001</v>
      </c>
      <c r="C20" s="70">
        <v>16252840.669999998</v>
      </c>
      <c r="D20" s="72">
        <v>13118561.77</v>
      </c>
      <c r="E20" s="72">
        <v>14390951.129999999</v>
      </c>
      <c r="F20" s="72">
        <v>31601996.689999994</v>
      </c>
      <c r="G20" s="72">
        <v>24578805.740000002</v>
      </c>
      <c r="H20" s="72">
        <v>27228197.169999998</v>
      </c>
      <c r="I20" s="72">
        <v>30128514.970000003</v>
      </c>
      <c r="J20" s="72">
        <v>28296421.18999999</v>
      </c>
      <c r="K20" s="9" t="s">
        <v>2031</v>
      </c>
      <c r="L20" s="139"/>
      <c r="M20" s="139"/>
      <c r="N20" s="139"/>
      <c r="O20" s="139"/>
      <c r="P20" s="140"/>
    </row>
    <row r="21" spans="1:16" s="105" customFormat="1">
      <c r="A21" s="12" t="s">
        <v>426</v>
      </c>
      <c r="B21" s="163">
        <f t="shared" ref="B21:C21" si="3">SUM(B18,B20)</f>
        <v>42560320.630000003</v>
      </c>
      <c r="C21" s="163">
        <f t="shared" si="3"/>
        <v>45660551.768488899</v>
      </c>
      <c r="D21" s="163">
        <f t="shared" ref="D21" si="4">SUM(D18,D20)</f>
        <v>48683688.640000015</v>
      </c>
      <c r="E21" s="163">
        <f t="shared" ref="E21" si="5">SUM(E18,E20)</f>
        <v>54284886.950000003</v>
      </c>
      <c r="F21" s="163">
        <f t="shared" ref="F21" si="6">SUM(F18,F20)</f>
        <v>76385360.030000001</v>
      </c>
      <c r="G21" s="163">
        <f t="shared" ref="G21:J21" si="7">SUM(G18:G20)</f>
        <v>77277042.669999987</v>
      </c>
      <c r="H21" s="163">
        <f t="shared" si="7"/>
        <v>83001666.569999993</v>
      </c>
      <c r="I21" s="163">
        <f t="shared" si="7"/>
        <v>89306067.590000004</v>
      </c>
      <c r="J21" s="163">
        <f t="shared" si="7"/>
        <v>88447794.030000016</v>
      </c>
      <c r="L21" s="623"/>
      <c r="M21" s="623"/>
      <c r="N21" s="623"/>
      <c r="O21" s="623"/>
      <c r="P21" s="624"/>
    </row>
    <row r="22" spans="1:16">
      <c r="A22" s="8"/>
      <c r="B22" s="14"/>
      <c r="C22" s="14"/>
      <c r="L22" s="11"/>
      <c r="M22" s="11"/>
      <c r="N22" s="11"/>
      <c r="O22" s="11"/>
      <c r="P22" s="11"/>
    </row>
    <row r="23" spans="1:16">
      <c r="A23" s="8" t="s">
        <v>442</v>
      </c>
      <c r="B23" s="70"/>
      <c r="C23" s="70"/>
      <c r="D23" s="42"/>
      <c r="E23" s="42"/>
      <c r="F23" s="42"/>
      <c r="G23" s="42"/>
      <c r="H23" s="42"/>
      <c r="I23" s="42"/>
      <c r="J23" s="42"/>
      <c r="L23" s="123"/>
      <c r="M23" s="123"/>
      <c r="N23" s="123"/>
      <c r="O23" s="123"/>
      <c r="P23" s="140"/>
    </row>
    <row r="24" spans="1:16">
      <c r="A24" s="8" t="s">
        <v>441</v>
      </c>
      <c r="B24" s="70"/>
      <c r="C24" s="70"/>
      <c r="D24" s="42"/>
      <c r="E24" s="42"/>
      <c r="F24" s="42"/>
      <c r="G24" s="42"/>
      <c r="H24" s="42"/>
      <c r="I24" s="42"/>
      <c r="J24" s="42"/>
      <c r="L24" s="123"/>
      <c r="M24" s="123"/>
      <c r="N24" s="123"/>
      <c r="O24" s="123"/>
      <c r="P24" s="140"/>
    </row>
    <row r="25" spans="1:16">
      <c r="A25" s="8" t="s">
        <v>440</v>
      </c>
      <c r="B25" s="70"/>
      <c r="C25" s="70"/>
      <c r="D25" s="42"/>
      <c r="E25" s="42"/>
      <c r="F25" s="42"/>
      <c r="G25" s="42"/>
      <c r="H25" s="42"/>
      <c r="I25" s="42"/>
      <c r="J25" s="42"/>
      <c r="L25" s="123"/>
      <c r="M25" s="123"/>
      <c r="N25" s="123"/>
      <c r="O25" s="123"/>
      <c r="P25" s="140"/>
    </row>
    <row r="26" spans="1:16">
      <c r="A26" s="8" t="s">
        <v>439</v>
      </c>
      <c r="B26" s="70"/>
      <c r="C26" s="70"/>
      <c r="D26" s="42"/>
      <c r="E26" s="42"/>
      <c r="F26" s="42"/>
      <c r="G26" s="42"/>
      <c r="H26" s="42"/>
      <c r="I26" s="42"/>
      <c r="J26" s="42"/>
      <c r="L26" s="123"/>
      <c r="M26" s="123"/>
      <c r="N26" s="123"/>
      <c r="O26" s="123"/>
      <c r="P26" s="140"/>
    </row>
    <row r="27" spans="1:16">
      <c r="A27" s="8" t="s">
        <v>438</v>
      </c>
      <c r="B27" s="70"/>
      <c r="C27" s="70"/>
      <c r="D27" s="42"/>
      <c r="E27" s="42"/>
      <c r="F27" s="42"/>
      <c r="G27" s="42"/>
      <c r="H27" s="42"/>
      <c r="I27" s="42"/>
      <c r="J27" s="42"/>
      <c r="L27" s="123"/>
      <c r="M27" s="123"/>
      <c r="N27" s="123"/>
      <c r="O27" s="123"/>
      <c r="P27" s="140"/>
    </row>
    <row r="28" spans="1:16">
      <c r="A28" s="8" t="s">
        <v>437</v>
      </c>
      <c r="B28" s="70"/>
      <c r="C28" s="70"/>
      <c r="D28" s="42"/>
      <c r="E28" s="42"/>
      <c r="F28" s="42"/>
      <c r="G28" s="42"/>
      <c r="H28" s="42"/>
      <c r="I28" s="42"/>
      <c r="J28" s="42"/>
      <c r="L28" s="123"/>
      <c r="M28" s="123"/>
      <c r="N28" s="123"/>
      <c r="O28" s="123"/>
      <c r="P28" s="140"/>
    </row>
    <row r="29" spans="1:16">
      <c r="A29" s="8" t="s">
        <v>436</v>
      </c>
      <c r="B29" s="70"/>
      <c r="C29" s="70"/>
      <c r="D29" s="42"/>
      <c r="E29" s="42"/>
      <c r="F29" s="42"/>
      <c r="G29" s="42"/>
      <c r="H29" s="42"/>
      <c r="I29" s="42"/>
      <c r="J29" s="42"/>
      <c r="L29" s="123"/>
      <c r="M29" s="123"/>
      <c r="N29" s="123"/>
      <c r="O29" s="123"/>
      <c r="P29" s="140"/>
    </row>
    <row r="30" spans="1:16">
      <c r="A30" s="8" t="s">
        <v>435</v>
      </c>
      <c r="B30" s="70"/>
      <c r="C30" s="70"/>
      <c r="D30" s="42"/>
      <c r="E30" s="42"/>
      <c r="F30" s="42"/>
      <c r="G30" s="42"/>
      <c r="H30" s="42"/>
      <c r="I30" s="42"/>
      <c r="J30" s="42"/>
      <c r="L30" s="123"/>
      <c r="M30" s="123"/>
      <c r="N30" s="123"/>
      <c r="O30" s="123"/>
      <c r="P30" s="140"/>
    </row>
    <row r="31" spans="1:16">
      <c r="A31" s="8" t="s">
        <v>434</v>
      </c>
      <c r="B31" s="70"/>
      <c r="C31" s="70"/>
      <c r="D31" s="42"/>
      <c r="E31" s="42"/>
      <c r="F31" s="42"/>
      <c r="G31" s="42"/>
      <c r="H31" s="42"/>
      <c r="I31" s="42"/>
      <c r="J31" s="42"/>
      <c r="L31" s="123"/>
      <c r="M31" s="123"/>
      <c r="N31" s="123"/>
      <c r="O31" s="123"/>
      <c r="P31" s="140"/>
    </row>
    <row r="32" spans="1:16" s="105" customFormat="1">
      <c r="A32" s="12" t="s">
        <v>433</v>
      </c>
      <c r="B32" s="620">
        <v>21068909.829999998</v>
      </c>
      <c r="C32" s="620">
        <v>16893260.591511115</v>
      </c>
      <c r="D32" s="622">
        <v>18392008.389999978</v>
      </c>
      <c r="E32" s="622">
        <v>21353478.409999996</v>
      </c>
      <c r="F32" s="622">
        <v>31262242.09999999</v>
      </c>
      <c r="G32" s="622">
        <v>25353024.810000002</v>
      </c>
      <c r="H32" s="622">
        <v>29003467.600000013</v>
      </c>
      <c r="I32" s="622">
        <v>31433279.280000009</v>
      </c>
      <c r="J32" s="622">
        <v>29833011.159999974</v>
      </c>
      <c r="K32" s="656" t="s">
        <v>2033</v>
      </c>
      <c r="L32" s="623"/>
      <c r="M32" s="623"/>
      <c r="N32" s="623"/>
      <c r="O32" s="623"/>
      <c r="P32" s="624"/>
    </row>
    <row r="33" spans="1:16">
      <c r="A33" s="8" t="s">
        <v>430</v>
      </c>
      <c r="B33" s="70">
        <v>4796389.55</v>
      </c>
      <c r="C33" s="70">
        <v>5985621.29</v>
      </c>
      <c r="D33" s="64">
        <v>6433488.7199999997</v>
      </c>
      <c r="E33" s="64">
        <v>8621068.1699999999</v>
      </c>
      <c r="F33" s="64">
        <v>12604835.07</v>
      </c>
      <c r="G33" s="64">
        <v>14181230.050000001</v>
      </c>
      <c r="H33" s="64">
        <v>14198374.08</v>
      </c>
      <c r="I33" s="64">
        <v>14772061.24</v>
      </c>
      <c r="J33" s="64">
        <v>15232557.67</v>
      </c>
      <c r="K33" s="157" t="s">
        <v>2034</v>
      </c>
      <c r="L33" s="123"/>
      <c r="M33" s="123"/>
      <c r="N33" s="123"/>
      <c r="O33" s="123"/>
      <c r="P33" s="140"/>
    </row>
    <row r="34" spans="1:16">
      <c r="A34" s="12" t="s">
        <v>432</v>
      </c>
      <c r="B34" s="14">
        <f t="shared" ref="B34:G34" si="8">B33+B32+B21</f>
        <v>68425620.010000005</v>
      </c>
      <c r="C34" s="14">
        <f t="shared" si="8"/>
        <v>68539433.650000006</v>
      </c>
      <c r="D34" s="14">
        <f t="shared" si="8"/>
        <v>73509185.75</v>
      </c>
      <c r="E34" s="14">
        <f t="shared" si="8"/>
        <v>84259433.530000001</v>
      </c>
      <c r="F34" s="14">
        <f t="shared" si="8"/>
        <v>120252437.19999999</v>
      </c>
      <c r="G34" s="14">
        <f t="shared" si="8"/>
        <v>116811297.52999999</v>
      </c>
      <c r="H34" s="14">
        <f>H33+H32+H21</f>
        <v>126203508.25</v>
      </c>
      <c r="I34" s="14">
        <f t="shared" ref="I34:J34" si="9">I33+I32+I21</f>
        <v>135511408.11000001</v>
      </c>
      <c r="J34" s="14">
        <f t="shared" si="9"/>
        <v>133513362.85999998</v>
      </c>
      <c r="L34" s="11"/>
      <c r="M34" s="11"/>
      <c r="N34" s="11"/>
      <c r="O34" s="11"/>
      <c r="P34" s="140"/>
    </row>
    <row r="35" spans="1:16">
      <c r="A35" s="8"/>
      <c r="B35" s="17"/>
      <c r="C35" s="17"/>
    </row>
    <row r="36" spans="1:16">
      <c r="A36" s="8" t="s">
        <v>425</v>
      </c>
      <c r="B36" s="14"/>
      <c r="C36" s="14"/>
      <c r="D36" s="14">
        <f>D12+D9</f>
        <v>-1803018.1500000004</v>
      </c>
      <c r="E36" s="14">
        <f t="shared" ref="E36:H36" si="10">E12+E9</f>
        <v>-4347617.3499999996</v>
      </c>
      <c r="F36" s="14">
        <f t="shared" si="10"/>
        <v>-9315000.0000000019</v>
      </c>
      <c r="G36" s="14">
        <f t="shared" si="10"/>
        <v>-3824655.4438988706</v>
      </c>
      <c r="H36" s="14">
        <f t="shared" si="10"/>
        <v>-2400000</v>
      </c>
      <c r="I36" s="14">
        <f t="shared" ref="I36:J36" si="11">I12+I9</f>
        <v>-2399999.9999999981</v>
      </c>
      <c r="J36" s="14">
        <f t="shared" si="11"/>
        <v>-2399999.9999999991</v>
      </c>
    </row>
    <row r="37" spans="1:16">
      <c r="A37" s="8" t="s">
        <v>431</v>
      </c>
      <c r="B37" s="14"/>
      <c r="C37" s="14"/>
      <c r="D37" s="17">
        <f>D10</f>
        <v>13829183</v>
      </c>
      <c r="E37" s="17">
        <f>E10</f>
        <v>14099374</v>
      </c>
      <c r="F37" s="17">
        <f>F10</f>
        <v>12262234.420454402</v>
      </c>
      <c r="G37" s="17">
        <f>G10</f>
        <v>25133852.435000006</v>
      </c>
      <c r="H37" s="17">
        <f>H10</f>
        <v>29855199.939999998</v>
      </c>
      <c r="I37" s="17">
        <f t="shared" ref="I37:J37" si="12">I10</f>
        <v>37164175.282200001</v>
      </c>
      <c r="J37" s="17">
        <f t="shared" si="12"/>
        <v>39093825.302200004</v>
      </c>
    </row>
    <row r="38" spans="1:16">
      <c r="A38" s="8" t="s">
        <v>430</v>
      </c>
      <c r="B38" s="14"/>
      <c r="C38" s="14"/>
      <c r="D38" s="17">
        <f t="shared" ref="D38:H38" si="13">D14</f>
        <v>-6433488.7199999997</v>
      </c>
      <c r="E38" s="17">
        <f t="shared" si="13"/>
        <v>-8621068.1699999999</v>
      </c>
      <c r="F38" s="17">
        <f t="shared" si="13"/>
        <v>-12604835.07</v>
      </c>
      <c r="G38" s="17">
        <f t="shared" si="13"/>
        <v>-14181230.050000001</v>
      </c>
      <c r="H38" s="17">
        <f t="shared" si="13"/>
        <v>-14198374.08</v>
      </c>
      <c r="I38" s="17">
        <f t="shared" ref="I38:J38" si="14">I14</f>
        <v>-14772061.24</v>
      </c>
      <c r="J38" s="17">
        <f t="shared" si="14"/>
        <v>-15232557.67</v>
      </c>
    </row>
    <row r="39" spans="1:16" s="105" customFormat="1">
      <c r="A39" s="74" t="s">
        <v>429</v>
      </c>
      <c r="B39" s="163"/>
      <c r="C39" s="163"/>
      <c r="D39" s="620">
        <f t="shared" ref="D39:H39" si="15">SUM(D34:D38)</f>
        <v>79101861.879999995</v>
      </c>
      <c r="E39" s="620">
        <f t="shared" si="15"/>
        <v>85390122.010000005</v>
      </c>
      <c r="F39" s="620">
        <f t="shared" si="15"/>
        <v>110594836.55045438</v>
      </c>
      <c r="G39" s="620">
        <f t="shared" si="15"/>
        <v>123939264.47110112</v>
      </c>
      <c r="H39" s="620">
        <f t="shared" si="15"/>
        <v>139460334.10999998</v>
      </c>
      <c r="I39" s="620">
        <f t="shared" ref="I39:J39" si="16">SUM(I34:I38)</f>
        <v>155503522.15220001</v>
      </c>
      <c r="J39" s="620">
        <f t="shared" si="16"/>
        <v>154974630.49219999</v>
      </c>
    </row>
    <row r="40" spans="1:16">
      <c r="A40" s="21" t="s">
        <v>428</v>
      </c>
      <c r="B40" s="18"/>
      <c r="C40" s="18"/>
      <c r="D40" s="34"/>
      <c r="E40" s="34"/>
      <c r="G40" s="34"/>
      <c r="H40" s="34"/>
      <c r="I40" s="34"/>
      <c r="J40" s="34"/>
    </row>
    <row r="41" spans="1:16">
      <c r="A41" s="22" t="s">
        <v>427</v>
      </c>
      <c r="B41" s="23"/>
      <c r="C41" s="23"/>
      <c r="D41" s="2"/>
      <c r="E41" s="2"/>
      <c r="G41" s="2"/>
      <c r="H41" s="2"/>
      <c r="I41" s="2"/>
      <c r="J41" s="2"/>
    </row>
    <row r="42" spans="1:16">
      <c r="A42" s="8" t="s">
        <v>426</v>
      </c>
      <c r="B42" s="14">
        <v>42560320.630000003</v>
      </c>
      <c r="C42" s="14">
        <v>45660551.768488899</v>
      </c>
      <c r="D42" s="14">
        <f t="shared" ref="D42:H42" si="17">D21</f>
        <v>48683688.640000015</v>
      </c>
      <c r="E42" s="14">
        <f t="shared" si="17"/>
        <v>54284886.950000003</v>
      </c>
      <c r="F42" s="14">
        <f t="shared" si="17"/>
        <v>76385360.030000001</v>
      </c>
      <c r="G42" s="14">
        <f t="shared" si="17"/>
        <v>77277042.669999987</v>
      </c>
      <c r="H42" s="14">
        <f t="shared" si="17"/>
        <v>83001666.569999993</v>
      </c>
      <c r="I42" s="14">
        <f t="shared" ref="I42:J42" si="18">I21</f>
        <v>89306067.590000004</v>
      </c>
      <c r="J42" s="14">
        <f t="shared" si="18"/>
        <v>88447794.030000016</v>
      </c>
    </row>
    <row r="43" spans="1:16">
      <c r="A43" s="8" t="s">
        <v>425</v>
      </c>
      <c r="B43" s="14">
        <v>-1040629.29</v>
      </c>
      <c r="C43" s="14">
        <v>-1270651.9699999997</v>
      </c>
      <c r="D43" s="14">
        <f t="shared" ref="D43:H43" si="19">D36</f>
        <v>-1803018.1500000004</v>
      </c>
      <c r="E43" s="14">
        <f t="shared" si="19"/>
        <v>-4347617.3499999996</v>
      </c>
      <c r="F43" s="14">
        <f t="shared" si="19"/>
        <v>-9315000.0000000019</v>
      </c>
      <c r="G43" s="14">
        <f t="shared" si="19"/>
        <v>-3824655.4438988706</v>
      </c>
      <c r="H43" s="14">
        <f t="shared" si="19"/>
        <v>-2400000</v>
      </c>
      <c r="I43" s="14">
        <f t="shared" ref="I43:J43" si="20">I36</f>
        <v>-2399999.9999999981</v>
      </c>
      <c r="J43" s="14">
        <f t="shared" si="20"/>
        <v>-2399999.9999999991</v>
      </c>
    </row>
    <row r="44" spans="1:16" s="105" customFormat="1">
      <c r="A44" s="73" t="s">
        <v>415</v>
      </c>
      <c r="B44" s="160">
        <f t="shared" ref="B44:H44" si="21">SUM(B42:B43)</f>
        <v>41519691.340000004</v>
      </c>
      <c r="C44" s="160">
        <f t="shared" si="21"/>
        <v>44389899.7984889</v>
      </c>
      <c r="D44" s="160">
        <f t="shared" si="21"/>
        <v>46880670.490000017</v>
      </c>
      <c r="E44" s="160">
        <f t="shared" si="21"/>
        <v>49937269.600000001</v>
      </c>
      <c r="F44" s="163">
        <f t="shared" si="21"/>
        <v>67070360.030000001</v>
      </c>
      <c r="G44" s="160">
        <f t="shared" si="21"/>
        <v>73452387.226101115</v>
      </c>
      <c r="H44" s="160">
        <f t="shared" si="21"/>
        <v>80601666.569999993</v>
      </c>
      <c r="I44" s="160">
        <f t="shared" ref="I44:J44" si="22">SUM(I42:I43)</f>
        <v>86906067.590000004</v>
      </c>
      <c r="J44" s="160">
        <f t="shared" si="22"/>
        <v>86047794.030000016</v>
      </c>
    </row>
    <row r="45" spans="1:16">
      <c r="A45" s="21"/>
      <c r="B45" s="18"/>
      <c r="C45" s="18"/>
      <c r="D45" s="161"/>
      <c r="E45" s="34"/>
      <c r="G45" s="34"/>
      <c r="H45" s="34"/>
      <c r="I45" s="34"/>
      <c r="J45" s="34"/>
    </row>
    <row r="46" spans="1:16">
      <c r="A46" s="100" t="s">
        <v>424</v>
      </c>
      <c r="B46" s="23"/>
      <c r="C46" s="23"/>
      <c r="D46" s="2"/>
      <c r="E46" s="2"/>
      <c r="G46" s="2"/>
      <c r="H46" s="2"/>
      <c r="I46" s="2"/>
      <c r="J46" s="2"/>
    </row>
    <row r="47" spans="1:16">
      <c r="A47" s="8" t="str">
        <f t="shared" ref="A47:H47" si="23">A32</f>
        <v>General Operating Expense</v>
      </c>
      <c r="B47" s="14">
        <v>21068909.829999998</v>
      </c>
      <c r="C47" s="14">
        <v>16893260.591511115</v>
      </c>
      <c r="D47" s="14">
        <f t="shared" si="23"/>
        <v>18392008.389999978</v>
      </c>
      <c r="E47" s="14">
        <f t="shared" si="23"/>
        <v>21353478.409999996</v>
      </c>
      <c r="F47" s="14">
        <f t="shared" si="23"/>
        <v>31262242.09999999</v>
      </c>
      <c r="G47" s="14">
        <f t="shared" si="23"/>
        <v>25353024.810000002</v>
      </c>
      <c r="H47" s="14">
        <f t="shared" si="23"/>
        <v>29003467.600000013</v>
      </c>
      <c r="I47" s="14">
        <f t="shared" ref="I47:J47" si="24">I32</f>
        <v>31433279.280000009</v>
      </c>
      <c r="J47" s="14">
        <f t="shared" si="24"/>
        <v>29833011.159999974</v>
      </c>
    </row>
    <row r="48" spans="1:16">
      <c r="A48" s="8" t="s">
        <v>374</v>
      </c>
      <c r="B48" s="14">
        <v>11879723.289999999</v>
      </c>
      <c r="C48" s="14">
        <v>17277059.039999999</v>
      </c>
      <c r="D48" s="14">
        <f t="shared" ref="D48:H48" si="25">D37</f>
        <v>13829183</v>
      </c>
      <c r="E48" s="14">
        <f t="shared" si="25"/>
        <v>14099374</v>
      </c>
      <c r="F48" s="14">
        <f t="shared" si="25"/>
        <v>12262234.420454402</v>
      </c>
      <c r="G48" s="14">
        <f t="shared" si="25"/>
        <v>25133852.435000006</v>
      </c>
      <c r="H48" s="14">
        <f t="shared" si="25"/>
        <v>29855199.939999998</v>
      </c>
      <c r="I48" s="14">
        <f t="shared" ref="I48:J48" si="26">I37</f>
        <v>37164175.282200001</v>
      </c>
      <c r="J48" s="14">
        <f t="shared" si="26"/>
        <v>39093825.302200004</v>
      </c>
    </row>
    <row r="49" spans="1:10" s="105" customFormat="1">
      <c r="A49" s="73" t="s">
        <v>415</v>
      </c>
      <c r="B49" s="160">
        <f t="shared" ref="B49:H49" si="27">SUM(B47:B48)</f>
        <v>32948633.119999997</v>
      </c>
      <c r="C49" s="160">
        <f t="shared" si="27"/>
        <v>34170319.631511115</v>
      </c>
      <c r="D49" s="160">
        <f t="shared" si="27"/>
        <v>32221191.389999978</v>
      </c>
      <c r="E49" s="160">
        <f t="shared" si="27"/>
        <v>35452852.409999996</v>
      </c>
      <c r="F49" s="163">
        <f t="shared" si="27"/>
        <v>43524476.520454392</v>
      </c>
      <c r="G49" s="160">
        <f t="shared" si="27"/>
        <v>50486877.245000005</v>
      </c>
      <c r="H49" s="160">
        <f t="shared" si="27"/>
        <v>58858667.540000007</v>
      </c>
      <c r="I49" s="160">
        <f t="shared" ref="I49:J49" si="28">SUM(I47:I48)</f>
        <v>68597454.56220001</v>
      </c>
      <c r="J49" s="160">
        <f t="shared" si="28"/>
        <v>68926836.462199986</v>
      </c>
    </row>
    <row r="50" spans="1:10">
      <c r="A50" s="8"/>
      <c r="B50" s="14"/>
      <c r="C50" s="14"/>
      <c r="D50" s="2"/>
    </row>
    <row r="51" spans="1:10" s="105" customFormat="1">
      <c r="A51" s="29" t="s">
        <v>423</v>
      </c>
      <c r="B51" s="160">
        <f>B49+B44</f>
        <v>74468324.460000008</v>
      </c>
      <c r="C51" s="160">
        <f t="shared" ref="C51:H51" si="29">C49+C44</f>
        <v>78560219.430000007</v>
      </c>
      <c r="D51" s="160">
        <f t="shared" si="29"/>
        <v>79101861.879999995</v>
      </c>
      <c r="E51" s="160">
        <f t="shared" si="29"/>
        <v>85390122.00999999</v>
      </c>
      <c r="F51" s="163">
        <f t="shared" si="29"/>
        <v>110594836.55045439</v>
      </c>
      <c r="G51" s="160">
        <f t="shared" si="29"/>
        <v>123939264.47110112</v>
      </c>
      <c r="H51" s="160">
        <f t="shared" si="29"/>
        <v>139460334.11000001</v>
      </c>
      <c r="I51" s="160">
        <f t="shared" ref="I51:J51" si="30">I49+I44</f>
        <v>155503522.15220001</v>
      </c>
      <c r="J51" s="160">
        <f t="shared" si="30"/>
        <v>154974630.49220002</v>
      </c>
    </row>
    <row r="52" spans="1:10">
      <c r="A52" s="105"/>
      <c r="B52" s="14"/>
      <c r="C52" s="14"/>
    </row>
    <row r="53" spans="1:10">
      <c r="A53" s="105"/>
      <c r="B53" s="14"/>
      <c r="C53" s="14"/>
    </row>
    <row r="54" spans="1:10">
      <c r="A54" s="105"/>
      <c r="B54" s="14"/>
      <c r="C54" s="14"/>
    </row>
    <row r="55" spans="1:10">
      <c r="A55" s="105"/>
      <c r="B55" s="14"/>
      <c r="C55" s="14"/>
    </row>
    <row r="56" spans="1:10">
      <c r="A56" s="105"/>
      <c r="B56" s="14"/>
      <c r="C56" s="14"/>
    </row>
    <row r="57" spans="1:10">
      <c r="B57" s="14"/>
      <c r="C57" s="14"/>
    </row>
    <row r="58" spans="1:10">
      <c r="B58" s="14"/>
      <c r="C58" s="14"/>
    </row>
    <row r="59" spans="1:10">
      <c r="B59" s="14"/>
      <c r="C59" s="14"/>
    </row>
    <row r="60" spans="1:10">
      <c r="B60" s="14"/>
      <c r="C60" s="14"/>
    </row>
    <row r="61" spans="1:10">
      <c r="B61" s="14"/>
      <c r="C61" s="14"/>
    </row>
    <row r="62" spans="1:10">
      <c r="B62" s="14"/>
      <c r="C62" s="14"/>
    </row>
    <row r="63" spans="1:10">
      <c r="B63" s="14"/>
      <c r="C63" s="14"/>
    </row>
    <row r="64" spans="1:10">
      <c r="B64" s="14"/>
      <c r="C64" s="14"/>
    </row>
    <row r="65" spans="2:3">
      <c r="B65" s="14"/>
      <c r="C65" s="14"/>
    </row>
    <row r="66" spans="2:3">
      <c r="B66" s="14"/>
      <c r="C66" s="14"/>
    </row>
    <row r="67" spans="2:3">
      <c r="B67" s="14"/>
      <c r="C67" s="14"/>
    </row>
    <row r="68" spans="2:3">
      <c r="B68" s="14"/>
      <c r="C68" s="14"/>
    </row>
    <row r="69" spans="2:3">
      <c r="B69" s="14"/>
      <c r="C69" s="14"/>
    </row>
    <row r="70" spans="2:3">
      <c r="B70" s="14"/>
      <c r="C70" s="14"/>
    </row>
    <row r="71" spans="2:3">
      <c r="B71" s="14"/>
      <c r="C71" s="14"/>
    </row>
    <row r="72" spans="2:3">
      <c r="B72" s="14"/>
      <c r="C72" s="14"/>
    </row>
    <row r="73" spans="2:3">
      <c r="B73" s="14"/>
      <c r="C73" s="14"/>
    </row>
    <row r="74" spans="2:3">
      <c r="B74" s="14"/>
      <c r="C74" s="14"/>
    </row>
    <row r="75" spans="2:3">
      <c r="B75" s="14"/>
      <c r="C75" s="14"/>
    </row>
    <row r="76" spans="2:3">
      <c r="B76" s="14"/>
      <c r="C76" s="14"/>
    </row>
    <row r="77" spans="2:3">
      <c r="B77" s="14"/>
      <c r="C77" s="14"/>
    </row>
    <row r="78" spans="2:3">
      <c r="B78" s="14"/>
      <c r="C78" s="14"/>
    </row>
    <row r="79" spans="2:3">
      <c r="B79" s="14"/>
      <c r="C79" s="14"/>
    </row>
    <row r="80" spans="2:3">
      <c r="B80" s="14"/>
      <c r="C80" s="14"/>
    </row>
    <row r="81" spans="2:3">
      <c r="B81" s="14"/>
      <c r="C81" s="14"/>
    </row>
    <row r="82" spans="2:3">
      <c r="B82" s="14"/>
      <c r="C82" s="14"/>
    </row>
    <row r="83" spans="2:3">
      <c r="B83" s="14"/>
      <c r="C83" s="14"/>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ignoredErrors>
    <ignoredError sqref="D39:H39 D15:H15" emptyCellReference="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2" tint="-0.499984740745262"/>
  </sheetPr>
  <dimension ref="A1:P56"/>
  <sheetViews>
    <sheetView showGridLines="0" topLeftCell="A32" zoomScale="90" zoomScaleNormal="90" workbookViewId="0">
      <pane xSplit="1" topLeftCell="B1" activePane="topRight" state="frozen"/>
      <selection activeCell="O24" sqref="A1:XFD1048576"/>
      <selection pane="topRight" activeCell="B1" sqref="B1:E1048576"/>
    </sheetView>
  </sheetViews>
  <sheetFormatPr defaultColWidth="9.109375" defaultRowHeight="13.8"/>
  <cols>
    <col min="1" max="1" width="38" style="4" customWidth="1"/>
    <col min="2" max="4" width="12.6640625" style="4" customWidth="1"/>
    <col min="5" max="8" width="12.109375" style="4" bestFit="1" customWidth="1"/>
    <col min="9" max="10" width="12.109375" style="4" customWidth="1"/>
    <col min="11" max="11" width="11.33203125" style="4" bestFit="1" customWidth="1"/>
    <col min="12" max="12" width="12.109375" style="4" bestFit="1" customWidth="1"/>
    <col min="13" max="16384" width="9.109375" style="4"/>
  </cols>
  <sheetData>
    <row r="1" spans="1:16">
      <c r="A1" s="5" t="s">
        <v>462</v>
      </c>
      <c r="B1" s="788">
        <v>2010</v>
      </c>
      <c r="C1" s="132">
        <v>2011</v>
      </c>
      <c r="D1" s="7">
        <v>2012</v>
      </c>
      <c r="E1" s="6">
        <v>2013</v>
      </c>
      <c r="F1" s="6">
        <v>2014</v>
      </c>
      <c r="G1" s="6">
        <v>2015</v>
      </c>
      <c r="H1" s="6">
        <v>2016</v>
      </c>
      <c r="I1" s="68">
        <v>2017</v>
      </c>
      <c r="J1" s="68">
        <v>2018</v>
      </c>
      <c r="K1" s="777" t="s">
        <v>2150</v>
      </c>
      <c r="L1" s="58"/>
      <c r="M1" s="58"/>
      <c r="N1" s="58"/>
      <c r="O1" s="58"/>
    </row>
    <row r="2" spans="1:16">
      <c r="A2" s="8"/>
      <c r="B2" s="9"/>
      <c r="C2" s="9"/>
      <c r="D2" s="9"/>
      <c r="E2" s="9"/>
      <c r="F2" s="9"/>
      <c r="G2" s="9"/>
      <c r="H2" s="9"/>
      <c r="I2" s="9"/>
      <c r="J2" s="9"/>
    </row>
    <row r="3" spans="1:16">
      <c r="A3" s="16" t="s">
        <v>461</v>
      </c>
      <c r="B3" s="14">
        <v>30993038.920000002</v>
      </c>
      <c r="C3" s="14">
        <v>29407711.098488901</v>
      </c>
      <c r="D3" s="17">
        <f>'AL Sch 4.0'!D18</f>
        <v>35565126.87000002</v>
      </c>
      <c r="E3" s="17">
        <f>'AL Sch 4.0'!E18</f>
        <v>39893935.820000008</v>
      </c>
      <c r="F3" s="17">
        <f>'AL Sch 4.0'!F18</f>
        <v>44783363.340000011</v>
      </c>
      <c r="G3" s="17">
        <f>'AL Sch 4.0'!G18</f>
        <v>45469264.979999989</v>
      </c>
      <c r="H3" s="17">
        <f>'AL Sch 4.0'!H18</f>
        <v>48190290.839999989</v>
      </c>
      <c r="I3" s="17">
        <f>'AL Sch 4.0'!I18</f>
        <v>51371264.420000002</v>
      </c>
      <c r="J3" s="17">
        <f>'AL Sch 4.0'!J18</f>
        <v>52035992.120000027</v>
      </c>
    </row>
    <row r="4" spans="1:16">
      <c r="A4" s="8"/>
      <c r="B4" s="9"/>
      <c r="C4" s="9"/>
      <c r="D4" s="9"/>
      <c r="E4" s="9"/>
      <c r="F4" s="9"/>
      <c r="G4" s="9"/>
      <c r="H4" s="9"/>
      <c r="I4" s="9"/>
      <c r="J4" s="9"/>
    </row>
    <row r="5" spans="1:16">
      <c r="A5" s="8" t="s">
        <v>460</v>
      </c>
      <c r="B5" s="9"/>
      <c r="C5" s="9"/>
      <c r="D5" s="9"/>
      <c r="E5" s="9"/>
      <c r="F5" s="9"/>
      <c r="G5" s="9"/>
      <c r="H5" s="9"/>
      <c r="I5" s="9"/>
      <c r="J5" s="9"/>
    </row>
    <row r="6" spans="1:16">
      <c r="A6" s="8"/>
      <c r="B6" s="9"/>
      <c r="C6" s="9"/>
      <c r="D6" s="9"/>
      <c r="E6" s="9"/>
      <c r="F6" s="9"/>
      <c r="G6" s="9"/>
      <c r="H6" s="9"/>
      <c r="I6" s="9"/>
      <c r="J6" s="9"/>
    </row>
    <row r="7" spans="1:16">
      <c r="A7" s="8" t="s">
        <v>457</v>
      </c>
      <c r="B7" s="9">
        <v>13</v>
      </c>
      <c r="C7" s="9">
        <v>16</v>
      </c>
      <c r="D7" s="72">
        <v>18</v>
      </c>
      <c r="E7" s="72">
        <v>25</v>
      </c>
      <c r="F7" s="72">
        <v>23</v>
      </c>
      <c r="G7" s="72">
        <v>20</v>
      </c>
      <c r="H7" s="72">
        <v>22</v>
      </c>
      <c r="I7" s="72">
        <v>20</v>
      </c>
      <c r="J7" s="72">
        <v>20</v>
      </c>
      <c r="K7" s="77" t="s">
        <v>2038</v>
      </c>
      <c r="L7" s="139"/>
      <c r="M7" s="139"/>
      <c r="N7" s="139"/>
      <c r="O7" s="139"/>
      <c r="P7" s="140"/>
    </row>
    <row r="8" spans="1:16">
      <c r="A8" s="8" t="s">
        <v>456</v>
      </c>
      <c r="B8" s="9">
        <v>39</v>
      </c>
      <c r="C8" s="9">
        <v>37</v>
      </c>
      <c r="D8" s="72">
        <v>42</v>
      </c>
      <c r="E8" s="72">
        <v>43</v>
      </c>
      <c r="F8" s="72">
        <v>45</v>
      </c>
      <c r="G8" s="72">
        <v>45</v>
      </c>
      <c r="H8" s="72">
        <v>44</v>
      </c>
      <c r="I8" s="72">
        <v>44</v>
      </c>
      <c r="J8" s="72">
        <v>44</v>
      </c>
      <c r="K8" s="77" t="s">
        <v>2037</v>
      </c>
      <c r="L8" s="139"/>
      <c r="M8" s="139"/>
      <c r="N8" s="139"/>
      <c r="O8" s="139"/>
      <c r="P8" s="140"/>
    </row>
    <row r="9" spans="1:16">
      <c r="A9" s="8" t="s">
        <v>455</v>
      </c>
      <c r="B9" s="9">
        <v>35</v>
      </c>
      <c r="C9" s="9">
        <v>34.6</v>
      </c>
      <c r="D9" s="72">
        <v>39.6</v>
      </c>
      <c r="E9" s="72">
        <v>37.6</v>
      </c>
      <c r="F9" s="72">
        <v>40.6</v>
      </c>
      <c r="G9" s="72">
        <v>55.2</v>
      </c>
      <c r="H9" s="72">
        <v>54.2</v>
      </c>
      <c r="I9" s="72">
        <v>52.2</v>
      </c>
      <c r="J9" s="72">
        <v>52.2</v>
      </c>
      <c r="K9" s="77" t="s">
        <v>2036</v>
      </c>
      <c r="L9" s="139"/>
      <c r="M9" s="139"/>
      <c r="N9" s="139"/>
      <c r="O9" s="139"/>
      <c r="P9" s="140"/>
    </row>
    <row r="10" spans="1:16">
      <c r="A10" s="8" t="s">
        <v>454</v>
      </c>
      <c r="B10" s="9">
        <v>12.6</v>
      </c>
      <c r="C10" s="9">
        <v>10.6</v>
      </c>
      <c r="D10" s="72">
        <v>13</v>
      </c>
      <c r="E10" s="72">
        <v>12</v>
      </c>
      <c r="F10" s="72">
        <v>13</v>
      </c>
      <c r="G10" s="72">
        <v>13</v>
      </c>
      <c r="H10" s="72">
        <v>13</v>
      </c>
      <c r="I10" s="72">
        <v>13</v>
      </c>
      <c r="J10" s="72">
        <v>13</v>
      </c>
      <c r="K10" s="77" t="s">
        <v>2035</v>
      </c>
      <c r="L10" s="139"/>
      <c r="M10" s="139"/>
      <c r="N10" s="139"/>
      <c r="O10" s="139"/>
      <c r="P10" s="140"/>
    </row>
    <row r="11" spans="1:16">
      <c r="A11" s="8" t="s">
        <v>453</v>
      </c>
      <c r="B11" s="9">
        <v>52.8</v>
      </c>
      <c r="C11" s="9">
        <v>58.2</v>
      </c>
      <c r="D11" s="72">
        <v>68.599999999999994</v>
      </c>
      <c r="E11" s="72">
        <v>76.599999999999994</v>
      </c>
      <c r="F11" s="72">
        <v>76.2</v>
      </c>
      <c r="G11" s="72">
        <v>74.400000000000006</v>
      </c>
      <c r="H11" s="72">
        <v>73.8</v>
      </c>
      <c r="I11" s="72">
        <v>73.8</v>
      </c>
      <c r="J11" s="72">
        <v>70.8</v>
      </c>
      <c r="K11" s="77" t="s">
        <v>2039</v>
      </c>
      <c r="L11" s="139"/>
      <c r="M11" s="139"/>
      <c r="N11" s="139"/>
      <c r="O11" s="139"/>
      <c r="P11" s="140"/>
    </row>
    <row r="12" spans="1:16">
      <c r="A12" s="8" t="s">
        <v>452</v>
      </c>
      <c r="B12" s="9">
        <v>1</v>
      </c>
      <c r="C12" s="9">
        <v>1</v>
      </c>
      <c r="D12" s="72">
        <v>2</v>
      </c>
      <c r="E12" s="72">
        <v>2</v>
      </c>
      <c r="F12" s="72">
        <v>2</v>
      </c>
      <c r="G12" s="72">
        <v>2</v>
      </c>
      <c r="H12" s="72">
        <v>2</v>
      </c>
      <c r="I12" s="72">
        <v>2</v>
      </c>
      <c r="J12" s="72">
        <v>2</v>
      </c>
      <c r="K12" s="77" t="s">
        <v>2040</v>
      </c>
      <c r="L12" s="139"/>
      <c r="M12" s="139"/>
      <c r="N12" s="139"/>
      <c r="O12" s="139"/>
      <c r="P12" s="140"/>
    </row>
    <row r="13" spans="1:16">
      <c r="A13" s="8" t="s">
        <v>451</v>
      </c>
      <c r="B13" s="9">
        <v>7</v>
      </c>
      <c r="C13" s="9">
        <v>9</v>
      </c>
      <c r="D13" s="72">
        <v>11</v>
      </c>
      <c r="E13" s="72">
        <v>11</v>
      </c>
      <c r="F13" s="72">
        <v>11</v>
      </c>
      <c r="G13" s="72">
        <v>11</v>
      </c>
      <c r="H13" s="72">
        <v>12</v>
      </c>
      <c r="I13" s="72">
        <v>12</v>
      </c>
      <c r="J13" s="72">
        <v>12</v>
      </c>
      <c r="K13" s="77" t="s">
        <v>2041</v>
      </c>
      <c r="L13" s="139"/>
      <c r="M13" s="139"/>
      <c r="N13" s="139"/>
      <c r="O13" s="139"/>
      <c r="P13" s="140"/>
    </row>
    <row r="14" spans="1:16">
      <c r="A14" s="8" t="s">
        <v>450</v>
      </c>
      <c r="B14" s="9">
        <v>58.2</v>
      </c>
      <c r="C14" s="9">
        <v>56.4</v>
      </c>
      <c r="D14" s="72">
        <v>61.6</v>
      </c>
      <c r="E14" s="72">
        <v>60.6</v>
      </c>
      <c r="F14" s="72">
        <v>64.599999999999994</v>
      </c>
      <c r="G14" s="72">
        <v>78.599999999999994</v>
      </c>
      <c r="H14" s="72">
        <v>73.599999999999994</v>
      </c>
      <c r="I14" s="72">
        <v>71.599999999999994</v>
      </c>
      <c r="J14" s="72">
        <v>71.599999999999994</v>
      </c>
      <c r="K14" s="77" t="s">
        <v>2042</v>
      </c>
      <c r="L14" s="139"/>
      <c r="M14" s="139"/>
      <c r="N14" s="139"/>
      <c r="O14" s="139"/>
      <c r="P14" s="140"/>
    </row>
    <row r="15" spans="1:16">
      <c r="A15" s="8" t="s">
        <v>449</v>
      </c>
      <c r="B15" s="9">
        <v>11</v>
      </c>
      <c r="C15" s="9">
        <v>13</v>
      </c>
      <c r="D15" s="72">
        <v>13</v>
      </c>
      <c r="E15" s="72">
        <v>16</v>
      </c>
      <c r="F15" s="72">
        <v>15.6</v>
      </c>
      <c r="G15" s="72">
        <v>15.6</v>
      </c>
      <c r="H15" s="72">
        <v>16.600000000000001</v>
      </c>
      <c r="I15" s="72">
        <v>16.600000000000001</v>
      </c>
      <c r="J15" s="72">
        <v>16.600000000000001</v>
      </c>
      <c r="K15" s="77" t="s">
        <v>2044</v>
      </c>
      <c r="L15" s="139"/>
      <c r="M15" s="139"/>
      <c r="N15" s="139"/>
      <c r="O15" s="139"/>
      <c r="P15" s="140"/>
    </row>
    <row r="16" spans="1:16">
      <c r="A16" s="8" t="s">
        <v>448</v>
      </c>
      <c r="B16" s="9">
        <v>3</v>
      </c>
      <c r="C16" s="9">
        <v>3</v>
      </c>
      <c r="D16" s="72">
        <v>4</v>
      </c>
      <c r="E16" s="72">
        <v>4</v>
      </c>
      <c r="F16" s="72">
        <v>5</v>
      </c>
      <c r="G16" s="72">
        <v>6</v>
      </c>
      <c r="H16" s="72">
        <v>4</v>
      </c>
      <c r="I16" s="72">
        <v>6</v>
      </c>
      <c r="J16" s="72">
        <v>6</v>
      </c>
      <c r="K16" s="77" t="s">
        <v>2043</v>
      </c>
      <c r="L16" s="139"/>
      <c r="M16" s="139"/>
      <c r="N16" s="139"/>
      <c r="O16" s="139"/>
      <c r="P16" s="140"/>
    </row>
    <row r="17" spans="1:16" s="777" customFormat="1">
      <c r="A17" s="12" t="s">
        <v>48</v>
      </c>
      <c r="B17" s="621">
        <f t="shared" ref="B17:C17" si="0">SUM(B7:B16)</f>
        <v>232.59999999999997</v>
      </c>
      <c r="C17" s="621">
        <f t="shared" si="0"/>
        <v>238.79999999999998</v>
      </c>
      <c r="D17" s="621">
        <f>SUM(D7:D16)</f>
        <v>272.79999999999995</v>
      </c>
      <c r="E17" s="621">
        <f>SUM(E7:E16)</f>
        <v>287.8</v>
      </c>
      <c r="F17" s="621">
        <f>SUM(F7:F16)</f>
        <v>296</v>
      </c>
      <c r="G17" s="621">
        <f>SUM(G7:G16)</f>
        <v>320.8</v>
      </c>
      <c r="H17" s="621">
        <f>SUM(H7:H16)</f>
        <v>315.20000000000005</v>
      </c>
      <c r="I17" s="621">
        <f t="shared" ref="I17:J17" si="1">SUM(I7:I16)</f>
        <v>311.20000000000005</v>
      </c>
      <c r="J17" s="621">
        <f t="shared" si="1"/>
        <v>308.20000000000005</v>
      </c>
      <c r="K17" s="153"/>
      <c r="L17" s="153"/>
      <c r="M17" s="153"/>
      <c r="N17" s="153"/>
      <c r="O17" s="153"/>
      <c r="P17" s="153"/>
    </row>
    <row r="18" spans="1:16">
      <c r="A18" s="8"/>
      <c r="B18" s="130"/>
      <c r="C18" s="130"/>
      <c r="D18" s="11"/>
      <c r="E18" s="11"/>
      <c r="F18" s="11"/>
      <c r="G18" s="11"/>
      <c r="H18" s="11"/>
      <c r="I18" s="11"/>
      <c r="J18" s="11"/>
      <c r="K18" s="77"/>
      <c r="L18" s="155"/>
      <c r="M18" s="155"/>
      <c r="N18" s="155"/>
      <c r="O18" s="155"/>
      <c r="P18" s="127"/>
    </row>
    <row r="19" spans="1:16">
      <c r="A19" s="8" t="s">
        <v>459</v>
      </c>
      <c r="B19" s="9"/>
      <c r="C19" s="9"/>
      <c r="D19" s="9"/>
      <c r="E19" s="9"/>
      <c r="F19" s="9"/>
      <c r="G19" s="9"/>
      <c r="H19" s="9"/>
      <c r="I19" s="9"/>
      <c r="J19" s="9"/>
    </row>
    <row r="20" spans="1:16">
      <c r="A20" s="8"/>
      <c r="B20" s="9"/>
      <c r="C20" s="9"/>
      <c r="D20" s="9"/>
      <c r="E20" s="9"/>
      <c r="F20" s="9"/>
      <c r="G20" s="9"/>
      <c r="H20" s="9"/>
      <c r="I20" s="9"/>
      <c r="J20" s="9"/>
    </row>
    <row r="21" spans="1:16">
      <c r="A21" s="8" t="s">
        <v>457</v>
      </c>
      <c r="B21" s="92">
        <f t="shared" ref="B21:C21" si="2">B7/B$17</f>
        <v>5.5889939810834059E-2</v>
      </c>
      <c r="C21" s="92">
        <f t="shared" si="2"/>
        <v>6.7001675041876055E-2</v>
      </c>
      <c r="D21" s="92">
        <f t="shared" ref="D21:H30" si="3">D7/D$17</f>
        <v>6.5982404692082122E-2</v>
      </c>
      <c r="E21" s="92">
        <f t="shared" si="3"/>
        <v>8.6865879082696315E-2</v>
      </c>
      <c r="F21" s="92">
        <f t="shared" si="3"/>
        <v>7.77027027027027E-2</v>
      </c>
      <c r="G21" s="92">
        <f t="shared" si="3"/>
        <v>6.2344139650872814E-2</v>
      </c>
      <c r="H21" s="92">
        <f t="shared" si="3"/>
        <v>6.9796954314720799E-2</v>
      </c>
      <c r="I21" s="92">
        <f t="shared" ref="I21:J21" si="4">I7/I$17</f>
        <v>6.4267352185089971E-2</v>
      </c>
      <c r="J21" s="92">
        <f t="shared" si="4"/>
        <v>6.4892926670992848E-2</v>
      </c>
    </row>
    <row r="22" spans="1:16">
      <c r="A22" s="8" t="s">
        <v>456</v>
      </c>
      <c r="B22" s="92">
        <f t="shared" ref="B22:C22" si="5">B8/B$17</f>
        <v>0.16766981943250217</v>
      </c>
      <c r="C22" s="92">
        <f t="shared" si="5"/>
        <v>0.15494137353433837</v>
      </c>
      <c r="D22" s="92">
        <f t="shared" si="3"/>
        <v>0.15395894428152496</v>
      </c>
      <c r="E22" s="92">
        <f t="shared" si="3"/>
        <v>0.14940931202223767</v>
      </c>
      <c r="F22" s="92">
        <f t="shared" si="3"/>
        <v>0.15202702702702703</v>
      </c>
      <c r="G22" s="92">
        <f t="shared" si="3"/>
        <v>0.14027431421446385</v>
      </c>
      <c r="H22" s="92">
        <f t="shared" si="3"/>
        <v>0.1395939086294416</v>
      </c>
      <c r="I22" s="92">
        <f t="shared" ref="I22:J22" si="6">I8/I$17</f>
        <v>0.14138817480719792</v>
      </c>
      <c r="J22" s="92">
        <f t="shared" si="6"/>
        <v>0.14276443867618427</v>
      </c>
    </row>
    <row r="23" spans="1:16">
      <c r="A23" s="8" t="s">
        <v>455</v>
      </c>
      <c r="B23" s="92">
        <f t="shared" ref="B23:C23" si="7">B9/B$17</f>
        <v>0.15047291487532247</v>
      </c>
      <c r="C23" s="92">
        <f t="shared" si="7"/>
        <v>0.14489112227805698</v>
      </c>
      <c r="D23" s="92">
        <f t="shared" si="3"/>
        <v>0.14516129032258068</v>
      </c>
      <c r="E23" s="92">
        <f t="shared" si="3"/>
        <v>0.13064628214037527</v>
      </c>
      <c r="F23" s="92">
        <f t="shared" si="3"/>
        <v>0.13716216216216218</v>
      </c>
      <c r="G23" s="92">
        <f t="shared" si="3"/>
        <v>0.17206982543640897</v>
      </c>
      <c r="H23" s="92">
        <f t="shared" si="3"/>
        <v>0.17195431472081216</v>
      </c>
      <c r="I23" s="92">
        <f t="shared" ref="I23:J23" si="8">I9/I$17</f>
        <v>0.16773778920308482</v>
      </c>
      <c r="J23" s="92">
        <f t="shared" si="8"/>
        <v>0.16937053861129137</v>
      </c>
    </row>
    <row r="24" spans="1:16">
      <c r="A24" s="8" t="s">
        <v>454</v>
      </c>
      <c r="B24" s="92">
        <f t="shared" ref="B24:C24" si="9">B10/B$17</f>
        <v>5.4170249355116086E-2</v>
      </c>
      <c r="C24" s="92">
        <f t="shared" si="9"/>
        <v>4.4388609715242881E-2</v>
      </c>
      <c r="D24" s="92">
        <f t="shared" si="3"/>
        <v>4.7653958944281531E-2</v>
      </c>
      <c r="E24" s="92">
        <f t="shared" si="3"/>
        <v>4.1695621959694229E-2</v>
      </c>
      <c r="F24" s="92">
        <f t="shared" si="3"/>
        <v>4.3918918918918921E-2</v>
      </c>
      <c r="G24" s="92">
        <f t="shared" si="3"/>
        <v>4.0523690773067333E-2</v>
      </c>
      <c r="H24" s="92">
        <f t="shared" si="3"/>
        <v>4.1243654822335017E-2</v>
      </c>
      <c r="I24" s="92">
        <f t="shared" ref="I24:J24" si="10">I10/I$17</f>
        <v>4.177377892030848E-2</v>
      </c>
      <c r="J24" s="92">
        <f t="shared" si="10"/>
        <v>4.2180402336145353E-2</v>
      </c>
    </row>
    <row r="25" spans="1:16">
      <c r="A25" s="8" t="s">
        <v>453</v>
      </c>
      <c r="B25" s="92">
        <f t="shared" ref="B25:C25" si="11">B11/B$17</f>
        <v>0.22699914015477216</v>
      </c>
      <c r="C25" s="92">
        <f t="shared" si="11"/>
        <v>0.24371859296482415</v>
      </c>
      <c r="D25" s="92">
        <f t="shared" si="3"/>
        <v>0.25146627565982405</v>
      </c>
      <c r="E25" s="92">
        <f t="shared" si="3"/>
        <v>0.26615705350938146</v>
      </c>
      <c r="F25" s="92">
        <f t="shared" si="3"/>
        <v>0.25743243243243247</v>
      </c>
      <c r="G25" s="92">
        <f t="shared" si="3"/>
        <v>0.2319201995012469</v>
      </c>
      <c r="H25" s="92">
        <f t="shared" si="3"/>
        <v>0.23413705583756342</v>
      </c>
      <c r="I25" s="92">
        <f t="shared" ref="I25:J25" si="12">I11/I$17</f>
        <v>0.23714652956298196</v>
      </c>
      <c r="J25" s="92">
        <f t="shared" si="12"/>
        <v>0.2297209604153147</v>
      </c>
    </row>
    <row r="26" spans="1:16">
      <c r="A26" s="8" t="s">
        <v>452</v>
      </c>
      <c r="B26" s="92">
        <f t="shared" ref="B26:C26" si="13">B12/B$17</f>
        <v>4.2992261392949278E-3</v>
      </c>
      <c r="C26" s="92">
        <f t="shared" si="13"/>
        <v>4.1876046901172534E-3</v>
      </c>
      <c r="D26" s="92">
        <f t="shared" si="3"/>
        <v>7.3313782991202359E-3</v>
      </c>
      <c r="E26" s="92">
        <f t="shared" si="3"/>
        <v>6.9492703266157054E-3</v>
      </c>
      <c r="F26" s="92">
        <f t="shared" si="3"/>
        <v>6.7567567567567571E-3</v>
      </c>
      <c r="G26" s="92">
        <f t="shared" si="3"/>
        <v>6.2344139650872812E-3</v>
      </c>
      <c r="H26" s="92">
        <f t="shared" si="3"/>
        <v>6.3451776649746184E-3</v>
      </c>
      <c r="I26" s="92">
        <f t="shared" ref="I26:J26" si="14">I12/I$17</f>
        <v>6.4267352185089967E-3</v>
      </c>
      <c r="J26" s="92">
        <f t="shared" si="14"/>
        <v>6.4892926670992853E-3</v>
      </c>
    </row>
    <row r="27" spans="1:16">
      <c r="A27" s="8" t="s">
        <v>451</v>
      </c>
      <c r="B27" s="92">
        <f t="shared" ref="B27:C27" si="15">B13/B$17</f>
        <v>3.0094582975064493E-2</v>
      </c>
      <c r="C27" s="92">
        <f t="shared" si="15"/>
        <v>3.768844221105528E-2</v>
      </c>
      <c r="D27" s="92">
        <f t="shared" si="3"/>
        <v>4.0322580645161296E-2</v>
      </c>
      <c r="E27" s="92">
        <f t="shared" si="3"/>
        <v>3.8220986796386379E-2</v>
      </c>
      <c r="F27" s="92">
        <f t="shared" si="3"/>
        <v>3.7162162162162164E-2</v>
      </c>
      <c r="G27" s="92">
        <f t="shared" si="3"/>
        <v>3.4289276807980051E-2</v>
      </c>
      <c r="H27" s="92">
        <f t="shared" si="3"/>
        <v>3.8071065989847712E-2</v>
      </c>
      <c r="I27" s="92">
        <f t="shared" ref="I27:J27" si="16">I13/I$17</f>
        <v>3.8560411311053977E-2</v>
      </c>
      <c r="J27" s="92">
        <f t="shared" si="16"/>
        <v>3.893575600259571E-2</v>
      </c>
    </row>
    <row r="28" spans="1:16">
      <c r="A28" s="8" t="s">
        <v>450</v>
      </c>
      <c r="B28" s="92">
        <f t="shared" ref="B28:C28" si="17">B14/B$17</f>
        <v>0.2502149613069648</v>
      </c>
      <c r="C28" s="92">
        <f t="shared" si="17"/>
        <v>0.23618090452261309</v>
      </c>
      <c r="D28" s="92">
        <f t="shared" si="3"/>
        <v>0.22580645161290328</v>
      </c>
      <c r="E28" s="92">
        <f t="shared" si="3"/>
        <v>0.21056289089645586</v>
      </c>
      <c r="F28" s="92">
        <f t="shared" si="3"/>
        <v>0.21824324324324323</v>
      </c>
      <c r="G28" s="92">
        <f t="shared" si="3"/>
        <v>0.24501246882793015</v>
      </c>
      <c r="H28" s="92">
        <f t="shared" si="3"/>
        <v>0.23350253807106594</v>
      </c>
      <c r="I28" s="92">
        <f t="shared" ref="I28:J28" si="18">I14/I$17</f>
        <v>0.23007712082262205</v>
      </c>
      <c r="J28" s="92">
        <f t="shared" si="18"/>
        <v>0.2323166774821544</v>
      </c>
    </row>
    <row r="29" spans="1:16">
      <c r="A29" s="8" t="s">
        <v>449</v>
      </c>
      <c r="B29" s="92">
        <f t="shared" ref="B29:C29" si="19">B15/B$17</f>
        <v>4.72914875322442E-2</v>
      </c>
      <c r="C29" s="92">
        <f t="shared" si="19"/>
        <v>5.443886097152429E-2</v>
      </c>
      <c r="D29" s="92">
        <f t="shared" si="3"/>
        <v>4.7653958944281531E-2</v>
      </c>
      <c r="E29" s="92">
        <f t="shared" si="3"/>
        <v>5.5594162612925643E-2</v>
      </c>
      <c r="F29" s="92">
        <f t="shared" si="3"/>
        <v>5.2702702702702699E-2</v>
      </c>
      <c r="G29" s="92">
        <f t="shared" si="3"/>
        <v>4.8628428927680795E-2</v>
      </c>
      <c r="H29" s="92">
        <f t="shared" si="3"/>
        <v>5.2664974619289338E-2</v>
      </c>
      <c r="I29" s="92">
        <f t="shared" ref="I29:J29" si="20">I15/I$17</f>
        <v>5.3341902313624678E-2</v>
      </c>
      <c r="J29" s="92">
        <f t="shared" si="20"/>
        <v>5.386112913692407E-2</v>
      </c>
    </row>
    <row r="30" spans="1:16">
      <c r="A30" s="8" t="s">
        <v>448</v>
      </c>
      <c r="B30" s="92">
        <f t="shared" ref="B30:C30" si="21">B16/B$17</f>
        <v>1.2897678417884783E-2</v>
      </c>
      <c r="C30" s="92">
        <f t="shared" si="21"/>
        <v>1.2562814070351759E-2</v>
      </c>
      <c r="D30" s="92">
        <f t="shared" si="3"/>
        <v>1.4662756598240472E-2</v>
      </c>
      <c r="E30" s="92">
        <f t="shared" si="3"/>
        <v>1.3898540653231411E-2</v>
      </c>
      <c r="F30" s="92">
        <f t="shared" si="3"/>
        <v>1.6891891891891893E-2</v>
      </c>
      <c r="G30" s="92">
        <f t="shared" si="3"/>
        <v>1.8703241895261846E-2</v>
      </c>
      <c r="H30" s="92">
        <f t="shared" si="3"/>
        <v>1.2690355329949237E-2</v>
      </c>
      <c r="I30" s="92">
        <f t="shared" ref="I30:J30" si="22">I16/I$17</f>
        <v>1.9280205655526989E-2</v>
      </c>
      <c r="J30" s="92">
        <f t="shared" si="22"/>
        <v>1.9467878001297855E-2</v>
      </c>
    </row>
    <row r="31" spans="1:16" s="777" customFormat="1">
      <c r="A31" s="29" t="s">
        <v>48</v>
      </c>
      <c r="B31" s="657">
        <v>-1</v>
      </c>
      <c r="C31" s="657">
        <v>0</v>
      </c>
      <c r="D31" s="657">
        <v>1</v>
      </c>
      <c r="E31" s="657">
        <v>1</v>
      </c>
      <c r="F31" s="657">
        <v>1</v>
      </c>
      <c r="G31" s="657">
        <v>1</v>
      </c>
      <c r="H31" s="657">
        <v>1</v>
      </c>
      <c r="I31" s="657">
        <v>2</v>
      </c>
      <c r="J31" s="657">
        <v>3</v>
      </c>
    </row>
    <row r="32" spans="1:16">
      <c r="A32" s="19" t="s">
        <v>458</v>
      </c>
      <c r="B32" s="9"/>
      <c r="C32" s="9"/>
      <c r="D32" s="9"/>
      <c r="E32" s="9"/>
      <c r="F32" s="9"/>
      <c r="G32" s="9"/>
      <c r="H32" s="9"/>
      <c r="I32" s="9"/>
      <c r="J32" s="9"/>
    </row>
    <row r="33" spans="1:12">
      <c r="A33" s="13" t="s">
        <v>457</v>
      </c>
      <c r="B33" s="17">
        <f>'AL Sch 5.0'!B21*'AL Sch 5.0'!B$3</f>
        <v>1732199.0797936376</v>
      </c>
      <c r="C33" s="17">
        <f>'AL Sch 5.0'!C21*'AL Sch 5.0'!C$3</f>
        <v>1970365.9027463254</v>
      </c>
      <c r="D33" s="17">
        <f>'AL Sch 5.0'!D21*'AL Sch 5.0'!D$3</f>
        <v>2346672.5940615851</v>
      </c>
      <c r="E33" s="17">
        <f>'AL Sch 5.0'!E21*'AL Sch 5.0'!E$3</f>
        <v>3465421.8050729679</v>
      </c>
      <c r="F33" s="17">
        <f>'AL Sch 5.0'!F21*'AL Sch 5.0'!F$3</f>
        <v>3479788.367635136</v>
      </c>
      <c r="G33" s="17">
        <f>'AL Sch 5.0'!G21*'AL Sch 5.0'!G$3</f>
        <v>2834742.2057356602</v>
      </c>
      <c r="H33" s="17">
        <f>'AL Sch 5.0'!H21*'AL Sch 5.0'!H$3</f>
        <v>3363535.5281725875</v>
      </c>
      <c r="I33" s="17">
        <f>'AL Sch 5.0'!I21*'AL Sch 5.0'!I$3</f>
        <v>3301495.1426735218</v>
      </c>
      <c r="J33" s="17">
        <f>'AL Sch 5.0'!J21*'AL Sch 5.0'!J$3</f>
        <v>3376767.8208955233</v>
      </c>
    </row>
    <row r="34" spans="1:12">
      <c r="A34" s="13" t="s">
        <v>456</v>
      </c>
      <c r="B34" s="17">
        <f>'AL Sch 5.0'!B22*'AL Sch 5.0'!B$3</f>
        <v>5196597.2393809119</v>
      </c>
      <c r="C34" s="17">
        <f>'AL Sch 5.0'!C22*'AL Sch 5.0'!C$3</f>
        <v>4556471.1501008766</v>
      </c>
      <c r="D34" s="17">
        <f>'AL Sch 5.0'!D22*'AL Sch 5.0'!D$3</f>
        <v>5475569.3861436993</v>
      </c>
      <c r="E34" s="17">
        <f>'AL Sch 5.0'!E22*'AL Sch 5.0'!E$3</f>
        <v>5960525.5047255056</v>
      </c>
      <c r="F34" s="17">
        <f>'AL Sch 5.0'!F22*'AL Sch 5.0'!F$3</f>
        <v>6808281.5888513532</v>
      </c>
      <c r="G34" s="17">
        <f>'AL Sch 5.0'!G22*'AL Sch 5.0'!G$3</f>
        <v>6378169.9629052356</v>
      </c>
      <c r="H34" s="17">
        <f>'AL Sch 5.0'!H22*'AL Sch 5.0'!H$3</f>
        <v>6727071.056345175</v>
      </c>
      <c r="I34" s="17">
        <f>'AL Sch 5.0'!I22*'AL Sch 5.0'!I$3</f>
        <v>7263289.3138817474</v>
      </c>
      <c r="J34" s="17">
        <f>'AL Sch 5.0'!J22*'AL Sch 5.0'!J$3</f>
        <v>7428889.2059701513</v>
      </c>
    </row>
    <row r="35" spans="1:12">
      <c r="A35" s="13" t="s">
        <v>455</v>
      </c>
      <c r="B35" s="17">
        <f>'AL Sch 5.0'!B23*'AL Sch 5.0'!B$3</f>
        <v>4663612.9071367169</v>
      </c>
      <c r="C35" s="17">
        <f>'AL Sch 5.0'!C23*'AL Sch 5.0'!C$3</f>
        <v>4260916.2646889286</v>
      </c>
      <c r="D35" s="17">
        <f>'AL Sch 5.0'!D23*'AL Sch 5.0'!D$3</f>
        <v>5162679.7069354877</v>
      </c>
      <c r="E35" s="17">
        <f>'AL Sch 5.0'!E23*'AL Sch 5.0'!E$3</f>
        <v>5211994.3948297445</v>
      </c>
      <c r="F35" s="17">
        <f>'AL Sch 5.0'!F23*'AL Sch 5.0'!F$3</f>
        <v>6142582.94460811</v>
      </c>
      <c r="G35" s="17">
        <f>'AL Sch 5.0'!G23*'AL Sch 5.0'!G$3</f>
        <v>7823888.4878304219</v>
      </c>
      <c r="H35" s="17">
        <f>'AL Sch 5.0'!H23*'AL Sch 5.0'!H$3</f>
        <v>8286528.4375888295</v>
      </c>
      <c r="I35" s="17">
        <f>'AL Sch 5.0'!I23*'AL Sch 5.0'!I$3</f>
        <v>8616902.3223778922</v>
      </c>
      <c r="J35" s="17">
        <f>'AL Sch 5.0'!J23*'AL Sch 5.0'!J$3</f>
        <v>8813364.0125373174</v>
      </c>
    </row>
    <row r="36" spans="1:12">
      <c r="A36" s="13" t="s">
        <v>454</v>
      </c>
      <c r="B36" s="17">
        <f>'AL Sch 5.0'!B24*'AL Sch 5.0'!B$3</f>
        <v>1678900.6465692178</v>
      </c>
      <c r="C36" s="17">
        <f>'AL Sch 5.0'!C24*'AL Sch 5.0'!C$3</f>
        <v>1305367.4105694403</v>
      </c>
      <c r="D36" s="17">
        <f>'AL Sch 5.0'!D24*'AL Sch 5.0'!D$3</f>
        <v>1694819.0957111449</v>
      </c>
      <c r="E36" s="17">
        <f>'AL Sch 5.0'!E24*'AL Sch 5.0'!E$3</f>
        <v>1663402.4664350245</v>
      </c>
      <c r="F36" s="17">
        <f>'AL Sch 5.0'!F24*'AL Sch 5.0'!F$3</f>
        <v>1966836.9034459465</v>
      </c>
      <c r="G36" s="17">
        <f>'AL Sch 5.0'!G24*'AL Sch 5.0'!G$3</f>
        <v>1842582.4337281792</v>
      </c>
      <c r="H36" s="17">
        <f>'AL Sch 5.0'!H24*'AL Sch 5.0'!H$3</f>
        <v>1987543.7211928926</v>
      </c>
      <c r="I36" s="17">
        <f>'AL Sch 5.0'!I24*'AL Sch 5.0'!I$3</f>
        <v>2145971.8427377893</v>
      </c>
      <c r="J36" s="17">
        <f>'AL Sch 5.0'!J24*'AL Sch 5.0'!J$3</f>
        <v>2194899.0835820902</v>
      </c>
    </row>
    <row r="37" spans="1:12">
      <c r="A37" s="13" t="s">
        <v>453</v>
      </c>
      <c r="B37" s="17">
        <f>'AL Sch 5.0'!B25*'AL Sch 5.0'!B$3</f>
        <v>7035393.1856233887</v>
      </c>
      <c r="C37" s="17">
        <f>'AL Sch 5.0'!C25*'AL Sch 5.0'!C$3</f>
        <v>7167205.9712397577</v>
      </c>
      <c r="D37" s="17">
        <f>'AL Sch 5.0'!D25*'AL Sch 5.0'!D$3</f>
        <v>8943429.9973680396</v>
      </c>
      <c r="E37" s="17">
        <f>'AL Sch 5.0'!E25*'AL Sch 5.0'!E$3</f>
        <v>10618052.410743572</v>
      </c>
      <c r="F37" s="17">
        <f>'AL Sch 5.0'!F25*'AL Sch 5.0'!F$3</f>
        <v>11528690.157121627</v>
      </c>
      <c r="G37" s="17">
        <f>'AL Sch 5.0'!G25*'AL Sch 5.0'!G$3</f>
        <v>10545241.005336657</v>
      </c>
      <c r="H37" s="17">
        <f>'AL Sch 5.0'!H25*'AL Sch 5.0'!H$3</f>
        <v>11283132.817233499</v>
      </c>
      <c r="I37" s="17">
        <f>'AL Sch 5.0'!I25*'AL Sch 5.0'!I$3</f>
        <v>12182517.076465294</v>
      </c>
      <c r="J37" s="17">
        <f>'AL Sch 5.0'!J25*'AL Sch 5.0'!J$3</f>
        <v>11953758.085970154</v>
      </c>
    </row>
    <row r="38" spans="1:12">
      <c r="A38" s="13" t="s">
        <v>452</v>
      </c>
      <c r="B38" s="17">
        <f>'AL Sch 5.0'!B26*'AL Sch 5.0'!B$3</f>
        <v>133246.08306104905</v>
      </c>
      <c r="C38" s="17">
        <f>'AL Sch 5.0'!C26*'AL Sch 5.0'!C$3</f>
        <v>123147.86892164533</v>
      </c>
      <c r="D38" s="17">
        <f>'AL Sch 5.0'!D26*'AL Sch 5.0'!D$3</f>
        <v>260741.39934017614</v>
      </c>
      <c r="E38" s="17">
        <f>'AL Sch 5.0'!E26*'AL Sch 5.0'!E$3</f>
        <v>277233.74440583744</v>
      </c>
      <c r="F38" s="17">
        <f>'AL Sch 5.0'!F26*'AL Sch 5.0'!F$3</f>
        <v>302590.29283783794</v>
      </c>
      <c r="G38" s="17">
        <f>'AL Sch 5.0'!G26*'AL Sch 5.0'!G$3</f>
        <v>283474.22057356598</v>
      </c>
      <c r="H38" s="17">
        <f>'AL Sch 5.0'!H26*'AL Sch 5.0'!H$3</f>
        <v>305775.95710659889</v>
      </c>
      <c r="I38" s="17">
        <f>'AL Sch 5.0'!I26*'AL Sch 5.0'!I$3</f>
        <v>330149.51426735218</v>
      </c>
      <c r="J38" s="17">
        <f>'AL Sch 5.0'!J26*'AL Sch 5.0'!J$3</f>
        <v>337676.78208955238</v>
      </c>
    </row>
    <row r="39" spans="1:12">
      <c r="A39" s="13" t="s">
        <v>451</v>
      </c>
      <c r="B39" s="17">
        <f>'AL Sch 5.0'!B27*'AL Sch 5.0'!B$3</f>
        <v>932722.58142734331</v>
      </c>
      <c r="C39" s="17">
        <f>'AL Sch 5.0'!C27*'AL Sch 5.0'!C$3</f>
        <v>1108330.8202948079</v>
      </c>
      <c r="D39" s="17">
        <f>'AL Sch 5.0'!D27*'AL Sch 5.0'!D$3</f>
        <v>1434077.6963709688</v>
      </c>
      <c r="E39" s="17">
        <f>'AL Sch 5.0'!E27*'AL Sch 5.0'!E$3</f>
        <v>1524785.5942321059</v>
      </c>
      <c r="F39" s="17">
        <f>'AL Sch 5.0'!F27*'AL Sch 5.0'!F$3</f>
        <v>1664246.6106081086</v>
      </c>
      <c r="G39" s="17">
        <f>'AL Sch 5.0'!G27*'AL Sch 5.0'!G$3</f>
        <v>1559108.2131546133</v>
      </c>
      <c r="H39" s="17">
        <f>'AL Sch 5.0'!H27*'AL Sch 5.0'!H$3</f>
        <v>1834655.7426395933</v>
      </c>
      <c r="I39" s="17">
        <f>'AL Sch 5.0'!I27*'AL Sch 5.0'!I$3</f>
        <v>1980897.0856041128</v>
      </c>
      <c r="J39" s="17">
        <f>'AL Sch 5.0'!J27*'AL Sch 5.0'!J$3</f>
        <v>2026060.692537314</v>
      </c>
    </row>
    <row r="40" spans="1:12">
      <c r="A40" s="13" t="s">
        <v>450</v>
      </c>
      <c r="B40" s="17">
        <f>'AL Sch 5.0'!B28*'AL Sch 5.0'!B$3</f>
        <v>7754922.0341530545</v>
      </c>
      <c r="C40" s="17">
        <f>'AL Sch 5.0'!C28*'AL Sch 5.0'!C$3</f>
        <v>6945539.8071807967</v>
      </c>
      <c r="D40" s="17">
        <f>'AL Sch 5.0'!D28*'AL Sch 5.0'!D$3</f>
        <v>8030835.0996774258</v>
      </c>
      <c r="E40" s="17">
        <f>'AL Sch 5.0'!E28*'AL Sch 5.0'!E$3</f>
        <v>8400182.4554968737</v>
      </c>
      <c r="F40" s="17">
        <f>'AL Sch 5.0'!F28*'AL Sch 5.0'!F$3</f>
        <v>9773666.4586621635</v>
      </c>
      <c r="G40" s="17">
        <f>'AL Sch 5.0'!G28*'AL Sch 5.0'!G$3</f>
        <v>11140536.868541144</v>
      </c>
      <c r="H40" s="17">
        <f>'AL Sch 5.0'!H28*'AL Sch 5.0'!H$3</f>
        <v>11252555.221522838</v>
      </c>
      <c r="I40" s="17">
        <f>'AL Sch 5.0'!I28*'AL Sch 5.0'!I$3</f>
        <v>11819352.610771205</v>
      </c>
      <c r="J40" s="17">
        <f>'AL Sch 5.0'!J28*'AL Sch 5.0'!J$3</f>
        <v>12088828.798805974</v>
      </c>
    </row>
    <row r="41" spans="1:12">
      <c r="A41" s="13" t="s">
        <v>449</v>
      </c>
      <c r="B41" s="17">
        <v>1465704.9136715401</v>
      </c>
      <c r="C41" s="17">
        <v>1465705.9136715401</v>
      </c>
      <c r="D41" s="17">
        <v>1465706.9136715394</v>
      </c>
      <c r="E41" s="17">
        <v>1600922.2959813892</v>
      </c>
      <c r="F41" s="17">
        <v>1643374.8125014629</v>
      </c>
      <c r="G41" s="17">
        <v>1752011.5486351186</v>
      </c>
      <c r="H41" s="17">
        <v>1831419.325803906</v>
      </c>
      <c r="I41" s="17">
        <v>1831420.3258039099</v>
      </c>
      <c r="J41" s="17">
        <v>1831421.3258039099</v>
      </c>
    </row>
    <row r="42" spans="1:12">
      <c r="A42" s="13" t="s">
        <v>448</v>
      </c>
      <c r="B42" s="17">
        <f>'AL Sch 5.0'!B30*'AL Sch 5.0'!B$3</f>
        <v>399738.24918314716</v>
      </c>
      <c r="C42" s="17">
        <f>'AL Sch 5.0'!C30*'AL Sch 5.0'!C$3</f>
        <v>369443.60676493595</v>
      </c>
      <c r="D42" s="17">
        <f>'AL Sch 5.0'!D30*'AL Sch 5.0'!D$3</f>
        <v>521482.79868035228</v>
      </c>
      <c r="E42" s="17">
        <f>'AL Sch 5.0'!E30*'AL Sch 5.0'!E$3</f>
        <v>554467.48881167488</v>
      </c>
      <c r="F42" s="17">
        <f>'AL Sch 5.0'!F30*'AL Sch 5.0'!F$3</f>
        <v>756475.73209459486</v>
      </c>
      <c r="G42" s="17">
        <f>'AL Sch 5.0'!G30*'AL Sch 5.0'!G$3</f>
        <v>850422.66172069812</v>
      </c>
      <c r="H42" s="17">
        <f>'AL Sch 5.0'!H30*'AL Sch 5.0'!H$3</f>
        <v>611551.91421319777</v>
      </c>
      <c r="I42" s="17">
        <f>'AL Sch 5.0'!I30*'AL Sch 5.0'!I$3</f>
        <v>990448.54280205641</v>
      </c>
      <c r="J42" s="17">
        <f>'AL Sch 5.0'!J30*'AL Sch 5.0'!J$3</f>
        <v>1013030.346268657</v>
      </c>
    </row>
    <row r="43" spans="1:12" s="777" customFormat="1">
      <c r="A43" s="73" t="s">
        <v>48</v>
      </c>
      <c r="B43" s="162">
        <f t="shared" ref="B43:C43" si="23">SUM(B33:B42)</f>
        <v>30993036.920000009</v>
      </c>
      <c r="C43" s="162">
        <f t="shared" si="23"/>
        <v>29272494.716179051</v>
      </c>
      <c r="D43" s="162">
        <f>SUM(D33:D42)</f>
        <v>35336014.687960416</v>
      </c>
      <c r="E43" s="162">
        <f>SUM(E33:E42)</f>
        <v>39276988.160734698</v>
      </c>
      <c r="F43" s="162">
        <f>SUM(F33:F42)</f>
        <v>44066533.868366338</v>
      </c>
      <c r="G43" s="162">
        <f>SUM(G33:G42)</f>
        <v>45010177.6081613</v>
      </c>
      <c r="H43" s="162">
        <f>SUM(H33:H42)</f>
        <v>47483769.72181911</v>
      </c>
      <c r="I43" s="162">
        <f t="shared" ref="I43:J43" si="24">SUM(I33:I42)</f>
        <v>50462443.777384892</v>
      </c>
      <c r="J43" s="162">
        <f t="shared" si="24"/>
        <v>51064696.154460646</v>
      </c>
    </row>
    <row r="44" spans="1:12">
      <c r="A44" s="95"/>
      <c r="B44" s="9"/>
      <c r="C44" s="9"/>
      <c r="D44" s="9"/>
      <c r="E44" s="9"/>
      <c r="F44" s="9"/>
      <c r="G44" s="9"/>
      <c r="H44" s="9"/>
      <c r="I44" s="9"/>
      <c r="J44" s="9"/>
    </row>
    <row r="45" spans="1:12">
      <c r="A45" s="9"/>
      <c r="B45" s="9"/>
      <c r="C45" s="9"/>
      <c r="D45" s="9"/>
      <c r="E45" s="9"/>
      <c r="F45" s="9"/>
      <c r="G45" s="9"/>
      <c r="H45" s="9"/>
      <c r="I45" s="9"/>
      <c r="J45" s="9"/>
      <c r="K45" s="9"/>
      <c r="L45" s="9"/>
    </row>
    <row r="46" spans="1:12">
      <c r="A46" s="9"/>
      <c r="B46" s="9"/>
      <c r="C46" s="9"/>
      <c r="D46" s="9"/>
      <c r="E46" s="9"/>
      <c r="F46" s="9"/>
      <c r="G46" s="9"/>
      <c r="H46" s="9"/>
      <c r="I46" s="9"/>
      <c r="J46" s="9"/>
      <c r="K46" s="9"/>
      <c r="L46" s="9"/>
    </row>
    <row r="47" spans="1:12">
      <c r="A47" s="9"/>
      <c r="B47" s="9"/>
      <c r="C47" s="9"/>
      <c r="D47" s="9"/>
      <c r="E47" s="9"/>
      <c r="F47" s="9"/>
      <c r="G47" s="9"/>
      <c r="H47" s="9"/>
      <c r="I47" s="9"/>
      <c r="J47" s="9"/>
      <c r="K47" s="9"/>
      <c r="L47" s="9"/>
    </row>
    <row r="48" spans="1:12">
      <c r="A48" s="9"/>
      <c r="B48" s="9"/>
      <c r="C48" s="9"/>
      <c r="D48" s="9"/>
      <c r="E48" s="9"/>
      <c r="F48" s="9"/>
      <c r="G48" s="9"/>
      <c r="H48" s="9"/>
      <c r="I48" s="9"/>
      <c r="J48" s="9"/>
      <c r="K48" s="9"/>
      <c r="L48" s="9"/>
    </row>
    <row r="49" spans="1:12">
      <c r="A49" s="9"/>
      <c r="B49" s="9"/>
      <c r="C49" s="9"/>
      <c r="D49" s="9"/>
      <c r="E49" s="9"/>
      <c r="F49" s="9"/>
      <c r="G49" s="9"/>
      <c r="H49" s="9"/>
      <c r="I49" s="9"/>
      <c r="J49" s="9"/>
      <c r="K49" s="9"/>
      <c r="L49" s="9"/>
    </row>
    <row r="50" spans="1:12">
      <c r="A50" s="9"/>
      <c r="B50" s="9"/>
      <c r="C50" s="9"/>
      <c r="D50" s="9"/>
      <c r="E50" s="9"/>
      <c r="F50" s="9"/>
      <c r="G50" s="9"/>
      <c r="H50" s="9"/>
      <c r="I50" s="9"/>
      <c r="J50" s="9"/>
      <c r="K50" s="9"/>
      <c r="L50" s="9"/>
    </row>
    <row r="51" spans="1:12">
      <c r="A51" s="9"/>
      <c r="B51" s="9"/>
      <c r="C51" s="9"/>
      <c r="D51" s="9"/>
      <c r="E51" s="9"/>
      <c r="F51" s="9"/>
      <c r="G51" s="9"/>
      <c r="H51" s="9"/>
      <c r="I51" s="9"/>
      <c r="J51" s="9"/>
      <c r="K51" s="9"/>
      <c r="L51" s="9"/>
    </row>
    <row r="52" spans="1:12">
      <c r="A52" s="9"/>
      <c r="B52" s="9"/>
      <c r="C52" s="9"/>
      <c r="D52" s="9"/>
      <c r="E52" s="9"/>
      <c r="F52" s="9"/>
      <c r="G52" s="9"/>
      <c r="H52" s="9"/>
      <c r="I52" s="9"/>
      <c r="J52" s="9"/>
      <c r="K52" s="9"/>
      <c r="L52" s="9"/>
    </row>
    <row r="53" spans="1:12">
      <c r="A53" s="9"/>
      <c r="B53" s="9"/>
      <c r="C53" s="9"/>
      <c r="D53" s="9"/>
      <c r="E53" s="9"/>
      <c r="F53" s="9"/>
      <c r="G53" s="9"/>
      <c r="H53" s="9"/>
      <c r="I53" s="9"/>
      <c r="J53" s="9"/>
      <c r="K53" s="9"/>
      <c r="L53" s="9"/>
    </row>
    <row r="54" spans="1:12">
      <c r="A54" s="9"/>
      <c r="B54" s="9"/>
      <c r="C54" s="9"/>
      <c r="D54" s="9"/>
      <c r="E54" s="9"/>
      <c r="F54" s="9"/>
      <c r="G54" s="9"/>
      <c r="H54" s="9"/>
      <c r="I54" s="9"/>
      <c r="J54" s="9"/>
      <c r="K54" s="9"/>
      <c r="L54" s="9"/>
    </row>
    <row r="55" spans="1:12">
      <c r="A55" s="9"/>
      <c r="B55" s="9"/>
      <c r="C55" s="9"/>
      <c r="D55" s="9"/>
      <c r="E55" s="9"/>
      <c r="F55" s="9"/>
      <c r="G55" s="9"/>
      <c r="H55" s="9"/>
      <c r="I55" s="9"/>
      <c r="J55" s="9"/>
      <c r="K55" s="9"/>
      <c r="L55" s="9"/>
    </row>
    <row r="56" spans="1:12">
      <c r="A56" s="9"/>
      <c r="B56" s="9"/>
      <c r="C56" s="9"/>
      <c r="D56" s="9"/>
      <c r="E56" s="9"/>
      <c r="F56" s="9"/>
      <c r="G56" s="9"/>
      <c r="H56" s="9"/>
      <c r="I56" s="9"/>
      <c r="J56" s="9"/>
      <c r="K56" s="9"/>
      <c r="L56" s="9"/>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2" tint="-0.499984740745262"/>
  </sheetPr>
  <dimension ref="A1:Z74"/>
  <sheetViews>
    <sheetView showGridLines="0" topLeftCell="A32" zoomScale="90" zoomScaleNormal="90" workbookViewId="0">
      <selection activeCell="E40" sqref="A1:E40"/>
    </sheetView>
  </sheetViews>
  <sheetFormatPr defaultColWidth="9.109375" defaultRowHeight="13.8"/>
  <cols>
    <col min="1" max="1" width="52.109375" style="77" customWidth="1"/>
    <col min="2" max="5" width="12.6640625" style="151" customWidth="1"/>
    <col min="6" max="6" width="6" style="77" customWidth="1"/>
    <col min="7" max="8" width="9.109375" style="77"/>
    <col min="9" max="9" width="20.6640625" style="77" bestFit="1" customWidth="1"/>
    <col min="10" max="10" width="12.33203125" style="77" bestFit="1" customWidth="1"/>
    <col min="11" max="11" width="16" style="77" bestFit="1" customWidth="1"/>
    <col min="12" max="12" width="10" style="77" bestFit="1" customWidth="1"/>
    <col min="13" max="13" width="15.5546875" style="77" bestFit="1" customWidth="1"/>
    <col min="14" max="14" width="10.109375" style="77" customWidth="1"/>
    <col min="15" max="15" width="9.109375" style="77"/>
    <col min="16" max="16" width="10.109375" style="77" bestFit="1" customWidth="1"/>
    <col min="17" max="16384" width="9.109375" style="77"/>
  </cols>
  <sheetData>
    <row r="1" spans="1:26">
      <c r="A1" s="144" t="s">
        <v>666</v>
      </c>
      <c r="B1" s="694"/>
      <c r="C1" s="694"/>
      <c r="D1" s="694"/>
      <c r="E1" s="695"/>
    </row>
    <row r="2" spans="1:26">
      <c r="A2" s="13"/>
      <c r="B2" s="145"/>
      <c r="C2" s="784"/>
      <c r="D2" s="784"/>
      <c r="E2" s="784"/>
      <c r="F2" s="11"/>
      <c r="G2" s="11"/>
      <c r="H2" s="11"/>
      <c r="I2" s="11"/>
      <c r="J2" s="11"/>
      <c r="K2" s="11"/>
      <c r="L2" s="11"/>
      <c r="M2" s="11"/>
      <c r="N2" s="11"/>
      <c r="O2" s="11"/>
      <c r="P2" s="11"/>
      <c r="Q2" s="11"/>
      <c r="R2" s="11"/>
      <c r="S2" s="11"/>
      <c r="T2" s="11"/>
      <c r="U2" s="11"/>
      <c r="V2" s="11"/>
      <c r="W2" s="11"/>
      <c r="X2" s="11"/>
      <c r="Y2" s="11"/>
      <c r="Z2" s="11"/>
    </row>
    <row r="3" spans="1:26">
      <c r="A3" s="696" t="s">
        <v>704</v>
      </c>
      <c r="B3" s="678"/>
      <c r="C3" s="678"/>
      <c r="D3" s="679"/>
      <c r="E3" s="680"/>
      <c r="F3" s="629"/>
      <c r="G3" s="644"/>
      <c r="H3" s="644"/>
      <c r="I3" s="644"/>
      <c r="J3" s="644"/>
      <c r="K3" s="644"/>
      <c r="L3" s="644"/>
      <c r="M3" s="644"/>
      <c r="N3" s="644"/>
      <c r="O3" s="644"/>
      <c r="P3" s="644"/>
      <c r="Q3" s="11"/>
      <c r="R3" s="11"/>
      <c r="S3" s="11"/>
      <c r="T3" s="11"/>
      <c r="U3" s="11"/>
      <c r="V3" s="11"/>
      <c r="W3" s="11"/>
      <c r="X3" s="11"/>
      <c r="Y3" s="11"/>
      <c r="Z3" s="11"/>
    </row>
    <row r="4" spans="1:26">
      <c r="A4" s="697" t="s">
        <v>47</v>
      </c>
      <c r="B4" s="681" t="s">
        <v>475</v>
      </c>
      <c r="C4" s="681" t="s">
        <v>49</v>
      </c>
      <c r="D4" s="681" t="s">
        <v>74</v>
      </c>
      <c r="E4" s="682" t="s">
        <v>50</v>
      </c>
      <c r="F4" s="629"/>
      <c r="G4" s="658"/>
      <c r="H4" s="659"/>
      <c r="I4" s="659"/>
      <c r="J4" s="659"/>
      <c r="K4" s="659"/>
      <c r="L4" s="659"/>
      <c r="M4" s="659"/>
      <c r="N4" s="659"/>
      <c r="O4" s="659"/>
      <c r="P4" s="659"/>
      <c r="Q4" s="146"/>
      <c r="R4" s="146"/>
      <c r="S4" s="146"/>
      <c r="T4" s="146"/>
      <c r="U4" s="146"/>
      <c r="V4" s="11"/>
      <c r="W4" s="11"/>
      <c r="X4" s="11"/>
      <c r="Y4" s="11"/>
      <c r="Z4" s="11"/>
    </row>
    <row r="5" spans="1:26">
      <c r="A5" s="698">
        <v>69</v>
      </c>
      <c r="B5" s="660">
        <v>546.20000000000005</v>
      </c>
      <c r="C5" s="661"/>
      <c r="D5" s="660">
        <f>B5</f>
        <v>546.20000000000005</v>
      </c>
      <c r="E5" s="662"/>
      <c r="F5" s="644"/>
      <c r="G5" s="663"/>
      <c r="H5" s="664"/>
      <c r="I5" s="664"/>
      <c r="J5" s="664"/>
      <c r="K5" s="664"/>
      <c r="L5" s="664"/>
      <c r="M5" s="664"/>
      <c r="N5" s="664"/>
      <c r="O5" s="664"/>
      <c r="P5" s="664"/>
      <c r="Q5" s="148"/>
      <c r="R5" s="148"/>
      <c r="S5" s="784"/>
      <c r="T5" s="11"/>
      <c r="U5" s="11"/>
      <c r="V5" s="11"/>
      <c r="W5" s="784"/>
      <c r="X5" s="11"/>
      <c r="Y5" s="11"/>
      <c r="Z5" s="11"/>
    </row>
    <row r="6" spans="1:26">
      <c r="A6" s="698">
        <v>138</v>
      </c>
      <c r="B6" s="660">
        <v>6229.3</v>
      </c>
      <c r="C6" s="665"/>
      <c r="D6" s="660">
        <f>B6</f>
        <v>6229.3</v>
      </c>
      <c r="E6" s="662"/>
      <c r="F6" s="644"/>
      <c r="G6" s="664"/>
      <c r="H6" s="664"/>
      <c r="I6" s="664"/>
      <c r="J6" s="664"/>
      <c r="K6" s="664"/>
      <c r="L6" s="664"/>
      <c r="M6" s="664"/>
      <c r="N6" s="664"/>
      <c r="O6" s="664"/>
      <c r="P6" s="664"/>
      <c r="Q6" s="148"/>
      <c r="R6" s="148"/>
      <c r="S6" s="61"/>
      <c r="T6" s="17"/>
      <c r="U6" s="123"/>
      <c r="V6" s="11"/>
      <c r="W6" s="61"/>
      <c r="X6" s="17"/>
      <c r="Y6" s="123"/>
      <c r="Z6" s="11"/>
    </row>
    <row r="7" spans="1:26">
      <c r="A7" s="698">
        <v>240</v>
      </c>
      <c r="B7" s="660">
        <v>5418.4</v>
      </c>
      <c r="C7" s="660">
        <f>B7</f>
        <v>5418.4</v>
      </c>
      <c r="D7" s="666"/>
      <c r="E7" s="662"/>
      <c r="F7" s="644"/>
      <c r="G7" s="664"/>
      <c r="H7" s="664"/>
      <c r="I7" s="664"/>
      <c r="J7" s="664"/>
      <c r="K7" s="664"/>
      <c r="L7" s="664"/>
      <c r="M7" s="664"/>
      <c r="N7" s="664"/>
      <c r="O7" s="664"/>
      <c r="P7" s="664"/>
      <c r="Q7" s="148"/>
      <c r="R7" s="148"/>
      <c r="S7" s="61"/>
      <c r="T7" s="17"/>
      <c r="U7" s="123"/>
      <c r="V7" s="11"/>
      <c r="W7" s="61"/>
      <c r="X7" s="17"/>
      <c r="Y7" s="123"/>
      <c r="Z7" s="11"/>
    </row>
    <row r="8" spans="1:26">
      <c r="A8" s="698">
        <v>500</v>
      </c>
      <c r="B8" s="660">
        <v>759.49</v>
      </c>
      <c r="C8" s="660">
        <f>B8</f>
        <v>759.49</v>
      </c>
      <c r="D8" s="665"/>
      <c r="E8" s="662"/>
      <c r="F8" s="644"/>
      <c r="G8" s="664"/>
      <c r="H8" s="664"/>
      <c r="I8" s="664"/>
      <c r="J8" s="664"/>
      <c r="K8" s="664"/>
      <c r="L8" s="664"/>
      <c r="M8" s="664"/>
      <c r="N8" s="664"/>
      <c r="O8" s="664"/>
      <c r="P8" s="664"/>
      <c r="Q8" s="148"/>
      <c r="R8" s="148"/>
      <c r="S8" s="61"/>
      <c r="T8" s="17"/>
      <c r="U8" s="123"/>
      <c r="V8" s="11"/>
      <c r="W8" s="61"/>
      <c r="X8" s="17"/>
      <c r="Y8" s="123"/>
      <c r="Z8" s="11"/>
    </row>
    <row r="9" spans="1:26">
      <c r="A9" s="699" t="s">
        <v>474</v>
      </c>
      <c r="B9" s="667">
        <f>SUM(B5:B8)</f>
        <v>12953.39</v>
      </c>
      <c r="C9" s="667">
        <f>SUM(C5:C8)</f>
        <v>6177.8899999999994</v>
      </c>
      <c r="D9" s="667">
        <f>SUM(D5:D8)</f>
        <v>6775.5</v>
      </c>
      <c r="E9" s="668">
        <f>SUM(E5:E8)</f>
        <v>0</v>
      </c>
      <c r="F9" s="629"/>
      <c r="G9" s="664"/>
      <c r="H9" s="664"/>
      <c r="I9" s="664"/>
      <c r="J9" s="664"/>
      <c r="K9" s="664"/>
      <c r="L9" s="664"/>
      <c r="M9" s="664"/>
      <c r="N9" s="664"/>
      <c r="O9" s="664"/>
      <c r="P9" s="664"/>
      <c r="Q9" s="148"/>
      <c r="R9" s="148"/>
      <c r="S9" s="61"/>
      <c r="T9" s="17"/>
      <c r="U9" s="123"/>
      <c r="V9" s="11"/>
      <c r="W9" s="61"/>
      <c r="X9" s="17"/>
      <c r="Y9" s="123"/>
      <c r="Z9" s="11"/>
    </row>
    <row r="10" spans="1:26">
      <c r="A10" s="673" t="s">
        <v>473</v>
      </c>
      <c r="B10" s="674"/>
      <c r="C10" s="675">
        <f>C9/$B9</f>
        <v>0.47693229339964283</v>
      </c>
      <c r="D10" s="675">
        <f>D9/$B9</f>
        <v>0.52306770660035717</v>
      </c>
      <c r="E10" s="676">
        <f>E9/$B9</f>
        <v>0</v>
      </c>
      <c r="F10" s="629"/>
      <c r="G10" s="644"/>
      <c r="H10" s="644"/>
      <c r="I10" s="644"/>
      <c r="J10" s="644"/>
      <c r="K10" s="644"/>
      <c r="L10" s="644"/>
      <c r="M10" s="644"/>
      <c r="N10" s="644"/>
      <c r="O10" s="644"/>
      <c r="P10" s="644"/>
      <c r="Q10" s="61"/>
      <c r="R10" s="61"/>
      <c r="S10" s="11"/>
      <c r="T10" s="11"/>
      <c r="U10" s="11"/>
      <c r="V10" s="11"/>
      <c r="W10" s="11"/>
      <c r="X10" s="11"/>
      <c r="Y10" s="11"/>
      <c r="Z10" s="11"/>
    </row>
    <row r="11" spans="1:26">
      <c r="A11" s="644"/>
      <c r="B11" s="669"/>
      <c r="C11" s="670"/>
      <c r="D11" s="670"/>
      <c r="E11" s="670"/>
      <c r="F11" s="629"/>
      <c r="G11" s="644"/>
      <c r="H11" s="644"/>
      <c r="I11" s="644"/>
      <c r="J11" s="644"/>
      <c r="K11" s="644"/>
      <c r="L11" s="644"/>
      <c r="M11" s="644"/>
      <c r="N11" s="644"/>
      <c r="O11" s="644"/>
      <c r="P11" s="644"/>
      <c r="Q11" s="61"/>
      <c r="R11" s="61"/>
      <c r="S11" s="11"/>
      <c r="T11" s="11"/>
      <c r="U11" s="11"/>
      <c r="V11" s="11"/>
      <c r="W11" s="11"/>
      <c r="X11" s="11"/>
      <c r="Y11" s="11"/>
      <c r="Z11" s="11"/>
    </row>
    <row r="12" spans="1:26">
      <c r="A12" s="696" t="s">
        <v>705</v>
      </c>
      <c r="B12" s="678"/>
      <c r="C12" s="678"/>
      <c r="D12" s="679"/>
      <c r="E12" s="680"/>
      <c r="F12" s="629"/>
      <c r="G12" s="644"/>
      <c r="H12" s="644"/>
      <c r="I12" s="644"/>
      <c r="J12" s="644"/>
      <c r="K12" s="644"/>
      <c r="L12" s="644"/>
      <c r="M12" s="644"/>
      <c r="N12" s="644"/>
      <c r="O12" s="644"/>
      <c r="P12" s="644"/>
      <c r="Q12" s="11"/>
      <c r="R12" s="11"/>
      <c r="S12" s="11"/>
      <c r="T12" s="11"/>
      <c r="U12" s="11"/>
      <c r="V12" s="11"/>
      <c r="W12" s="11"/>
      <c r="X12" s="11"/>
      <c r="Y12" s="11"/>
      <c r="Z12" s="11"/>
    </row>
    <row r="13" spans="1:26">
      <c r="A13" s="697" t="s">
        <v>47</v>
      </c>
      <c r="B13" s="681" t="s">
        <v>472</v>
      </c>
      <c r="C13" s="681" t="s">
        <v>49</v>
      </c>
      <c r="D13" s="681" t="s">
        <v>74</v>
      </c>
      <c r="E13" s="682" t="s">
        <v>50</v>
      </c>
      <c r="F13" s="629"/>
      <c r="G13" s="644"/>
      <c r="H13" s="644"/>
      <c r="I13" s="644"/>
      <c r="J13" s="644"/>
      <c r="K13" s="644"/>
      <c r="L13" s="644"/>
      <c r="M13" s="644"/>
      <c r="N13" s="644"/>
      <c r="O13" s="644"/>
      <c r="P13" s="644"/>
      <c r="Q13" s="11"/>
      <c r="R13" s="11"/>
      <c r="S13" s="11"/>
      <c r="T13" s="11"/>
      <c r="U13" s="11"/>
      <c r="V13" s="11"/>
      <c r="W13" s="11"/>
      <c r="X13" s="11"/>
      <c r="Y13" s="11"/>
      <c r="Z13" s="11"/>
    </row>
    <row r="14" spans="1:26">
      <c r="A14" s="698">
        <v>69</v>
      </c>
      <c r="B14" s="667">
        <v>678.93101305158484</v>
      </c>
      <c r="C14" s="667"/>
      <c r="D14" s="667">
        <f>B14*D5/B5</f>
        <v>678.93101305158484</v>
      </c>
      <c r="E14" s="668">
        <f>B14*E5/B5</f>
        <v>0</v>
      </c>
      <c r="F14" s="629"/>
      <c r="G14" s="644"/>
      <c r="H14" s="683"/>
      <c r="I14" s="683"/>
      <c r="J14" s="644"/>
      <c r="K14" s="644"/>
      <c r="L14" s="644"/>
      <c r="M14" s="644"/>
      <c r="N14" s="644"/>
      <c r="O14" s="644"/>
      <c r="P14" s="669"/>
      <c r="Q14" s="135"/>
      <c r="R14" s="11"/>
      <c r="S14" s="11"/>
      <c r="T14" s="11"/>
      <c r="U14" s="11"/>
      <c r="V14" s="11"/>
      <c r="W14" s="11"/>
      <c r="X14" s="11"/>
      <c r="Y14" s="11"/>
      <c r="Z14" s="11"/>
    </row>
    <row r="15" spans="1:26">
      <c r="A15" s="698">
        <v>138</v>
      </c>
      <c r="B15" s="667">
        <v>7743.0702299564946</v>
      </c>
      <c r="C15" s="669"/>
      <c r="D15" s="667">
        <f>B15*D6/B6</f>
        <v>7743.0702299564946</v>
      </c>
      <c r="E15" s="668">
        <f>B15*E6/B6</f>
        <v>0</v>
      </c>
      <c r="F15" s="629"/>
      <c r="G15" s="644"/>
      <c r="H15" s="683"/>
      <c r="I15" s="684"/>
      <c r="J15" s="643"/>
      <c r="K15" s="644"/>
      <c r="L15" s="644"/>
      <c r="M15" s="644"/>
      <c r="N15" s="644"/>
      <c r="O15" s="644"/>
      <c r="P15" s="667"/>
      <c r="Q15" s="61"/>
      <c r="R15" s="11"/>
      <c r="S15" s="11"/>
      <c r="T15" s="11"/>
      <c r="U15" s="11"/>
      <c r="V15" s="11"/>
      <c r="W15" s="11"/>
      <c r="X15" s="11"/>
      <c r="Y15" s="11"/>
      <c r="Z15" s="11"/>
    </row>
    <row r="16" spans="1:26">
      <c r="A16" s="698">
        <v>240</v>
      </c>
      <c r="B16" s="667">
        <v>6735.1149782473585</v>
      </c>
      <c r="C16" s="667">
        <f>B16</f>
        <v>6735.1149782473585</v>
      </c>
      <c r="D16" s="669"/>
      <c r="E16" s="685"/>
      <c r="F16" s="629"/>
      <c r="G16" s="644"/>
      <c r="H16" s="683"/>
      <c r="I16" s="684"/>
      <c r="J16" s="643"/>
      <c r="K16" s="644"/>
      <c r="L16" s="644"/>
      <c r="M16" s="644"/>
      <c r="N16" s="644"/>
      <c r="O16" s="644"/>
      <c r="P16" s="667"/>
      <c r="Q16" s="61"/>
      <c r="R16" s="11"/>
      <c r="S16" s="11"/>
      <c r="T16" s="11"/>
      <c r="U16" s="11"/>
      <c r="V16" s="11"/>
      <c r="W16" s="11"/>
      <c r="X16" s="11"/>
      <c r="Y16" s="11"/>
      <c r="Z16" s="11"/>
    </row>
    <row r="17" spans="1:26">
      <c r="A17" s="698">
        <v>500</v>
      </c>
      <c r="B17" s="667">
        <v>944.05220633934118</v>
      </c>
      <c r="C17" s="667">
        <f>B17</f>
        <v>944.05220633934118</v>
      </c>
      <c r="D17" s="669"/>
      <c r="E17" s="685"/>
      <c r="F17" s="629"/>
      <c r="G17" s="644"/>
      <c r="H17" s="683"/>
      <c r="I17" s="684"/>
      <c r="J17" s="643"/>
      <c r="K17" s="644"/>
      <c r="L17" s="644"/>
      <c r="M17" s="644"/>
      <c r="N17" s="644"/>
      <c r="O17" s="644"/>
      <c r="P17" s="667"/>
      <c r="Q17" s="61"/>
      <c r="R17" s="11"/>
      <c r="S17" s="11"/>
      <c r="T17" s="11"/>
      <c r="U17" s="11"/>
      <c r="V17" s="11"/>
      <c r="W17" s="11"/>
      <c r="X17" s="11"/>
      <c r="Y17" s="11"/>
      <c r="Z17" s="11"/>
    </row>
    <row r="18" spans="1:26">
      <c r="A18" s="698" t="s">
        <v>23</v>
      </c>
      <c r="B18" s="667">
        <v>309</v>
      </c>
      <c r="C18" s="667">
        <f>(13/343)*B18</f>
        <v>11.711370262390671</v>
      </c>
      <c r="D18" s="667">
        <f>(43/343)*B18</f>
        <v>38.737609329446066</v>
      </c>
      <c r="E18" s="668">
        <f>(287/343)*B18</f>
        <v>258.55102040816325</v>
      </c>
      <c r="F18" s="629"/>
      <c r="G18" s="663"/>
      <c r="H18" s="663"/>
      <c r="I18" s="663"/>
      <c r="J18" s="663"/>
      <c r="K18" s="663"/>
      <c r="L18" s="663"/>
      <c r="M18" s="663"/>
      <c r="N18" s="663"/>
      <c r="O18" s="663"/>
      <c r="P18" s="663"/>
      <c r="Q18" s="147"/>
      <c r="R18" s="147"/>
    </row>
    <row r="19" spans="1:26">
      <c r="A19" s="699" t="s">
        <v>472</v>
      </c>
      <c r="B19" s="667">
        <f>SUM(B14:B18)</f>
        <v>16410.168427594777</v>
      </c>
      <c r="C19" s="667">
        <f>SUM(C14:C18)</f>
        <v>7690.8785548490905</v>
      </c>
      <c r="D19" s="667">
        <f>SUM(D14:D18)</f>
        <v>8460.7388523375248</v>
      </c>
      <c r="E19" s="668">
        <f>SUM(E14:E18)</f>
        <v>258.55102040816325</v>
      </c>
      <c r="F19" s="629"/>
      <c r="G19" s="686"/>
      <c r="H19" s="686"/>
      <c r="I19" s="686"/>
      <c r="J19" s="663"/>
      <c r="K19" s="663"/>
      <c r="L19" s="663"/>
      <c r="M19" s="663"/>
      <c r="N19" s="663"/>
      <c r="O19" s="663"/>
      <c r="P19" s="663"/>
      <c r="Q19" s="147"/>
      <c r="R19" s="147"/>
    </row>
    <row r="20" spans="1:26">
      <c r="A20" s="673" t="s">
        <v>471</v>
      </c>
      <c r="B20" s="674"/>
      <c r="C20" s="675">
        <f>C19/$B19</f>
        <v>0.46866542465928457</v>
      </c>
      <c r="D20" s="675">
        <f>D19/$B19</f>
        <v>0.51557903806217098</v>
      </c>
      <c r="E20" s="676">
        <f>E19/$B19</f>
        <v>1.5755537278544486E-2</v>
      </c>
      <c r="F20" s="629"/>
      <c r="G20" s="686"/>
      <c r="H20" s="686"/>
      <c r="I20" s="686"/>
      <c r="J20" s="663"/>
      <c r="K20" s="663"/>
      <c r="L20" s="663"/>
      <c r="M20" s="663"/>
      <c r="N20" s="663"/>
      <c r="O20" s="663"/>
      <c r="P20" s="663"/>
      <c r="Q20" s="147"/>
      <c r="R20" s="147"/>
    </row>
    <row r="21" spans="1:26">
      <c r="A21" s="629"/>
      <c r="B21" s="677"/>
      <c r="C21" s="677"/>
      <c r="D21" s="677"/>
      <c r="E21" s="677"/>
      <c r="F21" s="629"/>
      <c r="G21" s="629"/>
      <c r="H21" s="629"/>
      <c r="I21" s="629"/>
      <c r="J21" s="629"/>
      <c r="K21" s="629"/>
      <c r="L21" s="629"/>
      <c r="M21" s="629"/>
      <c r="N21" s="629"/>
      <c r="O21" s="629"/>
      <c r="P21" s="629"/>
    </row>
    <row r="22" spans="1:26">
      <c r="A22" s="696" t="s">
        <v>706</v>
      </c>
      <c r="B22" s="678"/>
      <c r="C22" s="678"/>
      <c r="D22" s="679"/>
      <c r="E22" s="680"/>
      <c r="F22" s="629"/>
      <c r="G22" s="629"/>
      <c r="H22" s="629"/>
      <c r="I22" s="644"/>
      <c r="J22" s="644"/>
      <c r="K22" s="629"/>
      <c r="L22" s="629"/>
      <c r="M22" s="629"/>
      <c r="N22" s="629"/>
      <c r="O22" s="629"/>
      <c r="P22" s="629"/>
    </row>
    <row r="23" spans="1:26">
      <c r="A23" s="697" t="s">
        <v>47</v>
      </c>
      <c r="B23" s="681" t="s">
        <v>466</v>
      </c>
      <c r="C23" s="681" t="s">
        <v>49</v>
      </c>
      <c r="D23" s="681" t="s">
        <v>74</v>
      </c>
      <c r="E23" s="682" t="s">
        <v>50</v>
      </c>
      <c r="F23" s="629"/>
      <c r="G23" s="629"/>
      <c r="H23" s="629"/>
      <c r="I23" s="644"/>
      <c r="J23" s="644"/>
      <c r="K23" s="629"/>
      <c r="L23" s="629"/>
      <c r="M23" s="629"/>
      <c r="N23" s="629"/>
      <c r="O23" s="629"/>
      <c r="P23" s="629"/>
    </row>
    <row r="24" spans="1:26">
      <c r="A24" s="698" t="s">
        <v>470</v>
      </c>
      <c r="B24" s="667">
        <f>B5*0.015</f>
        <v>8.1929999999999996</v>
      </c>
      <c r="C24" s="667"/>
      <c r="D24" s="667">
        <f>B24*D5/B5</f>
        <v>8.1929999999999996</v>
      </c>
      <c r="E24" s="668">
        <f>B24*E5/B5</f>
        <v>0</v>
      </c>
      <c r="F24" s="629"/>
      <c r="G24" s="629"/>
      <c r="H24" s="629"/>
      <c r="I24" s="644"/>
      <c r="J24" s="632"/>
      <c r="K24" s="629"/>
      <c r="L24" s="629"/>
      <c r="M24" s="629"/>
      <c r="N24" s="629"/>
      <c r="O24" s="629"/>
      <c r="P24" s="629"/>
    </row>
    <row r="25" spans="1:26">
      <c r="A25" s="698" t="s">
        <v>469</v>
      </c>
      <c r="B25" s="667">
        <f>B6*0.02</f>
        <v>124.58600000000001</v>
      </c>
      <c r="C25" s="669"/>
      <c r="D25" s="667">
        <f>B25*D6/B6</f>
        <v>124.586</v>
      </c>
      <c r="E25" s="668">
        <f>B25*E6/B6</f>
        <v>0</v>
      </c>
      <c r="F25" s="629"/>
      <c r="G25" s="629"/>
      <c r="H25" s="629"/>
      <c r="I25" s="644"/>
      <c r="J25" s="632"/>
      <c r="K25" s="629"/>
      <c r="L25" s="629"/>
      <c r="M25" s="629"/>
      <c r="N25" s="629"/>
      <c r="O25" s="629"/>
      <c r="P25" s="629"/>
    </row>
    <row r="26" spans="1:26">
      <c r="A26" s="698" t="s">
        <v>468</v>
      </c>
      <c r="B26" s="667">
        <f>B7*0.04</f>
        <v>216.73599999999999</v>
      </c>
      <c r="C26" s="667">
        <f>B26</f>
        <v>216.73599999999999</v>
      </c>
      <c r="D26" s="669"/>
      <c r="E26" s="685"/>
      <c r="F26" s="629"/>
      <c r="G26" s="629"/>
      <c r="H26" s="629"/>
      <c r="I26" s="644"/>
      <c r="J26" s="632"/>
      <c r="K26" s="629"/>
      <c r="L26" s="629"/>
      <c r="M26" s="629"/>
      <c r="N26" s="629"/>
      <c r="O26" s="629"/>
      <c r="P26" s="629"/>
    </row>
    <row r="27" spans="1:26">
      <c r="A27" s="698" t="s">
        <v>467</v>
      </c>
      <c r="B27" s="667">
        <f>B8*0.055</f>
        <v>41.771950000000004</v>
      </c>
      <c r="C27" s="667">
        <f>B27</f>
        <v>41.771950000000004</v>
      </c>
      <c r="D27" s="669"/>
      <c r="E27" s="685"/>
      <c r="F27" s="629"/>
      <c r="G27" s="629"/>
      <c r="H27" s="629"/>
      <c r="I27" s="644"/>
      <c r="J27" s="632"/>
      <c r="K27" s="629"/>
      <c r="L27" s="629"/>
      <c r="M27" s="629"/>
      <c r="N27" s="629"/>
      <c r="O27" s="629"/>
      <c r="P27" s="629"/>
    </row>
    <row r="28" spans="1:26">
      <c r="A28" s="699" t="s">
        <v>466</v>
      </c>
      <c r="B28" s="667">
        <f>SUM(B24:B27)</f>
        <v>391.28694999999999</v>
      </c>
      <c r="C28" s="667">
        <f>SUM(C24:C27)</f>
        <v>258.50794999999999</v>
      </c>
      <c r="D28" s="667">
        <f>SUM(D24:D27)</f>
        <v>132.779</v>
      </c>
      <c r="E28" s="668">
        <f>SUM(E24:E27)</f>
        <v>0</v>
      </c>
      <c r="F28" s="629"/>
      <c r="G28" s="629"/>
      <c r="H28" s="629"/>
      <c r="I28" s="644"/>
      <c r="J28" s="632"/>
      <c r="K28" s="629"/>
      <c r="L28" s="629"/>
      <c r="M28" s="629"/>
      <c r="N28" s="629"/>
      <c r="O28" s="629"/>
      <c r="P28" s="629"/>
    </row>
    <row r="29" spans="1:26">
      <c r="A29" s="673" t="s">
        <v>465</v>
      </c>
      <c r="B29" s="674"/>
      <c r="C29" s="675">
        <f>C28/$B28</f>
        <v>0.66066080149107964</v>
      </c>
      <c r="D29" s="675">
        <f>D28/$B28</f>
        <v>0.33933919850892036</v>
      </c>
      <c r="E29" s="676">
        <f>E28/$B28</f>
        <v>0</v>
      </c>
      <c r="F29" s="629"/>
      <c r="G29" s="629"/>
      <c r="H29" s="629"/>
      <c r="I29" s="644"/>
      <c r="J29" s="632"/>
      <c r="K29" s="629"/>
      <c r="L29" s="629"/>
      <c r="M29" s="629"/>
      <c r="N29" s="629"/>
      <c r="O29" s="629"/>
      <c r="P29" s="629"/>
    </row>
    <row r="30" spans="1:26">
      <c r="A30" s="629"/>
      <c r="B30" s="677"/>
      <c r="C30" s="677"/>
      <c r="D30" s="700"/>
      <c r="E30" s="677"/>
      <c r="F30" s="629"/>
      <c r="G30" s="629"/>
      <c r="H30" s="629"/>
      <c r="I30" s="644"/>
      <c r="J30" s="632"/>
      <c r="K30" s="644"/>
      <c r="L30" s="629"/>
      <c r="M30" s="629"/>
      <c r="N30" s="629"/>
      <c r="O30" s="629"/>
      <c r="P30" s="629"/>
    </row>
    <row r="31" spans="1:26">
      <c r="A31" s="696" t="s">
        <v>707</v>
      </c>
      <c r="B31" s="671"/>
      <c r="C31" s="671" t="s">
        <v>49</v>
      </c>
      <c r="D31" s="681" t="s">
        <v>74</v>
      </c>
      <c r="E31" s="672" t="s">
        <v>50</v>
      </c>
      <c r="F31" s="629"/>
      <c r="G31" s="629"/>
      <c r="H31" s="629"/>
      <c r="I31" s="644"/>
      <c r="J31" s="632"/>
      <c r="K31" s="644"/>
      <c r="L31" s="629"/>
      <c r="M31" s="644"/>
      <c r="N31" s="644"/>
      <c r="O31" s="629"/>
      <c r="P31" s="629"/>
    </row>
    <row r="32" spans="1:26">
      <c r="A32" s="673" t="s">
        <v>464</v>
      </c>
      <c r="B32" s="674"/>
      <c r="C32" s="675">
        <f>C36/$B$36</f>
        <v>0.17676767676767677</v>
      </c>
      <c r="D32" s="675">
        <f t="shared" ref="D32:E32" si="0">D36/$B$36</f>
        <v>0.18434343434343434</v>
      </c>
      <c r="E32" s="676">
        <f t="shared" si="0"/>
        <v>0.63888888888888884</v>
      </c>
      <c r="F32" s="629"/>
      <c r="G32" s="629"/>
      <c r="H32" s="629"/>
      <c r="I32" s="644"/>
      <c r="J32" s="632"/>
      <c r="K32" s="643"/>
      <c r="L32" s="629"/>
      <c r="M32" s="701"/>
      <c r="N32" s="688"/>
      <c r="O32" s="629"/>
      <c r="P32" s="629"/>
    </row>
    <row r="33" spans="1:16">
      <c r="A33" s="629"/>
      <c r="B33" s="677"/>
      <c r="C33" s="677"/>
      <c r="D33" s="700"/>
      <c r="E33" s="677"/>
      <c r="F33" s="629"/>
      <c r="G33" s="629"/>
      <c r="H33" s="629"/>
      <c r="I33" s="644"/>
      <c r="J33" s="644"/>
      <c r="K33" s="687"/>
      <c r="L33" s="629"/>
      <c r="M33" s="572"/>
      <c r="N33" s="629"/>
      <c r="O33" s="629"/>
      <c r="P33" s="629"/>
    </row>
    <row r="34" spans="1:16">
      <c r="A34" s="696" t="s">
        <v>708</v>
      </c>
      <c r="B34" s="671"/>
      <c r="C34" s="671" t="s">
        <v>49</v>
      </c>
      <c r="D34" s="671" t="s">
        <v>74</v>
      </c>
      <c r="E34" s="672" t="s">
        <v>50</v>
      </c>
      <c r="F34" s="629"/>
      <c r="G34" s="629"/>
      <c r="H34" s="629"/>
      <c r="I34" s="644"/>
      <c r="J34" s="644"/>
      <c r="K34" s="644"/>
      <c r="L34" s="629"/>
      <c r="M34" s="572"/>
      <c r="N34" s="629"/>
      <c r="O34" s="629"/>
      <c r="P34" s="629"/>
    </row>
    <row r="35" spans="1:16">
      <c r="A35" s="699" t="s">
        <v>626</v>
      </c>
      <c r="B35" s="667">
        <f>SUM(C35:E35)</f>
        <v>417</v>
      </c>
      <c r="C35" s="667">
        <f>'Func AL Lines'!V8</f>
        <v>97</v>
      </c>
      <c r="D35" s="667">
        <f>'Func AL Lines'!W8</f>
        <v>215</v>
      </c>
      <c r="E35" s="668">
        <f>'Func AL Lines'!X8</f>
        <v>105</v>
      </c>
      <c r="F35" s="629"/>
      <c r="G35" s="629"/>
      <c r="H35" s="629"/>
      <c r="I35" s="644"/>
      <c r="J35" s="644"/>
      <c r="K35" s="643"/>
      <c r="L35" s="629"/>
      <c r="M35" s="701"/>
      <c r="N35" s="688"/>
      <c r="O35" s="629"/>
      <c r="P35" s="629"/>
    </row>
    <row r="36" spans="1:16">
      <c r="A36" s="699" t="s">
        <v>690</v>
      </c>
      <c r="B36" s="667">
        <f>B18</f>
        <v>309</v>
      </c>
      <c r="C36" s="667">
        <f>70/396*B36</f>
        <v>54.621212121212125</v>
      </c>
      <c r="D36" s="667">
        <f>73/396*B36</f>
        <v>56.962121212121211</v>
      </c>
      <c r="E36" s="668">
        <f>253/396*B36</f>
        <v>197.41666666666666</v>
      </c>
      <c r="F36" s="629"/>
      <c r="G36" s="629"/>
      <c r="H36" s="629"/>
      <c r="I36" s="644"/>
      <c r="J36" s="644"/>
      <c r="K36" s="687"/>
      <c r="L36" s="629"/>
      <c r="M36" s="572"/>
      <c r="N36" s="629"/>
      <c r="O36" s="629"/>
      <c r="P36" s="629"/>
    </row>
    <row r="37" spans="1:16">
      <c r="A37" s="699" t="s">
        <v>691</v>
      </c>
      <c r="B37" s="667">
        <f>SUM(C37:E37)</f>
        <v>726</v>
      </c>
      <c r="C37" s="667">
        <f>SUM(C35:C36)</f>
        <v>151.62121212121212</v>
      </c>
      <c r="D37" s="667">
        <f t="shared" ref="D37:E37" si="1">SUM(D35:D36)</f>
        <v>271.96212121212119</v>
      </c>
      <c r="E37" s="668">
        <f t="shared" si="1"/>
        <v>302.41666666666663</v>
      </c>
      <c r="F37" s="644"/>
      <c r="G37" s="629"/>
      <c r="H37" s="629"/>
      <c r="I37" s="644"/>
      <c r="J37" s="644"/>
      <c r="K37" s="644"/>
      <c r="L37" s="629"/>
      <c r="M37" s="572"/>
      <c r="N37" s="629"/>
      <c r="O37" s="629"/>
      <c r="P37" s="629"/>
    </row>
    <row r="38" spans="1:16">
      <c r="A38" s="673" t="s">
        <v>692</v>
      </c>
      <c r="B38" s="704"/>
      <c r="C38" s="705">
        <f>C37/$B$37</f>
        <v>0.20884464479505802</v>
      </c>
      <c r="D38" s="705">
        <f t="shared" ref="D38:E38" si="2">D37/$B$37</f>
        <v>0.3746034727439686</v>
      </c>
      <c r="E38" s="706">
        <f t="shared" si="2"/>
        <v>0.4165518824609733</v>
      </c>
      <c r="F38" s="644"/>
      <c r="G38" s="629"/>
      <c r="H38" s="629"/>
      <c r="I38" s="644"/>
      <c r="J38" s="644"/>
      <c r="K38" s="644"/>
      <c r="L38" s="629"/>
      <c r="M38" s="572"/>
      <c r="N38" s="629"/>
      <c r="O38" s="629"/>
      <c r="P38" s="629"/>
    </row>
    <row r="39" spans="1:16">
      <c r="A39" s="629"/>
      <c r="B39" s="677"/>
      <c r="C39" s="677"/>
      <c r="D39" s="677"/>
      <c r="E39" s="677"/>
      <c r="F39" s="629"/>
      <c r="G39" s="629"/>
      <c r="H39" s="629"/>
      <c r="I39" s="629"/>
      <c r="J39" s="629"/>
      <c r="K39" s="629"/>
      <c r="L39" s="629"/>
      <c r="M39" s="644"/>
      <c r="N39" s="689"/>
      <c r="O39" s="629"/>
      <c r="P39" s="629"/>
    </row>
    <row r="40" spans="1:16">
      <c r="A40" s="690" t="s">
        <v>2151</v>
      </c>
      <c r="B40" s="690"/>
      <c r="C40" s="702">
        <v>0.19387605819194242</v>
      </c>
      <c r="D40" s="702">
        <v>0.27956144180805753</v>
      </c>
      <c r="E40" s="702">
        <v>0.52656250000000004</v>
      </c>
      <c r="F40" s="629"/>
      <c r="G40" s="629"/>
      <c r="H40" s="629"/>
      <c r="I40" s="629"/>
      <c r="J40" s="629"/>
      <c r="K40" s="629"/>
      <c r="L40" s="629"/>
      <c r="M40" s="629"/>
      <c r="N40" s="629"/>
      <c r="O40" s="629"/>
      <c r="P40" s="629"/>
    </row>
    <row r="41" spans="1:16">
      <c r="A41" s="690"/>
      <c r="B41" s="690"/>
      <c r="C41" s="703"/>
      <c r="D41" s="703"/>
      <c r="E41" s="703"/>
      <c r="F41" s="629"/>
      <c r="G41" s="1031"/>
      <c r="H41" s="1031"/>
      <c r="I41" s="1031"/>
      <c r="J41" s="1031"/>
      <c r="K41" s="1031"/>
      <c r="L41" s="1031"/>
      <c r="M41" s="1031"/>
      <c r="N41" s="1031"/>
      <c r="O41" s="1031"/>
      <c r="P41" s="1031"/>
    </row>
    <row r="42" spans="1:16">
      <c r="A42" s="690"/>
      <c r="B42" s="690"/>
      <c r="C42" s="690"/>
      <c r="D42" s="690"/>
      <c r="E42" s="690"/>
      <c r="F42" s="629"/>
      <c r="G42" s="1031"/>
      <c r="H42" s="1031"/>
      <c r="I42" s="1031"/>
      <c r="J42" s="1031"/>
      <c r="K42" s="1031"/>
      <c r="L42" s="1031"/>
      <c r="M42" s="1031"/>
      <c r="N42" s="1031"/>
      <c r="O42" s="1031"/>
      <c r="P42" s="1031"/>
    </row>
    <row r="43" spans="1:16" ht="28.5" customHeight="1">
      <c r="A43" s="644"/>
      <c r="B43" s="669"/>
      <c r="C43" s="669"/>
      <c r="D43" s="669"/>
      <c r="E43" s="669"/>
      <c r="F43" s="629"/>
      <c r="G43" s="691"/>
      <c r="H43" s="629"/>
      <c r="I43" s="629"/>
      <c r="J43" s="691"/>
      <c r="K43" s="629"/>
      <c r="L43" s="629"/>
      <c r="M43" s="629"/>
      <c r="N43" s="629"/>
      <c r="O43" s="629"/>
      <c r="P43" s="629"/>
    </row>
    <row r="44" spans="1:16">
      <c r="A44" s="644"/>
      <c r="B44" s="669"/>
      <c r="C44" s="669"/>
      <c r="D44" s="669"/>
      <c r="E44" s="669"/>
      <c r="F44" s="629"/>
      <c r="G44" s="644"/>
      <c r="H44" s="629"/>
      <c r="I44" s="629"/>
      <c r="J44" s="629"/>
      <c r="K44" s="629"/>
      <c r="L44" s="629"/>
      <c r="M44" s="629"/>
      <c r="N44" s="629"/>
      <c r="O44" s="629"/>
      <c r="P44" s="629"/>
    </row>
    <row r="45" spans="1:16">
      <c r="A45" s="644"/>
      <c r="B45" s="669"/>
      <c r="C45" s="669"/>
      <c r="D45" s="669"/>
      <c r="E45" s="669"/>
      <c r="F45" s="629"/>
      <c r="G45" s="644"/>
      <c r="H45" s="629"/>
      <c r="I45" s="629"/>
      <c r="J45" s="629"/>
      <c r="K45" s="629"/>
      <c r="L45" s="629"/>
      <c r="M45" s="629"/>
      <c r="N45" s="629"/>
      <c r="O45" s="629"/>
      <c r="P45" s="629"/>
    </row>
    <row r="46" spans="1:16">
      <c r="A46" s="644"/>
      <c r="B46" s="669"/>
      <c r="C46" s="669"/>
      <c r="D46" s="669"/>
      <c r="E46" s="669"/>
      <c r="F46" s="629"/>
      <c r="G46" s="644"/>
      <c r="H46" s="629"/>
      <c r="I46" s="629"/>
      <c r="J46" s="629"/>
      <c r="K46" s="629"/>
      <c r="L46" s="629"/>
      <c r="M46" s="629"/>
      <c r="N46" s="629"/>
      <c r="O46" s="629"/>
      <c r="P46" s="629"/>
    </row>
    <row r="47" spans="1:16">
      <c r="A47" s="644"/>
      <c r="B47" s="669"/>
      <c r="C47" s="669"/>
      <c r="D47" s="669"/>
      <c r="E47" s="669"/>
      <c r="F47" s="629"/>
      <c r="G47" s="644"/>
      <c r="H47" s="629"/>
      <c r="I47" s="629"/>
      <c r="J47" s="629"/>
      <c r="K47" s="629"/>
      <c r="L47" s="629"/>
      <c r="M47" s="629"/>
      <c r="N47" s="629"/>
      <c r="O47" s="629"/>
      <c r="P47" s="629"/>
    </row>
    <row r="48" spans="1:16">
      <c r="A48" s="644"/>
      <c r="B48" s="681"/>
      <c r="C48" s="681"/>
      <c r="D48" s="692"/>
      <c r="E48" s="692"/>
      <c r="F48" s="629"/>
      <c r="G48" s="644"/>
      <c r="H48" s="629"/>
      <c r="I48" s="629"/>
      <c r="J48" s="629"/>
      <c r="K48" s="629"/>
      <c r="L48" s="629"/>
      <c r="M48" s="629"/>
      <c r="N48" s="629"/>
      <c r="O48" s="629"/>
      <c r="P48" s="629"/>
    </row>
    <row r="49" spans="1:16">
      <c r="A49" s="644"/>
      <c r="B49" s="667"/>
      <c r="C49" s="667"/>
      <c r="D49" s="667"/>
      <c r="E49" s="667"/>
      <c r="F49" s="629"/>
      <c r="G49" s="644"/>
      <c r="H49" s="629"/>
      <c r="I49" s="629"/>
      <c r="J49" s="629"/>
      <c r="K49" s="629"/>
      <c r="L49" s="629"/>
      <c r="M49" s="629"/>
      <c r="N49" s="629"/>
      <c r="O49" s="629"/>
      <c r="P49" s="629"/>
    </row>
    <row r="50" spans="1:16">
      <c r="A50" s="644"/>
      <c r="B50" s="669"/>
      <c r="C50" s="670"/>
      <c r="D50" s="670"/>
      <c r="E50" s="670"/>
      <c r="F50" s="629"/>
      <c r="G50" s="644"/>
      <c r="H50" s="629"/>
      <c r="I50" s="629"/>
      <c r="J50" s="629"/>
      <c r="K50" s="629"/>
      <c r="L50" s="629"/>
      <c r="M50" s="629"/>
      <c r="N50" s="629"/>
      <c r="O50" s="629"/>
      <c r="P50" s="629"/>
    </row>
    <row r="51" spans="1:16">
      <c r="A51" s="644"/>
      <c r="B51" s="669"/>
      <c r="C51" s="669"/>
      <c r="D51" s="669"/>
      <c r="E51" s="669"/>
      <c r="F51" s="629"/>
      <c r="G51" s="644"/>
      <c r="H51" s="629"/>
      <c r="I51" s="629"/>
      <c r="J51" s="629"/>
      <c r="K51" s="629"/>
      <c r="L51" s="629"/>
      <c r="M51" s="629"/>
      <c r="N51" s="629"/>
      <c r="O51" s="629"/>
      <c r="P51" s="629"/>
    </row>
    <row r="52" spans="1:16">
      <c r="A52" s="644"/>
      <c r="B52" s="681"/>
      <c r="C52" s="681"/>
      <c r="D52" s="692"/>
      <c r="E52" s="692"/>
      <c r="F52" s="629"/>
      <c r="G52" s="644"/>
      <c r="H52" s="629"/>
      <c r="I52" s="629"/>
      <c r="J52" s="629"/>
      <c r="K52" s="629"/>
      <c r="L52" s="629"/>
      <c r="M52" s="629"/>
      <c r="N52" s="629"/>
      <c r="O52" s="629"/>
      <c r="P52" s="629"/>
    </row>
    <row r="53" spans="1:16">
      <c r="A53" s="644"/>
      <c r="B53" s="670"/>
      <c r="C53" s="670"/>
      <c r="D53" s="670"/>
      <c r="E53" s="670"/>
      <c r="F53" s="629"/>
      <c r="G53" s="644"/>
      <c r="H53" s="629"/>
      <c r="I53" s="629"/>
      <c r="J53" s="629"/>
      <c r="K53" s="629"/>
      <c r="L53" s="629"/>
      <c r="M53" s="629"/>
      <c r="N53" s="629"/>
      <c r="O53" s="629"/>
      <c r="P53" s="629"/>
    </row>
    <row r="54" spans="1:16">
      <c r="A54" s="644"/>
      <c r="B54" s="669"/>
      <c r="C54" s="670"/>
      <c r="D54" s="670"/>
      <c r="E54" s="670"/>
      <c r="F54" s="629"/>
      <c r="G54" s="629"/>
      <c r="H54" s="629"/>
      <c r="I54" s="629"/>
      <c r="J54" s="629"/>
      <c r="K54" s="629"/>
      <c r="L54" s="629"/>
      <c r="M54" s="629"/>
      <c r="N54" s="629"/>
      <c r="O54" s="629"/>
      <c r="P54" s="629"/>
    </row>
    <row r="55" spans="1:16">
      <c r="A55" s="644"/>
      <c r="B55" s="669"/>
      <c r="C55" s="669"/>
      <c r="D55" s="669"/>
      <c r="E55" s="669"/>
      <c r="F55" s="629"/>
      <c r="G55" s="629"/>
      <c r="H55" s="629"/>
      <c r="I55" s="629"/>
      <c r="J55" s="629"/>
      <c r="K55" s="629"/>
      <c r="L55" s="629"/>
      <c r="M55" s="629"/>
      <c r="N55" s="629"/>
      <c r="O55" s="629"/>
      <c r="P55" s="629"/>
    </row>
    <row r="56" spans="1:16">
      <c r="A56" s="644"/>
      <c r="B56" s="681"/>
      <c r="C56" s="681"/>
      <c r="D56" s="692"/>
      <c r="E56" s="692"/>
      <c r="F56" s="629"/>
      <c r="G56" s="629"/>
      <c r="H56" s="629"/>
      <c r="I56" s="629"/>
      <c r="J56" s="629"/>
      <c r="K56" s="629"/>
      <c r="L56" s="629"/>
      <c r="M56" s="629"/>
      <c r="N56" s="629"/>
      <c r="O56" s="629"/>
      <c r="P56" s="629"/>
    </row>
    <row r="57" spans="1:16">
      <c r="A57" s="644"/>
      <c r="B57" s="670"/>
      <c r="C57" s="670"/>
      <c r="D57" s="670"/>
      <c r="E57" s="670"/>
      <c r="F57" s="629"/>
      <c r="G57" s="629"/>
      <c r="H57" s="629"/>
      <c r="I57" s="629"/>
      <c r="J57" s="629"/>
      <c r="K57" s="629"/>
      <c r="L57" s="629"/>
      <c r="M57" s="629"/>
      <c r="N57" s="629"/>
      <c r="O57" s="629"/>
      <c r="P57" s="629"/>
    </row>
    <row r="58" spans="1:16">
      <c r="A58" s="644"/>
      <c r="B58" s="669"/>
      <c r="C58" s="670"/>
      <c r="D58" s="670"/>
      <c r="E58" s="670"/>
      <c r="F58" s="629"/>
      <c r="G58" s="629"/>
      <c r="H58" s="629"/>
      <c r="I58" s="629"/>
      <c r="J58" s="629"/>
      <c r="K58" s="629"/>
      <c r="L58" s="629"/>
      <c r="M58" s="629"/>
      <c r="N58" s="629"/>
      <c r="O58" s="629"/>
      <c r="P58" s="629"/>
    </row>
    <row r="59" spans="1:16">
      <c r="A59" s="644"/>
      <c r="B59" s="669"/>
      <c r="C59" s="669"/>
      <c r="D59" s="669"/>
      <c r="E59" s="669"/>
      <c r="F59" s="629"/>
      <c r="G59" s="629"/>
      <c r="H59" s="629"/>
      <c r="I59" s="629"/>
      <c r="J59" s="629"/>
      <c r="K59" s="629"/>
      <c r="L59" s="629"/>
      <c r="M59" s="629"/>
      <c r="N59" s="629"/>
      <c r="O59" s="629"/>
      <c r="P59" s="629"/>
    </row>
    <row r="60" spans="1:16">
      <c r="A60" s="644"/>
      <c r="B60" s="681"/>
      <c r="C60" s="681"/>
      <c r="D60" s="692"/>
      <c r="E60" s="692"/>
      <c r="F60" s="629"/>
      <c r="G60" s="629"/>
      <c r="H60" s="629"/>
      <c r="I60" s="629"/>
      <c r="J60" s="629"/>
      <c r="K60" s="629"/>
      <c r="L60" s="629"/>
      <c r="M60" s="629"/>
      <c r="N60" s="629"/>
      <c r="O60" s="629"/>
      <c r="P60" s="629"/>
    </row>
    <row r="61" spans="1:16">
      <c r="A61" s="644"/>
      <c r="B61" s="667"/>
      <c r="C61" s="667"/>
      <c r="D61" s="667"/>
      <c r="E61" s="667"/>
      <c r="F61" s="629"/>
      <c r="G61" s="629"/>
      <c r="H61" s="629"/>
      <c r="I61" s="629"/>
      <c r="J61" s="629"/>
      <c r="K61" s="629"/>
      <c r="L61" s="629"/>
      <c r="M61" s="629"/>
      <c r="N61" s="629"/>
      <c r="O61" s="629"/>
      <c r="P61" s="629"/>
    </row>
    <row r="62" spans="1:16">
      <c r="A62" s="644"/>
      <c r="B62" s="669"/>
      <c r="C62" s="670"/>
      <c r="D62" s="670"/>
      <c r="E62" s="670"/>
      <c r="F62" s="629"/>
      <c r="G62" s="629"/>
      <c r="H62" s="629"/>
      <c r="I62" s="629"/>
      <c r="J62" s="629"/>
      <c r="K62" s="629"/>
      <c r="L62" s="629"/>
      <c r="M62" s="629"/>
      <c r="N62" s="629"/>
      <c r="O62" s="629"/>
      <c r="P62" s="629"/>
    </row>
    <row r="63" spans="1:16">
      <c r="A63" s="644"/>
      <c r="B63" s="669"/>
      <c r="C63" s="669"/>
      <c r="D63" s="669"/>
      <c r="E63" s="669"/>
      <c r="F63" s="629"/>
      <c r="G63" s="629"/>
      <c r="H63" s="629"/>
      <c r="I63" s="629"/>
      <c r="J63" s="629"/>
      <c r="K63" s="693"/>
      <c r="L63" s="629"/>
      <c r="M63" s="693"/>
      <c r="N63" s="629"/>
      <c r="O63" s="629"/>
      <c r="P63" s="629"/>
    </row>
    <row r="64" spans="1:16">
      <c r="A64" s="644"/>
      <c r="B64" s="681"/>
      <c r="C64" s="681"/>
      <c r="D64" s="692"/>
      <c r="E64" s="692"/>
      <c r="F64" s="629"/>
      <c r="G64" s="629"/>
      <c r="H64" s="629"/>
      <c r="I64" s="629"/>
      <c r="J64" s="629"/>
      <c r="K64" s="629"/>
      <c r="L64" s="629"/>
      <c r="M64" s="629"/>
      <c r="N64" s="629"/>
      <c r="O64" s="629"/>
      <c r="P64" s="629"/>
    </row>
    <row r="65" spans="1:16">
      <c r="A65" s="644"/>
      <c r="B65" s="670"/>
      <c r="C65" s="670"/>
      <c r="D65" s="670"/>
      <c r="E65" s="670"/>
      <c r="F65" s="629"/>
      <c r="G65" s="629"/>
      <c r="H65" s="629"/>
      <c r="I65" s="629"/>
      <c r="J65" s="629"/>
      <c r="K65" s="629"/>
      <c r="L65" s="629"/>
      <c r="M65" s="629"/>
      <c r="N65" s="629"/>
      <c r="O65" s="629"/>
      <c r="P65" s="629"/>
    </row>
    <row r="66" spans="1:16">
      <c r="A66" s="644"/>
      <c r="B66" s="669"/>
      <c r="C66" s="670"/>
      <c r="D66" s="670"/>
      <c r="E66" s="670"/>
      <c r="F66" s="629"/>
      <c r="G66" s="629"/>
      <c r="H66" s="629"/>
      <c r="I66" s="629"/>
      <c r="J66" s="629"/>
      <c r="K66" s="629"/>
      <c r="L66" s="629"/>
      <c r="M66" s="629"/>
      <c r="N66" s="629"/>
      <c r="O66" s="629"/>
      <c r="P66" s="629"/>
    </row>
    <row r="67" spans="1:16">
      <c r="A67" s="644"/>
      <c r="B67" s="669"/>
      <c r="C67" s="669"/>
      <c r="D67" s="669"/>
      <c r="E67" s="669"/>
      <c r="F67" s="629"/>
      <c r="G67" s="629"/>
      <c r="H67" s="629"/>
      <c r="I67" s="629"/>
      <c r="J67" s="629"/>
      <c r="K67" s="629"/>
      <c r="L67" s="629"/>
      <c r="M67" s="629"/>
      <c r="N67" s="629"/>
      <c r="O67" s="629"/>
      <c r="P67" s="629"/>
    </row>
    <row r="68" spans="1:16">
      <c r="A68" s="644"/>
      <c r="B68" s="681"/>
      <c r="C68" s="681"/>
      <c r="D68" s="692"/>
      <c r="E68" s="692"/>
      <c r="F68" s="629"/>
      <c r="G68" s="629"/>
      <c r="H68" s="629"/>
      <c r="I68" s="629"/>
      <c r="J68" s="629"/>
      <c r="K68" s="629"/>
      <c r="L68" s="629"/>
      <c r="M68" s="629"/>
      <c r="N68" s="629"/>
      <c r="O68" s="629"/>
      <c r="P68" s="629"/>
    </row>
    <row r="69" spans="1:16">
      <c r="A69" s="11"/>
      <c r="B69" s="149"/>
      <c r="C69" s="149"/>
      <c r="D69" s="149"/>
      <c r="E69" s="149"/>
      <c r="F69" s="629"/>
      <c r="G69" s="629"/>
      <c r="H69" s="629"/>
      <c r="I69" s="629"/>
      <c r="J69" s="629"/>
      <c r="K69" s="629"/>
      <c r="L69" s="629"/>
      <c r="M69" s="629"/>
      <c r="N69" s="629"/>
      <c r="O69" s="629"/>
      <c r="P69" s="629"/>
    </row>
    <row r="70" spans="1:16">
      <c r="A70" s="11"/>
      <c r="B70" s="784"/>
      <c r="C70" s="149"/>
      <c r="D70" s="149"/>
      <c r="E70" s="149"/>
    </row>
    <row r="71" spans="1:16">
      <c r="A71" s="11"/>
      <c r="B71" s="784"/>
      <c r="C71" s="784"/>
      <c r="D71" s="784"/>
      <c r="E71" s="784"/>
    </row>
    <row r="72" spans="1:16">
      <c r="A72" s="11"/>
      <c r="B72" s="135"/>
      <c r="C72" s="135"/>
      <c r="D72" s="154"/>
      <c r="E72" s="154"/>
    </row>
    <row r="73" spans="1:16">
      <c r="A73" s="11"/>
      <c r="B73" s="149"/>
      <c r="C73" s="149"/>
      <c r="D73" s="149"/>
      <c r="E73" s="149"/>
    </row>
    <row r="74" spans="1:16">
      <c r="A74" s="11"/>
      <c r="B74" s="784"/>
      <c r="C74" s="149"/>
      <c r="D74" s="149"/>
      <c r="E74" s="149"/>
    </row>
  </sheetData>
  <mergeCells count="1">
    <mergeCell ref="G41:P42"/>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ignoredErrors>
    <ignoredError sqref="C28 C19:E19 C9:E9 E28" emptyCellReference="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2" tint="-0.499984740745262"/>
  </sheetPr>
  <dimension ref="A1:T101"/>
  <sheetViews>
    <sheetView showGridLines="0" workbookViewId="0">
      <selection activeCell="B8" sqref="B8"/>
    </sheetView>
  </sheetViews>
  <sheetFormatPr defaultColWidth="9.109375" defaultRowHeight="13.8"/>
  <cols>
    <col min="1" max="1" width="56.5546875" style="4" bestFit="1" customWidth="1"/>
    <col min="2" max="4" width="12.6640625" style="4" customWidth="1"/>
    <col min="5" max="8" width="13.5546875" style="4" bestFit="1" customWidth="1"/>
    <col min="9" max="10" width="11.33203125" style="4" bestFit="1" customWidth="1"/>
    <col min="11" max="16384" width="9.109375" style="4"/>
  </cols>
  <sheetData>
    <row r="1" spans="1:20">
      <c r="A1" s="956" t="s">
        <v>667</v>
      </c>
      <c r="B1" s="790">
        <v>2010</v>
      </c>
      <c r="C1" s="790">
        <v>2011</v>
      </c>
      <c r="D1" s="68">
        <v>2012</v>
      </c>
      <c r="E1" s="68">
        <v>2013</v>
      </c>
      <c r="F1" s="68">
        <v>2014</v>
      </c>
      <c r="G1" s="68">
        <v>2015</v>
      </c>
      <c r="H1" s="68">
        <v>2016</v>
      </c>
      <c r="I1" s="68">
        <v>2017</v>
      </c>
      <c r="J1" s="68">
        <v>2018</v>
      </c>
      <c r="K1" s="9"/>
      <c r="L1" s="9"/>
      <c r="M1" s="9"/>
      <c r="N1" s="9"/>
      <c r="O1" s="9"/>
      <c r="P1" s="9"/>
      <c r="Q1" s="9"/>
      <c r="R1" s="9"/>
      <c r="S1" s="9"/>
      <c r="T1" s="9"/>
    </row>
    <row r="2" spans="1:20">
      <c r="A2" s="74" t="s">
        <v>481</v>
      </c>
      <c r="B2" s="11"/>
      <c r="C2" s="11"/>
      <c r="D2" s="11"/>
      <c r="E2" s="11"/>
      <c r="F2" s="11"/>
      <c r="G2" s="11"/>
      <c r="H2" s="11"/>
      <c r="I2" s="9"/>
      <c r="J2" s="9"/>
      <c r="K2" s="9"/>
      <c r="L2" s="9"/>
      <c r="M2" s="9"/>
      <c r="N2" s="9"/>
      <c r="O2" s="9"/>
    </row>
    <row r="3" spans="1:20">
      <c r="A3" s="11" t="s">
        <v>456</v>
      </c>
      <c r="B3" s="14">
        <f>'AL Sch 5.0'!B34</f>
        <v>5196597.2393809119</v>
      </c>
      <c r="C3" s="14">
        <f>'AL Sch 5.0'!C34</f>
        <v>4556471.1501008766</v>
      </c>
      <c r="D3" s="14">
        <f>'AL Sch 5.0'!D34</f>
        <v>5475569.3861436993</v>
      </c>
      <c r="E3" s="14">
        <f>'AL Sch 5.0'!E34</f>
        <v>5960525.5047255056</v>
      </c>
      <c r="F3" s="14">
        <f>'AL Sch 5.0'!F34</f>
        <v>6808281.5888513532</v>
      </c>
      <c r="G3" s="14">
        <f>'AL Sch 5.0'!G34</f>
        <v>6378169.9629052356</v>
      </c>
      <c r="H3" s="14">
        <f>'AL Sch 5.0'!H34</f>
        <v>6727071.056345175</v>
      </c>
      <c r="I3" s="14">
        <f>'AL Sch 5.0'!I34</f>
        <v>7263289.3138817474</v>
      </c>
      <c r="J3" s="14">
        <f>'AL Sch 5.0'!J34</f>
        <v>7428889.2059701513</v>
      </c>
      <c r="K3" s="9"/>
      <c r="L3" s="9"/>
      <c r="M3" s="9"/>
      <c r="N3" s="9"/>
      <c r="O3" s="9"/>
    </row>
    <row r="4" spans="1:20">
      <c r="A4" s="11" t="s">
        <v>709</v>
      </c>
      <c r="B4" s="14"/>
      <c r="C4" s="14"/>
      <c r="D4" s="14"/>
      <c r="E4" s="14"/>
      <c r="F4" s="14"/>
      <c r="G4" s="14"/>
      <c r="H4" s="14"/>
      <c r="I4" s="14"/>
      <c r="J4" s="14"/>
      <c r="K4" s="9"/>
    </row>
    <row r="5" spans="1:20">
      <c r="A5" s="11" t="s">
        <v>49</v>
      </c>
      <c r="B5" s="17">
        <f>B3*'AL Sch 5.1'!$C$38</f>
        <v>1085281.5046014856</v>
      </c>
      <c r="C5" s="17">
        <f>C3*'AL Sch 5.1'!$C$38</f>
        <v>951594.59886174707</v>
      </c>
      <c r="D5" s="17">
        <f>D3*'AL Sch 5.1'!$C$38</f>
        <v>1143543.3434998747</v>
      </c>
      <c r="E5" s="17">
        <f>E3*'AL Sch 5.1'!$C$38</f>
        <v>1244823.8318262822</v>
      </c>
      <c r="F5" s="17">
        <f>F3*'AL Sch 5.1'!$C$38</f>
        <v>1421873.1500883941</v>
      </c>
      <c r="G5" s="17">
        <f>G3*'AL Sch 5.1'!$C$38</f>
        <v>1332046.6403454524</v>
      </c>
      <c r="H5" s="17">
        <f>H3*'AL Sch 5.1'!$C$38</f>
        <v>1404912.7652735237</v>
      </c>
      <c r="I5" s="17">
        <f>I3*'AL Sch 5.1'!$C$38</f>
        <v>1516899.0768013741</v>
      </c>
      <c r="J5" s="17">
        <f>J3*'AL Sch 5.1'!$C$38</f>
        <v>1551483.7274426769</v>
      </c>
      <c r="K5" s="9"/>
    </row>
    <row r="6" spans="1:20">
      <c r="A6" s="11" t="s">
        <v>357</v>
      </c>
      <c r="B6" s="17">
        <f>B3*'AL Sch 5.1'!$D$38</f>
        <v>1946663.3723238099</v>
      </c>
      <c r="C6" s="17">
        <f>C3*'AL Sch 5.1'!$D$38</f>
        <v>1706869.9162854929</v>
      </c>
      <c r="D6" s="17">
        <f>D3*'AL Sch 5.1'!$D$38</f>
        <v>2051167.3072999902</v>
      </c>
      <c r="E6" s="17">
        <f>E3*'AL Sch 5.1'!$D$38</f>
        <v>2232833.5534491707</v>
      </c>
      <c r="F6" s="17">
        <f>F3*'AL Sch 5.1'!$D$38</f>
        <v>2550405.926602541</v>
      </c>
      <c r="G6" s="17">
        <f>G3*'AL Sch 5.1'!$D$38</f>
        <v>2389284.6178555707</v>
      </c>
      <c r="H6" s="17">
        <f>H3*'AL Sch 5.1'!$D$38</f>
        <v>2519984.1791023398</v>
      </c>
      <c r="I6" s="17">
        <f>I3*'AL Sch 5.1'!$D$38</f>
        <v>2720853.4005242595</v>
      </c>
      <c r="J6" s="17">
        <f>J3*'AL Sch 5.1'!$D$38</f>
        <v>2782887.695186602</v>
      </c>
      <c r="K6" s="9"/>
    </row>
    <row r="7" spans="1:20">
      <c r="A7" s="11" t="s">
        <v>50</v>
      </c>
      <c r="B7" s="17">
        <f>B3*'AL Sch 5.1'!$E$38</f>
        <v>2164652.3624556158</v>
      </c>
      <c r="C7" s="17">
        <f>C3*'AL Sch 5.1'!$E$38</f>
        <v>1898006.6349536362</v>
      </c>
      <c r="D7" s="17">
        <f>D3*'AL Sch 5.1'!$E$38</f>
        <v>2280858.7353438339</v>
      </c>
      <c r="E7" s="17">
        <f>E3*'AL Sch 5.1'!$E$38</f>
        <v>2482868.1194500523</v>
      </c>
      <c r="F7" s="17">
        <f>F3*'AL Sch 5.1'!$E$38</f>
        <v>2836002.5121604176</v>
      </c>
      <c r="G7" s="17">
        <f>G3*'AL Sch 5.1'!$E$38</f>
        <v>2656838.704704212</v>
      </c>
      <c r="H7" s="17">
        <f>H3*'AL Sch 5.1'!$E$38</f>
        <v>2802174.1119693108</v>
      </c>
      <c r="I7" s="17">
        <f>I3*'AL Sch 5.1'!$E$38</f>
        <v>3025536.8365561129</v>
      </c>
      <c r="J7" s="17">
        <f>J3*'AL Sch 5.1'!$E$38</f>
        <v>3094517.7833408718</v>
      </c>
      <c r="K7" s="9"/>
    </row>
    <row r="8" spans="1:20" s="777" customFormat="1">
      <c r="A8" s="957" t="s">
        <v>48</v>
      </c>
      <c r="B8" s="162">
        <f t="shared" ref="B8:C8" si="0">SUM(B5:B7)</f>
        <v>5196597.239380911</v>
      </c>
      <c r="C8" s="162">
        <f t="shared" si="0"/>
        <v>4556471.1501008756</v>
      </c>
      <c r="D8" s="162">
        <f t="shared" ref="D8:H8" si="1">SUM(D5:D7)</f>
        <v>5475569.3861436993</v>
      </c>
      <c r="E8" s="162">
        <f t="shared" si="1"/>
        <v>5960525.5047255047</v>
      </c>
      <c r="F8" s="162">
        <f t="shared" si="1"/>
        <v>6808281.5888513532</v>
      </c>
      <c r="G8" s="162">
        <f t="shared" si="1"/>
        <v>6378169.9629052356</v>
      </c>
      <c r="H8" s="162">
        <f t="shared" si="1"/>
        <v>6727071.0563451741</v>
      </c>
      <c r="I8" s="162">
        <f t="shared" ref="I8:J8" si="2">SUM(I5:I7)</f>
        <v>7263289.3138817456</v>
      </c>
      <c r="J8" s="162">
        <f t="shared" si="2"/>
        <v>7428889.2059701513</v>
      </c>
      <c r="K8" s="105"/>
    </row>
    <row r="9" spans="1:20">
      <c r="A9" s="11" t="s">
        <v>455</v>
      </c>
      <c r="B9" s="17">
        <f>'AL Sch 5.0'!B35</f>
        <v>4663612.9071367169</v>
      </c>
      <c r="C9" s="17">
        <f>'AL Sch 5.0'!C35</f>
        <v>4260916.2646889286</v>
      </c>
      <c r="D9" s="17">
        <f>'AL Sch 5.0'!D35</f>
        <v>5162679.7069354877</v>
      </c>
      <c r="E9" s="17">
        <f>'AL Sch 5.0'!E35</f>
        <v>5211994.3948297445</v>
      </c>
      <c r="F9" s="17">
        <f>'AL Sch 5.0'!F35</f>
        <v>6142582.94460811</v>
      </c>
      <c r="G9" s="17">
        <f>'AL Sch 5.0'!G35</f>
        <v>7823888.4878304219</v>
      </c>
      <c r="H9" s="17">
        <f>'AL Sch 5.0'!H35</f>
        <v>8286528.4375888295</v>
      </c>
      <c r="I9" s="17">
        <f>'AL Sch 5.0'!I35</f>
        <v>8616902.3223778922</v>
      </c>
      <c r="J9" s="17">
        <f>'AL Sch 5.0'!J35</f>
        <v>8813364.0125373174</v>
      </c>
      <c r="K9" s="9"/>
    </row>
    <row r="10" spans="1:20">
      <c r="A10" s="11" t="s">
        <v>710</v>
      </c>
      <c r="B10" s="17"/>
      <c r="C10" s="17"/>
      <c r="D10" s="17"/>
      <c r="E10" s="17"/>
      <c r="F10" s="17"/>
      <c r="G10" s="17"/>
      <c r="H10" s="17"/>
      <c r="I10" s="17"/>
      <c r="J10" s="17"/>
      <c r="K10" s="9"/>
    </row>
    <row r="11" spans="1:20">
      <c r="A11" s="11" t="s">
        <v>49</v>
      </c>
      <c r="B11" s="17">
        <f>B9*'AL Sch 5.1'!$C$32</f>
        <v>824376.01893830858</v>
      </c>
      <c r="C11" s="17">
        <f>C9*'AL Sch 5.1'!$C$32</f>
        <v>753192.2690106692</v>
      </c>
      <c r="D11" s="17">
        <f>D9*'AL Sch 5.1'!$C$32</f>
        <v>912594.89769061655</v>
      </c>
      <c r="E11" s="17">
        <f>E9*'AL Sch 5.1'!$C$32</f>
        <v>921312.14050020732</v>
      </c>
      <c r="F11" s="17">
        <f>F9*'AL Sch 5.1'!$C$32</f>
        <v>1085810.1164711306</v>
      </c>
      <c r="G11" s="17">
        <f>G9*'AL Sch 5.1'!$C$32</f>
        <v>1383010.5912831554</v>
      </c>
      <c r="H11" s="17">
        <f>H9*'AL Sch 5.1'!$C$32</f>
        <v>1464790.3803818638</v>
      </c>
      <c r="I11" s="17">
        <f>I9*'AL Sch 5.1'!$C$32</f>
        <v>1523189.8044607386</v>
      </c>
      <c r="J11" s="17">
        <f>J9*'AL Sch 5.1'!$C$32</f>
        <v>1557917.8810040713</v>
      </c>
      <c r="K11" s="9"/>
    </row>
    <row r="12" spans="1:20">
      <c r="A12" s="11" t="s">
        <v>357</v>
      </c>
      <c r="B12" s="17">
        <f>B9*'AL Sch 5.1'!$D$32</f>
        <v>859706.41974995029</v>
      </c>
      <c r="C12" s="17">
        <f>C9*'AL Sch 5.1'!$D$32</f>
        <v>785471.93768255494</v>
      </c>
      <c r="D12" s="17">
        <f>D9*'AL Sch 5.1'!$D$32</f>
        <v>951706.10759164288</v>
      </c>
      <c r="E12" s="17">
        <f>E9*'AL Sch 5.1'!$D$32</f>
        <v>960796.94652164483</v>
      </c>
      <c r="F12" s="17">
        <f>F9*'AL Sch 5.1'!$D$32</f>
        <v>1132344.8357484646</v>
      </c>
      <c r="G12" s="17">
        <f>G9*'AL Sch 5.1'!$D$32</f>
        <v>1442282.4737667192</v>
      </c>
      <c r="H12" s="17">
        <f>H9*'AL Sch 5.1'!$D$32</f>
        <v>1527567.110969658</v>
      </c>
      <c r="I12" s="17">
        <f>I9*'AL Sch 5.1'!$D$32</f>
        <v>1588469.3675090559</v>
      </c>
      <c r="J12" s="17">
        <f>J9*'AL Sch 5.1'!$D$32</f>
        <v>1624685.79018996</v>
      </c>
      <c r="K12" s="9"/>
    </row>
    <row r="13" spans="1:20">
      <c r="A13" s="11" t="s">
        <v>50</v>
      </c>
      <c r="B13" s="17">
        <f>B9*'AL Sch 5.1'!$E$32</f>
        <v>2979530.4684484578</v>
      </c>
      <c r="C13" s="17">
        <f>C9*'AL Sch 5.1'!$E$32</f>
        <v>2722252.057995704</v>
      </c>
      <c r="D13" s="17">
        <f>D9*'AL Sch 5.1'!$E$32</f>
        <v>3298378.7016532281</v>
      </c>
      <c r="E13" s="17">
        <f>E9*'AL Sch 5.1'!$E$32</f>
        <v>3329885.3078078921</v>
      </c>
      <c r="F13" s="17">
        <f>F9*'AL Sch 5.1'!$E$32</f>
        <v>3924427.9923885143</v>
      </c>
      <c r="G13" s="17">
        <f>G9*'AL Sch 5.1'!$E$32</f>
        <v>4998595.4227805473</v>
      </c>
      <c r="H13" s="17">
        <f>H9*'AL Sch 5.1'!$E$32</f>
        <v>5294170.946237307</v>
      </c>
      <c r="I13" s="17">
        <f>I9*'AL Sch 5.1'!$E$32</f>
        <v>5505243.1504080975</v>
      </c>
      <c r="J13" s="17">
        <f>J9*'AL Sch 5.1'!$E$32</f>
        <v>5630760.3413432855</v>
      </c>
      <c r="K13" s="9"/>
    </row>
    <row r="14" spans="1:20" s="777" customFormat="1">
      <c r="A14" s="957" t="s">
        <v>48</v>
      </c>
      <c r="B14" s="162">
        <f t="shared" ref="B14:C14" si="3">SUM(B11:B13)</f>
        <v>4663612.9071367169</v>
      </c>
      <c r="C14" s="162">
        <f t="shared" si="3"/>
        <v>4260916.2646889277</v>
      </c>
      <c r="D14" s="162">
        <f t="shared" ref="D14:H14" si="4">SUM(D11:D13)</f>
        <v>5162679.7069354877</v>
      </c>
      <c r="E14" s="162">
        <f t="shared" si="4"/>
        <v>5211994.3948297445</v>
      </c>
      <c r="F14" s="162">
        <f t="shared" si="4"/>
        <v>6142582.9446081091</v>
      </c>
      <c r="G14" s="162">
        <f t="shared" si="4"/>
        <v>7823888.4878304219</v>
      </c>
      <c r="H14" s="162">
        <f t="shared" si="4"/>
        <v>8286528.4375888286</v>
      </c>
      <c r="I14" s="162">
        <f t="shared" ref="I14:J14" si="5">SUM(I11:I13)</f>
        <v>8616902.3223778922</v>
      </c>
      <c r="J14" s="162">
        <f t="shared" si="5"/>
        <v>8813364.0125373174</v>
      </c>
      <c r="K14" s="105"/>
    </row>
    <row r="15" spans="1:20">
      <c r="A15" s="11" t="s">
        <v>452</v>
      </c>
      <c r="B15" s="17">
        <f>'AL Sch 5.0'!B38</f>
        <v>133246.08306104905</v>
      </c>
      <c r="C15" s="17">
        <f>'AL Sch 5.0'!C38</f>
        <v>123147.86892164533</v>
      </c>
      <c r="D15" s="17">
        <f>'AL Sch 5.0'!D38</f>
        <v>260741.39934017614</v>
      </c>
      <c r="E15" s="17">
        <f>'AL Sch 5.0'!E38</f>
        <v>277233.74440583744</v>
      </c>
      <c r="F15" s="17">
        <f>'AL Sch 5.0'!F38</f>
        <v>302590.29283783794</v>
      </c>
      <c r="G15" s="17">
        <f>'AL Sch 5.0'!G38</f>
        <v>283474.22057356598</v>
      </c>
      <c r="H15" s="17">
        <f>'AL Sch 5.0'!H38</f>
        <v>305775.95710659889</v>
      </c>
      <c r="I15" s="17">
        <f>'AL Sch 5.0'!I38</f>
        <v>330149.51426735218</v>
      </c>
      <c r="J15" s="17">
        <f>'AL Sch 5.0'!J38</f>
        <v>337676.78208955238</v>
      </c>
      <c r="K15" s="9"/>
    </row>
    <row r="16" spans="1:20">
      <c r="A16" s="11" t="s">
        <v>711</v>
      </c>
      <c r="B16" s="17"/>
      <c r="C16" s="17"/>
      <c r="D16" s="17"/>
      <c r="E16" s="17"/>
      <c r="F16" s="17"/>
      <c r="G16" s="17"/>
      <c r="H16" s="17"/>
      <c r="I16" s="17"/>
      <c r="J16" s="17"/>
      <c r="K16" s="9"/>
    </row>
    <row r="17" spans="1:11">
      <c r="A17" s="11" t="s">
        <v>49</v>
      </c>
      <c r="B17" s="17">
        <f>B15*'AL Sch 5.1'!$C$29</f>
        <v>88030.464030659641</v>
      </c>
      <c r="C17" s="17">
        <f>C15*'AL Sch 5.1'!$C$29</f>
        <v>81358.969783692621</v>
      </c>
      <c r="D17" s="17">
        <f>D15*'AL Sch 5.1'!$C$29</f>
        <v>172261.62186998644</v>
      </c>
      <c r="E17" s="17">
        <f>E15*'AL Sch 5.1'!$C$29</f>
        <v>183157.46777953368</v>
      </c>
      <c r="F17" s="17">
        <f>F15*'AL Sch 5.1'!$C$29</f>
        <v>199909.54538966651</v>
      </c>
      <c r="G17" s="17">
        <f>G15*'AL Sch 5.1'!$C$29</f>
        <v>187280.30576619119</v>
      </c>
      <c r="H17" s="17">
        <f>H15*'AL Sch 5.1'!$C$29</f>
        <v>202014.18889874761</v>
      </c>
      <c r="I17" s="17">
        <f>I15*'AL Sch 5.1'!$C$29</f>
        <v>218116.84270775953</v>
      </c>
      <c r="J17" s="17">
        <f>J15*'AL Sch 5.1'!$C$29</f>
        <v>223089.81350021233</v>
      </c>
      <c r="K17" s="9"/>
    </row>
    <row r="18" spans="1:11">
      <c r="A18" s="11" t="s">
        <v>357</v>
      </c>
      <c r="B18" s="17">
        <f>B15*'AL Sch 5.1'!$D$29</f>
        <v>45215.619030389418</v>
      </c>
      <c r="C18" s="17">
        <f>C15*'AL Sch 5.1'!$D$29</f>
        <v>41788.899137952707</v>
      </c>
      <c r="D18" s="17">
        <f>D15*'AL Sch 5.1'!$D$29</f>
        <v>88479.777470189714</v>
      </c>
      <c r="E18" s="17">
        <f>E15*'AL Sch 5.1'!$D$29</f>
        <v>94076.276626303763</v>
      </c>
      <c r="F18" s="17">
        <f>F15*'AL Sch 5.1'!$D$29</f>
        <v>102680.74744817143</v>
      </c>
      <c r="G18" s="17">
        <f>G15*'AL Sch 5.1'!$D$29</f>
        <v>96193.914807374778</v>
      </c>
      <c r="H18" s="17">
        <f>H15*'AL Sch 5.1'!$D$29</f>
        <v>103761.76820785127</v>
      </c>
      <c r="I18" s="17">
        <f>I15*'AL Sch 5.1'!$D$29</f>
        <v>112032.67155959265</v>
      </c>
      <c r="J18" s="17">
        <f>J15*'AL Sch 5.1'!$D$29</f>
        <v>114586.96858934006</v>
      </c>
      <c r="K18" s="9"/>
    </row>
    <row r="19" spans="1:11">
      <c r="A19" s="11" t="s">
        <v>50</v>
      </c>
      <c r="B19" s="17">
        <f>B15*'AL Sch 5.1'!$E$29</f>
        <v>0</v>
      </c>
      <c r="C19" s="17">
        <f>C15*'AL Sch 5.1'!$E$29</f>
        <v>0</v>
      </c>
      <c r="D19" s="17">
        <f>D15*'AL Sch 5.1'!$E$29</f>
        <v>0</v>
      </c>
      <c r="E19" s="17">
        <f>E15*'AL Sch 5.1'!$E$29</f>
        <v>0</v>
      </c>
      <c r="F19" s="17">
        <f>F15*'AL Sch 5.1'!$E$29</f>
        <v>0</v>
      </c>
      <c r="G19" s="17">
        <f>G15*'AL Sch 5.1'!$E$29</f>
        <v>0</v>
      </c>
      <c r="H19" s="17">
        <f>H15*'AL Sch 5.1'!$E$29</f>
        <v>0</v>
      </c>
      <c r="I19" s="17">
        <f>I15*'AL Sch 5.1'!$E$29</f>
        <v>0</v>
      </c>
      <c r="J19" s="17">
        <f>J15*'AL Sch 5.1'!$E$29</f>
        <v>0</v>
      </c>
      <c r="K19" s="9"/>
    </row>
    <row r="20" spans="1:11" s="777" customFormat="1">
      <c r="A20" s="957" t="s">
        <v>48</v>
      </c>
      <c r="B20" s="162">
        <f t="shared" ref="B20:C20" si="6">SUM(B17:B19)</f>
        <v>133246.08306104905</v>
      </c>
      <c r="C20" s="162">
        <f t="shared" si="6"/>
        <v>123147.86892164533</v>
      </c>
      <c r="D20" s="162">
        <f t="shared" ref="D20:H20" si="7">SUM(D17:D19)</f>
        <v>260741.39934017614</v>
      </c>
      <c r="E20" s="162">
        <f t="shared" si="7"/>
        <v>277233.74440583744</v>
      </c>
      <c r="F20" s="162">
        <f t="shared" si="7"/>
        <v>302590.29283783794</v>
      </c>
      <c r="G20" s="162">
        <f t="shared" si="7"/>
        <v>283474.22057356598</v>
      </c>
      <c r="H20" s="162">
        <f t="shared" si="7"/>
        <v>305775.95710659889</v>
      </c>
      <c r="I20" s="162">
        <f t="shared" ref="I20:J20" si="8">SUM(I17:I19)</f>
        <v>330149.51426735218</v>
      </c>
      <c r="J20" s="162">
        <f t="shared" si="8"/>
        <v>337676.78208955238</v>
      </c>
      <c r="K20" s="105"/>
    </row>
    <row r="21" spans="1:11">
      <c r="A21" s="11" t="s">
        <v>480</v>
      </c>
      <c r="B21" s="17">
        <f>'AL Sch 5.0'!B33+'AL Sch 5.0'!B36</f>
        <v>3411099.7263628552</v>
      </c>
      <c r="C21" s="17">
        <f>'AL Sch 5.0'!C33+'AL Sch 5.0'!C36</f>
        <v>3275733.3133157659</v>
      </c>
      <c r="D21" s="17">
        <f>'AL Sch 5.0'!D33+'AL Sch 5.0'!D36</f>
        <v>4041491.6897727298</v>
      </c>
      <c r="E21" s="17">
        <f>'AL Sch 5.0'!E33+'AL Sch 5.0'!E36</f>
        <v>5128824.2715079924</v>
      </c>
      <c r="F21" s="17">
        <f>'AL Sch 5.0'!F33+'AL Sch 5.0'!F36</f>
        <v>5446625.2710810825</v>
      </c>
      <c r="G21" s="17">
        <f>'AL Sch 5.0'!G33+'AL Sch 5.0'!G36</f>
        <v>4677324.6394638391</v>
      </c>
      <c r="H21" s="17">
        <f>'AL Sch 5.0'!H33+'AL Sch 5.0'!H36</f>
        <v>5351079.2493654806</v>
      </c>
      <c r="I21" s="17">
        <f>'AL Sch 5.0'!I33+'AL Sch 5.0'!I36</f>
        <v>5447466.9854113106</v>
      </c>
      <c r="J21" s="17">
        <f>'AL Sch 5.0'!J33+'AL Sch 5.0'!J36</f>
        <v>5571666.904477613</v>
      </c>
      <c r="K21" s="9"/>
    </row>
    <row r="22" spans="1:11">
      <c r="A22" s="11" t="s">
        <v>712</v>
      </c>
      <c r="B22" s="17"/>
      <c r="C22" s="17"/>
      <c r="D22" s="17"/>
      <c r="E22" s="17"/>
      <c r="F22" s="17"/>
      <c r="G22" s="17"/>
      <c r="H22" s="17"/>
      <c r="I22" s="17"/>
      <c r="J22" s="17"/>
      <c r="K22" s="9"/>
    </row>
    <row r="23" spans="1:11">
      <c r="A23" s="11" t="s">
        <v>49</v>
      </c>
      <c r="B23" s="17">
        <f>B21*'AL Sch 5.1'!$C$10</f>
        <v>1626863.6155091305</v>
      </c>
      <c r="C23" s="17">
        <f>C21*'AL Sch 5.1'!$C$10</f>
        <v>1562303.001685299</v>
      </c>
      <c r="D23" s="17">
        <f>D21*'AL Sch 5.1'!$C$10</f>
        <v>1927517.9003589058</v>
      </c>
      <c r="E23" s="17">
        <f>E21*'AL Sch 5.1'!$C$10</f>
        <v>2446101.922254059</v>
      </c>
      <c r="F23" s="17">
        <f>F21*'AL Sch 5.1'!$C$10</f>
        <v>2597671.4818251519</v>
      </c>
      <c r="G23" s="17">
        <f>G21*'AL Sch 5.1'!$C$10</f>
        <v>2230767.1672741463</v>
      </c>
      <c r="H23" s="17">
        <f>H21*'AL Sch 5.1'!$C$10</f>
        <v>2552102.4985631178</v>
      </c>
      <c r="I23" s="17">
        <f>I21*'AL Sch 5.1'!$C$10</f>
        <v>2598072.9225710551</v>
      </c>
      <c r="J23" s="17">
        <f>J21*'AL Sch 5.1'!$C$10</f>
        <v>2657307.8748113965</v>
      </c>
      <c r="K23" s="9"/>
    </row>
    <row r="24" spans="1:11">
      <c r="A24" s="11" t="s">
        <v>357</v>
      </c>
      <c r="B24" s="17">
        <f>B21*'AL Sch 5.1'!$D$10</f>
        <v>1784236.1108537246</v>
      </c>
      <c r="C24" s="17">
        <f>C21*'AL Sch 5.1'!$D$10</f>
        <v>1713430.311630467</v>
      </c>
      <c r="D24" s="17">
        <f>D21*'AL Sch 5.1'!$D$10</f>
        <v>2113973.7894138237</v>
      </c>
      <c r="E24" s="17">
        <f>E21*'AL Sch 5.1'!$D$10</f>
        <v>2682722.3492539334</v>
      </c>
      <c r="F24" s="17">
        <f>F21*'AL Sch 5.1'!$D$10</f>
        <v>2848953.7892559306</v>
      </c>
      <c r="G24" s="17">
        <f>G21*'AL Sch 5.1'!$D$10</f>
        <v>2446557.4721896928</v>
      </c>
      <c r="H24" s="17">
        <f>H21*'AL Sch 5.1'!$D$10</f>
        <v>2798976.7508023628</v>
      </c>
      <c r="I24" s="17">
        <f>I21*'AL Sch 5.1'!$D$10</f>
        <v>2849394.0628402554</v>
      </c>
      <c r="J24" s="17">
        <f>J21*'AL Sch 5.1'!$D$10</f>
        <v>2914359.0296662166</v>
      </c>
      <c r="K24" s="9"/>
    </row>
    <row r="25" spans="1:11">
      <c r="A25" s="11" t="s">
        <v>50</v>
      </c>
      <c r="B25" s="17">
        <f>B21*'AL Sch 5.1'!$E$10</f>
        <v>0</v>
      </c>
      <c r="C25" s="17">
        <f>C21*'AL Sch 5.1'!$E$10</f>
        <v>0</v>
      </c>
      <c r="D25" s="17">
        <f>D21*'AL Sch 5.1'!$E$10</f>
        <v>0</v>
      </c>
      <c r="E25" s="17">
        <f>E21*'AL Sch 5.1'!$E$10</f>
        <v>0</v>
      </c>
      <c r="F25" s="17">
        <f>F21*'AL Sch 5.1'!$E$10</f>
        <v>0</v>
      </c>
      <c r="G25" s="17">
        <f>G21*'AL Sch 5.1'!$E$10</f>
        <v>0</v>
      </c>
      <c r="H25" s="17">
        <f>H21*'AL Sch 5.1'!$E$10</f>
        <v>0</v>
      </c>
      <c r="I25" s="17">
        <f>I21*'AL Sch 5.1'!$E$10</f>
        <v>0</v>
      </c>
      <c r="J25" s="17">
        <f>J21*'AL Sch 5.1'!$E$10</f>
        <v>0</v>
      </c>
      <c r="K25" s="9"/>
    </row>
    <row r="26" spans="1:11" s="777" customFormat="1">
      <c r="A26" s="957" t="s">
        <v>48</v>
      </c>
      <c r="B26" s="162">
        <f t="shared" ref="B26:C26" si="9">SUM(B23:B25)</f>
        <v>3411099.7263628552</v>
      </c>
      <c r="C26" s="162">
        <f t="shared" si="9"/>
        <v>3275733.3133157659</v>
      </c>
      <c r="D26" s="162">
        <f t="shared" ref="D26:H26" si="10">SUM(D23:D25)</f>
        <v>4041491.6897727298</v>
      </c>
      <c r="E26" s="162">
        <f t="shared" si="10"/>
        <v>5128824.2715079924</v>
      </c>
      <c r="F26" s="162">
        <f t="shared" si="10"/>
        <v>5446625.2710810825</v>
      </c>
      <c r="G26" s="162">
        <f t="shared" si="10"/>
        <v>4677324.6394638391</v>
      </c>
      <c r="H26" s="162">
        <f t="shared" si="10"/>
        <v>5351079.2493654806</v>
      </c>
      <c r="I26" s="162">
        <f t="shared" ref="I26:J26" si="11">SUM(I23:I25)</f>
        <v>5447466.9854113106</v>
      </c>
      <c r="J26" s="162">
        <f t="shared" si="11"/>
        <v>5571666.904477613</v>
      </c>
      <c r="K26" s="105"/>
    </row>
    <row r="27" spans="1:11">
      <c r="A27" s="11" t="s">
        <v>479</v>
      </c>
      <c r="B27" s="17">
        <f>'AL Sch 5.0'!B37</f>
        <v>7035393.1856233887</v>
      </c>
      <c r="C27" s="17">
        <f>'AL Sch 5.0'!C37</f>
        <v>7167205.9712397577</v>
      </c>
      <c r="D27" s="17">
        <f>'AL Sch 5.0'!D37</f>
        <v>8943429.9973680396</v>
      </c>
      <c r="E27" s="17">
        <f>'AL Sch 5.0'!E37</f>
        <v>10618052.410743572</v>
      </c>
      <c r="F27" s="17">
        <f>'AL Sch 5.0'!F37</f>
        <v>11528690.157121627</v>
      </c>
      <c r="G27" s="17">
        <f>'AL Sch 5.0'!G37</f>
        <v>10545241.005336657</v>
      </c>
      <c r="H27" s="17">
        <f>'AL Sch 5.0'!H37</f>
        <v>11283132.817233499</v>
      </c>
      <c r="I27" s="17">
        <f>'AL Sch 5.0'!I37</f>
        <v>12182517.076465294</v>
      </c>
      <c r="J27" s="17">
        <f>'AL Sch 5.0'!J37</f>
        <v>11953758.085970154</v>
      </c>
      <c r="K27" s="9"/>
    </row>
    <row r="28" spans="1:11">
      <c r="A28" s="11" t="s">
        <v>709</v>
      </c>
      <c r="B28" s="17"/>
      <c r="C28" s="17"/>
      <c r="D28" s="17"/>
      <c r="E28" s="17"/>
      <c r="F28" s="17"/>
      <c r="G28" s="17"/>
      <c r="H28" s="17"/>
      <c r="I28" s="17"/>
      <c r="J28" s="17"/>
      <c r="K28" s="9"/>
    </row>
    <row r="29" spans="1:11">
      <c r="A29" s="11" t="s">
        <v>49</v>
      </c>
      <c r="B29" s="17">
        <f>B27*'AL Sch 5.1'!$C$10</f>
        <v>3355406.2069875817</v>
      </c>
      <c r="C29" s="17">
        <f>C27*'AL Sch 5.1'!$C$10</f>
        <v>3418271.9811309921</v>
      </c>
      <c r="D29" s="17">
        <f>D27*'AL Sch 5.1'!$C$10</f>
        <v>4265410.5795039004</v>
      </c>
      <c r="E29" s="17">
        <f>E27*'AL Sch 5.1'!$C$10</f>
        <v>5064092.0876935376</v>
      </c>
      <c r="F29" s="17">
        <f>F27*'AL Sch 5.1'!$C$10</f>
        <v>5498404.6365299057</v>
      </c>
      <c r="G29" s="17">
        <f>G27*'AL Sch 5.1'!$C$10</f>
        <v>5029365.9771271674</v>
      </c>
      <c r="H29" s="17">
        <f>H27*'AL Sch 5.1'!$C$10</f>
        <v>5381290.4112559455</v>
      </c>
      <c r="I29" s="17">
        <f>I27*'AL Sch 5.1'!$C$10</f>
        <v>5810235.8086589044</v>
      </c>
      <c r="J29" s="17">
        <f>J27*'AL Sch 5.1'!$C$10</f>
        <v>5701133.2586862706</v>
      </c>
      <c r="K29" s="9"/>
    </row>
    <row r="30" spans="1:11">
      <c r="A30" s="11" t="s">
        <v>357</v>
      </c>
      <c r="B30" s="17">
        <f>B27*'AL Sch 5.1'!$D$10</f>
        <v>3679986.9786358071</v>
      </c>
      <c r="C30" s="17">
        <f>C27*'AL Sch 5.1'!$D$10</f>
        <v>3748933.9901087657</v>
      </c>
      <c r="D30" s="17">
        <f>D27*'AL Sch 5.1'!$D$10</f>
        <v>4678019.4178641392</v>
      </c>
      <c r="E30" s="17">
        <f>E27*'AL Sch 5.1'!$D$10</f>
        <v>5553960.3230500342</v>
      </c>
      <c r="F30" s="17">
        <f>F27*'AL Sch 5.1'!$D$10</f>
        <v>6030285.5205917209</v>
      </c>
      <c r="G30" s="17">
        <f>G27*'AL Sch 5.1'!$D$10</f>
        <v>5515875.0282094898</v>
      </c>
      <c r="H30" s="17">
        <f>H27*'AL Sch 5.1'!$D$10</f>
        <v>5901842.4059775537</v>
      </c>
      <c r="I30" s="17">
        <f>I27*'AL Sch 5.1'!$D$10</f>
        <v>6372281.2678063894</v>
      </c>
      <c r="J30" s="17">
        <f>J27*'AL Sch 5.1'!$D$10</f>
        <v>6252624.8272838835</v>
      </c>
      <c r="K30" s="9"/>
    </row>
    <row r="31" spans="1:11">
      <c r="A31" s="11" t="s">
        <v>50</v>
      </c>
      <c r="B31" s="17">
        <f>B27*'AL Sch 5.1'!$E$10</f>
        <v>0</v>
      </c>
      <c r="C31" s="17">
        <f>C27*'AL Sch 5.1'!$E$10</f>
        <v>0</v>
      </c>
      <c r="D31" s="17">
        <f>D27*'AL Sch 5.1'!$E$10</f>
        <v>0</v>
      </c>
      <c r="E31" s="17">
        <f>E27*'AL Sch 5.1'!$E$10</f>
        <v>0</v>
      </c>
      <c r="F31" s="17">
        <f>F27*'AL Sch 5.1'!$E$10</f>
        <v>0</v>
      </c>
      <c r="G31" s="17">
        <f>G27*'AL Sch 5.1'!$E$10</f>
        <v>0</v>
      </c>
      <c r="H31" s="17">
        <f>H27*'AL Sch 5.1'!$E$10</f>
        <v>0</v>
      </c>
      <c r="I31" s="17">
        <f>I27*'AL Sch 5.1'!$E$10</f>
        <v>0</v>
      </c>
      <c r="J31" s="17">
        <f>J27*'AL Sch 5.1'!$E$10</f>
        <v>0</v>
      </c>
      <c r="K31" s="9"/>
    </row>
    <row r="32" spans="1:11" s="777" customFormat="1">
      <c r="A32" s="957" t="s">
        <v>48</v>
      </c>
      <c r="B32" s="160">
        <f t="shared" ref="B32:C32" si="12">SUM(B29:B31)</f>
        <v>7035393.1856233887</v>
      </c>
      <c r="C32" s="160">
        <f t="shared" si="12"/>
        <v>7167205.9712397577</v>
      </c>
      <c r="D32" s="160">
        <f t="shared" ref="D32:H32" si="13">SUM(D29:D31)</f>
        <v>8943429.9973680396</v>
      </c>
      <c r="E32" s="160">
        <f t="shared" si="13"/>
        <v>10618052.410743572</v>
      </c>
      <c r="F32" s="160">
        <f t="shared" si="13"/>
        <v>11528690.157121627</v>
      </c>
      <c r="G32" s="160">
        <f t="shared" si="13"/>
        <v>10545241.005336657</v>
      </c>
      <c r="H32" s="160">
        <f t="shared" si="13"/>
        <v>11283132.817233499</v>
      </c>
      <c r="I32" s="160">
        <f t="shared" ref="I32:J32" si="14">SUM(I29:I31)</f>
        <v>12182517.076465294</v>
      </c>
      <c r="J32" s="160">
        <f t="shared" si="14"/>
        <v>11953758.085970154</v>
      </c>
      <c r="K32" s="105"/>
    </row>
    <row r="33" spans="1:11">
      <c r="A33" s="31" t="s">
        <v>478</v>
      </c>
      <c r="B33" s="9"/>
      <c r="C33" s="9"/>
      <c r="D33" s="9"/>
      <c r="E33" s="9"/>
      <c r="F33" s="9"/>
      <c r="G33" s="9"/>
      <c r="H33" s="9"/>
      <c r="I33" s="9"/>
      <c r="J33" s="9"/>
      <c r="K33" s="9"/>
    </row>
    <row r="34" spans="1:11">
      <c r="A34" s="11" t="s">
        <v>49</v>
      </c>
      <c r="B34" s="14">
        <f t="shared" ref="B34:C34" si="15">B29+B23+B17+B11+B5</f>
        <v>6979957.8100671656</v>
      </c>
      <c r="C34" s="14">
        <f t="shared" si="15"/>
        <v>6766720.8204724006</v>
      </c>
      <c r="D34" s="14">
        <f t="shared" ref="D34:H36" si="16">D29+D23+D17+D11+D5</f>
        <v>8421328.3429232836</v>
      </c>
      <c r="E34" s="14">
        <f t="shared" si="16"/>
        <v>9859487.4500536192</v>
      </c>
      <c r="F34" s="14">
        <f t="shared" si="16"/>
        <v>10803668.93030425</v>
      </c>
      <c r="G34" s="14">
        <f t="shared" si="16"/>
        <v>10162470.681796113</v>
      </c>
      <c r="H34" s="14">
        <f t="shared" si="16"/>
        <v>11005110.244373199</v>
      </c>
      <c r="I34" s="14">
        <f t="shared" ref="I34:J34" si="17">I29+I23+I17+I11+I5</f>
        <v>11666514.45519983</v>
      </c>
      <c r="J34" s="14">
        <f t="shared" si="17"/>
        <v>11690932.555444626</v>
      </c>
      <c r="K34" s="9"/>
    </row>
    <row r="35" spans="1:11">
      <c r="A35" s="11" t="s">
        <v>357</v>
      </c>
      <c r="B35" s="14">
        <f t="shared" ref="B35:C35" si="18">B30+B24+B18+B12+B6</f>
        <v>8315808.5005936809</v>
      </c>
      <c r="C35" s="14">
        <f t="shared" si="18"/>
        <v>7996495.0548452325</v>
      </c>
      <c r="D35" s="14">
        <f t="shared" si="16"/>
        <v>9883346.3996397853</v>
      </c>
      <c r="E35" s="14">
        <f t="shared" si="16"/>
        <v>11524389.448901087</v>
      </c>
      <c r="F35" s="14">
        <f t="shared" si="16"/>
        <v>12664670.819646826</v>
      </c>
      <c r="G35" s="14">
        <f t="shared" si="16"/>
        <v>11890193.506828848</v>
      </c>
      <c r="H35" s="14">
        <f t="shared" si="16"/>
        <v>12852132.215059765</v>
      </c>
      <c r="I35" s="14">
        <f t="shared" ref="I35:J35" si="19">I30+I24+I18+I12+I6</f>
        <v>13643030.770239554</v>
      </c>
      <c r="J35" s="14">
        <f t="shared" si="19"/>
        <v>13689144.310916001</v>
      </c>
      <c r="K35" s="9"/>
    </row>
    <row r="36" spans="1:11">
      <c r="A36" s="11" t="s">
        <v>50</v>
      </c>
      <c r="B36" s="14">
        <f t="shared" ref="B36:C36" si="20">B31+B25+B19+B13+B7</f>
        <v>5144182.830904074</v>
      </c>
      <c r="C36" s="14">
        <f t="shared" si="20"/>
        <v>4620258.6929493397</v>
      </c>
      <c r="D36" s="14">
        <f t="shared" si="16"/>
        <v>5579237.4369970616</v>
      </c>
      <c r="E36" s="14">
        <f t="shared" si="16"/>
        <v>5812753.4272579439</v>
      </c>
      <c r="F36" s="14">
        <f t="shared" si="16"/>
        <v>6760430.5045489315</v>
      </c>
      <c r="G36" s="14">
        <f t="shared" si="16"/>
        <v>7655434.1274847593</v>
      </c>
      <c r="H36" s="14">
        <f t="shared" si="16"/>
        <v>8096345.0582066178</v>
      </c>
      <c r="I36" s="14">
        <f t="shared" ref="I36:J36" si="21">I31+I25+I19+I13+I7</f>
        <v>8530779.9869642109</v>
      </c>
      <c r="J36" s="14">
        <f t="shared" si="21"/>
        <v>8725278.1246841568</v>
      </c>
      <c r="K36" s="9"/>
    </row>
    <row r="37" spans="1:11" s="777" customFormat="1">
      <c r="A37" s="957" t="s">
        <v>48</v>
      </c>
      <c r="B37" s="160">
        <f t="shared" ref="B37:C37" si="22">SUM(B34:B36)</f>
        <v>20439949.141564921</v>
      </c>
      <c r="C37" s="160">
        <f t="shared" si="22"/>
        <v>19383474.568266973</v>
      </c>
      <c r="D37" s="160">
        <f>SUM(D34:D36)</f>
        <v>23883912.179560132</v>
      </c>
      <c r="E37" s="160">
        <f>SUM(E34:E36)</f>
        <v>27196630.326212648</v>
      </c>
      <c r="F37" s="160">
        <f>SUM(F34:F36)</f>
        <v>30228770.254500009</v>
      </c>
      <c r="G37" s="160">
        <f>SUM(G34:G36)</f>
        <v>29708098.316109724</v>
      </c>
      <c r="H37" s="160">
        <f>SUM(H34:H36)</f>
        <v>31953587.517639581</v>
      </c>
      <c r="I37" s="160">
        <f t="shared" ref="I37:J37" si="23">SUM(I34:I36)</f>
        <v>33840325.212403595</v>
      </c>
      <c r="J37" s="160">
        <f t="shared" si="23"/>
        <v>34105354.991044782</v>
      </c>
      <c r="K37" s="105"/>
    </row>
    <row r="38" spans="1:11">
      <c r="A38" s="31" t="s">
        <v>477</v>
      </c>
      <c r="B38" s="14">
        <f>'AL Sch 5.0'!B43</f>
        <v>30993036.920000009</v>
      </c>
      <c r="C38" s="14">
        <f>'AL Sch 5.0'!C43</f>
        <v>29272494.716179051</v>
      </c>
      <c r="D38" s="14">
        <f>'AL Sch 5.0'!D43</f>
        <v>35336014.687960416</v>
      </c>
      <c r="E38" s="231">
        <f>'AL Sch 5.0'!E43</f>
        <v>39276988.160734698</v>
      </c>
      <c r="F38" s="231">
        <f>'AL Sch 5.0'!F43</f>
        <v>44066533.868366338</v>
      </c>
      <c r="G38" s="231">
        <f>'AL Sch 5.0'!G43</f>
        <v>45010177.6081613</v>
      </c>
      <c r="H38" s="231">
        <f>'AL Sch 5.0'!H43</f>
        <v>47483769.72181911</v>
      </c>
      <c r="I38" s="231">
        <f>'AL Sch 5.0'!I43</f>
        <v>50462443.777384892</v>
      </c>
      <c r="J38" s="231">
        <f>'AL Sch 5.0'!J43</f>
        <v>51064696.154460646</v>
      </c>
      <c r="K38" s="9"/>
    </row>
    <row r="39" spans="1:11">
      <c r="A39" s="11" t="s">
        <v>49</v>
      </c>
      <c r="B39" s="14">
        <f t="shared" ref="B39:C39" si="24">B34/B$37*B38</f>
        <v>10583690.233726846</v>
      </c>
      <c r="C39" s="14">
        <f t="shared" si="24"/>
        <v>10218952.168019217</v>
      </c>
      <c r="D39" s="14">
        <f>D34/D$37*D38</f>
        <v>12459272.994327135</v>
      </c>
      <c r="E39" s="14">
        <f>E34/E$37*E38</f>
        <v>14238932.073633704</v>
      </c>
      <c r="F39" s="14">
        <f>F34/F$37*F38</f>
        <v>15749242.8177424</v>
      </c>
      <c r="G39" s="14">
        <f>G34/G$37*G38</f>
        <v>15396967.03095042</v>
      </c>
      <c r="H39" s="14">
        <f>H34/H$37*H38</f>
        <v>16353848.22810817</v>
      </c>
      <c r="I39" s="14">
        <f t="shared" ref="I39:J39" si="25">I34/I$37*I38</f>
        <v>17397020.450553589</v>
      </c>
      <c r="J39" s="14">
        <f t="shared" si="25"/>
        <v>17504404.187050033</v>
      </c>
      <c r="K39" s="9"/>
    </row>
    <row r="40" spans="1:11">
      <c r="A40" s="11" t="s">
        <v>357</v>
      </c>
      <c r="B40" s="14">
        <f t="shared" ref="B40:C40" si="26">B35/B$37*B38</f>
        <v>12609236.84758334</v>
      </c>
      <c r="C40" s="14">
        <f t="shared" si="26"/>
        <v>12076130.025940815</v>
      </c>
      <c r="D40" s="14">
        <f>D35/D$37*D38</f>
        <v>14622314.42312664</v>
      </c>
      <c r="E40" s="14">
        <f>E35/E$37*E38</f>
        <v>16643359.949924286</v>
      </c>
      <c r="F40" s="14">
        <f>F35/F$37*F38</f>
        <v>18462151.814548191</v>
      </c>
      <c r="G40" s="14">
        <f>G35/G$37*G38</f>
        <v>18014607.190375507</v>
      </c>
      <c r="H40" s="14">
        <f>H35/H$37*H38</f>
        <v>19098565.574127793</v>
      </c>
      <c r="I40" s="14">
        <f t="shared" ref="I40:J40" si="27">I35/I$37*I38</f>
        <v>20344387.025689755</v>
      </c>
      <c r="J40" s="14">
        <f t="shared" si="27"/>
        <v>20496253.302011885</v>
      </c>
      <c r="K40" s="9"/>
    </row>
    <row r="41" spans="1:11">
      <c r="A41" s="11" t="s">
        <v>50</v>
      </c>
      <c r="B41" s="14">
        <f t="shared" ref="B41:C41" si="28">B36/B$37*B38</f>
        <v>7800109.8386898218</v>
      </c>
      <c r="C41" s="14">
        <f t="shared" si="28"/>
        <v>6977412.522219019</v>
      </c>
      <c r="D41" s="14">
        <f>D36/D$37*D38</f>
        <v>8254427.2705066381</v>
      </c>
      <c r="E41" s="14">
        <f>E36/E$37*E38</f>
        <v>8394696.1371767111</v>
      </c>
      <c r="F41" s="14">
        <f>F36/F$37*F38</f>
        <v>9855139.2360757459</v>
      </c>
      <c r="G41" s="14">
        <f>G36/G$37*G38</f>
        <v>11598603.386835368</v>
      </c>
      <c r="H41" s="14">
        <f>H36/H$37*H38</f>
        <v>12031355.919583147</v>
      </c>
      <c r="I41" s="14">
        <f t="shared" ref="I41:J41" si="29">I36/I$37*I38</f>
        <v>12721036.301141549</v>
      </c>
      <c r="J41" s="14">
        <f t="shared" si="29"/>
        <v>13064038.665398732</v>
      </c>
      <c r="K41" s="9"/>
    </row>
    <row r="42" spans="1:11" s="777" customFormat="1">
      <c r="A42" s="957" t="s">
        <v>48</v>
      </c>
      <c r="B42" s="160">
        <f t="shared" ref="B42:C42" si="30">SUM(B39:B41)</f>
        <v>30993036.920000009</v>
      </c>
      <c r="C42" s="160">
        <f t="shared" si="30"/>
        <v>29272494.716179051</v>
      </c>
      <c r="D42" s="160">
        <f>SUM(D39:D41)</f>
        <v>35336014.687960409</v>
      </c>
      <c r="E42" s="160">
        <f>SUM(E39:E41)</f>
        <v>39276988.160734698</v>
      </c>
      <c r="F42" s="160">
        <f>SUM(F39:F41)</f>
        <v>44066533.868366331</v>
      </c>
      <c r="G42" s="160">
        <f>SUM(G39:G41)</f>
        <v>45010177.608161293</v>
      </c>
      <c r="H42" s="160">
        <f>SUM(H39:H41)</f>
        <v>47483769.72181911</v>
      </c>
      <c r="I42" s="160">
        <f t="shared" ref="I42:J42" si="31">SUM(I39:I41)</f>
        <v>50462443.777384892</v>
      </c>
      <c r="J42" s="160">
        <f t="shared" si="31"/>
        <v>51064696.154460654</v>
      </c>
      <c r="K42" s="105"/>
    </row>
    <row r="43" spans="1:11">
      <c r="A43" s="9"/>
      <c r="B43" s="9"/>
      <c r="C43" s="9"/>
      <c r="D43" s="9"/>
      <c r="E43" s="9"/>
      <c r="F43" s="9"/>
      <c r="G43" s="9"/>
      <c r="H43" s="9"/>
      <c r="I43" s="9"/>
      <c r="J43" s="9"/>
      <c r="K43" s="9"/>
    </row>
    <row r="44" spans="1:11">
      <c r="A44" s="9"/>
      <c r="B44" s="9"/>
      <c r="C44" s="9"/>
      <c r="D44" s="14"/>
      <c r="E44" s="14"/>
      <c r="F44" s="14"/>
      <c r="G44" s="14"/>
      <c r="H44" s="14"/>
      <c r="I44" s="9"/>
      <c r="J44" s="9"/>
      <c r="K44" s="9"/>
    </row>
    <row r="45" spans="1:11">
      <c r="A45" s="9"/>
      <c r="B45" s="9"/>
      <c r="C45" s="9"/>
      <c r="D45" s="9"/>
      <c r="E45" s="9"/>
      <c r="F45" s="9"/>
      <c r="G45" s="9"/>
      <c r="H45" s="9"/>
      <c r="I45" s="9"/>
      <c r="J45" s="9"/>
      <c r="K45" s="9"/>
    </row>
    <row r="46" spans="1:11">
      <c r="A46" s="9"/>
      <c r="B46" s="9"/>
      <c r="C46" s="9"/>
      <c r="D46" s="9"/>
      <c r="E46" s="9"/>
      <c r="F46" s="9"/>
      <c r="G46" s="9"/>
      <c r="H46" s="9"/>
      <c r="I46" s="9"/>
      <c r="J46" s="9"/>
      <c r="K46" s="9"/>
    </row>
    <row r="47" spans="1:11">
      <c r="A47" s="9"/>
      <c r="B47" s="9"/>
      <c r="C47" s="9"/>
      <c r="D47" s="9"/>
      <c r="E47" s="9"/>
      <c r="F47" s="9"/>
      <c r="G47" s="9"/>
      <c r="H47" s="9"/>
      <c r="I47" s="9"/>
      <c r="J47" s="9"/>
      <c r="K47" s="9"/>
    </row>
    <row r="48" spans="1:11">
      <c r="A48" s="9"/>
      <c r="B48" s="9"/>
      <c r="C48" s="9"/>
      <c r="D48" s="9"/>
      <c r="E48" s="9"/>
      <c r="F48" s="9"/>
      <c r="G48" s="9"/>
      <c r="H48" s="9"/>
      <c r="I48" s="9"/>
      <c r="J48" s="9"/>
      <c r="K48" s="9"/>
    </row>
    <row r="49" spans="1:11">
      <c r="A49" s="9"/>
      <c r="B49" s="9"/>
      <c r="C49" s="9"/>
      <c r="D49" s="9"/>
      <c r="E49" s="9"/>
      <c r="F49" s="9"/>
      <c r="G49" s="9"/>
      <c r="H49" s="9"/>
      <c r="I49" s="9"/>
      <c r="J49" s="9"/>
      <c r="K49" s="9"/>
    </row>
    <row r="50" spans="1:11">
      <c r="A50" s="9"/>
      <c r="B50" s="9"/>
      <c r="C50" s="9"/>
      <c r="D50" s="9"/>
      <c r="E50" s="9"/>
      <c r="F50" s="9"/>
      <c r="G50" s="9"/>
      <c r="H50" s="9"/>
      <c r="I50" s="9"/>
      <c r="J50" s="9"/>
      <c r="K50" s="9"/>
    </row>
    <row r="51" spans="1:11">
      <c r="A51" s="9"/>
      <c r="B51" s="9"/>
      <c r="C51" s="9"/>
      <c r="D51" s="9"/>
      <c r="E51" s="9"/>
      <c r="F51" s="9"/>
      <c r="G51" s="9"/>
      <c r="H51" s="9"/>
      <c r="I51" s="9"/>
      <c r="J51" s="9"/>
      <c r="K51" s="9"/>
    </row>
    <row r="52" spans="1:11">
      <c r="A52" s="9"/>
      <c r="B52" s="9"/>
      <c r="C52" s="9"/>
      <c r="D52" s="9"/>
      <c r="E52" s="9"/>
      <c r="F52" s="9"/>
      <c r="G52" s="9"/>
      <c r="H52" s="9"/>
      <c r="I52" s="9"/>
      <c r="J52" s="9"/>
      <c r="K52" s="9"/>
    </row>
    <row r="53" spans="1:11">
      <c r="A53" s="9"/>
      <c r="B53" s="9"/>
      <c r="C53" s="9"/>
      <c r="D53" s="9"/>
      <c r="E53" s="9"/>
      <c r="F53" s="9"/>
      <c r="G53" s="9"/>
      <c r="H53" s="9"/>
      <c r="I53" s="9"/>
      <c r="J53" s="9"/>
      <c r="K53" s="9"/>
    </row>
    <row r="54" spans="1:11">
      <c r="A54" s="9"/>
      <c r="B54" s="9"/>
      <c r="C54" s="9"/>
      <c r="D54" s="9"/>
      <c r="E54" s="9"/>
      <c r="F54" s="9"/>
      <c r="G54" s="9"/>
      <c r="H54" s="9"/>
      <c r="I54" s="9"/>
      <c r="J54" s="9"/>
      <c r="K54" s="9"/>
    </row>
    <row r="55" spans="1:11">
      <c r="A55" s="9"/>
      <c r="B55" s="9"/>
      <c r="C55" s="9"/>
      <c r="D55" s="9"/>
      <c r="E55" s="9"/>
      <c r="F55" s="9"/>
      <c r="G55" s="9"/>
      <c r="H55" s="9"/>
      <c r="I55" s="9"/>
      <c r="J55" s="9"/>
      <c r="K55" s="9"/>
    </row>
    <row r="56" spans="1:11">
      <c r="A56" s="9"/>
      <c r="B56" s="9"/>
      <c r="C56" s="9"/>
      <c r="D56" s="9"/>
      <c r="E56" s="9"/>
      <c r="F56" s="9"/>
      <c r="G56" s="9"/>
      <c r="H56" s="9"/>
      <c r="I56" s="9"/>
      <c r="J56" s="9"/>
      <c r="K56" s="9"/>
    </row>
    <row r="57" spans="1:11">
      <c r="A57" s="9"/>
      <c r="B57" s="9"/>
      <c r="C57" s="9"/>
      <c r="D57" s="9"/>
      <c r="E57" s="9"/>
      <c r="F57" s="9"/>
      <c r="G57" s="9"/>
      <c r="H57" s="9"/>
      <c r="I57" s="9"/>
      <c r="J57" s="9"/>
      <c r="K57" s="9"/>
    </row>
    <row r="58" spans="1:11">
      <c r="A58" s="9"/>
      <c r="B58" s="9"/>
      <c r="C58" s="9"/>
      <c r="D58" s="9"/>
      <c r="E58" s="9"/>
      <c r="F58" s="9"/>
      <c r="G58" s="9"/>
      <c r="H58" s="9"/>
      <c r="I58" s="9"/>
      <c r="J58" s="9"/>
      <c r="K58" s="9"/>
    </row>
    <row r="59" spans="1:11">
      <c r="A59" s="9"/>
      <c r="B59" s="9"/>
      <c r="C59" s="9"/>
      <c r="D59" s="9"/>
      <c r="E59" s="9"/>
      <c r="F59" s="9"/>
      <c r="G59" s="9"/>
      <c r="H59" s="9"/>
      <c r="I59" s="9"/>
      <c r="J59" s="9"/>
      <c r="K59" s="9"/>
    </row>
    <row r="60" spans="1:11">
      <c r="A60" s="9"/>
      <c r="B60" s="9"/>
      <c r="C60" s="9"/>
      <c r="D60" s="9"/>
      <c r="E60" s="9"/>
      <c r="F60" s="9"/>
      <c r="G60" s="9"/>
      <c r="H60" s="9"/>
      <c r="I60" s="9"/>
      <c r="J60" s="9"/>
      <c r="K60" s="9"/>
    </row>
    <row r="61" spans="1:11">
      <c r="A61" s="9"/>
      <c r="B61" s="9"/>
      <c r="C61" s="9"/>
      <c r="D61" s="9"/>
      <c r="E61" s="9"/>
      <c r="F61" s="9"/>
      <c r="G61" s="9"/>
      <c r="H61" s="9"/>
      <c r="I61" s="9"/>
      <c r="J61" s="9"/>
      <c r="K61" s="9"/>
    </row>
    <row r="62" spans="1:11">
      <c r="A62" s="9"/>
      <c r="B62" s="9"/>
      <c r="C62" s="9"/>
      <c r="D62" s="9"/>
      <c r="E62" s="9"/>
      <c r="F62" s="9"/>
      <c r="G62" s="9"/>
      <c r="H62" s="9"/>
      <c r="I62" s="9"/>
      <c r="J62" s="9"/>
      <c r="K62" s="9"/>
    </row>
    <row r="63" spans="1:11">
      <c r="A63" s="9"/>
      <c r="B63" s="9"/>
      <c r="C63" s="9"/>
      <c r="D63" s="9"/>
      <c r="E63" s="9"/>
      <c r="F63" s="9"/>
      <c r="G63" s="9"/>
      <c r="H63" s="9"/>
      <c r="I63" s="9"/>
      <c r="J63" s="9"/>
      <c r="K63" s="9"/>
    </row>
    <row r="64" spans="1:11">
      <c r="A64" s="9"/>
      <c r="B64" s="9"/>
      <c r="C64" s="9"/>
      <c r="D64" s="9"/>
      <c r="E64" s="9"/>
      <c r="F64" s="9"/>
      <c r="G64" s="9"/>
      <c r="H64" s="9"/>
      <c r="I64" s="9"/>
      <c r="J64" s="9"/>
      <c r="K64" s="9"/>
    </row>
    <row r="65" spans="1:11">
      <c r="A65" s="9"/>
      <c r="B65" s="9"/>
      <c r="C65" s="9"/>
      <c r="D65" s="9"/>
      <c r="E65" s="9"/>
      <c r="F65" s="9"/>
      <c r="G65" s="9"/>
      <c r="H65" s="9"/>
      <c r="I65" s="9"/>
      <c r="J65" s="9"/>
      <c r="K65" s="9"/>
    </row>
    <row r="66" spans="1:11">
      <c r="A66" s="9"/>
      <c r="B66" s="9"/>
      <c r="C66" s="9"/>
      <c r="D66" s="9"/>
      <c r="E66" s="9"/>
      <c r="F66" s="9"/>
      <c r="G66" s="9"/>
      <c r="H66" s="9"/>
      <c r="I66" s="9"/>
      <c r="J66" s="9"/>
      <c r="K66" s="9"/>
    </row>
    <row r="67" spans="1:11">
      <c r="A67" s="9"/>
      <c r="B67" s="9"/>
      <c r="C67" s="9"/>
      <c r="D67" s="9"/>
      <c r="E67" s="9"/>
      <c r="F67" s="9"/>
      <c r="G67" s="9"/>
      <c r="H67" s="9"/>
      <c r="I67" s="9"/>
      <c r="J67" s="9"/>
      <c r="K67" s="9"/>
    </row>
    <row r="68" spans="1:11">
      <c r="A68" s="9"/>
      <c r="B68" s="9"/>
      <c r="C68" s="9"/>
      <c r="D68" s="9"/>
      <c r="E68" s="9"/>
      <c r="F68" s="9"/>
      <c r="G68" s="9"/>
      <c r="H68" s="9"/>
      <c r="I68" s="9"/>
      <c r="J68" s="9"/>
      <c r="K68" s="9"/>
    </row>
    <row r="69" spans="1:11">
      <c r="A69" s="9"/>
      <c r="B69" s="9"/>
      <c r="C69" s="9"/>
      <c r="D69" s="9"/>
      <c r="E69" s="9"/>
      <c r="F69" s="9"/>
      <c r="G69" s="9"/>
      <c r="H69" s="9"/>
      <c r="I69" s="9"/>
      <c r="J69" s="9"/>
      <c r="K69" s="9"/>
    </row>
    <row r="70" spans="1:11">
      <c r="A70" s="9"/>
      <c r="B70" s="9"/>
      <c r="C70" s="9"/>
      <c r="D70" s="9"/>
      <c r="E70" s="9"/>
      <c r="F70" s="9"/>
      <c r="G70" s="9"/>
      <c r="H70" s="9"/>
      <c r="I70" s="9"/>
      <c r="J70" s="9"/>
      <c r="K70" s="9"/>
    </row>
    <row r="71" spans="1:11">
      <c r="A71" s="9"/>
      <c r="B71" s="9"/>
      <c r="C71" s="9"/>
      <c r="D71" s="9"/>
      <c r="E71" s="9"/>
      <c r="F71" s="9"/>
      <c r="G71" s="9"/>
      <c r="H71" s="9"/>
      <c r="I71" s="9"/>
      <c r="J71" s="9"/>
      <c r="K71" s="9"/>
    </row>
    <row r="72" spans="1:11">
      <c r="A72" s="9"/>
      <c r="B72" s="9"/>
      <c r="C72" s="9"/>
      <c r="D72" s="9"/>
      <c r="E72" s="9"/>
      <c r="F72" s="9"/>
      <c r="G72" s="9"/>
      <c r="H72" s="9"/>
      <c r="I72" s="9"/>
      <c r="J72" s="9"/>
      <c r="K72" s="9"/>
    </row>
    <row r="73" spans="1:11">
      <c r="A73" s="9"/>
      <c r="B73" s="9"/>
      <c r="C73" s="9"/>
      <c r="D73" s="9"/>
      <c r="E73" s="9"/>
      <c r="F73" s="9"/>
      <c r="G73" s="9"/>
      <c r="H73" s="9"/>
      <c r="I73" s="9"/>
      <c r="J73" s="9"/>
      <c r="K73" s="9"/>
    </row>
    <row r="74" spans="1:11">
      <c r="A74" s="9"/>
      <c r="B74" s="9"/>
      <c r="C74" s="9"/>
      <c r="D74" s="9"/>
      <c r="E74" s="9"/>
      <c r="F74" s="9"/>
      <c r="G74" s="9"/>
      <c r="H74" s="9"/>
      <c r="I74" s="9"/>
      <c r="J74" s="9"/>
      <c r="K74" s="9"/>
    </row>
    <row r="75" spans="1:11">
      <c r="A75" s="9"/>
      <c r="B75" s="9"/>
      <c r="C75" s="9"/>
      <c r="D75" s="9"/>
      <c r="E75" s="9"/>
      <c r="F75" s="9"/>
      <c r="G75" s="9"/>
      <c r="H75" s="9"/>
      <c r="I75" s="9"/>
      <c r="J75" s="9"/>
      <c r="K75" s="9"/>
    </row>
    <row r="76" spans="1:11">
      <c r="A76" s="9"/>
      <c r="B76" s="9"/>
      <c r="C76" s="9"/>
      <c r="D76" s="9"/>
      <c r="E76" s="9"/>
      <c r="F76" s="9"/>
      <c r="G76" s="9"/>
      <c r="H76" s="9"/>
      <c r="I76" s="9"/>
      <c r="J76" s="9"/>
      <c r="K76" s="9"/>
    </row>
    <row r="77" spans="1:11">
      <c r="A77" s="9"/>
      <c r="B77" s="9"/>
      <c r="C77" s="9"/>
      <c r="D77" s="9"/>
      <c r="E77" s="9"/>
      <c r="F77" s="9"/>
      <c r="G77" s="9"/>
      <c r="H77" s="9"/>
      <c r="I77" s="9"/>
      <c r="J77" s="9"/>
      <c r="K77" s="9"/>
    </row>
    <row r="78" spans="1:11">
      <c r="A78" s="9"/>
      <c r="B78" s="9"/>
      <c r="C78" s="9"/>
      <c r="D78" s="9"/>
      <c r="E78" s="9"/>
      <c r="F78" s="9"/>
      <c r="G78" s="9"/>
      <c r="H78" s="9"/>
      <c r="I78" s="9"/>
      <c r="J78" s="9"/>
      <c r="K78" s="9"/>
    </row>
    <row r="79" spans="1:11">
      <c r="A79" s="9"/>
      <c r="B79" s="9"/>
      <c r="C79" s="9"/>
      <c r="D79" s="9"/>
      <c r="E79" s="9"/>
      <c r="F79" s="9"/>
      <c r="G79" s="9"/>
      <c r="H79" s="9"/>
      <c r="I79" s="9"/>
      <c r="J79" s="9"/>
      <c r="K79" s="9"/>
    </row>
    <row r="80" spans="1:11">
      <c r="A80" s="9"/>
      <c r="B80" s="9"/>
      <c r="C80" s="9"/>
      <c r="D80" s="9"/>
      <c r="E80" s="9"/>
      <c r="F80" s="9"/>
      <c r="G80" s="9"/>
      <c r="H80" s="9"/>
      <c r="I80" s="9"/>
      <c r="J80" s="9"/>
      <c r="K80" s="9"/>
    </row>
    <row r="81" spans="1:11">
      <c r="A81" s="9"/>
      <c r="B81" s="9"/>
      <c r="C81" s="9"/>
      <c r="D81" s="9"/>
      <c r="E81" s="9"/>
      <c r="F81" s="9"/>
      <c r="G81" s="9"/>
      <c r="H81" s="9"/>
      <c r="I81" s="9"/>
      <c r="J81" s="9"/>
      <c r="K81" s="9"/>
    </row>
    <row r="82" spans="1:11">
      <c r="A82" s="9"/>
      <c r="B82" s="9"/>
      <c r="C82" s="9"/>
      <c r="D82" s="9"/>
      <c r="E82" s="9"/>
      <c r="F82" s="9"/>
      <c r="G82" s="9"/>
      <c r="H82" s="9"/>
      <c r="I82" s="9"/>
      <c r="J82" s="9"/>
      <c r="K82" s="9"/>
    </row>
    <row r="83" spans="1:11">
      <c r="A83" s="9"/>
      <c r="B83" s="9"/>
      <c r="C83" s="9"/>
      <c r="D83" s="9"/>
      <c r="E83" s="9"/>
      <c r="F83" s="9"/>
      <c r="G83" s="9"/>
      <c r="H83" s="9"/>
      <c r="I83" s="9"/>
      <c r="J83" s="9"/>
      <c r="K83" s="9"/>
    </row>
    <row r="84" spans="1:11">
      <c r="A84" s="9"/>
      <c r="B84" s="9"/>
      <c r="C84" s="9"/>
      <c r="D84" s="9"/>
      <c r="E84" s="9"/>
      <c r="F84" s="9"/>
      <c r="G84" s="9"/>
      <c r="H84" s="9"/>
      <c r="I84" s="9"/>
      <c r="J84" s="9"/>
      <c r="K84" s="9"/>
    </row>
    <row r="85" spans="1:11">
      <c r="A85" s="9"/>
      <c r="B85" s="9"/>
      <c r="C85" s="9"/>
      <c r="D85" s="9"/>
      <c r="E85" s="9"/>
      <c r="F85" s="9"/>
      <c r="G85" s="9"/>
      <c r="H85" s="9"/>
      <c r="I85" s="9"/>
      <c r="J85" s="9"/>
      <c r="K85" s="9"/>
    </row>
    <row r="86" spans="1:11">
      <c r="A86" s="9"/>
      <c r="B86" s="9"/>
      <c r="C86" s="9"/>
      <c r="D86" s="9"/>
      <c r="E86" s="9"/>
      <c r="F86" s="9"/>
      <c r="G86" s="9"/>
      <c r="H86" s="9"/>
      <c r="I86" s="9"/>
      <c r="J86" s="9"/>
      <c r="K86" s="9"/>
    </row>
    <row r="87" spans="1:11">
      <c r="A87" s="9"/>
      <c r="B87" s="9"/>
      <c r="C87" s="9"/>
      <c r="D87" s="9"/>
      <c r="E87" s="9"/>
      <c r="F87" s="9"/>
      <c r="G87" s="9"/>
      <c r="H87" s="9"/>
      <c r="I87" s="9"/>
      <c r="J87" s="9"/>
      <c r="K87" s="9"/>
    </row>
    <row r="88" spans="1:11">
      <c r="A88" s="9"/>
      <c r="B88" s="9"/>
      <c r="C88" s="9"/>
      <c r="D88" s="9"/>
      <c r="E88" s="9"/>
      <c r="F88" s="9"/>
      <c r="G88" s="9"/>
      <c r="H88" s="9"/>
      <c r="I88" s="9"/>
      <c r="J88" s="9"/>
      <c r="K88" s="9"/>
    </row>
    <row r="89" spans="1:11">
      <c r="A89" s="9"/>
      <c r="B89" s="9"/>
      <c r="C89" s="9"/>
      <c r="D89" s="9"/>
      <c r="E89" s="9"/>
      <c r="F89" s="9"/>
      <c r="G89" s="9"/>
      <c r="H89" s="9"/>
      <c r="I89" s="9"/>
      <c r="J89" s="9"/>
      <c r="K89" s="9"/>
    </row>
    <row r="90" spans="1:11">
      <c r="A90" s="9"/>
      <c r="B90" s="9"/>
      <c r="C90" s="9"/>
      <c r="D90" s="9"/>
      <c r="E90" s="9"/>
      <c r="F90" s="9"/>
      <c r="G90" s="9"/>
      <c r="H90" s="9"/>
      <c r="I90" s="9"/>
      <c r="J90" s="9"/>
      <c r="K90" s="9"/>
    </row>
    <row r="91" spans="1:11">
      <c r="A91" s="9"/>
      <c r="B91" s="9"/>
      <c r="C91" s="9"/>
      <c r="D91" s="9"/>
      <c r="E91" s="9"/>
      <c r="F91" s="9"/>
      <c r="G91" s="9"/>
      <c r="H91" s="9"/>
      <c r="I91" s="9"/>
      <c r="J91" s="9"/>
      <c r="K91" s="9"/>
    </row>
    <row r="92" spans="1:11">
      <c r="A92" s="9"/>
      <c r="B92" s="9"/>
      <c r="C92" s="9"/>
      <c r="D92" s="9"/>
      <c r="E92" s="9"/>
      <c r="F92" s="9"/>
      <c r="G92" s="9"/>
      <c r="H92" s="9"/>
      <c r="I92" s="9"/>
      <c r="J92" s="9"/>
      <c r="K92" s="9"/>
    </row>
    <row r="93" spans="1:11">
      <c r="A93" s="9"/>
      <c r="B93" s="9"/>
      <c r="C93" s="9"/>
      <c r="D93" s="9"/>
      <c r="E93" s="9"/>
      <c r="F93" s="9"/>
      <c r="G93" s="9"/>
      <c r="H93" s="9"/>
      <c r="I93" s="9"/>
      <c r="J93" s="9"/>
      <c r="K93" s="9"/>
    </row>
    <row r="94" spans="1:11">
      <c r="A94" s="9"/>
      <c r="B94" s="9"/>
      <c r="C94" s="9"/>
      <c r="D94" s="9"/>
      <c r="E94" s="9"/>
      <c r="F94" s="9"/>
      <c r="G94" s="9"/>
      <c r="H94" s="9"/>
      <c r="I94" s="9"/>
      <c r="J94" s="9"/>
      <c r="K94" s="9"/>
    </row>
    <row r="95" spans="1:11">
      <c r="A95" s="9"/>
      <c r="B95" s="9"/>
      <c r="C95" s="9"/>
      <c r="D95" s="9"/>
      <c r="E95" s="9"/>
      <c r="F95" s="9"/>
      <c r="G95" s="9"/>
      <c r="H95" s="9"/>
      <c r="I95" s="9"/>
      <c r="J95" s="9"/>
      <c r="K95" s="9"/>
    </row>
    <row r="96" spans="1:11">
      <c r="A96" s="9"/>
      <c r="B96" s="9"/>
      <c r="C96" s="9"/>
      <c r="D96" s="9"/>
      <c r="E96" s="9"/>
      <c r="F96" s="9"/>
      <c r="G96" s="9"/>
      <c r="H96" s="9"/>
      <c r="I96" s="9"/>
      <c r="J96" s="9"/>
      <c r="K96" s="9"/>
    </row>
    <row r="97" spans="1:11">
      <c r="A97" s="9"/>
      <c r="B97" s="9"/>
      <c r="C97" s="9"/>
      <c r="D97" s="9"/>
      <c r="E97" s="9"/>
      <c r="F97" s="9"/>
      <c r="G97" s="9"/>
      <c r="H97" s="9"/>
      <c r="I97" s="9"/>
      <c r="J97" s="9"/>
      <c r="K97" s="9"/>
    </row>
    <row r="98" spans="1:11">
      <c r="A98" s="9"/>
      <c r="B98" s="9"/>
      <c r="C98" s="9"/>
      <c r="D98" s="9"/>
      <c r="E98" s="9"/>
      <c r="F98" s="9"/>
      <c r="G98" s="9"/>
      <c r="H98" s="9"/>
      <c r="I98" s="9"/>
      <c r="J98" s="9"/>
      <c r="K98" s="9"/>
    </row>
    <row r="99" spans="1:11">
      <c r="A99" s="9"/>
      <c r="B99" s="9"/>
      <c r="C99" s="9"/>
      <c r="D99" s="9"/>
      <c r="E99" s="9"/>
      <c r="F99" s="9"/>
      <c r="G99" s="9"/>
      <c r="H99" s="9"/>
      <c r="I99" s="9"/>
      <c r="J99" s="9"/>
      <c r="K99" s="9"/>
    </row>
    <row r="100" spans="1:11">
      <c r="A100" s="9"/>
      <c r="B100" s="9"/>
      <c r="C100" s="9"/>
      <c r="D100" s="9"/>
      <c r="E100" s="9"/>
      <c r="F100" s="9"/>
      <c r="G100" s="9"/>
      <c r="H100" s="9"/>
      <c r="I100" s="9"/>
      <c r="J100" s="9"/>
      <c r="K100" s="9"/>
    </row>
    <row r="101" spans="1:11">
      <c r="A101" s="9"/>
      <c r="B101" s="9"/>
      <c r="C101" s="9"/>
      <c r="D101" s="9"/>
      <c r="E101" s="9"/>
      <c r="F101" s="9"/>
      <c r="G101" s="9"/>
      <c r="H101" s="9"/>
      <c r="I101" s="9"/>
      <c r="J101" s="9"/>
      <c r="K101" s="9"/>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2" tint="-0.499984740745262"/>
  </sheetPr>
  <dimension ref="A1:T42"/>
  <sheetViews>
    <sheetView showGridLines="0" topLeftCell="A42" zoomScale="70" zoomScaleNormal="70" workbookViewId="0">
      <selection activeCell="B16" sqref="B16"/>
    </sheetView>
  </sheetViews>
  <sheetFormatPr defaultColWidth="9.109375" defaultRowHeight="13.8"/>
  <cols>
    <col min="1" max="1" width="69.44140625" style="4" bestFit="1" customWidth="1"/>
    <col min="2" max="3" width="12.6640625" style="4" customWidth="1"/>
    <col min="4" max="6" width="11.33203125" style="4" bestFit="1" customWidth="1"/>
    <col min="7" max="8" width="12" style="4" bestFit="1" customWidth="1"/>
    <col min="9" max="10" width="12" style="4" customWidth="1"/>
    <col min="11" max="11" width="20.33203125" style="4" bestFit="1" customWidth="1"/>
    <col min="12" max="16384" width="9.109375" style="4"/>
  </cols>
  <sheetData>
    <row r="1" spans="1:20">
      <c r="A1" s="131" t="s">
        <v>482</v>
      </c>
      <c r="B1" s="132">
        <v>2010</v>
      </c>
      <c r="C1" s="132">
        <v>2011</v>
      </c>
      <c r="D1" s="7">
        <v>2012</v>
      </c>
      <c r="E1" s="6">
        <v>2013</v>
      </c>
      <c r="F1" s="6">
        <v>2014</v>
      </c>
      <c r="G1" s="6">
        <v>2015</v>
      </c>
      <c r="H1" s="6">
        <v>2016</v>
      </c>
      <c r="I1" s="68">
        <v>2017</v>
      </c>
      <c r="J1" s="68">
        <v>2018</v>
      </c>
      <c r="K1" s="777" t="s">
        <v>2148</v>
      </c>
      <c r="L1" s="58"/>
      <c r="M1" s="58"/>
      <c r="N1" s="58"/>
      <c r="O1" s="58"/>
      <c r="P1" s="135"/>
      <c r="Q1" s="136"/>
      <c r="R1" s="136"/>
      <c r="S1" s="136"/>
      <c r="T1" s="136"/>
    </row>
    <row r="2" spans="1:20">
      <c r="A2" s="21"/>
      <c r="B2" s="34"/>
      <c r="C2" s="34"/>
      <c r="D2" s="34"/>
      <c r="E2" s="34"/>
      <c r="F2" s="34"/>
      <c r="G2" s="34"/>
      <c r="H2" s="34"/>
      <c r="I2" s="9"/>
      <c r="J2" s="9"/>
      <c r="L2" s="77"/>
      <c r="M2" s="77"/>
      <c r="N2" s="77"/>
      <c r="O2" s="77"/>
      <c r="P2" s="77"/>
    </row>
    <row r="3" spans="1:20">
      <c r="A3" s="22" t="s">
        <v>490</v>
      </c>
      <c r="B3" s="23">
        <f>'AL Sch 4.0'!B19</f>
        <v>6226970.2400000002</v>
      </c>
      <c r="C3" s="23">
        <f>'AL Sch 4.0'!C19</f>
        <v>6175581.4199999999</v>
      </c>
      <c r="D3" s="23">
        <f>'AL Sch 4.0'!D19</f>
        <v>6215178</v>
      </c>
      <c r="E3" s="23">
        <f>'AL Sch 4.0'!E19</f>
        <v>6208876</v>
      </c>
      <c r="F3" s="23">
        <f>'AL Sch 4.0'!F19</f>
        <v>6978243.2300000004</v>
      </c>
      <c r="G3" s="23">
        <f>'AL Sch 4.0'!G19</f>
        <v>7228971.9500000002</v>
      </c>
      <c r="H3" s="23">
        <f>'AL Sch 4.0'!H19</f>
        <v>7583178.5599999996</v>
      </c>
      <c r="I3" s="23">
        <f>'AL Sch 4.0'!I19</f>
        <v>7806288.2000000002</v>
      </c>
      <c r="J3" s="23">
        <f>'AL Sch 4.0'!J19</f>
        <v>8115380.7199999997</v>
      </c>
      <c r="L3" s="128"/>
      <c r="M3" s="128"/>
      <c r="N3" s="128"/>
      <c r="O3" s="128"/>
      <c r="P3" s="128"/>
      <c r="Q3" s="128"/>
      <c r="R3" s="128"/>
      <c r="S3" s="128"/>
      <c r="T3" s="128"/>
    </row>
    <row r="4" spans="1:20">
      <c r="A4" s="8" t="s">
        <v>489</v>
      </c>
      <c r="B4" s="138">
        <v>5783791</v>
      </c>
      <c r="C4" s="138">
        <v>5695642</v>
      </c>
      <c r="D4" s="138">
        <v>5602872</v>
      </c>
      <c r="E4" s="138">
        <v>5478089</v>
      </c>
      <c r="F4" s="138">
        <v>5995188.2300000004</v>
      </c>
      <c r="G4" s="138">
        <v>6414233.9500000002</v>
      </c>
      <c r="H4" s="138">
        <v>6619647.5599999996</v>
      </c>
      <c r="I4" s="138">
        <v>6829288.2000000002</v>
      </c>
      <c r="J4" s="138">
        <v>7138380.7199999997</v>
      </c>
      <c r="K4" s="77" t="s">
        <v>2045</v>
      </c>
      <c r="L4" s="64"/>
      <c r="N4" s="77"/>
      <c r="O4" s="77"/>
      <c r="P4" s="77"/>
    </row>
    <row r="5" spans="1:20">
      <c r="A5" s="8" t="s">
        <v>488</v>
      </c>
      <c r="B5" s="138">
        <v>443179</v>
      </c>
      <c r="C5" s="138">
        <v>479939</v>
      </c>
      <c r="D5" s="138">
        <v>612306</v>
      </c>
      <c r="E5" s="138">
        <v>730787</v>
      </c>
      <c r="F5" s="138">
        <v>983055</v>
      </c>
      <c r="G5" s="138">
        <v>814738</v>
      </c>
      <c r="H5" s="138">
        <v>963531</v>
      </c>
      <c r="I5" s="138">
        <v>977000</v>
      </c>
      <c r="J5" s="138">
        <v>977000</v>
      </c>
      <c r="K5" s="64"/>
      <c r="L5" s="64"/>
      <c r="M5" s="139"/>
      <c r="N5" s="139"/>
      <c r="O5" s="139"/>
      <c r="P5" s="140"/>
    </row>
    <row r="6" spans="1:20" s="777" customFormat="1">
      <c r="A6" s="29" t="s">
        <v>487</v>
      </c>
      <c r="B6" s="162">
        <f t="shared" ref="B6:C6" si="0">SUM(B4:B5)</f>
        <v>6226970</v>
      </c>
      <c r="C6" s="162">
        <f t="shared" si="0"/>
        <v>6175581</v>
      </c>
      <c r="D6" s="162">
        <f t="shared" ref="D6:E6" si="1">SUM(D4:D5)</f>
        <v>6215178</v>
      </c>
      <c r="E6" s="162">
        <f t="shared" si="1"/>
        <v>6208876</v>
      </c>
      <c r="F6" s="162">
        <f>SUM(F4:F5)</f>
        <v>6978243.2300000004</v>
      </c>
      <c r="G6" s="162">
        <f t="shared" ref="G6:H6" si="2">SUM(G4:G5)</f>
        <v>7228971.9500000002</v>
      </c>
      <c r="H6" s="162">
        <f t="shared" si="2"/>
        <v>7583178.5599999996</v>
      </c>
      <c r="I6" s="162">
        <f t="shared" ref="I6:J6" si="3">SUM(I4:I5)</f>
        <v>7806288.2000000002</v>
      </c>
      <c r="J6" s="162">
        <f t="shared" si="3"/>
        <v>8115380.7199999997</v>
      </c>
    </row>
    <row r="7" spans="1:20">
      <c r="A7" s="100" t="s">
        <v>713</v>
      </c>
      <c r="B7" s="9"/>
      <c r="C7" s="9"/>
      <c r="D7" s="9"/>
      <c r="E7" s="9"/>
      <c r="F7" s="9"/>
      <c r="G7" s="9"/>
      <c r="H7" s="9"/>
      <c r="I7" s="9"/>
      <c r="J7" s="9"/>
    </row>
    <row r="8" spans="1:20">
      <c r="A8" s="13" t="s">
        <v>49</v>
      </c>
      <c r="B8" s="14">
        <f>B4*'AL Sch 5.1'!$C$29</f>
        <v>3821123.997716893</v>
      </c>
      <c r="C8" s="14">
        <f>C4*'AL Sch 5.1'!$C$29</f>
        <v>3762887.4087262559</v>
      </c>
      <c r="D8" s="14">
        <f>D4*'AL Sch 5.1'!$C$29</f>
        <v>3701597.9061719282</v>
      </c>
      <c r="E8" s="14">
        <f>E4*'AL Sch 5.1'!$C$29</f>
        <v>3619158.6693794671</v>
      </c>
      <c r="F8" s="14">
        <f>F4*'AL Sch 5.1'!$C$29</f>
        <v>3960785.8611216876</v>
      </c>
      <c r="G8" s="14">
        <f>G4*'AL Sch 5.1'!$C$29</f>
        <v>4237632.9423582936</v>
      </c>
      <c r="H8" s="14">
        <f>H4*'AL Sch 5.1'!$C$29</f>
        <v>4373341.6625780696</v>
      </c>
      <c r="I8" s="14">
        <f>I4*'AL Sch 5.1'!$C$29</f>
        <v>4511843.0158255724</v>
      </c>
      <c r="J8" s="14">
        <f>J4*'AL Sch 5.1'!$C$29</f>
        <v>4716048.3278236696</v>
      </c>
      <c r="L8" s="128"/>
      <c r="M8" s="128"/>
      <c r="N8" s="128"/>
      <c r="O8" s="128"/>
      <c r="P8" s="128"/>
      <c r="Q8" s="128"/>
      <c r="R8" s="128"/>
      <c r="S8" s="128"/>
      <c r="T8" s="128"/>
    </row>
    <row r="9" spans="1:20">
      <c r="A9" s="13" t="s">
        <v>357</v>
      </c>
      <c r="B9" s="14">
        <f>B4*'AL Sch 5.1'!$D$29</f>
        <v>1962667.002283107</v>
      </c>
      <c r="C9" s="14">
        <f>C4*'AL Sch 5.1'!$D$29</f>
        <v>1932754.5912737441</v>
      </c>
      <c r="D9" s="14">
        <f>D4*'AL Sch 5.1'!$D$29</f>
        <v>1901274.0938280716</v>
      </c>
      <c r="E9" s="14">
        <f>E4*'AL Sch 5.1'!$D$29</f>
        <v>1858930.3306205331</v>
      </c>
      <c r="F9" s="14">
        <f>F4*'AL Sch 5.1'!$D$29</f>
        <v>2034402.3688783131</v>
      </c>
      <c r="G9" s="14">
        <f>G4*'AL Sch 5.1'!$D$29</f>
        <v>2176601.0076417066</v>
      </c>
      <c r="H9" s="14">
        <f>H4*'AL Sch 5.1'!$D$29</f>
        <v>2246305.89742193</v>
      </c>
      <c r="I9" s="14">
        <f>I4*'AL Sch 5.1'!$D$29</f>
        <v>2317445.1841744273</v>
      </c>
      <c r="J9" s="14">
        <f>J4*'AL Sch 5.1'!$D$29</f>
        <v>2422332.3921763296</v>
      </c>
    </row>
    <row r="10" spans="1:20">
      <c r="A10" s="13" t="s">
        <v>50</v>
      </c>
      <c r="B10" s="14">
        <f>B4*'AL Sch 5.1'!$E$29</f>
        <v>0</v>
      </c>
      <c r="C10" s="14">
        <f>C4*'AL Sch 5.1'!$E$29</f>
        <v>0</v>
      </c>
      <c r="D10" s="14">
        <f>D4*'AL Sch 5.1'!$E$29</f>
        <v>0</v>
      </c>
      <c r="E10" s="14">
        <f>E4*'AL Sch 5.1'!$E$29</f>
        <v>0</v>
      </c>
      <c r="F10" s="14">
        <f>F4*'AL Sch 5.1'!$E$29</f>
        <v>0</v>
      </c>
      <c r="G10" s="14">
        <f>G4*'AL Sch 5.1'!$E$29</f>
        <v>0</v>
      </c>
      <c r="H10" s="14">
        <f>H4*'AL Sch 5.1'!$E$29</f>
        <v>0</v>
      </c>
      <c r="I10" s="14">
        <f>I4*'AL Sch 5.1'!$E$29</f>
        <v>0</v>
      </c>
      <c r="J10" s="14">
        <f>J4*'AL Sch 5.1'!$E$29</f>
        <v>0</v>
      </c>
    </row>
    <row r="11" spans="1:20" s="777" customFormat="1">
      <c r="A11" s="73" t="s">
        <v>48</v>
      </c>
      <c r="B11" s="160">
        <f t="shared" ref="B11:I11" si="4">SUM(B8:B10)</f>
        <v>5783791</v>
      </c>
      <c r="C11" s="160">
        <f t="shared" si="4"/>
        <v>5695642</v>
      </c>
      <c r="D11" s="160">
        <f t="shared" si="4"/>
        <v>5602872</v>
      </c>
      <c r="E11" s="160">
        <f t="shared" si="4"/>
        <v>5478089</v>
      </c>
      <c r="F11" s="160">
        <f t="shared" si="4"/>
        <v>5995188.2300000004</v>
      </c>
      <c r="G11" s="160">
        <f t="shared" si="4"/>
        <v>6414233.9500000002</v>
      </c>
      <c r="H11" s="160">
        <f t="shared" si="4"/>
        <v>6619647.5599999996</v>
      </c>
      <c r="I11" s="160">
        <f t="shared" si="4"/>
        <v>6829288.1999999993</v>
      </c>
      <c r="J11" s="160">
        <f t="shared" ref="J11" si="5">SUM(J8:J10)</f>
        <v>7138380.7199999988</v>
      </c>
    </row>
    <row r="12" spans="1:20">
      <c r="A12" s="22" t="s">
        <v>714</v>
      </c>
      <c r="B12" s="2"/>
      <c r="C12" s="2"/>
      <c r="D12" s="2"/>
      <c r="E12" s="2"/>
      <c r="F12" s="2"/>
      <c r="G12" s="2"/>
      <c r="H12" s="2"/>
      <c r="I12" s="2"/>
      <c r="J12" s="2"/>
    </row>
    <row r="13" spans="1:20">
      <c r="A13" s="13" t="s">
        <v>49</v>
      </c>
      <c r="B13" s="14">
        <f>B5*'AL Sch 5.1'!$C$32</f>
        <v>78339.722222222219</v>
      </c>
      <c r="C13" s="14">
        <f>C5*'AL Sch 5.1'!$C$32</f>
        <v>84837.702020202021</v>
      </c>
      <c r="D13" s="14">
        <f>D5*'AL Sch 5.1'!$C$32</f>
        <v>108235.90909090909</v>
      </c>
      <c r="E13" s="14">
        <f>E5*'AL Sch 5.1'!$C$32</f>
        <v>129179.5202020202</v>
      </c>
      <c r="F13" s="14">
        <f>F5*'AL Sch 5.1'!$C$32</f>
        <v>173772.34848484848</v>
      </c>
      <c r="G13" s="14">
        <f>G5*'AL Sch 5.1'!$C$32</f>
        <v>144019.34343434343</v>
      </c>
      <c r="H13" s="14">
        <f>H5*'AL Sch 5.1'!$C$32</f>
        <v>170321.13636363635</v>
      </c>
      <c r="I13" s="14">
        <f>I5*'AL Sch 5.1'!$C$32</f>
        <v>172702.02020202021</v>
      </c>
      <c r="J13" s="14">
        <f>J5*'AL Sch 5.1'!$C$32</f>
        <v>172702.02020202021</v>
      </c>
      <c r="L13" s="128"/>
      <c r="M13" s="128"/>
      <c r="N13" s="128"/>
      <c r="O13" s="128"/>
      <c r="P13" s="128"/>
      <c r="Q13" s="128"/>
      <c r="R13" s="128"/>
      <c r="S13" s="128"/>
      <c r="T13" s="128"/>
    </row>
    <row r="14" spans="1:20">
      <c r="A14" s="13" t="s">
        <v>357</v>
      </c>
      <c r="B14" s="14">
        <f>B5*'AL Sch 5.1'!$D$32</f>
        <v>81697.138888888891</v>
      </c>
      <c r="C14" s="14">
        <f>C5*'AL Sch 5.1'!$D$32</f>
        <v>88473.603535353526</v>
      </c>
      <c r="D14" s="14">
        <f>D5*'AL Sch 5.1'!$D$32</f>
        <v>112874.59090909091</v>
      </c>
      <c r="E14" s="14">
        <f>E5*'AL Sch 5.1'!$D$32</f>
        <v>134715.78535353535</v>
      </c>
      <c r="F14" s="14">
        <f>F5*'AL Sch 5.1'!$D$32</f>
        <v>181219.73484848483</v>
      </c>
      <c r="G14" s="14">
        <f>G5*'AL Sch 5.1'!$D$32</f>
        <v>150191.601010101</v>
      </c>
      <c r="H14" s="14">
        <f>H5*'AL Sch 5.1'!$D$32</f>
        <v>177620.61363636362</v>
      </c>
      <c r="I14" s="14">
        <f>I5*'AL Sch 5.1'!$D$32</f>
        <v>180103.53535353535</v>
      </c>
      <c r="J14" s="14">
        <f>J5*'AL Sch 5.1'!$D$32</f>
        <v>180103.53535353535</v>
      </c>
    </row>
    <row r="15" spans="1:20">
      <c r="A15" s="13" t="s">
        <v>50</v>
      </c>
      <c r="B15" s="14">
        <f>B5*'AL Sch 5.1'!$E$32</f>
        <v>283142.13888888888</v>
      </c>
      <c r="C15" s="14">
        <f>C5*'AL Sch 5.1'!$E$32</f>
        <v>306627.69444444444</v>
      </c>
      <c r="D15" s="14">
        <f>D5*'AL Sch 5.1'!$E$32</f>
        <v>391195.49999999994</v>
      </c>
      <c r="E15" s="14">
        <f>E5*'AL Sch 5.1'!$E$32</f>
        <v>466891.69444444438</v>
      </c>
      <c r="F15" s="14">
        <f>F5*'AL Sch 5.1'!$E$32</f>
        <v>628062.91666666663</v>
      </c>
      <c r="G15" s="14">
        <f>G5*'AL Sch 5.1'!$E$32</f>
        <v>520527.0555555555</v>
      </c>
      <c r="H15" s="14">
        <f>H5*'AL Sch 5.1'!$E$32</f>
        <v>615589.25</v>
      </c>
      <c r="I15" s="14">
        <f>I5*'AL Sch 5.1'!$E$32</f>
        <v>624194.44444444438</v>
      </c>
      <c r="J15" s="14">
        <f>J5*'AL Sch 5.1'!$E$32</f>
        <v>624194.44444444438</v>
      </c>
    </row>
    <row r="16" spans="1:20" s="777" customFormat="1">
      <c r="A16" s="73" t="s">
        <v>48</v>
      </c>
      <c r="B16" s="160">
        <f t="shared" ref="B16:I16" si="6">SUM(B13:B15)</f>
        <v>443179</v>
      </c>
      <c r="C16" s="160">
        <f t="shared" si="6"/>
        <v>479939</v>
      </c>
      <c r="D16" s="160">
        <f t="shared" si="6"/>
        <v>612306</v>
      </c>
      <c r="E16" s="160">
        <f t="shared" si="6"/>
        <v>730787</v>
      </c>
      <c r="F16" s="160">
        <f t="shared" si="6"/>
        <v>983055</v>
      </c>
      <c r="G16" s="160">
        <f t="shared" si="6"/>
        <v>814738</v>
      </c>
      <c r="H16" s="160">
        <f t="shared" si="6"/>
        <v>963531</v>
      </c>
      <c r="I16" s="160">
        <f t="shared" si="6"/>
        <v>977000</v>
      </c>
      <c r="J16" s="160">
        <f t="shared" ref="J16" si="7">SUM(J13:J15)</f>
        <v>977000</v>
      </c>
    </row>
    <row r="17" spans="1:20">
      <c r="A17" s="13"/>
      <c r="B17" s="2"/>
      <c r="C17" s="2"/>
      <c r="D17" s="9"/>
      <c r="E17" s="9"/>
      <c r="F17" s="9"/>
      <c r="G17" s="9"/>
      <c r="H17" s="9"/>
      <c r="I17" s="9"/>
      <c r="J17" s="9"/>
    </row>
    <row r="18" spans="1:20">
      <c r="A18" s="142" t="s">
        <v>486</v>
      </c>
      <c r="B18" s="141">
        <f>'AL Sch 4.0'!B20</f>
        <v>11567281.710000001</v>
      </c>
      <c r="C18" s="141">
        <f>'AL Sch 4.0'!C20</f>
        <v>16252840.669999998</v>
      </c>
      <c r="D18" s="141">
        <f>'AL Sch 4.0'!D20</f>
        <v>13118561.77</v>
      </c>
      <c r="E18" s="141">
        <f>'AL Sch 4.0'!E20</f>
        <v>14390951.129999999</v>
      </c>
      <c r="F18" s="141">
        <f>'AL Sch 4.0'!F20</f>
        <v>31601996.689999994</v>
      </c>
      <c r="G18" s="141">
        <f>'AL Sch 4.0'!G20</f>
        <v>24578805.740000002</v>
      </c>
      <c r="H18" s="141">
        <f>'AL Sch 4.0'!H20</f>
        <v>27228197.169999998</v>
      </c>
      <c r="I18" s="141">
        <f>'AL Sch 4.0'!I20</f>
        <v>30128514.970000003</v>
      </c>
      <c r="J18" s="141">
        <f>'AL Sch 4.0'!J20</f>
        <v>28296421.18999999</v>
      </c>
    </row>
    <row r="19" spans="1:20">
      <c r="A19" s="8" t="s">
        <v>709</v>
      </c>
      <c r="B19" s="14"/>
      <c r="C19" s="14"/>
      <c r="D19" s="14"/>
      <c r="E19" s="14"/>
      <c r="F19" s="14"/>
      <c r="G19" s="14"/>
      <c r="H19" s="14"/>
      <c r="I19" s="14"/>
      <c r="J19" s="14"/>
    </row>
    <row r="20" spans="1:20">
      <c r="A20" s="13" t="s">
        <v>49</v>
      </c>
      <c r="B20" s="17">
        <f>B18*'AL Sch 5.1'!$C$40</f>
        <v>2242618.9819305516</v>
      </c>
      <c r="C20" s="17">
        <f>C18*'AL Sch 5.1'!$C$40</f>
        <v>3151036.683521288</v>
      </c>
      <c r="D20" s="17">
        <f>D18*'AL Sch 5.1'!$C$40</f>
        <v>2543375.0451151109</v>
      </c>
      <c r="E20" s="17">
        <f>E18*'AL Sch 5.1'!$C$40</f>
        <v>2790060.8787172795</v>
      </c>
      <c r="F20" s="17">
        <f>F18*'AL Sch 5.1'!$C$40</f>
        <v>6126870.5492520109</v>
      </c>
      <c r="G20" s="17">
        <f>G18*'AL Sch 5.1'!$C$40</f>
        <v>4765241.9719366888</v>
      </c>
      <c r="H20" s="17">
        <f>H18*'AL Sch 5.1'!$C$40</f>
        <v>5278895.5389926014</v>
      </c>
      <c r="I20" s="17">
        <f>I18*'AL Sch 5.1'!$C$40</f>
        <v>5841197.7215605285</v>
      </c>
      <c r="J20" s="17">
        <f>J18*'AL Sch 5.1'!$C$40</f>
        <v>5485998.6012561508</v>
      </c>
      <c r="L20" s="128"/>
      <c r="M20" s="128"/>
      <c r="N20" s="128"/>
      <c r="O20" s="128"/>
      <c r="P20" s="128"/>
      <c r="Q20" s="128"/>
      <c r="R20" s="128"/>
      <c r="S20" s="128"/>
      <c r="T20" s="128"/>
    </row>
    <row r="21" spans="1:20">
      <c r="A21" s="13" t="s">
        <v>357</v>
      </c>
      <c r="B21" s="17">
        <f>B18*'AL Sch 5.1'!$D$40</f>
        <v>3233765.9526475733</v>
      </c>
      <c r="C21" s="17">
        <f>C18*'AL Sch 5.1'!$D$40</f>
        <v>4543667.5711818356</v>
      </c>
      <c r="D21" s="17">
        <f>D18*'AL Sch 5.1'!$D$40</f>
        <v>3667444.0428692629</v>
      </c>
      <c r="E21" s="17">
        <f>E18*'AL Sch 5.1'!$D$40</f>
        <v>4023155.0468920944</v>
      </c>
      <c r="F21" s="17">
        <f>F18*'AL Sch 5.1'!$D$40</f>
        <v>8834699.7586698607</v>
      </c>
      <c r="G21" s="17">
        <f>G18*'AL Sch 5.1'!$D$40</f>
        <v>6871286.3705945611</v>
      </c>
      <c r="H21" s="17">
        <f>H18*'AL Sch 5.1'!$D$40</f>
        <v>7611954.0586792715</v>
      </c>
      <c r="I21" s="17">
        <f>I18*'AL Sch 5.1'!$D$40</f>
        <v>8422771.0845488459</v>
      </c>
      <c r="J21" s="17">
        <f>J18*'AL Sch 5.1'!$D$40</f>
        <v>7910588.3058844684</v>
      </c>
    </row>
    <row r="22" spans="1:20">
      <c r="A22" s="13" t="s">
        <v>50</v>
      </c>
      <c r="B22" s="17">
        <f>B18*'AL Sch 5.1'!$E$40</f>
        <v>6090896.7754218755</v>
      </c>
      <c r="C22" s="17">
        <f>C18*'AL Sch 5.1'!$E$40</f>
        <v>8558136.4152968749</v>
      </c>
      <c r="D22" s="17">
        <f>D18*'AL Sch 5.1'!$E$40</f>
        <v>6907742.6820156258</v>
      </c>
      <c r="E22" s="17">
        <f>E18*'AL Sch 5.1'!$E$40</f>
        <v>7577735.2043906255</v>
      </c>
      <c r="F22" s="17">
        <f>F18*'AL Sch 5.1'!$E$40</f>
        <v>16640426.382078122</v>
      </c>
      <c r="G22" s="17">
        <f>G18*'AL Sch 5.1'!$E$40</f>
        <v>12942277.397468751</v>
      </c>
      <c r="H22" s="17">
        <f>H18*'AL Sch 5.1'!$E$40</f>
        <v>14337347.572328126</v>
      </c>
      <c r="I22" s="17">
        <f>I18*'AL Sch 5.1'!$E$40</f>
        <v>15864546.163890628</v>
      </c>
      <c r="J22" s="17">
        <f>J18*'AL Sch 5.1'!$E$40</f>
        <v>14899834.282859372</v>
      </c>
    </row>
    <row r="23" spans="1:20" s="777" customFormat="1">
      <c r="A23" s="73" t="s">
        <v>48</v>
      </c>
      <c r="B23" s="163">
        <f t="shared" ref="B23:I23" si="8">SUM(B20:B22)</f>
        <v>11567281.710000001</v>
      </c>
      <c r="C23" s="163">
        <f t="shared" si="8"/>
        <v>16252840.669999998</v>
      </c>
      <c r="D23" s="163">
        <f t="shared" si="8"/>
        <v>13118561.77</v>
      </c>
      <c r="E23" s="163">
        <f t="shared" si="8"/>
        <v>14390951.129999999</v>
      </c>
      <c r="F23" s="163">
        <f t="shared" si="8"/>
        <v>31601996.689999994</v>
      </c>
      <c r="G23" s="163">
        <f t="shared" si="8"/>
        <v>24578805.740000002</v>
      </c>
      <c r="H23" s="163">
        <f t="shared" si="8"/>
        <v>27228197.170000002</v>
      </c>
      <c r="I23" s="163">
        <f t="shared" si="8"/>
        <v>30128514.970000003</v>
      </c>
      <c r="J23" s="163">
        <f t="shared" ref="J23" si="9">SUM(J20:J22)</f>
        <v>28296421.18999999</v>
      </c>
    </row>
    <row r="24" spans="1:20">
      <c r="A24" s="13"/>
      <c r="B24" s="141"/>
      <c r="C24" s="141"/>
      <c r="D24" s="141"/>
      <c r="E24" s="141"/>
      <c r="F24" s="141"/>
      <c r="G24" s="141"/>
      <c r="H24" s="141"/>
      <c r="I24" s="141"/>
      <c r="J24" s="141"/>
    </row>
    <row r="25" spans="1:20">
      <c r="A25" s="22" t="s">
        <v>485</v>
      </c>
      <c r="B25" s="9"/>
      <c r="C25" s="9"/>
      <c r="D25" s="9"/>
      <c r="E25" s="9"/>
      <c r="F25" s="9"/>
      <c r="G25" s="9"/>
      <c r="H25" s="9"/>
      <c r="I25" s="9"/>
      <c r="J25" s="9"/>
    </row>
    <row r="26" spans="1:20">
      <c r="A26" s="13" t="s">
        <v>49</v>
      </c>
      <c r="B26" s="14">
        <f>B20+B13+B8+'AL Sch 5.2'!B39</f>
        <v>16725772.935596513</v>
      </c>
      <c r="C26" s="14">
        <f>C20+C13+C8+'AL Sch 5.2'!C39</f>
        <v>17217713.962286964</v>
      </c>
      <c r="D26" s="14">
        <f>D20+D13+D8+'AL Sch 5.2'!D39</f>
        <v>18812481.854705084</v>
      </c>
      <c r="E26" s="14">
        <f>E20+E13+E8+'AL Sch 5.2'!E39</f>
        <v>20777331.141932473</v>
      </c>
      <c r="F26" s="14">
        <f>F20+F13+F8+'AL Sch 5.2'!F39</f>
        <v>26010671.576600946</v>
      </c>
      <c r="G26" s="14">
        <f>G20+G13+G8+'AL Sch 5.2'!G39</f>
        <v>24543861.288679745</v>
      </c>
      <c r="H26" s="14">
        <f>H20+H13+H8+'AL Sch 5.2'!H39</f>
        <v>26176406.566042475</v>
      </c>
      <c r="I26" s="14">
        <f>I20+I13+I8+'AL Sch 5.2'!I39</f>
        <v>27922763.208141711</v>
      </c>
      <c r="J26" s="14">
        <f>J20+J13+J8+'AL Sch 5.2'!J39</f>
        <v>27879153.136331875</v>
      </c>
      <c r="L26" s="128"/>
      <c r="M26" s="128"/>
      <c r="N26" s="128"/>
      <c r="O26" s="128"/>
      <c r="P26" s="128"/>
      <c r="Q26" s="128"/>
      <c r="R26" s="128"/>
      <c r="S26" s="128"/>
      <c r="T26" s="128"/>
    </row>
    <row r="27" spans="1:20">
      <c r="A27" s="13" t="s">
        <v>357</v>
      </c>
      <c r="B27" s="14">
        <f>B21+B14+B9+'AL Sch 5.2'!B40</f>
        <v>17887366.941402912</v>
      </c>
      <c r="C27" s="14">
        <f>C21+C14+C9+'AL Sch 5.2'!C40</f>
        <v>18641025.791931748</v>
      </c>
      <c r="D27" s="14">
        <f>D21+D14+D9+'AL Sch 5.2'!D40</f>
        <v>20303907.150733065</v>
      </c>
      <c r="E27" s="14">
        <f>E21+E14+E9+'AL Sch 5.2'!E40</f>
        <v>22660161.11279045</v>
      </c>
      <c r="F27" s="14">
        <f>F21+F14+F9+'AL Sch 5.2'!F40</f>
        <v>29512473.676944848</v>
      </c>
      <c r="G27" s="14">
        <f>G21+G14+G9+'AL Sch 5.2'!G40</f>
        <v>27212686.169621877</v>
      </c>
      <c r="H27" s="14">
        <f>H21+H14+H9+'AL Sch 5.2'!H40</f>
        <v>29134446.143865358</v>
      </c>
      <c r="I27" s="14">
        <f>I21+I14+I9+'AL Sch 5.2'!I40</f>
        <v>31264706.829766564</v>
      </c>
      <c r="J27" s="14">
        <f>J21+J14+J9+'AL Sch 5.2'!J40</f>
        <v>31009277.535426218</v>
      </c>
    </row>
    <row r="28" spans="1:20">
      <c r="A28" s="13" t="s">
        <v>50</v>
      </c>
      <c r="B28" s="14">
        <f>B22+B15+B10+'AL Sch 5.2'!B41</f>
        <v>14174148.753000587</v>
      </c>
      <c r="C28" s="14">
        <f>C22+C15+C10+'AL Sch 5.2'!C41</f>
        <v>15842176.631960338</v>
      </c>
      <c r="D28" s="14">
        <f>D22+D15+D10+'AL Sch 5.2'!D41</f>
        <v>15553365.452522263</v>
      </c>
      <c r="E28" s="14">
        <f>E22+E15+E10+'AL Sch 5.2'!E41</f>
        <v>16439323.036011782</v>
      </c>
      <c r="F28" s="14">
        <f>F22+F15+F10+'AL Sch 5.2'!F41</f>
        <v>27123628.534820534</v>
      </c>
      <c r="G28" s="14">
        <f>G22+G15+G10+'AL Sch 5.2'!G41</f>
        <v>25061407.839859676</v>
      </c>
      <c r="H28" s="14">
        <f>H22+H15+H10+'AL Sch 5.2'!H41</f>
        <v>26984292.741911273</v>
      </c>
      <c r="I28" s="14">
        <f>I22+I15+I10+'AL Sch 5.2'!I41</f>
        <v>29209776.909476623</v>
      </c>
      <c r="J28" s="14">
        <f>J22+J15+J10+'AL Sch 5.2'!J41</f>
        <v>28588067.39270255</v>
      </c>
    </row>
    <row r="29" spans="1:20" s="777" customFormat="1">
      <c r="A29" s="73" t="s">
        <v>48</v>
      </c>
      <c r="B29" s="160">
        <f t="shared" ref="B29:I29" si="10">SUM(B26:B28)</f>
        <v>48787288.63000001</v>
      </c>
      <c r="C29" s="160">
        <f t="shared" si="10"/>
        <v>51700916.386179052</v>
      </c>
      <c r="D29" s="160">
        <f t="shared" si="10"/>
        <v>54669754.457960412</v>
      </c>
      <c r="E29" s="160">
        <f t="shared" si="10"/>
        <v>59876815.290734708</v>
      </c>
      <c r="F29" s="160">
        <f t="shared" si="10"/>
        <v>82646773.788366318</v>
      </c>
      <c r="G29" s="160">
        <f t="shared" si="10"/>
        <v>76817955.298161298</v>
      </c>
      <c r="H29" s="160">
        <f t="shared" si="10"/>
        <v>82295145.451819107</v>
      </c>
      <c r="I29" s="160">
        <f t="shared" si="10"/>
        <v>88397246.947384894</v>
      </c>
      <c r="J29" s="160">
        <f t="shared" ref="J29" si="11">SUM(J26:J28)</f>
        <v>87476498.064460635</v>
      </c>
    </row>
    <row r="30" spans="1:20">
      <c r="A30" s="13"/>
      <c r="B30" s="14"/>
      <c r="C30" s="14"/>
      <c r="D30" s="14"/>
      <c r="E30" s="14"/>
      <c r="F30" s="14"/>
      <c r="G30" s="14"/>
      <c r="H30" s="14"/>
      <c r="I30" s="14"/>
      <c r="J30" s="14"/>
    </row>
    <row r="31" spans="1:20">
      <c r="A31" s="143" t="s">
        <v>369</v>
      </c>
      <c r="B31" s="141">
        <f>'AL Sch 4.0'!B43</f>
        <v>-1040629.29</v>
      </c>
      <c r="C31" s="141">
        <f>'AL Sch 4.0'!C43</f>
        <v>-1270651.9699999997</v>
      </c>
      <c r="D31" s="141">
        <f>'AL Sch 4.0'!D43</f>
        <v>-1803018.1500000004</v>
      </c>
      <c r="E31" s="141">
        <f>'AL Sch 4.0'!E43</f>
        <v>-4347617.3499999996</v>
      </c>
      <c r="F31" s="141">
        <f>'AL Sch 4.0'!F43</f>
        <v>-9315000.0000000019</v>
      </c>
      <c r="G31" s="141">
        <f>'AL Sch 4.0'!G43</f>
        <v>-3824655.4438988706</v>
      </c>
      <c r="H31" s="141">
        <f>'AL Sch 4.0'!H43</f>
        <v>-2400000</v>
      </c>
      <c r="I31" s="141">
        <f>'AL Sch 4.0'!I43</f>
        <v>-2399999.9999999981</v>
      </c>
      <c r="J31" s="141">
        <f>'AL Sch 4.0'!J43</f>
        <v>-2399999.9999999991</v>
      </c>
    </row>
    <row r="32" spans="1:20">
      <c r="A32" s="19" t="s">
        <v>484</v>
      </c>
      <c r="B32" s="9"/>
      <c r="C32" s="9"/>
      <c r="D32" s="9"/>
      <c r="E32" s="9"/>
      <c r="F32" s="9"/>
      <c r="G32" s="9"/>
      <c r="H32" s="9"/>
      <c r="I32" s="9"/>
      <c r="J32" s="9"/>
    </row>
    <row r="33" spans="1:10">
      <c r="A33" s="13" t="s">
        <v>49</v>
      </c>
      <c r="B33" s="14">
        <f t="shared" ref="B33:I33" si="12">B$31*B26/B$29</f>
        <v>-356759.51059039234</v>
      </c>
      <c r="C33" s="14">
        <f t="shared" si="12"/>
        <v>-423159.27249066898</v>
      </c>
      <c r="D33" s="14">
        <f t="shared" si="12"/>
        <v>-620438.97154617612</v>
      </c>
      <c r="E33" s="14">
        <f t="shared" si="12"/>
        <v>-1508628.7559007637</v>
      </c>
      <c r="F33" s="14">
        <f t="shared" si="12"/>
        <v>-2931625.6960794213</v>
      </c>
      <c r="G33" s="14">
        <f t="shared" si="12"/>
        <v>-1222003.5319567355</v>
      </c>
      <c r="H33" s="14">
        <f t="shared" si="12"/>
        <v>-763391.02888253354</v>
      </c>
      <c r="I33" s="14">
        <f t="shared" si="12"/>
        <v>-758107.67884465866</v>
      </c>
      <c r="J33" s="14">
        <f t="shared" ref="J33" si="13">J$31*J26/J$29</f>
        <v>-764890.78789929533</v>
      </c>
    </row>
    <row r="34" spans="1:10">
      <c r="A34" s="13" t="s">
        <v>357</v>
      </c>
      <c r="B34" s="14">
        <f t="shared" ref="B34:I34" si="14">B$31*B27/B$29</f>
        <v>-381536.22558060125</v>
      </c>
      <c r="C34" s="14">
        <f t="shared" si="14"/>
        <v>-458139.96735405666</v>
      </c>
      <c r="D34" s="14">
        <f t="shared" si="14"/>
        <v>-669626.44101204677</v>
      </c>
      <c r="E34" s="14">
        <f t="shared" si="14"/>
        <v>-1645339.8386237756</v>
      </c>
      <c r="F34" s="14">
        <f t="shared" si="14"/>
        <v>-3326308.8164179316</v>
      </c>
      <c r="G34" s="14">
        <f t="shared" si="14"/>
        <v>-1354880.4820146917</v>
      </c>
      <c r="H34" s="14">
        <f t="shared" si="14"/>
        <v>-849657.29583908571</v>
      </c>
      <c r="I34" s="14">
        <f t="shared" si="14"/>
        <v>-848842.00563510321</v>
      </c>
      <c r="J34" s="14">
        <f t="shared" ref="J34" si="15">J$31*J27/J$29</f>
        <v>-850768.69481196883</v>
      </c>
    </row>
    <row r="35" spans="1:10">
      <c r="A35" s="13" t="s">
        <v>50</v>
      </c>
      <c r="B35" s="14">
        <f t="shared" ref="B35:I35" si="16">B$31*B28/B$29</f>
        <v>-302333.55382900656</v>
      </c>
      <c r="C35" s="14">
        <f t="shared" si="16"/>
        <v>-389352.73015527416</v>
      </c>
      <c r="D35" s="14">
        <f t="shared" si="16"/>
        <v>-512952.73744177743</v>
      </c>
      <c r="E35" s="14">
        <f t="shared" si="16"/>
        <v>-1193648.7554754601</v>
      </c>
      <c r="F35" s="14">
        <f t="shared" si="16"/>
        <v>-3057065.4875026499</v>
      </c>
      <c r="G35" s="14">
        <f t="shared" si="16"/>
        <v>-1247771.4299274434</v>
      </c>
      <c r="H35" s="14">
        <f t="shared" si="16"/>
        <v>-786951.67527838063</v>
      </c>
      <c r="I35" s="14">
        <f t="shared" si="16"/>
        <v>-793050.31552023639</v>
      </c>
      <c r="J35" s="14">
        <f t="shared" ref="J35" si="17">J$31*J28/J$29</f>
        <v>-784340.51728873514</v>
      </c>
    </row>
    <row r="36" spans="1:10" s="777" customFormat="1">
      <c r="A36" s="73" t="s">
        <v>48</v>
      </c>
      <c r="B36" s="160">
        <f t="shared" ref="B36:I36" si="18">SUM(B33:B35)</f>
        <v>-1040629.2900000003</v>
      </c>
      <c r="C36" s="160">
        <f t="shared" si="18"/>
        <v>-1270651.9699999997</v>
      </c>
      <c r="D36" s="160">
        <f t="shared" si="18"/>
        <v>-1803018.1500000004</v>
      </c>
      <c r="E36" s="160">
        <f t="shared" si="18"/>
        <v>-4347617.3499999996</v>
      </c>
      <c r="F36" s="160">
        <f t="shared" si="18"/>
        <v>-9315000.0000000019</v>
      </c>
      <c r="G36" s="160">
        <f t="shared" si="18"/>
        <v>-3824655.4438988706</v>
      </c>
      <c r="H36" s="160">
        <f t="shared" si="18"/>
        <v>-2400000</v>
      </c>
      <c r="I36" s="160">
        <f t="shared" si="18"/>
        <v>-2399999.9999999981</v>
      </c>
      <c r="J36" s="160">
        <f t="shared" ref="J36" si="19">SUM(J33:J35)</f>
        <v>-2399999.9999999991</v>
      </c>
    </row>
    <row r="37" spans="1:10">
      <c r="A37" s="13"/>
      <c r="B37" s="14"/>
      <c r="C37" s="14"/>
      <c r="D37" s="14"/>
      <c r="E37" s="14"/>
      <c r="F37" s="14"/>
      <c r="G37" s="14"/>
      <c r="H37" s="14"/>
      <c r="I37" s="14"/>
      <c r="J37" s="14"/>
    </row>
    <row r="38" spans="1:10">
      <c r="A38" s="22" t="s">
        <v>483</v>
      </c>
      <c r="B38" s="2"/>
      <c r="C38" s="2"/>
      <c r="D38" s="2"/>
      <c r="E38" s="2"/>
      <c r="F38" s="2"/>
      <c r="G38" s="2"/>
      <c r="H38" s="2"/>
      <c r="I38" s="2"/>
      <c r="J38" s="2"/>
    </row>
    <row r="39" spans="1:10">
      <c r="A39" s="13" t="s">
        <v>49</v>
      </c>
      <c r="B39" s="14">
        <f t="shared" ref="B39:I39" si="20">B26+B33</f>
        <v>16369013.42500612</v>
      </c>
      <c r="C39" s="14">
        <f t="shared" si="20"/>
        <v>16794554.689796295</v>
      </c>
      <c r="D39" s="14">
        <f t="shared" si="20"/>
        <v>18192042.883158907</v>
      </c>
      <c r="E39" s="14">
        <f t="shared" si="20"/>
        <v>19268702.38603171</v>
      </c>
      <c r="F39" s="14">
        <f t="shared" si="20"/>
        <v>23079045.880521525</v>
      </c>
      <c r="G39" s="14">
        <f t="shared" si="20"/>
        <v>23321857.756723009</v>
      </c>
      <c r="H39" s="14">
        <f t="shared" si="20"/>
        <v>25413015.537159942</v>
      </c>
      <c r="I39" s="14">
        <f t="shared" si="20"/>
        <v>27164655.529297054</v>
      </c>
      <c r="J39" s="14">
        <f t="shared" ref="J39" si="21">J26+J33</f>
        <v>27114262.348432578</v>
      </c>
    </row>
    <row r="40" spans="1:10">
      <c r="A40" s="13" t="s">
        <v>357</v>
      </c>
      <c r="B40" s="14">
        <f t="shared" ref="B40:I40" si="22">B27+B34</f>
        <v>17505830.715822309</v>
      </c>
      <c r="C40" s="14">
        <f t="shared" si="22"/>
        <v>18182885.824577693</v>
      </c>
      <c r="D40" s="14">
        <f t="shared" si="22"/>
        <v>19634280.709721018</v>
      </c>
      <c r="E40" s="14">
        <f t="shared" si="22"/>
        <v>21014821.274166673</v>
      </c>
      <c r="F40" s="14">
        <f t="shared" si="22"/>
        <v>26186164.860526916</v>
      </c>
      <c r="G40" s="14">
        <f t="shared" si="22"/>
        <v>25857805.687607184</v>
      </c>
      <c r="H40" s="14">
        <f t="shared" si="22"/>
        <v>28284788.848026272</v>
      </c>
      <c r="I40" s="14">
        <f t="shared" si="22"/>
        <v>30415864.824131459</v>
      </c>
      <c r="J40" s="14">
        <f t="shared" ref="J40" si="23">J27+J34</f>
        <v>30158508.840614248</v>
      </c>
    </row>
    <row r="41" spans="1:10">
      <c r="A41" s="13" t="s">
        <v>50</v>
      </c>
      <c r="B41" s="14">
        <f t="shared" ref="B41:I41" si="24">B28+B35</f>
        <v>13871815.19917158</v>
      </c>
      <c r="C41" s="14">
        <f t="shared" si="24"/>
        <v>15452823.901805064</v>
      </c>
      <c r="D41" s="14">
        <f t="shared" si="24"/>
        <v>15040412.715080485</v>
      </c>
      <c r="E41" s="14">
        <f t="shared" si="24"/>
        <v>15245674.280536322</v>
      </c>
      <c r="F41" s="14">
        <f t="shared" si="24"/>
        <v>24066563.047317885</v>
      </c>
      <c r="G41" s="14">
        <f t="shared" si="24"/>
        <v>23813636.409932233</v>
      </c>
      <c r="H41" s="14">
        <f t="shared" si="24"/>
        <v>26197341.066632893</v>
      </c>
      <c r="I41" s="14">
        <f t="shared" si="24"/>
        <v>28416726.593956385</v>
      </c>
      <c r="J41" s="14">
        <f t="shared" ref="J41" si="25">J28+J35</f>
        <v>27803726.875413813</v>
      </c>
    </row>
    <row r="42" spans="1:10" s="777" customFormat="1">
      <c r="A42" s="73" t="s">
        <v>48</v>
      </c>
      <c r="B42" s="160">
        <f t="shared" ref="B42:I42" si="26">SUM(B39:B41)</f>
        <v>47746659.340000011</v>
      </c>
      <c r="C42" s="160">
        <f t="shared" si="26"/>
        <v>50430264.416179053</v>
      </c>
      <c r="D42" s="160">
        <f t="shared" si="26"/>
        <v>52866736.307960406</v>
      </c>
      <c r="E42" s="160">
        <f t="shared" si="26"/>
        <v>55529197.940734707</v>
      </c>
      <c r="F42" s="160">
        <f t="shared" si="26"/>
        <v>73331773.788366318</v>
      </c>
      <c r="G42" s="160">
        <f t="shared" si="26"/>
        <v>72993299.854262426</v>
      </c>
      <c r="H42" s="160">
        <f t="shared" si="26"/>
        <v>79895145.451819107</v>
      </c>
      <c r="I42" s="160">
        <f t="shared" si="26"/>
        <v>85997246.947384894</v>
      </c>
      <c r="J42" s="160">
        <f t="shared" ref="J42" si="27">SUM(J39:J41)</f>
        <v>85076498.064460635</v>
      </c>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2" tint="-0.499984740745262"/>
  </sheetPr>
  <dimension ref="A1:I171"/>
  <sheetViews>
    <sheetView showGridLines="0" topLeftCell="A156" zoomScaleNormal="100" zoomScaleSheetLayoutView="90" workbookViewId="0">
      <selection activeCell="C8" sqref="C8"/>
    </sheetView>
  </sheetViews>
  <sheetFormatPr defaultColWidth="9.109375" defaultRowHeight="13.8"/>
  <cols>
    <col min="1" max="1" width="40.44140625" style="4" customWidth="1"/>
    <col min="2" max="2" width="12.6640625" style="4" customWidth="1"/>
    <col min="3" max="6" width="14.5546875" style="4" bestFit="1" customWidth="1"/>
    <col min="7" max="9" width="12.33203125" style="4" bestFit="1" customWidth="1"/>
    <col min="10" max="16384" width="9.109375" style="4"/>
  </cols>
  <sheetData>
    <row r="1" spans="1:9">
      <c r="A1" s="22" t="s">
        <v>2152</v>
      </c>
    </row>
    <row r="2" spans="1:9">
      <c r="A2" s="8" t="s">
        <v>378</v>
      </c>
    </row>
    <row r="3" spans="1:9">
      <c r="A3" s="131" t="s">
        <v>28</v>
      </c>
      <c r="B3" s="132">
        <v>2010</v>
      </c>
      <c r="C3" s="132">
        <v>2011</v>
      </c>
      <c r="D3" s="132">
        <v>2012</v>
      </c>
      <c r="E3" s="132">
        <v>2013</v>
      </c>
      <c r="F3" s="132">
        <v>2014</v>
      </c>
      <c r="G3" s="132">
        <v>2015</v>
      </c>
      <c r="H3" s="132">
        <v>2016</v>
      </c>
      <c r="I3" s="132">
        <v>2017</v>
      </c>
    </row>
    <row r="4" spans="1:9">
      <c r="A4" s="8"/>
      <c r="B4" s="9"/>
      <c r="C4" s="9"/>
      <c r="D4" s="9"/>
      <c r="E4" s="9"/>
      <c r="F4" s="9"/>
    </row>
    <row r="5" spans="1:9">
      <c r="A5" s="631" t="s">
        <v>377</v>
      </c>
      <c r="B5" s="171">
        <v>6300000</v>
      </c>
      <c r="C5" s="171">
        <v>6020000</v>
      </c>
      <c r="D5" s="171">
        <v>5359000</v>
      </c>
      <c r="E5" s="171">
        <v>6813718</v>
      </c>
      <c r="F5" s="171">
        <v>8308553.6899999985</v>
      </c>
      <c r="G5" s="171">
        <v>6400000</v>
      </c>
      <c r="H5" s="171">
        <v>8199999.9999999991</v>
      </c>
      <c r="I5" s="171">
        <v>8800000</v>
      </c>
    </row>
    <row r="6" spans="1:9">
      <c r="A6" s="631" t="s">
        <v>370</v>
      </c>
      <c r="B6" s="171">
        <v>77736524.348097965</v>
      </c>
      <c r="C6" s="171">
        <v>92609781.934785768</v>
      </c>
      <c r="D6" s="171">
        <v>104992791.41138062</v>
      </c>
      <c r="E6" s="171">
        <v>104573237.98926464</v>
      </c>
      <c r="F6" s="171">
        <v>114837523.91773656</v>
      </c>
      <c r="G6" s="171">
        <v>186768842.53937909</v>
      </c>
      <c r="H6" s="171">
        <v>197911167.58099043</v>
      </c>
      <c r="I6" s="171">
        <v>220502628.35010201</v>
      </c>
    </row>
    <row r="7" spans="1:9">
      <c r="A7" s="631" t="s">
        <v>51</v>
      </c>
      <c r="B7" s="171">
        <v>57041662.41131869</v>
      </c>
      <c r="C7" s="171">
        <v>66762019.431617677</v>
      </c>
      <c r="D7" s="171">
        <v>81160429.159790441</v>
      </c>
      <c r="E7" s="171">
        <v>105433383.71630873</v>
      </c>
      <c r="F7" s="171">
        <v>130858952.35289906</v>
      </c>
      <c r="G7" s="171">
        <v>218371148.52939311</v>
      </c>
      <c r="H7" s="171">
        <v>300931830.76691014</v>
      </c>
      <c r="I7" s="171">
        <v>311036803.40148187</v>
      </c>
    </row>
    <row r="8" spans="1:9">
      <c r="A8" s="631" t="s">
        <v>376</v>
      </c>
      <c r="B8" s="171">
        <v>101464900.87736352</v>
      </c>
      <c r="C8" s="171">
        <v>133137009.62814568</v>
      </c>
      <c r="D8" s="171">
        <v>188823634.32584122</v>
      </c>
      <c r="E8" s="171">
        <v>248243744.41142938</v>
      </c>
      <c r="F8" s="171">
        <v>293801428.92438859</v>
      </c>
      <c r="G8" s="171">
        <v>309165800.39470267</v>
      </c>
      <c r="H8" s="171">
        <v>312121392.12813705</v>
      </c>
      <c r="I8" s="171">
        <v>312309506.79403472</v>
      </c>
    </row>
    <row r="9" spans="1:9">
      <c r="A9" s="631" t="s">
        <v>375</v>
      </c>
      <c r="B9" s="171">
        <v>5304958.3177198078</v>
      </c>
      <c r="C9" s="171">
        <v>18696650.292150877</v>
      </c>
      <c r="D9" s="171">
        <v>25782565.690687709</v>
      </c>
      <c r="E9" s="171">
        <v>24859246.898198873</v>
      </c>
      <c r="F9" s="171">
        <v>22550538.753251608</v>
      </c>
      <c r="G9" s="171">
        <v>31613333.555339765</v>
      </c>
      <c r="H9" s="171">
        <v>45798045.985965647</v>
      </c>
      <c r="I9" s="171">
        <v>49866913.882394031</v>
      </c>
    </row>
    <row r="10" spans="1:9">
      <c r="A10" s="631" t="s">
        <v>369</v>
      </c>
      <c r="B10" s="171">
        <v>-3570045.9545000005</v>
      </c>
      <c r="C10" s="175">
        <v>-3930461.2867000001</v>
      </c>
      <c r="D10" s="171">
        <v>-3868420.5876999996</v>
      </c>
      <c r="E10" s="171">
        <v>-3353923.44</v>
      </c>
      <c r="F10" s="171">
        <v>-6731517.0799999991</v>
      </c>
      <c r="G10" s="171">
        <v>-31253932.743999995</v>
      </c>
      <c r="H10" s="171">
        <v>-19349683.344000004</v>
      </c>
      <c r="I10" s="171">
        <v>-18091385.604000002</v>
      </c>
    </row>
    <row r="11" spans="1:9">
      <c r="A11" s="631" t="s">
        <v>494</v>
      </c>
      <c r="B11" s="175">
        <v>0</v>
      </c>
      <c r="C11" s="175">
        <v>0</v>
      </c>
      <c r="D11" s="175">
        <v>0</v>
      </c>
      <c r="E11" s="175">
        <v>0</v>
      </c>
      <c r="F11" s="175">
        <v>0</v>
      </c>
      <c r="G11" s="627"/>
      <c r="H11" s="627"/>
      <c r="I11" s="627"/>
    </row>
    <row r="12" spans="1:9">
      <c r="A12" s="8"/>
      <c r="B12" s="130"/>
      <c r="C12" s="130"/>
      <c r="D12" s="130"/>
      <c r="E12" s="130"/>
      <c r="F12" s="130"/>
    </row>
    <row r="13" spans="1:9" s="777" customFormat="1">
      <c r="A13" s="29" t="s">
        <v>258</v>
      </c>
      <c r="B13" s="707">
        <f t="shared" ref="B13:I13" si="0">SUM(B5:B12)</f>
        <v>244277999.99999997</v>
      </c>
      <c r="C13" s="707">
        <f t="shared" si="0"/>
        <v>313295000</v>
      </c>
      <c r="D13" s="707">
        <f t="shared" si="0"/>
        <v>402249999.99999994</v>
      </c>
      <c r="E13" s="707">
        <f t="shared" si="0"/>
        <v>486569407.57520157</v>
      </c>
      <c r="F13" s="707">
        <f t="shared" si="0"/>
        <v>563625480.5582757</v>
      </c>
      <c r="G13" s="707">
        <f t="shared" si="0"/>
        <v>721065192.27481472</v>
      </c>
      <c r="H13" s="707">
        <f t="shared" si="0"/>
        <v>845612753.11800325</v>
      </c>
      <c r="I13" s="707">
        <f t="shared" si="0"/>
        <v>884424466.82401264</v>
      </c>
    </row>
    <row r="14" spans="1:9">
      <c r="A14" s="9"/>
    </row>
    <row r="15" spans="1:9">
      <c r="A15" s="131" t="s">
        <v>373</v>
      </c>
      <c r="B15" s="132">
        <v>2010</v>
      </c>
      <c r="C15" s="132">
        <v>2011</v>
      </c>
      <c r="D15" s="132">
        <v>2012</v>
      </c>
      <c r="E15" s="132">
        <v>2013</v>
      </c>
      <c r="F15" s="132">
        <v>2014</v>
      </c>
      <c r="G15" s="132">
        <v>2015</v>
      </c>
      <c r="H15" s="132">
        <v>2016</v>
      </c>
      <c r="I15" s="132">
        <v>2017</v>
      </c>
    </row>
    <row r="16" spans="1:9">
      <c r="A16" s="12"/>
      <c r="B16" s="14"/>
      <c r="C16" s="14"/>
      <c r="D16" s="14"/>
      <c r="E16" s="14"/>
      <c r="F16" s="14"/>
      <c r="G16" s="14"/>
      <c r="H16" s="14"/>
      <c r="I16" s="14"/>
    </row>
    <row r="17" spans="1:9">
      <c r="A17" s="8" t="str">
        <f t="shared" ref="A17:F17" si="1">A7</f>
        <v>Depreciation</v>
      </c>
      <c r="B17" s="14">
        <f t="shared" si="1"/>
        <v>57041662.41131869</v>
      </c>
      <c r="C17" s="14">
        <f t="shared" si="1"/>
        <v>66762019.431617677</v>
      </c>
      <c r="D17" s="14">
        <f t="shared" si="1"/>
        <v>81160429.159790441</v>
      </c>
      <c r="E17" s="14">
        <f t="shared" si="1"/>
        <v>105433383.71630873</v>
      </c>
      <c r="F17" s="14">
        <f t="shared" si="1"/>
        <v>130858952.35289906</v>
      </c>
      <c r="G17" s="14">
        <f t="shared" ref="G17:I17" si="2">G7</f>
        <v>218371148.52939311</v>
      </c>
      <c r="H17" s="14">
        <f t="shared" si="2"/>
        <v>300931830.76691014</v>
      </c>
      <c r="I17" s="14">
        <f t="shared" si="2"/>
        <v>311036803.40148187</v>
      </c>
    </row>
    <row r="18" spans="1:9">
      <c r="A18" s="8" t="str">
        <f t="shared" ref="A18:F18" si="3">A8</f>
        <v>Return on Rate Base</v>
      </c>
      <c r="B18" s="14">
        <f t="shared" si="3"/>
        <v>101464900.87736352</v>
      </c>
      <c r="C18" s="14">
        <f t="shared" si="3"/>
        <v>133137009.62814568</v>
      </c>
      <c r="D18" s="14">
        <f t="shared" si="3"/>
        <v>188823634.32584122</v>
      </c>
      <c r="E18" s="14">
        <f t="shared" si="3"/>
        <v>248243744.41142938</v>
      </c>
      <c r="F18" s="14">
        <f t="shared" si="3"/>
        <v>293801428.92438859</v>
      </c>
      <c r="G18" s="14">
        <f t="shared" ref="G18:I18" si="4">G8</f>
        <v>309165800.39470267</v>
      </c>
      <c r="H18" s="14">
        <f t="shared" si="4"/>
        <v>312121392.12813705</v>
      </c>
      <c r="I18" s="14">
        <f t="shared" si="4"/>
        <v>312309506.79403472</v>
      </c>
    </row>
    <row r="19" spans="1:9">
      <c r="A19" s="8" t="str">
        <f t="shared" ref="A19:F19" si="5">A9</f>
        <v>Income Tax Expense</v>
      </c>
      <c r="B19" s="14">
        <f t="shared" si="5"/>
        <v>5304958.3177198078</v>
      </c>
      <c r="C19" s="14">
        <f t="shared" si="5"/>
        <v>18696650.292150877</v>
      </c>
      <c r="D19" s="14">
        <f t="shared" si="5"/>
        <v>25782565.690687709</v>
      </c>
      <c r="E19" s="14">
        <f t="shared" si="5"/>
        <v>24859246.898198873</v>
      </c>
      <c r="F19" s="14">
        <f t="shared" si="5"/>
        <v>22550538.753251608</v>
      </c>
      <c r="G19" s="14">
        <f t="shared" ref="G19:I19" si="6">G9</f>
        <v>31613333.555339765</v>
      </c>
      <c r="H19" s="14">
        <f t="shared" si="6"/>
        <v>45798045.985965647</v>
      </c>
      <c r="I19" s="14">
        <f t="shared" si="6"/>
        <v>49866913.882394031</v>
      </c>
    </row>
    <row r="20" spans="1:9">
      <c r="A20" s="8" t="s">
        <v>368</v>
      </c>
      <c r="B20" s="130"/>
      <c r="C20" s="130"/>
      <c r="D20" s="130"/>
      <c r="E20" s="130"/>
      <c r="F20" s="130"/>
      <c r="G20" s="130"/>
      <c r="H20" s="130"/>
      <c r="I20" s="130"/>
    </row>
    <row r="21" spans="1:9">
      <c r="A21" s="8" t="s">
        <v>367</v>
      </c>
      <c r="B21" s="14">
        <f>-'AT Sch 2.0'!B29</f>
        <v>-1261598.74</v>
      </c>
      <c r="C21" s="14">
        <f>-'AT Sch 2.0'!C29</f>
        <v>-1094000</v>
      </c>
      <c r="D21" s="14">
        <f>-'AT Sch 2.0'!D29</f>
        <v>-1136665.01</v>
      </c>
      <c r="E21" s="14">
        <f>-'AT Sch 2.0'!E29</f>
        <v>-1149883.0900000001</v>
      </c>
      <c r="F21" s="14">
        <f>-'AT Sch 2.0'!F29</f>
        <v>-1285339</v>
      </c>
      <c r="G21" s="14">
        <f>-'AT Sch 2.0'!G29</f>
        <v>-1285339</v>
      </c>
      <c r="H21" s="14">
        <f>-'AT Sch 2.0'!H29</f>
        <v>-985339</v>
      </c>
      <c r="I21" s="14">
        <f>-'AT Sch 2.0'!I29</f>
        <v>-985339</v>
      </c>
    </row>
    <row r="22" spans="1:9">
      <c r="A22" s="8" t="s">
        <v>492</v>
      </c>
      <c r="B22" s="14">
        <f>'AT Sch 3.0'!B24</f>
        <v>17832214.25</v>
      </c>
      <c r="C22" s="14">
        <f>'AT Sch 3.0'!C24</f>
        <v>20612283.755399998</v>
      </c>
      <c r="D22" s="14">
        <f>'AT Sch 3.0'!D24</f>
        <v>21857278.326800004</v>
      </c>
      <c r="E22" s="14">
        <f>'AT Sch 3.0'!E24</f>
        <v>25200000</v>
      </c>
      <c r="F22" s="14">
        <f>'AT Sch 3.0'!F24</f>
        <v>30239489.380399998</v>
      </c>
      <c r="G22" s="14">
        <f>'AT Sch 3.0'!G24</f>
        <v>33407528.300000001</v>
      </c>
      <c r="H22" s="14">
        <f>'AT Sch 3.0'!H24</f>
        <v>38732099.733420812</v>
      </c>
      <c r="I22" s="14">
        <f>'AT Sch 3.0'!I24</f>
        <v>51734737.785054848</v>
      </c>
    </row>
    <row r="23" spans="1:9">
      <c r="A23" s="8" t="s">
        <v>491</v>
      </c>
      <c r="B23" s="14">
        <f>'AT Sch 4.0'!B24</f>
        <v>1933000</v>
      </c>
      <c r="C23" s="14">
        <f>'AT Sch 4.0'!C24</f>
        <v>2597847.0900000003</v>
      </c>
      <c r="D23" s="14">
        <f>'AT Sch 4.0'!D24</f>
        <v>3705667.07</v>
      </c>
      <c r="E23" s="14">
        <f>'AT Sch 4.0'!E24</f>
        <v>3327034.9899999998</v>
      </c>
      <c r="F23" s="14">
        <f>'AT Sch 4.0'!F24</f>
        <v>5218017.3866354767</v>
      </c>
      <c r="G23" s="14">
        <f>'AT Sch 4.0'!G24</f>
        <v>8800000</v>
      </c>
      <c r="H23" s="14">
        <f>'AT Sch 4.0'!H24</f>
        <v>6599022.0976820001</v>
      </c>
      <c r="I23" s="14">
        <f>'AT Sch 4.0'!I24</f>
        <v>6852950.4081792897</v>
      </c>
    </row>
    <row r="24" spans="1:9">
      <c r="A24" s="8"/>
      <c r="B24" s="14"/>
      <c r="C24" s="14"/>
      <c r="D24" s="14"/>
      <c r="E24" s="14"/>
      <c r="F24" s="14"/>
      <c r="G24" s="14"/>
      <c r="H24" s="14"/>
      <c r="I24" s="14"/>
    </row>
    <row r="25" spans="1:9" s="777" customFormat="1">
      <c r="A25" s="12" t="s">
        <v>372</v>
      </c>
      <c r="B25" s="163">
        <f t="shared" ref="B25:F25" si="7">SUM(B17:B23)</f>
        <v>182315137.11640203</v>
      </c>
      <c r="C25" s="163">
        <f t="shared" si="7"/>
        <v>240711810.19731426</v>
      </c>
      <c r="D25" s="163">
        <f t="shared" si="7"/>
        <v>320192909.56311935</v>
      </c>
      <c r="E25" s="163">
        <f t="shared" si="7"/>
        <v>405913526.925937</v>
      </c>
      <c r="F25" s="163">
        <f t="shared" si="7"/>
        <v>481383087.79757476</v>
      </c>
      <c r="G25" s="163">
        <f t="shared" ref="G25:I25" si="8">SUM(G17:G23)</f>
        <v>600072471.77943552</v>
      </c>
      <c r="H25" s="163">
        <f t="shared" si="8"/>
        <v>703197051.71211565</v>
      </c>
      <c r="I25" s="163">
        <f t="shared" si="8"/>
        <v>730815573.27114475</v>
      </c>
    </row>
    <row r="26" spans="1:9">
      <c r="A26" s="8"/>
      <c r="B26" s="9"/>
      <c r="C26" s="9"/>
      <c r="D26" s="9"/>
      <c r="E26" s="9"/>
      <c r="F26" s="9"/>
      <c r="G26" s="9"/>
      <c r="H26" s="9"/>
      <c r="I26" s="9"/>
    </row>
    <row r="27" spans="1:9">
      <c r="A27" s="29" t="s">
        <v>371</v>
      </c>
      <c r="B27" s="83">
        <f t="shared" ref="B27:F27" si="9">B25/B13</f>
        <v>0.74634284346687807</v>
      </c>
      <c r="C27" s="83">
        <f t="shared" si="9"/>
        <v>0.76832317846538967</v>
      </c>
      <c r="D27" s="83">
        <f t="shared" si="9"/>
        <v>0.79600474720477166</v>
      </c>
      <c r="E27" s="83">
        <f t="shared" si="9"/>
        <v>0.83423561080173581</v>
      </c>
      <c r="F27" s="83">
        <f t="shared" si="9"/>
        <v>0.85408325989939426</v>
      </c>
      <c r="G27" s="83">
        <f t="shared" ref="G27:I27" si="10">G25/G13</f>
        <v>0.83220279970293443</v>
      </c>
      <c r="H27" s="83">
        <f t="shared" si="10"/>
        <v>0.83158283637425956</v>
      </c>
      <c r="I27" s="83">
        <f t="shared" si="10"/>
        <v>0.82631767967197833</v>
      </c>
    </row>
    <row r="28" spans="1:9">
      <c r="A28" s="9"/>
    </row>
    <row r="29" spans="1:9">
      <c r="A29" s="131" t="s">
        <v>493</v>
      </c>
      <c r="B29" s="132">
        <v>2010</v>
      </c>
      <c r="C29" s="132">
        <v>2011</v>
      </c>
      <c r="D29" s="132">
        <v>2012</v>
      </c>
      <c r="E29" s="132">
        <v>2013</v>
      </c>
      <c r="F29" s="132">
        <v>2014</v>
      </c>
      <c r="G29" s="132">
        <v>2015</v>
      </c>
      <c r="H29" s="132">
        <v>2016</v>
      </c>
      <c r="I29" s="132">
        <v>2017</v>
      </c>
    </row>
    <row r="30" spans="1:9">
      <c r="A30" s="8"/>
      <c r="B30" s="130"/>
      <c r="C30" s="130"/>
      <c r="D30" s="130"/>
      <c r="E30" s="130"/>
      <c r="F30" s="130"/>
      <c r="G30" s="130"/>
      <c r="H30" s="130"/>
      <c r="I30" s="130"/>
    </row>
    <row r="31" spans="1:9">
      <c r="A31" s="8" t="str">
        <f t="shared" ref="A31:F31" si="11">A5</f>
        <v>Fuel</v>
      </c>
      <c r="B31" s="14">
        <f t="shared" si="11"/>
        <v>6300000</v>
      </c>
      <c r="C31" s="14">
        <f t="shared" si="11"/>
        <v>6020000</v>
      </c>
      <c r="D31" s="14">
        <f t="shared" si="11"/>
        <v>5359000</v>
      </c>
      <c r="E31" s="14">
        <f t="shared" si="11"/>
        <v>6813718</v>
      </c>
      <c r="F31" s="14">
        <f t="shared" si="11"/>
        <v>8308553.6899999985</v>
      </c>
      <c r="G31" s="14">
        <f t="shared" ref="G31:I31" si="12">G5</f>
        <v>6400000</v>
      </c>
      <c r="H31" s="14">
        <f t="shared" si="12"/>
        <v>8199999.9999999991</v>
      </c>
      <c r="I31" s="14">
        <f t="shared" si="12"/>
        <v>8800000</v>
      </c>
    </row>
    <row r="32" spans="1:9">
      <c r="A32" s="8" t="s">
        <v>370</v>
      </c>
      <c r="B32" s="14">
        <f t="shared" ref="B32:F32" si="13">B6</f>
        <v>77736524.348097965</v>
      </c>
      <c r="C32" s="14">
        <f t="shared" si="13"/>
        <v>92609781.934785768</v>
      </c>
      <c r="D32" s="14">
        <f t="shared" si="13"/>
        <v>104992791.41138062</v>
      </c>
      <c r="E32" s="14">
        <f t="shared" si="13"/>
        <v>104573237.98926464</v>
      </c>
      <c r="F32" s="14">
        <f t="shared" si="13"/>
        <v>114837523.91773656</v>
      </c>
      <c r="G32" s="14">
        <f t="shared" ref="G32:I32" si="14">G6</f>
        <v>186768842.53937909</v>
      </c>
      <c r="H32" s="14">
        <f t="shared" si="14"/>
        <v>197911167.58099043</v>
      </c>
      <c r="I32" s="14">
        <f t="shared" si="14"/>
        <v>220502628.35010201</v>
      </c>
    </row>
    <row r="33" spans="1:9">
      <c r="A33" s="8" t="s">
        <v>369</v>
      </c>
      <c r="B33" s="14">
        <f t="shared" ref="B33:F33" si="15">B10</f>
        <v>-3570045.9545000005</v>
      </c>
      <c r="C33" s="14">
        <f t="shared" si="15"/>
        <v>-3930461.2867000001</v>
      </c>
      <c r="D33" s="14">
        <f t="shared" si="15"/>
        <v>-3868420.5876999996</v>
      </c>
      <c r="E33" s="14">
        <f t="shared" si="15"/>
        <v>-3353923.44</v>
      </c>
      <c r="F33" s="14">
        <f t="shared" si="15"/>
        <v>-6731517.0799999991</v>
      </c>
      <c r="G33" s="14">
        <f t="shared" ref="G33:I33" si="16">G10</f>
        <v>-31253932.743999995</v>
      </c>
      <c r="H33" s="14">
        <f t="shared" si="16"/>
        <v>-19349683.344000004</v>
      </c>
      <c r="I33" s="14">
        <f t="shared" si="16"/>
        <v>-18091385.604000002</v>
      </c>
    </row>
    <row r="34" spans="1:9">
      <c r="A34" s="8" t="s">
        <v>368</v>
      </c>
      <c r="B34" s="130"/>
      <c r="C34" s="130"/>
      <c r="D34" s="130"/>
      <c r="E34" s="130"/>
      <c r="F34" s="130"/>
      <c r="G34" s="130"/>
      <c r="H34" s="130"/>
      <c r="I34" s="130"/>
    </row>
    <row r="35" spans="1:9">
      <c r="A35" s="8" t="s">
        <v>367</v>
      </c>
      <c r="B35" s="14">
        <f t="shared" ref="B35:F35" si="17">-B21</f>
        <v>1261598.74</v>
      </c>
      <c r="C35" s="14">
        <f t="shared" si="17"/>
        <v>1094000</v>
      </c>
      <c r="D35" s="14">
        <f t="shared" si="17"/>
        <v>1136665.01</v>
      </c>
      <c r="E35" s="14">
        <f t="shared" si="17"/>
        <v>1149883.0900000001</v>
      </c>
      <c r="F35" s="14">
        <f t="shared" si="17"/>
        <v>1285339</v>
      </c>
      <c r="G35" s="14">
        <f t="shared" ref="G35:I35" si="18">-G21</f>
        <v>1285339</v>
      </c>
      <c r="H35" s="14">
        <f t="shared" si="18"/>
        <v>985339</v>
      </c>
      <c r="I35" s="14">
        <f t="shared" si="18"/>
        <v>985339</v>
      </c>
    </row>
    <row r="36" spans="1:9">
      <c r="A36" s="8" t="s">
        <v>492</v>
      </c>
      <c r="B36" s="14">
        <f t="shared" ref="B36:F36" si="19">-B22</f>
        <v>-17832214.25</v>
      </c>
      <c r="C36" s="14">
        <f t="shared" si="19"/>
        <v>-20612283.755399998</v>
      </c>
      <c r="D36" s="14">
        <f t="shared" si="19"/>
        <v>-21857278.326800004</v>
      </c>
      <c r="E36" s="14">
        <f t="shared" si="19"/>
        <v>-25200000</v>
      </c>
      <c r="F36" s="14">
        <f t="shared" si="19"/>
        <v>-30239489.380399998</v>
      </c>
      <c r="G36" s="14">
        <f t="shared" ref="G36:I36" si="20">-G22</f>
        <v>-33407528.300000001</v>
      </c>
      <c r="H36" s="14">
        <f t="shared" si="20"/>
        <v>-38732099.733420812</v>
      </c>
      <c r="I36" s="14">
        <f t="shared" si="20"/>
        <v>-51734737.785054848</v>
      </c>
    </row>
    <row r="37" spans="1:9">
      <c r="A37" s="8" t="s">
        <v>491</v>
      </c>
      <c r="B37" s="14">
        <f t="shared" ref="B37:F37" si="21">-B23</f>
        <v>-1933000</v>
      </c>
      <c r="C37" s="14">
        <f t="shared" si="21"/>
        <v>-2597847.0900000003</v>
      </c>
      <c r="D37" s="14">
        <f t="shared" si="21"/>
        <v>-3705667.07</v>
      </c>
      <c r="E37" s="14">
        <f t="shared" si="21"/>
        <v>-3327034.9899999998</v>
      </c>
      <c r="F37" s="14">
        <f t="shared" si="21"/>
        <v>-5218017.3866354767</v>
      </c>
      <c r="G37" s="14">
        <f t="shared" ref="G37:I37" si="22">-G23</f>
        <v>-8800000</v>
      </c>
      <c r="H37" s="14">
        <f t="shared" si="22"/>
        <v>-6599022.0976820001</v>
      </c>
      <c r="I37" s="14">
        <f t="shared" si="22"/>
        <v>-6852950.4081792897</v>
      </c>
    </row>
    <row r="38" spans="1:9">
      <c r="A38" s="8"/>
      <c r="B38" s="130"/>
      <c r="C38" s="130"/>
      <c r="D38" s="130"/>
      <c r="E38" s="130"/>
      <c r="F38" s="130"/>
      <c r="G38" s="130"/>
      <c r="H38" s="130"/>
      <c r="I38" s="130"/>
    </row>
    <row r="39" spans="1:9" s="777" customFormat="1">
      <c r="A39" s="12" t="s">
        <v>364</v>
      </c>
      <c r="B39" s="163">
        <f t="shared" ref="B39:F39" si="23">SUM(B31:B37)</f>
        <v>61962862.883597955</v>
      </c>
      <c r="C39" s="163">
        <f t="shared" si="23"/>
        <v>72583189.802685767</v>
      </c>
      <c r="D39" s="163">
        <f t="shared" si="23"/>
        <v>82057090.436880633</v>
      </c>
      <c r="E39" s="163">
        <f t="shared" si="23"/>
        <v>80655880.649264649</v>
      </c>
      <c r="F39" s="163">
        <f t="shared" si="23"/>
        <v>82242392.760701075</v>
      </c>
      <c r="G39" s="163">
        <f t="shared" ref="G39:I39" si="24">SUM(G31:G37)</f>
        <v>120992720.49537911</v>
      </c>
      <c r="H39" s="163">
        <f t="shared" si="24"/>
        <v>142415701.4058876</v>
      </c>
      <c r="I39" s="163">
        <f t="shared" si="24"/>
        <v>153608893.55286789</v>
      </c>
    </row>
    <row r="40" spans="1:9">
      <c r="A40" s="8"/>
      <c r="B40" s="14"/>
      <c r="C40" s="14"/>
      <c r="D40" s="14"/>
      <c r="E40" s="14"/>
      <c r="F40" s="14"/>
      <c r="G40" s="14"/>
      <c r="H40" s="14"/>
      <c r="I40" s="14"/>
    </row>
    <row r="41" spans="1:9">
      <c r="A41" s="29" t="s">
        <v>363</v>
      </c>
      <c r="B41" s="83">
        <f t="shared" ref="B41:F41" si="25">B39/B13</f>
        <v>0.25365715653312193</v>
      </c>
      <c r="C41" s="83">
        <f t="shared" si="25"/>
        <v>0.23167682153461042</v>
      </c>
      <c r="D41" s="83">
        <f t="shared" si="25"/>
        <v>0.20399525279522845</v>
      </c>
      <c r="E41" s="83">
        <f t="shared" si="25"/>
        <v>0.16576438919826439</v>
      </c>
      <c r="F41" s="83">
        <f t="shared" si="25"/>
        <v>0.14591674010060601</v>
      </c>
      <c r="G41" s="83">
        <f t="shared" ref="G41:I41" si="26">G39/G13</f>
        <v>0.16779720029706546</v>
      </c>
      <c r="H41" s="83">
        <f t="shared" si="26"/>
        <v>0.16841716362574044</v>
      </c>
      <c r="I41" s="83">
        <f t="shared" si="26"/>
        <v>0.17368232032802161</v>
      </c>
    </row>
    <row r="42" spans="1:9">
      <c r="A42" s="9"/>
    </row>
    <row r="43" spans="1:9">
      <c r="A43" s="9"/>
    </row>
    <row r="44" spans="1:9">
      <c r="A44" s="9"/>
    </row>
    <row r="45" spans="1:9">
      <c r="A45" s="9"/>
    </row>
    <row r="46" spans="1:9">
      <c r="A46" s="9"/>
    </row>
    <row r="47" spans="1:9">
      <c r="A47" s="9"/>
    </row>
    <row r="48" spans="1:9">
      <c r="A48" s="9"/>
    </row>
    <row r="49" spans="1:1">
      <c r="A49" s="9"/>
    </row>
    <row r="50" spans="1:1">
      <c r="A50" s="9"/>
    </row>
    <row r="51" spans="1:1">
      <c r="A51" s="9"/>
    </row>
    <row r="52" spans="1:1">
      <c r="A52" s="9"/>
    </row>
    <row r="53" spans="1:1">
      <c r="A53" s="9"/>
    </row>
    <row r="54" spans="1:1">
      <c r="A54" s="9"/>
    </row>
    <row r="55" spans="1:1">
      <c r="A55" s="9"/>
    </row>
    <row r="56" spans="1:1">
      <c r="A56" s="9"/>
    </row>
    <row r="57" spans="1:1">
      <c r="A57" s="9"/>
    </row>
    <row r="58" spans="1:1">
      <c r="A58" s="9"/>
    </row>
    <row r="59" spans="1:1">
      <c r="A59" s="9"/>
    </row>
    <row r="60" spans="1:1">
      <c r="A60" s="9"/>
    </row>
    <row r="61" spans="1:1">
      <c r="A61" s="9"/>
    </row>
    <row r="62" spans="1:1">
      <c r="A62" s="9"/>
    </row>
    <row r="63" spans="1:1">
      <c r="A63" s="9"/>
    </row>
    <row r="64" spans="1:1">
      <c r="A64" s="9"/>
    </row>
    <row r="65" spans="1:1">
      <c r="A65" s="9"/>
    </row>
    <row r="66" spans="1:1">
      <c r="A66" s="9"/>
    </row>
    <row r="67" spans="1:1">
      <c r="A67" s="9"/>
    </row>
    <row r="68" spans="1:1">
      <c r="A68" s="9"/>
    </row>
    <row r="69" spans="1:1">
      <c r="A69" s="9"/>
    </row>
    <row r="70" spans="1:1">
      <c r="A70" s="9"/>
    </row>
    <row r="71" spans="1:1">
      <c r="A71" s="9"/>
    </row>
    <row r="72" spans="1:1">
      <c r="A72" s="9"/>
    </row>
    <row r="73" spans="1:1">
      <c r="A73" s="9"/>
    </row>
    <row r="74" spans="1:1">
      <c r="A74" s="9"/>
    </row>
    <row r="75" spans="1:1">
      <c r="A75" s="9"/>
    </row>
    <row r="76" spans="1:1">
      <c r="A76" s="9"/>
    </row>
    <row r="77" spans="1:1">
      <c r="A77" s="9"/>
    </row>
    <row r="78" spans="1:1">
      <c r="A78" s="9"/>
    </row>
    <row r="79" spans="1:1">
      <c r="A79" s="9"/>
    </row>
    <row r="80" spans="1:1">
      <c r="A80" s="9"/>
    </row>
    <row r="81" spans="1:1">
      <c r="A81" s="9"/>
    </row>
    <row r="82" spans="1:1">
      <c r="A82" s="9"/>
    </row>
    <row r="83" spans="1:1">
      <c r="A83" s="9"/>
    </row>
    <row r="84" spans="1:1">
      <c r="A84" s="9"/>
    </row>
    <row r="85" spans="1:1">
      <c r="A85" s="9"/>
    </row>
    <row r="86" spans="1:1">
      <c r="A86" s="9"/>
    </row>
    <row r="87" spans="1:1">
      <c r="A87" s="9"/>
    </row>
    <row r="88" spans="1:1">
      <c r="A88" s="9"/>
    </row>
    <row r="89" spans="1:1">
      <c r="A89" s="9"/>
    </row>
    <row r="90" spans="1:1">
      <c r="A90" s="9"/>
    </row>
    <row r="91" spans="1:1">
      <c r="A91" s="9"/>
    </row>
    <row r="92" spans="1:1">
      <c r="A92" s="9"/>
    </row>
    <row r="93" spans="1:1">
      <c r="A93" s="9"/>
    </row>
    <row r="94" spans="1:1">
      <c r="A94" s="9"/>
    </row>
    <row r="95" spans="1:1">
      <c r="A95" s="9"/>
    </row>
    <row r="96" spans="1:1">
      <c r="A96" s="9"/>
    </row>
    <row r="97" spans="1:1">
      <c r="A97" s="9"/>
    </row>
    <row r="98" spans="1:1">
      <c r="A98" s="9"/>
    </row>
    <row r="99" spans="1:1">
      <c r="A99" s="9"/>
    </row>
    <row r="100" spans="1:1">
      <c r="A100" s="9"/>
    </row>
    <row r="101" spans="1:1">
      <c r="A101" s="9"/>
    </row>
    <row r="102" spans="1:1">
      <c r="A102" s="9"/>
    </row>
    <row r="103" spans="1:1">
      <c r="A103" s="9"/>
    </row>
    <row r="104" spans="1:1">
      <c r="A104" s="9"/>
    </row>
    <row r="105" spans="1:1">
      <c r="A105" s="9"/>
    </row>
    <row r="106" spans="1:1">
      <c r="A106" s="9"/>
    </row>
    <row r="107" spans="1:1">
      <c r="A107" s="9"/>
    </row>
    <row r="108" spans="1:1">
      <c r="A108" s="9"/>
    </row>
    <row r="109" spans="1:1">
      <c r="A109" s="9"/>
    </row>
    <row r="110" spans="1:1">
      <c r="A110" s="9"/>
    </row>
    <row r="111" spans="1:1">
      <c r="A111" s="9"/>
    </row>
    <row r="112" spans="1:1">
      <c r="A112" s="9"/>
    </row>
    <row r="113" spans="1:1">
      <c r="A113" s="9"/>
    </row>
    <row r="114" spans="1:1">
      <c r="A114" s="9"/>
    </row>
    <row r="115" spans="1:1">
      <c r="A115" s="9"/>
    </row>
    <row r="116" spans="1:1">
      <c r="A116" s="9"/>
    </row>
    <row r="117" spans="1:1">
      <c r="A117" s="9"/>
    </row>
    <row r="118" spans="1:1">
      <c r="A118" s="9"/>
    </row>
    <row r="119" spans="1:1">
      <c r="A119" s="9"/>
    </row>
    <row r="120" spans="1:1">
      <c r="A120" s="9"/>
    </row>
    <row r="121" spans="1:1">
      <c r="A121" s="9"/>
    </row>
    <row r="122" spans="1:1">
      <c r="A122" s="9"/>
    </row>
    <row r="123" spans="1:1">
      <c r="A123" s="9"/>
    </row>
    <row r="124" spans="1:1">
      <c r="A124" s="9"/>
    </row>
    <row r="125" spans="1:1">
      <c r="A125" s="9"/>
    </row>
    <row r="126" spans="1:1">
      <c r="A126" s="9"/>
    </row>
    <row r="127" spans="1:1">
      <c r="A127" s="9"/>
    </row>
    <row r="128" spans="1:1">
      <c r="A128" s="9"/>
    </row>
    <row r="129" spans="1:1">
      <c r="A129" s="9"/>
    </row>
    <row r="130" spans="1:1">
      <c r="A130" s="9"/>
    </row>
    <row r="131" spans="1:1">
      <c r="A131" s="9"/>
    </row>
    <row r="132" spans="1:1">
      <c r="A132" s="9"/>
    </row>
    <row r="133" spans="1:1">
      <c r="A133" s="9"/>
    </row>
    <row r="134" spans="1:1">
      <c r="A134" s="9"/>
    </row>
    <row r="135" spans="1:1">
      <c r="A135" s="9"/>
    </row>
    <row r="136" spans="1:1">
      <c r="A136" s="9"/>
    </row>
    <row r="137" spans="1:1">
      <c r="A137" s="9"/>
    </row>
    <row r="138" spans="1:1">
      <c r="A138" s="9"/>
    </row>
    <row r="139" spans="1:1">
      <c r="A139" s="9"/>
    </row>
    <row r="140" spans="1:1">
      <c r="A140" s="9"/>
    </row>
    <row r="141" spans="1:1">
      <c r="A141" s="9"/>
    </row>
    <row r="142" spans="1:1">
      <c r="A142" s="9"/>
    </row>
    <row r="143" spans="1:1">
      <c r="A143" s="9"/>
    </row>
    <row r="144" spans="1:1">
      <c r="A144" s="9"/>
    </row>
    <row r="145" spans="1:1">
      <c r="A145" s="9"/>
    </row>
    <row r="146" spans="1:1">
      <c r="A146" s="9"/>
    </row>
    <row r="147" spans="1:1">
      <c r="A147" s="9"/>
    </row>
    <row r="148" spans="1:1">
      <c r="A148" s="9"/>
    </row>
    <row r="149" spans="1:1">
      <c r="A149" s="9"/>
    </row>
    <row r="150" spans="1:1">
      <c r="A150" s="9"/>
    </row>
    <row r="151" spans="1:1">
      <c r="A151" s="9"/>
    </row>
    <row r="152" spans="1:1">
      <c r="A152" s="9"/>
    </row>
    <row r="153" spans="1:1">
      <c r="A153" s="9"/>
    </row>
    <row r="154" spans="1:1">
      <c r="A154" s="9"/>
    </row>
    <row r="155" spans="1:1">
      <c r="A155" s="9"/>
    </row>
    <row r="156" spans="1:1">
      <c r="A156" s="9"/>
    </row>
    <row r="157" spans="1:1">
      <c r="A157" s="9"/>
    </row>
    <row r="158" spans="1:1">
      <c r="A158" s="9"/>
    </row>
    <row r="159" spans="1:1">
      <c r="A159" s="9"/>
    </row>
    <row r="160" spans="1:1">
      <c r="A160" s="9"/>
    </row>
    <row r="161" spans="1:1">
      <c r="A161" s="9"/>
    </row>
    <row r="162" spans="1:1">
      <c r="A162" s="9"/>
    </row>
    <row r="163" spans="1:1">
      <c r="A163" s="9"/>
    </row>
    <row r="164" spans="1:1">
      <c r="A164" s="9"/>
    </row>
    <row r="165" spans="1:1">
      <c r="A165" s="9"/>
    </row>
    <row r="166" spans="1:1">
      <c r="A166" s="9"/>
    </row>
    <row r="167" spans="1:1">
      <c r="A167" s="9"/>
    </row>
    <row r="168" spans="1:1">
      <c r="A168" s="9"/>
    </row>
    <row r="169" spans="1:1">
      <c r="A169" s="9"/>
    </row>
    <row r="170" spans="1:1">
      <c r="A170" s="9"/>
    </row>
    <row r="171" spans="1:1">
      <c r="A171" s="9"/>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L33"/>
  <sheetViews>
    <sheetView showGridLines="0" workbookViewId="0">
      <selection activeCell="J26" sqref="A1:J26"/>
    </sheetView>
  </sheetViews>
  <sheetFormatPr defaultColWidth="12.5546875" defaultRowHeight="13.8"/>
  <cols>
    <col min="1" max="1" width="12.5546875" style="793"/>
    <col min="2" max="2" width="53.33203125" style="793" bestFit="1" customWidth="1"/>
    <col min="3" max="3" width="12.5546875" style="793"/>
    <col min="4" max="4" width="0" style="793" hidden="1" customWidth="1"/>
    <col min="5" max="5" width="12.5546875" style="793" bestFit="1" customWidth="1"/>
    <col min="6" max="6" width="30.6640625" style="793" bestFit="1" customWidth="1"/>
    <col min="7" max="7" width="16.6640625" style="793" bestFit="1" customWidth="1"/>
    <col min="8" max="8" width="15.88671875" style="793" bestFit="1" customWidth="1"/>
    <col min="9" max="9" width="30.6640625" style="793" bestFit="1" customWidth="1"/>
    <col min="10" max="10" width="19.33203125" style="793" customWidth="1"/>
    <col min="11" max="11" width="12.5546875" style="793"/>
    <col min="12" max="12" width="14.88671875" style="793" bestFit="1" customWidth="1"/>
    <col min="13" max="16384" width="12.5546875" style="793"/>
  </cols>
  <sheetData>
    <row r="1" spans="1:12">
      <c r="A1" s="792" t="s">
        <v>2130</v>
      </c>
    </row>
    <row r="3" spans="1:12">
      <c r="B3" s="794"/>
    </row>
    <row r="4" spans="1:12">
      <c r="B4" s="795" t="s">
        <v>2108</v>
      </c>
      <c r="C4" s="795"/>
      <c r="F4" s="796"/>
    </row>
    <row r="5" spans="1:12">
      <c r="B5" s="797" t="s">
        <v>2109</v>
      </c>
      <c r="C5" s="797">
        <v>50</v>
      </c>
    </row>
    <row r="6" spans="1:12">
      <c r="B6" s="797" t="s">
        <v>2110</v>
      </c>
      <c r="C6" s="797">
        <v>6</v>
      </c>
    </row>
    <row r="7" spans="1:12">
      <c r="B7" s="797" t="s">
        <v>2111</v>
      </c>
      <c r="C7" s="797">
        <v>68</v>
      </c>
      <c r="D7" s="793" t="s">
        <v>2112</v>
      </c>
    </row>
    <row r="8" spans="1:12">
      <c r="B8" s="797" t="s">
        <v>2113</v>
      </c>
      <c r="C8" s="797">
        <v>65</v>
      </c>
    </row>
    <row r="9" spans="1:12">
      <c r="B9" s="797" t="s">
        <v>2114</v>
      </c>
      <c r="C9" s="797">
        <v>3.4619999999999998E-2</v>
      </c>
    </row>
    <row r="10" spans="1:12">
      <c r="B10" s="797" t="s">
        <v>2115</v>
      </c>
      <c r="C10" s="797">
        <v>4.3150000000000001E-2</v>
      </c>
    </row>
    <row r="11" spans="1:12">
      <c r="B11" s="797" t="s">
        <v>2116</v>
      </c>
      <c r="C11" s="799">
        <v>1591058</v>
      </c>
    </row>
    <row r="12" spans="1:12">
      <c r="B12" s="797" t="s">
        <v>2117</v>
      </c>
      <c r="C12" s="799">
        <v>1460991</v>
      </c>
    </row>
    <row r="13" spans="1:12">
      <c r="B13" s="797" t="s">
        <v>2118</v>
      </c>
      <c r="C13" s="797">
        <v>40</v>
      </c>
    </row>
    <row r="14" spans="1:12">
      <c r="B14" s="797" t="s">
        <v>2119</v>
      </c>
      <c r="C14" s="797">
        <v>2094</v>
      </c>
    </row>
    <row r="15" spans="1:12">
      <c r="B15" s="797" t="s">
        <v>2120</v>
      </c>
      <c r="C15" s="797">
        <v>1814</v>
      </c>
    </row>
    <row r="16" spans="1:12">
      <c r="B16" s="797"/>
      <c r="C16" s="797"/>
      <c r="E16" s="797"/>
      <c r="F16" s="797"/>
      <c r="G16" s="797"/>
      <c r="H16" s="797"/>
      <c r="I16" s="797"/>
      <c r="J16" s="797"/>
      <c r="K16" s="797"/>
      <c r="L16" s="797"/>
    </row>
    <row r="17" spans="2:12">
      <c r="B17" s="797"/>
      <c r="C17" s="797"/>
      <c r="E17" s="797"/>
      <c r="F17" s="797"/>
      <c r="G17" s="797"/>
      <c r="H17" s="797"/>
      <c r="I17" s="797"/>
      <c r="J17" s="797"/>
      <c r="K17" s="797"/>
      <c r="L17" s="797"/>
    </row>
    <row r="18" spans="2:12">
      <c r="B18" s="797"/>
      <c r="C18" s="797"/>
      <c r="E18" s="797"/>
      <c r="F18" s="797"/>
      <c r="G18" s="797"/>
      <c r="H18" s="797"/>
      <c r="I18" s="797"/>
      <c r="J18" s="797"/>
      <c r="K18" s="797"/>
      <c r="L18" s="797"/>
    </row>
    <row r="19" spans="2:12">
      <c r="B19" s="797"/>
      <c r="C19" s="797"/>
      <c r="E19" s="797"/>
      <c r="F19" s="795" t="s">
        <v>6</v>
      </c>
      <c r="G19" s="795"/>
      <c r="H19" s="797"/>
      <c r="I19" s="795" t="s">
        <v>78</v>
      </c>
      <c r="J19" s="795"/>
      <c r="K19" s="797"/>
      <c r="L19" s="797"/>
    </row>
    <row r="20" spans="2:12">
      <c r="E20" s="797"/>
      <c r="F20" s="797" t="s">
        <v>2121</v>
      </c>
      <c r="G20" s="801">
        <f>3*(POWER(C15*C13/100,2)*C10*C5*8760)/1000000</f>
        <v>29851.813066176004</v>
      </c>
      <c r="H20" s="797"/>
      <c r="I20" s="797" t="s">
        <v>2121</v>
      </c>
      <c r="J20" s="802">
        <f>3*(POWER(C15*C13/100,2)*C9*C5*8760)/1000000</f>
        <v>23950.631943244796</v>
      </c>
      <c r="K20" s="797"/>
      <c r="L20" s="797"/>
    </row>
    <row r="21" spans="2:12" hidden="1">
      <c r="E21" s="797"/>
      <c r="F21" s="797"/>
      <c r="G21" s="801">
        <f>(POWER(C15*C13/100,2)*C10*8760)/1000000</f>
        <v>199.01208710783999</v>
      </c>
      <c r="H21" s="797"/>
      <c r="I21" s="797"/>
      <c r="J21" s="802">
        <f>(POWER(N15*N13/100,2)*N10*8760)/1000000</f>
        <v>0</v>
      </c>
      <c r="K21" s="797"/>
      <c r="L21" s="797"/>
    </row>
    <row r="22" spans="2:12">
      <c r="E22" s="797"/>
      <c r="F22" s="797" t="s">
        <v>2122</v>
      </c>
      <c r="G22" s="803">
        <f>(G20*C7*-1)</f>
        <v>-2029923.2884999684</v>
      </c>
      <c r="H22" s="797"/>
      <c r="I22" s="797" t="s">
        <v>2122</v>
      </c>
      <c r="J22" s="803">
        <f>(J20*C7*-1)</f>
        <v>-1628642.9721406461</v>
      </c>
      <c r="K22" s="797"/>
      <c r="L22" s="797"/>
    </row>
    <row r="23" spans="2:12">
      <c r="E23" s="797"/>
      <c r="F23" s="797" t="s">
        <v>2123</v>
      </c>
      <c r="G23" s="804">
        <f>PV(C6/100,C8,G22,0,0)</f>
        <v>33065669.565643862</v>
      </c>
      <c r="H23" s="797"/>
      <c r="I23" s="797" t="s">
        <v>2123</v>
      </c>
      <c r="J23" s="803">
        <f>PV(C6/100,C8,J22,0,0)</f>
        <v>26529165.245946471</v>
      </c>
      <c r="K23" s="797"/>
      <c r="L23" s="797"/>
    </row>
    <row r="24" spans="2:12">
      <c r="E24" s="797"/>
      <c r="F24" s="797"/>
      <c r="G24" s="805"/>
      <c r="H24" s="797"/>
      <c r="I24" s="797"/>
      <c r="J24" s="797"/>
      <c r="K24" s="797"/>
      <c r="L24" s="797"/>
    </row>
    <row r="25" spans="2:12">
      <c r="E25" s="797"/>
      <c r="F25" s="797" t="s">
        <v>2124</v>
      </c>
      <c r="G25" s="932">
        <f>C12*C5</f>
        <v>73049550</v>
      </c>
      <c r="H25" s="797"/>
      <c r="I25" s="797" t="s">
        <v>2124</v>
      </c>
      <c r="J25" s="799">
        <f>C11*C5</f>
        <v>79552900</v>
      </c>
      <c r="K25" s="797"/>
      <c r="L25" s="797"/>
    </row>
    <row r="26" spans="2:12">
      <c r="E26" s="797"/>
      <c r="F26" s="797" t="s">
        <v>2125</v>
      </c>
      <c r="G26" s="807">
        <f>G23+G25</f>
        <v>106115219.56564386</v>
      </c>
      <c r="H26" s="797"/>
      <c r="I26" s="797" t="s">
        <v>2125</v>
      </c>
      <c r="J26" s="808">
        <f>J23+J25</f>
        <v>106082065.24594647</v>
      </c>
      <c r="K26" s="797"/>
      <c r="L26" s="797"/>
    </row>
    <row r="27" spans="2:12">
      <c r="E27" s="797"/>
      <c r="F27" s="797"/>
      <c r="G27" s="797"/>
      <c r="H27" s="797"/>
      <c r="I27" s="797"/>
      <c r="J27" s="797"/>
      <c r="K27" s="797"/>
      <c r="L27" s="797"/>
    </row>
    <row r="28" spans="2:12">
      <c r="E28" s="797"/>
      <c r="F28" s="797"/>
      <c r="G28" s="797"/>
      <c r="H28" s="797"/>
      <c r="I28" s="797"/>
      <c r="J28" s="797"/>
      <c r="K28" s="797"/>
      <c r="L28" s="797"/>
    </row>
    <row r="29" spans="2:12">
      <c r="E29" s="797"/>
      <c r="F29" s="797"/>
      <c r="G29" s="797"/>
      <c r="H29" s="797"/>
      <c r="I29" s="797"/>
      <c r="J29" s="797"/>
      <c r="K29" s="797"/>
      <c r="L29" s="797"/>
    </row>
    <row r="30" spans="2:12">
      <c r="E30" s="797"/>
      <c r="F30" s="797"/>
      <c r="G30" s="797"/>
      <c r="H30" s="797"/>
      <c r="I30" s="797"/>
      <c r="J30" s="797"/>
      <c r="K30" s="797"/>
      <c r="L30" s="797"/>
    </row>
    <row r="31" spans="2:12">
      <c r="E31" s="797"/>
      <c r="F31" s="797"/>
      <c r="G31" s="797"/>
      <c r="H31" s="797"/>
      <c r="I31" s="797"/>
      <c r="J31" s="797"/>
      <c r="K31" s="797"/>
      <c r="L31" s="797"/>
    </row>
    <row r="32" spans="2:12">
      <c r="E32" s="797"/>
      <c r="F32" s="797"/>
      <c r="G32" s="797"/>
      <c r="H32" s="797"/>
      <c r="I32" s="797"/>
      <c r="J32" s="797"/>
      <c r="K32" s="797"/>
      <c r="L32" s="797"/>
    </row>
    <row r="33" spans="5:12">
      <c r="E33" s="797"/>
      <c r="F33" s="797"/>
      <c r="G33" s="797"/>
      <c r="H33" s="797"/>
      <c r="I33" s="797"/>
      <c r="J33" s="797"/>
      <c r="K33" s="797"/>
      <c r="L33" s="797"/>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2" tint="-0.499984740745262"/>
  </sheetPr>
  <dimension ref="A1:I33"/>
  <sheetViews>
    <sheetView showGridLines="0" zoomScale="80" zoomScaleNormal="80" workbookViewId="0">
      <selection activeCell="C7" sqref="C7"/>
    </sheetView>
  </sheetViews>
  <sheetFormatPr defaultColWidth="9.109375" defaultRowHeight="13.8"/>
  <cols>
    <col min="1" max="1" width="37.6640625" style="4" customWidth="1"/>
    <col min="2" max="5" width="8.88671875" style="4" bestFit="1" customWidth="1"/>
    <col min="6" max="6" width="9.44140625" style="4" bestFit="1" customWidth="1"/>
    <col min="7" max="9" width="11.33203125" style="4" bestFit="1" customWidth="1"/>
    <col min="10" max="16384" width="9.109375" style="4"/>
  </cols>
  <sheetData>
    <row r="1" spans="1:9">
      <c r="A1" s="22" t="s">
        <v>2152</v>
      </c>
    </row>
    <row r="2" spans="1:9">
      <c r="A2" s="8" t="s">
        <v>378</v>
      </c>
    </row>
    <row r="3" spans="1:9">
      <c r="A3" s="131" t="s">
        <v>28</v>
      </c>
      <c r="B3" s="132">
        <v>2010</v>
      </c>
      <c r="C3" s="132">
        <v>2011</v>
      </c>
      <c r="D3" s="132">
        <v>2012</v>
      </c>
      <c r="E3" s="132">
        <v>2013</v>
      </c>
      <c r="F3" s="132">
        <v>2014</v>
      </c>
      <c r="G3" s="132">
        <v>2015</v>
      </c>
      <c r="H3" s="132">
        <v>2016</v>
      </c>
      <c r="I3" s="132">
        <v>2017</v>
      </c>
    </row>
    <row r="4" spans="1:9">
      <c r="A4" s="38"/>
      <c r="B4" s="9"/>
      <c r="C4" s="9"/>
      <c r="D4" s="9"/>
      <c r="E4" s="9"/>
      <c r="F4" s="9"/>
      <c r="G4" s="9"/>
      <c r="H4" s="9"/>
      <c r="I4" s="9"/>
    </row>
    <row r="5" spans="1:9">
      <c r="A5" s="8"/>
      <c r="B5" s="9"/>
      <c r="C5" s="9"/>
      <c r="D5" s="9"/>
      <c r="E5" s="9"/>
      <c r="F5" s="9"/>
      <c r="G5" s="9"/>
      <c r="H5" s="9"/>
      <c r="I5" s="9"/>
    </row>
    <row r="6" spans="1:9">
      <c r="A6" s="69" t="s">
        <v>369</v>
      </c>
      <c r="B6" s="9"/>
      <c r="C6" s="9"/>
      <c r="D6" s="9"/>
      <c r="E6" s="9"/>
      <c r="F6" s="9"/>
      <c r="G6" s="9"/>
      <c r="H6" s="9"/>
      <c r="I6" s="9"/>
    </row>
    <row r="7" spans="1:9">
      <c r="A7" s="28" t="s">
        <v>506</v>
      </c>
      <c r="B7" s="709">
        <v>796000</v>
      </c>
      <c r="C7" s="709">
        <v>774000</v>
      </c>
      <c r="D7" s="709">
        <v>832820</v>
      </c>
      <c r="E7" s="709">
        <v>796044</v>
      </c>
      <c r="F7" s="709">
        <v>796044</v>
      </c>
      <c r="G7" s="709">
        <v>796044</v>
      </c>
      <c r="H7" s="709">
        <v>496044</v>
      </c>
      <c r="I7" s="709">
        <v>496044</v>
      </c>
    </row>
    <row r="8" spans="1:9">
      <c r="A8" s="28" t="s">
        <v>505</v>
      </c>
      <c r="B8" s="709"/>
      <c r="C8" s="709"/>
      <c r="D8" s="709"/>
      <c r="E8" s="709"/>
      <c r="F8" s="709"/>
      <c r="G8" s="709"/>
      <c r="H8" s="709"/>
      <c r="I8" s="709"/>
    </row>
    <row r="9" spans="1:9">
      <c r="A9" s="75" t="s">
        <v>504</v>
      </c>
      <c r="B9" s="709">
        <v>65203.277099999999</v>
      </c>
      <c r="C9" s="709">
        <v>68659.648499999996</v>
      </c>
      <c r="D9" s="709">
        <v>81185.125199999995</v>
      </c>
      <c r="E9" s="709">
        <v>86229.440000000002</v>
      </c>
      <c r="F9" s="709">
        <v>90164.160000000003</v>
      </c>
      <c r="G9" s="709">
        <v>126229.59999999999</v>
      </c>
      <c r="H9" s="709">
        <v>128296</v>
      </c>
      <c r="I9" s="709">
        <v>128296</v>
      </c>
    </row>
    <row r="10" spans="1:9">
      <c r="A10" s="75" t="s">
        <v>1179</v>
      </c>
      <c r="B10" s="709">
        <v>290495.50380000001</v>
      </c>
      <c r="C10" s="709">
        <v>313036.7868</v>
      </c>
      <c r="D10" s="709">
        <v>342276.16999999993</v>
      </c>
      <c r="E10" s="709">
        <v>254700.62</v>
      </c>
      <c r="F10" s="709">
        <v>326960.28000000003</v>
      </c>
      <c r="G10" s="709">
        <v>9657000</v>
      </c>
      <c r="H10" s="709">
        <v>357000</v>
      </c>
      <c r="I10" s="709">
        <v>357000</v>
      </c>
    </row>
    <row r="11" spans="1:9">
      <c r="A11" s="75" t="s">
        <v>503</v>
      </c>
      <c r="B11" s="709">
        <v>230516.29979999998</v>
      </c>
      <c r="C11" s="709">
        <v>198924.34399999998</v>
      </c>
      <c r="D11" s="709">
        <v>114977.47999999992</v>
      </c>
      <c r="E11" s="709">
        <v>309364.98000000004</v>
      </c>
      <c r="F11" s="709">
        <v>354615.83999999997</v>
      </c>
      <c r="G11" s="709">
        <v>10524999.999999998</v>
      </c>
      <c r="H11" s="709">
        <v>2899000</v>
      </c>
      <c r="I11" s="709">
        <v>398999.99999999994</v>
      </c>
    </row>
    <row r="12" spans="1:9">
      <c r="A12" s="75" t="s">
        <v>1180</v>
      </c>
      <c r="B12" s="709">
        <v>34900.785799999998</v>
      </c>
      <c r="C12" s="709">
        <v>32895.96</v>
      </c>
      <c r="D12" s="709">
        <v>73438.38</v>
      </c>
      <c r="E12" s="709">
        <v>277010</v>
      </c>
      <c r="F12" s="709">
        <v>0</v>
      </c>
      <c r="G12" s="709">
        <v>0</v>
      </c>
      <c r="H12" s="709">
        <v>0</v>
      </c>
      <c r="I12" s="709">
        <v>0</v>
      </c>
    </row>
    <row r="13" spans="1:9">
      <c r="A13" s="75" t="s">
        <v>502</v>
      </c>
      <c r="B13" s="709">
        <v>104492.736</v>
      </c>
      <c r="C13" s="709">
        <v>53878.53</v>
      </c>
      <c r="D13" s="709">
        <v>4200</v>
      </c>
      <c r="E13" s="709">
        <v>4200</v>
      </c>
      <c r="F13" s="709">
        <v>4200</v>
      </c>
      <c r="G13" s="709">
        <v>5879.9999999999991</v>
      </c>
      <c r="H13" s="709">
        <v>5879.9999999999991</v>
      </c>
      <c r="I13" s="709">
        <v>5879.9999999999991</v>
      </c>
    </row>
    <row r="14" spans="1:9">
      <c r="A14" s="75" t="s">
        <v>501</v>
      </c>
      <c r="B14" s="709">
        <v>560742.28</v>
      </c>
      <c r="C14" s="709">
        <v>779532</v>
      </c>
      <c r="D14" s="709">
        <v>909680</v>
      </c>
      <c r="E14" s="709">
        <v>800000</v>
      </c>
      <c r="F14" s="709">
        <v>4093258.7599999984</v>
      </c>
      <c r="G14" s="709">
        <v>4030379.9439999997</v>
      </c>
      <c r="H14" s="709">
        <v>4130064.1440000003</v>
      </c>
      <c r="I14" s="709">
        <v>4201766.4040000001</v>
      </c>
    </row>
    <row r="15" spans="1:9">
      <c r="A15" s="75" t="s">
        <v>500</v>
      </c>
      <c r="B15" s="709">
        <v>352686.11060000001</v>
      </c>
      <c r="C15" s="709">
        <v>343895.52949999995</v>
      </c>
      <c r="D15" s="709">
        <v>206204.34590000007</v>
      </c>
      <c r="E15" s="709">
        <v>7128.83</v>
      </c>
      <c r="F15" s="709">
        <v>41225.009999999995</v>
      </c>
      <c r="G15" s="709">
        <v>13999.999999999998</v>
      </c>
      <c r="H15" s="709">
        <v>13999.999999999998</v>
      </c>
      <c r="I15" s="709">
        <v>13999.999999999998</v>
      </c>
    </row>
    <row r="16" spans="1:9">
      <c r="A16" s="75" t="s">
        <v>499</v>
      </c>
      <c r="B16" s="709">
        <v>156850.79429999998</v>
      </c>
      <c r="C16" s="709">
        <v>285753.26120000001</v>
      </c>
      <c r="D16" s="709">
        <v>223113.82520000002</v>
      </c>
      <c r="E16" s="709">
        <v>49103.360000000008</v>
      </c>
      <c r="F16" s="709">
        <v>27998.43</v>
      </c>
      <c r="G16" s="709">
        <v>70000</v>
      </c>
      <c r="H16" s="709">
        <v>70000</v>
      </c>
      <c r="I16" s="709">
        <v>70000</v>
      </c>
    </row>
    <row r="17" spans="1:9">
      <c r="A17" s="955" t="s">
        <v>1181</v>
      </c>
      <c r="B17" s="709">
        <v>17415.78</v>
      </c>
      <c r="C17" s="709">
        <v>20888.22</v>
      </c>
      <c r="D17" s="709">
        <v>371303.59520000016</v>
      </c>
      <c r="E17" s="709">
        <v>114753.5</v>
      </c>
      <c r="F17" s="709">
        <v>59585.599999999999</v>
      </c>
      <c r="G17" s="709">
        <v>170104.19999999998</v>
      </c>
      <c r="H17" s="709">
        <v>170104.19999999998</v>
      </c>
      <c r="I17" s="709">
        <v>170104.19999999998</v>
      </c>
    </row>
    <row r="18" spans="1:9">
      <c r="A18" s="955" t="s">
        <v>102</v>
      </c>
      <c r="B18" s="632">
        <v>1015.1777999999999</v>
      </c>
      <c r="C18" s="632">
        <v>0</v>
      </c>
      <c r="D18" s="709">
        <v>75887.786200000002</v>
      </c>
      <c r="E18" s="709">
        <v>0</v>
      </c>
      <c r="F18" s="709">
        <v>-277010</v>
      </c>
      <c r="G18" s="709">
        <v>0</v>
      </c>
      <c r="H18" s="709">
        <v>0</v>
      </c>
      <c r="I18" s="709">
        <v>0</v>
      </c>
    </row>
    <row r="19" spans="1:9">
      <c r="A19" s="75" t="s">
        <v>1182</v>
      </c>
      <c r="B19" s="709">
        <v>151946.26930000004</v>
      </c>
      <c r="C19" s="709">
        <v>198997.00670000006</v>
      </c>
      <c r="D19" s="709">
        <v>0</v>
      </c>
      <c r="E19" s="709">
        <v>0</v>
      </c>
      <c r="F19" s="709">
        <v>0</v>
      </c>
      <c r="G19" s="709">
        <v>5120000</v>
      </c>
      <c r="H19" s="709">
        <v>10340000</v>
      </c>
      <c r="I19" s="709">
        <v>11510000</v>
      </c>
    </row>
    <row r="20" spans="1:9">
      <c r="A20" s="133" t="s">
        <v>102</v>
      </c>
      <c r="B20" s="709"/>
      <c r="C20" s="709"/>
      <c r="D20" s="709"/>
      <c r="E20" s="632"/>
      <c r="F20" s="632"/>
      <c r="G20" s="632"/>
      <c r="H20" s="632"/>
      <c r="I20" s="632"/>
    </row>
    <row r="21" spans="1:9">
      <c r="A21" s="75" t="s">
        <v>498</v>
      </c>
      <c r="B21" s="709">
        <v>342182.2</v>
      </c>
      <c r="C21" s="709">
        <v>540000</v>
      </c>
      <c r="D21" s="709">
        <v>329488.87000000005</v>
      </c>
      <c r="E21" s="709">
        <v>301549.62</v>
      </c>
      <c r="F21" s="709">
        <v>725180</v>
      </c>
      <c r="G21" s="709">
        <v>250000</v>
      </c>
      <c r="H21" s="709">
        <v>250000</v>
      </c>
      <c r="I21" s="709">
        <v>250000</v>
      </c>
    </row>
    <row r="22" spans="1:9">
      <c r="A22" s="75" t="s">
        <v>497</v>
      </c>
      <c r="B22" s="709">
        <v>465598.74</v>
      </c>
      <c r="C22" s="709">
        <v>320000</v>
      </c>
      <c r="D22" s="709">
        <v>303845.01</v>
      </c>
      <c r="E22" s="709">
        <v>353839.09</v>
      </c>
      <c r="F22" s="709">
        <v>489295</v>
      </c>
      <c r="G22" s="709">
        <v>489295</v>
      </c>
      <c r="H22" s="709">
        <v>489295</v>
      </c>
      <c r="I22" s="709">
        <v>489295</v>
      </c>
    </row>
    <row r="23" spans="1:9">
      <c r="A23" s="8"/>
      <c r="B23" s="709"/>
      <c r="C23" s="709"/>
      <c r="D23" s="709"/>
      <c r="E23" s="709"/>
      <c r="F23" s="709"/>
      <c r="G23" s="709"/>
      <c r="H23" s="709"/>
      <c r="I23" s="709"/>
    </row>
    <row r="24" spans="1:9" s="777" customFormat="1">
      <c r="A24" s="29" t="s">
        <v>496</v>
      </c>
      <c r="B24" s="160">
        <f t="shared" ref="B24:C24" si="0">SUM(B6:B23)</f>
        <v>3570045.9545</v>
      </c>
      <c r="C24" s="160">
        <f t="shared" si="0"/>
        <v>3930461.2867000005</v>
      </c>
      <c r="D24" s="160">
        <f>SUM(D6:D23)</f>
        <v>3868420.5877</v>
      </c>
      <c r="E24" s="160">
        <f t="shared" ref="E24" si="1">SUM(E6:E23)</f>
        <v>3353923.44</v>
      </c>
      <c r="F24" s="160">
        <f>SUM(F6:F23)</f>
        <v>6731517.0799999973</v>
      </c>
      <c r="G24" s="160">
        <f t="shared" ref="G24:I24" si="2">SUM(G6:G23)</f>
        <v>31253932.743999995</v>
      </c>
      <c r="H24" s="160">
        <f t="shared" si="2"/>
        <v>19349683.344000001</v>
      </c>
      <c r="I24" s="160">
        <f t="shared" si="2"/>
        <v>18091385.604000002</v>
      </c>
    </row>
    <row r="25" spans="1:9">
      <c r="A25" s="9"/>
    </row>
    <row r="26" spans="1:9">
      <c r="A26" s="22" t="s">
        <v>495</v>
      </c>
      <c r="B26" s="2"/>
      <c r="C26" s="2"/>
      <c r="D26" s="2"/>
      <c r="E26" s="2"/>
      <c r="F26" s="2"/>
      <c r="G26" s="2"/>
      <c r="H26" s="2"/>
      <c r="I26" s="2"/>
    </row>
    <row r="27" spans="1:9">
      <c r="A27" s="8" t="str">
        <f t="shared" ref="A27:I27" si="3">A7</f>
        <v>Facility Charges</v>
      </c>
      <c r="B27" s="14">
        <f t="shared" si="3"/>
        <v>796000</v>
      </c>
      <c r="C27" s="14">
        <f t="shared" si="3"/>
        <v>774000</v>
      </c>
      <c r="D27" s="14">
        <f t="shared" si="3"/>
        <v>832820</v>
      </c>
      <c r="E27" s="14">
        <f t="shared" si="3"/>
        <v>796044</v>
      </c>
      <c r="F27" s="14">
        <f t="shared" si="3"/>
        <v>796044</v>
      </c>
      <c r="G27" s="14">
        <f t="shared" si="3"/>
        <v>796044</v>
      </c>
      <c r="H27" s="14">
        <f t="shared" si="3"/>
        <v>496044</v>
      </c>
      <c r="I27" s="14">
        <f t="shared" si="3"/>
        <v>496044</v>
      </c>
    </row>
    <row r="28" spans="1:9">
      <c r="A28" s="8" t="str">
        <f t="shared" ref="A28:I28" si="4">A22</f>
        <v>Other Revenue</v>
      </c>
      <c r="B28" s="14">
        <f t="shared" si="4"/>
        <v>465598.74</v>
      </c>
      <c r="C28" s="14">
        <f t="shared" si="4"/>
        <v>320000</v>
      </c>
      <c r="D28" s="14">
        <f t="shared" si="4"/>
        <v>303845.01</v>
      </c>
      <c r="E28" s="14">
        <f t="shared" si="4"/>
        <v>353839.09</v>
      </c>
      <c r="F28" s="14">
        <f t="shared" si="4"/>
        <v>489295</v>
      </c>
      <c r="G28" s="14">
        <f t="shared" si="4"/>
        <v>489295</v>
      </c>
      <c r="H28" s="14">
        <f t="shared" si="4"/>
        <v>489295</v>
      </c>
      <c r="I28" s="14">
        <f t="shared" si="4"/>
        <v>489295</v>
      </c>
    </row>
    <row r="29" spans="1:9" s="777" customFormat="1">
      <c r="A29" s="29" t="s">
        <v>495</v>
      </c>
      <c r="B29" s="160">
        <f t="shared" ref="B29:C29" si="5">SUM(B27:B28)</f>
        <v>1261598.74</v>
      </c>
      <c r="C29" s="160">
        <f t="shared" si="5"/>
        <v>1094000</v>
      </c>
      <c r="D29" s="160">
        <f t="shared" ref="D29:I29" si="6">SUM(D27:D28)</f>
        <v>1136665.01</v>
      </c>
      <c r="E29" s="160">
        <f t="shared" si="6"/>
        <v>1149883.0900000001</v>
      </c>
      <c r="F29" s="160">
        <f t="shared" si="6"/>
        <v>1285339</v>
      </c>
      <c r="G29" s="160">
        <f t="shared" si="6"/>
        <v>1285339</v>
      </c>
      <c r="H29" s="160">
        <f t="shared" si="6"/>
        <v>985339</v>
      </c>
      <c r="I29" s="160">
        <f t="shared" si="6"/>
        <v>985339</v>
      </c>
    </row>
    <row r="30" spans="1:9">
      <c r="A30" s="9"/>
    </row>
    <row r="33" spans="2:6">
      <c r="B33" s="134"/>
      <c r="C33" s="134"/>
      <c r="D33" s="134"/>
      <c r="E33" s="134"/>
      <c r="F33" s="134"/>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ignoredErrors>
    <ignoredError sqref="B24:C24" emptyCellReference="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2" tint="-0.499984740745262"/>
  </sheetPr>
  <dimension ref="A1:I30"/>
  <sheetViews>
    <sheetView showGridLines="0" zoomScale="80" zoomScaleNormal="80" workbookViewId="0">
      <selection activeCell="D11" sqref="D11"/>
    </sheetView>
  </sheetViews>
  <sheetFormatPr defaultColWidth="9.109375" defaultRowHeight="13.8"/>
  <cols>
    <col min="1" max="1" width="48.44140625" style="4" customWidth="1"/>
    <col min="2" max="6" width="11" style="4" bestFit="1" customWidth="1"/>
    <col min="7" max="9" width="12.33203125" style="4" bestFit="1" customWidth="1"/>
    <col min="10" max="16384" width="9.109375" style="4"/>
  </cols>
  <sheetData>
    <row r="1" spans="1:9">
      <c r="A1" s="22" t="s">
        <v>2152</v>
      </c>
    </row>
    <row r="2" spans="1:9">
      <c r="A2" s="8" t="s">
        <v>378</v>
      </c>
    </row>
    <row r="3" spans="1:9">
      <c r="A3" s="5" t="s">
        <v>28</v>
      </c>
      <c r="B3" s="6">
        <v>2010</v>
      </c>
      <c r="C3" s="6">
        <v>2011</v>
      </c>
      <c r="D3" s="6">
        <v>2012</v>
      </c>
      <c r="E3" s="6">
        <v>2013</v>
      </c>
      <c r="F3" s="6">
        <v>2014</v>
      </c>
      <c r="G3" s="6">
        <v>2015</v>
      </c>
      <c r="H3" s="6">
        <v>2016</v>
      </c>
      <c r="I3" s="6">
        <v>2017</v>
      </c>
    </row>
    <row r="4" spans="1:9">
      <c r="A4" s="38"/>
      <c r="B4" s="9"/>
      <c r="C4" s="9"/>
      <c r="D4" s="9"/>
      <c r="E4" s="9"/>
      <c r="F4" s="9"/>
      <c r="G4" s="9"/>
      <c r="H4" s="9"/>
      <c r="I4" s="9"/>
    </row>
    <row r="5" spans="1:9">
      <c r="A5" s="8"/>
      <c r="B5" s="9"/>
      <c r="C5" s="9"/>
      <c r="D5" s="9"/>
      <c r="E5" s="9"/>
      <c r="F5" s="9"/>
      <c r="G5" s="9"/>
      <c r="H5" s="9"/>
      <c r="I5" s="9"/>
    </row>
    <row r="6" spans="1:9">
      <c r="A6" s="69" t="s">
        <v>370</v>
      </c>
      <c r="B6" s="9"/>
      <c r="C6" s="9"/>
      <c r="D6" s="9"/>
      <c r="E6" s="9"/>
      <c r="F6" s="9"/>
      <c r="G6" s="9"/>
      <c r="H6" s="9"/>
      <c r="I6" s="9"/>
    </row>
    <row r="7" spans="1:9">
      <c r="A7" s="28" t="s">
        <v>517</v>
      </c>
      <c r="B7" s="130">
        <f>'AT Sch 1.0'!B6-'AT Sch 3.0'!B14</f>
        <v>59432647.565297961</v>
      </c>
      <c r="C7" s="130">
        <f>'AT Sch 1.0'!C6-'AT Sch 3.0'!C14</f>
        <v>71535699.715585768</v>
      </c>
      <c r="D7" s="130">
        <f>'AT Sch 1.0'!D6-'AT Sch 3.0'!D14</f>
        <v>82432844.047680616</v>
      </c>
      <c r="E7" s="130">
        <f>'AT Sch 1.0'!E6-'AT Sch 3.0'!E14</f>
        <v>78173237.989264637</v>
      </c>
      <c r="F7" s="130">
        <f>'AT Sch 1.0'!F6-'AT Sch 3.0'!F14</f>
        <v>83344023.580436558</v>
      </c>
      <c r="G7" s="130">
        <f>'AT Sch 1.0'!G6-'AT Sch 3.0'!G14</f>
        <v>153079542.16937909</v>
      </c>
      <c r="H7" s="130">
        <f>'AT Sch 1.0'!H6-'AT Sch 3.0'!H14</f>
        <v>158886270.85092157</v>
      </c>
      <c r="I7" s="130">
        <f>'AT Sch 1.0'!I6-'AT Sch 3.0'!I14</f>
        <v>168463640.66569847</v>
      </c>
    </row>
    <row r="8" spans="1:9">
      <c r="A8" s="28" t="s">
        <v>516</v>
      </c>
      <c r="B8" s="709"/>
      <c r="C8" s="709"/>
      <c r="D8" s="709"/>
      <c r="E8" s="709"/>
      <c r="F8" s="709"/>
      <c r="G8" s="709"/>
      <c r="H8" s="709"/>
      <c r="I8" s="709"/>
    </row>
    <row r="9" spans="1:9">
      <c r="A9" s="75" t="s">
        <v>511</v>
      </c>
      <c r="B9" s="709">
        <v>9787312.8299999982</v>
      </c>
      <c r="C9" s="709">
        <v>11314204.99</v>
      </c>
      <c r="D9" s="709">
        <v>11789706.568158841</v>
      </c>
      <c r="E9" s="709">
        <v>12900000</v>
      </c>
      <c r="F9" s="709">
        <v>14560694.390000001</v>
      </c>
      <c r="G9" s="709">
        <v>15043906.000000004</v>
      </c>
      <c r="H9" s="709">
        <v>16172778.462961009</v>
      </c>
      <c r="I9" s="709">
        <v>21859717.580596462</v>
      </c>
    </row>
    <row r="10" spans="1:9">
      <c r="A10" s="75" t="s">
        <v>510</v>
      </c>
      <c r="B10" s="709">
        <v>6927031.7999999998</v>
      </c>
      <c r="C10" s="709">
        <v>8130956.7800000003</v>
      </c>
      <c r="D10" s="709">
        <v>8861146.431841163</v>
      </c>
      <c r="E10" s="709">
        <v>11000000</v>
      </c>
      <c r="F10" s="709">
        <v>14188378.239999998</v>
      </c>
      <c r="G10" s="709">
        <v>16087368.249999998</v>
      </c>
      <c r="H10" s="709">
        <v>19733483.017397471</v>
      </c>
      <c r="I10" s="709">
        <v>27269430.021823756</v>
      </c>
    </row>
    <row r="11" spans="1:9">
      <c r="A11" s="75" t="s">
        <v>509</v>
      </c>
      <c r="B11" s="709">
        <v>539981.37</v>
      </c>
      <c r="C11" s="709">
        <v>561167.55540000007</v>
      </c>
      <c r="D11" s="709">
        <v>602277.19680000003</v>
      </c>
      <c r="E11" s="709">
        <v>600000</v>
      </c>
      <c r="F11" s="709">
        <v>822759.3504</v>
      </c>
      <c r="G11" s="709">
        <v>1609682.0199999996</v>
      </c>
      <c r="H11" s="709">
        <v>2111305.4294137047</v>
      </c>
      <c r="I11" s="709">
        <v>1859366.3586532236</v>
      </c>
    </row>
    <row r="12" spans="1:9">
      <c r="A12" s="75" t="s">
        <v>515</v>
      </c>
      <c r="B12" s="709">
        <v>471662.53280000004</v>
      </c>
      <c r="C12" s="709">
        <v>461798.46379999997</v>
      </c>
      <c r="D12" s="709">
        <v>702669.03690000006</v>
      </c>
      <c r="E12" s="709">
        <v>1200000</v>
      </c>
      <c r="F12" s="709">
        <v>1254010.9569000001</v>
      </c>
      <c r="G12" s="709">
        <v>281772.07</v>
      </c>
      <c r="H12" s="709">
        <v>292796.99664803955</v>
      </c>
      <c r="I12" s="709">
        <v>304249.8993486737</v>
      </c>
    </row>
    <row r="13" spans="1:9">
      <c r="A13" s="75" t="s">
        <v>508</v>
      </c>
      <c r="B13" s="709">
        <v>577888.25000000012</v>
      </c>
      <c r="C13" s="709">
        <v>605954.43000000017</v>
      </c>
      <c r="D13" s="709">
        <v>604148.13</v>
      </c>
      <c r="E13" s="709">
        <v>700000</v>
      </c>
      <c r="F13" s="709">
        <v>667657.4</v>
      </c>
      <c r="G13" s="709">
        <v>666572.03</v>
      </c>
      <c r="H13" s="709">
        <v>714532.82364862727</v>
      </c>
      <c r="I13" s="709">
        <v>746223.82398140547</v>
      </c>
    </row>
    <row r="14" spans="1:9" s="777" customFormat="1">
      <c r="A14" s="69" t="s">
        <v>514</v>
      </c>
      <c r="B14" s="610">
        <f t="shared" ref="B14:C14" si="0">SUM(B9:B13)</f>
        <v>18303876.7828</v>
      </c>
      <c r="C14" s="610">
        <f t="shared" si="0"/>
        <v>21074082.219199996</v>
      </c>
      <c r="D14" s="610">
        <f>SUM(D9:D13)</f>
        <v>22559947.363700002</v>
      </c>
      <c r="E14" s="642">
        <f t="shared" ref="E14:F14" si="1">SUM(E9:E13)</f>
        <v>26400000</v>
      </c>
      <c r="F14" s="642">
        <f t="shared" si="1"/>
        <v>31493500.337299999</v>
      </c>
      <c r="G14" s="642">
        <f t="shared" ref="G14:I14" si="2">SUM(G9:G13)</f>
        <v>33689300.369999997</v>
      </c>
      <c r="H14" s="642">
        <f t="shared" si="2"/>
        <v>39024896.730068848</v>
      </c>
      <c r="I14" s="642">
        <f t="shared" si="2"/>
        <v>52038987.684403524</v>
      </c>
    </row>
    <row r="15" spans="1:9">
      <c r="A15" s="8"/>
      <c r="B15" s="709"/>
      <c r="C15" s="709"/>
      <c r="D15" s="709"/>
      <c r="E15" s="709"/>
      <c r="F15" s="709"/>
      <c r="G15" s="709"/>
      <c r="H15" s="709"/>
      <c r="I15" s="709"/>
    </row>
    <row r="16" spans="1:9" s="777" customFormat="1">
      <c r="A16" s="29" t="s">
        <v>370</v>
      </c>
      <c r="B16" s="616">
        <f t="shared" ref="B16:C16" si="3">SUM(B7:B13)</f>
        <v>77736524.348097965</v>
      </c>
      <c r="C16" s="616">
        <f t="shared" si="3"/>
        <v>92609781.934785768</v>
      </c>
      <c r="D16" s="616">
        <f>SUM(D7:D13)</f>
        <v>104992791.4113806</v>
      </c>
      <c r="E16" s="616">
        <f t="shared" ref="E16:I16" si="4">SUM(E7:E13)</f>
        <v>104573237.98926464</v>
      </c>
      <c r="F16" s="616">
        <f t="shared" si="4"/>
        <v>114837523.91773656</v>
      </c>
      <c r="G16" s="616">
        <f t="shared" si="4"/>
        <v>186768842.53937909</v>
      </c>
      <c r="H16" s="616">
        <f t="shared" si="4"/>
        <v>197911167.58099043</v>
      </c>
      <c r="I16" s="616">
        <f t="shared" si="4"/>
        <v>220502628.35010198</v>
      </c>
    </row>
    <row r="17" spans="1:9">
      <c r="A17" s="9"/>
    </row>
    <row r="18" spans="1:9">
      <c r="A18" s="22" t="s">
        <v>513</v>
      </c>
      <c r="B18" s="2"/>
      <c r="C18" s="2"/>
      <c r="D18" s="2"/>
      <c r="E18" s="2"/>
      <c r="F18" s="2"/>
      <c r="G18" s="2"/>
      <c r="H18" s="2"/>
      <c r="I18" s="2"/>
    </row>
    <row r="19" spans="1:9">
      <c r="A19" s="8" t="s">
        <v>512</v>
      </c>
      <c r="B19" s="9"/>
      <c r="C19" s="9"/>
      <c r="D19" s="9"/>
      <c r="E19" s="9"/>
      <c r="F19" s="9"/>
      <c r="G19" s="9"/>
      <c r="H19" s="9"/>
      <c r="I19" s="9"/>
    </row>
    <row r="20" spans="1:9">
      <c r="A20" s="75" t="s">
        <v>511</v>
      </c>
      <c r="B20" s="14">
        <f t="shared" ref="B20:I22" si="5">B9</f>
        <v>9787312.8299999982</v>
      </c>
      <c r="C20" s="14">
        <f t="shared" si="5"/>
        <v>11314204.99</v>
      </c>
      <c r="D20" s="14">
        <f t="shared" si="5"/>
        <v>11789706.568158841</v>
      </c>
      <c r="E20" s="14">
        <f t="shared" si="5"/>
        <v>12900000</v>
      </c>
      <c r="F20" s="14">
        <f t="shared" si="5"/>
        <v>14560694.390000001</v>
      </c>
      <c r="G20" s="14">
        <f t="shared" si="5"/>
        <v>15043906.000000004</v>
      </c>
      <c r="H20" s="14">
        <f t="shared" si="5"/>
        <v>16172778.462961009</v>
      </c>
      <c r="I20" s="14">
        <f t="shared" si="5"/>
        <v>21859717.580596462</v>
      </c>
    </row>
    <row r="21" spans="1:9">
      <c r="A21" s="75" t="s">
        <v>510</v>
      </c>
      <c r="B21" s="14">
        <f t="shared" ref="B21:C21" si="6">B10</f>
        <v>6927031.7999999998</v>
      </c>
      <c r="C21" s="14">
        <f t="shared" si="6"/>
        <v>8130956.7800000003</v>
      </c>
      <c r="D21" s="14">
        <f t="shared" si="5"/>
        <v>8861146.431841163</v>
      </c>
      <c r="E21" s="14">
        <f t="shared" si="5"/>
        <v>11000000</v>
      </c>
      <c r="F21" s="14">
        <f t="shared" si="5"/>
        <v>14188378.239999998</v>
      </c>
      <c r="G21" s="14">
        <f t="shared" si="5"/>
        <v>16087368.249999998</v>
      </c>
      <c r="H21" s="14">
        <f t="shared" si="5"/>
        <v>19733483.017397471</v>
      </c>
      <c r="I21" s="14">
        <f t="shared" si="5"/>
        <v>27269430.021823756</v>
      </c>
    </row>
    <row r="22" spans="1:9">
      <c r="A22" s="75" t="s">
        <v>509</v>
      </c>
      <c r="B22" s="14">
        <f t="shared" ref="B22:C22" si="7">B11</f>
        <v>539981.37</v>
      </c>
      <c r="C22" s="14">
        <f t="shared" si="7"/>
        <v>561167.55540000007</v>
      </c>
      <c r="D22" s="14">
        <f t="shared" si="5"/>
        <v>602277.19680000003</v>
      </c>
      <c r="E22" s="14">
        <f t="shared" si="5"/>
        <v>600000</v>
      </c>
      <c r="F22" s="14">
        <f t="shared" si="5"/>
        <v>822759.3504</v>
      </c>
      <c r="G22" s="14">
        <f t="shared" si="5"/>
        <v>1609682.0199999996</v>
      </c>
      <c r="H22" s="14">
        <f t="shared" si="5"/>
        <v>2111305.4294137047</v>
      </c>
      <c r="I22" s="14">
        <f t="shared" si="5"/>
        <v>1859366.3586532236</v>
      </c>
    </row>
    <row r="23" spans="1:9">
      <c r="A23" s="75" t="s">
        <v>508</v>
      </c>
      <c r="B23" s="14">
        <f t="shared" ref="B23:I23" si="8">B13</f>
        <v>577888.25000000012</v>
      </c>
      <c r="C23" s="14">
        <f t="shared" si="8"/>
        <v>605954.43000000017</v>
      </c>
      <c r="D23" s="14">
        <f t="shared" si="8"/>
        <v>604148.13</v>
      </c>
      <c r="E23" s="14">
        <f t="shared" si="8"/>
        <v>700000</v>
      </c>
      <c r="F23" s="14">
        <f t="shared" si="8"/>
        <v>667657.4</v>
      </c>
      <c r="G23" s="14">
        <f t="shared" si="8"/>
        <v>666572.03</v>
      </c>
      <c r="H23" s="14">
        <f t="shared" si="8"/>
        <v>714532.82364862727</v>
      </c>
      <c r="I23" s="14">
        <f t="shared" si="8"/>
        <v>746223.82398140547</v>
      </c>
    </row>
    <row r="24" spans="1:9" s="777" customFormat="1">
      <c r="A24" s="29" t="s">
        <v>507</v>
      </c>
      <c r="B24" s="160">
        <f t="shared" ref="B24:C24" si="9">SUM(B20:B23)</f>
        <v>17832214.25</v>
      </c>
      <c r="C24" s="160">
        <f t="shared" si="9"/>
        <v>20612283.755399998</v>
      </c>
      <c r="D24" s="160">
        <f>SUM(D20:D23)</f>
        <v>21857278.326800004</v>
      </c>
      <c r="E24" s="160">
        <f t="shared" ref="E24:I24" si="10">SUM(E20:E23)</f>
        <v>25200000</v>
      </c>
      <c r="F24" s="160">
        <f t="shared" si="10"/>
        <v>30239489.380399998</v>
      </c>
      <c r="G24" s="160">
        <f t="shared" si="10"/>
        <v>33407528.300000001</v>
      </c>
      <c r="H24" s="160">
        <f t="shared" si="10"/>
        <v>38732099.733420812</v>
      </c>
      <c r="I24" s="160">
        <f t="shared" si="10"/>
        <v>51734737.785054848</v>
      </c>
    </row>
    <row r="25" spans="1:9">
      <c r="A25" s="9"/>
    </row>
    <row r="26" spans="1:9">
      <c r="A26" s="9"/>
    </row>
    <row r="27" spans="1:9">
      <c r="A27" s="9"/>
    </row>
    <row r="28" spans="1:9">
      <c r="A28" s="9"/>
    </row>
    <row r="29" spans="1:9">
      <c r="A29" s="9"/>
    </row>
    <row r="30" spans="1:9">
      <c r="A30" s="9"/>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ignoredErrors>
    <ignoredError sqref="B16:C16" emptyCellReference="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2" tint="-0.499984740745262"/>
  </sheetPr>
  <dimension ref="A1:L193"/>
  <sheetViews>
    <sheetView showGridLines="0" zoomScale="85" workbookViewId="0">
      <selection activeCell="B6" sqref="B6"/>
    </sheetView>
  </sheetViews>
  <sheetFormatPr defaultColWidth="9.109375" defaultRowHeight="13.8"/>
  <cols>
    <col min="1" max="1" width="47.109375" style="4" customWidth="1"/>
    <col min="2" max="2" width="12.6640625" style="4" customWidth="1"/>
    <col min="3" max="3" width="11.5546875" style="4" bestFit="1" customWidth="1"/>
    <col min="4" max="6" width="12.5546875" style="4" bestFit="1" customWidth="1"/>
    <col min="7" max="9" width="11.6640625" style="4" bestFit="1" customWidth="1"/>
    <col min="10" max="16384" width="9.109375" style="4"/>
  </cols>
  <sheetData>
    <row r="1" spans="1:12">
      <c r="A1" s="22" t="s">
        <v>2153</v>
      </c>
    </row>
    <row r="2" spans="1:12">
      <c r="A2" s="8" t="s">
        <v>378</v>
      </c>
      <c r="C2" s="125"/>
      <c r="D2" s="125"/>
      <c r="E2" s="125"/>
      <c r="F2" s="125"/>
      <c r="G2" s="125"/>
      <c r="H2" s="125"/>
      <c r="I2" s="125"/>
      <c r="J2" s="125"/>
      <c r="K2" s="125"/>
      <c r="L2" s="126"/>
    </row>
    <row r="3" spans="1:12">
      <c r="A3" s="5" t="s">
        <v>28</v>
      </c>
      <c r="B3" s="6">
        <v>2010</v>
      </c>
      <c r="C3" s="6">
        <v>2011</v>
      </c>
      <c r="D3" s="6">
        <v>2012</v>
      </c>
      <c r="E3" s="6">
        <v>2013</v>
      </c>
      <c r="F3" s="6">
        <v>2014</v>
      </c>
      <c r="G3" s="6">
        <v>2015</v>
      </c>
      <c r="H3" s="6">
        <v>2016</v>
      </c>
      <c r="I3" s="6">
        <v>2017</v>
      </c>
    </row>
    <row r="4" spans="1:12">
      <c r="A4" s="8"/>
      <c r="B4" s="9"/>
      <c r="C4" s="9"/>
      <c r="D4" s="9"/>
      <c r="E4" s="9"/>
      <c r="F4" s="9"/>
      <c r="G4" s="9"/>
      <c r="H4" s="9"/>
      <c r="I4" s="9"/>
    </row>
    <row r="5" spans="1:12">
      <c r="A5" s="12" t="s">
        <v>336</v>
      </c>
      <c r="B5" s="9"/>
      <c r="C5" s="9"/>
      <c r="D5" s="9"/>
      <c r="E5" s="9"/>
      <c r="F5" s="9"/>
      <c r="G5" s="9"/>
      <c r="H5" s="9"/>
      <c r="I5" s="9"/>
    </row>
    <row r="6" spans="1:12">
      <c r="A6" s="8"/>
      <c r="B6" s="9"/>
      <c r="C6" s="9"/>
      <c r="D6" s="9"/>
      <c r="E6" s="9"/>
      <c r="F6" s="9"/>
      <c r="G6" s="9"/>
      <c r="H6" s="9"/>
      <c r="I6" s="9"/>
    </row>
    <row r="7" spans="1:12">
      <c r="A7" s="16" t="str">
        <f>'AT Sch 1.0'!A31</f>
        <v>Fuel</v>
      </c>
      <c r="B7" s="17">
        <f>'AT Sch 1.0'!B5</f>
        <v>6300000</v>
      </c>
      <c r="C7" s="17">
        <f>'AT Sch 1.0'!C5</f>
        <v>6020000</v>
      </c>
      <c r="D7" s="17">
        <f>'AT Sch 1.0'!D5</f>
        <v>5359000</v>
      </c>
      <c r="E7" s="17">
        <f>'AT Sch 1.0'!E5</f>
        <v>6813718</v>
      </c>
      <c r="F7" s="17">
        <f>'AT Sch 1.0'!F5</f>
        <v>8308553.6899999985</v>
      </c>
      <c r="G7" s="17">
        <f>'AT Sch 1.0'!G5</f>
        <v>6400000</v>
      </c>
      <c r="H7" s="17">
        <f>'AT Sch 1.0'!H5</f>
        <v>8199999.9999999991</v>
      </c>
      <c r="I7" s="17">
        <f>'AT Sch 1.0'!I5</f>
        <v>8800000</v>
      </c>
    </row>
    <row r="8" spans="1:12">
      <c r="A8" s="16" t="s">
        <v>370</v>
      </c>
      <c r="B8" s="17">
        <f>'AT Sch 1.0'!B32</f>
        <v>77736524.348097965</v>
      </c>
      <c r="C8" s="17">
        <f>'AT Sch 1.0'!C32</f>
        <v>92609781.934785768</v>
      </c>
      <c r="D8" s="17">
        <f>'AT Sch 1.0'!D32</f>
        <v>104992791.41138062</v>
      </c>
      <c r="E8" s="17">
        <f>'AT Sch 1.0'!E32</f>
        <v>104573237.98926464</v>
      </c>
      <c r="F8" s="17">
        <f>'AT Sch 1.0'!F32</f>
        <v>114837523.91773656</v>
      </c>
      <c r="G8" s="17">
        <f>'AT Sch 1.0'!G32</f>
        <v>186768842.53937909</v>
      </c>
      <c r="H8" s="17">
        <f>'AT Sch 1.0'!H32</f>
        <v>197911167.58099043</v>
      </c>
      <c r="I8" s="17">
        <f>'AT Sch 1.0'!I32</f>
        <v>220502628.35010201</v>
      </c>
    </row>
    <row r="9" spans="1:12">
      <c r="A9" s="16" t="str">
        <f>'AT Sch 1.0'!A33</f>
        <v>Revenue Offsets</v>
      </c>
      <c r="B9" s="17">
        <f>'AT Sch 1.0'!B33</f>
        <v>-3570045.9545000005</v>
      </c>
      <c r="C9" s="17">
        <f>'AT Sch 1.0'!C33</f>
        <v>-3930461.2867000001</v>
      </c>
      <c r="D9" s="17">
        <f>'AT Sch 1.0'!D33</f>
        <v>-3868420.5876999996</v>
      </c>
      <c r="E9" s="17">
        <f>'AT Sch 1.0'!E33</f>
        <v>-3353923.44</v>
      </c>
      <c r="F9" s="17">
        <f>'AT Sch 1.0'!F33</f>
        <v>-6731517.0799999991</v>
      </c>
      <c r="G9" s="17">
        <f>'AT Sch 1.0'!G33</f>
        <v>-31253932.743999995</v>
      </c>
      <c r="H9" s="17">
        <f>'AT Sch 1.0'!H33</f>
        <v>-19349683.344000004</v>
      </c>
      <c r="I9" s="17">
        <f>'AT Sch 1.0'!I33</f>
        <v>-18091385.604000002</v>
      </c>
    </row>
    <row r="10" spans="1:12">
      <c r="A10" s="16" t="s">
        <v>368</v>
      </c>
      <c r="B10" s="9"/>
      <c r="C10" s="9"/>
      <c r="D10" s="9"/>
      <c r="E10" s="9"/>
      <c r="F10" s="9"/>
      <c r="G10" s="9"/>
      <c r="H10" s="9"/>
      <c r="I10" s="9"/>
    </row>
    <row r="11" spans="1:12">
      <c r="A11" s="16" t="str">
        <f>'AT Sch 1.0'!A35</f>
        <v>Revenue Offsets (Sch 2.0)</v>
      </c>
      <c r="B11" s="14">
        <f>'AT Sch 1.0'!B35</f>
        <v>1261598.74</v>
      </c>
      <c r="C11" s="14">
        <f>'AT Sch 1.0'!C35</f>
        <v>1094000</v>
      </c>
      <c r="D11" s="14">
        <f>'AT Sch 1.0'!D35</f>
        <v>1136665.01</v>
      </c>
      <c r="E11" s="14">
        <f>'AT Sch 1.0'!E35</f>
        <v>1149883.0900000001</v>
      </c>
      <c r="F11" s="14">
        <f>'AT Sch 1.0'!F35</f>
        <v>1285339</v>
      </c>
      <c r="G11" s="14">
        <f>'AT Sch 1.0'!G35</f>
        <v>1285339</v>
      </c>
      <c r="H11" s="14">
        <f>'AT Sch 1.0'!H35</f>
        <v>985339</v>
      </c>
      <c r="I11" s="14">
        <f>'AT Sch 1.0'!I35</f>
        <v>985339</v>
      </c>
    </row>
    <row r="12" spans="1:12">
      <c r="A12" s="16" t="str">
        <f>'AT Sch 1.0'!A36</f>
        <v>Operating Costs (Sch 3.0)</v>
      </c>
      <c r="B12" s="14">
        <f>'AT Sch 1.0'!B36</f>
        <v>-17832214.25</v>
      </c>
      <c r="C12" s="14">
        <f>'AT Sch 1.0'!C36</f>
        <v>-20612283.755399998</v>
      </c>
      <c r="D12" s="14">
        <f>'AT Sch 1.0'!D36</f>
        <v>-21857278.326800004</v>
      </c>
      <c r="E12" s="14">
        <f>'AT Sch 1.0'!E36</f>
        <v>-25200000</v>
      </c>
      <c r="F12" s="14">
        <f>'AT Sch 1.0'!F36</f>
        <v>-30239489.380399998</v>
      </c>
      <c r="G12" s="14">
        <f>'AT Sch 1.0'!G36</f>
        <v>-33407528.300000001</v>
      </c>
      <c r="H12" s="14">
        <f>'AT Sch 1.0'!H36</f>
        <v>-38732099.733420812</v>
      </c>
      <c r="I12" s="14">
        <f>'AT Sch 1.0'!I36</f>
        <v>-51734737.785054848</v>
      </c>
    </row>
    <row r="13" spans="1:12">
      <c r="A13" s="16" t="str">
        <f>'AT Sch 1.0'!A37</f>
        <v>Operating Costs - R of W Payment (Sch 4.0)</v>
      </c>
      <c r="B13" s="14">
        <f>'AT Sch 1.0'!B37</f>
        <v>-1933000</v>
      </c>
      <c r="C13" s="14">
        <f>'AT Sch 1.0'!C37</f>
        <v>-2597847.0900000003</v>
      </c>
      <c r="D13" s="14">
        <f>'AT Sch 1.0'!D37</f>
        <v>-3705667.07</v>
      </c>
      <c r="E13" s="14">
        <f>'AT Sch 1.0'!E37</f>
        <v>-3327034.9899999998</v>
      </c>
      <c r="F13" s="14">
        <f>'AT Sch 1.0'!F37</f>
        <v>-5218017.3866354767</v>
      </c>
      <c r="G13" s="14">
        <f>'AT Sch 1.0'!G37</f>
        <v>-8800000</v>
      </c>
      <c r="H13" s="14">
        <f>'AT Sch 1.0'!H37</f>
        <v>-6599022.0976820001</v>
      </c>
      <c r="I13" s="14">
        <f>'AT Sch 1.0'!I37</f>
        <v>-6852950.4081792897</v>
      </c>
    </row>
    <row r="14" spans="1:12">
      <c r="A14" s="8"/>
      <c r="B14" s="14"/>
      <c r="C14" s="14"/>
      <c r="D14" s="14"/>
      <c r="E14" s="14"/>
      <c r="F14" s="14"/>
      <c r="G14" s="14"/>
      <c r="H14" s="14"/>
      <c r="I14" s="14"/>
    </row>
    <row r="15" spans="1:12" s="777" customFormat="1">
      <c r="A15" s="29" t="s">
        <v>364</v>
      </c>
      <c r="B15" s="160">
        <f t="shared" ref="B15:C15" si="0">SUM(B7:B14)</f>
        <v>61962862.883597955</v>
      </c>
      <c r="C15" s="160">
        <f t="shared" si="0"/>
        <v>72583189.802685767</v>
      </c>
      <c r="D15" s="160">
        <f t="shared" ref="D15:I15" si="1">SUM(D7:D14)</f>
        <v>82057090.436880633</v>
      </c>
      <c r="E15" s="160">
        <f t="shared" si="1"/>
        <v>80655880.649264649</v>
      </c>
      <c r="F15" s="160">
        <f t="shared" si="1"/>
        <v>82242392.760701075</v>
      </c>
      <c r="G15" s="160">
        <f t="shared" si="1"/>
        <v>120992720.49537911</v>
      </c>
      <c r="H15" s="160">
        <f t="shared" si="1"/>
        <v>142415701.4058876</v>
      </c>
      <c r="I15" s="160">
        <f t="shared" si="1"/>
        <v>153608893.55286789</v>
      </c>
    </row>
    <row r="16" spans="1:12">
      <c r="A16" s="8"/>
      <c r="B16" s="2"/>
      <c r="C16" s="9"/>
      <c r="D16" s="9"/>
      <c r="E16" s="9"/>
      <c r="F16" s="9"/>
      <c r="G16" s="9"/>
      <c r="H16" s="9"/>
      <c r="I16" s="9"/>
    </row>
    <row r="17" spans="1:9">
      <c r="A17" s="5" t="s">
        <v>370</v>
      </c>
      <c r="B17" s="6">
        <v>2010</v>
      </c>
      <c r="C17" s="6">
        <v>2011</v>
      </c>
      <c r="D17" s="6">
        <v>2012</v>
      </c>
      <c r="E17" s="6">
        <v>2013</v>
      </c>
      <c r="F17" s="6">
        <v>2014</v>
      </c>
      <c r="G17" s="6">
        <v>2015</v>
      </c>
      <c r="H17" s="6">
        <v>2016</v>
      </c>
      <c r="I17" s="6">
        <v>2017</v>
      </c>
    </row>
    <row r="18" spans="1:9">
      <c r="A18" s="8" t="s">
        <v>377</v>
      </c>
      <c r="B18" s="632">
        <v>6300000</v>
      </c>
      <c r="C18" s="632">
        <v>6020000</v>
      </c>
      <c r="D18" s="632">
        <f>'AT Sch 1.0'!D5</f>
        <v>5359000</v>
      </c>
      <c r="E18" s="632">
        <f>'AT Sch 1.0'!E5</f>
        <v>6813718</v>
      </c>
      <c r="F18" s="632">
        <f>'AT Sch 1.0'!F5</f>
        <v>8308553.6899999985</v>
      </c>
      <c r="G18" s="632">
        <f>'AT Sch 1.0'!G5</f>
        <v>6400000</v>
      </c>
      <c r="H18" s="632">
        <f>'AT Sch 1.0'!H5</f>
        <v>8199999.9999999991</v>
      </c>
      <c r="I18" s="632">
        <f>'AT Sch 1.0'!I5</f>
        <v>8800000</v>
      </c>
    </row>
    <row r="19" spans="1:9">
      <c r="A19" s="8" t="s">
        <v>538</v>
      </c>
      <c r="B19" s="632">
        <v>3027264.02</v>
      </c>
      <c r="C19" s="632">
        <v>3166179.8400000003</v>
      </c>
      <c r="D19" s="632">
        <v>3868380.5</v>
      </c>
      <c r="E19" s="632">
        <v>4468502.3795706723</v>
      </c>
      <c r="F19" s="632">
        <v>5433760.1663165176</v>
      </c>
      <c r="G19" s="632">
        <v>5193758.0687615601</v>
      </c>
      <c r="H19" s="632">
        <v>6941876.4477046886</v>
      </c>
      <c r="I19" s="632">
        <v>7854311.9462020705</v>
      </c>
    </row>
    <row r="20" spans="1:9">
      <c r="A20" s="8" t="s">
        <v>537</v>
      </c>
      <c r="B20" s="632">
        <v>2079589.9800000002</v>
      </c>
      <c r="C20" s="632">
        <v>2382142.3699999996</v>
      </c>
      <c r="D20" s="632">
        <v>2758582.2399999993</v>
      </c>
      <c r="E20" s="632">
        <v>3119270.2704293281</v>
      </c>
      <c r="F20" s="632">
        <v>3076471.7209587945</v>
      </c>
      <c r="G20" s="632">
        <v>3992126.1821393301</v>
      </c>
      <c r="H20" s="632">
        <v>4312859.4324344201</v>
      </c>
      <c r="I20" s="632">
        <v>4945464.6779753705</v>
      </c>
    </row>
    <row r="21" spans="1:9">
      <c r="A21" s="8" t="s">
        <v>536</v>
      </c>
      <c r="B21" s="632">
        <v>6962811.6499999994</v>
      </c>
      <c r="C21" s="632">
        <v>7066517.1600000048</v>
      </c>
      <c r="D21" s="632">
        <v>12286550.092800003</v>
      </c>
      <c r="E21" s="632">
        <v>11160087.996150028</v>
      </c>
      <c r="F21" s="632">
        <v>13244718.909685407</v>
      </c>
      <c r="G21" s="632">
        <v>15249706.789566573</v>
      </c>
      <c r="H21" s="632">
        <v>22235378.645451549</v>
      </c>
      <c r="I21" s="632">
        <v>23642426.15369178</v>
      </c>
    </row>
    <row r="22" spans="1:9">
      <c r="A22" s="8" t="s">
        <v>535</v>
      </c>
      <c r="B22" s="632">
        <v>3784720.66</v>
      </c>
      <c r="C22" s="632">
        <v>3592130.5199999986</v>
      </c>
      <c r="D22" s="632">
        <v>4083087.4899999998</v>
      </c>
      <c r="E22" s="632">
        <v>4686608.46</v>
      </c>
      <c r="F22" s="632">
        <v>4513541.6103194263</v>
      </c>
      <c r="G22" s="632">
        <v>4633021.0833413852</v>
      </c>
      <c r="H22" s="632">
        <v>6299630.8462473694</v>
      </c>
      <c r="I22" s="632">
        <v>6573198.67675565</v>
      </c>
    </row>
    <row r="23" spans="1:9">
      <c r="A23" s="8" t="s">
        <v>534</v>
      </c>
      <c r="B23" s="632">
        <v>7178968.6080716485</v>
      </c>
      <c r="C23" s="632">
        <v>12065902.951929517</v>
      </c>
      <c r="D23" s="632">
        <v>14504128.600900002</v>
      </c>
      <c r="E23" s="632">
        <v>9332731.1772038359</v>
      </c>
      <c r="F23" s="632">
        <v>9849930.1802269015</v>
      </c>
      <c r="G23" s="632">
        <v>37412629.716148347</v>
      </c>
      <c r="H23" s="632">
        <v>27513751.317151785</v>
      </c>
      <c r="I23" s="632">
        <v>27141765.140246708</v>
      </c>
    </row>
    <row r="24" spans="1:9">
      <c r="A24" s="8" t="s">
        <v>533</v>
      </c>
      <c r="B24" s="632">
        <v>1933000</v>
      </c>
      <c r="C24" s="632">
        <v>2597847.0900000003</v>
      </c>
      <c r="D24" s="632">
        <v>3705667.07</v>
      </c>
      <c r="E24" s="632">
        <v>3327034.9899999998</v>
      </c>
      <c r="F24" s="632">
        <v>5218017.3866354767</v>
      </c>
      <c r="G24" s="632">
        <v>8800000</v>
      </c>
      <c r="H24" s="632">
        <v>6599022.0976820001</v>
      </c>
      <c r="I24" s="632">
        <v>6852950.4081792897</v>
      </c>
    </row>
    <row r="25" spans="1:9">
      <c r="A25" s="8" t="s">
        <v>532</v>
      </c>
      <c r="B25" s="632">
        <v>4335756.45</v>
      </c>
      <c r="C25" s="632">
        <v>4863063.59</v>
      </c>
      <c r="D25" s="632">
        <v>5006420.1900000013</v>
      </c>
      <c r="E25" s="632">
        <v>5611076.5300000012</v>
      </c>
      <c r="F25" s="632">
        <v>3824366.8988450579</v>
      </c>
      <c r="G25" s="632">
        <v>9322739.5836760011</v>
      </c>
      <c r="H25" s="632">
        <v>11010699.965675822</v>
      </c>
      <c r="I25" s="632">
        <v>10473265.777793899</v>
      </c>
    </row>
    <row r="26" spans="1:9">
      <c r="A26" s="8" t="s">
        <v>531</v>
      </c>
      <c r="B26" s="632">
        <v>1645177.7</v>
      </c>
      <c r="C26" s="632">
        <v>2286560.94</v>
      </c>
      <c r="D26" s="632">
        <v>3206037.699899999</v>
      </c>
      <c r="E26" s="632">
        <v>3136108.9099999983</v>
      </c>
      <c r="F26" s="632">
        <v>3720163.4499999988</v>
      </c>
      <c r="G26" s="632">
        <v>4000050</v>
      </c>
      <c r="H26" s="632">
        <v>4259284.5999999987</v>
      </c>
      <c r="I26" s="632">
        <v>4312096.7877463894</v>
      </c>
    </row>
    <row r="27" spans="1:9">
      <c r="A27" s="99"/>
      <c r="B27" s="632"/>
      <c r="C27" s="632"/>
      <c r="D27" s="632"/>
      <c r="E27" s="632"/>
      <c r="F27" s="632"/>
      <c r="G27" s="632"/>
      <c r="H27" s="632"/>
      <c r="I27" s="632"/>
    </row>
    <row r="28" spans="1:9">
      <c r="A28" s="8" t="s">
        <v>530</v>
      </c>
      <c r="B28" s="632">
        <v>6413349.0628814399</v>
      </c>
      <c r="C28" s="632">
        <v>5845166.672836856</v>
      </c>
      <c r="D28" s="632">
        <v>6560273.5700000003</v>
      </c>
      <c r="E28" s="632">
        <v>6924637.3899999997</v>
      </c>
      <c r="F28" s="632">
        <v>7552467.7405053275</v>
      </c>
      <c r="G28" s="632">
        <v>6165277.7757338639</v>
      </c>
      <c r="H28" s="632">
        <v>8573908.8653075434</v>
      </c>
      <c r="I28" s="632">
        <v>9296132.991511168</v>
      </c>
    </row>
    <row r="29" spans="1:9">
      <c r="A29" s="13" t="s">
        <v>529</v>
      </c>
      <c r="B29" s="632">
        <v>3907000</v>
      </c>
      <c r="C29" s="632">
        <v>4343173.6886</v>
      </c>
      <c r="D29" s="632">
        <v>0</v>
      </c>
      <c r="E29" s="632">
        <v>0</v>
      </c>
      <c r="F29" s="632">
        <v>0</v>
      </c>
      <c r="G29" s="632">
        <v>0</v>
      </c>
      <c r="H29" s="632">
        <v>0</v>
      </c>
      <c r="I29" s="632">
        <v>0</v>
      </c>
    </row>
    <row r="30" spans="1:9">
      <c r="A30" s="13" t="s">
        <v>528</v>
      </c>
      <c r="B30" s="632">
        <v>2255374.31049733</v>
      </c>
      <c r="C30" s="632">
        <v>2281374.4963070778</v>
      </c>
      <c r="D30" s="632">
        <v>0</v>
      </c>
      <c r="E30" s="632">
        <v>0</v>
      </c>
      <c r="F30" s="632">
        <v>0</v>
      </c>
      <c r="G30" s="632">
        <v>0</v>
      </c>
      <c r="H30" s="632">
        <v>0</v>
      </c>
      <c r="I30" s="632">
        <v>0</v>
      </c>
    </row>
    <row r="31" spans="1:9">
      <c r="A31" s="13" t="s">
        <v>527</v>
      </c>
      <c r="B31" s="632">
        <v>15175903.729652315</v>
      </c>
      <c r="C31" s="632">
        <v>20001491.122812714</v>
      </c>
      <c r="D31" s="632">
        <v>25402623.012007192</v>
      </c>
      <c r="E31" s="632">
        <v>25668211.659271479</v>
      </c>
      <c r="F31" s="632">
        <v>25897328.8282152</v>
      </c>
      <c r="G31" s="632">
        <v>57126257.882351667</v>
      </c>
      <c r="H31" s="632">
        <v>59947513.51829768</v>
      </c>
      <c r="I31" s="632">
        <v>66135680.77282159</v>
      </c>
    </row>
    <row r="32" spans="1:9">
      <c r="A32" s="8" t="s">
        <v>526</v>
      </c>
      <c r="B32" s="709">
        <v>18303876.7828</v>
      </c>
      <c r="C32" s="709">
        <v>21074082.2192</v>
      </c>
      <c r="D32" s="632">
        <v>22559947.363700006</v>
      </c>
      <c r="E32" s="632">
        <v>26400000</v>
      </c>
      <c r="F32" s="632">
        <v>31493500.337299999</v>
      </c>
      <c r="G32" s="632">
        <v>33689300.369999997</v>
      </c>
      <c r="H32" s="632">
        <v>39024896.730068848</v>
      </c>
      <c r="I32" s="632">
        <v>52038987.684403524</v>
      </c>
    </row>
    <row r="33" spans="1:9">
      <c r="A33" s="8" t="s">
        <v>525</v>
      </c>
      <c r="B33" s="709">
        <v>876146.11419521633</v>
      </c>
      <c r="C33" s="709">
        <v>1088149.2730995978</v>
      </c>
      <c r="D33" s="632">
        <v>1144138.48207343</v>
      </c>
      <c r="E33" s="632">
        <v>855816.91591929295</v>
      </c>
      <c r="F33" s="632">
        <v>1013256.688728452</v>
      </c>
      <c r="G33" s="632">
        <v>1222242.7595855717</v>
      </c>
      <c r="H33" s="632">
        <v>1232813.1780296408</v>
      </c>
      <c r="I33" s="632">
        <v>1279142.3094614921</v>
      </c>
    </row>
    <row r="34" spans="1:9">
      <c r="A34" s="8"/>
      <c r="B34" s="709"/>
      <c r="C34" s="709"/>
      <c r="D34" s="709"/>
      <c r="E34" s="632"/>
      <c r="F34" s="632"/>
      <c r="G34" s="632"/>
      <c r="H34" s="632"/>
      <c r="I34" s="632"/>
    </row>
    <row r="35" spans="1:9" s="777" customFormat="1">
      <c r="A35" s="12" t="s">
        <v>524</v>
      </c>
      <c r="B35" s="710">
        <v>77736524.348097965</v>
      </c>
      <c r="C35" s="710">
        <v>92609781.934785768</v>
      </c>
      <c r="D35" s="710">
        <f>SUM(D19:D34)</f>
        <v>105085836.31138062</v>
      </c>
      <c r="E35" s="710">
        <f t="shared" ref="E35:I35" si="2">SUM(E19:E34)</f>
        <v>104690086.67854463</v>
      </c>
      <c r="F35" s="710">
        <f t="shared" si="2"/>
        <v>114837523.91773656</v>
      </c>
      <c r="G35" s="710">
        <f t="shared" si="2"/>
        <v>186807110.21130428</v>
      </c>
      <c r="H35" s="710">
        <f t="shared" si="2"/>
        <v>197951635.64405134</v>
      </c>
      <c r="I35" s="710">
        <f t="shared" si="2"/>
        <v>220545423.32678893</v>
      </c>
    </row>
    <row r="36" spans="1:9">
      <c r="A36" s="21" t="s">
        <v>428</v>
      </c>
      <c r="B36" s="34"/>
      <c r="C36" s="34"/>
      <c r="D36" s="34"/>
      <c r="E36" s="34"/>
      <c r="F36" s="34"/>
      <c r="G36" s="34"/>
      <c r="H36" s="34"/>
      <c r="I36" s="34"/>
    </row>
    <row r="37" spans="1:9">
      <c r="A37" s="5" t="s">
        <v>427</v>
      </c>
      <c r="B37" s="6">
        <v>2010</v>
      </c>
      <c r="C37" s="6">
        <v>2011</v>
      </c>
      <c r="D37" s="6">
        <v>2012</v>
      </c>
      <c r="E37" s="6">
        <v>2013</v>
      </c>
      <c r="F37" s="6">
        <v>2014</v>
      </c>
      <c r="G37" s="6">
        <v>2015</v>
      </c>
      <c r="H37" s="6">
        <v>2016</v>
      </c>
      <c r="I37" s="6">
        <v>2017</v>
      </c>
    </row>
    <row r="38" spans="1:9">
      <c r="A38" s="8" t="str">
        <f t="shared" ref="A38:I38" si="3">A18</f>
        <v>Fuel</v>
      </c>
      <c r="B38" s="14">
        <f t="shared" si="3"/>
        <v>6300000</v>
      </c>
      <c r="C38" s="14">
        <f t="shared" si="3"/>
        <v>6020000</v>
      </c>
      <c r="D38" s="14">
        <f t="shared" si="3"/>
        <v>5359000</v>
      </c>
      <c r="E38" s="14">
        <f t="shared" si="3"/>
        <v>6813718</v>
      </c>
      <c r="F38" s="14">
        <f t="shared" si="3"/>
        <v>8308553.6899999985</v>
      </c>
      <c r="G38" s="14">
        <f t="shared" si="3"/>
        <v>6400000</v>
      </c>
      <c r="H38" s="14">
        <f t="shared" si="3"/>
        <v>8199999.9999999991</v>
      </c>
      <c r="I38" s="14">
        <f t="shared" si="3"/>
        <v>8800000</v>
      </c>
    </row>
    <row r="39" spans="1:9">
      <c r="A39" s="8" t="s">
        <v>523</v>
      </c>
      <c r="B39" s="14">
        <f t="shared" ref="B39:I39" si="4">B35-B24</f>
        <v>75803524.348097965</v>
      </c>
      <c r="C39" s="14">
        <f t="shared" si="4"/>
        <v>90011934.844785765</v>
      </c>
      <c r="D39" s="14">
        <f t="shared" si="4"/>
        <v>101380169.24138063</v>
      </c>
      <c r="E39" s="14">
        <f t="shared" si="4"/>
        <v>101363051.68854463</v>
      </c>
      <c r="F39" s="14">
        <f t="shared" si="4"/>
        <v>109619506.53110108</v>
      </c>
      <c r="G39" s="14">
        <f t="shared" si="4"/>
        <v>178007110.21130428</v>
      </c>
      <c r="H39" s="14">
        <f t="shared" si="4"/>
        <v>191352613.54636934</v>
      </c>
      <c r="I39" s="14">
        <f t="shared" si="4"/>
        <v>213692472.91860965</v>
      </c>
    </row>
    <row r="40" spans="1:9">
      <c r="A40" s="8" t="s">
        <v>522</v>
      </c>
      <c r="B40" s="14">
        <f t="shared" ref="B40:I40" si="5">-B47</f>
        <v>-21338278.040149644</v>
      </c>
      <c r="C40" s="14">
        <f t="shared" si="5"/>
        <v>-26626039.307719793</v>
      </c>
      <c r="D40" s="14">
        <f t="shared" si="5"/>
        <v>-25402623.012007192</v>
      </c>
      <c r="E40" s="14">
        <f t="shared" si="5"/>
        <v>-25668211.659271479</v>
      </c>
      <c r="F40" s="14">
        <f t="shared" si="5"/>
        <v>-25897328.8282152</v>
      </c>
      <c r="G40" s="14">
        <f t="shared" si="5"/>
        <v>-57126257.882351667</v>
      </c>
      <c r="H40" s="14">
        <f t="shared" si="5"/>
        <v>-59947513.51829768</v>
      </c>
      <c r="I40" s="14">
        <f t="shared" si="5"/>
        <v>-66135680.77282159</v>
      </c>
    </row>
    <row r="41" spans="1:9">
      <c r="A41" s="8" t="s">
        <v>521</v>
      </c>
      <c r="B41" s="14">
        <f t="shared" ref="B41:I41" si="6">-B32</f>
        <v>-18303876.7828</v>
      </c>
      <c r="C41" s="14">
        <f t="shared" si="6"/>
        <v>-21074082.2192</v>
      </c>
      <c r="D41" s="14">
        <f t="shared" si="6"/>
        <v>-22559947.363700006</v>
      </c>
      <c r="E41" s="14">
        <f t="shared" si="6"/>
        <v>-26400000</v>
      </c>
      <c r="F41" s="14">
        <f t="shared" si="6"/>
        <v>-31493500.337299999</v>
      </c>
      <c r="G41" s="14">
        <f t="shared" si="6"/>
        <v>-33689300.369999997</v>
      </c>
      <c r="H41" s="14">
        <f t="shared" si="6"/>
        <v>-39024896.730068848</v>
      </c>
      <c r="I41" s="14">
        <f t="shared" si="6"/>
        <v>-52038987.684403524</v>
      </c>
    </row>
    <row r="42" spans="1:9">
      <c r="A42" s="8" t="s">
        <v>425</v>
      </c>
      <c r="B42" s="14">
        <f t="shared" ref="B42:I42" si="7">B11+B9</f>
        <v>-2308447.2145000007</v>
      </c>
      <c r="C42" s="14">
        <f t="shared" si="7"/>
        <v>-2836461.2867000001</v>
      </c>
      <c r="D42" s="14">
        <f t="shared" si="7"/>
        <v>-2731755.5776999993</v>
      </c>
      <c r="E42" s="14">
        <f t="shared" si="7"/>
        <v>-2204040.3499999996</v>
      </c>
      <c r="F42" s="14">
        <f t="shared" si="7"/>
        <v>-5446178.0799999991</v>
      </c>
      <c r="G42" s="14">
        <f t="shared" si="7"/>
        <v>-29968593.743999995</v>
      </c>
      <c r="H42" s="14">
        <f t="shared" si="7"/>
        <v>-18364344.344000004</v>
      </c>
      <c r="I42" s="14">
        <f t="shared" si="7"/>
        <v>-17106046.604000002</v>
      </c>
    </row>
    <row r="43" spans="1:9">
      <c r="A43" s="8"/>
      <c r="B43" s="14"/>
      <c r="C43" s="14"/>
      <c r="D43" s="14"/>
      <c r="E43" s="14"/>
      <c r="F43" s="14"/>
      <c r="G43" s="14"/>
      <c r="H43" s="14"/>
      <c r="I43" s="14"/>
    </row>
    <row r="44" spans="1:9" s="777" customFormat="1">
      <c r="A44" s="73" t="s">
        <v>415</v>
      </c>
      <c r="B44" s="160">
        <f t="shared" ref="B44:C44" si="8">SUM(B38:B42)</f>
        <v>40152922.310648315</v>
      </c>
      <c r="C44" s="160">
        <f t="shared" si="8"/>
        <v>45495352.031165965</v>
      </c>
      <c r="D44" s="160">
        <f t="shared" ref="D44:I44" si="9">SUM(D38:D42)</f>
        <v>56044843.287973441</v>
      </c>
      <c r="E44" s="160">
        <f t="shared" si="9"/>
        <v>53904517.679273151</v>
      </c>
      <c r="F44" s="160">
        <f t="shared" si="9"/>
        <v>55091052.975585878</v>
      </c>
      <c r="G44" s="160">
        <f t="shared" si="9"/>
        <v>63622958.21495261</v>
      </c>
      <c r="H44" s="160">
        <f t="shared" si="9"/>
        <v>82215858.954002827</v>
      </c>
      <c r="I44" s="160">
        <f t="shared" si="9"/>
        <v>87211757.857384548</v>
      </c>
    </row>
    <row r="45" spans="1:9">
      <c r="A45" s="8"/>
      <c r="B45" s="161"/>
      <c r="C45" s="34"/>
      <c r="D45" s="34"/>
      <c r="E45" s="34"/>
      <c r="F45" s="34"/>
      <c r="G45" s="34"/>
      <c r="H45" s="34"/>
      <c r="I45" s="34"/>
    </row>
    <row r="46" spans="1:9">
      <c r="A46" s="5" t="s">
        <v>424</v>
      </c>
      <c r="B46" s="6">
        <v>2010</v>
      </c>
      <c r="C46" s="6">
        <v>2011</v>
      </c>
      <c r="D46" s="6">
        <v>2012</v>
      </c>
      <c r="E46" s="6">
        <v>2013</v>
      </c>
      <c r="F46" s="6">
        <v>2014</v>
      </c>
      <c r="G46" s="6">
        <v>2015</v>
      </c>
      <c r="H46" s="6">
        <v>2016</v>
      </c>
      <c r="I46" s="6">
        <v>2017</v>
      </c>
    </row>
    <row r="47" spans="1:9">
      <c r="A47" s="8" t="s">
        <v>520</v>
      </c>
      <c r="B47" s="14">
        <f t="shared" ref="B47:C47" si="10">SUM(B29:B31)</f>
        <v>21338278.040149644</v>
      </c>
      <c r="C47" s="14">
        <f t="shared" si="10"/>
        <v>26626039.307719793</v>
      </c>
      <c r="D47" s="14">
        <f t="shared" ref="D47:I47" si="11">SUM(D29:D31)</f>
        <v>25402623.012007192</v>
      </c>
      <c r="E47" s="14">
        <f t="shared" si="11"/>
        <v>25668211.659271479</v>
      </c>
      <c r="F47" s="14">
        <f t="shared" si="11"/>
        <v>25897328.8282152</v>
      </c>
      <c r="G47" s="14">
        <f t="shared" si="11"/>
        <v>57126257.882351667</v>
      </c>
      <c r="H47" s="14">
        <f t="shared" si="11"/>
        <v>59947513.51829768</v>
      </c>
      <c r="I47" s="14">
        <f t="shared" si="11"/>
        <v>66135680.77282159</v>
      </c>
    </row>
    <row r="48" spans="1:9">
      <c r="A48" s="8" t="s">
        <v>519</v>
      </c>
      <c r="B48" s="14">
        <f t="shared" ref="B48:I48" si="12">B32+B12</f>
        <v>471662.53280000016</v>
      </c>
      <c r="C48" s="14">
        <f t="shared" si="12"/>
        <v>461798.46380000189</v>
      </c>
      <c r="D48" s="14">
        <f t="shared" si="12"/>
        <v>702669.03690000251</v>
      </c>
      <c r="E48" s="14">
        <f t="shared" si="12"/>
        <v>1200000</v>
      </c>
      <c r="F48" s="14">
        <f t="shared" si="12"/>
        <v>1254010.9569000006</v>
      </c>
      <c r="G48" s="14">
        <f t="shared" si="12"/>
        <v>281772.06999999657</v>
      </c>
      <c r="H48" s="14">
        <f t="shared" si="12"/>
        <v>292796.99664803594</v>
      </c>
      <c r="I48" s="14">
        <f t="shared" si="12"/>
        <v>304249.8993486762</v>
      </c>
    </row>
    <row r="49" spans="1:9">
      <c r="A49" s="8"/>
      <c r="B49" s="14"/>
      <c r="C49" s="14"/>
      <c r="D49" s="14"/>
      <c r="E49" s="14"/>
      <c r="F49" s="14"/>
      <c r="G49" s="14"/>
      <c r="H49" s="14"/>
      <c r="I49" s="14"/>
    </row>
    <row r="50" spans="1:9" s="777" customFormat="1">
      <c r="A50" s="73" t="s">
        <v>415</v>
      </c>
      <c r="B50" s="160">
        <f t="shared" ref="B50:C50" si="13">SUM(B47:B49)</f>
        <v>21809940.572949644</v>
      </c>
      <c r="C50" s="160">
        <f t="shared" si="13"/>
        <v>27087837.771519795</v>
      </c>
      <c r="D50" s="160">
        <f t="shared" ref="D50:I50" si="14">SUM(D47:D49)</f>
        <v>26105292.048907194</v>
      </c>
      <c r="E50" s="160">
        <f t="shared" si="14"/>
        <v>26868211.659271479</v>
      </c>
      <c r="F50" s="160">
        <f t="shared" si="14"/>
        <v>27151339.785115201</v>
      </c>
      <c r="G50" s="160">
        <f t="shared" si="14"/>
        <v>57408029.95235166</v>
      </c>
      <c r="H50" s="160">
        <f t="shared" si="14"/>
        <v>60240310.514945716</v>
      </c>
      <c r="I50" s="160">
        <f t="shared" si="14"/>
        <v>66439930.672170267</v>
      </c>
    </row>
    <row r="51" spans="1:9">
      <c r="A51" s="74"/>
      <c r="B51" s="14"/>
      <c r="C51" s="14"/>
      <c r="D51" s="14"/>
      <c r="E51" s="14"/>
      <c r="F51" s="14"/>
      <c r="G51" s="14"/>
      <c r="H51" s="14"/>
      <c r="I51" s="14"/>
    </row>
    <row r="52" spans="1:9" s="777" customFormat="1">
      <c r="A52" s="73" t="s">
        <v>423</v>
      </c>
      <c r="B52" s="160">
        <f t="shared" ref="B52:I52" si="15">B50+B44</f>
        <v>61962862.883597955</v>
      </c>
      <c r="C52" s="160">
        <f t="shared" si="15"/>
        <v>72583189.802685767</v>
      </c>
      <c r="D52" s="160">
        <f t="shared" si="15"/>
        <v>82150135.336880639</v>
      </c>
      <c r="E52" s="160">
        <f t="shared" si="15"/>
        <v>80772729.338544637</v>
      </c>
      <c r="F52" s="160">
        <f t="shared" si="15"/>
        <v>82242392.760701075</v>
      </c>
      <c r="G52" s="160">
        <f t="shared" si="15"/>
        <v>121030988.16730428</v>
      </c>
      <c r="H52" s="160">
        <f t="shared" si="15"/>
        <v>142456169.46894854</v>
      </c>
      <c r="I52" s="160">
        <f t="shared" si="15"/>
        <v>153651688.52955481</v>
      </c>
    </row>
    <row r="53" spans="1:9">
      <c r="A53" s="31"/>
      <c r="B53" s="9"/>
    </row>
    <row r="54" spans="1:9">
      <c r="A54" s="11" t="s">
        <v>518</v>
      </c>
      <c r="B54" s="954">
        <f t="shared" ref="B54:I54" si="16">SUM(B18,B20:B23,B25,B28)</f>
        <v>37055196.41095309</v>
      </c>
      <c r="C54" s="127">
        <f t="shared" si="16"/>
        <v>41834923.26476638</v>
      </c>
      <c r="D54" s="127">
        <f t="shared" si="16"/>
        <v>50558042.183700003</v>
      </c>
      <c r="E54" s="127">
        <f t="shared" si="16"/>
        <v>47648129.823783197</v>
      </c>
      <c r="F54" s="127">
        <f t="shared" si="16"/>
        <v>50370050.75054092</v>
      </c>
      <c r="G54" s="127">
        <f t="shared" si="16"/>
        <v>83175501.130605489</v>
      </c>
      <c r="H54" s="127">
        <f t="shared" si="16"/>
        <v>88146229.072268471</v>
      </c>
      <c r="I54" s="127">
        <f t="shared" si="16"/>
        <v>90872253.417974576</v>
      </c>
    </row>
    <row r="55" spans="1:9">
      <c r="A55" s="9"/>
    </row>
    <row r="56" spans="1:9">
      <c r="A56" s="9"/>
      <c r="B56" s="128">
        <f t="shared" ref="B56:I56" si="17">B54/B44</f>
        <v>0.92285179455360022</v>
      </c>
      <c r="C56" s="128">
        <f t="shared" si="17"/>
        <v>0.91954279716547616</v>
      </c>
      <c r="D56" s="128">
        <f t="shared" si="17"/>
        <v>0.90209980468531636</v>
      </c>
      <c r="E56" s="128">
        <f t="shared" si="17"/>
        <v>0.88393574184793045</v>
      </c>
      <c r="F56" s="128">
        <f t="shared" si="17"/>
        <v>0.91430546395370016</v>
      </c>
      <c r="G56" s="128">
        <f t="shared" si="17"/>
        <v>1.3073189845966273</v>
      </c>
      <c r="H56" s="128">
        <f t="shared" si="17"/>
        <v>1.0721317054120119</v>
      </c>
      <c r="I56" s="128">
        <f t="shared" si="17"/>
        <v>1.0419725006182763</v>
      </c>
    </row>
    <row r="57" spans="1:9">
      <c r="A57" s="9"/>
    </row>
    <row r="58" spans="1:9">
      <c r="A58" s="9"/>
    </row>
    <row r="59" spans="1:9">
      <c r="A59" s="9"/>
    </row>
    <row r="60" spans="1:9">
      <c r="A60" s="9"/>
    </row>
    <row r="61" spans="1:9">
      <c r="A61" s="9"/>
    </row>
    <row r="62" spans="1:9">
      <c r="A62" s="9"/>
    </row>
    <row r="63" spans="1:9">
      <c r="A63" s="9"/>
    </row>
    <row r="64" spans="1:9">
      <c r="A64" s="9"/>
    </row>
    <row r="65" spans="1:1">
      <c r="A65" s="9"/>
    </row>
    <row r="66" spans="1:1">
      <c r="A66" s="9"/>
    </row>
    <row r="67" spans="1:1">
      <c r="A67" s="9"/>
    </row>
    <row r="68" spans="1:1">
      <c r="A68" s="9"/>
    </row>
    <row r="69" spans="1:1">
      <c r="A69" s="9"/>
    </row>
    <row r="70" spans="1:1">
      <c r="A70" s="9"/>
    </row>
    <row r="71" spans="1:1">
      <c r="A71" s="9"/>
    </row>
    <row r="72" spans="1:1">
      <c r="A72" s="9"/>
    </row>
    <row r="73" spans="1:1">
      <c r="A73" s="9"/>
    </row>
    <row r="74" spans="1:1">
      <c r="A74" s="9"/>
    </row>
    <row r="75" spans="1:1">
      <c r="A75" s="9"/>
    </row>
    <row r="76" spans="1:1">
      <c r="A76" s="9"/>
    </row>
    <row r="77" spans="1:1">
      <c r="A77" s="9"/>
    </row>
    <row r="78" spans="1:1">
      <c r="A78" s="9"/>
    </row>
    <row r="79" spans="1:1">
      <c r="A79" s="9"/>
    </row>
    <row r="80" spans="1:1">
      <c r="A80" s="9"/>
    </row>
    <row r="81" spans="1:1">
      <c r="A81" s="9"/>
    </row>
    <row r="82" spans="1:1">
      <c r="A82" s="9"/>
    </row>
    <row r="83" spans="1:1">
      <c r="A83" s="9"/>
    </row>
    <row r="84" spans="1:1">
      <c r="A84" s="9"/>
    </row>
    <row r="85" spans="1:1">
      <c r="A85" s="9"/>
    </row>
    <row r="86" spans="1:1">
      <c r="A86" s="9"/>
    </row>
    <row r="87" spans="1:1">
      <c r="A87" s="9"/>
    </row>
    <row r="88" spans="1:1">
      <c r="A88" s="9"/>
    </row>
    <row r="89" spans="1:1">
      <c r="A89" s="9"/>
    </row>
    <row r="90" spans="1:1">
      <c r="A90" s="9"/>
    </row>
    <row r="91" spans="1:1">
      <c r="A91" s="9"/>
    </row>
    <row r="92" spans="1:1">
      <c r="A92" s="9"/>
    </row>
    <row r="93" spans="1:1">
      <c r="A93" s="9"/>
    </row>
    <row r="94" spans="1:1">
      <c r="A94" s="9"/>
    </row>
    <row r="95" spans="1:1">
      <c r="A95" s="9"/>
    </row>
    <row r="96" spans="1:1">
      <c r="A96" s="9"/>
    </row>
    <row r="97" spans="1:2">
      <c r="A97" s="9"/>
    </row>
    <row r="98" spans="1:2">
      <c r="A98" s="9"/>
    </row>
    <row r="99" spans="1:2">
      <c r="A99" s="9"/>
    </row>
    <row r="100" spans="1:2">
      <c r="A100" s="9"/>
    </row>
    <row r="101" spans="1:2">
      <c r="A101" s="9"/>
    </row>
    <row r="102" spans="1:2">
      <c r="A102" s="9"/>
    </row>
    <row r="103" spans="1:2">
      <c r="A103" s="9"/>
    </row>
    <row r="104" spans="1:2">
      <c r="A104" s="9"/>
    </row>
    <row r="105" spans="1:2">
      <c r="A105" s="9"/>
    </row>
    <row r="106" spans="1:2">
      <c r="A106" s="9"/>
    </row>
    <row r="107" spans="1:2">
      <c r="A107" s="9"/>
    </row>
    <row r="108" spans="1:2">
      <c r="A108" s="9"/>
    </row>
    <row r="109" spans="1:2">
      <c r="A109" s="9"/>
    </row>
    <row r="110" spans="1:2">
      <c r="A110" s="9"/>
    </row>
    <row r="111" spans="1:2">
      <c r="A111" s="9"/>
      <c r="B111" s="9"/>
    </row>
    <row r="112" spans="1:2">
      <c r="A112" s="9"/>
    </row>
    <row r="113" spans="1:1">
      <c r="A113" s="9"/>
    </row>
    <row r="114" spans="1:1">
      <c r="A114" s="9"/>
    </row>
    <row r="115" spans="1:1">
      <c r="A115" s="9"/>
    </row>
    <row r="116" spans="1:1">
      <c r="A116" s="9"/>
    </row>
    <row r="117" spans="1:1">
      <c r="A117" s="9"/>
    </row>
    <row r="118" spans="1:1">
      <c r="A118" s="9"/>
    </row>
    <row r="119" spans="1:1">
      <c r="A119" s="9"/>
    </row>
    <row r="120" spans="1:1">
      <c r="A120" s="9"/>
    </row>
    <row r="121" spans="1:1">
      <c r="A121" s="9"/>
    </row>
    <row r="122" spans="1:1">
      <c r="A122" s="9"/>
    </row>
    <row r="123" spans="1:1">
      <c r="A123" s="9"/>
    </row>
    <row r="124" spans="1:1">
      <c r="A124" s="9"/>
    </row>
    <row r="125" spans="1:1">
      <c r="A125" s="9"/>
    </row>
    <row r="126" spans="1:1">
      <c r="A126" s="9"/>
    </row>
    <row r="127" spans="1:1">
      <c r="A127" s="9"/>
    </row>
    <row r="128" spans="1:1">
      <c r="A128" s="9"/>
    </row>
    <row r="129" spans="1:1">
      <c r="A129" s="9"/>
    </row>
    <row r="130" spans="1:1">
      <c r="A130" s="9"/>
    </row>
    <row r="131" spans="1:1">
      <c r="A131" s="9"/>
    </row>
    <row r="132" spans="1:1">
      <c r="A132" s="9"/>
    </row>
    <row r="133" spans="1:1">
      <c r="A133" s="9"/>
    </row>
    <row r="134" spans="1:1">
      <c r="A134" s="9"/>
    </row>
    <row r="135" spans="1:1">
      <c r="A135" s="9"/>
    </row>
    <row r="136" spans="1:1">
      <c r="A136" s="9"/>
    </row>
    <row r="137" spans="1:1">
      <c r="A137" s="9"/>
    </row>
    <row r="138" spans="1:1">
      <c r="A138" s="9"/>
    </row>
    <row r="139" spans="1:1">
      <c r="A139" s="9"/>
    </row>
    <row r="140" spans="1:1">
      <c r="A140" s="9"/>
    </row>
    <row r="141" spans="1:1">
      <c r="A141" s="9"/>
    </row>
    <row r="142" spans="1:1">
      <c r="A142" s="9"/>
    </row>
    <row r="143" spans="1:1">
      <c r="A143" s="9"/>
    </row>
    <row r="144" spans="1:1">
      <c r="A144" s="9"/>
    </row>
    <row r="145" spans="1:1">
      <c r="A145" s="9"/>
    </row>
    <row r="146" spans="1:1">
      <c r="A146" s="9"/>
    </row>
    <row r="147" spans="1:1">
      <c r="A147" s="9"/>
    </row>
    <row r="148" spans="1:1">
      <c r="A148" s="9"/>
    </row>
    <row r="149" spans="1:1">
      <c r="A149" s="9"/>
    </row>
    <row r="150" spans="1:1">
      <c r="A150" s="9"/>
    </row>
    <row r="151" spans="1:1">
      <c r="A151" s="9"/>
    </row>
    <row r="152" spans="1:1">
      <c r="A152" s="9"/>
    </row>
    <row r="153" spans="1:1">
      <c r="A153" s="9"/>
    </row>
    <row r="154" spans="1:1">
      <c r="A154" s="9"/>
    </row>
    <row r="155" spans="1:1">
      <c r="A155" s="9"/>
    </row>
    <row r="156" spans="1:1">
      <c r="A156" s="9"/>
    </row>
    <row r="157" spans="1:1">
      <c r="A157" s="9"/>
    </row>
    <row r="158" spans="1:1">
      <c r="A158" s="9"/>
    </row>
    <row r="159" spans="1:1">
      <c r="A159" s="9"/>
    </row>
    <row r="160" spans="1:1">
      <c r="A160" s="9"/>
    </row>
    <row r="161" spans="1:1">
      <c r="A161" s="9"/>
    </row>
    <row r="162" spans="1:1">
      <c r="A162" s="9"/>
    </row>
    <row r="163" spans="1:1">
      <c r="A163" s="9"/>
    </row>
    <row r="164" spans="1:1">
      <c r="A164" s="9"/>
    </row>
    <row r="165" spans="1:1">
      <c r="A165" s="9"/>
    </row>
    <row r="166" spans="1:1">
      <c r="A166" s="9"/>
    </row>
    <row r="167" spans="1:1">
      <c r="A167" s="9"/>
    </row>
    <row r="168" spans="1:1">
      <c r="A168" s="9"/>
    </row>
    <row r="169" spans="1:1">
      <c r="A169" s="9"/>
    </row>
    <row r="170" spans="1:1">
      <c r="A170" s="9"/>
    </row>
    <row r="171" spans="1:1">
      <c r="A171" s="9"/>
    </row>
    <row r="172" spans="1:1">
      <c r="A172" s="9"/>
    </row>
    <row r="173" spans="1:1">
      <c r="A173" s="9"/>
    </row>
    <row r="174" spans="1:1">
      <c r="A174" s="9"/>
    </row>
    <row r="175" spans="1:1">
      <c r="A175" s="9"/>
    </row>
    <row r="176" spans="1:1">
      <c r="A176" s="9"/>
    </row>
    <row r="177" spans="1:1">
      <c r="A177" s="9"/>
    </row>
    <row r="178" spans="1:1">
      <c r="A178" s="9"/>
    </row>
    <row r="179" spans="1:1">
      <c r="A179" s="9"/>
    </row>
    <row r="180" spans="1:1">
      <c r="A180" s="9"/>
    </row>
    <row r="181" spans="1:1">
      <c r="A181" s="9"/>
    </row>
    <row r="182" spans="1:1">
      <c r="A182" s="9"/>
    </row>
    <row r="183" spans="1:1">
      <c r="A183" s="9"/>
    </row>
    <row r="184" spans="1:1">
      <c r="A184" s="9"/>
    </row>
    <row r="185" spans="1:1">
      <c r="A185" s="9"/>
    </row>
    <row r="186" spans="1:1">
      <c r="A186" s="9"/>
    </row>
    <row r="187" spans="1:1">
      <c r="A187" s="9"/>
    </row>
    <row r="188" spans="1:1">
      <c r="A188" s="9"/>
    </row>
    <row r="189" spans="1:1">
      <c r="A189" s="9"/>
    </row>
    <row r="190" spans="1:1">
      <c r="A190" s="9"/>
    </row>
    <row r="191" spans="1:1">
      <c r="A191" s="9"/>
    </row>
    <row r="192" spans="1:1">
      <c r="A192" s="9"/>
    </row>
    <row r="193" spans="1:1">
      <c r="A193" s="9"/>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ignoredErrors>
    <ignoredError sqref="B47:C49" formulaRange="1"/>
    <ignoredError sqref="B50:C50" formulaRange="1" emptyCellReference="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2" tint="-0.499984740745262"/>
  </sheetPr>
  <dimension ref="A1:Q52"/>
  <sheetViews>
    <sheetView showGridLines="0" zoomScale="90" zoomScaleNormal="90" workbookViewId="0">
      <selection activeCell="E41" sqref="A1:E41"/>
    </sheetView>
  </sheetViews>
  <sheetFormatPr defaultColWidth="9.109375" defaultRowHeight="13.8"/>
  <cols>
    <col min="1" max="1" width="41.88671875" style="4" customWidth="1"/>
    <col min="2" max="6" width="12.6640625" style="4" customWidth="1"/>
    <col min="7" max="8" width="9.109375" style="4"/>
    <col min="9" max="9" width="28.33203125" style="4" bestFit="1" customWidth="1"/>
    <col min="10" max="10" width="12" style="4" bestFit="1" customWidth="1"/>
    <col min="11" max="11" width="11.5546875" style="4" customWidth="1"/>
    <col min="12" max="12" width="9.109375" style="4"/>
    <col min="13" max="13" width="14.5546875" style="4" bestFit="1" customWidth="1"/>
    <col min="14" max="16384" width="9.109375" style="4"/>
  </cols>
  <sheetData>
    <row r="1" spans="1:5">
      <c r="A1" s="22" t="s">
        <v>476</v>
      </c>
      <c r="B1" s="2"/>
      <c r="C1" s="2"/>
      <c r="D1" s="2"/>
      <c r="E1" s="3"/>
    </row>
    <row r="2" spans="1:5">
      <c r="A2" s="8"/>
      <c r="B2" s="9"/>
      <c r="C2" s="9"/>
      <c r="D2" s="9"/>
      <c r="E2" s="10"/>
    </row>
    <row r="3" spans="1:5">
      <c r="A3" s="8" t="s">
        <v>715</v>
      </c>
      <c r="B3" s="9"/>
      <c r="C3" s="9"/>
      <c r="D3" s="92"/>
      <c r="E3" s="93"/>
    </row>
    <row r="4" spans="1:5">
      <c r="A4" s="38" t="s">
        <v>47</v>
      </c>
      <c r="B4" s="27" t="s">
        <v>475</v>
      </c>
      <c r="C4" s="27" t="s">
        <v>49</v>
      </c>
      <c r="D4" s="27" t="s">
        <v>357</v>
      </c>
      <c r="E4" s="33" t="s">
        <v>50</v>
      </c>
    </row>
    <row r="5" spans="1:5">
      <c r="A5" s="39">
        <v>72</v>
      </c>
      <c r="B5" s="40">
        <v>974</v>
      </c>
      <c r="C5" s="40">
        <v>0</v>
      </c>
      <c r="D5" s="40">
        <v>857.68799999999999</v>
      </c>
      <c r="E5" s="41">
        <v>116.312</v>
      </c>
    </row>
    <row r="6" spans="1:5">
      <c r="A6" s="39">
        <v>144</v>
      </c>
      <c r="B6" s="40">
        <v>6385</v>
      </c>
      <c r="C6" s="40">
        <v>0</v>
      </c>
      <c r="D6" s="40">
        <v>5535.7069999999994</v>
      </c>
      <c r="E6" s="41">
        <v>849.29300000000023</v>
      </c>
    </row>
    <row r="7" spans="1:5">
      <c r="A7" s="39">
        <v>240</v>
      </c>
      <c r="B7" s="40">
        <v>3505</v>
      </c>
      <c r="C7" s="40">
        <v>3505</v>
      </c>
      <c r="D7" s="40">
        <v>0</v>
      </c>
      <c r="E7" s="41">
        <v>0</v>
      </c>
    </row>
    <row r="8" spans="1:5">
      <c r="A8" s="39">
        <v>500</v>
      </c>
      <c r="B8" s="40">
        <v>489.33</v>
      </c>
      <c r="C8" s="40">
        <v>489.33</v>
      </c>
      <c r="D8" s="40">
        <v>0</v>
      </c>
      <c r="E8" s="41">
        <v>0</v>
      </c>
    </row>
    <row r="9" spans="1:5">
      <c r="A9" s="8" t="s">
        <v>474</v>
      </c>
      <c r="B9" s="40">
        <v>11353.33</v>
      </c>
      <c r="C9" s="40">
        <v>3994.33</v>
      </c>
      <c r="D9" s="40">
        <v>6393.3949999999995</v>
      </c>
      <c r="E9" s="41">
        <v>965.60500000000025</v>
      </c>
    </row>
    <row r="10" spans="1:5">
      <c r="A10" s="107" t="s">
        <v>552</v>
      </c>
      <c r="B10" s="108"/>
      <c r="C10" s="109">
        <f>C9/$B9</f>
        <v>0.35182012678218638</v>
      </c>
      <c r="D10" s="109">
        <f>D9/$B9</f>
        <v>0.56312949592762651</v>
      </c>
      <c r="E10" s="110">
        <f>E9/$B9</f>
        <v>8.5050377290187135E-2</v>
      </c>
    </row>
    <row r="11" spans="1:5">
      <c r="B11" s="786"/>
      <c r="C11" s="786"/>
      <c r="D11" s="786"/>
      <c r="E11" s="786"/>
    </row>
    <row r="12" spans="1:5" ht="13.5" customHeight="1">
      <c r="A12" s="19" t="s">
        <v>551</v>
      </c>
      <c r="B12" s="111"/>
      <c r="C12" s="111"/>
      <c r="D12" s="112"/>
      <c r="E12" s="113"/>
    </row>
    <row r="13" spans="1:5" ht="15" customHeight="1">
      <c r="A13" s="38" t="s">
        <v>47</v>
      </c>
      <c r="B13" s="43" t="s">
        <v>472</v>
      </c>
      <c r="C13" s="27" t="s">
        <v>49</v>
      </c>
      <c r="D13" s="27" t="s">
        <v>74</v>
      </c>
      <c r="E13" s="33" t="s">
        <v>50</v>
      </c>
    </row>
    <row r="14" spans="1:5" ht="13.5" customHeight="1">
      <c r="A14" s="39">
        <v>72</v>
      </c>
      <c r="B14" s="40">
        <f t="shared" ref="B14:E17" si="0">B5/1.609*2</f>
        <v>1210.6898694841516</v>
      </c>
      <c r="C14" s="40">
        <f t="shared" si="0"/>
        <v>0</v>
      </c>
      <c r="D14" s="40">
        <f t="shared" si="0"/>
        <v>1066.1131137352393</v>
      </c>
      <c r="E14" s="41">
        <f t="shared" si="0"/>
        <v>144.57675574891238</v>
      </c>
    </row>
    <row r="15" spans="1:5" ht="13.5" customHeight="1">
      <c r="A15" s="39">
        <v>144</v>
      </c>
      <c r="B15" s="40">
        <f t="shared" si="0"/>
        <v>7936.6065879428215</v>
      </c>
      <c r="C15" s="40">
        <f t="shared" si="0"/>
        <v>0</v>
      </c>
      <c r="D15" s="40">
        <f t="shared" si="0"/>
        <v>6880.9285270354248</v>
      </c>
      <c r="E15" s="41">
        <f t="shared" si="0"/>
        <v>1055.6780609073962</v>
      </c>
    </row>
    <row r="16" spans="1:5" ht="13.5" customHeight="1">
      <c r="A16" s="39">
        <v>240</v>
      </c>
      <c r="B16" s="40">
        <f t="shared" si="0"/>
        <v>4356.7433188315727</v>
      </c>
      <c r="C16" s="40">
        <f t="shared" si="0"/>
        <v>4356.7433188315727</v>
      </c>
      <c r="D16" s="40">
        <f t="shared" si="0"/>
        <v>0</v>
      </c>
      <c r="E16" s="41">
        <f t="shared" si="0"/>
        <v>0</v>
      </c>
    </row>
    <row r="17" spans="1:10" ht="13.5" customHeight="1">
      <c r="A17" s="39">
        <v>500</v>
      </c>
      <c r="B17" s="40">
        <f t="shared" si="0"/>
        <v>608.24114356743314</v>
      </c>
      <c r="C17" s="40">
        <f t="shared" si="0"/>
        <v>608.24114356743314</v>
      </c>
      <c r="D17" s="40">
        <f t="shared" si="0"/>
        <v>0</v>
      </c>
      <c r="E17" s="41">
        <f t="shared" si="0"/>
        <v>0</v>
      </c>
    </row>
    <row r="18" spans="1:10" ht="13.5" customHeight="1">
      <c r="A18" s="39" t="s">
        <v>23</v>
      </c>
      <c r="B18" s="40">
        <f>SUM(C18:E18)</f>
        <v>182</v>
      </c>
      <c r="C18" s="40">
        <v>30</v>
      </c>
      <c r="D18" s="40">
        <v>10</v>
      </c>
      <c r="E18" s="41">
        <v>142</v>
      </c>
    </row>
    <row r="19" spans="1:10" ht="13.5" customHeight="1">
      <c r="A19" s="8" t="s">
        <v>472</v>
      </c>
      <c r="B19" s="40">
        <f>SUM(B14:B18)</f>
        <v>14294.280919825978</v>
      </c>
      <c r="C19" s="40">
        <f>SUM(C14:C18)</f>
        <v>4994.9844623990057</v>
      </c>
      <c r="D19" s="40">
        <f>SUM(D14:D18)</f>
        <v>7957.0416407706643</v>
      </c>
      <c r="E19" s="41">
        <f>SUM(E14:E18)</f>
        <v>1342.2548166563085</v>
      </c>
    </row>
    <row r="20" spans="1:10" ht="13.5" customHeight="1">
      <c r="A20" s="21" t="s">
        <v>550</v>
      </c>
      <c r="B20" s="47"/>
      <c r="C20" s="54">
        <f>C19/$B19</f>
        <v>0.34943936602442366</v>
      </c>
      <c r="D20" s="54">
        <f>D19/$B19</f>
        <v>0.55665910621179637</v>
      </c>
      <c r="E20" s="55">
        <f>E19/$B19</f>
        <v>9.3901527763779913E-2</v>
      </c>
    </row>
    <row r="21" spans="1:10" ht="13.5" customHeight="1">
      <c r="B21" s="786"/>
      <c r="C21" s="786"/>
      <c r="D21" s="786"/>
      <c r="E21" s="786"/>
    </row>
    <row r="22" spans="1:10">
      <c r="A22" s="19" t="s">
        <v>549</v>
      </c>
      <c r="B22" s="111"/>
      <c r="C22" s="111"/>
      <c r="D22" s="112"/>
      <c r="E22" s="113"/>
      <c r="I22" s="11"/>
      <c r="J22" s="11"/>
    </row>
    <row r="23" spans="1:10">
      <c r="A23" s="38" t="s">
        <v>47</v>
      </c>
      <c r="B23" s="27" t="s">
        <v>548</v>
      </c>
      <c r="C23" s="27" t="s">
        <v>49</v>
      </c>
      <c r="D23" s="27" t="s">
        <v>74</v>
      </c>
      <c r="E23" s="33" t="s">
        <v>50</v>
      </c>
      <c r="I23" s="11"/>
      <c r="J23" s="11"/>
    </row>
    <row r="24" spans="1:10">
      <c r="A24" s="39" t="s">
        <v>547</v>
      </c>
      <c r="B24" s="61">
        <f>B5*0.015</f>
        <v>14.61</v>
      </c>
      <c r="C24" s="40"/>
      <c r="D24" s="40">
        <f>D5*0.015</f>
        <v>12.865319999999999</v>
      </c>
      <c r="E24" s="114">
        <f>E5*0.015</f>
        <v>1.74468</v>
      </c>
      <c r="I24" s="11"/>
      <c r="J24" s="42"/>
    </row>
    <row r="25" spans="1:10">
      <c r="A25" s="39" t="s">
        <v>546</v>
      </c>
      <c r="B25" s="61">
        <f>B6*0.02</f>
        <v>127.7</v>
      </c>
      <c r="C25" s="40"/>
      <c r="D25" s="40">
        <f>D6*0.02</f>
        <v>110.71413999999999</v>
      </c>
      <c r="E25" s="41">
        <f>E6*0.02</f>
        <v>16.985860000000006</v>
      </c>
      <c r="I25" s="11"/>
      <c r="J25" s="42"/>
    </row>
    <row r="26" spans="1:10">
      <c r="A26" s="39" t="s">
        <v>468</v>
      </c>
      <c r="B26" s="61">
        <f>B7*0.04</f>
        <v>140.20000000000002</v>
      </c>
      <c r="C26" s="40">
        <f>B26</f>
        <v>140.20000000000002</v>
      </c>
      <c r="D26" s="43"/>
      <c r="E26" s="44"/>
      <c r="I26" s="11"/>
      <c r="J26" s="42"/>
    </row>
    <row r="27" spans="1:10">
      <c r="A27" s="39">
        <v>500</v>
      </c>
      <c r="B27" s="61">
        <f>B8*0.06</f>
        <v>29.359799999999996</v>
      </c>
      <c r="C27" s="40">
        <f>B27</f>
        <v>29.359799999999996</v>
      </c>
      <c r="D27" s="43"/>
      <c r="E27" s="44"/>
      <c r="I27" s="11"/>
      <c r="J27" s="42"/>
    </row>
    <row r="28" spans="1:10">
      <c r="A28" s="8" t="s">
        <v>545</v>
      </c>
      <c r="B28" s="40">
        <f>SUM(B24:B27)</f>
        <v>311.8698</v>
      </c>
      <c r="C28" s="40">
        <f>SUM(C24:C27)</f>
        <v>169.55980000000002</v>
      </c>
      <c r="D28" s="40">
        <f>SUM(D24:D27)</f>
        <v>123.57945999999998</v>
      </c>
      <c r="E28" s="41">
        <f>SUM(E24:E27)</f>
        <v>18.730540000000005</v>
      </c>
      <c r="I28" s="11"/>
      <c r="J28" s="42"/>
    </row>
    <row r="29" spans="1:10">
      <c r="A29" s="107" t="s">
        <v>544</v>
      </c>
      <c r="B29" s="108"/>
      <c r="C29" s="109">
        <f>C28/$B28</f>
        <v>0.54368778252976091</v>
      </c>
      <c r="D29" s="109">
        <f>D28/$B28</f>
        <v>0.39625337240091851</v>
      </c>
      <c r="E29" s="110">
        <f>E28/$B28</f>
        <v>6.0058845069320611E-2</v>
      </c>
      <c r="I29" s="11"/>
      <c r="J29" s="42"/>
    </row>
    <row r="30" spans="1:10">
      <c r="B30" s="786"/>
      <c r="C30" s="786"/>
      <c r="D30" s="786"/>
      <c r="E30" s="786"/>
      <c r="I30" s="11"/>
      <c r="J30" s="42"/>
    </row>
    <row r="31" spans="1:10">
      <c r="A31" s="19" t="s">
        <v>1116</v>
      </c>
      <c r="B31" s="58"/>
      <c r="C31" s="58" t="s">
        <v>49</v>
      </c>
      <c r="D31" s="58" t="s">
        <v>74</v>
      </c>
      <c r="E31" s="63" t="s">
        <v>50</v>
      </c>
      <c r="I31" s="11"/>
      <c r="J31" s="42"/>
    </row>
    <row r="32" spans="1:10">
      <c r="A32" s="8" t="s">
        <v>690</v>
      </c>
      <c r="B32" s="40">
        <v>263</v>
      </c>
      <c r="C32" s="40">
        <v>32</v>
      </c>
      <c r="D32" s="40">
        <v>27</v>
      </c>
      <c r="E32" s="41">
        <v>204</v>
      </c>
    </row>
    <row r="33" spans="1:17">
      <c r="A33" s="107" t="s">
        <v>541</v>
      </c>
      <c r="B33" s="108"/>
      <c r="C33" s="109">
        <f>C32/$B$32</f>
        <v>0.12167300380228137</v>
      </c>
      <c r="D33" s="109">
        <f>D32/$B$32</f>
        <v>0.10266159695817491</v>
      </c>
      <c r="E33" s="110">
        <f>E32/$B$32</f>
        <v>0.7756653992395437</v>
      </c>
    </row>
    <row r="34" spans="1:17">
      <c r="B34" s="786"/>
      <c r="C34" s="786"/>
      <c r="D34" s="786"/>
      <c r="E34" s="786"/>
    </row>
    <row r="35" spans="1:17">
      <c r="A35" s="19" t="s">
        <v>540</v>
      </c>
      <c r="B35" s="111"/>
      <c r="C35" s="58" t="s">
        <v>49</v>
      </c>
      <c r="D35" s="58" t="s">
        <v>74</v>
      </c>
      <c r="E35" s="63" t="s">
        <v>50</v>
      </c>
    </row>
    <row r="36" spans="1:17">
      <c r="A36" s="8" t="s">
        <v>686</v>
      </c>
      <c r="B36" s="40"/>
      <c r="C36" s="61"/>
      <c r="D36" s="115">
        <f>'Func Results 2020'!E69</f>
        <v>0.2355542811242759</v>
      </c>
      <c r="E36" s="116">
        <f>'Func Results 2020'!F69</f>
        <v>0.21152271066617745</v>
      </c>
      <c r="F36" s="117" t="s">
        <v>687</v>
      </c>
      <c r="L36" s="118"/>
      <c r="M36" s="118"/>
      <c r="N36" s="77"/>
      <c r="O36" s="77"/>
      <c r="P36" s="77"/>
      <c r="Q36" s="77"/>
    </row>
    <row r="37" spans="1:17">
      <c r="A37" s="21" t="s">
        <v>539</v>
      </c>
      <c r="B37" s="47"/>
      <c r="C37" s="54">
        <f>1-(D37+E37)</f>
        <v>0</v>
      </c>
      <c r="D37" s="119">
        <f>D36/(D36+E36)</f>
        <v>0.5268763220870043</v>
      </c>
      <c r="E37" s="120">
        <f>E36/(D36+E36)</f>
        <v>0.47312367791299564</v>
      </c>
      <c r="F37" s="117"/>
      <c r="N37" s="77"/>
      <c r="O37" s="77"/>
      <c r="P37" s="77"/>
      <c r="Q37" s="77"/>
    </row>
    <row r="38" spans="1:17">
      <c r="B38" s="786"/>
      <c r="C38" s="786"/>
      <c r="D38" s="786"/>
      <c r="E38" s="786"/>
    </row>
    <row r="39" spans="1:17">
      <c r="A39" s="19" t="s">
        <v>2087</v>
      </c>
      <c r="B39" s="58"/>
      <c r="C39" s="58" t="s">
        <v>49</v>
      </c>
      <c r="D39" s="58" t="s">
        <v>74</v>
      </c>
      <c r="E39" s="60" t="s">
        <v>50</v>
      </c>
    </row>
    <row r="40" spans="1:17">
      <c r="A40" s="8" t="s">
        <v>2085</v>
      </c>
      <c r="B40" s="61">
        <f>SUM(C40:E40)</f>
        <v>578</v>
      </c>
      <c r="C40" s="61">
        <v>132</v>
      </c>
      <c r="D40" s="61">
        <v>191</v>
      </c>
      <c r="E40" s="62">
        <v>255</v>
      </c>
      <c r="M40" s="101"/>
    </row>
    <row r="41" spans="1:17">
      <c r="A41" s="107" t="s">
        <v>2086</v>
      </c>
      <c r="B41" s="122"/>
      <c r="C41" s="540">
        <f>C40/$B$40</f>
        <v>0.22837370242214533</v>
      </c>
      <c r="D41" s="540">
        <f>D40/$B$40</f>
        <v>0.33044982698961939</v>
      </c>
      <c r="E41" s="541">
        <f>E40/$B$40</f>
        <v>0.44117647058823528</v>
      </c>
      <c r="M41" s="101"/>
    </row>
    <row r="42" spans="1:17">
      <c r="A42" s="8"/>
      <c r="B42" s="61"/>
      <c r="C42" s="61"/>
      <c r="D42" s="61"/>
      <c r="E42" s="542"/>
      <c r="M42" s="101"/>
      <c r="N42" s="121"/>
    </row>
    <row r="43" spans="1:17">
      <c r="K43" s="11"/>
    </row>
    <row r="44" spans="1:17">
      <c r="K44" s="123"/>
    </row>
    <row r="45" spans="1:17">
      <c r="K45" s="124"/>
    </row>
    <row r="46" spans="1:17">
      <c r="K46" s="11"/>
    </row>
    <row r="47" spans="1:17">
      <c r="K47" s="123"/>
    </row>
    <row r="48" spans="1:17">
      <c r="K48" s="124"/>
    </row>
    <row r="49" spans="11:11">
      <c r="K49" s="11"/>
    </row>
    <row r="50" spans="11:11">
      <c r="K50" s="123"/>
    </row>
    <row r="51" spans="11:11">
      <c r="K51" s="124"/>
    </row>
    <row r="52" spans="11:11">
      <c r="K52" s="9"/>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ignoredErrors>
    <ignoredError sqref="C14:E17 C28:E28" emptyCellReference="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2" tint="-0.499984740745262"/>
  </sheetPr>
  <dimension ref="A1:I98"/>
  <sheetViews>
    <sheetView showGridLines="0" workbookViewId="0">
      <pane ySplit="3" topLeftCell="A92" activePane="bottomLeft" state="frozen"/>
      <selection activeCell="O24" sqref="A1:XFD1048576"/>
      <selection pane="bottomLeft" activeCell="B1" sqref="B1:E1048576"/>
    </sheetView>
  </sheetViews>
  <sheetFormatPr defaultColWidth="9.109375" defaultRowHeight="13.8"/>
  <cols>
    <col min="1" max="1" width="42.5546875" style="4" bestFit="1" customWidth="1"/>
    <col min="2" max="6" width="10.109375" style="4" customWidth="1"/>
    <col min="7" max="9" width="9.88671875" style="4" bestFit="1" customWidth="1"/>
    <col min="10" max="16384" width="9.109375" style="4"/>
  </cols>
  <sheetData>
    <row r="1" spans="1:9">
      <c r="A1" s="1" t="s">
        <v>482</v>
      </c>
    </row>
    <row r="2" spans="1:9">
      <c r="A2" s="8" t="s">
        <v>378</v>
      </c>
    </row>
    <row r="3" spans="1:9">
      <c r="A3" s="5" t="s">
        <v>482</v>
      </c>
      <c r="B3" s="6">
        <v>2010</v>
      </c>
      <c r="C3" s="6">
        <v>2011</v>
      </c>
      <c r="D3" s="6">
        <v>2012</v>
      </c>
      <c r="E3" s="6">
        <v>2013</v>
      </c>
      <c r="F3" s="6">
        <v>2014</v>
      </c>
      <c r="G3" s="598">
        <f>F3+1</f>
        <v>2015</v>
      </c>
      <c r="H3" s="598">
        <f t="shared" ref="H3:I3" si="0">G3+1</f>
        <v>2016</v>
      </c>
      <c r="I3" s="598">
        <f t="shared" si="0"/>
        <v>2017</v>
      </c>
    </row>
    <row r="4" spans="1:9">
      <c r="A4" s="8"/>
      <c r="B4" s="9"/>
      <c r="C4" s="9"/>
      <c r="D4" s="9"/>
      <c r="E4" s="9"/>
      <c r="F4" s="9"/>
    </row>
    <row r="5" spans="1:9">
      <c r="A5" s="73" t="s">
        <v>560</v>
      </c>
      <c r="B5" s="34"/>
      <c r="C5" s="9"/>
      <c r="D5" s="9"/>
      <c r="E5" s="9"/>
      <c r="F5" s="9"/>
    </row>
    <row r="6" spans="1:9">
      <c r="A6" s="22" t="s">
        <v>377</v>
      </c>
      <c r="B6" s="23">
        <f>'AT Sch 4.0'!B7</f>
        <v>6300000</v>
      </c>
      <c r="C6" s="23">
        <f>'AT Sch 4.0'!C7</f>
        <v>6020000</v>
      </c>
      <c r="D6" s="23">
        <f>'AT Sch 4.0'!D7</f>
        <v>5359000</v>
      </c>
      <c r="E6" s="23">
        <f>'AT Sch 4.0'!E7</f>
        <v>6813718</v>
      </c>
      <c r="F6" s="23">
        <f>'AT Sch 4.0'!F7</f>
        <v>8308553.6899999985</v>
      </c>
      <c r="G6" s="23">
        <f>'AT Sch 4.0'!G7</f>
        <v>6400000</v>
      </c>
      <c r="H6" s="23">
        <f>'AT Sch 4.0'!H7</f>
        <v>8199999.9999999991</v>
      </c>
      <c r="I6" s="23">
        <f>'AT Sch 4.0'!I7</f>
        <v>8800000</v>
      </c>
    </row>
    <row r="7" spans="1:9">
      <c r="A7" s="8" t="s">
        <v>553</v>
      </c>
      <c r="B7" s="9"/>
      <c r="C7" s="9"/>
      <c r="D7" s="9"/>
      <c r="E7" s="9"/>
      <c r="F7" s="9"/>
      <c r="G7" s="9"/>
      <c r="H7" s="9"/>
      <c r="I7" s="9"/>
    </row>
    <row r="8" spans="1:9">
      <c r="A8" s="13" t="s">
        <v>49</v>
      </c>
      <c r="B8" s="14">
        <f>B6*'AT Sch 5.0'!$C37</f>
        <v>0</v>
      </c>
      <c r="C8" s="14">
        <f>C6*'AT Sch 5.0'!$C37</f>
        <v>0</v>
      </c>
      <c r="D8" s="14">
        <f>D6*'AT Sch 5.0'!$C37</f>
        <v>0</v>
      </c>
      <c r="E8" s="14">
        <f>E6*'AT Sch 5.0'!$C37</f>
        <v>0</v>
      </c>
      <c r="F8" s="14">
        <f>F6*'AT Sch 5.0'!$C37</f>
        <v>0</v>
      </c>
      <c r="G8" s="14">
        <f>G6*'AT Sch 5.0'!$C37</f>
        <v>0</v>
      </c>
      <c r="H8" s="14">
        <f>H6*'AT Sch 5.0'!$C37</f>
        <v>0</v>
      </c>
      <c r="I8" s="14">
        <f>I6*'AT Sch 5.0'!$C37</f>
        <v>0</v>
      </c>
    </row>
    <row r="9" spans="1:9">
      <c r="A9" s="13" t="s">
        <v>357</v>
      </c>
      <c r="B9" s="14">
        <f>B6*'AT Sch 5.0'!$D37</f>
        <v>3319320.8291481272</v>
      </c>
      <c r="C9" s="14">
        <f>C6*'AT Sch 5.0'!$D37</f>
        <v>3171795.4589637658</v>
      </c>
      <c r="D9" s="14">
        <f>D6*'AT Sch 5.0'!$D37</f>
        <v>2823530.2100642561</v>
      </c>
      <c r="E9" s="14">
        <f>E6*'AT Sch 5.0'!$D37</f>
        <v>3589986.6795780188</v>
      </c>
      <c r="F9" s="14">
        <f>F6*'AT Sch 5.0'!$D37</f>
        <v>4377580.2100496069</v>
      </c>
      <c r="G9" s="14">
        <f>G6*'AT Sch 5.0'!$D37</f>
        <v>3372008.4613568275</v>
      </c>
      <c r="H9" s="14">
        <f>H6*'AT Sch 5.0'!$D37</f>
        <v>4320385.8411134351</v>
      </c>
      <c r="I9" s="14">
        <f>I6*'AT Sch 5.0'!$D37</f>
        <v>4636511.6343656378</v>
      </c>
    </row>
    <row r="10" spans="1:9">
      <c r="A10" s="13" t="s">
        <v>50</v>
      </c>
      <c r="B10" s="14">
        <f>B6*'AT Sch 5.0'!$E37</f>
        <v>2980679.1708518728</v>
      </c>
      <c r="C10" s="14">
        <f>C6*'AT Sch 5.0'!$E37</f>
        <v>2848204.5410362338</v>
      </c>
      <c r="D10" s="14">
        <f>D6*'AT Sch 5.0'!$E37</f>
        <v>2535469.7899357434</v>
      </c>
      <c r="E10" s="14">
        <f>E6*'AT Sch 5.0'!$E37</f>
        <v>3223731.3204219807</v>
      </c>
      <c r="F10" s="14">
        <f>F6*'AT Sch 5.0'!$E37</f>
        <v>3930973.4799503908</v>
      </c>
      <c r="G10" s="14">
        <f>G6*'AT Sch 5.0'!$E37</f>
        <v>3027991.538643172</v>
      </c>
      <c r="H10" s="14">
        <f>H6*'AT Sch 5.0'!$E37</f>
        <v>3879614.158886564</v>
      </c>
      <c r="I10" s="14">
        <f>I6*'AT Sch 5.0'!$E37</f>
        <v>4163488.3656343617</v>
      </c>
    </row>
    <row r="11" spans="1:9" s="777" customFormat="1">
      <c r="A11" s="73" t="s">
        <v>48</v>
      </c>
      <c r="B11" s="160">
        <f t="shared" ref="B11:F11" si="1">SUM(B8:B10)</f>
        <v>6300000</v>
      </c>
      <c r="C11" s="160">
        <f t="shared" si="1"/>
        <v>6020000</v>
      </c>
      <c r="D11" s="160">
        <f t="shared" si="1"/>
        <v>5359000</v>
      </c>
      <c r="E11" s="160">
        <f t="shared" si="1"/>
        <v>6813718</v>
      </c>
      <c r="F11" s="160">
        <f t="shared" si="1"/>
        <v>8308553.6899999976</v>
      </c>
      <c r="G11" s="160">
        <f t="shared" ref="G11:I11" si="2">SUM(G8:G10)</f>
        <v>6400000</v>
      </c>
      <c r="H11" s="160">
        <f t="shared" si="2"/>
        <v>8199999.9999999991</v>
      </c>
      <c r="I11" s="160">
        <f t="shared" si="2"/>
        <v>8800000</v>
      </c>
    </row>
    <row r="12" spans="1:9">
      <c r="A12" s="100" t="s">
        <v>537</v>
      </c>
      <c r="B12" s="23">
        <f>'AT Sch 4.0'!B20</f>
        <v>2079589.9800000002</v>
      </c>
      <c r="C12" s="14">
        <f>'AT Sch 4.0'!C20</f>
        <v>2382142.3699999996</v>
      </c>
      <c r="D12" s="14">
        <f>'AT Sch 4.0'!D20</f>
        <v>2758582.2399999993</v>
      </c>
      <c r="E12" s="14">
        <f>'AT Sch 4.0'!E20</f>
        <v>3119270.2704293281</v>
      </c>
      <c r="F12" s="14">
        <f>'AT Sch 4.0'!F20</f>
        <v>3076471.7209587945</v>
      </c>
      <c r="G12" s="14">
        <f>'AT Sch 4.0'!G20</f>
        <v>3992126.1821393301</v>
      </c>
      <c r="H12" s="14">
        <f>'AT Sch 4.0'!H20</f>
        <v>4312859.4324344201</v>
      </c>
      <c r="I12" s="14">
        <f>'AT Sch 4.0'!I20</f>
        <v>4945464.6779753705</v>
      </c>
    </row>
    <row r="13" spans="1:9">
      <c r="A13" s="13" t="s">
        <v>559</v>
      </c>
      <c r="B13" s="9"/>
      <c r="C13" s="9"/>
      <c r="D13" s="9"/>
      <c r="E13" s="9"/>
      <c r="F13" s="9"/>
      <c r="G13" s="9"/>
      <c r="H13" s="9"/>
      <c r="I13" s="9"/>
    </row>
    <row r="14" spans="1:9">
      <c r="A14" s="13" t="s">
        <v>49</v>
      </c>
      <c r="B14" s="14">
        <f>B12*'AT Sch 5.0'!$C41</f>
        <v>474923.66325259523</v>
      </c>
      <c r="C14" s="14">
        <f>C12*'AT Sch 5.0'!$C41</f>
        <v>544018.67273356393</v>
      </c>
      <c r="D14" s="14">
        <f>D12*'AT Sch 5.0'!$C41</f>
        <v>629987.63958477497</v>
      </c>
      <c r="E14" s="14">
        <f>E12*'AT Sch 5.0'!$C41</f>
        <v>712359.30051327217</v>
      </c>
      <c r="F14" s="14">
        <f>F12*'AT Sch 5.0'!$C41</f>
        <v>702585.23731238907</v>
      </c>
      <c r="G14" s="14">
        <f>G12*'AT Sch 5.0'!$C41</f>
        <v>911696.63675154257</v>
      </c>
      <c r="H14" s="14">
        <f>H12*'AT Sch 5.0'!$C41</f>
        <v>984943.67661132081</v>
      </c>
      <c r="I14" s="14">
        <f>I12*'AT Sch 5.0'!$C41</f>
        <v>1129414.0787071781</v>
      </c>
    </row>
    <row r="15" spans="1:9">
      <c r="A15" s="13" t="s">
        <v>357</v>
      </c>
      <c r="B15" s="14">
        <f>B12*'AT Sch 5.0'!$D41</f>
        <v>687200.14910034614</v>
      </c>
      <c r="C15" s="14">
        <f>C12*'AT Sch 5.0'!$D41</f>
        <v>787178.53403114178</v>
      </c>
      <c r="D15" s="14">
        <f>D12*'AT Sch 5.0'!$D41</f>
        <v>911573.02394463646</v>
      </c>
      <c r="E15" s="14">
        <f>E12*'AT Sch 5.0'!$D41</f>
        <v>1030762.3211972348</v>
      </c>
      <c r="F15" s="14">
        <f>F12*'AT Sch 5.0'!$D41</f>
        <v>1016619.5479292902</v>
      </c>
      <c r="G15" s="14">
        <f>G12*'AT Sch 5.0'!$D41</f>
        <v>1319197.4062086714</v>
      </c>
      <c r="H15" s="14">
        <f>H12*'AT Sch 5.0'!$D41</f>
        <v>1425183.6532785022</v>
      </c>
      <c r="I15" s="14">
        <f>I12*'AT Sch 5.0'!$D41</f>
        <v>1634227.9472202349</v>
      </c>
    </row>
    <row r="16" spans="1:9">
      <c r="A16" s="13" t="s">
        <v>50</v>
      </c>
      <c r="B16" s="14">
        <f>B12*'AT Sch 5.0'!$E41</f>
        <v>917466.16764705884</v>
      </c>
      <c r="C16" s="14">
        <f>C12*'AT Sch 5.0'!$E41</f>
        <v>1050945.1632352939</v>
      </c>
      <c r="D16" s="14">
        <f>D12*'AT Sch 5.0'!$E41</f>
        <v>1217021.5764705879</v>
      </c>
      <c r="E16" s="14">
        <f>E12*'AT Sch 5.0'!$E41</f>
        <v>1376148.6487188211</v>
      </c>
      <c r="F16" s="14">
        <f>F12*'AT Sch 5.0'!$E41</f>
        <v>1357266.9357171152</v>
      </c>
      <c r="G16" s="14">
        <f>G12*'AT Sch 5.0'!$E41</f>
        <v>1761232.1391791161</v>
      </c>
      <c r="H16" s="14">
        <f>H12*'AT Sch 5.0'!$E41</f>
        <v>1902732.1025445971</v>
      </c>
      <c r="I16" s="14">
        <f>I12*'AT Sch 5.0'!$E41</f>
        <v>2181822.6520479578</v>
      </c>
    </row>
    <row r="17" spans="1:9" s="777" customFormat="1">
      <c r="A17" s="73" t="s">
        <v>48</v>
      </c>
      <c r="B17" s="160">
        <f t="shared" ref="B17:F17" si="3">SUM(B14:B16)</f>
        <v>2079589.9800000002</v>
      </c>
      <c r="C17" s="160">
        <f t="shared" si="3"/>
        <v>2382142.3699999996</v>
      </c>
      <c r="D17" s="160">
        <f t="shared" si="3"/>
        <v>2758582.2399999993</v>
      </c>
      <c r="E17" s="160">
        <f t="shared" si="3"/>
        <v>3119270.2704293281</v>
      </c>
      <c r="F17" s="160">
        <f t="shared" si="3"/>
        <v>3076471.7209587945</v>
      </c>
      <c r="G17" s="160">
        <f t="shared" ref="G17:I17" si="4">SUM(G14:G16)</f>
        <v>3992126.1821393301</v>
      </c>
      <c r="H17" s="160">
        <f t="shared" si="4"/>
        <v>4312859.4324344201</v>
      </c>
      <c r="I17" s="160">
        <f t="shared" si="4"/>
        <v>4945464.6779753715</v>
      </c>
    </row>
    <row r="18" spans="1:9">
      <c r="A18" s="74" t="s">
        <v>536</v>
      </c>
      <c r="B18" s="14">
        <f>'AT Sch 4.0'!B21</f>
        <v>6962811.6499999994</v>
      </c>
      <c r="C18" s="14">
        <f>'AT Sch 4.0'!C21</f>
        <v>7066517.1600000048</v>
      </c>
      <c r="D18" s="14">
        <f>'AT Sch 4.0'!D21</f>
        <v>12286550.092800003</v>
      </c>
      <c r="E18" s="14">
        <f>'AT Sch 4.0'!E21</f>
        <v>11160087.996150028</v>
      </c>
      <c r="F18" s="14">
        <f>'AT Sch 4.0'!F21</f>
        <v>13244718.909685407</v>
      </c>
      <c r="G18" s="14">
        <f>'AT Sch 4.0'!G21</f>
        <v>15249706.789566573</v>
      </c>
      <c r="H18" s="14">
        <f>'AT Sch 4.0'!H21</f>
        <v>22235378.645451549</v>
      </c>
      <c r="I18" s="14">
        <f>'AT Sch 4.0'!I21</f>
        <v>23642426.15369178</v>
      </c>
    </row>
    <row r="19" spans="1:9">
      <c r="A19" s="13" t="s">
        <v>558</v>
      </c>
      <c r="B19" s="9"/>
      <c r="C19" s="9"/>
      <c r="D19" s="9"/>
      <c r="E19" s="9"/>
      <c r="F19" s="9"/>
      <c r="G19" s="9"/>
      <c r="H19" s="9"/>
      <c r="I19" s="9"/>
    </row>
    <row r="20" spans="1:9">
      <c r="A20" s="13" t="s">
        <v>49</v>
      </c>
      <c r="B20" s="14">
        <f>B18*'AT Sch 5.0'!$C33</f>
        <v>847186.20836501895</v>
      </c>
      <c r="C20" s="14">
        <f>C18*'AT Sch 5.0'!$C33</f>
        <v>859804.36927756714</v>
      </c>
      <c r="D20" s="14">
        <f>D18*'AT Sch 5.0'!$C33</f>
        <v>1494941.4561581751</v>
      </c>
      <c r="E20" s="14">
        <f>E18*'AT Sch 5.0'!$C33</f>
        <v>1357881.429189357</v>
      </c>
      <c r="F20" s="14">
        <f>F18*'AT Sch 5.0'!$C33</f>
        <v>1611524.7342583004</v>
      </c>
      <c r="G20" s="14">
        <f>G18*'AT Sch 5.0'!$C33</f>
        <v>1855477.6321906096</v>
      </c>
      <c r="H20" s="14">
        <f>H18*'AT Sch 5.0'!$C33</f>
        <v>2705445.3104731925</v>
      </c>
      <c r="I20" s="14">
        <f>I18*'AT Sch 5.0'!$C33</f>
        <v>2876645.0072932965</v>
      </c>
    </row>
    <row r="21" spans="1:9">
      <c r="A21" s="13" t="s">
        <v>357</v>
      </c>
      <c r="B21" s="14">
        <f>B18*'AT Sch 5.0'!$D33</f>
        <v>714813.36330798478</v>
      </c>
      <c r="C21" s="14">
        <f>C18*'AT Sch 5.0'!$D33</f>
        <v>725459.93657794723</v>
      </c>
      <c r="D21" s="14">
        <f>D18*'AT Sch 5.0'!$D33</f>
        <v>1261356.8536334604</v>
      </c>
      <c r="E21" s="14">
        <f>E18*'AT Sch 5.0'!$D33</f>
        <v>1145712.4558785199</v>
      </c>
      <c r="F21" s="14">
        <f>F18*'AT Sch 5.0'!$D33</f>
        <v>1359723.994530441</v>
      </c>
      <c r="G21" s="14">
        <f>G18*'AT Sch 5.0'!$D33</f>
        <v>1565559.2521608269</v>
      </c>
      <c r="H21" s="14">
        <f>H18*'AT Sch 5.0'!$D33</f>
        <v>2282719.4807117563</v>
      </c>
      <c r="I21" s="14">
        <f>I18*'AT Sch 5.0'!$D33</f>
        <v>2427169.224903719</v>
      </c>
    </row>
    <row r="22" spans="1:9">
      <c r="A22" s="13" t="s">
        <v>50</v>
      </c>
      <c r="B22" s="14">
        <f>B18*'AT Sch 5.0'!$E33</f>
        <v>5400812.0783269955</v>
      </c>
      <c r="C22" s="14">
        <f>C18*'AT Sch 5.0'!$E33</f>
        <v>5481252.8541444903</v>
      </c>
      <c r="D22" s="14">
        <f>D18*'AT Sch 5.0'!$E33</f>
        <v>9530251.7830083668</v>
      </c>
      <c r="E22" s="14">
        <f>E18*'AT Sch 5.0'!$E33</f>
        <v>8656494.1110821515</v>
      </c>
      <c r="F22" s="14">
        <f>F18*'AT Sch 5.0'!$E33</f>
        <v>10273470.180896666</v>
      </c>
      <c r="G22" s="14">
        <f>G18*'AT Sch 5.0'!$E33</f>
        <v>11828669.905215137</v>
      </c>
      <c r="H22" s="14">
        <f>H18*'AT Sch 5.0'!$E33</f>
        <v>17247213.854266599</v>
      </c>
      <c r="I22" s="14">
        <f>I18*'AT Sch 5.0'!$E33</f>
        <v>18338611.921494763</v>
      </c>
    </row>
    <row r="23" spans="1:9" s="777" customFormat="1">
      <c r="A23" s="73" t="s">
        <v>48</v>
      </c>
      <c r="B23" s="160">
        <f t="shared" ref="B23:F23" si="5">SUM(B20:B22)</f>
        <v>6962811.6499999994</v>
      </c>
      <c r="C23" s="160">
        <f t="shared" si="5"/>
        <v>7066517.1600000048</v>
      </c>
      <c r="D23" s="160">
        <f t="shared" si="5"/>
        <v>12286550.092800003</v>
      </c>
      <c r="E23" s="160">
        <f t="shared" si="5"/>
        <v>11160087.996150028</v>
      </c>
      <c r="F23" s="160">
        <f t="shared" si="5"/>
        <v>13244718.909685407</v>
      </c>
      <c r="G23" s="160">
        <f t="shared" ref="G23:I23" si="6">SUM(G20:G22)</f>
        <v>15249706.789566573</v>
      </c>
      <c r="H23" s="160">
        <f t="shared" si="6"/>
        <v>22235378.645451546</v>
      </c>
      <c r="I23" s="160">
        <f t="shared" si="6"/>
        <v>23642426.15369178</v>
      </c>
    </row>
    <row r="24" spans="1:9">
      <c r="A24" s="100" t="s">
        <v>557</v>
      </c>
      <c r="B24" s="23">
        <f>'AT Sch 4.0'!B22</f>
        <v>3784720.66</v>
      </c>
      <c r="C24" s="14">
        <f>'AT Sch 4.0'!C22</f>
        <v>3592130.5199999986</v>
      </c>
      <c r="D24" s="14">
        <f>'AT Sch 4.0'!D22</f>
        <v>4083087.4899999998</v>
      </c>
      <c r="E24" s="14">
        <f>'AT Sch 4.0'!E22</f>
        <v>4686608.46</v>
      </c>
      <c r="F24" s="14">
        <f>'AT Sch 4.0'!F22</f>
        <v>4513541.6103194263</v>
      </c>
      <c r="G24" s="14">
        <f>'AT Sch 4.0'!G22</f>
        <v>4633021.0833413852</v>
      </c>
      <c r="H24" s="14">
        <f>'AT Sch 4.0'!H22</f>
        <v>6299630.8462473694</v>
      </c>
      <c r="I24" s="14">
        <f>'AT Sch 4.0'!I22</f>
        <v>6573198.67675565</v>
      </c>
    </row>
    <row r="25" spans="1:9">
      <c r="A25" s="13" t="s">
        <v>556</v>
      </c>
      <c r="B25" s="9"/>
      <c r="C25" s="9"/>
      <c r="D25" s="9"/>
      <c r="E25" s="9"/>
      <c r="F25" s="9"/>
      <c r="G25" s="9"/>
      <c r="H25" s="9"/>
      <c r="I25" s="9"/>
    </row>
    <row r="26" spans="1:9">
      <c r="A26" s="13" t="s">
        <v>49</v>
      </c>
      <c r="B26" s="14">
        <f>B24*'AT Sch 5.0'!$C10</f>
        <v>1331540.9024363603</v>
      </c>
      <c r="C26" s="14">
        <f>C24*'AT Sch 5.0'!$C10</f>
        <v>1263783.8149645606</v>
      </c>
      <c r="D26" s="14">
        <f>D24*'AT Sch 5.0'!$C10</f>
        <v>1436512.358394559</v>
      </c>
      <c r="E26" s="14">
        <f>E24*'AT Sch 5.0'!$C10</f>
        <v>1648843.1825756673</v>
      </c>
      <c r="F26" s="14">
        <f>F24*'AT Sch 5.0'!$C10</f>
        <v>1587954.7815792542</v>
      </c>
      <c r="G26" s="14">
        <f>G24*'AT Sch 5.0'!$C10</f>
        <v>1629990.0649257086</v>
      </c>
      <c r="H26" s="14">
        <f>H24*'AT Sch 5.0'!$C10</f>
        <v>2216336.9230077215</v>
      </c>
      <c r="I26" s="14">
        <f>I24*'AT Sch 5.0'!$C10</f>
        <v>2312583.5918206726</v>
      </c>
    </row>
    <row r="27" spans="1:9">
      <c r="A27" s="13" t="s">
        <v>357</v>
      </c>
      <c r="B27" s="14">
        <f>B24*'AT Sch 5.0'!$D10</f>
        <v>2131287.8374926741</v>
      </c>
      <c r="C27" s="14">
        <f>C24*'AT Sch 5.0'!$D10</f>
        <v>2022834.6490338421</v>
      </c>
      <c r="D27" s="14">
        <f>D24*'AT Sch 5.0'!$D10</f>
        <v>2299307.0000720974</v>
      </c>
      <c r="E27" s="14">
        <f>E24*'AT Sch 5.0'!$D10</f>
        <v>2639167.4596899501</v>
      </c>
      <c r="F27" s="14">
        <f>F24*'AT Sch 5.0'!$D10</f>
        <v>2541708.4118675464</v>
      </c>
      <c r="G27" s="14">
        <f>G24*'AT Sch 5.0'!$D10</f>
        <v>2608990.8272841005</v>
      </c>
      <c r="H27" s="14">
        <f>H24*'AT Sch 5.0'!$D10</f>
        <v>3547507.9429774084</v>
      </c>
      <c r="I27" s="14">
        <f>I24*'AT Sch 5.0'!$D10</f>
        <v>3701562.0574735506</v>
      </c>
    </row>
    <row r="28" spans="1:9">
      <c r="A28" s="13" t="s">
        <v>50</v>
      </c>
      <c r="B28" s="14">
        <f>B24*'AT Sch 5.0'!$E10</f>
        <v>321891.92007096607</v>
      </c>
      <c r="C28" s="14">
        <f>C24*'AT Sch 5.0'!$E10</f>
        <v>305512.05600159598</v>
      </c>
      <c r="D28" s="14">
        <f>D24*'AT Sch 5.0'!$E10</f>
        <v>347268.13153334317</v>
      </c>
      <c r="E28" s="14">
        <f>E24*'AT Sch 5.0'!$E10</f>
        <v>398597.81773438287</v>
      </c>
      <c r="F28" s="14">
        <f>F24*'AT Sch 5.0'!$E10</f>
        <v>383878.416872626</v>
      </c>
      <c r="G28" s="14">
        <f>G24*'AT Sch 5.0'!$E10</f>
        <v>394040.19113157637</v>
      </c>
      <c r="H28" s="14">
        <f>H24*'AT Sch 5.0'!$E10</f>
        <v>535785.98026223958</v>
      </c>
      <c r="I28" s="14">
        <f>I24*'AT Sch 5.0'!$E10</f>
        <v>559053.0274614268</v>
      </c>
    </row>
    <row r="29" spans="1:9" s="777" customFormat="1">
      <c r="A29" s="73" t="s">
        <v>48</v>
      </c>
      <c r="B29" s="160">
        <f t="shared" ref="B29:F29" si="7">SUM(B26:B28)</f>
        <v>3784720.6600000006</v>
      </c>
      <c r="C29" s="160">
        <f t="shared" si="7"/>
        <v>3592130.5199999986</v>
      </c>
      <c r="D29" s="160">
        <f t="shared" si="7"/>
        <v>4083087.4899999998</v>
      </c>
      <c r="E29" s="160">
        <f t="shared" si="7"/>
        <v>4686608.4600000009</v>
      </c>
      <c r="F29" s="160">
        <f t="shared" si="7"/>
        <v>4513541.6103194263</v>
      </c>
      <c r="G29" s="160">
        <f t="shared" ref="G29:I29" si="8">SUM(G26:G28)</f>
        <v>4633021.0833413852</v>
      </c>
      <c r="H29" s="160">
        <f t="shared" si="8"/>
        <v>6299630.8462473694</v>
      </c>
      <c r="I29" s="160">
        <f t="shared" si="8"/>
        <v>6573198.67675565</v>
      </c>
    </row>
    <row r="30" spans="1:9">
      <c r="A30" s="100" t="s">
        <v>534</v>
      </c>
      <c r="B30" s="23">
        <f>'AT Sch 4.0'!B23</f>
        <v>7178968.6080716485</v>
      </c>
      <c r="C30" s="14">
        <f>'AT Sch 4.0'!C23</f>
        <v>12065902.951929517</v>
      </c>
      <c r="D30" s="14">
        <f>'AT Sch 4.0'!D23</f>
        <v>14504128.600900002</v>
      </c>
      <c r="E30" s="14">
        <f>'AT Sch 4.0'!E23</f>
        <v>9332731.1772038359</v>
      </c>
      <c r="F30" s="14">
        <f>'AT Sch 4.0'!F23</f>
        <v>9849930.1802269015</v>
      </c>
      <c r="G30" s="14">
        <f>'AT Sch 4.0'!G23</f>
        <v>37412629.716148347</v>
      </c>
      <c r="H30" s="14">
        <f>'AT Sch 4.0'!H23</f>
        <v>27513751.317151785</v>
      </c>
      <c r="I30" s="14">
        <f>'AT Sch 4.0'!I23</f>
        <v>27141765.140246708</v>
      </c>
    </row>
    <row r="31" spans="1:9">
      <c r="A31" s="8" t="s">
        <v>559</v>
      </c>
      <c r="B31" s="9"/>
      <c r="C31" s="9"/>
      <c r="D31" s="9"/>
      <c r="E31" s="9"/>
      <c r="F31" s="9"/>
      <c r="G31" s="9"/>
      <c r="H31" s="9"/>
      <c r="I31" s="9"/>
    </row>
    <row r="32" spans="1:9">
      <c r="A32" s="13" t="s">
        <v>49</v>
      </c>
      <c r="B32" s="17">
        <f>B30*'AT Sch 5.0'!$C10</f>
        <v>2525705.6458571036</v>
      </c>
      <c r="C32" s="17">
        <f>C30*'AT Sch 5.0'!$C10</f>
        <v>4245027.5062893992</v>
      </c>
      <c r="D32" s="17">
        <f>D30*'AT Sch 5.0'!$C10</f>
        <v>5102844.363233774</v>
      </c>
      <c r="E32" s="17">
        <f>E30*'AT Sch 5.0'!$C10</f>
        <v>3283442.6659879172</v>
      </c>
      <c r="F32" s="17">
        <f>F30*'AT Sch 5.0'!$C10</f>
        <v>3465403.6848031124</v>
      </c>
      <c r="G32" s="17">
        <f>G30*'AT Sch 5.0'!$C10</f>
        <v>13162516.129990306</v>
      </c>
      <c r="H32" s="17">
        <f>H30*'AT Sch 5.0'!$C10</f>
        <v>9679891.4766538888</v>
      </c>
      <c r="I32" s="17">
        <f>I30*'AT Sch 5.0'!$C10</f>
        <v>9549019.2527339235</v>
      </c>
    </row>
    <row r="33" spans="1:9">
      <c r="A33" s="13" t="s">
        <v>357</v>
      </c>
      <c r="B33" s="17">
        <f>B30*'AT Sch 5.0'!$D10</f>
        <v>4042688.9735436421</v>
      </c>
      <c r="C33" s="17">
        <f>C30*'AT Sch 5.0'!$D10</f>
        <v>6794665.8472317299</v>
      </c>
      <c r="D33" s="17">
        <f>D30*'AT Sch 5.0'!$D10</f>
        <v>8167702.6278942889</v>
      </c>
      <c r="E33" s="17">
        <f>E30*'AT Sch 5.0'!$D10</f>
        <v>5255536.2034468409</v>
      </c>
      <c r="F33" s="17">
        <f>F30*'AT Sch 5.0'!$D10</f>
        <v>5546786.2173134908</v>
      </c>
      <c r="G33" s="17">
        <f>G30*'AT Sch 5.0'!$D10</f>
        <v>21068155.31338156</v>
      </c>
      <c r="H33" s="17">
        <f>H30*'AT Sch 5.0'!$D10</f>
        <v>15493804.910305755</v>
      </c>
      <c r="I33" s="17">
        <f>I30*'AT Sch 5.0'!$D10</f>
        <v>15284328.522013154</v>
      </c>
    </row>
    <row r="34" spans="1:9">
      <c r="A34" s="13" t="s">
        <v>50</v>
      </c>
      <c r="B34" s="17">
        <f>B30*'AT Sch 5.0'!$E10</f>
        <v>610573.98867090326</v>
      </c>
      <c r="C34" s="17">
        <f>C30*'AT Sch 5.0'!$E10</f>
        <v>1026209.5984083881</v>
      </c>
      <c r="D34" s="17">
        <f>D30*'AT Sch 5.0'!$E10</f>
        <v>1233581.6097719392</v>
      </c>
      <c r="E34" s="17">
        <f>E30*'AT Sch 5.0'!$E10</f>
        <v>793752.30776907853</v>
      </c>
      <c r="F34" s="17">
        <f>F30*'AT Sch 5.0'!$E10</f>
        <v>837740.27811029891</v>
      </c>
      <c r="G34" s="17">
        <f>G30*'AT Sch 5.0'!$E10</f>
        <v>3181958.2727764836</v>
      </c>
      <c r="H34" s="17">
        <f>H30*'AT Sch 5.0'!$E10</f>
        <v>2340054.9301921427</v>
      </c>
      <c r="I34" s="17">
        <f>I30*'AT Sch 5.0'!$E10</f>
        <v>2308417.3654996315</v>
      </c>
    </row>
    <row r="35" spans="1:9" s="777" customFormat="1">
      <c r="A35" s="73" t="s">
        <v>48</v>
      </c>
      <c r="B35" s="160">
        <f t="shared" ref="B35:F35" si="9">SUM(B32:B34)</f>
        <v>7178968.6080716485</v>
      </c>
      <c r="C35" s="160">
        <f t="shared" si="9"/>
        <v>12065902.951929517</v>
      </c>
      <c r="D35" s="160">
        <f t="shared" si="9"/>
        <v>14504128.600900002</v>
      </c>
      <c r="E35" s="160">
        <f t="shared" si="9"/>
        <v>9332731.1772038378</v>
      </c>
      <c r="F35" s="160">
        <f t="shared" si="9"/>
        <v>9849930.1802269034</v>
      </c>
      <c r="G35" s="160">
        <f t="shared" ref="G35:I35" si="10">SUM(G32:G34)</f>
        <v>37412629.716148347</v>
      </c>
      <c r="H35" s="160">
        <f t="shared" si="10"/>
        <v>27513751.317151785</v>
      </c>
      <c r="I35" s="160">
        <f t="shared" si="10"/>
        <v>27141765.140246708</v>
      </c>
    </row>
    <row r="36" spans="1:9">
      <c r="A36" s="22" t="s">
        <v>532</v>
      </c>
      <c r="B36" s="23">
        <f>'AT Sch 4.0'!B25</f>
        <v>4335756.45</v>
      </c>
      <c r="C36" s="14">
        <f>'AT Sch 4.0'!C25</f>
        <v>4863063.59</v>
      </c>
      <c r="D36" s="14">
        <f>'AT Sch 4.0'!D25</f>
        <v>5006420.1900000013</v>
      </c>
      <c r="E36" s="14">
        <f>'AT Sch 4.0'!E25</f>
        <v>5611076.5300000012</v>
      </c>
      <c r="F36" s="14">
        <f>'AT Sch 4.0'!F25</f>
        <v>3824366.8988450579</v>
      </c>
      <c r="G36" s="14">
        <f>'AT Sch 4.0'!G25</f>
        <v>9322739.5836760011</v>
      </c>
      <c r="H36" s="14">
        <f>'AT Sch 4.0'!H25</f>
        <v>11010699.965675822</v>
      </c>
      <c r="I36" s="14">
        <f>'AT Sch 4.0'!I25</f>
        <v>10473265.777793899</v>
      </c>
    </row>
    <row r="37" spans="1:9">
      <c r="A37" s="8" t="s">
        <v>555</v>
      </c>
      <c r="B37" s="9"/>
      <c r="C37" s="9"/>
      <c r="D37" s="9"/>
      <c r="E37" s="9"/>
      <c r="F37" s="9"/>
      <c r="G37" s="9"/>
      <c r="H37" s="9"/>
      <c r="I37" s="9"/>
    </row>
    <row r="38" spans="1:9">
      <c r="A38" s="13" t="s">
        <v>49</v>
      </c>
      <c r="B38" s="14">
        <f>B36*'AT Sch 5.0'!$C29</f>
        <v>2357297.8098896081</v>
      </c>
      <c r="C38" s="14">
        <f>C36*'AT Sch 5.0'!$C29</f>
        <v>2643988.2595483181</v>
      </c>
      <c r="D38" s="14">
        <f>D36*'AT Sch 5.0'!$C29</f>
        <v>2721929.4915133249</v>
      </c>
      <c r="E38" s="14">
        <f>E36*'AT Sch 5.0'!$C29</f>
        <v>3050673.7562004863</v>
      </c>
      <c r="F38" s="14">
        <f>F36*'AT Sch 5.0'!$C29</f>
        <v>2079261.5588132881</v>
      </c>
      <c r="G38" s="14">
        <f>G36*'AT Sch 5.0'!$C29</f>
        <v>5068659.6113512311</v>
      </c>
      <c r="H38" s="14">
        <f>H36*'AT Sch 5.0'!$C29</f>
        <v>5986383.0484388024</v>
      </c>
      <c r="I38" s="14">
        <f>I36*'AT Sch 5.0'!$C29</f>
        <v>5694186.6465735966</v>
      </c>
    </row>
    <row r="39" spans="1:9">
      <c r="A39" s="13" t="s">
        <v>357</v>
      </c>
      <c r="B39" s="14">
        <f>B36*'AT Sch 5.0'!$D29</f>
        <v>1718058.1152215344</v>
      </c>
      <c r="C39" s="14">
        <f>C36*'AT Sch 5.0'!$D29</f>
        <v>1927005.3477376176</v>
      </c>
      <c r="D39" s="14">
        <f>D36*'AT Sch 5.0'!$D29</f>
        <v>1983810.8839435477</v>
      </c>
      <c r="E39" s="14">
        <f>E36*'AT Sch 5.0'!$D29</f>
        <v>2223407.997812144</v>
      </c>
      <c r="F39" s="14">
        <f>F36*'AT Sch 5.0'!$D29</f>
        <v>1515418.2809657967</v>
      </c>
      <c r="G39" s="14">
        <f>G36*'AT Sch 5.0'!$D29</f>
        <v>3694167.0000471505</v>
      </c>
      <c r="H39" s="14">
        <f>H36*'AT Sch 5.0'!$D29</f>
        <v>4363026.9938937221</v>
      </c>
      <c r="I39" s="14">
        <f>I36*'AT Sch 5.0'!$D29</f>
        <v>4150066.8845019615</v>
      </c>
    </row>
    <row r="40" spans="1:9">
      <c r="A40" s="13" t="s">
        <v>50</v>
      </c>
      <c r="B40" s="14">
        <f>B36*'AT Sch 5.0'!$E29</f>
        <v>260400.52488885756</v>
      </c>
      <c r="C40" s="14">
        <f>C36*'AT Sch 5.0'!$E29</f>
        <v>292069.98271406407</v>
      </c>
      <c r="D40" s="14">
        <f>D36*'AT Sch 5.0'!$E29</f>
        <v>300679.81454312871</v>
      </c>
      <c r="E40" s="14">
        <f>E36*'AT Sch 5.0'!$E29</f>
        <v>336994.77598737116</v>
      </c>
      <c r="F40" s="14">
        <f>F36*'AT Sch 5.0'!$E29</f>
        <v>229687.05906597347</v>
      </c>
      <c r="G40" s="14">
        <f>G36*'AT Sch 5.0'!$E29</f>
        <v>559912.97227761953</v>
      </c>
      <c r="H40" s="14">
        <f>H36*'AT Sch 5.0'!$E29</f>
        <v>661289.92334329791</v>
      </c>
      <c r="I40" s="14">
        <f>I36*'AT Sch 5.0'!$E29</f>
        <v>629012.24671834137</v>
      </c>
    </row>
    <row r="41" spans="1:9" s="777" customFormat="1">
      <c r="A41" s="73" t="s">
        <v>48</v>
      </c>
      <c r="B41" s="160">
        <f t="shared" ref="B41:F41" si="11">SUM(B38:B40)</f>
        <v>4335756.45</v>
      </c>
      <c r="C41" s="160">
        <f t="shared" si="11"/>
        <v>4863063.59</v>
      </c>
      <c r="D41" s="160">
        <f t="shared" si="11"/>
        <v>5006420.1900000013</v>
      </c>
      <c r="E41" s="160">
        <f t="shared" si="11"/>
        <v>5611076.5300000012</v>
      </c>
      <c r="F41" s="160">
        <f t="shared" si="11"/>
        <v>3824366.8988450579</v>
      </c>
      <c r="G41" s="160">
        <f t="shared" ref="G41:I41" si="12">SUM(G38:G40)</f>
        <v>9322739.5836760011</v>
      </c>
      <c r="H41" s="160">
        <f t="shared" si="12"/>
        <v>11010699.965675822</v>
      </c>
      <c r="I41" s="160">
        <f t="shared" si="12"/>
        <v>10473265.777793899</v>
      </c>
    </row>
    <row r="42" spans="1:9">
      <c r="A42" s="22" t="s">
        <v>554</v>
      </c>
      <c r="B42" s="23">
        <f>'AT Sch 4.0'!B28</f>
        <v>6413349.0628814399</v>
      </c>
      <c r="C42" s="14">
        <f>'AT Sch 4.0'!C28</f>
        <v>5845166.672836856</v>
      </c>
      <c r="D42" s="14">
        <f>'AT Sch 4.0'!D28</f>
        <v>6560273.5700000003</v>
      </c>
      <c r="E42" s="14">
        <f>'AT Sch 4.0'!E28</f>
        <v>6924637.3899999997</v>
      </c>
      <c r="F42" s="14">
        <f>'AT Sch 4.0'!F28</f>
        <v>7552467.7405053275</v>
      </c>
      <c r="G42" s="14">
        <f>'AT Sch 4.0'!G28</f>
        <v>6165277.7757338639</v>
      </c>
      <c r="H42" s="14">
        <f>'AT Sch 4.0'!H28</f>
        <v>8573908.8653075434</v>
      </c>
      <c r="I42" s="14">
        <f>'AT Sch 4.0'!I28</f>
        <v>9296132.991511168</v>
      </c>
    </row>
    <row r="43" spans="1:9">
      <c r="A43" s="8" t="s">
        <v>553</v>
      </c>
      <c r="B43" s="9"/>
      <c r="C43" s="9"/>
      <c r="D43" s="9"/>
      <c r="E43" s="9"/>
      <c r="F43" s="9"/>
      <c r="G43" s="9"/>
      <c r="H43" s="9"/>
      <c r="I43" s="9"/>
    </row>
    <row r="44" spans="1:9">
      <c r="A44" s="13" t="s">
        <v>49</v>
      </c>
      <c r="B44" s="14">
        <f>B42*'AT Sch 5.0'!$C37</f>
        <v>0</v>
      </c>
      <c r="C44" s="14">
        <f>C42*'AT Sch 5.0'!$C37</f>
        <v>0</v>
      </c>
      <c r="D44" s="14">
        <f>D42*'AT Sch 5.0'!$C37</f>
        <v>0</v>
      </c>
      <c r="E44" s="14">
        <f>E42*'AT Sch 5.0'!$C37</f>
        <v>0</v>
      </c>
      <c r="F44" s="14">
        <f>F42*'AT Sch 5.0'!$C37</f>
        <v>0</v>
      </c>
      <c r="G44" s="14">
        <f>G42*'AT Sch 5.0'!$C37</f>
        <v>0</v>
      </c>
      <c r="H44" s="14">
        <f>H42*'AT Sch 5.0'!$C37</f>
        <v>0</v>
      </c>
      <c r="I44" s="14">
        <f>I42*'AT Sch 5.0'!$C37</f>
        <v>0</v>
      </c>
    </row>
    <row r="45" spans="1:9">
      <c r="A45" s="13" t="s">
        <v>357</v>
      </c>
      <c r="B45" s="14">
        <f>B42*'AT Sch 5.0'!$D37</f>
        <v>3379041.7665111087</v>
      </c>
      <c r="C45" s="14">
        <f>C42*'AT Sch 5.0'!$D37</f>
        <v>3079679.9185698144</v>
      </c>
      <c r="D45" s="14">
        <f>D42*'AT Sch 5.0'!$D37</f>
        <v>3456452.8104461818</v>
      </c>
      <c r="E45" s="14">
        <f>E42*'AT Sch 5.0'!$D37</f>
        <v>3648427.4798293528</v>
      </c>
      <c r="F45" s="14">
        <f>F42*'AT Sch 5.0'!$D37</f>
        <v>3979216.4257981945</v>
      </c>
      <c r="G45" s="14">
        <f>G42*'AT Sch 5.0'!$D37</f>
        <v>3248338.8791234046</v>
      </c>
      <c r="H45" s="14">
        <f>H42*'AT Sch 5.0'!$D37</f>
        <v>4517389.5688623991</v>
      </c>
      <c r="I45" s="14">
        <f>I42*'AT Sch 5.0'!$D37</f>
        <v>4897912.3601990649</v>
      </c>
    </row>
    <row r="46" spans="1:9">
      <c r="A46" s="13" t="s">
        <v>50</v>
      </c>
      <c r="B46" s="14">
        <f>B42*'AT Sch 5.0'!$E37</f>
        <v>3034307.2963703307</v>
      </c>
      <c r="C46" s="14">
        <f>C42*'AT Sch 5.0'!$E37</f>
        <v>2765486.7542670411</v>
      </c>
      <c r="D46" s="14">
        <f>D42*'AT Sch 5.0'!$E37</f>
        <v>3103820.759553818</v>
      </c>
      <c r="E46" s="14">
        <f>E42*'AT Sch 5.0'!$E37</f>
        <v>3276209.9101706469</v>
      </c>
      <c r="F46" s="14">
        <f>F42*'AT Sch 5.0'!$E37</f>
        <v>3573251.3147071325</v>
      </c>
      <c r="G46" s="14">
        <f>G42*'AT Sch 5.0'!$E37</f>
        <v>2916938.8966104588</v>
      </c>
      <c r="H46" s="14">
        <f>H42*'AT Sch 5.0'!$E37</f>
        <v>4056519.2964451443</v>
      </c>
      <c r="I46" s="14">
        <f>I42*'AT Sch 5.0'!$E37</f>
        <v>4398220.6313121021</v>
      </c>
    </row>
    <row r="47" spans="1:9" s="777" customFormat="1">
      <c r="A47" s="73" t="s">
        <v>48</v>
      </c>
      <c r="B47" s="160">
        <f t="shared" ref="B47:F47" si="13">SUM(B44:B46)</f>
        <v>6413349.0628814399</v>
      </c>
      <c r="C47" s="160">
        <f t="shared" si="13"/>
        <v>5845166.6728368551</v>
      </c>
      <c r="D47" s="160">
        <f t="shared" si="13"/>
        <v>6560273.5700000003</v>
      </c>
      <c r="E47" s="160">
        <f t="shared" si="13"/>
        <v>6924637.3899999997</v>
      </c>
      <c r="F47" s="160">
        <f t="shared" si="13"/>
        <v>7552467.7405053265</v>
      </c>
      <c r="G47" s="160">
        <f t="shared" ref="G47:I47" si="14">SUM(G44:G46)</f>
        <v>6165277.7757338639</v>
      </c>
      <c r="H47" s="160">
        <f t="shared" si="14"/>
        <v>8573908.8653075434</v>
      </c>
      <c r="I47" s="160">
        <f t="shared" si="14"/>
        <v>9296132.9915111661</v>
      </c>
    </row>
    <row r="48" spans="1:9">
      <c r="A48" s="9"/>
    </row>
    <row r="49" spans="1:9">
      <c r="A49" s="11" t="s">
        <v>518</v>
      </c>
      <c r="B49" s="102">
        <f t="shared" ref="B49:F49" si="15">SUM(B11,B17,B23,B29,B35,B41,B47)</f>
        <v>37055196.41095309</v>
      </c>
      <c r="C49" s="102">
        <f t="shared" si="15"/>
        <v>41834923.26476638</v>
      </c>
      <c r="D49" s="102">
        <f t="shared" si="15"/>
        <v>50558042.183700003</v>
      </c>
      <c r="E49" s="102">
        <f t="shared" si="15"/>
        <v>47648129.823783197</v>
      </c>
      <c r="F49" s="102">
        <f t="shared" si="15"/>
        <v>50370050.750540912</v>
      </c>
      <c r="G49" s="102">
        <f t="shared" ref="G49:I49" si="16">SUM(G11,G17,G23,G29,G35,G41,G47)</f>
        <v>83175501.130605489</v>
      </c>
      <c r="H49" s="102">
        <f t="shared" si="16"/>
        <v>88146229.072268471</v>
      </c>
      <c r="I49" s="102">
        <f t="shared" si="16"/>
        <v>90872253.417974576</v>
      </c>
    </row>
    <row r="50" spans="1:9">
      <c r="A50" s="11" t="s">
        <v>251</v>
      </c>
      <c r="B50" s="106">
        <f>B49-'AT Sch 4.0'!B54</f>
        <v>0</v>
      </c>
      <c r="C50" s="106">
        <f>C49-'AT Sch 4.0'!C54</f>
        <v>0</v>
      </c>
      <c r="D50" s="106">
        <f>D49-'AT Sch 4.0'!D54</f>
        <v>0</v>
      </c>
      <c r="E50" s="106">
        <f>E49-'AT Sch 4.0'!E54</f>
        <v>0</v>
      </c>
      <c r="F50" s="106">
        <f>F49-'AT Sch 4.0'!F54</f>
        <v>0</v>
      </c>
      <c r="G50" s="106">
        <f>G49-'AT Sch 4.0'!G54</f>
        <v>0</v>
      </c>
      <c r="H50" s="106">
        <f>H49-'AT Sch 4.0'!H54</f>
        <v>0</v>
      </c>
      <c r="I50" s="106">
        <f>I49-'AT Sch 4.0'!I54</f>
        <v>0</v>
      </c>
    </row>
    <row r="51" spans="1:9">
      <c r="A51" s="9"/>
    </row>
    <row r="52" spans="1:9">
      <c r="A52" s="9"/>
    </row>
    <row r="53" spans="1:9">
      <c r="A53" s="9"/>
    </row>
    <row r="54" spans="1:9">
      <c r="A54" s="9"/>
    </row>
    <row r="55" spans="1:9">
      <c r="A55" s="9"/>
    </row>
    <row r="56" spans="1:9">
      <c r="A56" s="9"/>
    </row>
    <row r="57" spans="1:9">
      <c r="A57" s="9"/>
    </row>
    <row r="58" spans="1:9">
      <c r="A58" s="9"/>
    </row>
    <row r="59" spans="1:9">
      <c r="A59" s="9"/>
    </row>
    <row r="60" spans="1:9">
      <c r="A60" s="9"/>
    </row>
    <row r="61" spans="1:9">
      <c r="A61" s="9"/>
    </row>
    <row r="62" spans="1:9">
      <c r="A62" s="9"/>
    </row>
    <row r="63" spans="1:9">
      <c r="A63" s="9"/>
    </row>
    <row r="64" spans="1:9">
      <c r="A64" s="9"/>
    </row>
    <row r="65" spans="1:1">
      <c r="A65" s="9"/>
    </row>
    <row r="66" spans="1:1">
      <c r="A66" s="9"/>
    </row>
    <row r="67" spans="1:1">
      <c r="A67" s="9"/>
    </row>
    <row r="68" spans="1:1">
      <c r="A68" s="9"/>
    </row>
    <row r="69" spans="1:1">
      <c r="A69" s="9"/>
    </row>
    <row r="70" spans="1:1">
      <c r="A70" s="9"/>
    </row>
    <row r="71" spans="1:1">
      <c r="A71" s="9"/>
    </row>
    <row r="72" spans="1:1">
      <c r="A72" s="9"/>
    </row>
    <row r="73" spans="1:1">
      <c r="A73" s="9"/>
    </row>
    <row r="74" spans="1:1">
      <c r="A74" s="9"/>
    </row>
    <row r="75" spans="1:1">
      <c r="A75" s="9"/>
    </row>
    <row r="76" spans="1:1">
      <c r="A76" s="9"/>
    </row>
    <row r="77" spans="1:1">
      <c r="A77" s="9"/>
    </row>
    <row r="78" spans="1:1">
      <c r="A78" s="9"/>
    </row>
    <row r="79" spans="1:1">
      <c r="A79" s="9"/>
    </row>
    <row r="80" spans="1:1">
      <c r="A80" s="9"/>
    </row>
    <row r="81" spans="1:1">
      <c r="A81" s="9"/>
    </row>
    <row r="82" spans="1:1">
      <c r="A82" s="9"/>
    </row>
    <row r="83" spans="1:1">
      <c r="A83" s="9"/>
    </row>
    <row r="84" spans="1:1">
      <c r="A84" s="9"/>
    </row>
    <row r="85" spans="1:1">
      <c r="A85" s="9"/>
    </row>
    <row r="86" spans="1:1">
      <c r="A86" s="9"/>
    </row>
    <row r="87" spans="1:1">
      <c r="A87" s="9"/>
    </row>
    <row r="88" spans="1:1">
      <c r="A88" s="9"/>
    </row>
    <row r="89" spans="1:1">
      <c r="A89" s="9"/>
    </row>
    <row r="90" spans="1:1">
      <c r="A90" s="9"/>
    </row>
    <row r="91" spans="1:1">
      <c r="A91" s="9"/>
    </row>
    <row r="92" spans="1:1">
      <c r="A92" s="9"/>
    </row>
    <row r="93" spans="1:1">
      <c r="A93" s="9"/>
    </row>
    <row r="94" spans="1:1">
      <c r="A94" s="9"/>
    </row>
    <row r="95" spans="1:1">
      <c r="A95" s="9"/>
    </row>
    <row r="96" spans="1:1">
      <c r="A96" s="9"/>
    </row>
    <row r="97" spans="1:1">
      <c r="A97" s="9"/>
    </row>
    <row r="98" spans="1:1">
      <c r="A98" s="9"/>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2" tint="-0.499984740745262"/>
  </sheetPr>
  <dimension ref="A1:I87"/>
  <sheetViews>
    <sheetView showGridLines="0" topLeftCell="A29" workbookViewId="0">
      <selection activeCell="B9" sqref="B9"/>
    </sheetView>
  </sheetViews>
  <sheetFormatPr defaultColWidth="9.109375" defaultRowHeight="13.8"/>
  <cols>
    <col min="1" max="1" width="62.109375" style="4" bestFit="1" customWidth="1"/>
    <col min="2" max="2" width="12.6640625" style="4" customWidth="1"/>
    <col min="3" max="6" width="11.88671875" style="4" customWidth="1"/>
    <col min="7" max="7" width="11.33203125" style="4" bestFit="1" customWidth="1"/>
    <col min="8" max="9" width="9.88671875" style="4" bestFit="1" customWidth="1"/>
    <col min="10" max="16384" width="9.109375" style="4"/>
  </cols>
  <sheetData>
    <row r="1" spans="1:9">
      <c r="A1" s="22" t="s">
        <v>563</v>
      </c>
    </row>
    <row r="2" spans="1:9">
      <c r="A2" s="8" t="s">
        <v>378</v>
      </c>
    </row>
    <row r="3" spans="1:9">
      <c r="A3" s="5" t="s">
        <v>482</v>
      </c>
      <c r="B3" s="6">
        <v>2010</v>
      </c>
      <c r="C3" s="6">
        <v>2011</v>
      </c>
      <c r="D3" s="6">
        <v>2012</v>
      </c>
      <c r="E3" s="6">
        <v>2013</v>
      </c>
      <c r="F3" s="6">
        <v>2014</v>
      </c>
      <c r="G3" s="598">
        <f>F3+1</f>
        <v>2015</v>
      </c>
      <c r="H3" s="598">
        <f t="shared" ref="H3:I3" si="0">G3+1</f>
        <v>2016</v>
      </c>
      <c r="I3" s="598">
        <f t="shared" si="0"/>
        <v>2017</v>
      </c>
    </row>
    <row r="4" spans="1:9">
      <c r="A4" s="21"/>
      <c r="B4" s="34"/>
      <c r="C4" s="34"/>
      <c r="D4" s="34"/>
      <c r="E4" s="34"/>
      <c r="F4" s="34"/>
      <c r="G4" s="34"/>
      <c r="H4" s="34"/>
      <c r="I4" s="34"/>
    </row>
    <row r="5" spans="1:9">
      <c r="A5" s="22" t="s">
        <v>679</v>
      </c>
      <c r="B5" s="9"/>
      <c r="C5" s="9"/>
      <c r="D5" s="9"/>
      <c r="E5" s="9"/>
      <c r="F5" s="9"/>
      <c r="G5" s="9"/>
      <c r="H5" s="9"/>
      <c r="I5" s="9"/>
    </row>
    <row r="6" spans="1:9">
      <c r="A6" s="13" t="s">
        <v>49</v>
      </c>
      <c r="B6" s="14">
        <f>'AT Sch 5.1'!B8+'AT Sch 5.1'!B44</f>
        <v>0</v>
      </c>
      <c r="C6" s="14">
        <f>'AT Sch 5.1'!C8+'AT Sch 5.1'!C44</f>
        <v>0</v>
      </c>
      <c r="D6" s="14">
        <f>'AT Sch 5.1'!D8+'AT Sch 5.1'!D44</f>
        <v>0</v>
      </c>
      <c r="E6" s="14">
        <f>'AT Sch 5.1'!E8+'AT Sch 5.1'!E44</f>
        <v>0</v>
      </c>
      <c r="F6" s="14">
        <f>'AT Sch 5.1'!F8+'AT Sch 5.1'!F44</f>
        <v>0</v>
      </c>
      <c r="G6" s="14">
        <f>'AT Sch 5.1'!G8+'AT Sch 5.1'!G44</f>
        <v>0</v>
      </c>
      <c r="H6" s="14">
        <f>'AT Sch 5.1'!H8+'AT Sch 5.1'!H44</f>
        <v>0</v>
      </c>
      <c r="I6" s="14">
        <f>'AT Sch 5.1'!I8+'AT Sch 5.1'!I44</f>
        <v>0</v>
      </c>
    </row>
    <row r="7" spans="1:9">
      <c r="A7" s="13" t="s">
        <v>357</v>
      </c>
      <c r="B7" s="14">
        <f>'AT Sch 5.1'!B9+'AT Sch 5.1'!B45</f>
        <v>6698362.5956592355</v>
      </c>
      <c r="C7" s="14">
        <f>'AT Sch 5.1'!C9+'AT Sch 5.1'!C45</f>
        <v>6251475.3775335802</v>
      </c>
      <c r="D7" s="14">
        <f>'AT Sch 5.1'!D9+'AT Sch 5.1'!D45</f>
        <v>6279983.0205104379</v>
      </c>
      <c r="E7" s="14">
        <f>'AT Sch 5.1'!E9+'AT Sch 5.1'!E45</f>
        <v>7238414.1594073717</v>
      </c>
      <c r="F7" s="14">
        <f>'AT Sch 5.1'!F9+'AT Sch 5.1'!F45</f>
        <v>8356796.6358478013</v>
      </c>
      <c r="G7" s="14">
        <f>'AT Sch 5.1'!G9+'AT Sch 5.1'!G45</f>
        <v>6620347.3404802326</v>
      </c>
      <c r="H7" s="14">
        <f>'AT Sch 5.1'!H9+'AT Sch 5.1'!H45</f>
        <v>8837775.4099758342</v>
      </c>
      <c r="I7" s="14">
        <f>'AT Sch 5.1'!I9+'AT Sch 5.1'!I45</f>
        <v>9534423.9945647027</v>
      </c>
    </row>
    <row r="8" spans="1:9">
      <c r="A8" s="13" t="s">
        <v>50</v>
      </c>
      <c r="B8" s="14">
        <f>'AT Sch 5.1'!B10+'AT Sch 5.1'!B46</f>
        <v>6014986.4672222035</v>
      </c>
      <c r="C8" s="14">
        <f>'AT Sch 5.1'!C10+'AT Sch 5.1'!C46</f>
        <v>5613691.2953032749</v>
      </c>
      <c r="D8" s="14">
        <f>'AT Sch 5.1'!D10+'AT Sch 5.1'!D46</f>
        <v>5639290.5494895615</v>
      </c>
      <c r="E8" s="14">
        <f>'AT Sch 5.1'!E10+'AT Sch 5.1'!E46</f>
        <v>6499941.2305926271</v>
      </c>
      <c r="F8" s="14">
        <f>'AT Sch 5.1'!F10+'AT Sch 5.1'!F46</f>
        <v>7504224.7946575228</v>
      </c>
      <c r="G8" s="14">
        <f>'AT Sch 5.1'!G10+'AT Sch 5.1'!G46</f>
        <v>5944930.4352536313</v>
      </c>
      <c r="H8" s="14">
        <f>'AT Sch 5.1'!H10+'AT Sch 5.1'!H46</f>
        <v>7936133.4553317083</v>
      </c>
      <c r="I8" s="14">
        <f>'AT Sch 5.1'!I10+'AT Sch 5.1'!I46</f>
        <v>8561708.9969464634</v>
      </c>
    </row>
    <row r="9" spans="1:9" s="777" customFormat="1">
      <c r="A9" s="73" t="s">
        <v>48</v>
      </c>
      <c r="B9" s="160">
        <f t="shared" ref="B9:F9" si="1">SUM(B6:B8)</f>
        <v>12713349.06288144</v>
      </c>
      <c r="C9" s="163">
        <f t="shared" si="1"/>
        <v>11865166.672836855</v>
      </c>
      <c r="D9" s="163">
        <f t="shared" si="1"/>
        <v>11919273.57</v>
      </c>
      <c r="E9" s="163">
        <f t="shared" si="1"/>
        <v>13738355.389999999</v>
      </c>
      <c r="F9" s="163">
        <f t="shared" si="1"/>
        <v>15861021.430505324</v>
      </c>
      <c r="G9" s="163">
        <f t="shared" ref="G9:I9" si="2">SUM(G6:G8)</f>
        <v>12565277.775733864</v>
      </c>
      <c r="H9" s="163">
        <f t="shared" si="2"/>
        <v>16773908.865307543</v>
      </c>
      <c r="I9" s="163">
        <f t="shared" si="2"/>
        <v>18096132.991511166</v>
      </c>
    </row>
    <row r="10" spans="1:9">
      <c r="A10" s="22" t="s">
        <v>680</v>
      </c>
      <c r="B10" s="2"/>
      <c r="C10" s="2"/>
      <c r="D10" s="2"/>
      <c r="E10" s="2"/>
      <c r="F10" s="2"/>
      <c r="G10" s="2"/>
      <c r="H10" s="2"/>
      <c r="I10" s="2"/>
    </row>
    <row r="11" spans="1:9">
      <c r="A11" s="13" t="s">
        <v>49</v>
      </c>
      <c r="B11" s="14">
        <f>+'AT Sch 5.1'!B14+'AT Sch 5.1'!B20+'AT Sch 5.1'!B26+'AT Sch 5.1'!B32+'AT Sch 5.1'!B38</f>
        <v>7536654.2298006862</v>
      </c>
      <c r="C11" s="14">
        <f>+'AT Sch 5.1'!C14+'AT Sch 5.1'!C20+'AT Sch 5.1'!C26+'AT Sch 5.1'!C32+'AT Sch 5.1'!C38</f>
        <v>9556622.6228134092</v>
      </c>
      <c r="D11" s="14">
        <f>+'AT Sch 5.1'!D14+'AT Sch 5.1'!D20+'AT Sch 5.1'!D26+'AT Sch 5.1'!D32+'AT Sch 5.1'!D38</f>
        <v>11386215.308884608</v>
      </c>
      <c r="E11" s="14">
        <f>+'AT Sch 5.1'!E14+'AT Sch 5.1'!E20+'AT Sch 5.1'!E26+'AT Sch 5.1'!E32+'AT Sch 5.1'!E38</f>
        <v>10053200.3344667</v>
      </c>
      <c r="F11" s="14">
        <f>+'AT Sch 5.1'!F14+'AT Sch 5.1'!F20+'AT Sch 5.1'!F26+'AT Sch 5.1'!F32+'AT Sch 5.1'!F38</f>
        <v>9446729.9967663437</v>
      </c>
      <c r="G11" s="14">
        <f>+'AT Sch 5.1'!G14+'AT Sch 5.1'!G20+'AT Sch 5.1'!G26+'AT Sch 5.1'!G32+'AT Sch 5.1'!G38</f>
        <v>22628340.075209394</v>
      </c>
      <c r="H11" s="14">
        <f>+'AT Sch 5.1'!H14+'AT Sch 5.1'!H20+'AT Sch 5.1'!H26+'AT Sch 5.1'!H32+'AT Sch 5.1'!H38</f>
        <v>21573000.435184926</v>
      </c>
      <c r="I11" s="14">
        <f>+'AT Sch 5.1'!I14+'AT Sch 5.1'!I20+'AT Sch 5.1'!I26+'AT Sch 5.1'!I32+'AT Sch 5.1'!I38</f>
        <v>21561848.577128667</v>
      </c>
    </row>
    <row r="12" spans="1:9">
      <c r="A12" s="13" t="s">
        <v>357</v>
      </c>
      <c r="B12" s="14">
        <f>+'AT Sch 5.1'!B15+'AT Sch 5.1'!B21+'AT Sch 5.1'!B27+'AT Sch 5.1'!B33+'AT Sch 5.1'!B39</f>
        <v>9294048.4386661816</v>
      </c>
      <c r="C12" s="14">
        <f>+'AT Sch 5.1'!C15+'AT Sch 5.1'!C21+'AT Sch 5.1'!C27+'AT Sch 5.1'!C33+'AT Sch 5.1'!C39</f>
        <v>12257144.314612279</v>
      </c>
      <c r="D12" s="14">
        <f>+'AT Sch 5.1'!D15+'AT Sch 5.1'!D21+'AT Sch 5.1'!D27+'AT Sch 5.1'!D33+'AT Sch 5.1'!D39</f>
        <v>14623750.389488032</v>
      </c>
      <c r="E12" s="14">
        <f>+'AT Sch 5.1'!E15+'AT Sch 5.1'!E21+'AT Sch 5.1'!E27+'AT Sch 5.1'!E33+'AT Sch 5.1'!E39</f>
        <v>12294586.43802469</v>
      </c>
      <c r="F12" s="14">
        <f>+'AT Sch 5.1'!F15+'AT Sch 5.1'!F21+'AT Sch 5.1'!F27+'AT Sch 5.1'!F33+'AT Sch 5.1'!F39</f>
        <v>11980256.452606566</v>
      </c>
      <c r="G12" s="14">
        <f>+'AT Sch 5.1'!G15+'AT Sch 5.1'!G21+'AT Sch 5.1'!G27+'AT Sch 5.1'!G33+'AT Sch 5.1'!G39</f>
        <v>30256069.799082309</v>
      </c>
      <c r="H12" s="14">
        <f>+'AT Sch 5.1'!H15+'AT Sch 5.1'!H21+'AT Sch 5.1'!H27+'AT Sch 5.1'!H33+'AT Sch 5.1'!H39</f>
        <v>27112242.981167145</v>
      </c>
      <c r="I12" s="14">
        <f>+'AT Sch 5.1'!I15+'AT Sch 5.1'!I21+'AT Sch 5.1'!I27+'AT Sch 5.1'!I33+'AT Sch 5.1'!I39</f>
        <v>27197354.636112619</v>
      </c>
    </row>
    <row r="13" spans="1:9">
      <c r="A13" s="13" t="s">
        <v>50</v>
      </c>
      <c r="B13" s="14">
        <f>+'AT Sch 5.1'!B16+'AT Sch 5.1'!B22+'AT Sch 5.1'!B28+'AT Sch 5.1'!B34+'AT Sch 5.1'!B40</f>
        <v>7511144.6796047809</v>
      </c>
      <c r="C13" s="14">
        <f>+'AT Sch 5.1'!C16+'AT Sch 5.1'!C22+'AT Sch 5.1'!C28+'AT Sch 5.1'!C34+'AT Sch 5.1'!C40</f>
        <v>8155989.6545038326</v>
      </c>
      <c r="D13" s="14">
        <f>+'AT Sch 5.1'!D16+'AT Sch 5.1'!D22+'AT Sch 5.1'!D28+'AT Sch 5.1'!D34+'AT Sch 5.1'!D40</f>
        <v>12628802.915327365</v>
      </c>
      <c r="E13" s="14">
        <f>+'AT Sch 5.1'!E16+'AT Sch 5.1'!E22+'AT Sch 5.1'!E28+'AT Sch 5.1'!E34+'AT Sch 5.1'!E40</f>
        <v>11561987.661291806</v>
      </c>
      <c r="F13" s="14">
        <f>+'AT Sch 5.1'!F16+'AT Sch 5.1'!F22+'AT Sch 5.1'!F28+'AT Sch 5.1'!F34+'AT Sch 5.1'!F40</f>
        <v>13082042.87066268</v>
      </c>
      <c r="G13" s="14">
        <f>+'AT Sch 5.1'!G16+'AT Sch 5.1'!G22+'AT Sch 5.1'!G28+'AT Sch 5.1'!G34+'AT Sch 5.1'!G40</f>
        <v>17725813.480579931</v>
      </c>
      <c r="H13" s="14">
        <f>+'AT Sch 5.1'!H16+'AT Sch 5.1'!H22+'AT Sch 5.1'!H28+'AT Sch 5.1'!H34+'AT Sch 5.1'!H40</f>
        <v>22687076.790608875</v>
      </c>
      <c r="I13" s="14">
        <f>+'AT Sch 5.1'!I16+'AT Sch 5.1'!I22+'AT Sch 5.1'!I28+'AT Sch 5.1'!I34+'AT Sch 5.1'!I40</f>
        <v>24016917.21322212</v>
      </c>
    </row>
    <row r="14" spans="1:9" s="777" customFormat="1">
      <c r="A14" s="73" t="s">
        <v>48</v>
      </c>
      <c r="B14" s="160">
        <f t="shared" ref="B14:F14" si="3">SUM(B11:B13)</f>
        <v>24341847.348071646</v>
      </c>
      <c r="C14" s="160">
        <f t="shared" si="3"/>
        <v>29969756.591929521</v>
      </c>
      <c r="D14" s="160">
        <f t="shared" si="3"/>
        <v>38638768.613700002</v>
      </c>
      <c r="E14" s="160">
        <f t="shared" si="3"/>
        <v>33909774.433783196</v>
      </c>
      <c r="F14" s="160">
        <f t="shared" si="3"/>
        <v>34509029.320035592</v>
      </c>
      <c r="G14" s="160">
        <f t="shared" ref="G14:I14" si="4">SUM(G11:G13)</f>
        <v>70610223.354871631</v>
      </c>
      <c r="H14" s="160">
        <f t="shared" si="4"/>
        <v>71372320.206960946</v>
      </c>
      <c r="I14" s="160">
        <f t="shared" si="4"/>
        <v>72776120.42646341</v>
      </c>
    </row>
    <row r="15" spans="1:9">
      <c r="A15" s="13"/>
      <c r="B15" s="14"/>
      <c r="C15" s="14"/>
      <c r="D15" s="14"/>
      <c r="E15" s="14"/>
      <c r="F15" s="14"/>
      <c r="G15" s="14"/>
      <c r="H15" s="14"/>
      <c r="I15" s="14"/>
    </row>
    <row r="16" spans="1:9">
      <c r="A16" s="12" t="s">
        <v>562</v>
      </c>
      <c r="B16" s="14">
        <f>'AT Sch 4.0'!B44-'AT Sch 5.2'!B14-B9</f>
        <v>3097725.8996952288</v>
      </c>
      <c r="C16" s="14">
        <f>'AT Sch 4.0'!C44-'AT Sch 5.2'!C14-C9</f>
        <v>3660428.7663995884</v>
      </c>
      <c r="D16" s="14">
        <f>'AT Sch 4.0'!D44-'AT Sch 5.2'!D14-D9</f>
        <v>5486801.1042734385</v>
      </c>
      <c r="E16" s="14">
        <f>'AT Sch 4.0'!E44-'AT Sch 5.2'!E14-E9</f>
        <v>6256387.8554899562</v>
      </c>
      <c r="F16" s="14">
        <f>'AT Sch 4.0'!F44-'AT Sch 5.2'!F14-F9</f>
        <v>4721002.225044962</v>
      </c>
      <c r="G16" s="14">
        <f>'AT Sch 4.0'!G44-'AT Sch 5.2'!G14-G9</f>
        <v>-19552542.915652886</v>
      </c>
      <c r="H16" s="14">
        <f>'AT Sch 4.0'!H44-'AT Sch 5.2'!H14-H9</f>
        <v>-5930370.1182656623</v>
      </c>
      <c r="I16" s="14">
        <f>'AT Sch 4.0'!I44-'AT Sch 5.2'!I14-I9</f>
        <v>-3660495.5605900288</v>
      </c>
    </row>
    <row r="17" spans="1:9">
      <c r="A17" s="21"/>
      <c r="B17" s="18"/>
      <c r="C17" s="18"/>
      <c r="D17" s="18"/>
      <c r="E17" s="18"/>
      <c r="F17" s="18"/>
      <c r="G17" s="18"/>
      <c r="H17" s="18"/>
      <c r="I17" s="18"/>
    </row>
    <row r="18" spans="1:9">
      <c r="A18" s="12" t="s">
        <v>681</v>
      </c>
      <c r="B18" s="14"/>
      <c r="C18" s="14"/>
      <c r="D18" s="14"/>
      <c r="E18" s="14"/>
      <c r="F18" s="14"/>
      <c r="G18" s="14"/>
      <c r="H18" s="14"/>
      <c r="I18" s="14"/>
    </row>
    <row r="19" spans="1:9">
      <c r="A19" s="13" t="s">
        <v>49</v>
      </c>
      <c r="B19" s="14">
        <f t="shared" ref="B19:F19" si="5">B$16*B11/B$14</f>
        <v>959109.16993531655</v>
      </c>
      <c r="C19" s="14">
        <f t="shared" si="5"/>
        <v>1167221.2368782242</v>
      </c>
      <c r="D19" s="14">
        <f t="shared" si="5"/>
        <v>1616870.8520419064</v>
      </c>
      <c r="E19" s="14">
        <f t="shared" si="5"/>
        <v>1854825.6817274219</v>
      </c>
      <c r="F19" s="14">
        <f t="shared" si="5"/>
        <v>1292358.3830925007</v>
      </c>
      <c r="G19" s="14">
        <f t="shared" ref="G19:I19" si="6">G$16*G11/G$14</f>
        <v>-6265970.6967205657</v>
      </c>
      <c r="H19" s="14">
        <f t="shared" si="6"/>
        <v>-1792513.9153550344</v>
      </c>
      <c r="I19" s="14">
        <f t="shared" si="6"/>
        <v>-1084518.5279482673</v>
      </c>
    </row>
    <row r="20" spans="1:9">
      <c r="A20" s="13" t="s">
        <v>357</v>
      </c>
      <c r="B20" s="14">
        <f t="shared" ref="B20:F20" si="7">B$16*B12/B$14</f>
        <v>1182753.8867447134</v>
      </c>
      <c r="C20" s="14">
        <f t="shared" si="7"/>
        <v>1497055.9906115457</v>
      </c>
      <c r="D20" s="14">
        <f t="shared" si="7"/>
        <v>2076608.874052278</v>
      </c>
      <c r="E20" s="14">
        <f t="shared" si="7"/>
        <v>2268363.6964124599</v>
      </c>
      <c r="F20" s="14">
        <f t="shared" si="7"/>
        <v>1638957.0638119162</v>
      </c>
      <c r="G20" s="14">
        <f t="shared" ref="G20:I20" si="8">G$16*G12/G$14</f>
        <v>-8378150.8554700064</v>
      </c>
      <c r="H20" s="14">
        <f t="shared" si="8"/>
        <v>-2252772.9958678032</v>
      </c>
      <c r="I20" s="14">
        <f t="shared" si="8"/>
        <v>-1367973.3863510762</v>
      </c>
    </row>
    <row r="21" spans="1:9">
      <c r="A21" s="13" t="s">
        <v>50</v>
      </c>
      <c r="B21" s="14">
        <f t="shared" ref="B21:F21" si="9">B$16*B13/B$14</f>
        <v>955862.84301519918</v>
      </c>
      <c r="C21" s="14">
        <f t="shared" si="9"/>
        <v>996151.53890981851</v>
      </c>
      <c r="D21" s="14">
        <f t="shared" si="9"/>
        <v>1793321.3781792542</v>
      </c>
      <c r="E21" s="14">
        <f t="shared" si="9"/>
        <v>2133198.4773500739</v>
      </c>
      <c r="F21" s="14">
        <f t="shared" si="9"/>
        <v>1789686.7781405449</v>
      </c>
      <c r="G21" s="14">
        <f t="shared" ref="G21:I21" si="10">G$16*G13/G$14</f>
        <v>-4908421.363462314</v>
      </c>
      <c r="H21" s="14">
        <f t="shared" si="10"/>
        <v>-1885083.2070428242</v>
      </c>
      <c r="I21" s="14">
        <f t="shared" si="10"/>
        <v>-1208003.6462906851</v>
      </c>
    </row>
    <row r="22" spans="1:9" s="777" customFormat="1">
      <c r="A22" s="73" t="s">
        <v>48</v>
      </c>
      <c r="B22" s="160">
        <f t="shared" ref="B22:F22" si="11">SUM(B19:B21)</f>
        <v>3097725.8996952293</v>
      </c>
      <c r="C22" s="160">
        <f t="shared" si="11"/>
        <v>3660428.7663995884</v>
      </c>
      <c r="D22" s="160">
        <f t="shared" si="11"/>
        <v>5486801.1042734385</v>
      </c>
      <c r="E22" s="160">
        <f t="shared" si="11"/>
        <v>6256387.8554899562</v>
      </c>
      <c r="F22" s="160">
        <f t="shared" si="11"/>
        <v>4721002.225044962</v>
      </c>
      <c r="G22" s="160">
        <f t="shared" ref="G22:I22" si="12">SUM(G19:G21)</f>
        <v>-19552542.915652886</v>
      </c>
      <c r="H22" s="160">
        <f t="shared" si="12"/>
        <v>-5930370.1182656623</v>
      </c>
      <c r="I22" s="160">
        <f t="shared" si="12"/>
        <v>-3660495.5605900288</v>
      </c>
    </row>
    <row r="23" spans="1:9">
      <c r="A23" s="8"/>
      <c r="B23" s="14"/>
      <c r="C23" s="14"/>
      <c r="D23" s="18"/>
      <c r="E23" s="18"/>
      <c r="F23" s="18"/>
      <c r="G23" s="18"/>
      <c r="H23" s="18"/>
      <c r="I23" s="18"/>
    </row>
    <row r="24" spans="1:9">
      <c r="A24" s="22" t="s">
        <v>561</v>
      </c>
      <c r="B24" s="23">
        <f>'AT Sch 4.0'!B44</f>
        <v>40152922.310648315</v>
      </c>
      <c r="C24" s="23">
        <f>'AT Sch 4.0'!C44</f>
        <v>45495352.031165965</v>
      </c>
      <c r="D24" s="14">
        <f>'AT Sch 4.0'!D44</f>
        <v>56044843.287973441</v>
      </c>
      <c r="E24" s="14">
        <f>'AT Sch 4.0'!E44</f>
        <v>53904517.679273151</v>
      </c>
      <c r="F24" s="14">
        <f>'AT Sch 4.0'!F44</f>
        <v>55091052.975585878</v>
      </c>
      <c r="G24" s="14">
        <f>'AT Sch 4.0'!G44</f>
        <v>63622958.21495261</v>
      </c>
      <c r="H24" s="14">
        <f>'AT Sch 4.0'!H44</f>
        <v>82215858.954002827</v>
      </c>
      <c r="I24" s="14">
        <f>'AT Sch 4.0'!I44</f>
        <v>87211757.857384548</v>
      </c>
    </row>
    <row r="25" spans="1:9">
      <c r="A25" s="12"/>
      <c r="B25" s="14"/>
      <c r="C25" s="14"/>
      <c r="D25" s="14"/>
      <c r="E25" s="14"/>
      <c r="F25" s="14"/>
      <c r="G25" s="14"/>
      <c r="H25" s="14"/>
      <c r="I25" s="14"/>
    </row>
    <row r="26" spans="1:9">
      <c r="A26" s="13" t="s">
        <v>49</v>
      </c>
      <c r="B26" s="14">
        <f t="shared" ref="B26:F26" si="13">B6+B11+B19</f>
        <v>8495763.3997360021</v>
      </c>
      <c r="C26" s="14">
        <f t="shared" si="13"/>
        <v>10723843.859691633</v>
      </c>
      <c r="D26" s="14">
        <f t="shared" si="13"/>
        <v>13003086.160926513</v>
      </c>
      <c r="E26" s="14">
        <f t="shared" si="13"/>
        <v>11908026.016194122</v>
      </c>
      <c r="F26" s="14">
        <f t="shared" si="13"/>
        <v>10739088.379858844</v>
      </c>
      <c r="G26" s="14">
        <f t="shared" ref="G26:I26" si="14">G6+G11+G19</f>
        <v>16362369.378488827</v>
      </c>
      <c r="H26" s="14">
        <f t="shared" si="14"/>
        <v>19780486.519829892</v>
      </c>
      <c r="I26" s="14">
        <f t="shared" si="14"/>
        <v>20477330.0491804</v>
      </c>
    </row>
    <row r="27" spans="1:9">
      <c r="A27" s="13" t="s">
        <v>357</v>
      </c>
      <c r="B27" s="14">
        <f t="shared" ref="B27:F28" si="15">B7+B12+B20</f>
        <v>17175164.921070129</v>
      </c>
      <c r="C27" s="14">
        <f t="shared" si="15"/>
        <v>20005675.682757404</v>
      </c>
      <c r="D27" s="14">
        <f t="shared" si="15"/>
        <v>22980342.284050748</v>
      </c>
      <c r="E27" s="14">
        <f t="shared" si="15"/>
        <v>21801364.293844521</v>
      </c>
      <c r="F27" s="14">
        <f t="shared" si="15"/>
        <v>21976010.152266283</v>
      </c>
      <c r="G27" s="14">
        <f t="shared" ref="G27:I27" si="16">G7+G12+G20</f>
        <v>28498266.284092534</v>
      </c>
      <c r="H27" s="14">
        <f t="shared" si="16"/>
        <v>33697245.395275176</v>
      </c>
      <c r="I27" s="14">
        <f t="shared" si="16"/>
        <v>35363805.244326241</v>
      </c>
    </row>
    <row r="28" spans="1:9">
      <c r="A28" s="13" t="s">
        <v>50</v>
      </c>
      <c r="B28" s="14">
        <f t="shared" si="15"/>
        <v>14481993.989842184</v>
      </c>
      <c r="C28" s="14">
        <f t="shared" si="15"/>
        <v>14765832.488716926</v>
      </c>
      <c r="D28" s="14">
        <f t="shared" si="15"/>
        <v>20061414.842996184</v>
      </c>
      <c r="E28" s="14">
        <f t="shared" si="15"/>
        <v>20195127.369234506</v>
      </c>
      <c r="F28" s="14">
        <f t="shared" si="15"/>
        <v>22375954.443460748</v>
      </c>
      <c r="G28" s="14">
        <f t="shared" ref="G28:I28" si="17">G8+G13+G21</f>
        <v>18762322.552371249</v>
      </c>
      <c r="H28" s="14">
        <f t="shared" si="17"/>
        <v>28738127.03889776</v>
      </c>
      <c r="I28" s="14">
        <f t="shared" si="17"/>
        <v>31370622.563877899</v>
      </c>
    </row>
    <row r="29" spans="1:9" s="777" customFormat="1">
      <c r="A29" s="73" t="s">
        <v>48</v>
      </c>
      <c r="B29" s="160">
        <f t="shared" ref="B29:F29" si="18">SUM(B26:B28)</f>
        <v>40152922.310648315</v>
      </c>
      <c r="C29" s="160">
        <f t="shared" si="18"/>
        <v>45495352.031165957</v>
      </c>
      <c r="D29" s="160">
        <f t="shared" si="18"/>
        <v>56044843.287973449</v>
      </c>
      <c r="E29" s="160">
        <f t="shared" si="18"/>
        <v>53904517.679273143</v>
      </c>
      <c r="F29" s="160">
        <f t="shared" si="18"/>
        <v>55091052.975585878</v>
      </c>
      <c r="G29" s="160">
        <f t="shared" ref="G29:I29" si="19">SUM(G26:G28)</f>
        <v>63622958.21495261</v>
      </c>
      <c r="H29" s="160">
        <f t="shared" si="19"/>
        <v>82215858.954002827</v>
      </c>
      <c r="I29" s="160">
        <f t="shared" si="19"/>
        <v>87211757.857384533</v>
      </c>
    </row>
    <row r="31" spans="1:9">
      <c r="F31" s="103"/>
      <c r="G31" s="104"/>
    </row>
    <row r="41" spans="1:1">
      <c r="A41" s="11"/>
    </row>
    <row r="42" spans="1:1">
      <c r="A42" s="11"/>
    </row>
    <row r="43" spans="1:1">
      <c r="A43" s="9"/>
    </row>
    <row r="44" spans="1:1">
      <c r="A44" s="11"/>
    </row>
    <row r="45" spans="1:1">
      <c r="A45" s="11"/>
    </row>
    <row r="46" spans="1:1">
      <c r="A46" s="11"/>
    </row>
    <row r="47" spans="1:1">
      <c r="A47" s="11"/>
    </row>
    <row r="48" spans="1:1">
      <c r="A48" s="9"/>
    </row>
    <row r="49" spans="1:1">
      <c r="A49" s="11"/>
    </row>
    <row r="50" spans="1:1">
      <c r="A50" s="11"/>
    </row>
    <row r="51" spans="1:1">
      <c r="A51" s="11"/>
    </row>
    <row r="52" spans="1:1">
      <c r="A52" s="11"/>
    </row>
    <row r="53" spans="1:1">
      <c r="A53" s="9"/>
    </row>
    <row r="54" spans="1:1">
      <c r="A54" s="11"/>
    </row>
    <row r="55" spans="1:1">
      <c r="A55" s="11"/>
    </row>
    <row r="56" spans="1:1">
      <c r="A56" s="11"/>
    </row>
    <row r="57" spans="1:1">
      <c r="A57" s="11"/>
    </row>
    <row r="58" spans="1:1">
      <c r="A58" s="9"/>
    </row>
    <row r="59" spans="1:1">
      <c r="A59" s="11"/>
    </row>
    <row r="60" spans="1:1">
      <c r="A60" s="11"/>
    </row>
    <row r="61" spans="1:1">
      <c r="A61" s="11"/>
    </row>
    <row r="62" spans="1:1">
      <c r="A62" s="11"/>
    </row>
    <row r="63" spans="1:1">
      <c r="A63" s="9"/>
    </row>
    <row r="64" spans="1:1">
      <c r="A64" s="11"/>
    </row>
    <row r="65" spans="1:1">
      <c r="A65" s="11"/>
    </row>
    <row r="66" spans="1:1">
      <c r="A66" s="11"/>
    </row>
    <row r="67" spans="1:1">
      <c r="A67" s="11"/>
    </row>
    <row r="68" spans="1:1">
      <c r="A68" s="9"/>
    </row>
    <row r="69" spans="1:1">
      <c r="A69" s="11"/>
    </row>
    <row r="70" spans="1:1">
      <c r="A70" s="11"/>
    </row>
    <row r="71" spans="1:1">
      <c r="A71" s="11"/>
    </row>
    <row r="72" spans="1:1">
      <c r="A72" s="11"/>
    </row>
    <row r="73" spans="1:1">
      <c r="A73" s="105"/>
    </row>
    <row r="74" spans="1:1">
      <c r="A74" s="11"/>
    </row>
    <row r="75" spans="1:1">
      <c r="A75" s="11"/>
    </row>
    <row r="76" spans="1:1">
      <c r="A76" s="11"/>
    </row>
    <row r="77" spans="1:1">
      <c r="A77" s="11"/>
    </row>
    <row r="78" spans="1:1">
      <c r="A78" s="11"/>
    </row>
    <row r="79" spans="1:1">
      <c r="A79" s="105"/>
    </row>
    <row r="80" spans="1:1">
      <c r="A80" s="9"/>
    </row>
    <row r="81" spans="1:1">
      <c r="A81" s="105"/>
    </row>
    <row r="82" spans="1:1">
      <c r="A82" s="11"/>
    </row>
    <row r="83" spans="1:1">
      <c r="A83" s="11"/>
    </row>
    <row r="84" spans="1:1">
      <c r="A84" s="11"/>
    </row>
    <row r="85" spans="1:1">
      <c r="A85" s="11"/>
    </row>
    <row r="86" spans="1:1">
      <c r="A86" s="9"/>
    </row>
    <row r="87" spans="1:1">
      <c r="A87" s="9"/>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ignoredErrors>
    <ignoredError sqref="B26:F28" emptyCellReference="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2" tint="-0.499984740745262"/>
  </sheetPr>
  <dimension ref="A1:I35"/>
  <sheetViews>
    <sheetView showGridLines="0" zoomScale="70" zoomScaleNormal="70" workbookViewId="0">
      <pane ySplit="3" topLeftCell="A4" activePane="bottomLeft" state="frozen"/>
      <selection activeCell="O24" sqref="A1:XFD1048576"/>
      <selection pane="bottomLeft" activeCell="C11" sqref="C11"/>
    </sheetView>
  </sheetViews>
  <sheetFormatPr defaultColWidth="9.109375" defaultRowHeight="13.8"/>
  <cols>
    <col min="1" max="1" width="37.6640625" style="4" customWidth="1"/>
    <col min="2" max="8" width="13.6640625" style="4" bestFit="1" customWidth="1"/>
    <col min="9" max="9" width="13.33203125" style="4" bestFit="1" customWidth="1"/>
    <col min="10" max="16384" width="9.109375" style="4"/>
  </cols>
  <sheetData>
    <row r="1" spans="1:9">
      <c r="A1" s="22" t="s">
        <v>2152</v>
      </c>
    </row>
    <row r="2" spans="1:9">
      <c r="A2" s="8" t="s">
        <v>378</v>
      </c>
    </row>
    <row r="3" spans="1:9">
      <c r="A3" s="5" t="s">
        <v>64</v>
      </c>
      <c r="B3" s="6">
        <v>2010</v>
      </c>
      <c r="C3" s="86">
        <v>2011</v>
      </c>
      <c r="D3" s="86">
        <v>2012</v>
      </c>
      <c r="E3" s="86">
        <v>2013</v>
      </c>
      <c r="F3" s="86">
        <v>2014</v>
      </c>
      <c r="G3" s="86">
        <v>2015</v>
      </c>
      <c r="H3" s="86">
        <v>2016</v>
      </c>
      <c r="I3" s="86">
        <v>2017</v>
      </c>
    </row>
    <row r="4" spans="1:9">
      <c r="A4" s="38"/>
      <c r="B4" s="9"/>
      <c r="C4" s="9"/>
      <c r="D4" s="77"/>
      <c r="E4" s="77"/>
      <c r="F4" s="77"/>
      <c r="G4" s="87"/>
      <c r="H4" s="87"/>
      <c r="I4" s="87"/>
    </row>
    <row r="5" spans="1:9">
      <c r="A5" s="8"/>
      <c r="B5" s="9"/>
      <c r="C5" s="9"/>
    </row>
    <row r="6" spans="1:9">
      <c r="A6" s="28" t="s">
        <v>377</v>
      </c>
      <c r="B6" s="81">
        <v>0</v>
      </c>
      <c r="C6" s="81">
        <v>0</v>
      </c>
      <c r="D6" s="81">
        <v>0</v>
      </c>
      <c r="E6" s="81">
        <v>0</v>
      </c>
      <c r="F6" s="81">
        <v>0</v>
      </c>
      <c r="G6" s="101"/>
      <c r="H6" s="101"/>
      <c r="I6" s="101"/>
    </row>
    <row r="7" spans="1:9">
      <c r="A7" s="28" t="s">
        <v>370</v>
      </c>
      <c r="B7" s="138">
        <v>21029000</v>
      </c>
      <c r="C7" s="138">
        <v>23469396.050000001</v>
      </c>
      <c r="D7" s="138">
        <v>27966328.140000001</v>
      </c>
      <c r="E7" s="138">
        <v>33139000.000000004</v>
      </c>
      <c r="F7" s="138">
        <v>36730000.000000007</v>
      </c>
      <c r="G7" s="138">
        <v>39232000</v>
      </c>
      <c r="H7" s="138">
        <v>35324999.999999993</v>
      </c>
      <c r="I7" s="138">
        <v>38410000</v>
      </c>
    </row>
    <row r="8" spans="1:9">
      <c r="A8" s="28" t="s">
        <v>51</v>
      </c>
      <c r="B8" s="138">
        <v>7719000</v>
      </c>
      <c r="C8" s="138">
        <v>7679757.3200000012</v>
      </c>
      <c r="D8" s="138">
        <v>7580450.4730000002</v>
      </c>
      <c r="E8" s="138">
        <v>9386062.5699999966</v>
      </c>
      <c r="F8" s="138">
        <v>12375000</v>
      </c>
      <c r="G8" s="138">
        <v>15301000.000000002</v>
      </c>
      <c r="H8" s="138">
        <v>16351360.485000001</v>
      </c>
      <c r="I8" s="138">
        <v>18021766.346999999</v>
      </c>
    </row>
    <row r="9" spans="1:9">
      <c r="A9" s="28" t="s">
        <v>376</v>
      </c>
      <c r="B9" s="138">
        <v>9221000</v>
      </c>
      <c r="C9" s="138">
        <v>9549586.8899999969</v>
      </c>
      <c r="D9" s="138">
        <v>6898180.2170000002</v>
      </c>
      <c r="E9" s="138">
        <v>12524937.430000005</v>
      </c>
      <c r="F9" s="138">
        <v>16416000</v>
      </c>
      <c r="G9" s="138">
        <v>19721000</v>
      </c>
      <c r="H9" s="138">
        <v>23878000</v>
      </c>
      <c r="I9" s="138">
        <v>25795000</v>
      </c>
    </row>
    <row r="10" spans="1:9">
      <c r="A10" s="28" t="s">
        <v>375</v>
      </c>
      <c r="B10" s="175">
        <v>0</v>
      </c>
      <c r="C10" s="138">
        <v>0</v>
      </c>
      <c r="D10" s="138">
        <v>0</v>
      </c>
      <c r="E10" s="138">
        <v>0</v>
      </c>
      <c r="F10" s="138">
        <v>0</v>
      </c>
      <c r="G10" s="138">
        <v>0</v>
      </c>
      <c r="H10" s="138">
        <v>0</v>
      </c>
      <c r="I10" s="138">
        <v>0</v>
      </c>
    </row>
    <row r="11" spans="1:9">
      <c r="A11" s="28" t="s">
        <v>369</v>
      </c>
      <c r="B11" s="138">
        <v>-148000</v>
      </c>
      <c r="C11" s="138">
        <v>-124740.26000000002</v>
      </c>
      <c r="D11" s="138">
        <v>-213958.83</v>
      </c>
      <c r="E11" s="138">
        <v>-271000</v>
      </c>
      <c r="F11" s="138">
        <v>-313000</v>
      </c>
      <c r="G11" s="138">
        <v>-324000</v>
      </c>
      <c r="H11" s="138">
        <v>-361999.99999999994</v>
      </c>
      <c r="I11" s="138">
        <v>-369000</v>
      </c>
    </row>
    <row r="12" spans="1:9">
      <c r="A12" s="28" t="s">
        <v>494</v>
      </c>
      <c r="B12" s="138">
        <f>21000+82000</f>
        <v>103000</v>
      </c>
      <c r="C12" s="138">
        <v>0</v>
      </c>
      <c r="D12" s="138">
        <v>0</v>
      </c>
      <c r="E12" s="138">
        <v>0</v>
      </c>
      <c r="F12" s="138">
        <v>0</v>
      </c>
      <c r="G12" s="138">
        <v>0</v>
      </c>
      <c r="H12" s="138">
        <v>0</v>
      </c>
      <c r="I12" s="138">
        <v>0</v>
      </c>
    </row>
    <row r="13" spans="1:9">
      <c r="A13" s="8"/>
      <c r="B13" s="138"/>
      <c r="C13" s="138"/>
      <c r="D13" s="138"/>
      <c r="E13" s="629"/>
      <c r="F13" s="629"/>
      <c r="G13" s="627"/>
      <c r="H13" s="627"/>
      <c r="I13" s="627"/>
    </row>
    <row r="14" spans="1:9" s="777" customFormat="1">
      <c r="A14" s="29" t="s">
        <v>258</v>
      </c>
      <c r="B14" s="711">
        <f t="shared" ref="B14:I14" si="0">SUM(B6:B13)</f>
        <v>37924000</v>
      </c>
      <c r="C14" s="711">
        <f t="shared" si="0"/>
        <v>40574000</v>
      </c>
      <c r="D14" s="711">
        <f t="shared" si="0"/>
        <v>42231000</v>
      </c>
      <c r="E14" s="711">
        <f t="shared" si="0"/>
        <v>54779000.000000007</v>
      </c>
      <c r="F14" s="711">
        <f t="shared" si="0"/>
        <v>65208000.000000007</v>
      </c>
      <c r="G14" s="711">
        <f t="shared" si="0"/>
        <v>73930000</v>
      </c>
      <c r="H14" s="711">
        <f t="shared" si="0"/>
        <v>75192360.484999985</v>
      </c>
      <c r="I14" s="711">
        <f t="shared" si="0"/>
        <v>81857766.347000003</v>
      </c>
    </row>
    <row r="15" spans="1:9">
      <c r="A15" s="78"/>
      <c r="B15" s="713"/>
      <c r="C15" s="713"/>
      <c r="D15" s="713"/>
      <c r="E15" s="713"/>
      <c r="F15" s="713"/>
      <c r="G15" s="639"/>
      <c r="H15" s="639"/>
      <c r="I15" s="639"/>
    </row>
    <row r="16" spans="1:9">
      <c r="A16" s="22" t="s">
        <v>373</v>
      </c>
      <c r="B16" s="644"/>
      <c r="C16" s="644"/>
      <c r="D16" s="629"/>
      <c r="E16" s="629"/>
      <c r="F16" s="629"/>
      <c r="G16" s="627"/>
      <c r="H16" s="627"/>
      <c r="I16" s="627"/>
    </row>
    <row r="17" spans="1:9">
      <c r="A17" s="8" t="str">
        <f t="shared" ref="A17:C19" si="1">A8</f>
        <v>Depreciation</v>
      </c>
      <c r="B17" s="138">
        <f t="shared" si="1"/>
        <v>7719000</v>
      </c>
      <c r="C17" s="138">
        <f t="shared" si="1"/>
        <v>7679757.3200000012</v>
      </c>
      <c r="D17" s="138">
        <f t="shared" ref="D17:F17" si="2">D8</f>
        <v>7580450.4730000002</v>
      </c>
      <c r="E17" s="138">
        <f t="shared" si="2"/>
        <v>9386062.5699999966</v>
      </c>
      <c r="F17" s="138">
        <f t="shared" si="2"/>
        <v>12375000</v>
      </c>
      <c r="G17" s="138">
        <f t="shared" ref="G17:I17" si="3">G8</f>
        <v>15301000.000000002</v>
      </c>
      <c r="H17" s="138">
        <f t="shared" si="3"/>
        <v>16351360.485000001</v>
      </c>
      <c r="I17" s="138">
        <f t="shared" si="3"/>
        <v>18021766.346999999</v>
      </c>
    </row>
    <row r="18" spans="1:9">
      <c r="A18" s="8" t="str">
        <f t="shared" si="1"/>
        <v>Return on Rate Base</v>
      </c>
      <c r="B18" s="138">
        <f t="shared" si="1"/>
        <v>9221000</v>
      </c>
      <c r="C18" s="138">
        <f t="shared" si="1"/>
        <v>9549586.8899999969</v>
      </c>
      <c r="D18" s="138">
        <f t="shared" ref="D18:F18" si="4">D9</f>
        <v>6898180.2170000002</v>
      </c>
      <c r="E18" s="138">
        <f t="shared" si="4"/>
        <v>12524937.430000005</v>
      </c>
      <c r="F18" s="138">
        <f t="shared" si="4"/>
        <v>16416000</v>
      </c>
      <c r="G18" s="138">
        <f t="shared" ref="G18:I18" si="5">G9</f>
        <v>19721000</v>
      </c>
      <c r="H18" s="138">
        <f t="shared" si="5"/>
        <v>23878000</v>
      </c>
      <c r="I18" s="138">
        <f t="shared" si="5"/>
        <v>25795000</v>
      </c>
    </row>
    <row r="19" spans="1:9">
      <c r="A19" s="8" t="str">
        <f t="shared" si="1"/>
        <v>Income Tax Expense</v>
      </c>
      <c r="B19" s="138">
        <f t="shared" si="1"/>
        <v>0</v>
      </c>
      <c r="C19" s="138">
        <f t="shared" si="1"/>
        <v>0</v>
      </c>
      <c r="D19" s="138">
        <f t="shared" ref="D19:F19" si="6">D10</f>
        <v>0</v>
      </c>
      <c r="E19" s="138">
        <f t="shared" si="6"/>
        <v>0</v>
      </c>
      <c r="F19" s="138">
        <f t="shared" si="6"/>
        <v>0</v>
      </c>
      <c r="G19" s="138">
        <f t="shared" ref="G19:I19" si="7">G10</f>
        <v>0</v>
      </c>
      <c r="H19" s="138">
        <f t="shared" si="7"/>
        <v>0</v>
      </c>
      <c r="I19" s="138">
        <f t="shared" si="7"/>
        <v>0</v>
      </c>
    </row>
    <row r="20" spans="1:9">
      <c r="A20" s="8" t="str">
        <f t="shared" ref="A20:C20" si="8">A12</f>
        <v>Deferral &amp; Reserve Accounts</v>
      </c>
      <c r="B20" s="138">
        <f t="shared" si="8"/>
        <v>103000</v>
      </c>
      <c r="C20" s="138">
        <f t="shared" si="8"/>
        <v>0</v>
      </c>
      <c r="D20" s="138">
        <f t="shared" ref="D20:F20" si="9">D12</f>
        <v>0</v>
      </c>
      <c r="E20" s="138">
        <f t="shared" si="9"/>
        <v>0</v>
      </c>
      <c r="F20" s="138">
        <f t="shared" si="9"/>
        <v>0</v>
      </c>
      <c r="G20" s="138">
        <f t="shared" ref="G20:I20" si="10">G12</f>
        <v>0</v>
      </c>
      <c r="H20" s="138">
        <f t="shared" si="10"/>
        <v>0</v>
      </c>
      <c r="I20" s="138">
        <f t="shared" si="10"/>
        <v>0</v>
      </c>
    </row>
    <row r="21" spans="1:9">
      <c r="A21" s="8"/>
      <c r="B21" s="138"/>
      <c r="C21" s="138"/>
      <c r="D21" s="138"/>
      <c r="E21" s="138"/>
      <c r="F21" s="138"/>
      <c r="G21" s="138"/>
      <c r="H21" s="138"/>
      <c r="I21" s="138"/>
    </row>
    <row r="22" spans="1:9" s="777" customFormat="1">
      <c r="A22" s="12" t="s">
        <v>372</v>
      </c>
      <c r="B22" s="642">
        <f t="shared" ref="B22:C22" si="11">SUM(B17:B21)</f>
        <v>17043000</v>
      </c>
      <c r="C22" s="642">
        <f t="shared" si="11"/>
        <v>17229344.209999997</v>
      </c>
      <c r="D22" s="642">
        <f t="shared" ref="D22:F22" si="12">SUM(D17:D21)</f>
        <v>14478630.690000001</v>
      </c>
      <c r="E22" s="642">
        <f t="shared" si="12"/>
        <v>21911000</v>
      </c>
      <c r="F22" s="642">
        <f t="shared" si="12"/>
        <v>28791000</v>
      </c>
      <c r="G22" s="642">
        <f t="shared" ref="G22:I22" si="13">SUM(G17:G21)</f>
        <v>35022000</v>
      </c>
      <c r="H22" s="642">
        <f t="shared" si="13"/>
        <v>40229360.484999999</v>
      </c>
      <c r="I22" s="642">
        <f t="shared" si="13"/>
        <v>43816766.347000003</v>
      </c>
    </row>
    <row r="23" spans="1:9">
      <c r="A23" s="8"/>
      <c r="B23" s="138"/>
      <c r="C23" s="138"/>
      <c r="D23" s="138"/>
      <c r="E23" s="138"/>
      <c r="F23" s="138"/>
      <c r="G23" s="138"/>
      <c r="H23" s="138"/>
      <c r="I23" s="138"/>
    </row>
    <row r="24" spans="1:9">
      <c r="A24" s="29" t="s">
        <v>371</v>
      </c>
      <c r="B24" s="712">
        <f t="shared" ref="B24:C24" si="14">B22/B14</f>
        <v>0.44939879759519036</v>
      </c>
      <c r="C24" s="712">
        <f t="shared" si="14"/>
        <v>0.42464002094937636</v>
      </c>
      <c r="D24" s="712">
        <f t="shared" ref="D24:F24" si="15">D22/D14</f>
        <v>0.34284366200184702</v>
      </c>
      <c r="E24" s="712">
        <f t="shared" si="15"/>
        <v>0.39998904689753367</v>
      </c>
      <c r="F24" s="712">
        <f t="shared" si="15"/>
        <v>0.44152557968347439</v>
      </c>
      <c r="G24" s="712">
        <f t="shared" ref="G24:I24" si="16">G22/G14</f>
        <v>0.47371838225348301</v>
      </c>
      <c r="H24" s="712">
        <f t="shared" si="16"/>
        <v>0.53501925229525538</v>
      </c>
      <c r="I24" s="712">
        <f t="shared" si="16"/>
        <v>0.53527928139717484</v>
      </c>
    </row>
    <row r="25" spans="1:9">
      <c r="A25" s="9"/>
      <c r="B25" s="713"/>
      <c r="C25" s="713"/>
      <c r="D25" s="713"/>
      <c r="E25" s="713"/>
      <c r="F25" s="713"/>
      <c r="G25" s="713"/>
      <c r="H25" s="713"/>
      <c r="I25" s="713"/>
    </row>
    <row r="26" spans="1:9">
      <c r="A26" s="22" t="s">
        <v>493</v>
      </c>
      <c r="B26" s="644"/>
      <c r="C26" s="644"/>
      <c r="D26" s="629"/>
      <c r="E26" s="629"/>
      <c r="F26" s="629"/>
      <c r="G26" s="629"/>
      <c r="H26" s="629"/>
      <c r="I26" s="629"/>
    </row>
    <row r="27" spans="1:9">
      <c r="A27" s="8"/>
      <c r="B27" s="138"/>
      <c r="C27" s="138"/>
      <c r="D27" s="629"/>
      <c r="E27" s="629"/>
      <c r="F27" s="629"/>
      <c r="G27" s="629"/>
      <c r="H27" s="629"/>
      <c r="I27" s="629"/>
    </row>
    <row r="28" spans="1:9">
      <c r="A28" s="8" t="str">
        <f t="shared" ref="A28:C29" si="17">A6</f>
        <v>Fuel</v>
      </c>
      <c r="B28" s="138">
        <f t="shared" si="17"/>
        <v>0</v>
      </c>
      <c r="C28" s="138">
        <f t="shared" si="17"/>
        <v>0</v>
      </c>
      <c r="D28" s="138">
        <f t="shared" ref="D28:F28" si="18">D6</f>
        <v>0</v>
      </c>
      <c r="E28" s="138">
        <f t="shared" si="18"/>
        <v>0</v>
      </c>
      <c r="F28" s="138">
        <f t="shared" si="18"/>
        <v>0</v>
      </c>
      <c r="G28" s="138">
        <f t="shared" ref="G28:I28" si="19">G6</f>
        <v>0</v>
      </c>
      <c r="H28" s="138">
        <f t="shared" si="19"/>
        <v>0</v>
      </c>
      <c r="I28" s="138">
        <f t="shared" si="19"/>
        <v>0</v>
      </c>
    </row>
    <row r="29" spans="1:9">
      <c r="A29" s="8" t="str">
        <f t="shared" si="17"/>
        <v>Operating Costs</v>
      </c>
      <c r="B29" s="138">
        <f t="shared" si="17"/>
        <v>21029000</v>
      </c>
      <c r="C29" s="138">
        <f t="shared" si="17"/>
        <v>23469396.050000001</v>
      </c>
      <c r="D29" s="138">
        <f t="shared" ref="D29:F29" si="20">D7</f>
        <v>27966328.140000001</v>
      </c>
      <c r="E29" s="138">
        <f t="shared" si="20"/>
        <v>33139000.000000004</v>
      </c>
      <c r="F29" s="138">
        <f t="shared" si="20"/>
        <v>36730000.000000007</v>
      </c>
      <c r="G29" s="138">
        <f t="shared" ref="G29:I29" si="21">G7</f>
        <v>39232000</v>
      </c>
      <c r="H29" s="138">
        <f t="shared" si="21"/>
        <v>35324999.999999993</v>
      </c>
      <c r="I29" s="138">
        <f t="shared" si="21"/>
        <v>38410000</v>
      </c>
    </row>
    <row r="30" spans="1:9">
      <c r="A30" s="8" t="str">
        <f t="shared" ref="A30:C30" si="22">A11</f>
        <v>Revenue Offsets</v>
      </c>
      <c r="B30" s="138">
        <f t="shared" si="22"/>
        <v>-148000</v>
      </c>
      <c r="C30" s="138">
        <f t="shared" si="22"/>
        <v>-124740.26000000002</v>
      </c>
      <c r="D30" s="138">
        <f t="shared" ref="D30:F30" si="23">D11</f>
        <v>-213958.83</v>
      </c>
      <c r="E30" s="138">
        <f t="shared" si="23"/>
        <v>-271000</v>
      </c>
      <c r="F30" s="138">
        <f t="shared" si="23"/>
        <v>-313000</v>
      </c>
      <c r="G30" s="138">
        <f t="shared" ref="G30:I30" si="24">G11</f>
        <v>-324000</v>
      </c>
      <c r="H30" s="138">
        <f t="shared" si="24"/>
        <v>-361999.99999999994</v>
      </c>
      <c r="I30" s="138">
        <f t="shared" si="24"/>
        <v>-369000</v>
      </c>
    </row>
    <row r="31" spans="1:9">
      <c r="A31" s="8"/>
      <c r="B31" s="138"/>
      <c r="C31" s="138"/>
      <c r="D31" s="138"/>
      <c r="E31" s="138"/>
      <c r="F31" s="138"/>
      <c r="G31" s="138"/>
      <c r="H31" s="138"/>
      <c r="I31" s="138"/>
    </row>
    <row r="32" spans="1:9" s="777" customFormat="1">
      <c r="A32" s="12" t="s">
        <v>364</v>
      </c>
      <c r="B32" s="642">
        <f t="shared" ref="B32:C32" si="25">SUM(B28:B31)</f>
        <v>20881000</v>
      </c>
      <c r="C32" s="642">
        <f t="shared" si="25"/>
        <v>23344655.789999999</v>
      </c>
      <c r="D32" s="642">
        <f t="shared" ref="D32:F32" si="26">SUM(D28:D31)</f>
        <v>27752369.310000002</v>
      </c>
      <c r="E32" s="642">
        <f t="shared" si="26"/>
        <v>32868000.000000004</v>
      </c>
      <c r="F32" s="642">
        <f t="shared" si="26"/>
        <v>36417000.000000007</v>
      </c>
      <c r="G32" s="642">
        <f t="shared" ref="G32:I32" si="27">SUM(G28:G31)</f>
        <v>38908000</v>
      </c>
      <c r="H32" s="642">
        <f t="shared" si="27"/>
        <v>34962999.999999993</v>
      </c>
      <c r="I32" s="642">
        <f t="shared" si="27"/>
        <v>38041000</v>
      </c>
    </row>
    <row r="33" spans="1:9">
      <c r="A33" s="8"/>
      <c r="B33" s="138"/>
      <c r="C33" s="138"/>
      <c r="D33" s="138"/>
      <c r="E33" s="138"/>
      <c r="F33" s="138"/>
      <c r="G33" s="138"/>
      <c r="H33" s="138"/>
      <c r="I33" s="138"/>
    </row>
    <row r="34" spans="1:9">
      <c r="A34" s="29" t="s">
        <v>363</v>
      </c>
      <c r="B34" s="712">
        <f t="shared" ref="B34:C34" si="28">B32/B14</f>
        <v>0.55060120240480959</v>
      </c>
      <c r="C34" s="712">
        <f t="shared" si="28"/>
        <v>0.57535997905062353</v>
      </c>
      <c r="D34" s="712">
        <f t="shared" ref="D34:F34" si="29">D32/D14</f>
        <v>0.6571563379981531</v>
      </c>
      <c r="E34" s="712">
        <f t="shared" si="29"/>
        <v>0.60001095310246622</v>
      </c>
      <c r="F34" s="712">
        <f t="shared" si="29"/>
        <v>0.55847442031652561</v>
      </c>
      <c r="G34" s="712">
        <f t="shared" ref="G34:I34" si="30">G32/G14</f>
        <v>0.52628161774651694</v>
      </c>
      <c r="H34" s="712">
        <f t="shared" si="30"/>
        <v>0.46498074770474468</v>
      </c>
      <c r="I34" s="712">
        <f t="shared" si="30"/>
        <v>0.46472071860282516</v>
      </c>
    </row>
    <row r="35" spans="1:9">
      <c r="A35" s="9"/>
      <c r="B35" s="627"/>
      <c r="C35" s="627"/>
      <c r="D35" s="627"/>
      <c r="E35" s="627"/>
      <c r="F35" s="627"/>
      <c r="G35" s="627"/>
      <c r="H35" s="627"/>
      <c r="I35" s="627"/>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ignoredErrors>
    <ignoredError sqref="B14:D14 B22:D22 B32:D32 E17:F23 E29:F33 E14:F14" emptyCellReference="1"/>
    <ignoredError sqref="E24:F24 E34:F34" evalError="1" emptyCellReference="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2" tint="-0.499984740745262"/>
  </sheetPr>
  <dimension ref="A1:P36"/>
  <sheetViews>
    <sheetView showGridLines="0" zoomScale="80" zoomScaleNormal="80" workbookViewId="0">
      <pane ySplit="3" topLeftCell="A37" activePane="bottomLeft" state="frozen"/>
      <selection activeCell="O24" sqref="A1:XFD1048576"/>
      <selection pane="bottomLeft" activeCell="D11" sqref="D10:D11"/>
    </sheetView>
  </sheetViews>
  <sheetFormatPr defaultColWidth="9.109375" defaultRowHeight="13.8"/>
  <cols>
    <col min="1" max="1" width="37.6640625" style="4" customWidth="1"/>
    <col min="2" max="2" width="12.6640625" style="4" customWidth="1"/>
    <col min="3" max="7" width="12.5546875" style="4" customWidth="1"/>
    <col min="8" max="8" width="12.109375" style="77" bestFit="1" customWidth="1"/>
    <col min="9" max="9" width="12.109375" style="4" bestFit="1" customWidth="1"/>
    <col min="10" max="10" width="9.109375" style="4"/>
    <col min="11" max="13" width="4.5546875" style="4" bestFit="1" customWidth="1"/>
    <col min="14" max="16384" width="9.109375" style="4"/>
  </cols>
  <sheetData>
    <row r="1" spans="1:16">
      <c r="A1" s="22" t="s">
        <v>447</v>
      </c>
    </row>
    <row r="2" spans="1:16">
      <c r="A2" s="8" t="s">
        <v>378</v>
      </c>
      <c r="H2" s="1032"/>
      <c r="I2" s="1032"/>
    </row>
    <row r="3" spans="1:16">
      <c r="A3" s="5" t="s">
        <v>64</v>
      </c>
      <c r="B3" s="953">
        <v>2010</v>
      </c>
      <c r="C3" s="86">
        <v>2011</v>
      </c>
      <c r="D3" s="86">
        <v>2012</v>
      </c>
      <c r="E3" s="86">
        <v>2013</v>
      </c>
      <c r="F3" s="86">
        <v>2014</v>
      </c>
      <c r="G3" s="86">
        <v>2015</v>
      </c>
      <c r="H3" s="86">
        <v>2016</v>
      </c>
      <c r="I3" s="86">
        <v>2017</v>
      </c>
      <c r="J3" s="87"/>
      <c r="K3" s="87"/>
    </row>
    <row r="4" spans="1:16">
      <c r="A4" s="38"/>
      <c r="B4" s="9"/>
      <c r="C4" s="9"/>
      <c r="D4" s="77"/>
      <c r="E4" s="77"/>
      <c r="F4" s="77"/>
      <c r="G4" s="77"/>
      <c r="H4" s="94"/>
      <c r="I4" s="94"/>
    </row>
    <row r="5" spans="1:16">
      <c r="A5" s="12" t="s">
        <v>336</v>
      </c>
      <c r="B5" s="9"/>
      <c r="C5" s="9"/>
      <c r="D5" s="77"/>
      <c r="E5" s="77"/>
      <c r="F5" s="77"/>
      <c r="G5" s="77"/>
      <c r="H5" s="94"/>
      <c r="I5" s="94"/>
    </row>
    <row r="6" spans="1:16">
      <c r="A6" s="8"/>
      <c r="B6" s="9"/>
      <c r="C6" s="9"/>
      <c r="D6" s="77"/>
      <c r="E6" s="77"/>
      <c r="F6" s="77"/>
      <c r="G6" s="77"/>
      <c r="H6" s="94"/>
      <c r="I6" s="94"/>
    </row>
    <row r="7" spans="1:16">
      <c r="A7" s="16" t="s">
        <v>377</v>
      </c>
      <c r="B7" s="17">
        <f>'EN Sch 1.0'!B28</f>
        <v>0</v>
      </c>
      <c r="C7" s="17">
        <f>'EN Sch 1.0'!C28</f>
        <v>0</v>
      </c>
      <c r="D7" s="17">
        <f>'EN Sch 1.0'!D28</f>
        <v>0</v>
      </c>
      <c r="E7" s="17">
        <f>'EN Sch 1.0'!E28</f>
        <v>0</v>
      </c>
      <c r="F7" s="17">
        <f>'EN Sch 1.0'!F28</f>
        <v>0</v>
      </c>
      <c r="G7" s="17">
        <f>'EN Sch 1.0'!G28</f>
        <v>0</v>
      </c>
      <c r="H7" s="17">
        <f>'EN Sch 1.0'!H28</f>
        <v>0</v>
      </c>
      <c r="I7" s="17">
        <f>'EN Sch 1.0'!I28</f>
        <v>0</v>
      </c>
    </row>
    <row r="8" spans="1:16">
      <c r="A8" s="16" t="str">
        <f>'EN Sch 1.0'!A29</f>
        <v>Operating Costs</v>
      </c>
      <c r="B8" s="17">
        <f>'EN Sch 1.0'!B29</f>
        <v>21029000</v>
      </c>
      <c r="C8" s="17">
        <f>'EN Sch 1.0'!C29</f>
        <v>23469396.050000001</v>
      </c>
      <c r="D8" s="17">
        <f>'EN Sch 1.0'!D29</f>
        <v>27966328.140000001</v>
      </c>
      <c r="E8" s="17">
        <f>'EN Sch 1.0'!E29</f>
        <v>33139000.000000004</v>
      </c>
      <c r="F8" s="17">
        <f>'EN Sch 1.0'!F29</f>
        <v>36730000.000000007</v>
      </c>
      <c r="G8" s="17">
        <f>'EN Sch 1.0'!G29</f>
        <v>39232000</v>
      </c>
      <c r="H8" s="17">
        <f>'EN Sch 1.0'!H29</f>
        <v>35324999.999999993</v>
      </c>
      <c r="I8" s="17">
        <f>'EN Sch 1.0'!I29</f>
        <v>38410000</v>
      </c>
    </row>
    <row r="9" spans="1:16">
      <c r="A9" s="16" t="str">
        <f>'EN Sch 1.0'!A30</f>
        <v>Revenue Offsets</v>
      </c>
      <c r="B9" s="17">
        <f>'EN Sch 1.0'!B30</f>
        <v>-148000</v>
      </c>
      <c r="C9" s="17">
        <f>'EN Sch 1.0'!C30</f>
        <v>-124740.26000000002</v>
      </c>
      <c r="D9" s="17">
        <f>'EN Sch 1.0'!D30</f>
        <v>-213958.83</v>
      </c>
      <c r="E9" s="17">
        <f>'EN Sch 1.0'!E30</f>
        <v>-271000</v>
      </c>
      <c r="F9" s="17">
        <f>'EN Sch 1.0'!F30</f>
        <v>-313000</v>
      </c>
      <c r="G9" s="17">
        <f>'EN Sch 1.0'!G30</f>
        <v>-324000</v>
      </c>
      <c r="H9" s="17">
        <f>'EN Sch 1.0'!H30</f>
        <v>-361999.99999999994</v>
      </c>
      <c r="I9" s="17">
        <f>'EN Sch 1.0'!I30</f>
        <v>-369000</v>
      </c>
    </row>
    <row r="10" spans="1:16">
      <c r="A10" s="8"/>
      <c r="B10" s="17"/>
      <c r="C10" s="17"/>
      <c r="D10" s="17"/>
      <c r="E10" s="17"/>
      <c r="F10" s="17"/>
      <c r="G10" s="17"/>
      <c r="H10" s="17"/>
      <c r="I10" s="17"/>
    </row>
    <row r="11" spans="1:16" s="777" customFormat="1">
      <c r="A11" s="29" t="s">
        <v>423</v>
      </c>
      <c r="B11" s="162">
        <f t="shared" ref="B11:C11" si="0">SUM(B7:B10)</f>
        <v>20881000</v>
      </c>
      <c r="C11" s="162">
        <f t="shared" si="0"/>
        <v>23344655.789999999</v>
      </c>
      <c r="D11" s="162">
        <f t="shared" ref="D11:F11" si="1">SUM(D7:D10)</f>
        <v>27752369.310000002</v>
      </c>
      <c r="E11" s="162">
        <f t="shared" si="1"/>
        <v>32868000.000000004</v>
      </c>
      <c r="F11" s="162">
        <f t="shared" si="1"/>
        <v>36417000.000000007</v>
      </c>
      <c r="G11" s="162">
        <f t="shared" ref="G11:I11" si="2">SUM(G7:G10)</f>
        <v>38908000</v>
      </c>
      <c r="H11" s="162">
        <f t="shared" si="2"/>
        <v>34962999.999999993</v>
      </c>
      <c r="I11" s="162">
        <f t="shared" si="2"/>
        <v>38041000</v>
      </c>
    </row>
    <row r="12" spans="1:16">
      <c r="A12" s="11" t="s">
        <v>572</v>
      </c>
      <c r="B12" s="717"/>
      <c r="C12" s="717"/>
      <c r="D12" s="717"/>
      <c r="E12" s="717"/>
      <c r="F12" s="717"/>
      <c r="G12" s="717"/>
      <c r="H12" s="717"/>
      <c r="I12" s="717"/>
    </row>
    <row r="13" spans="1:16">
      <c r="A13" s="95"/>
      <c r="B13" s="644"/>
      <c r="C13" s="644"/>
      <c r="D13" s="644"/>
      <c r="E13" s="629"/>
      <c r="F13" s="77"/>
      <c r="G13" s="77"/>
      <c r="I13" s="77"/>
    </row>
    <row r="14" spans="1:16">
      <c r="A14" s="8" t="s">
        <v>571</v>
      </c>
      <c r="B14" s="632">
        <v>262719</v>
      </c>
      <c r="C14" s="632">
        <v>297404</v>
      </c>
      <c r="D14" s="632">
        <v>378494</v>
      </c>
      <c r="E14" s="572">
        <f>$E$25*M14</f>
        <v>424961.28098761395</v>
      </c>
      <c r="F14" s="96">
        <f>$F$25*M14</f>
        <v>471010.82865128882</v>
      </c>
      <c r="G14" s="96">
        <f>$F$25*N14</f>
        <v>475053.49669973057</v>
      </c>
      <c r="H14" s="96">
        <f t="shared" ref="H14:I20" si="3">$F$25*O14</f>
        <v>477523.5898191497</v>
      </c>
      <c r="I14" s="96">
        <f t="shared" si="3"/>
        <v>474529.30505672307</v>
      </c>
      <c r="J14" s="97">
        <f>B14/$B$25</f>
        <v>1.249340660239487E-2</v>
      </c>
      <c r="K14" s="97">
        <f>C14/$C$25</f>
        <v>1.2731914438918412E-2</v>
      </c>
      <c r="L14" s="97">
        <f>D14/$D$25</f>
        <v>1.32454790118821E-2</v>
      </c>
      <c r="M14" s="98">
        <f>AVERAGE(J14:L14)</f>
        <v>1.2823600017731793E-2</v>
      </c>
      <c r="N14" s="98">
        <f>AVERAGE(K14:M14)</f>
        <v>1.2933664489510768E-2</v>
      </c>
      <c r="O14" s="98">
        <f>AVERAGE(L14:N14)</f>
        <v>1.3000914506374887E-2</v>
      </c>
      <c r="P14" s="98">
        <f>AVERAGE(M14:O14)</f>
        <v>1.291939300453915E-2</v>
      </c>
    </row>
    <row r="15" spans="1:16">
      <c r="A15" s="8" t="s">
        <v>570</v>
      </c>
      <c r="B15" s="632">
        <v>4267407</v>
      </c>
      <c r="C15" s="632">
        <v>4830802</v>
      </c>
      <c r="D15" s="632">
        <v>6147967</v>
      </c>
      <c r="E15" s="572">
        <f t="shared" ref="E15:E20" si="4">$E$25*M15</f>
        <v>6902745.7411820609</v>
      </c>
      <c r="F15" s="96">
        <f t="shared" ref="F15:G20" si="5">$F$25*M15</f>
        <v>7650739.3425757298</v>
      </c>
      <c r="G15" s="96">
        <f t="shared" si="5"/>
        <v>7716404.9547134535</v>
      </c>
      <c r="H15" s="96">
        <f t="shared" si="3"/>
        <v>7756527.6044110311</v>
      </c>
      <c r="I15" s="96">
        <f t="shared" si="3"/>
        <v>7707890.6339000715</v>
      </c>
      <c r="J15" s="97">
        <f t="shared" ref="J15:J23" si="6">B15/$B$25</f>
        <v>0.20293336526443115</v>
      </c>
      <c r="K15" s="97">
        <f t="shared" ref="K15:K23" si="7">C15/$C$25</f>
        <v>0.20680743276941785</v>
      </c>
      <c r="L15" s="97">
        <f t="shared" ref="L15:L23" si="8">D15/$D$25</f>
        <v>0.21514942869436177</v>
      </c>
      <c r="M15" s="98">
        <f t="shared" ref="M15:P23" si="9">AVERAGE(J15:L15)</f>
        <v>0.20829674224273695</v>
      </c>
      <c r="N15" s="98">
        <f t="shared" si="9"/>
        <v>0.21008453456883888</v>
      </c>
      <c r="O15" s="98">
        <f t="shared" si="9"/>
        <v>0.21117690183531254</v>
      </c>
      <c r="P15" s="98">
        <f t="shared" si="9"/>
        <v>0.20985272621562945</v>
      </c>
    </row>
    <row r="16" spans="1:16">
      <c r="A16" s="8" t="s">
        <v>569</v>
      </c>
      <c r="B16" s="632">
        <v>1738593</v>
      </c>
      <c r="C16" s="632">
        <v>1968128</v>
      </c>
      <c r="D16" s="632">
        <v>2504757</v>
      </c>
      <c r="E16" s="572">
        <f t="shared" si="4"/>
        <v>2812262.7224864778</v>
      </c>
      <c r="F16" s="96">
        <f t="shared" si="5"/>
        <v>3117004.4297331949</v>
      </c>
      <c r="G16" s="96">
        <f t="shared" si="5"/>
        <v>3143757.7546021966</v>
      </c>
      <c r="H16" s="96">
        <f t="shared" si="3"/>
        <v>3160104.1175628747</v>
      </c>
      <c r="I16" s="96">
        <f t="shared" si="3"/>
        <v>3140288.7672994221</v>
      </c>
      <c r="J16" s="97">
        <f t="shared" si="6"/>
        <v>8.26774967363514E-2</v>
      </c>
      <c r="K16" s="97">
        <f t="shared" si="7"/>
        <v>8.4255885263276958E-2</v>
      </c>
      <c r="L16" s="97">
        <f t="shared" si="8"/>
        <v>8.765451043706049E-2</v>
      </c>
      <c r="M16" s="98">
        <f t="shared" si="9"/>
        <v>8.4862630812229625E-2</v>
      </c>
      <c r="N16" s="98">
        <f t="shared" si="9"/>
        <v>8.5591008837522353E-2</v>
      </c>
      <c r="O16" s="98">
        <f t="shared" si="9"/>
        <v>8.6036050028937494E-2</v>
      </c>
      <c r="P16" s="98">
        <f t="shared" si="9"/>
        <v>8.5496563226229824E-2</v>
      </c>
    </row>
    <row r="17" spans="1:16">
      <c r="A17" s="8" t="s">
        <v>568</v>
      </c>
      <c r="B17" s="632">
        <v>462973</v>
      </c>
      <c r="C17" s="632">
        <v>524096</v>
      </c>
      <c r="D17" s="632">
        <v>666996</v>
      </c>
      <c r="E17" s="572">
        <f t="shared" si="4"/>
        <v>748882.2100937994</v>
      </c>
      <c r="F17" s="96">
        <f t="shared" si="5"/>
        <v>830032.39617204072</v>
      </c>
      <c r="G17" s="96">
        <f t="shared" si="5"/>
        <v>837156.51380332827</v>
      </c>
      <c r="H17" s="96">
        <f t="shared" si="3"/>
        <v>841509.46601128811</v>
      </c>
      <c r="I17" s="96">
        <f t="shared" si="3"/>
        <v>836232.79199555237</v>
      </c>
      <c r="J17" s="97">
        <f t="shared" si="6"/>
        <v>2.20163365989158E-2</v>
      </c>
      <c r="K17" s="97">
        <f t="shared" si="7"/>
        <v>2.2436636460099343E-2</v>
      </c>
      <c r="L17" s="97">
        <f t="shared" si="8"/>
        <v>2.3341668610359249E-2</v>
      </c>
      <c r="M17" s="98">
        <f t="shared" si="9"/>
        <v>2.2598213889791465E-2</v>
      </c>
      <c r="N17" s="98">
        <f t="shared" si="9"/>
        <v>2.2792172986750018E-2</v>
      </c>
      <c r="O17" s="98">
        <f t="shared" si="9"/>
        <v>2.2910685162300243E-2</v>
      </c>
      <c r="P17" s="98">
        <f t="shared" si="9"/>
        <v>2.2767024012947241E-2</v>
      </c>
    </row>
    <row r="18" spans="1:16">
      <c r="A18" s="8" t="s">
        <v>567</v>
      </c>
      <c r="B18" s="632">
        <v>39770</v>
      </c>
      <c r="C18" s="632">
        <v>45020</v>
      </c>
      <c r="D18" s="632">
        <v>57296</v>
      </c>
      <c r="E18" s="572">
        <f t="shared" si="4"/>
        <v>64329.783225389161</v>
      </c>
      <c r="F18" s="96">
        <f t="shared" si="5"/>
        <v>71300.671048267715</v>
      </c>
      <c r="G18" s="96">
        <f t="shared" si="5"/>
        <v>71912.568254696991</v>
      </c>
      <c r="H18" s="96">
        <f t="shared" si="3"/>
        <v>72286.680914588098</v>
      </c>
      <c r="I18" s="96">
        <f t="shared" si="3"/>
        <v>71833.306739184263</v>
      </c>
      <c r="J18" s="97">
        <f t="shared" si="6"/>
        <v>1.891232764197656E-3</v>
      </c>
      <c r="K18" s="97">
        <f t="shared" si="7"/>
        <v>1.9273136475639432E-3</v>
      </c>
      <c r="L18" s="97">
        <f t="shared" si="8"/>
        <v>2.0050858546365249E-3</v>
      </c>
      <c r="M18" s="98">
        <f t="shared" si="9"/>
        <v>1.9412107554660416E-3</v>
      </c>
      <c r="N18" s="98">
        <f t="shared" si="9"/>
        <v>1.9578700858888369E-3</v>
      </c>
      <c r="O18" s="98">
        <f t="shared" si="9"/>
        <v>1.968055565330468E-3</v>
      </c>
      <c r="P18" s="98">
        <f t="shared" si="9"/>
        <v>1.9557121355617819E-3</v>
      </c>
    </row>
    <row r="19" spans="1:16">
      <c r="A19" s="8" t="s">
        <v>566</v>
      </c>
      <c r="B19" s="632">
        <v>702785</v>
      </c>
      <c r="C19" s="632">
        <v>795569</v>
      </c>
      <c r="D19" s="632">
        <v>1012488</v>
      </c>
      <c r="E19" s="572">
        <f t="shared" si="4"/>
        <v>1136790.2467433917</v>
      </c>
      <c r="F19" s="96">
        <f t="shared" si="5"/>
        <v>1259974.8261228397</v>
      </c>
      <c r="G19" s="96">
        <f t="shared" si="5"/>
        <v>1270789.1188636797</v>
      </c>
      <c r="H19" s="96">
        <f t="shared" si="3"/>
        <v>1277396.6519717253</v>
      </c>
      <c r="I19" s="96">
        <f t="shared" si="3"/>
        <v>1269386.8656527479</v>
      </c>
      <c r="J19" s="97">
        <f t="shared" si="6"/>
        <v>3.342041785734598E-2</v>
      </c>
      <c r="K19" s="97">
        <f t="shared" si="7"/>
        <v>3.4058440499306945E-2</v>
      </c>
      <c r="L19" s="97">
        <f t="shared" si="8"/>
        <v>3.5432235527597486E-2</v>
      </c>
      <c r="M19" s="98">
        <f t="shared" si="9"/>
        <v>3.4303697961416808E-2</v>
      </c>
      <c r="N19" s="98">
        <f t="shared" si="9"/>
        <v>3.459812466277374E-2</v>
      </c>
      <c r="O19" s="98">
        <f t="shared" si="9"/>
        <v>3.4778019383929347E-2</v>
      </c>
      <c r="P19" s="98">
        <f t="shared" si="9"/>
        <v>3.455994733603996E-2</v>
      </c>
    </row>
    <row r="20" spans="1:16">
      <c r="A20" s="8" t="s">
        <v>46</v>
      </c>
      <c r="B20" s="632">
        <v>9183457</v>
      </c>
      <c r="C20" s="632">
        <v>10395884</v>
      </c>
      <c r="D20" s="632">
        <v>13230422</v>
      </c>
      <c r="E20" s="572">
        <f t="shared" si="4"/>
        <v>14854705.276650023</v>
      </c>
      <c r="F20" s="96">
        <f t="shared" si="5"/>
        <v>16464387.121257594</v>
      </c>
      <c r="G20" s="96">
        <f t="shared" si="5"/>
        <v>16605699.871408403</v>
      </c>
      <c r="H20" s="96">
        <f t="shared" si="3"/>
        <v>16692043.614473501</v>
      </c>
      <c r="I20" s="96">
        <f t="shared" si="3"/>
        <v>16587376.869046498</v>
      </c>
      <c r="J20" s="97">
        <f t="shared" si="6"/>
        <v>0.43671246585366641</v>
      </c>
      <c r="K20" s="97">
        <f t="shared" si="7"/>
        <v>0.44504951380923224</v>
      </c>
      <c r="L20" s="97">
        <f t="shared" si="8"/>
        <v>0.46300146612454413</v>
      </c>
      <c r="M20" s="98">
        <f t="shared" si="9"/>
        <v>0.44825448192914757</v>
      </c>
      <c r="N20" s="98">
        <f t="shared" si="9"/>
        <v>0.45210182062097465</v>
      </c>
      <c r="O20" s="98">
        <f t="shared" si="9"/>
        <v>0.4544525895582221</v>
      </c>
      <c r="P20" s="98">
        <f t="shared" si="9"/>
        <v>0.45160296403611477</v>
      </c>
    </row>
    <row r="21" spans="1:16" s="777" customFormat="1">
      <c r="A21" s="12" t="s">
        <v>565</v>
      </c>
      <c r="B21" s="646">
        <f>SUM(B14:B20)</f>
        <v>16657704</v>
      </c>
      <c r="C21" s="646">
        <f>SUM(C14:C20)</f>
        <v>18856903</v>
      </c>
      <c r="D21" s="646">
        <f>SUM(D14:D20)</f>
        <v>23998420</v>
      </c>
      <c r="E21" s="646">
        <f t="shared" ref="E21:F21" si="10">SUM(E14:E20)</f>
        <v>26944677.261368759</v>
      </c>
      <c r="F21" s="621">
        <f t="shared" si="10"/>
        <v>29864449.615560956</v>
      </c>
      <c r="G21" s="621">
        <f t="shared" ref="G21:I21" si="11">SUM(G14:G20)</f>
        <v>30120774.278345488</v>
      </c>
      <c r="H21" s="621">
        <f t="shared" si="11"/>
        <v>30277391.72516416</v>
      </c>
      <c r="I21" s="621">
        <f t="shared" si="11"/>
        <v>30087538.5396902</v>
      </c>
      <c r="J21" s="714"/>
      <c r="K21" s="714"/>
      <c r="L21" s="714"/>
      <c r="M21" s="715"/>
      <c r="N21" s="715"/>
      <c r="O21" s="715"/>
      <c r="P21" s="715"/>
    </row>
    <row r="22" spans="1:16">
      <c r="A22" s="8"/>
      <c r="B22" s="632"/>
      <c r="C22" s="632"/>
      <c r="D22" s="632"/>
      <c r="E22" s="629"/>
      <c r="F22" s="77"/>
      <c r="G22" s="77"/>
      <c r="I22" s="77"/>
      <c r="J22" s="97"/>
      <c r="K22" s="97"/>
      <c r="L22" s="97"/>
      <c r="M22" s="98"/>
      <c r="N22" s="98"/>
      <c r="O22" s="98"/>
      <c r="P22" s="98"/>
    </row>
    <row r="23" spans="1:16">
      <c r="A23" s="99" t="s">
        <v>564</v>
      </c>
      <c r="B23" s="632">
        <v>4370908</v>
      </c>
      <c r="C23" s="632">
        <v>4502035</v>
      </c>
      <c r="D23" s="632">
        <v>4576915</v>
      </c>
      <c r="E23" s="572">
        <f t="shared" ref="E23" si="12">$E$25*M23</f>
        <v>6194322.7386312475</v>
      </c>
      <c r="F23" s="96">
        <f t="shared" ref="F23:G23" si="13">$F$25*M23</f>
        <v>6865550.3844390521</v>
      </c>
      <c r="G23" s="96">
        <f t="shared" si="13"/>
        <v>6609225.7216545194</v>
      </c>
      <c r="H23" s="96">
        <f t="shared" ref="H23" si="14">$F$25*O23</f>
        <v>6452608.2748358501</v>
      </c>
      <c r="I23" s="96">
        <f t="shared" ref="I23" si="15">$F$25*P23</f>
        <v>6642461.4603098081</v>
      </c>
      <c r="J23" s="97">
        <f t="shared" si="6"/>
        <v>0.20785527832269671</v>
      </c>
      <c r="K23" s="97">
        <f t="shared" si="7"/>
        <v>0.19273286311218429</v>
      </c>
      <c r="L23" s="97">
        <f t="shared" si="8"/>
        <v>0.16017012573955827</v>
      </c>
      <c r="M23" s="98">
        <f t="shared" si="9"/>
        <v>0.18691942239147974</v>
      </c>
      <c r="N23" s="98">
        <f t="shared" si="9"/>
        <v>0.17994080374774077</v>
      </c>
      <c r="O23" s="98">
        <f t="shared" si="9"/>
        <v>0.17567678395959294</v>
      </c>
      <c r="P23" s="98">
        <f t="shared" si="9"/>
        <v>0.18084567003293783</v>
      </c>
    </row>
    <row r="24" spans="1:16">
      <c r="A24" s="99"/>
      <c r="B24" s="632"/>
      <c r="C24" s="632"/>
      <c r="D24" s="632"/>
      <c r="E24" s="629"/>
      <c r="F24" s="77"/>
      <c r="G24" s="77"/>
      <c r="I24" s="77"/>
    </row>
    <row r="25" spans="1:16" s="777" customFormat="1">
      <c r="A25" s="719" t="s">
        <v>48</v>
      </c>
      <c r="B25" s="162">
        <f t="shared" ref="B25:C25" si="16">SUM(B21:B24)</f>
        <v>21028612</v>
      </c>
      <c r="C25" s="162">
        <f t="shared" si="16"/>
        <v>23358938</v>
      </c>
      <c r="D25" s="162">
        <f t="shared" ref="D25" si="17">SUM(D21:D24)</f>
        <v>28575335</v>
      </c>
      <c r="E25" s="162">
        <f>E8</f>
        <v>33139000.000000004</v>
      </c>
      <c r="F25" s="162">
        <f>F8</f>
        <v>36730000.000000007</v>
      </c>
      <c r="G25" s="162">
        <f>G8</f>
        <v>39232000</v>
      </c>
      <c r="H25" s="162">
        <f t="shared" ref="H25:I25" si="18">H8</f>
        <v>35324999.999999993</v>
      </c>
      <c r="I25" s="162">
        <f t="shared" si="18"/>
        <v>38410000</v>
      </c>
    </row>
    <row r="26" spans="1:16">
      <c r="A26" s="21"/>
      <c r="B26" s="76"/>
      <c r="C26" s="76"/>
      <c r="D26" s="76"/>
      <c r="E26" s="78"/>
      <c r="F26" s="78"/>
      <c r="G26" s="78"/>
      <c r="H26" s="78"/>
      <c r="I26" s="78"/>
    </row>
    <row r="27" spans="1:16">
      <c r="A27" s="22" t="s">
        <v>427</v>
      </c>
      <c r="B27" s="42"/>
      <c r="C27" s="42"/>
      <c r="D27" s="42"/>
      <c r="E27" s="77"/>
      <c r="F27" s="77"/>
      <c r="G27" s="77"/>
      <c r="I27" s="77"/>
    </row>
    <row r="28" spans="1:16">
      <c r="A28" s="8" t="s">
        <v>565</v>
      </c>
      <c r="B28" s="14">
        <f t="shared" ref="B28:C28" si="19">B21</f>
        <v>16657704</v>
      </c>
      <c r="C28" s="14">
        <f t="shared" si="19"/>
        <v>18856903</v>
      </c>
      <c r="D28" s="17">
        <f t="shared" ref="D28:F28" si="20">D21</f>
        <v>23998420</v>
      </c>
      <c r="E28" s="17">
        <f t="shared" si="20"/>
        <v>26944677.261368759</v>
      </c>
      <c r="F28" s="17">
        <f t="shared" si="20"/>
        <v>29864449.615560956</v>
      </c>
      <c r="G28" s="17">
        <f t="shared" ref="G28:I28" si="21">G21</f>
        <v>30120774.278345488</v>
      </c>
      <c r="H28" s="17">
        <f t="shared" si="21"/>
        <v>30277391.72516416</v>
      </c>
      <c r="I28" s="17">
        <f t="shared" si="21"/>
        <v>30087538.5396902</v>
      </c>
    </row>
    <row r="29" spans="1:16">
      <c r="A29" s="8" t="s">
        <v>369</v>
      </c>
      <c r="B29" s="14">
        <f t="shared" ref="B29:C29" si="22">B9</f>
        <v>-148000</v>
      </c>
      <c r="C29" s="14">
        <f t="shared" si="22"/>
        <v>-124740.26000000002</v>
      </c>
      <c r="D29" s="17">
        <f t="shared" ref="D29:F29" si="23">D9</f>
        <v>-213958.83</v>
      </c>
      <c r="E29" s="17">
        <f t="shared" si="23"/>
        <v>-271000</v>
      </c>
      <c r="F29" s="17">
        <f t="shared" si="23"/>
        <v>-313000</v>
      </c>
      <c r="G29" s="17">
        <f t="shared" ref="G29:I29" si="24">G9</f>
        <v>-324000</v>
      </c>
      <c r="H29" s="17">
        <f t="shared" si="24"/>
        <v>-361999.99999999994</v>
      </c>
      <c r="I29" s="17">
        <f t="shared" si="24"/>
        <v>-369000</v>
      </c>
    </row>
    <row r="30" spans="1:16" s="777" customFormat="1">
      <c r="A30" s="73" t="s">
        <v>415</v>
      </c>
      <c r="B30" s="160">
        <f t="shared" ref="B30:C30" si="25">SUM(B28:B29)</f>
        <v>16509704</v>
      </c>
      <c r="C30" s="160">
        <f t="shared" si="25"/>
        <v>18732162.739999998</v>
      </c>
      <c r="D30" s="162">
        <f t="shared" ref="D30:F30" si="26">SUM(D28:D29)</f>
        <v>23784461.170000002</v>
      </c>
      <c r="E30" s="162">
        <f t="shared" si="26"/>
        <v>26673677.261368759</v>
      </c>
      <c r="F30" s="162">
        <f t="shared" si="26"/>
        <v>29551449.615560956</v>
      </c>
      <c r="G30" s="162">
        <f t="shared" ref="G30:I30" si="27">SUM(G28:G29)</f>
        <v>29796774.278345488</v>
      </c>
      <c r="H30" s="162">
        <f t="shared" si="27"/>
        <v>29915391.72516416</v>
      </c>
      <c r="I30" s="162">
        <f t="shared" si="27"/>
        <v>29718538.5396902</v>
      </c>
    </row>
    <row r="31" spans="1:16">
      <c r="A31" s="21"/>
      <c r="B31" s="716"/>
      <c r="C31" s="42"/>
      <c r="D31" s="42"/>
      <c r="E31" s="77"/>
      <c r="F31" s="77"/>
      <c r="G31" s="77"/>
      <c r="I31" s="77"/>
    </row>
    <row r="32" spans="1:16">
      <c r="A32" s="100" t="s">
        <v>424</v>
      </c>
      <c r="B32" s="718"/>
      <c r="C32" s="718"/>
      <c r="D32" s="718"/>
      <c r="E32" s="20"/>
      <c r="F32" s="20"/>
      <c r="G32" s="20"/>
      <c r="H32" s="20"/>
      <c r="I32" s="20"/>
      <c r="J32" s="9"/>
    </row>
    <row r="33" spans="1:9">
      <c r="A33" s="8" t="s">
        <v>564</v>
      </c>
      <c r="B33" s="14">
        <f t="shared" ref="B33:C33" si="28">B23</f>
        <v>4370908</v>
      </c>
      <c r="C33" s="14">
        <f t="shared" si="28"/>
        <v>4502035</v>
      </c>
      <c r="D33" s="17">
        <f t="shared" ref="D33:F33" si="29">D23</f>
        <v>4576915</v>
      </c>
      <c r="E33" s="17">
        <f t="shared" si="29"/>
        <v>6194322.7386312475</v>
      </c>
      <c r="F33" s="17">
        <f t="shared" si="29"/>
        <v>6865550.3844390521</v>
      </c>
      <c r="G33" s="17">
        <f t="shared" ref="G33:I33" si="30">G23</f>
        <v>6609225.7216545194</v>
      </c>
      <c r="H33" s="17">
        <f t="shared" si="30"/>
        <v>6452608.2748358501</v>
      </c>
      <c r="I33" s="17">
        <f t="shared" si="30"/>
        <v>6642461.4603098081</v>
      </c>
    </row>
    <row r="34" spans="1:9" s="777" customFormat="1">
      <c r="A34" s="74" t="s">
        <v>415</v>
      </c>
      <c r="B34" s="163">
        <f t="shared" ref="B34:C34" si="31">SUM(B33:B33)</f>
        <v>4370908</v>
      </c>
      <c r="C34" s="163">
        <f t="shared" si="31"/>
        <v>4502035</v>
      </c>
      <c r="D34" s="620">
        <f t="shared" ref="D34:F34" si="32">SUM(D33:D33)</f>
        <v>4576915</v>
      </c>
      <c r="E34" s="620">
        <f t="shared" si="32"/>
        <v>6194322.7386312475</v>
      </c>
      <c r="F34" s="620">
        <f t="shared" si="32"/>
        <v>6865550.3844390521</v>
      </c>
      <c r="G34" s="620">
        <f t="shared" ref="G34:I34" si="33">SUM(G33:G33)</f>
        <v>6609225.7216545194</v>
      </c>
      <c r="H34" s="620">
        <f t="shared" si="33"/>
        <v>6452608.2748358501</v>
      </c>
      <c r="I34" s="620">
        <f t="shared" si="33"/>
        <v>6642461.4603098081</v>
      </c>
    </row>
    <row r="35" spans="1:9">
      <c r="A35" s="8"/>
      <c r="B35" s="14"/>
      <c r="C35" s="14"/>
      <c r="D35" s="17"/>
      <c r="E35" s="17"/>
      <c r="F35" s="17"/>
      <c r="G35" s="17"/>
      <c r="H35" s="17"/>
      <c r="I35" s="17"/>
    </row>
    <row r="36" spans="1:9" s="777" customFormat="1">
      <c r="A36" s="29" t="s">
        <v>423</v>
      </c>
      <c r="B36" s="160">
        <f t="shared" ref="B36:C36" si="34">B34+B30</f>
        <v>20880612</v>
      </c>
      <c r="C36" s="160">
        <f t="shared" si="34"/>
        <v>23234197.739999998</v>
      </c>
      <c r="D36" s="162">
        <f t="shared" ref="D36:F36" si="35">D34+D30</f>
        <v>28361376.170000002</v>
      </c>
      <c r="E36" s="162">
        <f t="shared" si="35"/>
        <v>32868000.000000007</v>
      </c>
      <c r="F36" s="162">
        <f t="shared" si="35"/>
        <v>36417000.000000007</v>
      </c>
      <c r="G36" s="162">
        <f t="shared" ref="G36" si="36">G34+G30</f>
        <v>36406000.000000007</v>
      </c>
      <c r="H36" s="162">
        <f>H11</f>
        <v>34962999.999999993</v>
      </c>
      <c r="I36" s="162">
        <f>I11</f>
        <v>38041000</v>
      </c>
    </row>
  </sheetData>
  <mergeCells count="1">
    <mergeCell ref="H2:I2"/>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ignoredErrors>
    <ignoredError sqref="B25:D25" emptyCellReference="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2" tint="-0.499984740745262"/>
  </sheetPr>
  <dimension ref="A1:H24"/>
  <sheetViews>
    <sheetView showGridLines="0" workbookViewId="0">
      <selection activeCell="E24" sqref="A1:E24"/>
    </sheetView>
  </sheetViews>
  <sheetFormatPr defaultColWidth="9.109375" defaultRowHeight="13.8"/>
  <cols>
    <col min="1" max="1" width="37.6640625" style="4" customWidth="1"/>
    <col min="2" max="6" width="12.6640625" style="4" customWidth="1"/>
    <col min="7" max="7" width="28.33203125" style="4" bestFit="1" customWidth="1"/>
    <col min="8" max="8" width="12" style="4" bestFit="1" customWidth="1"/>
    <col min="9" max="16384" width="9.109375" style="4"/>
  </cols>
  <sheetData>
    <row r="1" spans="1:8">
      <c r="A1" s="22" t="s">
        <v>476</v>
      </c>
      <c r="B1" s="2"/>
      <c r="C1" s="2"/>
      <c r="D1" s="2"/>
      <c r="E1" s="3"/>
    </row>
    <row r="2" spans="1:8">
      <c r="A2" s="8"/>
      <c r="B2" s="9"/>
      <c r="C2" s="9"/>
      <c r="D2" s="9"/>
      <c r="E2" s="10"/>
    </row>
    <row r="3" spans="1:8">
      <c r="A3" s="32" t="s">
        <v>476</v>
      </c>
      <c r="B3" s="88"/>
      <c r="C3" s="89"/>
      <c r="D3" s="88"/>
      <c r="E3" s="90"/>
      <c r="F3" s="91"/>
      <c r="G3" s="11"/>
      <c r="H3" s="11"/>
    </row>
    <row r="4" spans="1:8">
      <c r="A4" s="8"/>
      <c r="B4" s="9"/>
      <c r="C4" s="9"/>
      <c r="D4" s="9"/>
      <c r="E4" s="10"/>
      <c r="G4" s="11"/>
      <c r="H4" s="11"/>
    </row>
    <row r="5" spans="1:8">
      <c r="A5" s="8" t="s">
        <v>719</v>
      </c>
      <c r="B5" s="9"/>
      <c r="C5" s="9"/>
      <c r="D5" s="92"/>
      <c r="E5" s="93"/>
      <c r="G5" s="11"/>
      <c r="H5" s="42"/>
    </row>
    <row r="6" spans="1:8">
      <c r="A6" s="38" t="s">
        <v>47</v>
      </c>
      <c r="B6" s="27" t="s">
        <v>475</v>
      </c>
      <c r="C6" s="27" t="s">
        <v>49</v>
      </c>
      <c r="D6" s="27" t="s">
        <v>74</v>
      </c>
      <c r="E6" s="33" t="s">
        <v>50</v>
      </c>
      <c r="G6" s="11"/>
      <c r="H6" s="42"/>
    </row>
    <row r="7" spans="1:8">
      <c r="A7" s="39">
        <v>69</v>
      </c>
      <c r="B7" s="40">
        <v>31.5</v>
      </c>
      <c r="C7" s="667"/>
      <c r="D7" s="667">
        <f>B7</f>
        <v>31.5</v>
      </c>
      <c r="E7" s="720"/>
      <c r="G7" s="11"/>
      <c r="H7" s="42"/>
    </row>
    <row r="8" spans="1:8">
      <c r="A8" s="39">
        <v>138</v>
      </c>
      <c r="B8" s="40">
        <v>257.54000000000002</v>
      </c>
      <c r="C8" s="669"/>
      <c r="D8" s="667">
        <f>B8</f>
        <v>257.54000000000002</v>
      </c>
      <c r="E8" s="720"/>
      <c r="G8" s="11"/>
      <c r="H8" s="42"/>
    </row>
    <row r="9" spans="1:8">
      <c r="A9" s="39">
        <v>240</v>
      </c>
      <c r="B9" s="40">
        <v>8.25</v>
      </c>
      <c r="C9" s="667">
        <f>B9</f>
        <v>8.25</v>
      </c>
      <c r="D9" s="669"/>
      <c r="E9" s="721"/>
      <c r="G9" s="11"/>
      <c r="H9" s="42"/>
    </row>
    <row r="10" spans="1:8">
      <c r="A10" s="39">
        <v>500</v>
      </c>
      <c r="B10" s="40">
        <v>0</v>
      </c>
      <c r="C10" s="667"/>
      <c r="D10" s="669"/>
      <c r="E10" s="721"/>
      <c r="G10" s="11"/>
      <c r="H10" s="42"/>
    </row>
    <row r="11" spans="1:8">
      <c r="A11" s="8" t="s">
        <v>474</v>
      </c>
      <c r="B11" s="40">
        <f>SUM(B7:B10)</f>
        <v>297.29000000000002</v>
      </c>
      <c r="C11" s="40">
        <f>SUM(C7:C10)</f>
        <v>8.25</v>
      </c>
      <c r="D11" s="40">
        <f>SUM(D7:D10)</f>
        <v>289.04000000000002</v>
      </c>
      <c r="E11" s="41">
        <f>SUM(E7:E10)</f>
        <v>0</v>
      </c>
      <c r="G11" s="11"/>
      <c r="H11" s="42"/>
    </row>
    <row r="12" spans="1:8">
      <c r="A12" s="21" t="s">
        <v>552</v>
      </c>
      <c r="B12" s="47"/>
      <c r="C12" s="54">
        <f>C11/$B11</f>
        <v>2.7750681153082848E-2</v>
      </c>
      <c r="D12" s="54">
        <f>D11/$B11</f>
        <v>0.97224931884691712</v>
      </c>
      <c r="E12" s="55">
        <f>E11/$B11</f>
        <v>0</v>
      </c>
      <c r="G12" s="11"/>
      <c r="H12" s="42"/>
    </row>
    <row r="13" spans="1:8">
      <c r="B13" s="786"/>
      <c r="C13" s="786"/>
      <c r="D13" s="786"/>
      <c r="E13" s="786"/>
    </row>
    <row r="14" spans="1:8">
      <c r="A14" s="19" t="s">
        <v>1111</v>
      </c>
      <c r="B14" s="58"/>
      <c r="C14" s="58" t="s">
        <v>49</v>
      </c>
      <c r="D14" s="59" t="s">
        <v>74</v>
      </c>
      <c r="E14" s="60" t="s">
        <v>50</v>
      </c>
    </row>
    <row r="15" spans="1:8">
      <c r="A15" s="8" t="s">
        <v>689</v>
      </c>
      <c r="B15" s="61">
        <v>57</v>
      </c>
      <c r="C15" s="61"/>
      <c r="D15" s="667">
        <f>B15</f>
        <v>57</v>
      </c>
      <c r="E15" s="62"/>
    </row>
    <row r="16" spans="1:8">
      <c r="A16" s="21" t="s">
        <v>688</v>
      </c>
      <c r="B16" s="47"/>
      <c r="C16" s="54">
        <f>C15/$B$15</f>
        <v>0</v>
      </c>
      <c r="D16" s="54">
        <f t="shared" ref="D16:E16" si="0">D15/$B$15</f>
        <v>1</v>
      </c>
      <c r="E16" s="55">
        <f t="shared" si="0"/>
        <v>0</v>
      </c>
    </row>
    <row r="17" spans="1:5">
      <c r="B17" s="786"/>
      <c r="C17" s="786"/>
      <c r="D17" s="789"/>
      <c r="E17" s="786"/>
    </row>
    <row r="18" spans="1:5">
      <c r="A18" s="19" t="s">
        <v>1112</v>
      </c>
      <c r="B18" s="58" t="s">
        <v>543</v>
      </c>
      <c r="C18" s="58" t="s">
        <v>49</v>
      </c>
      <c r="D18" s="27" t="s">
        <v>74</v>
      </c>
      <c r="E18" s="60" t="s">
        <v>50</v>
      </c>
    </row>
    <row r="19" spans="1:5">
      <c r="A19" s="8" t="s">
        <v>542</v>
      </c>
      <c r="B19" s="40">
        <v>40</v>
      </c>
      <c r="C19" s="667">
        <v>1</v>
      </c>
      <c r="D19" s="667">
        <v>1</v>
      </c>
      <c r="E19" s="668">
        <v>38</v>
      </c>
    </row>
    <row r="20" spans="1:5">
      <c r="A20" s="21" t="s">
        <v>46</v>
      </c>
      <c r="B20" s="47"/>
      <c r="C20" s="54">
        <f>C19/$B19</f>
        <v>2.5000000000000001E-2</v>
      </c>
      <c r="D20" s="54">
        <f>D19/$B19</f>
        <v>2.5000000000000001E-2</v>
      </c>
      <c r="E20" s="55">
        <f>E19/$B19</f>
        <v>0.95</v>
      </c>
    </row>
    <row r="21" spans="1:5">
      <c r="B21" s="786"/>
      <c r="C21" s="786"/>
      <c r="D21" s="789"/>
      <c r="E21" s="786"/>
    </row>
    <row r="22" spans="1:5">
      <c r="A22" s="19" t="s">
        <v>721</v>
      </c>
      <c r="B22" s="58" t="s">
        <v>574</v>
      </c>
      <c r="C22" s="58" t="s">
        <v>49</v>
      </c>
      <c r="D22" s="27" t="s">
        <v>74</v>
      </c>
      <c r="E22" s="60" t="s">
        <v>50</v>
      </c>
    </row>
    <row r="23" spans="1:5">
      <c r="A23" s="8" t="s">
        <v>720</v>
      </c>
      <c r="B23" s="40">
        <f>SUM(C23:E23)</f>
        <v>97</v>
      </c>
      <c r="C23" s="667">
        <f>C15+C19</f>
        <v>1</v>
      </c>
      <c r="D23" s="667">
        <f>D15+D19</f>
        <v>58</v>
      </c>
      <c r="E23" s="668">
        <f>E15+E19</f>
        <v>38</v>
      </c>
    </row>
    <row r="24" spans="1:5">
      <c r="A24" s="21" t="s">
        <v>573</v>
      </c>
      <c r="B24" s="47"/>
      <c r="C24" s="54">
        <f>C23/$B23</f>
        <v>1.0309278350515464E-2</v>
      </c>
      <c r="D24" s="54">
        <f>D23/$B23</f>
        <v>0.59793814432989689</v>
      </c>
      <c r="E24" s="55">
        <f>E23/$B23</f>
        <v>0.39175257731958762</v>
      </c>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ignoredErrors>
    <ignoredError sqref="B18:C18 B20:E21 B23 B11:E13 C23:E23 C7 C8 D9:E9 C10:E10 E7 E8 E18 B22:C22 E22" emptyCellReference="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2" tint="-0.499984740745262"/>
  </sheetPr>
  <dimension ref="A1:I39"/>
  <sheetViews>
    <sheetView showGridLines="0" workbookViewId="0">
      <pane ySplit="3" topLeftCell="A4" activePane="bottomLeft" state="frozen"/>
      <selection activeCell="O24" sqref="A1:XFD1048576"/>
      <selection pane="bottomLeft" activeCell="G8" sqref="G8"/>
    </sheetView>
  </sheetViews>
  <sheetFormatPr defaultColWidth="9.109375" defaultRowHeight="13.8"/>
  <cols>
    <col min="1" max="1" width="37.6640625" style="4" customWidth="1"/>
    <col min="2" max="2" width="12.6640625" style="4" customWidth="1"/>
    <col min="3" max="3" width="10.109375" style="4" bestFit="1" customWidth="1"/>
    <col min="4" max="4" width="10.44140625" style="4" customWidth="1"/>
    <col min="5" max="9" width="9.88671875" style="4" bestFit="1" customWidth="1"/>
    <col min="10" max="16384" width="9.109375" style="4"/>
  </cols>
  <sheetData>
    <row r="1" spans="1:9">
      <c r="A1" s="1" t="s">
        <v>482</v>
      </c>
    </row>
    <row r="2" spans="1:9">
      <c r="A2" s="8" t="s">
        <v>378</v>
      </c>
    </row>
    <row r="3" spans="1:9">
      <c r="A3" s="5" t="s">
        <v>482</v>
      </c>
      <c r="B3" s="7">
        <v>2010</v>
      </c>
      <c r="C3" s="86">
        <v>2011</v>
      </c>
      <c r="D3" s="86">
        <v>2012</v>
      </c>
      <c r="E3" s="86">
        <v>2013</v>
      </c>
      <c r="F3" s="86">
        <v>2014</v>
      </c>
      <c r="G3" s="86">
        <v>2015</v>
      </c>
      <c r="H3" s="86">
        <v>2016</v>
      </c>
      <c r="I3" s="86">
        <v>2017</v>
      </c>
    </row>
    <row r="4" spans="1:9">
      <c r="A4" s="8"/>
      <c r="B4" s="8"/>
      <c r="C4" s="9"/>
      <c r="D4" s="77"/>
      <c r="E4" s="87"/>
      <c r="F4" s="77"/>
      <c r="G4" s="77"/>
      <c r="H4" s="77"/>
    </row>
    <row r="5" spans="1:9">
      <c r="A5" s="73" t="s">
        <v>560</v>
      </c>
      <c r="B5" s="8"/>
      <c r="C5" s="9"/>
      <c r="D5" s="11"/>
      <c r="E5" s="11"/>
      <c r="F5" s="11"/>
      <c r="G5" s="77"/>
      <c r="H5" s="77"/>
    </row>
    <row r="6" spans="1:9">
      <c r="A6" s="22" t="s">
        <v>25</v>
      </c>
      <c r="B6" s="24">
        <f>'EN Sch 4.0'!B15</f>
        <v>4267407</v>
      </c>
      <c r="C6" s="23">
        <f>'EN Sch 4.0'!C15</f>
        <v>4830802</v>
      </c>
      <c r="D6" s="25">
        <f>'EN Sch 4.0'!D15</f>
        <v>6147967</v>
      </c>
      <c r="E6" s="25">
        <f>'EN Sch 4.0'!E15</f>
        <v>6902745.7411820609</v>
      </c>
      <c r="F6" s="25">
        <f>'EN Sch 4.0'!F15</f>
        <v>7650739.3425757298</v>
      </c>
      <c r="G6" s="25">
        <f>'EN Sch 4.0'!G15</f>
        <v>7716404.9547134535</v>
      </c>
      <c r="H6" s="25">
        <f>'EN Sch 4.0'!H15</f>
        <v>7756527.6044110311</v>
      </c>
      <c r="I6" s="25">
        <f>'EN Sch 4.0'!I15</f>
        <v>7707890.6339000715</v>
      </c>
    </row>
    <row r="7" spans="1:9">
      <c r="A7" s="8" t="s">
        <v>580</v>
      </c>
      <c r="B7" s="8"/>
      <c r="C7" s="9"/>
      <c r="D7" s="11"/>
      <c r="E7" s="11"/>
      <c r="F7" s="11"/>
      <c r="G7" s="11"/>
      <c r="H7" s="11"/>
      <c r="I7" s="11"/>
    </row>
    <row r="8" spans="1:9">
      <c r="A8" s="13" t="s">
        <v>49</v>
      </c>
      <c r="B8" s="16">
        <f>B6*'EN Sch 5.0'!$C12</f>
        <v>118423.45100743382</v>
      </c>
      <c r="C8" s="14">
        <f>C6*'EN Sch 5.0'!$C12</f>
        <v>134058.04601567492</v>
      </c>
      <c r="D8" s="17">
        <f>D6*'EN Sch 5.0'!$C12</f>
        <v>170610.27195667531</v>
      </c>
      <c r="E8" s="17">
        <f>E6*'EN Sch 5.0'!$C12</f>
        <v>191555.89614434392</v>
      </c>
      <c r="F8" s="17">
        <f>F6*'EN Sch 5.0'!$C12</f>
        <v>212313.22808116575</v>
      </c>
      <c r="G8" s="17">
        <f>G6*'EN Sch 5.0'!$C12</f>
        <v>214135.49354632173</v>
      </c>
      <c r="H8" s="17">
        <f>H6*'EN Sch 5.0'!$C12</f>
        <v>215248.92440509604</v>
      </c>
      <c r="I8" s="17">
        <f>I6*'EN Sch 5.0'!$C12</f>
        <v>213899.21534419453</v>
      </c>
    </row>
    <row r="9" spans="1:9">
      <c r="A9" s="13" t="s">
        <v>357</v>
      </c>
      <c r="B9" s="16">
        <f>B6*'EN Sch 5.0'!$D12</f>
        <v>4148983.5489925658</v>
      </c>
      <c r="C9" s="14">
        <f>C6*'EN Sch 5.0'!$D12</f>
        <v>4696743.9539843248</v>
      </c>
      <c r="D9" s="17">
        <f>D6*'EN Sch 5.0'!$D12</f>
        <v>5977356.7280433243</v>
      </c>
      <c r="E9" s="17">
        <f>E6*'EN Sch 5.0'!$D12</f>
        <v>6711189.8450377164</v>
      </c>
      <c r="F9" s="17">
        <f>F6*'EN Sch 5.0'!$D12</f>
        <v>7438426.114494564</v>
      </c>
      <c r="G9" s="17">
        <f>G6*'EN Sch 5.0'!$D12</f>
        <v>7502269.4611671316</v>
      </c>
      <c r="H9" s="17">
        <f>H6*'EN Sch 5.0'!$D12</f>
        <v>7541278.680005935</v>
      </c>
      <c r="I9" s="17">
        <f>I6*'EN Sch 5.0'!$D12</f>
        <v>7493991.4185558772</v>
      </c>
    </row>
    <row r="10" spans="1:9">
      <c r="A10" s="13" t="s">
        <v>50</v>
      </c>
      <c r="B10" s="16">
        <f>B6*'EN Sch 5.0'!$E12</f>
        <v>0</v>
      </c>
      <c r="C10" s="14">
        <f>C6*'EN Sch 5.0'!$E12</f>
        <v>0</v>
      </c>
      <c r="D10" s="17">
        <f>D6*'EN Sch 5.0'!$E12</f>
        <v>0</v>
      </c>
      <c r="E10" s="17">
        <f>E6*'EN Sch 5.0'!$E12</f>
        <v>0</v>
      </c>
      <c r="F10" s="17">
        <f>F6*'EN Sch 5.0'!$E12</f>
        <v>0</v>
      </c>
      <c r="G10" s="17">
        <f>G6*'EN Sch 5.0'!$E12</f>
        <v>0</v>
      </c>
      <c r="H10" s="17">
        <f>H6*'EN Sch 5.0'!$E12</f>
        <v>0</v>
      </c>
      <c r="I10" s="17">
        <f>I6*'EN Sch 5.0'!$E12</f>
        <v>0</v>
      </c>
    </row>
    <row r="11" spans="1:9" s="777" customFormat="1">
      <c r="A11" s="73" t="s">
        <v>48</v>
      </c>
      <c r="B11" s="655">
        <f t="shared" ref="B11:C11" si="0">SUM(B8:B10)</f>
        <v>4267407</v>
      </c>
      <c r="C11" s="160">
        <f t="shared" si="0"/>
        <v>4830802</v>
      </c>
      <c r="D11" s="162">
        <f t="shared" ref="D11:F11" si="1">SUM(D8:D10)</f>
        <v>6147967</v>
      </c>
      <c r="E11" s="162">
        <f t="shared" si="1"/>
        <v>6902745.74118206</v>
      </c>
      <c r="F11" s="162">
        <f t="shared" si="1"/>
        <v>7650739.3425757298</v>
      </c>
      <c r="G11" s="162">
        <f t="shared" ref="G11:I11" si="2">SUM(G8:G10)</f>
        <v>7716404.9547134535</v>
      </c>
      <c r="H11" s="162">
        <f t="shared" si="2"/>
        <v>7756527.6044110311</v>
      </c>
      <c r="I11" s="162">
        <f t="shared" si="2"/>
        <v>7707890.6339000715</v>
      </c>
    </row>
    <row r="12" spans="1:9">
      <c r="B12" s="8"/>
      <c r="C12" s="9"/>
      <c r="D12" s="11"/>
      <c r="E12" s="11"/>
      <c r="F12" s="11"/>
      <c r="G12" s="11"/>
      <c r="H12" s="11"/>
      <c r="I12" s="11"/>
    </row>
    <row r="13" spans="1:9">
      <c r="A13" s="22" t="s">
        <v>396</v>
      </c>
      <c r="B13" s="24">
        <f>'EN Sch 4.0'!B16</f>
        <v>1738593</v>
      </c>
      <c r="C13" s="23">
        <f>'EN Sch 4.0'!C16</f>
        <v>1968128</v>
      </c>
      <c r="D13" s="25">
        <f>'EN Sch 4.0'!D16</f>
        <v>2504757</v>
      </c>
      <c r="E13" s="25">
        <f>'EN Sch 4.0'!E16</f>
        <v>2812262.7224864778</v>
      </c>
      <c r="F13" s="25">
        <f>'EN Sch 4.0'!F16</f>
        <v>3117004.4297331949</v>
      </c>
      <c r="G13" s="25">
        <f>'EN Sch 4.0'!G16</f>
        <v>3143757.7546021966</v>
      </c>
      <c r="H13" s="25">
        <f>'EN Sch 4.0'!H16</f>
        <v>3160104.1175628747</v>
      </c>
      <c r="I13" s="25">
        <f>'EN Sch 4.0'!I16</f>
        <v>3140288.7672994221</v>
      </c>
    </row>
    <row r="14" spans="1:9">
      <c r="A14" s="8" t="s">
        <v>579</v>
      </c>
      <c r="B14" s="8"/>
      <c r="C14" s="9"/>
      <c r="D14" s="11"/>
      <c r="E14" s="11"/>
      <c r="F14" s="11"/>
      <c r="G14" s="11"/>
      <c r="H14" s="11"/>
      <c r="I14" s="11"/>
    </row>
    <row r="15" spans="1:9">
      <c r="A15" s="13" t="s">
        <v>49</v>
      </c>
      <c r="B15" s="16">
        <f>B13*'EN Sch 5.0'!$C24</f>
        <v>17923.639175257733</v>
      </c>
      <c r="C15" s="14">
        <f>C13*'EN Sch 5.0'!$C24</f>
        <v>20289.9793814433</v>
      </c>
      <c r="D15" s="17">
        <f>D13*'EN Sch 5.0'!$C24</f>
        <v>25822.237113402061</v>
      </c>
      <c r="E15" s="17">
        <f>E13*'EN Sch 5.0'!$C24</f>
        <v>28992.399200891523</v>
      </c>
      <c r="F15" s="17">
        <f>F13*'EN Sch 5.0'!$C24</f>
        <v>32134.066285909226</v>
      </c>
      <c r="G15" s="17">
        <f>G13*'EN Sch 5.0'!$C24</f>
        <v>32409.873758785532</v>
      </c>
      <c r="H15" s="17">
        <f>H13*'EN Sch 5.0'!$C24</f>
        <v>32578.392964565719</v>
      </c>
      <c r="I15" s="17">
        <f>I13*'EN Sch 5.0'!$C24</f>
        <v>32374.111003086826</v>
      </c>
    </row>
    <row r="16" spans="1:9">
      <c r="A16" s="13" t="s">
        <v>357</v>
      </c>
      <c r="B16" s="16">
        <f>B13*'EN Sch 5.0'!$D24</f>
        <v>1039571.0721649484</v>
      </c>
      <c r="C16" s="14">
        <f>C13*'EN Sch 5.0'!$D24</f>
        <v>1176818.8041237113</v>
      </c>
      <c r="D16" s="17">
        <f>D13*'EN Sch 5.0'!$D24</f>
        <v>1497689.7525773195</v>
      </c>
      <c r="E16" s="17">
        <f>E13*'EN Sch 5.0'!$D24</f>
        <v>1681559.1536517083</v>
      </c>
      <c r="F16" s="17">
        <f>F13*'EN Sch 5.0'!$D24</f>
        <v>1863775.8445827351</v>
      </c>
      <c r="G16" s="17">
        <f>G13*'EN Sch 5.0'!$D24</f>
        <v>1879772.6780095608</v>
      </c>
      <c r="H16" s="17">
        <f>H13*'EN Sch 5.0'!$D24</f>
        <v>1889546.7919448116</v>
      </c>
      <c r="I16" s="17">
        <f>I13*'EN Sch 5.0'!$D24</f>
        <v>1877698.4381790359</v>
      </c>
    </row>
    <row r="17" spans="1:9">
      <c r="A17" s="13" t="s">
        <v>50</v>
      </c>
      <c r="B17" s="16">
        <f>B13*'EN Sch 5.0'!$E24</f>
        <v>681098.28865979379</v>
      </c>
      <c r="C17" s="14">
        <f>C13*'EN Sch 5.0'!$E24</f>
        <v>771019.21649484534</v>
      </c>
      <c r="D17" s="17">
        <f>D13*'EN Sch 5.0'!$E24</f>
        <v>981245.01030927838</v>
      </c>
      <c r="E17" s="17">
        <f>E13*'EN Sch 5.0'!$E24</f>
        <v>1101711.1696338779</v>
      </c>
      <c r="F17" s="17">
        <f>F13*'EN Sch 5.0'!$E24</f>
        <v>1221094.5188645506</v>
      </c>
      <c r="G17" s="17">
        <f>G13*'EN Sch 5.0'!$E24</f>
        <v>1231575.2028338502</v>
      </c>
      <c r="H17" s="17">
        <f>H13*'EN Sch 5.0'!$E24</f>
        <v>1237978.9326534972</v>
      </c>
      <c r="I17" s="17">
        <f>I13*'EN Sch 5.0'!$E24</f>
        <v>1230216.2181172993</v>
      </c>
    </row>
    <row r="18" spans="1:9" s="777" customFormat="1">
      <c r="A18" s="73" t="s">
        <v>48</v>
      </c>
      <c r="B18" s="655">
        <f t="shared" ref="B18:C18" si="3">SUM(B15:B17)</f>
        <v>1738593</v>
      </c>
      <c r="C18" s="160">
        <f t="shared" si="3"/>
        <v>1968128</v>
      </c>
      <c r="D18" s="162">
        <f t="shared" ref="D18:F18" si="4">SUM(D15:D17)</f>
        <v>2504757</v>
      </c>
      <c r="E18" s="162">
        <f t="shared" si="4"/>
        <v>2812262.7224864778</v>
      </c>
      <c r="F18" s="162">
        <f t="shared" si="4"/>
        <v>3117004.4297331949</v>
      </c>
      <c r="G18" s="162">
        <f t="shared" ref="G18:I18" si="5">SUM(G15:G17)</f>
        <v>3143757.7546021966</v>
      </c>
      <c r="H18" s="162">
        <f t="shared" si="5"/>
        <v>3160104.1175628742</v>
      </c>
      <c r="I18" s="162">
        <f t="shared" si="5"/>
        <v>3140288.7672994221</v>
      </c>
    </row>
    <row r="19" spans="1:9">
      <c r="B19" s="8"/>
      <c r="C19" s="9"/>
      <c r="D19" s="11"/>
      <c r="E19" s="11"/>
      <c r="F19" s="11"/>
      <c r="G19" s="11"/>
      <c r="H19" s="11"/>
      <c r="I19" s="11"/>
    </row>
    <row r="20" spans="1:9">
      <c r="A20" s="22" t="s">
        <v>46</v>
      </c>
      <c r="B20" s="24">
        <f>'EN Sch 4.0'!B20</f>
        <v>9183457</v>
      </c>
      <c r="C20" s="23">
        <f>'EN Sch 4.0'!C20</f>
        <v>10395884</v>
      </c>
      <c r="D20" s="25">
        <f>'EN Sch 4.0'!D20</f>
        <v>13230422</v>
      </c>
      <c r="E20" s="25">
        <f>'EN Sch 4.0'!E20</f>
        <v>14854705.276650023</v>
      </c>
      <c r="F20" s="25">
        <f>'EN Sch 4.0'!F20</f>
        <v>16464387.121257594</v>
      </c>
      <c r="G20" s="25">
        <f>'EN Sch 4.0'!G20</f>
        <v>16605699.871408403</v>
      </c>
      <c r="H20" s="25">
        <f>'EN Sch 4.0'!H20</f>
        <v>16692043.614473501</v>
      </c>
      <c r="I20" s="25">
        <f>'EN Sch 4.0'!I20</f>
        <v>16587376.869046498</v>
      </c>
    </row>
    <row r="21" spans="1:9">
      <c r="A21" s="8" t="s">
        <v>578</v>
      </c>
      <c r="B21" s="8"/>
      <c r="C21" s="9"/>
      <c r="D21" s="11"/>
      <c r="E21" s="11"/>
      <c r="F21" s="11"/>
      <c r="G21" s="11"/>
      <c r="H21" s="11"/>
      <c r="I21" s="11"/>
    </row>
    <row r="22" spans="1:9">
      <c r="A22" s="13" t="s">
        <v>49</v>
      </c>
      <c r="B22" s="16">
        <f>B20*'EN Sch 5.0'!$C20</f>
        <v>229586.42500000002</v>
      </c>
      <c r="C22" s="14">
        <f>C20*'EN Sch 5.0'!$C20</f>
        <v>259897.1</v>
      </c>
      <c r="D22" s="17">
        <f>D20*'EN Sch 5.0'!$C20</f>
        <v>330760.55000000005</v>
      </c>
      <c r="E22" s="17">
        <f>E20*'EN Sch 5.0'!$C20</f>
        <v>371367.63191625057</v>
      </c>
      <c r="F22" s="17">
        <f>F20*'EN Sch 5.0'!$C20</f>
        <v>411609.67803143989</v>
      </c>
      <c r="G22" s="17">
        <f>G20*'EN Sch 5.0'!$C20</f>
        <v>415142.4967852101</v>
      </c>
      <c r="H22" s="17">
        <f>H20*'EN Sch 5.0'!$C20</f>
        <v>417301.09036183753</v>
      </c>
      <c r="I22" s="17">
        <f>I20*'EN Sch 5.0'!$C20</f>
        <v>414684.42172616249</v>
      </c>
    </row>
    <row r="23" spans="1:9">
      <c r="A23" s="13" t="s">
        <v>357</v>
      </c>
      <c r="B23" s="16">
        <f>B20*'EN Sch 5.0'!$D20</f>
        <v>229586.42500000002</v>
      </c>
      <c r="C23" s="14">
        <f>C20*'EN Sch 5.0'!$D20</f>
        <v>259897.1</v>
      </c>
      <c r="D23" s="17">
        <f>D20*'EN Sch 5.0'!$D20</f>
        <v>330760.55000000005</v>
      </c>
      <c r="E23" s="17">
        <f>E20*'EN Sch 5.0'!$D20</f>
        <v>371367.63191625057</v>
      </c>
      <c r="F23" s="17">
        <f>F20*'EN Sch 5.0'!$D20</f>
        <v>411609.67803143989</v>
      </c>
      <c r="G23" s="17">
        <f>G20*'EN Sch 5.0'!$D20</f>
        <v>415142.4967852101</v>
      </c>
      <c r="H23" s="17">
        <f>H20*'EN Sch 5.0'!$D20</f>
        <v>417301.09036183753</v>
      </c>
      <c r="I23" s="17">
        <f>I20*'EN Sch 5.0'!$D20</f>
        <v>414684.42172616249</v>
      </c>
    </row>
    <row r="24" spans="1:9">
      <c r="A24" s="13" t="s">
        <v>50</v>
      </c>
      <c r="B24" s="16">
        <f>B20*'EN Sch 5.0'!$E20</f>
        <v>8724284.1500000004</v>
      </c>
      <c r="C24" s="14">
        <f>C20*'EN Sch 5.0'!$E20</f>
        <v>9876089.7999999989</v>
      </c>
      <c r="D24" s="17">
        <f>D20*'EN Sch 5.0'!$E20</f>
        <v>12568900.899999999</v>
      </c>
      <c r="E24" s="17">
        <f>E20*'EN Sch 5.0'!$E20</f>
        <v>14111970.012817521</v>
      </c>
      <c r="F24" s="17">
        <f>F20*'EN Sch 5.0'!$E20</f>
        <v>15641167.765194714</v>
      </c>
      <c r="G24" s="17">
        <f>G20*'EN Sch 5.0'!$E20</f>
        <v>15775414.877837982</v>
      </c>
      <c r="H24" s="17">
        <f>H20*'EN Sch 5.0'!$E20</f>
        <v>15857441.433749825</v>
      </c>
      <c r="I24" s="17">
        <f>I20*'EN Sch 5.0'!$E20</f>
        <v>15758008.025594173</v>
      </c>
    </row>
    <row r="25" spans="1:9" s="777" customFormat="1">
      <c r="A25" s="73" t="s">
        <v>48</v>
      </c>
      <c r="B25" s="655">
        <f t="shared" ref="B25:C25" si="6">SUM(B22:B24)</f>
        <v>9183457</v>
      </c>
      <c r="C25" s="160">
        <f t="shared" si="6"/>
        <v>10395883.999999998</v>
      </c>
      <c r="D25" s="162">
        <f t="shared" ref="D25:F25" si="7">SUM(D22:D24)</f>
        <v>13230421.999999998</v>
      </c>
      <c r="E25" s="162">
        <f t="shared" si="7"/>
        <v>14854705.276650023</v>
      </c>
      <c r="F25" s="162">
        <f t="shared" si="7"/>
        <v>16464387.121257594</v>
      </c>
      <c r="G25" s="162">
        <f t="shared" ref="G25:I25" si="8">SUM(G22:G24)</f>
        <v>16605699.871408403</v>
      </c>
      <c r="H25" s="162">
        <f t="shared" si="8"/>
        <v>16692043.614473499</v>
      </c>
      <c r="I25" s="162">
        <f t="shared" si="8"/>
        <v>16587376.869046498</v>
      </c>
    </row>
    <row r="26" spans="1:9">
      <c r="B26" s="8"/>
      <c r="C26" s="9"/>
      <c r="D26" s="11"/>
      <c r="E26" s="11"/>
      <c r="F26" s="11"/>
      <c r="G26" s="11"/>
      <c r="H26" s="11"/>
      <c r="I26" s="11"/>
    </row>
    <row r="27" spans="1:9">
      <c r="A27" s="22" t="s">
        <v>577</v>
      </c>
      <c r="B27" s="24"/>
      <c r="C27" s="23"/>
      <c r="D27" s="25"/>
      <c r="E27" s="25"/>
      <c r="F27" s="25"/>
      <c r="G27" s="25"/>
      <c r="H27" s="25"/>
      <c r="I27" s="25"/>
    </row>
    <row r="28" spans="1:9">
      <c r="A28" s="8"/>
      <c r="B28" s="8"/>
      <c r="C28" s="9"/>
      <c r="D28" s="11"/>
      <c r="E28" s="11"/>
      <c r="F28" s="11"/>
      <c r="G28" s="11"/>
      <c r="H28" s="11"/>
      <c r="I28" s="11"/>
    </row>
    <row r="29" spans="1:9">
      <c r="A29" s="13" t="s">
        <v>49</v>
      </c>
      <c r="B29" s="16">
        <f t="shared" ref="B29:C31" si="9">B8+B15+B22</f>
        <v>365933.51518269157</v>
      </c>
      <c r="C29" s="14">
        <f t="shared" si="9"/>
        <v>414245.12539711822</v>
      </c>
      <c r="D29" s="17">
        <f t="shared" ref="D29:F29" si="10">D8+D15+D22</f>
        <v>527193.05907007738</v>
      </c>
      <c r="E29" s="17">
        <f t="shared" si="10"/>
        <v>591915.92726148595</v>
      </c>
      <c r="F29" s="17">
        <f t="shared" si="10"/>
        <v>656056.97239851486</v>
      </c>
      <c r="G29" s="17">
        <f t="shared" ref="G29:I29" si="11">G8+G15+G22</f>
        <v>661687.86409031739</v>
      </c>
      <c r="H29" s="17">
        <f t="shared" si="11"/>
        <v>665128.40773149929</v>
      </c>
      <c r="I29" s="17">
        <f t="shared" si="11"/>
        <v>660957.74807344377</v>
      </c>
    </row>
    <row r="30" spans="1:9">
      <c r="A30" s="13" t="s">
        <v>357</v>
      </c>
      <c r="B30" s="16">
        <f t="shared" si="9"/>
        <v>5418141.0461575137</v>
      </c>
      <c r="C30" s="14">
        <f t="shared" si="9"/>
        <v>6133459.8581080362</v>
      </c>
      <c r="D30" s="17">
        <f t="shared" ref="D30:F30" si="12">D9+D16+D23</f>
        <v>7805807.0306206439</v>
      </c>
      <c r="E30" s="17">
        <f t="shared" si="12"/>
        <v>8764116.6306056753</v>
      </c>
      <c r="F30" s="17">
        <f t="shared" si="12"/>
        <v>9713811.6371087395</v>
      </c>
      <c r="G30" s="17">
        <f t="shared" ref="G30:I30" si="13">G9+G16+G23</f>
        <v>9797184.6359619033</v>
      </c>
      <c r="H30" s="17">
        <f t="shared" si="13"/>
        <v>9848126.5623125844</v>
      </c>
      <c r="I30" s="17">
        <f t="shared" si="13"/>
        <v>9786374.2784610745</v>
      </c>
    </row>
    <row r="31" spans="1:9">
      <c r="A31" s="13" t="s">
        <v>50</v>
      </c>
      <c r="B31" s="16">
        <f t="shared" si="9"/>
        <v>9405382.4386597946</v>
      </c>
      <c r="C31" s="14">
        <f t="shared" si="9"/>
        <v>10647109.016494844</v>
      </c>
      <c r="D31" s="17">
        <f t="shared" ref="D31:F31" si="14">D10+D17+D24</f>
        <v>13550145.910309277</v>
      </c>
      <c r="E31" s="17">
        <f t="shared" si="14"/>
        <v>15213681.182451399</v>
      </c>
      <c r="F31" s="17">
        <f t="shared" si="14"/>
        <v>16862262.284059264</v>
      </c>
      <c r="G31" s="17">
        <f t="shared" ref="G31:I31" si="15">G10+G17+G24</f>
        <v>17006990.080671832</v>
      </c>
      <c r="H31" s="17">
        <f t="shared" si="15"/>
        <v>17095420.366403323</v>
      </c>
      <c r="I31" s="17">
        <f t="shared" si="15"/>
        <v>16988224.243711472</v>
      </c>
    </row>
    <row r="32" spans="1:9" s="777" customFormat="1">
      <c r="A32" s="73" t="s">
        <v>48</v>
      </c>
      <c r="B32" s="655">
        <f t="shared" ref="B32:C32" si="16">SUM(B29:B31)</f>
        <v>15189457</v>
      </c>
      <c r="C32" s="160">
        <f t="shared" si="16"/>
        <v>17194814</v>
      </c>
      <c r="D32" s="162">
        <f t="shared" ref="D32:F32" si="17">SUM(D29:D31)</f>
        <v>21883146</v>
      </c>
      <c r="E32" s="162">
        <f t="shared" si="17"/>
        <v>24569713.740318559</v>
      </c>
      <c r="F32" s="162">
        <f t="shared" si="17"/>
        <v>27232130.893566519</v>
      </c>
      <c r="G32" s="162">
        <f t="shared" ref="G32:I32" si="18">SUM(G29:G31)</f>
        <v>27465862.580724053</v>
      </c>
      <c r="H32" s="162">
        <f t="shared" si="18"/>
        <v>27608675.336447407</v>
      </c>
      <c r="I32" s="162">
        <f t="shared" si="18"/>
        <v>27435556.270245992</v>
      </c>
    </row>
    <row r="33" spans="1:9">
      <c r="B33" s="8"/>
      <c r="C33" s="9"/>
      <c r="D33" s="11"/>
      <c r="E33" s="11"/>
      <c r="F33" s="11"/>
      <c r="G33" s="11"/>
      <c r="H33" s="11"/>
      <c r="I33" s="11"/>
    </row>
    <row r="34" spans="1:9">
      <c r="A34" s="22" t="s">
        <v>576</v>
      </c>
      <c r="B34" s="24">
        <f>'EN Sch 4.0'!B30</f>
        <v>16509704</v>
      </c>
      <c r="C34" s="23">
        <f>'EN Sch 4.0'!C30</f>
        <v>18732162.739999998</v>
      </c>
      <c r="D34" s="25">
        <f>'EN Sch 4.0'!D30</f>
        <v>23784461.170000002</v>
      </c>
      <c r="E34" s="25">
        <f>'EN Sch 4.0'!E30</f>
        <v>26673677.261368759</v>
      </c>
      <c r="F34" s="25">
        <f>'EN Sch 4.0'!F30</f>
        <v>29551449.615560956</v>
      </c>
      <c r="G34" s="25">
        <f>'EN Sch 4.0'!G30</f>
        <v>29796774.278345488</v>
      </c>
      <c r="H34" s="25">
        <f>'EN Sch 4.0'!H30</f>
        <v>29915391.72516416</v>
      </c>
      <c r="I34" s="25">
        <f>'EN Sch 4.0'!I30</f>
        <v>29718538.5396902</v>
      </c>
    </row>
    <row r="35" spans="1:9">
      <c r="A35" s="8" t="s">
        <v>575</v>
      </c>
      <c r="B35" s="8"/>
      <c r="C35" s="9"/>
      <c r="D35" s="11"/>
      <c r="E35" s="11"/>
      <c r="F35" s="11"/>
      <c r="G35" s="11"/>
      <c r="H35" s="11"/>
      <c r="I35" s="11"/>
    </row>
    <row r="36" spans="1:9">
      <c r="A36" s="13" t="s">
        <v>49</v>
      </c>
      <c r="B36" s="16">
        <f t="shared" ref="B36:C38" si="19">B29/B$32*B$34</f>
        <v>397739.95998314774</v>
      </c>
      <c r="C36" s="14">
        <f t="shared" si="19"/>
        <v>451281.82853216823</v>
      </c>
      <c r="D36" s="17">
        <f t="shared" ref="D36:F36" si="20">D29/D$32*D$34</f>
        <v>572998.18054249475</v>
      </c>
      <c r="E36" s="17">
        <f t="shared" si="20"/>
        <v>642603.10789571272</v>
      </c>
      <c r="F36" s="17">
        <f t="shared" si="20"/>
        <v>711932.33612696757</v>
      </c>
      <c r="G36" s="17">
        <f t="shared" ref="G36:I36" si="21">G29/G$32*G$34</f>
        <v>717842.51709090057</v>
      </c>
      <c r="H36" s="17">
        <f t="shared" si="21"/>
        <v>720700.1647976517</v>
      </c>
      <c r="I36" s="17">
        <f t="shared" si="21"/>
        <v>715957.71981959394</v>
      </c>
    </row>
    <row r="37" spans="1:9">
      <c r="A37" s="13" t="s">
        <v>357</v>
      </c>
      <c r="B37" s="16">
        <f t="shared" si="19"/>
        <v>5889078.5169154424</v>
      </c>
      <c r="C37" s="14">
        <f t="shared" si="19"/>
        <v>6681838.3857677691</v>
      </c>
      <c r="D37" s="17">
        <f t="shared" ref="D37:F37" si="22">D30/D$32*D$34</f>
        <v>8484013.8716942109</v>
      </c>
      <c r="E37" s="17">
        <f t="shared" si="22"/>
        <v>9514608.9594912566</v>
      </c>
      <c r="F37" s="17">
        <f t="shared" si="22"/>
        <v>10541122.040394008</v>
      </c>
      <c r="G37" s="17">
        <f t="shared" ref="G37:I37" si="23">G30/G$32*G$34</f>
        <v>10628630.297084067</v>
      </c>
      <c r="H37" s="17">
        <f t="shared" si="23"/>
        <v>10670941.661646733</v>
      </c>
      <c r="I37" s="17">
        <f t="shared" si="23"/>
        <v>10600723.320259131</v>
      </c>
    </row>
    <row r="38" spans="1:9">
      <c r="A38" s="13" t="s">
        <v>50</v>
      </c>
      <c r="B38" s="16">
        <f t="shared" si="19"/>
        <v>10222885.523101408</v>
      </c>
      <c r="C38" s="14">
        <f t="shared" si="19"/>
        <v>11599042.525700059</v>
      </c>
      <c r="D38" s="17">
        <f t="shared" ref="D38:F38" si="24">D31/D$32*D$34</f>
        <v>14727449.117763294</v>
      </c>
      <c r="E38" s="17">
        <f t="shared" si="24"/>
        <v>16516465.193981793</v>
      </c>
      <c r="F38" s="17">
        <f t="shared" si="24"/>
        <v>18298395.23903998</v>
      </c>
      <c r="G38" s="17">
        <f t="shared" ref="G38:I38" si="25">G31/G$32*G$34</f>
        <v>18450301.464170523</v>
      </c>
      <c r="H38" s="17">
        <f t="shared" si="25"/>
        <v>18523749.898719776</v>
      </c>
      <c r="I38" s="17">
        <f t="shared" si="25"/>
        <v>18401857.499611475</v>
      </c>
    </row>
    <row r="39" spans="1:9" s="777" customFormat="1">
      <c r="A39" s="73" t="s">
        <v>48</v>
      </c>
      <c r="B39" s="655">
        <f t="shared" ref="B39:C39" si="26">SUM(B36:B38)</f>
        <v>16509703.999999998</v>
      </c>
      <c r="C39" s="160">
        <f t="shared" si="26"/>
        <v>18732162.739999995</v>
      </c>
      <c r="D39" s="162">
        <f t="shared" ref="D39:F39" si="27">SUM(D36:D38)</f>
        <v>23784461.170000002</v>
      </c>
      <c r="E39" s="162">
        <f t="shared" si="27"/>
        <v>26673677.261368763</v>
      </c>
      <c r="F39" s="162">
        <f t="shared" si="27"/>
        <v>29551449.615560956</v>
      </c>
      <c r="G39" s="162">
        <f t="shared" ref="G39:I39" si="28">SUM(G36:G38)</f>
        <v>29796774.278345488</v>
      </c>
      <c r="H39" s="162">
        <f t="shared" si="28"/>
        <v>29915391.72516416</v>
      </c>
      <c r="I39" s="162">
        <f t="shared" si="28"/>
        <v>29718538.5396902</v>
      </c>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H309"/>
  <sheetViews>
    <sheetView topLeftCell="M253" zoomScale="45" zoomScaleNormal="45" workbookViewId="0">
      <selection activeCell="V176" sqref="V176"/>
    </sheetView>
  </sheetViews>
  <sheetFormatPr defaultColWidth="8.88671875" defaultRowHeight="14.4"/>
  <cols>
    <col min="1" max="1" width="13.6640625" style="899" customWidth="1"/>
    <col min="2" max="2" width="18.6640625" style="899" customWidth="1"/>
    <col min="3" max="3" width="9.109375" style="899" bestFit="1" customWidth="1"/>
    <col min="4" max="4" width="15.33203125" style="899" bestFit="1" customWidth="1"/>
    <col min="5" max="5" width="10.33203125" style="899" bestFit="1" customWidth="1"/>
    <col min="6" max="6" width="11.6640625" style="899" bestFit="1" customWidth="1"/>
    <col min="7" max="7" width="13.6640625" style="899" bestFit="1" customWidth="1"/>
    <col min="8" max="8" width="23.44140625" style="899" bestFit="1" customWidth="1"/>
    <col min="9" max="9" width="14.5546875" style="899" bestFit="1" customWidth="1"/>
    <col min="10" max="10" width="26.88671875" style="899" customWidth="1"/>
    <col min="11" max="11" width="35.44140625" style="901" customWidth="1"/>
    <col min="12" max="12" width="33.6640625" style="901" customWidth="1"/>
    <col min="13" max="13" width="13.6640625" style="899" bestFit="1" customWidth="1"/>
    <col min="14" max="14" width="11.33203125" style="899" bestFit="1" customWidth="1"/>
    <col min="15" max="15" width="52.109375" style="899" customWidth="1"/>
    <col min="16" max="16" width="5" style="899" bestFit="1" customWidth="1"/>
    <col min="17" max="17" width="8.33203125" style="899" bestFit="1" customWidth="1"/>
    <col min="18" max="18" width="11.6640625" style="899" bestFit="1" customWidth="1"/>
    <col min="19" max="19" width="13.6640625" style="899" bestFit="1" customWidth="1"/>
    <col min="20" max="20" width="34.6640625" style="899" bestFit="1" customWidth="1"/>
    <col min="21" max="21" width="17.6640625" style="899" bestFit="1" customWidth="1"/>
    <col min="22" max="22" width="17.44140625" style="899" bestFit="1" customWidth="1"/>
    <col min="23" max="23" width="18.6640625" style="899" bestFit="1" customWidth="1"/>
    <col min="24" max="24" width="17.88671875" style="899" bestFit="1" customWidth="1"/>
    <col min="25" max="25" width="22.33203125" style="899" bestFit="1" customWidth="1"/>
    <col min="26" max="26" width="19.88671875" style="899" bestFit="1" customWidth="1"/>
    <col min="27" max="27" width="31.88671875" style="899" bestFit="1" customWidth="1"/>
    <col min="28" max="28" width="11" style="899" bestFit="1" customWidth="1"/>
    <col min="29" max="35" width="8.88671875" style="899"/>
    <col min="36" max="36" width="7.44140625" style="899" bestFit="1" customWidth="1"/>
    <col min="37" max="16384" width="8.88671875" style="899"/>
  </cols>
  <sheetData>
    <row r="1" spans="1:25" s="810" customFormat="1" ht="20.399999999999999">
      <c r="A1" s="809" t="s">
        <v>3140</v>
      </c>
    </row>
    <row r="2" spans="1:25" s="810" customFormat="1" ht="15.6"/>
    <row r="3" spans="1:25" s="810" customFormat="1" ht="15.6">
      <c r="D3" s="891"/>
      <c r="E3" s="891"/>
      <c r="F3" s="891"/>
    </row>
    <row r="4" spans="1:25">
      <c r="A4" s="898" t="s">
        <v>2508</v>
      </c>
      <c r="D4" s="900"/>
      <c r="E4" s="900"/>
      <c r="F4" s="900"/>
    </row>
    <row r="5" spans="1:25" ht="13.8">
      <c r="A5" s="902"/>
      <c r="B5" s="903" t="s">
        <v>2809</v>
      </c>
      <c r="C5" s="904" t="s">
        <v>2832</v>
      </c>
      <c r="D5" s="905"/>
      <c r="E5" s="905"/>
      <c r="F5" s="900"/>
      <c r="H5" s="906" t="s">
        <v>2833</v>
      </c>
      <c r="I5" s="906"/>
      <c r="J5" s="906"/>
      <c r="K5" s="906"/>
      <c r="L5" s="907"/>
    </row>
    <row r="6" spans="1:25" ht="13.8">
      <c r="A6" s="975" t="s">
        <v>2811</v>
      </c>
      <c r="B6" s="908" t="s">
        <v>2538</v>
      </c>
      <c r="C6" s="900">
        <v>1</v>
      </c>
      <c r="D6" s="900"/>
      <c r="E6" s="900"/>
      <c r="F6" s="900"/>
      <c r="H6" s="909"/>
      <c r="I6" s="823" t="s">
        <v>2834</v>
      </c>
      <c r="J6" s="910"/>
      <c r="K6" s="910"/>
      <c r="L6" s="911"/>
    </row>
    <row r="7" spans="1:25">
      <c r="A7" s="975"/>
      <c r="B7" s="908" t="s">
        <v>2545</v>
      </c>
      <c r="C7" s="900">
        <v>1.18</v>
      </c>
      <c r="D7" s="912"/>
      <c r="E7" s="912"/>
      <c r="F7" s="900"/>
      <c r="H7" s="913" t="s">
        <v>3123</v>
      </c>
      <c r="I7" s="914">
        <f>1-(X95/X45)</f>
        <v>0.34791238577856776</v>
      </c>
      <c r="J7" s="915"/>
      <c r="K7" s="915"/>
      <c r="L7" s="916"/>
    </row>
    <row r="8" spans="1:25">
      <c r="A8" s="976"/>
      <c r="B8" s="917" t="s">
        <v>2534</v>
      </c>
      <c r="C8" s="918">
        <v>1.62</v>
      </c>
      <c r="D8" s="900"/>
      <c r="E8" s="900"/>
      <c r="F8" s="900"/>
      <c r="H8" s="919" t="s">
        <v>2000</v>
      </c>
      <c r="I8" s="920">
        <f>1-(X305/X174)</f>
        <v>6.1234223629117568E-2</v>
      </c>
      <c r="J8" s="915"/>
      <c r="K8" s="915"/>
      <c r="L8" s="916"/>
    </row>
    <row r="9" spans="1:25">
      <c r="A9" s="975" t="s">
        <v>14</v>
      </c>
      <c r="B9" s="908" t="s">
        <v>2538</v>
      </c>
      <c r="C9" s="900">
        <v>0.88</v>
      </c>
      <c r="D9" s="900"/>
      <c r="E9" s="900"/>
      <c r="F9" s="900"/>
      <c r="J9" s="900"/>
      <c r="K9" s="921"/>
      <c r="L9" s="922"/>
    </row>
    <row r="10" spans="1:25">
      <c r="A10" s="975"/>
      <c r="B10" s="908" t="s">
        <v>2545</v>
      </c>
      <c r="C10" s="900">
        <v>0.94</v>
      </c>
      <c r="D10" s="900"/>
      <c r="E10" s="900"/>
      <c r="F10" s="900"/>
    </row>
    <row r="11" spans="1:25">
      <c r="A11" s="976"/>
      <c r="B11" s="917" t="s">
        <v>2534</v>
      </c>
      <c r="C11" s="918">
        <v>1</v>
      </c>
      <c r="D11" s="900"/>
      <c r="E11" s="900"/>
      <c r="F11" s="900"/>
    </row>
    <row r="12" spans="1:25">
      <c r="D12" s="900"/>
      <c r="E12" s="900"/>
      <c r="F12" s="900"/>
    </row>
    <row r="13" spans="1:25">
      <c r="A13" s="898" t="s">
        <v>2835</v>
      </c>
      <c r="G13" s="901"/>
      <c r="H13" s="901"/>
      <c r="K13" s="899"/>
      <c r="L13" s="899"/>
      <c r="V13" s="901"/>
      <c r="X13" s="901"/>
      <c r="Y13" s="923"/>
    </row>
    <row r="14" spans="1:25" s="898" customFormat="1" ht="13.8">
      <c r="A14" s="898" t="s">
        <v>2837</v>
      </c>
      <c r="B14" s="898" t="s">
        <v>2838</v>
      </c>
      <c r="C14" s="898" t="s">
        <v>120</v>
      </c>
      <c r="D14" s="898" t="s">
        <v>2519</v>
      </c>
      <c r="E14" s="898" t="s">
        <v>30</v>
      </c>
      <c r="F14" s="898" t="s">
        <v>2839</v>
      </c>
      <c r="G14" s="924" t="s">
        <v>2840</v>
      </c>
      <c r="H14" s="924" t="s">
        <v>2841</v>
      </c>
      <c r="I14" s="898" t="s">
        <v>2842</v>
      </c>
      <c r="J14" s="898" t="s">
        <v>2843</v>
      </c>
      <c r="K14" s="898" t="s">
        <v>2844</v>
      </c>
      <c r="L14" s="898" t="s">
        <v>121</v>
      </c>
      <c r="M14" s="898" t="s">
        <v>2845</v>
      </c>
      <c r="N14" s="898" t="s">
        <v>2520</v>
      </c>
      <c r="O14" s="898" t="s">
        <v>2521</v>
      </c>
      <c r="P14" s="898" t="s">
        <v>122</v>
      </c>
      <c r="Q14" s="898" t="s">
        <v>2522</v>
      </c>
      <c r="R14" s="898" t="s">
        <v>123</v>
      </c>
      <c r="S14" s="898" t="s">
        <v>2523</v>
      </c>
      <c r="T14" s="898" t="s">
        <v>2524</v>
      </c>
      <c r="U14" s="898" t="s">
        <v>2525</v>
      </c>
      <c r="V14" s="924" t="s">
        <v>44</v>
      </c>
      <c r="W14" s="898" t="s">
        <v>2846</v>
      </c>
      <c r="X14" s="924" t="s">
        <v>2847</v>
      </c>
      <c r="Y14" s="924" t="s">
        <v>3122</v>
      </c>
    </row>
    <row r="15" spans="1:25">
      <c r="A15" s="899">
        <v>17</v>
      </c>
      <c r="B15" s="899">
        <v>462</v>
      </c>
      <c r="C15" s="899" t="s">
        <v>1191</v>
      </c>
      <c r="D15" s="925">
        <v>40330</v>
      </c>
      <c r="E15" s="899" t="s">
        <v>140</v>
      </c>
      <c r="F15" s="925">
        <v>40778</v>
      </c>
      <c r="G15" s="901">
        <v>9340000</v>
      </c>
      <c r="H15" s="901">
        <v>2270000</v>
      </c>
      <c r="I15" s="899">
        <v>0.66162256377753104</v>
      </c>
      <c r="J15" s="899" t="s">
        <v>1212</v>
      </c>
      <c r="K15" s="899" t="s">
        <v>2577</v>
      </c>
      <c r="L15" s="899" t="s">
        <v>2578</v>
      </c>
      <c r="M15" s="899">
        <v>462002015</v>
      </c>
      <c r="N15" s="899" t="s">
        <v>2531</v>
      </c>
      <c r="O15" s="899" t="s">
        <v>2579</v>
      </c>
      <c r="P15" s="899">
        <v>240</v>
      </c>
      <c r="Q15" s="899" t="s">
        <v>2533</v>
      </c>
      <c r="R15" s="899">
        <v>6</v>
      </c>
      <c r="S15" s="899" t="s">
        <v>2538</v>
      </c>
      <c r="T15" s="899">
        <v>2</v>
      </c>
      <c r="U15" s="899" t="s">
        <v>2546</v>
      </c>
      <c r="V15" s="926">
        <v>11610000</v>
      </c>
      <c r="W15" s="899">
        <v>462</v>
      </c>
      <c r="X15" s="926">
        <f>VLOOKUP(S15,$B$6:$C$8,2,FALSE)*V15</f>
        <v>11610000</v>
      </c>
      <c r="Y15" s="927">
        <f t="shared" ref="Y15:Y44" si="0">X15/R15</f>
        <v>1935000</v>
      </c>
    </row>
    <row r="16" spans="1:25">
      <c r="A16" s="899">
        <v>78</v>
      </c>
      <c r="B16" s="899">
        <v>629</v>
      </c>
      <c r="C16" s="899" t="s">
        <v>1191</v>
      </c>
      <c r="D16" s="925">
        <v>41194</v>
      </c>
      <c r="E16" s="899" t="s">
        <v>140</v>
      </c>
      <c r="F16" s="925">
        <v>41362</v>
      </c>
      <c r="G16" s="901">
        <v>56341765</v>
      </c>
      <c r="H16" s="901">
        <v>0</v>
      </c>
      <c r="I16" s="899">
        <v>0.72932652030104095</v>
      </c>
      <c r="K16" s="899" t="s">
        <v>2572</v>
      </c>
      <c r="L16" s="899" t="s">
        <v>2848</v>
      </c>
      <c r="M16" s="899">
        <v>6290020301</v>
      </c>
      <c r="N16" s="899" t="s">
        <v>2531</v>
      </c>
      <c r="O16" s="899" t="s">
        <v>2849</v>
      </c>
      <c r="P16" s="899">
        <v>240</v>
      </c>
      <c r="Q16" s="899" t="s">
        <v>2533</v>
      </c>
      <c r="R16" s="899">
        <v>22</v>
      </c>
      <c r="S16" s="899" t="s">
        <v>2538</v>
      </c>
      <c r="T16" s="899">
        <v>2</v>
      </c>
      <c r="U16" s="899" t="s">
        <v>2546</v>
      </c>
      <c r="V16" s="926">
        <v>56341765</v>
      </c>
      <c r="W16" s="899">
        <v>629</v>
      </c>
      <c r="X16" s="926">
        <f t="shared" ref="X16:X44" si="1">VLOOKUP(S16,$B$6:$C$8,2,FALSE)*V16</f>
        <v>56341765</v>
      </c>
      <c r="Y16" s="927">
        <f t="shared" si="0"/>
        <v>2560989.3181818184</v>
      </c>
    </row>
    <row r="17" spans="1:25">
      <c r="A17" s="899">
        <v>110</v>
      </c>
      <c r="B17" s="899">
        <v>719</v>
      </c>
      <c r="C17" s="899" t="s">
        <v>1191</v>
      </c>
      <c r="D17" s="925">
        <v>41452</v>
      </c>
      <c r="E17" s="899" t="s">
        <v>140</v>
      </c>
      <c r="F17" s="925">
        <v>42156</v>
      </c>
      <c r="G17" s="901">
        <v>11847000</v>
      </c>
      <c r="H17" s="901">
        <v>2124000</v>
      </c>
      <c r="I17" s="899">
        <v>0.71770707135114498</v>
      </c>
      <c r="J17" s="899" t="s">
        <v>1211</v>
      </c>
      <c r="K17" s="899" t="s">
        <v>2536</v>
      </c>
      <c r="L17" s="899" t="s">
        <v>2537</v>
      </c>
      <c r="M17" s="899">
        <v>7190020090</v>
      </c>
      <c r="N17" s="899" t="s">
        <v>2531</v>
      </c>
      <c r="O17" s="899" t="s">
        <v>126</v>
      </c>
      <c r="P17" s="899">
        <v>240</v>
      </c>
      <c r="Q17" s="899" t="s">
        <v>2533</v>
      </c>
      <c r="R17" s="899">
        <v>4</v>
      </c>
      <c r="S17" s="899" t="s">
        <v>2538</v>
      </c>
      <c r="T17" s="899">
        <v>2</v>
      </c>
      <c r="U17" s="899">
        <v>1033</v>
      </c>
      <c r="V17" s="926">
        <v>13971000</v>
      </c>
      <c r="W17" s="899">
        <v>719</v>
      </c>
      <c r="X17" s="926">
        <f t="shared" si="1"/>
        <v>13971000</v>
      </c>
      <c r="Y17" s="927">
        <f t="shared" si="0"/>
        <v>3492750</v>
      </c>
    </row>
    <row r="18" spans="1:25">
      <c r="A18" s="899">
        <v>137</v>
      </c>
      <c r="B18" s="899">
        <v>744</v>
      </c>
      <c r="C18" s="899" t="s">
        <v>1191</v>
      </c>
      <c r="D18" s="925">
        <v>39969</v>
      </c>
      <c r="E18" s="899" t="s">
        <v>140</v>
      </c>
      <c r="F18" s="925">
        <v>40785</v>
      </c>
      <c r="G18" s="901">
        <v>1603000</v>
      </c>
      <c r="H18" s="901">
        <v>1900000</v>
      </c>
      <c r="I18" s="899">
        <v>0.47485625182730701</v>
      </c>
      <c r="K18" s="899" t="s">
        <v>2850</v>
      </c>
      <c r="L18" s="899" t="s">
        <v>2560</v>
      </c>
      <c r="M18" s="899">
        <v>744002024</v>
      </c>
      <c r="N18" s="899" t="s">
        <v>2531</v>
      </c>
      <c r="O18" s="899" t="s">
        <v>2561</v>
      </c>
      <c r="P18" s="899">
        <v>240</v>
      </c>
      <c r="Q18" s="899" t="s">
        <v>2533</v>
      </c>
      <c r="R18" s="899">
        <v>1</v>
      </c>
      <c r="S18" s="899" t="s">
        <v>2538</v>
      </c>
      <c r="T18" s="899">
        <v>2</v>
      </c>
      <c r="U18" s="899" t="s">
        <v>2546</v>
      </c>
      <c r="V18" s="926">
        <v>3503000</v>
      </c>
      <c r="W18" s="899">
        <v>744</v>
      </c>
      <c r="X18" s="926">
        <f t="shared" si="1"/>
        <v>3503000</v>
      </c>
      <c r="Y18" s="927">
        <f t="shared" si="0"/>
        <v>3503000</v>
      </c>
    </row>
    <row r="19" spans="1:25">
      <c r="A19" s="899">
        <v>145</v>
      </c>
      <c r="B19" s="899">
        <v>786</v>
      </c>
      <c r="C19" s="899" t="s">
        <v>1191</v>
      </c>
      <c r="D19" s="925">
        <v>39994</v>
      </c>
      <c r="E19" s="899" t="s">
        <v>140</v>
      </c>
      <c r="F19" s="925">
        <v>40635</v>
      </c>
      <c r="G19" s="901">
        <v>18782529</v>
      </c>
      <c r="H19" s="901">
        <v>0</v>
      </c>
      <c r="I19" s="899">
        <v>0.56338549799026805</v>
      </c>
      <c r="J19" s="899" t="s">
        <v>1251</v>
      </c>
      <c r="K19" s="899" t="s">
        <v>2851</v>
      </c>
      <c r="L19" s="899" t="s">
        <v>2571</v>
      </c>
      <c r="M19" s="899">
        <v>786002005</v>
      </c>
      <c r="N19" s="899" t="s">
        <v>2531</v>
      </c>
      <c r="O19" s="899" t="s">
        <v>1710</v>
      </c>
      <c r="P19" s="899">
        <v>240</v>
      </c>
      <c r="Q19" s="899" t="s">
        <v>2533</v>
      </c>
      <c r="R19" s="899">
        <v>12</v>
      </c>
      <c r="S19" s="899" t="s">
        <v>2545</v>
      </c>
      <c r="T19" s="899">
        <v>2</v>
      </c>
      <c r="U19" s="899" t="s">
        <v>2546</v>
      </c>
      <c r="V19" s="926">
        <v>18782529</v>
      </c>
      <c r="W19" s="899">
        <v>786</v>
      </c>
      <c r="X19" s="926">
        <f t="shared" si="1"/>
        <v>22163384.219999999</v>
      </c>
      <c r="Y19" s="927">
        <f t="shared" si="0"/>
        <v>1846948.6849999998</v>
      </c>
    </row>
    <row r="20" spans="1:25">
      <c r="A20" s="899">
        <v>232</v>
      </c>
      <c r="B20" s="899">
        <v>850</v>
      </c>
      <c r="C20" s="899" t="s">
        <v>1512</v>
      </c>
      <c r="D20" s="925">
        <v>41122</v>
      </c>
      <c r="E20" s="899" t="s">
        <v>140</v>
      </c>
      <c r="F20" s="925">
        <v>42278</v>
      </c>
      <c r="G20" s="901">
        <v>597618</v>
      </c>
      <c r="H20" s="901">
        <v>0</v>
      </c>
      <c r="I20" s="899">
        <v>0.63612339481826796</v>
      </c>
      <c r="K20" s="899" t="s">
        <v>2553</v>
      </c>
      <c r="L20" s="899" t="s">
        <v>2568</v>
      </c>
      <c r="M20" s="899">
        <v>850002013</v>
      </c>
      <c r="N20" s="899" t="s">
        <v>2531</v>
      </c>
      <c r="O20" s="899" t="s">
        <v>2569</v>
      </c>
      <c r="P20" s="899">
        <v>240</v>
      </c>
      <c r="Q20" s="899" t="s">
        <v>2533</v>
      </c>
      <c r="R20" s="899">
        <v>0.2</v>
      </c>
      <c r="S20" s="899" t="s">
        <v>2538</v>
      </c>
      <c r="T20" s="899">
        <v>2</v>
      </c>
      <c r="U20" s="899" t="s">
        <v>2546</v>
      </c>
      <c r="V20" s="926">
        <v>597618</v>
      </c>
      <c r="W20" s="899">
        <v>850</v>
      </c>
      <c r="X20" s="926">
        <f t="shared" si="1"/>
        <v>597618</v>
      </c>
      <c r="Y20" s="927">
        <f t="shared" si="0"/>
        <v>2988090</v>
      </c>
    </row>
    <row r="21" spans="1:25">
      <c r="A21" s="899">
        <v>240</v>
      </c>
      <c r="B21" s="899">
        <v>850</v>
      </c>
      <c r="C21" s="899" t="s">
        <v>1512</v>
      </c>
      <c r="D21" s="925">
        <v>41122</v>
      </c>
      <c r="E21" s="899" t="s">
        <v>140</v>
      </c>
      <c r="F21" s="925">
        <v>42278</v>
      </c>
      <c r="G21" s="901">
        <v>15947591</v>
      </c>
      <c r="H21" s="901">
        <v>0</v>
      </c>
      <c r="I21" s="899">
        <v>0.64155175528391595</v>
      </c>
      <c r="K21" s="899" t="s">
        <v>2553</v>
      </c>
      <c r="L21" s="899" t="s">
        <v>2554</v>
      </c>
      <c r="M21" s="899">
        <v>850002085</v>
      </c>
      <c r="N21" s="899" t="s">
        <v>2531</v>
      </c>
      <c r="O21" s="899" t="s">
        <v>2555</v>
      </c>
      <c r="P21" s="899">
        <v>240</v>
      </c>
      <c r="Q21" s="899" t="s">
        <v>2533</v>
      </c>
      <c r="R21" s="899">
        <v>4.5</v>
      </c>
      <c r="S21" s="899" t="s">
        <v>2538</v>
      </c>
      <c r="T21" s="899">
        <v>2</v>
      </c>
      <c r="U21" s="899" t="s">
        <v>2546</v>
      </c>
      <c r="V21" s="926">
        <v>15947591</v>
      </c>
      <c r="W21" s="899">
        <v>850</v>
      </c>
      <c r="X21" s="926">
        <f t="shared" si="1"/>
        <v>15947591</v>
      </c>
      <c r="Y21" s="927">
        <f t="shared" si="0"/>
        <v>3543909.111111111</v>
      </c>
    </row>
    <row r="22" spans="1:25">
      <c r="A22" s="899">
        <v>244</v>
      </c>
      <c r="B22" s="899">
        <v>850</v>
      </c>
      <c r="C22" s="899" t="s">
        <v>1191</v>
      </c>
      <c r="D22" s="925">
        <v>42223</v>
      </c>
      <c r="E22" s="899" t="s">
        <v>140</v>
      </c>
      <c r="F22" s="925">
        <v>43100</v>
      </c>
      <c r="G22" s="901">
        <v>7979946</v>
      </c>
      <c r="H22" s="901">
        <v>0</v>
      </c>
      <c r="I22" s="899">
        <v>0.52708710798146297</v>
      </c>
      <c r="J22" s="899" t="s">
        <v>1251</v>
      </c>
      <c r="K22" s="899" t="s">
        <v>2852</v>
      </c>
      <c r="L22" s="899" t="s">
        <v>2853</v>
      </c>
      <c r="M22" s="899">
        <v>8500020410</v>
      </c>
      <c r="N22" s="899" t="s">
        <v>2531</v>
      </c>
      <c r="O22" s="899" t="s">
        <v>1241</v>
      </c>
      <c r="P22" s="899">
        <v>240</v>
      </c>
      <c r="Q22" s="899" t="s">
        <v>2533</v>
      </c>
      <c r="R22" s="899">
        <v>5</v>
      </c>
      <c r="S22" s="899" t="s">
        <v>2534</v>
      </c>
      <c r="T22" s="899">
        <v>2</v>
      </c>
      <c r="U22" s="899" t="s">
        <v>2546</v>
      </c>
      <c r="V22" s="926">
        <v>7979946</v>
      </c>
      <c r="W22" s="899">
        <v>850</v>
      </c>
      <c r="X22" s="926">
        <f t="shared" si="1"/>
        <v>12927512.520000001</v>
      </c>
      <c r="Y22" s="927">
        <f t="shared" si="0"/>
        <v>2585502.5040000002</v>
      </c>
    </row>
    <row r="23" spans="1:25">
      <c r="A23" s="899">
        <v>269</v>
      </c>
      <c r="B23" s="899">
        <v>882</v>
      </c>
      <c r="C23" s="899" t="s">
        <v>1191</v>
      </c>
      <c r="D23" s="925">
        <v>41817</v>
      </c>
      <c r="E23" s="899" t="s">
        <v>140</v>
      </c>
      <c r="F23" s="925">
        <v>42272</v>
      </c>
      <c r="G23" s="901">
        <v>251102456</v>
      </c>
      <c r="H23" s="901">
        <v>0</v>
      </c>
      <c r="I23" s="899">
        <v>0.71452158755000905</v>
      </c>
      <c r="K23" s="899" t="s">
        <v>2854</v>
      </c>
      <c r="L23" s="899" t="s">
        <v>133</v>
      </c>
      <c r="M23" s="899">
        <v>882002345</v>
      </c>
      <c r="N23" s="899" t="s">
        <v>2531</v>
      </c>
      <c r="O23" s="899" t="s">
        <v>133</v>
      </c>
      <c r="P23" s="899">
        <v>240</v>
      </c>
      <c r="Q23" s="899" t="s">
        <v>2533</v>
      </c>
      <c r="R23" s="899">
        <v>125</v>
      </c>
      <c r="S23" s="899" t="s">
        <v>2538</v>
      </c>
      <c r="T23" s="899">
        <v>2</v>
      </c>
      <c r="U23" s="899" t="s">
        <v>2546</v>
      </c>
      <c r="V23" s="926">
        <v>251102456</v>
      </c>
      <c r="W23" s="899">
        <v>787</v>
      </c>
      <c r="X23" s="926">
        <f t="shared" si="1"/>
        <v>251102456</v>
      </c>
      <c r="Y23" s="927">
        <f t="shared" si="0"/>
        <v>2008819.648</v>
      </c>
    </row>
    <row r="24" spans="1:25">
      <c r="A24" s="899">
        <v>280</v>
      </c>
      <c r="B24" s="899">
        <v>886</v>
      </c>
      <c r="C24" s="899" t="s">
        <v>1191</v>
      </c>
      <c r="D24" s="925">
        <v>40354</v>
      </c>
      <c r="E24" s="899" t="s">
        <v>140</v>
      </c>
      <c r="F24" s="925">
        <v>41723</v>
      </c>
      <c r="G24" s="901">
        <v>173172000</v>
      </c>
      <c r="H24" s="901">
        <v>0</v>
      </c>
      <c r="I24" s="899">
        <v>0.50017773572046698</v>
      </c>
      <c r="K24" s="899" t="s">
        <v>2539</v>
      </c>
      <c r="L24" s="899" t="s">
        <v>2540</v>
      </c>
      <c r="M24" s="899">
        <v>8860020446</v>
      </c>
      <c r="N24" s="899" t="s">
        <v>2531</v>
      </c>
      <c r="O24" s="899" t="s">
        <v>2541</v>
      </c>
      <c r="P24" s="899">
        <v>240</v>
      </c>
      <c r="Q24" s="899" t="s">
        <v>2533</v>
      </c>
      <c r="R24" s="899">
        <v>130</v>
      </c>
      <c r="S24" s="899" t="s">
        <v>2538</v>
      </c>
      <c r="T24" s="899">
        <v>2</v>
      </c>
      <c r="U24" s="899" t="s">
        <v>2542</v>
      </c>
      <c r="V24" s="926">
        <v>173172000</v>
      </c>
      <c r="W24" s="899">
        <v>787</v>
      </c>
      <c r="X24" s="926">
        <f t="shared" si="1"/>
        <v>173172000</v>
      </c>
      <c r="Y24" s="927">
        <f t="shared" si="0"/>
        <v>1332092.3076923077</v>
      </c>
    </row>
    <row r="25" spans="1:25">
      <c r="A25" s="899">
        <v>281</v>
      </c>
      <c r="B25" s="899">
        <v>887</v>
      </c>
      <c r="C25" s="899" t="s">
        <v>1191</v>
      </c>
      <c r="D25" s="925">
        <v>40354</v>
      </c>
      <c r="E25" s="899" t="s">
        <v>140</v>
      </c>
      <c r="F25" s="925">
        <v>41729</v>
      </c>
      <c r="G25" s="901">
        <v>158222000</v>
      </c>
      <c r="H25" s="901">
        <v>0</v>
      </c>
      <c r="I25" s="899">
        <v>0.49099655850819601</v>
      </c>
      <c r="K25" s="899" t="s">
        <v>2574</v>
      </c>
      <c r="L25" s="899" t="s">
        <v>2575</v>
      </c>
      <c r="M25" s="899">
        <v>8870020412</v>
      </c>
      <c r="N25" s="899" t="s">
        <v>2531</v>
      </c>
      <c r="O25" s="899" t="s">
        <v>2576</v>
      </c>
      <c r="P25" s="899">
        <v>240</v>
      </c>
      <c r="Q25" s="899" t="s">
        <v>2533</v>
      </c>
      <c r="R25" s="899">
        <v>110</v>
      </c>
      <c r="S25" s="899" t="s">
        <v>2538</v>
      </c>
      <c r="T25" s="899">
        <v>2</v>
      </c>
      <c r="U25" s="899" t="s">
        <v>2546</v>
      </c>
      <c r="V25" s="926">
        <v>158222000</v>
      </c>
      <c r="W25" s="899">
        <v>787</v>
      </c>
      <c r="X25" s="926">
        <f t="shared" si="1"/>
        <v>158222000</v>
      </c>
      <c r="Y25" s="927">
        <f t="shared" si="0"/>
        <v>1438381.8181818181</v>
      </c>
    </row>
    <row r="26" spans="1:25">
      <c r="A26" s="899">
        <v>301</v>
      </c>
      <c r="B26" s="899">
        <v>936</v>
      </c>
      <c r="C26" s="899" t="s">
        <v>1191</v>
      </c>
      <c r="D26" s="925">
        <v>41185</v>
      </c>
      <c r="E26" s="899" t="s">
        <v>140</v>
      </c>
      <c r="F26" s="925">
        <v>41880</v>
      </c>
      <c r="G26" s="901">
        <v>23146000</v>
      </c>
      <c r="H26" s="901">
        <v>0</v>
      </c>
      <c r="I26" s="899">
        <v>0.60368628447947104</v>
      </c>
      <c r="K26" s="899" t="s">
        <v>2547</v>
      </c>
      <c r="L26" s="899" t="s">
        <v>2548</v>
      </c>
      <c r="M26" s="899">
        <v>936002143</v>
      </c>
      <c r="N26" s="899" t="s">
        <v>2531</v>
      </c>
      <c r="O26" s="899" t="s">
        <v>2549</v>
      </c>
      <c r="P26" s="899">
        <v>240</v>
      </c>
      <c r="Q26" s="899" t="s">
        <v>2533</v>
      </c>
      <c r="R26" s="899">
        <v>9</v>
      </c>
      <c r="S26" s="899" t="s">
        <v>2538</v>
      </c>
      <c r="T26" s="899">
        <v>2</v>
      </c>
      <c r="U26" s="899" t="s">
        <v>2542</v>
      </c>
      <c r="V26" s="926">
        <v>23146000</v>
      </c>
      <c r="W26" s="899">
        <v>936</v>
      </c>
      <c r="X26" s="926">
        <f t="shared" si="1"/>
        <v>23146000</v>
      </c>
      <c r="Y26" s="927">
        <f t="shared" si="0"/>
        <v>2571777.777777778</v>
      </c>
    </row>
    <row r="27" spans="1:25">
      <c r="A27" s="899">
        <v>361</v>
      </c>
      <c r="B27" s="899">
        <v>1028</v>
      </c>
      <c r="C27" s="899" t="s">
        <v>1191</v>
      </c>
      <c r="D27" s="925">
        <v>41344</v>
      </c>
      <c r="E27" s="899" t="s">
        <v>140</v>
      </c>
      <c r="F27" s="925">
        <v>41257</v>
      </c>
      <c r="G27" s="901">
        <v>71300000</v>
      </c>
      <c r="H27" s="901">
        <v>0</v>
      </c>
      <c r="I27" s="899">
        <v>0.76601900103127596</v>
      </c>
      <c r="J27" s="899" t="s">
        <v>2855</v>
      </c>
      <c r="K27" s="899" t="s">
        <v>2856</v>
      </c>
      <c r="L27" s="899" t="s">
        <v>2551</v>
      </c>
      <c r="M27" s="899">
        <v>1028003071</v>
      </c>
      <c r="N27" s="899" t="s">
        <v>2531</v>
      </c>
      <c r="O27" s="899" t="s">
        <v>2552</v>
      </c>
      <c r="P27" s="899">
        <v>240</v>
      </c>
      <c r="Q27" s="899" t="s">
        <v>2533</v>
      </c>
      <c r="R27" s="899">
        <v>40</v>
      </c>
      <c r="S27" s="899" t="s">
        <v>2545</v>
      </c>
      <c r="T27" s="899">
        <v>2</v>
      </c>
      <c r="U27" s="899" t="s">
        <v>2546</v>
      </c>
      <c r="V27" s="926">
        <v>71300000</v>
      </c>
      <c r="W27" s="899">
        <v>812</v>
      </c>
      <c r="X27" s="926">
        <f t="shared" si="1"/>
        <v>84134000</v>
      </c>
      <c r="Y27" s="927">
        <f t="shared" si="0"/>
        <v>2103350</v>
      </c>
    </row>
    <row r="28" spans="1:25">
      <c r="A28" s="899">
        <v>364</v>
      </c>
      <c r="B28" s="899">
        <v>1034</v>
      </c>
      <c r="C28" s="899" t="s">
        <v>1191</v>
      </c>
      <c r="D28" s="925">
        <v>42314</v>
      </c>
      <c r="E28" s="899" t="s">
        <v>140</v>
      </c>
      <c r="F28" s="925">
        <v>43556</v>
      </c>
      <c r="G28" s="901">
        <v>122002464</v>
      </c>
      <c r="H28" s="901">
        <v>0</v>
      </c>
      <c r="I28" s="899">
        <v>0.60159247698115204</v>
      </c>
      <c r="J28" s="899" t="s">
        <v>1212</v>
      </c>
      <c r="K28" s="899" t="s">
        <v>2857</v>
      </c>
      <c r="L28" s="899" t="s">
        <v>2858</v>
      </c>
      <c r="M28" s="899">
        <v>10340020015</v>
      </c>
      <c r="N28" s="899" t="s">
        <v>2531</v>
      </c>
      <c r="O28" s="899" t="s">
        <v>2859</v>
      </c>
      <c r="P28" s="899">
        <v>240</v>
      </c>
      <c r="Q28" s="899" t="s">
        <v>2533</v>
      </c>
      <c r="R28" s="899">
        <v>42</v>
      </c>
      <c r="S28" s="899" t="s">
        <v>2538</v>
      </c>
      <c r="T28" s="899">
        <v>2</v>
      </c>
      <c r="U28" s="899" t="s">
        <v>2546</v>
      </c>
      <c r="V28" s="926">
        <v>122002464</v>
      </c>
      <c r="W28" s="899">
        <v>1034</v>
      </c>
      <c r="X28" s="926">
        <f t="shared" si="1"/>
        <v>122002464</v>
      </c>
      <c r="Y28" s="927">
        <f t="shared" si="0"/>
        <v>2904820.5714285714</v>
      </c>
    </row>
    <row r="29" spans="1:25">
      <c r="A29" s="899">
        <v>365</v>
      </c>
      <c r="B29" s="899">
        <v>1034</v>
      </c>
      <c r="C29" s="899" t="s">
        <v>1512</v>
      </c>
      <c r="D29" s="925">
        <v>41066</v>
      </c>
      <c r="E29" s="899" t="s">
        <v>140</v>
      </c>
      <c r="F29" s="925">
        <v>43466</v>
      </c>
      <c r="G29" s="901">
        <v>82269000</v>
      </c>
      <c r="H29" s="901">
        <v>0</v>
      </c>
      <c r="I29" s="899">
        <v>0.61058498716026699</v>
      </c>
      <c r="J29" s="899" t="s">
        <v>1212</v>
      </c>
      <c r="K29" s="899" t="s">
        <v>2860</v>
      </c>
      <c r="L29" s="899" t="s">
        <v>2861</v>
      </c>
      <c r="M29" s="899">
        <v>10340020106</v>
      </c>
      <c r="N29" s="899" t="s">
        <v>2531</v>
      </c>
      <c r="O29" s="899" t="s">
        <v>2862</v>
      </c>
      <c r="P29" s="899">
        <v>240</v>
      </c>
      <c r="Q29" s="899" t="s">
        <v>2533</v>
      </c>
      <c r="R29" s="899">
        <v>37</v>
      </c>
      <c r="S29" s="899" t="s">
        <v>2538</v>
      </c>
      <c r="T29" s="899">
        <v>2</v>
      </c>
      <c r="U29" s="899" t="s">
        <v>2546</v>
      </c>
      <c r="V29" s="926">
        <v>82269000</v>
      </c>
      <c r="W29" s="899">
        <v>1034</v>
      </c>
      <c r="X29" s="926">
        <f t="shared" si="1"/>
        <v>82269000</v>
      </c>
      <c r="Y29" s="927">
        <f t="shared" si="0"/>
        <v>2223486.4864864866</v>
      </c>
    </row>
    <row r="30" spans="1:25">
      <c r="A30" s="899">
        <v>370</v>
      </c>
      <c r="B30" s="899">
        <v>1035</v>
      </c>
      <c r="C30" s="899" t="s">
        <v>1191</v>
      </c>
      <c r="D30" s="925">
        <v>41467</v>
      </c>
      <c r="E30" s="899" t="s">
        <v>140</v>
      </c>
      <c r="F30" s="925">
        <v>42491</v>
      </c>
      <c r="G30" s="901">
        <v>128996000</v>
      </c>
      <c r="H30" s="901">
        <v>0</v>
      </c>
      <c r="I30" s="899">
        <v>0.50358108130460499</v>
      </c>
      <c r="J30" s="899" t="s">
        <v>1210</v>
      </c>
      <c r="K30" s="899" t="s">
        <v>2543</v>
      </c>
      <c r="L30" s="899" t="s">
        <v>2544</v>
      </c>
      <c r="M30" s="899">
        <v>10350020629</v>
      </c>
      <c r="N30" s="899" t="s">
        <v>2531</v>
      </c>
      <c r="O30" s="899" t="s">
        <v>2544</v>
      </c>
      <c r="P30" s="899">
        <v>240</v>
      </c>
      <c r="Q30" s="899" t="s">
        <v>2533</v>
      </c>
      <c r="R30" s="899">
        <v>70</v>
      </c>
      <c r="S30" s="899" t="s">
        <v>2545</v>
      </c>
      <c r="T30" s="899">
        <v>2</v>
      </c>
      <c r="U30" s="899" t="s">
        <v>2546</v>
      </c>
      <c r="V30" s="926">
        <v>128996000</v>
      </c>
      <c r="W30" s="899">
        <v>787</v>
      </c>
      <c r="X30" s="926">
        <f t="shared" si="1"/>
        <v>152215280</v>
      </c>
      <c r="Y30" s="927">
        <f t="shared" si="0"/>
        <v>2174504</v>
      </c>
    </row>
    <row r="31" spans="1:25">
      <c r="A31" s="899">
        <v>404</v>
      </c>
      <c r="B31" s="899">
        <v>1101</v>
      </c>
      <c r="C31" s="899" t="s">
        <v>1191</v>
      </c>
      <c r="D31" s="925">
        <v>41884</v>
      </c>
      <c r="E31" s="899" t="s">
        <v>140</v>
      </c>
      <c r="F31" s="925">
        <v>42430</v>
      </c>
      <c r="G31" s="901">
        <v>60032428</v>
      </c>
      <c r="H31" s="901">
        <v>0</v>
      </c>
      <c r="I31" s="899">
        <v>0.68548220902906398</v>
      </c>
      <c r="J31" s="899" t="s">
        <v>1209</v>
      </c>
      <c r="K31" s="899" t="s">
        <v>2580</v>
      </c>
      <c r="L31" s="899" t="s">
        <v>2863</v>
      </c>
      <c r="M31" s="899">
        <v>11010020551</v>
      </c>
      <c r="N31" s="899" t="s">
        <v>2531</v>
      </c>
      <c r="O31" s="899" t="s">
        <v>1221</v>
      </c>
      <c r="P31" s="899">
        <v>240</v>
      </c>
      <c r="Q31" s="899" t="s">
        <v>2533</v>
      </c>
      <c r="R31" s="899">
        <v>22</v>
      </c>
      <c r="S31" s="899" t="s">
        <v>2545</v>
      </c>
      <c r="T31" s="899">
        <v>2</v>
      </c>
      <c r="U31" s="899" t="s">
        <v>2546</v>
      </c>
      <c r="V31" s="926">
        <v>60032428</v>
      </c>
      <c r="W31" s="899">
        <v>1101</v>
      </c>
      <c r="X31" s="926">
        <f t="shared" si="1"/>
        <v>70838265.039999992</v>
      </c>
      <c r="Y31" s="927">
        <f t="shared" si="0"/>
        <v>3219921.1381818177</v>
      </c>
    </row>
    <row r="32" spans="1:25">
      <c r="A32" s="899">
        <v>410</v>
      </c>
      <c r="B32" s="899">
        <v>1101</v>
      </c>
      <c r="C32" s="899" t="s">
        <v>1191</v>
      </c>
      <c r="D32" s="925">
        <v>41884</v>
      </c>
      <c r="E32" s="899" t="s">
        <v>140</v>
      </c>
      <c r="F32" s="925">
        <v>42430</v>
      </c>
      <c r="G32" s="901">
        <v>131251003</v>
      </c>
      <c r="H32" s="901">
        <v>0</v>
      </c>
      <c r="I32" s="899">
        <v>0.68548220902906398</v>
      </c>
      <c r="J32" s="899" t="s">
        <v>1209</v>
      </c>
      <c r="K32" s="899" t="s">
        <v>2580</v>
      </c>
      <c r="L32" s="899" t="s">
        <v>2864</v>
      </c>
      <c r="M32" s="899">
        <v>11010020554</v>
      </c>
      <c r="N32" s="899" t="s">
        <v>2531</v>
      </c>
      <c r="O32" s="899" t="s">
        <v>1220</v>
      </c>
      <c r="P32" s="899">
        <v>240</v>
      </c>
      <c r="Q32" s="899" t="s">
        <v>2533</v>
      </c>
      <c r="R32" s="899">
        <v>56</v>
      </c>
      <c r="S32" s="899" t="s">
        <v>2545</v>
      </c>
      <c r="T32" s="899">
        <v>2</v>
      </c>
      <c r="U32" s="899" t="s">
        <v>2546</v>
      </c>
      <c r="V32" s="926">
        <v>131251003</v>
      </c>
      <c r="W32" s="899">
        <v>1101</v>
      </c>
      <c r="X32" s="926">
        <f t="shared" si="1"/>
        <v>154876183.53999999</v>
      </c>
      <c r="Y32" s="927">
        <f t="shared" si="0"/>
        <v>2765646.1346428571</v>
      </c>
    </row>
    <row r="33" spans="1:34">
      <c r="A33" s="899">
        <v>411</v>
      </c>
      <c r="B33" s="899">
        <v>1101</v>
      </c>
      <c r="C33" s="899" t="s">
        <v>1191</v>
      </c>
      <c r="D33" s="925">
        <v>41698</v>
      </c>
      <c r="E33" s="899" t="s">
        <v>140</v>
      </c>
      <c r="F33" s="925">
        <v>41820</v>
      </c>
      <c r="G33" s="901">
        <v>56642527</v>
      </c>
      <c r="H33" s="901">
        <v>0</v>
      </c>
      <c r="I33" s="899">
        <v>0.66844499909135002</v>
      </c>
      <c r="J33" s="899" t="s">
        <v>1209</v>
      </c>
      <c r="K33" s="899" t="s">
        <v>2556</v>
      </c>
      <c r="L33" s="899" t="s">
        <v>2865</v>
      </c>
      <c r="M33" s="899">
        <v>11010020506</v>
      </c>
      <c r="N33" s="899" t="s">
        <v>2531</v>
      </c>
      <c r="O33" s="899" t="s">
        <v>1789</v>
      </c>
      <c r="P33" s="899">
        <v>240</v>
      </c>
      <c r="Q33" s="899" t="s">
        <v>2533</v>
      </c>
      <c r="R33" s="899">
        <v>22</v>
      </c>
      <c r="S33" s="899" t="s">
        <v>2545</v>
      </c>
      <c r="T33" s="899">
        <v>2</v>
      </c>
      <c r="U33" s="899" t="s">
        <v>2546</v>
      </c>
      <c r="V33" s="926">
        <v>56642527</v>
      </c>
      <c r="W33" s="899">
        <v>1101</v>
      </c>
      <c r="X33" s="926">
        <f t="shared" si="1"/>
        <v>66838181.859999999</v>
      </c>
      <c r="Y33" s="927">
        <f t="shared" si="0"/>
        <v>3038099.1754545453</v>
      </c>
    </row>
    <row r="34" spans="1:34">
      <c r="A34" s="899">
        <v>420</v>
      </c>
      <c r="B34" s="899">
        <v>1117</v>
      </c>
      <c r="C34" s="899" t="s">
        <v>1191</v>
      </c>
      <c r="D34" s="925">
        <v>41810</v>
      </c>
      <c r="E34" s="899" t="s">
        <v>140</v>
      </c>
      <c r="F34" s="925">
        <v>41852</v>
      </c>
      <c r="G34" s="901">
        <v>44952000</v>
      </c>
      <c r="H34" s="901">
        <v>0</v>
      </c>
      <c r="I34" s="899">
        <v>0.55681169560494204</v>
      </c>
      <c r="J34" s="899" t="s">
        <v>1211</v>
      </c>
      <c r="K34" s="899">
        <v>0</v>
      </c>
      <c r="L34" s="899" t="s">
        <v>2866</v>
      </c>
      <c r="M34" s="899">
        <v>11170020194</v>
      </c>
      <c r="N34" s="899" t="s">
        <v>2531</v>
      </c>
      <c r="O34" s="899" t="s">
        <v>1791</v>
      </c>
      <c r="P34" s="899">
        <v>240</v>
      </c>
      <c r="Q34" s="899" t="s">
        <v>2533</v>
      </c>
      <c r="R34" s="899">
        <v>18</v>
      </c>
      <c r="S34" s="899" t="s">
        <v>2538</v>
      </c>
      <c r="T34" s="899">
        <v>2</v>
      </c>
      <c r="U34" s="899" t="s">
        <v>2546</v>
      </c>
      <c r="V34" s="926">
        <v>44952000</v>
      </c>
      <c r="W34" s="899">
        <v>1117</v>
      </c>
      <c r="X34" s="926">
        <f t="shared" si="1"/>
        <v>44952000</v>
      </c>
      <c r="Y34" s="927">
        <f t="shared" si="0"/>
        <v>2497333.3333333335</v>
      </c>
    </row>
    <row r="35" spans="1:34">
      <c r="A35" s="899">
        <v>421</v>
      </c>
      <c r="B35" s="899">
        <v>1117</v>
      </c>
      <c r="C35" s="899" t="s">
        <v>1191</v>
      </c>
      <c r="D35" s="925">
        <v>41789</v>
      </c>
      <c r="E35" s="899" t="s">
        <v>140</v>
      </c>
      <c r="F35" s="925">
        <v>41869</v>
      </c>
      <c r="G35" s="901">
        <v>3307000</v>
      </c>
      <c r="H35" s="901">
        <v>0</v>
      </c>
      <c r="I35" s="899">
        <v>0.51807608771806901</v>
      </c>
      <c r="K35" s="899" t="s">
        <v>2529</v>
      </c>
      <c r="L35" s="899" t="s">
        <v>2867</v>
      </c>
      <c r="M35" s="899">
        <v>11170020291</v>
      </c>
      <c r="N35" s="899" t="s">
        <v>2531</v>
      </c>
      <c r="O35" s="899" t="s">
        <v>1792</v>
      </c>
      <c r="P35" s="899">
        <v>240</v>
      </c>
      <c r="Q35" s="899" t="s">
        <v>2533</v>
      </c>
      <c r="R35" s="899">
        <v>3</v>
      </c>
      <c r="S35" s="899" t="s">
        <v>2534</v>
      </c>
      <c r="T35" s="899">
        <v>2</v>
      </c>
      <c r="U35" s="899">
        <v>1033</v>
      </c>
      <c r="V35" s="926">
        <v>3307000</v>
      </c>
      <c r="W35" s="899">
        <v>1117</v>
      </c>
      <c r="X35" s="926">
        <f t="shared" si="1"/>
        <v>5357340</v>
      </c>
      <c r="Y35" s="927">
        <f t="shared" si="0"/>
        <v>1785780</v>
      </c>
    </row>
    <row r="36" spans="1:34">
      <c r="A36" s="899">
        <v>426</v>
      </c>
      <c r="B36" s="899">
        <v>1117</v>
      </c>
      <c r="C36" s="899" t="s">
        <v>1191</v>
      </c>
      <c r="D36" s="925">
        <v>41789</v>
      </c>
      <c r="E36" s="899" t="s">
        <v>140</v>
      </c>
      <c r="F36" s="925">
        <v>41869</v>
      </c>
      <c r="G36" s="901">
        <v>2948000</v>
      </c>
      <c r="H36" s="901">
        <v>0</v>
      </c>
      <c r="I36" s="899">
        <v>0.51807608771806901</v>
      </c>
      <c r="K36" s="899" t="s">
        <v>2529</v>
      </c>
      <c r="L36" s="899" t="s">
        <v>2867</v>
      </c>
      <c r="M36" s="899">
        <v>11170020294</v>
      </c>
      <c r="N36" s="899" t="s">
        <v>2531</v>
      </c>
      <c r="O36" s="899" t="s">
        <v>1795</v>
      </c>
      <c r="P36" s="899">
        <v>240</v>
      </c>
      <c r="Q36" s="899" t="s">
        <v>2533</v>
      </c>
      <c r="R36" s="899">
        <v>3</v>
      </c>
      <c r="S36" s="899" t="s">
        <v>2534</v>
      </c>
      <c r="T36" s="899">
        <v>2</v>
      </c>
      <c r="U36" s="899">
        <v>1033</v>
      </c>
      <c r="V36" s="926">
        <v>2948000</v>
      </c>
      <c r="W36" s="899">
        <v>1117</v>
      </c>
      <c r="X36" s="926">
        <f t="shared" si="1"/>
        <v>4775760</v>
      </c>
      <c r="Y36" s="927">
        <f t="shared" si="0"/>
        <v>1591920</v>
      </c>
    </row>
    <row r="37" spans="1:34">
      <c r="A37" s="899">
        <v>431</v>
      </c>
      <c r="B37" s="899">
        <v>1117</v>
      </c>
      <c r="C37" s="899" t="s">
        <v>1191</v>
      </c>
      <c r="D37" s="925">
        <v>41789</v>
      </c>
      <c r="E37" s="899" t="s">
        <v>140</v>
      </c>
      <c r="F37" s="925">
        <v>41869</v>
      </c>
      <c r="G37" s="901">
        <v>107921000</v>
      </c>
      <c r="H37" s="901">
        <v>0</v>
      </c>
      <c r="I37" s="899">
        <v>0.51807608771806901</v>
      </c>
      <c r="K37" s="899" t="s">
        <v>2529</v>
      </c>
      <c r="L37" s="899" t="s">
        <v>2868</v>
      </c>
      <c r="M37" s="899">
        <v>11170020288</v>
      </c>
      <c r="N37" s="899" t="s">
        <v>2531</v>
      </c>
      <c r="O37" s="899" t="s">
        <v>2869</v>
      </c>
      <c r="P37" s="899">
        <v>240</v>
      </c>
      <c r="Q37" s="899" t="s">
        <v>2533</v>
      </c>
      <c r="R37" s="899">
        <v>52</v>
      </c>
      <c r="S37" s="899" t="s">
        <v>2538</v>
      </c>
      <c r="T37" s="899">
        <v>2</v>
      </c>
      <c r="U37" s="899" t="s">
        <v>2546</v>
      </c>
      <c r="V37" s="926">
        <v>107921000</v>
      </c>
      <c r="W37" s="899">
        <v>1117</v>
      </c>
      <c r="X37" s="926">
        <f t="shared" si="1"/>
        <v>107921000</v>
      </c>
      <c r="Y37" s="927">
        <f t="shared" si="0"/>
        <v>2075403.8461538462</v>
      </c>
    </row>
    <row r="38" spans="1:34">
      <c r="A38" s="899">
        <v>494</v>
      </c>
      <c r="B38" s="899">
        <v>1343</v>
      </c>
      <c r="C38" s="899" t="s">
        <v>1191</v>
      </c>
      <c r="D38" s="925">
        <v>41183</v>
      </c>
      <c r="E38" s="899" t="s">
        <v>140</v>
      </c>
      <c r="F38" s="925">
        <v>41880</v>
      </c>
      <c r="G38" s="901">
        <v>11195000</v>
      </c>
      <c r="H38" s="901">
        <v>0</v>
      </c>
      <c r="I38" s="899">
        <v>0.60368628447947104</v>
      </c>
      <c r="K38" s="899" t="s">
        <v>2870</v>
      </c>
      <c r="L38" s="899" t="s">
        <v>2871</v>
      </c>
      <c r="M38" s="899">
        <v>1343002031</v>
      </c>
      <c r="N38" s="899" t="s">
        <v>2531</v>
      </c>
      <c r="O38" s="899" t="s">
        <v>1804</v>
      </c>
      <c r="P38" s="899">
        <v>240</v>
      </c>
      <c r="Q38" s="899" t="s">
        <v>2533</v>
      </c>
      <c r="R38" s="899">
        <v>9</v>
      </c>
      <c r="S38" s="899" t="s">
        <v>2538</v>
      </c>
      <c r="T38" s="899">
        <v>2</v>
      </c>
      <c r="U38" s="899" t="s">
        <v>2546</v>
      </c>
      <c r="V38" s="926">
        <v>11195000</v>
      </c>
      <c r="W38" s="899">
        <v>1343</v>
      </c>
      <c r="X38" s="926">
        <f t="shared" si="1"/>
        <v>11195000</v>
      </c>
      <c r="Y38" s="927">
        <f t="shared" si="0"/>
        <v>1243888.888888889</v>
      </c>
    </row>
    <row r="39" spans="1:34">
      <c r="A39" s="899">
        <v>602</v>
      </c>
      <c r="B39" s="899">
        <v>1473</v>
      </c>
      <c r="C39" s="899" t="s">
        <v>1512</v>
      </c>
      <c r="D39" s="925">
        <v>41913</v>
      </c>
      <c r="E39" s="899" t="s">
        <v>140</v>
      </c>
      <c r="F39" s="925">
        <v>43647</v>
      </c>
      <c r="G39" s="901">
        <v>449081</v>
      </c>
      <c r="H39" s="901">
        <v>0</v>
      </c>
      <c r="I39" s="899">
        <v>0.37619898323269002</v>
      </c>
      <c r="J39" s="899" t="s">
        <v>2872</v>
      </c>
      <c r="K39" s="899" t="s">
        <v>2873</v>
      </c>
      <c r="L39" s="899" t="s">
        <v>2874</v>
      </c>
      <c r="M39" s="899">
        <v>14730021438</v>
      </c>
      <c r="N39" s="899" t="s">
        <v>2531</v>
      </c>
      <c r="O39" s="899" t="s">
        <v>2874</v>
      </c>
      <c r="P39" s="899">
        <v>240</v>
      </c>
      <c r="Q39" s="899" t="s">
        <v>2533</v>
      </c>
      <c r="R39" s="899">
        <v>0.5</v>
      </c>
      <c r="S39" s="899" t="s">
        <v>2534</v>
      </c>
      <c r="T39" s="899">
        <v>2</v>
      </c>
      <c r="U39" s="899" t="s">
        <v>2546</v>
      </c>
      <c r="V39" s="926">
        <v>449081</v>
      </c>
      <c r="W39" s="899">
        <v>1473</v>
      </c>
      <c r="X39" s="926">
        <f t="shared" si="1"/>
        <v>727511.22000000009</v>
      </c>
      <c r="Y39" s="927">
        <f t="shared" si="0"/>
        <v>1455022.4400000002</v>
      </c>
    </row>
    <row r="40" spans="1:34">
      <c r="A40" s="899">
        <v>641</v>
      </c>
      <c r="B40" s="899">
        <v>1473</v>
      </c>
      <c r="C40" s="899" t="s">
        <v>1512</v>
      </c>
      <c r="D40" s="925">
        <v>41913</v>
      </c>
      <c r="E40" s="899" t="s">
        <v>140</v>
      </c>
      <c r="F40" s="925">
        <v>43647</v>
      </c>
      <c r="G40" s="901">
        <v>357734</v>
      </c>
      <c r="H40" s="901">
        <v>0</v>
      </c>
      <c r="I40" s="899">
        <v>0.43464747151410599</v>
      </c>
      <c r="J40" s="899" t="s">
        <v>2872</v>
      </c>
      <c r="K40" s="899" t="s">
        <v>2873</v>
      </c>
      <c r="L40" s="899" t="s">
        <v>2875</v>
      </c>
      <c r="M40" s="899">
        <v>14730021648</v>
      </c>
      <c r="N40" s="899" t="s">
        <v>2531</v>
      </c>
      <c r="O40" s="899" t="s">
        <v>2875</v>
      </c>
      <c r="P40" s="899">
        <v>240</v>
      </c>
      <c r="Q40" s="899" t="s">
        <v>2533</v>
      </c>
      <c r="R40" s="899">
        <v>0.5</v>
      </c>
      <c r="S40" s="899" t="s">
        <v>2534</v>
      </c>
      <c r="T40" s="899">
        <v>2</v>
      </c>
      <c r="U40" s="899" t="s">
        <v>2546</v>
      </c>
      <c r="V40" s="926">
        <v>357734</v>
      </c>
      <c r="W40" s="899">
        <v>1473</v>
      </c>
      <c r="X40" s="926">
        <f t="shared" si="1"/>
        <v>579529.08000000007</v>
      </c>
      <c r="Y40" s="927">
        <f t="shared" si="0"/>
        <v>1159058.1600000001</v>
      </c>
    </row>
    <row r="41" spans="1:34">
      <c r="A41" s="899">
        <v>668</v>
      </c>
      <c r="B41" s="899">
        <v>1473</v>
      </c>
      <c r="C41" s="899" t="s">
        <v>1512</v>
      </c>
      <c r="D41" s="925">
        <v>41913</v>
      </c>
      <c r="E41" s="899" t="s">
        <v>140</v>
      </c>
      <c r="F41" s="925">
        <v>43647</v>
      </c>
      <c r="G41" s="901">
        <v>357734</v>
      </c>
      <c r="H41" s="901">
        <v>0</v>
      </c>
      <c r="I41" s="899">
        <v>0.43464747151410599</v>
      </c>
      <c r="J41" s="899" t="s">
        <v>2872</v>
      </c>
      <c r="K41" s="899" t="s">
        <v>2873</v>
      </c>
      <c r="L41" s="899" t="s">
        <v>2876</v>
      </c>
      <c r="M41" s="899">
        <v>14730021424</v>
      </c>
      <c r="N41" s="899" t="s">
        <v>2531</v>
      </c>
      <c r="O41" s="899" t="s">
        <v>2876</v>
      </c>
      <c r="P41" s="899">
        <v>240</v>
      </c>
      <c r="Q41" s="899" t="s">
        <v>2533</v>
      </c>
      <c r="R41" s="899">
        <v>0.5</v>
      </c>
      <c r="S41" s="899" t="s">
        <v>2534</v>
      </c>
      <c r="T41" s="899">
        <v>2</v>
      </c>
      <c r="U41" s="899" t="s">
        <v>2546</v>
      </c>
      <c r="V41" s="926">
        <v>357734</v>
      </c>
      <c r="W41" s="899">
        <v>1473</v>
      </c>
      <c r="X41" s="926">
        <f t="shared" si="1"/>
        <v>579529.08000000007</v>
      </c>
      <c r="Y41" s="927">
        <f t="shared" si="0"/>
        <v>1159058.1600000001</v>
      </c>
    </row>
    <row r="42" spans="1:34">
      <c r="A42" s="899">
        <v>698</v>
      </c>
      <c r="B42" s="899">
        <v>1473</v>
      </c>
      <c r="C42" s="899" t="s">
        <v>1512</v>
      </c>
      <c r="D42" s="925">
        <v>41913</v>
      </c>
      <c r="E42" s="899" t="s">
        <v>140</v>
      </c>
      <c r="F42" s="925">
        <v>43647</v>
      </c>
      <c r="G42" s="901">
        <v>449081</v>
      </c>
      <c r="H42" s="901">
        <v>0</v>
      </c>
      <c r="I42" s="899">
        <v>0.37619898323269002</v>
      </c>
      <c r="J42" s="899" t="s">
        <v>2872</v>
      </c>
      <c r="K42" s="899" t="s">
        <v>2873</v>
      </c>
      <c r="L42" s="899" t="s">
        <v>2877</v>
      </c>
      <c r="M42" s="899">
        <v>14730021662</v>
      </c>
      <c r="N42" s="899" t="s">
        <v>2531</v>
      </c>
      <c r="O42" s="899" t="s">
        <v>2877</v>
      </c>
      <c r="P42" s="899">
        <v>240</v>
      </c>
      <c r="Q42" s="899" t="s">
        <v>2533</v>
      </c>
      <c r="R42" s="899">
        <v>0.5</v>
      </c>
      <c r="S42" s="899" t="s">
        <v>2534</v>
      </c>
      <c r="T42" s="899">
        <v>2</v>
      </c>
      <c r="U42" s="899" t="s">
        <v>2546</v>
      </c>
      <c r="V42" s="926">
        <v>449081</v>
      </c>
      <c r="W42" s="899">
        <v>1473</v>
      </c>
      <c r="X42" s="926">
        <f t="shared" si="1"/>
        <v>727511.22000000009</v>
      </c>
      <c r="Y42" s="927">
        <f t="shared" si="0"/>
        <v>1455022.4400000002</v>
      </c>
    </row>
    <row r="43" spans="1:34">
      <c r="A43" s="899">
        <v>784</v>
      </c>
      <c r="B43" s="899">
        <v>1695</v>
      </c>
      <c r="C43" s="899" t="s">
        <v>1191</v>
      </c>
      <c r="D43" s="925">
        <v>42738</v>
      </c>
      <c r="E43" s="899" t="s">
        <v>140</v>
      </c>
      <c r="F43" s="925">
        <v>43374</v>
      </c>
      <c r="G43" s="901">
        <v>0</v>
      </c>
      <c r="H43" s="901">
        <v>694811</v>
      </c>
      <c r="I43" s="899">
        <v>0.55846250593375302</v>
      </c>
      <c r="J43" s="899" t="s">
        <v>1251</v>
      </c>
      <c r="K43" s="899" t="s">
        <v>2878</v>
      </c>
      <c r="L43" s="899" t="s">
        <v>2879</v>
      </c>
      <c r="M43" s="899">
        <v>16950020003</v>
      </c>
      <c r="N43" s="899" t="s">
        <v>2531</v>
      </c>
      <c r="O43" s="899" t="s">
        <v>2880</v>
      </c>
      <c r="P43" s="899">
        <v>240</v>
      </c>
      <c r="Q43" s="899" t="s">
        <v>2533</v>
      </c>
      <c r="R43" s="899">
        <v>7.0000000000000007E-2</v>
      </c>
      <c r="S43" s="899" t="s">
        <v>2534</v>
      </c>
      <c r="T43" s="899">
        <v>2</v>
      </c>
      <c r="U43" s="899" t="s">
        <v>2546</v>
      </c>
      <c r="V43" s="926">
        <v>694811</v>
      </c>
      <c r="W43" s="899">
        <v>1695</v>
      </c>
      <c r="X43" s="926">
        <f t="shared" si="1"/>
        <v>1125593.82</v>
      </c>
      <c r="Y43" s="927">
        <f t="shared" si="0"/>
        <v>16079911.714285715</v>
      </c>
    </row>
    <row r="44" spans="1:34">
      <c r="A44" s="899">
        <v>785</v>
      </c>
      <c r="B44" s="899">
        <v>1695</v>
      </c>
      <c r="C44" s="899" t="s">
        <v>1191</v>
      </c>
      <c r="D44" s="925">
        <v>42738</v>
      </c>
      <c r="E44" s="899" t="s">
        <v>140</v>
      </c>
      <c r="F44" s="925">
        <v>43374</v>
      </c>
      <c r="G44" s="901">
        <v>0</v>
      </c>
      <c r="H44" s="901">
        <v>1224777</v>
      </c>
      <c r="I44" s="899">
        <v>0.55846250593375302</v>
      </c>
      <c r="J44" s="899" t="s">
        <v>1251</v>
      </c>
      <c r="K44" s="899" t="s">
        <v>2878</v>
      </c>
      <c r="L44" s="899" t="s">
        <v>2881</v>
      </c>
      <c r="M44" s="899">
        <v>16950020004</v>
      </c>
      <c r="N44" s="899" t="s">
        <v>2531</v>
      </c>
      <c r="O44" s="899" t="s">
        <v>2882</v>
      </c>
      <c r="P44" s="899">
        <v>240</v>
      </c>
      <c r="Q44" s="899" t="s">
        <v>2533</v>
      </c>
      <c r="R44" s="899">
        <v>7.0000000000000007E-2</v>
      </c>
      <c r="S44" s="899" t="s">
        <v>2534</v>
      </c>
      <c r="T44" s="899">
        <v>2</v>
      </c>
      <c r="U44" s="899" t="s">
        <v>2546</v>
      </c>
      <c r="V44" s="926">
        <v>1224777</v>
      </c>
      <c r="W44" s="899">
        <v>1695</v>
      </c>
      <c r="X44" s="926">
        <f t="shared" si="1"/>
        <v>1984138.7400000002</v>
      </c>
      <c r="Y44" s="927">
        <f t="shared" si="0"/>
        <v>28344839.142857142</v>
      </c>
    </row>
    <row r="45" spans="1:34">
      <c r="D45" s="925"/>
      <c r="F45" s="925"/>
      <c r="G45" s="901"/>
      <c r="H45" s="901"/>
      <c r="K45" s="899"/>
      <c r="L45" s="899"/>
      <c r="R45" s="928">
        <f>SUM(R15:R44)</f>
        <v>804.84000000000015</v>
      </c>
      <c r="V45" s="901"/>
      <c r="W45" s="898" t="s">
        <v>2883</v>
      </c>
      <c r="X45" s="929">
        <f>SUM(X15:X44)/SUM($R$15:$R$44)</f>
        <v>2057306.5632175331</v>
      </c>
      <c r="Y45" s="927"/>
    </row>
    <row r="46" spans="1:34">
      <c r="D46" s="925"/>
      <c r="F46" s="925"/>
      <c r="G46" s="901"/>
      <c r="H46" s="901"/>
      <c r="K46" s="899"/>
      <c r="L46" s="899"/>
      <c r="V46" s="901"/>
      <c r="X46" s="930"/>
      <c r="Y46" s="927"/>
    </row>
    <row r="47" spans="1:34">
      <c r="A47" s="898" t="s">
        <v>2884</v>
      </c>
      <c r="D47" s="925"/>
      <c r="F47" s="925"/>
      <c r="G47" s="901"/>
      <c r="H47" s="901"/>
      <c r="K47" s="899"/>
      <c r="L47" s="899"/>
      <c r="V47" s="901"/>
      <c r="X47" s="901"/>
      <c r="Y47" s="923" t="s">
        <v>2836</v>
      </c>
    </row>
    <row r="48" spans="1:34" s="898" customFormat="1" ht="13.8">
      <c r="A48" s="898" t="s">
        <v>2837</v>
      </c>
      <c r="B48" s="898" t="s">
        <v>2838</v>
      </c>
      <c r="C48" s="898" t="s">
        <v>120</v>
      </c>
      <c r="D48" s="931" t="s">
        <v>2519</v>
      </c>
      <c r="E48" s="898" t="s">
        <v>30</v>
      </c>
      <c r="F48" s="931" t="s">
        <v>2839</v>
      </c>
      <c r="G48" s="924" t="s">
        <v>2840</v>
      </c>
      <c r="H48" s="924" t="s">
        <v>2841</v>
      </c>
      <c r="I48" s="898" t="s">
        <v>2842</v>
      </c>
      <c r="J48" s="898" t="s">
        <v>2843</v>
      </c>
      <c r="K48" s="898" t="s">
        <v>2844</v>
      </c>
      <c r="L48" s="898" t="s">
        <v>121</v>
      </c>
      <c r="M48" s="898" t="s">
        <v>2845</v>
      </c>
      <c r="N48" s="898" t="s">
        <v>2520</v>
      </c>
      <c r="O48" s="898" t="s">
        <v>2521</v>
      </c>
      <c r="P48" s="898" t="s">
        <v>122</v>
      </c>
      <c r="Q48" s="898" t="s">
        <v>2522</v>
      </c>
      <c r="R48" s="898" t="s">
        <v>123</v>
      </c>
      <c r="S48" s="898" t="s">
        <v>2523</v>
      </c>
      <c r="T48" s="898" t="s">
        <v>2524</v>
      </c>
      <c r="U48" s="898" t="s">
        <v>2525</v>
      </c>
      <c r="V48" s="924" t="s">
        <v>44</v>
      </c>
      <c r="W48" s="898" t="s">
        <v>2846</v>
      </c>
      <c r="X48" s="924" t="s">
        <v>2847</v>
      </c>
      <c r="Y48" s="924" t="s">
        <v>2847</v>
      </c>
      <c r="AH48" s="899"/>
    </row>
    <row r="49" spans="1:25">
      <c r="A49" s="899">
        <v>152</v>
      </c>
      <c r="B49" s="899">
        <v>791</v>
      </c>
      <c r="C49" s="899" t="s">
        <v>1191</v>
      </c>
      <c r="D49" s="925">
        <v>41075</v>
      </c>
      <c r="E49" s="899" t="s">
        <v>66</v>
      </c>
      <c r="F49" s="925">
        <v>41365</v>
      </c>
      <c r="G49" s="901">
        <v>183739858</v>
      </c>
      <c r="H49" s="901">
        <v>0</v>
      </c>
      <c r="I49" s="899">
        <v>0.82342968034366504</v>
      </c>
      <c r="J49" s="899" t="s">
        <v>1209</v>
      </c>
      <c r="K49" s="899" t="s">
        <v>2614</v>
      </c>
      <c r="L49" s="899" t="s">
        <v>2618</v>
      </c>
      <c r="M49" s="899">
        <v>791002043</v>
      </c>
      <c r="N49" s="899" t="s">
        <v>2531</v>
      </c>
      <c r="O49" s="899" t="s">
        <v>2619</v>
      </c>
      <c r="P49" s="899">
        <v>240</v>
      </c>
      <c r="Q49" s="899" t="s">
        <v>2533</v>
      </c>
      <c r="R49" s="899">
        <v>82</v>
      </c>
      <c r="S49" s="899" t="s">
        <v>2545</v>
      </c>
      <c r="T49" s="899">
        <v>2</v>
      </c>
      <c r="U49" s="899">
        <v>795</v>
      </c>
      <c r="V49" s="926">
        <v>183739858</v>
      </c>
      <c r="W49" s="899">
        <v>791</v>
      </c>
      <c r="X49" s="926">
        <f>VLOOKUP(S49,$B$6:$C$8,2,FALSE)*V49</f>
        <v>216813032.44</v>
      </c>
      <c r="Y49" s="927">
        <f t="shared" ref="Y49:Y94" si="2">X49/R49</f>
        <v>2644061.3712195121</v>
      </c>
    </row>
    <row r="50" spans="1:25">
      <c r="A50" s="899">
        <v>154</v>
      </c>
      <c r="B50" s="899">
        <v>791</v>
      </c>
      <c r="C50" s="899" t="s">
        <v>1191</v>
      </c>
      <c r="D50" s="925">
        <v>41075</v>
      </c>
      <c r="E50" s="899" t="s">
        <v>66</v>
      </c>
      <c r="F50" s="925">
        <v>41365</v>
      </c>
      <c r="G50" s="901">
        <v>66799208</v>
      </c>
      <c r="H50" s="901">
        <v>0</v>
      </c>
      <c r="I50" s="899">
        <v>0.82342968034366504</v>
      </c>
      <c r="J50" s="899" t="s">
        <v>1209</v>
      </c>
      <c r="K50" s="899" t="s">
        <v>2614</v>
      </c>
      <c r="L50" s="899" t="s">
        <v>2615</v>
      </c>
      <c r="M50" s="899">
        <v>791002040</v>
      </c>
      <c r="N50" s="899" t="s">
        <v>2531</v>
      </c>
      <c r="O50" s="899" t="s">
        <v>2616</v>
      </c>
      <c r="P50" s="899">
        <v>240</v>
      </c>
      <c r="Q50" s="899" t="s">
        <v>2533</v>
      </c>
      <c r="R50" s="899">
        <v>34</v>
      </c>
      <c r="S50" s="899" t="s">
        <v>2545</v>
      </c>
      <c r="T50" s="899">
        <v>2</v>
      </c>
      <c r="U50" s="899">
        <v>795</v>
      </c>
      <c r="V50" s="926">
        <v>66799208</v>
      </c>
      <c r="W50" s="899">
        <v>791</v>
      </c>
      <c r="X50" s="926">
        <f t="shared" ref="X50:X94" si="3">VLOOKUP(S50,$B$6:$C$8,2,FALSE)*V50</f>
        <v>78823065.439999998</v>
      </c>
      <c r="Y50" s="927">
        <f t="shared" si="2"/>
        <v>2318325.4541176469</v>
      </c>
    </row>
    <row r="51" spans="1:25">
      <c r="A51" s="899">
        <v>307</v>
      </c>
      <c r="B51" s="899">
        <v>943</v>
      </c>
      <c r="C51" s="899" t="s">
        <v>1191</v>
      </c>
      <c r="D51" s="925">
        <v>39933</v>
      </c>
      <c r="E51" s="899" t="s">
        <v>66</v>
      </c>
      <c r="F51" s="925">
        <v>40374</v>
      </c>
      <c r="G51" s="901">
        <v>520000</v>
      </c>
      <c r="H51" s="901">
        <v>6707000</v>
      </c>
      <c r="I51" s="899">
        <v>0.74447569304941696</v>
      </c>
      <c r="J51" s="899" t="s">
        <v>1249</v>
      </c>
      <c r="K51" s="899" t="s">
        <v>2611</v>
      </c>
      <c r="L51" s="899" t="s">
        <v>2612</v>
      </c>
      <c r="M51" s="899">
        <v>943002004</v>
      </c>
      <c r="N51" s="899" t="s">
        <v>2531</v>
      </c>
      <c r="O51" s="899" t="s">
        <v>2613</v>
      </c>
      <c r="P51" s="899">
        <v>240</v>
      </c>
      <c r="Q51" s="899" t="s">
        <v>2533</v>
      </c>
      <c r="R51" s="899">
        <v>8.9</v>
      </c>
      <c r="S51" s="899" t="s">
        <v>2534</v>
      </c>
      <c r="T51" s="899">
        <v>2</v>
      </c>
      <c r="U51" s="899" t="s">
        <v>2595</v>
      </c>
      <c r="V51" s="926">
        <v>7227000</v>
      </c>
      <c r="W51" s="899">
        <v>943</v>
      </c>
      <c r="X51" s="926">
        <f t="shared" si="3"/>
        <v>11707740</v>
      </c>
      <c r="Y51" s="927">
        <f t="shared" si="2"/>
        <v>1315476.404494382</v>
      </c>
    </row>
    <row r="52" spans="1:25">
      <c r="A52" s="899">
        <v>343</v>
      </c>
      <c r="B52" s="899">
        <v>996</v>
      </c>
      <c r="C52" s="899" t="s">
        <v>1191</v>
      </c>
      <c r="D52" s="925">
        <v>40324</v>
      </c>
      <c r="E52" s="899" t="s">
        <v>66</v>
      </c>
      <c r="F52" s="925">
        <v>40991</v>
      </c>
      <c r="G52" s="901">
        <v>8438000</v>
      </c>
      <c r="H52" s="901">
        <v>0</v>
      </c>
      <c r="I52" s="899">
        <v>0.55284570676609301</v>
      </c>
      <c r="J52" s="899" t="s">
        <v>2885</v>
      </c>
      <c r="K52" s="899" t="s">
        <v>2886</v>
      </c>
      <c r="L52" s="899" t="s">
        <v>2600</v>
      </c>
      <c r="M52" s="899">
        <v>996002235</v>
      </c>
      <c r="N52" s="899" t="s">
        <v>2531</v>
      </c>
      <c r="O52" s="899" t="s">
        <v>2601</v>
      </c>
      <c r="P52" s="899">
        <v>240</v>
      </c>
      <c r="Q52" s="899" t="s">
        <v>2533</v>
      </c>
      <c r="R52" s="899">
        <v>9.1999999999999993</v>
      </c>
      <c r="S52" s="899" t="s">
        <v>2538</v>
      </c>
      <c r="T52" s="899">
        <v>2</v>
      </c>
      <c r="U52" s="899" t="s">
        <v>2622</v>
      </c>
      <c r="V52" s="926">
        <v>8438000</v>
      </c>
      <c r="W52" s="899">
        <v>812</v>
      </c>
      <c r="X52" s="926">
        <f t="shared" si="3"/>
        <v>8438000</v>
      </c>
      <c r="Y52" s="927">
        <f t="shared" si="2"/>
        <v>917173.91304347839</v>
      </c>
    </row>
    <row r="53" spans="1:25">
      <c r="A53" s="899">
        <v>344</v>
      </c>
      <c r="B53" s="899">
        <v>998</v>
      </c>
      <c r="C53" s="899" t="s">
        <v>1191</v>
      </c>
      <c r="D53" s="925">
        <v>40324</v>
      </c>
      <c r="E53" s="899" t="s">
        <v>66</v>
      </c>
      <c r="F53" s="925">
        <v>41047</v>
      </c>
      <c r="G53" s="901">
        <v>58236000</v>
      </c>
      <c r="H53" s="901">
        <v>0</v>
      </c>
      <c r="I53" s="899">
        <v>0.51481317801662696</v>
      </c>
      <c r="K53" s="899" t="s">
        <v>2887</v>
      </c>
      <c r="L53" s="899" t="s">
        <v>2606</v>
      </c>
      <c r="M53" s="899">
        <v>998002255</v>
      </c>
      <c r="N53" s="899" t="s">
        <v>2531</v>
      </c>
      <c r="O53" s="899" t="s">
        <v>2607</v>
      </c>
      <c r="P53" s="899">
        <v>240</v>
      </c>
      <c r="Q53" s="899" t="s">
        <v>2533</v>
      </c>
      <c r="R53" s="899">
        <v>88.6</v>
      </c>
      <c r="S53" s="899" t="s">
        <v>2545</v>
      </c>
      <c r="T53" s="899">
        <v>2</v>
      </c>
      <c r="U53" s="899" t="s">
        <v>2622</v>
      </c>
      <c r="V53" s="926">
        <v>58236000</v>
      </c>
      <c r="W53" s="899">
        <v>812</v>
      </c>
      <c r="X53" s="926">
        <f t="shared" si="3"/>
        <v>68718480</v>
      </c>
      <c r="Y53" s="927">
        <f t="shared" si="2"/>
        <v>775603.61173814908</v>
      </c>
    </row>
    <row r="54" spans="1:25">
      <c r="A54" s="899">
        <v>345</v>
      </c>
      <c r="B54" s="899">
        <v>999</v>
      </c>
      <c r="C54" s="899" t="s">
        <v>1191</v>
      </c>
      <c r="D54" s="925">
        <v>40324</v>
      </c>
      <c r="E54" s="899" t="s">
        <v>66</v>
      </c>
      <c r="F54" s="925">
        <v>41039</v>
      </c>
      <c r="G54" s="901">
        <v>29801000</v>
      </c>
      <c r="H54" s="901">
        <v>0</v>
      </c>
      <c r="I54" s="899">
        <v>0.52873430249746101</v>
      </c>
      <c r="J54" s="899" t="s">
        <v>2885</v>
      </c>
      <c r="K54" s="899" t="s">
        <v>2888</v>
      </c>
      <c r="L54" s="899" t="s">
        <v>2597</v>
      </c>
      <c r="M54" s="899">
        <v>999002274</v>
      </c>
      <c r="N54" s="899" t="s">
        <v>2531</v>
      </c>
      <c r="O54" s="899" t="s">
        <v>2598</v>
      </c>
      <c r="P54" s="899">
        <v>240</v>
      </c>
      <c r="Q54" s="899" t="s">
        <v>2533</v>
      </c>
      <c r="R54" s="899">
        <v>44.7</v>
      </c>
      <c r="S54" s="899" t="s">
        <v>2545</v>
      </c>
      <c r="T54" s="899">
        <v>2</v>
      </c>
      <c r="U54" s="899" t="s">
        <v>2622</v>
      </c>
      <c r="V54" s="926">
        <v>29801000</v>
      </c>
      <c r="W54" s="899">
        <v>812</v>
      </c>
      <c r="X54" s="926">
        <f t="shared" si="3"/>
        <v>35165180</v>
      </c>
      <c r="Y54" s="927">
        <f t="shared" si="2"/>
        <v>786693.06487695745</v>
      </c>
    </row>
    <row r="55" spans="1:25">
      <c r="A55" s="899">
        <v>347</v>
      </c>
      <c r="B55" s="899">
        <v>1003</v>
      </c>
      <c r="C55" s="899" t="s">
        <v>1191</v>
      </c>
      <c r="D55" s="925">
        <v>40324</v>
      </c>
      <c r="E55" s="899" t="s">
        <v>66</v>
      </c>
      <c r="F55" s="925">
        <v>41047</v>
      </c>
      <c r="G55" s="901">
        <v>46582000</v>
      </c>
      <c r="H55" s="901">
        <v>0</v>
      </c>
      <c r="I55" s="899">
        <v>0.51400158372669402</v>
      </c>
      <c r="J55" s="899" t="s">
        <v>1206</v>
      </c>
      <c r="K55" s="899" t="s">
        <v>2889</v>
      </c>
      <c r="L55" s="899" t="s">
        <v>2593</v>
      </c>
      <c r="M55" s="899">
        <v>1003002355</v>
      </c>
      <c r="N55" s="899" t="s">
        <v>2531</v>
      </c>
      <c r="O55" s="899" t="s">
        <v>2594</v>
      </c>
      <c r="P55" s="899">
        <v>240</v>
      </c>
      <c r="Q55" s="899" t="s">
        <v>2533</v>
      </c>
      <c r="R55" s="899">
        <v>68.7</v>
      </c>
      <c r="S55" s="899" t="s">
        <v>2545</v>
      </c>
      <c r="T55" s="899">
        <v>2</v>
      </c>
      <c r="U55" s="899" t="s">
        <v>2622</v>
      </c>
      <c r="V55" s="926">
        <v>46582000</v>
      </c>
      <c r="W55" s="899">
        <v>812</v>
      </c>
      <c r="X55" s="926">
        <f t="shared" si="3"/>
        <v>54966760</v>
      </c>
      <c r="Y55" s="927">
        <f t="shared" si="2"/>
        <v>800098.39883551665</v>
      </c>
    </row>
    <row r="56" spans="1:25">
      <c r="A56" s="899">
        <v>358</v>
      </c>
      <c r="B56" s="899">
        <v>1026</v>
      </c>
      <c r="C56" s="899" t="s">
        <v>1191</v>
      </c>
      <c r="D56" s="925">
        <v>41344</v>
      </c>
      <c r="E56" s="899" t="s">
        <v>140</v>
      </c>
      <c r="F56" s="925">
        <v>41090</v>
      </c>
      <c r="G56" s="901">
        <v>42058000</v>
      </c>
      <c r="H56" s="901">
        <v>0</v>
      </c>
      <c r="I56" s="899">
        <v>0.78175329336474197</v>
      </c>
      <c r="J56" s="899" t="s">
        <v>1206</v>
      </c>
      <c r="K56" s="899" t="s">
        <v>2890</v>
      </c>
      <c r="L56" s="899" t="s">
        <v>2624</v>
      </c>
      <c r="M56" s="899">
        <v>1026003048</v>
      </c>
      <c r="N56" s="899" t="s">
        <v>2531</v>
      </c>
      <c r="O56" s="899" t="s">
        <v>2625</v>
      </c>
      <c r="P56" s="899">
        <v>240</v>
      </c>
      <c r="Q56" s="899" t="s">
        <v>2533</v>
      </c>
      <c r="R56" s="899">
        <v>20</v>
      </c>
      <c r="S56" s="899" t="s">
        <v>2545</v>
      </c>
      <c r="T56" s="899">
        <v>2</v>
      </c>
      <c r="U56" s="899" t="s">
        <v>2622</v>
      </c>
      <c r="V56" s="926">
        <v>42058000</v>
      </c>
      <c r="W56" s="899">
        <v>812</v>
      </c>
      <c r="X56" s="926">
        <f t="shared" si="3"/>
        <v>49628440</v>
      </c>
      <c r="Y56" s="927">
        <f t="shared" si="2"/>
        <v>2481422</v>
      </c>
    </row>
    <row r="57" spans="1:25">
      <c r="A57" s="899">
        <v>403</v>
      </c>
      <c r="B57" s="899">
        <v>1101</v>
      </c>
      <c r="C57" s="899" t="s">
        <v>1512</v>
      </c>
      <c r="D57" s="925">
        <v>40815</v>
      </c>
      <c r="E57" s="899" t="s">
        <v>140</v>
      </c>
      <c r="F57" s="925">
        <v>42064</v>
      </c>
      <c r="G57" s="901">
        <v>48956939</v>
      </c>
      <c r="H57" s="901">
        <v>0</v>
      </c>
      <c r="I57" s="899">
        <v>0.685014320634041</v>
      </c>
      <c r="J57" s="899" t="s">
        <v>1355</v>
      </c>
      <c r="K57" s="899" t="s">
        <v>2891</v>
      </c>
      <c r="L57" s="899" t="s">
        <v>2892</v>
      </c>
      <c r="M57" s="899">
        <v>1101002156</v>
      </c>
      <c r="N57" s="899" t="s">
        <v>2531</v>
      </c>
      <c r="O57" s="899" t="s">
        <v>2892</v>
      </c>
      <c r="P57" s="899">
        <v>240</v>
      </c>
      <c r="Q57" s="899" t="s">
        <v>2533</v>
      </c>
      <c r="R57" s="899">
        <v>30</v>
      </c>
      <c r="S57" s="899" t="s">
        <v>2545</v>
      </c>
      <c r="T57" s="899">
        <v>2</v>
      </c>
      <c r="U57" s="899" t="s">
        <v>2622</v>
      </c>
      <c r="V57" s="926">
        <v>48956939</v>
      </c>
      <c r="W57" s="899">
        <v>1101</v>
      </c>
      <c r="X57" s="926">
        <f t="shared" si="3"/>
        <v>57769188.019999996</v>
      </c>
      <c r="Y57" s="927">
        <f t="shared" si="2"/>
        <v>1925639.6006666666</v>
      </c>
    </row>
    <row r="58" spans="1:25">
      <c r="A58" s="899">
        <v>408</v>
      </c>
      <c r="B58" s="899">
        <v>1101</v>
      </c>
      <c r="C58" s="899" t="s">
        <v>1512</v>
      </c>
      <c r="D58" s="925">
        <v>40815</v>
      </c>
      <c r="E58" s="899" t="s">
        <v>140</v>
      </c>
      <c r="F58" s="925">
        <v>42064</v>
      </c>
      <c r="G58" s="901">
        <v>50362771</v>
      </c>
      <c r="H58" s="901">
        <v>0</v>
      </c>
      <c r="I58" s="899">
        <v>0.65453659170816303</v>
      </c>
      <c r="J58" s="899" t="s">
        <v>1355</v>
      </c>
      <c r="K58" s="899" t="s">
        <v>2891</v>
      </c>
      <c r="L58" s="899" t="s">
        <v>2893</v>
      </c>
      <c r="M58" s="899">
        <v>1101002170</v>
      </c>
      <c r="N58" s="899" t="s">
        <v>2531</v>
      </c>
      <c r="O58" s="899" t="s">
        <v>2893</v>
      </c>
      <c r="P58" s="899">
        <v>240</v>
      </c>
      <c r="Q58" s="899" t="s">
        <v>2533</v>
      </c>
      <c r="R58" s="899">
        <v>30</v>
      </c>
      <c r="S58" s="899" t="s">
        <v>2545</v>
      </c>
      <c r="T58" s="899">
        <v>2</v>
      </c>
      <c r="U58" s="899" t="s">
        <v>2622</v>
      </c>
      <c r="V58" s="926">
        <v>50362771</v>
      </c>
      <c r="W58" s="899">
        <v>1101</v>
      </c>
      <c r="X58" s="926">
        <f t="shared" si="3"/>
        <v>59428069.779999994</v>
      </c>
      <c r="Y58" s="927">
        <f t="shared" si="2"/>
        <v>1980935.6593333331</v>
      </c>
    </row>
    <row r="59" spans="1:25">
      <c r="A59" s="899">
        <v>412</v>
      </c>
      <c r="B59" s="899">
        <v>1101</v>
      </c>
      <c r="C59" s="899" t="s">
        <v>1512</v>
      </c>
      <c r="D59" s="925">
        <v>40815</v>
      </c>
      <c r="E59" s="899" t="s">
        <v>140</v>
      </c>
      <c r="F59" s="925">
        <v>42064</v>
      </c>
      <c r="G59" s="901">
        <v>96321086</v>
      </c>
      <c r="H59" s="901">
        <v>0</v>
      </c>
      <c r="I59" s="899">
        <v>0.65453659170816303</v>
      </c>
      <c r="J59" s="899" t="s">
        <v>1355</v>
      </c>
      <c r="K59" s="899" t="s">
        <v>2891</v>
      </c>
      <c r="L59" s="899" t="s">
        <v>2894</v>
      </c>
      <c r="M59" s="899">
        <v>1101002172</v>
      </c>
      <c r="N59" s="899" t="s">
        <v>2531</v>
      </c>
      <c r="O59" s="899" t="s">
        <v>2894</v>
      </c>
      <c r="P59" s="899">
        <v>240</v>
      </c>
      <c r="Q59" s="899" t="s">
        <v>2533</v>
      </c>
      <c r="R59" s="899">
        <v>60</v>
      </c>
      <c r="S59" s="899" t="s">
        <v>2545</v>
      </c>
      <c r="T59" s="899">
        <v>2</v>
      </c>
      <c r="U59" s="899" t="s">
        <v>2622</v>
      </c>
      <c r="V59" s="926">
        <v>96321086</v>
      </c>
      <c r="W59" s="899">
        <v>1101</v>
      </c>
      <c r="X59" s="926">
        <f t="shared" si="3"/>
        <v>113658881.47999999</v>
      </c>
      <c r="Y59" s="927">
        <f t="shared" si="2"/>
        <v>1894314.6913333333</v>
      </c>
    </row>
    <row r="60" spans="1:25">
      <c r="A60" s="899">
        <v>436</v>
      </c>
      <c r="B60" s="899">
        <v>1180</v>
      </c>
      <c r="C60" s="899" t="s">
        <v>1191</v>
      </c>
      <c r="D60" s="925">
        <v>41974</v>
      </c>
      <c r="E60" s="899" t="s">
        <v>66</v>
      </c>
      <c r="F60" s="925">
        <v>42795</v>
      </c>
      <c r="G60" s="901">
        <v>119240976</v>
      </c>
      <c r="H60" s="901">
        <v>0</v>
      </c>
      <c r="I60" s="899">
        <v>0.68418446766833696</v>
      </c>
      <c r="J60" s="899" t="s">
        <v>1209</v>
      </c>
      <c r="K60" s="899" t="s">
        <v>2895</v>
      </c>
      <c r="L60" s="899" t="s">
        <v>1230</v>
      </c>
      <c r="M60" s="899">
        <v>11800020376</v>
      </c>
      <c r="N60" s="899" t="s">
        <v>2531</v>
      </c>
      <c r="O60" s="899" t="s">
        <v>1230</v>
      </c>
      <c r="P60" s="899">
        <v>240</v>
      </c>
      <c r="Q60" s="899" t="s">
        <v>2533</v>
      </c>
      <c r="R60" s="899">
        <v>120</v>
      </c>
      <c r="S60" s="899" t="s">
        <v>2534</v>
      </c>
      <c r="T60" s="899">
        <v>2</v>
      </c>
      <c r="U60" s="899" t="s">
        <v>2622</v>
      </c>
      <c r="V60" s="926">
        <v>119240976</v>
      </c>
      <c r="W60" s="899">
        <v>1180</v>
      </c>
      <c r="X60" s="926">
        <f t="shared" si="3"/>
        <v>193170381.12</v>
      </c>
      <c r="Y60" s="927">
        <f t="shared" si="2"/>
        <v>1609753.176</v>
      </c>
    </row>
    <row r="61" spans="1:25">
      <c r="A61" s="899">
        <v>439</v>
      </c>
      <c r="B61" s="899">
        <v>1180</v>
      </c>
      <c r="C61" s="899" t="s">
        <v>1512</v>
      </c>
      <c r="D61" s="925">
        <v>40851</v>
      </c>
      <c r="E61" s="899" t="s">
        <v>66</v>
      </c>
      <c r="F61" s="925">
        <v>42124</v>
      </c>
      <c r="G61" s="901">
        <v>107750000</v>
      </c>
      <c r="H61" s="901">
        <v>0</v>
      </c>
      <c r="I61" s="899">
        <v>0.77053444994777898</v>
      </c>
      <c r="K61" s="899" t="s">
        <v>2896</v>
      </c>
      <c r="L61" s="899" t="s">
        <v>2897</v>
      </c>
      <c r="M61" s="899">
        <v>11800020257</v>
      </c>
      <c r="N61" s="899" t="s">
        <v>2531</v>
      </c>
      <c r="O61" s="899" t="s">
        <v>2897</v>
      </c>
      <c r="P61" s="899">
        <v>240</v>
      </c>
      <c r="Q61" s="899" t="s">
        <v>2533</v>
      </c>
      <c r="R61" s="899">
        <v>52</v>
      </c>
      <c r="S61" s="899" t="s">
        <v>2538</v>
      </c>
      <c r="T61" s="899">
        <v>2</v>
      </c>
      <c r="U61" s="899" t="s">
        <v>2622</v>
      </c>
      <c r="V61" s="926">
        <v>107750000</v>
      </c>
      <c r="W61" s="899">
        <v>1180</v>
      </c>
      <c r="X61" s="926">
        <f t="shared" si="3"/>
        <v>107750000</v>
      </c>
      <c r="Y61" s="927">
        <f t="shared" si="2"/>
        <v>2072115.3846153845</v>
      </c>
    </row>
    <row r="62" spans="1:25">
      <c r="A62" s="899">
        <v>440</v>
      </c>
      <c r="B62" s="899">
        <v>1180</v>
      </c>
      <c r="C62" s="899" t="s">
        <v>1512</v>
      </c>
      <c r="D62" s="925">
        <v>40851</v>
      </c>
      <c r="E62" s="899" t="s">
        <v>66</v>
      </c>
      <c r="F62" s="925">
        <v>42124</v>
      </c>
      <c r="G62" s="901">
        <v>144391000</v>
      </c>
      <c r="H62" s="901">
        <v>0</v>
      </c>
      <c r="I62" s="899">
        <v>0.76322647144329603</v>
      </c>
      <c r="K62" s="899" t="s">
        <v>2896</v>
      </c>
      <c r="L62" s="899" t="s">
        <v>2898</v>
      </c>
      <c r="M62" s="899">
        <v>11800020270</v>
      </c>
      <c r="N62" s="899" t="s">
        <v>2531</v>
      </c>
      <c r="O62" s="899" t="s">
        <v>2898</v>
      </c>
      <c r="P62" s="899">
        <v>240</v>
      </c>
      <c r="Q62" s="899" t="s">
        <v>2533</v>
      </c>
      <c r="R62" s="899">
        <v>80</v>
      </c>
      <c r="S62" s="899" t="s">
        <v>2545</v>
      </c>
      <c r="T62" s="899">
        <v>2</v>
      </c>
      <c r="U62" s="899" t="s">
        <v>2622</v>
      </c>
      <c r="V62" s="926">
        <v>144391000</v>
      </c>
      <c r="W62" s="899">
        <v>1180</v>
      </c>
      <c r="X62" s="926">
        <f t="shared" si="3"/>
        <v>170381380</v>
      </c>
      <c r="Y62" s="927">
        <f t="shared" si="2"/>
        <v>2129767.25</v>
      </c>
    </row>
    <row r="63" spans="1:25">
      <c r="A63" s="899">
        <v>441</v>
      </c>
      <c r="B63" s="899">
        <v>1180</v>
      </c>
      <c r="C63" s="899" t="s">
        <v>1191</v>
      </c>
      <c r="D63" s="925">
        <v>41299</v>
      </c>
      <c r="E63" s="899" t="s">
        <v>66</v>
      </c>
      <c r="F63" s="925">
        <v>42124</v>
      </c>
      <c r="G63" s="901">
        <v>77765496</v>
      </c>
      <c r="H63" s="901">
        <v>0</v>
      </c>
      <c r="I63" s="899">
        <v>0.65750192933847196</v>
      </c>
      <c r="J63" s="899" t="s">
        <v>1209</v>
      </c>
      <c r="K63" s="899" t="s">
        <v>2899</v>
      </c>
      <c r="L63" s="899" t="s">
        <v>2630</v>
      </c>
      <c r="M63" s="899">
        <v>11800020291</v>
      </c>
      <c r="N63" s="899" t="s">
        <v>2531</v>
      </c>
      <c r="O63" s="899" t="s">
        <v>1115</v>
      </c>
      <c r="P63" s="899">
        <v>240</v>
      </c>
      <c r="Q63" s="899" t="s">
        <v>2533</v>
      </c>
      <c r="R63" s="899">
        <v>68.11</v>
      </c>
      <c r="S63" s="899" t="s">
        <v>2534</v>
      </c>
      <c r="T63" s="899">
        <v>2</v>
      </c>
      <c r="U63" s="899" t="s">
        <v>2622</v>
      </c>
      <c r="V63" s="926">
        <v>77765496</v>
      </c>
      <c r="W63" s="899">
        <v>1180</v>
      </c>
      <c r="X63" s="926">
        <f t="shared" si="3"/>
        <v>125980103.52000001</v>
      </c>
      <c r="Y63" s="927">
        <f t="shared" si="2"/>
        <v>1849656.4897959186</v>
      </c>
    </row>
    <row r="64" spans="1:25">
      <c r="A64" s="899">
        <v>486</v>
      </c>
      <c r="B64" s="899">
        <v>1321</v>
      </c>
      <c r="C64" s="899" t="s">
        <v>1191</v>
      </c>
      <c r="D64" s="925">
        <v>41789</v>
      </c>
      <c r="E64" s="899" t="s">
        <v>66</v>
      </c>
      <c r="F64" s="925">
        <v>42186</v>
      </c>
      <c r="G64" s="901">
        <v>0</v>
      </c>
      <c r="H64" s="901">
        <v>26665238</v>
      </c>
      <c r="I64" s="899">
        <v>0.68036899141051299</v>
      </c>
      <c r="J64" s="899" t="s">
        <v>1213</v>
      </c>
      <c r="K64" s="899" t="s">
        <v>2900</v>
      </c>
      <c r="L64" s="899" t="s">
        <v>2901</v>
      </c>
      <c r="M64" s="899">
        <v>1321002011</v>
      </c>
      <c r="N64" s="899" t="s">
        <v>2531</v>
      </c>
      <c r="O64" s="899" t="s">
        <v>1364</v>
      </c>
      <c r="P64" s="899">
        <v>240</v>
      </c>
      <c r="Q64" s="899" t="s">
        <v>2533</v>
      </c>
      <c r="R64" s="899">
        <v>46</v>
      </c>
      <c r="S64" s="899" t="s">
        <v>2534</v>
      </c>
      <c r="T64" s="899">
        <v>2</v>
      </c>
      <c r="U64" s="899" t="s">
        <v>2622</v>
      </c>
      <c r="V64" s="926">
        <v>26665238</v>
      </c>
      <c r="W64" s="899">
        <v>1321</v>
      </c>
      <c r="X64" s="926">
        <f t="shared" si="3"/>
        <v>43197685.560000002</v>
      </c>
      <c r="Y64" s="927">
        <f t="shared" si="2"/>
        <v>939080.12086956529</v>
      </c>
    </row>
    <row r="65" spans="1:25">
      <c r="A65" s="899">
        <v>529</v>
      </c>
      <c r="B65" s="899">
        <v>1473</v>
      </c>
      <c r="C65" s="899" t="s">
        <v>1512</v>
      </c>
      <c r="D65" s="925">
        <v>41941</v>
      </c>
      <c r="E65" s="899" t="s">
        <v>66</v>
      </c>
      <c r="F65" s="925">
        <v>43556</v>
      </c>
      <c r="G65" s="901">
        <v>50953997</v>
      </c>
      <c r="H65" s="901">
        <v>0</v>
      </c>
      <c r="I65" s="899">
        <v>0.58313613011749199</v>
      </c>
      <c r="J65" s="899" t="s">
        <v>2872</v>
      </c>
      <c r="K65" s="899" t="s">
        <v>2902</v>
      </c>
      <c r="L65" s="899" t="s">
        <v>2903</v>
      </c>
      <c r="M65" s="899">
        <v>14730022438</v>
      </c>
      <c r="N65" s="899" t="s">
        <v>2531</v>
      </c>
      <c r="O65" s="899" t="s">
        <v>2903</v>
      </c>
      <c r="P65" s="899">
        <v>240</v>
      </c>
      <c r="Q65" s="899" t="s">
        <v>2533</v>
      </c>
      <c r="R65" s="899">
        <v>63.42</v>
      </c>
      <c r="S65" s="899" t="s">
        <v>2534</v>
      </c>
      <c r="T65" s="899">
        <v>2</v>
      </c>
      <c r="U65" s="899" t="s">
        <v>2622</v>
      </c>
      <c r="V65" s="926">
        <v>50953997</v>
      </c>
      <c r="W65" s="899">
        <v>1473</v>
      </c>
      <c r="X65" s="926">
        <f t="shared" si="3"/>
        <v>82545475.140000001</v>
      </c>
      <c r="Y65" s="927">
        <f t="shared" si="2"/>
        <v>1301568.51371807</v>
      </c>
    </row>
    <row r="66" spans="1:25">
      <c r="A66" s="899">
        <v>530</v>
      </c>
      <c r="B66" s="899">
        <v>1473</v>
      </c>
      <c r="C66" s="899" t="s">
        <v>1512</v>
      </c>
      <c r="D66" s="925">
        <v>41941</v>
      </c>
      <c r="E66" s="899" t="s">
        <v>66</v>
      </c>
      <c r="F66" s="925">
        <v>43556</v>
      </c>
      <c r="G66" s="901">
        <v>65021092</v>
      </c>
      <c r="H66" s="901">
        <v>0</v>
      </c>
      <c r="I66" s="899">
        <v>0.58313613011749199</v>
      </c>
      <c r="J66" s="899" t="s">
        <v>2872</v>
      </c>
      <c r="K66" s="899" t="s">
        <v>2902</v>
      </c>
      <c r="L66" s="899" t="s">
        <v>2904</v>
      </c>
      <c r="M66" s="899">
        <v>14730022434</v>
      </c>
      <c r="N66" s="899" t="s">
        <v>2531</v>
      </c>
      <c r="O66" s="899" t="s">
        <v>2904</v>
      </c>
      <c r="P66" s="899">
        <v>240</v>
      </c>
      <c r="Q66" s="899" t="s">
        <v>2533</v>
      </c>
      <c r="R66" s="899">
        <v>81.5</v>
      </c>
      <c r="S66" s="899" t="s">
        <v>2534</v>
      </c>
      <c r="T66" s="899">
        <v>2</v>
      </c>
      <c r="U66" s="899" t="s">
        <v>2622</v>
      </c>
      <c r="V66" s="926">
        <v>65021092</v>
      </c>
      <c r="W66" s="899">
        <v>1473</v>
      </c>
      <c r="X66" s="926">
        <f t="shared" si="3"/>
        <v>105334169.04000001</v>
      </c>
      <c r="Y66" s="927">
        <f t="shared" si="2"/>
        <v>1292443.7919018406</v>
      </c>
    </row>
    <row r="67" spans="1:25">
      <c r="A67" s="899">
        <v>558</v>
      </c>
      <c r="B67" s="899">
        <v>1473</v>
      </c>
      <c r="C67" s="899" t="s">
        <v>1512</v>
      </c>
      <c r="D67" s="925">
        <v>41941</v>
      </c>
      <c r="E67" s="899" t="s">
        <v>66</v>
      </c>
      <c r="F67" s="925">
        <v>43556</v>
      </c>
      <c r="G67" s="901">
        <v>82723619</v>
      </c>
      <c r="H67" s="901">
        <v>0</v>
      </c>
      <c r="I67" s="899">
        <v>0.51878102802089399</v>
      </c>
      <c r="J67" s="899" t="s">
        <v>2872</v>
      </c>
      <c r="K67" s="899" t="s">
        <v>2902</v>
      </c>
      <c r="L67" s="899" t="s">
        <v>2905</v>
      </c>
      <c r="M67" s="899">
        <v>14730021792</v>
      </c>
      <c r="N67" s="899" t="s">
        <v>2531</v>
      </c>
      <c r="O67" s="899" t="s">
        <v>2905</v>
      </c>
      <c r="P67" s="899">
        <v>240</v>
      </c>
      <c r="Q67" s="899" t="s">
        <v>2533</v>
      </c>
      <c r="R67" s="899">
        <v>81.5</v>
      </c>
      <c r="S67" s="899" t="s">
        <v>2538</v>
      </c>
      <c r="T67" s="899">
        <v>2</v>
      </c>
      <c r="U67" s="899" t="s">
        <v>2622</v>
      </c>
      <c r="V67" s="926">
        <v>82723619</v>
      </c>
      <c r="W67" s="899">
        <v>1473</v>
      </c>
      <c r="X67" s="926">
        <f t="shared" si="3"/>
        <v>82723619</v>
      </c>
      <c r="Y67" s="927">
        <f t="shared" si="2"/>
        <v>1015013.7300613497</v>
      </c>
    </row>
    <row r="68" spans="1:25">
      <c r="A68" s="899">
        <v>578</v>
      </c>
      <c r="B68" s="899">
        <v>1473</v>
      </c>
      <c r="C68" s="899" t="s">
        <v>1512</v>
      </c>
      <c r="D68" s="925">
        <v>41814</v>
      </c>
      <c r="E68" s="899" t="s">
        <v>66</v>
      </c>
      <c r="F68" s="925">
        <v>43556</v>
      </c>
      <c r="G68" s="901">
        <v>65021092</v>
      </c>
      <c r="H68" s="901">
        <v>0</v>
      </c>
      <c r="I68" s="899">
        <v>0.58313613011749199</v>
      </c>
      <c r="J68" s="899" t="s">
        <v>2872</v>
      </c>
      <c r="K68" s="899" t="s">
        <v>2906</v>
      </c>
      <c r="L68" s="899" t="s">
        <v>2904</v>
      </c>
      <c r="M68" s="899">
        <v>1473002899</v>
      </c>
      <c r="N68" s="899" t="s">
        <v>2531</v>
      </c>
      <c r="O68" s="899" t="s">
        <v>2904</v>
      </c>
      <c r="P68" s="899">
        <v>240</v>
      </c>
      <c r="Q68" s="899" t="s">
        <v>2533</v>
      </c>
      <c r="R68" s="899">
        <v>81.5</v>
      </c>
      <c r="S68" s="899" t="s">
        <v>2534</v>
      </c>
      <c r="T68" s="899">
        <v>2</v>
      </c>
      <c r="U68" s="899" t="s">
        <v>2622</v>
      </c>
      <c r="V68" s="926">
        <v>65021092</v>
      </c>
      <c r="W68" s="899">
        <v>1473</v>
      </c>
      <c r="X68" s="926">
        <f t="shared" si="3"/>
        <v>105334169.04000001</v>
      </c>
      <c r="Y68" s="927">
        <f t="shared" si="2"/>
        <v>1292443.7919018406</v>
      </c>
    </row>
    <row r="69" spans="1:25">
      <c r="A69" s="899">
        <v>581</v>
      </c>
      <c r="B69" s="899">
        <v>1473</v>
      </c>
      <c r="C69" s="899" t="s">
        <v>1512</v>
      </c>
      <c r="D69" s="925">
        <v>41941</v>
      </c>
      <c r="E69" s="899" t="s">
        <v>66</v>
      </c>
      <c r="F69" s="925">
        <v>43556</v>
      </c>
      <c r="G69" s="901">
        <v>65205952</v>
      </c>
      <c r="H69" s="901">
        <v>0</v>
      </c>
      <c r="I69" s="899">
        <v>0.58035738298211803</v>
      </c>
      <c r="J69" s="899" t="s">
        <v>2872</v>
      </c>
      <c r="K69" s="899" t="s">
        <v>2902</v>
      </c>
      <c r="L69" s="899" t="s">
        <v>2907</v>
      </c>
      <c r="M69" s="899">
        <v>14730022479</v>
      </c>
      <c r="N69" s="899" t="s">
        <v>2531</v>
      </c>
      <c r="O69" s="899" t="s">
        <v>2907</v>
      </c>
      <c r="P69" s="899">
        <v>240</v>
      </c>
      <c r="Q69" s="899" t="s">
        <v>2533</v>
      </c>
      <c r="R69" s="899">
        <v>81.8</v>
      </c>
      <c r="S69" s="899" t="s">
        <v>2534</v>
      </c>
      <c r="T69" s="899">
        <v>2</v>
      </c>
      <c r="U69" s="899" t="s">
        <v>2622</v>
      </c>
      <c r="V69" s="926">
        <v>65205952</v>
      </c>
      <c r="W69" s="899">
        <v>1473</v>
      </c>
      <c r="X69" s="926">
        <f t="shared" si="3"/>
        <v>105633642.24000001</v>
      </c>
      <c r="Y69" s="927">
        <f t="shared" si="2"/>
        <v>1291364.8195599024</v>
      </c>
    </row>
    <row r="70" spans="1:25">
      <c r="A70" s="899">
        <v>584</v>
      </c>
      <c r="B70" s="899">
        <v>1473</v>
      </c>
      <c r="C70" s="899" t="s">
        <v>1512</v>
      </c>
      <c r="D70" s="925">
        <v>41941</v>
      </c>
      <c r="E70" s="899" t="s">
        <v>66</v>
      </c>
      <c r="F70" s="925">
        <v>43556</v>
      </c>
      <c r="G70" s="901">
        <v>21603439</v>
      </c>
      <c r="H70" s="901">
        <v>0</v>
      </c>
      <c r="I70" s="899">
        <v>0.58313613011749199</v>
      </c>
      <c r="J70" s="899" t="s">
        <v>2872</v>
      </c>
      <c r="K70" s="899" t="s">
        <v>2902</v>
      </c>
      <c r="L70" s="899" t="s">
        <v>2908</v>
      </c>
      <c r="M70" s="899">
        <v>14730022436</v>
      </c>
      <c r="N70" s="899" t="s">
        <v>2531</v>
      </c>
      <c r="O70" s="899" t="s">
        <v>2908</v>
      </c>
      <c r="P70" s="899">
        <v>240</v>
      </c>
      <c r="Q70" s="899" t="s">
        <v>2533</v>
      </c>
      <c r="R70" s="899">
        <v>26.5</v>
      </c>
      <c r="S70" s="899" t="s">
        <v>2534</v>
      </c>
      <c r="T70" s="899">
        <v>2</v>
      </c>
      <c r="U70" s="899" t="s">
        <v>2622</v>
      </c>
      <c r="V70" s="926">
        <v>21603439</v>
      </c>
      <c r="W70" s="899">
        <v>1473</v>
      </c>
      <c r="X70" s="926">
        <f t="shared" si="3"/>
        <v>34997571.18</v>
      </c>
      <c r="Y70" s="927">
        <f t="shared" si="2"/>
        <v>1320663.0633962264</v>
      </c>
    </row>
    <row r="71" spans="1:25">
      <c r="A71" s="899">
        <v>586</v>
      </c>
      <c r="B71" s="899">
        <v>1473</v>
      </c>
      <c r="C71" s="899" t="s">
        <v>1512</v>
      </c>
      <c r="D71" s="925">
        <v>41941</v>
      </c>
      <c r="E71" s="899" t="s">
        <v>66</v>
      </c>
      <c r="F71" s="925">
        <v>43556</v>
      </c>
      <c r="G71" s="901">
        <v>82723619</v>
      </c>
      <c r="H71" s="901">
        <v>0</v>
      </c>
      <c r="I71" s="899">
        <v>0.60218355148778102</v>
      </c>
      <c r="J71" s="899" t="s">
        <v>2872</v>
      </c>
      <c r="K71" s="899" t="s">
        <v>2902</v>
      </c>
      <c r="L71" s="899" t="s">
        <v>2909</v>
      </c>
      <c r="M71" s="899">
        <v>14730022393</v>
      </c>
      <c r="N71" s="899" t="s">
        <v>2531</v>
      </c>
      <c r="O71" s="899" t="s">
        <v>2909</v>
      </c>
      <c r="P71" s="899">
        <v>240</v>
      </c>
      <c r="Q71" s="899" t="s">
        <v>2533</v>
      </c>
      <c r="R71" s="899">
        <v>81.5</v>
      </c>
      <c r="S71" s="899" t="s">
        <v>2545</v>
      </c>
      <c r="T71" s="899">
        <v>2</v>
      </c>
      <c r="U71" s="899" t="s">
        <v>2622</v>
      </c>
      <c r="V71" s="926">
        <v>82723619</v>
      </c>
      <c r="W71" s="899">
        <v>1473</v>
      </c>
      <c r="X71" s="926">
        <f t="shared" si="3"/>
        <v>97613870.420000002</v>
      </c>
      <c r="Y71" s="927">
        <f t="shared" si="2"/>
        <v>1197716.2014723928</v>
      </c>
    </row>
    <row r="72" spans="1:25">
      <c r="A72" s="899">
        <v>591</v>
      </c>
      <c r="B72" s="899">
        <v>1473</v>
      </c>
      <c r="C72" s="899" t="s">
        <v>1512</v>
      </c>
      <c r="D72" s="925">
        <v>41941</v>
      </c>
      <c r="E72" s="899" t="s">
        <v>66</v>
      </c>
      <c r="F72" s="925">
        <v>43556</v>
      </c>
      <c r="G72" s="901">
        <v>88669520</v>
      </c>
      <c r="H72" s="901">
        <v>0</v>
      </c>
      <c r="I72" s="899">
        <v>0.59777728294281995</v>
      </c>
      <c r="J72" s="899" t="s">
        <v>2872</v>
      </c>
      <c r="K72" s="899" t="s">
        <v>2902</v>
      </c>
      <c r="L72" s="899" t="s">
        <v>2910</v>
      </c>
      <c r="M72" s="899">
        <v>14730022350</v>
      </c>
      <c r="N72" s="899" t="s">
        <v>2531</v>
      </c>
      <c r="O72" s="899" t="s">
        <v>2910</v>
      </c>
      <c r="P72" s="899">
        <v>240</v>
      </c>
      <c r="Q72" s="899" t="s">
        <v>2533</v>
      </c>
      <c r="R72" s="899">
        <v>88</v>
      </c>
      <c r="S72" s="899" t="s">
        <v>2545</v>
      </c>
      <c r="T72" s="899">
        <v>2</v>
      </c>
      <c r="U72" s="899" t="s">
        <v>2622</v>
      </c>
      <c r="V72" s="926">
        <v>88669520</v>
      </c>
      <c r="W72" s="899">
        <v>1473</v>
      </c>
      <c r="X72" s="926">
        <f t="shared" si="3"/>
        <v>104630033.59999999</v>
      </c>
      <c r="Y72" s="927">
        <f t="shared" si="2"/>
        <v>1188977.6545454545</v>
      </c>
    </row>
    <row r="73" spans="1:25">
      <c r="A73" s="899">
        <v>603</v>
      </c>
      <c r="B73" s="899">
        <v>1473</v>
      </c>
      <c r="C73" s="899" t="s">
        <v>1512</v>
      </c>
      <c r="D73" s="925">
        <v>41814</v>
      </c>
      <c r="E73" s="899" t="s">
        <v>66</v>
      </c>
      <c r="F73" s="925">
        <v>43556</v>
      </c>
      <c r="G73" s="901">
        <v>82723619</v>
      </c>
      <c r="H73" s="901">
        <v>0</v>
      </c>
      <c r="I73" s="899">
        <v>0.60218355148778102</v>
      </c>
      <c r="J73" s="899" t="s">
        <v>2872</v>
      </c>
      <c r="K73" s="899" t="s">
        <v>2906</v>
      </c>
      <c r="L73" s="899" t="s">
        <v>2909</v>
      </c>
      <c r="M73" s="899">
        <v>1473002858</v>
      </c>
      <c r="N73" s="899" t="s">
        <v>2531</v>
      </c>
      <c r="O73" s="899" t="s">
        <v>2909</v>
      </c>
      <c r="P73" s="899">
        <v>240</v>
      </c>
      <c r="Q73" s="899" t="s">
        <v>2533</v>
      </c>
      <c r="R73" s="899">
        <v>81.5</v>
      </c>
      <c r="S73" s="899" t="s">
        <v>2545</v>
      </c>
      <c r="T73" s="899">
        <v>2</v>
      </c>
      <c r="U73" s="899" t="s">
        <v>2622</v>
      </c>
      <c r="V73" s="926">
        <v>82723619</v>
      </c>
      <c r="W73" s="899">
        <v>1473</v>
      </c>
      <c r="X73" s="926">
        <f t="shared" si="3"/>
        <v>97613870.420000002</v>
      </c>
      <c r="Y73" s="927">
        <f t="shared" si="2"/>
        <v>1197716.2014723928</v>
      </c>
    </row>
    <row r="74" spans="1:25">
      <c r="A74" s="899">
        <v>617</v>
      </c>
      <c r="B74" s="899">
        <v>1473</v>
      </c>
      <c r="C74" s="899" t="s">
        <v>1512</v>
      </c>
      <c r="D74" s="925">
        <v>41941</v>
      </c>
      <c r="E74" s="899" t="s">
        <v>66</v>
      </c>
      <c r="F74" s="925">
        <v>43556</v>
      </c>
      <c r="G74" s="901">
        <v>65205952</v>
      </c>
      <c r="H74" s="901">
        <v>0</v>
      </c>
      <c r="I74" s="899">
        <v>0.50757759612646802</v>
      </c>
      <c r="J74" s="899" t="s">
        <v>2872</v>
      </c>
      <c r="K74" s="899" t="s">
        <v>2902</v>
      </c>
      <c r="L74" s="899" t="s">
        <v>2911</v>
      </c>
      <c r="M74" s="899">
        <v>14730022192</v>
      </c>
      <c r="N74" s="899" t="s">
        <v>2531</v>
      </c>
      <c r="O74" s="899" t="s">
        <v>2911</v>
      </c>
      <c r="P74" s="899">
        <v>240</v>
      </c>
      <c r="Q74" s="899" t="s">
        <v>2533</v>
      </c>
      <c r="R74" s="899">
        <v>81.5</v>
      </c>
      <c r="S74" s="899" t="s">
        <v>2534</v>
      </c>
      <c r="T74" s="899">
        <v>2</v>
      </c>
      <c r="U74" s="899" t="s">
        <v>2622</v>
      </c>
      <c r="V74" s="926">
        <v>65205952</v>
      </c>
      <c r="W74" s="899">
        <v>1473</v>
      </c>
      <c r="X74" s="926">
        <f t="shared" si="3"/>
        <v>105633642.24000001</v>
      </c>
      <c r="Y74" s="927">
        <f t="shared" si="2"/>
        <v>1296118.3096932517</v>
      </c>
    </row>
    <row r="75" spans="1:25">
      <c r="A75" s="899">
        <v>625</v>
      </c>
      <c r="B75" s="899">
        <v>1473</v>
      </c>
      <c r="C75" s="899" t="s">
        <v>1512</v>
      </c>
      <c r="D75" s="925">
        <v>41814</v>
      </c>
      <c r="E75" s="899" t="s">
        <v>66</v>
      </c>
      <c r="F75" s="925">
        <v>43556</v>
      </c>
      <c r="G75" s="901">
        <v>52443666</v>
      </c>
      <c r="H75" s="901">
        <v>0</v>
      </c>
      <c r="I75" s="899">
        <v>0.58035738298211803</v>
      </c>
      <c r="J75" s="899" t="s">
        <v>2872</v>
      </c>
      <c r="K75" s="899" t="s">
        <v>2906</v>
      </c>
      <c r="L75" s="899" t="s">
        <v>2912</v>
      </c>
      <c r="M75" s="899">
        <v>1473002946</v>
      </c>
      <c r="N75" s="899" t="s">
        <v>2531</v>
      </c>
      <c r="O75" s="899" t="s">
        <v>2912</v>
      </c>
      <c r="P75" s="899">
        <v>240</v>
      </c>
      <c r="Q75" s="899" t="s">
        <v>2533</v>
      </c>
      <c r="R75" s="899">
        <v>65.819999999999993</v>
      </c>
      <c r="S75" s="899" t="s">
        <v>2534</v>
      </c>
      <c r="T75" s="899">
        <v>2</v>
      </c>
      <c r="U75" s="899" t="s">
        <v>2622</v>
      </c>
      <c r="V75" s="926">
        <v>52443666</v>
      </c>
      <c r="W75" s="899">
        <v>1473</v>
      </c>
      <c r="X75" s="926">
        <f t="shared" si="3"/>
        <v>84958738.920000002</v>
      </c>
      <c r="Y75" s="927">
        <f t="shared" si="2"/>
        <v>1290773.9124886054</v>
      </c>
    </row>
    <row r="76" spans="1:25">
      <c r="A76" s="899">
        <v>626</v>
      </c>
      <c r="B76" s="899">
        <v>1473</v>
      </c>
      <c r="C76" s="899" t="s">
        <v>1512</v>
      </c>
      <c r="D76" s="925">
        <v>41814</v>
      </c>
      <c r="E76" s="899" t="s">
        <v>66</v>
      </c>
      <c r="F76" s="925">
        <v>43556</v>
      </c>
      <c r="G76" s="901">
        <v>65205952</v>
      </c>
      <c r="H76" s="901">
        <v>0</v>
      </c>
      <c r="I76" s="899">
        <v>0.58035738298211803</v>
      </c>
      <c r="J76" s="899" t="s">
        <v>2872</v>
      </c>
      <c r="K76" s="899" t="s">
        <v>2906</v>
      </c>
      <c r="L76" s="899" t="s">
        <v>2907</v>
      </c>
      <c r="M76" s="899">
        <v>1473002944</v>
      </c>
      <c r="N76" s="899" t="s">
        <v>2531</v>
      </c>
      <c r="O76" s="899" t="s">
        <v>2907</v>
      </c>
      <c r="P76" s="899">
        <v>240</v>
      </c>
      <c r="Q76" s="899" t="s">
        <v>2533</v>
      </c>
      <c r="R76" s="899">
        <v>81.8</v>
      </c>
      <c r="S76" s="899" t="s">
        <v>2534</v>
      </c>
      <c r="T76" s="899">
        <v>2</v>
      </c>
      <c r="U76" s="899" t="s">
        <v>2622</v>
      </c>
      <c r="V76" s="926">
        <v>65205952</v>
      </c>
      <c r="W76" s="899">
        <v>1473</v>
      </c>
      <c r="X76" s="926">
        <f t="shared" si="3"/>
        <v>105633642.24000001</v>
      </c>
      <c r="Y76" s="927">
        <f t="shared" si="2"/>
        <v>1291364.8195599024</v>
      </c>
    </row>
    <row r="77" spans="1:25">
      <c r="A77" s="899">
        <v>628</v>
      </c>
      <c r="B77" s="899">
        <v>1473</v>
      </c>
      <c r="C77" s="899" t="s">
        <v>1512</v>
      </c>
      <c r="D77" s="925">
        <v>41814</v>
      </c>
      <c r="E77" s="899" t="s">
        <v>66</v>
      </c>
      <c r="F77" s="925">
        <v>43556</v>
      </c>
      <c r="G77" s="901">
        <v>50953997</v>
      </c>
      <c r="H77" s="901">
        <v>0</v>
      </c>
      <c r="I77" s="899">
        <v>0.58313613011749199</v>
      </c>
      <c r="J77" s="899" t="s">
        <v>2872</v>
      </c>
      <c r="K77" s="899" t="s">
        <v>2906</v>
      </c>
      <c r="L77" s="899" t="s">
        <v>2903</v>
      </c>
      <c r="M77" s="899">
        <v>1473002903</v>
      </c>
      <c r="N77" s="899" t="s">
        <v>2531</v>
      </c>
      <c r="O77" s="899" t="s">
        <v>2903</v>
      </c>
      <c r="P77" s="899">
        <v>240</v>
      </c>
      <c r="Q77" s="899" t="s">
        <v>2533</v>
      </c>
      <c r="R77" s="899">
        <v>63.42</v>
      </c>
      <c r="S77" s="899" t="s">
        <v>2534</v>
      </c>
      <c r="T77" s="899">
        <v>2</v>
      </c>
      <c r="U77" s="899" t="s">
        <v>2622</v>
      </c>
      <c r="V77" s="926">
        <v>50953997</v>
      </c>
      <c r="W77" s="899">
        <v>1473</v>
      </c>
      <c r="X77" s="926">
        <f t="shared" si="3"/>
        <v>82545475.140000001</v>
      </c>
      <c r="Y77" s="927">
        <f t="shared" si="2"/>
        <v>1301568.51371807</v>
      </c>
    </row>
    <row r="78" spans="1:25">
      <c r="A78" s="899">
        <v>630</v>
      </c>
      <c r="B78" s="899">
        <v>1473</v>
      </c>
      <c r="C78" s="899" t="s">
        <v>1512</v>
      </c>
      <c r="D78" s="925">
        <v>41941</v>
      </c>
      <c r="E78" s="899" t="s">
        <v>66</v>
      </c>
      <c r="F78" s="925">
        <v>43556</v>
      </c>
      <c r="G78" s="901">
        <v>82723619</v>
      </c>
      <c r="H78" s="901">
        <v>0</v>
      </c>
      <c r="I78" s="899">
        <v>0.51482862276462504</v>
      </c>
      <c r="J78" s="899" t="s">
        <v>2872</v>
      </c>
      <c r="K78" s="899" t="s">
        <v>2902</v>
      </c>
      <c r="L78" s="899" t="s">
        <v>2913</v>
      </c>
      <c r="M78" s="899">
        <v>14730021906</v>
      </c>
      <c r="N78" s="899" t="s">
        <v>2531</v>
      </c>
      <c r="O78" s="899" t="s">
        <v>2913</v>
      </c>
      <c r="P78" s="899">
        <v>240</v>
      </c>
      <c r="Q78" s="899" t="s">
        <v>2533</v>
      </c>
      <c r="R78" s="899">
        <v>81.5</v>
      </c>
      <c r="S78" s="899" t="s">
        <v>2538</v>
      </c>
      <c r="T78" s="899">
        <v>2</v>
      </c>
      <c r="U78" s="899" t="s">
        <v>2622</v>
      </c>
      <c r="V78" s="926">
        <v>82723619</v>
      </c>
      <c r="W78" s="899">
        <v>1473</v>
      </c>
      <c r="X78" s="926">
        <f t="shared" si="3"/>
        <v>82723619</v>
      </c>
      <c r="Y78" s="927">
        <f t="shared" si="2"/>
        <v>1015013.7300613497</v>
      </c>
    </row>
    <row r="79" spans="1:25">
      <c r="A79" s="899">
        <v>650</v>
      </c>
      <c r="B79" s="899">
        <v>1473</v>
      </c>
      <c r="C79" s="899" t="s">
        <v>1512</v>
      </c>
      <c r="D79" s="925">
        <v>41814</v>
      </c>
      <c r="E79" s="899" t="s">
        <v>66</v>
      </c>
      <c r="F79" s="925">
        <v>43556</v>
      </c>
      <c r="G79" s="901">
        <v>21603439</v>
      </c>
      <c r="H79" s="901">
        <v>0</v>
      </c>
      <c r="I79" s="899">
        <v>0.58313613011749199</v>
      </c>
      <c r="J79" s="899" t="s">
        <v>2872</v>
      </c>
      <c r="K79" s="899" t="s">
        <v>2906</v>
      </c>
      <c r="L79" s="899" t="s">
        <v>2908</v>
      </c>
      <c r="M79" s="899">
        <v>1473002901</v>
      </c>
      <c r="N79" s="899" t="s">
        <v>2531</v>
      </c>
      <c r="O79" s="899" t="s">
        <v>2908</v>
      </c>
      <c r="P79" s="899">
        <v>240</v>
      </c>
      <c r="Q79" s="899" t="s">
        <v>2533</v>
      </c>
      <c r="R79" s="899">
        <v>26.5</v>
      </c>
      <c r="S79" s="899" t="s">
        <v>2534</v>
      </c>
      <c r="T79" s="899">
        <v>2</v>
      </c>
      <c r="U79" s="899" t="s">
        <v>2622</v>
      </c>
      <c r="V79" s="926">
        <v>21603439</v>
      </c>
      <c r="W79" s="899">
        <v>1473</v>
      </c>
      <c r="X79" s="926">
        <f t="shared" si="3"/>
        <v>34997571.18</v>
      </c>
      <c r="Y79" s="927">
        <f t="shared" si="2"/>
        <v>1320663.0633962264</v>
      </c>
    </row>
    <row r="80" spans="1:25">
      <c r="A80" s="899">
        <v>654</v>
      </c>
      <c r="B80" s="899">
        <v>1473</v>
      </c>
      <c r="C80" s="899" t="s">
        <v>1512</v>
      </c>
      <c r="D80" s="925">
        <v>41941</v>
      </c>
      <c r="E80" s="899" t="s">
        <v>66</v>
      </c>
      <c r="F80" s="925">
        <v>43556</v>
      </c>
      <c r="G80" s="901">
        <v>52443666</v>
      </c>
      <c r="H80" s="901">
        <v>0</v>
      </c>
      <c r="I80" s="899">
        <v>0.58035738298211803</v>
      </c>
      <c r="J80" s="899" t="s">
        <v>2872</v>
      </c>
      <c r="K80" s="899" t="s">
        <v>2902</v>
      </c>
      <c r="L80" s="899" t="s">
        <v>2912</v>
      </c>
      <c r="M80" s="899">
        <v>14730022481</v>
      </c>
      <c r="N80" s="899" t="s">
        <v>2531</v>
      </c>
      <c r="O80" s="899" t="s">
        <v>2912</v>
      </c>
      <c r="P80" s="899">
        <v>240</v>
      </c>
      <c r="Q80" s="899" t="s">
        <v>2533</v>
      </c>
      <c r="R80" s="899">
        <v>65.819999999999993</v>
      </c>
      <c r="S80" s="899" t="s">
        <v>2534</v>
      </c>
      <c r="T80" s="899">
        <v>2</v>
      </c>
      <c r="U80" s="899" t="s">
        <v>2622</v>
      </c>
      <c r="V80" s="926">
        <v>52443666</v>
      </c>
      <c r="W80" s="899">
        <v>1473</v>
      </c>
      <c r="X80" s="926">
        <f t="shared" si="3"/>
        <v>84958738.920000002</v>
      </c>
      <c r="Y80" s="927">
        <f t="shared" si="2"/>
        <v>1290773.9124886054</v>
      </c>
    </row>
    <row r="81" spans="1:25">
      <c r="A81" s="899">
        <v>655</v>
      </c>
      <c r="B81" s="899">
        <v>1473</v>
      </c>
      <c r="C81" s="899" t="s">
        <v>1512</v>
      </c>
      <c r="D81" s="925">
        <v>41941</v>
      </c>
      <c r="E81" s="899" t="s">
        <v>66</v>
      </c>
      <c r="F81" s="925">
        <v>43556</v>
      </c>
      <c r="G81" s="901">
        <v>65205952</v>
      </c>
      <c r="H81" s="901">
        <v>0</v>
      </c>
      <c r="I81" s="899">
        <v>0.51023807993362302</v>
      </c>
      <c r="J81" s="899" t="s">
        <v>2872</v>
      </c>
      <c r="K81" s="899" t="s">
        <v>2902</v>
      </c>
      <c r="L81" s="899" t="s">
        <v>2914</v>
      </c>
      <c r="M81" s="899">
        <v>14730021847</v>
      </c>
      <c r="N81" s="899" t="s">
        <v>2531</v>
      </c>
      <c r="O81" s="899" t="s">
        <v>2915</v>
      </c>
      <c r="P81" s="899">
        <v>240</v>
      </c>
      <c r="Q81" s="899" t="s">
        <v>2533</v>
      </c>
      <c r="R81" s="899">
        <v>81.5</v>
      </c>
      <c r="S81" s="899" t="s">
        <v>2534</v>
      </c>
      <c r="T81" s="899">
        <v>2</v>
      </c>
      <c r="U81" s="899" t="s">
        <v>2622</v>
      </c>
      <c r="V81" s="926">
        <v>65205952</v>
      </c>
      <c r="W81" s="899">
        <v>1473</v>
      </c>
      <c r="X81" s="926">
        <f t="shared" si="3"/>
        <v>105633642.24000001</v>
      </c>
      <c r="Y81" s="927">
        <f t="shared" si="2"/>
        <v>1296118.3096932517</v>
      </c>
    </row>
    <row r="82" spans="1:25">
      <c r="A82" s="899">
        <v>658</v>
      </c>
      <c r="B82" s="899">
        <v>1473</v>
      </c>
      <c r="C82" s="899" t="s">
        <v>1512</v>
      </c>
      <c r="D82" s="925">
        <v>41941</v>
      </c>
      <c r="E82" s="899" t="s">
        <v>66</v>
      </c>
      <c r="F82" s="925">
        <v>43556</v>
      </c>
      <c r="G82" s="901">
        <v>73961857</v>
      </c>
      <c r="H82" s="901">
        <v>0</v>
      </c>
      <c r="I82" s="899">
        <v>0.60218355148778102</v>
      </c>
      <c r="J82" s="899" t="s">
        <v>2872</v>
      </c>
      <c r="K82" s="899" t="s">
        <v>2902</v>
      </c>
      <c r="L82" s="899" t="s">
        <v>2916</v>
      </c>
      <c r="M82" s="899">
        <v>14730022395</v>
      </c>
      <c r="N82" s="899" t="s">
        <v>2531</v>
      </c>
      <c r="O82" s="899" t="s">
        <v>2916</v>
      </c>
      <c r="P82" s="899">
        <v>240</v>
      </c>
      <c r="Q82" s="899" t="s">
        <v>2533</v>
      </c>
      <c r="R82" s="899">
        <v>65.819999999999993</v>
      </c>
      <c r="S82" s="899" t="s">
        <v>2545</v>
      </c>
      <c r="T82" s="899">
        <v>2</v>
      </c>
      <c r="U82" s="899" t="s">
        <v>2622</v>
      </c>
      <c r="V82" s="926">
        <v>73961857</v>
      </c>
      <c r="W82" s="899">
        <v>1473</v>
      </c>
      <c r="X82" s="926">
        <f t="shared" si="3"/>
        <v>87274991.25999999</v>
      </c>
      <c r="Y82" s="927">
        <f t="shared" si="2"/>
        <v>1325964.6195685202</v>
      </c>
    </row>
    <row r="83" spans="1:25">
      <c r="A83" s="899">
        <v>660</v>
      </c>
      <c r="B83" s="899">
        <v>1473</v>
      </c>
      <c r="C83" s="899" t="s">
        <v>1512</v>
      </c>
      <c r="D83" s="925">
        <v>41941</v>
      </c>
      <c r="E83" s="899" t="s">
        <v>66</v>
      </c>
      <c r="F83" s="925">
        <v>43556</v>
      </c>
      <c r="G83" s="901">
        <v>82723619</v>
      </c>
      <c r="H83" s="901">
        <v>0</v>
      </c>
      <c r="I83" s="899">
        <v>0.51140625464929301</v>
      </c>
      <c r="J83" s="899" t="s">
        <v>2872</v>
      </c>
      <c r="K83" s="899" t="s">
        <v>2902</v>
      </c>
      <c r="L83" s="899" t="s">
        <v>2917</v>
      </c>
      <c r="M83" s="899">
        <v>14730021684</v>
      </c>
      <c r="N83" s="899" t="s">
        <v>2531</v>
      </c>
      <c r="O83" s="899" t="s">
        <v>2917</v>
      </c>
      <c r="P83" s="899">
        <v>240</v>
      </c>
      <c r="Q83" s="899" t="s">
        <v>2533</v>
      </c>
      <c r="R83" s="899">
        <v>81.5</v>
      </c>
      <c r="S83" s="899" t="s">
        <v>2538</v>
      </c>
      <c r="T83" s="899">
        <v>2</v>
      </c>
      <c r="U83" s="899" t="s">
        <v>2622</v>
      </c>
      <c r="V83" s="926">
        <v>82723619</v>
      </c>
      <c r="W83" s="899">
        <v>1473</v>
      </c>
      <c r="X83" s="926">
        <f t="shared" si="3"/>
        <v>82723619</v>
      </c>
      <c r="Y83" s="927">
        <f t="shared" si="2"/>
        <v>1015013.7300613497</v>
      </c>
    </row>
    <row r="84" spans="1:25">
      <c r="A84" s="899">
        <v>663</v>
      </c>
      <c r="B84" s="899">
        <v>1473</v>
      </c>
      <c r="C84" s="899" t="s">
        <v>1512</v>
      </c>
      <c r="D84" s="925">
        <v>41941</v>
      </c>
      <c r="E84" s="899" t="s">
        <v>66</v>
      </c>
      <c r="F84" s="925">
        <v>43556</v>
      </c>
      <c r="G84" s="901">
        <v>82723619</v>
      </c>
      <c r="H84" s="901">
        <v>0</v>
      </c>
      <c r="I84" s="899">
        <v>0.52337455264722099</v>
      </c>
      <c r="J84" s="899" t="s">
        <v>2872</v>
      </c>
      <c r="K84" s="899" t="s">
        <v>2902</v>
      </c>
      <c r="L84" s="899" t="s">
        <v>2918</v>
      </c>
      <c r="M84" s="899">
        <v>14730022244</v>
      </c>
      <c r="N84" s="899" t="s">
        <v>2531</v>
      </c>
      <c r="O84" s="899" t="s">
        <v>2918</v>
      </c>
      <c r="P84" s="899">
        <v>240</v>
      </c>
      <c r="Q84" s="899" t="s">
        <v>2533</v>
      </c>
      <c r="R84" s="899">
        <v>81.5</v>
      </c>
      <c r="S84" s="899" t="s">
        <v>2538</v>
      </c>
      <c r="T84" s="899">
        <v>2</v>
      </c>
      <c r="U84" s="899" t="s">
        <v>2622</v>
      </c>
      <c r="V84" s="926">
        <v>82723619</v>
      </c>
      <c r="W84" s="899">
        <v>1473</v>
      </c>
      <c r="X84" s="926">
        <f t="shared" si="3"/>
        <v>82723619</v>
      </c>
      <c r="Y84" s="927">
        <f t="shared" si="2"/>
        <v>1015013.7300613497</v>
      </c>
    </row>
    <row r="85" spans="1:25">
      <c r="A85" s="899">
        <v>678</v>
      </c>
      <c r="B85" s="899">
        <v>1473</v>
      </c>
      <c r="C85" s="899" t="s">
        <v>1512</v>
      </c>
      <c r="D85" s="925">
        <v>41814</v>
      </c>
      <c r="E85" s="899" t="s">
        <v>66</v>
      </c>
      <c r="F85" s="925">
        <v>43556</v>
      </c>
      <c r="G85" s="901">
        <v>71073459</v>
      </c>
      <c r="H85" s="901">
        <v>0</v>
      </c>
      <c r="I85" s="899">
        <v>0.59777728294281995</v>
      </c>
      <c r="J85" s="899" t="s">
        <v>2872</v>
      </c>
      <c r="K85" s="899" t="s">
        <v>2906</v>
      </c>
      <c r="L85" s="899" t="s">
        <v>2919</v>
      </c>
      <c r="M85" s="899">
        <v>1473002817</v>
      </c>
      <c r="N85" s="899" t="s">
        <v>2531</v>
      </c>
      <c r="O85" s="899" t="s">
        <v>2919</v>
      </c>
      <c r="P85" s="899">
        <v>240</v>
      </c>
      <c r="Q85" s="899" t="s">
        <v>2533</v>
      </c>
      <c r="R85" s="899">
        <v>63.42</v>
      </c>
      <c r="S85" s="899" t="s">
        <v>2545</v>
      </c>
      <c r="T85" s="899">
        <v>2</v>
      </c>
      <c r="U85" s="899" t="s">
        <v>2622</v>
      </c>
      <c r="V85" s="926">
        <v>71073459</v>
      </c>
      <c r="W85" s="899">
        <v>1473</v>
      </c>
      <c r="X85" s="926">
        <f t="shared" si="3"/>
        <v>83866681.61999999</v>
      </c>
      <c r="Y85" s="927">
        <f t="shared" si="2"/>
        <v>1322401.1608325448</v>
      </c>
    </row>
    <row r="86" spans="1:25">
      <c r="A86" s="899">
        <v>687</v>
      </c>
      <c r="B86" s="899">
        <v>1473</v>
      </c>
      <c r="C86" s="899" t="s">
        <v>1512</v>
      </c>
      <c r="D86" s="925">
        <v>41941</v>
      </c>
      <c r="E86" s="899" t="s">
        <v>66</v>
      </c>
      <c r="F86" s="925">
        <v>43556</v>
      </c>
      <c r="G86" s="901">
        <v>65205952</v>
      </c>
      <c r="H86" s="901">
        <v>0</v>
      </c>
      <c r="I86" s="899">
        <v>0.50208432237071199</v>
      </c>
      <c r="J86" s="899" t="s">
        <v>2872</v>
      </c>
      <c r="K86" s="899" t="s">
        <v>2902</v>
      </c>
      <c r="L86" s="899" t="s">
        <v>2920</v>
      </c>
      <c r="M86" s="899">
        <v>14730021738</v>
      </c>
      <c r="N86" s="899" t="s">
        <v>2531</v>
      </c>
      <c r="O86" s="899" t="s">
        <v>2921</v>
      </c>
      <c r="P86" s="899">
        <v>240</v>
      </c>
      <c r="Q86" s="899" t="s">
        <v>2533</v>
      </c>
      <c r="R86" s="899">
        <v>81.5</v>
      </c>
      <c r="S86" s="899" t="s">
        <v>2534</v>
      </c>
      <c r="T86" s="899">
        <v>2</v>
      </c>
      <c r="U86" s="899" t="s">
        <v>2622</v>
      </c>
      <c r="V86" s="926">
        <v>65205952</v>
      </c>
      <c r="W86" s="899">
        <v>1473</v>
      </c>
      <c r="X86" s="926">
        <f t="shared" si="3"/>
        <v>105633642.24000001</v>
      </c>
      <c r="Y86" s="927">
        <f t="shared" si="2"/>
        <v>1296118.3096932517</v>
      </c>
    </row>
    <row r="87" spans="1:25">
      <c r="A87" s="899">
        <v>688</v>
      </c>
      <c r="B87" s="899">
        <v>1473</v>
      </c>
      <c r="C87" s="899" t="s">
        <v>1512</v>
      </c>
      <c r="D87" s="925">
        <v>41941</v>
      </c>
      <c r="E87" s="899" t="s">
        <v>66</v>
      </c>
      <c r="F87" s="925">
        <v>43556</v>
      </c>
      <c r="G87" s="901">
        <v>65205952</v>
      </c>
      <c r="H87" s="901">
        <v>0</v>
      </c>
      <c r="I87" s="899">
        <v>0.51524824481655396</v>
      </c>
      <c r="J87" s="899" t="s">
        <v>2872</v>
      </c>
      <c r="K87" s="899" t="s">
        <v>2902</v>
      </c>
      <c r="L87" s="899" t="s">
        <v>2922</v>
      </c>
      <c r="M87" s="899">
        <v>14730022297</v>
      </c>
      <c r="N87" s="899" t="s">
        <v>2531</v>
      </c>
      <c r="O87" s="899" t="s">
        <v>2922</v>
      </c>
      <c r="P87" s="899">
        <v>240</v>
      </c>
      <c r="Q87" s="899" t="s">
        <v>2533</v>
      </c>
      <c r="R87" s="899">
        <v>81.5</v>
      </c>
      <c r="S87" s="899" t="s">
        <v>2534</v>
      </c>
      <c r="T87" s="899">
        <v>2</v>
      </c>
      <c r="U87" s="899" t="s">
        <v>2622</v>
      </c>
      <c r="V87" s="926">
        <v>65205952</v>
      </c>
      <c r="W87" s="899">
        <v>1473</v>
      </c>
      <c r="X87" s="926">
        <f t="shared" si="3"/>
        <v>105633642.24000001</v>
      </c>
      <c r="Y87" s="927">
        <f t="shared" si="2"/>
        <v>1296118.3096932517</v>
      </c>
    </row>
    <row r="88" spans="1:25">
      <c r="A88" s="899">
        <v>693</v>
      </c>
      <c r="B88" s="899">
        <v>1473</v>
      </c>
      <c r="C88" s="899" t="s">
        <v>1512</v>
      </c>
      <c r="D88" s="925">
        <v>41941</v>
      </c>
      <c r="E88" s="899" t="s">
        <v>66</v>
      </c>
      <c r="F88" s="925">
        <v>43556</v>
      </c>
      <c r="G88" s="901">
        <v>82723619</v>
      </c>
      <c r="H88" s="901">
        <v>0</v>
      </c>
      <c r="I88" s="899">
        <v>0.52178292939774495</v>
      </c>
      <c r="J88" s="899" t="s">
        <v>2872</v>
      </c>
      <c r="K88" s="899" t="s">
        <v>2902</v>
      </c>
      <c r="L88" s="899" t="s">
        <v>2923</v>
      </c>
      <c r="M88" s="899">
        <v>14730022024</v>
      </c>
      <c r="N88" s="899" t="s">
        <v>2531</v>
      </c>
      <c r="O88" s="899" t="s">
        <v>2923</v>
      </c>
      <c r="P88" s="899">
        <v>240</v>
      </c>
      <c r="Q88" s="899" t="s">
        <v>2533</v>
      </c>
      <c r="R88" s="899">
        <v>81.5</v>
      </c>
      <c r="S88" s="899" t="s">
        <v>2538</v>
      </c>
      <c r="T88" s="899">
        <v>2</v>
      </c>
      <c r="U88" s="899" t="s">
        <v>2622</v>
      </c>
      <c r="V88" s="926">
        <v>82723619</v>
      </c>
      <c r="W88" s="899">
        <v>1473</v>
      </c>
      <c r="X88" s="926">
        <f t="shared" si="3"/>
        <v>82723619</v>
      </c>
      <c r="Y88" s="927">
        <f t="shared" si="2"/>
        <v>1015013.7300613497</v>
      </c>
    </row>
    <row r="89" spans="1:25">
      <c r="A89" s="899">
        <v>712</v>
      </c>
      <c r="B89" s="899">
        <v>1473</v>
      </c>
      <c r="C89" s="899" t="s">
        <v>1512</v>
      </c>
      <c r="D89" s="925">
        <v>41941</v>
      </c>
      <c r="E89" s="899" t="s">
        <v>66</v>
      </c>
      <c r="F89" s="925">
        <v>43556</v>
      </c>
      <c r="G89" s="901">
        <v>65205952</v>
      </c>
      <c r="H89" s="901">
        <v>0</v>
      </c>
      <c r="I89" s="899">
        <v>0.50601648624346995</v>
      </c>
      <c r="J89" s="899" t="s">
        <v>2872</v>
      </c>
      <c r="K89" s="899" t="s">
        <v>2902</v>
      </c>
      <c r="L89" s="899" t="s">
        <v>2924</v>
      </c>
      <c r="M89" s="899">
        <v>14730021965</v>
      </c>
      <c r="N89" s="899" t="s">
        <v>2531</v>
      </c>
      <c r="O89" s="899" t="s">
        <v>2924</v>
      </c>
      <c r="P89" s="899">
        <v>240</v>
      </c>
      <c r="Q89" s="899" t="s">
        <v>2533</v>
      </c>
      <c r="R89" s="899">
        <v>81.5</v>
      </c>
      <c r="S89" s="899" t="s">
        <v>2534</v>
      </c>
      <c r="T89" s="899">
        <v>2</v>
      </c>
      <c r="U89" s="899" t="s">
        <v>2622</v>
      </c>
      <c r="V89" s="926">
        <v>65205952</v>
      </c>
      <c r="W89" s="899">
        <v>1473</v>
      </c>
      <c r="X89" s="926">
        <f t="shared" si="3"/>
        <v>105633642.24000001</v>
      </c>
      <c r="Y89" s="927">
        <f t="shared" si="2"/>
        <v>1296118.3096932517</v>
      </c>
    </row>
    <row r="90" spans="1:25">
      <c r="A90" s="899">
        <v>720</v>
      </c>
      <c r="B90" s="899">
        <v>1473</v>
      </c>
      <c r="C90" s="899" t="s">
        <v>1512</v>
      </c>
      <c r="D90" s="925">
        <v>41941</v>
      </c>
      <c r="E90" s="899" t="s">
        <v>66</v>
      </c>
      <c r="F90" s="925">
        <v>43556</v>
      </c>
      <c r="G90" s="901">
        <v>71073459</v>
      </c>
      <c r="H90" s="901">
        <v>0</v>
      </c>
      <c r="I90" s="899">
        <v>0.59777728294281995</v>
      </c>
      <c r="J90" s="899" t="s">
        <v>2872</v>
      </c>
      <c r="K90" s="899" t="s">
        <v>2902</v>
      </c>
      <c r="L90" s="899" t="s">
        <v>2919</v>
      </c>
      <c r="M90" s="899">
        <v>14730022352</v>
      </c>
      <c r="N90" s="899" t="s">
        <v>2531</v>
      </c>
      <c r="O90" s="899" t="s">
        <v>2919</v>
      </c>
      <c r="P90" s="899">
        <v>240</v>
      </c>
      <c r="Q90" s="899" t="s">
        <v>2533</v>
      </c>
      <c r="R90" s="899">
        <v>63.42</v>
      </c>
      <c r="S90" s="899" t="s">
        <v>2545</v>
      </c>
      <c r="T90" s="899">
        <v>2</v>
      </c>
      <c r="U90" s="899" t="s">
        <v>2622</v>
      </c>
      <c r="V90" s="926">
        <v>71073459</v>
      </c>
      <c r="W90" s="899">
        <v>1473</v>
      </c>
      <c r="X90" s="926">
        <f t="shared" si="3"/>
        <v>83866681.61999999</v>
      </c>
      <c r="Y90" s="927">
        <f t="shared" si="2"/>
        <v>1322401.1608325448</v>
      </c>
    </row>
    <row r="91" spans="1:25">
      <c r="A91" s="899">
        <v>728</v>
      </c>
      <c r="B91" s="899">
        <v>1473</v>
      </c>
      <c r="C91" s="899" t="s">
        <v>1512</v>
      </c>
      <c r="D91" s="925">
        <v>41941</v>
      </c>
      <c r="E91" s="899" t="s">
        <v>66</v>
      </c>
      <c r="F91" s="925">
        <v>43556</v>
      </c>
      <c r="G91" s="901">
        <v>82723619</v>
      </c>
      <c r="H91" s="901">
        <v>0</v>
      </c>
      <c r="I91" s="899">
        <v>0.51642154456060896</v>
      </c>
      <c r="J91" s="899" t="s">
        <v>2872</v>
      </c>
      <c r="K91" s="899" t="s">
        <v>2902</v>
      </c>
      <c r="L91" s="899" t="s">
        <v>2925</v>
      </c>
      <c r="M91" s="899">
        <v>14730022140</v>
      </c>
      <c r="N91" s="899" t="s">
        <v>2531</v>
      </c>
      <c r="O91" s="899" t="s">
        <v>2925</v>
      </c>
      <c r="P91" s="899">
        <v>240</v>
      </c>
      <c r="Q91" s="899" t="s">
        <v>2533</v>
      </c>
      <c r="R91" s="899">
        <v>81.5</v>
      </c>
      <c r="S91" s="899" t="s">
        <v>2538</v>
      </c>
      <c r="T91" s="899">
        <v>2</v>
      </c>
      <c r="U91" s="899" t="s">
        <v>2622</v>
      </c>
      <c r="V91" s="926">
        <v>82723619</v>
      </c>
      <c r="W91" s="899">
        <v>1473</v>
      </c>
      <c r="X91" s="926">
        <f t="shared" si="3"/>
        <v>82723619</v>
      </c>
      <c r="Y91" s="927">
        <f t="shared" si="2"/>
        <v>1015013.7300613497</v>
      </c>
    </row>
    <row r="92" spans="1:25">
      <c r="A92" s="899">
        <v>730</v>
      </c>
      <c r="B92" s="899">
        <v>1473</v>
      </c>
      <c r="C92" s="899" t="s">
        <v>1512</v>
      </c>
      <c r="D92" s="925">
        <v>41941</v>
      </c>
      <c r="E92" s="899" t="s">
        <v>66</v>
      </c>
      <c r="F92" s="925">
        <v>43556</v>
      </c>
      <c r="G92" s="901">
        <v>65205952</v>
      </c>
      <c r="H92" s="901">
        <v>0</v>
      </c>
      <c r="I92" s="899">
        <v>0.51367919968462294</v>
      </c>
      <c r="J92" s="899" t="s">
        <v>2872</v>
      </c>
      <c r="K92" s="899" t="s">
        <v>2902</v>
      </c>
      <c r="L92" s="899" t="s">
        <v>2926</v>
      </c>
      <c r="M92" s="899">
        <v>14730022084</v>
      </c>
      <c r="N92" s="899" t="s">
        <v>2531</v>
      </c>
      <c r="O92" s="899" t="s">
        <v>2926</v>
      </c>
      <c r="P92" s="899">
        <v>240</v>
      </c>
      <c r="Q92" s="899" t="s">
        <v>2533</v>
      </c>
      <c r="R92" s="899">
        <v>81.5</v>
      </c>
      <c r="S92" s="899" t="s">
        <v>2534</v>
      </c>
      <c r="T92" s="899">
        <v>2</v>
      </c>
      <c r="U92" s="899" t="s">
        <v>2622</v>
      </c>
      <c r="V92" s="926">
        <v>65205952</v>
      </c>
      <c r="W92" s="899">
        <v>1473</v>
      </c>
      <c r="X92" s="926">
        <f t="shared" si="3"/>
        <v>105633642.24000001</v>
      </c>
      <c r="Y92" s="927">
        <f t="shared" si="2"/>
        <v>1296118.3096932517</v>
      </c>
    </row>
    <row r="93" spans="1:25">
      <c r="A93" s="899">
        <v>737</v>
      </c>
      <c r="B93" s="899">
        <v>1473</v>
      </c>
      <c r="C93" s="899" t="s">
        <v>1512</v>
      </c>
      <c r="D93" s="925">
        <v>41814</v>
      </c>
      <c r="E93" s="899" t="s">
        <v>66</v>
      </c>
      <c r="F93" s="925">
        <v>43556</v>
      </c>
      <c r="G93" s="901">
        <v>88669520</v>
      </c>
      <c r="H93" s="901">
        <v>0</v>
      </c>
      <c r="I93" s="899">
        <v>0.59777728294281995</v>
      </c>
      <c r="J93" s="899" t="s">
        <v>2872</v>
      </c>
      <c r="K93" s="899" t="s">
        <v>2906</v>
      </c>
      <c r="L93" s="899" t="s">
        <v>2910</v>
      </c>
      <c r="M93" s="899">
        <v>1473002815</v>
      </c>
      <c r="N93" s="899" t="s">
        <v>2531</v>
      </c>
      <c r="O93" s="899" t="s">
        <v>2910</v>
      </c>
      <c r="P93" s="899">
        <v>240</v>
      </c>
      <c r="Q93" s="899" t="s">
        <v>2533</v>
      </c>
      <c r="R93" s="899">
        <v>88</v>
      </c>
      <c r="S93" s="899" t="s">
        <v>2545</v>
      </c>
      <c r="T93" s="899">
        <v>2</v>
      </c>
      <c r="U93" s="899" t="s">
        <v>2622</v>
      </c>
      <c r="V93" s="926">
        <v>88669520</v>
      </c>
      <c r="W93" s="899">
        <v>1473</v>
      </c>
      <c r="X93" s="926">
        <f t="shared" si="3"/>
        <v>104630033.59999999</v>
      </c>
      <c r="Y93" s="927">
        <f t="shared" si="2"/>
        <v>1188977.6545454545</v>
      </c>
    </row>
    <row r="94" spans="1:25">
      <c r="A94" s="899">
        <v>740</v>
      </c>
      <c r="B94" s="899">
        <v>1473</v>
      </c>
      <c r="C94" s="899" t="s">
        <v>1512</v>
      </c>
      <c r="D94" s="925">
        <v>41814</v>
      </c>
      <c r="E94" s="899" t="s">
        <v>66</v>
      </c>
      <c r="F94" s="925">
        <v>43556</v>
      </c>
      <c r="G94" s="901">
        <v>73961857</v>
      </c>
      <c r="H94" s="901">
        <v>0</v>
      </c>
      <c r="I94" s="899">
        <v>0.60218355148778102</v>
      </c>
      <c r="J94" s="899" t="s">
        <v>2872</v>
      </c>
      <c r="K94" s="899" t="s">
        <v>2906</v>
      </c>
      <c r="L94" s="899" t="s">
        <v>2916</v>
      </c>
      <c r="M94" s="899">
        <v>1473002860</v>
      </c>
      <c r="N94" s="899" t="s">
        <v>2531</v>
      </c>
      <c r="O94" s="899" t="s">
        <v>2916</v>
      </c>
      <c r="P94" s="899">
        <v>240</v>
      </c>
      <c r="Q94" s="899" t="s">
        <v>2533</v>
      </c>
      <c r="R94" s="899">
        <v>65.819999999999993</v>
      </c>
      <c r="S94" s="899" t="s">
        <v>2545</v>
      </c>
      <c r="T94" s="899">
        <v>2</v>
      </c>
      <c r="U94" s="899" t="s">
        <v>2622</v>
      </c>
      <c r="V94" s="926">
        <v>73961857</v>
      </c>
      <c r="W94" s="899">
        <v>1473</v>
      </c>
      <c r="X94" s="926">
        <f t="shared" si="3"/>
        <v>87274991.25999999</v>
      </c>
      <c r="Y94" s="927">
        <f t="shared" si="2"/>
        <v>1325964.6195685202</v>
      </c>
    </row>
    <row r="95" spans="1:25">
      <c r="D95" s="925"/>
      <c r="F95" s="925"/>
      <c r="G95" s="901"/>
      <c r="H95" s="901"/>
      <c r="K95" s="899"/>
      <c r="L95" s="899"/>
      <c r="R95" s="928">
        <f>SUM(R49:R94)</f>
        <v>3055.7700000000004</v>
      </c>
      <c r="V95" s="901"/>
      <c r="W95" s="898" t="s">
        <v>2883</v>
      </c>
      <c r="X95" s="929">
        <f>SUM(X49:X94)/SUM($R$49:$R$94)</f>
        <v>1341544.1285306152</v>
      </c>
      <c r="Y95" s="927"/>
    </row>
    <row r="96" spans="1:25">
      <c r="D96" s="925"/>
      <c r="F96" s="925"/>
      <c r="G96" s="901"/>
      <c r="H96" s="901"/>
      <c r="K96" s="899"/>
      <c r="L96" s="899"/>
      <c r="V96" s="901"/>
      <c r="X96" s="901"/>
      <c r="Y96" s="927"/>
    </row>
    <row r="97" spans="1:34">
      <c r="D97" s="925"/>
      <c r="F97" s="925"/>
      <c r="G97" s="901"/>
      <c r="H97" s="901"/>
      <c r="K97" s="899"/>
      <c r="L97" s="899"/>
      <c r="V97" s="901"/>
      <c r="X97" s="901"/>
      <c r="Y97" s="927"/>
    </row>
    <row r="98" spans="1:34">
      <c r="A98" s="898" t="s">
        <v>2927</v>
      </c>
      <c r="D98" s="925"/>
      <c r="F98" s="925"/>
      <c r="G98" s="901"/>
      <c r="H98" s="901"/>
      <c r="K98" s="899"/>
      <c r="L98" s="899"/>
      <c r="V98" s="901"/>
      <c r="X98" s="901"/>
      <c r="Y98" s="923" t="s">
        <v>2836</v>
      </c>
    </row>
    <row r="99" spans="1:34" s="898" customFormat="1" ht="13.8">
      <c r="A99" s="898" t="s">
        <v>2837</v>
      </c>
      <c r="B99" s="898" t="s">
        <v>2838</v>
      </c>
      <c r="C99" s="898" t="s">
        <v>120</v>
      </c>
      <c r="D99" s="931" t="s">
        <v>2519</v>
      </c>
      <c r="E99" s="898" t="s">
        <v>30</v>
      </c>
      <c r="F99" s="931" t="s">
        <v>2839</v>
      </c>
      <c r="G99" s="924" t="s">
        <v>2840</v>
      </c>
      <c r="H99" s="924" t="s">
        <v>2841</v>
      </c>
      <c r="I99" s="898" t="s">
        <v>2842</v>
      </c>
      <c r="J99" s="898" t="s">
        <v>2843</v>
      </c>
      <c r="K99" s="898" t="s">
        <v>2844</v>
      </c>
      <c r="L99" s="898" t="s">
        <v>121</v>
      </c>
      <c r="M99" s="898" t="s">
        <v>2845</v>
      </c>
      <c r="N99" s="898" t="s">
        <v>2520</v>
      </c>
      <c r="O99" s="898" t="s">
        <v>2521</v>
      </c>
      <c r="P99" s="898" t="s">
        <v>122</v>
      </c>
      <c r="Q99" s="898" t="s">
        <v>2522</v>
      </c>
      <c r="R99" s="898" t="s">
        <v>123</v>
      </c>
      <c r="S99" s="898" t="s">
        <v>2523</v>
      </c>
      <c r="T99" s="898" t="s">
        <v>2524</v>
      </c>
      <c r="U99" s="898" t="s">
        <v>2525</v>
      </c>
      <c r="V99" s="924" t="s">
        <v>44</v>
      </c>
      <c r="W99" s="898" t="s">
        <v>2846</v>
      </c>
      <c r="X99" s="924" t="s">
        <v>2847</v>
      </c>
      <c r="Y99" s="924" t="s">
        <v>2847</v>
      </c>
      <c r="AH99" s="899"/>
    </row>
    <row r="100" spans="1:34">
      <c r="A100" s="899">
        <v>37</v>
      </c>
      <c r="B100" s="899">
        <v>538</v>
      </c>
      <c r="C100" s="899" t="s">
        <v>1191</v>
      </c>
      <c r="D100" s="925">
        <v>39600</v>
      </c>
      <c r="E100" s="899" t="s">
        <v>140</v>
      </c>
      <c r="F100" s="925"/>
      <c r="G100" s="901">
        <v>0</v>
      </c>
      <c r="H100" s="901">
        <v>3462000</v>
      </c>
      <c r="I100" s="899">
        <v>0.55745477230193397</v>
      </c>
      <c r="K100" s="899" t="s">
        <v>2673</v>
      </c>
      <c r="L100" s="899" t="s">
        <v>2674</v>
      </c>
      <c r="M100" s="899">
        <v>538002560</v>
      </c>
      <c r="N100" s="899" t="s">
        <v>2531</v>
      </c>
      <c r="O100" s="899" t="s">
        <v>2675</v>
      </c>
      <c r="P100" s="899">
        <v>138</v>
      </c>
      <c r="Q100" s="899" t="s">
        <v>2533</v>
      </c>
      <c r="R100" s="899">
        <v>12.2</v>
      </c>
      <c r="S100" s="899" t="s">
        <v>2534</v>
      </c>
      <c r="T100" s="899">
        <v>1</v>
      </c>
      <c r="U100" s="899" t="s">
        <v>2638</v>
      </c>
      <c r="V100" s="926">
        <v>3462000</v>
      </c>
      <c r="W100" s="899">
        <v>536</v>
      </c>
      <c r="X100" s="926">
        <f>VLOOKUP(S100,$B$9:$C$11,2,FALSE)*V100</f>
        <v>3462000</v>
      </c>
      <c r="Y100" s="927">
        <f t="shared" ref="Y100:Y131" si="4">X100/R100</f>
        <v>283770.49180327868</v>
      </c>
    </row>
    <row r="101" spans="1:34">
      <c r="A101" s="899">
        <v>90</v>
      </c>
      <c r="B101" s="899">
        <v>648</v>
      </c>
      <c r="C101" s="899" t="s">
        <v>1191</v>
      </c>
      <c r="D101" s="925">
        <v>39326</v>
      </c>
      <c r="E101" s="899" t="s">
        <v>140</v>
      </c>
      <c r="F101" s="925">
        <v>39706</v>
      </c>
      <c r="G101" s="901">
        <v>0</v>
      </c>
      <c r="H101" s="901">
        <v>753000</v>
      </c>
      <c r="I101" s="899">
        <v>0.57730100063102896</v>
      </c>
      <c r="J101" s="899" t="s">
        <v>1214</v>
      </c>
      <c r="K101" s="899" t="s">
        <v>2691</v>
      </c>
      <c r="L101" s="899" t="s">
        <v>2692</v>
      </c>
      <c r="M101" s="899">
        <v>648002021</v>
      </c>
      <c r="N101" s="899" t="s">
        <v>2531</v>
      </c>
      <c r="O101" s="899" t="s">
        <v>2693</v>
      </c>
      <c r="P101" s="899">
        <v>138</v>
      </c>
      <c r="Q101" s="899" t="s">
        <v>2533</v>
      </c>
      <c r="R101" s="899">
        <v>0.2</v>
      </c>
      <c r="S101" s="899" t="s">
        <v>2538</v>
      </c>
      <c r="T101" s="899">
        <v>1</v>
      </c>
      <c r="U101" s="899" t="s">
        <v>2638</v>
      </c>
      <c r="V101" s="926">
        <v>753000</v>
      </c>
      <c r="W101" s="899">
        <v>648</v>
      </c>
      <c r="X101" s="926">
        <f t="shared" ref="X101:X164" si="5">VLOOKUP(S101,$B$9:$C$11,2,FALSE)*V101</f>
        <v>662640</v>
      </c>
      <c r="Y101" s="927">
        <f t="shared" si="4"/>
        <v>3313200</v>
      </c>
    </row>
    <row r="102" spans="1:34">
      <c r="A102" s="899">
        <v>95</v>
      </c>
      <c r="B102" s="899">
        <v>671</v>
      </c>
      <c r="C102" s="899" t="s">
        <v>1512</v>
      </c>
      <c r="D102" s="925">
        <v>39839</v>
      </c>
      <c r="E102" s="899" t="s">
        <v>140</v>
      </c>
      <c r="F102" s="925"/>
      <c r="G102" s="901">
        <v>4148882</v>
      </c>
      <c r="H102" s="901">
        <v>0</v>
      </c>
      <c r="I102" s="899">
        <v>0.57474239442562602</v>
      </c>
      <c r="K102" s="899" t="s">
        <v>2928</v>
      </c>
      <c r="L102" s="899" t="s">
        <v>2929</v>
      </c>
      <c r="M102" s="899">
        <v>6710020131</v>
      </c>
      <c r="N102" s="899" t="s">
        <v>2531</v>
      </c>
      <c r="O102" s="899" t="s">
        <v>2929</v>
      </c>
      <c r="P102" s="899">
        <v>138</v>
      </c>
      <c r="Q102" s="899" t="s">
        <v>2533</v>
      </c>
      <c r="R102" s="899">
        <v>19</v>
      </c>
      <c r="S102" s="899" t="s">
        <v>2534</v>
      </c>
      <c r="T102" s="899">
        <v>1</v>
      </c>
      <c r="U102" s="899" t="s">
        <v>2638</v>
      </c>
      <c r="V102" s="926">
        <v>4148882</v>
      </c>
      <c r="W102" s="899">
        <v>671</v>
      </c>
      <c r="X102" s="926">
        <f t="shared" si="5"/>
        <v>4148882</v>
      </c>
      <c r="Y102" s="927">
        <f t="shared" si="4"/>
        <v>218362.21052631579</v>
      </c>
    </row>
    <row r="103" spans="1:34">
      <c r="A103" s="899">
        <v>96</v>
      </c>
      <c r="B103" s="899">
        <v>671</v>
      </c>
      <c r="C103" s="899" t="s">
        <v>1512</v>
      </c>
      <c r="D103" s="925">
        <v>39839</v>
      </c>
      <c r="E103" s="899" t="s">
        <v>140</v>
      </c>
      <c r="F103" s="925"/>
      <c r="G103" s="901">
        <v>5851433</v>
      </c>
      <c r="H103" s="901">
        <v>0</v>
      </c>
      <c r="I103" s="899">
        <v>0.68545253701311704</v>
      </c>
      <c r="K103" s="899" t="s">
        <v>2928</v>
      </c>
      <c r="L103" s="899" t="s">
        <v>2930</v>
      </c>
      <c r="M103" s="899">
        <v>6710020163</v>
      </c>
      <c r="N103" s="899" t="s">
        <v>2531</v>
      </c>
      <c r="O103" s="899" t="s">
        <v>2930</v>
      </c>
      <c r="P103" s="899">
        <v>138</v>
      </c>
      <c r="Q103" s="899" t="s">
        <v>2533</v>
      </c>
      <c r="R103" s="899">
        <v>8</v>
      </c>
      <c r="S103" s="899" t="s">
        <v>2538</v>
      </c>
      <c r="T103" s="899">
        <v>1</v>
      </c>
      <c r="U103" s="899" t="s">
        <v>2638</v>
      </c>
      <c r="V103" s="926">
        <v>5851433</v>
      </c>
      <c r="W103" s="899">
        <v>671</v>
      </c>
      <c r="X103" s="926">
        <f t="shared" si="5"/>
        <v>5149261.04</v>
      </c>
      <c r="Y103" s="927">
        <f t="shared" si="4"/>
        <v>643657.63</v>
      </c>
    </row>
    <row r="104" spans="1:34">
      <c r="A104" s="899">
        <v>98</v>
      </c>
      <c r="B104" s="899">
        <v>671</v>
      </c>
      <c r="C104" s="899" t="s">
        <v>1512</v>
      </c>
      <c r="D104" s="925">
        <v>39839</v>
      </c>
      <c r="E104" s="899" t="s">
        <v>140</v>
      </c>
      <c r="F104" s="925"/>
      <c r="G104" s="901">
        <v>6141463</v>
      </c>
      <c r="H104" s="901">
        <v>0</v>
      </c>
      <c r="I104" s="899">
        <v>0.57474239442562602</v>
      </c>
      <c r="K104" s="899" t="s">
        <v>2928</v>
      </c>
      <c r="L104" s="899" t="s">
        <v>2931</v>
      </c>
      <c r="M104" s="899">
        <v>6710020133</v>
      </c>
      <c r="N104" s="899" t="s">
        <v>2531</v>
      </c>
      <c r="O104" s="899" t="s">
        <v>2931</v>
      </c>
      <c r="P104" s="899">
        <v>138</v>
      </c>
      <c r="Q104" s="899" t="s">
        <v>2533</v>
      </c>
      <c r="R104" s="899">
        <v>28</v>
      </c>
      <c r="S104" s="899" t="s">
        <v>2534</v>
      </c>
      <c r="T104" s="899">
        <v>1</v>
      </c>
      <c r="U104" s="899" t="s">
        <v>2638</v>
      </c>
      <c r="V104" s="926">
        <v>6141463</v>
      </c>
      <c r="W104" s="899">
        <v>671</v>
      </c>
      <c r="X104" s="926">
        <f t="shared" si="5"/>
        <v>6141463</v>
      </c>
      <c r="Y104" s="927">
        <f t="shared" si="4"/>
        <v>219337.96428571429</v>
      </c>
    </row>
    <row r="105" spans="1:34">
      <c r="A105" s="899">
        <v>101</v>
      </c>
      <c r="B105" s="899">
        <v>671</v>
      </c>
      <c r="C105" s="899" t="s">
        <v>1512</v>
      </c>
      <c r="D105" s="925">
        <v>39839</v>
      </c>
      <c r="E105" s="899" t="s">
        <v>140</v>
      </c>
      <c r="F105" s="925"/>
      <c r="G105" s="901">
        <v>11250517</v>
      </c>
      <c r="H105" s="901">
        <v>0</v>
      </c>
      <c r="I105" s="899">
        <v>0.68545253701311704</v>
      </c>
      <c r="K105" s="899" t="s">
        <v>2928</v>
      </c>
      <c r="L105" s="899" t="s">
        <v>2932</v>
      </c>
      <c r="M105" s="899">
        <v>6710020165</v>
      </c>
      <c r="N105" s="899" t="s">
        <v>2531</v>
      </c>
      <c r="O105" s="899" t="s">
        <v>2932</v>
      </c>
      <c r="P105" s="899">
        <v>138</v>
      </c>
      <c r="Q105" s="899" t="s">
        <v>2533</v>
      </c>
      <c r="R105" s="899">
        <v>80.5</v>
      </c>
      <c r="S105" s="899" t="s">
        <v>2534</v>
      </c>
      <c r="T105" s="899">
        <v>1</v>
      </c>
      <c r="U105" s="899" t="s">
        <v>2638</v>
      </c>
      <c r="V105" s="926">
        <v>11250517</v>
      </c>
      <c r="W105" s="899">
        <v>671</v>
      </c>
      <c r="X105" s="926">
        <f t="shared" si="5"/>
        <v>11250517</v>
      </c>
      <c r="Y105" s="927">
        <f t="shared" si="4"/>
        <v>139757.97515527951</v>
      </c>
    </row>
    <row r="106" spans="1:34">
      <c r="A106" s="899">
        <v>138</v>
      </c>
      <c r="B106" s="899">
        <v>776</v>
      </c>
      <c r="C106" s="899" t="s">
        <v>1191</v>
      </c>
      <c r="D106" s="925">
        <v>41090</v>
      </c>
      <c r="E106" s="899" t="s">
        <v>66</v>
      </c>
      <c r="F106" s="925">
        <v>41760</v>
      </c>
      <c r="G106" s="901">
        <v>0</v>
      </c>
      <c r="H106" s="901">
        <v>5326173</v>
      </c>
      <c r="I106" s="899">
        <v>0.58244020405288999</v>
      </c>
      <c r="J106" s="899" t="s">
        <v>1209</v>
      </c>
      <c r="K106" s="899" t="s">
        <v>2644</v>
      </c>
      <c r="L106" s="899" t="s">
        <v>2645</v>
      </c>
      <c r="M106" s="899">
        <v>776002037</v>
      </c>
      <c r="N106" s="899" t="s">
        <v>2531</v>
      </c>
      <c r="O106" s="899" t="s">
        <v>2645</v>
      </c>
      <c r="P106" s="899">
        <v>144</v>
      </c>
      <c r="Q106" s="899" t="s">
        <v>2533</v>
      </c>
      <c r="R106" s="899">
        <v>10</v>
      </c>
      <c r="S106" s="899" t="s">
        <v>2534</v>
      </c>
      <c r="T106" s="899">
        <v>1</v>
      </c>
      <c r="U106" s="899" t="s">
        <v>2638</v>
      </c>
      <c r="V106" s="926">
        <v>5326173</v>
      </c>
      <c r="W106" s="899">
        <v>776</v>
      </c>
      <c r="X106" s="926">
        <f t="shared" si="5"/>
        <v>5326173</v>
      </c>
      <c r="Y106" s="927">
        <f t="shared" si="4"/>
        <v>532617.30000000005</v>
      </c>
    </row>
    <row r="107" spans="1:34">
      <c r="A107" s="899">
        <v>158</v>
      </c>
      <c r="B107" s="899">
        <v>811</v>
      </c>
      <c r="C107" s="899" t="s">
        <v>1191</v>
      </c>
      <c r="D107" s="925">
        <v>40844</v>
      </c>
      <c r="E107" s="899" t="s">
        <v>66</v>
      </c>
      <c r="F107" s="925">
        <v>41579</v>
      </c>
      <c r="G107" s="901">
        <v>18846000</v>
      </c>
      <c r="H107" s="901">
        <v>0</v>
      </c>
      <c r="I107" s="899">
        <v>0.55103651940001797</v>
      </c>
      <c r="J107" s="899" t="s">
        <v>1248</v>
      </c>
      <c r="K107" s="899" t="s">
        <v>2648</v>
      </c>
      <c r="L107" s="899" t="s">
        <v>2649</v>
      </c>
      <c r="M107" s="899">
        <v>8110020009</v>
      </c>
      <c r="N107" s="899" t="s">
        <v>2531</v>
      </c>
      <c r="O107" s="899" t="s">
        <v>1731</v>
      </c>
      <c r="P107" s="899">
        <v>144</v>
      </c>
      <c r="Q107" s="899" t="s">
        <v>2533</v>
      </c>
      <c r="R107" s="899">
        <v>51</v>
      </c>
      <c r="S107" s="899" t="s">
        <v>2534</v>
      </c>
      <c r="T107" s="899">
        <v>1</v>
      </c>
      <c r="U107" s="899" t="s">
        <v>2638</v>
      </c>
      <c r="V107" s="926">
        <v>18846000</v>
      </c>
      <c r="W107" s="899">
        <v>811</v>
      </c>
      <c r="X107" s="926">
        <f t="shared" si="5"/>
        <v>18846000</v>
      </c>
      <c r="Y107" s="927">
        <f t="shared" si="4"/>
        <v>369529.4117647059</v>
      </c>
    </row>
    <row r="108" spans="1:34">
      <c r="A108" s="899">
        <v>161</v>
      </c>
      <c r="B108" s="899">
        <v>811</v>
      </c>
      <c r="C108" s="899" t="s">
        <v>1191</v>
      </c>
      <c r="D108" s="925">
        <v>41517</v>
      </c>
      <c r="E108" s="899" t="s">
        <v>66</v>
      </c>
      <c r="F108" s="925">
        <v>41487</v>
      </c>
      <c r="G108" s="901">
        <v>669065</v>
      </c>
      <c r="H108" s="901">
        <v>0</v>
      </c>
      <c r="I108" s="899">
        <v>0.69940300314465398</v>
      </c>
      <c r="J108" s="899" t="s">
        <v>1248</v>
      </c>
      <c r="K108" s="899" t="s">
        <v>2626</v>
      </c>
      <c r="L108" s="899" t="s">
        <v>2933</v>
      </c>
      <c r="M108" s="899">
        <v>8110020222</v>
      </c>
      <c r="N108" s="899" t="s">
        <v>2531</v>
      </c>
      <c r="O108" s="899" t="s">
        <v>1727</v>
      </c>
      <c r="P108" s="899">
        <v>144</v>
      </c>
      <c r="Q108" s="899" t="s">
        <v>2533</v>
      </c>
      <c r="R108" s="899">
        <v>0.7</v>
      </c>
      <c r="S108" s="899" t="s">
        <v>2534</v>
      </c>
      <c r="T108" s="899">
        <v>1</v>
      </c>
      <c r="U108" s="899" t="s">
        <v>2638</v>
      </c>
      <c r="V108" s="926">
        <v>669065</v>
      </c>
      <c r="W108" s="899">
        <v>811</v>
      </c>
      <c r="X108" s="926">
        <f t="shared" si="5"/>
        <v>669065</v>
      </c>
      <c r="Y108" s="927">
        <f t="shared" si="4"/>
        <v>955807.14285714296</v>
      </c>
    </row>
    <row r="109" spans="1:34">
      <c r="A109" s="899">
        <v>167</v>
      </c>
      <c r="B109" s="899">
        <v>811</v>
      </c>
      <c r="C109" s="899" t="s">
        <v>1191</v>
      </c>
      <c r="D109" s="925">
        <v>41517</v>
      </c>
      <c r="E109" s="899" t="s">
        <v>66</v>
      </c>
      <c r="F109" s="925">
        <v>41487</v>
      </c>
      <c r="G109" s="901">
        <v>642579</v>
      </c>
      <c r="H109" s="901">
        <v>0</v>
      </c>
      <c r="I109" s="899">
        <v>0.69940300314465398</v>
      </c>
      <c r="J109" s="899" t="s">
        <v>1248</v>
      </c>
      <c r="K109" s="899" t="s">
        <v>2626</v>
      </c>
      <c r="L109" s="899" t="s">
        <v>2934</v>
      </c>
      <c r="M109" s="899">
        <v>8110020220</v>
      </c>
      <c r="N109" s="899" t="s">
        <v>2531</v>
      </c>
      <c r="O109" s="899" t="s">
        <v>1726</v>
      </c>
      <c r="P109" s="899">
        <v>144</v>
      </c>
      <c r="Q109" s="899" t="s">
        <v>2533</v>
      </c>
      <c r="R109" s="899">
        <v>0.7</v>
      </c>
      <c r="S109" s="899" t="s">
        <v>2534</v>
      </c>
      <c r="T109" s="899">
        <v>1</v>
      </c>
      <c r="U109" s="899" t="s">
        <v>2638</v>
      </c>
      <c r="V109" s="926">
        <v>642579</v>
      </c>
      <c r="W109" s="899">
        <v>811</v>
      </c>
      <c r="X109" s="926">
        <f t="shared" si="5"/>
        <v>642579</v>
      </c>
      <c r="Y109" s="927">
        <f t="shared" si="4"/>
        <v>917970.00000000012</v>
      </c>
    </row>
    <row r="110" spans="1:34">
      <c r="A110" s="899">
        <v>168</v>
      </c>
      <c r="B110" s="899">
        <v>811</v>
      </c>
      <c r="C110" s="899" t="s">
        <v>1191</v>
      </c>
      <c r="D110" s="925">
        <v>41517</v>
      </c>
      <c r="E110" s="899" t="s">
        <v>66</v>
      </c>
      <c r="F110" s="925">
        <v>41487</v>
      </c>
      <c r="G110" s="901">
        <v>5277855</v>
      </c>
      <c r="H110" s="901">
        <v>0</v>
      </c>
      <c r="I110" s="899">
        <v>0.69940300314465398</v>
      </c>
      <c r="J110" s="899" t="s">
        <v>1248</v>
      </c>
      <c r="K110" s="899" t="s">
        <v>2626</v>
      </c>
      <c r="L110" s="899" t="s">
        <v>2935</v>
      </c>
      <c r="M110" s="899">
        <v>8110020230</v>
      </c>
      <c r="N110" s="899" t="s">
        <v>2531</v>
      </c>
      <c r="O110" s="899" t="s">
        <v>1732</v>
      </c>
      <c r="P110" s="899">
        <v>144</v>
      </c>
      <c r="Q110" s="899" t="s">
        <v>2533</v>
      </c>
      <c r="R110" s="899">
        <v>6.5</v>
      </c>
      <c r="S110" s="899" t="s">
        <v>2534</v>
      </c>
      <c r="T110" s="899">
        <v>1</v>
      </c>
      <c r="U110" s="899" t="s">
        <v>2638</v>
      </c>
      <c r="V110" s="926">
        <v>5277855</v>
      </c>
      <c r="W110" s="899">
        <v>811</v>
      </c>
      <c r="X110" s="926">
        <f t="shared" si="5"/>
        <v>5277855</v>
      </c>
      <c r="Y110" s="927">
        <f t="shared" si="4"/>
        <v>811977.69230769225</v>
      </c>
    </row>
    <row r="111" spans="1:34">
      <c r="A111" s="899">
        <v>196</v>
      </c>
      <c r="B111" s="899">
        <v>813</v>
      </c>
      <c r="C111" s="899" t="s">
        <v>1191</v>
      </c>
      <c r="D111" s="925">
        <v>41908</v>
      </c>
      <c r="E111" s="899" t="s">
        <v>140</v>
      </c>
      <c r="F111" s="925">
        <v>42461</v>
      </c>
      <c r="G111" s="901">
        <v>11837000</v>
      </c>
      <c r="H111" s="901">
        <v>0</v>
      </c>
      <c r="I111" s="899">
        <v>0.48228276640335299</v>
      </c>
      <c r="J111" s="899" t="s">
        <v>1214</v>
      </c>
      <c r="K111" s="899" t="s">
        <v>2936</v>
      </c>
      <c r="L111" s="899" t="s">
        <v>2937</v>
      </c>
      <c r="M111" s="899">
        <v>8130022296</v>
      </c>
      <c r="N111" s="899" t="s">
        <v>2531</v>
      </c>
      <c r="O111" s="899" t="s">
        <v>1223</v>
      </c>
      <c r="P111" s="899">
        <v>138</v>
      </c>
      <c r="Q111" s="899" t="s">
        <v>2533</v>
      </c>
      <c r="R111" s="899">
        <v>15</v>
      </c>
      <c r="S111" s="899" t="s">
        <v>2534</v>
      </c>
      <c r="T111" s="899">
        <v>1</v>
      </c>
      <c r="U111" s="899" t="s">
        <v>2638</v>
      </c>
      <c r="V111" s="926">
        <v>11837000</v>
      </c>
      <c r="W111" s="899">
        <v>813</v>
      </c>
      <c r="X111" s="926">
        <f t="shared" si="5"/>
        <v>11837000</v>
      </c>
      <c r="Y111" s="927">
        <f t="shared" si="4"/>
        <v>789133.33333333337</v>
      </c>
    </row>
    <row r="112" spans="1:34">
      <c r="A112" s="899">
        <v>201</v>
      </c>
      <c r="B112" s="899">
        <v>813</v>
      </c>
      <c r="C112" s="899" t="s">
        <v>1512</v>
      </c>
      <c r="D112" s="925">
        <v>40743</v>
      </c>
      <c r="E112" s="899" t="s">
        <v>140</v>
      </c>
      <c r="F112" s="925">
        <v>41183</v>
      </c>
      <c r="G112" s="901">
        <v>389358</v>
      </c>
      <c r="H112" s="901">
        <v>0</v>
      </c>
      <c r="I112" s="899">
        <v>0.63678364458338199</v>
      </c>
      <c r="J112" s="899" t="s">
        <v>1214</v>
      </c>
      <c r="K112" s="899" t="s">
        <v>2938</v>
      </c>
      <c r="L112" s="899" t="s">
        <v>2939</v>
      </c>
      <c r="M112" s="899">
        <v>8130020122</v>
      </c>
      <c r="N112" s="899" t="s">
        <v>2531</v>
      </c>
      <c r="O112" s="899" t="s">
        <v>2939</v>
      </c>
      <c r="P112" s="899">
        <v>138</v>
      </c>
      <c r="Q112" s="899" t="s">
        <v>2533</v>
      </c>
      <c r="R112" s="899">
        <v>0.5</v>
      </c>
      <c r="S112" s="899" t="s">
        <v>2534</v>
      </c>
      <c r="T112" s="899">
        <v>1</v>
      </c>
      <c r="U112" s="899" t="s">
        <v>2638</v>
      </c>
      <c r="V112" s="926">
        <v>389358</v>
      </c>
      <c r="W112" s="899">
        <v>813</v>
      </c>
      <c r="X112" s="926">
        <f t="shared" si="5"/>
        <v>389358</v>
      </c>
      <c r="Y112" s="927">
        <f t="shared" si="4"/>
        <v>778716</v>
      </c>
    </row>
    <row r="113" spans="1:25">
      <c r="A113" s="899">
        <v>202</v>
      </c>
      <c r="B113" s="899">
        <v>813</v>
      </c>
      <c r="C113" s="899" t="s">
        <v>1512</v>
      </c>
      <c r="D113" s="925">
        <v>40743</v>
      </c>
      <c r="E113" s="899" t="s">
        <v>140</v>
      </c>
      <c r="F113" s="925">
        <v>41183</v>
      </c>
      <c r="G113" s="901">
        <v>263595</v>
      </c>
      <c r="H113" s="901">
        <v>0</v>
      </c>
      <c r="I113" s="899">
        <v>0.63678364458338199</v>
      </c>
      <c r="J113" s="899" t="s">
        <v>1214</v>
      </c>
      <c r="K113" s="899" t="s">
        <v>2938</v>
      </c>
      <c r="L113" s="899" t="s">
        <v>2940</v>
      </c>
      <c r="M113" s="899">
        <v>8130020120</v>
      </c>
      <c r="N113" s="899" t="s">
        <v>2531</v>
      </c>
      <c r="O113" s="899" t="s">
        <v>2940</v>
      </c>
      <c r="P113" s="899">
        <v>138</v>
      </c>
      <c r="Q113" s="899" t="s">
        <v>2533</v>
      </c>
      <c r="R113" s="899">
        <v>0.5</v>
      </c>
      <c r="S113" s="899" t="s">
        <v>2534</v>
      </c>
      <c r="T113" s="899">
        <v>1</v>
      </c>
      <c r="U113" s="899" t="s">
        <v>2638</v>
      </c>
      <c r="V113" s="926">
        <v>263595</v>
      </c>
      <c r="W113" s="899">
        <v>813</v>
      </c>
      <c r="X113" s="926">
        <f t="shared" si="5"/>
        <v>263595</v>
      </c>
      <c r="Y113" s="927">
        <f t="shared" si="4"/>
        <v>527190</v>
      </c>
    </row>
    <row r="114" spans="1:25">
      <c r="A114" s="899">
        <v>227</v>
      </c>
      <c r="B114" s="899">
        <v>850</v>
      </c>
      <c r="C114" s="899" t="s">
        <v>1512</v>
      </c>
      <c r="D114" s="925">
        <v>41122</v>
      </c>
      <c r="E114" s="899" t="s">
        <v>140</v>
      </c>
      <c r="F114" s="925">
        <v>42278</v>
      </c>
      <c r="G114" s="901">
        <v>5886545</v>
      </c>
      <c r="H114" s="901">
        <v>0</v>
      </c>
      <c r="I114" s="899">
        <v>0.56968950895910297</v>
      </c>
      <c r="K114" s="899" t="s">
        <v>2553</v>
      </c>
      <c r="L114" s="899" t="s">
        <v>2657</v>
      </c>
      <c r="M114" s="899">
        <v>850002107</v>
      </c>
      <c r="N114" s="899" t="s">
        <v>2531</v>
      </c>
      <c r="O114" s="899" t="s">
        <v>2658</v>
      </c>
      <c r="P114" s="899">
        <v>138</v>
      </c>
      <c r="Q114" s="899" t="s">
        <v>2533</v>
      </c>
      <c r="R114" s="899">
        <v>17</v>
      </c>
      <c r="S114" s="899" t="s">
        <v>2534</v>
      </c>
      <c r="T114" s="899">
        <v>1</v>
      </c>
      <c r="U114" s="899" t="s">
        <v>2638</v>
      </c>
      <c r="V114" s="926">
        <v>5886545</v>
      </c>
      <c r="W114" s="899">
        <v>850</v>
      </c>
      <c r="X114" s="926">
        <f t="shared" si="5"/>
        <v>5886545</v>
      </c>
      <c r="Y114" s="927">
        <f t="shared" si="4"/>
        <v>346267.35294117645</v>
      </c>
    </row>
    <row r="115" spans="1:25">
      <c r="A115" s="899">
        <v>229</v>
      </c>
      <c r="B115" s="899">
        <v>850</v>
      </c>
      <c r="C115" s="899" t="s">
        <v>1191</v>
      </c>
      <c r="D115" s="925">
        <v>42223</v>
      </c>
      <c r="E115" s="899" t="s">
        <v>140</v>
      </c>
      <c r="F115" s="925">
        <v>43100</v>
      </c>
      <c r="G115" s="901">
        <v>32472295</v>
      </c>
      <c r="H115" s="901">
        <v>0</v>
      </c>
      <c r="I115" s="899">
        <v>0.52708710798146297</v>
      </c>
      <c r="J115" s="899" t="s">
        <v>1251</v>
      </c>
      <c r="K115" s="899" t="s">
        <v>2852</v>
      </c>
      <c r="L115" s="899" t="s">
        <v>2941</v>
      </c>
      <c r="M115" s="899">
        <v>8500020477</v>
      </c>
      <c r="N115" s="899" t="s">
        <v>2531</v>
      </c>
      <c r="O115" s="899" t="s">
        <v>1231</v>
      </c>
      <c r="P115" s="899">
        <v>138</v>
      </c>
      <c r="Q115" s="899" t="s">
        <v>2533</v>
      </c>
      <c r="R115" s="899">
        <v>24</v>
      </c>
      <c r="S115" s="899" t="s">
        <v>2538</v>
      </c>
      <c r="T115" s="899">
        <v>1</v>
      </c>
      <c r="U115" s="899" t="s">
        <v>2638</v>
      </c>
      <c r="V115" s="926">
        <v>32472295</v>
      </c>
      <c r="W115" s="899">
        <v>850</v>
      </c>
      <c r="X115" s="926">
        <f t="shared" si="5"/>
        <v>28575619.600000001</v>
      </c>
      <c r="Y115" s="927">
        <f t="shared" si="4"/>
        <v>1190650.8166666667</v>
      </c>
    </row>
    <row r="116" spans="1:25">
      <c r="A116" s="899">
        <v>234</v>
      </c>
      <c r="B116" s="899">
        <v>850</v>
      </c>
      <c r="C116" s="899" t="s">
        <v>1512</v>
      </c>
      <c r="D116" s="925">
        <v>41122</v>
      </c>
      <c r="E116" s="899" t="s">
        <v>140</v>
      </c>
      <c r="F116" s="925">
        <v>42278</v>
      </c>
      <c r="G116" s="901">
        <v>681986</v>
      </c>
      <c r="H116" s="901">
        <v>0</v>
      </c>
      <c r="I116" s="899">
        <v>0.64155175528391595</v>
      </c>
      <c r="K116" s="899" t="s">
        <v>2553</v>
      </c>
      <c r="L116" s="899" t="s">
        <v>2661</v>
      </c>
      <c r="M116" s="899">
        <v>850002082</v>
      </c>
      <c r="N116" s="899" t="s">
        <v>2531</v>
      </c>
      <c r="O116" s="899" t="s">
        <v>2662</v>
      </c>
      <c r="P116" s="899">
        <v>138</v>
      </c>
      <c r="Q116" s="899" t="s">
        <v>2533</v>
      </c>
      <c r="R116" s="899">
        <v>2</v>
      </c>
      <c r="S116" s="899" t="s">
        <v>2534</v>
      </c>
      <c r="T116" s="899">
        <v>1</v>
      </c>
      <c r="U116" s="899" t="s">
        <v>2638</v>
      </c>
      <c r="V116" s="926">
        <v>681986</v>
      </c>
      <c r="W116" s="899">
        <v>850</v>
      </c>
      <c r="X116" s="926">
        <f t="shared" si="5"/>
        <v>681986</v>
      </c>
      <c r="Y116" s="927">
        <f t="shared" si="4"/>
        <v>340993</v>
      </c>
    </row>
    <row r="117" spans="1:25">
      <c r="A117" s="899">
        <v>239</v>
      </c>
      <c r="B117" s="899">
        <v>850</v>
      </c>
      <c r="C117" s="899" t="s">
        <v>1512</v>
      </c>
      <c r="D117" s="925">
        <v>41122</v>
      </c>
      <c r="E117" s="899" t="s">
        <v>140</v>
      </c>
      <c r="F117" s="925">
        <v>42278</v>
      </c>
      <c r="G117" s="901">
        <v>710073</v>
      </c>
      <c r="H117" s="901">
        <v>0</v>
      </c>
      <c r="I117" s="899">
        <v>0.65873467600700497</v>
      </c>
      <c r="K117" s="899" t="s">
        <v>2553</v>
      </c>
      <c r="L117" s="899" t="s">
        <v>2668</v>
      </c>
      <c r="M117" s="899">
        <v>850002040</v>
      </c>
      <c r="N117" s="899" t="s">
        <v>2531</v>
      </c>
      <c r="O117" s="899" t="s">
        <v>2669</v>
      </c>
      <c r="P117" s="899">
        <v>138</v>
      </c>
      <c r="Q117" s="899" t="s">
        <v>2533</v>
      </c>
      <c r="R117" s="899">
        <v>1</v>
      </c>
      <c r="S117" s="899" t="s">
        <v>2538</v>
      </c>
      <c r="T117" s="899">
        <v>1</v>
      </c>
      <c r="U117" s="899" t="s">
        <v>2638</v>
      </c>
      <c r="V117" s="926">
        <v>710073</v>
      </c>
      <c r="W117" s="899">
        <v>850</v>
      </c>
      <c r="X117" s="926">
        <f t="shared" si="5"/>
        <v>624864.24</v>
      </c>
      <c r="Y117" s="927">
        <f t="shared" si="4"/>
        <v>624864.24</v>
      </c>
    </row>
    <row r="118" spans="1:25">
      <c r="A118" s="899">
        <v>242</v>
      </c>
      <c r="B118" s="899">
        <v>850</v>
      </c>
      <c r="C118" s="899" t="s">
        <v>1191</v>
      </c>
      <c r="D118" s="925">
        <v>42223</v>
      </c>
      <c r="E118" s="899" t="s">
        <v>140</v>
      </c>
      <c r="F118" s="925">
        <v>43100</v>
      </c>
      <c r="G118" s="901">
        <v>3514803</v>
      </c>
      <c r="H118" s="901">
        <v>0</v>
      </c>
      <c r="I118" s="899">
        <v>0.52708710798146297</v>
      </c>
      <c r="J118" s="899" t="s">
        <v>1251</v>
      </c>
      <c r="K118" s="899" t="s">
        <v>2852</v>
      </c>
      <c r="L118" s="899" t="s">
        <v>2942</v>
      </c>
      <c r="M118" s="899">
        <v>8500020456</v>
      </c>
      <c r="N118" s="899" t="s">
        <v>2531</v>
      </c>
      <c r="O118" s="899" t="s">
        <v>1232</v>
      </c>
      <c r="P118" s="899">
        <v>138</v>
      </c>
      <c r="Q118" s="899" t="s">
        <v>2533</v>
      </c>
      <c r="R118" s="899">
        <v>1.2</v>
      </c>
      <c r="S118" s="899" t="s">
        <v>2538</v>
      </c>
      <c r="T118" s="899">
        <v>1</v>
      </c>
      <c r="U118" s="899" t="s">
        <v>2638</v>
      </c>
      <c r="V118" s="926">
        <v>3514803</v>
      </c>
      <c r="W118" s="899">
        <v>850</v>
      </c>
      <c r="X118" s="926">
        <f t="shared" si="5"/>
        <v>3093026.64</v>
      </c>
      <c r="Y118" s="927">
        <f t="shared" si="4"/>
        <v>2577522.2000000002</v>
      </c>
    </row>
    <row r="119" spans="1:25">
      <c r="A119" s="899">
        <v>246</v>
      </c>
      <c r="B119" s="899">
        <v>850</v>
      </c>
      <c r="C119" s="899" t="s">
        <v>1512</v>
      </c>
      <c r="D119" s="925">
        <v>41122</v>
      </c>
      <c r="E119" s="899" t="s">
        <v>140</v>
      </c>
      <c r="F119" s="925">
        <v>42278</v>
      </c>
      <c r="G119" s="901">
        <v>16350909</v>
      </c>
      <c r="H119" s="901">
        <v>0</v>
      </c>
      <c r="I119" s="899">
        <v>0.59723805903965499</v>
      </c>
      <c r="K119" s="899" t="s">
        <v>2553</v>
      </c>
      <c r="L119" s="899" t="s">
        <v>2689</v>
      </c>
      <c r="M119" s="899">
        <v>850002067</v>
      </c>
      <c r="N119" s="899" t="s">
        <v>2531</v>
      </c>
      <c r="O119" s="899" t="s">
        <v>2690</v>
      </c>
      <c r="P119" s="899">
        <v>138</v>
      </c>
      <c r="Q119" s="899" t="s">
        <v>2533</v>
      </c>
      <c r="R119" s="899">
        <v>25</v>
      </c>
      <c r="S119" s="899" t="s">
        <v>2538</v>
      </c>
      <c r="T119" s="899">
        <v>1</v>
      </c>
      <c r="U119" s="899" t="s">
        <v>2638</v>
      </c>
      <c r="V119" s="926">
        <v>16350909</v>
      </c>
      <c r="W119" s="899">
        <v>850</v>
      </c>
      <c r="X119" s="926">
        <f t="shared" si="5"/>
        <v>14388799.92</v>
      </c>
      <c r="Y119" s="927">
        <f t="shared" si="4"/>
        <v>575551.99679999996</v>
      </c>
    </row>
    <row r="120" spans="1:25">
      <c r="A120" s="899">
        <v>250</v>
      </c>
      <c r="B120" s="899">
        <v>850</v>
      </c>
      <c r="C120" s="899" t="s">
        <v>1512</v>
      </c>
      <c r="D120" s="925">
        <v>41122</v>
      </c>
      <c r="E120" s="899" t="s">
        <v>140</v>
      </c>
      <c r="F120" s="925">
        <v>42278</v>
      </c>
      <c r="G120" s="901">
        <v>2602075</v>
      </c>
      <c r="H120" s="901">
        <v>0</v>
      </c>
      <c r="I120" s="899">
        <v>0.54751409533572504</v>
      </c>
      <c r="K120" s="899" t="s">
        <v>2553</v>
      </c>
      <c r="L120" s="899" t="s">
        <v>2666</v>
      </c>
      <c r="M120" s="899">
        <v>850002124</v>
      </c>
      <c r="N120" s="899" t="s">
        <v>2531</v>
      </c>
      <c r="O120" s="899" t="s">
        <v>2667</v>
      </c>
      <c r="P120" s="899">
        <v>138</v>
      </c>
      <c r="Q120" s="899" t="s">
        <v>2533</v>
      </c>
      <c r="R120" s="899">
        <v>8</v>
      </c>
      <c r="S120" s="899" t="s">
        <v>2534</v>
      </c>
      <c r="T120" s="899">
        <v>1</v>
      </c>
      <c r="U120" s="899" t="s">
        <v>2638</v>
      </c>
      <c r="V120" s="926">
        <v>2602075</v>
      </c>
      <c r="W120" s="899">
        <v>850</v>
      </c>
      <c r="X120" s="926">
        <f t="shared" si="5"/>
        <v>2602075</v>
      </c>
      <c r="Y120" s="927">
        <f t="shared" si="4"/>
        <v>325259.375</v>
      </c>
    </row>
    <row r="121" spans="1:25">
      <c r="A121" s="899">
        <v>251</v>
      </c>
      <c r="B121" s="899">
        <v>850</v>
      </c>
      <c r="C121" s="899" t="s">
        <v>1512</v>
      </c>
      <c r="D121" s="925">
        <v>41122</v>
      </c>
      <c r="E121" s="899" t="s">
        <v>140</v>
      </c>
      <c r="F121" s="925">
        <v>42278</v>
      </c>
      <c r="G121" s="901">
        <v>119783</v>
      </c>
      <c r="H121" s="901">
        <v>0</v>
      </c>
      <c r="I121" s="899">
        <v>0.59723805903965499</v>
      </c>
      <c r="K121" s="899" t="s">
        <v>2553</v>
      </c>
      <c r="L121" s="899" t="s">
        <v>2659</v>
      </c>
      <c r="M121" s="899">
        <v>850002064</v>
      </c>
      <c r="N121" s="899" t="s">
        <v>2531</v>
      </c>
      <c r="O121" s="899" t="s">
        <v>2660</v>
      </c>
      <c r="P121" s="899">
        <v>138</v>
      </c>
      <c r="Q121" s="899" t="s">
        <v>2533</v>
      </c>
      <c r="R121" s="899">
        <v>0.4</v>
      </c>
      <c r="S121" s="899" t="s">
        <v>2534</v>
      </c>
      <c r="T121" s="899">
        <v>1</v>
      </c>
      <c r="U121" s="899" t="s">
        <v>2638</v>
      </c>
      <c r="V121" s="926">
        <v>119783</v>
      </c>
      <c r="W121" s="899">
        <v>850</v>
      </c>
      <c r="X121" s="926">
        <f t="shared" si="5"/>
        <v>119783</v>
      </c>
      <c r="Y121" s="927">
        <f t="shared" si="4"/>
        <v>299457.5</v>
      </c>
    </row>
    <row r="122" spans="1:25">
      <c r="A122" s="899">
        <v>271</v>
      </c>
      <c r="B122" s="899">
        <v>882</v>
      </c>
      <c r="C122" s="899" t="s">
        <v>1191</v>
      </c>
      <c r="D122" s="925">
        <v>41817</v>
      </c>
      <c r="E122" s="899" t="s">
        <v>140</v>
      </c>
      <c r="F122" s="925">
        <v>42272</v>
      </c>
      <c r="G122" s="901">
        <v>1694839</v>
      </c>
      <c r="H122" s="901">
        <v>0</v>
      </c>
      <c r="I122" s="899">
        <v>0.71452158755000905</v>
      </c>
      <c r="K122" s="899" t="s">
        <v>2854</v>
      </c>
      <c r="L122" s="899" t="s">
        <v>1196</v>
      </c>
      <c r="M122" s="899">
        <v>882002365</v>
      </c>
      <c r="N122" s="899" t="s">
        <v>2531</v>
      </c>
      <c r="O122" s="899" t="s">
        <v>1196</v>
      </c>
      <c r="P122" s="899">
        <v>138</v>
      </c>
      <c r="Q122" s="899" t="s">
        <v>2533</v>
      </c>
      <c r="R122" s="899">
        <v>0.8</v>
      </c>
      <c r="S122" s="899" t="s">
        <v>2538</v>
      </c>
      <c r="T122" s="899">
        <v>1</v>
      </c>
      <c r="U122" s="899" t="s">
        <v>2638</v>
      </c>
      <c r="V122" s="926">
        <v>1694839</v>
      </c>
      <c r="W122" s="899">
        <v>787</v>
      </c>
      <c r="X122" s="926">
        <f t="shared" si="5"/>
        <v>1491458.32</v>
      </c>
      <c r="Y122" s="927">
        <f t="shared" si="4"/>
        <v>1864322.9</v>
      </c>
    </row>
    <row r="123" spans="1:25">
      <c r="A123" s="899">
        <v>298</v>
      </c>
      <c r="B123" s="899">
        <v>927</v>
      </c>
      <c r="C123" s="899" t="s">
        <v>1191</v>
      </c>
      <c r="D123" s="925">
        <v>40366</v>
      </c>
      <c r="E123" s="899" t="s">
        <v>66</v>
      </c>
      <c r="F123" s="925">
        <v>41000</v>
      </c>
      <c r="G123" s="901">
        <v>0</v>
      </c>
      <c r="H123" s="901">
        <v>6014000</v>
      </c>
      <c r="I123" s="899">
        <v>0.68675779581375496</v>
      </c>
      <c r="J123" s="899" t="s">
        <v>1209</v>
      </c>
      <c r="K123" s="899" t="s">
        <v>2641</v>
      </c>
      <c r="L123" s="899" t="s">
        <v>2642</v>
      </c>
      <c r="M123" s="899">
        <v>927002012</v>
      </c>
      <c r="N123" s="899" t="s">
        <v>2531</v>
      </c>
      <c r="O123" s="899" t="s">
        <v>2643</v>
      </c>
      <c r="P123" s="899">
        <v>144</v>
      </c>
      <c r="Q123" s="899" t="s">
        <v>2533</v>
      </c>
      <c r="R123" s="899">
        <v>14</v>
      </c>
      <c r="S123" s="899" t="s">
        <v>2534</v>
      </c>
      <c r="T123" s="899">
        <v>1</v>
      </c>
      <c r="U123" s="899" t="s">
        <v>2638</v>
      </c>
      <c r="V123" s="926">
        <v>6014000</v>
      </c>
      <c r="W123" s="899">
        <v>927</v>
      </c>
      <c r="X123" s="926">
        <f t="shared" si="5"/>
        <v>6014000</v>
      </c>
      <c r="Y123" s="927">
        <f t="shared" si="4"/>
        <v>429571.42857142858</v>
      </c>
    </row>
    <row r="124" spans="1:25">
      <c r="A124" s="899">
        <v>302</v>
      </c>
      <c r="B124" s="899">
        <v>936</v>
      </c>
      <c r="C124" s="899" t="s">
        <v>1191</v>
      </c>
      <c r="D124" s="925">
        <v>41185</v>
      </c>
      <c r="E124" s="899" t="s">
        <v>140</v>
      </c>
      <c r="F124" s="925">
        <v>41880</v>
      </c>
      <c r="G124" s="901">
        <v>2611000</v>
      </c>
      <c r="H124" s="901">
        <v>0</v>
      </c>
      <c r="I124" s="899">
        <v>0.60368628447947104</v>
      </c>
      <c r="K124" s="899" t="s">
        <v>2547</v>
      </c>
      <c r="L124" s="899" t="s">
        <v>2682</v>
      </c>
      <c r="M124" s="899">
        <v>936002146</v>
      </c>
      <c r="N124" s="899" t="s">
        <v>2531</v>
      </c>
      <c r="O124" s="899" t="s">
        <v>2683</v>
      </c>
      <c r="P124" s="899">
        <v>138</v>
      </c>
      <c r="Q124" s="899" t="s">
        <v>2533</v>
      </c>
      <c r="R124" s="899">
        <v>5.0999999999999996</v>
      </c>
      <c r="S124" s="899" t="s">
        <v>2534</v>
      </c>
      <c r="T124" s="899">
        <v>1</v>
      </c>
      <c r="U124" s="899" t="s">
        <v>2638</v>
      </c>
      <c r="V124" s="926">
        <v>2611000</v>
      </c>
      <c r="W124" s="899">
        <v>936</v>
      </c>
      <c r="X124" s="926">
        <f t="shared" si="5"/>
        <v>2611000</v>
      </c>
      <c r="Y124" s="927">
        <f t="shared" si="4"/>
        <v>511960.78431372554</v>
      </c>
    </row>
    <row r="125" spans="1:25">
      <c r="A125" s="899">
        <v>303</v>
      </c>
      <c r="B125" s="899">
        <v>936</v>
      </c>
      <c r="C125" s="899" t="s">
        <v>1191</v>
      </c>
      <c r="D125" s="925">
        <v>41185</v>
      </c>
      <c r="E125" s="899" t="s">
        <v>140</v>
      </c>
      <c r="F125" s="925">
        <v>41880</v>
      </c>
      <c r="G125" s="901">
        <v>1879000</v>
      </c>
      <c r="H125" s="901">
        <v>0</v>
      </c>
      <c r="I125" s="899">
        <v>0.60368628447947104</v>
      </c>
      <c r="K125" s="899" t="s">
        <v>2547</v>
      </c>
      <c r="L125" s="899" t="s">
        <v>2676</v>
      </c>
      <c r="M125" s="899">
        <v>936002149</v>
      </c>
      <c r="N125" s="899" t="s">
        <v>2531</v>
      </c>
      <c r="O125" s="899" t="s">
        <v>2677</v>
      </c>
      <c r="P125" s="899">
        <v>138</v>
      </c>
      <c r="Q125" s="899" t="s">
        <v>2533</v>
      </c>
      <c r="R125" s="899">
        <v>3.5</v>
      </c>
      <c r="S125" s="899" t="s">
        <v>2534</v>
      </c>
      <c r="T125" s="899">
        <v>1</v>
      </c>
      <c r="U125" s="899" t="s">
        <v>2638</v>
      </c>
      <c r="V125" s="926">
        <v>1879000</v>
      </c>
      <c r="W125" s="899">
        <v>936</v>
      </c>
      <c r="X125" s="926">
        <f t="shared" si="5"/>
        <v>1879000</v>
      </c>
      <c r="Y125" s="927">
        <f t="shared" si="4"/>
        <v>536857.14285714284</v>
      </c>
    </row>
    <row r="126" spans="1:25">
      <c r="A126" s="899">
        <v>341</v>
      </c>
      <c r="B126" s="899">
        <v>982</v>
      </c>
      <c r="C126" s="899" t="s">
        <v>1191</v>
      </c>
      <c r="D126" s="925">
        <v>40324</v>
      </c>
      <c r="E126" s="899" t="s">
        <v>66</v>
      </c>
      <c r="F126" s="925">
        <v>41089</v>
      </c>
      <c r="G126" s="901">
        <v>6320000</v>
      </c>
      <c r="H126" s="901">
        <v>0</v>
      </c>
      <c r="I126" s="899">
        <v>0.50252832362542399</v>
      </c>
      <c r="J126" s="899" t="s">
        <v>1206</v>
      </c>
      <c r="K126" s="899" t="s">
        <v>2943</v>
      </c>
      <c r="L126" s="899" t="s">
        <v>2655</v>
      </c>
      <c r="M126" s="899">
        <v>982002210</v>
      </c>
      <c r="N126" s="899" t="s">
        <v>2531</v>
      </c>
      <c r="O126" s="899" t="s">
        <v>2656</v>
      </c>
      <c r="P126" s="899">
        <v>144</v>
      </c>
      <c r="Q126" s="899" t="s">
        <v>2533</v>
      </c>
      <c r="R126" s="899">
        <v>7.1</v>
      </c>
      <c r="S126" s="899" t="s">
        <v>2538</v>
      </c>
      <c r="T126" s="899">
        <v>1</v>
      </c>
      <c r="U126" s="899" t="s">
        <v>2638</v>
      </c>
      <c r="V126" s="926">
        <v>6320000</v>
      </c>
      <c r="W126" s="899">
        <v>812</v>
      </c>
      <c r="X126" s="926">
        <f t="shared" si="5"/>
        <v>5561600</v>
      </c>
      <c r="Y126" s="927">
        <f t="shared" si="4"/>
        <v>783323.94366197183</v>
      </c>
    </row>
    <row r="127" spans="1:25">
      <c r="A127" s="899">
        <v>342</v>
      </c>
      <c r="B127" s="899">
        <v>995</v>
      </c>
      <c r="C127" s="899" t="s">
        <v>1191</v>
      </c>
      <c r="D127" s="925">
        <v>40324</v>
      </c>
      <c r="E127" s="899" t="s">
        <v>66</v>
      </c>
      <c r="F127" s="925">
        <v>41047</v>
      </c>
      <c r="G127" s="901">
        <v>2739000</v>
      </c>
      <c r="H127" s="901">
        <v>0</v>
      </c>
      <c r="I127" s="899">
        <v>0.30093970242756501</v>
      </c>
      <c r="J127" s="899" t="s">
        <v>1206</v>
      </c>
      <c r="K127" s="899" t="s">
        <v>2944</v>
      </c>
      <c r="L127" s="899" t="s">
        <v>2945</v>
      </c>
      <c r="M127" s="899">
        <v>995002229</v>
      </c>
      <c r="N127" s="899" t="s">
        <v>2531</v>
      </c>
      <c r="O127" s="899" t="s">
        <v>2946</v>
      </c>
      <c r="P127" s="899">
        <v>144</v>
      </c>
      <c r="Q127" s="899" t="s">
        <v>2533</v>
      </c>
      <c r="R127" s="899">
        <v>11.6</v>
      </c>
      <c r="S127" s="899" t="s">
        <v>2534</v>
      </c>
      <c r="T127" s="899">
        <v>1</v>
      </c>
      <c r="U127" s="899" t="s">
        <v>2638</v>
      </c>
      <c r="V127" s="926">
        <v>2739000</v>
      </c>
      <c r="W127" s="899">
        <v>812</v>
      </c>
      <c r="X127" s="926">
        <f t="shared" si="5"/>
        <v>2739000</v>
      </c>
      <c r="Y127" s="927">
        <f t="shared" si="4"/>
        <v>236120.68965517243</v>
      </c>
    </row>
    <row r="128" spans="1:25">
      <c r="A128" s="899">
        <v>346</v>
      </c>
      <c r="B128" s="899">
        <v>1000</v>
      </c>
      <c r="C128" s="899" t="s">
        <v>1191</v>
      </c>
      <c r="D128" s="925">
        <v>40324</v>
      </c>
      <c r="E128" s="899" t="s">
        <v>66</v>
      </c>
      <c r="F128" s="925">
        <v>41150</v>
      </c>
      <c r="G128" s="901">
        <v>13153000</v>
      </c>
      <c r="H128" s="901">
        <v>0</v>
      </c>
      <c r="I128" s="899">
        <v>0.44108430358462197</v>
      </c>
      <c r="K128" s="899" t="s">
        <v>2947</v>
      </c>
      <c r="L128" s="899" t="s">
        <v>2948</v>
      </c>
      <c r="M128" s="899">
        <v>1000002303</v>
      </c>
      <c r="N128" s="899" t="s">
        <v>2531</v>
      </c>
      <c r="O128" s="899" t="s">
        <v>2949</v>
      </c>
      <c r="P128" s="899">
        <v>144</v>
      </c>
      <c r="Q128" s="899" t="s">
        <v>2533</v>
      </c>
      <c r="R128" s="899">
        <v>49.6</v>
      </c>
      <c r="S128" s="899" t="s">
        <v>2534</v>
      </c>
      <c r="T128" s="899">
        <v>1</v>
      </c>
      <c r="U128" s="899" t="s">
        <v>2638</v>
      </c>
      <c r="V128" s="926">
        <v>13153000</v>
      </c>
      <c r="W128" s="899">
        <v>812</v>
      </c>
      <c r="X128" s="926">
        <f t="shared" si="5"/>
        <v>13153000</v>
      </c>
      <c r="Y128" s="927">
        <f t="shared" si="4"/>
        <v>265181.45161290321</v>
      </c>
    </row>
    <row r="129" spans="1:25">
      <c r="A129" s="899">
        <v>349</v>
      </c>
      <c r="B129" s="899">
        <v>1013</v>
      </c>
      <c r="C129" s="899" t="s">
        <v>1191</v>
      </c>
      <c r="D129" s="925">
        <v>40324</v>
      </c>
      <c r="E129" s="899" t="s">
        <v>66</v>
      </c>
      <c r="F129" s="925">
        <v>41075</v>
      </c>
      <c r="G129" s="901">
        <v>5348000</v>
      </c>
      <c r="H129" s="901">
        <v>0</v>
      </c>
      <c r="I129" s="899">
        <v>0.50269023827824799</v>
      </c>
      <c r="J129" s="899" t="s">
        <v>1206</v>
      </c>
      <c r="K129" s="899" t="s">
        <v>2950</v>
      </c>
      <c r="L129" s="899" t="s">
        <v>2951</v>
      </c>
      <c r="M129" s="899">
        <v>1013002372</v>
      </c>
      <c r="N129" s="899" t="s">
        <v>2531</v>
      </c>
      <c r="O129" s="899" t="s">
        <v>2952</v>
      </c>
      <c r="P129" s="899">
        <v>144</v>
      </c>
      <c r="Q129" s="899" t="s">
        <v>2533</v>
      </c>
      <c r="R129" s="899">
        <v>12.2</v>
      </c>
      <c r="S129" s="899" t="s">
        <v>2534</v>
      </c>
      <c r="T129" s="899">
        <v>1</v>
      </c>
      <c r="U129" s="899" t="s">
        <v>2638</v>
      </c>
      <c r="V129" s="926">
        <v>5348000</v>
      </c>
      <c r="W129" s="899">
        <v>812</v>
      </c>
      <c r="X129" s="926">
        <f t="shared" si="5"/>
        <v>5348000</v>
      </c>
      <c r="Y129" s="927">
        <f t="shared" si="4"/>
        <v>438360.65573770495</v>
      </c>
    </row>
    <row r="130" spans="1:25">
      <c r="A130" s="899">
        <v>354</v>
      </c>
      <c r="B130" s="899">
        <v>1023</v>
      </c>
      <c r="C130" s="899" t="s">
        <v>1191</v>
      </c>
      <c r="D130" s="925">
        <v>40324</v>
      </c>
      <c r="E130" s="899" t="s">
        <v>66</v>
      </c>
      <c r="F130" s="925">
        <v>40963</v>
      </c>
      <c r="G130" s="901">
        <v>9497000</v>
      </c>
      <c r="H130" s="901">
        <v>0</v>
      </c>
      <c r="I130" s="899">
        <v>0.47741310403294202</v>
      </c>
      <c r="J130" s="899" t="s">
        <v>1206</v>
      </c>
      <c r="K130" s="899" t="s">
        <v>2953</v>
      </c>
      <c r="L130" s="899" t="s">
        <v>2954</v>
      </c>
      <c r="M130" s="899">
        <v>1023002445</v>
      </c>
      <c r="N130" s="899" t="s">
        <v>2531</v>
      </c>
      <c r="O130" s="899" t="s">
        <v>2955</v>
      </c>
      <c r="P130" s="899">
        <v>144</v>
      </c>
      <c r="Q130" s="899" t="s">
        <v>2533</v>
      </c>
      <c r="R130" s="899">
        <v>46.7</v>
      </c>
      <c r="S130" s="899" t="s">
        <v>2534</v>
      </c>
      <c r="T130" s="899">
        <v>1</v>
      </c>
      <c r="U130" s="899" t="s">
        <v>2638</v>
      </c>
      <c r="V130" s="926">
        <v>9497000</v>
      </c>
      <c r="W130" s="899">
        <v>812</v>
      </c>
      <c r="X130" s="926">
        <f t="shared" si="5"/>
        <v>9497000</v>
      </c>
      <c r="Y130" s="927">
        <f t="shared" si="4"/>
        <v>203361.88436830833</v>
      </c>
    </row>
    <row r="131" spans="1:25">
      <c r="A131" s="899">
        <v>355</v>
      </c>
      <c r="B131" s="899">
        <v>1024</v>
      </c>
      <c r="C131" s="899" t="s">
        <v>1191</v>
      </c>
      <c r="D131" s="925">
        <v>41344</v>
      </c>
      <c r="E131" s="899" t="s">
        <v>140</v>
      </c>
      <c r="F131" s="925">
        <v>40846</v>
      </c>
      <c r="G131" s="901">
        <v>7767000</v>
      </c>
      <c r="H131" s="901">
        <v>0</v>
      </c>
      <c r="I131" s="899">
        <v>0.76155834853555104</v>
      </c>
      <c r="J131" s="899" t="s">
        <v>1206</v>
      </c>
      <c r="K131" s="899" t="s">
        <v>2956</v>
      </c>
      <c r="L131" s="899" t="s">
        <v>2685</v>
      </c>
      <c r="M131" s="899">
        <v>1024002034</v>
      </c>
      <c r="N131" s="899" t="s">
        <v>2531</v>
      </c>
      <c r="O131" s="899" t="s">
        <v>2686</v>
      </c>
      <c r="P131" s="899">
        <v>138</v>
      </c>
      <c r="Q131" s="899" t="s">
        <v>2533</v>
      </c>
      <c r="R131" s="899">
        <v>3</v>
      </c>
      <c r="S131" s="899" t="s">
        <v>2538</v>
      </c>
      <c r="T131" s="899">
        <v>1</v>
      </c>
      <c r="U131" s="899" t="s">
        <v>2638</v>
      </c>
      <c r="V131" s="926">
        <v>3884000</v>
      </c>
      <c r="W131" s="899">
        <v>812</v>
      </c>
      <c r="X131" s="926">
        <f t="shared" si="5"/>
        <v>3417920</v>
      </c>
      <c r="Y131" s="927">
        <f t="shared" si="4"/>
        <v>1139306.6666666667</v>
      </c>
    </row>
    <row r="132" spans="1:25">
      <c r="A132" s="899">
        <v>435</v>
      </c>
      <c r="B132" s="899">
        <v>1128</v>
      </c>
      <c r="C132" s="899" t="s">
        <v>1191</v>
      </c>
      <c r="D132" s="925">
        <v>41037</v>
      </c>
      <c r="E132" s="899" t="s">
        <v>66</v>
      </c>
      <c r="F132" s="925">
        <v>41578</v>
      </c>
      <c r="G132" s="901">
        <v>0</v>
      </c>
      <c r="H132" s="901">
        <v>3461259</v>
      </c>
      <c r="I132" s="899">
        <v>0.59301977212815804</v>
      </c>
      <c r="J132" s="899" t="s">
        <v>1209</v>
      </c>
      <c r="K132" s="899" t="s">
        <v>2957</v>
      </c>
      <c r="L132" s="899" t="s">
        <v>2958</v>
      </c>
      <c r="M132" s="899">
        <v>1128002076</v>
      </c>
      <c r="N132" s="899" t="s">
        <v>2531</v>
      </c>
      <c r="O132" s="899" t="s">
        <v>1798</v>
      </c>
      <c r="P132" s="899">
        <v>144</v>
      </c>
      <c r="Q132" s="899" t="s">
        <v>2533</v>
      </c>
      <c r="R132" s="899">
        <v>6</v>
      </c>
      <c r="S132" s="899" t="s">
        <v>2534</v>
      </c>
      <c r="T132" s="899">
        <v>1</v>
      </c>
      <c r="U132" s="899" t="s">
        <v>2638</v>
      </c>
      <c r="V132" s="926">
        <v>3461259</v>
      </c>
      <c r="W132" s="899">
        <v>1128</v>
      </c>
      <c r="X132" s="926">
        <f t="shared" si="5"/>
        <v>3461259</v>
      </c>
      <c r="Y132" s="927">
        <f t="shared" ref="Y132:Y163" si="6">X132/R132</f>
        <v>576876.5</v>
      </c>
    </row>
    <row r="133" spans="1:25">
      <c r="A133" s="899">
        <v>456</v>
      </c>
      <c r="B133" s="899">
        <v>1200</v>
      </c>
      <c r="C133" s="899" t="s">
        <v>1191</v>
      </c>
      <c r="D133" s="925">
        <v>41249</v>
      </c>
      <c r="E133" s="899" t="s">
        <v>140</v>
      </c>
      <c r="F133" s="925">
        <v>41852</v>
      </c>
      <c r="G133" s="901">
        <v>0</v>
      </c>
      <c r="H133" s="901">
        <v>5004629</v>
      </c>
      <c r="I133" s="899">
        <v>0.73068023734337995</v>
      </c>
      <c r="J133" s="899" t="s">
        <v>1250</v>
      </c>
      <c r="K133" s="899" t="s">
        <v>2663</v>
      </c>
      <c r="L133" s="899" t="s">
        <v>2664</v>
      </c>
      <c r="M133" s="899">
        <v>1200002011</v>
      </c>
      <c r="N133" s="899" t="s">
        <v>2531</v>
      </c>
      <c r="O133" s="899" t="s">
        <v>2665</v>
      </c>
      <c r="P133" s="899">
        <v>138</v>
      </c>
      <c r="Q133" s="899" t="s">
        <v>2533</v>
      </c>
      <c r="R133" s="899">
        <v>7</v>
      </c>
      <c r="S133" s="899" t="s">
        <v>2538</v>
      </c>
      <c r="T133" s="899">
        <v>1</v>
      </c>
      <c r="U133" s="899" t="s">
        <v>2638</v>
      </c>
      <c r="V133" s="926">
        <v>5004629</v>
      </c>
      <c r="W133" s="899">
        <v>1200</v>
      </c>
      <c r="X133" s="926">
        <f t="shared" si="5"/>
        <v>4404073.5200000005</v>
      </c>
      <c r="Y133" s="927">
        <f t="shared" si="6"/>
        <v>629153.3600000001</v>
      </c>
    </row>
    <row r="134" spans="1:25">
      <c r="A134" s="899">
        <v>476</v>
      </c>
      <c r="B134" s="899">
        <v>1265</v>
      </c>
      <c r="C134" s="899" t="s">
        <v>1191</v>
      </c>
      <c r="D134" s="925">
        <v>41193</v>
      </c>
      <c r="E134" s="899" t="s">
        <v>140</v>
      </c>
      <c r="F134" s="925">
        <v>41578</v>
      </c>
      <c r="G134" s="901">
        <v>0</v>
      </c>
      <c r="H134" s="901">
        <v>386408</v>
      </c>
      <c r="I134" s="899">
        <v>0.57736611506798896</v>
      </c>
      <c r="K134" s="899" t="s">
        <v>2678</v>
      </c>
      <c r="L134" s="899" t="s">
        <v>2679</v>
      </c>
      <c r="M134" s="899">
        <v>1265002010</v>
      </c>
      <c r="N134" s="899" t="s">
        <v>2531</v>
      </c>
      <c r="O134" s="899" t="s">
        <v>2680</v>
      </c>
      <c r="P134" s="899">
        <v>138</v>
      </c>
      <c r="Q134" s="899" t="s">
        <v>2533</v>
      </c>
      <c r="R134" s="899">
        <v>0.5</v>
      </c>
      <c r="S134" s="899" t="s">
        <v>2534</v>
      </c>
      <c r="T134" s="899">
        <v>1</v>
      </c>
      <c r="U134" s="899" t="s">
        <v>2638</v>
      </c>
      <c r="V134" s="926">
        <v>386408</v>
      </c>
      <c r="W134" s="899">
        <v>1265</v>
      </c>
      <c r="X134" s="926">
        <f t="shared" si="5"/>
        <v>386408</v>
      </c>
      <c r="Y134" s="927">
        <f t="shared" si="6"/>
        <v>772816</v>
      </c>
    </row>
    <row r="135" spans="1:25">
      <c r="A135" s="899">
        <v>491</v>
      </c>
      <c r="B135" s="899">
        <v>1343</v>
      </c>
      <c r="C135" s="899" t="s">
        <v>1191</v>
      </c>
      <c r="D135" s="925">
        <v>41183</v>
      </c>
      <c r="E135" s="899" t="s">
        <v>140</v>
      </c>
      <c r="F135" s="925">
        <v>41880</v>
      </c>
      <c r="G135" s="901">
        <v>2611000</v>
      </c>
      <c r="H135" s="901">
        <v>0</v>
      </c>
      <c r="I135" s="899">
        <v>0.60368628447947104</v>
      </c>
      <c r="K135" s="899" t="s">
        <v>2870</v>
      </c>
      <c r="L135" s="899" t="s">
        <v>2959</v>
      </c>
      <c r="M135" s="899">
        <v>1343002043</v>
      </c>
      <c r="N135" s="899" t="s">
        <v>2531</v>
      </c>
      <c r="O135" s="899" t="s">
        <v>1802</v>
      </c>
      <c r="P135" s="899">
        <v>138</v>
      </c>
      <c r="Q135" s="899" t="s">
        <v>2533</v>
      </c>
      <c r="R135" s="899">
        <v>3.5</v>
      </c>
      <c r="S135" s="899" t="s">
        <v>2534</v>
      </c>
      <c r="T135" s="899">
        <v>1</v>
      </c>
      <c r="U135" s="899" t="s">
        <v>2638</v>
      </c>
      <c r="V135" s="926">
        <v>2611000</v>
      </c>
      <c r="W135" s="899">
        <v>1343</v>
      </c>
      <c r="X135" s="926">
        <f t="shared" si="5"/>
        <v>2611000</v>
      </c>
      <c r="Y135" s="927">
        <f t="shared" si="6"/>
        <v>746000</v>
      </c>
    </row>
    <row r="136" spans="1:25">
      <c r="A136" s="899">
        <v>492</v>
      </c>
      <c r="B136" s="899">
        <v>1343</v>
      </c>
      <c r="C136" s="899" t="s">
        <v>1191</v>
      </c>
      <c r="D136" s="925">
        <v>41183</v>
      </c>
      <c r="E136" s="899" t="s">
        <v>140</v>
      </c>
      <c r="F136" s="925">
        <v>41880</v>
      </c>
      <c r="G136" s="901">
        <v>1879000</v>
      </c>
      <c r="H136" s="901">
        <v>0</v>
      </c>
      <c r="I136" s="899">
        <v>0.60368628447947104</v>
      </c>
      <c r="K136" s="899" t="s">
        <v>2870</v>
      </c>
      <c r="L136" s="899" t="s">
        <v>2960</v>
      </c>
      <c r="M136" s="899">
        <v>1343002040</v>
      </c>
      <c r="N136" s="899" t="s">
        <v>2531</v>
      </c>
      <c r="O136" s="899" t="s">
        <v>1800</v>
      </c>
      <c r="P136" s="899">
        <v>138</v>
      </c>
      <c r="Q136" s="899" t="s">
        <v>2533</v>
      </c>
      <c r="R136" s="899">
        <v>1.9</v>
      </c>
      <c r="S136" s="899" t="s">
        <v>2534</v>
      </c>
      <c r="T136" s="899">
        <v>1</v>
      </c>
      <c r="U136" s="899" t="s">
        <v>2638</v>
      </c>
      <c r="V136" s="926">
        <v>1879000</v>
      </c>
      <c r="W136" s="899">
        <v>1343</v>
      </c>
      <c r="X136" s="926">
        <f t="shared" si="5"/>
        <v>1879000</v>
      </c>
      <c r="Y136" s="927">
        <f t="shared" si="6"/>
        <v>988947.3684210527</v>
      </c>
    </row>
    <row r="137" spans="1:25">
      <c r="A137" s="899">
        <v>507</v>
      </c>
      <c r="B137" s="899">
        <v>1381</v>
      </c>
      <c r="C137" s="899" t="s">
        <v>1512</v>
      </c>
      <c r="D137" s="925">
        <v>41943</v>
      </c>
      <c r="E137" s="899" t="s">
        <v>140</v>
      </c>
      <c r="F137" s="925">
        <v>42583</v>
      </c>
      <c r="G137" s="901">
        <v>1393293</v>
      </c>
      <c r="H137" s="901">
        <v>0</v>
      </c>
      <c r="I137" s="899">
        <v>0.47076889327629701</v>
      </c>
      <c r="J137" s="899" t="s">
        <v>1252</v>
      </c>
      <c r="K137" s="899" t="s">
        <v>2961</v>
      </c>
      <c r="L137" s="899" t="s">
        <v>2962</v>
      </c>
      <c r="M137" s="899">
        <v>13810020003</v>
      </c>
      <c r="N137" s="899" t="s">
        <v>2531</v>
      </c>
      <c r="O137" s="899" t="s">
        <v>2962</v>
      </c>
      <c r="P137" s="899">
        <v>138</v>
      </c>
      <c r="Q137" s="899" t="s">
        <v>2533</v>
      </c>
      <c r="R137" s="899">
        <v>1</v>
      </c>
      <c r="S137" s="899" t="s">
        <v>2534</v>
      </c>
      <c r="T137" s="899">
        <v>1</v>
      </c>
      <c r="U137" s="899" t="s">
        <v>2638</v>
      </c>
      <c r="V137" s="926">
        <v>1393293</v>
      </c>
      <c r="W137" s="899">
        <v>1381</v>
      </c>
      <c r="X137" s="926">
        <f t="shared" si="5"/>
        <v>1393293</v>
      </c>
      <c r="Y137" s="927">
        <f t="shared" si="6"/>
        <v>1393293</v>
      </c>
    </row>
    <row r="138" spans="1:25">
      <c r="A138" s="899">
        <v>510</v>
      </c>
      <c r="B138" s="899">
        <v>1410</v>
      </c>
      <c r="C138" s="899" t="s">
        <v>1191</v>
      </c>
      <c r="D138" s="925">
        <v>41988</v>
      </c>
      <c r="E138" s="899" t="s">
        <v>66</v>
      </c>
      <c r="F138" s="925">
        <v>42552</v>
      </c>
      <c r="G138" s="901">
        <v>0</v>
      </c>
      <c r="H138" s="901">
        <v>734304</v>
      </c>
      <c r="I138" s="899">
        <v>0.58619509224175503</v>
      </c>
      <c r="J138" s="899" t="s">
        <v>1248</v>
      </c>
      <c r="K138" s="899" t="s">
        <v>2963</v>
      </c>
      <c r="L138" s="899" t="s">
        <v>1379</v>
      </c>
      <c r="M138" s="899">
        <v>14100020045</v>
      </c>
      <c r="N138" s="899" t="s">
        <v>2531</v>
      </c>
      <c r="O138" s="899" t="s">
        <v>1379</v>
      </c>
      <c r="P138" s="899">
        <v>144</v>
      </c>
      <c r="Q138" s="899" t="s">
        <v>2533</v>
      </c>
      <c r="R138" s="899">
        <v>0.05</v>
      </c>
      <c r="S138" s="899" t="s">
        <v>2534</v>
      </c>
      <c r="T138" s="899">
        <v>1</v>
      </c>
      <c r="U138" s="899" t="s">
        <v>2638</v>
      </c>
      <c r="V138" s="926">
        <v>734304</v>
      </c>
      <c r="W138" s="899">
        <v>1410</v>
      </c>
      <c r="X138" s="926">
        <f t="shared" si="5"/>
        <v>734304</v>
      </c>
      <c r="Y138" s="927">
        <f t="shared" si="6"/>
        <v>14686080</v>
      </c>
    </row>
    <row r="139" spans="1:25">
      <c r="A139" s="899">
        <v>524</v>
      </c>
      <c r="B139" s="899">
        <v>1460</v>
      </c>
      <c r="C139" s="899" t="s">
        <v>1191</v>
      </c>
      <c r="D139" s="925">
        <v>42461</v>
      </c>
      <c r="E139" s="899" t="s">
        <v>140</v>
      </c>
      <c r="F139" s="925">
        <v>43497</v>
      </c>
      <c r="G139" s="901">
        <v>0</v>
      </c>
      <c r="H139" s="901">
        <v>1013000</v>
      </c>
      <c r="I139" s="899">
        <v>0.58075103774495596</v>
      </c>
      <c r="J139" s="899" t="s">
        <v>1250</v>
      </c>
      <c r="K139" s="899" t="s">
        <v>2964</v>
      </c>
      <c r="L139" s="899" t="s">
        <v>2965</v>
      </c>
      <c r="M139" s="899">
        <v>14600020004</v>
      </c>
      <c r="N139" s="899" t="s">
        <v>2531</v>
      </c>
      <c r="O139" s="899" t="s">
        <v>1404</v>
      </c>
      <c r="P139" s="899">
        <v>138</v>
      </c>
      <c r="Q139" s="899" t="s">
        <v>2533</v>
      </c>
      <c r="R139" s="899">
        <v>0.13</v>
      </c>
      <c r="S139" s="899" t="s">
        <v>2538</v>
      </c>
      <c r="T139" s="899">
        <v>1</v>
      </c>
      <c r="U139" s="899" t="s">
        <v>2638</v>
      </c>
      <c r="V139" s="926">
        <v>1013000</v>
      </c>
      <c r="W139" s="899">
        <v>1460</v>
      </c>
      <c r="X139" s="926">
        <f t="shared" si="5"/>
        <v>891440</v>
      </c>
      <c r="Y139" s="927">
        <f t="shared" si="6"/>
        <v>6857230.769230769</v>
      </c>
    </row>
    <row r="140" spans="1:25">
      <c r="A140" s="899">
        <v>525</v>
      </c>
      <c r="B140" s="899">
        <v>1460</v>
      </c>
      <c r="C140" s="899" t="s">
        <v>1512</v>
      </c>
      <c r="D140" s="925">
        <v>42461</v>
      </c>
      <c r="E140" s="899" t="s">
        <v>140</v>
      </c>
      <c r="F140" s="925">
        <v>43497</v>
      </c>
      <c r="G140" s="901">
        <v>0</v>
      </c>
      <c r="H140" s="901">
        <v>1013000</v>
      </c>
      <c r="I140" s="899">
        <v>0.58075103774495596</v>
      </c>
      <c r="J140" s="899" t="s">
        <v>1250</v>
      </c>
      <c r="K140" s="899" t="s">
        <v>2966</v>
      </c>
      <c r="L140" s="899" t="s">
        <v>2965</v>
      </c>
      <c r="M140" s="899">
        <v>14600020056</v>
      </c>
      <c r="N140" s="899" t="s">
        <v>2531</v>
      </c>
      <c r="O140" s="899" t="s">
        <v>1404</v>
      </c>
      <c r="P140" s="899">
        <v>138</v>
      </c>
      <c r="Q140" s="899" t="s">
        <v>2533</v>
      </c>
      <c r="R140" s="899">
        <v>0.13</v>
      </c>
      <c r="S140" s="899" t="s">
        <v>2538</v>
      </c>
      <c r="T140" s="899">
        <v>1</v>
      </c>
      <c r="U140" s="899" t="s">
        <v>2638</v>
      </c>
      <c r="V140" s="926">
        <v>1013000</v>
      </c>
      <c r="W140" s="899">
        <v>1460</v>
      </c>
      <c r="X140" s="926">
        <f t="shared" si="5"/>
        <v>891440</v>
      </c>
      <c r="Y140" s="927">
        <f t="shared" si="6"/>
        <v>6857230.769230769</v>
      </c>
    </row>
    <row r="141" spans="1:25">
      <c r="A141" s="899">
        <v>749</v>
      </c>
      <c r="B141" s="899">
        <v>1549</v>
      </c>
      <c r="C141" s="899" t="s">
        <v>1512</v>
      </c>
      <c r="D141" s="925">
        <v>42258</v>
      </c>
      <c r="E141" s="899" t="s">
        <v>64</v>
      </c>
      <c r="F141" s="925"/>
      <c r="G141" s="901">
        <v>8325572</v>
      </c>
      <c r="H141" s="901">
        <v>0</v>
      </c>
      <c r="I141" s="899">
        <v>0.62327394839850603</v>
      </c>
      <c r="K141" s="899" t="s">
        <v>2967</v>
      </c>
      <c r="L141" s="899" t="s">
        <v>2968</v>
      </c>
      <c r="M141" s="899">
        <v>15490020136</v>
      </c>
      <c r="N141" s="899" t="s">
        <v>2531</v>
      </c>
      <c r="O141" s="899" t="s">
        <v>2969</v>
      </c>
      <c r="P141" s="899">
        <v>138</v>
      </c>
      <c r="Q141" s="899" t="s">
        <v>2533</v>
      </c>
      <c r="R141" s="899">
        <v>6.4</v>
      </c>
      <c r="S141" s="899" t="s">
        <v>2534</v>
      </c>
      <c r="T141" s="899">
        <v>1</v>
      </c>
      <c r="U141" s="899" t="s">
        <v>2638</v>
      </c>
      <c r="V141" s="926">
        <v>8325572</v>
      </c>
      <c r="W141" s="899">
        <v>1549</v>
      </c>
      <c r="X141" s="926">
        <f t="shared" si="5"/>
        <v>8325572</v>
      </c>
      <c r="Y141" s="927">
        <f t="shared" si="6"/>
        <v>1300870.625</v>
      </c>
    </row>
    <row r="142" spans="1:25">
      <c r="A142" s="899">
        <v>750</v>
      </c>
      <c r="B142" s="899">
        <v>1549</v>
      </c>
      <c r="C142" s="899" t="s">
        <v>1512</v>
      </c>
      <c r="D142" s="925">
        <v>42258</v>
      </c>
      <c r="E142" s="899" t="s">
        <v>64</v>
      </c>
      <c r="F142" s="925"/>
      <c r="G142" s="901">
        <v>4213831</v>
      </c>
      <c r="H142" s="901">
        <v>0</v>
      </c>
      <c r="I142" s="899">
        <v>0.62900800902620102</v>
      </c>
      <c r="K142" s="899" t="s">
        <v>2967</v>
      </c>
      <c r="L142" s="899" t="s">
        <v>2968</v>
      </c>
      <c r="M142" s="899">
        <v>15490020083</v>
      </c>
      <c r="N142" s="899" t="s">
        <v>2531</v>
      </c>
      <c r="O142" s="899" t="s">
        <v>2970</v>
      </c>
      <c r="P142" s="899">
        <v>138</v>
      </c>
      <c r="Q142" s="899" t="s">
        <v>2533</v>
      </c>
      <c r="R142" s="899">
        <v>6</v>
      </c>
      <c r="S142" s="899" t="s">
        <v>2534</v>
      </c>
      <c r="T142" s="899">
        <v>1</v>
      </c>
      <c r="U142" s="899" t="s">
        <v>2638</v>
      </c>
      <c r="V142" s="926">
        <v>4213831</v>
      </c>
      <c r="W142" s="899">
        <v>1549</v>
      </c>
      <c r="X142" s="926">
        <f t="shared" si="5"/>
        <v>4213831</v>
      </c>
      <c r="Y142" s="927">
        <f t="shared" si="6"/>
        <v>702305.16666666663</v>
      </c>
    </row>
    <row r="143" spans="1:25">
      <c r="A143" s="899">
        <v>751</v>
      </c>
      <c r="B143" s="899">
        <v>1549</v>
      </c>
      <c r="C143" s="899" t="s">
        <v>1512</v>
      </c>
      <c r="D143" s="925">
        <v>42258</v>
      </c>
      <c r="E143" s="899" t="s">
        <v>64</v>
      </c>
      <c r="F143" s="925"/>
      <c r="G143" s="901">
        <v>5512208</v>
      </c>
      <c r="H143" s="901">
        <v>0</v>
      </c>
      <c r="I143" s="899">
        <v>0.62900800902620102</v>
      </c>
      <c r="K143" s="899" t="s">
        <v>2967</v>
      </c>
      <c r="L143" s="899" t="s">
        <v>2971</v>
      </c>
      <c r="M143" s="899">
        <v>15490020087</v>
      </c>
      <c r="N143" s="899" t="s">
        <v>2531</v>
      </c>
      <c r="O143" s="899" t="s">
        <v>2972</v>
      </c>
      <c r="P143" s="899">
        <v>138</v>
      </c>
      <c r="Q143" s="899" t="s">
        <v>2533</v>
      </c>
      <c r="R143" s="899">
        <v>5.5</v>
      </c>
      <c r="S143" s="899" t="s">
        <v>2534</v>
      </c>
      <c r="T143" s="899">
        <v>1</v>
      </c>
      <c r="U143" s="899" t="s">
        <v>2638</v>
      </c>
      <c r="V143" s="926">
        <v>5512208</v>
      </c>
      <c r="W143" s="899">
        <v>1549</v>
      </c>
      <c r="X143" s="926">
        <f t="shared" si="5"/>
        <v>5512208</v>
      </c>
      <c r="Y143" s="927">
        <f t="shared" si="6"/>
        <v>1002219.6363636364</v>
      </c>
    </row>
    <row r="144" spans="1:25">
      <c r="A144" s="899">
        <v>752</v>
      </c>
      <c r="B144" s="899">
        <v>1549</v>
      </c>
      <c r="C144" s="899" t="s">
        <v>1512</v>
      </c>
      <c r="D144" s="925">
        <v>42258</v>
      </c>
      <c r="E144" s="899" t="s">
        <v>64</v>
      </c>
      <c r="F144" s="925"/>
      <c r="G144" s="901">
        <v>3276979</v>
      </c>
      <c r="H144" s="901">
        <v>0</v>
      </c>
      <c r="I144" s="899">
        <v>0.63376441082631296</v>
      </c>
      <c r="K144" s="899" t="s">
        <v>2967</v>
      </c>
      <c r="L144" s="899" t="s">
        <v>2973</v>
      </c>
      <c r="M144" s="899">
        <v>15490020019</v>
      </c>
      <c r="N144" s="899" t="s">
        <v>2531</v>
      </c>
      <c r="O144" s="899" t="s">
        <v>2974</v>
      </c>
      <c r="P144" s="899">
        <v>138</v>
      </c>
      <c r="Q144" s="899" t="s">
        <v>2533</v>
      </c>
      <c r="R144" s="899">
        <v>4.2</v>
      </c>
      <c r="S144" s="899" t="s">
        <v>2534</v>
      </c>
      <c r="T144" s="899">
        <v>1</v>
      </c>
      <c r="U144" s="899" t="s">
        <v>2638</v>
      </c>
      <c r="V144" s="926">
        <v>3276979</v>
      </c>
      <c r="W144" s="899">
        <v>1549</v>
      </c>
      <c r="X144" s="926">
        <f t="shared" si="5"/>
        <v>3276979</v>
      </c>
      <c r="Y144" s="927">
        <f t="shared" si="6"/>
        <v>780233.09523809515</v>
      </c>
    </row>
    <row r="145" spans="1:25">
      <c r="A145" s="899">
        <v>753</v>
      </c>
      <c r="B145" s="899">
        <v>1549</v>
      </c>
      <c r="C145" s="899" t="s">
        <v>1512</v>
      </c>
      <c r="D145" s="925">
        <v>42258</v>
      </c>
      <c r="E145" s="899" t="s">
        <v>64</v>
      </c>
      <c r="F145" s="925"/>
      <c r="G145" s="901">
        <v>6852291</v>
      </c>
      <c r="H145" s="901">
        <v>0</v>
      </c>
      <c r="I145" s="899">
        <v>0.62327394839850603</v>
      </c>
      <c r="K145" s="899" t="s">
        <v>2967</v>
      </c>
      <c r="L145" s="899" t="s">
        <v>2975</v>
      </c>
      <c r="M145" s="899">
        <v>15490020164</v>
      </c>
      <c r="N145" s="899" t="s">
        <v>2531</v>
      </c>
      <c r="O145" s="899" t="s">
        <v>2976</v>
      </c>
      <c r="P145" s="899">
        <v>138</v>
      </c>
      <c r="Q145" s="899" t="s">
        <v>2533</v>
      </c>
      <c r="R145" s="899">
        <v>1.65</v>
      </c>
      <c r="S145" s="899" t="s">
        <v>2534</v>
      </c>
      <c r="T145" s="899">
        <v>1</v>
      </c>
      <c r="U145" s="899" t="s">
        <v>2638</v>
      </c>
      <c r="V145" s="926">
        <v>6852291</v>
      </c>
      <c r="W145" s="899">
        <v>1549</v>
      </c>
      <c r="X145" s="926">
        <f t="shared" si="5"/>
        <v>6852291</v>
      </c>
      <c r="Y145" s="927">
        <f t="shared" si="6"/>
        <v>4152903.6363636367</v>
      </c>
    </row>
    <row r="146" spans="1:25">
      <c r="A146" s="899">
        <v>754</v>
      </c>
      <c r="B146" s="899">
        <v>1549</v>
      </c>
      <c r="C146" s="899" t="s">
        <v>1512</v>
      </c>
      <c r="D146" s="899">
        <v>42258</v>
      </c>
      <c r="E146" s="899" t="s">
        <v>64</v>
      </c>
      <c r="G146" s="901">
        <v>8072194</v>
      </c>
      <c r="H146" s="901">
        <v>0</v>
      </c>
      <c r="I146" s="899">
        <v>0.62900800902620102</v>
      </c>
      <c r="K146" s="899" t="s">
        <v>2967</v>
      </c>
      <c r="L146" s="899" t="s">
        <v>2977</v>
      </c>
      <c r="M146" s="899">
        <v>15490020079</v>
      </c>
      <c r="N146" s="899" t="s">
        <v>2531</v>
      </c>
      <c r="O146" s="899" t="s">
        <v>2978</v>
      </c>
      <c r="P146" s="899">
        <v>138</v>
      </c>
      <c r="Q146" s="899" t="s">
        <v>2533</v>
      </c>
      <c r="R146" s="899">
        <v>6.4</v>
      </c>
      <c r="S146" s="899" t="s">
        <v>2534</v>
      </c>
      <c r="T146" s="899">
        <v>1</v>
      </c>
      <c r="U146" s="899" t="s">
        <v>2638</v>
      </c>
      <c r="V146" s="926">
        <v>8072194</v>
      </c>
      <c r="W146" s="899">
        <v>1549</v>
      </c>
      <c r="X146" s="926">
        <f t="shared" si="5"/>
        <v>8072194</v>
      </c>
      <c r="Y146" s="927">
        <f t="shared" si="6"/>
        <v>1261280.3125</v>
      </c>
    </row>
    <row r="147" spans="1:25">
      <c r="A147" s="899">
        <v>755</v>
      </c>
      <c r="B147" s="899">
        <v>1549</v>
      </c>
      <c r="C147" s="899" t="s">
        <v>1512</v>
      </c>
      <c r="D147" s="899">
        <v>42258</v>
      </c>
      <c r="E147" s="899" t="s">
        <v>64</v>
      </c>
      <c r="G147" s="901">
        <v>7046629</v>
      </c>
      <c r="H147" s="901">
        <v>0</v>
      </c>
      <c r="I147" s="899">
        <v>0.62900800902620102</v>
      </c>
      <c r="K147" s="899" t="s">
        <v>2967</v>
      </c>
      <c r="L147" s="899" t="s">
        <v>2979</v>
      </c>
      <c r="M147" s="899">
        <v>15490020099</v>
      </c>
      <c r="N147" s="899" t="s">
        <v>2531</v>
      </c>
      <c r="O147" s="899" t="s">
        <v>2980</v>
      </c>
      <c r="P147" s="899">
        <v>138</v>
      </c>
      <c r="Q147" s="899" t="s">
        <v>2533</v>
      </c>
      <c r="R147" s="899">
        <v>3.3</v>
      </c>
      <c r="S147" s="899" t="s">
        <v>2534</v>
      </c>
      <c r="T147" s="899">
        <v>1</v>
      </c>
      <c r="U147" s="899" t="s">
        <v>2638</v>
      </c>
      <c r="V147" s="926">
        <v>7046629</v>
      </c>
      <c r="W147" s="899">
        <v>1549</v>
      </c>
      <c r="X147" s="926">
        <f t="shared" si="5"/>
        <v>7046629</v>
      </c>
      <c r="Y147" s="927">
        <f t="shared" si="6"/>
        <v>2135342.1212121211</v>
      </c>
    </row>
    <row r="148" spans="1:25">
      <c r="A148" s="899">
        <v>756</v>
      </c>
      <c r="B148" s="899">
        <v>1549</v>
      </c>
      <c r="C148" s="899" t="s">
        <v>1512</v>
      </c>
      <c r="D148" s="899">
        <v>42258</v>
      </c>
      <c r="E148" s="899" t="s">
        <v>64</v>
      </c>
      <c r="G148" s="901">
        <v>8325572</v>
      </c>
      <c r="H148" s="901">
        <v>0</v>
      </c>
      <c r="I148" s="899">
        <v>0.63376441082631296</v>
      </c>
      <c r="K148" s="899" t="s">
        <v>2967</v>
      </c>
      <c r="L148" s="899" t="s">
        <v>2981</v>
      </c>
      <c r="M148" s="899">
        <v>15490020003</v>
      </c>
      <c r="N148" s="899" t="s">
        <v>2531</v>
      </c>
      <c r="O148" s="899" t="s">
        <v>2982</v>
      </c>
      <c r="P148" s="899">
        <v>138</v>
      </c>
      <c r="Q148" s="899" t="s">
        <v>2533</v>
      </c>
      <c r="R148" s="899">
        <v>6.4</v>
      </c>
      <c r="S148" s="899" t="s">
        <v>2534</v>
      </c>
      <c r="T148" s="899">
        <v>1</v>
      </c>
      <c r="U148" s="899" t="s">
        <v>2638</v>
      </c>
      <c r="V148" s="926">
        <v>8325572</v>
      </c>
      <c r="W148" s="899">
        <v>1549</v>
      </c>
      <c r="X148" s="926">
        <f t="shared" si="5"/>
        <v>8325572</v>
      </c>
      <c r="Y148" s="927">
        <f t="shared" si="6"/>
        <v>1300870.625</v>
      </c>
    </row>
    <row r="149" spans="1:25">
      <c r="A149" s="899">
        <v>757</v>
      </c>
      <c r="B149" s="899">
        <v>1549</v>
      </c>
      <c r="C149" s="899" t="s">
        <v>1512</v>
      </c>
      <c r="D149" s="899">
        <v>42258</v>
      </c>
      <c r="E149" s="899" t="s">
        <v>64</v>
      </c>
      <c r="G149" s="901">
        <v>6852291</v>
      </c>
      <c r="H149" s="901">
        <v>0</v>
      </c>
      <c r="I149" s="899">
        <v>0.63376441082631296</v>
      </c>
      <c r="K149" s="899" t="s">
        <v>2967</v>
      </c>
      <c r="L149" s="899" t="s">
        <v>2983</v>
      </c>
      <c r="M149" s="899">
        <v>15490020031</v>
      </c>
      <c r="N149" s="899" t="s">
        <v>2531</v>
      </c>
      <c r="O149" s="899" t="s">
        <v>2984</v>
      </c>
      <c r="P149" s="899">
        <v>138</v>
      </c>
      <c r="Q149" s="899" t="s">
        <v>2533</v>
      </c>
      <c r="R149" s="899">
        <v>1.65</v>
      </c>
      <c r="S149" s="899" t="s">
        <v>2534</v>
      </c>
      <c r="T149" s="899">
        <v>1</v>
      </c>
      <c r="U149" s="899" t="s">
        <v>2638</v>
      </c>
      <c r="V149" s="926">
        <v>6852291</v>
      </c>
      <c r="W149" s="899">
        <v>1549</v>
      </c>
      <c r="X149" s="926">
        <f t="shared" si="5"/>
        <v>6852291</v>
      </c>
      <c r="Y149" s="927">
        <f t="shared" si="6"/>
        <v>4152903.6363636367</v>
      </c>
    </row>
    <row r="150" spans="1:25">
      <c r="A150" s="899">
        <v>758</v>
      </c>
      <c r="B150" s="899">
        <v>1549</v>
      </c>
      <c r="C150" s="899" t="s">
        <v>1512</v>
      </c>
      <c r="D150" s="899">
        <v>42258</v>
      </c>
      <c r="E150" s="899" t="s">
        <v>64</v>
      </c>
      <c r="G150" s="901">
        <v>3276979</v>
      </c>
      <c r="H150" s="901">
        <v>0</v>
      </c>
      <c r="I150" s="899">
        <v>0.62327394839850603</v>
      </c>
      <c r="K150" s="899" t="s">
        <v>2967</v>
      </c>
      <c r="L150" s="899" t="s">
        <v>2985</v>
      </c>
      <c r="M150" s="899">
        <v>15490020152</v>
      </c>
      <c r="N150" s="899" t="s">
        <v>2531</v>
      </c>
      <c r="O150" s="899" t="s">
        <v>2986</v>
      </c>
      <c r="P150" s="899">
        <v>138</v>
      </c>
      <c r="Q150" s="899" t="s">
        <v>2533</v>
      </c>
      <c r="R150" s="899">
        <v>4.2</v>
      </c>
      <c r="S150" s="899" t="s">
        <v>2534</v>
      </c>
      <c r="T150" s="899">
        <v>1</v>
      </c>
      <c r="U150" s="899" t="s">
        <v>2638</v>
      </c>
      <c r="V150" s="926">
        <v>3276979</v>
      </c>
      <c r="W150" s="899">
        <v>1549</v>
      </c>
      <c r="X150" s="926">
        <f t="shared" si="5"/>
        <v>3276979</v>
      </c>
      <c r="Y150" s="927">
        <f t="shared" si="6"/>
        <v>780233.09523809515</v>
      </c>
    </row>
    <row r="151" spans="1:25">
      <c r="A151" s="899">
        <v>759</v>
      </c>
      <c r="B151" s="899">
        <v>1549</v>
      </c>
      <c r="C151" s="899" t="s">
        <v>1512</v>
      </c>
      <c r="D151" s="899">
        <v>42258</v>
      </c>
      <c r="E151" s="899" t="s">
        <v>64</v>
      </c>
      <c r="G151" s="901">
        <v>6740083</v>
      </c>
      <c r="H151" s="901">
        <v>0</v>
      </c>
      <c r="I151" s="899">
        <v>0.62327394839850603</v>
      </c>
      <c r="K151" s="899" t="s">
        <v>2967</v>
      </c>
      <c r="L151" s="899" t="s">
        <v>2987</v>
      </c>
      <c r="M151" s="899">
        <v>15490020148</v>
      </c>
      <c r="N151" s="899" t="s">
        <v>2531</v>
      </c>
      <c r="O151" s="899" t="s">
        <v>2988</v>
      </c>
      <c r="P151" s="899">
        <v>138</v>
      </c>
      <c r="Q151" s="899" t="s">
        <v>2533</v>
      </c>
      <c r="R151" s="899">
        <v>3.9</v>
      </c>
      <c r="S151" s="899" t="s">
        <v>2534</v>
      </c>
      <c r="T151" s="899">
        <v>1</v>
      </c>
      <c r="U151" s="899" t="s">
        <v>2638</v>
      </c>
      <c r="V151" s="926">
        <v>6740083</v>
      </c>
      <c r="W151" s="899">
        <v>1549</v>
      </c>
      <c r="X151" s="926">
        <f t="shared" si="5"/>
        <v>6740083</v>
      </c>
      <c r="Y151" s="927">
        <f t="shared" si="6"/>
        <v>1728226.4102564103</v>
      </c>
    </row>
    <row r="152" spans="1:25">
      <c r="A152" s="899">
        <v>760</v>
      </c>
      <c r="B152" s="899">
        <v>1549</v>
      </c>
      <c r="C152" s="899" t="s">
        <v>1512</v>
      </c>
      <c r="D152" s="899">
        <v>42258</v>
      </c>
      <c r="E152" s="899" t="s">
        <v>64</v>
      </c>
      <c r="G152" s="901">
        <v>4450417</v>
      </c>
      <c r="H152" s="901">
        <v>0</v>
      </c>
      <c r="I152" s="899">
        <v>0.62327394839850603</v>
      </c>
      <c r="K152" s="899" t="s">
        <v>2967</v>
      </c>
      <c r="L152" s="899" t="s">
        <v>2989</v>
      </c>
      <c r="M152" s="899">
        <v>15490020140</v>
      </c>
      <c r="N152" s="899" t="s">
        <v>2531</v>
      </c>
      <c r="O152" s="899" t="s">
        <v>2990</v>
      </c>
      <c r="P152" s="899">
        <v>138</v>
      </c>
      <c r="Q152" s="899" t="s">
        <v>2533</v>
      </c>
      <c r="R152" s="899">
        <v>6</v>
      </c>
      <c r="S152" s="899" t="s">
        <v>2534</v>
      </c>
      <c r="T152" s="899">
        <v>1</v>
      </c>
      <c r="U152" s="899" t="s">
        <v>2638</v>
      </c>
      <c r="V152" s="926">
        <v>4450417</v>
      </c>
      <c r="W152" s="899">
        <v>1549</v>
      </c>
      <c r="X152" s="926">
        <f t="shared" si="5"/>
        <v>4450417</v>
      </c>
      <c r="Y152" s="927">
        <f t="shared" si="6"/>
        <v>741736.16666666663</v>
      </c>
    </row>
    <row r="153" spans="1:25">
      <c r="A153" s="899">
        <v>761</v>
      </c>
      <c r="B153" s="899">
        <v>1549</v>
      </c>
      <c r="C153" s="899" t="s">
        <v>1512</v>
      </c>
      <c r="D153" s="899">
        <v>42258</v>
      </c>
      <c r="E153" s="899" t="s">
        <v>64</v>
      </c>
      <c r="G153" s="901">
        <v>2566775</v>
      </c>
      <c r="H153" s="901">
        <v>0</v>
      </c>
      <c r="I153" s="899">
        <v>0.62900800902620102</v>
      </c>
      <c r="K153" s="899" t="s">
        <v>2967</v>
      </c>
      <c r="L153" s="899" t="s">
        <v>2991</v>
      </c>
      <c r="M153" s="899">
        <v>15490020095</v>
      </c>
      <c r="N153" s="899" t="s">
        <v>2531</v>
      </c>
      <c r="O153" s="899" t="s">
        <v>2992</v>
      </c>
      <c r="P153" s="899">
        <v>138</v>
      </c>
      <c r="Q153" s="899" t="s">
        <v>2533</v>
      </c>
      <c r="R153" s="899">
        <v>2.1</v>
      </c>
      <c r="S153" s="899" t="s">
        <v>2534</v>
      </c>
      <c r="T153" s="899">
        <v>1</v>
      </c>
      <c r="U153" s="899" t="s">
        <v>2638</v>
      </c>
      <c r="V153" s="926">
        <v>2566775</v>
      </c>
      <c r="W153" s="899">
        <v>1549</v>
      </c>
      <c r="X153" s="926">
        <f t="shared" si="5"/>
        <v>2566775</v>
      </c>
      <c r="Y153" s="927">
        <f t="shared" si="6"/>
        <v>1222273.8095238095</v>
      </c>
    </row>
    <row r="154" spans="1:25">
      <c r="A154" s="899">
        <v>762</v>
      </c>
      <c r="B154" s="899">
        <v>1549</v>
      </c>
      <c r="C154" s="899" t="s">
        <v>1512</v>
      </c>
      <c r="D154" s="899">
        <v>42258</v>
      </c>
      <c r="E154" s="899" t="s">
        <v>64</v>
      </c>
      <c r="G154" s="901">
        <v>5809406</v>
      </c>
      <c r="H154" s="901">
        <v>0</v>
      </c>
      <c r="I154" s="899">
        <v>0.62327394839850603</v>
      </c>
      <c r="K154" s="899" t="s">
        <v>2967</v>
      </c>
      <c r="L154" s="899" t="s">
        <v>2993</v>
      </c>
      <c r="M154" s="899">
        <v>15490020144</v>
      </c>
      <c r="N154" s="899" t="s">
        <v>2531</v>
      </c>
      <c r="O154" s="899" t="s">
        <v>2994</v>
      </c>
      <c r="P154" s="899">
        <v>138</v>
      </c>
      <c r="Q154" s="899" t="s">
        <v>2533</v>
      </c>
      <c r="R154" s="899">
        <v>5.5</v>
      </c>
      <c r="S154" s="899" t="s">
        <v>2534</v>
      </c>
      <c r="T154" s="899">
        <v>1</v>
      </c>
      <c r="U154" s="899" t="s">
        <v>2638</v>
      </c>
      <c r="V154" s="926">
        <v>5809406</v>
      </c>
      <c r="W154" s="899">
        <v>1549</v>
      </c>
      <c r="X154" s="926">
        <f t="shared" si="5"/>
        <v>5809406</v>
      </c>
      <c r="Y154" s="927">
        <f t="shared" si="6"/>
        <v>1056255.6363636365</v>
      </c>
    </row>
    <row r="155" spans="1:25">
      <c r="A155" s="899">
        <v>763</v>
      </c>
      <c r="B155" s="899">
        <v>1549</v>
      </c>
      <c r="C155" s="899" t="s">
        <v>1512</v>
      </c>
      <c r="D155" s="899">
        <v>42258</v>
      </c>
      <c r="E155" s="899" t="s">
        <v>64</v>
      </c>
      <c r="G155" s="901">
        <v>6718990</v>
      </c>
      <c r="H155" s="901">
        <v>0</v>
      </c>
      <c r="I155" s="899">
        <v>0.62900800902620102</v>
      </c>
      <c r="K155" s="899" t="s">
        <v>2967</v>
      </c>
      <c r="L155" s="899" t="s">
        <v>2995</v>
      </c>
      <c r="M155" s="899">
        <v>15490020091</v>
      </c>
      <c r="N155" s="899" t="s">
        <v>2531</v>
      </c>
      <c r="O155" s="899" t="s">
        <v>2996</v>
      </c>
      <c r="P155" s="899">
        <v>138</v>
      </c>
      <c r="Q155" s="899" t="s">
        <v>2533</v>
      </c>
      <c r="R155" s="899">
        <v>3.9</v>
      </c>
      <c r="S155" s="899" t="s">
        <v>2534</v>
      </c>
      <c r="T155" s="899">
        <v>1</v>
      </c>
      <c r="U155" s="899" t="s">
        <v>2638</v>
      </c>
      <c r="V155" s="926">
        <v>6718990</v>
      </c>
      <c r="W155" s="899">
        <v>1549</v>
      </c>
      <c r="X155" s="926">
        <f t="shared" si="5"/>
        <v>6718990</v>
      </c>
      <c r="Y155" s="927">
        <f t="shared" si="6"/>
        <v>1722817.9487179487</v>
      </c>
    </row>
    <row r="156" spans="1:25">
      <c r="A156" s="899">
        <v>764</v>
      </c>
      <c r="B156" s="899">
        <v>1549</v>
      </c>
      <c r="C156" s="899" t="s">
        <v>1512</v>
      </c>
      <c r="D156" s="899">
        <v>42258</v>
      </c>
      <c r="E156" s="899" t="s">
        <v>64</v>
      </c>
      <c r="G156" s="901">
        <v>6740083</v>
      </c>
      <c r="H156" s="901">
        <v>0</v>
      </c>
      <c r="I156" s="899">
        <v>0.63376441082631296</v>
      </c>
      <c r="K156" s="899" t="s">
        <v>2967</v>
      </c>
      <c r="L156" s="899" t="s">
        <v>2997</v>
      </c>
      <c r="M156" s="899">
        <v>15490020015</v>
      </c>
      <c r="N156" s="899" t="s">
        <v>2531</v>
      </c>
      <c r="O156" s="899" t="s">
        <v>2998</v>
      </c>
      <c r="P156" s="899">
        <v>138</v>
      </c>
      <c r="Q156" s="899" t="s">
        <v>2533</v>
      </c>
      <c r="R156" s="899">
        <v>3.9</v>
      </c>
      <c r="S156" s="899" t="s">
        <v>2534</v>
      </c>
      <c r="T156" s="899">
        <v>1</v>
      </c>
      <c r="U156" s="899" t="s">
        <v>2638</v>
      </c>
      <c r="V156" s="926">
        <v>6740083</v>
      </c>
      <c r="W156" s="899">
        <v>1549</v>
      </c>
      <c r="X156" s="926">
        <f t="shared" si="5"/>
        <v>6740083</v>
      </c>
      <c r="Y156" s="927">
        <f t="shared" si="6"/>
        <v>1728226.4102564103</v>
      </c>
    </row>
    <row r="157" spans="1:25">
      <c r="A157" s="899">
        <v>765</v>
      </c>
      <c r="B157" s="899">
        <v>1549</v>
      </c>
      <c r="C157" s="899" t="s">
        <v>1512</v>
      </c>
      <c r="D157" s="899">
        <v>42258</v>
      </c>
      <c r="E157" s="899" t="s">
        <v>64</v>
      </c>
      <c r="G157" s="901">
        <v>1891413</v>
      </c>
      <c r="H157" s="901">
        <v>0</v>
      </c>
      <c r="I157" s="899">
        <v>0.62327394839850603</v>
      </c>
      <c r="K157" s="899" t="s">
        <v>2967</v>
      </c>
      <c r="L157" s="899" t="s">
        <v>2999</v>
      </c>
      <c r="M157" s="899">
        <v>15490020160</v>
      </c>
      <c r="N157" s="899" t="s">
        <v>2531</v>
      </c>
      <c r="O157" s="899" t="s">
        <v>3000</v>
      </c>
      <c r="P157" s="899">
        <v>138</v>
      </c>
      <c r="Q157" s="899" t="s">
        <v>2533</v>
      </c>
      <c r="R157" s="899">
        <v>2.2999999999999998</v>
      </c>
      <c r="S157" s="899" t="s">
        <v>2534</v>
      </c>
      <c r="T157" s="899">
        <v>1</v>
      </c>
      <c r="U157" s="899" t="s">
        <v>2638</v>
      </c>
      <c r="V157" s="926">
        <v>1891413</v>
      </c>
      <c r="W157" s="899">
        <v>1549</v>
      </c>
      <c r="X157" s="926">
        <f t="shared" si="5"/>
        <v>1891413</v>
      </c>
      <c r="Y157" s="927">
        <f t="shared" si="6"/>
        <v>822353.47826086963</v>
      </c>
    </row>
    <row r="158" spans="1:25">
      <c r="A158" s="899">
        <v>766</v>
      </c>
      <c r="B158" s="899">
        <v>1549</v>
      </c>
      <c r="C158" s="899" t="s">
        <v>1512</v>
      </c>
      <c r="D158" s="899">
        <v>42258</v>
      </c>
      <c r="E158" s="899" t="s">
        <v>64</v>
      </c>
      <c r="G158" s="901">
        <v>1805797</v>
      </c>
      <c r="H158" s="901">
        <v>0</v>
      </c>
      <c r="I158" s="899">
        <v>0.62327394839850603</v>
      </c>
      <c r="K158" s="899" t="s">
        <v>2967</v>
      </c>
      <c r="L158" s="899" t="s">
        <v>3001</v>
      </c>
      <c r="M158" s="899">
        <v>15490020156</v>
      </c>
      <c r="N158" s="899" t="s">
        <v>2531</v>
      </c>
      <c r="O158" s="899" t="s">
        <v>3002</v>
      </c>
      <c r="P158" s="899">
        <v>138</v>
      </c>
      <c r="Q158" s="899" t="s">
        <v>2533</v>
      </c>
      <c r="R158" s="899">
        <v>3</v>
      </c>
      <c r="S158" s="899" t="s">
        <v>2534</v>
      </c>
      <c r="T158" s="899">
        <v>1</v>
      </c>
      <c r="U158" s="899" t="s">
        <v>2638</v>
      </c>
      <c r="V158" s="926">
        <v>1805797</v>
      </c>
      <c r="W158" s="899">
        <v>1549</v>
      </c>
      <c r="X158" s="926">
        <f t="shared" si="5"/>
        <v>1805797</v>
      </c>
      <c r="Y158" s="927">
        <f t="shared" si="6"/>
        <v>601932.33333333337</v>
      </c>
    </row>
    <row r="159" spans="1:25">
      <c r="A159" s="899">
        <v>767</v>
      </c>
      <c r="B159" s="899">
        <v>1549</v>
      </c>
      <c r="C159" s="899" t="s">
        <v>1512</v>
      </c>
      <c r="D159" s="899">
        <v>42258</v>
      </c>
      <c r="E159" s="899" t="s">
        <v>64</v>
      </c>
      <c r="G159" s="901">
        <v>1891413</v>
      </c>
      <c r="H159" s="901">
        <v>0</v>
      </c>
      <c r="I159" s="899">
        <v>0.63376441082631296</v>
      </c>
      <c r="K159" s="899" t="s">
        <v>2967</v>
      </c>
      <c r="L159" s="899" t="s">
        <v>3003</v>
      </c>
      <c r="M159" s="899">
        <v>15490020027</v>
      </c>
      <c r="N159" s="899" t="s">
        <v>2531</v>
      </c>
      <c r="O159" s="899" t="s">
        <v>3004</v>
      </c>
      <c r="P159" s="899">
        <v>138</v>
      </c>
      <c r="Q159" s="899" t="s">
        <v>2533</v>
      </c>
      <c r="R159" s="899">
        <v>2.2999999999999998</v>
      </c>
      <c r="S159" s="899" t="s">
        <v>2534</v>
      </c>
      <c r="T159" s="899">
        <v>1</v>
      </c>
      <c r="U159" s="899" t="s">
        <v>2638</v>
      </c>
      <c r="V159" s="926">
        <v>1891413</v>
      </c>
      <c r="W159" s="899">
        <v>1549</v>
      </c>
      <c r="X159" s="926">
        <f t="shared" si="5"/>
        <v>1891413</v>
      </c>
      <c r="Y159" s="927">
        <f t="shared" si="6"/>
        <v>822353.47826086963</v>
      </c>
    </row>
    <row r="160" spans="1:25">
      <c r="A160" s="899">
        <v>768</v>
      </c>
      <c r="B160" s="899">
        <v>1549</v>
      </c>
      <c r="C160" s="899" t="s">
        <v>1512</v>
      </c>
      <c r="D160" s="899">
        <v>42258</v>
      </c>
      <c r="E160" s="899" t="s">
        <v>64</v>
      </c>
      <c r="G160" s="901">
        <v>4450417</v>
      </c>
      <c r="H160" s="901">
        <v>0</v>
      </c>
      <c r="I160" s="899">
        <v>0.63376441082631296</v>
      </c>
      <c r="K160" s="899" t="s">
        <v>2967</v>
      </c>
      <c r="L160" s="899" t="s">
        <v>3005</v>
      </c>
      <c r="M160" s="899">
        <v>15490020007</v>
      </c>
      <c r="N160" s="899" t="s">
        <v>2531</v>
      </c>
      <c r="O160" s="899" t="s">
        <v>3006</v>
      </c>
      <c r="P160" s="899">
        <v>138</v>
      </c>
      <c r="Q160" s="899" t="s">
        <v>2533</v>
      </c>
      <c r="R160" s="899">
        <v>6</v>
      </c>
      <c r="S160" s="899" t="s">
        <v>2534</v>
      </c>
      <c r="T160" s="899">
        <v>1</v>
      </c>
      <c r="U160" s="899" t="s">
        <v>2638</v>
      </c>
      <c r="V160" s="926">
        <v>4450417</v>
      </c>
      <c r="W160" s="899">
        <v>1549</v>
      </c>
      <c r="X160" s="926">
        <f t="shared" si="5"/>
        <v>4450417</v>
      </c>
      <c r="Y160" s="927">
        <f t="shared" si="6"/>
        <v>741736.16666666663</v>
      </c>
    </row>
    <row r="161" spans="1:34">
      <c r="A161" s="899">
        <v>769</v>
      </c>
      <c r="B161" s="899">
        <v>1549</v>
      </c>
      <c r="C161" s="899" t="s">
        <v>1512</v>
      </c>
      <c r="D161" s="899">
        <v>42258</v>
      </c>
      <c r="E161" s="899" t="s">
        <v>64</v>
      </c>
      <c r="G161" s="901">
        <v>1805797</v>
      </c>
      <c r="H161" s="901">
        <v>0</v>
      </c>
      <c r="I161" s="899">
        <v>0.63376441082631296</v>
      </c>
      <c r="K161" s="899" t="s">
        <v>2967</v>
      </c>
      <c r="L161" s="899" t="s">
        <v>3007</v>
      </c>
      <c r="M161" s="899">
        <v>15490020023</v>
      </c>
      <c r="N161" s="899" t="s">
        <v>2531</v>
      </c>
      <c r="O161" s="899" t="s">
        <v>3008</v>
      </c>
      <c r="P161" s="899">
        <v>138</v>
      </c>
      <c r="Q161" s="899" t="s">
        <v>2533</v>
      </c>
      <c r="R161" s="899">
        <v>3</v>
      </c>
      <c r="S161" s="899" t="s">
        <v>2534</v>
      </c>
      <c r="T161" s="899">
        <v>1</v>
      </c>
      <c r="U161" s="899" t="s">
        <v>2638</v>
      </c>
      <c r="V161" s="926">
        <v>1805797</v>
      </c>
      <c r="W161" s="899">
        <v>1549</v>
      </c>
      <c r="X161" s="926">
        <f t="shared" si="5"/>
        <v>1805797</v>
      </c>
      <c r="Y161" s="927">
        <f t="shared" si="6"/>
        <v>601932.33333333337</v>
      </c>
    </row>
    <row r="162" spans="1:34">
      <c r="A162" s="899">
        <v>770</v>
      </c>
      <c r="B162" s="899">
        <v>1549</v>
      </c>
      <c r="C162" s="899" t="s">
        <v>1512</v>
      </c>
      <c r="D162" s="899">
        <v>42258</v>
      </c>
      <c r="E162" s="899" t="s">
        <v>64</v>
      </c>
      <c r="G162" s="901">
        <v>5809406</v>
      </c>
      <c r="H162" s="901">
        <v>0</v>
      </c>
      <c r="I162" s="899">
        <v>0.63376441082631296</v>
      </c>
      <c r="K162" s="899" t="s">
        <v>2967</v>
      </c>
      <c r="L162" s="899" t="s">
        <v>3009</v>
      </c>
      <c r="M162" s="899">
        <v>15490020011</v>
      </c>
      <c r="N162" s="899" t="s">
        <v>2531</v>
      </c>
      <c r="O162" s="899" t="s">
        <v>3010</v>
      </c>
      <c r="P162" s="899">
        <v>138</v>
      </c>
      <c r="Q162" s="899" t="s">
        <v>2533</v>
      </c>
      <c r="R162" s="899">
        <v>5.5</v>
      </c>
      <c r="S162" s="899" t="s">
        <v>2534</v>
      </c>
      <c r="T162" s="899">
        <v>1</v>
      </c>
      <c r="U162" s="899" t="s">
        <v>2638</v>
      </c>
      <c r="V162" s="926">
        <v>5809406</v>
      </c>
      <c r="W162" s="899">
        <v>1549</v>
      </c>
      <c r="X162" s="926">
        <f t="shared" si="5"/>
        <v>5809406</v>
      </c>
      <c r="Y162" s="927">
        <f t="shared" si="6"/>
        <v>1056255.6363636365</v>
      </c>
    </row>
    <row r="163" spans="1:34">
      <c r="A163" s="899">
        <v>773</v>
      </c>
      <c r="B163" s="899">
        <v>1566</v>
      </c>
      <c r="C163" s="899" t="s">
        <v>1191</v>
      </c>
      <c r="D163" s="899">
        <v>42678</v>
      </c>
      <c r="E163" s="899" t="s">
        <v>64</v>
      </c>
      <c r="F163" s="899">
        <v>43677</v>
      </c>
      <c r="G163" s="901">
        <v>0</v>
      </c>
      <c r="H163" s="901">
        <v>1310344</v>
      </c>
      <c r="I163" s="899">
        <v>0.63274564798235799</v>
      </c>
      <c r="J163" s="899" t="s">
        <v>1211</v>
      </c>
      <c r="K163" s="899" t="s">
        <v>3011</v>
      </c>
      <c r="L163" s="899" t="s">
        <v>3012</v>
      </c>
      <c r="M163" s="899">
        <v>15660020004</v>
      </c>
      <c r="N163" s="899" t="s">
        <v>2531</v>
      </c>
      <c r="O163" s="899" t="s">
        <v>3012</v>
      </c>
      <c r="P163" s="899">
        <v>138</v>
      </c>
      <c r="Q163" s="899" t="s">
        <v>2533</v>
      </c>
      <c r="R163" s="899">
        <v>0.6</v>
      </c>
      <c r="S163" s="899" t="s">
        <v>2534</v>
      </c>
      <c r="T163" s="899">
        <v>1</v>
      </c>
      <c r="U163" s="899" t="s">
        <v>2638</v>
      </c>
      <c r="V163" s="926">
        <v>1310344</v>
      </c>
      <c r="W163" s="899">
        <v>1566</v>
      </c>
      <c r="X163" s="926">
        <f t="shared" si="5"/>
        <v>1310344</v>
      </c>
      <c r="Y163" s="927">
        <f t="shared" si="6"/>
        <v>2183906.666666667</v>
      </c>
    </row>
    <row r="164" spans="1:34">
      <c r="A164" s="899">
        <v>789</v>
      </c>
      <c r="B164" s="899">
        <v>1781</v>
      </c>
      <c r="C164" s="899" t="s">
        <v>1512</v>
      </c>
      <c r="D164" s="899">
        <v>42621</v>
      </c>
      <c r="E164" s="899" t="s">
        <v>140</v>
      </c>
      <c r="F164" s="899">
        <v>44256</v>
      </c>
      <c r="G164" s="901">
        <v>29754602</v>
      </c>
      <c r="H164" s="901">
        <v>0</v>
      </c>
      <c r="I164" s="899">
        <v>0.52081041854388399</v>
      </c>
      <c r="K164" s="899" t="s">
        <v>3013</v>
      </c>
      <c r="L164" s="899" t="s">
        <v>3014</v>
      </c>
      <c r="M164" s="899">
        <v>17810020087</v>
      </c>
      <c r="N164" s="899" t="s">
        <v>2531</v>
      </c>
      <c r="O164" s="899" t="s">
        <v>3014</v>
      </c>
      <c r="P164" s="899">
        <v>138</v>
      </c>
      <c r="Q164" s="899" t="s">
        <v>2533</v>
      </c>
      <c r="R164" s="899">
        <v>50</v>
      </c>
      <c r="S164" s="899" t="s">
        <v>2545</v>
      </c>
      <c r="T164" s="899">
        <v>1</v>
      </c>
      <c r="U164" s="899" t="s">
        <v>2638</v>
      </c>
      <c r="V164" s="926">
        <v>29754602</v>
      </c>
      <c r="W164" s="899">
        <v>1781</v>
      </c>
      <c r="X164" s="926">
        <f t="shared" si="5"/>
        <v>27969325.879999999</v>
      </c>
      <c r="Y164" s="927">
        <f t="shared" ref="Y164:Y173" si="7">X164/R164</f>
        <v>559386.51760000002</v>
      </c>
    </row>
    <row r="165" spans="1:34">
      <c r="A165" s="899">
        <v>795</v>
      </c>
      <c r="B165" s="899">
        <v>1781</v>
      </c>
      <c r="C165" s="899" t="s">
        <v>1512</v>
      </c>
      <c r="D165" s="899">
        <v>42621</v>
      </c>
      <c r="E165" s="899" t="s">
        <v>66</v>
      </c>
      <c r="F165" s="899">
        <v>44238</v>
      </c>
      <c r="G165" s="901">
        <v>17203088</v>
      </c>
      <c r="H165" s="901">
        <v>0</v>
      </c>
      <c r="I165" s="899">
        <v>0.49360420862035598</v>
      </c>
      <c r="J165" s="899" t="s">
        <v>1248</v>
      </c>
      <c r="K165" s="899" t="s">
        <v>3015</v>
      </c>
      <c r="L165" s="899" t="s">
        <v>3016</v>
      </c>
      <c r="M165" s="899">
        <v>17810020290</v>
      </c>
      <c r="N165" s="899" t="s">
        <v>2531</v>
      </c>
      <c r="O165" s="899" t="s">
        <v>3016</v>
      </c>
      <c r="P165" s="899">
        <v>144</v>
      </c>
      <c r="Q165" s="899" t="s">
        <v>2533</v>
      </c>
      <c r="R165" s="899">
        <v>29.7</v>
      </c>
      <c r="S165" s="899" t="s">
        <v>2534</v>
      </c>
      <c r="T165" s="899">
        <v>1</v>
      </c>
      <c r="U165" s="899" t="s">
        <v>2638</v>
      </c>
      <c r="V165" s="926">
        <v>17203088</v>
      </c>
      <c r="W165" s="899">
        <v>1781</v>
      </c>
      <c r="X165" s="926">
        <f t="shared" ref="X165:X173" si="8">VLOOKUP(S165,$B$9:$C$11,2,FALSE)*V165</f>
        <v>17203088</v>
      </c>
      <c r="Y165" s="927">
        <f t="shared" si="7"/>
        <v>579228.55218855222</v>
      </c>
    </row>
    <row r="166" spans="1:34">
      <c r="A166" s="899">
        <v>797</v>
      </c>
      <c r="B166" s="899">
        <v>1781</v>
      </c>
      <c r="C166" s="899" t="s">
        <v>1512</v>
      </c>
      <c r="D166" s="899">
        <v>42621</v>
      </c>
      <c r="E166" s="899" t="s">
        <v>66</v>
      </c>
      <c r="F166" s="899">
        <v>44238</v>
      </c>
      <c r="G166" s="901">
        <v>12348869</v>
      </c>
      <c r="H166" s="901">
        <v>0</v>
      </c>
      <c r="I166" s="899">
        <v>0.48040441735470701</v>
      </c>
      <c r="J166" s="899" t="s">
        <v>1248</v>
      </c>
      <c r="K166" s="899" t="s">
        <v>3015</v>
      </c>
      <c r="L166" s="899" t="s">
        <v>3017</v>
      </c>
      <c r="M166" s="899">
        <v>17810020307</v>
      </c>
      <c r="N166" s="899" t="s">
        <v>2531</v>
      </c>
      <c r="O166" s="899" t="s">
        <v>3017</v>
      </c>
      <c r="P166" s="899">
        <v>144</v>
      </c>
      <c r="Q166" s="899" t="s">
        <v>2533</v>
      </c>
      <c r="R166" s="899">
        <v>29.7</v>
      </c>
      <c r="S166" s="899" t="s">
        <v>2534</v>
      </c>
      <c r="T166" s="899">
        <v>1</v>
      </c>
      <c r="U166" s="899" t="s">
        <v>2638</v>
      </c>
      <c r="V166" s="926">
        <v>12348869</v>
      </c>
      <c r="W166" s="899">
        <v>1781</v>
      </c>
      <c r="X166" s="926">
        <f t="shared" si="8"/>
        <v>12348869</v>
      </c>
      <c r="Y166" s="927">
        <f t="shared" si="7"/>
        <v>415786.83501683502</v>
      </c>
    </row>
    <row r="167" spans="1:34">
      <c r="A167" s="899">
        <v>804</v>
      </c>
      <c r="B167" s="899">
        <v>1781</v>
      </c>
      <c r="C167" s="899" t="s">
        <v>1512</v>
      </c>
      <c r="D167" s="899">
        <v>42621</v>
      </c>
      <c r="E167" s="899" t="s">
        <v>140</v>
      </c>
      <c r="F167" s="899">
        <v>44256</v>
      </c>
      <c r="G167" s="901">
        <v>37586443</v>
      </c>
      <c r="H167" s="901">
        <v>0</v>
      </c>
      <c r="I167" s="899">
        <v>0.52364110935321195</v>
      </c>
      <c r="K167" s="899" t="s">
        <v>3013</v>
      </c>
      <c r="L167" s="899" t="s">
        <v>3018</v>
      </c>
      <c r="M167" s="899">
        <v>17810020051</v>
      </c>
      <c r="N167" s="899" t="s">
        <v>2531</v>
      </c>
      <c r="O167" s="899" t="s">
        <v>3018</v>
      </c>
      <c r="P167" s="899">
        <v>138</v>
      </c>
      <c r="Q167" s="899" t="s">
        <v>2533</v>
      </c>
      <c r="R167" s="899">
        <v>70</v>
      </c>
      <c r="S167" s="899" t="s">
        <v>2534</v>
      </c>
      <c r="T167" s="899">
        <v>1</v>
      </c>
      <c r="U167" s="899" t="s">
        <v>2638</v>
      </c>
      <c r="V167" s="926">
        <v>37586443</v>
      </c>
      <c r="W167" s="899">
        <v>1781</v>
      </c>
      <c r="X167" s="926">
        <f t="shared" si="8"/>
        <v>37586443</v>
      </c>
      <c r="Y167" s="927">
        <f t="shared" si="7"/>
        <v>536949.1857142857</v>
      </c>
    </row>
    <row r="168" spans="1:34">
      <c r="A168" s="899">
        <v>805</v>
      </c>
      <c r="B168" s="899">
        <v>1781</v>
      </c>
      <c r="C168" s="899" t="s">
        <v>1512</v>
      </c>
      <c r="D168" s="899">
        <v>42621</v>
      </c>
      <c r="E168" s="899" t="s">
        <v>140</v>
      </c>
      <c r="F168" s="899">
        <v>44256</v>
      </c>
      <c r="G168" s="901">
        <v>29765586</v>
      </c>
      <c r="H168" s="901">
        <v>0</v>
      </c>
      <c r="I168" s="899">
        <v>0.52197176788894795</v>
      </c>
      <c r="K168" s="899" t="s">
        <v>3013</v>
      </c>
      <c r="L168" s="899" t="s">
        <v>3014</v>
      </c>
      <c r="M168" s="899">
        <v>17810020078</v>
      </c>
      <c r="N168" s="899" t="s">
        <v>2531</v>
      </c>
      <c r="O168" s="899" t="s">
        <v>3014</v>
      </c>
      <c r="P168" s="899">
        <v>138</v>
      </c>
      <c r="Q168" s="899" t="s">
        <v>2533</v>
      </c>
      <c r="R168" s="899">
        <v>50</v>
      </c>
      <c r="S168" s="899" t="s">
        <v>2534</v>
      </c>
      <c r="T168" s="899">
        <v>1</v>
      </c>
      <c r="U168" s="899" t="s">
        <v>2638</v>
      </c>
      <c r="V168" s="926">
        <v>29765586</v>
      </c>
      <c r="W168" s="899">
        <v>1781</v>
      </c>
      <c r="X168" s="926">
        <f t="shared" si="8"/>
        <v>29765586</v>
      </c>
      <c r="Y168" s="927">
        <f t="shared" si="7"/>
        <v>595311.72</v>
      </c>
    </row>
    <row r="169" spans="1:34">
      <c r="A169" s="899">
        <v>812</v>
      </c>
      <c r="B169" s="899">
        <v>1781</v>
      </c>
      <c r="C169" s="899" t="s">
        <v>1512</v>
      </c>
      <c r="D169" s="899">
        <v>42621</v>
      </c>
      <c r="E169" s="899" t="s">
        <v>140</v>
      </c>
      <c r="F169" s="899">
        <v>44256</v>
      </c>
      <c r="G169" s="901">
        <v>29754602</v>
      </c>
      <c r="H169" s="901">
        <v>0</v>
      </c>
      <c r="I169" s="899">
        <v>0.52081041854388399</v>
      </c>
      <c r="K169" s="899" t="s">
        <v>3013</v>
      </c>
      <c r="L169" s="899" t="s">
        <v>3014</v>
      </c>
      <c r="M169" s="899">
        <v>17810020099</v>
      </c>
      <c r="N169" s="899" t="s">
        <v>2531</v>
      </c>
      <c r="O169" s="899" t="s">
        <v>3014</v>
      </c>
      <c r="P169" s="899">
        <v>138</v>
      </c>
      <c r="Q169" s="899" t="s">
        <v>2533</v>
      </c>
      <c r="R169" s="899">
        <v>50</v>
      </c>
      <c r="S169" s="899" t="s">
        <v>2534</v>
      </c>
      <c r="T169" s="899">
        <v>1</v>
      </c>
      <c r="U169" s="899" t="s">
        <v>2638</v>
      </c>
      <c r="V169" s="926">
        <v>29754602</v>
      </c>
      <c r="W169" s="899">
        <v>1781</v>
      </c>
      <c r="X169" s="926">
        <f t="shared" si="8"/>
        <v>29754602</v>
      </c>
      <c r="Y169" s="927">
        <f t="shared" si="7"/>
        <v>595092.04</v>
      </c>
    </row>
    <row r="170" spans="1:34">
      <c r="A170" s="899">
        <v>817</v>
      </c>
      <c r="B170" s="899">
        <v>1781</v>
      </c>
      <c r="C170" s="899" t="s">
        <v>1512</v>
      </c>
      <c r="D170" s="899">
        <v>42621</v>
      </c>
      <c r="E170" s="899" t="s">
        <v>140</v>
      </c>
      <c r="F170" s="899">
        <v>44256</v>
      </c>
      <c r="G170" s="901">
        <v>29765586</v>
      </c>
      <c r="H170" s="901">
        <v>0</v>
      </c>
      <c r="I170" s="899">
        <v>0.52197176788894795</v>
      </c>
      <c r="K170" s="899" t="s">
        <v>3013</v>
      </c>
      <c r="L170" s="899" t="s">
        <v>3014</v>
      </c>
      <c r="M170" s="899">
        <v>17810020072</v>
      </c>
      <c r="N170" s="899" t="s">
        <v>2531</v>
      </c>
      <c r="O170" s="899" t="s">
        <v>3014</v>
      </c>
      <c r="P170" s="899">
        <v>138</v>
      </c>
      <c r="Q170" s="899" t="s">
        <v>2533</v>
      </c>
      <c r="R170" s="899">
        <v>50</v>
      </c>
      <c r="S170" s="899" t="s">
        <v>2545</v>
      </c>
      <c r="T170" s="899">
        <v>1</v>
      </c>
      <c r="U170" s="899" t="s">
        <v>2638</v>
      </c>
      <c r="V170" s="926">
        <v>29765586</v>
      </c>
      <c r="W170" s="899">
        <v>1781</v>
      </c>
      <c r="X170" s="926">
        <f t="shared" si="8"/>
        <v>27979650.84</v>
      </c>
      <c r="Y170" s="927">
        <f t="shared" si="7"/>
        <v>559593.01679999998</v>
      </c>
    </row>
    <row r="171" spans="1:34">
      <c r="A171" s="899">
        <v>818</v>
      </c>
      <c r="B171" s="899">
        <v>1781</v>
      </c>
      <c r="C171" s="899" t="s">
        <v>1512</v>
      </c>
      <c r="D171" s="899">
        <v>42621</v>
      </c>
      <c r="E171" s="899" t="s">
        <v>140</v>
      </c>
      <c r="F171" s="899">
        <v>44256</v>
      </c>
      <c r="G171" s="901">
        <v>64329393</v>
      </c>
      <c r="H171" s="901">
        <v>0</v>
      </c>
      <c r="I171" s="899">
        <v>0.56111778428088999</v>
      </c>
      <c r="K171" s="899" t="s">
        <v>3013</v>
      </c>
      <c r="L171" s="899" t="s">
        <v>3018</v>
      </c>
      <c r="M171" s="899">
        <v>17810020093</v>
      </c>
      <c r="N171" s="899" t="s">
        <v>2531</v>
      </c>
      <c r="O171" s="899" t="s">
        <v>3018</v>
      </c>
      <c r="P171" s="899">
        <v>138</v>
      </c>
      <c r="Q171" s="899" t="s">
        <v>2533</v>
      </c>
      <c r="R171" s="899">
        <v>70</v>
      </c>
      <c r="S171" s="899" t="s">
        <v>2545</v>
      </c>
      <c r="T171" s="899">
        <v>1</v>
      </c>
      <c r="U171" s="899" t="s">
        <v>2638</v>
      </c>
      <c r="V171" s="926">
        <v>64329393</v>
      </c>
      <c r="W171" s="899">
        <v>1781</v>
      </c>
      <c r="X171" s="926">
        <f t="shared" si="8"/>
        <v>60469629.419999994</v>
      </c>
      <c r="Y171" s="927">
        <f t="shared" si="7"/>
        <v>863851.84885714273</v>
      </c>
    </row>
    <row r="172" spans="1:34">
      <c r="A172" s="899">
        <v>819</v>
      </c>
      <c r="B172" s="899">
        <v>1781</v>
      </c>
      <c r="C172" s="899" t="s">
        <v>1512</v>
      </c>
      <c r="D172" s="899">
        <v>42621</v>
      </c>
      <c r="E172" s="899" t="s">
        <v>66</v>
      </c>
      <c r="F172" s="899">
        <v>44238</v>
      </c>
      <c r="G172" s="901">
        <v>17610596</v>
      </c>
      <c r="H172" s="901">
        <v>0</v>
      </c>
      <c r="I172" s="899">
        <v>0.49479134506370398</v>
      </c>
      <c r="J172" s="899" t="s">
        <v>1248</v>
      </c>
      <c r="K172" s="899" t="s">
        <v>3015</v>
      </c>
      <c r="L172" s="899" t="s">
        <v>3019</v>
      </c>
      <c r="M172" s="899">
        <v>17810020302</v>
      </c>
      <c r="N172" s="899" t="s">
        <v>2531</v>
      </c>
      <c r="O172" s="899" t="s">
        <v>3019</v>
      </c>
      <c r="P172" s="899">
        <v>144</v>
      </c>
      <c r="Q172" s="899" t="s">
        <v>2533</v>
      </c>
      <c r="R172" s="899">
        <v>29.7</v>
      </c>
      <c r="S172" s="899" t="s">
        <v>2534</v>
      </c>
      <c r="T172" s="899">
        <v>1</v>
      </c>
      <c r="U172" s="899" t="s">
        <v>2638</v>
      </c>
      <c r="V172" s="926">
        <v>17610596</v>
      </c>
      <c r="W172" s="899">
        <v>1781</v>
      </c>
      <c r="X172" s="926">
        <f t="shared" si="8"/>
        <v>17610596</v>
      </c>
      <c r="Y172" s="927">
        <f t="shared" si="7"/>
        <v>592949.36026936024</v>
      </c>
    </row>
    <row r="173" spans="1:34">
      <c r="A173" s="899">
        <v>822</v>
      </c>
      <c r="B173" s="899">
        <v>1781</v>
      </c>
      <c r="C173" s="899" t="s">
        <v>1512</v>
      </c>
      <c r="D173" s="899">
        <v>42621</v>
      </c>
      <c r="E173" s="899" t="s">
        <v>66</v>
      </c>
      <c r="F173" s="899">
        <v>44238</v>
      </c>
      <c r="G173" s="901">
        <v>12865487</v>
      </c>
      <c r="H173" s="901">
        <v>0</v>
      </c>
      <c r="I173" s="899">
        <v>0.48214375019232902</v>
      </c>
      <c r="J173" s="899" t="s">
        <v>1248</v>
      </c>
      <c r="K173" s="899" t="s">
        <v>3015</v>
      </c>
      <c r="L173" s="899" t="s">
        <v>3020</v>
      </c>
      <c r="M173" s="899">
        <v>17810020294</v>
      </c>
      <c r="N173" s="899" t="s">
        <v>2531</v>
      </c>
      <c r="O173" s="899" t="s">
        <v>3020</v>
      </c>
      <c r="P173" s="899">
        <v>144</v>
      </c>
      <c r="Q173" s="899" t="s">
        <v>2533</v>
      </c>
      <c r="R173" s="899">
        <v>29.7</v>
      </c>
      <c r="S173" s="899" t="s">
        <v>2534</v>
      </c>
      <c r="T173" s="899">
        <v>1</v>
      </c>
      <c r="U173" s="899" t="s">
        <v>2638</v>
      </c>
      <c r="V173" s="926">
        <v>12865487</v>
      </c>
      <c r="W173" s="899">
        <v>1781</v>
      </c>
      <c r="X173" s="926">
        <f t="shared" si="8"/>
        <v>12865487</v>
      </c>
      <c r="Y173" s="927">
        <f t="shared" si="7"/>
        <v>433181.38047138049</v>
      </c>
    </row>
    <row r="174" spans="1:34">
      <c r="D174" s="925"/>
      <c r="F174" s="925"/>
      <c r="G174" s="901"/>
      <c r="H174" s="901"/>
      <c r="K174" s="899"/>
      <c r="L174" s="899"/>
      <c r="R174" s="928">
        <f>SUM(R100:R173)</f>
        <v>1037.7099999999998</v>
      </c>
      <c r="V174" s="901"/>
      <c r="W174" s="898" t="s">
        <v>2883</v>
      </c>
      <c r="X174" s="929">
        <f>SUM(X100:X173)/SUM($R$100:$R$173)</f>
        <v>564417.27208950487</v>
      </c>
      <c r="Y174" s="927"/>
    </row>
    <row r="175" spans="1:34">
      <c r="A175" s="898" t="s">
        <v>3021</v>
      </c>
      <c r="D175" s="925"/>
      <c r="F175" s="925"/>
      <c r="G175" s="901"/>
      <c r="H175" s="901"/>
      <c r="K175" s="899"/>
      <c r="L175" s="899"/>
      <c r="V175" s="901"/>
      <c r="X175" s="901"/>
      <c r="Y175" s="923" t="s">
        <v>2836</v>
      </c>
    </row>
    <row r="176" spans="1:34" s="898" customFormat="1" ht="13.8">
      <c r="A176" s="898" t="s">
        <v>2837</v>
      </c>
      <c r="B176" s="898" t="s">
        <v>2838</v>
      </c>
      <c r="C176" s="898" t="s">
        <v>120</v>
      </c>
      <c r="D176" s="931" t="s">
        <v>2519</v>
      </c>
      <c r="E176" s="898" t="s">
        <v>30</v>
      </c>
      <c r="F176" s="931" t="s">
        <v>2839</v>
      </c>
      <c r="G176" s="924" t="s">
        <v>2840</v>
      </c>
      <c r="H176" s="924" t="s">
        <v>2841</v>
      </c>
      <c r="I176" s="898" t="s">
        <v>2842</v>
      </c>
      <c r="J176" s="898" t="s">
        <v>2843</v>
      </c>
      <c r="K176" s="898" t="s">
        <v>2844</v>
      </c>
      <c r="L176" s="898" t="s">
        <v>121</v>
      </c>
      <c r="M176" s="898" t="s">
        <v>2845</v>
      </c>
      <c r="N176" s="898" t="s">
        <v>2520</v>
      </c>
      <c r="O176" s="898" t="s">
        <v>2521</v>
      </c>
      <c r="P176" s="898" t="s">
        <v>122</v>
      </c>
      <c r="Q176" s="898" t="s">
        <v>2522</v>
      </c>
      <c r="R176" s="898" t="s">
        <v>123</v>
      </c>
      <c r="S176" s="898" t="s">
        <v>2523</v>
      </c>
      <c r="T176" s="898" t="s">
        <v>2524</v>
      </c>
      <c r="U176" s="898" t="s">
        <v>2525</v>
      </c>
      <c r="V176" s="924" t="s">
        <v>44</v>
      </c>
      <c r="W176" s="898" t="s">
        <v>2846</v>
      </c>
      <c r="X176" s="924" t="s">
        <v>2847</v>
      </c>
      <c r="Y176" s="924" t="s">
        <v>2847</v>
      </c>
      <c r="AH176" s="899"/>
    </row>
    <row r="177" spans="1:25">
      <c r="A177" s="899">
        <v>25</v>
      </c>
      <c r="B177" s="899">
        <v>513</v>
      </c>
      <c r="C177" s="899" t="s">
        <v>1191</v>
      </c>
      <c r="D177" s="925">
        <v>40893</v>
      </c>
      <c r="E177" s="899" t="s">
        <v>140</v>
      </c>
      <c r="F177" s="925">
        <v>41207</v>
      </c>
      <c r="G177" s="901">
        <v>0</v>
      </c>
      <c r="H177" s="901">
        <v>208000</v>
      </c>
      <c r="I177" s="899">
        <v>0.30113314447592099</v>
      </c>
      <c r="K177" s="899" t="s">
        <v>3022</v>
      </c>
      <c r="L177" s="899" t="s">
        <v>2702</v>
      </c>
      <c r="M177" s="899">
        <v>513002014</v>
      </c>
      <c r="N177" s="899" t="s">
        <v>2531</v>
      </c>
      <c r="O177" s="899" t="s">
        <v>1692</v>
      </c>
      <c r="P177" s="899">
        <v>138</v>
      </c>
      <c r="Q177" s="899" t="s">
        <v>2533</v>
      </c>
      <c r="R177" s="899">
        <v>0.3</v>
      </c>
      <c r="S177" s="899" t="s">
        <v>2534</v>
      </c>
      <c r="T177" s="899">
        <v>1</v>
      </c>
      <c r="U177" s="899" t="s">
        <v>2698</v>
      </c>
      <c r="V177" s="926">
        <v>208000</v>
      </c>
      <c r="W177" s="899">
        <v>513</v>
      </c>
      <c r="X177" s="926">
        <f>VLOOKUP(S177,$B$9:$C$11,2,FALSE)*V177</f>
        <v>208000</v>
      </c>
      <c r="Y177" s="927">
        <f t="shared" ref="Y177:Y208" si="9">X177/R177</f>
        <v>693333.33333333337</v>
      </c>
    </row>
    <row r="178" spans="1:25">
      <c r="A178" s="899">
        <v>26</v>
      </c>
      <c r="B178" s="899">
        <v>518</v>
      </c>
      <c r="C178" s="899" t="s">
        <v>1191</v>
      </c>
      <c r="D178" s="925">
        <v>39925</v>
      </c>
      <c r="E178" s="899" t="s">
        <v>66</v>
      </c>
      <c r="F178" s="925">
        <v>40512</v>
      </c>
      <c r="G178" s="901">
        <v>0</v>
      </c>
      <c r="H178" s="901">
        <v>917000</v>
      </c>
      <c r="I178" s="899">
        <v>0.44396365209865901</v>
      </c>
      <c r="J178" s="899" t="s">
        <v>1206</v>
      </c>
      <c r="K178" s="899" t="s">
        <v>2780</v>
      </c>
      <c r="L178" s="899" t="s">
        <v>2781</v>
      </c>
      <c r="M178" s="899">
        <v>518002005</v>
      </c>
      <c r="N178" s="899" t="s">
        <v>2531</v>
      </c>
      <c r="O178" s="899" t="s">
        <v>2782</v>
      </c>
      <c r="P178" s="899">
        <v>144</v>
      </c>
      <c r="Q178" s="899" t="s">
        <v>2533</v>
      </c>
      <c r="R178" s="899">
        <v>4</v>
      </c>
      <c r="S178" s="899" t="s">
        <v>2534</v>
      </c>
      <c r="T178" s="899">
        <v>1</v>
      </c>
      <c r="U178" s="899" t="s">
        <v>2698</v>
      </c>
      <c r="V178" s="926">
        <v>917000</v>
      </c>
      <c r="W178" s="899">
        <v>518</v>
      </c>
      <c r="X178" s="926">
        <f t="shared" ref="X178:X241" si="10">VLOOKUP(S178,$B$9:$C$11,2,FALSE)*V178</f>
        <v>917000</v>
      </c>
      <c r="Y178" s="927">
        <f t="shared" si="9"/>
        <v>229250</v>
      </c>
    </row>
    <row r="179" spans="1:25">
      <c r="A179" s="899">
        <v>30</v>
      </c>
      <c r="B179" s="899">
        <v>526</v>
      </c>
      <c r="C179" s="899" t="s">
        <v>1191</v>
      </c>
      <c r="D179" s="925">
        <v>39577</v>
      </c>
      <c r="E179" s="899" t="s">
        <v>66</v>
      </c>
      <c r="F179" s="925">
        <v>40057</v>
      </c>
      <c r="G179" s="901">
        <v>0</v>
      </c>
      <c r="H179" s="901">
        <v>5372000</v>
      </c>
      <c r="I179" s="899">
        <v>0.71740514966791002</v>
      </c>
      <c r="J179" s="899" t="s">
        <v>1206</v>
      </c>
      <c r="K179" s="899" t="s">
        <v>2777</v>
      </c>
      <c r="L179" s="899" t="s">
        <v>2778</v>
      </c>
      <c r="M179" s="899">
        <v>526002005</v>
      </c>
      <c r="N179" s="899" t="s">
        <v>2531</v>
      </c>
      <c r="O179" s="899" t="s">
        <v>2779</v>
      </c>
      <c r="P179" s="899">
        <v>144</v>
      </c>
      <c r="Q179" s="899" t="s">
        <v>2533</v>
      </c>
      <c r="R179" s="899">
        <v>26</v>
      </c>
      <c r="S179" s="899" t="s">
        <v>2534</v>
      </c>
      <c r="T179" s="899">
        <v>1</v>
      </c>
      <c r="U179" s="899" t="s">
        <v>2698</v>
      </c>
      <c r="V179" s="926">
        <v>5372000</v>
      </c>
      <c r="W179" s="899">
        <v>526</v>
      </c>
      <c r="X179" s="926">
        <f t="shared" si="10"/>
        <v>5372000</v>
      </c>
      <c r="Y179" s="927">
        <f t="shared" si="9"/>
        <v>206615.38461538462</v>
      </c>
    </row>
    <row r="180" spans="1:25">
      <c r="A180" s="899">
        <v>44</v>
      </c>
      <c r="B180" s="899">
        <v>580</v>
      </c>
      <c r="C180" s="899" t="s">
        <v>1191</v>
      </c>
      <c r="D180" s="925">
        <v>41856</v>
      </c>
      <c r="E180" s="899" t="s">
        <v>140</v>
      </c>
      <c r="F180" s="925">
        <v>42339</v>
      </c>
      <c r="G180" s="901">
        <v>0</v>
      </c>
      <c r="H180" s="901">
        <v>406000</v>
      </c>
      <c r="I180" s="899">
        <v>0.35449735449735398</v>
      </c>
      <c r="J180" s="899" t="s">
        <v>1212</v>
      </c>
      <c r="K180" s="899" t="s">
        <v>3023</v>
      </c>
      <c r="L180" s="899" t="s">
        <v>1370</v>
      </c>
      <c r="M180" s="899">
        <v>580002002</v>
      </c>
      <c r="N180" s="899" t="s">
        <v>2531</v>
      </c>
      <c r="O180" s="899" t="s">
        <v>1370</v>
      </c>
      <c r="P180" s="899">
        <v>138</v>
      </c>
      <c r="Q180" s="899" t="s">
        <v>2533</v>
      </c>
      <c r="R180" s="899">
        <v>0.1</v>
      </c>
      <c r="S180" s="899" t="s">
        <v>2534</v>
      </c>
      <c r="T180" s="899">
        <v>1</v>
      </c>
      <c r="U180" s="899" t="s">
        <v>2698</v>
      </c>
      <c r="V180" s="926">
        <v>406000</v>
      </c>
      <c r="W180" s="899">
        <v>580</v>
      </c>
      <c r="X180" s="926">
        <f t="shared" si="10"/>
        <v>406000</v>
      </c>
      <c r="Y180" s="927">
        <f t="shared" si="9"/>
        <v>4060000</v>
      </c>
    </row>
    <row r="181" spans="1:25">
      <c r="A181" s="899">
        <v>45</v>
      </c>
      <c r="B181" s="899">
        <v>584</v>
      </c>
      <c r="C181" s="899" t="s">
        <v>1191</v>
      </c>
      <c r="D181" s="925">
        <v>39626</v>
      </c>
      <c r="E181" s="899" t="s">
        <v>140</v>
      </c>
      <c r="F181" s="925">
        <v>40164</v>
      </c>
      <c r="G181" s="901">
        <v>0</v>
      </c>
      <c r="H181" s="901">
        <v>5430000</v>
      </c>
      <c r="I181" s="899">
        <v>0.57353574504737304</v>
      </c>
      <c r="K181" s="899" t="s">
        <v>3024</v>
      </c>
      <c r="L181" s="899" t="s">
        <v>2726</v>
      </c>
      <c r="M181" s="899">
        <v>584002021</v>
      </c>
      <c r="N181" s="899" t="s">
        <v>2531</v>
      </c>
      <c r="O181" s="899" t="s">
        <v>2727</v>
      </c>
      <c r="P181" s="899">
        <v>138</v>
      </c>
      <c r="Q181" s="899" t="s">
        <v>2533</v>
      </c>
      <c r="R181" s="899">
        <v>16</v>
      </c>
      <c r="S181" s="899" t="s">
        <v>2538</v>
      </c>
      <c r="T181" s="899">
        <v>1</v>
      </c>
      <c r="U181" s="899" t="s">
        <v>2698</v>
      </c>
      <c r="V181" s="926">
        <v>5430000</v>
      </c>
      <c r="W181" s="899">
        <v>584</v>
      </c>
      <c r="X181" s="926">
        <f t="shared" si="10"/>
        <v>4778400</v>
      </c>
      <c r="Y181" s="927">
        <f t="shared" si="9"/>
        <v>298650</v>
      </c>
    </row>
    <row r="182" spans="1:25">
      <c r="A182" s="899">
        <v>46</v>
      </c>
      <c r="B182" s="899">
        <v>585</v>
      </c>
      <c r="C182" s="899" t="s">
        <v>1191</v>
      </c>
      <c r="D182" s="925">
        <v>39605</v>
      </c>
      <c r="E182" s="899" t="s">
        <v>140</v>
      </c>
      <c r="F182" s="925">
        <v>40009</v>
      </c>
      <c r="G182" s="901">
        <v>0</v>
      </c>
      <c r="H182" s="901">
        <v>651000</v>
      </c>
      <c r="I182" s="899">
        <v>0.55741740035974596</v>
      </c>
      <c r="J182" s="899" t="s">
        <v>1249</v>
      </c>
      <c r="K182" s="899" t="s">
        <v>2695</v>
      </c>
      <c r="L182" s="899" t="s">
        <v>2696</v>
      </c>
      <c r="M182" s="899">
        <v>585002006</v>
      </c>
      <c r="N182" s="899" t="s">
        <v>2531</v>
      </c>
      <c r="O182" s="899" t="s">
        <v>2697</v>
      </c>
      <c r="P182" s="899">
        <v>138</v>
      </c>
      <c r="Q182" s="899" t="s">
        <v>2533</v>
      </c>
      <c r="R182" s="899">
        <v>0.1</v>
      </c>
      <c r="S182" s="899" t="s">
        <v>2538</v>
      </c>
      <c r="T182" s="899">
        <v>1</v>
      </c>
      <c r="U182" s="899" t="s">
        <v>2698</v>
      </c>
      <c r="V182" s="926">
        <v>651000</v>
      </c>
      <c r="W182" s="899">
        <v>585</v>
      </c>
      <c r="X182" s="926">
        <f t="shared" si="10"/>
        <v>572880</v>
      </c>
      <c r="Y182" s="927">
        <f t="shared" si="9"/>
        <v>5728800</v>
      </c>
    </row>
    <row r="183" spans="1:25">
      <c r="A183" s="899">
        <v>49</v>
      </c>
      <c r="B183" s="899">
        <v>595</v>
      </c>
      <c r="C183" s="899" t="s">
        <v>1191</v>
      </c>
      <c r="D183" s="925">
        <v>39514</v>
      </c>
      <c r="E183" s="899" t="s">
        <v>140</v>
      </c>
      <c r="F183" s="925">
        <v>39995</v>
      </c>
      <c r="G183" s="901">
        <v>0</v>
      </c>
      <c r="H183" s="901">
        <v>7499000</v>
      </c>
      <c r="I183" s="899">
        <v>0.69561904761904803</v>
      </c>
      <c r="J183" s="899" t="s">
        <v>1209</v>
      </c>
      <c r="K183" s="899" t="s">
        <v>2755</v>
      </c>
      <c r="L183" s="899" t="s">
        <v>2756</v>
      </c>
      <c r="M183" s="899">
        <v>595002002</v>
      </c>
      <c r="N183" s="899" t="s">
        <v>2531</v>
      </c>
      <c r="O183" s="899" t="s">
        <v>2757</v>
      </c>
      <c r="P183" s="899">
        <v>144</v>
      </c>
      <c r="Q183" s="899" t="s">
        <v>2533</v>
      </c>
      <c r="R183" s="899">
        <v>29</v>
      </c>
      <c r="S183" s="899" t="s">
        <v>2534</v>
      </c>
      <c r="T183" s="899">
        <v>1</v>
      </c>
      <c r="U183" s="899" t="s">
        <v>2698</v>
      </c>
      <c r="V183" s="926">
        <v>7499000</v>
      </c>
      <c r="W183" s="899">
        <v>595</v>
      </c>
      <c r="X183" s="926">
        <f t="shared" si="10"/>
        <v>7499000</v>
      </c>
      <c r="Y183" s="927">
        <f t="shared" si="9"/>
        <v>258586.20689655171</v>
      </c>
    </row>
    <row r="184" spans="1:25">
      <c r="A184" s="899">
        <v>54</v>
      </c>
      <c r="B184" s="899">
        <v>599</v>
      </c>
      <c r="C184" s="899" t="s">
        <v>1191</v>
      </c>
      <c r="D184" s="925">
        <v>39553</v>
      </c>
      <c r="E184" s="899" t="s">
        <v>66</v>
      </c>
      <c r="F184" s="925">
        <v>40268</v>
      </c>
      <c r="G184" s="901">
        <v>1443000</v>
      </c>
      <c r="H184" s="901">
        <v>0</v>
      </c>
      <c r="I184" s="899">
        <v>0.67883782202920495</v>
      </c>
      <c r="J184" s="899" t="s">
        <v>1213</v>
      </c>
      <c r="K184" s="899" t="s">
        <v>3025</v>
      </c>
      <c r="L184" s="899" t="s">
        <v>3026</v>
      </c>
      <c r="M184" s="899">
        <v>599002030</v>
      </c>
      <c r="N184" s="899" t="s">
        <v>2531</v>
      </c>
      <c r="O184" s="899" t="s">
        <v>3027</v>
      </c>
      <c r="P184" s="899">
        <v>144</v>
      </c>
      <c r="Q184" s="899" t="s">
        <v>2533</v>
      </c>
      <c r="R184" s="899">
        <v>10</v>
      </c>
      <c r="S184" s="899" t="s">
        <v>2538</v>
      </c>
      <c r="T184" s="899">
        <v>1</v>
      </c>
      <c r="U184" s="899" t="s">
        <v>2698</v>
      </c>
      <c r="V184" s="926">
        <v>1443000</v>
      </c>
      <c r="W184" s="899">
        <v>535</v>
      </c>
      <c r="X184" s="926">
        <f t="shared" si="10"/>
        <v>1269840</v>
      </c>
      <c r="Y184" s="927">
        <f t="shared" si="9"/>
        <v>126984</v>
      </c>
    </row>
    <row r="185" spans="1:25">
      <c r="A185" s="899">
        <v>55</v>
      </c>
      <c r="B185" s="899">
        <v>600</v>
      </c>
      <c r="C185" s="899" t="s">
        <v>1191</v>
      </c>
      <c r="D185" s="925">
        <v>39612</v>
      </c>
      <c r="E185" s="899" t="s">
        <v>66</v>
      </c>
      <c r="F185" s="925">
        <v>40633</v>
      </c>
      <c r="G185" s="901">
        <v>36248000</v>
      </c>
      <c r="H185" s="901">
        <v>0</v>
      </c>
      <c r="I185" s="899">
        <v>0.571275690451017</v>
      </c>
      <c r="J185" s="899" t="s">
        <v>1805</v>
      </c>
      <c r="K185" s="899" t="s">
        <v>2749</v>
      </c>
      <c r="L185" s="899" t="s">
        <v>2750</v>
      </c>
      <c r="M185" s="899">
        <v>600002067</v>
      </c>
      <c r="N185" s="899" t="s">
        <v>2531</v>
      </c>
      <c r="O185" s="899" t="s">
        <v>2751</v>
      </c>
      <c r="P185" s="899">
        <v>144</v>
      </c>
      <c r="Q185" s="899" t="s">
        <v>2533</v>
      </c>
      <c r="R185" s="899">
        <v>105</v>
      </c>
      <c r="S185" s="899" t="s">
        <v>2534</v>
      </c>
      <c r="T185" s="899">
        <v>1</v>
      </c>
      <c r="U185" s="899" t="s">
        <v>2698</v>
      </c>
      <c r="V185" s="926">
        <v>36248000</v>
      </c>
      <c r="W185" s="899">
        <v>535</v>
      </c>
      <c r="X185" s="926">
        <f t="shared" si="10"/>
        <v>36248000</v>
      </c>
      <c r="Y185" s="927">
        <f t="shared" si="9"/>
        <v>345219.04761904763</v>
      </c>
    </row>
    <row r="186" spans="1:25">
      <c r="A186" s="899">
        <v>57</v>
      </c>
      <c r="B186" s="899">
        <v>602</v>
      </c>
      <c r="C186" s="899" t="s">
        <v>1191</v>
      </c>
      <c r="D186" s="925">
        <v>40022</v>
      </c>
      <c r="E186" s="899" t="s">
        <v>66</v>
      </c>
      <c r="F186" s="925">
        <v>40633</v>
      </c>
      <c r="G186" s="901">
        <v>1248000</v>
      </c>
      <c r="H186" s="901">
        <v>0</v>
      </c>
      <c r="I186" s="899">
        <v>0.71768140804645097</v>
      </c>
      <c r="J186" s="899" t="s">
        <v>1805</v>
      </c>
      <c r="K186" s="899" t="s">
        <v>2770</v>
      </c>
      <c r="L186" s="899" t="s">
        <v>2773</v>
      </c>
      <c r="M186" s="899">
        <v>602002121</v>
      </c>
      <c r="N186" s="899" t="s">
        <v>2531</v>
      </c>
      <c r="O186" s="899" t="s">
        <v>2798</v>
      </c>
      <c r="P186" s="899">
        <v>144</v>
      </c>
      <c r="Q186" s="899" t="s">
        <v>2533</v>
      </c>
      <c r="R186" s="899">
        <v>7.5</v>
      </c>
      <c r="S186" s="899" t="s">
        <v>2534</v>
      </c>
      <c r="T186" s="899">
        <v>1</v>
      </c>
      <c r="U186" s="899" t="s">
        <v>2698</v>
      </c>
      <c r="V186" s="926">
        <v>1248000</v>
      </c>
      <c r="W186" s="899">
        <v>535</v>
      </c>
      <c r="X186" s="926">
        <f t="shared" si="10"/>
        <v>1248000</v>
      </c>
      <c r="Y186" s="927">
        <f t="shared" si="9"/>
        <v>166400</v>
      </c>
    </row>
    <row r="187" spans="1:25">
      <c r="A187" s="899">
        <v>59</v>
      </c>
      <c r="B187" s="899">
        <v>602</v>
      </c>
      <c r="C187" s="899" t="s">
        <v>1191</v>
      </c>
      <c r="D187" s="925">
        <v>40022</v>
      </c>
      <c r="E187" s="899" t="s">
        <v>66</v>
      </c>
      <c r="F187" s="925">
        <v>40633</v>
      </c>
      <c r="G187" s="901">
        <v>2167000</v>
      </c>
      <c r="H187" s="901">
        <v>0</v>
      </c>
      <c r="I187" s="899">
        <v>0.71768140804645097</v>
      </c>
      <c r="J187" s="899" t="s">
        <v>1805</v>
      </c>
      <c r="K187" s="899" t="s">
        <v>2770</v>
      </c>
      <c r="L187" s="899" t="s">
        <v>2773</v>
      </c>
      <c r="M187" s="899">
        <v>602002118</v>
      </c>
      <c r="N187" s="899" t="s">
        <v>2531</v>
      </c>
      <c r="O187" s="899" t="s">
        <v>2774</v>
      </c>
      <c r="P187" s="899">
        <v>144</v>
      </c>
      <c r="Q187" s="899" t="s">
        <v>2533</v>
      </c>
      <c r="R187" s="899">
        <v>7.5</v>
      </c>
      <c r="S187" s="899" t="s">
        <v>2534</v>
      </c>
      <c r="T187" s="899">
        <v>1</v>
      </c>
      <c r="U187" s="899" t="s">
        <v>2698</v>
      </c>
      <c r="V187" s="926">
        <v>2167000</v>
      </c>
      <c r="W187" s="899">
        <v>535</v>
      </c>
      <c r="X187" s="926">
        <f t="shared" si="10"/>
        <v>2167000</v>
      </c>
      <c r="Y187" s="927">
        <f t="shared" si="9"/>
        <v>288933.33333333331</v>
      </c>
    </row>
    <row r="188" spans="1:25">
      <c r="A188" s="899">
        <v>60</v>
      </c>
      <c r="B188" s="899">
        <v>602</v>
      </c>
      <c r="C188" s="899" t="s">
        <v>1191</v>
      </c>
      <c r="D188" s="925">
        <v>40022</v>
      </c>
      <c r="E188" s="899" t="s">
        <v>66</v>
      </c>
      <c r="F188" s="925">
        <v>40633</v>
      </c>
      <c r="G188" s="901">
        <v>55596000</v>
      </c>
      <c r="H188" s="901">
        <v>0</v>
      </c>
      <c r="I188" s="899">
        <v>0.71768140804645097</v>
      </c>
      <c r="J188" s="899" t="s">
        <v>1805</v>
      </c>
      <c r="K188" s="899" t="s">
        <v>2770</v>
      </c>
      <c r="L188" s="899" t="s">
        <v>2771</v>
      </c>
      <c r="M188" s="899">
        <v>602002113</v>
      </c>
      <c r="N188" s="899" t="s">
        <v>2531</v>
      </c>
      <c r="O188" s="899" t="s">
        <v>2772</v>
      </c>
      <c r="P188" s="899">
        <v>144</v>
      </c>
      <c r="Q188" s="899" t="s">
        <v>2533</v>
      </c>
      <c r="R188" s="899">
        <v>106</v>
      </c>
      <c r="S188" s="899" t="s">
        <v>2534</v>
      </c>
      <c r="T188" s="899">
        <v>1</v>
      </c>
      <c r="U188" s="899" t="s">
        <v>2698</v>
      </c>
      <c r="V188" s="926">
        <v>55596000</v>
      </c>
      <c r="W188" s="899">
        <v>535</v>
      </c>
      <c r="X188" s="926">
        <f t="shared" si="10"/>
        <v>55596000</v>
      </c>
      <c r="Y188" s="927">
        <f t="shared" si="9"/>
        <v>524490.5660377359</v>
      </c>
    </row>
    <row r="189" spans="1:25">
      <c r="A189" s="899">
        <v>65</v>
      </c>
      <c r="B189" s="899">
        <v>619</v>
      </c>
      <c r="C189" s="899" t="s">
        <v>1191</v>
      </c>
      <c r="D189" s="925">
        <v>39675</v>
      </c>
      <c r="E189" s="899" t="s">
        <v>140</v>
      </c>
      <c r="F189" s="925">
        <v>39997</v>
      </c>
      <c r="G189" s="901">
        <v>0</v>
      </c>
      <c r="H189" s="901">
        <v>387321</v>
      </c>
      <c r="I189" s="899">
        <v>0.56245256671779797</v>
      </c>
      <c r="J189" s="899" t="s">
        <v>1249</v>
      </c>
      <c r="K189" s="899" t="s">
        <v>2706</v>
      </c>
      <c r="L189" s="899" t="s">
        <v>2728</v>
      </c>
      <c r="M189" s="899">
        <v>6190020025</v>
      </c>
      <c r="N189" s="899" t="s">
        <v>2531</v>
      </c>
      <c r="O189" s="899" t="s">
        <v>2729</v>
      </c>
      <c r="P189" s="899">
        <v>138</v>
      </c>
      <c r="Q189" s="899" t="s">
        <v>2533</v>
      </c>
      <c r="R189" s="899">
        <v>0.2</v>
      </c>
      <c r="S189" s="899" t="s">
        <v>2534</v>
      </c>
      <c r="T189" s="899">
        <v>1</v>
      </c>
      <c r="U189" s="899" t="s">
        <v>2698</v>
      </c>
      <c r="V189" s="926">
        <v>387321</v>
      </c>
      <c r="W189" s="899">
        <v>619</v>
      </c>
      <c r="X189" s="926">
        <f t="shared" si="10"/>
        <v>387321</v>
      </c>
      <c r="Y189" s="927">
        <f t="shared" si="9"/>
        <v>1936605</v>
      </c>
    </row>
    <row r="190" spans="1:25">
      <c r="A190" s="899">
        <v>66</v>
      </c>
      <c r="B190" s="899">
        <v>619</v>
      </c>
      <c r="C190" s="899" t="s">
        <v>1191</v>
      </c>
      <c r="D190" s="925">
        <v>39675</v>
      </c>
      <c r="E190" s="899" t="s">
        <v>140</v>
      </c>
      <c r="F190" s="925">
        <v>39997</v>
      </c>
      <c r="G190" s="901">
        <v>0</v>
      </c>
      <c r="H190" s="901">
        <v>801057</v>
      </c>
      <c r="I190" s="899">
        <v>0.56245256671779797</v>
      </c>
      <c r="J190" s="899" t="s">
        <v>1249</v>
      </c>
      <c r="K190" s="899" t="s">
        <v>2706</v>
      </c>
      <c r="L190" s="899" t="s">
        <v>2707</v>
      </c>
      <c r="M190" s="899">
        <v>6190020028</v>
      </c>
      <c r="N190" s="899" t="s">
        <v>2531</v>
      </c>
      <c r="O190" s="899" t="s">
        <v>2708</v>
      </c>
      <c r="P190" s="899">
        <v>138</v>
      </c>
      <c r="Q190" s="899" t="s">
        <v>2533</v>
      </c>
      <c r="R190" s="899">
        <v>0.5</v>
      </c>
      <c r="S190" s="899" t="s">
        <v>2534</v>
      </c>
      <c r="T190" s="899">
        <v>1</v>
      </c>
      <c r="U190" s="899" t="s">
        <v>2698</v>
      </c>
      <c r="V190" s="926">
        <v>801057</v>
      </c>
      <c r="W190" s="899">
        <v>619</v>
      </c>
      <c r="X190" s="926">
        <f t="shared" si="10"/>
        <v>801057</v>
      </c>
      <c r="Y190" s="927">
        <f t="shared" si="9"/>
        <v>1602114</v>
      </c>
    </row>
    <row r="191" spans="1:25">
      <c r="A191" s="899">
        <v>104</v>
      </c>
      <c r="B191" s="899">
        <v>683</v>
      </c>
      <c r="C191" s="899" t="s">
        <v>1191</v>
      </c>
      <c r="D191" s="925">
        <v>40738</v>
      </c>
      <c r="E191" s="899" t="s">
        <v>140</v>
      </c>
      <c r="F191" s="925">
        <v>41243</v>
      </c>
      <c r="G191" s="901">
        <v>0</v>
      </c>
      <c r="H191" s="901">
        <v>1464000</v>
      </c>
      <c r="I191" s="899">
        <v>0.64508813524378905</v>
      </c>
      <c r="J191" s="899" t="s">
        <v>1355</v>
      </c>
      <c r="K191" s="899" t="s">
        <v>2737</v>
      </c>
      <c r="L191" s="899" t="s">
        <v>2738</v>
      </c>
      <c r="M191" s="899">
        <v>683002023</v>
      </c>
      <c r="N191" s="899" t="s">
        <v>2531</v>
      </c>
      <c r="O191" s="899" t="s">
        <v>2739</v>
      </c>
      <c r="P191" s="899">
        <v>138</v>
      </c>
      <c r="Q191" s="899" t="s">
        <v>2533</v>
      </c>
      <c r="R191" s="899">
        <v>2</v>
      </c>
      <c r="S191" s="899" t="s">
        <v>2534</v>
      </c>
      <c r="T191" s="899">
        <v>1</v>
      </c>
      <c r="U191" s="899" t="s">
        <v>2698</v>
      </c>
      <c r="V191" s="926">
        <v>1464000</v>
      </c>
      <c r="W191" s="899">
        <v>683</v>
      </c>
      <c r="X191" s="926">
        <f t="shared" si="10"/>
        <v>1464000</v>
      </c>
      <c r="Y191" s="927">
        <f t="shared" si="9"/>
        <v>732000</v>
      </c>
    </row>
    <row r="192" spans="1:25">
      <c r="A192" s="899">
        <v>107</v>
      </c>
      <c r="B192" s="899">
        <v>700</v>
      </c>
      <c r="C192" s="899" t="s">
        <v>1191</v>
      </c>
      <c r="D192" s="925">
        <v>39595</v>
      </c>
      <c r="E192" s="899" t="s">
        <v>140</v>
      </c>
      <c r="F192" s="925">
        <v>40162</v>
      </c>
      <c r="G192" s="901">
        <v>0</v>
      </c>
      <c r="H192" s="901">
        <v>663000</v>
      </c>
      <c r="I192" s="899">
        <v>0.45934530095037002</v>
      </c>
      <c r="J192" s="899" t="s">
        <v>3028</v>
      </c>
      <c r="K192" s="899" t="s">
        <v>2699</v>
      </c>
      <c r="L192" s="899" t="s">
        <v>2700</v>
      </c>
      <c r="M192" s="899">
        <v>700002016</v>
      </c>
      <c r="N192" s="899" t="s">
        <v>2531</v>
      </c>
      <c r="O192" s="899" t="s">
        <v>2504</v>
      </c>
      <c r="P192" s="899">
        <v>138</v>
      </c>
      <c r="Q192" s="899" t="s">
        <v>2533</v>
      </c>
      <c r="R192" s="899">
        <v>1.2</v>
      </c>
      <c r="S192" s="899" t="s">
        <v>2534</v>
      </c>
      <c r="T192" s="899">
        <v>1</v>
      </c>
      <c r="U192" s="899" t="s">
        <v>2698</v>
      </c>
      <c r="V192" s="926">
        <v>663000</v>
      </c>
      <c r="W192" s="899">
        <v>700</v>
      </c>
      <c r="X192" s="926">
        <f t="shared" si="10"/>
        <v>663000</v>
      </c>
      <c r="Y192" s="927">
        <f t="shared" si="9"/>
        <v>552500</v>
      </c>
    </row>
    <row r="193" spans="1:25">
      <c r="A193" s="899">
        <v>108</v>
      </c>
      <c r="B193" s="899">
        <v>709</v>
      </c>
      <c r="C193" s="899" t="s">
        <v>1191</v>
      </c>
      <c r="D193" s="925">
        <v>39766</v>
      </c>
      <c r="E193" s="899" t="s">
        <v>66</v>
      </c>
      <c r="F193" s="925">
        <v>40210</v>
      </c>
      <c r="G193" s="901">
        <v>0</v>
      </c>
      <c r="H193" s="901">
        <v>699688</v>
      </c>
      <c r="I193" s="899">
        <v>0.71025984545356702</v>
      </c>
      <c r="K193" s="899" t="s">
        <v>3029</v>
      </c>
      <c r="L193" s="899" t="s">
        <v>2762</v>
      </c>
      <c r="M193" s="899">
        <v>709002013</v>
      </c>
      <c r="N193" s="899" t="s">
        <v>2531</v>
      </c>
      <c r="O193" s="899" t="s">
        <v>2763</v>
      </c>
      <c r="P193" s="899">
        <v>144</v>
      </c>
      <c r="Q193" s="899" t="s">
        <v>2533</v>
      </c>
      <c r="R193" s="899">
        <v>0.76500000000000001</v>
      </c>
      <c r="S193" s="899" t="s">
        <v>2538</v>
      </c>
      <c r="T193" s="899">
        <v>1</v>
      </c>
      <c r="U193" s="899" t="s">
        <v>2698</v>
      </c>
      <c r="V193" s="926">
        <v>699688</v>
      </c>
      <c r="W193" s="899">
        <v>709</v>
      </c>
      <c r="X193" s="926">
        <f t="shared" si="10"/>
        <v>615725.44000000006</v>
      </c>
      <c r="Y193" s="927">
        <f t="shared" si="9"/>
        <v>804869.8562091504</v>
      </c>
    </row>
    <row r="194" spans="1:25">
      <c r="A194" s="899">
        <v>123</v>
      </c>
      <c r="B194" s="899">
        <v>722</v>
      </c>
      <c r="C194" s="899" t="s">
        <v>1191</v>
      </c>
      <c r="D194" s="925">
        <v>39790</v>
      </c>
      <c r="E194" s="899" t="s">
        <v>66</v>
      </c>
      <c r="F194" s="925">
        <v>40224</v>
      </c>
      <c r="G194" s="901">
        <v>0</v>
      </c>
      <c r="H194" s="901">
        <v>4059000</v>
      </c>
      <c r="I194" s="899">
        <v>0.69464166108506398</v>
      </c>
      <c r="J194" s="899" t="s">
        <v>3030</v>
      </c>
      <c r="K194" s="899" t="s">
        <v>2792</v>
      </c>
      <c r="L194" s="899" t="s">
        <v>2793</v>
      </c>
      <c r="M194" s="899">
        <v>722002006</v>
      </c>
      <c r="N194" s="899" t="s">
        <v>2531</v>
      </c>
      <c r="O194" s="899" t="s">
        <v>2794</v>
      </c>
      <c r="P194" s="899">
        <v>144</v>
      </c>
      <c r="Q194" s="899" t="s">
        <v>2533</v>
      </c>
      <c r="R194" s="899">
        <v>25</v>
      </c>
      <c r="S194" s="899" t="s">
        <v>2534</v>
      </c>
      <c r="T194" s="899">
        <v>1</v>
      </c>
      <c r="U194" s="899" t="s">
        <v>2698</v>
      </c>
      <c r="V194" s="926">
        <v>4059000</v>
      </c>
      <c r="W194" s="899">
        <v>722</v>
      </c>
      <c r="X194" s="926">
        <f t="shared" si="10"/>
        <v>4059000</v>
      </c>
      <c r="Y194" s="927">
        <f t="shared" si="9"/>
        <v>162360</v>
      </c>
    </row>
    <row r="195" spans="1:25">
      <c r="A195" s="899">
        <v>126</v>
      </c>
      <c r="B195" s="899">
        <v>725</v>
      </c>
      <c r="C195" s="899" t="s">
        <v>1191</v>
      </c>
      <c r="D195" s="925">
        <v>39387</v>
      </c>
      <c r="E195" s="899" t="s">
        <v>140</v>
      </c>
      <c r="F195" s="925">
        <v>39759</v>
      </c>
      <c r="G195" s="901">
        <v>0</v>
      </c>
      <c r="H195" s="901">
        <v>575000</v>
      </c>
      <c r="I195" s="899">
        <v>0.41764705882352898</v>
      </c>
      <c r="J195" s="899" t="s">
        <v>1252</v>
      </c>
      <c r="K195" s="899" t="s">
        <v>2747</v>
      </c>
      <c r="L195" s="899" t="s">
        <v>2748</v>
      </c>
      <c r="M195" s="899">
        <v>725002014</v>
      </c>
      <c r="N195" s="899" t="s">
        <v>2531</v>
      </c>
      <c r="O195" s="899" t="s">
        <v>2501</v>
      </c>
      <c r="P195" s="899">
        <v>138</v>
      </c>
      <c r="Q195" s="899" t="s">
        <v>2533</v>
      </c>
      <c r="R195" s="899">
        <v>0.4</v>
      </c>
      <c r="S195" s="899" t="s">
        <v>2534</v>
      </c>
      <c r="T195" s="899">
        <v>1</v>
      </c>
      <c r="U195" s="899" t="s">
        <v>2698</v>
      </c>
      <c r="V195" s="926">
        <v>575000</v>
      </c>
      <c r="W195" s="899">
        <v>725</v>
      </c>
      <c r="X195" s="926">
        <f t="shared" si="10"/>
        <v>575000</v>
      </c>
      <c r="Y195" s="927">
        <f t="shared" si="9"/>
        <v>1437500</v>
      </c>
    </row>
    <row r="196" spans="1:25">
      <c r="A196" s="899">
        <v>157</v>
      </c>
      <c r="B196" s="899">
        <v>811</v>
      </c>
      <c r="C196" s="899" t="s">
        <v>1191</v>
      </c>
      <c r="D196" s="925">
        <v>41530</v>
      </c>
      <c r="E196" s="899" t="s">
        <v>66</v>
      </c>
      <c r="F196" s="925">
        <v>41456</v>
      </c>
      <c r="G196" s="901">
        <v>8242669</v>
      </c>
      <c r="H196" s="901">
        <v>0</v>
      </c>
      <c r="I196" s="899">
        <v>0.57370841497982905</v>
      </c>
      <c r="J196" s="899" t="s">
        <v>1248</v>
      </c>
      <c r="K196" s="899" t="s">
        <v>2799</v>
      </c>
      <c r="L196" s="899" t="s">
        <v>2800</v>
      </c>
      <c r="M196" s="899">
        <v>8110020151</v>
      </c>
      <c r="N196" s="899" t="s">
        <v>2531</v>
      </c>
      <c r="O196" s="899" t="s">
        <v>1724</v>
      </c>
      <c r="P196" s="899">
        <v>144</v>
      </c>
      <c r="Q196" s="899" t="s">
        <v>2533</v>
      </c>
      <c r="R196" s="899">
        <v>12</v>
      </c>
      <c r="S196" s="899" t="s">
        <v>2538</v>
      </c>
      <c r="T196" s="899">
        <v>1</v>
      </c>
      <c r="U196" s="899" t="s">
        <v>2698</v>
      </c>
      <c r="V196" s="926">
        <v>8242669</v>
      </c>
      <c r="W196" s="899">
        <v>811</v>
      </c>
      <c r="X196" s="926">
        <f t="shared" si="10"/>
        <v>7253548.7199999997</v>
      </c>
      <c r="Y196" s="927">
        <f t="shared" si="9"/>
        <v>604462.39333333331</v>
      </c>
    </row>
    <row r="197" spans="1:25">
      <c r="A197" s="899">
        <v>218</v>
      </c>
      <c r="B197" s="899">
        <v>817</v>
      </c>
      <c r="C197" s="899" t="s">
        <v>1191</v>
      </c>
      <c r="D197" s="925">
        <v>40480</v>
      </c>
      <c r="E197" s="899" t="s">
        <v>66</v>
      </c>
      <c r="F197" s="925">
        <v>41439</v>
      </c>
      <c r="G197" s="901">
        <v>8605000</v>
      </c>
      <c r="H197" s="901">
        <v>0</v>
      </c>
      <c r="I197" s="899">
        <v>0.58219104155423596</v>
      </c>
      <c r="K197" s="899" t="s">
        <v>2783</v>
      </c>
      <c r="L197" s="899" t="s">
        <v>2784</v>
      </c>
      <c r="M197" s="899">
        <v>817002057</v>
      </c>
      <c r="N197" s="899" t="s">
        <v>2531</v>
      </c>
      <c r="O197" s="899" t="s">
        <v>2785</v>
      </c>
      <c r="P197" s="899">
        <v>144</v>
      </c>
      <c r="Q197" s="899" t="s">
        <v>2533</v>
      </c>
      <c r="R197" s="899">
        <v>32</v>
      </c>
      <c r="S197" s="899" t="s">
        <v>2534</v>
      </c>
      <c r="T197" s="899">
        <v>1</v>
      </c>
      <c r="U197" s="899" t="s">
        <v>2698</v>
      </c>
      <c r="V197" s="926">
        <v>8605000</v>
      </c>
      <c r="W197" s="899">
        <v>817</v>
      </c>
      <c r="X197" s="926">
        <f t="shared" si="10"/>
        <v>8605000</v>
      </c>
      <c r="Y197" s="927">
        <f t="shared" si="9"/>
        <v>268906.25</v>
      </c>
    </row>
    <row r="198" spans="1:25">
      <c r="A198" s="899">
        <v>219</v>
      </c>
      <c r="B198" s="899">
        <v>817</v>
      </c>
      <c r="C198" s="899" t="s">
        <v>1191</v>
      </c>
      <c r="D198" s="925">
        <v>40891</v>
      </c>
      <c r="E198" s="899" t="s">
        <v>66</v>
      </c>
      <c r="F198" s="925">
        <v>41579</v>
      </c>
      <c r="G198" s="901">
        <v>10395427</v>
      </c>
      <c r="H198" s="901">
        <v>0</v>
      </c>
      <c r="I198" s="899">
        <v>0.52625204484661203</v>
      </c>
      <c r="K198" s="899" t="s">
        <v>2767</v>
      </c>
      <c r="L198" s="899" t="s">
        <v>2775</v>
      </c>
      <c r="M198" s="899">
        <v>817002023</v>
      </c>
      <c r="N198" s="899" t="s">
        <v>2531</v>
      </c>
      <c r="O198" s="899" t="s">
        <v>2776</v>
      </c>
      <c r="P198" s="899">
        <v>144</v>
      </c>
      <c r="Q198" s="899" t="s">
        <v>2533</v>
      </c>
      <c r="R198" s="899">
        <v>46</v>
      </c>
      <c r="S198" s="899" t="s">
        <v>2534</v>
      </c>
      <c r="T198" s="899">
        <v>1</v>
      </c>
      <c r="U198" s="899" t="s">
        <v>2698</v>
      </c>
      <c r="V198" s="926">
        <v>10395427</v>
      </c>
      <c r="W198" s="899">
        <v>817</v>
      </c>
      <c r="X198" s="926">
        <f t="shared" si="10"/>
        <v>10395427</v>
      </c>
      <c r="Y198" s="927">
        <f t="shared" si="9"/>
        <v>225987.54347826086</v>
      </c>
    </row>
    <row r="199" spans="1:25">
      <c r="A199" s="899">
        <v>220</v>
      </c>
      <c r="B199" s="899">
        <v>817</v>
      </c>
      <c r="C199" s="899" t="s">
        <v>1191</v>
      </c>
      <c r="D199" s="925">
        <v>40891</v>
      </c>
      <c r="E199" s="899" t="s">
        <v>66</v>
      </c>
      <c r="F199" s="925">
        <v>41579</v>
      </c>
      <c r="G199" s="901">
        <v>11826616</v>
      </c>
      <c r="H199" s="901">
        <v>0</v>
      </c>
      <c r="I199" s="899">
        <v>0.52625204484661203</v>
      </c>
      <c r="K199" s="899" t="s">
        <v>2767</v>
      </c>
      <c r="L199" s="899" t="s">
        <v>2768</v>
      </c>
      <c r="M199" s="899">
        <v>817002026</v>
      </c>
      <c r="N199" s="899" t="s">
        <v>2531</v>
      </c>
      <c r="O199" s="899" t="s">
        <v>2769</v>
      </c>
      <c r="P199" s="899">
        <v>144</v>
      </c>
      <c r="Q199" s="899" t="s">
        <v>2533</v>
      </c>
      <c r="R199" s="899">
        <v>13</v>
      </c>
      <c r="S199" s="899" t="s">
        <v>2534</v>
      </c>
      <c r="T199" s="899">
        <v>1</v>
      </c>
      <c r="U199" s="899" t="s">
        <v>2698</v>
      </c>
      <c r="V199" s="926">
        <v>11826616</v>
      </c>
      <c r="W199" s="899">
        <v>817</v>
      </c>
      <c r="X199" s="926">
        <f t="shared" si="10"/>
        <v>11826616</v>
      </c>
      <c r="Y199" s="927">
        <f t="shared" si="9"/>
        <v>909739.69230769225</v>
      </c>
    </row>
    <row r="200" spans="1:25">
      <c r="A200" s="899">
        <v>223</v>
      </c>
      <c r="B200" s="899">
        <v>831</v>
      </c>
      <c r="C200" s="899" t="s">
        <v>1191</v>
      </c>
      <c r="D200" s="925">
        <v>40210</v>
      </c>
      <c r="E200" s="899" t="s">
        <v>140</v>
      </c>
      <c r="F200" s="925">
        <v>40513</v>
      </c>
      <c r="G200" s="901">
        <v>0</v>
      </c>
      <c r="H200" s="901">
        <v>803000</v>
      </c>
      <c r="I200" s="899">
        <v>0.65542072276303498</v>
      </c>
      <c r="K200" s="899" t="s">
        <v>3031</v>
      </c>
      <c r="L200" s="899" t="s">
        <v>3032</v>
      </c>
      <c r="M200" s="899">
        <v>831002024</v>
      </c>
      <c r="N200" s="899" t="s">
        <v>2531</v>
      </c>
      <c r="O200" s="899" t="s">
        <v>3033</v>
      </c>
      <c r="P200" s="899">
        <v>138</v>
      </c>
      <c r="Q200" s="899" t="s">
        <v>2533</v>
      </c>
      <c r="R200" s="899">
        <v>0.2</v>
      </c>
      <c r="S200" s="899" t="s">
        <v>2538</v>
      </c>
      <c r="T200" s="899">
        <v>1</v>
      </c>
      <c r="U200" s="899" t="s">
        <v>2698</v>
      </c>
      <c r="V200" s="926">
        <v>803000</v>
      </c>
      <c r="W200" s="899">
        <v>831</v>
      </c>
      <c r="X200" s="926">
        <f t="shared" si="10"/>
        <v>706640</v>
      </c>
      <c r="Y200" s="927">
        <f t="shared" si="9"/>
        <v>3533200</v>
      </c>
    </row>
    <row r="201" spans="1:25">
      <c r="A201" s="899">
        <v>253</v>
      </c>
      <c r="B201" s="899">
        <v>851</v>
      </c>
      <c r="C201" s="899" t="s">
        <v>1191</v>
      </c>
      <c r="D201" s="925">
        <v>41233</v>
      </c>
      <c r="E201" s="899" t="s">
        <v>140</v>
      </c>
      <c r="F201" s="925">
        <v>41729</v>
      </c>
      <c r="G201" s="901">
        <v>8069000</v>
      </c>
      <c r="H201" s="901">
        <v>0</v>
      </c>
      <c r="I201" s="899">
        <v>0.72375009742412399</v>
      </c>
      <c r="K201" s="899" t="s">
        <v>3034</v>
      </c>
      <c r="L201" s="899" t="s">
        <v>2745</v>
      </c>
      <c r="M201" s="899">
        <v>851002047</v>
      </c>
      <c r="N201" s="899" t="s">
        <v>2531</v>
      </c>
      <c r="O201" s="899" t="s">
        <v>2746</v>
      </c>
      <c r="P201" s="899">
        <v>138</v>
      </c>
      <c r="Q201" s="899" t="s">
        <v>2533</v>
      </c>
      <c r="R201" s="899">
        <v>17</v>
      </c>
      <c r="S201" s="899" t="s">
        <v>2534</v>
      </c>
      <c r="T201" s="899">
        <v>1</v>
      </c>
      <c r="U201" s="899" t="s">
        <v>2698</v>
      </c>
      <c r="V201" s="926">
        <v>8069000</v>
      </c>
      <c r="W201" s="899">
        <v>851</v>
      </c>
      <c r="X201" s="926">
        <f t="shared" si="10"/>
        <v>8069000</v>
      </c>
      <c r="Y201" s="927">
        <f t="shared" si="9"/>
        <v>474647.0588235294</v>
      </c>
    </row>
    <row r="202" spans="1:25">
      <c r="A202" s="899">
        <v>256</v>
      </c>
      <c r="B202" s="899">
        <v>854</v>
      </c>
      <c r="C202" s="899" t="s">
        <v>1191</v>
      </c>
      <c r="D202" s="925">
        <v>40210</v>
      </c>
      <c r="E202" s="899" t="s">
        <v>140</v>
      </c>
      <c r="F202" s="925">
        <v>40480</v>
      </c>
      <c r="G202" s="901">
        <v>0</v>
      </c>
      <c r="H202" s="901">
        <v>3191000</v>
      </c>
      <c r="I202" s="899">
        <v>0.59349593495934905</v>
      </c>
      <c r="J202" s="899" t="s">
        <v>1212</v>
      </c>
      <c r="K202" s="899" t="s">
        <v>2710</v>
      </c>
      <c r="L202" s="899" t="s">
        <v>2711</v>
      </c>
      <c r="M202" s="899">
        <v>854002003</v>
      </c>
      <c r="N202" s="899" t="s">
        <v>2531</v>
      </c>
      <c r="O202" s="899" t="s">
        <v>2712</v>
      </c>
      <c r="P202" s="899">
        <v>138</v>
      </c>
      <c r="Q202" s="899" t="s">
        <v>2533</v>
      </c>
      <c r="R202" s="899">
        <v>11.2</v>
      </c>
      <c r="S202" s="899" t="s">
        <v>2534</v>
      </c>
      <c r="T202" s="899">
        <v>1</v>
      </c>
      <c r="U202" s="899" t="s">
        <v>2698</v>
      </c>
      <c r="V202" s="926">
        <v>3191000</v>
      </c>
      <c r="W202" s="899">
        <v>854</v>
      </c>
      <c r="X202" s="926">
        <f t="shared" si="10"/>
        <v>3191000</v>
      </c>
      <c r="Y202" s="927">
        <f t="shared" si="9"/>
        <v>284910.71428571432</v>
      </c>
    </row>
    <row r="203" spans="1:25">
      <c r="A203" s="899">
        <v>260</v>
      </c>
      <c r="B203" s="899">
        <v>863</v>
      </c>
      <c r="C203" s="899" t="s">
        <v>1191</v>
      </c>
      <c r="D203" s="925">
        <v>40268</v>
      </c>
      <c r="E203" s="899" t="s">
        <v>66</v>
      </c>
      <c r="F203" s="925">
        <v>41027</v>
      </c>
      <c r="G203" s="901">
        <v>0</v>
      </c>
      <c r="H203" s="901">
        <v>1864185</v>
      </c>
      <c r="I203" s="899">
        <v>0.64983731899281905</v>
      </c>
      <c r="J203" s="899" t="s">
        <v>1206</v>
      </c>
      <c r="K203" s="899" t="s">
        <v>2758</v>
      </c>
      <c r="L203" s="899" t="s">
        <v>2759</v>
      </c>
      <c r="M203" s="899">
        <v>863002010</v>
      </c>
      <c r="N203" s="899" t="s">
        <v>2531</v>
      </c>
      <c r="O203" s="899" t="s">
        <v>2760</v>
      </c>
      <c r="P203" s="899">
        <v>144</v>
      </c>
      <c r="Q203" s="899" t="s">
        <v>2533</v>
      </c>
      <c r="R203" s="899">
        <v>9.1999999999999993</v>
      </c>
      <c r="S203" s="899" t="s">
        <v>2534</v>
      </c>
      <c r="T203" s="899">
        <v>1</v>
      </c>
      <c r="U203" s="899" t="s">
        <v>2698</v>
      </c>
      <c r="V203" s="926">
        <v>1864185</v>
      </c>
      <c r="W203" s="899">
        <v>863</v>
      </c>
      <c r="X203" s="926">
        <f t="shared" si="10"/>
        <v>1864185</v>
      </c>
      <c r="Y203" s="927">
        <f t="shared" si="9"/>
        <v>202628.80434782611</v>
      </c>
    </row>
    <row r="204" spans="1:25">
      <c r="A204" s="899">
        <v>262</v>
      </c>
      <c r="B204" s="899">
        <v>865</v>
      </c>
      <c r="C204" s="899" t="s">
        <v>1191</v>
      </c>
      <c r="D204" s="925">
        <v>40268</v>
      </c>
      <c r="E204" s="899" t="s">
        <v>66</v>
      </c>
      <c r="F204" s="925">
        <v>40973</v>
      </c>
      <c r="G204" s="901">
        <v>0</v>
      </c>
      <c r="H204" s="901">
        <v>1425473</v>
      </c>
      <c r="I204" s="899">
        <v>0.64129552624109498</v>
      </c>
      <c r="J204" s="899" t="s">
        <v>3035</v>
      </c>
      <c r="K204" s="899" t="s">
        <v>3036</v>
      </c>
      <c r="L204" s="899" t="s">
        <v>2765</v>
      </c>
      <c r="M204" s="899">
        <v>865002010</v>
      </c>
      <c r="N204" s="899" t="s">
        <v>2531</v>
      </c>
      <c r="O204" s="899" t="s">
        <v>2766</v>
      </c>
      <c r="P204" s="899">
        <v>144</v>
      </c>
      <c r="Q204" s="899" t="s">
        <v>2533</v>
      </c>
      <c r="R204" s="899">
        <v>5</v>
      </c>
      <c r="S204" s="899" t="s">
        <v>2534</v>
      </c>
      <c r="T204" s="899">
        <v>1</v>
      </c>
      <c r="U204" s="899" t="s">
        <v>2698</v>
      </c>
      <c r="V204" s="926">
        <v>1425473</v>
      </c>
      <c r="W204" s="899">
        <v>865</v>
      </c>
      <c r="X204" s="926">
        <f t="shared" si="10"/>
        <v>1425473</v>
      </c>
      <c r="Y204" s="927">
        <f t="shared" si="9"/>
        <v>285094.59999999998</v>
      </c>
    </row>
    <row r="205" spans="1:25">
      <c r="A205" s="899">
        <v>353</v>
      </c>
      <c r="B205" s="899">
        <v>1022</v>
      </c>
      <c r="C205" s="899" t="s">
        <v>1191</v>
      </c>
      <c r="D205" s="925">
        <v>40324</v>
      </c>
      <c r="E205" s="899" t="s">
        <v>66</v>
      </c>
      <c r="F205" s="925">
        <v>40823</v>
      </c>
      <c r="G205" s="901">
        <v>3341000</v>
      </c>
      <c r="H205" s="901">
        <v>0</v>
      </c>
      <c r="I205" s="899">
        <v>0.44727595517254098</v>
      </c>
      <c r="J205" s="899" t="s">
        <v>1206</v>
      </c>
      <c r="K205" s="899" t="s">
        <v>3037</v>
      </c>
      <c r="L205" s="899" t="s">
        <v>3038</v>
      </c>
      <c r="M205" s="899">
        <v>1022002419</v>
      </c>
      <c r="N205" s="899" t="s">
        <v>2531</v>
      </c>
      <c r="O205" s="899" t="s">
        <v>3039</v>
      </c>
      <c r="P205" s="899">
        <v>144</v>
      </c>
      <c r="Q205" s="899" t="s">
        <v>2533</v>
      </c>
      <c r="R205" s="899">
        <v>12.4</v>
      </c>
      <c r="S205" s="899" t="s">
        <v>2538</v>
      </c>
      <c r="T205" s="899">
        <v>1</v>
      </c>
      <c r="U205" s="899" t="s">
        <v>2698</v>
      </c>
      <c r="V205" s="926">
        <v>3341000</v>
      </c>
      <c r="W205" s="899">
        <v>812</v>
      </c>
      <c r="X205" s="926">
        <f t="shared" si="10"/>
        <v>2940080</v>
      </c>
      <c r="Y205" s="927">
        <f t="shared" si="9"/>
        <v>237103.22580645161</v>
      </c>
    </row>
    <row r="206" spans="1:25">
      <c r="A206" s="899">
        <v>377</v>
      </c>
      <c r="B206" s="899">
        <v>1038</v>
      </c>
      <c r="C206" s="899" t="s">
        <v>1191</v>
      </c>
      <c r="D206" s="925">
        <v>41723</v>
      </c>
      <c r="E206" s="899" t="s">
        <v>140</v>
      </c>
      <c r="F206" s="925">
        <v>42490</v>
      </c>
      <c r="G206" s="901">
        <v>20497058</v>
      </c>
      <c r="H206" s="901">
        <v>0</v>
      </c>
      <c r="I206" s="899">
        <v>0.56977026281248999</v>
      </c>
      <c r="J206" s="899" t="s">
        <v>1253</v>
      </c>
      <c r="K206" s="899" t="s">
        <v>3040</v>
      </c>
      <c r="L206" s="899" t="s">
        <v>3041</v>
      </c>
      <c r="M206" s="899">
        <v>10380020680</v>
      </c>
      <c r="N206" s="899" t="s">
        <v>2531</v>
      </c>
      <c r="O206" s="899" t="s">
        <v>3042</v>
      </c>
      <c r="P206" s="899">
        <v>138</v>
      </c>
      <c r="Q206" s="899" t="s">
        <v>2533</v>
      </c>
      <c r="R206" s="899">
        <v>24</v>
      </c>
      <c r="S206" s="899" t="s">
        <v>2538</v>
      </c>
      <c r="T206" s="899">
        <v>1</v>
      </c>
      <c r="U206" s="899" t="s">
        <v>2698</v>
      </c>
      <c r="V206" s="926">
        <v>20497058</v>
      </c>
      <c r="W206" s="899">
        <v>787</v>
      </c>
      <c r="X206" s="926">
        <f t="shared" si="10"/>
        <v>18037411.039999999</v>
      </c>
      <c r="Y206" s="927">
        <f t="shared" si="9"/>
        <v>751558.79333333333</v>
      </c>
    </row>
    <row r="207" spans="1:25">
      <c r="A207" s="899">
        <v>380</v>
      </c>
      <c r="B207" s="899">
        <v>1042</v>
      </c>
      <c r="C207" s="899" t="s">
        <v>1191</v>
      </c>
      <c r="D207" s="925">
        <v>40771</v>
      </c>
      <c r="E207" s="899" t="s">
        <v>140</v>
      </c>
      <c r="F207" s="925">
        <v>41153</v>
      </c>
      <c r="G207" s="901">
        <v>0</v>
      </c>
      <c r="H207" s="901">
        <v>1461000</v>
      </c>
      <c r="I207" s="899">
        <v>0.59501438159156295</v>
      </c>
      <c r="K207" s="899" t="s">
        <v>3043</v>
      </c>
      <c r="L207" s="899" t="s">
        <v>3044</v>
      </c>
      <c r="M207" s="899">
        <v>1042002016</v>
      </c>
      <c r="N207" s="899" t="s">
        <v>2531</v>
      </c>
      <c r="O207" s="899" t="s">
        <v>2500</v>
      </c>
      <c r="P207" s="899">
        <v>138</v>
      </c>
      <c r="Q207" s="899" t="s">
        <v>2533</v>
      </c>
      <c r="R207" s="899">
        <v>1.5</v>
      </c>
      <c r="S207" s="899" t="s">
        <v>2534</v>
      </c>
      <c r="T207" s="899">
        <v>1</v>
      </c>
      <c r="U207" s="899" t="s">
        <v>2698</v>
      </c>
      <c r="V207" s="926">
        <v>1461000</v>
      </c>
      <c r="W207" s="899">
        <v>1042</v>
      </c>
      <c r="X207" s="926">
        <f t="shared" si="10"/>
        <v>1461000</v>
      </c>
      <c r="Y207" s="927">
        <f t="shared" si="9"/>
        <v>974000</v>
      </c>
    </row>
    <row r="208" spans="1:25">
      <c r="A208" s="899">
        <v>382</v>
      </c>
      <c r="B208" s="899">
        <v>1052</v>
      </c>
      <c r="C208" s="899" t="s">
        <v>1191</v>
      </c>
      <c r="D208" s="925">
        <v>41136</v>
      </c>
      <c r="E208" s="899" t="s">
        <v>140</v>
      </c>
      <c r="F208" s="925">
        <v>41607</v>
      </c>
      <c r="G208" s="901">
        <v>143000</v>
      </c>
      <c r="H208" s="901">
        <v>0</v>
      </c>
      <c r="I208" s="899">
        <v>0.59313494995633798</v>
      </c>
      <c r="K208" s="899" t="s">
        <v>2713</v>
      </c>
      <c r="L208" s="899" t="s">
        <v>2714</v>
      </c>
      <c r="M208" s="899">
        <v>1052002014</v>
      </c>
      <c r="N208" s="899" t="s">
        <v>2531</v>
      </c>
      <c r="O208" s="899" t="s">
        <v>2715</v>
      </c>
      <c r="P208" s="899">
        <v>138</v>
      </c>
      <c r="Q208" s="899" t="s">
        <v>2533</v>
      </c>
      <c r="R208" s="899">
        <v>0.05</v>
      </c>
      <c r="S208" s="899" t="s">
        <v>2534</v>
      </c>
      <c r="T208" s="899">
        <v>1</v>
      </c>
      <c r="U208" s="899" t="s">
        <v>2698</v>
      </c>
      <c r="V208" s="926">
        <v>143000</v>
      </c>
      <c r="W208" s="899">
        <v>1052</v>
      </c>
      <c r="X208" s="926">
        <f t="shared" si="10"/>
        <v>143000</v>
      </c>
      <c r="Y208" s="927">
        <f t="shared" si="9"/>
        <v>2860000</v>
      </c>
    </row>
    <row r="209" spans="1:25">
      <c r="A209" s="899">
        <v>383</v>
      </c>
      <c r="B209" s="899">
        <v>1052</v>
      </c>
      <c r="C209" s="899" t="s">
        <v>1191</v>
      </c>
      <c r="D209" s="925">
        <v>41136</v>
      </c>
      <c r="E209" s="899" t="s">
        <v>140</v>
      </c>
      <c r="F209" s="925">
        <v>41607</v>
      </c>
      <c r="G209" s="901">
        <v>192000</v>
      </c>
      <c r="H209" s="901">
        <v>0</v>
      </c>
      <c r="I209" s="899">
        <v>0.59313494995633798</v>
      </c>
      <c r="K209" s="899" t="s">
        <v>2713</v>
      </c>
      <c r="L209" s="899" t="s">
        <v>2714</v>
      </c>
      <c r="M209" s="899">
        <v>1052002017</v>
      </c>
      <c r="N209" s="899" t="s">
        <v>2531</v>
      </c>
      <c r="O209" s="899" t="s">
        <v>2716</v>
      </c>
      <c r="P209" s="899">
        <v>138</v>
      </c>
      <c r="Q209" s="899" t="s">
        <v>2533</v>
      </c>
      <c r="R209" s="899">
        <v>0.05</v>
      </c>
      <c r="S209" s="899" t="s">
        <v>2534</v>
      </c>
      <c r="T209" s="899">
        <v>1</v>
      </c>
      <c r="U209" s="899" t="s">
        <v>2698</v>
      </c>
      <c r="V209" s="926">
        <v>192000</v>
      </c>
      <c r="W209" s="899">
        <v>1052</v>
      </c>
      <c r="X209" s="926">
        <f t="shared" si="10"/>
        <v>192000</v>
      </c>
      <c r="Y209" s="927">
        <f t="shared" ref="Y209:Y240" si="11">X209/R209</f>
        <v>3840000</v>
      </c>
    </row>
    <row r="210" spans="1:25">
      <c r="A210" s="899">
        <v>387</v>
      </c>
      <c r="B210" s="899">
        <v>1068</v>
      </c>
      <c r="C210" s="899" t="s">
        <v>1191</v>
      </c>
      <c r="D210" s="925">
        <v>40700</v>
      </c>
      <c r="E210" s="899" t="s">
        <v>140</v>
      </c>
      <c r="F210" s="925">
        <v>40816</v>
      </c>
      <c r="G210" s="901">
        <v>0</v>
      </c>
      <c r="H210" s="901">
        <v>300000</v>
      </c>
      <c r="I210" s="899">
        <v>0.45814013395157099</v>
      </c>
      <c r="K210" s="899" t="s">
        <v>2730</v>
      </c>
      <c r="L210" s="899" t="s">
        <v>2731</v>
      </c>
      <c r="M210" s="899">
        <v>1068002024</v>
      </c>
      <c r="N210" s="899" t="s">
        <v>2531</v>
      </c>
      <c r="O210" s="899" t="s">
        <v>2732</v>
      </c>
      <c r="P210" s="899">
        <v>138</v>
      </c>
      <c r="Q210" s="899" t="s">
        <v>2533</v>
      </c>
      <c r="R210" s="899">
        <v>0.2</v>
      </c>
      <c r="S210" s="899" t="s">
        <v>2534</v>
      </c>
      <c r="T210" s="899">
        <v>1</v>
      </c>
      <c r="U210" s="899" t="s">
        <v>2698</v>
      </c>
      <c r="V210" s="926">
        <v>300000</v>
      </c>
      <c r="W210" s="899">
        <v>1068</v>
      </c>
      <c r="X210" s="926">
        <f t="shared" si="10"/>
        <v>300000</v>
      </c>
      <c r="Y210" s="927">
        <f t="shared" si="11"/>
        <v>1500000</v>
      </c>
    </row>
    <row r="211" spans="1:25">
      <c r="A211" s="899">
        <v>407</v>
      </c>
      <c r="B211" s="899">
        <v>1101</v>
      </c>
      <c r="C211" s="899" t="s">
        <v>1191</v>
      </c>
      <c r="D211" s="925">
        <v>41884</v>
      </c>
      <c r="E211" s="899" t="s">
        <v>140</v>
      </c>
      <c r="F211" s="925">
        <v>42430</v>
      </c>
      <c r="G211" s="901">
        <v>2980583</v>
      </c>
      <c r="H211" s="901">
        <v>0</v>
      </c>
      <c r="I211" s="899">
        <v>0.68548220902906398</v>
      </c>
      <c r="J211" s="899" t="s">
        <v>1209</v>
      </c>
      <c r="K211" s="899" t="s">
        <v>2580</v>
      </c>
      <c r="L211" s="899" t="s">
        <v>3045</v>
      </c>
      <c r="M211" s="899">
        <v>11010020557</v>
      </c>
      <c r="N211" s="899" t="s">
        <v>2531</v>
      </c>
      <c r="O211" s="899" t="s">
        <v>1219</v>
      </c>
      <c r="P211" s="899">
        <v>138</v>
      </c>
      <c r="Q211" s="899" t="s">
        <v>2533</v>
      </c>
      <c r="R211" s="899">
        <v>0.5</v>
      </c>
      <c r="S211" s="899" t="s">
        <v>2538</v>
      </c>
      <c r="T211" s="899">
        <v>1</v>
      </c>
      <c r="U211" s="899" t="s">
        <v>2698</v>
      </c>
      <c r="V211" s="926">
        <v>2980583</v>
      </c>
      <c r="W211" s="899">
        <v>1101</v>
      </c>
      <c r="X211" s="926">
        <f t="shared" si="10"/>
        <v>2622913.04</v>
      </c>
      <c r="Y211" s="927">
        <f t="shared" si="11"/>
        <v>5245826.08</v>
      </c>
    </row>
    <row r="212" spans="1:25">
      <c r="A212" s="899">
        <v>416</v>
      </c>
      <c r="B212" s="899">
        <v>1106</v>
      </c>
      <c r="C212" s="899" t="s">
        <v>1191</v>
      </c>
      <c r="D212" s="925">
        <v>41039</v>
      </c>
      <c r="E212" s="899" t="s">
        <v>66</v>
      </c>
      <c r="F212" s="925">
        <v>41548</v>
      </c>
      <c r="G212" s="901">
        <v>0</v>
      </c>
      <c r="H212" s="901">
        <v>11897100</v>
      </c>
      <c r="I212" s="899">
        <v>0.63314597457170696</v>
      </c>
      <c r="J212" s="899" t="s">
        <v>1209</v>
      </c>
      <c r="K212" s="899" t="s">
        <v>2803</v>
      </c>
      <c r="L212" s="899" t="s">
        <v>2804</v>
      </c>
      <c r="M212" s="899">
        <v>1106002012</v>
      </c>
      <c r="N212" s="899" t="s">
        <v>2531</v>
      </c>
      <c r="O212" s="899" t="s">
        <v>1384</v>
      </c>
      <c r="P212" s="899">
        <v>144</v>
      </c>
      <c r="Q212" s="899" t="s">
        <v>2533</v>
      </c>
      <c r="R212" s="899">
        <v>21.5</v>
      </c>
      <c r="S212" s="899" t="s">
        <v>2534</v>
      </c>
      <c r="T212" s="899">
        <v>1</v>
      </c>
      <c r="U212" s="899" t="s">
        <v>2698</v>
      </c>
      <c r="V212" s="926">
        <v>11897100</v>
      </c>
      <c r="W212" s="899">
        <v>1106</v>
      </c>
      <c r="X212" s="926">
        <f t="shared" si="10"/>
        <v>11897100</v>
      </c>
      <c r="Y212" s="927">
        <f t="shared" si="11"/>
        <v>553353.48837209307</v>
      </c>
    </row>
    <row r="213" spans="1:25">
      <c r="A213" s="899">
        <v>452</v>
      </c>
      <c r="B213" s="899">
        <v>1191</v>
      </c>
      <c r="C213" s="899" t="s">
        <v>1191</v>
      </c>
      <c r="D213" s="925">
        <v>41079</v>
      </c>
      <c r="E213" s="899" t="s">
        <v>66</v>
      </c>
      <c r="F213" s="925">
        <v>41487</v>
      </c>
      <c r="G213" s="901">
        <v>0</v>
      </c>
      <c r="H213" s="901">
        <v>2467632</v>
      </c>
      <c r="I213" s="899">
        <v>0.52324145091913898</v>
      </c>
      <c r="J213" s="899" t="s">
        <v>3030</v>
      </c>
      <c r="K213" s="899" t="s">
        <v>2795</v>
      </c>
      <c r="L213" s="899" t="s">
        <v>2796</v>
      </c>
      <c r="M213" s="899">
        <v>1191002007</v>
      </c>
      <c r="N213" s="899" t="s">
        <v>2531</v>
      </c>
      <c r="O213" s="899" t="s">
        <v>2797</v>
      </c>
      <c r="P213" s="899">
        <v>144</v>
      </c>
      <c r="Q213" s="899" t="s">
        <v>2533</v>
      </c>
      <c r="R213" s="899">
        <v>5</v>
      </c>
      <c r="S213" s="899" t="s">
        <v>2534</v>
      </c>
      <c r="T213" s="899">
        <v>1</v>
      </c>
      <c r="U213" s="899" t="s">
        <v>2698</v>
      </c>
      <c r="V213" s="926">
        <v>2467632</v>
      </c>
      <c r="W213" s="899">
        <v>1191</v>
      </c>
      <c r="X213" s="926">
        <f t="shared" si="10"/>
        <v>2467632</v>
      </c>
      <c r="Y213" s="927">
        <f t="shared" si="11"/>
        <v>493526.4</v>
      </c>
    </row>
    <row r="214" spans="1:25">
      <c r="A214" s="899">
        <v>455</v>
      </c>
      <c r="B214" s="899">
        <v>1195</v>
      </c>
      <c r="C214" s="899" t="s">
        <v>1191</v>
      </c>
      <c r="D214" s="925">
        <v>41244</v>
      </c>
      <c r="E214" s="899" t="s">
        <v>140</v>
      </c>
      <c r="F214" s="925">
        <v>41938</v>
      </c>
      <c r="G214" s="901">
        <v>0</v>
      </c>
      <c r="H214" s="901">
        <v>3309000</v>
      </c>
      <c r="I214" s="899">
        <v>0.659103800340329</v>
      </c>
      <c r="J214" s="899" t="s">
        <v>1209</v>
      </c>
      <c r="K214" s="899" t="s">
        <v>2703</v>
      </c>
      <c r="L214" s="899" t="s">
        <v>2704</v>
      </c>
      <c r="M214" s="899">
        <v>1195002018</v>
      </c>
      <c r="N214" s="899" t="s">
        <v>2531</v>
      </c>
      <c r="O214" s="899" t="s">
        <v>2705</v>
      </c>
      <c r="P214" s="899">
        <v>138</v>
      </c>
      <c r="Q214" s="899" t="s">
        <v>2533</v>
      </c>
      <c r="R214" s="899">
        <v>3</v>
      </c>
      <c r="S214" s="899" t="s">
        <v>2534</v>
      </c>
      <c r="T214" s="899">
        <v>1</v>
      </c>
      <c r="U214" s="899" t="s">
        <v>2698</v>
      </c>
      <c r="V214" s="926">
        <v>3309000</v>
      </c>
      <c r="W214" s="899">
        <v>1195</v>
      </c>
      <c r="X214" s="926">
        <f t="shared" si="10"/>
        <v>3309000</v>
      </c>
      <c r="Y214" s="927">
        <f t="shared" si="11"/>
        <v>1103000</v>
      </c>
    </row>
    <row r="215" spans="1:25">
      <c r="A215" s="899">
        <v>459</v>
      </c>
      <c r="B215" s="899">
        <v>1205</v>
      </c>
      <c r="C215" s="899" t="s">
        <v>1191</v>
      </c>
      <c r="D215" s="925">
        <v>41110</v>
      </c>
      <c r="E215" s="899" t="s">
        <v>140</v>
      </c>
      <c r="F215" s="925">
        <v>41579</v>
      </c>
      <c r="G215" s="901">
        <v>0</v>
      </c>
      <c r="H215" s="901">
        <v>280000</v>
      </c>
      <c r="I215" s="899">
        <v>0.514317980156489</v>
      </c>
      <c r="K215" s="899" t="s">
        <v>2717</v>
      </c>
      <c r="L215" s="899" t="s">
        <v>2718</v>
      </c>
      <c r="M215" s="899">
        <v>1205002015</v>
      </c>
      <c r="N215" s="899" t="s">
        <v>2531</v>
      </c>
      <c r="O215" s="899" t="s">
        <v>2719</v>
      </c>
      <c r="P215" s="899">
        <v>138</v>
      </c>
      <c r="Q215" s="899" t="s">
        <v>2533</v>
      </c>
      <c r="R215" s="899">
        <v>0.1</v>
      </c>
      <c r="S215" s="899" t="s">
        <v>2534</v>
      </c>
      <c r="T215" s="899">
        <v>1</v>
      </c>
      <c r="U215" s="899" t="s">
        <v>2698</v>
      </c>
      <c r="V215" s="926">
        <v>280000</v>
      </c>
      <c r="W215" s="899">
        <v>1205</v>
      </c>
      <c r="X215" s="926">
        <f t="shared" si="10"/>
        <v>280000</v>
      </c>
      <c r="Y215" s="927">
        <f t="shared" si="11"/>
        <v>2800000</v>
      </c>
    </row>
    <row r="216" spans="1:25">
      <c r="A216" s="899">
        <v>465</v>
      </c>
      <c r="B216" s="899">
        <v>1247</v>
      </c>
      <c r="C216" s="899" t="s">
        <v>1191</v>
      </c>
      <c r="D216" s="925">
        <v>41026</v>
      </c>
      <c r="E216" s="899" t="s">
        <v>140</v>
      </c>
      <c r="F216" s="925">
        <v>41306</v>
      </c>
      <c r="G216" s="901">
        <v>0</v>
      </c>
      <c r="H216" s="901">
        <v>1015000</v>
      </c>
      <c r="I216" s="899">
        <v>0.70792780038931202</v>
      </c>
      <c r="J216" s="899" t="s">
        <v>1211</v>
      </c>
      <c r="K216" s="899" t="s">
        <v>2722</v>
      </c>
      <c r="L216" s="899" t="s">
        <v>2723</v>
      </c>
      <c r="M216" s="899">
        <v>1247002002</v>
      </c>
      <c r="N216" s="899" t="s">
        <v>2531</v>
      </c>
      <c r="O216" s="899" t="s">
        <v>2724</v>
      </c>
      <c r="P216" s="899">
        <v>138</v>
      </c>
      <c r="Q216" s="899" t="s">
        <v>2533</v>
      </c>
      <c r="R216" s="899">
        <v>0.5</v>
      </c>
      <c r="S216" s="899" t="s">
        <v>2534</v>
      </c>
      <c r="T216" s="899">
        <v>1</v>
      </c>
      <c r="U216" s="899" t="s">
        <v>2698</v>
      </c>
      <c r="V216" s="926">
        <v>1015000</v>
      </c>
      <c r="W216" s="899">
        <v>1247</v>
      </c>
      <c r="X216" s="926">
        <f t="shared" si="10"/>
        <v>1015000</v>
      </c>
      <c r="Y216" s="927">
        <f t="shared" si="11"/>
        <v>2030000</v>
      </c>
    </row>
    <row r="217" spans="1:25">
      <c r="A217" s="899">
        <v>466</v>
      </c>
      <c r="B217" s="899">
        <v>1250</v>
      </c>
      <c r="C217" s="899" t="s">
        <v>1191</v>
      </c>
      <c r="D217" s="925">
        <v>42435</v>
      </c>
      <c r="E217" s="899" t="s">
        <v>66</v>
      </c>
      <c r="F217" s="925">
        <v>43100</v>
      </c>
      <c r="G217" s="901">
        <v>0</v>
      </c>
      <c r="H217" s="901">
        <v>151942</v>
      </c>
      <c r="I217" s="899">
        <v>0.58975377642379601</v>
      </c>
      <c r="J217" s="899" t="s">
        <v>1407</v>
      </c>
      <c r="K217" s="899" t="s">
        <v>3046</v>
      </c>
      <c r="L217" s="899" t="s">
        <v>3047</v>
      </c>
      <c r="M217" s="899">
        <v>12500020006</v>
      </c>
      <c r="N217" s="899" t="s">
        <v>2531</v>
      </c>
      <c r="O217" s="899" t="s">
        <v>1393</v>
      </c>
      <c r="P217" s="899">
        <v>138</v>
      </c>
      <c r="Q217" s="899" t="s">
        <v>2533</v>
      </c>
      <c r="R217" s="899">
        <v>0.26400000000000001</v>
      </c>
      <c r="S217" s="899" t="s">
        <v>2538</v>
      </c>
      <c r="T217" s="899">
        <v>1</v>
      </c>
      <c r="U217" s="899" t="s">
        <v>3048</v>
      </c>
      <c r="V217" s="926">
        <v>151942</v>
      </c>
      <c r="W217" s="899">
        <v>1250</v>
      </c>
      <c r="X217" s="926">
        <f t="shared" si="10"/>
        <v>133708.96</v>
      </c>
      <c r="Y217" s="927">
        <f t="shared" si="11"/>
        <v>506473.33333333326</v>
      </c>
    </row>
    <row r="218" spans="1:25">
      <c r="A218" s="899">
        <v>467</v>
      </c>
      <c r="B218" s="899">
        <v>1250</v>
      </c>
      <c r="C218" s="899" t="s">
        <v>1191</v>
      </c>
      <c r="D218" s="925">
        <v>42435</v>
      </c>
      <c r="E218" s="899" t="s">
        <v>66</v>
      </c>
      <c r="F218" s="925">
        <v>43100</v>
      </c>
      <c r="G218" s="901">
        <v>0</v>
      </c>
      <c r="H218" s="901">
        <v>9047850</v>
      </c>
      <c r="I218" s="899">
        <v>0.58975377642379601</v>
      </c>
      <c r="J218" s="899" t="s">
        <v>1407</v>
      </c>
      <c r="K218" s="899" t="s">
        <v>3046</v>
      </c>
      <c r="L218" s="899" t="s">
        <v>3049</v>
      </c>
      <c r="M218" s="899">
        <v>12500020007</v>
      </c>
      <c r="N218" s="899" t="s">
        <v>2531</v>
      </c>
      <c r="O218" s="899" t="s">
        <v>1394</v>
      </c>
      <c r="P218" s="899">
        <v>138</v>
      </c>
      <c r="Q218" s="899" t="s">
        <v>2533</v>
      </c>
      <c r="R218" s="899">
        <v>18.5</v>
      </c>
      <c r="S218" s="899" t="s">
        <v>2534</v>
      </c>
      <c r="T218" s="899">
        <v>1</v>
      </c>
      <c r="U218" s="899" t="s">
        <v>3048</v>
      </c>
      <c r="V218" s="926">
        <v>9047850</v>
      </c>
      <c r="W218" s="899">
        <v>1250</v>
      </c>
      <c r="X218" s="926">
        <f t="shared" si="10"/>
        <v>9047850</v>
      </c>
      <c r="Y218" s="927">
        <f t="shared" si="11"/>
        <v>489072.97297297296</v>
      </c>
    </row>
    <row r="219" spans="1:25">
      <c r="A219" s="899">
        <v>478</v>
      </c>
      <c r="B219" s="899">
        <v>1267</v>
      </c>
      <c r="C219" s="899" t="s">
        <v>1512</v>
      </c>
      <c r="D219" s="925">
        <v>40996</v>
      </c>
      <c r="E219" s="899" t="s">
        <v>66</v>
      </c>
      <c r="F219" s="925">
        <v>41214</v>
      </c>
      <c r="G219" s="901">
        <v>888630</v>
      </c>
      <c r="H219" s="901">
        <v>0</v>
      </c>
      <c r="I219" s="899">
        <v>0.61931048582892501</v>
      </c>
      <c r="J219" s="899" t="s">
        <v>1209</v>
      </c>
      <c r="K219" s="899" t="s">
        <v>2789</v>
      </c>
      <c r="L219" s="899" t="s">
        <v>2790</v>
      </c>
      <c r="M219" s="899">
        <v>1267002020</v>
      </c>
      <c r="N219" s="899" t="s">
        <v>2531</v>
      </c>
      <c r="O219" s="899" t="s">
        <v>2791</v>
      </c>
      <c r="P219" s="899">
        <v>144</v>
      </c>
      <c r="Q219" s="899" t="s">
        <v>2533</v>
      </c>
      <c r="R219" s="899">
        <v>0.55000000000000004</v>
      </c>
      <c r="S219" s="899" t="s">
        <v>2534</v>
      </c>
      <c r="T219" s="899">
        <v>1</v>
      </c>
      <c r="U219" s="899" t="s">
        <v>2698</v>
      </c>
      <c r="V219" s="926">
        <v>888630</v>
      </c>
      <c r="W219" s="899">
        <v>1267</v>
      </c>
      <c r="X219" s="926">
        <f t="shared" si="10"/>
        <v>888630</v>
      </c>
      <c r="Y219" s="927">
        <f t="shared" si="11"/>
        <v>1615690.9090909089</v>
      </c>
    </row>
    <row r="220" spans="1:25">
      <c r="A220" s="899">
        <v>519</v>
      </c>
      <c r="B220" s="899">
        <v>1442</v>
      </c>
      <c r="C220" s="899" t="s">
        <v>1191</v>
      </c>
      <c r="D220" s="925">
        <v>42657</v>
      </c>
      <c r="E220" s="899" t="s">
        <v>140</v>
      </c>
      <c r="F220" s="925">
        <v>43497</v>
      </c>
      <c r="G220" s="901">
        <v>0</v>
      </c>
      <c r="H220" s="901">
        <v>589818</v>
      </c>
      <c r="I220" s="899">
        <v>0.610043307457518</v>
      </c>
      <c r="J220" s="899" t="s">
        <v>1249</v>
      </c>
      <c r="K220" s="899" t="s">
        <v>3050</v>
      </c>
      <c r="L220" s="899" t="s">
        <v>3051</v>
      </c>
      <c r="M220" s="899">
        <v>14420020010</v>
      </c>
      <c r="N220" s="899" t="s">
        <v>2531</v>
      </c>
      <c r="O220" s="899" t="s">
        <v>1405</v>
      </c>
      <c r="P220" s="899">
        <v>138</v>
      </c>
      <c r="Q220" s="899" t="s">
        <v>2533</v>
      </c>
      <c r="R220" s="899">
        <v>0.19</v>
      </c>
      <c r="S220" s="899" t="s">
        <v>2534</v>
      </c>
      <c r="T220" s="899">
        <v>1</v>
      </c>
      <c r="U220" s="899" t="s">
        <v>2698</v>
      </c>
      <c r="V220" s="926">
        <v>589818</v>
      </c>
      <c r="W220" s="899">
        <v>1442</v>
      </c>
      <c r="X220" s="926">
        <f t="shared" si="10"/>
        <v>589818</v>
      </c>
      <c r="Y220" s="927">
        <f t="shared" si="11"/>
        <v>3104305.2631578948</v>
      </c>
    </row>
    <row r="221" spans="1:25">
      <c r="A221" s="899">
        <v>520</v>
      </c>
      <c r="B221" s="899">
        <v>1442</v>
      </c>
      <c r="C221" s="899" t="s">
        <v>1191</v>
      </c>
      <c r="D221" s="925">
        <v>42461</v>
      </c>
      <c r="E221" s="899" t="s">
        <v>140</v>
      </c>
      <c r="F221" s="925">
        <v>43497</v>
      </c>
      <c r="G221" s="901">
        <v>0</v>
      </c>
      <c r="H221" s="901">
        <v>909000</v>
      </c>
      <c r="I221" s="899">
        <v>0.54690321895251204</v>
      </c>
      <c r="J221" s="899" t="s">
        <v>1249</v>
      </c>
      <c r="K221" s="899" t="s">
        <v>3052</v>
      </c>
      <c r="L221" s="899" t="s">
        <v>3051</v>
      </c>
      <c r="M221" s="899">
        <v>14420020005</v>
      </c>
      <c r="N221" s="899" t="s">
        <v>2531</v>
      </c>
      <c r="O221" s="899" t="s">
        <v>1405</v>
      </c>
      <c r="P221" s="899">
        <v>138</v>
      </c>
      <c r="Q221" s="899" t="s">
        <v>2533</v>
      </c>
      <c r="R221" s="899">
        <v>0.19</v>
      </c>
      <c r="S221" s="899" t="s">
        <v>2534</v>
      </c>
      <c r="T221" s="899">
        <v>1</v>
      </c>
      <c r="U221" s="899" t="s">
        <v>2698</v>
      </c>
      <c r="V221" s="926">
        <v>909000</v>
      </c>
      <c r="W221" s="899">
        <v>1442</v>
      </c>
      <c r="X221" s="926">
        <f t="shared" si="10"/>
        <v>909000</v>
      </c>
      <c r="Y221" s="927">
        <f t="shared" si="11"/>
        <v>4784210.5263157897</v>
      </c>
    </row>
    <row r="222" spans="1:25">
      <c r="A222" s="899">
        <v>528</v>
      </c>
      <c r="B222" s="899">
        <v>1473</v>
      </c>
      <c r="C222" s="899" t="s">
        <v>1512</v>
      </c>
      <c r="D222" s="925">
        <v>41941</v>
      </c>
      <c r="E222" s="899" t="s">
        <v>66</v>
      </c>
      <c r="F222" s="925">
        <v>43556</v>
      </c>
      <c r="G222" s="901">
        <v>3072022</v>
      </c>
      <c r="H222" s="901">
        <v>0</v>
      </c>
      <c r="I222" s="899">
        <v>0.51482862276462504</v>
      </c>
      <c r="J222" s="899" t="s">
        <v>2872</v>
      </c>
      <c r="K222" s="899" t="s">
        <v>2902</v>
      </c>
      <c r="L222" s="899" t="s">
        <v>3053</v>
      </c>
      <c r="M222" s="899">
        <v>14730021892</v>
      </c>
      <c r="N222" s="899" t="s">
        <v>2531</v>
      </c>
      <c r="O222" s="899" t="s">
        <v>3053</v>
      </c>
      <c r="P222" s="899">
        <v>144</v>
      </c>
      <c r="Q222" s="899" t="s">
        <v>2533</v>
      </c>
      <c r="R222" s="899">
        <v>1.6</v>
      </c>
      <c r="S222" s="899" t="s">
        <v>2538</v>
      </c>
      <c r="T222" s="899">
        <v>1</v>
      </c>
      <c r="U222" s="899" t="s">
        <v>2698</v>
      </c>
      <c r="V222" s="926">
        <v>3072022</v>
      </c>
      <c r="W222" s="899">
        <v>1473</v>
      </c>
      <c r="X222" s="926">
        <f t="shared" si="10"/>
        <v>2703379.36</v>
      </c>
      <c r="Y222" s="927">
        <f t="shared" si="11"/>
        <v>1689612.0999999999</v>
      </c>
    </row>
    <row r="223" spans="1:25">
      <c r="A223" s="899">
        <v>531</v>
      </c>
      <c r="B223" s="899">
        <v>1473</v>
      </c>
      <c r="C223" s="899" t="s">
        <v>1512</v>
      </c>
      <c r="D223" s="925">
        <v>41941</v>
      </c>
      <c r="E223" s="899" t="s">
        <v>66</v>
      </c>
      <c r="F223" s="925">
        <v>43556</v>
      </c>
      <c r="G223" s="901">
        <v>5399591</v>
      </c>
      <c r="H223" s="901">
        <v>0</v>
      </c>
      <c r="I223" s="899">
        <v>0.60218355148778102</v>
      </c>
      <c r="J223" s="899" t="s">
        <v>2872</v>
      </c>
      <c r="K223" s="899" t="s">
        <v>2902</v>
      </c>
      <c r="L223" s="899" t="s">
        <v>3054</v>
      </c>
      <c r="M223" s="899">
        <v>14730022389</v>
      </c>
      <c r="N223" s="899" t="s">
        <v>2531</v>
      </c>
      <c r="O223" s="899" t="s">
        <v>3054</v>
      </c>
      <c r="P223" s="899">
        <v>144</v>
      </c>
      <c r="Q223" s="899" t="s">
        <v>2533</v>
      </c>
      <c r="R223" s="899">
        <v>11</v>
      </c>
      <c r="S223" s="899" t="s">
        <v>2534</v>
      </c>
      <c r="T223" s="899">
        <v>1</v>
      </c>
      <c r="U223" s="899" t="s">
        <v>2698</v>
      </c>
      <c r="V223" s="926">
        <v>5399591</v>
      </c>
      <c r="W223" s="899">
        <v>1473</v>
      </c>
      <c r="X223" s="926">
        <f t="shared" si="10"/>
        <v>5399591</v>
      </c>
      <c r="Y223" s="927">
        <f t="shared" si="11"/>
        <v>490871.90909090912</v>
      </c>
    </row>
    <row r="224" spans="1:25">
      <c r="A224" s="899">
        <v>538</v>
      </c>
      <c r="B224" s="899">
        <v>1473</v>
      </c>
      <c r="C224" s="899" t="s">
        <v>1512</v>
      </c>
      <c r="D224" s="925">
        <v>41941</v>
      </c>
      <c r="E224" s="899" t="s">
        <v>66</v>
      </c>
      <c r="F224" s="925">
        <v>43556</v>
      </c>
      <c r="G224" s="901">
        <v>4061673</v>
      </c>
      <c r="H224" s="901">
        <v>0</v>
      </c>
      <c r="I224" s="899">
        <v>0.51642154456060896</v>
      </c>
      <c r="J224" s="899" t="s">
        <v>2872</v>
      </c>
      <c r="K224" s="899" t="s">
        <v>2902</v>
      </c>
      <c r="L224" s="899" t="s">
        <v>3055</v>
      </c>
      <c r="M224" s="899">
        <v>14730022132</v>
      </c>
      <c r="N224" s="899" t="s">
        <v>2531</v>
      </c>
      <c r="O224" s="899" t="s">
        <v>3055</v>
      </c>
      <c r="P224" s="899">
        <v>144</v>
      </c>
      <c r="Q224" s="899" t="s">
        <v>2533</v>
      </c>
      <c r="R224" s="899">
        <v>4.9000000000000004</v>
      </c>
      <c r="S224" s="899" t="s">
        <v>2538</v>
      </c>
      <c r="T224" s="899">
        <v>1</v>
      </c>
      <c r="U224" s="899" t="s">
        <v>2698</v>
      </c>
      <c r="V224" s="926">
        <v>4061673</v>
      </c>
      <c r="W224" s="899">
        <v>1473</v>
      </c>
      <c r="X224" s="926">
        <f t="shared" si="10"/>
        <v>3574272.24</v>
      </c>
      <c r="Y224" s="927">
        <f t="shared" si="11"/>
        <v>729443.3142857143</v>
      </c>
    </row>
    <row r="225" spans="1:25">
      <c r="A225" s="899">
        <v>539</v>
      </c>
      <c r="B225" s="899">
        <v>1473</v>
      </c>
      <c r="C225" s="899" t="s">
        <v>1512</v>
      </c>
      <c r="D225" s="925">
        <v>41941</v>
      </c>
      <c r="E225" s="899" t="s">
        <v>66</v>
      </c>
      <c r="F225" s="925">
        <v>43556</v>
      </c>
      <c r="G225" s="901">
        <v>3072022</v>
      </c>
      <c r="H225" s="901">
        <v>0</v>
      </c>
      <c r="I225" s="899">
        <v>0.51642154456060896</v>
      </c>
      <c r="J225" s="899" t="s">
        <v>2872</v>
      </c>
      <c r="K225" s="899" t="s">
        <v>2902</v>
      </c>
      <c r="L225" s="899" t="s">
        <v>3056</v>
      </c>
      <c r="M225" s="899">
        <v>14730022130</v>
      </c>
      <c r="N225" s="899" t="s">
        <v>2531</v>
      </c>
      <c r="O225" s="899" t="s">
        <v>3056</v>
      </c>
      <c r="P225" s="899">
        <v>144</v>
      </c>
      <c r="Q225" s="899" t="s">
        <v>2533</v>
      </c>
      <c r="R225" s="899">
        <v>1.6</v>
      </c>
      <c r="S225" s="899" t="s">
        <v>2538</v>
      </c>
      <c r="T225" s="899">
        <v>1</v>
      </c>
      <c r="U225" s="899" t="s">
        <v>2698</v>
      </c>
      <c r="V225" s="926">
        <v>3072022</v>
      </c>
      <c r="W225" s="899">
        <v>1473</v>
      </c>
      <c r="X225" s="926">
        <f t="shared" si="10"/>
        <v>2703379.36</v>
      </c>
      <c r="Y225" s="927">
        <f t="shared" si="11"/>
        <v>1689612.0999999999</v>
      </c>
    </row>
    <row r="226" spans="1:25">
      <c r="A226" s="899">
        <v>540</v>
      </c>
      <c r="B226" s="899">
        <v>1473</v>
      </c>
      <c r="C226" s="899" t="s">
        <v>1512</v>
      </c>
      <c r="D226" s="925">
        <v>41913</v>
      </c>
      <c r="E226" s="899" t="s">
        <v>140</v>
      </c>
      <c r="F226" s="925">
        <v>43647</v>
      </c>
      <c r="G226" s="901">
        <v>1011195</v>
      </c>
      <c r="H226" s="901">
        <v>0</v>
      </c>
      <c r="I226" s="899">
        <v>0.43378259241814898</v>
      </c>
      <c r="J226" s="899" t="s">
        <v>2872</v>
      </c>
      <c r="K226" s="899" t="s">
        <v>2873</v>
      </c>
      <c r="L226" s="899" t="s">
        <v>3057</v>
      </c>
      <c r="M226" s="899">
        <v>14730021358</v>
      </c>
      <c r="N226" s="899" t="s">
        <v>2531</v>
      </c>
      <c r="O226" s="899" t="s">
        <v>3057</v>
      </c>
      <c r="P226" s="899">
        <v>138</v>
      </c>
      <c r="Q226" s="899" t="s">
        <v>2533</v>
      </c>
      <c r="R226" s="899">
        <v>0.5</v>
      </c>
      <c r="S226" s="899" t="s">
        <v>2534</v>
      </c>
      <c r="T226" s="899">
        <v>1</v>
      </c>
      <c r="U226" s="899" t="s">
        <v>2698</v>
      </c>
      <c r="V226" s="926">
        <v>1011195</v>
      </c>
      <c r="W226" s="899">
        <v>1473</v>
      </c>
      <c r="X226" s="926">
        <f t="shared" si="10"/>
        <v>1011195</v>
      </c>
      <c r="Y226" s="927">
        <f t="shared" si="11"/>
        <v>2022390</v>
      </c>
    </row>
    <row r="227" spans="1:25">
      <c r="A227" s="899">
        <v>545</v>
      </c>
      <c r="B227" s="899">
        <v>1473</v>
      </c>
      <c r="C227" s="899" t="s">
        <v>1512</v>
      </c>
      <c r="D227" s="925">
        <v>41814</v>
      </c>
      <c r="E227" s="899" t="s">
        <v>66</v>
      </c>
      <c r="F227" s="925">
        <v>43556</v>
      </c>
      <c r="G227" s="901">
        <v>4067266</v>
      </c>
      <c r="H227" s="901">
        <v>0</v>
      </c>
      <c r="I227" s="899">
        <v>0.60218355148778102</v>
      </c>
      <c r="J227" s="899" t="s">
        <v>2872</v>
      </c>
      <c r="K227" s="899" t="s">
        <v>2906</v>
      </c>
      <c r="L227" s="899" t="s">
        <v>3058</v>
      </c>
      <c r="M227" s="899">
        <v>1473002852</v>
      </c>
      <c r="N227" s="899" t="s">
        <v>2531</v>
      </c>
      <c r="O227" s="899" t="s">
        <v>3058</v>
      </c>
      <c r="P227" s="899">
        <v>144</v>
      </c>
      <c r="Q227" s="899" t="s">
        <v>2533</v>
      </c>
      <c r="R227" s="899">
        <v>4.9000000000000004</v>
      </c>
      <c r="S227" s="899" t="s">
        <v>2538</v>
      </c>
      <c r="T227" s="899">
        <v>1</v>
      </c>
      <c r="U227" s="899" t="s">
        <v>2698</v>
      </c>
      <c r="V227" s="926">
        <v>4067266</v>
      </c>
      <c r="W227" s="899">
        <v>1473</v>
      </c>
      <c r="X227" s="926">
        <f t="shared" si="10"/>
        <v>3579194.08</v>
      </c>
      <c r="Y227" s="927">
        <f t="shared" si="11"/>
        <v>730447.77142857143</v>
      </c>
    </row>
    <row r="228" spans="1:25">
      <c r="A228" s="899">
        <v>546</v>
      </c>
      <c r="B228" s="899">
        <v>1473</v>
      </c>
      <c r="C228" s="899" t="s">
        <v>1512</v>
      </c>
      <c r="D228" s="925">
        <v>41814</v>
      </c>
      <c r="E228" s="899" t="s">
        <v>66</v>
      </c>
      <c r="F228" s="925">
        <v>43556</v>
      </c>
      <c r="G228" s="901">
        <v>5958979</v>
      </c>
      <c r="H228" s="901">
        <v>0</v>
      </c>
      <c r="I228" s="899">
        <v>0.59777728294281995</v>
      </c>
      <c r="J228" s="899" t="s">
        <v>2872</v>
      </c>
      <c r="K228" s="899" t="s">
        <v>2906</v>
      </c>
      <c r="L228" s="899" t="s">
        <v>3059</v>
      </c>
      <c r="M228" s="899">
        <v>1473002813</v>
      </c>
      <c r="N228" s="899" t="s">
        <v>2531</v>
      </c>
      <c r="O228" s="899" t="s">
        <v>3059</v>
      </c>
      <c r="P228" s="899">
        <v>144</v>
      </c>
      <c r="Q228" s="899" t="s">
        <v>2533</v>
      </c>
      <c r="R228" s="899">
        <v>12.6</v>
      </c>
      <c r="S228" s="899" t="s">
        <v>2534</v>
      </c>
      <c r="T228" s="899">
        <v>1</v>
      </c>
      <c r="U228" s="899" t="s">
        <v>2698</v>
      </c>
      <c r="V228" s="926">
        <v>5958979</v>
      </c>
      <c r="W228" s="899">
        <v>1473</v>
      </c>
      <c r="X228" s="926">
        <f t="shared" si="10"/>
        <v>5958979</v>
      </c>
      <c r="Y228" s="927">
        <f t="shared" si="11"/>
        <v>472934.8412698413</v>
      </c>
    </row>
    <row r="229" spans="1:25">
      <c r="A229" s="899">
        <v>548</v>
      </c>
      <c r="B229" s="899">
        <v>1473</v>
      </c>
      <c r="C229" s="899" t="s">
        <v>1512</v>
      </c>
      <c r="D229" s="925">
        <v>41814</v>
      </c>
      <c r="E229" s="899" t="s">
        <v>66</v>
      </c>
      <c r="F229" s="925">
        <v>43556</v>
      </c>
      <c r="G229" s="901">
        <v>4061673</v>
      </c>
      <c r="H229" s="901">
        <v>0</v>
      </c>
      <c r="I229" s="899">
        <v>0.43352501953108102</v>
      </c>
      <c r="J229" s="899" t="s">
        <v>2872</v>
      </c>
      <c r="K229" s="899" t="s">
        <v>2906</v>
      </c>
      <c r="L229" s="899" t="s">
        <v>3060</v>
      </c>
      <c r="M229" s="899">
        <v>1473002760</v>
      </c>
      <c r="N229" s="899" t="s">
        <v>2531</v>
      </c>
      <c r="O229" s="899" t="s">
        <v>3060</v>
      </c>
      <c r="P229" s="899">
        <v>144</v>
      </c>
      <c r="Q229" s="899" t="s">
        <v>2533</v>
      </c>
      <c r="R229" s="899">
        <v>4.9000000000000004</v>
      </c>
      <c r="S229" s="899" t="s">
        <v>2538</v>
      </c>
      <c r="T229" s="899">
        <v>1</v>
      </c>
      <c r="U229" s="899" t="s">
        <v>2698</v>
      </c>
      <c r="V229" s="926">
        <v>4061673</v>
      </c>
      <c r="W229" s="899">
        <v>1473</v>
      </c>
      <c r="X229" s="926">
        <f t="shared" si="10"/>
        <v>3574272.24</v>
      </c>
      <c r="Y229" s="927">
        <f t="shared" si="11"/>
        <v>729443.3142857143</v>
      </c>
    </row>
    <row r="230" spans="1:25">
      <c r="A230" s="899">
        <v>549</v>
      </c>
      <c r="B230" s="899">
        <v>1473</v>
      </c>
      <c r="C230" s="899" t="s">
        <v>1512</v>
      </c>
      <c r="D230" s="925">
        <v>41814</v>
      </c>
      <c r="E230" s="899" t="s">
        <v>66</v>
      </c>
      <c r="F230" s="925">
        <v>43556</v>
      </c>
      <c r="G230" s="901">
        <v>3072022</v>
      </c>
      <c r="H230" s="901">
        <v>0</v>
      </c>
      <c r="I230" s="899">
        <v>0.43352501953108102</v>
      </c>
      <c r="J230" s="899" t="s">
        <v>2872</v>
      </c>
      <c r="K230" s="899" t="s">
        <v>2906</v>
      </c>
      <c r="L230" s="899" t="s">
        <v>3061</v>
      </c>
      <c r="M230" s="899">
        <v>1473002758</v>
      </c>
      <c r="N230" s="899" t="s">
        <v>2531</v>
      </c>
      <c r="O230" s="899" t="s">
        <v>3061</v>
      </c>
      <c r="P230" s="899">
        <v>144</v>
      </c>
      <c r="Q230" s="899" t="s">
        <v>2533</v>
      </c>
      <c r="R230" s="899">
        <v>1.6</v>
      </c>
      <c r="S230" s="899" t="s">
        <v>2538</v>
      </c>
      <c r="T230" s="899">
        <v>1</v>
      </c>
      <c r="U230" s="899" t="s">
        <v>2698</v>
      </c>
      <c r="V230" s="926">
        <v>3072022</v>
      </c>
      <c r="W230" s="899">
        <v>1473</v>
      </c>
      <c r="X230" s="926">
        <f t="shared" si="10"/>
        <v>2703379.36</v>
      </c>
      <c r="Y230" s="927">
        <f t="shared" si="11"/>
        <v>1689612.0999999999</v>
      </c>
    </row>
    <row r="231" spans="1:25">
      <c r="A231" s="899">
        <v>553</v>
      </c>
      <c r="B231" s="899">
        <v>1473</v>
      </c>
      <c r="C231" s="899" t="s">
        <v>1512</v>
      </c>
      <c r="D231" s="925">
        <v>41814</v>
      </c>
      <c r="E231" s="899" t="s">
        <v>66</v>
      </c>
      <c r="F231" s="925">
        <v>43556</v>
      </c>
      <c r="G231" s="901">
        <v>5958979</v>
      </c>
      <c r="H231" s="901">
        <v>0</v>
      </c>
      <c r="I231" s="899">
        <v>0.58035738298211803</v>
      </c>
      <c r="J231" s="899" t="s">
        <v>2872</v>
      </c>
      <c r="K231" s="899" t="s">
        <v>2906</v>
      </c>
      <c r="L231" s="899" t="s">
        <v>3062</v>
      </c>
      <c r="M231" s="899">
        <v>1473002942</v>
      </c>
      <c r="N231" s="899" t="s">
        <v>2531</v>
      </c>
      <c r="O231" s="899" t="s">
        <v>3062</v>
      </c>
      <c r="P231" s="899">
        <v>144</v>
      </c>
      <c r="Q231" s="899" t="s">
        <v>2533</v>
      </c>
      <c r="R231" s="899">
        <v>12.6</v>
      </c>
      <c r="S231" s="899" t="s">
        <v>2534</v>
      </c>
      <c r="T231" s="899">
        <v>1</v>
      </c>
      <c r="U231" s="899" t="s">
        <v>2698</v>
      </c>
      <c r="V231" s="926">
        <v>5958979</v>
      </c>
      <c r="W231" s="899">
        <v>1473</v>
      </c>
      <c r="X231" s="926">
        <f t="shared" si="10"/>
        <v>5958979</v>
      </c>
      <c r="Y231" s="927">
        <f t="shared" si="11"/>
        <v>472934.8412698413</v>
      </c>
    </row>
    <row r="232" spans="1:25">
      <c r="A232" s="899">
        <v>554</v>
      </c>
      <c r="B232" s="899">
        <v>1473</v>
      </c>
      <c r="C232" s="899" t="s">
        <v>1512</v>
      </c>
      <c r="D232" s="925">
        <v>41814</v>
      </c>
      <c r="E232" s="899" t="s">
        <v>66</v>
      </c>
      <c r="F232" s="925">
        <v>43556</v>
      </c>
      <c r="G232" s="901">
        <v>5958979</v>
      </c>
      <c r="H232" s="901">
        <v>0</v>
      </c>
      <c r="I232" s="899">
        <v>0.58313613011749199</v>
      </c>
      <c r="J232" s="899" t="s">
        <v>2872</v>
      </c>
      <c r="K232" s="899" t="s">
        <v>2906</v>
      </c>
      <c r="L232" s="899" t="s">
        <v>3063</v>
      </c>
      <c r="M232" s="899">
        <v>1473002897</v>
      </c>
      <c r="N232" s="899" t="s">
        <v>2531</v>
      </c>
      <c r="O232" s="899" t="s">
        <v>3063</v>
      </c>
      <c r="P232" s="899">
        <v>144</v>
      </c>
      <c r="Q232" s="899" t="s">
        <v>2533</v>
      </c>
      <c r="R232" s="899">
        <v>12.6</v>
      </c>
      <c r="S232" s="899" t="s">
        <v>2534</v>
      </c>
      <c r="T232" s="899">
        <v>1</v>
      </c>
      <c r="U232" s="899" t="s">
        <v>2698</v>
      </c>
      <c r="V232" s="926">
        <v>5958979</v>
      </c>
      <c r="W232" s="899">
        <v>1473</v>
      </c>
      <c r="X232" s="926">
        <f t="shared" si="10"/>
        <v>5958979</v>
      </c>
      <c r="Y232" s="927">
        <f t="shared" si="11"/>
        <v>472934.8412698413</v>
      </c>
    </row>
    <row r="233" spans="1:25">
      <c r="A233" s="899">
        <v>555</v>
      </c>
      <c r="B233" s="899">
        <v>1473</v>
      </c>
      <c r="C233" s="899" t="s">
        <v>1512</v>
      </c>
      <c r="D233" s="925">
        <v>41814</v>
      </c>
      <c r="E233" s="899" t="s">
        <v>66</v>
      </c>
      <c r="F233" s="925">
        <v>43556</v>
      </c>
      <c r="G233" s="901">
        <v>4067266</v>
      </c>
      <c r="H233" s="901">
        <v>0</v>
      </c>
      <c r="I233" s="899">
        <v>0.58313613011749199</v>
      </c>
      <c r="J233" s="899" t="s">
        <v>2872</v>
      </c>
      <c r="K233" s="899" t="s">
        <v>2906</v>
      </c>
      <c r="L233" s="899" t="s">
        <v>3064</v>
      </c>
      <c r="M233" s="899">
        <v>1473002893</v>
      </c>
      <c r="N233" s="899" t="s">
        <v>2531</v>
      </c>
      <c r="O233" s="899" t="s">
        <v>3064</v>
      </c>
      <c r="P233" s="899">
        <v>144</v>
      </c>
      <c r="Q233" s="899" t="s">
        <v>2533</v>
      </c>
      <c r="R233" s="899">
        <v>4.9000000000000004</v>
      </c>
      <c r="S233" s="899" t="s">
        <v>2538</v>
      </c>
      <c r="T233" s="899">
        <v>1</v>
      </c>
      <c r="U233" s="899" t="s">
        <v>2698</v>
      </c>
      <c r="V233" s="926">
        <v>4067266</v>
      </c>
      <c r="W233" s="899">
        <v>1473</v>
      </c>
      <c r="X233" s="926">
        <f t="shared" si="10"/>
        <v>3579194.08</v>
      </c>
      <c r="Y233" s="927">
        <f t="shared" si="11"/>
        <v>730447.77142857143</v>
      </c>
    </row>
    <row r="234" spans="1:25">
      <c r="A234" s="899">
        <v>556</v>
      </c>
      <c r="B234" s="899">
        <v>1473</v>
      </c>
      <c r="C234" s="899" t="s">
        <v>1512</v>
      </c>
      <c r="D234" s="925">
        <v>41941</v>
      </c>
      <c r="E234" s="899" t="s">
        <v>66</v>
      </c>
      <c r="F234" s="925">
        <v>43556</v>
      </c>
      <c r="G234" s="901">
        <v>4061673</v>
      </c>
      <c r="H234" s="901">
        <v>0</v>
      </c>
      <c r="I234" s="899">
        <v>0.51482862276462504</v>
      </c>
      <c r="J234" s="899" t="s">
        <v>2872</v>
      </c>
      <c r="K234" s="899" t="s">
        <v>2902</v>
      </c>
      <c r="L234" s="899" t="s">
        <v>3065</v>
      </c>
      <c r="M234" s="899">
        <v>14730021894</v>
      </c>
      <c r="N234" s="899" t="s">
        <v>2531</v>
      </c>
      <c r="O234" s="899" t="s">
        <v>3065</v>
      </c>
      <c r="P234" s="899">
        <v>144</v>
      </c>
      <c r="Q234" s="899" t="s">
        <v>2533</v>
      </c>
      <c r="R234" s="899">
        <v>4.9000000000000004</v>
      </c>
      <c r="S234" s="899" t="s">
        <v>2538</v>
      </c>
      <c r="T234" s="899">
        <v>1</v>
      </c>
      <c r="U234" s="899" t="s">
        <v>2698</v>
      </c>
      <c r="V234" s="926">
        <v>4061673</v>
      </c>
      <c r="W234" s="899">
        <v>1473</v>
      </c>
      <c r="X234" s="926">
        <f t="shared" si="10"/>
        <v>3574272.24</v>
      </c>
      <c r="Y234" s="927">
        <f t="shared" si="11"/>
        <v>729443.3142857143</v>
      </c>
    </row>
    <row r="235" spans="1:25">
      <c r="A235" s="899">
        <v>559</v>
      </c>
      <c r="B235" s="899">
        <v>1473</v>
      </c>
      <c r="C235" s="899" t="s">
        <v>1512</v>
      </c>
      <c r="D235" s="925">
        <v>41941</v>
      </c>
      <c r="E235" s="899" t="s">
        <v>66</v>
      </c>
      <c r="F235" s="925">
        <v>43556</v>
      </c>
      <c r="G235" s="901">
        <v>3072022</v>
      </c>
      <c r="H235" s="901">
        <v>0</v>
      </c>
      <c r="I235" s="899">
        <v>0.51878102802089399</v>
      </c>
      <c r="J235" s="899" t="s">
        <v>2872</v>
      </c>
      <c r="K235" s="899" t="s">
        <v>2902</v>
      </c>
      <c r="L235" s="899" t="s">
        <v>3066</v>
      </c>
      <c r="M235" s="899">
        <v>14730021782</v>
      </c>
      <c r="N235" s="899" t="s">
        <v>2531</v>
      </c>
      <c r="O235" s="899" t="s">
        <v>3066</v>
      </c>
      <c r="P235" s="899">
        <v>144</v>
      </c>
      <c r="Q235" s="899" t="s">
        <v>2533</v>
      </c>
      <c r="R235" s="899">
        <v>1.6</v>
      </c>
      <c r="S235" s="899" t="s">
        <v>2538</v>
      </c>
      <c r="T235" s="899">
        <v>1</v>
      </c>
      <c r="U235" s="899" t="s">
        <v>2698</v>
      </c>
      <c r="V235" s="926">
        <v>3072022</v>
      </c>
      <c r="W235" s="899">
        <v>1473</v>
      </c>
      <c r="X235" s="926">
        <f t="shared" si="10"/>
        <v>2703379.36</v>
      </c>
      <c r="Y235" s="927">
        <f t="shared" si="11"/>
        <v>1689612.0999999999</v>
      </c>
    </row>
    <row r="236" spans="1:25">
      <c r="A236" s="899">
        <v>560</v>
      </c>
      <c r="B236" s="899">
        <v>1473</v>
      </c>
      <c r="C236" s="899" t="s">
        <v>1512</v>
      </c>
      <c r="D236" s="925">
        <v>41941</v>
      </c>
      <c r="E236" s="899" t="s">
        <v>66</v>
      </c>
      <c r="F236" s="925">
        <v>43556</v>
      </c>
      <c r="G236" s="901">
        <v>4067266</v>
      </c>
      <c r="H236" s="901">
        <v>0</v>
      </c>
      <c r="I236" s="899">
        <v>0.59777728294281995</v>
      </c>
      <c r="J236" s="899" t="s">
        <v>2872</v>
      </c>
      <c r="K236" s="899" t="s">
        <v>2902</v>
      </c>
      <c r="L236" s="899" t="s">
        <v>3067</v>
      </c>
      <c r="M236" s="899">
        <v>14730022344</v>
      </c>
      <c r="N236" s="899" t="s">
        <v>2531</v>
      </c>
      <c r="O236" s="899" t="s">
        <v>3067</v>
      </c>
      <c r="P236" s="899">
        <v>144</v>
      </c>
      <c r="Q236" s="899" t="s">
        <v>2533</v>
      </c>
      <c r="R236" s="899">
        <v>4.9000000000000004</v>
      </c>
      <c r="S236" s="899" t="s">
        <v>2538</v>
      </c>
      <c r="T236" s="899">
        <v>1</v>
      </c>
      <c r="U236" s="899" t="s">
        <v>2698</v>
      </c>
      <c r="V236" s="926">
        <v>4067266</v>
      </c>
      <c r="W236" s="899">
        <v>1473</v>
      </c>
      <c r="X236" s="926">
        <f t="shared" si="10"/>
        <v>3579194.08</v>
      </c>
      <c r="Y236" s="927">
        <f t="shared" si="11"/>
        <v>730447.77142857143</v>
      </c>
    </row>
    <row r="237" spans="1:25">
      <c r="A237" s="899">
        <v>561</v>
      </c>
      <c r="B237" s="899">
        <v>1473</v>
      </c>
      <c r="C237" s="899" t="s">
        <v>1512</v>
      </c>
      <c r="D237" s="925">
        <v>41941</v>
      </c>
      <c r="E237" s="899" t="s">
        <v>66</v>
      </c>
      <c r="F237" s="925">
        <v>43556</v>
      </c>
      <c r="G237" s="901">
        <v>3072022</v>
      </c>
      <c r="H237" s="901">
        <v>0</v>
      </c>
      <c r="I237" s="899">
        <v>0.50208432237071199</v>
      </c>
      <c r="J237" s="899" t="s">
        <v>2872</v>
      </c>
      <c r="K237" s="899" t="s">
        <v>2902</v>
      </c>
      <c r="L237" s="899" t="s">
        <v>3068</v>
      </c>
      <c r="M237" s="899">
        <v>14730021728</v>
      </c>
      <c r="N237" s="899" t="s">
        <v>2531</v>
      </c>
      <c r="O237" s="899" t="s">
        <v>3068</v>
      </c>
      <c r="P237" s="899">
        <v>144</v>
      </c>
      <c r="Q237" s="899" t="s">
        <v>2533</v>
      </c>
      <c r="R237" s="899">
        <v>1.6</v>
      </c>
      <c r="S237" s="899" t="s">
        <v>2538</v>
      </c>
      <c r="T237" s="899">
        <v>1</v>
      </c>
      <c r="U237" s="899" t="s">
        <v>2698</v>
      </c>
      <c r="V237" s="926">
        <v>3072022</v>
      </c>
      <c r="W237" s="899">
        <v>1473</v>
      </c>
      <c r="X237" s="926">
        <f t="shared" si="10"/>
        <v>2703379.36</v>
      </c>
      <c r="Y237" s="927">
        <f t="shared" si="11"/>
        <v>1689612.0999999999</v>
      </c>
    </row>
    <row r="238" spans="1:25">
      <c r="A238" s="899">
        <v>565</v>
      </c>
      <c r="B238" s="899">
        <v>1473</v>
      </c>
      <c r="C238" s="899" t="s">
        <v>1512</v>
      </c>
      <c r="D238" s="925">
        <v>41941</v>
      </c>
      <c r="E238" s="899" t="s">
        <v>66</v>
      </c>
      <c r="F238" s="925">
        <v>43556</v>
      </c>
      <c r="G238" s="901">
        <v>4061673</v>
      </c>
      <c r="H238" s="901">
        <v>0</v>
      </c>
      <c r="I238" s="899">
        <v>0.51367919968462294</v>
      </c>
      <c r="J238" s="899" t="s">
        <v>2872</v>
      </c>
      <c r="K238" s="899" t="s">
        <v>2902</v>
      </c>
      <c r="L238" s="899" t="s">
        <v>3069</v>
      </c>
      <c r="M238" s="899">
        <v>14730022072</v>
      </c>
      <c r="N238" s="899" t="s">
        <v>2531</v>
      </c>
      <c r="O238" s="899" t="s">
        <v>3069</v>
      </c>
      <c r="P238" s="899">
        <v>144</v>
      </c>
      <c r="Q238" s="899" t="s">
        <v>2533</v>
      </c>
      <c r="R238" s="899">
        <v>4.9000000000000004</v>
      </c>
      <c r="S238" s="899" t="s">
        <v>2538</v>
      </c>
      <c r="T238" s="899">
        <v>1</v>
      </c>
      <c r="U238" s="899" t="s">
        <v>2698</v>
      </c>
      <c r="V238" s="926">
        <v>4061673</v>
      </c>
      <c r="W238" s="899">
        <v>1473</v>
      </c>
      <c r="X238" s="926">
        <f t="shared" si="10"/>
        <v>3574272.24</v>
      </c>
      <c r="Y238" s="927">
        <f t="shared" si="11"/>
        <v>729443.3142857143</v>
      </c>
    </row>
    <row r="239" spans="1:25">
      <c r="A239" s="899">
        <v>572</v>
      </c>
      <c r="B239" s="899">
        <v>1473</v>
      </c>
      <c r="C239" s="899" t="s">
        <v>1512</v>
      </c>
      <c r="D239" s="925">
        <v>41814</v>
      </c>
      <c r="E239" s="899" t="s">
        <v>66</v>
      </c>
      <c r="F239" s="925">
        <v>43556</v>
      </c>
      <c r="G239" s="901">
        <v>3072022</v>
      </c>
      <c r="H239" s="901">
        <v>0</v>
      </c>
      <c r="I239" s="899">
        <v>0.47924297330332899</v>
      </c>
      <c r="J239" s="899" t="s">
        <v>2872</v>
      </c>
      <c r="K239" s="899" t="s">
        <v>2906</v>
      </c>
      <c r="L239" s="899" t="s">
        <v>3070</v>
      </c>
      <c r="M239" s="899">
        <v>1473002494</v>
      </c>
      <c r="N239" s="899" t="s">
        <v>2531</v>
      </c>
      <c r="O239" s="899" t="s">
        <v>3070</v>
      </c>
      <c r="P239" s="899">
        <v>144</v>
      </c>
      <c r="Q239" s="899" t="s">
        <v>2533</v>
      </c>
      <c r="R239" s="899">
        <v>1.6</v>
      </c>
      <c r="S239" s="899" t="s">
        <v>2538</v>
      </c>
      <c r="T239" s="899">
        <v>1</v>
      </c>
      <c r="U239" s="899" t="s">
        <v>2698</v>
      </c>
      <c r="V239" s="926">
        <v>3072022</v>
      </c>
      <c r="W239" s="899">
        <v>1473</v>
      </c>
      <c r="X239" s="926">
        <f t="shared" si="10"/>
        <v>2703379.36</v>
      </c>
      <c r="Y239" s="927">
        <f t="shared" si="11"/>
        <v>1689612.0999999999</v>
      </c>
    </row>
    <row r="240" spans="1:25">
      <c r="A240" s="899">
        <v>573</v>
      </c>
      <c r="B240" s="899">
        <v>1473</v>
      </c>
      <c r="C240" s="899" t="s">
        <v>1512</v>
      </c>
      <c r="D240" s="925">
        <v>41814</v>
      </c>
      <c r="E240" s="899" t="s">
        <v>66</v>
      </c>
      <c r="F240" s="925">
        <v>43556</v>
      </c>
      <c r="G240" s="901">
        <v>3139298</v>
      </c>
      <c r="H240" s="901">
        <v>0</v>
      </c>
      <c r="I240" s="899">
        <v>0.59777728294281995</v>
      </c>
      <c r="J240" s="899" t="s">
        <v>2872</v>
      </c>
      <c r="K240" s="899" t="s">
        <v>2906</v>
      </c>
      <c r="L240" s="899" t="s">
        <v>3071</v>
      </c>
      <c r="M240" s="899">
        <v>1473002807</v>
      </c>
      <c r="N240" s="899" t="s">
        <v>2531</v>
      </c>
      <c r="O240" s="899" t="s">
        <v>3071</v>
      </c>
      <c r="P240" s="899">
        <v>144</v>
      </c>
      <c r="Q240" s="899" t="s">
        <v>2533</v>
      </c>
      <c r="R240" s="899">
        <v>1.6</v>
      </c>
      <c r="S240" s="899" t="s">
        <v>2538</v>
      </c>
      <c r="T240" s="899">
        <v>1</v>
      </c>
      <c r="U240" s="899" t="s">
        <v>2698</v>
      </c>
      <c r="V240" s="926">
        <v>3139298</v>
      </c>
      <c r="W240" s="899">
        <v>1473</v>
      </c>
      <c r="X240" s="926">
        <f t="shared" si="10"/>
        <v>2762582.24</v>
      </c>
      <c r="Y240" s="927">
        <f t="shared" si="11"/>
        <v>1726613.9000000001</v>
      </c>
    </row>
    <row r="241" spans="1:25">
      <c r="A241" s="899">
        <v>577</v>
      </c>
      <c r="B241" s="899">
        <v>1473</v>
      </c>
      <c r="C241" s="899" t="s">
        <v>1512</v>
      </c>
      <c r="D241" s="925">
        <v>41814</v>
      </c>
      <c r="E241" s="899" t="s">
        <v>66</v>
      </c>
      <c r="F241" s="925">
        <v>43556</v>
      </c>
      <c r="G241" s="901">
        <v>3072022</v>
      </c>
      <c r="H241" s="901">
        <v>0</v>
      </c>
      <c r="I241" s="899">
        <v>0.48475770462064499</v>
      </c>
      <c r="J241" s="899" t="s">
        <v>2872</v>
      </c>
      <c r="K241" s="899" t="s">
        <v>2906</v>
      </c>
      <c r="L241" s="899" t="s">
        <v>3072</v>
      </c>
      <c r="M241" s="899">
        <v>1473002593</v>
      </c>
      <c r="N241" s="899" t="s">
        <v>2531</v>
      </c>
      <c r="O241" s="899" t="s">
        <v>3072</v>
      </c>
      <c r="P241" s="899">
        <v>144</v>
      </c>
      <c r="Q241" s="899" t="s">
        <v>2533</v>
      </c>
      <c r="R241" s="899">
        <v>1.6</v>
      </c>
      <c r="S241" s="899" t="s">
        <v>2538</v>
      </c>
      <c r="T241" s="899">
        <v>1</v>
      </c>
      <c r="U241" s="899" t="s">
        <v>2698</v>
      </c>
      <c r="V241" s="926">
        <v>3072022</v>
      </c>
      <c r="W241" s="899">
        <v>1473</v>
      </c>
      <c r="X241" s="926">
        <f t="shared" si="10"/>
        <v>2703379.36</v>
      </c>
      <c r="Y241" s="927">
        <f t="shared" ref="Y241:Y272" si="12">X241/R241</f>
        <v>1689612.0999999999</v>
      </c>
    </row>
    <row r="242" spans="1:25">
      <c r="A242" s="899">
        <v>579</v>
      </c>
      <c r="B242" s="899">
        <v>1473</v>
      </c>
      <c r="C242" s="899" t="s">
        <v>1512</v>
      </c>
      <c r="D242" s="925">
        <v>41814</v>
      </c>
      <c r="E242" s="899" t="s">
        <v>66</v>
      </c>
      <c r="F242" s="925">
        <v>43556</v>
      </c>
      <c r="G242" s="901">
        <v>5399591</v>
      </c>
      <c r="H242" s="901">
        <v>0</v>
      </c>
      <c r="I242" s="899">
        <v>0.58313613011749199</v>
      </c>
      <c r="J242" s="899" t="s">
        <v>2872</v>
      </c>
      <c r="K242" s="899" t="s">
        <v>2906</v>
      </c>
      <c r="L242" s="899" t="s">
        <v>3073</v>
      </c>
      <c r="M242" s="899">
        <v>1473002895</v>
      </c>
      <c r="N242" s="899" t="s">
        <v>2531</v>
      </c>
      <c r="O242" s="899" t="s">
        <v>3073</v>
      </c>
      <c r="P242" s="899">
        <v>144</v>
      </c>
      <c r="Q242" s="899" t="s">
        <v>2533</v>
      </c>
      <c r="R242" s="899">
        <v>11</v>
      </c>
      <c r="S242" s="899" t="s">
        <v>2534</v>
      </c>
      <c r="T242" s="899">
        <v>1</v>
      </c>
      <c r="U242" s="899" t="s">
        <v>2698</v>
      </c>
      <c r="V242" s="926">
        <v>5399591</v>
      </c>
      <c r="W242" s="899">
        <v>1473</v>
      </c>
      <c r="X242" s="926">
        <f t="shared" ref="X242:X304" si="13">VLOOKUP(S242,$B$9:$C$11,2,FALSE)*V242</f>
        <v>5399591</v>
      </c>
      <c r="Y242" s="927">
        <f t="shared" si="12"/>
        <v>490871.90909090912</v>
      </c>
    </row>
    <row r="243" spans="1:25">
      <c r="A243" s="899">
        <v>580</v>
      </c>
      <c r="B243" s="899">
        <v>1473</v>
      </c>
      <c r="C243" s="899" t="s">
        <v>1512</v>
      </c>
      <c r="D243" s="925">
        <v>41814</v>
      </c>
      <c r="E243" s="899" t="s">
        <v>66</v>
      </c>
      <c r="F243" s="925">
        <v>43556</v>
      </c>
      <c r="G243" s="901">
        <v>3072022</v>
      </c>
      <c r="H243" s="901">
        <v>0</v>
      </c>
      <c r="I243" s="899">
        <v>0.49093684766812901</v>
      </c>
      <c r="J243" s="899" t="s">
        <v>2872</v>
      </c>
      <c r="K243" s="899" t="s">
        <v>2906</v>
      </c>
      <c r="L243" s="899" t="s">
        <v>3074</v>
      </c>
      <c r="M243" s="899">
        <v>1473002543</v>
      </c>
      <c r="N243" s="899" t="s">
        <v>2531</v>
      </c>
      <c r="O243" s="899" t="s">
        <v>3074</v>
      </c>
      <c r="P243" s="899">
        <v>144</v>
      </c>
      <c r="Q243" s="899" t="s">
        <v>2533</v>
      </c>
      <c r="R243" s="899">
        <v>1.6</v>
      </c>
      <c r="S243" s="899" t="s">
        <v>2538</v>
      </c>
      <c r="T243" s="899">
        <v>1</v>
      </c>
      <c r="U243" s="899" t="s">
        <v>2698</v>
      </c>
      <c r="V243" s="926">
        <v>3072022</v>
      </c>
      <c r="W243" s="899">
        <v>1473</v>
      </c>
      <c r="X243" s="926">
        <f t="shared" si="13"/>
        <v>2703379.36</v>
      </c>
      <c r="Y243" s="927">
        <f t="shared" si="12"/>
        <v>1689612.0999999999</v>
      </c>
    </row>
    <row r="244" spans="1:25">
      <c r="A244" s="899">
        <v>582</v>
      </c>
      <c r="B244" s="899">
        <v>1473</v>
      </c>
      <c r="C244" s="899" t="s">
        <v>1512</v>
      </c>
      <c r="D244" s="925">
        <v>41941</v>
      </c>
      <c r="E244" s="899" t="s">
        <v>66</v>
      </c>
      <c r="F244" s="925">
        <v>43556</v>
      </c>
      <c r="G244" s="901">
        <v>5958979</v>
      </c>
      <c r="H244" s="901">
        <v>0</v>
      </c>
      <c r="I244" s="899">
        <v>0.58035738298211803</v>
      </c>
      <c r="J244" s="899" t="s">
        <v>2872</v>
      </c>
      <c r="K244" s="899" t="s">
        <v>2902</v>
      </c>
      <c r="L244" s="899" t="s">
        <v>3062</v>
      </c>
      <c r="M244" s="899">
        <v>14730022477</v>
      </c>
      <c r="N244" s="899" t="s">
        <v>2531</v>
      </c>
      <c r="O244" s="899" t="s">
        <v>3062</v>
      </c>
      <c r="P244" s="899">
        <v>144</v>
      </c>
      <c r="Q244" s="899" t="s">
        <v>2533</v>
      </c>
      <c r="R244" s="899">
        <v>12.6</v>
      </c>
      <c r="S244" s="899" t="s">
        <v>2534</v>
      </c>
      <c r="T244" s="899">
        <v>1</v>
      </c>
      <c r="U244" s="899" t="s">
        <v>2698</v>
      </c>
      <c r="V244" s="926">
        <v>5958979</v>
      </c>
      <c r="W244" s="899">
        <v>1473</v>
      </c>
      <c r="X244" s="926">
        <f t="shared" si="13"/>
        <v>5958979</v>
      </c>
      <c r="Y244" s="927">
        <f t="shared" si="12"/>
        <v>472934.8412698413</v>
      </c>
    </row>
    <row r="245" spans="1:25">
      <c r="A245" s="899">
        <v>583</v>
      </c>
      <c r="B245" s="899">
        <v>1473</v>
      </c>
      <c r="C245" s="899" t="s">
        <v>1512</v>
      </c>
      <c r="D245" s="925">
        <v>41941</v>
      </c>
      <c r="E245" s="899" t="s">
        <v>66</v>
      </c>
      <c r="F245" s="925">
        <v>43556</v>
      </c>
      <c r="G245" s="901">
        <v>3139297</v>
      </c>
      <c r="H245" s="901">
        <v>0</v>
      </c>
      <c r="I245" s="899">
        <v>0.58035738298211803</v>
      </c>
      <c r="J245" s="899" t="s">
        <v>2872</v>
      </c>
      <c r="K245" s="899" t="s">
        <v>2902</v>
      </c>
      <c r="L245" s="899" t="s">
        <v>3075</v>
      </c>
      <c r="M245" s="899">
        <v>14730022471</v>
      </c>
      <c r="N245" s="899" t="s">
        <v>2531</v>
      </c>
      <c r="O245" s="899" t="s">
        <v>3075</v>
      </c>
      <c r="P245" s="899">
        <v>144</v>
      </c>
      <c r="Q245" s="899" t="s">
        <v>2533</v>
      </c>
      <c r="R245" s="899">
        <v>1.6</v>
      </c>
      <c r="S245" s="899" t="s">
        <v>2538</v>
      </c>
      <c r="T245" s="899">
        <v>1</v>
      </c>
      <c r="U245" s="899" t="s">
        <v>2698</v>
      </c>
      <c r="V245" s="926">
        <v>3139297</v>
      </c>
      <c r="W245" s="899">
        <v>1473</v>
      </c>
      <c r="X245" s="926">
        <f t="shared" si="13"/>
        <v>2762581.36</v>
      </c>
      <c r="Y245" s="927">
        <f t="shared" si="12"/>
        <v>1726613.3499999999</v>
      </c>
    </row>
    <row r="246" spans="1:25">
      <c r="A246" s="899">
        <v>585</v>
      </c>
      <c r="B246" s="899">
        <v>1473</v>
      </c>
      <c r="C246" s="899" t="s">
        <v>1512</v>
      </c>
      <c r="D246" s="925">
        <v>41941</v>
      </c>
      <c r="E246" s="899" t="s">
        <v>66</v>
      </c>
      <c r="F246" s="925">
        <v>43556</v>
      </c>
      <c r="G246" s="901">
        <v>5958979</v>
      </c>
      <c r="H246" s="901">
        <v>0</v>
      </c>
      <c r="I246" s="899">
        <v>0.58313613011749199</v>
      </c>
      <c r="J246" s="899" t="s">
        <v>2872</v>
      </c>
      <c r="K246" s="899" t="s">
        <v>2902</v>
      </c>
      <c r="L246" s="899" t="s">
        <v>3063</v>
      </c>
      <c r="M246" s="899">
        <v>14730022432</v>
      </c>
      <c r="N246" s="899" t="s">
        <v>2531</v>
      </c>
      <c r="O246" s="899" t="s">
        <v>3063</v>
      </c>
      <c r="P246" s="899">
        <v>144</v>
      </c>
      <c r="Q246" s="899" t="s">
        <v>2533</v>
      </c>
      <c r="R246" s="899">
        <v>12.6</v>
      </c>
      <c r="S246" s="899" t="s">
        <v>2534</v>
      </c>
      <c r="T246" s="899">
        <v>1</v>
      </c>
      <c r="U246" s="899" t="s">
        <v>2698</v>
      </c>
      <c r="V246" s="926">
        <v>5958979</v>
      </c>
      <c r="W246" s="899">
        <v>1473</v>
      </c>
      <c r="X246" s="926">
        <f t="shared" si="13"/>
        <v>5958979</v>
      </c>
      <c r="Y246" s="927">
        <f t="shared" si="12"/>
        <v>472934.8412698413</v>
      </c>
    </row>
    <row r="247" spans="1:25">
      <c r="A247" s="899">
        <v>587</v>
      </c>
      <c r="B247" s="899">
        <v>1473</v>
      </c>
      <c r="C247" s="899" t="s">
        <v>1512</v>
      </c>
      <c r="D247" s="925">
        <v>41941</v>
      </c>
      <c r="E247" s="899" t="s">
        <v>66</v>
      </c>
      <c r="F247" s="925">
        <v>43556</v>
      </c>
      <c r="G247" s="901">
        <v>5958979</v>
      </c>
      <c r="H247" s="901">
        <v>0</v>
      </c>
      <c r="I247" s="899">
        <v>0.60218355148778102</v>
      </c>
      <c r="J247" s="899" t="s">
        <v>2872</v>
      </c>
      <c r="K247" s="899" t="s">
        <v>2902</v>
      </c>
      <c r="L247" s="899" t="s">
        <v>3076</v>
      </c>
      <c r="M247" s="899">
        <v>14730022391</v>
      </c>
      <c r="N247" s="899" t="s">
        <v>2531</v>
      </c>
      <c r="O247" s="899" t="s">
        <v>3076</v>
      </c>
      <c r="P247" s="899">
        <v>144</v>
      </c>
      <c r="Q247" s="899" t="s">
        <v>2533</v>
      </c>
      <c r="R247" s="899">
        <v>12.6</v>
      </c>
      <c r="S247" s="899" t="s">
        <v>2534</v>
      </c>
      <c r="T247" s="899">
        <v>1</v>
      </c>
      <c r="U247" s="899" t="s">
        <v>2698</v>
      </c>
      <c r="V247" s="926">
        <v>5958979</v>
      </c>
      <c r="W247" s="899">
        <v>1473</v>
      </c>
      <c r="X247" s="926">
        <f t="shared" si="13"/>
        <v>5958979</v>
      </c>
      <c r="Y247" s="927">
        <f t="shared" si="12"/>
        <v>472934.8412698413</v>
      </c>
    </row>
    <row r="248" spans="1:25">
      <c r="A248" s="899">
        <v>588</v>
      </c>
      <c r="B248" s="899">
        <v>1473</v>
      </c>
      <c r="C248" s="899" t="s">
        <v>1512</v>
      </c>
      <c r="D248" s="925">
        <v>41941</v>
      </c>
      <c r="E248" s="899" t="s">
        <v>66</v>
      </c>
      <c r="F248" s="925">
        <v>43556</v>
      </c>
      <c r="G248" s="901">
        <v>3139298</v>
      </c>
      <c r="H248" s="901">
        <v>0</v>
      </c>
      <c r="I248" s="899">
        <v>0.60218355148778102</v>
      </c>
      <c r="J248" s="899" t="s">
        <v>2872</v>
      </c>
      <c r="K248" s="899" t="s">
        <v>2902</v>
      </c>
      <c r="L248" s="899" t="s">
        <v>3077</v>
      </c>
      <c r="M248" s="899">
        <v>14730022385</v>
      </c>
      <c r="N248" s="899" t="s">
        <v>2531</v>
      </c>
      <c r="O248" s="899" t="s">
        <v>3077</v>
      </c>
      <c r="P248" s="899">
        <v>144</v>
      </c>
      <c r="Q248" s="899" t="s">
        <v>2533</v>
      </c>
      <c r="R248" s="899">
        <v>1.6</v>
      </c>
      <c r="S248" s="899" t="s">
        <v>2538</v>
      </c>
      <c r="T248" s="899">
        <v>1</v>
      </c>
      <c r="U248" s="899" t="s">
        <v>2698</v>
      </c>
      <c r="V248" s="926">
        <v>3139298</v>
      </c>
      <c r="W248" s="899">
        <v>1473</v>
      </c>
      <c r="X248" s="926">
        <f t="shared" si="13"/>
        <v>2762582.24</v>
      </c>
      <c r="Y248" s="927">
        <f t="shared" si="12"/>
        <v>1726613.9000000001</v>
      </c>
    </row>
    <row r="249" spans="1:25">
      <c r="A249" s="899">
        <v>592</v>
      </c>
      <c r="B249" s="899">
        <v>1473</v>
      </c>
      <c r="C249" s="899" t="s">
        <v>1512</v>
      </c>
      <c r="D249" s="925">
        <v>41941</v>
      </c>
      <c r="E249" s="899" t="s">
        <v>66</v>
      </c>
      <c r="F249" s="925">
        <v>43556</v>
      </c>
      <c r="G249" s="901">
        <v>5958979</v>
      </c>
      <c r="H249" s="901">
        <v>0</v>
      </c>
      <c r="I249" s="899">
        <v>0.59777728294281995</v>
      </c>
      <c r="J249" s="899" t="s">
        <v>2872</v>
      </c>
      <c r="K249" s="899" t="s">
        <v>2902</v>
      </c>
      <c r="L249" s="899" t="s">
        <v>3059</v>
      </c>
      <c r="M249" s="899">
        <v>14730022348</v>
      </c>
      <c r="N249" s="899" t="s">
        <v>2531</v>
      </c>
      <c r="O249" s="899" t="s">
        <v>3059</v>
      </c>
      <c r="P249" s="899">
        <v>144</v>
      </c>
      <c r="Q249" s="899" t="s">
        <v>2533</v>
      </c>
      <c r="R249" s="899">
        <v>12.6</v>
      </c>
      <c r="S249" s="899" t="s">
        <v>2534</v>
      </c>
      <c r="T249" s="899">
        <v>1</v>
      </c>
      <c r="U249" s="899" t="s">
        <v>2698</v>
      </c>
      <c r="V249" s="926">
        <v>5958979</v>
      </c>
      <c r="W249" s="899">
        <v>1473</v>
      </c>
      <c r="X249" s="926">
        <f t="shared" si="13"/>
        <v>5958979</v>
      </c>
      <c r="Y249" s="927">
        <f t="shared" si="12"/>
        <v>472934.8412698413</v>
      </c>
    </row>
    <row r="250" spans="1:25">
      <c r="A250" s="899">
        <v>596</v>
      </c>
      <c r="B250" s="899">
        <v>1473</v>
      </c>
      <c r="C250" s="899" t="s">
        <v>1512</v>
      </c>
      <c r="D250" s="925">
        <v>41941</v>
      </c>
      <c r="E250" s="899" t="s">
        <v>66</v>
      </c>
      <c r="F250" s="925">
        <v>43556</v>
      </c>
      <c r="G250" s="901">
        <v>4061673</v>
      </c>
      <c r="H250" s="901">
        <v>0</v>
      </c>
      <c r="I250" s="899">
        <v>0.52337455264722099</v>
      </c>
      <c r="J250" s="899" t="s">
        <v>2872</v>
      </c>
      <c r="K250" s="899" t="s">
        <v>2902</v>
      </c>
      <c r="L250" s="899" t="s">
        <v>3078</v>
      </c>
      <c r="M250" s="899">
        <v>14730022236</v>
      </c>
      <c r="N250" s="899" t="s">
        <v>2531</v>
      </c>
      <c r="O250" s="899" t="s">
        <v>3078</v>
      </c>
      <c r="P250" s="899">
        <v>144</v>
      </c>
      <c r="Q250" s="899" t="s">
        <v>2533</v>
      </c>
      <c r="R250" s="899">
        <v>4.9000000000000004</v>
      </c>
      <c r="S250" s="899" t="s">
        <v>2538</v>
      </c>
      <c r="T250" s="899">
        <v>1</v>
      </c>
      <c r="U250" s="899" t="s">
        <v>2698</v>
      </c>
      <c r="V250" s="926">
        <v>4061673</v>
      </c>
      <c r="W250" s="899">
        <v>1473</v>
      </c>
      <c r="X250" s="926">
        <f t="shared" si="13"/>
        <v>3574272.24</v>
      </c>
      <c r="Y250" s="927">
        <f t="shared" si="12"/>
        <v>729443.3142857143</v>
      </c>
    </row>
    <row r="251" spans="1:25">
      <c r="A251" s="899">
        <v>604</v>
      </c>
      <c r="B251" s="899">
        <v>1473</v>
      </c>
      <c r="C251" s="899" t="s">
        <v>1512</v>
      </c>
      <c r="D251" s="925">
        <v>41814</v>
      </c>
      <c r="E251" s="899" t="s">
        <v>66</v>
      </c>
      <c r="F251" s="925">
        <v>43556</v>
      </c>
      <c r="G251" s="901">
        <v>3139298</v>
      </c>
      <c r="H251" s="901">
        <v>0</v>
      </c>
      <c r="I251" s="899">
        <v>0.60218355148778102</v>
      </c>
      <c r="J251" s="899" t="s">
        <v>2872</v>
      </c>
      <c r="K251" s="899" t="s">
        <v>2906</v>
      </c>
      <c r="L251" s="899" t="s">
        <v>3077</v>
      </c>
      <c r="M251" s="899">
        <v>1473002850</v>
      </c>
      <c r="N251" s="899" t="s">
        <v>2531</v>
      </c>
      <c r="O251" s="899" t="s">
        <v>3077</v>
      </c>
      <c r="P251" s="899">
        <v>144</v>
      </c>
      <c r="Q251" s="899" t="s">
        <v>2533</v>
      </c>
      <c r="R251" s="899">
        <v>1.6</v>
      </c>
      <c r="S251" s="899" t="s">
        <v>2538</v>
      </c>
      <c r="T251" s="899">
        <v>1</v>
      </c>
      <c r="U251" s="899" t="s">
        <v>2698</v>
      </c>
      <c r="V251" s="926">
        <v>3139298</v>
      </c>
      <c r="W251" s="899">
        <v>1473</v>
      </c>
      <c r="X251" s="926">
        <f t="shared" si="13"/>
        <v>2762582.24</v>
      </c>
      <c r="Y251" s="927">
        <f t="shared" si="12"/>
        <v>1726613.9000000001</v>
      </c>
    </row>
    <row r="252" spans="1:25">
      <c r="A252" s="899">
        <v>605</v>
      </c>
      <c r="B252" s="899">
        <v>1473</v>
      </c>
      <c r="C252" s="899" t="s">
        <v>1512</v>
      </c>
      <c r="D252" s="925">
        <v>41814</v>
      </c>
      <c r="E252" s="899" t="s">
        <v>66</v>
      </c>
      <c r="F252" s="925">
        <v>43556</v>
      </c>
      <c r="G252" s="901">
        <v>3072022</v>
      </c>
      <c r="H252" s="901">
        <v>0</v>
      </c>
      <c r="I252" s="899">
        <v>0.486422883192907</v>
      </c>
      <c r="J252" s="899" t="s">
        <v>2872</v>
      </c>
      <c r="K252" s="899" t="s">
        <v>2906</v>
      </c>
      <c r="L252" s="899" t="s">
        <v>3079</v>
      </c>
      <c r="M252" s="899">
        <v>1473002708</v>
      </c>
      <c r="N252" s="899" t="s">
        <v>2531</v>
      </c>
      <c r="O252" s="899" t="s">
        <v>3079</v>
      </c>
      <c r="P252" s="899">
        <v>144</v>
      </c>
      <c r="Q252" s="899" t="s">
        <v>2533</v>
      </c>
      <c r="R252" s="899">
        <v>1.6</v>
      </c>
      <c r="S252" s="899" t="s">
        <v>2538</v>
      </c>
      <c r="T252" s="899">
        <v>1</v>
      </c>
      <c r="U252" s="899" t="s">
        <v>2698</v>
      </c>
      <c r="V252" s="926">
        <v>3072022</v>
      </c>
      <c r="W252" s="899">
        <v>1473</v>
      </c>
      <c r="X252" s="926">
        <f t="shared" si="13"/>
        <v>2703379.36</v>
      </c>
      <c r="Y252" s="927">
        <f t="shared" si="12"/>
        <v>1689612.0999999999</v>
      </c>
    </row>
    <row r="253" spans="1:25">
      <c r="A253" s="899">
        <v>607</v>
      </c>
      <c r="B253" s="899">
        <v>1473</v>
      </c>
      <c r="C253" s="899" t="s">
        <v>1512</v>
      </c>
      <c r="D253" s="925">
        <v>41814</v>
      </c>
      <c r="E253" s="899" t="s">
        <v>66</v>
      </c>
      <c r="F253" s="925">
        <v>43556</v>
      </c>
      <c r="G253" s="901">
        <v>5399591</v>
      </c>
      <c r="H253" s="901">
        <v>0</v>
      </c>
      <c r="I253" s="899">
        <v>0.58035738298211803</v>
      </c>
      <c r="J253" s="899" t="s">
        <v>2872</v>
      </c>
      <c r="K253" s="899" t="s">
        <v>2906</v>
      </c>
      <c r="L253" s="899" t="s">
        <v>3080</v>
      </c>
      <c r="M253" s="899">
        <v>1473002940</v>
      </c>
      <c r="N253" s="899" t="s">
        <v>2531</v>
      </c>
      <c r="O253" s="899" t="s">
        <v>3080</v>
      </c>
      <c r="P253" s="899">
        <v>144</v>
      </c>
      <c r="Q253" s="899" t="s">
        <v>2533</v>
      </c>
      <c r="R253" s="899">
        <v>11</v>
      </c>
      <c r="S253" s="899" t="s">
        <v>2534</v>
      </c>
      <c r="T253" s="899">
        <v>1</v>
      </c>
      <c r="U253" s="899" t="s">
        <v>2698</v>
      </c>
      <c r="V253" s="926">
        <v>5399591</v>
      </c>
      <c r="W253" s="899">
        <v>1473</v>
      </c>
      <c r="X253" s="926">
        <f t="shared" si="13"/>
        <v>5399591</v>
      </c>
      <c r="Y253" s="927">
        <f t="shared" si="12"/>
        <v>490871.90909090912</v>
      </c>
    </row>
    <row r="254" spans="1:25">
      <c r="A254" s="899">
        <v>608</v>
      </c>
      <c r="B254" s="899">
        <v>1473</v>
      </c>
      <c r="C254" s="899" t="s">
        <v>1512</v>
      </c>
      <c r="D254" s="925">
        <v>41814</v>
      </c>
      <c r="E254" s="899" t="s">
        <v>66</v>
      </c>
      <c r="F254" s="925">
        <v>43556</v>
      </c>
      <c r="G254" s="901">
        <v>3139297</v>
      </c>
      <c r="H254" s="901">
        <v>0</v>
      </c>
      <c r="I254" s="899">
        <v>0.58313613011749199</v>
      </c>
      <c r="J254" s="899" t="s">
        <v>2872</v>
      </c>
      <c r="K254" s="899" t="s">
        <v>2906</v>
      </c>
      <c r="L254" s="899" t="s">
        <v>3081</v>
      </c>
      <c r="M254" s="899">
        <v>1473002891</v>
      </c>
      <c r="N254" s="899" t="s">
        <v>2531</v>
      </c>
      <c r="O254" s="899" t="s">
        <v>3081</v>
      </c>
      <c r="P254" s="899">
        <v>144</v>
      </c>
      <c r="Q254" s="899" t="s">
        <v>2533</v>
      </c>
      <c r="R254" s="899">
        <v>1.6</v>
      </c>
      <c r="S254" s="899" t="s">
        <v>2538</v>
      </c>
      <c r="T254" s="899">
        <v>1</v>
      </c>
      <c r="U254" s="899" t="s">
        <v>2698</v>
      </c>
      <c r="V254" s="926">
        <v>3139297</v>
      </c>
      <c r="W254" s="899">
        <v>1473</v>
      </c>
      <c r="X254" s="926">
        <f t="shared" si="13"/>
        <v>2762581.36</v>
      </c>
      <c r="Y254" s="927">
        <f t="shared" si="12"/>
        <v>1726613.3499999999</v>
      </c>
    </row>
    <row r="255" spans="1:25">
      <c r="A255" s="899">
        <v>609</v>
      </c>
      <c r="B255" s="899">
        <v>1473</v>
      </c>
      <c r="C255" s="899" t="s">
        <v>1512</v>
      </c>
      <c r="D255" s="925">
        <v>41941</v>
      </c>
      <c r="E255" s="899" t="s">
        <v>66</v>
      </c>
      <c r="F255" s="925">
        <v>43556</v>
      </c>
      <c r="G255" s="901">
        <v>4061673</v>
      </c>
      <c r="H255" s="901">
        <v>0</v>
      </c>
      <c r="I255" s="899">
        <v>0.50601648624346995</v>
      </c>
      <c r="J255" s="899" t="s">
        <v>2872</v>
      </c>
      <c r="K255" s="899" t="s">
        <v>2902</v>
      </c>
      <c r="L255" s="899" t="s">
        <v>3082</v>
      </c>
      <c r="M255" s="899">
        <v>14730021953</v>
      </c>
      <c r="N255" s="899" t="s">
        <v>2531</v>
      </c>
      <c r="O255" s="899" t="s">
        <v>3082</v>
      </c>
      <c r="P255" s="899">
        <v>144</v>
      </c>
      <c r="Q255" s="899" t="s">
        <v>2533</v>
      </c>
      <c r="R255" s="899">
        <v>4.9000000000000004</v>
      </c>
      <c r="S255" s="899" t="s">
        <v>2538</v>
      </c>
      <c r="T255" s="899">
        <v>1</v>
      </c>
      <c r="U255" s="899" t="s">
        <v>2698</v>
      </c>
      <c r="V255" s="926">
        <v>4061673</v>
      </c>
      <c r="W255" s="899">
        <v>1473</v>
      </c>
      <c r="X255" s="926">
        <f t="shared" si="13"/>
        <v>3574272.24</v>
      </c>
      <c r="Y255" s="927">
        <f t="shared" si="12"/>
        <v>729443.3142857143</v>
      </c>
    </row>
    <row r="256" spans="1:25">
      <c r="A256" s="899">
        <v>610</v>
      </c>
      <c r="B256" s="899">
        <v>1473</v>
      </c>
      <c r="C256" s="899" t="s">
        <v>1512</v>
      </c>
      <c r="D256" s="925">
        <v>41941</v>
      </c>
      <c r="E256" s="899" t="s">
        <v>66</v>
      </c>
      <c r="F256" s="925">
        <v>43556</v>
      </c>
      <c r="G256" s="901">
        <v>5399591</v>
      </c>
      <c r="H256" s="901">
        <v>0</v>
      </c>
      <c r="I256" s="899">
        <v>0.58035738298211803</v>
      </c>
      <c r="J256" s="899" t="s">
        <v>2872</v>
      </c>
      <c r="K256" s="899" t="s">
        <v>2902</v>
      </c>
      <c r="L256" s="899" t="s">
        <v>3080</v>
      </c>
      <c r="M256" s="899">
        <v>14730022475</v>
      </c>
      <c r="N256" s="899" t="s">
        <v>2531</v>
      </c>
      <c r="O256" s="899" t="s">
        <v>3080</v>
      </c>
      <c r="P256" s="899">
        <v>144</v>
      </c>
      <c r="Q256" s="899" t="s">
        <v>2533</v>
      </c>
      <c r="R256" s="899">
        <v>11</v>
      </c>
      <c r="S256" s="899" t="s">
        <v>2534</v>
      </c>
      <c r="T256" s="899">
        <v>1</v>
      </c>
      <c r="U256" s="899" t="s">
        <v>2698</v>
      </c>
      <c r="V256" s="926">
        <v>5399591</v>
      </c>
      <c r="W256" s="899">
        <v>1473</v>
      </c>
      <c r="X256" s="926">
        <f t="shared" si="13"/>
        <v>5399591</v>
      </c>
      <c r="Y256" s="927">
        <f t="shared" si="12"/>
        <v>490871.90909090912</v>
      </c>
    </row>
    <row r="257" spans="1:25">
      <c r="A257" s="899">
        <v>611</v>
      </c>
      <c r="B257" s="899">
        <v>1473</v>
      </c>
      <c r="C257" s="899" t="s">
        <v>1512</v>
      </c>
      <c r="D257" s="925">
        <v>41941</v>
      </c>
      <c r="E257" s="899" t="s">
        <v>66</v>
      </c>
      <c r="F257" s="925">
        <v>43556</v>
      </c>
      <c r="G257" s="901">
        <v>4067266</v>
      </c>
      <c r="H257" s="901">
        <v>0</v>
      </c>
      <c r="I257" s="899">
        <v>0.58313613011749199</v>
      </c>
      <c r="J257" s="899" t="s">
        <v>2872</v>
      </c>
      <c r="K257" s="899" t="s">
        <v>2902</v>
      </c>
      <c r="L257" s="899" t="s">
        <v>3064</v>
      </c>
      <c r="M257" s="899">
        <v>14730022428</v>
      </c>
      <c r="N257" s="899" t="s">
        <v>2531</v>
      </c>
      <c r="O257" s="899" t="s">
        <v>3064</v>
      </c>
      <c r="P257" s="899">
        <v>144</v>
      </c>
      <c r="Q257" s="899" t="s">
        <v>2533</v>
      </c>
      <c r="R257" s="899">
        <v>4.9000000000000004</v>
      </c>
      <c r="S257" s="899" t="s">
        <v>2538</v>
      </c>
      <c r="T257" s="899">
        <v>1</v>
      </c>
      <c r="U257" s="899" t="s">
        <v>2698</v>
      </c>
      <c r="V257" s="926">
        <v>4067266</v>
      </c>
      <c r="W257" s="899">
        <v>1473</v>
      </c>
      <c r="X257" s="926">
        <f t="shared" si="13"/>
        <v>3579194.08</v>
      </c>
      <c r="Y257" s="927">
        <f t="shared" si="12"/>
        <v>730447.77142857143</v>
      </c>
    </row>
    <row r="258" spans="1:25">
      <c r="A258" s="899">
        <v>613</v>
      </c>
      <c r="B258" s="899">
        <v>1473</v>
      </c>
      <c r="C258" s="899" t="s">
        <v>1512</v>
      </c>
      <c r="D258" s="925">
        <v>41941</v>
      </c>
      <c r="E258" s="899" t="s">
        <v>66</v>
      </c>
      <c r="F258" s="925">
        <v>43556</v>
      </c>
      <c r="G258" s="901">
        <v>4061673</v>
      </c>
      <c r="H258" s="901">
        <v>0</v>
      </c>
      <c r="I258" s="899">
        <v>0.50208432237071199</v>
      </c>
      <c r="J258" s="899" t="s">
        <v>2872</v>
      </c>
      <c r="K258" s="899" t="s">
        <v>2902</v>
      </c>
      <c r="L258" s="899" t="s">
        <v>3083</v>
      </c>
      <c r="M258" s="899">
        <v>14730021730</v>
      </c>
      <c r="N258" s="899" t="s">
        <v>2531</v>
      </c>
      <c r="O258" s="899" t="s">
        <v>3083</v>
      </c>
      <c r="P258" s="899">
        <v>144</v>
      </c>
      <c r="Q258" s="899" t="s">
        <v>2533</v>
      </c>
      <c r="R258" s="899">
        <v>4.9000000000000004</v>
      </c>
      <c r="S258" s="899" t="s">
        <v>2538</v>
      </c>
      <c r="T258" s="899">
        <v>1</v>
      </c>
      <c r="U258" s="899" t="s">
        <v>2698</v>
      </c>
      <c r="V258" s="926">
        <v>4061673</v>
      </c>
      <c r="W258" s="899">
        <v>1473</v>
      </c>
      <c r="X258" s="926">
        <f t="shared" si="13"/>
        <v>3574272.24</v>
      </c>
      <c r="Y258" s="927">
        <f t="shared" si="12"/>
        <v>729443.3142857143</v>
      </c>
    </row>
    <row r="259" spans="1:25">
      <c r="A259" s="899">
        <v>616</v>
      </c>
      <c r="B259" s="899">
        <v>1473</v>
      </c>
      <c r="C259" s="899" t="s">
        <v>1512</v>
      </c>
      <c r="D259" s="925">
        <v>41941</v>
      </c>
      <c r="E259" s="899" t="s">
        <v>66</v>
      </c>
      <c r="F259" s="925">
        <v>43556</v>
      </c>
      <c r="G259" s="901">
        <v>3072022</v>
      </c>
      <c r="H259" s="901">
        <v>0</v>
      </c>
      <c r="I259" s="899">
        <v>0.52337455264722099</v>
      </c>
      <c r="J259" s="899" t="s">
        <v>2872</v>
      </c>
      <c r="K259" s="899" t="s">
        <v>2902</v>
      </c>
      <c r="L259" s="899" t="s">
        <v>3084</v>
      </c>
      <c r="M259" s="899">
        <v>14730022234</v>
      </c>
      <c r="N259" s="899" t="s">
        <v>2531</v>
      </c>
      <c r="O259" s="899" t="s">
        <v>3084</v>
      </c>
      <c r="P259" s="899">
        <v>144</v>
      </c>
      <c r="Q259" s="899" t="s">
        <v>2533</v>
      </c>
      <c r="R259" s="899">
        <v>1.6</v>
      </c>
      <c r="S259" s="899" t="s">
        <v>2538</v>
      </c>
      <c r="T259" s="899">
        <v>1</v>
      </c>
      <c r="U259" s="899" t="s">
        <v>2698</v>
      </c>
      <c r="V259" s="926">
        <v>3072022</v>
      </c>
      <c r="W259" s="899">
        <v>1473</v>
      </c>
      <c r="X259" s="926">
        <f t="shared" si="13"/>
        <v>2703379.36</v>
      </c>
      <c r="Y259" s="927">
        <f t="shared" si="12"/>
        <v>1689612.0999999999</v>
      </c>
    </row>
    <row r="260" spans="1:25">
      <c r="A260" s="899">
        <v>624</v>
      </c>
      <c r="B260" s="899">
        <v>1473</v>
      </c>
      <c r="C260" s="899" t="s">
        <v>1512</v>
      </c>
      <c r="D260" s="925">
        <v>41814</v>
      </c>
      <c r="E260" s="899" t="s">
        <v>66</v>
      </c>
      <c r="F260" s="925">
        <v>43556</v>
      </c>
      <c r="G260" s="901">
        <v>4061673</v>
      </c>
      <c r="H260" s="901">
        <v>0</v>
      </c>
      <c r="I260" s="899">
        <v>0.48475770462064499</v>
      </c>
      <c r="J260" s="899" t="s">
        <v>2872</v>
      </c>
      <c r="K260" s="899" t="s">
        <v>2906</v>
      </c>
      <c r="L260" s="899" t="s">
        <v>3085</v>
      </c>
      <c r="M260" s="899">
        <v>1473002595</v>
      </c>
      <c r="N260" s="899" t="s">
        <v>2531</v>
      </c>
      <c r="O260" s="899" t="s">
        <v>3085</v>
      </c>
      <c r="P260" s="899">
        <v>144</v>
      </c>
      <c r="Q260" s="899" t="s">
        <v>2533</v>
      </c>
      <c r="R260" s="899">
        <v>4.9000000000000004</v>
      </c>
      <c r="S260" s="899" t="s">
        <v>2538</v>
      </c>
      <c r="T260" s="899">
        <v>1</v>
      </c>
      <c r="U260" s="899" t="s">
        <v>2698</v>
      </c>
      <c r="V260" s="926">
        <v>4061673</v>
      </c>
      <c r="W260" s="899">
        <v>1473</v>
      </c>
      <c r="X260" s="926">
        <f t="shared" si="13"/>
        <v>3574272.24</v>
      </c>
      <c r="Y260" s="927">
        <f t="shared" si="12"/>
        <v>729443.3142857143</v>
      </c>
    </row>
    <row r="261" spans="1:25">
      <c r="A261" s="899">
        <v>627</v>
      </c>
      <c r="B261" s="899">
        <v>1473</v>
      </c>
      <c r="C261" s="899" t="s">
        <v>1512</v>
      </c>
      <c r="D261" s="925">
        <v>41814</v>
      </c>
      <c r="E261" s="899" t="s">
        <v>66</v>
      </c>
      <c r="F261" s="925">
        <v>43556</v>
      </c>
      <c r="G261" s="901">
        <v>4067266</v>
      </c>
      <c r="H261" s="901">
        <v>0</v>
      </c>
      <c r="I261" s="899">
        <v>0.58035738298211803</v>
      </c>
      <c r="J261" s="899" t="s">
        <v>2872</v>
      </c>
      <c r="K261" s="899" t="s">
        <v>2906</v>
      </c>
      <c r="L261" s="899" t="s">
        <v>3086</v>
      </c>
      <c r="M261" s="899">
        <v>1473002938</v>
      </c>
      <c r="N261" s="899" t="s">
        <v>2531</v>
      </c>
      <c r="O261" s="899" t="s">
        <v>3086</v>
      </c>
      <c r="P261" s="899">
        <v>144</v>
      </c>
      <c r="Q261" s="899" t="s">
        <v>2533</v>
      </c>
      <c r="R261" s="899">
        <v>4.9000000000000004</v>
      </c>
      <c r="S261" s="899" t="s">
        <v>2538</v>
      </c>
      <c r="T261" s="899">
        <v>1</v>
      </c>
      <c r="U261" s="899" t="s">
        <v>2698</v>
      </c>
      <c r="V261" s="926">
        <v>4067266</v>
      </c>
      <c r="W261" s="899">
        <v>1473</v>
      </c>
      <c r="X261" s="926">
        <f t="shared" si="13"/>
        <v>3579194.08</v>
      </c>
      <c r="Y261" s="927">
        <f t="shared" si="12"/>
        <v>730447.77142857143</v>
      </c>
    </row>
    <row r="262" spans="1:25">
      <c r="A262" s="899">
        <v>633</v>
      </c>
      <c r="B262" s="899">
        <v>1473</v>
      </c>
      <c r="C262" s="899" t="s">
        <v>1512</v>
      </c>
      <c r="D262" s="925">
        <v>41941</v>
      </c>
      <c r="E262" s="899" t="s">
        <v>66</v>
      </c>
      <c r="F262" s="925">
        <v>43556</v>
      </c>
      <c r="G262" s="901">
        <v>4067266</v>
      </c>
      <c r="H262" s="901">
        <v>0</v>
      </c>
      <c r="I262" s="899">
        <v>0.60218355148778102</v>
      </c>
      <c r="J262" s="899" t="s">
        <v>2872</v>
      </c>
      <c r="K262" s="899" t="s">
        <v>2902</v>
      </c>
      <c r="L262" s="899" t="s">
        <v>3058</v>
      </c>
      <c r="M262" s="899">
        <v>14730022387</v>
      </c>
      <c r="N262" s="899" t="s">
        <v>2531</v>
      </c>
      <c r="O262" s="899" t="s">
        <v>3058</v>
      </c>
      <c r="P262" s="899">
        <v>144</v>
      </c>
      <c r="Q262" s="899" t="s">
        <v>2533</v>
      </c>
      <c r="R262" s="899">
        <v>4.9000000000000004</v>
      </c>
      <c r="S262" s="899" t="s">
        <v>2538</v>
      </c>
      <c r="T262" s="899">
        <v>1</v>
      </c>
      <c r="U262" s="899" t="s">
        <v>2698</v>
      </c>
      <c r="V262" s="926">
        <v>4067266</v>
      </c>
      <c r="W262" s="899">
        <v>1473</v>
      </c>
      <c r="X262" s="926">
        <f t="shared" si="13"/>
        <v>3579194.08</v>
      </c>
      <c r="Y262" s="927">
        <f t="shared" si="12"/>
        <v>730447.77142857143</v>
      </c>
    </row>
    <row r="263" spans="1:25">
      <c r="A263" s="899">
        <v>638</v>
      </c>
      <c r="B263" s="899">
        <v>1473</v>
      </c>
      <c r="C263" s="899" t="s">
        <v>1512</v>
      </c>
      <c r="D263" s="925">
        <v>41941</v>
      </c>
      <c r="E263" s="899" t="s">
        <v>66</v>
      </c>
      <c r="F263" s="925">
        <v>43556</v>
      </c>
      <c r="G263" s="901">
        <v>4061673</v>
      </c>
      <c r="H263" s="901">
        <v>0</v>
      </c>
      <c r="I263" s="899">
        <v>0.52178292939774495</v>
      </c>
      <c r="J263" s="899" t="s">
        <v>2872</v>
      </c>
      <c r="K263" s="899" t="s">
        <v>2902</v>
      </c>
      <c r="L263" s="899" t="s">
        <v>3087</v>
      </c>
      <c r="M263" s="899">
        <v>14730022012</v>
      </c>
      <c r="N263" s="899" t="s">
        <v>2531</v>
      </c>
      <c r="O263" s="899" t="s">
        <v>3087</v>
      </c>
      <c r="P263" s="899">
        <v>144</v>
      </c>
      <c r="Q263" s="899" t="s">
        <v>2533</v>
      </c>
      <c r="R263" s="899">
        <v>4.9000000000000004</v>
      </c>
      <c r="S263" s="899" t="s">
        <v>2538</v>
      </c>
      <c r="T263" s="899">
        <v>1</v>
      </c>
      <c r="U263" s="899" t="s">
        <v>2698</v>
      </c>
      <c r="V263" s="926">
        <v>4061673</v>
      </c>
      <c r="W263" s="899">
        <v>1473</v>
      </c>
      <c r="X263" s="926">
        <f t="shared" si="13"/>
        <v>3574272.24</v>
      </c>
      <c r="Y263" s="927">
        <f t="shared" si="12"/>
        <v>729443.3142857143</v>
      </c>
    </row>
    <row r="264" spans="1:25">
      <c r="A264" s="899">
        <v>643</v>
      </c>
      <c r="B264" s="899">
        <v>1473</v>
      </c>
      <c r="C264" s="899" t="s">
        <v>1512</v>
      </c>
      <c r="D264" s="925">
        <v>41814</v>
      </c>
      <c r="E264" s="899" t="s">
        <v>66</v>
      </c>
      <c r="F264" s="925">
        <v>43556</v>
      </c>
      <c r="G264" s="901">
        <v>5958979</v>
      </c>
      <c r="H264" s="901">
        <v>0</v>
      </c>
      <c r="I264" s="899">
        <v>0.60218355148778102</v>
      </c>
      <c r="J264" s="899" t="s">
        <v>2872</v>
      </c>
      <c r="K264" s="899" t="s">
        <v>2906</v>
      </c>
      <c r="L264" s="899" t="s">
        <v>3076</v>
      </c>
      <c r="M264" s="899">
        <v>1473002856</v>
      </c>
      <c r="N264" s="899" t="s">
        <v>2531</v>
      </c>
      <c r="O264" s="899" t="s">
        <v>3076</v>
      </c>
      <c r="P264" s="899">
        <v>144</v>
      </c>
      <c r="Q264" s="899" t="s">
        <v>2533</v>
      </c>
      <c r="R264" s="899">
        <v>12.6</v>
      </c>
      <c r="S264" s="899" t="s">
        <v>2534</v>
      </c>
      <c r="T264" s="899">
        <v>1</v>
      </c>
      <c r="U264" s="899" t="s">
        <v>2698</v>
      </c>
      <c r="V264" s="926">
        <v>5958979</v>
      </c>
      <c r="W264" s="899">
        <v>1473</v>
      </c>
      <c r="X264" s="926">
        <f t="shared" si="13"/>
        <v>5958979</v>
      </c>
      <c r="Y264" s="927">
        <f t="shared" si="12"/>
        <v>472934.8412698413</v>
      </c>
    </row>
    <row r="265" spans="1:25">
      <c r="A265" s="899">
        <v>646</v>
      </c>
      <c r="B265" s="899">
        <v>1473</v>
      </c>
      <c r="C265" s="899" t="s">
        <v>1512</v>
      </c>
      <c r="D265" s="925">
        <v>41814</v>
      </c>
      <c r="E265" s="899" t="s">
        <v>66</v>
      </c>
      <c r="F265" s="925">
        <v>43556</v>
      </c>
      <c r="G265" s="901">
        <v>4061673</v>
      </c>
      <c r="H265" s="901">
        <v>0</v>
      </c>
      <c r="I265" s="899">
        <v>0.495569506487125</v>
      </c>
      <c r="J265" s="899" t="s">
        <v>2872</v>
      </c>
      <c r="K265" s="899" t="s">
        <v>2906</v>
      </c>
      <c r="L265" s="899" t="s">
        <v>3088</v>
      </c>
      <c r="M265" s="899">
        <v>1473002652</v>
      </c>
      <c r="N265" s="899" t="s">
        <v>2531</v>
      </c>
      <c r="O265" s="899" t="s">
        <v>3088</v>
      </c>
      <c r="P265" s="899">
        <v>144</v>
      </c>
      <c r="Q265" s="899" t="s">
        <v>2533</v>
      </c>
      <c r="R265" s="899">
        <v>4.9000000000000004</v>
      </c>
      <c r="S265" s="899" t="s">
        <v>2538</v>
      </c>
      <c r="T265" s="899">
        <v>1</v>
      </c>
      <c r="U265" s="899" t="s">
        <v>2698</v>
      </c>
      <c r="V265" s="926">
        <v>4061673</v>
      </c>
      <c r="W265" s="899">
        <v>1473</v>
      </c>
      <c r="X265" s="926">
        <f t="shared" si="13"/>
        <v>3574272.24</v>
      </c>
      <c r="Y265" s="927">
        <f t="shared" si="12"/>
        <v>729443.3142857143</v>
      </c>
    </row>
    <row r="266" spans="1:25">
      <c r="A266" s="899">
        <v>647</v>
      </c>
      <c r="B266" s="899">
        <v>1473</v>
      </c>
      <c r="C266" s="899" t="s">
        <v>1512</v>
      </c>
      <c r="D266" s="925">
        <v>41814</v>
      </c>
      <c r="E266" s="899" t="s">
        <v>66</v>
      </c>
      <c r="F266" s="925">
        <v>43556</v>
      </c>
      <c r="G266" s="901">
        <v>3072022</v>
      </c>
      <c r="H266" s="901">
        <v>0</v>
      </c>
      <c r="I266" s="899">
        <v>0.495569506487125</v>
      </c>
      <c r="J266" s="899" t="s">
        <v>2872</v>
      </c>
      <c r="K266" s="899" t="s">
        <v>2906</v>
      </c>
      <c r="L266" s="899" t="s">
        <v>3089</v>
      </c>
      <c r="M266" s="899">
        <v>1473002650</v>
      </c>
      <c r="N266" s="899" t="s">
        <v>2531</v>
      </c>
      <c r="O266" s="899" t="s">
        <v>3089</v>
      </c>
      <c r="P266" s="899">
        <v>144</v>
      </c>
      <c r="Q266" s="899" t="s">
        <v>2533</v>
      </c>
      <c r="R266" s="899">
        <v>1.6</v>
      </c>
      <c r="S266" s="899" t="s">
        <v>2538</v>
      </c>
      <c r="T266" s="899">
        <v>1</v>
      </c>
      <c r="U266" s="899" t="s">
        <v>2698</v>
      </c>
      <c r="V266" s="926">
        <v>3072022</v>
      </c>
      <c r="W266" s="899">
        <v>1473</v>
      </c>
      <c r="X266" s="926">
        <f t="shared" si="13"/>
        <v>2703379.36</v>
      </c>
      <c r="Y266" s="927">
        <f t="shared" si="12"/>
        <v>1689612.0999999999</v>
      </c>
    </row>
    <row r="267" spans="1:25">
      <c r="A267" s="899">
        <v>649</v>
      </c>
      <c r="B267" s="899">
        <v>1473</v>
      </c>
      <c r="C267" s="899" t="s">
        <v>1512</v>
      </c>
      <c r="D267" s="925">
        <v>41814</v>
      </c>
      <c r="E267" s="899" t="s">
        <v>66</v>
      </c>
      <c r="F267" s="925">
        <v>43556</v>
      </c>
      <c r="G267" s="901">
        <v>3139297</v>
      </c>
      <c r="H267" s="901">
        <v>0</v>
      </c>
      <c r="I267" s="899">
        <v>0.58035738298211803</v>
      </c>
      <c r="J267" s="899" t="s">
        <v>2872</v>
      </c>
      <c r="K267" s="899" t="s">
        <v>2906</v>
      </c>
      <c r="L267" s="899" t="s">
        <v>3075</v>
      </c>
      <c r="M267" s="899">
        <v>1473002936</v>
      </c>
      <c r="N267" s="899" t="s">
        <v>2531</v>
      </c>
      <c r="O267" s="899" t="s">
        <v>3075</v>
      </c>
      <c r="P267" s="899">
        <v>144</v>
      </c>
      <c r="Q267" s="899" t="s">
        <v>2533</v>
      </c>
      <c r="R267" s="899">
        <v>1.6</v>
      </c>
      <c r="S267" s="899" t="s">
        <v>2538</v>
      </c>
      <c r="T267" s="899">
        <v>1</v>
      </c>
      <c r="U267" s="899" t="s">
        <v>2698</v>
      </c>
      <c r="V267" s="926">
        <v>3139297</v>
      </c>
      <c r="W267" s="899">
        <v>1473</v>
      </c>
      <c r="X267" s="926">
        <f t="shared" si="13"/>
        <v>2762581.36</v>
      </c>
      <c r="Y267" s="927">
        <f t="shared" si="12"/>
        <v>1726613.3499999999</v>
      </c>
    </row>
    <row r="268" spans="1:25">
      <c r="A268" s="899">
        <v>656</v>
      </c>
      <c r="B268" s="899">
        <v>1473</v>
      </c>
      <c r="C268" s="899" t="s">
        <v>1512</v>
      </c>
      <c r="D268" s="925">
        <v>41941</v>
      </c>
      <c r="E268" s="899" t="s">
        <v>66</v>
      </c>
      <c r="F268" s="925">
        <v>43556</v>
      </c>
      <c r="G268" s="901">
        <v>4061673</v>
      </c>
      <c r="H268" s="901">
        <v>0</v>
      </c>
      <c r="I268" s="899">
        <v>0.51023807993362302</v>
      </c>
      <c r="J268" s="899" t="s">
        <v>2872</v>
      </c>
      <c r="K268" s="899" t="s">
        <v>2902</v>
      </c>
      <c r="L268" s="899" t="s">
        <v>3090</v>
      </c>
      <c r="M268" s="899">
        <v>14730021839</v>
      </c>
      <c r="N268" s="899" t="s">
        <v>2531</v>
      </c>
      <c r="O268" s="899" t="s">
        <v>3090</v>
      </c>
      <c r="P268" s="899">
        <v>144</v>
      </c>
      <c r="Q268" s="899" t="s">
        <v>2533</v>
      </c>
      <c r="R268" s="899">
        <v>4.9000000000000004</v>
      </c>
      <c r="S268" s="899" t="s">
        <v>2538</v>
      </c>
      <c r="T268" s="899">
        <v>1</v>
      </c>
      <c r="U268" s="899" t="s">
        <v>2698</v>
      </c>
      <c r="V268" s="926">
        <v>4061673</v>
      </c>
      <c r="W268" s="899">
        <v>1473</v>
      </c>
      <c r="X268" s="926">
        <f t="shared" si="13"/>
        <v>3574272.24</v>
      </c>
      <c r="Y268" s="927">
        <f t="shared" si="12"/>
        <v>729443.3142857143</v>
      </c>
    </row>
    <row r="269" spans="1:25">
      <c r="A269" s="899">
        <v>659</v>
      </c>
      <c r="B269" s="899">
        <v>1473</v>
      </c>
      <c r="C269" s="899" t="s">
        <v>1512</v>
      </c>
      <c r="D269" s="925">
        <v>41941</v>
      </c>
      <c r="E269" s="899" t="s">
        <v>66</v>
      </c>
      <c r="F269" s="925">
        <v>43556</v>
      </c>
      <c r="G269" s="901">
        <v>3072022</v>
      </c>
      <c r="H269" s="901">
        <v>0</v>
      </c>
      <c r="I269" s="899">
        <v>0.51524824481655396</v>
      </c>
      <c r="J269" s="899" t="s">
        <v>2872</v>
      </c>
      <c r="K269" s="899" t="s">
        <v>2902</v>
      </c>
      <c r="L269" s="899" t="s">
        <v>3091</v>
      </c>
      <c r="M269" s="899">
        <v>14730022287</v>
      </c>
      <c r="N269" s="899" t="s">
        <v>2531</v>
      </c>
      <c r="O269" s="899" t="s">
        <v>3091</v>
      </c>
      <c r="P269" s="899">
        <v>144</v>
      </c>
      <c r="Q269" s="899" t="s">
        <v>2533</v>
      </c>
      <c r="R269" s="899">
        <v>1.6</v>
      </c>
      <c r="S269" s="899" t="s">
        <v>2538</v>
      </c>
      <c r="T269" s="899">
        <v>1</v>
      </c>
      <c r="U269" s="899" t="s">
        <v>2698</v>
      </c>
      <c r="V269" s="926">
        <v>3072022</v>
      </c>
      <c r="W269" s="899">
        <v>1473</v>
      </c>
      <c r="X269" s="926">
        <f t="shared" si="13"/>
        <v>2703379.36</v>
      </c>
      <c r="Y269" s="927">
        <f t="shared" si="12"/>
        <v>1689612.0999999999</v>
      </c>
    </row>
    <row r="270" spans="1:25">
      <c r="A270" s="899">
        <v>661</v>
      </c>
      <c r="B270" s="899">
        <v>1473</v>
      </c>
      <c r="C270" s="899" t="s">
        <v>1512</v>
      </c>
      <c r="D270" s="925">
        <v>41941</v>
      </c>
      <c r="E270" s="899" t="s">
        <v>66</v>
      </c>
      <c r="F270" s="925">
        <v>43556</v>
      </c>
      <c r="G270" s="901">
        <v>4061673</v>
      </c>
      <c r="H270" s="901">
        <v>0</v>
      </c>
      <c r="I270" s="899">
        <v>0.51140625464929301</v>
      </c>
      <c r="J270" s="899" t="s">
        <v>2872</v>
      </c>
      <c r="K270" s="899" t="s">
        <v>2902</v>
      </c>
      <c r="L270" s="899" t="s">
        <v>3092</v>
      </c>
      <c r="M270" s="899">
        <v>14730021676</v>
      </c>
      <c r="N270" s="899" t="s">
        <v>2531</v>
      </c>
      <c r="O270" s="899" t="s">
        <v>3092</v>
      </c>
      <c r="P270" s="899">
        <v>144</v>
      </c>
      <c r="Q270" s="899" t="s">
        <v>2533</v>
      </c>
      <c r="R270" s="899">
        <v>4.9000000000000004</v>
      </c>
      <c r="S270" s="899" t="s">
        <v>2538</v>
      </c>
      <c r="T270" s="899">
        <v>1</v>
      </c>
      <c r="U270" s="899" t="s">
        <v>2698</v>
      </c>
      <c r="V270" s="926">
        <v>4061673</v>
      </c>
      <c r="W270" s="899">
        <v>1473</v>
      </c>
      <c r="X270" s="926">
        <f t="shared" si="13"/>
        <v>3574272.24</v>
      </c>
      <c r="Y270" s="927">
        <f t="shared" si="12"/>
        <v>729443.3142857143</v>
      </c>
    </row>
    <row r="271" spans="1:25">
      <c r="A271" s="899">
        <v>662</v>
      </c>
      <c r="B271" s="899">
        <v>1473</v>
      </c>
      <c r="C271" s="899" t="s">
        <v>1512</v>
      </c>
      <c r="D271" s="925">
        <v>41941</v>
      </c>
      <c r="E271" s="899" t="s">
        <v>66</v>
      </c>
      <c r="F271" s="925">
        <v>43556</v>
      </c>
      <c r="G271" s="901">
        <v>3072022</v>
      </c>
      <c r="H271" s="901">
        <v>0</v>
      </c>
      <c r="I271" s="899">
        <v>0.51140625464929301</v>
      </c>
      <c r="J271" s="899" t="s">
        <v>2872</v>
      </c>
      <c r="K271" s="899" t="s">
        <v>2902</v>
      </c>
      <c r="L271" s="899" t="s">
        <v>3093</v>
      </c>
      <c r="M271" s="899">
        <v>14730021674</v>
      </c>
      <c r="N271" s="899" t="s">
        <v>2531</v>
      </c>
      <c r="O271" s="899" t="s">
        <v>3093</v>
      </c>
      <c r="P271" s="899">
        <v>144</v>
      </c>
      <c r="Q271" s="899" t="s">
        <v>2533</v>
      </c>
      <c r="R271" s="899">
        <v>1.6</v>
      </c>
      <c r="S271" s="899" t="s">
        <v>2538</v>
      </c>
      <c r="T271" s="899">
        <v>1</v>
      </c>
      <c r="U271" s="899" t="s">
        <v>2698</v>
      </c>
      <c r="V271" s="926">
        <v>3072022</v>
      </c>
      <c r="W271" s="899">
        <v>1473</v>
      </c>
      <c r="X271" s="926">
        <f t="shared" si="13"/>
        <v>2703379.36</v>
      </c>
      <c r="Y271" s="927">
        <f t="shared" si="12"/>
        <v>1689612.0999999999</v>
      </c>
    </row>
    <row r="272" spans="1:25">
      <c r="A272" s="899">
        <v>665</v>
      </c>
      <c r="B272" s="899">
        <v>1473</v>
      </c>
      <c r="C272" s="899" t="s">
        <v>1512</v>
      </c>
      <c r="D272" s="925">
        <v>41941</v>
      </c>
      <c r="E272" s="899" t="s">
        <v>66</v>
      </c>
      <c r="F272" s="925">
        <v>43556</v>
      </c>
      <c r="G272" s="901">
        <v>3072022</v>
      </c>
      <c r="H272" s="901">
        <v>0</v>
      </c>
      <c r="I272" s="899">
        <v>0.51367919968462294</v>
      </c>
      <c r="J272" s="899" t="s">
        <v>2872</v>
      </c>
      <c r="K272" s="899" t="s">
        <v>2902</v>
      </c>
      <c r="L272" s="899" t="s">
        <v>3094</v>
      </c>
      <c r="M272" s="899">
        <v>14730022070</v>
      </c>
      <c r="N272" s="899" t="s">
        <v>2531</v>
      </c>
      <c r="O272" s="899" t="s">
        <v>3094</v>
      </c>
      <c r="P272" s="899">
        <v>144</v>
      </c>
      <c r="Q272" s="899" t="s">
        <v>2533</v>
      </c>
      <c r="R272" s="899">
        <v>1.6</v>
      </c>
      <c r="S272" s="899" t="s">
        <v>2538</v>
      </c>
      <c r="T272" s="899">
        <v>1</v>
      </c>
      <c r="U272" s="899" t="s">
        <v>2698</v>
      </c>
      <c r="V272" s="926">
        <v>3072022</v>
      </c>
      <c r="W272" s="899">
        <v>1473</v>
      </c>
      <c r="X272" s="926">
        <f t="shared" si="13"/>
        <v>2703379.36</v>
      </c>
      <c r="Y272" s="927">
        <f t="shared" si="12"/>
        <v>1689612.0999999999</v>
      </c>
    </row>
    <row r="273" spans="1:25">
      <c r="A273" s="899">
        <v>675</v>
      </c>
      <c r="B273" s="899">
        <v>1473</v>
      </c>
      <c r="C273" s="899" t="s">
        <v>1512</v>
      </c>
      <c r="D273" s="925">
        <v>41913</v>
      </c>
      <c r="E273" s="899" t="s">
        <v>140</v>
      </c>
      <c r="F273" s="925">
        <v>43647</v>
      </c>
      <c r="G273" s="901">
        <v>2339670</v>
      </c>
      <c r="H273" s="901">
        <v>0</v>
      </c>
      <c r="I273" s="899">
        <v>0.43136376523957998</v>
      </c>
      <c r="J273" s="899" t="s">
        <v>2872</v>
      </c>
      <c r="K273" s="899" t="s">
        <v>2873</v>
      </c>
      <c r="L273" s="899" t="s">
        <v>3095</v>
      </c>
      <c r="M273" s="899">
        <v>14730021584</v>
      </c>
      <c r="N273" s="899" t="s">
        <v>2531</v>
      </c>
      <c r="O273" s="899" t="s">
        <v>3095</v>
      </c>
      <c r="P273" s="899">
        <v>138</v>
      </c>
      <c r="Q273" s="899" t="s">
        <v>2533</v>
      </c>
      <c r="R273" s="899">
        <v>1</v>
      </c>
      <c r="S273" s="899" t="s">
        <v>2534</v>
      </c>
      <c r="T273" s="899">
        <v>1</v>
      </c>
      <c r="U273" s="899" t="s">
        <v>2698</v>
      </c>
      <c r="V273" s="926">
        <v>2339670</v>
      </c>
      <c r="W273" s="899">
        <v>1473</v>
      </c>
      <c r="X273" s="926">
        <f t="shared" si="13"/>
        <v>2339670</v>
      </c>
      <c r="Y273" s="927">
        <f t="shared" ref="Y273:Y304" si="14">X273/R273</f>
        <v>2339670</v>
      </c>
    </row>
    <row r="274" spans="1:25">
      <c r="A274" s="899">
        <v>677</v>
      </c>
      <c r="B274" s="899">
        <v>1473</v>
      </c>
      <c r="C274" s="899" t="s">
        <v>1512</v>
      </c>
      <c r="D274" s="925">
        <v>41814</v>
      </c>
      <c r="E274" s="899" t="s">
        <v>66</v>
      </c>
      <c r="F274" s="925">
        <v>43556</v>
      </c>
      <c r="G274" s="901">
        <v>4061673</v>
      </c>
      <c r="H274" s="901">
        <v>0</v>
      </c>
      <c r="I274" s="899">
        <v>0.47924297330332899</v>
      </c>
      <c r="J274" s="899" t="s">
        <v>2872</v>
      </c>
      <c r="K274" s="899" t="s">
        <v>2906</v>
      </c>
      <c r="L274" s="899" t="s">
        <v>3096</v>
      </c>
      <c r="M274" s="899">
        <v>1473002496</v>
      </c>
      <c r="N274" s="899" t="s">
        <v>2531</v>
      </c>
      <c r="O274" s="899" t="s">
        <v>3096</v>
      </c>
      <c r="P274" s="899">
        <v>144</v>
      </c>
      <c r="Q274" s="899" t="s">
        <v>2533</v>
      </c>
      <c r="R274" s="899">
        <v>4.9000000000000004</v>
      </c>
      <c r="S274" s="899" t="s">
        <v>2538</v>
      </c>
      <c r="T274" s="899">
        <v>1</v>
      </c>
      <c r="U274" s="899" t="s">
        <v>2698</v>
      </c>
      <c r="V274" s="926">
        <v>4061673</v>
      </c>
      <c r="W274" s="899">
        <v>1473</v>
      </c>
      <c r="X274" s="926">
        <f t="shared" si="13"/>
        <v>3574272.24</v>
      </c>
      <c r="Y274" s="927">
        <f t="shared" si="14"/>
        <v>729443.3142857143</v>
      </c>
    </row>
    <row r="275" spans="1:25">
      <c r="A275" s="899">
        <v>679</v>
      </c>
      <c r="B275" s="899">
        <v>1473</v>
      </c>
      <c r="C275" s="899" t="s">
        <v>1512</v>
      </c>
      <c r="D275" s="925">
        <v>41814</v>
      </c>
      <c r="E275" s="899" t="s">
        <v>66</v>
      </c>
      <c r="F275" s="925">
        <v>43556</v>
      </c>
      <c r="G275" s="901">
        <v>4067266</v>
      </c>
      <c r="H275" s="901">
        <v>0</v>
      </c>
      <c r="I275" s="899">
        <v>0.59777728294281995</v>
      </c>
      <c r="J275" s="899" t="s">
        <v>2872</v>
      </c>
      <c r="K275" s="899" t="s">
        <v>2906</v>
      </c>
      <c r="L275" s="899" t="s">
        <v>3067</v>
      </c>
      <c r="M275" s="899">
        <v>1473002809</v>
      </c>
      <c r="N275" s="899" t="s">
        <v>2531</v>
      </c>
      <c r="O275" s="899" t="s">
        <v>3067</v>
      </c>
      <c r="P275" s="899">
        <v>144</v>
      </c>
      <c r="Q275" s="899" t="s">
        <v>2533</v>
      </c>
      <c r="R275" s="899">
        <v>4.9000000000000004</v>
      </c>
      <c r="S275" s="899" t="s">
        <v>2538</v>
      </c>
      <c r="T275" s="899">
        <v>1</v>
      </c>
      <c r="U275" s="899" t="s">
        <v>2698</v>
      </c>
      <c r="V275" s="926">
        <v>4067266</v>
      </c>
      <c r="W275" s="899">
        <v>1473</v>
      </c>
      <c r="X275" s="926">
        <f t="shared" si="13"/>
        <v>3579194.08</v>
      </c>
      <c r="Y275" s="927">
        <f t="shared" si="14"/>
        <v>730447.77142857143</v>
      </c>
    </row>
    <row r="276" spans="1:25">
      <c r="A276" s="899">
        <v>683</v>
      </c>
      <c r="B276" s="899">
        <v>1473</v>
      </c>
      <c r="C276" s="899" t="s">
        <v>1512</v>
      </c>
      <c r="D276" s="925">
        <v>41941</v>
      </c>
      <c r="E276" s="899" t="s">
        <v>66</v>
      </c>
      <c r="F276" s="925">
        <v>43556</v>
      </c>
      <c r="G276" s="901">
        <v>4067266</v>
      </c>
      <c r="H276" s="901">
        <v>0</v>
      </c>
      <c r="I276" s="899">
        <v>0.58035738298211803</v>
      </c>
      <c r="J276" s="899" t="s">
        <v>2872</v>
      </c>
      <c r="K276" s="899" t="s">
        <v>2902</v>
      </c>
      <c r="L276" s="899" t="s">
        <v>3086</v>
      </c>
      <c r="M276" s="899">
        <v>14730022473</v>
      </c>
      <c r="N276" s="899" t="s">
        <v>2531</v>
      </c>
      <c r="O276" s="899" t="s">
        <v>3086</v>
      </c>
      <c r="P276" s="899">
        <v>144</v>
      </c>
      <c r="Q276" s="899" t="s">
        <v>2533</v>
      </c>
      <c r="R276" s="899">
        <v>4.9000000000000004</v>
      </c>
      <c r="S276" s="899" t="s">
        <v>2538</v>
      </c>
      <c r="T276" s="899">
        <v>1</v>
      </c>
      <c r="U276" s="899" t="s">
        <v>2698</v>
      </c>
      <c r="V276" s="926">
        <v>4067266</v>
      </c>
      <c r="W276" s="899">
        <v>1473</v>
      </c>
      <c r="X276" s="926">
        <f t="shared" si="13"/>
        <v>3579194.08</v>
      </c>
      <c r="Y276" s="927">
        <f t="shared" si="14"/>
        <v>730447.77142857143</v>
      </c>
    </row>
    <row r="277" spans="1:25">
      <c r="A277" s="899">
        <v>684</v>
      </c>
      <c r="B277" s="899">
        <v>1473</v>
      </c>
      <c r="C277" s="899" t="s">
        <v>1512</v>
      </c>
      <c r="D277" s="925">
        <v>41941</v>
      </c>
      <c r="E277" s="899" t="s">
        <v>66</v>
      </c>
      <c r="F277" s="925">
        <v>43556</v>
      </c>
      <c r="G277" s="901">
        <v>3139297</v>
      </c>
      <c r="H277" s="901">
        <v>0</v>
      </c>
      <c r="I277" s="899">
        <v>0.58313613011749199</v>
      </c>
      <c r="J277" s="899" t="s">
        <v>2872</v>
      </c>
      <c r="K277" s="899" t="s">
        <v>2902</v>
      </c>
      <c r="L277" s="899" t="s">
        <v>3081</v>
      </c>
      <c r="M277" s="899">
        <v>14730022426</v>
      </c>
      <c r="N277" s="899" t="s">
        <v>2531</v>
      </c>
      <c r="O277" s="899" t="s">
        <v>3081</v>
      </c>
      <c r="P277" s="899">
        <v>144</v>
      </c>
      <c r="Q277" s="899" t="s">
        <v>2533</v>
      </c>
      <c r="R277" s="899">
        <v>1.6</v>
      </c>
      <c r="S277" s="899" t="s">
        <v>2538</v>
      </c>
      <c r="T277" s="899">
        <v>1</v>
      </c>
      <c r="U277" s="899" t="s">
        <v>2698</v>
      </c>
      <c r="V277" s="926">
        <v>3139297</v>
      </c>
      <c r="W277" s="899">
        <v>1473</v>
      </c>
      <c r="X277" s="926">
        <f t="shared" si="13"/>
        <v>2762581.36</v>
      </c>
      <c r="Y277" s="927">
        <f t="shared" si="14"/>
        <v>1726613.3499999999</v>
      </c>
    </row>
    <row r="278" spans="1:25">
      <c r="A278" s="899">
        <v>686</v>
      </c>
      <c r="B278" s="899">
        <v>1473</v>
      </c>
      <c r="C278" s="899" t="s">
        <v>1512</v>
      </c>
      <c r="D278" s="925">
        <v>41941</v>
      </c>
      <c r="E278" s="899" t="s">
        <v>66</v>
      </c>
      <c r="F278" s="925">
        <v>43556</v>
      </c>
      <c r="G278" s="901">
        <v>3139298</v>
      </c>
      <c r="H278" s="901">
        <v>0</v>
      </c>
      <c r="I278" s="899">
        <v>0.59777728294281995</v>
      </c>
      <c r="J278" s="899" t="s">
        <v>2872</v>
      </c>
      <c r="K278" s="899" t="s">
        <v>2902</v>
      </c>
      <c r="L278" s="899" t="s">
        <v>3071</v>
      </c>
      <c r="M278" s="899">
        <v>14730022342</v>
      </c>
      <c r="N278" s="899" t="s">
        <v>2531</v>
      </c>
      <c r="O278" s="899" t="s">
        <v>3071</v>
      </c>
      <c r="P278" s="899">
        <v>144</v>
      </c>
      <c r="Q278" s="899" t="s">
        <v>2533</v>
      </c>
      <c r="R278" s="899">
        <v>1.6</v>
      </c>
      <c r="S278" s="899" t="s">
        <v>2538</v>
      </c>
      <c r="T278" s="899">
        <v>1</v>
      </c>
      <c r="U278" s="899" t="s">
        <v>2698</v>
      </c>
      <c r="V278" s="926">
        <v>3139298</v>
      </c>
      <c r="W278" s="899">
        <v>1473</v>
      </c>
      <c r="X278" s="926">
        <f t="shared" si="13"/>
        <v>2762582.24</v>
      </c>
      <c r="Y278" s="927">
        <f t="shared" si="14"/>
        <v>1726613.9000000001</v>
      </c>
    </row>
    <row r="279" spans="1:25">
      <c r="A279" s="899">
        <v>695</v>
      </c>
      <c r="B279" s="899">
        <v>1473</v>
      </c>
      <c r="C279" s="899" t="s">
        <v>1512</v>
      </c>
      <c r="D279" s="925">
        <v>41913</v>
      </c>
      <c r="E279" s="899" t="s">
        <v>140</v>
      </c>
      <c r="F279" s="925">
        <v>43647</v>
      </c>
      <c r="G279" s="901">
        <v>503193</v>
      </c>
      <c r="H279" s="901">
        <v>0</v>
      </c>
      <c r="I279" s="899">
        <v>0.453538600349631</v>
      </c>
      <c r="J279" s="899" t="s">
        <v>2872</v>
      </c>
      <c r="K279" s="899" t="s">
        <v>2873</v>
      </c>
      <c r="L279" s="899" t="s">
        <v>3097</v>
      </c>
      <c r="M279" s="899">
        <v>14730021328</v>
      </c>
      <c r="N279" s="899" t="s">
        <v>2531</v>
      </c>
      <c r="O279" s="899" t="s">
        <v>3097</v>
      </c>
      <c r="P279" s="899">
        <v>138</v>
      </c>
      <c r="Q279" s="899" t="s">
        <v>2533</v>
      </c>
      <c r="R279" s="899">
        <v>0.11</v>
      </c>
      <c r="S279" s="899" t="s">
        <v>2534</v>
      </c>
      <c r="T279" s="899">
        <v>1</v>
      </c>
      <c r="U279" s="899" t="s">
        <v>2698</v>
      </c>
      <c r="V279" s="926">
        <v>503193</v>
      </c>
      <c r="W279" s="899">
        <v>1473</v>
      </c>
      <c r="X279" s="926">
        <f t="shared" si="13"/>
        <v>503193</v>
      </c>
      <c r="Y279" s="927">
        <f t="shared" si="14"/>
        <v>4574481.8181818184</v>
      </c>
    </row>
    <row r="280" spans="1:25">
      <c r="A280" s="899">
        <v>696</v>
      </c>
      <c r="B280" s="899">
        <v>1473</v>
      </c>
      <c r="C280" s="899" t="s">
        <v>1512</v>
      </c>
      <c r="D280" s="925">
        <v>41913</v>
      </c>
      <c r="E280" s="899" t="s">
        <v>140</v>
      </c>
      <c r="F280" s="925">
        <v>43647</v>
      </c>
      <c r="G280" s="901">
        <v>1008974</v>
      </c>
      <c r="H280" s="901">
        <v>0</v>
      </c>
      <c r="I280" s="899">
        <v>0.46673524301744301</v>
      </c>
      <c r="J280" s="899" t="s">
        <v>2872</v>
      </c>
      <c r="K280" s="899" t="s">
        <v>2873</v>
      </c>
      <c r="L280" s="899" t="s">
        <v>3098</v>
      </c>
      <c r="M280" s="899">
        <v>14730021306</v>
      </c>
      <c r="N280" s="899" t="s">
        <v>2531</v>
      </c>
      <c r="O280" s="899" t="s">
        <v>3098</v>
      </c>
      <c r="P280" s="899">
        <v>138</v>
      </c>
      <c r="Q280" s="899" t="s">
        <v>2533</v>
      </c>
      <c r="R280" s="899">
        <v>0.2</v>
      </c>
      <c r="S280" s="899" t="s">
        <v>2534</v>
      </c>
      <c r="T280" s="899">
        <v>1</v>
      </c>
      <c r="U280" s="899" t="s">
        <v>2698</v>
      </c>
      <c r="V280" s="926">
        <v>1008974</v>
      </c>
      <c r="W280" s="899">
        <v>1473</v>
      </c>
      <c r="X280" s="926">
        <f t="shared" si="13"/>
        <v>1008974</v>
      </c>
      <c r="Y280" s="927">
        <f t="shared" si="14"/>
        <v>5044870</v>
      </c>
    </row>
    <row r="281" spans="1:25">
      <c r="A281" s="899">
        <v>702</v>
      </c>
      <c r="B281" s="899">
        <v>1473</v>
      </c>
      <c r="C281" s="899" t="s">
        <v>1512</v>
      </c>
      <c r="D281" s="925">
        <v>41913</v>
      </c>
      <c r="E281" s="899" t="s">
        <v>140</v>
      </c>
      <c r="F281" s="925">
        <v>43647</v>
      </c>
      <c r="G281" s="901">
        <v>2339670</v>
      </c>
      <c r="H281" s="901">
        <v>0</v>
      </c>
      <c r="I281" s="899">
        <v>0.45736047919107298</v>
      </c>
      <c r="J281" s="899" t="s">
        <v>2872</v>
      </c>
      <c r="K281" s="899" t="s">
        <v>2873</v>
      </c>
      <c r="L281" s="899" t="s">
        <v>3099</v>
      </c>
      <c r="M281" s="899">
        <v>14730021554</v>
      </c>
      <c r="N281" s="899" t="s">
        <v>2531</v>
      </c>
      <c r="O281" s="899" t="s">
        <v>3099</v>
      </c>
      <c r="P281" s="899">
        <v>138</v>
      </c>
      <c r="Q281" s="899" t="s">
        <v>2533</v>
      </c>
      <c r="R281" s="899">
        <v>1</v>
      </c>
      <c r="S281" s="899" t="s">
        <v>2534</v>
      </c>
      <c r="T281" s="899">
        <v>1</v>
      </c>
      <c r="U281" s="899" t="s">
        <v>2698</v>
      </c>
      <c r="V281" s="926">
        <v>2339670</v>
      </c>
      <c r="W281" s="899">
        <v>1473</v>
      </c>
      <c r="X281" s="926">
        <f t="shared" si="13"/>
        <v>2339670</v>
      </c>
      <c r="Y281" s="927">
        <f t="shared" si="14"/>
        <v>2339670</v>
      </c>
    </row>
    <row r="282" spans="1:25">
      <c r="A282" s="899">
        <v>706</v>
      </c>
      <c r="B282" s="899">
        <v>1473</v>
      </c>
      <c r="C282" s="899" t="s">
        <v>1512</v>
      </c>
      <c r="D282" s="925">
        <v>41814</v>
      </c>
      <c r="E282" s="899" t="s">
        <v>66</v>
      </c>
      <c r="F282" s="925">
        <v>43556</v>
      </c>
      <c r="G282" s="901">
        <v>5399591</v>
      </c>
      <c r="H282" s="901">
        <v>0</v>
      </c>
      <c r="I282" s="899">
        <v>0.60218355148778102</v>
      </c>
      <c r="J282" s="899" t="s">
        <v>2872</v>
      </c>
      <c r="K282" s="899" t="s">
        <v>2906</v>
      </c>
      <c r="L282" s="899" t="s">
        <v>3054</v>
      </c>
      <c r="M282" s="899">
        <v>1473002854</v>
      </c>
      <c r="N282" s="899" t="s">
        <v>2531</v>
      </c>
      <c r="O282" s="899" t="s">
        <v>3054</v>
      </c>
      <c r="P282" s="899">
        <v>144</v>
      </c>
      <c r="Q282" s="899" t="s">
        <v>2533</v>
      </c>
      <c r="R282" s="899">
        <v>11</v>
      </c>
      <c r="S282" s="899" t="s">
        <v>2534</v>
      </c>
      <c r="T282" s="899">
        <v>1</v>
      </c>
      <c r="U282" s="899" t="s">
        <v>2698</v>
      </c>
      <c r="V282" s="926">
        <v>5399591</v>
      </c>
      <c r="W282" s="899">
        <v>1473</v>
      </c>
      <c r="X282" s="926">
        <f t="shared" si="13"/>
        <v>5399591</v>
      </c>
      <c r="Y282" s="927">
        <f t="shared" si="14"/>
        <v>490871.90909090912</v>
      </c>
    </row>
    <row r="283" spans="1:25">
      <c r="A283" s="899">
        <v>708</v>
      </c>
      <c r="B283" s="899">
        <v>1473</v>
      </c>
      <c r="C283" s="899" t="s">
        <v>1512</v>
      </c>
      <c r="D283" s="925">
        <v>41814</v>
      </c>
      <c r="E283" s="899" t="s">
        <v>66</v>
      </c>
      <c r="F283" s="925">
        <v>43556</v>
      </c>
      <c r="G283" s="901">
        <v>4061673</v>
      </c>
      <c r="H283" s="901">
        <v>0</v>
      </c>
      <c r="I283" s="899">
        <v>0.486422883192907</v>
      </c>
      <c r="J283" s="899" t="s">
        <v>2872</v>
      </c>
      <c r="K283" s="899" t="s">
        <v>2906</v>
      </c>
      <c r="L283" s="899" t="s">
        <v>3100</v>
      </c>
      <c r="M283" s="899">
        <v>1473002710</v>
      </c>
      <c r="N283" s="899" t="s">
        <v>2531</v>
      </c>
      <c r="O283" s="899" t="s">
        <v>3100</v>
      </c>
      <c r="P283" s="899">
        <v>144</v>
      </c>
      <c r="Q283" s="899" t="s">
        <v>2533</v>
      </c>
      <c r="R283" s="899">
        <v>4.9000000000000004</v>
      </c>
      <c r="S283" s="899" t="s">
        <v>2538</v>
      </c>
      <c r="T283" s="899">
        <v>1</v>
      </c>
      <c r="U283" s="899" t="s">
        <v>2698</v>
      </c>
      <c r="V283" s="926">
        <v>4061673</v>
      </c>
      <c r="W283" s="899">
        <v>1473</v>
      </c>
      <c r="X283" s="926">
        <f t="shared" si="13"/>
        <v>3574272.24</v>
      </c>
      <c r="Y283" s="927">
        <f t="shared" si="14"/>
        <v>729443.3142857143</v>
      </c>
    </row>
    <row r="284" spans="1:25">
      <c r="A284" s="899">
        <v>711</v>
      </c>
      <c r="B284" s="899">
        <v>1473</v>
      </c>
      <c r="C284" s="899" t="s">
        <v>1512</v>
      </c>
      <c r="D284" s="925">
        <v>41814</v>
      </c>
      <c r="E284" s="899" t="s">
        <v>66</v>
      </c>
      <c r="F284" s="925">
        <v>43556</v>
      </c>
      <c r="G284" s="901">
        <v>4061673</v>
      </c>
      <c r="H284" s="901">
        <v>0</v>
      </c>
      <c r="I284" s="899">
        <v>0.49093684766812901</v>
      </c>
      <c r="J284" s="899" t="s">
        <v>2872</v>
      </c>
      <c r="K284" s="899" t="s">
        <v>2906</v>
      </c>
      <c r="L284" s="899" t="s">
        <v>3101</v>
      </c>
      <c r="M284" s="899">
        <v>1473002545</v>
      </c>
      <c r="N284" s="899" t="s">
        <v>2531</v>
      </c>
      <c r="O284" s="899" t="s">
        <v>3101</v>
      </c>
      <c r="P284" s="899">
        <v>144</v>
      </c>
      <c r="Q284" s="899" t="s">
        <v>2533</v>
      </c>
      <c r="R284" s="899">
        <v>4.9000000000000004</v>
      </c>
      <c r="S284" s="899" t="s">
        <v>2538</v>
      </c>
      <c r="T284" s="899">
        <v>1</v>
      </c>
      <c r="U284" s="899" t="s">
        <v>2698</v>
      </c>
      <c r="V284" s="926">
        <v>4061673</v>
      </c>
      <c r="W284" s="899">
        <v>1473</v>
      </c>
      <c r="X284" s="926">
        <f t="shared" si="13"/>
        <v>3574272.24</v>
      </c>
      <c r="Y284" s="927">
        <f t="shared" si="14"/>
        <v>729443.3142857143</v>
      </c>
    </row>
    <row r="285" spans="1:25">
      <c r="A285" s="899">
        <v>713</v>
      </c>
      <c r="B285" s="899">
        <v>1473</v>
      </c>
      <c r="C285" s="899" t="s">
        <v>1512</v>
      </c>
      <c r="D285" s="925">
        <v>41941</v>
      </c>
      <c r="E285" s="899" t="s">
        <v>66</v>
      </c>
      <c r="F285" s="925">
        <v>43556</v>
      </c>
      <c r="G285" s="901">
        <v>3072022</v>
      </c>
      <c r="H285" s="901">
        <v>0</v>
      </c>
      <c r="I285" s="899">
        <v>0.50601648624346995</v>
      </c>
      <c r="J285" s="899" t="s">
        <v>2872</v>
      </c>
      <c r="K285" s="899" t="s">
        <v>2902</v>
      </c>
      <c r="L285" s="899" t="s">
        <v>3102</v>
      </c>
      <c r="M285" s="899">
        <v>14730021951</v>
      </c>
      <c r="N285" s="899" t="s">
        <v>2531</v>
      </c>
      <c r="O285" s="899" t="s">
        <v>3102</v>
      </c>
      <c r="P285" s="899">
        <v>144</v>
      </c>
      <c r="Q285" s="899" t="s">
        <v>2533</v>
      </c>
      <c r="R285" s="899">
        <v>1.6</v>
      </c>
      <c r="S285" s="899" t="s">
        <v>2538</v>
      </c>
      <c r="T285" s="899">
        <v>1</v>
      </c>
      <c r="U285" s="899" t="s">
        <v>2698</v>
      </c>
      <c r="V285" s="926">
        <v>3072022</v>
      </c>
      <c r="W285" s="899">
        <v>1473</v>
      </c>
      <c r="X285" s="926">
        <f t="shared" si="13"/>
        <v>2703379.36</v>
      </c>
      <c r="Y285" s="927">
        <f t="shared" si="14"/>
        <v>1689612.0999999999</v>
      </c>
    </row>
    <row r="286" spans="1:25">
      <c r="A286" s="899">
        <v>716</v>
      </c>
      <c r="B286" s="899">
        <v>1473</v>
      </c>
      <c r="C286" s="899" t="s">
        <v>1512</v>
      </c>
      <c r="D286" s="925">
        <v>41941</v>
      </c>
      <c r="E286" s="899" t="s">
        <v>66</v>
      </c>
      <c r="F286" s="925">
        <v>43556</v>
      </c>
      <c r="G286" s="901">
        <v>5399591</v>
      </c>
      <c r="H286" s="901">
        <v>0</v>
      </c>
      <c r="I286" s="899">
        <v>0.58313613011749199</v>
      </c>
      <c r="J286" s="899" t="s">
        <v>2872</v>
      </c>
      <c r="K286" s="899" t="s">
        <v>2902</v>
      </c>
      <c r="L286" s="899" t="s">
        <v>3073</v>
      </c>
      <c r="M286" s="899">
        <v>14730022430</v>
      </c>
      <c r="N286" s="899" t="s">
        <v>2531</v>
      </c>
      <c r="O286" s="899" t="s">
        <v>3073</v>
      </c>
      <c r="P286" s="899">
        <v>144</v>
      </c>
      <c r="Q286" s="899" t="s">
        <v>2533</v>
      </c>
      <c r="R286" s="899">
        <v>11</v>
      </c>
      <c r="S286" s="899" t="s">
        <v>2534</v>
      </c>
      <c r="T286" s="899">
        <v>1</v>
      </c>
      <c r="U286" s="899" t="s">
        <v>2698</v>
      </c>
      <c r="V286" s="926">
        <v>5399591</v>
      </c>
      <c r="W286" s="899">
        <v>1473</v>
      </c>
      <c r="X286" s="926">
        <f t="shared" si="13"/>
        <v>5399591</v>
      </c>
      <c r="Y286" s="927">
        <f t="shared" si="14"/>
        <v>490871.90909090912</v>
      </c>
    </row>
    <row r="287" spans="1:25">
      <c r="A287" s="899">
        <v>718</v>
      </c>
      <c r="B287" s="899">
        <v>1473</v>
      </c>
      <c r="C287" s="899" t="s">
        <v>1512</v>
      </c>
      <c r="D287" s="925">
        <v>41941</v>
      </c>
      <c r="E287" s="899" t="s">
        <v>66</v>
      </c>
      <c r="F287" s="925">
        <v>43556</v>
      </c>
      <c r="G287" s="901">
        <v>3072022</v>
      </c>
      <c r="H287" s="901">
        <v>0</v>
      </c>
      <c r="I287" s="899">
        <v>0.51023807993362302</v>
      </c>
      <c r="J287" s="899" t="s">
        <v>2872</v>
      </c>
      <c r="K287" s="899" t="s">
        <v>2902</v>
      </c>
      <c r="L287" s="899" t="s">
        <v>3103</v>
      </c>
      <c r="M287" s="899">
        <v>14730021837</v>
      </c>
      <c r="N287" s="899" t="s">
        <v>2531</v>
      </c>
      <c r="O287" s="899" t="s">
        <v>3103</v>
      </c>
      <c r="P287" s="899">
        <v>144</v>
      </c>
      <c r="Q287" s="899" t="s">
        <v>2533</v>
      </c>
      <c r="R287" s="899">
        <v>1.6</v>
      </c>
      <c r="S287" s="899" t="s">
        <v>2538</v>
      </c>
      <c r="T287" s="899">
        <v>1</v>
      </c>
      <c r="U287" s="899" t="s">
        <v>2698</v>
      </c>
      <c r="V287" s="926">
        <v>3072022</v>
      </c>
      <c r="W287" s="899">
        <v>1473</v>
      </c>
      <c r="X287" s="926">
        <f t="shared" si="13"/>
        <v>2703379.36</v>
      </c>
      <c r="Y287" s="927">
        <f t="shared" si="14"/>
        <v>1689612.0999999999</v>
      </c>
    </row>
    <row r="288" spans="1:25">
      <c r="A288" s="899">
        <v>719</v>
      </c>
      <c r="B288" s="899">
        <v>1473</v>
      </c>
      <c r="C288" s="899" t="s">
        <v>1512</v>
      </c>
      <c r="D288" s="925">
        <v>41941</v>
      </c>
      <c r="E288" s="899" t="s">
        <v>66</v>
      </c>
      <c r="F288" s="925">
        <v>43556</v>
      </c>
      <c r="G288" s="901">
        <v>4061673</v>
      </c>
      <c r="H288" s="901">
        <v>0</v>
      </c>
      <c r="I288" s="899">
        <v>0.51878102802089399</v>
      </c>
      <c r="J288" s="899" t="s">
        <v>2872</v>
      </c>
      <c r="K288" s="899" t="s">
        <v>2902</v>
      </c>
      <c r="L288" s="899" t="s">
        <v>3104</v>
      </c>
      <c r="M288" s="899">
        <v>14730021784</v>
      </c>
      <c r="N288" s="899" t="s">
        <v>2531</v>
      </c>
      <c r="O288" s="899" t="s">
        <v>3104</v>
      </c>
      <c r="P288" s="899">
        <v>144</v>
      </c>
      <c r="Q288" s="899" t="s">
        <v>2533</v>
      </c>
      <c r="R288" s="899">
        <v>4.9000000000000004</v>
      </c>
      <c r="S288" s="899" t="s">
        <v>2538</v>
      </c>
      <c r="T288" s="899">
        <v>1</v>
      </c>
      <c r="U288" s="899" t="s">
        <v>2698</v>
      </c>
      <c r="V288" s="926">
        <v>4061673</v>
      </c>
      <c r="W288" s="899">
        <v>1473</v>
      </c>
      <c r="X288" s="926">
        <f t="shared" si="13"/>
        <v>3574272.24</v>
      </c>
      <c r="Y288" s="927">
        <f t="shared" si="14"/>
        <v>729443.3142857143</v>
      </c>
    </row>
    <row r="289" spans="1:25">
      <c r="A289" s="899">
        <v>721</v>
      </c>
      <c r="B289" s="899">
        <v>1473</v>
      </c>
      <c r="C289" s="899" t="s">
        <v>1512</v>
      </c>
      <c r="D289" s="925">
        <v>41941</v>
      </c>
      <c r="E289" s="899" t="s">
        <v>66</v>
      </c>
      <c r="F289" s="925">
        <v>43556</v>
      </c>
      <c r="G289" s="901">
        <v>5399591</v>
      </c>
      <c r="H289" s="901">
        <v>0</v>
      </c>
      <c r="I289" s="899">
        <v>0.59777728294281995</v>
      </c>
      <c r="J289" s="899" t="s">
        <v>2872</v>
      </c>
      <c r="K289" s="899" t="s">
        <v>2902</v>
      </c>
      <c r="L289" s="899" t="s">
        <v>3105</v>
      </c>
      <c r="M289" s="899">
        <v>14730022346</v>
      </c>
      <c r="N289" s="899" t="s">
        <v>2531</v>
      </c>
      <c r="O289" s="899" t="s">
        <v>3105</v>
      </c>
      <c r="P289" s="899">
        <v>144</v>
      </c>
      <c r="Q289" s="899" t="s">
        <v>2533</v>
      </c>
      <c r="R289" s="899">
        <v>11</v>
      </c>
      <c r="S289" s="899" t="s">
        <v>2534</v>
      </c>
      <c r="T289" s="899">
        <v>1</v>
      </c>
      <c r="U289" s="899" t="s">
        <v>2698</v>
      </c>
      <c r="V289" s="926">
        <v>5399591</v>
      </c>
      <c r="W289" s="899">
        <v>1473</v>
      </c>
      <c r="X289" s="926">
        <f t="shared" si="13"/>
        <v>5399591</v>
      </c>
      <c r="Y289" s="927">
        <f t="shared" si="14"/>
        <v>490871.90909090912</v>
      </c>
    </row>
    <row r="290" spans="1:25">
      <c r="A290" s="899">
        <v>723</v>
      </c>
      <c r="B290" s="899">
        <v>1473</v>
      </c>
      <c r="C290" s="899" t="s">
        <v>1512</v>
      </c>
      <c r="D290" s="925">
        <v>41941</v>
      </c>
      <c r="E290" s="899" t="s">
        <v>66</v>
      </c>
      <c r="F290" s="925">
        <v>43556</v>
      </c>
      <c r="G290" s="901">
        <v>4061673</v>
      </c>
      <c r="H290" s="901">
        <v>0</v>
      </c>
      <c r="I290" s="899">
        <v>0.51524824481655396</v>
      </c>
      <c r="J290" s="899" t="s">
        <v>2872</v>
      </c>
      <c r="K290" s="899" t="s">
        <v>2902</v>
      </c>
      <c r="L290" s="899" t="s">
        <v>3106</v>
      </c>
      <c r="M290" s="899">
        <v>14730022289</v>
      </c>
      <c r="N290" s="899" t="s">
        <v>2531</v>
      </c>
      <c r="O290" s="899" t="s">
        <v>3106</v>
      </c>
      <c r="P290" s="899">
        <v>144</v>
      </c>
      <c r="Q290" s="899" t="s">
        <v>2533</v>
      </c>
      <c r="R290" s="899">
        <v>4.9000000000000004</v>
      </c>
      <c r="S290" s="899" t="s">
        <v>2538</v>
      </c>
      <c r="T290" s="899">
        <v>1</v>
      </c>
      <c r="U290" s="899" t="s">
        <v>2698</v>
      </c>
      <c r="V290" s="926">
        <v>4061673</v>
      </c>
      <c r="W290" s="899">
        <v>1473</v>
      </c>
      <c r="X290" s="926">
        <f t="shared" si="13"/>
        <v>3574272.24</v>
      </c>
      <c r="Y290" s="927">
        <f t="shared" si="14"/>
        <v>729443.3142857143</v>
      </c>
    </row>
    <row r="291" spans="1:25">
      <c r="A291" s="899">
        <v>726</v>
      </c>
      <c r="B291" s="899">
        <v>1473</v>
      </c>
      <c r="C291" s="899" t="s">
        <v>1512</v>
      </c>
      <c r="D291" s="925">
        <v>41941</v>
      </c>
      <c r="E291" s="899" t="s">
        <v>66</v>
      </c>
      <c r="F291" s="925">
        <v>43556</v>
      </c>
      <c r="G291" s="901">
        <v>4061673</v>
      </c>
      <c r="H291" s="901">
        <v>0</v>
      </c>
      <c r="I291" s="899">
        <v>0.50757759612646802</v>
      </c>
      <c r="J291" s="899" t="s">
        <v>2872</v>
      </c>
      <c r="K291" s="899" t="s">
        <v>2902</v>
      </c>
      <c r="L291" s="899" t="s">
        <v>3107</v>
      </c>
      <c r="M291" s="899">
        <v>14730022184</v>
      </c>
      <c r="N291" s="899" t="s">
        <v>2531</v>
      </c>
      <c r="O291" s="899" t="s">
        <v>3107</v>
      </c>
      <c r="P291" s="899">
        <v>144</v>
      </c>
      <c r="Q291" s="899" t="s">
        <v>2533</v>
      </c>
      <c r="R291" s="899">
        <v>4.9000000000000004</v>
      </c>
      <c r="S291" s="899" t="s">
        <v>2538</v>
      </c>
      <c r="T291" s="899">
        <v>1</v>
      </c>
      <c r="U291" s="899" t="s">
        <v>2698</v>
      </c>
      <c r="V291" s="926">
        <v>4061673</v>
      </c>
      <c r="W291" s="899">
        <v>1473</v>
      </c>
      <c r="X291" s="926">
        <f t="shared" si="13"/>
        <v>3574272.24</v>
      </c>
      <c r="Y291" s="927">
        <f t="shared" si="14"/>
        <v>729443.3142857143</v>
      </c>
    </row>
    <row r="292" spans="1:25">
      <c r="A292" s="899">
        <v>727</v>
      </c>
      <c r="B292" s="899">
        <v>1473</v>
      </c>
      <c r="C292" s="899" t="s">
        <v>1512</v>
      </c>
      <c r="D292" s="925">
        <v>41941</v>
      </c>
      <c r="E292" s="899" t="s">
        <v>66</v>
      </c>
      <c r="F292" s="925">
        <v>43556</v>
      </c>
      <c r="G292" s="901">
        <v>3072022</v>
      </c>
      <c r="H292" s="901">
        <v>0</v>
      </c>
      <c r="I292" s="899">
        <v>0.50757759612646802</v>
      </c>
      <c r="J292" s="899" t="s">
        <v>2872</v>
      </c>
      <c r="K292" s="899" t="s">
        <v>2902</v>
      </c>
      <c r="L292" s="899" t="s">
        <v>3108</v>
      </c>
      <c r="M292" s="899">
        <v>14730022182</v>
      </c>
      <c r="N292" s="899" t="s">
        <v>2531</v>
      </c>
      <c r="O292" s="899" t="s">
        <v>3108</v>
      </c>
      <c r="P292" s="899">
        <v>144</v>
      </c>
      <c r="Q292" s="899" t="s">
        <v>2533</v>
      </c>
      <c r="R292" s="899">
        <v>1.6</v>
      </c>
      <c r="S292" s="899" t="s">
        <v>2538</v>
      </c>
      <c r="T292" s="899">
        <v>1</v>
      </c>
      <c r="U292" s="899" t="s">
        <v>2698</v>
      </c>
      <c r="V292" s="926">
        <v>3072022</v>
      </c>
      <c r="W292" s="899">
        <v>1473</v>
      </c>
      <c r="X292" s="926">
        <f t="shared" si="13"/>
        <v>2703379.36</v>
      </c>
      <c r="Y292" s="927">
        <f t="shared" si="14"/>
        <v>1689612.0999999999</v>
      </c>
    </row>
    <row r="293" spans="1:25">
      <c r="A293" s="899">
        <v>732</v>
      </c>
      <c r="B293" s="899">
        <v>1473</v>
      </c>
      <c r="C293" s="899" t="s">
        <v>1512</v>
      </c>
      <c r="D293" s="925">
        <v>41941</v>
      </c>
      <c r="E293" s="899" t="s">
        <v>66</v>
      </c>
      <c r="F293" s="925">
        <v>43556</v>
      </c>
      <c r="G293" s="901">
        <v>3072022</v>
      </c>
      <c r="H293" s="901">
        <v>0</v>
      </c>
      <c r="I293" s="899">
        <v>0.52178292939774495</v>
      </c>
      <c r="J293" s="899" t="s">
        <v>2872</v>
      </c>
      <c r="K293" s="899" t="s">
        <v>2902</v>
      </c>
      <c r="L293" s="899" t="s">
        <v>3109</v>
      </c>
      <c r="M293" s="899">
        <v>14730022010</v>
      </c>
      <c r="N293" s="899" t="s">
        <v>2531</v>
      </c>
      <c r="O293" s="899" t="s">
        <v>3109</v>
      </c>
      <c r="P293" s="899">
        <v>144</v>
      </c>
      <c r="Q293" s="899" t="s">
        <v>2533</v>
      </c>
      <c r="R293" s="899">
        <v>1.6</v>
      </c>
      <c r="S293" s="899" t="s">
        <v>2538</v>
      </c>
      <c r="T293" s="899">
        <v>1</v>
      </c>
      <c r="U293" s="899" t="s">
        <v>2698</v>
      </c>
      <c r="V293" s="926">
        <v>3072022</v>
      </c>
      <c r="W293" s="899">
        <v>1473</v>
      </c>
      <c r="X293" s="926">
        <f t="shared" si="13"/>
        <v>2703379.36</v>
      </c>
      <c r="Y293" s="927">
        <f t="shared" si="14"/>
        <v>1689612.0999999999</v>
      </c>
    </row>
    <row r="294" spans="1:25">
      <c r="A294" s="899">
        <v>738</v>
      </c>
      <c r="B294" s="899">
        <v>1473</v>
      </c>
      <c r="C294" s="899" t="s">
        <v>1512</v>
      </c>
      <c r="D294" s="925">
        <v>41814</v>
      </c>
      <c r="E294" s="899" t="s">
        <v>66</v>
      </c>
      <c r="F294" s="925">
        <v>43556</v>
      </c>
      <c r="G294" s="901">
        <v>5399591</v>
      </c>
      <c r="H294" s="901">
        <v>0</v>
      </c>
      <c r="I294" s="899">
        <v>0.59777728294281995</v>
      </c>
      <c r="J294" s="899" t="s">
        <v>2872</v>
      </c>
      <c r="K294" s="899" t="s">
        <v>2906</v>
      </c>
      <c r="L294" s="899" t="s">
        <v>3105</v>
      </c>
      <c r="M294" s="899">
        <v>1473002811</v>
      </c>
      <c r="N294" s="899" t="s">
        <v>2531</v>
      </c>
      <c r="O294" s="899" t="s">
        <v>3105</v>
      </c>
      <c r="P294" s="899">
        <v>144</v>
      </c>
      <c r="Q294" s="899" t="s">
        <v>2533</v>
      </c>
      <c r="R294" s="899">
        <v>11</v>
      </c>
      <c r="S294" s="899" t="s">
        <v>2534</v>
      </c>
      <c r="T294" s="899">
        <v>1</v>
      </c>
      <c r="U294" s="899" t="s">
        <v>2698</v>
      </c>
      <c r="V294" s="926">
        <v>5399591</v>
      </c>
      <c r="W294" s="899">
        <v>1473</v>
      </c>
      <c r="X294" s="926">
        <f t="shared" si="13"/>
        <v>5399591</v>
      </c>
      <c r="Y294" s="927">
        <f t="shared" si="14"/>
        <v>490871.90909090912</v>
      </c>
    </row>
    <row r="295" spans="1:25">
      <c r="A295" s="899">
        <v>772</v>
      </c>
      <c r="B295" s="899">
        <v>1558</v>
      </c>
      <c r="C295" s="899" t="s">
        <v>1191</v>
      </c>
      <c r="D295" s="925">
        <v>42214</v>
      </c>
      <c r="E295" s="899" t="s">
        <v>140</v>
      </c>
      <c r="F295" s="925">
        <v>42917</v>
      </c>
      <c r="G295" s="901">
        <v>0</v>
      </c>
      <c r="H295" s="901">
        <v>1939000</v>
      </c>
      <c r="I295" s="899">
        <v>0.57226839651327799</v>
      </c>
      <c r="J295" s="899" t="s">
        <v>1354</v>
      </c>
      <c r="K295" s="899" t="s">
        <v>3110</v>
      </c>
      <c r="L295" s="899" t="s">
        <v>3111</v>
      </c>
      <c r="M295" s="899">
        <v>15580020030</v>
      </c>
      <c r="N295" s="899" t="s">
        <v>2531</v>
      </c>
      <c r="O295" s="899" t="s">
        <v>1390</v>
      </c>
      <c r="P295" s="899">
        <v>138</v>
      </c>
      <c r="Q295" s="899" t="s">
        <v>2533</v>
      </c>
      <c r="R295" s="899">
        <v>1</v>
      </c>
      <c r="S295" s="899" t="s">
        <v>2534</v>
      </c>
      <c r="T295" s="899">
        <v>1</v>
      </c>
      <c r="U295" s="899" t="s">
        <v>2698</v>
      </c>
      <c r="V295" s="926">
        <v>1939000</v>
      </c>
      <c r="W295" s="899">
        <v>1558</v>
      </c>
      <c r="X295" s="926">
        <f t="shared" si="13"/>
        <v>1939000</v>
      </c>
      <c r="Y295" s="927">
        <f t="shared" si="14"/>
        <v>1939000</v>
      </c>
    </row>
    <row r="296" spans="1:25">
      <c r="A296" s="899">
        <v>776</v>
      </c>
      <c r="B296" s="899">
        <v>1594</v>
      </c>
      <c r="C296" s="899" t="s">
        <v>1191</v>
      </c>
      <c r="D296" s="925">
        <v>42516</v>
      </c>
      <c r="E296" s="899" t="s">
        <v>140</v>
      </c>
      <c r="F296" s="925">
        <v>43160</v>
      </c>
      <c r="G296" s="901">
        <v>0</v>
      </c>
      <c r="H296" s="901">
        <v>6152000</v>
      </c>
      <c r="I296" s="899">
        <v>0.42711083646986098</v>
      </c>
      <c r="K296" s="899" t="s">
        <v>3112</v>
      </c>
      <c r="L296" s="899" t="s">
        <v>3113</v>
      </c>
      <c r="M296" s="899">
        <v>15940020005</v>
      </c>
      <c r="N296" s="899" t="s">
        <v>2531</v>
      </c>
      <c r="O296" s="899" t="s">
        <v>1395</v>
      </c>
      <c r="P296" s="899">
        <v>138</v>
      </c>
      <c r="Q296" s="899" t="s">
        <v>2533</v>
      </c>
      <c r="R296" s="899">
        <v>26</v>
      </c>
      <c r="S296" s="899" t="s">
        <v>2534</v>
      </c>
      <c r="T296" s="899">
        <v>1</v>
      </c>
      <c r="U296" s="899" t="s">
        <v>2698</v>
      </c>
      <c r="V296" s="926">
        <v>6152000</v>
      </c>
      <c r="W296" s="899">
        <v>1594</v>
      </c>
      <c r="X296" s="926">
        <f t="shared" si="13"/>
        <v>6152000</v>
      </c>
      <c r="Y296" s="927">
        <f t="shared" si="14"/>
        <v>236615.38461538462</v>
      </c>
    </row>
    <row r="297" spans="1:25">
      <c r="A297" s="899">
        <v>777</v>
      </c>
      <c r="B297" s="899">
        <v>1618</v>
      </c>
      <c r="C297" s="899" t="s">
        <v>1191</v>
      </c>
      <c r="D297" s="925">
        <v>42516</v>
      </c>
      <c r="E297" s="899" t="s">
        <v>66</v>
      </c>
      <c r="F297" s="925">
        <v>42887</v>
      </c>
      <c r="G297" s="901">
        <v>0</v>
      </c>
      <c r="H297" s="901">
        <v>624061</v>
      </c>
      <c r="I297" s="899">
        <v>0.62777144288245901</v>
      </c>
      <c r="K297" s="899" t="s">
        <v>3114</v>
      </c>
      <c r="L297" s="899" t="s">
        <v>3115</v>
      </c>
      <c r="M297" s="899">
        <v>16180020010</v>
      </c>
      <c r="N297" s="899" t="s">
        <v>2531</v>
      </c>
      <c r="O297" s="899" t="s">
        <v>1386</v>
      </c>
      <c r="P297" s="899">
        <v>144</v>
      </c>
      <c r="Q297" s="899" t="s">
        <v>2533</v>
      </c>
      <c r="R297" s="899">
        <v>0.06</v>
      </c>
      <c r="S297" s="899" t="s">
        <v>2534</v>
      </c>
      <c r="T297" s="899">
        <v>1</v>
      </c>
      <c r="U297" s="899" t="s">
        <v>3116</v>
      </c>
      <c r="V297" s="926">
        <v>624061</v>
      </c>
      <c r="W297" s="899">
        <v>1618</v>
      </c>
      <c r="X297" s="926">
        <f t="shared" si="13"/>
        <v>624061</v>
      </c>
      <c r="Y297" s="927">
        <f t="shared" si="14"/>
        <v>10401016.666666668</v>
      </c>
    </row>
    <row r="298" spans="1:25">
      <c r="A298" s="899">
        <v>783</v>
      </c>
      <c r="B298" s="899">
        <v>1660</v>
      </c>
      <c r="C298" s="899" t="s">
        <v>1191</v>
      </c>
      <c r="D298" s="925">
        <v>42846</v>
      </c>
      <c r="E298" s="899" t="s">
        <v>140</v>
      </c>
      <c r="F298" s="925">
        <v>43454</v>
      </c>
      <c r="G298" s="901">
        <v>0</v>
      </c>
      <c r="H298" s="901">
        <v>2242545</v>
      </c>
      <c r="I298" s="899">
        <v>0.47525084811871998</v>
      </c>
      <c r="J298" s="899" t="s">
        <v>1212</v>
      </c>
      <c r="K298" s="899" t="s">
        <v>3117</v>
      </c>
      <c r="L298" s="899" t="s">
        <v>2677</v>
      </c>
      <c r="M298" s="899">
        <v>16600020010</v>
      </c>
      <c r="N298" s="899" t="s">
        <v>2531</v>
      </c>
      <c r="O298" s="899" t="s">
        <v>2677</v>
      </c>
      <c r="P298" s="899">
        <v>138</v>
      </c>
      <c r="Q298" s="899" t="s">
        <v>2533</v>
      </c>
      <c r="R298" s="899">
        <v>6</v>
      </c>
      <c r="S298" s="899" t="s">
        <v>2534</v>
      </c>
      <c r="T298" s="899">
        <v>1</v>
      </c>
      <c r="U298" s="899" t="s">
        <v>2698</v>
      </c>
      <c r="V298" s="926">
        <v>2242545</v>
      </c>
      <c r="W298" s="899">
        <v>1660</v>
      </c>
      <c r="X298" s="926">
        <f t="shared" si="13"/>
        <v>2242545</v>
      </c>
      <c r="Y298" s="927">
        <f t="shared" si="14"/>
        <v>373757.5</v>
      </c>
    </row>
    <row r="299" spans="1:25">
      <c r="A299" s="899">
        <v>787</v>
      </c>
      <c r="B299" s="899">
        <v>1722</v>
      </c>
      <c r="C299" s="899" t="s">
        <v>1191</v>
      </c>
      <c r="D299" s="925">
        <v>42758</v>
      </c>
      <c r="E299" s="899" t="s">
        <v>66</v>
      </c>
      <c r="F299" s="925">
        <v>43160</v>
      </c>
      <c r="G299" s="901">
        <v>0</v>
      </c>
      <c r="H299" s="901">
        <v>9741218</v>
      </c>
      <c r="I299" s="899">
        <v>0.62084547514974897</v>
      </c>
      <c r="J299" s="899" t="s">
        <v>1406</v>
      </c>
      <c r="K299" s="899" t="s">
        <v>3118</v>
      </c>
      <c r="L299" s="899" t="s">
        <v>3118</v>
      </c>
      <c r="M299" s="899">
        <v>17220020010</v>
      </c>
      <c r="N299" s="899" t="s">
        <v>2531</v>
      </c>
      <c r="O299" s="899" t="s">
        <v>3119</v>
      </c>
      <c r="P299" s="899">
        <v>144</v>
      </c>
      <c r="Q299" s="899" t="s">
        <v>2533</v>
      </c>
      <c r="R299" s="899">
        <v>7</v>
      </c>
      <c r="S299" s="899" t="s">
        <v>2534</v>
      </c>
      <c r="T299" s="899">
        <v>1</v>
      </c>
      <c r="U299" s="899" t="s">
        <v>2698</v>
      </c>
      <c r="V299" s="926">
        <v>4810609</v>
      </c>
      <c r="W299" s="899">
        <v>1722</v>
      </c>
      <c r="X299" s="926">
        <f t="shared" si="13"/>
        <v>4810609</v>
      </c>
      <c r="Y299" s="927">
        <f t="shared" si="14"/>
        <v>687229.85714285716</v>
      </c>
    </row>
    <row r="300" spans="1:25">
      <c r="A300" s="899">
        <v>792</v>
      </c>
      <c r="B300" s="899">
        <v>1781</v>
      </c>
      <c r="C300" s="899" t="s">
        <v>1512</v>
      </c>
      <c r="D300" s="925">
        <v>42621</v>
      </c>
      <c r="E300" s="899" t="s">
        <v>66</v>
      </c>
      <c r="F300" s="925">
        <v>44238</v>
      </c>
      <c r="G300" s="901">
        <v>2233525</v>
      </c>
      <c r="H300" s="901">
        <v>0</v>
      </c>
      <c r="I300" s="899">
        <v>0.48214375019232902</v>
      </c>
      <c r="J300" s="899" t="s">
        <v>1248</v>
      </c>
      <c r="K300" s="899" t="s">
        <v>3015</v>
      </c>
      <c r="L300" s="899" t="s">
        <v>3120</v>
      </c>
      <c r="M300" s="899">
        <v>17810020282</v>
      </c>
      <c r="N300" s="899" t="s">
        <v>2531</v>
      </c>
      <c r="O300" s="899" t="s">
        <v>3121</v>
      </c>
      <c r="P300" s="899">
        <v>144</v>
      </c>
      <c r="Q300" s="899" t="s">
        <v>2533</v>
      </c>
      <c r="R300" s="899">
        <v>1.7</v>
      </c>
      <c r="S300" s="899" t="s">
        <v>2538</v>
      </c>
      <c r="T300" s="899">
        <v>1</v>
      </c>
      <c r="U300" s="899" t="s">
        <v>2698</v>
      </c>
      <c r="V300" s="926">
        <v>2233525</v>
      </c>
      <c r="W300" s="899">
        <v>1781</v>
      </c>
      <c r="X300" s="926">
        <f t="shared" si="13"/>
        <v>1965502</v>
      </c>
      <c r="Y300" s="927">
        <f t="shared" si="14"/>
        <v>1156177.6470588236</v>
      </c>
    </row>
    <row r="301" spans="1:25">
      <c r="A301" s="899">
        <v>796</v>
      </c>
      <c r="B301" s="899">
        <v>1781</v>
      </c>
      <c r="C301" s="899" t="s">
        <v>1512</v>
      </c>
      <c r="D301" s="925">
        <v>42621</v>
      </c>
      <c r="E301" s="899" t="s">
        <v>66</v>
      </c>
      <c r="F301" s="925">
        <v>44238</v>
      </c>
      <c r="G301" s="901">
        <v>2233525</v>
      </c>
      <c r="H301" s="901">
        <v>0</v>
      </c>
      <c r="I301" s="899">
        <v>0.48040441735470701</v>
      </c>
      <c r="J301" s="899" t="s">
        <v>1248</v>
      </c>
      <c r="K301" s="899" t="s">
        <v>3015</v>
      </c>
      <c r="L301" s="899" t="s">
        <v>3120</v>
      </c>
      <c r="M301" s="899">
        <v>17810020303</v>
      </c>
      <c r="N301" s="899" t="s">
        <v>2531</v>
      </c>
      <c r="O301" s="899" t="s">
        <v>3121</v>
      </c>
      <c r="P301" s="899">
        <v>144</v>
      </c>
      <c r="Q301" s="899" t="s">
        <v>2533</v>
      </c>
      <c r="R301" s="899">
        <v>1.7</v>
      </c>
      <c r="S301" s="899" t="s">
        <v>2538</v>
      </c>
      <c r="T301" s="899">
        <v>1</v>
      </c>
      <c r="U301" s="899" t="s">
        <v>2698</v>
      </c>
      <c r="V301" s="926">
        <v>2233525</v>
      </c>
      <c r="W301" s="899">
        <v>1781</v>
      </c>
      <c r="X301" s="926">
        <f t="shared" si="13"/>
        <v>1965502</v>
      </c>
      <c r="Y301" s="927">
        <f t="shared" si="14"/>
        <v>1156177.6470588236</v>
      </c>
    </row>
    <row r="302" spans="1:25">
      <c r="A302" s="899">
        <v>810</v>
      </c>
      <c r="B302" s="899">
        <v>1781</v>
      </c>
      <c r="C302" s="899" t="s">
        <v>1512</v>
      </c>
      <c r="D302" s="925">
        <v>42621</v>
      </c>
      <c r="E302" s="899" t="s">
        <v>66</v>
      </c>
      <c r="F302" s="925">
        <v>44238</v>
      </c>
      <c r="G302" s="901">
        <v>2233525</v>
      </c>
      <c r="H302" s="901">
        <v>0</v>
      </c>
      <c r="I302" s="899">
        <v>0.50116513895030501</v>
      </c>
      <c r="J302" s="899" t="s">
        <v>1248</v>
      </c>
      <c r="K302" s="899" t="s">
        <v>3015</v>
      </c>
      <c r="L302" s="899" t="s">
        <v>3120</v>
      </c>
      <c r="M302" s="899">
        <v>17810020286</v>
      </c>
      <c r="N302" s="899" t="s">
        <v>2531</v>
      </c>
      <c r="O302" s="899" t="s">
        <v>3121</v>
      </c>
      <c r="P302" s="899">
        <v>144</v>
      </c>
      <c r="Q302" s="899" t="s">
        <v>2533</v>
      </c>
      <c r="R302" s="899">
        <v>1.7</v>
      </c>
      <c r="S302" s="899" t="s">
        <v>2538</v>
      </c>
      <c r="T302" s="899">
        <v>1</v>
      </c>
      <c r="U302" s="899" t="s">
        <v>2698</v>
      </c>
      <c r="V302" s="926">
        <v>2233525</v>
      </c>
      <c r="W302" s="899">
        <v>1781</v>
      </c>
      <c r="X302" s="926">
        <f t="shared" si="13"/>
        <v>1965502</v>
      </c>
      <c r="Y302" s="927">
        <f t="shared" si="14"/>
        <v>1156177.6470588236</v>
      </c>
    </row>
    <row r="303" spans="1:25">
      <c r="A303" s="899">
        <v>816</v>
      </c>
      <c r="B303" s="899">
        <v>1781</v>
      </c>
      <c r="C303" s="899" t="s">
        <v>1512</v>
      </c>
      <c r="D303" s="925">
        <v>42621</v>
      </c>
      <c r="E303" s="899" t="s">
        <v>66</v>
      </c>
      <c r="F303" s="925">
        <v>44238</v>
      </c>
      <c r="G303" s="901">
        <v>2233525</v>
      </c>
      <c r="H303" s="901">
        <v>0</v>
      </c>
      <c r="I303" s="899">
        <v>0.49360420862035598</v>
      </c>
      <c r="J303" s="899" t="s">
        <v>1248</v>
      </c>
      <c r="K303" s="899" t="s">
        <v>3015</v>
      </c>
      <c r="L303" s="899" t="s">
        <v>3120</v>
      </c>
      <c r="M303" s="899">
        <v>17810020289</v>
      </c>
      <c r="N303" s="899" t="s">
        <v>2531</v>
      </c>
      <c r="O303" s="899" t="s">
        <v>3121</v>
      </c>
      <c r="P303" s="899">
        <v>144</v>
      </c>
      <c r="Q303" s="899" t="s">
        <v>2533</v>
      </c>
      <c r="R303" s="899">
        <v>1.7</v>
      </c>
      <c r="S303" s="899" t="s">
        <v>2538</v>
      </c>
      <c r="T303" s="899">
        <v>1</v>
      </c>
      <c r="U303" s="899" t="s">
        <v>2698</v>
      </c>
      <c r="V303" s="926">
        <v>2233525</v>
      </c>
      <c r="W303" s="899">
        <v>1781</v>
      </c>
      <c r="X303" s="926">
        <f t="shared" si="13"/>
        <v>1965502</v>
      </c>
      <c r="Y303" s="927">
        <f t="shared" si="14"/>
        <v>1156177.6470588236</v>
      </c>
    </row>
    <row r="304" spans="1:25">
      <c r="A304" s="899">
        <v>821</v>
      </c>
      <c r="B304" s="899">
        <v>1781</v>
      </c>
      <c r="C304" s="899" t="s">
        <v>1512</v>
      </c>
      <c r="D304" s="925">
        <v>42621</v>
      </c>
      <c r="E304" s="899" t="s">
        <v>66</v>
      </c>
      <c r="F304" s="925">
        <v>44238</v>
      </c>
      <c r="G304" s="901">
        <v>2233525</v>
      </c>
      <c r="H304" s="901">
        <v>0</v>
      </c>
      <c r="I304" s="899">
        <v>0.49479134506370398</v>
      </c>
      <c r="J304" s="899" t="s">
        <v>1248</v>
      </c>
      <c r="K304" s="899" t="s">
        <v>3015</v>
      </c>
      <c r="L304" s="899" t="s">
        <v>3120</v>
      </c>
      <c r="M304" s="899">
        <v>17810020298</v>
      </c>
      <c r="N304" s="899" t="s">
        <v>2531</v>
      </c>
      <c r="O304" s="899" t="s">
        <v>3121</v>
      </c>
      <c r="P304" s="899">
        <v>144</v>
      </c>
      <c r="Q304" s="899" t="s">
        <v>2533</v>
      </c>
      <c r="R304" s="899">
        <v>1.7</v>
      </c>
      <c r="S304" s="899" t="s">
        <v>2538</v>
      </c>
      <c r="T304" s="899">
        <v>1</v>
      </c>
      <c r="U304" s="899" t="s">
        <v>2698</v>
      </c>
      <c r="V304" s="926">
        <v>2233525</v>
      </c>
      <c r="W304" s="899">
        <v>1781</v>
      </c>
      <c r="X304" s="926">
        <f t="shared" si="13"/>
        <v>1965502</v>
      </c>
      <c r="Y304" s="927">
        <f t="shared" si="14"/>
        <v>1156177.6470588236</v>
      </c>
    </row>
    <row r="305" spans="4:25">
      <c r="D305" s="925"/>
      <c r="F305" s="925"/>
      <c r="G305" s="901"/>
      <c r="H305" s="901"/>
      <c r="K305" s="899"/>
      <c r="L305" s="899"/>
      <c r="R305" s="928">
        <f>SUM(R177:R304)</f>
        <v>984.82900000000029</v>
      </c>
      <c r="V305" s="901"/>
      <c r="W305" s="898" t="s">
        <v>2883</v>
      </c>
      <c r="X305" s="929">
        <f>SUM(X177:X304)/SUM($R$177:$R$304)</f>
        <v>529855.61863023962</v>
      </c>
      <c r="Y305" s="927"/>
    </row>
    <row r="306" spans="4:25">
      <c r="G306" s="901"/>
      <c r="H306" s="901"/>
      <c r="K306" s="899"/>
      <c r="L306" s="899"/>
      <c r="V306" s="901"/>
      <c r="X306" s="901"/>
    </row>
    <row r="307" spans="4:25">
      <c r="G307" s="901"/>
      <c r="H307" s="901"/>
      <c r="K307" s="899"/>
      <c r="L307" s="899"/>
      <c r="V307" s="901"/>
      <c r="X307" s="901"/>
    </row>
    <row r="308" spans="4:25">
      <c r="H308" s="901"/>
      <c r="I308" s="901"/>
      <c r="K308" s="899"/>
      <c r="L308" s="899"/>
      <c r="W308" s="901"/>
    </row>
    <row r="309" spans="4:25">
      <c r="J309" s="901"/>
      <c r="L309" s="899"/>
    </row>
  </sheetData>
  <mergeCells count="2">
    <mergeCell ref="A6:A8"/>
    <mergeCell ref="A9:A11"/>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2" tint="-0.499984740745262"/>
  </sheetPr>
  <dimension ref="A1:K40"/>
  <sheetViews>
    <sheetView showGridLines="0" zoomScale="90" zoomScaleNormal="90" workbookViewId="0">
      <selection activeCell="G14" sqref="G14"/>
    </sheetView>
  </sheetViews>
  <sheetFormatPr defaultColWidth="9.109375" defaultRowHeight="13.8"/>
  <cols>
    <col min="1" max="1" width="37.6640625" style="4" customWidth="1"/>
    <col min="2" max="2" width="12.6640625" style="4" customWidth="1"/>
    <col min="3" max="3" width="11.33203125" style="4" bestFit="1" customWidth="1"/>
    <col min="4" max="4" width="16.6640625" style="4" bestFit="1" customWidth="1"/>
    <col min="5" max="5" width="13.5546875" style="4" bestFit="1" customWidth="1"/>
    <col min="6" max="9" width="12.33203125" style="4" bestFit="1" customWidth="1"/>
    <col min="10" max="10" width="9.109375" style="4"/>
    <col min="11" max="11" width="9.88671875" style="4" bestFit="1" customWidth="1"/>
    <col min="12" max="16384" width="9.109375" style="4"/>
  </cols>
  <sheetData>
    <row r="1" spans="1:11">
      <c r="A1" s="22" t="s">
        <v>2152</v>
      </c>
    </row>
    <row r="2" spans="1:11">
      <c r="A2" s="8" t="s">
        <v>378</v>
      </c>
    </row>
    <row r="3" spans="1:11">
      <c r="A3" s="5" t="s">
        <v>38</v>
      </c>
      <c r="B3" s="7">
        <v>2010</v>
      </c>
      <c r="C3" s="6">
        <v>2011</v>
      </c>
      <c r="D3" s="6">
        <v>2012</v>
      </c>
      <c r="E3" s="6">
        <v>2013</v>
      </c>
      <c r="F3" s="6">
        <v>2014</v>
      </c>
      <c r="G3" s="6">
        <v>2015</v>
      </c>
      <c r="H3" s="6">
        <v>2016</v>
      </c>
      <c r="I3" s="6">
        <v>2017</v>
      </c>
    </row>
    <row r="4" spans="1:11">
      <c r="A4" s="38"/>
      <c r="B4" s="8"/>
      <c r="C4" s="9"/>
      <c r="D4" s="11"/>
      <c r="E4" s="11"/>
      <c r="F4" s="11"/>
      <c r="G4" s="11"/>
      <c r="H4" s="11"/>
      <c r="I4" s="11"/>
    </row>
    <row r="5" spans="1:11">
      <c r="A5" s="8"/>
      <c r="B5" s="8"/>
      <c r="C5" s="9"/>
      <c r="D5" s="11"/>
      <c r="E5" s="11"/>
      <c r="F5" s="11"/>
      <c r="G5" s="11"/>
      <c r="H5" s="11"/>
      <c r="I5" s="11"/>
    </row>
    <row r="6" spans="1:11">
      <c r="A6" s="28" t="s">
        <v>377</v>
      </c>
      <c r="B6" s="79">
        <v>0</v>
      </c>
      <c r="C6" s="80">
        <v>0</v>
      </c>
      <c r="D6" s="81">
        <v>0</v>
      </c>
      <c r="E6" s="72">
        <v>0</v>
      </c>
      <c r="F6" s="72">
        <v>0</v>
      </c>
      <c r="G6" s="72">
        <v>0</v>
      </c>
      <c r="H6" s="72">
        <v>0</v>
      </c>
      <c r="I6" s="72">
        <v>0</v>
      </c>
    </row>
    <row r="7" spans="1:11">
      <c r="A7" s="28" t="s">
        <v>370</v>
      </c>
      <c r="B7" s="177">
        <v>22888461.0266</v>
      </c>
      <c r="C7" s="709">
        <v>24847492</v>
      </c>
      <c r="D7" s="632">
        <v>26860618</v>
      </c>
      <c r="E7" s="632">
        <v>28685969.470000003</v>
      </c>
      <c r="F7" s="632">
        <v>29987855.299999997</v>
      </c>
      <c r="G7" s="632">
        <v>31586886.699999999</v>
      </c>
      <c r="H7" s="632">
        <v>32175583</v>
      </c>
      <c r="I7" s="632">
        <v>33983498</v>
      </c>
    </row>
    <row r="8" spans="1:11">
      <c r="A8" s="28" t="s">
        <v>51</v>
      </c>
      <c r="B8" s="177">
        <v>11603868.279999999</v>
      </c>
      <c r="C8" s="709">
        <v>12458262</v>
      </c>
      <c r="D8" s="632">
        <v>13466809.460000001</v>
      </c>
      <c r="E8" s="632">
        <v>16890294.000721999</v>
      </c>
      <c r="F8" s="632">
        <v>20700967.390000004</v>
      </c>
      <c r="G8" s="632">
        <v>22365206</v>
      </c>
      <c r="H8" s="632">
        <v>23549780</v>
      </c>
      <c r="I8" s="632">
        <v>24038823</v>
      </c>
    </row>
    <row r="9" spans="1:11">
      <c r="A9" s="28" t="s">
        <v>376</v>
      </c>
      <c r="B9" s="177">
        <v>22032397</v>
      </c>
      <c r="C9" s="709">
        <v>21826715</v>
      </c>
      <c r="D9" s="632">
        <v>23943127</v>
      </c>
      <c r="E9" s="632">
        <v>26541375</v>
      </c>
      <c r="F9" s="632">
        <v>46022297</v>
      </c>
      <c r="G9" s="632">
        <v>40460996.28082858</v>
      </c>
      <c r="H9" s="632">
        <v>41022121.667767294</v>
      </c>
      <c r="I9" s="632">
        <v>40724438.662909515</v>
      </c>
    </row>
    <row r="10" spans="1:11">
      <c r="A10" s="28" t="s">
        <v>375</v>
      </c>
      <c r="B10" s="177">
        <v>0</v>
      </c>
      <c r="C10" s="709">
        <v>0</v>
      </c>
      <c r="D10" s="632">
        <v>0</v>
      </c>
      <c r="E10" s="632">
        <v>0</v>
      </c>
      <c r="F10" s="632">
        <v>0</v>
      </c>
      <c r="G10" s="632">
        <v>0</v>
      </c>
      <c r="H10" s="632">
        <v>0</v>
      </c>
      <c r="I10" s="632">
        <v>0</v>
      </c>
    </row>
    <row r="11" spans="1:11">
      <c r="A11" s="28" t="s">
        <v>369</v>
      </c>
      <c r="B11" s="177">
        <v>-126503</v>
      </c>
      <c r="C11" s="709">
        <v>-295799</v>
      </c>
      <c r="D11" s="632">
        <v>-311690</v>
      </c>
      <c r="E11" s="632">
        <v>-457931.03</v>
      </c>
      <c r="F11" s="632">
        <v>-473173.44000000006</v>
      </c>
      <c r="G11" s="632">
        <v>-366659</v>
      </c>
      <c r="H11" s="632">
        <v>-378226</v>
      </c>
      <c r="I11" s="632">
        <v>-391010</v>
      </c>
    </row>
    <row r="12" spans="1:11">
      <c r="A12" s="28" t="s">
        <v>494</v>
      </c>
      <c r="B12" s="177">
        <v>-1261534.8900000008</v>
      </c>
      <c r="C12" s="709">
        <v>-176306.05000000022</v>
      </c>
      <c r="D12" s="632">
        <v>1488587.54</v>
      </c>
      <c r="E12" s="632">
        <v>-774651.65</v>
      </c>
      <c r="F12" s="632">
        <v>-1757018.6186833028</v>
      </c>
      <c r="G12" s="632">
        <v>-179129.56</v>
      </c>
      <c r="H12" s="632">
        <v>3446870.93</v>
      </c>
      <c r="I12" s="632">
        <v>235561.64</v>
      </c>
    </row>
    <row r="13" spans="1:11">
      <c r="A13" s="8"/>
      <c r="B13" s="8"/>
      <c r="C13" s="9"/>
      <c r="D13" s="11"/>
      <c r="E13" s="11"/>
      <c r="F13" s="11"/>
      <c r="G13" s="11"/>
      <c r="H13" s="11"/>
      <c r="I13" s="11"/>
    </row>
    <row r="14" spans="1:11" s="777" customFormat="1">
      <c r="A14" s="29" t="s">
        <v>258</v>
      </c>
      <c r="B14" s="655">
        <f t="shared" ref="B14:I14" si="0">SUM(B6:B13)</f>
        <v>55136688.416599996</v>
      </c>
      <c r="C14" s="160">
        <f t="shared" si="0"/>
        <v>58660363.950000003</v>
      </c>
      <c r="D14" s="162">
        <f t="shared" si="0"/>
        <v>65447452</v>
      </c>
      <c r="E14" s="162">
        <f t="shared" si="0"/>
        <v>70885055.790721998</v>
      </c>
      <c r="F14" s="162">
        <f t="shared" si="0"/>
        <v>94480927.631316692</v>
      </c>
      <c r="G14" s="162">
        <f t="shared" si="0"/>
        <v>93867300.420828581</v>
      </c>
      <c r="H14" s="162">
        <f t="shared" si="0"/>
        <v>99816129.597767293</v>
      </c>
      <c r="I14" s="162">
        <f t="shared" si="0"/>
        <v>98591311.302909508</v>
      </c>
      <c r="K14" s="164"/>
    </row>
    <row r="15" spans="1:11">
      <c r="B15" s="8"/>
    </row>
    <row r="16" spans="1:11">
      <c r="A16" s="5" t="s">
        <v>585</v>
      </c>
      <c r="B16" s="7">
        <v>2010</v>
      </c>
      <c r="C16" s="6">
        <v>2011</v>
      </c>
      <c r="D16" s="6">
        <v>2012</v>
      </c>
      <c r="E16" s="6">
        <v>2013</v>
      </c>
      <c r="F16" s="6">
        <v>2014</v>
      </c>
      <c r="G16" s="6">
        <v>2015</v>
      </c>
      <c r="H16" s="6">
        <v>2016</v>
      </c>
      <c r="I16" s="6">
        <v>2017</v>
      </c>
    </row>
    <row r="17" spans="1:9">
      <c r="A17" s="8" t="str">
        <f t="shared" ref="A17:D19" si="1">A8</f>
        <v>Depreciation</v>
      </c>
      <c r="B17" s="16">
        <f t="shared" si="1"/>
        <v>11603868.279999999</v>
      </c>
      <c r="C17" s="14">
        <f t="shared" si="1"/>
        <v>12458262</v>
      </c>
      <c r="D17" s="17">
        <f t="shared" si="1"/>
        <v>13466809.460000001</v>
      </c>
      <c r="E17" s="17">
        <f t="shared" ref="E17:F17" si="2">E8</f>
        <v>16890294.000721999</v>
      </c>
      <c r="F17" s="17">
        <f t="shared" si="2"/>
        <v>20700967.390000004</v>
      </c>
      <c r="G17" s="17">
        <f t="shared" ref="G17:I17" si="3">G8</f>
        <v>22365206</v>
      </c>
      <c r="H17" s="17">
        <f t="shared" si="3"/>
        <v>23549780</v>
      </c>
      <c r="I17" s="17">
        <f t="shared" si="3"/>
        <v>24038823</v>
      </c>
    </row>
    <row r="18" spans="1:9">
      <c r="A18" s="8" t="str">
        <f t="shared" si="1"/>
        <v>Return on Rate Base</v>
      </c>
      <c r="B18" s="16">
        <f t="shared" si="1"/>
        <v>22032397</v>
      </c>
      <c r="C18" s="14">
        <f t="shared" si="1"/>
        <v>21826715</v>
      </c>
      <c r="D18" s="17">
        <f t="shared" si="1"/>
        <v>23943127</v>
      </c>
      <c r="E18" s="17">
        <f t="shared" ref="E18:F18" si="4">E9</f>
        <v>26541375</v>
      </c>
      <c r="F18" s="17">
        <f t="shared" si="4"/>
        <v>46022297</v>
      </c>
      <c r="G18" s="17">
        <f t="shared" ref="G18:I18" si="5">G9</f>
        <v>40460996.28082858</v>
      </c>
      <c r="H18" s="17">
        <f t="shared" si="5"/>
        <v>41022121.667767294</v>
      </c>
      <c r="I18" s="17">
        <f t="shared" si="5"/>
        <v>40724438.662909515</v>
      </c>
    </row>
    <row r="19" spans="1:9">
      <c r="A19" s="8" t="str">
        <f t="shared" si="1"/>
        <v>Income Tax Expense</v>
      </c>
      <c r="B19" s="16">
        <f t="shared" si="1"/>
        <v>0</v>
      </c>
      <c r="C19" s="14">
        <f t="shared" si="1"/>
        <v>0</v>
      </c>
      <c r="D19" s="17">
        <f t="shared" si="1"/>
        <v>0</v>
      </c>
      <c r="E19" s="17">
        <f t="shared" ref="E19:F19" si="6">E10</f>
        <v>0</v>
      </c>
      <c r="F19" s="17">
        <f t="shared" si="6"/>
        <v>0</v>
      </c>
      <c r="G19" s="17">
        <f t="shared" ref="G19:I19" si="7">G10</f>
        <v>0</v>
      </c>
      <c r="H19" s="17">
        <f t="shared" si="7"/>
        <v>0</v>
      </c>
      <c r="I19" s="17">
        <f t="shared" si="7"/>
        <v>0</v>
      </c>
    </row>
    <row r="20" spans="1:9">
      <c r="A20" s="8" t="str">
        <f t="shared" ref="A20:D20" si="8">A12</f>
        <v>Deferral &amp; Reserve Accounts</v>
      </c>
      <c r="B20" s="16">
        <f t="shared" si="8"/>
        <v>-1261534.8900000008</v>
      </c>
      <c r="C20" s="14">
        <f t="shared" si="8"/>
        <v>-176306.05000000022</v>
      </c>
      <c r="D20" s="17">
        <f t="shared" si="8"/>
        <v>1488587.54</v>
      </c>
      <c r="E20" s="17">
        <f t="shared" ref="E20:F20" si="9">E12</f>
        <v>-774651.65</v>
      </c>
      <c r="F20" s="17">
        <f t="shared" si="9"/>
        <v>-1757018.6186833028</v>
      </c>
      <c r="G20" s="17">
        <f t="shared" ref="G20:I20" si="10">G12</f>
        <v>-179129.56</v>
      </c>
      <c r="H20" s="17">
        <f t="shared" si="10"/>
        <v>3446870.93</v>
      </c>
      <c r="I20" s="17">
        <f t="shared" si="10"/>
        <v>235561.64</v>
      </c>
    </row>
    <row r="21" spans="1:9">
      <c r="A21" s="8" t="s">
        <v>368</v>
      </c>
      <c r="B21" s="16"/>
      <c r="C21" s="14"/>
      <c r="D21" s="17"/>
      <c r="E21" s="17"/>
      <c r="F21" s="17"/>
      <c r="G21" s="17"/>
      <c r="H21" s="17"/>
      <c r="I21" s="17"/>
    </row>
    <row r="22" spans="1:9">
      <c r="A22" s="8" t="s">
        <v>584</v>
      </c>
      <c r="B22" s="16">
        <f>'EP Sch 2.0'!B14</f>
        <v>-40313</v>
      </c>
      <c r="C22" s="14">
        <f>'EP Sch 2.0'!C14</f>
        <v>-224981</v>
      </c>
      <c r="D22" s="17">
        <f>'EP Sch 2.0'!D14</f>
        <v>-166585</v>
      </c>
      <c r="E22" s="17">
        <f>'EP Sch 2.0'!E14</f>
        <v>-197675.75</v>
      </c>
      <c r="F22" s="17">
        <f>'EP Sch 2.0'!F14</f>
        <v>-207489.98</v>
      </c>
      <c r="G22" s="17">
        <f>'EP Sch 2.0'!G14</f>
        <v>-121831</v>
      </c>
      <c r="H22" s="17">
        <f>'EP Sch 2.0'!H14</f>
        <v>-125728</v>
      </c>
      <c r="I22" s="17">
        <f>'EP Sch 2.0'!I14</f>
        <v>-130034</v>
      </c>
    </row>
    <row r="23" spans="1:9">
      <c r="A23" s="8" t="s">
        <v>583</v>
      </c>
      <c r="B23" s="16">
        <f>'EP Sch 3.0'!B20</f>
        <v>4729187</v>
      </c>
      <c r="C23" s="14">
        <f>'EP Sch 3.0'!C20</f>
        <v>5721128</v>
      </c>
      <c r="D23" s="17">
        <f>'EP Sch 3.0'!D20</f>
        <v>5998953</v>
      </c>
      <c r="E23" s="17">
        <f>'EP Sch 3.0'!E20</f>
        <v>5880144.0700000003</v>
      </c>
      <c r="F23" s="17">
        <f>'EP Sch 3.0'!F20</f>
        <v>6012123.6600000001</v>
      </c>
      <c r="G23" s="17">
        <f>'EP Sch 3.0'!G20</f>
        <v>6635815</v>
      </c>
      <c r="H23" s="17">
        <f>'EP Sch 3.0'!H20</f>
        <v>7197566</v>
      </c>
      <c r="I23" s="17">
        <f>'EP Sch 3.0'!I20</f>
        <v>7936675</v>
      </c>
    </row>
    <row r="24" spans="1:9">
      <c r="A24" s="8"/>
      <c r="B24" s="16"/>
      <c r="C24" s="14"/>
      <c r="D24" s="17"/>
      <c r="E24" s="17"/>
      <c r="F24" s="17"/>
      <c r="G24" s="17"/>
      <c r="H24" s="17"/>
      <c r="I24" s="17"/>
    </row>
    <row r="25" spans="1:9" s="777" customFormat="1">
      <c r="A25" s="12" t="s">
        <v>372</v>
      </c>
      <c r="B25" s="708">
        <f t="shared" ref="B25:D25" si="11">B23+B22+SUM(B17:B20)</f>
        <v>37063604.390000001</v>
      </c>
      <c r="C25" s="163">
        <f t="shared" si="11"/>
        <v>39604817.950000003</v>
      </c>
      <c r="D25" s="620">
        <f t="shared" si="11"/>
        <v>44730892</v>
      </c>
      <c r="E25" s="620">
        <f t="shared" ref="E25:F25" si="12">E23+E22+SUM(E17:E20)</f>
        <v>48339485.670722</v>
      </c>
      <c r="F25" s="620">
        <f t="shared" si="12"/>
        <v>70770879.451316699</v>
      </c>
      <c r="G25" s="620">
        <f t="shared" ref="G25:I25" si="13">G23+G22+SUM(G17:G20)</f>
        <v>69161056.720828578</v>
      </c>
      <c r="H25" s="620">
        <f t="shared" si="13"/>
        <v>75090610.597767293</v>
      </c>
      <c r="I25" s="620">
        <f t="shared" si="13"/>
        <v>72805464.302909523</v>
      </c>
    </row>
    <row r="26" spans="1:9">
      <c r="A26" s="8"/>
      <c r="B26" s="16"/>
      <c r="C26" s="14"/>
      <c r="D26" s="17"/>
      <c r="E26" s="17"/>
      <c r="F26" s="17"/>
      <c r="G26" s="17"/>
      <c r="H26" s="17"/>
      <c r="I26" s="17"/>
    </row>
    <row r="27" spans="1:9">
      <c r="A27" s="29" t="s">
        <v>582</v>
      </c>
      <c r="B27" s="84">
        <f t="shared" ref="B27:F27" si="14">B25/B14</f>
        <v>0.67221310264330758</v>
      </c>
      <c r="C27" s="83">
        <f t="shared" si="14"/>
        <v>0.67515465781558626</v>
      </c>
      <c r="D27" s="85">
        <f t="shared" si="14"/>
        <v>0.68346269614896549</v>
      </c>
      <c r="E27" s="85">
        <f t="shared" si="14"/>
        <v>0.68194184417992743</v>
      </c>
      <c r="F27" s="85">
        <f t="shared" si="14"/>
        <v>0.74904937139777772</v>
      </c>
      <c r="G27" s="85">
        <f t="shared" ref="G27:I27" si="15">G25/G14</f>
        <v>0.7367960558231007</v>
      </c>
      <c r="H27" s="85">
        <f t="shared" si="15"/>
        <v>0.75228934341937193</v>
      </c>
      <c r="I27" s="85">
        <f t="shared" si="15"/>
        <v>0.73845720622605182</v>
      </c>
    </row>
    <row r="28" spans="1:9">
      <c r="B28" s="8"/>
    </row>
    <row r="29" spans="1:9">
      <c r="A29" s="5" t="s">
        <v>336</v>
      </c>
      <c r="B29" s="7">
        <v>2010</v>
      </c>
      <c r="C29" s="6">
        <v>2011</v>
      </c>
      <c r="D29" s="6">
        <v>2012</v>
      </c>
      <c r="E29" s="6">
        <v>2013</v>
      </c>
      <c r="F29" s="6">
        <v>2014</v>
      </c>
      <c r="G29" s="6">
        <v>2015</v>
      </c>
      <c r="H29" s="6">
        <v>2016</v>
      </c>
      <c r="I29" s="6">
        <v>2017</v>
      </c>
    </row>
    <row r="30" spans="1:9">
      <c r="A30" s="8"/>
      <c r="B30" s="8"/>
      <c r="C30" s="9"/>
      <c r="D30" s="9"/>
      <c r="E30" s="9"/>
      <c r="F30" s="9"/>
      <c r="G30" s="9"/>
      <c r="H30" s="9"/>
      <c r="I30" s="9"/>
    </row>
    <row r="31" spans="1:9">
      <c r="A31" s="8" t="str">
        <f t="shared" ref="A31:F32" si="16">A6</f>
        <v>Fuel</v>
      </c>
      <c r="B31" s="16">
        <f t="shared" si="16"/>
        <v>0</v>
      </c>
      <c r="C31" s="14">
        <f t="shared" si="16"/>
        <v>0</v>
      </c>
      <c r="D31" s="14">
        <f t="shared" si="16"/>
        <v>0</v>
      </c>
      <c r="E31" s="17">
        <f t="shared" si="16"/>
        <v>0</v>
      </c>
      <c r="F31" s="17">
        <f t="shared" si="16"/>
        <v>0</v>
      </c>
      <c r="G31" s="17">
        <f t="shared" ref="G31:I31" si="17">G6</f>
        <v>0</v>
      </c>
      <c r="H31" s="17">
        <f t="shared" si="17"/>
        <v>0</v>
      </c>
      <c r="I31" s="17">
        <f t="shared" si="17"/>
        <v>0</v>
      </c>
    </row>
    <row r="32" spans="1:9">
      <c r="A32" s="8" t="str">
        <f t="shared" si="16"/>
        <v>Operating Costs</v>
      </c>
      <c r="B32" s="16">
        <f t="shared" si="16"/>
        <v>22888461.0266</v>
      </c>
      <c r="C32" s="14">
        <f t="shared" si="16"/>
        <v>24847492</v>
      </c>
      <c r="D32" s="14">
        <f t="shared" si="16"/>
        <v>26860618</v>
      </c>
      <c r="E32" s="17">
        <f t="shared" si="16"/>
        <v>28685969.470000003</v>
      </c>
      <c r="F32" s="17">
        <f t="shared" si="16"/>
        <v>29987855.299999997</v>
      </c>
      <c r="G32" s="17">
        <f t="shared" ref="G32:I32" si="18">G7</f>
        <v>31586886.699999999</v>
      </c>
      <c r="H32" s="17">
        <f t="shared" si="18"/>
        <v>32175583</v>
      </c>
      <c r="I32" s="17">
        <f t="shared" si="18"/>
        <v>33983498</v>
      </c>
    </row>
    <row r="33" spans="1:9">
      <c r="A33" s="8" t="s">
        <v>369</v>
      </c>
      <c r="B33" s="16">
        <f t="shared" ref="B33:F33" si="19">B11</f>
        <v>-126503</v>
      </c>
      <c r="C33" s="14">
        <f t="shared" si="19"/>
        <v>-295799</v>
      </c>
      <c r="D33" s="14">
        <f t="shared" si="19"/>
        <v>-311690</v>
      </c>
      <c r="E33" s="17">
        <f t="shared" si="19"/>
        <v>-457931.03</v>
      </c>
      <c r="F33" s="17">
        <f t="shared" si="19"/>
        <v>-473173.44000000006</v>
      </c>
      <c r="G33" s="17">
        <f t="shared" ref="G33:I33" si="20">G11</f>
        <v>-366659</v>
      </c>
      <c r="H33" s="17">
        <f t="shared" si="20"/>
        <v>-378226</v>
      </c>
      <c r="I33" s="17">
        <f t="shared" si="20"/>
        <v>-391010</v>
      </c>
    </row>
    <row r="34" spans="1:9">
      <c r="A34" s="8" t="s">
        <v>368</v>
      </c>
      <c r="B34" s="16"/>
      <c r="C34" s="14"/>
      <c r="D34" s="14"/>
      <c r="E34" s="17"/>
      <c r="F34" s="17"/>
      <c r="G34" s="17"/>
      <c r="H34" s="17"/>
      <c r="I34" s="17"/>
    </row>
    <row r="35" spans="1:9">
      <c r="A35" s="8" t="str">
        <f>A22</f>
        <v>Revenue Offsets (Capital Related, Sch 2.0)</v>
      </c>
      <c r="B35" s="16">
        <f t="shared" ref="B35:F36" si="21">-B22</f>
        <v>40313</v>
      </c>
      <c r="C35" s="14">
        <f t="shared" si="21"/>
        <v>224981</v>
      </c>
      <c r="D35" s="14">
        <f t="shared" si="21"/>
        <v>166585</v>
      </c>
      <c r="E35" s="17">
        <f t="shared" si="21"/>
        <v>197675.75</v>
      </c>
      <c r="F35" s="17">
        <f t="shared" si="21"/>
        <v>207489.98</v>
      </c>
      <c r="G35" s="17">
        <f t="shared" ref="G35:I35" si="22">-G22</f>
        <v>121831</v>
      </c>
      <c r="H35" s="17">
        <f t="shared" si="22"/>
        <v>125728</v>
      </c>
      <c r="I35" s="17">
        <f t="shared" si="22"/>
        <v>130034</v>
      </c>
    </row>
    <row r="36" spans="1:9">
      <c r="A36" s="8" t="str">
        <f>A23</f>
        <v>Operating Costs (Capital Related, Sch 3.0)</v>
      </c>
      <c r="B36" s="16">
        <f t="shared" si="21"/>
        <v>-4729187</v>
      </c>
      <c r="C36" s="14">
        <f t="shared" si="21"/>
        <v>-5721128</v>
      </c>
      <c r="D36" s="14">
        <f t="shared" si="21"/>
        <v>-5998953</v>
      </c>
      <c r="E36" s="17">
        <f t="shared" si="21"/>
        <v>-5880144.0700000003</v>
      </c>
      <c r="F36" s="17">
        <f t="shared" si="21"/>
        <v>-6012123.6600000001</v>
      </c>
      <c r="G36" s="17">
        <f t="shared" ref="G36:I36" si="23">-G23</f>
        <v>-6635815</v>
      </c>
      <c r="H36" s="17">
        <f t="shared" si="23"/>
        <v>-7197566</v>
      </c>
      <c r="I36" s="17">
        <f t="shared" si="23"/>
        <v>-7936675</v>
      </c>
    </row>
    <row r="37" spans="1:9">
      <c r="A37" s="8"/>
      <c r="B37" s="16"/>
      <c r="C37" s="14"/>
      <c r="D37" s="14"/>
      <c r="E37" s="17"/>
      <c r="F37" s="17"/>
      <c r="G37" s="17"/>
      <c r="H37" s="17"/>
      <c r="I37" s="17"/>
    </row>
    <row r="38" spans="1:9" s="777" customFormat="1">
      <c r="A38" s="12" t="s">
        <v>364</v>
      </c>
      <c r="B38" s="708">
        <f t="shared" ref="B38:F38" si="24">SUM(B31:B37)</f>
        <v>18073084.0266</v>
      </c>
      <c r="C38" s="163">
        <f t="shared" si="24"/>
        <v>19055546</v>
      </c>
      <c r="D38" s="163">
        <f t="shared" si="24"/>
        <v>20716560</v>
      </c>
      <c r="E38" s="620">
        <f t="shared" si="24"/>
        <v>22545570.120000001</v>
      </c>
      <c r="F38" s="620">
        <f t="shared" si="24"/>
        <v>23710048.179999996</v>
      </c>
      <c r="G38" s="620">
        <f t="shared" ref="G38:I38" si="25">SUM(G31:G37)</f>
        <v>24706243.699999999</v>
      </c>
      <c r="H38" s="620">
        <f t="shared" si="25"/>
        <v>24725519</v>
      </c>
      <c r="I38" s="620">
        <f t="shared" si="25"/>
        <v>25785847</v>
      </c>
    </row>
    <row r="39" spans="1:9">
      <c r="A39" s="8"/>
      <c r="B39" s="16"/>
      <c r="C39" s="14"/>
      <c r="D39" s="14"/>
      <c r="E39" s="17"/>
      <c r="F39" s="17"/>
      <c r="G39" s="17"/>
      <c r="H39" s="17"/>
      <c r="I39" s="17"/>
    </row>
    <row r="40" spans="1:9">
      <c r="A40" s="29" t="s">
        <v>581</v>
      </c>
      <c r="B40" s="84">
        <f t="shared" ref="B40:F40" si="26">B38/B14</f>
        <v>0.32778689735669253</v>
      </c>
      <c r="C40" s="83">
        <f t="shared" si="26"/>
        <v>0.32484534218441374</v>
      </c>
      <c r="D40" s="83">
        <f t="shared" si="26"/>
        <v>0.31653730385103457</v>
      </c>
      <c r="E40" s="85">
        <f t="shared" si="26"/>
        <v>0.31805815582007269</v>
      </c>
      <c r="F40" s="85">
        <f t="shared" si="26"/>
        <v>0.25095062860222228</v>
      </c>
      <c r="G40" s="85">
        <f t="shared" ref="G40:I40" si="27">G38/G14</f>
        <v>0.2632039441768993</v>
      </c>
      <c r="H40" s="85">
        <f t="shared" si="27"/>
        <v>0.24771065658062807</v>
      </c>
      <c r="I40" s="85">
        <f t="shared" si="27"/>
        <v>0.26154279377394829</v>
      </c>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ignoredErrors>
    <ignoredError sqref="E17:F26 B14:D14 E31:F39" emptyCellReference="1"/>
    <ignoredError sqref="E40:F40" evalError="1" emptyCellReference="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2" tint="-0.499984740745262"/>
  </sheetPr>
  <dimension ref="A1:I20"/>
  <sheetViews>
    <sheetView showGridLines="0" zoomScale="70" zoomScaleNormal="70" workbookViewId="0">
      <selection activeCell="L29" sqref="K28:L29"/>
    </sheetView>
  </sheetViews>
  <sheetFormatPr defaultColWidth="9.109375" defaultRowHeight="13.8"/>
  <cols>
    <col min="1" max="1" width="37.6640625" style="4" customWidth="1"/>
    <col min="2" max="2" width="12.6640625" style="4" customWidth="1"/>
    <col min="3" max="4" width="11.88671875" style="4" bestFit="1" customWidth="1"/>
    <col min="5" max="5" width="11.5546875" style="4" bestFit="1" customWidth="1"/>
    <col min="6" max="16384" width="9.109375" style="4"/>
  </cols>
  <sheetData>
    <row r="1" spans="1:9">
      <c r="A1" s="22" t="s">
        <v>2152</v>
      </c>
    </row>
    <row r="2" spans="1:9">
      <c r="A2" s="8" t="s">
        <v>378</v>
      </c>
    </row>
    <row r="3" spans="1:9">
      <c r="A3" s="5" t="s">
        <v>38</v>
      </c>
      <c r="B3" s="6">
        <v>2010</v>
      </c>
      <c r="C3" s="6">
        <v>2011</v>
      </c>
      <c r="D3" s="6">
        <v>2012</v>
      </c>
      <c r="E3" s="6">
        <v>2013</v>
      </c>
      <c r="F3" s="6">
        <v>2014</v>
      </c>
      <c r="G3" s="68">
        <v>2015</v>
      </c>
      <c r="H3" s="68">
        <v>2016</v>
      </c>
      <c r="I3" s="68">
        <v>2017</v>
      </c>
    </row>
    <row r="4" spans="1:9">
      <c r="A4" s="38"/>
      <c r="B4" s="9"/>
      <c r="C4" s="9"/>
      <c r="D4" s="9"/>
      <c r="E4" s="11"/>
      <c r="F4" s="11"/>
      <c r="G4" s="11"/>
      <c r="H4" s="11"/>
      <c r="I4" s="11"/>
    </row>
    <row r="5" spans="1:9">
      <c r="A5" s="8"/>
      <c r="B5" s="9"/>
      <c r="C5" s="9"/>
      <c r="D5" s="9"/>
      <c r="E5" s="11"/>
      <c r="F5" s="11"/>
      <c r="G5" s="11"/>
      <c r="H5" s="11"/>
      <c r="I5" s="11"/>
    </row>
    <row r="6" spans="1:9">
      <c r="A6" s="69" t="s">
        <v>369</v>
      </c>
      <c r="B6" s="9"/>
      <c r="C6" s="9"/>
      <c r="D6" s="9"/>
      <c r="E6" s="11"/>
      <c r="F6" s="11"/>
      <c r="G6" s="11"/>
      <c r="H6" s="11"/>
      <c r="I6" s="11"/>
    </row>
    <row r="7" spans="1:9">
      <c r="A7" s="28" t="s">
        <v>587</v>
      </c>
      <c r="B7" s="709">
        <v>-86176</v>
      </c>
      <c r="C7" s="709">
        <v>-70817</v>
      </c>
      <c r="D7" s="709">
        <v>-145105</v>
      </c>
      <c r="E7" s="632">
        <v>-260255.28000000003</v>
      </c>
      <c r="F7" s="632">
        <v>-265683.46000000002</v>
      </c>
      <c r="G7" s="632">
        <v>-244828</v>
      </c>
      <c r="H7" s="632">
        <v>-252498</v>
      </c>
      <c r="I7" s="632">
        <v>-260976</v>
      </c>
    </row>
    <row r="8" spans="1:9">
      <c r="A8" s="28" t="s">
        <v>586</v>
      </c>
      <c r="B8" s="709">
        <v>-40313</v>
      </c>
      <c r="C8" s="709">
        <v>-224981</v>
      </c>
      <c r="D8" s="709">
        <v>-166585</v>
      </c>
      <c r="E8" s="632">
        <v>-197675.75</v>
      </c>
      <c r="F8" s="632">
        <v>-207489.98</v>
      </c>
      <c r="G8" s="632">
        <v>-121831</v>
      </c>
      <c r="H8" s="632">
        <v>-125728</v>
      </c>
      <c r="I8" s="632">
        <v>-130034</v>
      </c>
    </row>
    <row r="9" spans="1:9">
      <c r="A9" s="8"/>
      <c r="B9" s="9"/>
      <c r="C9" s="9"/>
      <c r="D9" s="9"/>
      <c r="E9" s="11"/>
      <c r="F9" s="11"/>
      <c r="G9" s="11"/>
      <c r="H9" s="11"/>
      <c r="I9" s="11"/>
    </row>
    <row r="10" spans="1:9" s="777" customFormat="1">
      <c r="A10" s="29" t="s">
        <v>496</v>
      </c>
      <c r="B10" s="707">
        <f t="shared" ref="B10:I10" si="0">SUM(B6:B9)</f>
        <v>-126489</v>
      </c>
      <c r="C10" s="707">
        <f t="shared" si="0"/>
        <v>-295798</v>
      </c>
      <c r="D10" s="707">
        <f t="shared" si="0"/>
        <v>-311690</v>
      </c>
      <c r="E10" s="722">
        <f t="shared" si="0"/>
        <v>-457931.03</v>
      </c>
      <c r="F10" s="722">
        <f t="shared" si="0"/>
        <v>-473173.44000000006</v>
      </c>
      <c r="G10" s="722">
        <f t="shared" si="0"/>
        <v>-366659</v>
      </c>
      <c r="H10" s="722">
        <f t="shared" si="0"/>
        <v>-378226</v>
      </c>
      <c r="I10" s="722">
        <f t="shared" si="0"/>
        <v>-391010</v>
      </c>
    </row>
    <row r="11" spans="1:9">
      <c r="B11" s="9"/>
      <c r="E11" s="77"/>
      <c r="F11" s="77"/>
      <c r="G11" s="717"/>
      <c r="H11" s="717"/>
      <c r="I11" s="717"/>
    </row>
    <row r="12" spans="1:9">
      <c r="A12" s="22" t="s">
        <v>495</v>
      </c>
      <c r="B12" s="2"/>
      <c r="C12" s="2"/>
      <c r="D12" s="2"/>
      <c r="E12" s="20"/>
      <c r="F12" s="20"/>
      <c r="G12" s="11"/>
      <c r="H12" s="11"/>
      <c r="I12" s="11"/>
    </row>
    <row r="13" spans="1:9">
      <c r="A13" s="8" t="str">
        <f t="shared" ref="A13:F13" si="1">A8</f>
        <v>Miscellaneous Revenue</v>
      </c>
      <c r="B13" s="14">
        <f t="shared" si="1"/>
        <v>-40313</v>
      </c>
      <c r="C13" s="14">
        <f t="shared" si="1"/>
        <v>-224981</v>
      </c>
      <c r="D13" s="14">
        <f t="shared" si="1"/>
        <v>-166585</v>
      </c>
      <c r="E13" s="17">
        <f t="shared" si="1"/>
        <v>-197675.75</v>
      </c>
      <c r="F13" s="17">
        <f t="shared" si="1"/>
        <v>-207489.98</v>
      </c>
      <c r="G13" s="17">
        <f t="shared" ref="G13:I13" si="2">G8</f>
        <v>-121831</v>
      </c>
      <c r="H13" s="17">
        <f t="shared" si="2"/>
        <v>-125728</v>
      </c>
      <c r="I13" s="17">
        <f t="shared" si="2"/>
        <v>-130034</v>
      </c>
    </row>
    <row r="14" spans="1:9">
      <c r="A14" s="8" t="s">
        <v>495</v>
      </c>
      <c r="B14" s="14">
        <f t="shared" ref="B14:F14" si="3">SUM(B13:B13)</f>
        <v>-40313</v>
      </c>
      <c r="C14" s="14">
        <f t="shared" si="3"/>
        <v>-224981</v>
      </c>
      <c r="D14" s="14">
        <f t="shared" si="3"/>
        <v>-166585</v>
      </c>
      <c r="E14" s="17">
        <f t="shared" si="3"/>
        <v>-197675.75</v>
      </c>
      <c r="F14" s="17">
        <f t="shared" si="3"/>
        <v>-207489.98</v>
      </c>
      <c r="G14" s="17">
        <f t="shared" ref="G14:I14" si="4">SUM(G13:G13)</f>
        <v>-121831</v>
      </c>
      <c r="H14" s="17">
        <f t="shared" si="4"/>
        <v>-125728</v>
      </c>
      <c r="I14" s="17">
        <f t="shared" si="4"/>
        <v>-130034</v>
      </c>
    </row>
    <row r="15" spans="1:9">
      <c r="A15" s="21"/>
      <c r="B15" s="34"/>
      <c r="C15" s="34"/>
      <c r="D15" s="34"/>
      <c r="E15" s="78"/>
      <c r="F15" s="78"/>
      <c r="G15" s="78"/>
      <c r="H15" s="78"/>
      <c r="I15" s="78"/>
    </row>
    <row r="16" spans="1:9">
      <c r="B16" s="9"/>
      <c r="E16" s="77"/>
      <c r="F16" s="77"/>
      <c r="G16" s="77"/>
      <c r="H16" s="77"/>
      <c r="I16" s="77"/>
    </row>
    <row r="17" spans="1:9">
      <c r="A17" s="22" t="s">
        <v>382</v>
      </c>
      <c r="B17" s="2"/>
      <c r="C17" s="2"/>
      <c r="D17" s="2"/>
      <c r="E17" s="20"/>
      <c r="F17" s="20"/>
      <c r="G17" s="20"/>
      <c r="H17" s="20"/>
      <c r="I17" s="20"/>
    </row>
    <row r="18" spans="1:9">
      <c r="A18" s="8" t="str">
        <f t="shared" ref="A18:F18" si="5">A7</f>
        <v>Revenue - Affiliates &amp; Inter-Affiliates</v>
      </c>
      <c r="B18" s="14">
        <f t="shared" si="5"/>
        <v>-86176</v>
      </c>
      <c r="C18" s="14">
        <f t="shared" si="5"/>
        <v>-70817</v>
      </c>
      <c r="D18" s="14">
        <f t="shared" si="5"/>
        <v>-145105</v>
      </c>
      <c r="E18" s="17">
        <f t="shared" si="5"/>
        <v>-260255.28000000003</v>
      </c>
      <c r="F18" s="17">
        <f t="shared" si="5"/>
        <v>-265683.46000000002</v>
      </c>
      <c r="G18" s="17">
        <f t="shared" ref="G18:I18" si="6">G7</f>
        <v>-244828</v>
      </c>
      <c r="H18" s="17">
        <f t="shared" si="6"/>
        <v>-252498</v>
      </c>
      <c r="I18" s="17">
        <f t="shared" si="6"/>
        <v>-260976</v>
      </c>
    </row>
    <row r="19" spans="1:9">
      <c r="A19" s="8" t="s">
        <v>381</v>
      </c>
      <c r="B19" s="14">
        <f t="shared" ref="B19:F19" si="7">SUM(B18:B18)</f>
        <v>-86176</v>
      </c>
      <c r="C19" s="14">
        <f t="shared" si="7"/>
        <v>-70817</v>
      </c>
      <c r="D19" s="14">
        <f t="shared" si="7"/>
        <v>-145105</v>
      </c>
      <c r="E19" s="17">
        <f t="shared" si="7"/>
        <v>-260255.28000000003</v>
      </c>
      <c r="F19" s="17">
        <f t="shared" si="7"/>
        <v>-265683.46000000002</v>
      </c>
      <c r="G19" s="17">
        <f t="shared" ref="G19:I19" si="8">SUM(G18:G18)</f>
        <v>-244828</v>
      </c>
      <c r="H19" s="17">
        <f t="shared" si="8"/>
        <v>-252498</v>
      </c>
      <c r="I19" s="17">
        <f t="shared" si="8"/>
        <v>-260976</v>
      </c>
    </row>
    <row r="20" spans="1:9">
      <c r="A20" s="21"/>
      <c r="B20" s="34"/>
      <c r="C20" s="34"/>
      <c r="D20" s="34"/>
      <c r="E20" s="78"/>
      <c r="F20" s="78"/>
      <c r="G20" s="78"/>
      <c r="H20" s="78"/>
      <c r="I20" s="78"/>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ignoredErrors>
    <ignoredError sqref="E10:F18 B10:D10" emptyCellReference="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2" tint="-0.499984740745262"/>
  </sheetPr>
  <dimension ref="A1:K28"/>
  <sheetViews>
    <sheetView showGridLines="0" zoomScale="70" zoomScaleNormal="70" workbookViewId="0">
      <selection activeCell="M31" sqref="M31"/>
    </sheetView>
  </sheetViews>
  <sheetFormatPr defaultColWidth="9.109375" defaultRowHeight="13.8"/>
  <cols>
    <col min="1" max="1" width="49.44140625" style="4" bestFit="1" customWidth="1"/>
    <col min="2" max="2" width="11.33203125" style="4" bestFit="1" customWidth="1"/>
    <col min="3" max="3" width="11.5546875" style="4" bestFit="1" customWidth="1"/>
    <col min="4" max="4" width="11.33203125" style="4" bestFit="1" customWidth="1"/>
    <col min="5" max="6" width="11.5546875" style="4" bestFit="1" customWidth="1"/>
    <col min="7" max="8" width="11.33203125" style="4" bestFit="1" customWidth="1"/>
    <col min="9" max="9" width="11.5546875" style="4" bestFit="1" customWidth="1"/>
    <col min="10" max="16384" width="9.109375" style="4"/>
  </cols>
  <sheetData>
    <row r="1" spans="1:11">
      <c r="A1" s="22" t="s">
        <v>379</v>
      </c>
    </row>
    <row r="2" spans="1:11">
      <c r="A2" s="8" t="s">
        <v>378</v>
      </c>
    </row>
    <row r="3" spans="1:11">
      <c r="A3" s="5" t="s">
        <v>38</v>
      </c>
      <c r="B3" s="6">
        <v>2010</v>
      </c>
      <c r="C3" s="6">
        <v>2011</v>
      </c>
      <c r="D3" s="6">
        <v>2012</v>
      </c>
      <c r="E3" s="6">
        <v>2013</v>
      </c>
      <c r="F3" s="6">
        <v>2014</v>
      </c>
      <c r="G3" s="68">
        <v>2015</v>
      </c>
      <c r="H3" s="68">
        <v>2016</v>
      </c>
      <c r="I3" s="68">
        <v>2017</v>
      </c>
    </row>
    <row r="4" spans="1:11">
      <c r="A4" s="38"/>
      <c r="B4" s="9"/>
      <c r="C4" s="9"/>
      <c r="D4" s="9"/>
      <c r="E4" s="11"/>
      <c r="F4" s="11"/>
      <c r="G4" s="11"/>
      <c r="H4" s="11"/>
      <c r="I4" s="11"/>
    </row>
    <row r="5" spans="1:11">
      <c r="A5" s="8"/>
      <c r="B5" s="9"/>
      <c r="C5" s="9"/>
      <c r="D5" s="9"/>
      <c r="E5" s="11"/>
      <c r="F5" s="11"/>
      <c r="G5" s="11"/>
      <c r="H5" s="11"/>
      <c r="I5" s="11"/>
    </row>
    <row r="6" spans="1:11">
      <c r="A6" s="69" t="s">
        <v>370</v>
      </c>
      <c r="B6" s="9"/>
      <c r="C6" s="9"/>
      <c r="D6" s="9"/>
      <c r="E6" s="11"/>
      <c r="F6" s="11"/>
      <c r="G6" s="11"/>
      <c r="H6" s="11"/>
      <c r="I6" s="11"/>
    </row>
    <row r="7" spans="1:11">
      <c r="A7" s="28" t="s">
        <v>517</v>
      </c>
      <c r="B7" s="14">
        <f>'EP Sch 1.0'!B7-B12</f>
        <v>18147650.0266</v>
      </c>
      <c r="C7" s="14">
        <f>'EP Sch 1.0'!C7-C12</f>
        <v>19124398</v>
      </c>
      <c r="D7" s="14">
        <f>'EP Sch 1.0'!D7-D12</f>
        <v>20859104</v>
      </c>
      <c r="E7" s="14">
        <f>'EP Sch 1.0'!E7-E12</f>
        <v>22803942.930000003</v>
      </c>
      <c r="F7" s="14">
        <f>'EP Sch 1.0'!F7-F12</f>
        <v>23973701.239999995</v>
      </c>
      <c r="G7" s="14">
        <f>'EP Sch 1.0'!G7-G12</f>
        <v>24948996.699999999</v>
      </c>
      <c r="H7" s="14">
        <f>'EP Sch 1.0'!H7-H12</f>
        <v>24975864</v>
      </c>
      <c r="I7" s="14">
        <f>'EP Sch 1.0'!I7-I12</f>
        <v>26044589</v>
      </c>
    </row>
    <row r="8" spans="1:11">
      <c r="A8" s="28" t="s">
        <v>516</v>
      </c>
      <c r="B8" s="628"/>
      <c r="C8" s="628"/>
      <c r="D8" s="628"/>
      <c r="E8" s="628"/>
      <c r="F8" s="628"/>
      <c r="G8" s="628"/>
      <c r="H8" s="628"/>
      <c r="I8" s="628"/>
      <c r="J8" s="627"/>
      <c r="K8" s="627"/>
    </row>
    <row r="9" spans="1:11">
      <c r="A9" s="75" t="s">
        <v>593</v>
      </c>
      <c r="B9" s="709">
        <v>4187775</v>
      </c>
      <c r="C9" s="709">
        <v>5085764</v>
      </c>
      <c r="D9" s="709">
        <v>5606177</v>
      </c>
      <c r="E9" s="709">
        <v>5494074.8399999999</v>
      </c>
      <c r="F9" s="709">
        <v>5580032.1399999997</v>
      </c>
      <c r="G9" s="709">
        <v>6128353</v>
      </c>
      <c r="H9" s="709">
        <v>6595137</v>
      </c>
      <c r="I9" s="709">
        <v>7243234</v>
      </c>
      <c r="J9" s="627"/>
      <c r="K9" s="627"/>
    </row>
    <row r="10" spans="1:11">
      <c r="A10" s="75" t="s">
        <v>416</v>
      </c>
      <c r="B10" s="709">
        <v>11624</v>
      </c>
      <c r="C10" s="709">
        <v>1966</v>
      </c>
      <c r="D10" s="709">
        <v>2561</v>
      </c>
      <c r="E10" s="709">
        <v>1882.4699999999998</v>
      </c>
      <c r="F10" s="709">
        <v>2030.4</v>
      </c>
      <c r="G10" s="709">
        <v>2075</v>
      </c>
      <c r="H10" s="709">
        <v>2153</v>
      </c>
      <c r="I10" s="709">
        <v>2234</v>
      </c>
      <c r="J10" s="627"/>
      <c r="K10" s="627"/>
    </row>
    <row r="11" spans="1:11">
      <c r="A11" s="75" t="s">
        <v>592</v>
      </c>
      <c r="B11" s="709">
        <v>541412</v>
      </c>
      <c r="C11" s="709">
        <v>635364</v>
      </c>
      <c r="D11" s="709">
        <v>392776</v>
      </c>
      <c r="E11" s="709">
        <v>386069.23000000004</v>
      </c>
      <c r="F11" s="709">
        <v>432091.52</v>
      </c>
      <c r="G11" s="709">
        <v>507462</v>
      </c>
      <c r="H11" s="709">
        <v>602429</v>
      </c>
      <c r="I11" s="709">
        <v>693441</v>
      </c>
      <c r="J11" s="627"/>
      <c r="K11" s="627"/>
    </row>
    <row r="12" spans="1:11" s="777" customFormat="1">
      <c r="A12" s="69" t="s">
        <v>514</v>
      </c>
      <c r="B12" s="610">
        <f t="shared" ref="B12:D12" si="0">SUM(B9:B11)</f>
        <v>4740811</v>
      </c>
      <c r="C12" s="610">
        <f t="shared" si="0"/>
        <v>5723094</v>
      </c>
      <c r="D12" s="610">
        <f t="shared" si="0"/>
        <v>6001514</v>
      </c>
      <c r="E12" s="610">
        <f t="shared" ref="E12:I12" si="1">SUM(E9:E11)</f>
        <v>5882026.54</v>
      </c>
      <c r="F12" s="610">
        <f t="shared" si="1"/>
        <v>6014154.0600000005</v>
      </c>
      <c r="G12" s="610">
        <f t="shared" si="1"/>
        <v>6637890</v>
      </c>
      <c r="H12" s="610">
        <f t="shared" si="1"/>
        <v>7199719</v>
      </c>
      <c r="I12" s="610">
        <f t="shared" si="1"/>
        <v>7938909</v>
      </c>
      <c r="J12" s="637"/>
      <c r="K12" s="637"/>
    </row>
    <row r="13" spans="1:11">
      <c r="A13" s="8"/>
      <c r="B13" s="9"/>
      <c r="C13" s="9"/>
      <c r="D13" s="9"/>
      <c r="E13" s="9"/>
      <c r="F13" s="9"/>
      <c r="G13" s="9"/>
      <c r="H13" s="9"/>
      <c r="I13" s="9"/>
    </row>
    <row r="14" spans="1:11" s="777" customFormat="1">
      <c r="A14" s="29" t="s">
        <v>591</v>
      </c>
      <c r="B14" s="160">
        <f t="shared" ref="B14:D14" si="2">SUM(B7:B11)</f>
        <v>22888461.0266</v>
      </c>
      <c r="C14" s="160">
        <f t="shared" si="2"/>
        <v>24847492</v>
      </c>
      <c r="D14" s="160">
        <f t="shared" si="2"/>
        <v>26860618</v>
      </c>
      <c r="E14" s="160">
        <f t="shared" ref="E14:I14" si="3">SUM(E7:E11)</f>
        <v>28685969.470000003</v>
      </c>
      <c r="F14" s="160">
        <f t="shared" si="3"/>
        <v>29987855.299999993</v>
      </c>
      <c r="G14" s="160">
        <f t="shared" si="3"/>
        <v>31586886.699999999</v>
      </c>
      <c r="H14" s="160">
        <f t="shared" si="3"/>
        <v>32175583</v>
      </c>
      <c r="I14" s="160">
        <f t="shared" si="3"/>
        <v>33983498</v>
      </c>
    </row>
    <row r="15" spans="1:11">
      <c r="B15" s="9"/>
    </row>
    <row r="16" spans="1:11">
      <c r="A16" s="22" t="s">
        <v>590</v>
      </c>
      <c r="B16" s="2"/>
      <c r="C16" s="2"/>
      <c r="D16" s="2"/>
      <c r="E16" s="2"/>
      <c r="F16" s="2"/>
      <c r="G16" s="2"/>
      <c r="H16" s="2"/>
      <c r="I16" s="2"/>
    </row>
    <row r="17" spans="1:9">
      <c r="A17" s="8" t="s">
        <v>512</v>
      </c>
      <c r="B17" s="9"/>
      <c r="C17" s="9"/>
      <c r="D17" s="9"/>
      <c r="E17" s="9"/>
      <c r="F17" s="9"/>
      <c r="G17" s="9"/>
      <c r="H17" s="9"/>
      <c r="I17" s="9"/>
    </row>
    <row r="18" spans="1:9">
      <c r="A18" s="75" t="str">
        <f t="shared" ref="A18:D18" si="4">A9</f>
        <v>Linear Tax</v>
      </c>
      <c r="B18" s="14">
        <f t="shared" si="4"/>
        <v>4187775</v>
      </c>
      <c r="C18" s="14">
        <f t="shared" si="4"/>
        <v>5085764</v>
      </c>
      <c r="D18" s="14">
        <f t="shared" si="4"/>
        <v>5606177</v>
      </c>
      <c r="E18" s="14">
        <f t="shared" ref="E18:I18" si="5">E9</f>
        <v>5494074.8399999999</v>
      </c>
      <c r="F18" s="14">
        <f t="shared" si="5"/>
        <v>5580032.1399999997</v>
      </c>
      <c r="G18" s="14">
        <f t="shared" si="5"/>
        <v>6128353</v>
      </c>
      <c r="H18" s="14">
        <f t="shared" si="5"/>
        <v>6595137</v>
      </c>
      <c r="I18" s="14">
        <f t="shared" si="5"/>
        <v>7243234</v>
      </c>
    </row>
    <row r="19" spans="1:9">
      <c r="A19" s="75" t="str">
        <f t="shared" ref="A19:D19" si="6">A11</f>
        <v>Property Tax</v>
      </c>
      <c r="B19" s="14">
        <f t="shared" si="6"/>
        <v>541412</v>
      </c>
      <c r="C19" s="14">
        <f t="shared" si="6"/>
        <v>635364</v>
      </c>
      <c r="D19" s="14">
        <f t="shared" si="6"/>
        <v>392776</v>
      </c>
      <c r="E19" s="14">
        <f t="shared" ref="E19:I19" si="7">E11</f>
        <v>386069.23000000004</v>
      </c>
      <c r="F19" s="14">
        <f t="shared" si="7"/>
        <v>432091.52</v>
      </c>
      <c r="G19" s="14">
        <f t="shared" si="7"/>
        <v>507462</v>
      </c>
      <c r="H19" s="14">
        <f t="shared" si="7"/>
        <v>602429</v>
      </c>
      <c r="I19" s="14">
        <f t="shared" si="7"/>
        <v>693441</v>
      </c>
    </row>
    <row r="20" spans="1:9" s="777" customFormat="1">
      <c r="A20" s="12" t="s">
        <v>507</v>
      </c>
      <c r="B20" s="163">
        <f t="shared" ref="B20:D20" si="8">SUM(B18:B19)</f>
        <v>4729187</v>
      </c>
      <c r="C20" s="163">
        <f t="shared" si="8"/>
        <v>5721128</v>
      </c>
      <c r="D20" s="163">
        <f t="shared" si="8"/>
        <v>5998953</v>
      </c>
      <c r="E20" s="163">
        <f t="shared" ref="E20:I20" si="9">SUM(E18:E19)</f>
        <v>5880144.0700000003</v>
      </c>
      <c r="F20" s="163">
        <f t="shared" si="9"/>
        <v>6012123.6600000001</v>
      </c>
      <c r="G20" s="163">
        <f t="shared" si="9"/>
        <v>6635815</v>
      </c>
      <c r="H20" s="163">
        <f t="shared" si="9"/>
        <v>7197566</v>
      </c>
      <c r="I20" s="163">
        <f t="shared" si="9"/>
        <v>7936675</v>
      </c>
    </row>
    <row r="21" spans="1:9">
      <c r="A21" s="21"/>
      <c r="B21" s="34"/>
      <c r="C21" s="34"/>
      <c r="D21" s="34"/>
      <c r="E21" s="34"/>
      <c r="F21" s="34"/>
      <c r="G21" s="34"/>
      <c r="H21" s="34"/>
      <c r="I21" s="34"/>
    </row>
    <row r="22" spans="1:9">
      <c r="B22" s="9"/>
    </row>
    <row r="23" spans="1:9">
      <c r="A23" s="22" t="s">
        <v>589</v>
      </c>
      <c r="B23" s="2"/>
      <c r="C23" s="2"/>
      <c r="D23" s="2"/>
      <c r="E23" s="2"/>
      <c r="F23" s="2"/>
      <c r="G23" s="2"/>
      <c r="H23" s="2"/>
      <c r="I23" s="2"/>
    </row>
    <row r="24" spans="1:9">
      <c r="A24" s="8" t="s">
        <v>588</v>
      </c>
      <c r="B24" s="9"/>
      <c r="C24" s="9"/>
      <c r="D24" s="9"/>
      <c r="E24" s="9"/>
      <c r="F24" s="9"/>
      <c r="G24" s="9"/>
      <c r="H24" s="9"/>
      <c r="I24" s="9"/>
    </row>
    <row r="25" spans="1:9">
      <c r="A25" s="75" t="s">
        <v>370</v>
      </c>
      <c r="B25" s="14">
        <f t="shared" ref="B25:D25" si="10">B7</f>
        <v>18147650.0266</v>
      </c>
      <c r="C25" s="14">
        <f t="shared" si="10"/>
        <v>19124398</v>
      </c>
      <c r="D25" s="14">
        <f t="shared" si="10"/>
        <v>20859104</v>
      </c>
      <c r="E25" s="14">
        <f t="shared" ref="E25:I25" si="11">E7</f>
        <v>22803942.930000003</v>
      </c>
      <c r="F25" s="14">
        <f t="shared" si="11"/>
        <v>23973701.239999995</v>
      </c>
      <c r="G25" s="14">
        <f t="shared" si="11"/>
        <v>24948996.699999999</v>
      </c>
      <c r="H25" s="14">
        <f t="shared" si="11"/>
        <v>24975864</v>
      </c>
      <c r="I25" s="14">
        <f t="shared" si="11"/>
        <v>26044589</v>
      </c>
    </row>
    <row r="26" spans="1:9">
      <c r="A26" s="75" t="str">
        <f t="shared" ref="A26:D26" si="12">A10</f>
        <v>Business Tax</v>
      </c>
      <c r="B26" s="14">
        <f t="shared" si="12"/>
        <v>11624</v>
      </c>
      <c r="C26" s="14">
        <f t="shared" si="12"/>
        <v>1966</v>
      </c>
      <c r="D26" s="14">
        <f t="shared" si="12"/>
        <v>2561</v>
      </c>
      <c r="E26" s="14">
        <f t="shared" ref="E26:I26" si="13">E10</f>
        <v>1882.4699999999998</v>
      </c>
      <c r="F26" s="14">
        <f t="shared" si="13"/>
        <v>2030.4</v>
      </c>
      <c r="G26" s="14">
        <f t="shared" si="13"/>
        <v>2075</v>
      </c>
      <c r="H26" s="14">
        <f t="shared" si="13"/>
        <v>2153</v>
      </c>
      <c r="I26" s="14">
        <f t="shared" si="13"/>
        <v>2234</v>
      </c>
    </row>
    <row r="27" spans="1:9" s="777" customFormat="1">
      <c r="A27" s="12" t="s">
        <v>336</v>
      </c>
      <c r="B27" s="163">
        <f t="shared" ref="B27:D27" si="14">SUM(B25:B26)</f>
        <v>18159274.0266</v>
      </c>
      <c r="C27" s="163">
        <f t="shared" si="14"/>
        <v>19126364</v>
      </c>
      <c r="D27" s="163">
        <f t="shared" si="14"/>
        <v>20861665</v>
      </c>
      <c r="E27" s="163">
        <f t="shared" ref="E27:I27" si="15">SUM(E25:E26)</f>
        <v>22805825.400000002</v>
      </c>
      <c r="F27" s="163">
        <f t="shared" si="15"/>
        <v>23975731.639999993</v>
      </c>
      <c r="G27" s="163">
        <f t="shared" si="15"/>
        <v>24951071.699999999</v>
      </c>
      <c r="H27" s="163">
        <f t="shared" si="15"/>
        <v>24978017</v>
      </c>
      <c r="I27" s="163">
        <f t="shared" si="15"/>
        <v>26046823</v>
      </c>
    </row>
    <row r="28" spans="1:9">
      <c r="A28" s="21"/>
      <c r="B28" s="34"/>
      <c r="C28" s="34"/>
      <c r="D28" s="34"/>
      <c r="E28" s="34"/>
      <c r="F28" s="34"/>
      <c r="G28" s="34"/>
      <c r="H28" s="34"/>
      <c r="I28" s="34"/>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2" tint="-0.499984740745262"/>
  </sheetPr>
  <dimension ref="A1:J97"/>
  <sheetViews>
    <sheetView showGridLines="0" zoomScale="60" zoomScaleNormal="60" workbookViewId="0">
      <selection activeCell="G11" sqref="G11"/>
    </sheetView>
  </sheetViews>
  <sheetFormatPr defaultColWidth="9.109375" defaultRowHeight="13.8"/>
  <cols>
    <col min="1" max="1" width="57.109375" style="4" customWidth="1"/>
    <col min="2" max="2" width="13.109375" style="4" bestFit="1" customWidth="1"/>
    <col min="3" max="3" width="13.44140625" style="4" bestFit="1" customWidth="1"/>
    <col min="4" max="4" width="13.109375" style="4" bestFit="1" customWidth="1"/>
    <col min="5" max="7" width="13.44140625" style="4" bestFit="1" customWidth="1"/>
    <col min="8" max="8" width="13.109375" style="4" bestFit="1" customWidth="1"/>
    <col min="9" max="9" width="13.44140625" style="4" bestFit="1" customWidth="1"/>
    <col min="10" max="16384" width="9.109375" style="4"/>
  </cols>
  <sheetData>
    <row r="1" spans="1:10">
      <c r="A1" s="22" t="s">
        <v>2153</v>
      </c>
    </row>
    <row r="2" spans="1:10">
      <c r="A2" s="8" t="s">
        <v>378</v>
      </c>
    </row>
    <row r="3" spans="1:10">
      <c r="A3" s="230" t="s">
        <v>38</v>
      </c>
      <c r="B3" s="6">
        <v>2010</v>
      </c>
      <c r="C3" s="6">
        <v>2011</v>
      </c>
      <c r="D3" s="6">
        <v>2012</v>
      </c>
      <c r="E3" s="6">
        <v>2013</v>
      </c>
      <c r="F3" s="6">
        <v>2014</v>
      </c>
      <c r="G3" s="68">
        <v>2015</v>
      </c>
      <c r="H3" s="68">
        <v>2016</v>
      </c>
      <c r="I3" s="68">
        <v>2017</v>
      </c>
    </row>
    <row r="4" spans="1:10">
      <c r="A4" s="43"/>
      <c r="B4" s="9"/>
      <c r="C4" s="9"/>
      <c r="D4" s="9"/>
      <c r="E4" s="11"/>
      <c r="F4" s="11"/>
      <c r="G4" s="11"/>
      <c r="H4" s="11"/>
      <c r="I4" s="11"/>
    </row>
    <row r="5" spans="1:10">
      <c r="A5" s="9"/>
      <c r="B5" s="9"/>
      <c r="C5" s="9"/>
      <c r="D5" s="9"/>
      <c r="E5" s="11"/>
      <c r="F5" s="11"/>
      <c r="G5" s="11"/>
      <c r="H5" s="11"/>
      <c r="I5" s="11"/>
    </row>
    <row r="6" spans="1:10">
      <c r="A6" s="951" t="s">
        <v>336</v>
      </c>
      <c r="B6" s="9"/>
      <c r="C6" s="9"/>
      <c r="D6" s="9"/>
      <c r="E6" s="11"/>
      <c r="F6" s="11"/>
      <c r="G6" s="11"/>
      <c r="H6" s="11"/>
      <c r="I6" s="11"/>
    </row>
    <row r="7" spans="1:10">
      <c r="A7" s="952" t="str">
        <f>'EP Sch 1.0'!A31</f>
        <v>Fuel</v>
      </c>
      <c r="B7" s="14">
        <f>'EP Sch 1.0'!B31</f>
        <v>0</v>
      </c>
      <c r="C7" s="14">
        <f>'EP Sch 1.0'!C31</f>
        <v>0</v>
      </c>
      <c r="D7" s="14">
        <f>'EP Sch 1.0'!D31</f>
        <v>0</v>
      </c>
      <c r="E7" s="17">
        <f>'EP Sch 1.0'!E31</f>
        <v>0</v>
      </c>
      <c r="F7" s="17">
        <f>'EP Sch 1.0'!F31</f>
        <v>0</v>
      </c>
      <c r="G7" s="17">
        <f>'EP Sch 1.0'!G31</f>
        <v>0</v>
      </c>
      <c r="H7" s="17">
        <f>'EP Sch 1.0'!H31</f>
        <v>0</v>
      </c>
      <c r="I7" s="17">
        <f>'EP Sch 1.0'!I31</f>
        <v>0</v>
      </c>
    </row>
    <row r="8" spans="1:10">
      <c r="A8" s="952" t="s">
        <v>370</v>
      </c>
      <c r="B8" s="14">
        <f>'EP Sch 1.0'!B32</f>
        <v>22888461.0266</v>
      </c>
      <c r="C8" s="14">
        <f>'EP Sch 1.0'!C32</f>
        <v>24847492</v>
      </c>
      <c r="D8" s="14">
        <f>'EP Sch 1.0'!D32</f>
        <v>26860618</v>
      </c>
      <c r="E8" s="17">
        <f>'EP Sch 1.0'!E32</f>
        <v>28685969.470000003</v>
      </c>
      <c r="F8" s="17">
        <f>'EP Sch 1.0'!F32</f>
        <v>29987855.299999997</v>
      </c>
      <c r="G8" s="17">
        <f>'EP Sch 1.0'!G32</f>
        <v>31586886.699999999</v>
      </c>
      <c r="H8" s="17">
        <f>'EP Sch 1.0'!H32</f>
        <v>32175583</v>
      </c>
      <c r="I8" s="17">
        <f>'EP Sch 1.0'!I32</f>
        <v>33983498</v>
      </c>
    </row>
    <row r="9" spans="1:10">
      <c r="A9" s="952" t="str">
        <f>'EP Sch 1.0'!A33</f>
        <v>Revenue Offsets</v>
      </c>
      <c r="B9" s="14">
        <f>'EP Sch 1.0'!B33</f>
        <v>-126503</v>
      </c>
      <c r="C9" s="14">
        <f>'EP Sch 1.0'!C33</f>
        <v>-295799</v>
      </c>
      <c r="D9" s="14">
        <f>'EP Sch 1.0'!D33</f>
        <v>-311690</v>
      </c>
      <c r="E9" s="17">
        <f>'EP Sch 1.0'!E33</f>
        <v>-457931.03</v>
      </c>
      <c r="F9" s="17">
        <f>'EP Sch 1.0'!F33</f>
        <v>-473173.44000000006</v>
      </c>
      <c r="G9" s="17">
        <f>'EP Sch 1.0'!G33</f>
        <v>-366659</v>
      </c>
      <c r="H9" s="17">
        <f>'EP Sch 1.0'!H33</f>
        <v>-378226</v>
      </c>
      <c r="I9" s="17">
        <f>'EP Sch 1.0'!I33</f>
        <v>-391010</v>
      </c>
    </row>
    <row r="10" spans="1:10">
      <c r="A10" s="952" t="s">
        <v>368</v>
      </c>
      <c r="B10" s="14"/>
      <c r="C10" s="14"/>
      <c r="D10" s="14"/>
      <c r="E10" s="17"/>
      <c r="F10" s="17"/>
      <c r="G10" s="17"/>
      <c r="H10" s="17"/>
      <c r="I10" s="17"/>
    </row>
    <row r="11" spans="1:10">
      <c r="A11" s="952" t="str">
        <f>'EP Sch 1.0'!A35</f>
        <v>Revenue Offsets (Capital Related, Sch 2.0)</v>
      </c>
      <c r="B11" s="14">
        <f>'EP Sch 1.0'!B35</f>
        <v>40313</v>
      </c>
      <c r="C11" s="14">
        <f>'EP Sch 1.0'!C35</f>
        <v>224981</v>
      </c>
      <c r="D11" s="14">
        <f>'EP Sch 1.0'!D35</f>
        <v>166585</v>
      </c>
      <c r="E11" s="17">
        <f>'EP Sch 1.0'!E35</f>
        <v>197675.75</v>
      </c>
      <c r="F11" s="17">
        <f>'EP Sch 1.0'!F35</f>
        <v>207489.98</v>
      </c>
      <c r="G11" s="17">
        <f>'EP Sch 1.0'!G35</f>
        <v>121831</v>
      </c>
      <c r="H11" s="17">
        <f>'EP Sch 1.0'!H35</f>
        <v>125728</v>
      </c>
      <c r="I11" s="17">
        <f>'EP Sch 1.0'!I35</f>
        <v>130034</v>
      </c>
    </row>
    <row r="12" spans="1:10">
      <c r="A12" s="952" t="str">
        <f>'EP Sch 1.0'!A36</f>
        <v>Operating Costs (Capital Related, Sch 3.0)</v>
      </c>
      <c r="B12" s="14">
        <f>'EP Sch 1.0'!B36</f>
        <v>-4729187</v>
      </c>
      <c r="C12" s="14">
        <f>'EP Sch 1.0'!C36</f>
        <v>-5721128</v>
      </c>
      <c r="D12" s="14">
        <f>'EP Sch 1.0'!D36</f>
        <v>-5998953</v>
      </c>
      <c r="E12" s="17">
        <f>'EP Sch 1.0'!E36</f>
        <v>-5880144.0700000003</v>
      </c>
      <c r="F12" s="17">
        <f>'EP Sch 1.0'!F36</f>
        <v>-6012123.6600000001</v>
      </c>
      <c r="G12" s="17">
        <f>'EP Sch 1.0'!G36</f>
        <v>-6635815</v>
      </c>
      <c r="H12" s="17">
        <f>'EP Sch 1.0'!H36</f>
        <v>-7197566</v>
      </c>
      <c r="I12" s="17">
        <f>'EP Sch 1.0'!I36</f>
        <v>-7936675</v>
      </c>
    </row>
    <row r="13" spans="1:10" s="777" customFormat="1">
      <c r="A13" s="105" t="s">
        <v>336</v>
      </c>
      <c r="B13" s="160">
        <f t="shared" ref="B13:D13" si="0">SUM(B7:B12)</f>
        <v>18073084.0266</v>
      </c>
      <c r="C13" s="160">
        <f t="shared" si="0"/>
        <v>19055546</v>
      </c>
      <c r="D13" s="160">
        <f t="shared" si="0"/>
        <v>20716560</v>
      </c>
      <c r="E13" s="162">
        <f t="shared" ref="E13:F13" si="1">SUM(E7:E12)</f>
        <v>22545570.120000001</v>
      </c>
      <c r="F13" s="162">
        <f t="shared" si="1"/>
        <v>23710048.179999996</v>
      </c>
      <c r="G13" s="162">
        <f t="shared" ref="G13:I13" si="2">SUM(G7:G12)</f>
        <v>24706243.699999999</v>
      </c>
      <c r="H13" s="162">
        <f t="shared" si="2"/>
        <v>24725519</v>
      </c>
      <c r="I13" s="162">
        <f t="shared" si="2"/>
        <v>25785847</v>
      </c>
    </row>
    <row r="14" spans="1:10">
      <c r="A14" s="9"/>
      <c r="E14" s="11"/>
      <c r="F14" s="11"/>
      <c r="G14" s="11"/>
      <c r="H14" s="11"/>
      <c r="I14" s="11"/>
    </row>
    <row r="15" spans="1:10">
      <c r="A15" s="230" t="s">
        <v>370</v>
      </c>
      <c r="B15" s="6">
        <v>2010</v>
      </c>
      <c r="C15" s="6">
        <v>2011</v>
      </c>
      <c r="D15" s="6">
        <v>2012</v>
      </c>
      <c r="E15" s="6">
        <v>2013</v>
      </c>
      <c r="F15" s="6">
        <v>2014</v>
      </c>
      <c r="G15" s="68"/>
      <c r="H15" s="68"/>
      <c r="I15" s="68"/>
    </row>
    <row r="16" spans="1:10">
      <c r="A16" s="9" t="s">
        <v>538</v>
      </c>
      <c r="B16" s="709">
        <v>3748340</v>
      </c>
      <c r="C16" s="709">
        <v>4118326</v>
      </c>
      <c r="D16" s="709">
        <v>4785296</v>
      </c>
      <c r="E16" s="632">
        <v>5713336</v>
      </c>
      <c r="F16" s="632">
        <v>6182450.1299999999</v>
      </c>
      <c r="G16" s="632">
        <v>6601963</v>
      </c>
      <c r="H16" s="632">
        <v>6959657</v>
      </c>
      <c r="I16" s="632">
        <v>6935092</v>
      </c>
      <c r="J16" s="627"/>
    </row>
    <row r="17" spans="1:10">
      <c r="A17" s="9" t="s">
        <v>537</v>
      </c>
      <c r="B17" s="709">
        <v>467608</v>
      </c>
      <c r="C17" s="709">
        <v>429674</v>
      </c>
      <c r="D17" s="709">
        <v>350599</v>
      </c>
      <c r="E17" s="632">
        <v>718446.85000000021</v>
      </c>
      <c r="F17" s="632">
        <v>450815.05</v>
      </c>
      <c r="G17" s="632">
        <v>568803</v>
      </c>
      <c r="H17" s="632">
        <v>597165</v>
      </c>
      <c r="I17" s="632">
        <v>624506</v>
      </c>
      <c r="J17" s="627"/>
    </row>
    <row r="18" spans="1:10">
      <c r="A18" s="9" t="s">
        <v>536</v>
      </c>
      <c r="B18" s="709">
        <v>4378148</v>
      </c>
      <c r="C18" s="709">
        <v>4542013</v>
      </c>
      <c r="D18" s="709">
        <v>4892386</v>
      </c>
      <c r="E18" s="632">
        <v>5275313.7300000014</v>
      </c>
      <c r="F18" s="632">
        <v>5827758.5</v>
      </c>
      <c r="G18" s="632">
        <v>6648812</v>
      </c>
      <c r="H18" s="632">
        <v>5593818</v>
      </c>
      <c r="I18" s="632">
        <v>5775686</v>
      </c>
      <c r="J18" s="627"/>
    </row>
    <row r="19" spans="1:10">
      <c r="A19" s="9" t="s">
        <v>606</v>
      </c>
      <c r="B19" s="709">
        <v>615334</v>
      </c>
      <c r="C19" s="709">
        <v>539032</v>
      </c>
      <c r="D19" s="709">
        <v>588581</v>
      </c>
      <c r="E19" s="632">
        <v>662422.66</v>
      </c>
      <c r="F19" s="632">
        <v>733442.41</v>
      </c>
      <c r="G19" s="632">
        <v>880736</v>
      </c>
      <c r="H19" s="632">
        <v>879731</v>
      </c>
      <c r="I19" s="632">
        <v>912982</v>
      </c>
      <c r="J19" s="627"/>
    </row>
    <row r="20" spans="1:10">
      <c r="A20" s="9" t="s">
        <v>605</v>
      </c>
      <c r="B20" s="709">
        <v>662548</v>
      </c>
      <c r="C20" s="709">
        <v>632418</v>
      </c>
      <c r="D20" s="709">
        <v>861288</v>
      </c>
      <c r="E20" s="632">
        <v>981827.79999999993</v>
      </c>
      <c r="F20" s="632">
        <v>1064195.75</v>
      </c>
      <c r="G20" s="632">
        <v>935036</v>
      </c>
      <c r="H20" s="632">
        <v>955791</v>
      </c>
      <c r="I20" s="632">
        <v>998197</v>
      </c>
      <c r="J20" s="627"/>
    </row>
    <row r="21" spans="1:10">
      <c r="A21" s="9" t="s">
        <v>604</v>
      </c>
      <c r="B21" s="709">
        <v>1723478</v>
      </c>
      <c r="C21" s="709">
        <v>1605704</v>
      </c>
      <c r="D21" s="709">
        <v>1559773</v>
      </c>
      <c r="E21" s="632">
        <v>1742821.8199999998</v>
      </c>
      <c r="F21" s="632">
        <v>2122550.41</v>
      </c>
      <c r="G21" s="632">
        <v>2177077</v>
      </c>
      <c r="H21" s="632">
        <v>2088115</v>
      </c>
      <c r="I21" s="632">
        <v>2170179</v>
      </c>
      <c r="J21" s="627"/>
    </row>
    <row r="22" spans="1:10">
      <c r="A22" s="9" t="s">
        <v>531</v>
      </c>
      <c r="B22" s="709">
        <v>199204</v>
      </c>
      <c r="C22" s="709">
        <v>280513</v>
      </c>
      <c r="D22" s="709">
        <v>359362</v>
      </c>
      <c r="E22" s="632">
        <v>378041.93000000005</v>
      </c>
      <c r="F22" s="632">
        <v>407533.65</v>
      </c>
      <c r="G22" s="632">
        <v>449484</v>
      </c>
      <c r="H22" s="632">
        <v>511395</v>
      </c>
      <c r="I22" s="632">
        <v>524978</v>
      </c>
      <c r="J22" s="627"/>
    </row>
    <row r="23" spans="1:10">
      <c r="A23" s="9" t="s">
        <v>603</v>
      </c>
      <c r="B23" s="709">
        <v>84175</v>
      </c>
      <c r="C23" s="709">
        <v>217678</v>
      </c>
      <c r="D23" s="709">
        <v>164873</v>
      </c>
      <c r="E23" s="632">
        <v>275395.75</v>
      </c>
      <c r="F23" s="632">
        <v>211873.64</v>
      </c>
      <c r="G23" s="632">
        <v>231253</v>
      </c>
      <c r="H23" s="632">
        <v>237639</v>
      </c>
      <c r="I23" s="632">
        <v>246000</v>
      </c>
      <c r="J23" s="627"/>
    </row>
    <row r="24" spans="1:10" s="777" customFormat="1">
      <c r="A24" s="105" t="s">
        <v>602</v>
      </c>
      <c r="B24" s="610">
        <f t="shared" ref="B24:I24" si="3">SUM(B16:B23)</f>
        <v>11878835</v>
      </c>
      <c r="C24" s="610">
        <f t="shared" si="3"/>
        <v>12365358</v>
      </c>
      <c r="D24" s="610">
        <f t="shared" si="3"/>
        <v>13562158</v>
      </c>
      <c r="E24" s="610">
        <f t="shared" si="3"/>
        <v>15747606.540000003</v>
      </c>
      <c r="F24" s="610">
        <f t="shared" si="3"/>
        <v>17000619.539999999</v>
      </c>
      <c r="G24" s="610">
        <f t="shared" si="3"/>
        <v>18493164</v>
      </c>
      <c r="H24" s="610">
        <f t="shared" si="3"/>
        <v>17823311</v>
      </c>
      <c r="I24" s="610">
        <f t="shared" si="3"/>
        <v>18187620</v>
      </c>
      <c r="J24" s="637"/>
    </row>
    <row r="25" spans="1:10">
      <c r="A25" s="9"/>
      <c r="B25" s="628"/>
      <c r="C25" s="628"/>
      <c r="D25" s="628"/>
      <c r="E25" s="644"/>
      <c r="F25" s="644"/>
      <c r="G25" s="644"/>
      <c r="H25" s="644"/>
      <c r="I25" s="644"/>
      <c r="J25" s="627"/>
    </row>
    <row r="26" spans="1:10">
      <c r="A26" s="9" t="s">
        <v>601</v>
      </c>
      <c r="B26" s="723">
        <v>0</v>
      </c>
      <c r="C26" s="723">
        <v>0</v>
      </c>
      <c r="D26" s="723">
        <v>0</v>
      </c>
      <c r="E26" s="632">
        <v>0</v>
      </c>
      <c r="F26" s="632">
        <v>0</v>
      </c>
      <c r="G26" s="632">
        <v>0</v>
      </c>
      <c r="H26" s="632">
        <v>0</v>
      </c>
      <c r="I26" s="632">
        <v>0</v>
      </c>
      <c r="J26" s="627"/>
    </row>
    <row r="27" spans="1:10">
      <c r="A27" s="9" t="s">
        <v>600</v>
      </c>
      <c r="B27" s="709">
        <v>758845</v>
      </c>
      <c r="C27" s="709">
        <v>764435</v>
      </c>
      <c r="D27" s="709">
        <v>778982</v>
      </c>
      <c r="E27" s="632">
        <v>1141185</v>
      </c>
      <c r="F27" s="632">
        <v>1112753.71</v>
      </c>
      <c r="G27" s="632">
        <v>1216223</v>
      </c>
      <c r="H27" s="632">
        <v>1280639</v>
      </c>
      <c r="I27" s="632">
        <v>1317043</v>
      </c>
      <c r="J27" s="627"/>
    </row>
    <row r="28" spans="1:10">
      <c r="A28" s="9" t="s">
        <v>599</v>
      </c>
      <c r="B28" s="709">
        <v>603894</v>
      </c>
      <c r="C28" s="709">
        <v>900258</v>
      </c>
      <c r="D28" s="709">
        <v>1316381</v>
      </c>
      <c r="E28" s="632">
        <v>1563508.3899999997</v>
      </c>
      <c r="F28" s="632">
        <v>1814801.9899999995</v>
      </c>
      <c r="G28" s="632">
        <v>1030473.7</v>
      </c>
      <c r="H28" s="632">
        <v>1564020</v>
      </c>
      <c r="I28" s="632">
        <v>2116525</v>
      </c>
      <c r="J28" s="627"/>
    </row>
    <row r="29" spans="1:10">
      <c r="A29" s="105" t="s">
        <v>598</v>
      </c>
      <c r="B29" s="137">
        <f t="shared" ref="B29:I29" si="4">SUM(B27:B28)</f>
        <v>1362739</v>
      </c>
      <c r="C29" s="137">
        <f t="shared" si="4"/>
        <v>1664693</v>
      </c>
      <c r="D29" s="137">
        <f t="shared" si="4"/>
        <v>2095363</v>
      </c>
      <c r="E29" s="137">
        <f t="shared" si="4"/>
        <v>2704693.3899999997</v>
      </c>
      <c r="F29" s="137">
        <f t="shared" si="4"/>
        <v>2927555.6999999993</v>
      </c>
      <c r="G29" s="137">
        <f t="shared" si="4"/>
        <v>2246696.7000000002</v>
      </c>
      <c r="H29" s="137">
        <f t="shared" si="4"/>
        <v>2844659</v>
      </c>
      <c r="I29" s="137">
        <f t="shared" si="4"/>
        <v>3433568</v>
      </c>
      <c r="J29" s="627"/>
    </row>
    <row r="30" spans="1:10">
      <c r="A30" s="9"/>
      <c r="B30" s="628"/>
      <c r="C30" s="628"/>
      <c r="D30" s="628"/>
      <c r="E30" s="644"/>
      <c r="F30" s="644"/>
      <c r="G30" s="644"/>
      <c r="H30" s="644"/>
      <c r="I30" s="644"/>
      <c r="J30" s="627"/>
    </row>
    <row r="31" spans="1:10">
      <c r="A31" s="9" t="s">
        <v>597</v>
      </c>
      <c r="B31" s="709">
        <v>4906076.0265999995</v>
      </c>
      <c r="C31" s="709">
        <v>5094347</v>
      </c>
      <c r="D31" s="709">
        <v>5201583</v>
      </c>
      <c r="E31" s="632">
        <v>4351643</v>
      </c>
      <c r="F31" s="632">
        <v>4045526</v>
      </c>
      <c r="G31" s="632">
        <v>4209136</v>
      </c>
      <c r="H31" s="632">
        <v>4307894</v>
      </c>
      <c r="I31" s="632">
        <v>4423401</v>
      </c>
      <c r="J31" s="627"/>
    </row>
    <row r="32" spans="1:10">
      <c r="A32" s="9"/>
      <c r="B32" s="628"/>
      <c r="C32" s="628"/>
      <c r="D32" s="709">
        <v>0</v>
      </c>
      <c r="E32" s="632">
        <v>0</v>
      </c>
      <c r="F32" s="632">
        <v>0</v>
      </c>
      <c r="G32" s="632">
        <v>0</v>
      </c>
      <c r="H32" s="632">
        <v>0</v>
      </c>
      <c r="I32" s="632">
        <v>0</v>
      </c>
      <c r="J32" s="627"/>
    </row>
    <row r="33" spans="1:10">
      <c r="A33" s="9" t="s">
        <v>596</v>
      </c>
      <c r="B33" s="709">
        <v>4740811</v>
      </c>
      <c r="C33" s="709">
        <v>5723094</v>
      </c>
      <c r="D33" s="709">
        <v>6001514</v>
      </c>
      <c r="E33" s="632">
        <v>5882026.54</v>
      </c>
      <c r="F33" s="632">
        <v>6014154.0600000005</v>
      </c>
      <c r="G33" s="632">
        <v>6637890</v>
      </c>
      <c r="H33" s="632">
        <v>7199719</v>
      </c>
      <c r="I33" s="632">
        <v>7938909</v>
      </c>
      <c r="J33" s="627"/>
    </row>
    <row r="34" spans="1:10">
      <c r="A34" s="9"/>
      <c r="B34" s="628"/>
      <c r="C34" s="628"/>
      <c r="D34" s="628"/>
      <c r="E34" s="644"/>
      <c r="F34" s="644"/>
      <c r="G34" s="644"/>
      <c r="H34" s="644"/>
      <c r="I34" s="644"/>
      <c r="J34" s="627"/>
    </row>
    <row r="35" spans="1:10" s="777" customFormat="1">
      <c r="A35" s="105" t="s">
        <v>524</v>
      </c>
      <c r="B35" s="616">
        <f t="shared" ref="B35:I35" si="5">B33+B31+B29+B24</f>
        <v>22888461.0266</v>
      </c>
      <c r="C35" s="616">
        <f t="shared" si="5"/>
        <v>24847492</v>
      </c>
      <c r="D35" s="616">
        <f t="shared" si="5"/>
        <v>26860618</v>
      </c>
      <c r="E35" s="616">
        <f t="shared" si="5"/>
        <v>28685969.470000003</v>
      </c>
      <c r="F35" s="616">
        <f t="shared" si="5"/>
        <v>29987855.299999997</v>
      </c>
      <c r="G35" s="616">
        <f t="shared" si="5"/>
        <v>31586886.699999999</v>
      </c>
      <c r="H35" s="616">
        <f t="shared" si="5"/>
        <v>32175583</v>
      </c>
      <c r="I35" s="616">
        <f t="shared" si="5"/>
        <v>33983498</v>
      </c>
      <c r="J35" s="637"/>
    </row>
    <row r="36" spans="1:10">
      <c r="A36" s="9"/>
      <c r="B36" s="627"/>
      <c r="C36" s="627"/>
      <c r="D36" s="627"/>
      <c r="E36" s="627"/>
      <c r="F36" s="627"/>
      <c r="G36" s="627"/>
      <c r="H36" s="627"/>
      <c r="I36" s="627"/>
      <c r="J36" s="627"/>
    </row>
    <row r="37" spans="1:10">
      <c r="A37" s="230" t="s">
        <v>427</v>
      </c>
      <c r="B37" s="6">
        <v>2010</v>
      </c>
      <c r="C37" s="6">
        <v>2011</v>
      </c>
      <c r="D37" s="6">
        <v>2012</v>
      </c>
      <c r="E37" s="6">
        <v>2013</v>
      </c>
      <c r="F37" s="6">
        <v>2014</v>
      </c>
      <c r="G37" s="6">
        <v>2015</v>
      </c>
      <c r="H37" s="6">
        <v>2016</v>
      </c>
      <c r="I37" s="6">
        <v>2017</v>
      </c>
    </row>
    <row r="38" spans="1:10">
      <c r="A38" s="9" t="str">
        <f t="shared" ref="A38:F38" si="6">A24</f>
        <v>Total Direct Operations &amp; Maintenance</v>
      </c>
      <c r="B38" s="14">
        <f t="shared" si="6"/>
        <v>11878835</v>
      </c>
      <c r="C38" s="14">
        <f t="shared" si="6"/>
        <v>12365358</v>
      </c>
      <c r="D38" s="14">
        <f t="shared" si="6"/>
        <v>13562158</v>
      </c>
      <c r="E38" s="17">
        <f t="shared" si="6"/>
        <v>15747606.540000003</v>
      </c>
      <c r="F38" s="17">
        <f t="shared" si="6"/>
        <v>17000619.539999999</v>
      </c>
      <c r="G38" s="17">
        <f t="shared" ref="G38:I38" si="7">G24</f>
        <v>18493164</v>
      </c>
      <c r="H38" s="17">
        <f t="shared" si="7"/>
        <v>17823311</v>
      </c>
      <c r="I38" s="17">
        <f t="shared" si="7"/>
        <v>18187620</v>
      </c>
    </row>
    <row r="39" spans="1:10">
      <c r="A39" s="9" t="s">
        <v>425</v>
      </c>
      <c r="B39" s="14">
        <f t="shared" ref="B39:F39" si="8">B9+B11</f>
        <v>-86190</v>
      </c>
      <c r="C39" s="14">
        <f t="shared" si="8"/>
        <v>-70818</v>
      </c>
      <c r="D39" s="14">
        <f t="shared" si="8"/>
        <v>-145105</v>
      </c>
      <c r="E39" s="17">
        <f t="shared" si="8"/>
        <v>-260255.28000000003</v>
      </c>
      <c r="F39" s="17">
        <f t="shared" si="8"/>
        <v>-265683.46000000008</v>
      </c>
      <c r="G39" s="17">
        <f t="shared" ref="G39:I39" si="9">G9+G11</f>
        <v>-244828</v>
      </c>
      <c r="H39" s="17">
        <f t="shared" si="9"/>
        <v>-252498</v>
      </c>
      <c r="I39" s="17">
        <f t="shared" si="9"/>
        <v>-260976</v>
      </c>
    </row>
    <row r="40" spans="1:10" s="777" customFormat="1">
      <c r="A40" s="31" t="s">
        <v>415</v>
      </c>
      <c r="B40" s="160">
        <f t="shared" ref="B40:F40" si="10">SUM(B38:B39)</f>
        <v>11792645</v>
      </c>
      <c r="C40" s="160">
        <f t="shared" si="10"/>
        <v>12294540</v>
      </c>
      <c r="D40" s="160">
        <f t="shared" si="10"/>
        <v>13417053</v>
      </c>
      <c r="E40" s="162">
        <f t="shared" si="10"/>
        <v>15487351.260000004</v>
      </c>
      <c r="F40" s="162">
        <f t="shared" si="10"/>
        <v>16734936.079999998</v>
      </c>
      <c r="G40" s="162">
        <f t="shared" ref="G40:I40" si="11">SUM(G38:G39)</f>
        <v>18248336</v>
      </c>
      <c r="H40" s="162">
        <f t="shared" si="11"/>
        <v>17570813</v>
      </c>
      <c r="I40" s="162">
        <f t="shared" si="11"/>
        <v>17926644</v>
      </c>
    </row>
    <row r="41" spans="1:10">
      <c r="A41" s="9"/>
    </row>
    <row r="42" spans="1:10">
      <c r="A42" s="230" t="s">
        <v>424</v>
      </c>
      <c r="B42" s="6">
        <v>2010</v>
      </c>
      <c r="C42" s="6">
        <v>2011</v>
      </c>
      <c r="D42" s="6">
        <v>2012</v>
      </c>
      <c r="E42" s="6">
        <v>2013</v>
      </c>
      <c r="F42" s="6">
        <v>2014</v>
      </c>
      <c r="G42" s="6">
        <v>2015</v>
      </c>
      <c r="H42" s="6">
        <v>2016</v>
      </c>
      <c r="I42" s="6">
        <v>2017</v>
      </c>
    </row>
    <row r="43" spans="1:10">
      <c r="A43" s="9" t="str">
        <f>A29</f>
        <v>Total Administative &amp; General Expenses</v>
      </c>
      <c r="B43" s="14">
        <f t="shared" ref="B43:F43" si="12">SUM(B29)</f>
        <v>1362739</v>
      </c>
      <c r="C43" s="14">
        <f t="shared" si="12"/>
        <v>1664693</v>
      </c>
      <c r="D43" s="14">
        <f t="shared" si="12"/>
        <v>2095363</v>
      </c>
      <c r="E43" s="17">
        <f t="shared" si="12"/>
        <v>2704693.3899999997</v>
      </c>
      <c r="F43" s="17">
        <f t="shared" si="12"/>
        <v>2927555.6999999993</v>
      </c>
      <c r="G43" s="17">
        <f t="shared" ref="G43:I43" si="13">SUM(G29)</f>
        <v>2246696.7000000002</v>
      </c>
      <c r="H43" s="17">
        <f t="shared" si="13"/>
        <v>2844659</v>
      </c>
      <c r="I43" s="17">
        <f t="shared" si="13"/>
        <v>3433568</v>
      </c>
    </row>
    <row r="44" spans="1:10">
      <c r="A44" s="14" t="str">
        <f t="shared" ref="A44:F44" si="14">A31</f>
        <v>Allocated Corporate G&amp;A Net of Disallowances</v>
      </c>
      <c r="B44" s="14">
        <f t="shared" si="14"/>
        <v>4906076.0265999995</v>
      </c>
      <c r="C44" s="14">
        <f t="shared" si="14"/>
        <v>5094347</v>
      </c>
      <c r="D44" s="14">
        <f t="shared" si="14"/>
        <v>5201583</v>
      </c>
      <c r="E44" s="17">
        <f t="shared" si="14"/>
        <v>4351643</v>
      </c>
      <c r="F44" s="17">
        <f t="shared" si="14"/>
        <v>4045526</v>
      </c>
      <c r="G44" s="17">
        <f t="shared" ref="G44:I44" si="15">G31</f>
        <v>4209136</v>
      </c>
      <c r="H44" s="17">
        <f t="shared" si="15"/>
        <v>4307894</v>
      </c>
      <c r="I44" s="17">
        <f t="shared" si="15"/>
        <v>4423401</v>
      </c>
    </row>
    <row r="45" spans="1:10">
      <c r="A45" s="14" t="s">
        <v>595</v>
      </c>
      <c r="B45" s="14">
        <f t="shared" ref="B45:F45" si="16">B33</f>
        <v>4740811</v>
      </c>
      <c r="C45" s="14">
        <f t="shared" si="16"/>
        <v>5723094</v>
      </c>
      <c r="D45" s="14">
        <f t="shared" si="16"/>
        <v>6001514</v>
      </c>
      <c r="E45" s="17">
        <f t="shared" si="16"/>
        <v>5882026.54</v>
      </c>
      <c r="F45" s="17">
        <f t="shared" si="16"/>
        <v>6014154.0600000005</v>
      </c>
      <c r="G45" s="17">
        <f t="shared" ref="G45:I45" si="17">G33</f>
        <v>6637890</v>
      </c>
      <c r="H45" s="17">
        <f t="shared" si="17"/>
        <v>7199719</v>
      </c>
      <c r="I45" s="17">
        <f t="shared" si="17"/>
        <v>7938909</v>
      </c>
    </row>
    <row r="46" spans="1:10">
      <c r="A46" s="14" t="s">
        <v>594</v>
      </c>
      <c r="B46" s="14">
        <f t="shared" ref="B46:F46" si="18">B12</f>
        <v>-4729187</v>
      </c>
      <c r="C46" s="14">
        <f t="shared" si="18"/>
        <v>-5721128</v>
      </c>
      <c r="D46" s="14">
        <f t="shared" si="18"/>
        <v>-5998953</v>
      </c>
      <c r="E46" s="17">
        <f t="shared" si="18"/>
        <v>-5880144.0700000003</v>
      </c>
      <c r="F46" s="17">
        <f t="shared" si="18"/>
        <v>-6012123.6600000001</v>
      </c>
      <c r="G46" s="17">
        <f t="shared" ref="G46:I46" si="19">G12</f>
        <v>-6635815</v>
      </c>
      <c r="H46" s="17">
        <f t="shared" si="19"/>
        <v>-7197566</v>
      </c>
      <c r="I46" s="17">
        <f t="shared" si="19"/>
        <v>-7936675</v>
      </c>
    </row>
    <row r="47" spans="1:10">
      <c r="A47" s="31" t="s">
        <v>415</v>
      </c>
      <c r="B47" s="14">
        <f t="shared" ref="B47:F47" si="20">SUM(B43:B46)</f>
        <v>6280439.0265999995</v>
      </c>
      <c r="C47" s="14">
        <f t="shared" si="20"/>
        <v>6761006</v>
      </c>
      <c r="D47" s="14">
        <f t="shared" si="20"/>
        <v>7299507</v>
      </c>
      <c r="E47" s="17">
        <f t="shared" si="20"/>
        <v>7058218.8599999994</v>
      </c>
      <c r="F47" s="17">
        <f t="shared" si="20"/>
        <v>6975112.0999999996</v>
      </c>
      <c r="G47" s="17">
        <f t="shared" ref="G47:I47" si="21">SUM(G43:G46)</f>
        <v>6457907.6999999993</v>
      </c>
      <c r="H47" s="17">
        <f t="shared" si="21"/>
        <v>7154706</v>
      </c>
      <c r="I47" s="17">
        <f t="shared" si="21"/>
        <v>7859203</v>
      </c>
    </row>
    <row r="48" spans="1:10">
      <c r="A48" s="9"/>
      <c r="B48" s="14"/>
      <c r="C48" s="14"/>
      <c r="D48" s="14"/>
      <c r="E48" s="17"/>
      <c r="F48" s="17"/>
      <c r="G48" s="17"/>
      <c r="H48" s="17"/>
      <c r="I48" s="17"/>
    </row>
    <row r="49" spans="1:9" s="777" customFormat="1">
      <c r="A49" s="105" t="s">
        <v>48</v>
      </c>
      <c r="B49" s="160">
        <f t="shared" ref="B49:F49" si="22">B47+B40</f>
        <v>18073084.0266</v>
      </c>
      <c r="C49" s="160">
        <f t="shared" si="22"/>
        <v>19055546</v>
      </c>
      <c r="D49" s="160">
        <f t="shared" si="22"/>
        <v>20716560</v>
      </c>
      <c r="E49" s="162">
        <f t="shared" si="22"/>
        <v>22545570.120000005</v>
      </c>
      <c r="F49" s="162">
        <f t="shared" si="22"/>
        <v>23710048.18</v>
      </c>
      <c r="G49" s="162">
        <f t="shared" ref="G49:I49" si="23">G47+G40</f>
        <v>24706243.699999999</v>
      </c>
      <c r="H49" s="162">
        <f t="shared" si="23"/>
        <v>24725519</v>
      </c>
      <c r="I49" s="162">
        <f t="shared" si="23"/>
        <v>25785847</v>
      </c>
    </row>
    <row r="50" spans="1:9">
      <c r="A50" s="9"/>
    </row>
    <row r="51" spans="1:9">
      <c r="A51" s="9"/>
    </row>
    <row r="52" spans="1:9">
      <c r="A52" s="9"/>
    </row>
    <row r="53" spans="1:9">
      <c r="A53" s="9"/>
    </row>
    <row r="54" spans="1:9">
      <c r="A54" s="9"/>
    </row>
    <row r="55" spans="1:9">
      <c r="A55" s="9"/>
    </row>
    <row r="56" spans="1:9">
      <c r="A56" s="9"/>
    </row>
    <row r="57" spans="1:9">
      <c r="A57" s="9"/>
    </row>
    <row r="58" spans="1:9">
      <c r="A58" s="9"/>
    </row>
    <row r="59" spans="1:9">
      <c r="A59" s="9"/>
    </row>
    <row r="60" spans="1:9">
      <c r="A60" s="9"/>
    </row>
    <row r="61" spans="1:9">
      <c r="A61" s="9"/>
    </row>
    <row r="62" spans="1:9">
      <c r="A62" s="9"/>
    </row>
    <row r="63" spans="1:9">
      <c r="A63" s="9"/>
    </row>
    <row r="64" spans="1:9">
      <c r="A64" s="9"/>
    </row>
    <row r="65" spans="1:1">
      <c r="A65" s="9"/>
    </row>
    <row r="66" spans="1:1">
      <c r="A66" s="9"/>
    </row>
    <row r="67" spans="1:1">
      <c r="A67" s="9"/>
    </row>
    <row r="68" spans="1:1">
      <c r="A68" s="9"/>
    </row>
    <row r="69" spans="1:1">
      <c r="A69" s="9"/>
    </row>
    <row r="70" spans="1:1">
      <c r="A70" s="9"/>
    </row>
    <row r="71" spans="1:1">
      <c r="A71" s="9"/>
    </row>
    <row r="72" spans="1:1">
      <c r="A72" s="9"/>
    </row>
    <row r="73" spans="1:1">
      <c r="A73" s="9"/>
    </row>
    <row r="74" spans="1:1">
      <c r="A74" s="9"/>
    </row>
    <row r="75" spans="1:1">
      <c r="A75" s="9"/>
    </row>
    <row r="76" spans="1:1">
      <c r="A76" s="9"/>
    </row>
    <row r="77" spans="1:1">
      <c r="A77" s="9"/>
    </row>
    <row r="78" spans="1:1">
      <c r="A78" s="9"/>
    </row>
    <row r="79" spans="1:1">
      <c r="A79" s="9"/>
    </row>
    <row r="80" spans="1:1">
      <c r="A80" s="9"/>
    </row>
    <row r="81" spans="1:1">
      <c r="A81" s="9"/>
    </row>
    <row r="82" spans="1:1">
      <c r="A82" s="9"/>
    </row>
    <row r="83" spans="1:1">
      <c r="A83" s="9"/>
    </row>
    <row r="84" spans="1:1">
      <c r="A84" s="9"/>
    </row>
    <row r="85" spans="1:1">
      <c r="A85" s="9"/>
    </row>
    <row r="86" spans="1:1">
      <c r="A86" s="9"/>
    </row>
    <row r="87" spans="1:1">
      <c r="A87" s="9"/>
    </row>
    <row r="88" spans="1:1">
      <c r="A88" s="9"/>
    </row>
    <row r="89" spans="1:1">
      <c r="A89" s="9"/>
    </row>
    <row r="90" spans="1:1">
      <c r="A90" s="9"/>
    </row>
    <row r="91" spans="1:1">
      <c r="A91" s="9"/>
    </row>
    <row r="92" spans="1:1">
      <c r="A92" s="9"/>
    </row>
    <row r="93" spans="1:1">
      <c r="A93" s="9"/>
    </row>
    <row r="94" spans="1:1">
      <c r="A94" s="9"/>
    </row>
    <row r="95" spans="1:1">
      <c r="A95" s="9"/>
    </row>
    <row r="96" spans="1:1">
      <c r="A96" s="9"/>
    </row>
    <row r="97" spans="1:1">
      <c r="A97" s="9"/>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ignoredErrors>
    <ignoredError sqref="E44:F45 E25:F25 B13:F13 E30:F30 E34:F34" emptyCellReference="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2" tint="-0.499984740745262"/>
  </sheetPr>
  <dimension ref="A1:H44"/>
  <sheetViews>
    <sheetView showGridLines="0" workbookViewId="0">
      <selection activeCell="M21" sqref="M21"/>
    </sheetView>
  </sheetViews>
  <sheetFormatPr defaultColWidth="9.109375" defaultRowHeight="13.8"/>
  <cols>
    <col min="1" max="1" width="45.44140625" style="4" customWidth="1"/>
    <col min="2" max="6" width="12.6640625" style="4" customWidth="1"/>
    <col min="7" max="7" width="28.33203125" style="4" bestFit="1" customWidth="1"/>
    <col min="8" max="8" width="13.88671875" style="4" customWidth="1"/>
    <col min="9" max="16384" width="9.109375" style="4"/>
  </cols>
  <sheetData>
    <row r="1" spans="1:8">
      <c r="A1" s="32" t="s">
        <v>476</v>
      </c>
      <c r="B1" s="27"/>
      <c r="C1" s="27"/>
      <c r="D1" s="27"/>
      <c r="E1" s="33"/>
    </row>
    <row r="2" spans="1:8">
      <c r="A2" s="21"/>
      <c r="B2" s="34"/>
      <c r="C2" s="34"/>
      <c r="D2" s="34"/>
      <c r="E2" s="35"/>
    </row>
    <row r="3" spans="1:8">
      <c r="A3" s="19" t="s">
        <v>642</v>
      </c>
      <c r="B3" s="2"/>
      <c r="C3" s="2"/>
      <c r="D3" s="36"/>
      <c r="E3" s="37"/>
      <c r="G3" s="11"/>
      <c r="H3" s="11"/>
    </row>
    <row r="4" spans="1:8">
      <c r="A4" s="38" t="s">
        <v>47</v>
      </c>
      <c r="B4" s="27" t="s">
        <v>475</v>
      </c>
      <c r="C4" s="27" t="s">
        <v>49</v>
      </c>
      <c r="D4" s="27" t="s">
        <v>357</v>
      </c>
      <c r="E4" s="33" t="s">
        <v>50</v>
      </c>
      <c r="G4" s="11"/>
      <c r="H4" s="11"/>
    </row>
    <row r="5" spans="1:8">
      <c r="A5" s="39" t="s">
        <v>641</v>
      </c>
      <c r="B5" s="667">
        <v>18.905999999999999</v>
      </c>
      <c r="C5" s="40"/>
      <c r="D5" s="40">
        <f>B5</f>
        <v>18.905999999999999</v>
      </c>
      <c r="E5" s="41"/>
      <c r="G5" s="11"/>
      <c r="H5" s="42"/>
    </row>
    <row r="6" spans="1:8">
      <c r="A6" s="39" t="s">
        <v>640</v>
      </c>
      <c r="B6" s="667">
        <v>18.562999999999999</v>
      </c>
      <c r="C6" s="43"/>
      <c r="D6" s="40">
        <f>B6</f>
        <v>18.562999999999999</v>
      </c>
      <c r="E6" s="41"/>
      <c r="G6" s="11"/>
      <c r="H6" s="42"/>
    </row>
    <row r="7" spans="1:8">
      <c r="A7" s="39" t="s">
        <v>639</v>
      </c>
      <c r="B7" s="667">
        <v>51.487000000000002</v>
      </c>
      <c r="C7" s="40">
        <f>B7</f>
        <v>51.487000000000002</v>
      </c>
      <c r="D7" s="43"/>
      <c r="E7" s="44"/>
      <c r="G7" s="11"/>
      <c r="H7" s="42"/>
    </row>
    <row r="8" spans="1:8">
      <c r="A8" s="39" t="s">
        <v>638</v>
      </c>
      <c r="B8" s="667">
        <v>63.177999999999997</v>
      </c>
      <c r="C8" s="40">
        <f>B8</f>
        <v>63.177999999999997</v>
      </c>
      <c r="D8" s="43"/>
      <c r="E8" s="44"/>
      <c r="G8" s="11"/>
      <c r="H8" s="42"/>
    </row>
    <row r="9" spans="1:8">
      <c r="A9" s="39" t="s">
        <v>637</v>
      </c>
      <c r="B9" s="667">
        <v>85.546999999999997</v>
      </c>
      <c r="C9" s="40"/>
      <c r="D9" s="40">
        <f>B9</f>
        <v>85.546999999999997</v>
      </c>
      <c r="E9" s="44"/>
      <c r="G9" s="11"/>
      <c r="H9" s="42"/>
    </row>
    <row r="10" spans="1:8">
      <c r="A10" s="45" t="s">
        <v>636</v>
      </c>
      <c r="B10" s="704">
        <v>19.795999999999999</v>
      </c>
      <c r="C10" s="46">
        <f>B10</f>
        <v>19.795999999999999</v>
      </c>
      <c r="D10" s="47"/>
      <c r="E10" s="48"/>
      <c r="G10" s="11"/>
      <c r="H10" s="42"/>
    </row>
    <row r="11" spans="1:8">
      <c r="A11" s="49" t="s">
        <v>635</v>
      </c>
      <c r="B11" s="50" t="s">
        <v>475</v>
      </c>
      <c r="C11" s="27" t="s">
        <v>49</v>
      </c>
      <c r="D11" s="51" t="s">
        <v>357</v>
      </c>
      <c r="E11" s="52" t="s">
        <v>50</v>
      </c>
      <c r="G11" s="11"/>
      <c r="H11" s="42"/>
    </row>
    <row r="12" spans="1:8">
      <c r="A12" s="49" t="s">
        <v>634</v>
      </c>
      <c r="B12" s="40">
        <f>SUM(C12:E12)</f>
        <v>152.13399999999999</v>
      </c>
      <c r="C12" s="40">
        <f>SUM(C5:C8)</f>
        <v>114.66499999999999</v>
      </c>
      <c r="D12" s="40">
        <f>SUM(D5:D8)</f>
        <v>37.468999999999994</v>
      </c>
      <c r="E12" s="41">
        <f>SUM(E5:E8)</f>
        <v>0</v>
      </c>
      <c r="G12" s="11"/>
      <c r="H12" s="42"/>
    </row>
    <row r="13" spans="1:8">
      <c r="A13" s="53" t="s">
        <v>633</v>
      </c>
      <c r="B13" s="46"/>
      <c r="C13" s="54">
        <f>C12/$B12</f>
        <v>0.75371054465142573</v>
      </c>
      <c r="D13" s="54">
        <f>D12/$B12</f>
        <v>0.24628945534857427</v>
      </c>
      <c r="E13" s="55">
        <f>E12/$B12</f>
        <v>0</v>
      </c>
    </row>
    <row r="14" spans="1:8">
      <c r="A14" s="56" t="s">
        <v>632</v>
      </c>
      <c r="B14" s="57" t="s">
        <v>475</v>
      </c>
      <c r="C14" s="58" t="s">
        <v>49</v>
      </c>
      <c r="D14" s="59" t="s">
        <v>357</v>
      </c>
      <c r="E14" s="60" t="s">
        <v>50</v>
      </c>
    </row>
    <row r="15" spans="1:8">
      <c r="A15" s="49" t="s">
        <v>631</v>
      </c>
      <c r="B15" s="40">
        <f>SUM(C15:E15)</f>
        <v>105.34299999999999</v>
      </c>
      <c r="C15" s="40">
        <f>SUM(C9:C10)</f>
        <v>19.795999999999999</v>
      </c>
      <c r="D15" s="40">
        <f>SUM(D9:D10)</f>
        <v>85.546999999999997</v>
      </c>
      <c r="E15" s="41">
        <f>SUM(E9:E10)</f>
        <v>0</v>
      </c>
    </row>
    <row r="16" spans="1:8">
      <c r="A16" s="53" t="s">
        <v>630</v>
      </c>
      <c r="B16" s="46"/>
      <c r="C16" s="54">
        <f>C15/$B15</f>
        <v>0.18791946308724833</v>
      </c>
      <c r="D16" s="54">
        <f>D15/$B15</f>
        <v>0.81208053691275173</v>
      </c>
      <c r="E16" s="55">
        <f>E15/$B15</f>
        <v>0</v>
      </c>
    </row>
    <row r="17" spans="1:5">
      <c r="A17" s="56" t="s">
        <v>629</v>
      </c>
      <c r="B17" s="57" t="s">
        <v>475</v>
      </c>
      <c r="C17" s="58" t="s">
        <v>49</v>
      </c>
      <c r="D17" s="59" t="s">
        <v>357</v>
      </c>
      <c r="E17" s="60" t="s">
        <v>50</v>
      </c>
    </row>
    <row r="18" spans="1:5">
      <c r="A18" s="8" t="s">
        <v>628</v>
      </c>
      <c r="B18" s="40">
        <f>SUM(B5:B10)</f>
        <v>257.47699999999998</v>
      </c>
      <c r="C18" s="40">
        <f>SUM(C5:C10)</f>
        <v>134.46099999999998</v>
      </c>
      <c r="D18" s="40">
        <f>SUM(D5:D10)</f>
        <v>123.01599999999999</v>
      </c>
      <c r="E18" s="41">
        <f>SUM(E5:E10)</f>
        <v>0</v>
      </c>
    </row>
    <row r="19" spans="1:5">
      <c r="A19" s="21" t="s">
        <v>627</v>
      </c>
      <c r="B19" s="47"/>
      <c r="C19" s="54">
        <f>C18/$B18</f>
        <v>0.52222528614206321</v>
      </c>
      <c r="D19" s="54">
        <f>D18/$B18</f>
        <v>0.47777471385793685</v>
      </c>
      <c r="E19" s="55">
        <f>E18/$B18</f>
        <v>0</v>
      </c>
    </row>
    <row r="20" spans="1:5">
      <c r="B20" s="786"/>
      <c r="C20" s="786"/>
      <c r="D20" s="786"/>
      <c r="E20" s="786"/>
    </row>
    <row r="21" spans="1:5">
      <c r="A21" s="19" t="s">
        <v>694</v>
      </c>
      <c r="B21" s="58" t="s">
        <v>574</v>
      </c>
      <c r="C21" s="58" t="s">
        <v>49</v>
      </c>
      <c r="D21" s="59" t="s">
        <v>357</v>
      </c>
      <c r="E21" s="60" t="s">
        <v>50</v>
      </c>
    </row>
    <row r="22" spans="1:5">
      <c r="A22" s="8" t="s">
        <v>626</v>
      </c>
      <c r="B22" s="40">
        <v>53</v>
      </c>
      <c r="C22" s="40">
        <v>25</v>
      </c>
      <c r="D22" s="40">
        <v>28</v>
      </c>
      <c r="E22" s="41">
        <v>0</v>
      </c>
    </row>
    <row r="23" spans="1:5">
      <c r="A23" s="8" t="s">
        <v>624</v>
      </c>
      <c r="B23" s="40">
        <v>61</v>
      </c>
      <c r="C23" s="40">
        <v>2</v>
      </c>
      <c r="D23" s="40">
        <v>9</v>
      </c>
      <c r="E23" s="41">
        <v>50</v>
      </c>
    </row>
    <row r="24" spans="1:5">
      <c r="A24" s="8" t="s">
        <v>693</v>
      </c>
      <c r="B24" s="40">
        <v>115</v>
      </c>
      <c r="C24" s="40">
        <v>28</v>
      </c>
      <c r="D24" s="40">
        <v>37</v>
      </c>
      <c r="E24" s="41">
        <v>50</v>
      </c>
    </row>
    <row r="25" spans="1:5">
      <c r="A25" s="21" t="s">
        <v>463</v>
      </c>
      <c r="B25" s="47"/>
      <c r="C25" s="54">
        <f>C24/$B24</f>
        <v>0.24347826086956523</v>
      </c>
      <c r="D25" s="54">
        <f>D24/$B24</f>
        <v>0.32173913043478258</v>
      </c>
      <c r="E25" s="55">
        <f>E24/$B24</f>
        <v>0.43478260869565216</v>
      </c>
    </row>
    <row r="26" spans="1:5">
      <c r="B26" s="786"/>
      <c r="C26" s="786"/>
      <c r="D26" s="786"/>
      <c r="E26" s="786"/>
    </row>
    <row r="27" spans="1:5">
      <c r="A27" s="19" t="s">
        <v>625</v>
      </c>
      <c r="B27" s="58" t="s">
        <v>543</v>
      </c>
      <c r="C27" s="58" t="s">
        <v>49</v>
      </c>
      <c r="D27" s="59" t="s">
        <v>357</v>
      </c>
      <c r="E27" s="60" t="s">
        <v>50</v>
      </c>
    </row>
    <row r="28" spans="1:5">
      <c r="A28" s="8" t="s">
        <v>624</v>
      </c>
      <c r="B28" s="40">
        <f>SUM(C28:E28)</f>
        <v>61</v>
      </c>
      <c r="C28" s="61">
        <f>C23</f>
        <v>2</v>
      </c>
      <c r="D28" s="61">
        <f>D23</f>
        <v>9</v>
      </c>
      <c r="E28" s="62">
        <f>E23</f>
        <v>50</v>
      </c>
    </row>
    <row r="29" spans="1:5">
      <c r="A29" s="21" t="s">
        <v>623</v>
      </c>
      <c r="B29" s="47"/>
      <c r="C29" s="54">
        <f>C28/$B28</f>
        <v>3.2786885245901641E-2</v>
      </c>
      <c r="D29" s="54">
        <f>D28/$B28</f>
        <v>0.14754098360655737</v>
      </c>
      <c r="E29" s="55">
        <f>E28/$B28</f>
        <v>0.81967213114754101</v>
      </c>
    </row>
    <row r="31" spans="1:5">
      <c r="A31" s="19" t="s">
        <v>622</v>
      </c>
      <c r="B31" s="58"/>
      <c r="C31" s="58"/>
      <c r="D31" s="58"/>
      <c r="E31" s="63"/>
    </row>
    <row r="32" spans="1:5" ht="27.6">
      <c r="A32" s="724" t="s">
        <v>621</v>
      </c>
      <c r="B32" s="14"/>
      <c r="C32" s="14"/>
      <c r="D32" s="138">
        <v>2993611</v>
      </c>
      <c r="E32" s="15"/>
    </row>
    <row r="33" spans="1:5" ht="27.6">
      <c r="A33" s="724" t="s">
        <v>620</v>
      </c>
      <c r="B33" s="14"/>
      <c r="C33" s="14"/>
      <c r="D33" s="138">
        <v>1387551</v>
      </c>
      <c r="E33" s="15"/>
    </row>
    <row r="34" spans="1:5" ht="27.6">
      <c r="A34" s="724" t="s">
        <v>619</v>
      </c>
      <c r="B34" s="14"/>
      <c r="C34" s="14"/>
      <c r="D34" s="138">
        <v>985030</v>
      </c>
      <c r="E34" s="15"/>
    </row>
    <row r="35" spans="1:5" ht="27.6">
      <c r="A35" s="724" t="s">
        <v>618</v>
      </c>
      <c r="B35" s="14"/>
      <c r="C35" s="14"/>
      <c r="D35" s="138">
        <v>816259</v>
      </c>
      <c r="E35" s="15"/>
    </row>
    <row r="36" spans="1:5">
      <c r="A36" s="724" t="s">
        <v>617</v>
      </c>
      <c r="B36" s="14"/>
      <c r="C36" s="14"/>
      <c r="D36" s="14">
        <f>SUM(D32:D35)</f>
        <v>6182451</v>
      </c>
      <c r="E36" s="15"/>
    </row>
    <row r="37" spans="1:5">
      <c r="A37" s="724"/>
      <c r="B37" s="14"/>
      <c r="C37" s="14"/>
      <c r="D37" s="14"/>
      <c r="E37" s="15"/>
    </row>
    <row r="38" spans="1:5">
      <c r="A38" s="724" t="s">
        <v>616</v>
      </c>
      <c r="B38" s="14"/>
      <c r="C38" s="27" t="s">
        <v>49</v>
      </c>
      <c r="D38" s="51" t="s">
        <v>357</v>
      </c>
      <c r="E38" s="52" t="s">
        <v>50</v>
      </c>
    </row>
    <row r="39" spans="1:5">
      <c r="A39" s="724" t="s">
        <v>615</v>
      </c>
      <c r="B39" s="725" t="s">
        <v>609</v>
      </c>
      <c r="C39" s="14">
        <f>D32*C25</f>
        <v>728879.20000000007</v>
      </c>
      <c r="D39" s="14">
        <f>D32*D25</f>
        <v>963161.79999999993</v>
      </c>
      <c r="E39" s="15">
        <f>D32*E25</f>
        <v>1301570</v>
      </c>
    </row>
    <row r="40" spans="1:5">
      <c r="A40" s="724" t="s">
        <v>614</v>
      </c>
      <c r="B40" s="725" t="s">
        <v>613</v>
      </c>
      <c r="C40" s="14">
        <f>D33*C29</f>
        <v>45493.475409836065</v>
      </c>
      <c r="D40" s="14">
        <f>D33*D29</f>
        <v>204720.63934426228</v>
      </c>
      <c r="E40" s="15">
        <f>D33*E29</f>
        <v>1137336.8852459018</v>
      </c>
    </row>
    <row r="41" spans="1:5">
      <c r="A41" s="724" t="s">
        <v>612</v>
      </c>
      <c r="B41" s="725" t="s">
        <v>611</v>
      </c>
      <c r="C41" s="14">
        <f>D34*C19</f>
        <v>514407.57360851654</v>
      </c>
      <c r="D41" s="14">
        <f>D34*D19</f>
        <v>470622.42639148352</v>
      </c>
      <c r="E41" s="15">
        <f>D34*E19</f>
        <v>0</v>
      </c>
    </row>
    <row r="42" spans="1:5">
      <c r="A42" s="724" t="s">
        <v>610</v>
      </c>
      <c r="B42" s="725" t="s">
        <v>609</v>
      </c>
      <c r="C42" s="14">
        <f>D35*C25</f>
        <v>198741.32173913045</v>
      </c>
      <c r="D42" s="14">
        <f>D35*D25</f>
        <v>262622.4608695652</v>
      </c>
      <c r="E42" s="15">
        <f>D35*E25</f>
        <v>354895.21739130432</v>
      </c>
    </row>
    <row r="43" spans="1:5">
      <c r="A43" s="8" t="s">
        <v>608</v>
      </c>
      <c r="B43" s="14">
        <f>SUM(C43:E43)</f>
        <v>6182451</v>
      </c>
      <c r="C43" s="17">
        <f>SUM(C39:C42)</f>
        <v>1487521.5707574831</v>
      </c>
      <c r="D43" s="17">
        <f>SUM(D39:D42)</f>
        <v>1901127.3266053109</v>
      </c>
      <c r="E43" s="65">
        <f>SUM(E39:E42)</f>
        <v>2793802.1026372057</v>
      </c>
    </row>
    <row r="44" spans="1:5">
      <c r="A44" s="21" t="s">
        <v>607</v>
      </c>
      <c r="B44" s="34"/>
      <c r="C44" s="66">
        <f>C43/$B43</f>
        <v>0.24060385933628639</v>
      </c>
      <c r="D44" s="66">
        <f>D43/$B43</f>
        <v>0.30750382439024765</v>
      </c>
      <c r="E44" s="67">
        <f>E43/$B43</f>
        <v>0.45189231627346593</v>
      </c>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2" tint="-0.499984740745262"/>
  </sheetPr>
  <dimension ref="A1:I52"/>
  <sheetViews>
    <sheetView showGridLines="0" zoomScale="80" zoomScaleNormal="80" workbookViewId="0">
      <pane ySplit="3" topLeftCell="A4" activePane="bottomLeft" state="frozen"/>
      <selection activeCell="O24" sqref="A1:XFD1048576"/>
      <selection pane="bottomLeft" activeCell="Y29" sqref="X29:Y29"/>
    </sheetView>
  </sheetViews>
  <sheetFormatPr defaultColWidth="9.109375" defaultRowHeight="13.8"/>
  <cols>
    <col min="1" max="1" width="37.6640625" style="4" customWidth="1"/>
    <col min="2" max="2" width="12.6640625" style="4" customWidth="1"/>
    <col min="3" max="4" width="10.109375" style="4" bestFit="1" customWidth="1"/>
    <col min="5" max="6" width="9.88671875" style="4" bestFit="1" customWidth="1"/>
    <col min="7" max="16384" width="9.109375" style="4"/>
  </cols>
  <sheetData>
    <row r="1" spans="1:9">
      <c r="A1" s="1" t="s">
        <v>482</v>
      </c>
    </row>
    <row r="2" spans="1:9">
      <c r="A2" s="8" t="s">
        <v>378</v>
      </c>
    </row>
    <row r="3" spans="1:9">
      <c r="A3" s="5" t="s">
        <v>563</v>
      </c>
      <c r="B3" s="6">
        <v>2010</v>
      </c>
      <c r="C3" s="6">
        <v>2011</v>
      </c>
      <c r="D3" s="6">
        <v>2012</v>
      </c>
      <c r="E3" s="6">
        <v>2013</v>
      </c>
      <c r="F3" s="6">
        <v>2014</v>
      </c>
      <c r="G3" s="6">
        <v>2015</v>
      </c>
      <c r="H3" s="6">
        <v>2016</v>
      </c>
      <c r="I3" s="6">
        <v>2017</v>
      </c>
    </row>
    <row r="4" spans="1:9">
      <c r="A4" s="26"/>
      <c r="B4" s="9"/>
      <c r="C4" s="9"/>
      <c r="D4" s="9"/>
      <c r="E4" s="11"/>
      <c r="F4" s="11"/>
      <c r="G4" s="11"/>
      <c r="H4" s="11"/>
      <c r="I4" s="11"/>
    </row>
    <row r="5" spans="1:9">
      <c r="A5" s="12" t="s">
        <v>351</v>
      </c>
      <c r="B5" s="9"/>
      <c r="C5" s="9"/>
      <c r="D5" s="9"/>
      <c r="E5" s="11"/>
      <c r="F5" s="11"/>
      <c r="G5" s="11"/>
      <c r="H5" s="11"/>
      <c r="I5" s="11"/>
    </row>
    <row r="6" spans="1:9">
      <c r="A6" s="28" t="str">
        <f>'EP Sch 4.0'!A38</f>
        <v>Total Direct Operations &amp; Maintenance</v>
      </c>
      <c r="B6" s="14">
        <f>'EP Sch 4.0'!B38</f>
        <v>11878835</v>
      </c>
      <c r="C6" s="14">
        <f>'EP Sch 4.0'!C38</f>
        <v>12365358</v>
      </c>
      <c r="D6" s="14">
        <f>'EP Sch 4.0'!D38</f>
        <v>13562158</v>
      </c>
      <c r="E6" s="17">
        <f>'EP Sch 4.0'!E38</f>
        <v>15747606.540000003</v>
      </c>
      <c r="F6" s="17">
        <f>'EP Sch 4.0'!F38</f>
        <v>17000619.539999999</v>
      </c>
      <c r="G6" s="17">
        <f>'EP Sch 4.0'!G38</f>
        <v>18493164</v>
      </c>
      <c r="H6" s="17">
        <f>'EP Sch 4.0'!H38</f>
        <v>17823311</v>
      </c>
      <c r="I6" s="17">
        <f>'EP Sch 4.0'!I38</f>
        <v>18187620</v>
      </c>
    </row>
    <row r="7" spans="1:9">
      <c r="A7" s="28" t="str">
        <f>'EP Sch 1.0'!A33</f>
        <v>Revenue Offsets</v>
      </c>
      <c r="B7" s="14">
        <f>'EP Sch 4.0'!B39</f>
        <v>-86190</v>
      </c>
      <c r="C7" s="14">
        <f>'EP Sch 4.0'!C39</f>
        <v>-70818</v>
      </c>
      <c r="D7" s="14">
        <f>'EP Sch 4.0'!D39</f>
        <v>-145105</v>
      </c>
      <c r="E7" s="17">
        <f>'EP Sch 4.0'!E39</f>
        <v>-260255.28000000003</v>
      </c>
      <c r="F7" s="17">
        <f>'EP Sch 4.0'!F39</f>
        <v>-265683.46000000008</v>
      </c>
      <c r="G7" s="17">
        <f>'EP Sch 4.0'!G39</f>
        <v>-244828</v>
      </c>
      <c r="H7" s="17">
        <f>'EP Sch 4.0'!H39</f>
        <v>-252498</v>
      </c>
      <c r="I7" s="17">
        <f>'EP Sch 4.0'!I39</f>
        <v>-260976</v>
      </c>
    </row>
    <row r="8" spans="1:9">
      <c r="A8" s="28"/>
      <c r="B8" s="14"/>
      <c r="C8" s="14"/>
      <c r="D8" s="14"/>
      <c r="E8" s="17"/>
      <c r="F8" s="17"/>
      <c r="G8" s="17"/>
      <c r="H8" s="17"/>
      <c r="I8" s="17"/>
    </row>
    <row r="9" spans="1:9" s="777" customFormat="1">
      <c r="A9" s="29" t="s">
        <v>576</v>
      </c>
      <c r="B9" s="160">
        <f t="shared" ref="B9:D9" si="0">SUM(B6:B8)</f>
        <v>11792645</v>
      </c>
      <c r="C9" s="160">
        <f t="shared" si="0"/>
        <v>12294540</v>
      </c>
      <c r="D9" s="160">
        <f t="shared" si="0"/>
        <v>13417053</v>
      </c>
      <c r="E9" s="162">
        <f t="shared" ref="E9:F9" si="1">SUM(E6:E8)</f>
        <v>15487351.260000004</v>
      </c>
      <c r="F9" s="162">
        <f t="shared" si="1"/>
        <v>16734936.079999998</v>
      </c>
      <c r="G9" s="162">
        <f t="shared" ref="G9:I9" si="2">SUM(G6:G8)</f>
        <v>18248336</v>
      </c>
      <c r="H9" s="162">
        <f t="shared" si="2"/>
        <v>17570813</v>
      </c>
      <c r="I9" s="162">
        <f t="shared" si="2"/>
        <v>17926644</v>
      </c>
    </row>
    <row r="10" spans="1:9">
      <c r="B10" s="14"/>
      <c r="C10" s="14"/>
      <c r="D10" s="14"/>
      <c r="E10" s="17"/>
      <c r="F10" s="17"/>
      <c r="G10" s="17"/>
      <c r="H10" s="17"/>
      <c r="I10" s="17"/>
    </row>
    <row r="11" spans="1:9">
      <c r="A11" s="31" t="s">
        <v>649</v>
      </c>
      <c r="B11" s="9"/>
      <c r="C11" s="9"/>
      <c r="D11" s="9"/>
      <c r="E11" s="11"/>
      <c r="F11" s="11"/>
      <c r="G11" s="11"/>
      <c r="H11" s="11"/>
      <c r="I11" s="11"/>
    </row>
    <row r="12" spans="1:9">
      <c r="A12" s="22" t="s">
        <v>538</v>
      </c>
      <c r="B12" s="23">
        <f>'EP Sch 4.0'!B16</f>
        <v>3748340</v>
      </c>
      <c r="C12" s="23">
        <f>'EP Sch 4.0'!C16</f>
        <v>4118326</v>
      </c>
      <c r="D12" s="23">
        <f>'EP Sch 4.0'!D16</f>
        <v>4785296</v>
      </c>
      <c r="E12" s="25">
        <f>'EP Sch 4.0'!E16</f>
        <v>5713336</v>
      </c>
      <c r="F12" s="25">
        <f>'EP Sch 4.0'!F16</f>
        <v>6182450.1299999999</v>
      </c>
      <c r="G12" s="25">
        <f>'EP Sch 4.0'!G16</f>
        <v>6601963</v>
      </c>
      <c r="H12" s="25">
        <f>'EP Sch 4.0'!H16</f>
        <v>6959657</v>
      </c>
      <c r="I12" s="25">
        <f>'EP Sch 4.0'!I16</f>
        <v>6935092</v>
      </c>
    </row>
    <row r="13" spans="1:9">
      <c r="A13" s="8" t="s">
        <v>648</v>
      </c>
      <c r="B13" s="9"/>
      <c r="C13" s="9"/>
      <c r="D13" s="9"/>
      <c r="E13" s="11"/>
      <c r="F13" s="11"/>
      <c r="G13" s="11"/>
      <c r="H13" s="11"/>
      <c r="I13" s="11"/>
    </row>
    <row r="14" spans="1:9">
      <c r="A14" s="13" t="s">
        <v>49</v>
      </c>
      <c r="B14" s="14">
        <f>B12*'EP Sch 5.0'!$C44</f>
        <v>901865.07010457572</v>
      </c>
      <c r="C14" s="14">
        <f>C12*'EP Sch 5.0'!$C44</f>
        <v>990885.12960497104</v>
      </c>
      <c r="D14" s="14">
        <f>D12*'EP Sch 5.0'!$C44</f>
        <v>1151360.6856664938</v>
      </c>
      <c r="E14" s="17">
        <f>E12*'EP Sch 5.0'!$C44</f>
        <v>1374650.691284941</v>
      </c>
      <c r="F14" s="17">
        <f>F12*'EP Sch 5.0'!$C44</f>
        <v>1487521.3614321256</v>
      </c>
      <c r="G14" s="17">
        <f>G12*'EP Sch 5.0'!$C44</f>
        <v>1588457.7769953674</v>
      </c>
      <c r="H14" s="17">
        <f>H12*'EP Sch 5.0'!$C44</f>
        <v>1674520.333856801</v>
      </c>
      <c r="I14" s="17">
        <f>I12*'EP Sch 5.0'!$C44</f>
        <v>1668609.900052205</v>
      </c>
    </row>
    <row r="15" spans="1:9">
      <c r="A15" s="13" t="s">
        <v>357</v>
      </c>
      <c r="B15" s="14">
        <f>B12*'EP Sch 5.0'!$D44</f>
        <v>1152628.8851149408</v>
      </c>
      <c r="C15" s="14">
        <f>C12*'EP Sch 5.0'!$D44</f>
        <v>1266400.995085791</v>
      </c>
      <c r="D15" s="14">
        <f>D12*'EP Sch 5.0'!$D44</f>
        <v>1471496.8208393545</v>
      </c>
      <c r="E15" s="17">
        <f>E12*'EP Sch 5.0'!$D44</f>
        <v>1756872.67002648</v>
      </c>
      <c r="F15" s="17">
        <f>F12*'EP Sch 5.0'!$D44</f>
        <v>1901127.0590769837</v>
      </c>
      <c r="G15" s="17">
        <f>G12*'EP Sch 5.0'!$D44</f>
        <v>2030128.8709829126</v>
      </c>
      <c r="H15" s="17">
        <f>H12*'EP Sch 5.0'!$D44</f>
        <v>2140121.143944358</v>
      </c>
      <c r="I15" s="17">
        <f>I12*'EP Sch 5.0'!$D44</f>
        <v>2132567.3124982114</v>
      </c>
    </row>
    <row r="16" spans="1:9">
      <c r="A16" s="13" t="s">
        <v>50</v>
      </c>
      <c r="B16" s="14">
        <f>B12*'EP Sch 5.0'!$E44</f>
        <v>1693846.0447804832</v>
      </c>
      <c r="C16" s="14">
        <f>C12*'EP Sch 5.0'!$E44</f>
        <v>1861039.8753092377</v>
      </c>
      <c r="D16" s="14">
        <f>D12*'EP Sch 5.0'!$E44</f>
        <v>2162438.4934941516</v>
      </c>
      <c r="E16" s="17">
        <f>E12*'EP Sch 5.0'!$E44</f>
        <v>2581812.6386885787</v>
      </c>
      <c r="F16" s="17">
        <f>F12*'EP Sch 5.0'!$E44</f>
        <v>2793801.7094908906</v>
      </c>
      <c r="G16" s="17">
        <f>G12*'EP Sch 5.0'!$E44</f>
        <v>2983376.3520217198</v>
      </c>
      <c r="H16" s="17">
        <f>H12*'EP Sch 5.0'!$E44</f>
        <v>3145015.522198841</v>
      </c>
      <c r="I16" s="17">
        <f>I12*'EP Sch 5.0'!$E44</f>
        <v>3133914.7874495834</v>
      </c>
    </row>
    <row r="17" spans="1:9" s="777" customFormat="1">
      <c r="A17" s="73" t="s">
        <v>48</v>
      </c>
      <c r="B17" s="160">
        <f t="shared" ref="B17:D17" si="3">SUM(B14:B16)</f>
        <v>3748340</v>
      </c>
      <c r="C17" s="160">
        <f t="shared" si="3"/>
        <v>4118325.9999999995</v>
      </c>
      <c r="D17" s="160">
        <f t="shared" si="3"/>
        <v>4785296</v>
      </c>
      <c r="E17" s="162">
        <f t="shared" ref="E17:F17" si="4">SUM(E14:E16)</f>
        <v>5713336</v>
      </c>
      <c r="F17" s="162">
        <f t="shared" si="4"/>
        <v>6182450.1299999999</v>
      </c>
      <c r="G17" s="162">
        <f t="shared" ref="G17:I17" si="5">SUM(G14:G16)</f>
        <v>6601963</v>
      </c>
      <c r="H17" s="162">
        <f t="shared" si="5"/>
        <v>6959657</v>
      </c>
      <c r="I17" s="162">
        <f t="shared" si="5"/>
        <v>6935092</v>
      </c>
    </row>
    <row r="18" spans="1:9">
      <c r="B18" s="9"/>
      <c r="C18" s="9"/>
      <c r="D18" s="9"/>
      <c r="E18" s="11"/>
      <c r="F18" s="11"/>
      <c r="G18" s="11"/>
      <c r="H18" s="11"/>
      <c r="I18" s="11"/>
    </row>
    <row r="19" spans="1:9">
      <c r="A19" s="22" t="s">
        <v>647</v>
      </c>
      <c r="B19" s="23">
        <f>'EP Sch 4.0'!B17</f>
        <v>467608</v>
      </c>
      <c r="C19" s="23">
        <f>'EP Sch 4.0'!C17</f>
        <v>429674</v>
      </c>
      <c r="D19" s="23">
        <f>'EP Sch 4.0'!D17</f>
        <v>350599</v>
      </c>
      <c r="E19" s="25">
        <f>'EP Sch 4.0'!E17</f>
        <v>718446.85000000021</v>
      </c>
      <c r="F19" s="25">
        <f>'EP Sch 4.0'!F17</f>
        <v>450815.05</v>
      </c>
      <c r="G19" s="25">
        <f>'EP Sch 4.0'!G17</f>
        <v>568803</v>
      </c>
      <c r="H19" s="25">
        <f>'EP Sch 4.0'!H17</f>
        <v>597165</v>
      </c>
      <c r="I19" s="25">
        <f>'EP Sch 4.0'!I17</f>
        <v>624506</v>
      </c>
    </row>
    <row r="20" spans="1:9">
      <c r="A20" s="8" t="s">
        <v>646</v>
      </c>
      <c r="B20" s="9"/>
      <c r="C20" s="9"/>
      <c r="D20" s="9"/>
      <c r="E20" s="11"/>
      <c r="F20" s="11"/>
      <c r="G20" s="11"/>
      <c r="H20" s="11"/>
      <c r="I20" s="11"/>
    </row>
    <row r="21" spans="1:9">
      <c r="A21" s="13" t="s">
        <v>49</v>
      </c>
      <c r="B21" s="14">
        <f>B19*'EP Sch 5.0'!$C25</f>
        <v>113852.38260869565</v>
      </c>
      <c r="C21" s="14">
        <f>C19*'EP Sch 5.0'!$C25</f>
        <v>104616.27826086957</v>
      </c>
      <c r="D21" s="14">
        <f>D19*'EP Sch 5.0'!$C25</f>
        <v>85363.234782608706</v>
      </c>
      <c r="E21" s="17">
        <f>E19*'EP Sch 5.0'!$C25</f>
        <v>174926.18956521744</v>
      </c>
      <c r="F21" s="17">
        <f>F19*'EP Sch 5.0'!$C25</f>
        <v>109763.6643478261</v>
      </c>
      <c r="G21" s="17">
        <f>G19*'EP Sch 5.0'!$C25</f>
        <v>138491.1652173913</v>
      </c>
      <c r="H21" s="17">
        <f>H19*'EP Sch 5.0'!$C25</f>
        <v>145396.69565217392</v>
      </c>
      <c r="I21" s="17">
        <f>I19*'EP Sch 5.0'!$C25</f>
        <v>152053.63478260871</v>
      </c>
    </row>
    <row r="22" spans="1:9">
      <c r="A22" s="13" t="s">
        <v>357</v>
      </c>
      <c r="B22" s="14">
        <f>B19*'EP Sch 5.0'!$D25</f>
        <v>150447.7913043478</v>
      </c>
      <c r="C22" s="14">
        <f>C19*'EP Sch 5.0'!$D25</f>
        <v>138242.93913043477</v>
      </c>
      <c r="D22" s="14">
        <f>D19*'EP Sch 5.0'!$D25</f>
        <v>112801.41739130433</v>
      </c>
      <c r="E22" s="17">
        <f>E19*'EP Sch 5.0'!$D25</f>
        <v>231152.46478260873</v>
      </c>
      <c r="F22" s="17">
        <f>F19*'EP Sch 5.0'!$D25</f>
        <v>145044.84217391303</v>
      </c>
      <c r="G22" s="17">
        <f>G19*'EP Sch 5.0'!$D25</f>
        <v>183006.18260869564</v>
      </c>
      <c r="H22" s="17">
        <f>H19*'EP Sch 5.0'!$D25</f>
        <v>192131.34782608695</v>
      </c>
      <c r="I22" s="17">
        <f>I19*'EP Sch 5.0'!$D25</f>
        <v>200928.01739130434</v>
      </c>
    </row>
    <row r="23" spans="1:9">
      <c r="A23" s="13" t="s">
        <v>50</v>
      </c>
      <c r="B23" s="14">
        <f>B19*'EP Sch 5.0'!$E25</f>
        <v>203307.82608695651</v>
      </c>
      <c r="C23" s="14">
        <f>C19*'EP Sch 5.0'!$E25</f>
        <v>186814.78260869565</v>
      </c>
      <c r="D23" s="14">
        <f>D19*'EP Sch 5.0'!$E25</f>
        <v>152434.34782608695</v>
      </c>
      <c r="E23" s="17">
        <f>E19*'EP Sch 5.0'!$E25</f>
        <v>312368.19565217401</v>
      </c>
      <c r="F23" s="17">
        <f>F19*'EP Sch 5.0'!$E25</f>
        <v>196006.54347826086</v>
      </c>
      <c r="G23" s="17">
        <f>G19*'EP Sch 5.0'!$E25</f>
        <v>247305.65217391303</v>
      </c>
      <c r="H23" s="17">
        <f>H19*'EP Sch 5.0'!$E25</f>
        <v>259636.95652173914</v>
      </c>
      <c r="I23" s="17">
        <f>I19*'EP Sch 5.0'!$E25</f>
        <v>271524.34782608697</v>
      </c>
    </row>
    <row r="24" spans="1:9" s="777" customFormat="1">
      <c r="A24" s="73" t="s">
        <v>48</v>
      </c>
      <c r="B24" s="160">
        <f t="shared" ref="B24:D24" si="6">SUM(B21:B23)</f>
        <v>467608</v>
      </c>
      <c r="C24" s="160">
        <f t="shared" si="6"/>
        <v>429674</v>
      </c>
      <c r="D24" s="160">
        <f t="shared" si="6"/>
        <v>350599</v>
      </c>
      <c r="E24" s="162">
        <f t="shared" ref="E24:F24" si="7">SUM(E21:E23)</f>
        <v>718446.85000000009</v>
      </c>
      <c r="F24" s="162">
        <f t="shared" si="7"/>
        <v>450815.05</v>
      </c>
      <c r="G24" s="162">
        <f t="shared" ref="G24:I24" si="8">SUM(G21:G23)</f>
        <v>568803</v>
      </c>
      <c r="H24" s="162">
        <f t="shared" si="8"/>
        <v>597165</v>
      </c>
      <c r="I24" s="162">
        <f t="shared" si="8"/>
        <v>624506</v>
      </c>
    </row>
    <row r="25" spans="1:9">
      <c r="B25" s="9"/>
      <c r="C25" s="9"/>
      <c r="D25" s="9"/>
      <c r="E25" s="11"/>
      <c r="F25" s="11"/>
      <c r="G25" s="11"/>
      <c r="H25" s="11"/>
      <c r="I25" s="11"/>
    </row>
    <row r="26" spans="1:9">
      <c r="A26" s="22" t="s">
        <v>536</v>
      </c>
      <c r="B26" s="23">
        <f>'EP Sch 4.0'!B18</f>
        <v>4378148</v>
      </c>
      <c r="C26" s="23">
        <f>'EP Sch 4.0'!C18</f>
        <v>4542013</v>
      </c>
      <c r="D26" s="23">
        <f>'EP Sch 4.0'!D18</f>
        <v>4892386</v>
      </c>
      <c r="E26" s="25">
        <f>'EP Sch 4.0'!E18</f>
        <v>5275313.7300000014</v>
      </c>
      <c r="F26" s="25">
        <f>'EP Sch 4.0'!F18</f>
        <v>5827758.5</v>
      </c>
      <c r="G26" s="25">
        <f>'EP Sch 4.0'!G18</f>
        <v>6648812</v>
      </c>
      <c r="H26" s="25">
        <f>'EP Sch 4.0'!H18</f>
        <v>5593818</v>
      </c>
      <c r="I26" s="25">
        <f>'EP Sch 4.0'!I18</f>
        <v>5775686</v>
      </c>
    </row>
    <row r="27" spans="1:9">
      <c r="A27" s="8" t="s">
        <v>645</v>
      </c>
      <c r="B27" s="14"/>
      <c r="C27" s="14"/>
      <c r="D27" s="14"/>
      <c r="E27" s="17"/>
      <c r="F27" s="17"/>
      <c r="G27" s="17"/>
      <c r="H27" s="17"/>
      <c r="I27" s="17"/>
    </row>
    <row r="28" spans="1:9">
      <c r="A28" s="13" t="s">
        <v>49</v>
      </c>
      <c r="B28" s="14">
        <f>B26*'EP Sch 5.0'!$C29</f>
        <v>143545.83606557379</v>
      </c>
      <c r="C28" s="14">
        <f>C26*'EP Sch 5.0'!$C29</f>
        <v>148918.45901639346</v>
      </c>
      <c r="D28" s="14">
        <f>D26*'EP Sch 5.0'!$C29</f>
        <v>160406.09836065574</v>
      </c>
      <c r="E28" s="17">
        <f>E26*'EP Sch 5.0'!$C29</f>
        <v>172961.10590163938</v>
      </c>
      <c r="F28" s="17">
        <f>F26*'EP Sch 5.0'!$C29</f>
        <v>191074.04918032789</v>
      </c>
      <c r="G28" s="17">
        <f>G26*'EP Sch 5.0'!$C29</f>
        <v>217993.83606557379</v>
      </c>
      <c r="H28" s="17">
        <f>H26*'EP Sch 5.0'!$C29</f>
        <v>183403.86885245904</v>
      </c>
      <c r="I28" s="17">
        <f>I26*'EP Sch 5.0'!$C29</f>
        <v>189366.75409836066</v>
      </c>
    </row>
    <row r="29" spans="1:9">
      <c r="A29" s="13" t="s">
        <v>357</v>
      </c>
      <c r="B29" s="14">
        <f>B26*'EP Sch 5.0'!$D29</f>
        <v>645956.26229508198</v>
      </c>
      <c r="C29" s="14">
        <f>C26*'EP Sch 5.0'!$D29</f>
        <v>670133.06557377044</v>
      </c>
      <c r="D29" s="14">
        <f>D26*'EP Sch 5.0'!$D29</f>
        <v>721827.44262295077</v>
      </c>
      <c r="E29" s="17">
        <f>E26*'EP Sch 5.0'!$D29</f>
        <v>778324.97655737726</v>
      </c>
      <c r="F29" s="17">
        <f>F26*'EP Sch 5.0'!$D29</f>
        <v>859833.22131147538</v>
      </c>
      <c r="G29" s="17">
        <f>G26*'EP Sch 5.0'!$D29</f>
        <v>980972.26229508198</v>
      </c>
      <c r="H29" s="17">
        <f>H26*'EP Sch 5.0'!$D29</f>
        <v>825317.40983606561</v>
      </c>
      <c r="I29" s="17">
        <f>I26*'EP Sch 5.0'!$D29</f>
        <v>852150.39344262297</v>
      </c>
    </row>
    <row r="30" spans="1:9">
      <c r="A30" s="13" t="s">
        <v>50</v>
      </c>
      <c r="B30" s="14">
        <f>B26*'EP Sch 5.0'!$E29</f>
        <v>3588645.9016393442</v>
      </c>
      <c r="C30" s="14">
        <f>C26*'EP Sch 5.0'!$E29</f>
        <v>3722961.475409836</v>
      </c>
      <c r="D30" s="14">
        <f>D26*'EP Sch 5.0'!$E29</f>
        <v>4010152.4590163934</v>
      </c>
      <c r="E30" s="17">
        <f>E26*'EP Sch 5.0'!$E29</f>
        <v>4324027.6475409847</v>
      </c>
      <c r="F30" s="17">
        <f>F26*'EP Sch 5.0'!$E29</f>
        <v>4776851.2295081969</v>
      </c>
      <c r="G30" s="17">
        <f>G26*'EP Sch 5.0'!$E29</f>
        <v>5449845.9016393442</v>
      </c>
      <c r="H30" s="17">
        <f>H26*'EP Sch 5.0'!$E29</f>
        <v>4585096.7213114752</v>
      </c>
      <c r="I30" s="17">
        <f>I26*'EP Sch 5.0'!$E29</f>
        <v>4734168.8524590163</v>
      </c>
    </row>
    <row r="31" spans="1:9" s="777" customFormat="1">
      <c r="A31" s="73" t="s">
        <v>48</v>
      </c>
      <c r="B31" s="160">
        <f t="shared" ref="B31:D31" si="9">SUM(B28:B30)</f>
        <v>4378148</v>
      </c>
      <c r="C31" s="160">
        <f t="shared" si="9"/>
        <v>4542013</v>
      </c>
      <c r="D31" s="160">
        <f t="shared" si="9"/>
        <v>4892386</v>
      </c>
      <c r="E31" s="162">
        <f t="shared" ref="E31:F31" si="10">SUM(E28:E30)</f>
        <v>5275313.7300000014</v>
      </c>
      <c r="F31" s="162">
        <f t="shared" si="10"/>
        <v>5827758.5</v>
      </c>
      <c r="G31" s="162">
        <f t="shared" ref="G31:I31" si="11">SUM(G28:G30)</f>
        <v>6648812</v>
      </c>
      <c r="H31" s="162">
        <f t="shared" si="11"/>
        <v>5593818</v>
      </c>
      <c r="I31" s="162">
        <f t="shared" si="11"/>
        <v>5775686</v>
      </c>
    </row>
    <row r="32" spans="1:9">
      <c r="B32" s="9"/>
      <c r="C32" s="9"/>
      <c r="D32" s="9"/>
      <c r="E32" s="11"/>
      <c r="F32" s="11"/>
      <c r="G32" s="11"/>
      <c r="H32" s="11"/>
      <c r="I32" s="11"/>
    </row>
    <row r="33" spans="1:9">
      <c r="A33" s="22" t="str">
        <f>'EP Sch 4.0'!A19</f>
        <v>Overhead Lines Expenses</v>
      </c>
      <c r="B33" s="23">
        <f>'EP Sch 4.0'!B19</f>
        <v>615334</v>
      </c>
      <c r="C33" s="23">
        <f>'EP Sch 4.0'!C19</f>
        <v>539032</v>
      </c>
      <c r="D33" s="23">
        <f>'EP Sch 4.0'!D19</f>
        <v>588581</v>
      </c>
      <c r="E33" s="25">
        <f>'EP Sch 4.0'!E19</f>
        <v>662422.66</v>
      </c>
      <c r="F33" s="25">
        <f>'EP Sch 4.0'!F19</f>
        <v>733442.41</v>
      </c>
      <c r="G33" s="25">
        <f>'EP Sch 4.0'!G19</f>
        <v>880736</v>
      </c>
      <c r="H33" s="25">
        <f>'EP Sch 4.0'!H19</f>
        <v>879731</v>
      </c>
      <c r="I33" s="25">
        <f>'EP Sch 4.0'!I19</f>
        <v>912982</v>
      </c>
    </row>
    <row r="34" spans="1:9">
      <c r="A34" s="8" t="s">
        <v>644</v>
      </c>
      <c r="B34" s="14"/>
      <c r="C34" s="14"/>
      <c r="D34" s="14"/>
      <c r="E34" s="17"/>
      <c r="F34" s="17"/>
      <c r="G34" s="17"/>
      <c r="H34" s="17"/>
      <c r="I34" s="17"/>
    </row>
    <row r="35" spans="1:9">
      <c r="A35" s="13" t="s">
        <v>49</v>
      </c>
      <c r="B35" s="14">
        <f>B33*'EP Sch 5.0'!$C13</f>
        <v>463783.72428254038</v>
      </c>
      <c r="C35" s="14">
        <f>C33*'EP Sch 5.0'!$C13</f>
        <v>406274.10230454733</v>
      </c>
      <c r="D35" s="14">
        <f>D33*'EP Sch 5.0'!$C13</f>
        <v>443619.70608148084</v>
      </c>
      <c r="E35" s="17">
        <f>E33*'EP Sch 5.0'!$C13</f>
        <v>499274.9438580462</v>
      </c>
      <c r="F35" s="17">
        <f>F33*'EP Sch 5.0'!$C13</f>
        <v>552803.27831155434</v>
      </c>
      <c r="G35" s="17">
        <f>G33*'EP Sch 5.0'!$C13</f>
        <v>663820.01025411813</v>
      </c>
      <c r="H35" s="17">
        <f>H33*'EP Sch 5.0'!$C13</f>
        <v>663062.53115674341</v>
      </c>
      <c r="I35" s="17">
        <f>I33*'EP Sch 5.0'!$C13</f>
        <v>688124.16047694802</v>
      </c>
    </row>
    <row r="36" spans="1:9">
      <c r="A36" s="13" t="s">
        <v>357</v>
      </c>
      <c r="B36" s="14">
        <f>B33*'EP Sch 5.0'!$D13</f>
        <v>151550.27571745959</v>
      </c>
      <c r="C36" s="14">
        <f>C33*'EP Sch 5.0'!$D13</f>
        <v>132757.89769545267</v>
      </c>
      <c r="D36" s="14">
        <f>D33*'EP Sch 5.0'!$D13</f>
        <v>144961.29391851919</v>
      </c>
      <c r="E36" s="17">
        <f>E33*'EP Sch 5.0'!$D13</f>
        <v>163147.7161419538</v>
      </c>
      <c r="F36" s="17">
        <f>F33*'EP Sch 5.0'!$D13</f>
        <v>180639.13168844572</v>
      </c>
      <c r="G36" s="17">
        <f>G33*'EP Sch 5.0'!$D13</f>
        <v>216915.9897458819</v>
      </c>
      <c r="H36" s="17">
        <f>H33*'EP Sch 5.0'!$D13</f>
        <v>216668.46884325659</v>
      </c>
      <c r="I36" s="17">
        <f>I33*'EP Sch 5.0'!$D13</f>
        <v>224857.83952305204</v>
      </c>
    </row>
    <row r="37" spans="1:9">
      <c r="A37" s="13" t="s">
        <v>50</v>
      </c>
      <c r="B37" s="14">
        <f>B33*'EP Sch 5.0'!$E13</f>
        <v>0</v>
      </c>
      <c r="C37" s="14">
        <f>C33*'EP Sch 5.0'!$E13</f>
        <v>0</v>
      </c>
      <c r="D37" s="14">
        <f>D33*'EP Sch 5.0'!$E13</f>
        <v>0</v>
      </c>
      <c r="E37" s="17">
        <f>E33*'EP Sch 5.0'!$E13</f>
        <v>0</v>
      </c>
      <c r="F37" s="17">
        <f>F33*'EP Sch 5.0'!$E13</f>
        <v>0</v>
      </c>
      <c r="G37" s="17">
        <f>G33*'EP Sch 5.0'!$E13</f>
        <v>0</v>
      </c>
      <c r="H37" s="17">
        <f>H33*'EP Sch 5.0'!$E13</f>
        <v>0</v>
      </c>
      <c r="I37" s="17">
        <f>I33*'EP Sch 5.0'!$E13</f>
        <v>0</v>
      </c>
    </row>
    <row r="38" spans="1:9" s="777" customFormat="1">
      <c r="A38" s="73" t="s">
        <v>48</v>
      </c>
      <c r="B38" s="160">
        <f t="shared" ref="B38:D38" si="12">SUM(B35:B37)</f>
        <v>615334</v>
      </c>
      <c r="C38" s="160">
        <f t="shared" si="12"/>
        <v>539032</v>
      </c>
      <c r="D38" s="160">
        <f t="shared" si="12"/>
        <v>588581</v>
      </c>
      <c r="E38" s="162">
        <f t="shared" ref="E38:F38" si="13">SUM(E35:E37)</f>
        <v>662422.66</v>
      </c>
      <c r="F38" s="162">
        <f t="shared" si="13"/>
        <v>733442.41</v>
      </c>
      <c r="G38" s="162">
        <f t="shared" ref="G38:I38" si="14">SUM(G35:G37)</f>
        <v>880736</v>
      </c>
      <c r="H38" s="162">
        <f t="shared" si="14"/>
        <v>879731</v>
      </c>
      <c r="I38" s="162">
        <f t="shared" si="14"/>
        <v>912982</v>
      </c>
    </row>
    <row r="39" spans="1:9">
      <c r="B39" s="9"/>
      <c r="C39" s="9"/>
      <c r="D39" s="9"/>
      <c r="E39" s="11"/>
      <c r="F39" s="11"/>
      <c r="G39" s="11"/>
      <c r="H39" s="11"/>
      <c r="I39" s="11"/>
    </row>
    <row r="40" spans="1:9">
      <c r="A40" s="22" t="str">
        <f>'EP Sch 4.0'!A20</f>
        <v>Underground Line Expenses</v>
      </c>
      <c r="B40" s="23">
        <f>'EP Sch 4.0'!B20</f>
        <v>662548</v>
      </c>
      <c r="C40" s="23">
        <f>'EP Sch 4.0'!C20</f>
        <v>632418</v>
      </c>
      <c r="D40" s="23">
        <f>'EP Sch 4.0'!D20</f>
        <v>861288</v>
      </c>
      <c r="E40" s="25">
        <f>'EP Sch 4.0'!E20</f>
        <v>981827.79999999993</v>
      </c>
      <c r="F40" s="25">
        <f>'EP Sch 4.0'!F20</f>
        <v>1064195.75</v>
      </c>
      <c r="G40" s="25">
        <f>'EP Sch 4.0'!G20</f>
        <v>935036</v>
      </c>
      <c r="H40" s="25">
        <f>'EP Sch 4.0'!H20</f>
        <v>955791</v>
      </c>
      <c r="I40" s="25">
        <f>'EP Sch 4.0'!I20</f>
        <v>998197</v>
      </c>
    </row>
    <row r="41" spans="1:9">
      <c r="A41" s="8" t="s">
        <v>643</v>
      </c>
      <c r="B41" s="14"/>
      <c r="C41" s="14"/>
      <c r="D41" s="14"/>
      <c r="E41" s="17"/>
      <c r="F41" s="17"/>
      <c r="G41" s="17"/>
      <c r="H41" s="17"/>
      <c r="I41" s="17"/>
    </row>
    <row r="42" spans="1:9">
      <c r="A42" s="13" t="s">
        <v>49</v>
      </c>
      <c r="B42" s="14">
        <f>B40*'EP Sch 5.0'!$C16</f>
        <v>124505.66442953021</v>
      </c>
      <c r="C42" s="14">
        <f>C40*'EP Sch 5.0'!$C16</f>
        <v>118843.65100671141</v>
      </c>
      <c r="D42" s="14">
        <f>D40*'EP Sch 5.0'!$C16</f>
        <v>161852.77852348995</v>
      </c>
      <c r="E42" s="17">
        <f>E40*'EP Sch 5.0'!$C16</f>
        <v>184504.55302013422</v>
      </c>
      <c r="F42" s="17">
        <f>F40*'EP Sch 5.0'!$C16</f>
        <v>199983.09395973154</v>
      </c>
      <c r="G42" s="17">
        <f>G40*'EP Sch 5.0'!$C16</f>
        <v>175711.46308724832</v>
      </c>
      <c r="H42" s="17">
        <f>H40*'EP Sch 5.0'!$C16</f>
        <v>179611.73154362416</v>
      </c>
      <c r="I42" s="17">
        <f>I40*'EP Sch 5.0'!$C16</f>
        <v>187580.64429530202</v>
      </c>
    </row>
    <row r="43" spans="1:9">
      <c r="A43" s="13" t="s">
        <v>357</v>
      </c>
      <c r="B43" s="14">
        <f>B40*'EP Sch 5.0'!$D16</f>
        <v>538042.33557046985</v>
      </c>
      <c r="C43" s="14">
        <f>C40*'EP Sch 5.0'!$D16</f>
        <v>513574.34899328864</v>
      </c>
      <c r="D43" s="14">
        <f>D40*'EP Sch 5.0'!$D16</f>
        <v>699435.22147651017</v>
      </c>
      <c r="E43" s="17">
        <f>E40*'EP Sch 5.0'!$D16</f>
        <v>797323.24697986571</v>
      </c>
      <c r="F43" s="17">
        <f>F40*'EP Sch 5.0'!$D16</f>
        <v>864212.65604026848</v>
      </c>
      <c r="G43" s="17">
        <f>G40*'EP Sch 5.0'!$D16</f>
        <v>759324.53691275173</v>
      </c>
      <c r="H43" s="17">
        <f>H40*'EP Sch 5.0'!$D16</f>
        <v>776179.26845637592</v>
      </c>
      <c r="I43" s="17">
        <f>I40*'EP Sch 5.0'!$D16</f>
        <v>810616.35570469801</v>
      </c>
    </row>
    <row r="44" spans="1:9">
      <c r="A44" s="13" t="s">
        <v>50</v>
      </c>
      <c r="B44" s="14">
        <f>B40*'EP Sch 5.0'!$E16</f>
        <v>0</v>
      </c>
      <c r="C44" s="14">
        <f>C40*'EP Sch 5.0'!$E16</f>
        <v>0</v>
      </c>
      <c r="D44" s="14">
        <f>D40*'EP Sch 5.0'!$E16</f>
        <v>0</v>
      </c>
      <c r="E44" s="17">
        <f>E40*'EP Sch 5.0'!$E16</f>
        <v>0</v>
      </c>
      <c r="F44" s="17">
        <f>F40*'EP Sch 5.0'!$E16</f>
        <v>0</v>
      </c>
      <c r="G44" s="17">
        <f>G40*'EP Sch 5.0'!$E16</f>
        <v>0</v>
      </c>
      <c r="H44" s="17">
        <f>H40*'EP Sch 5.0'!$E16</f>
        <v>0</v>
      </c>
      <c r="I44" s="17">
        <f>I40*'EP Sch 5.0'!$E16</f>
        <v>0</v>
      </c>
    </row>
    <row r="45" spans="1:9" s="777" customFormat="1">
      <c r="A45" s="73" t="s">
        <v>48</v>
      </c>
      <c r="B45" s="160">
        <f t="shared" ref="B45:D45" si="15">SUM(B42:B44)</f>
        <v>662548</v>
      </c>
      <c r="C45" s="160">
        <f t="shared" si="15"/>
        <v>632418</v>
      </c>
      <c r="D45" s="160">
        <f t="shared" si="15"/>
        <v>861288.00000000012</v>
      </c>
      <c r="E45" s="162">
        <f t="shared" ref="E45:F45" si="16">SUM(E42:E44)</f>
        <v>981827.79999999993</v>
      </c>
      <c r="F45" s="162">
        <f t="shared" si="16"/>
        <v>1064195.75</v>
      </c>
      <c r="G45" s="162">
        <f t="shared" ref="G45:I45" si="17">SUM(G42:G44)</f>
        <v>935036</v>
      </c>
      <c r="H45" s="162">
        <f t="shared" si="17"/>
        <v>955791.00000000012</v>
      </c>
      <c r="I45" s="162">
        <f t="shared" si="17"/>
        <v>998197</v>
      </c>
    </row>
    <row r="46" spans="1:9">
      <c r="B46" s="9"/>
      <c r="C46" s="9"/>
      <c r="D46" s="9"/>
      <c r="E46" s="11"/>
      <c r="F46" s="11"/>
      <c r="G46" s="11"/>
      <c r="H46" s="11"/>
      <c r="I46" s="11"/>
    </row>
    <row r="47" spans="1:9">
      <c r="A47" s="22" t="str">
        <f>'EP Sch 4.0'!A21</f>
        <v>Miscellaneous Transmission Expenses</v>
      </c>
      <c r="B47" s="23">
        <f>'EP Sch 4.0'!B21</f>
        <v>1723478</v>
      </c>
      <c r="C47" s="23">
        <f>'EP Sch 4.0'!C21</f>
        <v>1605704</v>
      </c>
      <c r="D47" s="23">
        <f>'EP Sch 4.0'!D21</f>
        <v>1559773</v>
      </c>
      <c r="E47" s="25">
        <f>'EP Sch 4.0'!E21</f>
        <v>1742821.8199999998</v>
      </c>
      <c r="F47" s="25">
        <f>'EP Sch 4.0'!F21</f>
        <v>2122550.41</v>
      </c>
      <c r="G47" s="25">
        <f>'EP Sch 4.0'!G21</f>
        <v>2177077</v>
      </c>
      <c r="H47" s="25">
        <f>'EP Sch 4.0'!H21</f>
        <v>2088115</v>
      </c>
      <c r="I47" s="25">
        <f>'EP Sch 4.0'!I21</f>
        <v>2170179</v>
      </c>
    </row>
    <row r="48" spans="1:9">
      <c r="A48" s="8" t="s">
        <v>646</v>
      </c>
      <c r="B48" s="14"/>
      <c r="C48" s="14"/>
      <c r="D48" s="14"/>
      <c r="E48" s="17"/>
      <c r="F48" s="17"/>
      <c r="G48" s="17"/>
      <c r="H48" s="17"/>
      <c r="I48" s="17"/>
    </row>
    <row r="49" spans="1:9">
      <c r="A49" s="13" t="s">
        <v>49</v>
      </c>
      <c r="B49" s="14">
        <f>B47*'EP Sch 5.0'!$C25</f>
        <v>419629.42608695652</v>
      </c>
      <c r="C49" s="14">
        <f>C47*'EP Sch 5.0'!$C25</f>
        <v>390954.01739130437</v>
      </c>
      <c r="D49" s="14">
        <f>D47*'EP Sch 5.0'!$C25</f>
        <v>379770.81739130436</v>
      </c>
      <c r="E49" s="17">
        <f>E47*'EP Sch 5.0'!$C25</f>
        <v>424339.2257391304</v>
      </c>
      <c r="F49" s="17">
        <f>F47*'EP Sch 5.0'!$C25</f>
        <v>516794.88243478269</v>
      </c>
      <c r="G49" s="17">
        <f>G47*'EP Sch 5.0'!$C25</f>
        <v>530070.92173913051</v>
      </c>
      <c r="H49" s="17">
        <f>H47*'EP Sch 5.0'!$C25</f>
        <v>508410.60869565222</v>
      </c>
      <c r="I49" s="17">
        <f>I47*'EP Sch 5.0'!$C25</f>
        <v>528391.40869565215</v>
      </c>
    </row>
    <row r="50" spans="1:9">
      <c r="A50" s="13" t="s">
        <v>357</v>
      </c>
      <c r="B50" s="14">
        <f>B47*'EP Sch 5.0'!$D25</f>
        <v>554510.31304347818</v>
      </c>
      <c r="C50" s="14">
        <f>C47*'EP Sch 5.0'!$D25</f>
        <v>516617.80869565211</v>
      </c>
      <c r="D50" s="14">
        <f>D47*'EP Sch 5.0'!$D25</f>
        <v>501840.00869565213</v>
      </c>
      <c r="E50" s="17">
        <f>E47*'EP Sch 5.0'!$D25</f>
        <v>560733.97686956509</v>
      </c>
      <c r="F50" s="17">
        <f>F47*'EP Sch 5.0'!$D25</f>
        <v>682907.52321739134</v>
      </c>
      <c r="G50" s="17">
        <f>G47*'EP Sch 5.0'!$D25</f>
        <v>700450.86086956516</v>
      </c>
      <c r="H50" s="17">
        <f>H47*'EP Sch 5.0'!$D25</f>
        <v>671828.30434782605</v>
      </c>
      <c r="I50" s="17">
        <f>I47*'EP Sch 5.0'!$D25</f>
        <v>698231.504347826</v>
      </c>
    </row>
    <row r="51" spans="1:9">
      <c r="A51" s="13" t="s">
        <v>50</v>
      </c>
      <c r="B51" s="14">
        <f>B47*'EP Sch 5.0'!$E25</f>
        <v>749338.26086956519</v>
      </c>
      <c r="C51" s="14">
        <f>C47*'EP Sch 5.0'!$E25</f>
        <v>698132.17391304346</v>
      </c>
      <c r="D51" s="14">
        <f>D47*'EP Sch 5.0'!$E25</f>
        <v>678162.17391304346</v>
      </c>
      <c r="E51" s="17">
        <f>E47*'EP Sch 5.0'!$E25</f>
        <v>757748.61739130423</v>
      </c>
      <c r="F51" s="17">
        <f>F47*'EP Sch 5.0'!$E25</f>
        <v>922848.00434782612</v>
      </c>
      <c r="G51" s="17">
        <f>G47*'EP Sch 5.0'!$E25</f>
        <v>946555.21739130432</v>
      </c>
      <c r="H51" s="17">
        <f>H47*'EP Sch 5.0'!$E25</f>
        <v>907876.08695652173</v>
      </c>
      <c r="I51" s="17">
        <f>I47*'EP Sch 5.0'!$E25</f>
        <v>943556.08695652173</v>
      </c>
    </row>
    <row r="52" spans="1:9" s="777" customFormat="1">
      <c r="A52" s="73" t="s">
        <v>48</v>
      </c>
      <c r="B52" s="160">
        <f t="shared" ref="B52:D52" si="18">SUM(B49:B51)</f>
        <v>1723478</v>
      </c>
      <c r="C52" s="160">
        <f t="shared" si="18"/>
        <v>1605704</v>
      </c>
      <c r="D52" s="160">
        <f t="shared" si="18"/>
        <v>1559773</v>
      </c>
      <c r="E52" s="162">
        <f t="shared" ref="E52:F52" si="19">SUM(E49:E51)</f>
        <v>1742821.8199999998</v>
      </c>
      <c r="F52" s="162">
        <f t="shared" si="19"/>
        <v>2122550.41</v>
      </c>
      <c r="G52" s="162">
        <f t="shared" ref="G52:I52" si="20">SUM(G49:G51)</f>
        <v>2177077</v>
      </c>
      <c r="H52" s="162">
        <f t="shared" si="20"/>
        <v>2088115</v>
      </c>
      <c r="I52" s="162">
        <f t="shared" si="20"/>
        <v>2170179</v>
      </c>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ignoredErrors>
    <ignoredError sqref="B9:F9 E12:F12 E19:F19 E26:F33 E40:F47" emptyCellReference="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2" tint="-0.499984740745262"/>
  </sheetPr>
  <dimension ref="A1:I17"/>
  <sheetViews>
    <sheetView showGridLines="0" zoomScale="90" zoomScaleNormal="90" workbookViewId="0">
      <selection activeCell="E1" sqref="B1:E1048576"/>
    </sheetView>
  </sheetViews>
  <sheetFormatPr defaultColWidth="9.109375" defaultRowHeight="13.8"/>
  <cols>
    <col min="1" max="1" width="37.6640625" style="4" customWidth="1"/>
    <col min="2" max="2" width="13.33203125" style="4" customWidth="1"/>
    <col min="3" max="3" width="12" style="4" customWidth="1"/>
    <col min="4" max="4" width="11.109375" style="4" customWidth="1"/>
    <col min="5" max="9" width="9.88671875" style="4" bestFit="1" customWidth="1"/>
    <col min="10" max="16384" width="9.109375" style="4"/>
  </cols>
  <sheetData>
    <row r="1" spans="1:9">
      <c r="A1" s="1" t="s">
        <v>482</v>
      </c>
    </row>
    <row r="2" spans="1:9">
      <c r="A2" s="5" t="s">
        <v>563</v>
      </c>
      <c r="B2" s="6">
        <v>2010</v>
      </c>
      <c r="C2" s="6">
        <v>2011</v>
      </c>
      <c r="D2" s="6">
        <v>2012</v>
      </c>
      <c r="E2" s="6">
        <v>2013</v>
      </c>
      <c r="F2" s="6">
        <v>2014</v>
      </c>
      <c r="G2" s="6">
        <v>2015</v>
      </c>
      <c r="H2" s="6">
        <v>2016</v>
      </c>
      <c r="I2" s="6">
        <v>2017</v>
      </c>
    </row>
    <row r="3" spans="1:9">
      <c r="A3" s="8"/>
      <c r="B3" s="9"/>
      <c r="C3" s="9"/>
      <c r="D3" s="9"/>
      <c r="E3" s="11"/>
      <c r="F3" s="11"/>
      <c r="G3" s="11"/>
      <c r="H3" s="11"/>
      <c r="I3" s="11"/>
    </row>
    <row r="4" spans="1:9">
      <c r="A4" s="12" t="s">
        <v>653</v>
      </c>
      <c r="B4" s="9"/>
      <c r="C4" s="9"/>
      <c r="D4" s="9"/>
      <c r="E4" s="11"/>
      <c r="F4" s="11"/>
      <c r="G4" s="11"/>
      <c r="H4" s="11"/>
      <c r="I4" s="11"/>
    </row>
    <row r="5" spans="1:9">
      <c r="A5" s="13" t="s">
        <v>49</v>
      </c>
      <c r="B5" s="14">
        <f>'EP Sch 5.1'!B14+'EP Sch 5.1'!B21+'EP Sch 5.1'!B28+'EP Sch 5.1'!B35+'EP Sch 5.1'!B42+'EP Sch 5.1'!B49</f>
        <v>2167182.1035778723</v>
      </c>
      <c r="C5" s="14">
        <f>'EP Sch 5.1'!C14+'EP Sch 5.1'!C21+'EP Sch 5.1'!C28+'EP Sch 5.1'!C35+'EP Sch 5.1'!C42+'EP Sch 5.1'!C49</f>
        <v>2160491.6375847971</v>
      </c>
      <c r="D5" s="14">
        <f>'EP Sch 5.1'!D14+'EP Sch 5.1'!D21+'EP Sch 5.1'!D28+'EP Sch 5.1'!D35+'EP Sch 5.1'!D42+'EP Sch 5.1'!D49</f>
        <v>2382373.3208060334</v>
      </c>
      <c r="E5" s="17">
        <f>'EP Sch 5.1'!E14+'EP Sch 5.1'!E21+'EP Sch 5.1'!E28+'EP Sch 5.1'!E35+'EP Sch 5.1'!E42+'EP Sch 5.1'!E49</f>
        <v>2830656.7093691085</v>
      </c>
      <c r="F5" s="17">
        <f>'EP Sch 5.1'!F14+'EP Sch 5.1'!F21+'EP Sch 5.1'!F28+'EP Sch 5.1'!F35+'EP Sch 5.1'!F42+'EP Sch 5.1'!F49</f>
        <v>3057940.3296663477</v>
      </c>
      <c r="G5" s="17">
        <f>'EP Sch 5.1'!G14+'EP Sch 5.1'!G21+'EP Sch 5.1'!G28+'EP Sch 5.1'!G35+'EP Sch 5.1'!G42+'EP Sch 5.1'!G49</f>
        <v>3314545.1733588297</v>
      </c>
      <c r="H5" s="17">
        <f>'EP Sch 5.1'!H14+'EP Sch 5.1'!H21+'EP Sch 5.1'!H28+'EP Sch 5.1'!H35+'EP Sch 5.1'!H42+'EP Sch 5.1'!H49</f>
        <v>3354405.7697574538</v>
      </c>
      <c r="I5" s="17">
        <f>'EP Sch 5.1'!I14+'EP Sch 5.1'!I21+'EP Sch 5.1'!I28+'EP Sch 5.1'!I35+'EP Sch 5.1'!I42+'EP Sch 5.1'!I49</f>
        <v>3414126.5024010767</v>
      </c>
    </row>
    <row r="6" spans="1:9">
      <c r="A6" s="13" t="s">
        <v>357</v>
      </c>
      <c r="B6" s="14">
        <f>'EP Sch 5.1'!B15+'EP Sch 5.1'!B22+'EP Sch 5.1'!B29+'EP Sch 5.1'!B36+'EP Sch 5.1'!B43+'EP Sch 5.1'!B50</f>
        <v>3193135.8630457781</v>
      </c>
      <c r="C6" s="14">
        <f>'EP Sch 5.1'!C15+'EP Sch 5.1'!C22+'EP Sch 5.1'!C29+'EP Sch 5.1'!C36+'EP Sch 5.1'!C43+'EP Sch 5.1'!C50</f>
        <v>3237727.0551743899</v>
      </c>
      <c r="D6" s="14">
        <f>'EP Sch 5.1'!D15+'EP Sch 5.1'!D22+'EP Sch 5.1'!D29+'EP Sch 5.1'!D36+'EP Sch 5.1'!D43+'EP Sch 5.1'!D50</f>
        <v>3652362.2049442916</v>
      </c>
      <c r="E6" s="17">
        <f>'EP Sch 5.1'!E15+'EP Sch 5.1'!E22+'EP Sch 5.1'!E29+'EP Sch 5.1'!E36+'EP Sch 5.1'!E43+'EP Sch 5.1'!E50</f>
        <v>4287555.0513578504</v>
      </c>
      <c r="F6" s="17">
        <f>'EP Sch 5.1'!F15+'EP Sch 5.1'!F22+'EP Sch 5.1'!F29+'EP Sch 5.1'!F36+'EP Sch 5.1'!F43+'EP Sch 5.1'!F50</f>
        <v>4633764.4335084781</v>
      </c>
      <c r="G6" s="17">
        <f>'EP Sch 5.1'!G15+'EP Sch 5.1'!G22+'EP Sch 5.1'!G29+'EP Sch 5.1'!G36+'EP Sch 5.1'!G43+'EP Sch 5.1'!G50</f>
        <v>4870798.7034148891</v>
      </c>
      <c r="H6" s="17">
        <f>'EP Sch 5.1'!H15+'EP Sch 5.1'!H22+'EP Sch 5.1'!H29+'EP Sch 5.1'!H36+'EP Sch 5.1'!H43+'EP Sch 5.1'!H50</f>
        <v>4822245.9432539688</v>
      </c>
      <c r="I6" s="17">
        <f>'EP Sch 5.1'!I15+'EP Sch 5.1'!I22+'EP Sch 5.1'!I29+'EP Sch 5.1'!I36+'EP Sch 5.1'!I43+'EP Sch 5.1'!I50</f>
        <v>4919351.4229077147</v>
      </c>
    </row>
    <row r="7" spans="1:9">
      <c r="A7" s="13" t="s">
        <v>50</v>
      </c>
      <c r="B7" s="14">
        <f>'EP Sch 5.1'!B16+'EP Sch 5.1'!B23+'EP Sch 5.1'!B30+'EP Sch 5.1'!B37+'EP Sch 5.1'!B44+'EP Sch 5.1'!B51</f>
        <v>6235138.0333763491</v>
      </c>
      <c r="C7" s="14">
        <f>'EP Sch 5.1'!C16+'EP Sch 5.1'!C23+'EP Sch 5.1'!C30+'EP Sch 5.1'!C37+'EP Sch 5.1'!C44+'EP Sch 5.1'!C51</f>
        <v>6468948.3072408121</v>
      </c>
      <c r="D7" s="14">
        <f>'EP Sch 5.1'!D16+'EP Sch 5.1'!D23+'EP Sch 5.1'!D30+'EP Sch 5.1'!D37+'EP Sch 5.1'!D44+'EP Sch 5.1'!D51</f>
        <v>7003187.4742496759</v>
      </c>
      <c r="E7" s="17">
        <f>'EP Sch 5.1'!E16+'EP Sch 5.1'!E23+'EP Sch 5.1'!E30+'EP Sch 5.1'!E37+'EP Sch 5.1'!E44+'EP Sch 5.1'!E51</f>
        <v>7975957.0992730418</v>
      </c>
      <c r="F7" s="17">
        <f>'EP Sch 5.1'!F16+'EP Sch 5.1'!F23+'EP Sch 5.1'!F30+'EP Sch 5.1'!F37+'EP Sch 5.1'!F44+'EP Sch 5.1'!F51</f>
        <v>8689507.4868251737</v>
      </c>
      <c r="G7" s="17">
        <f>'EP Sch 5.1'!G16+'EP Sch 5.1'!G23+'EP Sch 5.1'!G30+'EP Sch 5.1'!G37+'EP Sch 5.1'!G44+'EP Sch 5.1'!G51</f>
        <v>9627083.1232262813</v>
      </c>
      <c r="H7" s="17">
        <f>'EP Sch 5.1'!H16+'EP Sch 5.1'!H23+'EP Sch 5.1'!H30+'EP Sch 5.1'!H37+'EP Sch 5.1'!H44+'EP Sch 5.1'!H51</f>
        <v>8897625.2869885769</v>
      </c>
      <c r="I7" s="17">
        <f>'EP Sch 5.1'!I16+'EP Sch 5.1'!I23+'EP Sch 5.1'!I30+'EP Sch 5.1'!I37+'EP Sch 5.1'!I44+'EP Sch 5.1'!I51</f>
        <v>9083164.0746912081</v>
      </c>
    </row>
    <row r="8" spans="1:9" s="777" customFormat="1">
      <c r="A8" s="73" t="s">
        <v>48</v>
      </c>
      <c r="B8" s="160">
        <f t="shared" ref="B8:D8" si="0">SUM(B5:B7)</f>
        <v>11595456</v>
      </c>
      <c r="C8" s="163">
        <f t="shared" si="0"/>
        <v>11867167</v>
      </c>
      <c r="D8" s="163">
        <f t="shared" si="0"/>
        <v>13037923</v>
      </c>
      <c r="E8" s="620">
        <f t="shared" ref="E8:F8" si="1">SUM(E5:E7)</f>
        <v>15094168.859999999</v>
      </c>
      <c r="F8" s="620">
        <f t="shared" si="1"/>
        <v>16381212.25</v>
      </c>
      <c r="G8" s="620">
        <f t="shared" ref="G8:I8" si="2">SUM(G5:G7)</f>
        <v>17812427</v>
      </c>
      <c r="H8" s="620">
        <f t="shared" si="2"/>
        <v>17074277</v>
      </c>
      <c r="I8" s="620">
        <f t="shared" si="2"/>
        <v>17416642</v>
      </c>
    </row>
    <row r="9" spans="1:9">
      <c r="A9" s="19"/>
      <c r="B9" s="2"/>
      <c r="C9" s="2"/>
      <c r="D9" s="2"/>
      <c r="E9" s="20"/>
      <c r="F9" s="20"/>
      <c r="G9" s="20"/>
      <c r="H9" s="20"/>
      <c r="I9" s="20"/>
    </row>
    <row r="10" spans="1:9">
      <c r="A10" s="12" t="s">
        <v>652</v>
      </c>
      <c r="B10" s="14">
        <f>'EP Sch 4.0'!B40-'EP Sch 5.2'!B8</f>
        <v>197189</v>
      </c>
      <c r="C10" s="14">
        <f>'EP Sch 4.0'!C40-'EP Sch 5.2'!C8</f>
        <v>427373</v>
      </c>
      <c r="D10" s="14">
        <f>'EP Sch 4.0'!D40-'EP Sch 5.2'!D8</f>
        <v>379130</v>
      </c>
      <c r="E10" s="17">
        <f>'EP Sch 4.0'!E40-'EP Sch 5.2'!E8</f>
        <v>393182.4000000041</v>
      </c>
      <c r="F10" s="17">
        <f>'EP Sch 4.0'!F40-'EP Sch 5.2'!F8</f>
        <v>353723.82999999821</v>
      </c>
      <c r="G10" s="17">
        <f>'EP Sch 4.0'!G40-'EP Sch 5.2'!G8</f>
        <v>435909</v>
      </c>
      <c r="H10" s="17">
        <f>'EP Sch 4.0'!H40-'EP Sch 5.2'!H8</f>
        <v>496536</v>
      </c>
      <c r="I10" s="17">
        <f>'EP Sch 4.0'!I40-'EP Sch 5.2'!I8</f>
        <v>510002</v>
      </c>
    </row>
    <row r="11" spans="1:9">
      <c r="A11" s="21"/>
      <c r="B11" s="18"/>
      <c r="C11" s="14"/>
      <c r="D11" s="14"/>
      <c r="E11" s="17"/>
      <c r="F11" s="17"/>
      <c r="G11" s="17"/>
      <c r="H11" s="17"/>
      <c r="I11" s="17"/>
    </row>
    <row r="12" spans="1:9">
      <c r="A12" s="22" t="s">
        <v>651</v>
      </c>
      <c r="B12" s="23">
        <f>'EP Sch 4.0'!B40</f>
        <v>11792645</v>
      </c>
      <c r="C12" s="23">
        <f>'EP Sch 4.0'!C40</f>
        <v>12294540</v>
      </c>
      <c r="D12" s="23">
        <f>'EP Sch 4.0'!D40</f>
        <v>13417053</v>
      </c>
      <c r="E12" s="25">
        <f>'EP Sch 4.0'!E40</f>
        <v>15487351.260000004</v>
      </c>
      <c r="F12" s="25">
        <f>'EP Sch 4.0'!F40</f>
        <v>16734936.079999998</v>
      </c>
      <c r="G12" s="25">
        <f>'EP Sch 4.0'!G40</f>
        <v>18248336</v>
      </c>
      <c r="H12" s="25">
        <f>'EP Sch 4.0'!H40</f>
        <v>17570813</v>
      </c>
      <c r="I12" s="25">
        <f>'EP Sch 4.0'!I40</f>
        <v>17926644</v>
      </c>
    </row>
    <row r="13" spans="1:9">
      <c r="A13" s="8" t="s">
        <v>650</v>
      </c>
      <c r="B13" s="9"/>
      <c r="C13" s="9"/>
      <c r="D13" s="9"/>
      <c r="E13" s="11"/>
      <c r="F13" s="11"/>
      <c r="G13" s="11"/>
      <c r="H13" s="11"/>
      <c r="I13" s="11"/>
    </row>
    <row r="14" spans="1:9">
      <c r="A14" s="13" t="s">
        <v>49</v>
      </c>
      <c r="B14" s="14">
        <f t="shared" ref="B14:D16" si="3">B5/B$8*B$10+B5</f>
        <v>2204036.5810406315</v>
      </c>
      <c r="C14" s="14">
        <f t="shared" si="3"/>
        <v>2238297.5530682085</v>
      </c>
      <c r="D14" s="14">
        <f t="shared" si="3"/>
        <v>2451650.3979230858</v>
      </c>
      <c r="E14" s="17">
        <f t="shared" ref="E14:F14" si="4">E5/E$8*E$10+E5</f>
        <v>2904391.4349368904</v>
      </c>
      <c r="F14" s="17">
        <f t="shared" si="4"/>
        <v>3123971.2404935388</v>
      </c>
      <c r="G14" s="17">
        <f t="shared" ref="G14:I14" si="5">G5/G$8*G$10+G5</f>
        <v>3395659.3343866151</v>
      </c>
      <c r="H14" s="17">
        <f t="shared" si="5"/>
        <v>3451955.0377757885</v>
      </c>
      <c r="I14" s="17">
        <f t="shared" si="5"/>
        <v>3514100.501090236</v>
      </c>
    </row>
    <row r="15" spans="1:9">
      <c r="A15" s="13" t="s">
        <v>357</v>
      </c>
      <c r="B15" s="14">
        <f t="shared" si="3"/>
        <v>3247437.415972902</v>
      </c>
      <c r="C15" s="14">
        <f t="shared" si="3"/>
        <v>3354327.5146396561</v>
      </c>
      <c r="D15" s="14">
        <f t="shared" si="3"/>
        <v>3758569.3119168156</v>
      </c>
      <c r="E15" s="17">
        <f t="shared" ref="E15:F15" si="6">E6/E$8*E$10+E6</f>
        <v>4399239.9808734078</v>
      </c>
      <c r="F15" s="17">
        <f t="shared" si="6"/>
        <v>4733822.5291929655</v>
      </c>
      <c r="G15" s="17">
        <f t="shared" ref="G15:I15" si="7">G6/G$8*G$10+G6</f>
        <v>4989997.7879645061</v>
      </c>
      <c r="H15" s="17">
        <f t="shared" si="7"/>
        <v>4962481.3811398335</v>
      </c>
      <c r="I15" s="17">
        <f t="shared" si="7"/>
        <v>5063402.0995183829</v>
      </c>
    </row>
    <row r="16" spans="1:9">
      <c r="A16" s="13" t="s">
        <v>50</v>
      </c>
      <c r="B16" s="14">
        <f t="shared" si="3"/>
        <v>6341171.0029864665</v>
      </c>
      <c r="C16" s="14">
        <f t="shared" si="3"/>
        <v>6701914.9322921345</v>
      </c>
      <c r="D16" s="14">
        <f t="shared" si="3"/>
        <v>7206833.2901601</v>
      </c>
      <c r="E16" s="17">
        <f t="shared" ref="E16:F16" si="8">E7/E$8*E$10+E7</f>
        <v>8183719.8441897063</v>
      </c>
      <c r="F16" s="17">
        <f t="shared" si="8"/>
        <v>8877142.3103134949</v>
      </c>
      <c r="G16" s="17">
        <f t="shared" ref="G16:I16" si="9">G7/G$8*G$10+G7</f>
        <v>9862678.8776488788</v>
      </c>
      <c r="H16" s="17">
        <f t="shared" si="9"/>
        <v>9156376.5810843781</v>
      </c>
      <c r="I16" s="17">
        <f t="shared" si="9"/>
        <v>9349141.3993913811</v>
      </c>
    </row>
    <row r="17" spans="1:9" s="777" customFormat="1">
      <c r="A17" s="73" t="s">
        <v>48</v>
      </c>
      <c r="B17" s="160">
        <f t="shared" ref="B17:D17" si="10">SUM(B14:B16)</f>
        <v>11792645</v>
      </c>
      <c r="C17" s="160">
        <f t="shared" si="10"/>
        <v>12294540</v>
      </c>
      <c r="D17" s="160">
        <f t="shared" si="10"/>
        <v>13417053</v>
      </c>
      <c r="E17" s="162">
        <f t="shared" ref="E17:F17" si="11">SUM(E14:E16)</f>
        <v>15487351.260000005</v>
      </c>
      <c r="F17" s="162">
        <f t="shared" si="11"/>
        <v>16734936.079999998</v>
      </c>
      <c r="G17" s="162">
        <f t="shared" ref="G17:I17" si="12">SUM(G14:G16)</f>
        <v>18248336</v>
      </c>
      <c r="H17" s="162">
        <f t="shared" si="12"/>
        <v>17570813</v>
      </c>
      <c r="I17" s="162">
        <f t="shared" si="12"/>
        <v>17926644</v>
      </c>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C148"/>
  <sheetViews>
    <sheetView topLeftCell="I1" zoomScale="60" zoomScaleNormal="60" workbookViewId="0">
      <selection activeCell="E11" sqref="E11"/>
    </sheetView>
  </sheetViews>
  <sheetFormatPr defaultColWidth="12.33203125" defaultRowHeight="15.6"/>
  <cols>
    <col min="1" max="1" width="12.33203125" style="810"/>
    <col min="2" max="2" width="46.109375" style="810" customWidth="1"/>
    <col min="3" max="3" width="18.33203125" style="810" customWidth="1"/>
    <col min="4" max="4" width="9.5546875" style="810" customWidth="1"/>
    <col min="5" max="5" width="80.5546875" style="810" customWidth="1"/>
    <col min="6" max="6" width="15.88671875" style="810" bestFit="1" customWidth="1"/>
    <col min="7" max="7" width="42.33203125" style="810" customWidth="1"/>
    <col min="8" max="8" width="6.109375" style="810" customWidth="1"/>
    <col min="9" max="9" width="5.6640625" style="810" customWidth="1"/>
    <col min="10" max="10" width="9" style="810" customWidth="1"/>
    <col min="11" max="11" width="14" style="810" customWidth="1"/>
    <col min="12" max="13" width="12.33203125" style="810"/>
    <col min="14" max="14" width="22.6640625" style="849" customWidth="1"/>
    <col min="15" max="15" width="33.33203125" style="813" customWidth="1"/>
    <col min="16" max="16" width="35.44140625" style="810" bestFit="1" customWidth="1"/>
    <col min="17" max="17" width="3.6640625" style="810" customWidth="1"/>
    <col min="18" max="21" width="16" style="810" customWidth="1"/>
    <col min="22" max="22" width="18.5546875" style="851" bestFit="1" customWidth="1"/>
    <col min="23" max="23" width="33.109375" style="813" bestFit="1" customWidth="1"/>
    <col min="24" max="24" width="27.33203125" style="849" bestFit="1" customWidth="1"/>
    <col min="25" max="25" width="18.109375" style="810" bestFit="1" customWidth="1"/>
    <col min="26" max="26" width="12.6640625" style="810" bestFit="1" customWidth="1"/>
    <col min="27" max="27" width="14.88671875" style="810" customWidth="1"/>
    <col min="28" max="16384" width="12.33203125" style="810"/>
  </cols>
  <sheetData>
    <row r="1" spans="1:26" ht="20.399999999999999">
      <c r="A1" s="809" t="s">
        <v>3142</v>
      </c>
      <c r="N1" s="810"/>
      <c r="O1" s="810"/>
      <c r="V1" s="810"/>
      <c r="W1" s="810"/>
      <c r="X1" s="810"/>
      <c r="Z1" s="811" t="s">
        <v>2506</v>
      </c>
    </row>
    <row r="2" spans="1:26">
      <c r="N2" s="810"/>
      <c r="O2" s="810"/>
      <c r="V2" s="810"/>
      <c r="W2" s="810"/>
      <c r="X2" s="810"/>
      <c r="Z2" s="811" t="s">
        <v>2507</v>
      </c>
    </row>
    <row r="3" spans="1:26">
      <c r="N3" s="810"/>
      <c r="O3" s="810"/>
      <c r="V3" s="810"/>
      <c r="W3" s="810"/>
      <c r="X3" s="810"/>
    </row>
    <row r="4" spans="1:26" s="813" customFormat="1">
      <c r="A4" s="812" t="s">
        <v>2508</v>
      </c>
      <c r="C4" s="814"/>
      <c r="N4" s="815"/>
      <c r="V4" s="816"/>
      <c r="X4" s="815"/>
    </row>
    <row r="5" spans="1:26" s="813" customFormat="1">
      <c r="A5" s="817" t="s">
        <v>47</v>
      </c>
      <c r="B5" s="818" t="s">
        <v>2809</v>
      </c>
      <c r="C5" s="819" t="s">
        <v>2810</v>
      </c>
      <c r="E5" s="978" t="s">
        <v>3126</v>
      </c>
      <c r="F5" s="978"/>
      <c r="G5" s="978"/>
      <c r="N5" s="815"/>
      <c r="V5" s="816"/>
      <c r="X5" s="815"/>
    </row>
    <row r="6" spans="1:26" s="813" customFormat="1">
      <c r="A6" s="979" t="s">
        <v>2811</v>
      </c>
      <c r="B6" s="820" t="s">
        <v>2538</v>
      </c>
      <c r="C6" s="821">
        <v>1</v>
      </c>
      <c r="E6" s="822"/>
      <c r="F6" s="823" t="s">
        <v>3124</v>
      </c>
      <c r="G6" s="824" t="s">
        <v>3125</v>
      </c>
      <c r="N6" s="815"/>
      <c r="V6" s="816"/>
      <c r="X6" s="815"/>
    </row>
    <row r="7" spans="1:26" s="813" customFormat="1">
      <c r="A7" s="979"/>
      <c r="B7" s="825" t="s">
        <v>2545</v>
      </c>
      <c r="C7" s="826">
        <v>1.18</v>
      </c>
      <c r="E7" s="827" t="s">
        <v>3123</v>
      </c>
      <c r="F7" s="828">
        <f>O64</f>
        <v>6.3309124833851538E-2</v>
      </c>
      <c r="G7" s="829">
        <f>W64</f>
        <v>0.17277637169203564</v>
      </c>
      <c r="N7" s="815"/>
      <c r="V7" s="816"/>
      <c r="X7" s="815"/>
    </row>
    <row r="8" spans="1:26" s="813" customFormat="1">
      <c r="A8" s="980"/>
      <c r="B8" s="830" t="s">
        <v>2534</v>
      </c>
      <c r="C8" s="831">
        <v>1.62</v>
      </c>
      <c r="E8" s="832" t="s">
        <v>2000</v>
      </c>
      <c r="F8" s="833">
        <f>O148</f>
        <v>0.18146150397564909</v>
      </c>
      <c r="G8" s="834">
        <f>W148</f>
        <v>0.18066285756893741</v>
      </c>
      <c r="N8" s="815"/>
      <c r="V8" s="816"/>
      <c r="X8" s="815"/>
    </row>
    <row r="9" spans="1:26" s="813" customFormat="1">
      <c r="A9" s="979" t="s">
        <v>14</v>
      </c>
      <c r="B9" s="820" t="s">
        <v>2538</v>
      </c>
      <c r="C9" s="821">
        <v>0.88</v>
      </c>
      <c r="N9" s="815"/>
      <c r="V9" s="816"/>
      <c r="X9" s="815"/>
    </row>
    <row r="10" spans="1:26" s="813" customFormat="1">
      <c r="A10" s="979"/>
      <c r="B10" s="835" t="s">
        <v>2545</v>
      </c>
      <c r="C10" s="826">
        <v>0.94</v>
      </c>
      <c r="N10" s="815"/>
      <c r="V10" s="816"/>
      <c r="X10" s="815"/>
    </row>
    <row r="11" spans="1:26" s="813" customFormat="1">
      <c r="A11" s="980"/>
      <c r="B11" s="836" t="s">
        <v>2534</v>
      </c>
      <c r="C11" s="837">
        <v>1</v>
      </c>
      <c r="N11" s="815"/>
      <c r="V11" s="816"/>
      <c r="X11" s="815"/>
    </row>
    <row r="12" spans="1:26" s="813" customFormat="1">
      <c r="A12" s="838" t="s">
        <v>2517</v>
      </c>
      <c r="B12" s="839"/>
      <c r="C12" s="839"/>
      <c r="N12" s="815"/>
      <c r="V12" s="816"/>
      <c r="X12" s="815"/>
    </row>
    <row r="13" spans="1:26" s="813" customFormat="1">
      <c r="B13" s="839"/>
      <c r="C13" s="839"/>
      <c r="N13" s="815"/>
      <c r="V13" s="816"/>
      <c r="X13" s="815"/>
    </row>
    <row r="14" spans="1:26" ht="20.399999999999999">
      <c r="A14" s="810" t="s">
        <v>2518</v>
      </c>
      <c r="G14" s="981" t="s">
        <v>2812</v>
      </c>
      <c r="H14" s="981"/>
      <c r="I14" s="981"/>
      <c r="J14" s="981"/>
      <c r="K14" s="981"/>
      <c r="L14" s="981"/>
      <c r="M14" s="981"/>
      <c r="N14" s="981"/>
      <c r="O14" s="981"/>
      <c r="P14" s="981"/>
      <c r="Q14" s="840"/>
      <c r="R14" s="982" t="s">
        <v>2813</v>
      </c>
      <c r="S14" s="983"/>
      <c r="T14" s="983"/>
      <c r="U14" s="983"/>
      <c r="V14" s="983"/>
      <c r="W14" s="983"/>
      <c r="X14" s="841"/>
      <c r="Y14" s="977" t="s">
        <v>2814</v>
      </c>
      <c r="Z14" s="977"/>
    </row>
    <row r="15" spans="1:26">
      <c r="B15" s="842"/>
      <c r="C15" s="842" t="s">
        <v>2519</v>
      </c>
      <c r="D15" s="842" t="s">
        <v>120</v>
      </c>
      <c r="E15" s="842" t="s">
        <v>121</v>
      </c>
      <c r="F15" s="842" t="s">
        <v>2520</v>
      </c>
      <c r="G15" s="842" t="s">
        <v>2521</v>
      </c>
      <c r="H15" s="842" t="s">
        <v>122</v>
      </c>
      <c r="I15" s="842" t="s">
        <v>2522</v>
      </c>
      <c r="J15" s="842" t="s">
        <v>123</v>
      </c>
      <c r="K15" s="842" t="s">
        <v>2523</v>
      </c>
      <c r="L15" s="842" t="s">
        <v>2524</v>
      </c>
      <c r="M15" s="842" t="s">
        <v>2525</v>
      </c>
      <c r="N15" s="843" t="s">
        <v>44</v>
      </c>
      <c r="O15" s="842" t="s">
        <v>2527</v>
      </c>
      <c r="P15" s="813" t="s">
        <v>2815</v>
      </c>
      <c r="Q15" s="840"/>
      <c r="R15" s="844" t="s">
        <v>2816</v>
      </c>
      <c r="S15" s="844" t="s">
        <v>2817</v>
      </c>
      <c r="T15" s="844" t="s">
        <v>2818</v>
      </c>
      <c r="U15" s="844" t="s">
        <v>2819</v>
      </c>
      <c r="V15" s="845" t="s">
        <v>44</v>
      </c>
      <c r="W15" s="846" t="s">
        <v>2527</v>
      </c>
      <c r="X15" s="847" t="s">
        <v>2815</v>
      </c>
      <c r="Y15" s="846" t="s">
        <v>2820</v>
      </c>
      <c r="Z15" s="844" t="s">
        <v>2821</v>
      </c>
    </row>
    <row r="16" spans="1:26">
      <c r="B16" s="810" t="s">
        <v>2529</v>
      </c>
      <c r="C16" s="848">
        <v>40877</v>
      </c>
      <c r="D16" s="810" t="s">
        <v>1191</v>
      </c>
      <c r="E16" s="810" t="s">
        <v>2530</v>
      </c>
      <c r="F16" s="810" t="s">
        <v>2531</v>
      </c>
      <c r="G16" s="810" t="s">
        <v>2532</v>
      </c>
      <c r="H16" s="810">
        <v>240</v>
      </c>
      <c r="I16" s="810" t="s">
        <v>2533</v>
      </c>
      <c r="J16" s="810">
        <v>3</v>
      </c>
      <c r="K16" s="810" t="s">
        <v>2534</v>
      </c>
      <c r="L16" s="810">
        <v>2</v>
      </c>
      <c r="M16" s="810" t="s">
        <v>2535</v>
      </c>
      <c r="N16" s="849">
        <v>1469000</v>
      </c>
      <c r="O16" s="850">
        <f>N16*C8</f>
        <v>2379780</v>
      </c>
      <c r="P16" s="813"/>
      <c r="Q16" s="840"/>
      <c r="R16" s="810">
        <f>'2018UpdateData'!M35</f>
        <v>11170020291</v>
      </c>
      <c r="S16" s="810">
        <f>'2018UpdateData'!P35</f>
        <v>240</v>
      </c>
      <c r="T16" s="810">
        <f>'2018UpdateData'!R35</f>
        <v>3</v>
      </c>
      <c r="U16" s="810" t="str">
        <f>'2018UpdateData'!S35</f>
        <v>single circuit</v>
      </c>
      <c r="V16" s="851">
        <f>'2018UpdateData'!V35</f>
        <v>3307000</v>
      </c>
      <c r="W16" s="849">
        <f t="shared" ref="W16:W24" si="0">VLOOKUP(U16,$B$6:$C$8,2,FALSE)*V16</f>
        <v>5357340</v>
      </c>
      <c r="X16" s="852"/>
      <c r="Y16" s="849">
        <f t="shared" ref="Y16:Y24" si="1">V16-N16</f>
        <v>1838000</v>
      </c>
      <c r="Z16" s="853">
        <f t="shared" ref="Z16:Z24" si="2">(V16-N16)/N16</f>
        <v>1.2511912865895167</v>
      </c>
    </row>
    <row r="17" spans="2:26">
      <c r="B17" s="810" t="s">
        <v>2536</v>
      </c>
      <c r="C17" s="848">
        <v>41452</v>
      </c>
      <c r="D17" s="810" t="s">
        <v>1191</v>
      </c>
      <c r="E17" s="810" t="s">
        <v>2537</v>
      </c>
      <c r="F17" s="810" t="s">
        <v>2531</v>
      </c>
      <c r="G17" s="810" t="s">
        <v>126</v>
      </c>
      <c r="H17" s="810">
        <v>240</v>
      </c>
      <c r="I17" s="810" t="s">
        <v>2533</v>
      </c>
      <c r="J17" s="810">
        <v>4</v>
      </c>
      <c r="K17" s="810" t="s">
        <v>2538</v>
      </c>
      <c r="L17" s="810">
        <v>2</v>
      </c>
      <c r="M17" s="813">
        <v>1033</v>
      </c>
      <c r="N17" s="849">
        <v>13971000</v>
      </c>
      <c r="O17" s="850">
        <f>N17*C6</f>
        <v>13971000</v>
      </c>
      <c r="P17" s="813"/>
      <c r="Q17" s="840"/>
      <c r="R17" s="810">
        <f>'2018UpdateData'!M17</f>
        <v>7190020090</v>
      </c>
      <c r="S17" s="810">
        <f>'2018UpdateData'!P17</f>
        <v>240</v>
      </c>
      <c r="T17" s="810">
        <f>'2018UpdateData'!R17</f>
        <v>4</v>
      </c>
      <c r="U17" s="810" t="str">
        <f>'2018UpdateData'!S17</f>
        <v>double circuit</v>
      </c>
      <c r="V17" s="851">
        <f>'2018UpdateData'!V17</f>
        <v>13971000</v>
      </c>
      <c r="W17" s="849">
        <f t="shared" si="0"/>
        <v>13971000</v>
      </c>
      <c r="X17" s="852"/>
      <c r="Y17" s="849">
        <f t="shared" si="1"/>
        <v>0</v>
      </c>
      <c r="Z17" s="853">
        <f t="shared" si="2"/>
        <v>0</v>
      </c>
    </row>
    <row r="18" spans="2:26">
      <c r="B18" s="810" t="s">
        <v>2539</v>
      </c>
      <c r="C18" s="848">
        <v>40354</v>
      </c>
      <c r="D18" s="810" t="s">
        <v>1191</v>
      </c>
      <c r="E18" s="810" t="s">
        <v>2540</v>
      </c>
      <c r="F18" s="810" t="s">
        <v>2531</v>
      </c>
      <c r="G18" s="810" t="s">
        <v>2541</v>
      </c>
      <c r="H18" s="810">
        <v>240</v>
      </c>
      <c r="I18" s="810" t="s">
        <v>2533</v>
      </c>
      <c r="J18" s="810">
        <v>130</v>
      </c>
      <c r="K18" s="810" t="s">
        <v>2538</v>
      </c>
      <c r="L18" s="810">
        <v>2</v>
      </c>
      <c r="M18" s="810" t="s">
        <v>2542</v>
      </c>
      <c r="N18" s="815">
        <v>173172000</v>
      </c>
      <c r="O18" s="850">
        <f>N18*C6</f>
        <v>173172000</v>
      </c>
      <c r="P18" s="813"/>
      <c r="Q18" s="840"/>
      <c r="R18" s="810">
        <f>VLOOKUP(E18,'2018UpdateData'!$L$15:$W$305,2,FALSE)</f>
        <v>8860020446</v>
      </c>
      <c r="S18" s="810">
        <f>VLOOKUP(E18,'2018UpdateData'!$L$15:$W$305,5,FALSE)</f>
        <v>240</v>
      </c>
      <c r="T18" s="810">
        <f>VLOOKUP(E18,'2018UpdateData'!$L$15:$W$305,7,FALSE)</f>
        <v>130</v>
      </c>
      <c r="U18" s="810" t="str">
        <f>VLOOKUP(E18,'2018UpdateData'!$L$15:$W$305,8,FALSE)</f>
        <v>double circuit</v>
      </c>
      <c r="V18" s="851">
        <f>VLOOKUP(E18,'2018UpdateData'!$L$15:$W$305,11,FALSE)</f>
        <v>173172000</v>
      </c>
      <c r="W18" s="849">
        <f t="shared" si="0"/>
        <v>173172000</v>
      </c>
      <c r="X18" s="852"/>
      <c r="Y18" s="849">
        <f t="shared" si="1"/>
        <v>0</v>
      </c>
      <c r="Z18" s="853">
        <f t="shared" si="2"/>
        <v>0</v>
      </c>
    </row>
    <row r="19" spans="2:26">
      <c r="B19" s="810" t="s">
        <v>2543</v>
      </c>
      <c r="C19" s="848">
        <v>41467</v>
      </c>
      <c r="D19" s="810" t="s">
        <v>1191</v>
      </c>
      <c r="E19" s="810" t="s">
        <v>2544</v>
      </c>
      <c r="F19" s="810" t="s">
        <v>2531</v>
      </c>
      <c r="G19" s="810" t="s">
        <v>2544</v>
      </c>
      <c r="H19" s="810">
        <v>240</v>
      </c>
      <c r="I19" s="810" t="s">
        <v>2533</v>
      </c>
      <c r="J19" s="810">
        <v>70</v>
      </c>
      <c r="K19" s="810" t="s">
        <v>2545</v>
      </c>
      <c r="L19" s="810">
        <v>2</v>
      </c>
      <c r="M19" s="810" t="s">
        <v>2546</v>
      </c>
      <c r="N19" s="849">
        <v>128996000</v>
      </c>
      <c r="O19" s="850">
        <f>N19*C7</f>
        <v>152215280</v>
      </c>
      <c r="P19" s="813"/>
      <c r="Q19" s="840"/>
      <c r="R19" s="810">
        <f>VLOOKUP(E19,'2018UpdateData'!$L$15:$W$305,2,FALSE)</f>
        <v>10350020629</v>
      </c>
      <c r="S19" s="810">
        <f>VLOOKUP(E19,'2018UpdateData'!$L$15:$W$305,5,FALSE)</f>
        <v>240</v>
      </c>
      <c r="T19" s="810">
        <f>VLOOKUP(E19,'2018UpdateData'!$L$15:$W$305,7,FALSE)</f>
        <v>70</v>
      </c>
      <c r="U19" s="810" t="str">
        <f>VLOOKUP(E19,'2018UpdateData'!$L$15:$W$305,8,FALSE)</f>
        <v>d/c 1st side</v>
      </c>
      <c r="V19" s="851">
        <f>VLOOKUP(E19,'2018UpdateData'!$L$15:$W$305,11,FALSE)</f>
        <v>128996000</v>
      </c>
      <c r="W19" s="849">
        <f t="shared" si="0"/>
        <v>152215280</v>
      </c>
      <c r="X19" s="852"/>
      <c r="Y19" s="849">
        <f t="shared" si="1"/>
        <v>0</v>
      </c>
      <c r="Z19" s="853">
        <f t="shared" si="2"/>
        <v>0</v>
      </c>
    </row>
    <row r="20" spans="2:26">
      <c r="B20" s="810" t="s">
        <v>2547</v>
      </c>
      <c r="C20" s="848">
        <v>41185</v>
      </c>
      <c r="D20" s="810" t="s">
        <v>1191</v>
      </c>
      <c r="E20" s="810" t="s">
        <v>2548</v>
      </c>
      <c r="F20" s="810" t="s">
        <v>2531</v>
      </c>
      <c r="G20" s="810" t="s">
        <v>2549</v>
      </c>
      <c r="H20" s="810">
        <v>240</v>
      </c>
      <c r="I20" s="810" t="s">
        <v>2533</v>
      </c>
      <c r="J20" s="810">
        <v>9</v>
      </c>
      <c r="K20" s="810" t="s">
        <v>2538</v>
      </c>
      <c r="L20" s="810">
        <v>2</v>
      </c>
      <c r="M20" s="810" t="s">
        <v>2546</v>
      </c>
      <c r="N20" s="849">
        <v>23146000</v>
      </c>
      <c r="O20" s="850">
        <f>N20*C6</f>
        <v>23146000</v>
      </c>
      <c r="P20" s="813"/>
      <c r="Q20" s="840"/>
      <c r="R20" s="810">
        <f>VLOOKUP(E20,'2018UpdateData'!$L$15:$W$305,2,FALSE)</f>
        <v>936002143</v>
      </c>
      <c r="S20" s="810">
        <f>VLOOKUP(E20,'2018UpdateData'!$L$15:$W$305,5,FALSE)</f>
        <v>240</v>
      </c>
      <c r="T20" s="810">
        <f>VLOOKUP(E20,'2018UpdateData'!$L$15:$W$305,7,FALSE)</f>
        <v>9</v>
      </c>
      <c r="U20" s="810" t="str">
        <f>VLOOKUP(E20,'2018UpdateData'!$L$15:$W$305,8,FALSE)</f>
        <v>double circuit</v>
      </c>
      <c r="V20" s="851">
        <f>VLOOKUP(E20,'2018UpdateData'!$L$15:$W$305,11,FALSE)</f>
        <v>23146000</v>
      </c>
      <c r="W20" s="849">
        <f t="shared" si="0"/>
        <v>23146000</v>
      </c>
      <c r="X20" s="852"/>
      <c r="Y20" s="849">
        <f t="shared" si="1"/>
        <v>0</v>
      </c>
      <c r="Z20" s="853">
        <f t="shared" si="2"/>
        <v>0</v>
      </c>
    </row>
    <row r="21" spans="2:26">
      <c r="B21" s="810" t="s">
        <v>2550</v>
      </c>
      <c r="C21" s="848">
        <v>41344</v>
      </c>
      <c r="D21" s="810" t="s">
        <v>1191</v>
      </c>
      <c r="E21" s="810" t="s">
        <v>2551</v>
      </c>
      <c r="F21" s="810" t="s">
        <v>2531</v>
      </c>
      <c r="G21" s="810" t="s">
        <v>2552</v>
      </c>
      <c r="H21" s="810">
        <v>240</v>
      </c>
      <c r="I21" s="810" t="s">
        <v>2533</v>
      </c>
      <c r="J21" s="810">
        <v>40</v>
      </c>
      <c r="K21" s="810" t="s">
        <v>2545</v>
      </c>
      <c r="L21" s="810">
        <v>2</v>
      </c>
      <c r="M21" s="810" t="s">
        <v>2546</v>
      </c>
      <c r="N21" s="849">
        <v>71300000</v>
      </c>
      <c r="O21" s="850">
        <f>N21*C7</f>
        <v>84134000</v>
      </c>
      <c r="P21" s="813"/>
      <c r="Q21" s="840"/>
      <c r="R21" s="810">
        <f>VLOOKUP(E21,'2018UpdateData'!$L$15:$W$305,2,FALSE)</f>
        <v>1028003071</v>
      </c>
      <c r="S21" s="810">
        <f>VLOOKUP(E21,'2018UpdateData'!$L$15:$W$305,5,FALSE)</f>
        <v>240</v>
      </c>
      <c r="T21" s="810">
        <f>VLOOKUP(E21,'2018UpdateData'!$L$15:$W$305,7,FALSE)</f>
        <v>40</v>
      </c>
      <c r="U21" s="810" t="str">
        <f>VLOOKUP(E21,'2018UpdateData'!$L$15:$W$305,8,FALSE)</f>
        <v>d/c 1st side</v>
      </c>
      <c r="V21" s="851">
        <f>VLOOKUP(E21,'2018UpdateData'!$L$15:$W$305,11,FALSE)</f>
        <v>71300000</v>
      </c>
      <c r="W21" s="849">
        <f t="shared" si="0"/>
        <v>84134000</v>
      </c>
      <c r="X21" s="852"/>
      <c r="Y21" s="849">
        <f t="shared" si="1"/>
        <v>0</v>
      </c>
      <c r="Z21" s="853">
        <f t="shared" si="2"/>
        <v>0</v>
      </c>
    </row>
    <row r="22" spans="2:26">
      <c r="B22" s="810" t="s">
        <v>2553</v>
      </c>
      <c r="C22" s="848">
        <v>41122</v>
      </c>
      <c r="D22" s="810" t="s">
        <v>1512</v>
      </c>
      <c r="E22" s="810" t="s">
        <v>2554</v>
      </c>
      <c r="F22" s="810" t="s">
        <v>2531</v>
      </c>
      <c r="G22" s="810" t="s">
        <v>2555</v>
      </c>
      <c r="H22" s="810">
        <v>240</v>
      </c>
      <c r="I22" s="810" t="s">
        <v>2533</v>
      </c>
      <c r="J22" s="810">
        <v>4.5</v>
      </c>
      <c r="K22" s="810" t="s">
        <v>2538</v>
      </c>
      <c r="L22" s="810">
        <v>2</v>
      </c>
      <c r="M22" s="810" t="s">
        <v>2546</v>
      </c>
      <c r="N22" s="849">
        <v>15947591</v>
      </c>
      <c r="O22" s="850">
        <f>N22*C6</f>
        <v>15947591</v>
      </c>
      <c r="P22" s="813"/>
      <c r="Q22" s="840"/>
      <c r="R22" s="810">
        <f>VLOOKUP(E22,'2018UpdateData'!$L$15:$W$305,2,FALSE)</f>
        <v>850002085</v>
      </c>
      <c r="S22" s="810">
        <f>VLOOKUP(E22,'2018UpdateData'!$L$15:$W$305,5,FALSE)</f>
        <v>240</v>
      </c>
      <c r="T22" s="810">
        <f>VLOOKUP(E22,'2018UpdateData'!$L$15:$W$305,7,FALSE)</f>
        <v>4.5</v>
      </c>
      <c r="U22" s="810" t="str">
        <f>VLOOKUP(E22,'2018UpdateData'!$L$15:$W$305,8,FALSE)</f>
        <v>double circuit</v>
      </c>
      <c r="V22" s="851">
        <f>VLOOKUP(E22,'2018UpdateData'!$L$15:$W$305,11,FALSE)</f>
        <v>15947591</v>
      </c>
      <c r="W22" s="849">
        <f t="shared" si="0"/>
        <v>15947591</v>
      </c>
      <c r="X22" s="852"/>
      <c r="Y22" s="849">
        <f t="shared" si="1"/>
        <v>0</v>
      </c>
      <c r="Z22" s="853">
        <f t="shared" si="2"/>
        <v>0</v>
      </c>
    </row>
    <row r="23" spans="2:26">
      <c r="B23" s="810" t="s">
        <v>2556</v>
      </c>
      <c r="C23" s="848">
        <v>41249</v>
      </c>
      <c r="D23" s="810" t="s">
        <v>1191</v>
      </c>
      <c r="E23" s="810" t="s">
        <v>2557</v>
      </c>
      <c r="F23" s="810" t="s">
        <v>2531</v>
      </c>
      <c r="G23" s="810" t="s">
        <v>2558</v>
      </c>
      <c r="H23" s="810">
        <v>240</v>
      </c>
      <c r="I23" s="810" t="s">
        <v>2533</v>
      </c>
      <c r="J23" s="810">
        <v>22</v>
      </c>
      <c r="K23" s="810" t="s">
        <v>2545</v>
      </c>
      <c r="L23" s="810">
        <v>2</v>
      </c>
      <c r="M23" s="810" t="s">
        <v>2546</v>
      </c>
      <c r="N23" s="849">
        <v>39860583</v>
      </c>
      <c r="O23" s="850">
        <f>N23*C7</f>
        <v>47035487.939999998</v>
      </c>
      <c r="P23" s="813"/>
      <c r="Q23" s="840"/>
      <c r="R23" s="810">
        <f>'2018UpdateData'!M33</f>
        <v>11010020506</v>
      </c>
      <c r="S23" s="810">
        <f>'2018UpdateData'!P33</f>
        <v>240</v>
      </c>
      <c r="T23" s="810">
        <f>'2018UpdateData'!R33</f>
        <v>22</v>
      </c>
      <c r="U23" s="810" t="str">
        <f>'2018UpdateData'!S33</f>
        <v>d/c 1st side</v>
      </c>
      <c r="V23" s="851">
        <f>'2018UpdateData'!V33</f>
        <v>56642527</v>
      </c>
      <c r="W23" s="849">
        <f t="shared" si="0"/>
        <v>66838181.859999999</v>
      </c>
      <c r="X23" s="852"/>
      <c r="Y23" s="849">
        <f t="shared" si="1"/>
        <v>16781944</v>
      </c>
      <c r="Z23" s="853">
        <f t="shared" si="2"/>
        <v>0.42101601976067438</v>
      </c>
    </row>
    <row r="24" spans="2:26">
      <c r="B24" s="810" t="s">
        <v>2559</v>
      </c>
      <c r="C24" s="848">
        <v>39969</v>
      </c>
      <c r="D24" s="810" t="s">
        <v>1191</v>
      </c>
      <c r="E24" s="810" t="s">
        <v>2560</v>
      </c>
      <c r="F24" s="810" t="s">
        <v>2531</v>
      </c>
      <c r="G24" s="810" t="s">
        <v>2561</v>
      </c>
      <c r="H24" s="810">
        <v>240</v>
      </c>
      <c r="I24" s="810" t="s">
        <v>2533</v>
      </c>
      <c r="J24" s="810">
        <v>1</v>
      </c>
      <c r="K24" s="810" t="s">
        <v>2538</v>
      </c>
      <c r="L24" s="810">
        <v>2</v>
      </c>
      <c r="M24" s="810" t="s">
        <v>2546</v>
      </c>
      <c r="N24" s="849">
        <v>3503000</v>
      </c>
      <c r="O24" s="850">
        <f>N24*C6</f>
        <v>3503000</v>
      </c>
      <c r="P24" s="813"/>
      <c r="Q24" s="840"/>
      <c r="R24" s="810">
        <f>VLOOKUP(E24,'2018UpdateData'!$L$15:$W$305,2,FALSE)</f>
        <v>744002024</v>
      </c>
      <c r="S24" s="810">
        <f>VLOOKUP(E24,'2018UpdateData'!$L$15:$W$305,5,FALSE)</f>
        <v>240</v>
      </c>
      <c r="T24" s="810">
        <f>VLOOKUP(E24,'2018UpdateData'!$L$15:$W$305,7,FALSE)</f>
        <v>1</v>
      </c>
      <c r="U24" s="810" t="str">
        <f>VLOOKUP(E24,'2018UpdateData'!$L$15:$W$305,8,FALSE)</f>
        <v>double circuit</v>
      </c>
      <c r="V24" s="851">
        <f>VLOOKUP(E24,'2018UpdateData'!$L$15:$W$305,11,FALSE)</f>
        <v>3503000</v>
      </c>
      <c r="W24" s="849">
        <f t="shared" si="0"/>
        <v>3503000</v>
      </c>
      <c r="X24" s="852"/>
      <c r="Y24" s="849">
        <f t="shared" si="1"/>
        <v>0</v>
      </c>
      <c r="Z24" s="853">
        <f t="shared" si="2"/>
        <v>0</v>
      </c>
    </row>
    <row r="25" spans="2:26">
      <c r="B25" s="810" t="s">
        <v>2562</v>
      </c>
      <c r="C25" s="848">
        <v>41467</v>
      </c>
      <c r="D25" s="810" t="s">
        <v>1191</v>
      </c>
      <c r="E25" s="810" t="s">
        <v>2563</v>
      </c>
      <c r="F25" s="810" t="s">
        <v>2531</v>
      </c>
      <c r="G25" s="810" t="s">
        <v>2564</v>
      </c>
      <c r="H25" s="810">
        <v>240</v>
      </c>
      <c r="J25" s="810">
        <v>86</v>
      </c>
      <c r="K25" s="810" t="s">
        <v>2538</v>
      </c>
      <c r="L25" s="810">
        <v>2</v>
      </c>
      <c r="M25" s="810" t="s">
        <v>2546</v>
      </c>
      <c r="N25" s="849">
        <v>129168000</v>
      </c>
      <c r="O25" s="850">
        <f>N25*C6</f>
        <v>129168000</v>
      </c>
      <c r="P25" s="813"/>
      <c r="Q25" s="840"/>
      <c r="W25" s="849"/>
      <c r="X25" s="852"/>
      <c r="Y25" s="849"/>
      <c r="Z25" s="853"/>
    </row>
    <row r="26" spans="2:26">
      <c r="B26" s="810" t="s">
        <v>2529</v>
      </c>
      <c r="C26" s="848">
        <v>40877</v>
      </c>
      <c r="D26" s="810" t="s">
        <v>1191</v>
      </c>
      <c r="E26" s="810" t="s">
        <v>2565</v>
      </c>
      <c r="F26" s="810" t="s">
        <v>2531</v>
      </c>
      <c r="G26" s="810" t="s">
        <v>2566</v>
      </c>
      <c r="H26" s="810">
        <v>240</v>
      </c>
      <c r="I26" s="810" t="s">
        <v>2533</v>
      </c>
      <c r="J26" s="810">
        <v>52</v>
      </c>
      <c r="K26" s="810" t="s">
        <v>2538</v>
      </c>
      <c r="L26" s="810">
        <v>2</v>
      </c>
      <c r="M26" s="810" t="s">
        <v>2546</v>
      </c>
      <c r="N26" s="849">
        <v>92942000</v>
      </c>
      <c r="O26" s="850">
        <f>N26*C6</f>
        <v>92942000</v>
      </c>
      <c r="P26" s="813"/>
      <c r="Q26" s="840"/>
      <c r="R26" s="810">
        <f>'2018UpdateData'!M37</f>
        <v>11170020288</v>
      </c>
      <c r="S26" s="810">
        <f>'2018UpdateData'!P37</f>
        <v>240</v>
      </c>
      <c r="T26" s="810">
        <f>'2018UpdateData'!R37</f>
        <v>52</v>
      </c>
      <c r="U26" s="810" t="str">
        <f>'2018UpdateData'!S37</f>
        <v>double circuit</v>
      </c>
      <c r="V26" s="851">
        <f>'2018UpdateData'!V37</f>
        <v>107921000</v>
      </c>
      <c r="W26" s="849">
        <f t="shared" ref="W26:W35" si="3">VLOOKUP(U26,$B$6:$C$8,2,FALSE)*V26</f>
        <v>107921000</v>
      </c>
      <c r="X26" s="852"/>
      <c r="Y26" s="849">
        <f t="shared" ref="Y26:Y35" si="4">V26-N26</f>
        <v>14979000</v>
      </c>
      <c r="Z26" s="853">
        <f t="shared" ref="Z26:Z35" si="5">(V26-N26)/N26</f>
        <v>0.16116502765165372</v>
      </c>
    </row>
    <row r="27" spans="2:26">
      <c r="B27" s="810" t="s">
        <v>2567</v>
      </c>
      <c r="C27" s="848">
        <v>40820</v>
      </c>
      <c r="D27" s="810" t="s">
        <v>1191</v>
      </c>
      <c r="E27" s="810" t="s">
        <v>133</v>
      </c>
      <c r="F27" s="810" t="s">
        <v>2531</v>
      </c>
      <c r="G27" s="810" t="s">
        <v>133</v>
      </c>
      <c r="H27" s="810">
        <v>240</v>
      </c>
      <c r="I27" s="810" t="s">
        <v>2533</v>
      </c>
      <c r="J27" s="813">
        <v>120</v>
      </c>
      <c r="K27" s="810" t="s">
        <v>2538</v>
      </c>
      <c r="L27" s="810">
        <v>2</v>
      </c>
      <c r="M27" s="810" t="s">
        <v>2546</v>
      </c>
      <c r="N27" s="849">
        <v>164441000</v>
      </c>
      <c r="O27" s="850">
        <f>N27*C6</f>
        <v>164441000</v>
      </c>
      <c r="P27" s="813"/>
      <c r="Q27" s="840"/>
      <c r="R27" s="810">
        <f>VLOOKUP(E27,'2018UpdateData'!$L$15:$W$305,2,FALSE)</f>
        <v>882002345</v>
      </c>
      <c r="S27" s="810">
        <f>VLOOKUP(E27,'2018UpdateData'!$L$15:$W$305,5,FALSE)</f>
        <v>240</v>
      </c>
      <c r="T27" s="813">
        <f>VLOOKUP(E27,'2018UpdateData'!$L$15:$W$305,7,FALSE)</f>
        <v>125</v>
      </c>
      <c r="U27" s="810" t="str">
        <f>VLOOKUP(E27,'2018UpdateData'!$L$15:$W$305,8,FALSE)</f>
        <v>double circuit</v>
      </c>
      <c r="V27" s="851">
        <f>VLOOKUP(E27,'2018UpdateData'!$L$15:$W$305,11,FALSE)</f>
        <v>251102456</v>
      </c>
      <c r="W27" s="849">
        <f t="shared" si="3"/>
        <v>251102456</v>
      </c>
      <c r="X27" s="852"/>
      <c r="Y27" s="849">
        <f t="shared" si="4"/>
        <v>86661456</v>
      </c>
      <c r="Z27" s="853">
        <f t="shared" si="5"/>
        <v>0.52700637918767212</v>
      </c>
    </row>
    <row r="28" spans="2:26">
      <c r="B28" s="810" t="s">
        <v>2553</v>
      </c>
      <c r="C28" s="848">
        <v>41122</v>
      </c>
      <c r="D28" s="810" t="s">
        <v>1512</v>
      </c>
      <c r="E28" s="810" t="s">
        <v>2568</v>
      </c>
      <c r="F28" s="810" t="s">
        <v>2531</v>
      </c>
      <c r="G28" s="810" t="s">
        <v>2569</v>
      </c>
      <c r="H28" s="810">
        <v>240</v>
      </c>
      <c r="I28" s="810" t="s">
        <v>2533</v>
      </c>
      <c r="J28" s="810">
        <v>0.2</v>
      </c>
      <c r="K28" s="810" t="s">
        <v>2538</v>
      </c>
      <c r="L28" s="810">
        <v>2</v>
      </c>
      <c r="M28" s="810" t="s">
        <v>2546</v>
      </c>
      <c r="N28" s="849">
        <v>597618</v>
      </c>
      <c r="O28" s="850">
        <f>N28*C6</f>
        <v>597618</v>
      </c>
      <c r="P28" s="813"/>
      <c r="Q28" s="840"/>
      <c r="R28" s="810">
        <f>VLOOKUP(E28,'2018UpdateData'!$L$15:$W$305,2,FALSE)</f>
        <v>850002013</v>
      </c>
      <c r="S28" s="810">
        <f>VLOOKUP(E28,'2018UpdateData'!$L$15:$W$305,5,FALSE)</f>
        <v>240</v>
      </c>
      <c r="T28" s="810">
        <f>VLOOKUP(E28,'2018UpdateData'!$L$15:$W$305,7,FALSE)</f>
        <v>0.2</v>
      </c>
      <c r="U28" s="810" t="str">
        <f>VLOOKUP(E28,'2018UpdateData'!$L$15:$W$305,8,FALSE)</f>
        <v>double circuit</v>
      </c>
      <c r="V28" s="851">
        <f>VLOOKUP(E28,'2018UpdateData'!$L$15:$W$305,11,FALSE)</f>
        <v>597618</v>
      </c>
      <c r="W28" s="849">
        <f t="shared" si="3"/>
        <v>597618</v>
      </c>
      <c r="X28" s="852"/>
      <c r="Y28" s="849">
        <f t="shared" si="4"/>
        <v>0</v>
      </c>
      <c r="Z28" s="853">
        <f t="shared" si="5"/>
        <v>0</v>
      </c>
    </row>
    <row r="29" spans="2:26">
      <c r="B29" s="810" t="s">
        <v>2570</v>
      </c>
      <c r="C29" s="848">
        <v>39994</v>
      </c>
      <c r="D29" s="810" t="s">
        <v>1191</v>
      </c>
      <c r="E29" s="810" t="s">
        <v>2571</v>
      </c>
      <c r="F29" s="810" t="s">
        <v>2531</v>
      </c>
      <c r="G29" s="810" t="s">
        <v>1710</v>
      </c>
      <c r="H29" s="810">
        <v>240</v>
      </c>
      <c r="I29" s="810" t="s">
        <v>2533</v>
      </c>
      <c r="J29" s="810">
        <v>12</v>
      </c>
      <c r="K29" s="810" t="s">
        <v>2545</v>
      </c>
      <c r="L29" s="810">
        <v>2</v>
      </c>
      <c r="M29" s="810" t="s">
        <v>2546</v>
      </c>
      <c r="N29" s="849">
        <v>18782529</v>
      </c>
      <c r="O29" s="850">
        <f>N29*C7</f>
        <v>22163384.219999999</v>
      </c>
      <c r="P29" s="813"/>
      <c r="Q29" s="840"/>
      <c r="R29" s="810">
        <f>VLOOKUP(E29,'2018UpdateData'!$L$15:$W$305,2,FALSE)</f>
        <v>786002005</v>
      </c>
      <c r="S29" s="810">
        <f>VLOOKUP(E29,'2018UpdateData'!$L$15:$W$305,5,FALSE)</f>
        <v>240</v>
      </c>
      <c r="T29" s="810">
        <f>VLOOKUP(E29,'2018UpdateData'!$L$15:$W$305,7,FALSE)</f>
        <v>12</v>
      </c>
      <c r="U29" s="810" t="str">
        <f>VLOOKUP(E29,'2018UpdateData'!$L$15:$W$305,8,FALSE)</f>
        <v>d/c 1st side</v>
      </c>
      <c r="V29" s="851">
        <f>VLOOKUP(E29,'2018UpdateData'!$L$15:$W$305,11,FALSE)</f>
        <v>18782529</v>
      </c>
      <c r="W29" s="849">
        <f t="shared" si="3"/>
        <v>22163384.219999999</v>
      </c>
      <c r="X29" s="852"/>
      <c r="Y29" s="849">
        <f t="shared" si="4"/>
        <v>0</v>
      </c>
      <c r="Z29" s="853">
        <f t="shared" si="5"/>
        <v>0</v>
      </c>
    </row>
    <row r="30" spans="2:26">
      <c r="B30" s="810" t="s">
        <v>2572</v>
      </c>
      <c r="C30" s="848">
        <v>41194</v>
      </c>
      <c r="D30" s="810" t="s">
        <v>1191</v>
      </c>
      <c r="E30" s="810" t="s">
        <v>2573</v>
      </c>
      <c r="F30" s="810" t="s">
        <v>2531</v>
      </c>
      <c r="G30" s="810" t="s">
        <v>1696</v>
      </c>
      <c r="H30" s="810">
        <v>240</v>
      </c>
      <c r="I30" s="810" t="s">
        <v>2533</v>
      </c>
      <c r="J30" s="810">
        <v>22</v>
      </c>
      <c r="K30" s="810" t="s">
        <v>2538</v>
      </c>
      <c r="L30" s="810">
        <v>2</v>
      </c>
      <c r="M30" s="810" t="s">
        <v>2546</v>
      </c>
      <c r="N30" s="849">
        <v>55731903</v>
      </c>
      <c r="O30" s="850">
        <f>N30*C6</f>
        <v>55731903</v>
      </c>
      <c r="P30" s="813"/>
      <c r="Q30" s="840"/>
      <c r="R30" s="810">
        <f>'2018UpdateData'!M16</f>
        <v>6290020301</v>
      </c>
      <c r="S30" s="810">
        <f>'2018UpdateData'!P16</f>
        <v>240</v>
      </c>
      <c r="T30" s="810">
        <f>'2018UpdateData'!R16</f>
        <v>22</v>
      </c>
      <c r="U30" s="810" t="str">
        <f>'2018UpdateData'!S16</f>
        <v>double circuit</v>
      </c>
      <c r="V30" s="851">
        <f>'2018UpdateData'!V16</f>
        <v>56341765</v>
      </c>
      <c r="W30" s="849">
        <f t="shared" si="3"/>
        <v>56341765</v>
      </c>
      <c r="X30" s="852"/>
      <c r="Y30" s="849">
        <f t="shared" si="4"/>
        <v>609862</v>
      </c>
      <c r="Z30" s="853">
        <f t="shared" si="5"/>
        <v>1.0942780834166025E-2</v>
      </c>
    </row>
    <row r="31" spans="2:26">
      <c r="B31" s="810" t="s">
        <v>2574</v>
      </c>
      <c r="C31" s="848">
        <v>40354</v>
      </c>
      <c r="D31" s="810" t="s">
        <v>1191</v>
      </c>
      <c r="E31" s="810" t="s">
        <v>2575</v>
      </c>
      <c r="F31" s="810" t="s">
        <v>2531</v>
      </c>
      <c r="G31" s="810" t="s">
        <v>2576</v>
      </c>
      <c r="H31" s="810">
        <v>240</v>
      </c>
      <c r="I31" s="810" t="s">
        <v>2533</v>
      </c>
      <c r="J31" s="810">
        <v>110</v>
      </c>
      <c r="K31" s="810" t="s">
        <v>2538</v>
      </c>
      <c r="L31" s="810">
        <v>2</v>
      </c>
      <c r="M31" s="810" t="s">
        <v>2546</v>
      </c>
      <c r="N31" s="849">
        <v>158822000</v>
      </c>
      <c r="O31" s="850">
        <f>N31*C6</f>
        <v>158822000</v>
      </c>
      <c r="P31" s="813"/>
      <c r="Q31" s="840"/>
      <c r="R31" s="810">
        <f>VLOOKUP(E31,'2018UpdateData'!$L$15:$W$305,2,FALSE)</f>
        <v>8870020412</v>
      </c>
      <c r="S31" s="810">
        <f>VLOOKUP(E31,'2018UpdateData'!$L$15:$W$305,5,FALSE)</f>
        <v>240</v>
      </c>
      <c r="T31" s="810">
        <f>VLOOKUP(E31,'2018UpdateData'!$L$15:$W$305,7,FALSE)</f>
        <v>110</v>
      </c>
      <c r="U31" s="810" t="str">
        <f>VLOOKUP(E31,'2018UpdateData'!$L$15:$W$305,8,FALSE)</f>
        <v>double circuit</v>
      </c>
      <c r="V31" s="851">
        <f>VLOOKUP(E31,'2018UpdateData'!$L$15:$W$305,11,FALSE)</f>
        <v>158222000</v>
      </c>
      <c r="W31" s="849">
        <f t="shared" si="3"/>
        <v>158222000</v>
      </c>
      <c r="X31" s="852"/>
      <c r="Y31" s="849">
        <f t="shared" si="4"/>
        <v>-600000</v>
      </c>
      <c r="Z31" s="853">
        <f t="shared" si="5"/>
        <v>-3.7778141567289167E-3</v>
      </c>
    </row>
    <row r="32" spans="2:26">
      <c r="B32" s="810" t="s">
        <v>2577</v>
      </c>
      <c r="C32" s="848">
        <v>40330</v>
      </c>
      <c r="D32" s="810" t="s">
        <v>1191</v>
      </c>
      <c r="E32" s="810" t="s">
        <v>2578</v>
      </c>
      <c r="F32" s="810" t="s">
        <v>2531</v>
      </c>
      <c r="G32" s="810" t="s">
        <v>2579</v>
      </c>
      <c r="H32" s="810">
        <v>240</v>
      </c>
      <c r="I32" s="810" t="s">
        <v>2533</v>
      </c>
      <c r="J32" s="810">
        <v>6</v>
      </c>
      <c r="K32" s="810" t="s">
        <v>2538</v>
      </c>
      <c r="L32" s="810">
        <v>2</v>
      </c>
      <c r="M32" s="810" t="s">
        <v>2546</v>
      </c>
      <c r="N32" s="849">
        <v>11610000</v>
      </c>
      <c r="O32" s="850">
        <f>N32*C6</f>
        <v>11610000</v>
      </c>
      <c r="P32" s="813"/>
      <c r="Q32" s="840"/>
      <c r="R32" s="810">
        <f>VLOOKUP(E32,'2018UpdateData'!$L$15:$W$305,2,FALSE)</f>
        <v>462002015</v>
      </c>
      <c r="S32" s="810">
        <f>VLOOKUP(E32,'2018UpdateData'!$L$15:$W$305,5,FALSE)</f>
        <v>240</v>
      </c>
      <c r="T32" s="810">
        <f>VLOOKUP(E32,'2018UpdateData'!$L$15:$W$305,7,FALSE)</f>
        <v>6</v>
      </c>
      <c r="U32" s="810" t="str">
        <f>VLOOKUP(E32,'2018UpdateData'!$L$15:$W$305,8,FALSE)</f>
        <v>double circuit</v>
      </c>
      <c r="V32" s="851">
        <f>VLOOKUP(E32,'2018UpdateData'!$L$15:$W$305,11,FALSE)</f>
        <v>11610000</v>
      </c>
      <c r="W32" s="849">
        <f t="shared" si="3"/>
        <v>11610000</v>
      </c>
      <c r="X32" s="852"/>
      <c r="Y32" s="849">
        <f t="shared" si="4"/>
        <v>0</v>
      </c>
      <c r="Z32" s="853">
        <f t="shared" si="5"/>
        <v>0</v>
      </c>
    </row>
    <row r="33" spans="1:26">
      <c r="B33" s="810" t="s">
        <v>2580</v>
      </c>
      <c r="C33" s="848">
        <v>41262</v>
      </c>
      <c r="D33" s="810" t="s">
        <v>1191</v>
      </c>
      <c r="E33" s="810" t="s">
        <v>2581</v>
      </c>
      <c r="F33" s="810" t="s">
        <v>2531</v>
      </c>
      <c r="G33" s="810" t="s">
        <v>2582</v>
      </c>
      <c r="H33" s="810">
        <v>240</v>
      </c>
      <c r="I33" s="810" t="s">
        <v>2533</v>
      </c>
      <c r="J33" s="810">
        <v>22</v>
      </c>
      <c r="K33" s="810" t="s">
        <v>2545</v>
      </c>
      <c r="L33" s="810">
        <v>2</v>
      </c>
      <c r="M33" s="810" t="s">
        <v>2546</v>
      </c>
      <c r="N33" s="849">
        <v>38446021</v>
      </c>
      <c r="O33" s="850">
        <f>N33*C7</f>
        <v>45366304.780000001</v>
      </c>
      <c r="P33" s="813"/>
      <c r="Q33" s="840"/>
      <c r="R33" s="810">
        <f>'2018UpdateData'!M31</f>
        <v>11010020551</v>
      </c>
      <c r="S33" s="810">
        <f>'2018UpdateData'!P31</f>
        <v>240</v>
      </c>
      <c r="T33" s="810">
        <f>'2018UpdateData'!R31</f>
        <v>22</v>
      </c>
      <c r="U33" s="810" t="str">
        <f>'2018UpdateData'!S31</f>
        <v>d/c 1st side</v>
      </c>
      <c r="V33" s="851">
        <f>'2018UpdateData'!V31</f>
        <v>60032428</v>
      </c>
      <c r="W33" s="849">
        <f t="shared" si="3"/>
        <v>70838265.039999992</v>
      </c>
      <c r="X33" s="852"/>
      <c r="Y33" s="849">
        <f t="shared" si="4"/>
        <v>21586407</v>
      </c>
      <c r="Z33" s="853">
        <f t="shared" si="5"/>
        <v>0.56147311057235283</v>
      </c>
    </row>
    <row r="34" spans="1:26">
      <c r="B34" s="810" t="s">
        <v>2583</v>
      </c>
      <c r="C34" s="848">
        <v>40877</v>
      </c>
      <c r="D34" s="810" t="s">
        <v>1191</v>
      </c>
      <c r="E34" s="810" t="s">
        <v>2584</v>
      </c>
      <c r="F34" s="810" t="s">
        <v>2531</v>
      </c>
      <c r="G34" s="810" t="s">
        <v>2585</v>
      </c>
      <c r="H34" s="810">
        <v>240</v>
      </c>
      <c r="I34" s="810" t="s">
        <v>2533</v>
      </c>
      <c r="J34" s="810">
        <v>18</v>
      </c>
      <c r="K34" s="810" t="s">
        <v>2538</v>
      </c>
      <c r="L34" s="810">
        <v>2</v>
      </c>
      <c r="M34" s="810" t="s">
        <v>2546</v>
      </c>
      <c r="N34" s="849">
        <v>29722000</v>
      </c>
      <c r="O34" s="850">
        <f>N34*C6</f>
        <v>29722000</v>
      </c>
      <c r="P34" s="813"/>
      <c r="Q34" s="840"/>
      <c r="R34" s="810">
        <f>'2018UpdateData'!M34</f>
        <v>11170020194</v>
      </c>
      <c r="S34" s="810">
        <f>'2018UpdateData'!P34</f>
        <v>240</v>
      </c>
      <c r="T34" s="810">
        <f>'2018UpdateData'!R34</f>
        <v>18</v>
      </c>
      <c r="U34" s="810" t="str">
        <f>'2018UpdateData'!S34</f>
        <v>double circuit</v>
      </c>
      <c r="V34" s="851">
        <f>'2018UpdateData'!V34</f>
        <v>44952000</v>
      </c>
      <c r="W34" s="849">
        <f t="shared" si="3"/>
        <v>44952000</v>
      </c>
      <c r="X34" s="852"/>
      <c r="Y34" s="849">
        <f t="shared" si="4"/>
        <v>15230000</v>
      </c>
      <c r="Z34" s="853">
        <f t="shared" si="5"/>
        <v>0.51241504609380262</v>
      </c>
    </row>
    <row r="35" spans="1:26">
      <c r="B35" s="810" t="s">
        <v>2580</v>
      </c>
      <c r="C35" s="848">
        <v>41262</v>
      </c>
      <c r="D35" s="810" t="s">
        <v>1191</v>
      </c>
      <c r="E35" s="810" t="s">
        <v>2586</v>
      </c>
      <c r="F35" s="810" t="s">
        <v>2531</v>
      </c>
      <c r="G35" s="810" t="s">
        <v>2587</v>
      </c>
      <c r="H35" s="810">
        <v>240</v>
      </c>
      <c r="I35" s="810" t="s">
        <v>2533</v>
      </c>
      <c r="J35" s="810">
        <v>56</v>
      </c>
      <c r="K35" s="810" t="s">
        <v>2545</v>
      </c>
      <c r="L35" s="810">
        <v>2</v>
      </c>
      <c r="M35" s="810" t="s">
        <v>2546</v>
      </c>
      <c r="N35" s="849">
        <v>96671599</v>
      </c>
      <c r="O35" s="850">
        <f>N35*C7</f>
        <v>114072486.81999999</v>
      </c>
      <c r="P35" s="813"/>
      <c r="Q35" s="840"/>
      <c r="R35" s="810">
        <f>'2018UpdateData'!M32</f>
        <v>11010020554</v>
      </c>
      <c r="S35" s="810">
        <f>'2018UpdateData'!P32</f>
        <v>240</v>
      </c>
      <c r="T35" s="810">
        <f>'2018UpdateData'!R32</f>
        <v>56</v>
      </c>
      <c r="U35" s="810" t="str">
        <f>'2018UpdateData'!S32</f>
        <v>d/c 1st side</v>
      </c>
      <c r="V35" s="851">
        <f>'2018UpdateData'!V32</f>
        <v>131251003</v>
      </c>
      <c r="W35" s="849">
        <f t="shared" si="3"/>
        <v>154876183.53999999</v>
      </c>
      <c r="X35" s="852"/>
      <c r="Y35" s="849">
        <f t="shared" si="4"/>
        <v>34579404</v>
      </c>
      <c r="Z35" s="853">
        <f t="shared" si="5"/>
        <v>0.35769972109388609</v>
      </c>
    </row>
    <row r="36" spans="1:26">
      <c r="A36" s="854"/>
      <c r="B36" s="854"/>
      <c r="C36" s="855"/>
      <c r="D36" s="854"/>
      <c r="E36" s="854"/>
      <c r="F36" s="854"/>
      <c r="G36" s="854"/>
      <c r="H36" s="854"/>
      <c r="I36" s="854"/>
      <c r="J36" s="854"/>
      <c r="K36" s="854"/>
      <c r="L36" s="854"/>
      <c r="M36" s="854"/>
      <c r="N36" s="856"/>
      <c r="O36" s="857"/>
      <c r="P36" s="858"/>
      <c r="Q36" s="859"/>
      <c r="R36" s="854"/>
      <c r="S36" s="854"/>
      <c r="T36" s="854"/>
      <c r="U36" s="854"/>
      <c r="V36" s="860"/>
      <c r="W36" s="856"/>
      <c r="X36" s="861"/>
      <c r="Y36" s="856"/>
      <c r="Z36" s="854"/>
    </row>
    <row r="37" spans="1:26" s="844" customFormat="1">
      <c r="C37" s="862"/>
      <c r="N37" s="846">
        <f>SUMIF(R16:R35,"&lt;&gt;",N16:N35)</f>
        <v>1139131844</v>
      </c>
      <c r="O37" s="845"/>
      <c r="P37" s="863"/>
      <c r="Q37" s="864"/>
      <c r="R37" s="845"/>
      <c r="S37" s="845"/>
      <c r="T37" s="845"/>
      <c r="U37" s="845"/>
      <c r="V37" s="845">
        <f>SUMIF(V16:V35,"&lt;&gt;#N/A")</f>
        <v>1330797917</v>
      </c>
      <c r="W37" s="846"/>
      <c r="X37" s="865"/>
      <c r="Y37" s="846">
        <f>SUM(Y16:Y35)</f>
        <v>191666073</v>
      </c>
      <c r="Z37" s="866">
        <f>Y37/N37</f>
        <v>0.16825626814800904</v>
      </c>
    </row>
    <row r="38" spans="1:26">
      <c r="C38" s="848"/>
      <c r="O38" s="844">
        <f>SUM(J16:J35)</f>
        <v>787.7</v>
      </c>
      <c r="P38" s="867" t="s">
        <v>2588</v>
      </c>
      <c r="Q38" s="868"/>
      <c r="R38" s="844"/>
      <c r="S38" s="844"/>
      <c r="T38" s="844"/>
      <c r="U38" s="844"/>
      <c r="V38" s="845"/>
      <c r="W38" s="846">
        <f>SUM(T16:T24,T26:T35)</f>
        <v>706.7</v>
      </c>
      <c r="X38" s="867" t="s">
        <v>2588</v>
      </c>
      <c r="Y38" s="869"/>
    </row>
    <row r="39" spans="1:26">
      <c r="C39" s="848"/>
      <c r="O39" s="870">
        <f>SUM(O16:O35)</f>
        <v>1340140835.76</v>
      </c>
      <c r="P39" s="867" t="s">
        <v>2589</v>
      </c>
      <c r="Q39" s="868"/>
      <c r="R39" s="844"/>
      <c r="S39" s="844"/>
      <c r="T39" s="844"/>
      <c r="U39" s="844"/>
      <c r="V39" s="845"/>
      <c r="W39" s="846">
        <f>SUM(W16:W24,W26:W35)</f>
        <v>1416909064.6599998</v>
      </c>
      <c r="X39" s="847" t="s">
        <v>2589</v>
      </c>
      <c r="Y39" s="849"/>
    </row>
    <row r="40" spans="1:26" s="844" customFormat="1" ht="16.2" thickBot="1">
      <c r="A40" s="871"/>
      <c r="B40" s="871"/>
      <c r="C40" s="872"/>
      <c r="D40" s="871"/>
      <c r="E40" s="871"/>
      <c r="F40" s="871"/>
      <c r="G40" s="871"/>
      <c r="H40" s="871"/>
      <c r="I40" s="871"/>
      <c r="J40" s="871"/>
      <c r="K40" s="871"/>
      <c r="L40" s="871"/>
      <c r="M40" s="871"/>
      <c r="N40" s="873"/>
      <c r="O40" s="874">
        <f>O39/O38</f>
        <v>1701334.0558080487</v>
      </c>
      <c r="P40" s="875" t="s">
        <v>2590</v>
      </c>
      <c r="Q40" s="876"/>
      <c r="R40" s="871"/>
      <c r="S40" s="871"/>
      <c r="T40" s="871"/>
      <c r="U40" s="871"/>
      <c r="V40" s="877"/>
      <c r="W40" s="873">
        <f>SUM(W16:W24,W26:W35)/SUM(T16:T24,T26:T35)</f>
        <v>2004965.4233196543</v>
      </c>
      <c r="X40" s="876" t="s">
        <v>2822</v>
      </c>
      <c r="Y40" s="873"/>
      <c r="Z40" s="878">
        <f>(W40-O40)/O40</f>
        <v>0.17846663709285235</v>
      </c>
    </row>
    <row r="41" spans="1:26">
      <c r="C41" s="848"/>
      <c r="O41" s="810"/>
      <c r="P41" s="813"/>
      <c r="Q41" s="840"/>
      <c r="Y41" s="879"/>
    </row>
    <row r="42" spans="1:26">
      <c r="A42" s="810" t="s">
        <v>2591</v>
      </c>
      <c r="C42" s="848"/>
      <c r="O42" s="810"/>
      <c r="P42" s="813"/>
      <c r="Q42" s="840"/>
      <c r="W42" s="849"/>
      <c r="X42" s="840"/>
      <c r="Y42" s="849"/>
    </row>
    <row r="43" spans="1:26">
      <c r="B43" s="842"/>
      <c r="C43" s="842" t="s">
        <v>2519</v>
      </c>
      <c r="D43" s="842" t="s">
        <v>120</v>
      </c>
      <c r="E43" s="842" t="s">
        <v>121</v>
      </c>
      <c r="F43" s="842" t="s">
        <v>2520</v>
      </c>
      <c r="G43" s="842" t="s">
        <v>2521</v>
      </c>
      <c r="H43" s="842" t="s">
        <v>122</v>
      </c>
      <c r="I43" s="842" t="s">
        <v>2522</v>
      </c>
      <c r="J43" s="842" t="s">
        <v>123</v>
      </c>
      <c r="K43" s="842" t="s">
        <v>2523</v>
      </c>
      <c r="L43" s="842" t="s">
        <v>2524</v>
      </c>
      <c r="M43" s="842" t="s">
        <v>2525</v>
      </c>
      <c r="N43" s="843" t="s">
        <v>44</v>
      </c>
      <c r="O43" s="842" t="s">
        <v>2527</v>
      </c>
      <c r="P43" s="813"/>
      <c r="Q43" s="840"/>
      <c r="R43" s="844" t="s">
        <v>2816</v>
      </c>
      <c r="S43" s="844" t="s">
        <v>2817</v>
      </c>
      <c r="T43" s="844" t="s">
        <v>2818</v>
      </c>
      <c r="U43" s="844" t="s">
        <v>2819</v>
      </c>
      <c r="V43" s="845" t="s">
        <v>44</v>
      </c>
      <c r="W43" s="846" t="s">
        <v>2527</v>
      </c>
      <c r="X43" s="847" t="s">
        <v>2815</v>
      </c>
      <c r="Y43" s="849"/>
    </row>
    <row r="44" spans="1:26">
      <c r="B44" s="810" t="s">
        <v>2592</v>
      </c>
      <c r="C44" s="848">
        <v>40324</v>
      </c>
      <c r="D44" s="810" t="s">
        <v>1191</v>
      </c>
      <c r="E44" s="810" t="s">
        <v>2593</v>
      </c>
      <c r="F44" s="810" t="s">
        <v>2531</v>
      </c>
      <c r="G44" s="810" t="s">
        <v>2594</v>
      </c>
      <c r="H44" s="810">
        <v>240</v>
      </c>
      <c r="I44" s="810" t="s">
        <v>2533</v>
      </c>
      <c r="J44" s="813">
        <v>68.7</v>
      </c>
      <c r="K44" s="813" t="s">
        <v>2545</v>
      </c>
      <c r="L44" s="813">
        <v>2</v>
      </c>
      <c r="M44" s="813" t="s">
        <v>2595</v>
      </c>
      <c r="N44" s="815">
        <v>46582000</v>
      </c>
      <c r="O44" s="850">
        <f>N44*C7</f>
        <v>54966760</v>
      </c>
      <c r="P44" s="813"/>
      <c r="Q44" s="840"/>
      <c r="R44" s="810">
        <f>VLOOKUP(E44,'2018UpdateData'!$L$15:$X$305,2,FALSE)</f>
        <v>1003002355</v>
      </c>
      <c r="S44" s="810">
        <f>VLOOKUP(E44,'2018UpdateData'!$L$15:$X$305,5,FALSE)</f>
        <v>240</v>
      </c>
      <c r="T44" s="810">
        <f>VLOOKUP(E44,'2018UpdateData'!$L$15:$X$305,7,FALSE)</f>
        <v>68.7</v>
      </c>
      <c r="U44" s="813" t="str">
        <f>VLOOKUP(E44,'2018UpdateData'!$L$15:$X$305,8,FALSE)</f>
        <v>d/c 1st side</v>
      </c>
      <c r="V44" s="851">
        <f>VLOOKUP(E44,'2018UpdateData'!$L$15:$X$305,11,FALSE)</f>
        <v>46582000</v>
      </c>
      <c r="W44" s="849">
        <f>VLOOKUP(K44,$B$6:$C$8,2,FALSE)*V44</f>
        <v>54966760</v>
      </c>
      <c r="X44" s="840"/>
      <c r="Y44" s="849">
        <f>(V44-N44)</f>
        <v>0</v>
      </c>
      <c r="Z44" s="853">
        <f>Y44/N44</f>
        <v>0</v>
      </c>
    </row>
    <row r="45" spans="1:26">
      <c r="B45" s="810" t="s">
        <v>2596</v>
      </c>
      <c r="C45" s="848">
        <v>40324</v>
      </c>
      <c r="D45" s="810" t="s">
        <v>1191</v>
      </c>
      <c r="E45" s="810" t="s">
        <v>2597</v>
      </c>
      <c r="F45" s="810" t="s">
        <v>2531</v>
      </c>
      <c r="G45" s="810" t="s">
        <v>2598</v>
      </c>
      <c r="H45" s="810">
        <v>240</v>
      </c>
      <c r="I45" s="810" t="s">
        <v>2533</v>
      </c>
      <c r="J45" s="813">
        <v>44.7</v>
      </c>
      <c r="K45" s="813" t="s">
        <v>2545</v>
      </c>
      <c r="L45" s="813">
        <v>2</v>
      </c>
      <c r="M45" s="813" t="s">
        <v>2595</v>
      </c>
      <c r="N45" s="815">
        <v>29801000</v>
      </c>
      <c r="O45" s="850">
        <f>N45*C7</f>
        <v>35165180</v>
      </c>
      <c r="P45" s="813"/>
      <c r="Q45" s="840"/>
      <c r="R45" s="810">
        <f>VLOOKUP(E45,'2018UpdateData'!$L$15:$X$305,2,FALSE)</f>
        <v>999002274</v>
      </c>
      <c r="S45" s="810">
        <f>VLOOKUP(E45,'2018UpdateData'!$L$15:$X$305,5,FALSE)</f>
        <v>240</v>
      </c>
      <c r="T45" s="810">
        <f>VLOOKUP(E45,'2018UpdateData'!$L$15:$X$305,7,FALSE)</f>
        <v>44.7</v>
      </c>
      <c r="U45" s="813" t="str">
        <f>VLOOKUP(E45,'2018UpdateData'!$L$15:$X$305,8,FALSE)</f>
        <v>d/c 1st side</v>
      </c>
      <c r="V45" s="851">
        <f>VLOOKUP(E45,'2018UpdateData'!$L$15:$X$305,11,FALSE)</f>
        <v>29801000</v>
      </c>
      <c r="W45" s="849">
        <f>VLOOKUP(K45,$B$6:$C$8,2,FALSE)*V45</f>
        <v>35165180</v>
      </c>
      <c r="X45" s="840"/>
      <c r="Y45" s="849">
        <f>(V45-N45)</f>
        <v>0</v>
      </c>
      <c r="Z45" s="853">
        <f>Y45/N45</f>
        <v>0</v>
      </c>
    </row>
    <row r="46" spans="1:26">
      <c r="B46" s="810" t="s">
        <v>2599</v>
      </c>
      <c r="C46" s="848">
        <v>40324</v>
      </c>
      <c r="D46" s="810" t="s">
        <v>1191</v>
      </c>
      <c r="E46" s="810" t="s">
        <v>2600</v>
      </c>
      <c r="F46" s="810" t="s">
        <v>2531</v>
      </c>
      <c r="G46" s="810" t="s">
        <v>2601</v>
      </c>
      <c r="H46" s="810">
        <v>240</v>
      </c>
      <c r="I46" s="810" t="s">
        <v>2533</v>
      </c>
      <c r="J46" s="813">
        <v>9.1999999999999993</v>
      </c>
      <c r="K46" s="813" t="s">
        <v>2538</v>
      </c>
      <c r="L46" s="813">
        <v>2</v>
      </c>
      <c r="M46" s="813" t="s">
        <v>2595</v>
      </c>
      <c r="N46" s="815">
        <v>8438000</v>
      </c>
      <c r="O46" s="850">
        <f>N46*C6</f>
        <v>8438000</v>
      </c>
      <c r="P46" s="813"/>
      <c r="Q46" s="840"/>
      <c r="R46" s="810">
        <f>VLOOKUP(E46,'2018UpdateData'!$L$15:$X$305,2,FALSE)</f>
        <v>996002235</v>
      </c>
      <c r="S46" s="810">
        <f>VLOOKUP(E46,'2018UpdateData'!$L$15:$X$305,5,FALSE)</f>
        <v>240</v>
      </c>
      <c r="T46" s="810">
        <f>VLOOKUP(E46,'2018UpdateData'!$L$15:$X$305,7,FALSE)</f>
        <v>9.1999999999999993</v>
      </c>
      <c r="U46" s="813" t="str">
        <f>VLOOKUP(E46,'2018UpdateData'!$L$15:$X$305,8,FALSE)</f>
        <v>double circuit</v>
      </c>
      <c r="V46" s="851">
        <f>VLOOKUP(E46,'2018UpdateData'!$L$15:$X$305,11,FALSE)</f>
        <v>8438000</v>
      </c>
      <c r="W46" s="849">
        <f>VLOOKUP(K46,$B$6:$C$8,2,FALSE)*V46</f>
        <v>8438000</v>
      </c>
      <c r="X46" s="840"/>
      <c r="Y46" s="849">
        <f>(V46-N46)</f>
        <v>0</v>
      </c>
      <c r="Z46" s="853">
        <f>Y46/N46</f>
        <v>0</v>
      </c>
    </row>
    <row r="47" spans="1:26">
      <c r="B47" s="810" t="s">
        <v>2602</v>
      </c>
      <c r="C47" s="848">
        <v>40822</v>
      </c>
      <c r="D47" s="810" t="s">
        <v>1512</v>
      </c>
      <c r="E47" s="810" t="s">
        <v>2603</v>
      </c>
      <c r="F47" s="810" t="s">
        <v>2531</v>
      </c>
      <c r="G47" s="810" t="s">
        <v>2604</v>
      </c>
      <c r="H47" s="810">
        <v>240</v>
      </c>
      <c r="I47" s="810" t="s">
        <v>2533</v>
      </c>
      <c r="J47" s="813">
        <v>30</v>
      </c>
      <c r="K47" s="813" t="s">
        <v>2545</v>
      </c>
      <c r="L47" s="813">
        <v>2</v>
      </c>
      <c r="M47" s="813" t="s">
        <v>2595</v>
      </c>
      <c r="N47" s="815">
        <v>50362771</v>
      </c>
      <c r="O47" s="850">
        <f>N47*C7</f>
        <v>59428069.779999994</v>
      </c>
      <c r="P47" s="813"/>
      <c r="Q47" s="840"/>
      <c r="R47" s="810">
        <f>'2018UpdateData'!M58</f>
        <v>1101002170</v>
      </c>
      <c r="S47" s="810">
        <f>'2018UpdateData'!P58</f>
        <v>240</v>
      </c>
      <c r="T47" s="810">
        <f>'2018UpdateData'!R58</f>
        <v>30</v>
      </c>
      <c r="U47" s="813" t="str">
        <f>'2018UpdateData'!S58</f>
        <v>d/c 1st side</v>
      </c>
      <c r="V47" s="851">
        <f>'2018UpdateData'!V58</f>
        <v>50362771</v>
      </c>
      <c r="W47" s="849">
        <f>VLOOKUP(K47,$B$6:$C$8,2,FALSE)*V47</f>
        <v>59428069.779999994</v>
      </c>
      <c r="X47" s="840"/>
      <c r="Y47" s="849">
        <f>(V53-N47)</f>
        <v>-1405832</v>
      </c>
      <c r="Z47" s="853">
        <f>Y47/N47</f>
        <v>-2.7914111397881584E-2</v>
      </c>
    </row>
    <row r="48" spans="1:26">
      <c r="B48" s="810" t="s">
        <v>2605</v>
      </c>
      <c r="C48" s="848">
        <v>40324</v>
      </c>
      <c r="D48" s="810" t="s">
        <v>1191</v>
      </c>
      <c r="E48" s="810" t="s">
        <v>2606</v>
      </c>
      <c r="F48" s="810" t="s">
        <v>2531</v>
      </c>
      <c r="G48" s="810" t="s">
        <v>2607</v>
      </c>
      <c r="H48" s="810">
        <v>240</v>
      </c>
      <c r="I48" s="810" t="s">
        <v>2533</v>
      </c>
      <c r="J48" s="813">
        <v>88.6</v>
      </c>
      <c r="K48" s="813" t="s">
        <v>2545</v>
      </c>
      <c r="L48" s="813">
        <v>2</v>
      </c>
      <c r="M48" s="813" t="s">
        <v>2595</v>
      </c>
      <c r="N48" s="815">
        <v>58236000</v>
      </c>
      <c r="O48" s="850">
        <f>N48*C7</f>
        <v>68718480</v>
      </c>
      <c r="P48" s="813"/>
      <c r="Q48" s="840"/>
      <c r="R48" s="810">
        <f>VLOOKUP(E48,'2018UpdateData'!$L$15:$X$305,2,FALSE)</f>
        <v>998002255</v>
      </c>
      <c r="S48" s="810">
        <f>VLOOKUP(E48,'2018UpdateData'!$L$15:$X$305,5,FALSE)</f>
        <v>240</v>
      </c>
      <c r="T48" s="810">
        <f>VLOOKUP(E48,'2018UpdateData'!$L$15:$X$305,7,FALSE)</f>
        <v>88.6</v>
      </c>
      <c r="U48" s="813" t="str">
        <f>VLOOKUP(E48,'2018UpdateData'!$L$15:$X$305,8,FALSE)</f>
        <v>d/c 1st side</v>
      </c>
      <c r="V48" s="851">
        <f>VLOOKUP(E48,'2018UpdateData'!$L$15:$X$305,11,FALSE)</f>
        <v>58236000</v>
      </c>
      <c r="W48" s="849">
        <f>VLOOKUP(K48,$B$6:$C$8,2,FALSE)*V48</f>
        <v>68718480</v>
      </c>
      <c r="X48" s="840"/>
      <c r="Y48" s="849">
        <f>(V48-N48)</f>
        <v>0</v>
      </c>
      <c r="Z48" s="853">
        <f>Y48/N48</f>
        <v>0</v>
      </c>
    </row>
    <row r="49" spans="1:27">
      <c r="B49" s="810" t="s">
        <v>2608</v>
      </c>
      <c r="C49" s="848">
        <v>40324</v>
      </c>
      <c r="D49" s="810" t="s">
        <v>1191</v>
      </c>
      <c r="E49" s="810" t="s">
        <v>2609</v>
      </c>
      <c r="F49" s="810" t="s">
        <v>2531</v>
      </c>
      <c r="G49" s="810" t="s">
        <v>2610</v>
      </c>
      <c r="H49" s="810">
        <v>240</v>
      </c>
      <c r="I49" s="810" t="s">
        <v>2533</v>
      </c>
      <c r="J49" s="813">
        <v>40</v>
      </c>
      <c r="K49" s="813" t="s">
        <v>2545</v>
      </c>
      <c r="L49" s="813">
        <v>2</v>
      </c>
      <c r="M49" s="813" t="s">
        <v>2595</v>
      </c>
      <c r="N49" s="815">
        <v>31227000</v>
      </c>
      <c r="O49" s="850">
        <f>N49*C7</f>
        <v>36847860</v>
      </c>
      <c r="P49" s="813"/>
      <c r="Q49" s="840"/>
      <c r="U49" s="813"/>
      <c r="W49" s="849"/>
      <c r="X49" s="840"/>
      <c r="Y49" s="849"/>
      <c r="Z49" s="853"/>
    </row>
    <row r="50" spans="1:27">
      <c r="B50" s="810" t="s">
        <v>2611</v>
      </c>
      <c r="C50" s="848">
        <v>39933</v>
      </c>
      <c r="D50" s="810" t="s">
        <v>1191</v>
      </c>
      <c r="E50" s="810" t="s">
        <v>2612</v>
      </c>
      <c r="F50" s="810" t="s">
        <v>2531</v>
      </c>
      <c r="G50" s="810" t="s">
        <v>2613</v>
      </c>
      <c r="H50" s="810">
        <v>240</v>
      </c>
      <c r="I50" s="810" t="s">
        <v>2533</v>
      </c>
      <c r="J50" s="813">
        <v>8.9</v>
      </c>
      <c r="K50" s="813" t="s">
        <v>2534</v>
      </c>
      <c r="L50" s="813">
        <v>2</v>
      </c>
      <c r="M50" s="813" t="s">
        <v>2595</v>
      </c>
      <c r="N50" s="815">
        <v>7227000</v>
      </c>
      <c r="O50" s="850">
        <f>N50*C8</f>
        <v>11707740</v>
      </c>
      <c r="P50" s="813"/>
      <c r="Q50" s="840"/>
      <c r="R50" s="810">
        <f>VLOOKUP(E50,'2018UpdateData'!$L$15:$X$305,2,FALSE)</f>
        <v>943002004</v>
      </c>
      <c r="S50" s="810">
        <f>VLOOKUP(E50,'2018UpdateData'!$L$15:$X$305,5,FALSE)</f>
        <v>240</v>
      </c>
      <c r="T50" s="810">
        <f>VLOOKUP(E50,'2018UpdateData'!$L$15:$X$305,7,FALSE)</f>
        <v>8.9</v>
      </c>
      <c r="U50" s="813" t="str">
        <f>VLOOKUP(E50,'2018UpdateData'!$L$15:$X$305,8,FALSE)</f>
        <v>single circuit</v>
      </c>
      <c r="V50" s="851">
        <f>VLOOKUP(E50,'2018UpdateData'!$L$15:$X$305,11,FALSE)</f>
        <v>7227000</v>
      </c>
      <c r="W50" s="849">
        <f>VLOOKUP(K50,$B$6:$C$8,2,FALSE)*V50</f>
        <v>11707740</v>
      </c>
      <c r="X50" s="840"/>
      <c r="Y50" s="849">
        <f>(V50-N50)</f>
        <v>0</v>
      </c>
      <c r="Z50" s="853">
        <f>Y50/N50</f>
        <v>0</v>
      </c>
    </row>
    <row r="51" spans="1:27">
      <c r="B51" s="810" t="s">
        <v>2614</v>
      </c>
      <c r="C51" s="848">
        <v>41075</v>
      </c>
      <c r="D51" s="810" t="s">
        <v>1191</v>
      </c>
      <c r="E51" s="810" t="s">
        <v>2615</v>
      </c>
      <c r="F51" s="810" t="s">
        <v>2531</v>
      </c>
      <c r="G51" s="810" t="s">
        <v>2616</v>
      </c>
      <c r="H51" s="810">
        <v>240</v>
      </c>
      <c r="I51" s="810" t="s">
        <v>2617</v>
      </c>
      <c r="J51" s="813">
        <v>34</v>
      </c>
      <c r="K51" s="813" t="s">
        <v>2545</v>
      </c>
      <c r="L51" s="813">
        <v>2</v>
      </c>
      <c r="M51" s="813">
        <v>795</v>
      </c>
      <c r="N51" s="815">
        <v>66799208</v>
      </c>
      <c r="O51" s="850">
        <f>N51*C7</f>
        <v>78823065.439999998</v>
      </c>
      <c r="P51" s="813"/>
      <c r="Q51" s="840"/>
      <c r="R51" s="810">
        <f>VLOOKUP(E51,'2018UpdateData'!$L$15:$X$305,2,FALSE)</f>
        <v>791002040</v>
      </c>
      <c r="S51" s="810">
        <f>VLOOKUP(E51,'2018UpdateData'!$L$15:$X$305,5,FALSE)</f>
        <v>240</v>
      </c>
      <c r="T51" s="810">
        <f>VLOOKUP(E51,'2018UpdateData'!$L$15:$X$305,7,FALSE)</f>
        <v>34</v>
      </c>
      <c r="U51" s="813" t="str">
        <f>VLOOKUP(E51,'2018UpdateData'!$L$15:$X$305,8,FALSE)</f>
        <v>d/c 1st side</v>
      </c>
      <c r="V51" s="851">
        <f>VLOOKUP(E51,'2018UpdateData'!$L$15:$X$305,11,FALSE)</f>
        <v>66799208</v>
      </c>
      <c r="W51" s="849">
        <f>VLOOKUP(K51,$B$6:$C$8,2,FALSE)*V51</f>
        <v>78823065.439999998</v>
      </c>
      <c r="X51" s="840"/>
      <c r="Y51" s="849">
        <f>(V51-N51)</f>
        <v>0</v>
      </c>
      <c r="Z51" s="853">
        <f>Y51/N51</f>
        <v>0</v>
      </c>
    </row>
    <row r="52" spans="1:27">
      <c r="B52" s="810" t="s">
        <v>2614</v>
      </c>
      <c r="C52" s="848">
        <v>41075</v>
      </c>
      <c r="D52" s="810" t="s">
        <v>1191</v>
      </c>
      <c r="E52" s="810" t="s">
        <v>2618</v>
      </c>
      <c r="F52" s="810" t="s">
        <v>2531</v>
      </c>
      <c r="G52" s="810" t="s">
        <v>2619</v>
      </c>
      <c r="H52" s="810">
        <v>240</v>
      </c>
      <c r="I52" s="810" t="s">
        <v>2617</v>
      </c>
      <c r="J52" s="813">
        <v>82</v>
      </c>
      <c r="K52" s="813" t="s">
        <v>2545</v>
      </c>
      <c r="L52" s="813">
        <v>2</v>
      </c>
      <c r="M52" s="813">
        <v>795</v>
      </c>
      <c r="N52" s="815">
        <v>183739858</v>
      </c>
      <c r="O52" s="850">
        <f>N52*C7</f>
        <v>216813032.44</v>
      </c>
      <c r="P52" s="813"/>
      <c r="Q52" s="840"/>
      <c r="R52" s="810">
        <f>VLOOKUP(E52,'2018UpdateData'!$L$15:$X$305,2,FALSE)</f>
        <v>791002043</v>
      </c>
      <c r="S52" s="810">
        <f>VLOOKUP(E52,'2018UpdateData'!$L$15:$X$305,5,FALSE)</f>
        <v>240</v>
      </c>
      <c r="T52" s="810">
        <f>VLOOKUP(E52,'2018UpdateData'!$L$15:$X$305,7,FALSE)</f>
        <v>82</v>
      </c>
      <c r="U52" s="813" t="str">
        <f>VLOOKUP(E52,'2018UpdateData'!$L$15:$X$305,8,FALSE)</f>
        <v>d/c 1st side</v>
      </c>
      <c r="V52" s="851">
        <f>VLOOKUP(E52,'2018UpdateData'!$L$15:$X$305,11,FALSE)</f>
        <v>183739858</v>
      </c>
      <c r="W52" s="849">
        <f>VLOOKUP(K52,$B$6:$C$8,2,FALSE)*V52</f>
        <v>216813032.44</v>
      </c>
      <c r="X52" s="840"/>
      <c r="Y52" s="849">
        <f>(V52-N52)</f>
        <v>0</v>
      </c>
      <c r="Z52" s="853">
        <f>Y52/N52</f>
        <v>0</v>
      </c>
    </row>
    <row r="53" spans="1:27">
      <c r="B53" s="810" t="s">
        <v>2602</v>
      </c>
      <c r="C53" s="848">
        <v>40822</v>
      </c>
      <c r="D53" s="810" t="s">
        <v>1512</v>
      </c>
      <c r="E53" s="810" t="s">
        <v>2620</v>
      </c>
      <c r="F53" s="810" t="s">
        <v>2531</v>
      </c>
      <c r="G53" s="810" t="s">
        <v>2621</v>
      </c>
      <c r="H53" s="810">
        <v>240</v>
      </c>
      <c r="I53" s="810" t="s">
        <v>2533</v>
      </c>
      <c r="J53" s="813">
        <v>30</v>
      </c>
      <c r="K53" s="813" t="s">
        <v>2545</v>
      </c>
      <c r="L53" s="813">
        <v>2</v>
      </c>
      <c r="M53" s="813" t="s">
        <v>2622</v>
      </c>
      <c r="N53" s="815">
        <v>48956939</v>
      </c>
      <c r="O53" s="850">
        <f>N53*C7</f>
        <v>57769188.019999996</v>
      </c>
      <c r="P53" s="813"/>
      <c r="Q53" s="840"/>
      <c r="R53" s="810">
        <f>'2018UpdateData'!M57</f>
        <v>1101002156</v>
      </c>
      <c r="S53" s="810">
        <f>'2018UpdateData'!P57</f>
        <v>240</v>
      </c>
      <c r="T53" s="810">
        <f>'2018UpdateData'!R57</f>
        <v>30</v>
      </c>
      <c r="U53" s="813" t="str">
        <f>'2018UpdateData'!S57</f>
        <v>d/c 1st side</v>
      </c>
      <c r="V53" s="851">
        <f>'2018UpdateData'!V57</f>
        <v>48956939</v>
      </c>
      <c r="W53" s="849">
        <f>VLOOKUP(K53,$B$6:$C$8,2,FALSE)*V53</f>
        <v>57769188.019999996</v>
      </c>
      <c r="X53" s="840"/>
      <c r="Y53" s="849">
        <f>(V53-N53)</f>
        <v>0</v>
      </c>
      <c r="Z53" s="853">
        <f>Y53/N53</f>
        <v>0</v>
      </c>
    </row>
    <row r="54" spans="1:27">
      <c r="B54" s="810" t="s">
        <v>2623</v>
      </c>
      <c r="C54" s="848">
        <v>41344</v>
      </c>
      <c r="D54" s="810" t="s">
        <v>1191</v>
      </c>
      <c r="E54" s="810" t="s">
        <v>2624</v>
      </c>
      <c r="F54" s="810" t="s">
        <v>2531</v>
      </c>
      <c r="G54" s="810" t="s">
        <v>2625</v>
      </c>
      <c r="H54" s="810">
        <v>240</v>
      </c>
      <c r="I54" s="810" t="s">
        <v>2533</v>
      </c>
      <c r="J54" s="813">
        <v>20</v>
      </c>
      <c r="K54" s="813" t="s">
        <v>2545</v>
      </c>
      <c r="L54" s="813">
        <v>2</v>
      </c>
      <c r="M54" s="813" t="s">
        <v>2622</v>
      </c>
      <c r="N54" s="815">
        <v>42058000</v>
      </c>
      <c r="O54" s="850">
        <f>N54*C7</f>
        <v>49628440</v>
      </c>
      <c r="P54" s="813"/>
      <c r="Q54" s="840"/>
      <c r="R54" s="810">
        <f>VLOOKUP(E54,'2018UpdateData'!$L$15:$X$305,2,FALSE)</f>
        <v>1026003048</v>
      </c>
      <c r="S54" s="810">
        <f>VLOOKUP(E54,'2018UpdateData'!$L$15:$X$305,5,FALSE)</f>
        <v>240</v>
      </c>
      <c r="T54" s="810">
        <f>VLOOKUP(E54,'2018UpdateData'!$L$15:$X$305,7,FALSE)</f>
        <v>20</v>
      </c>
      <c r="U54" s="813" t="str">
        <f>VLOOKUP(E54,'2018UpdateData'!$L$15:$X$305,8,FALSE)</f>
        <v>d/c 1st side</v>
      </c>
      <c r="V54" s="851">
        <f>VLOOKUP(E54,'2018UpdateData'!$L$15:$X$305,11,FALSE)</f>
        <v>42058000</v>
      </c>
      <c r="W54" s="849">
        <f>VLOOKUP(K54,$B$6:$C$8,2,FALSE)*V54</f>
        <v>49628440</v>
      </c>
      <c r="X54" s="840"/>
      <c r="Y54" s="849">
        <f>(V54-N54)</f>
        <v>0</v>
      </c>
      <c r="Z54" s="853">
        <f>Y54/N54</f>
        <v>0</v>
      </c>
    </row>
    <row r="55" spans="1:27">
      <c r="B55" s="810" t="s">
        <v>2626</v>
      </c>
      <c r="C55" s="848">
        <v>41296</v>
      </c>
      <c r="D55" s="810" t="s">
        <v>1191</v>
      </c>
      <c r="E55" s="810" t="s">
        <v>2627</v>
      </c>
      <c r="F55" s="810" t="s">
        <v>2531</v>
      </c>
      <c r="G55" s="810" t="s">
        <v>2823</v>
      </c>
      <c r="H55" s="810">
        <v>240</v>
      </c>
      <c r="I55" s="810" t="s">
        <v>2533</v>
      </c>
      <c r="J55" s="813">
        <v>58</v>
      </c>
      <c r="K55" s="813" t="s">
        <v>2538</v>
      </c>
      <c r="L55" s="813">
        <v>2</v>
      </c>
      <c r="M55" s="813" t="s">
        <v>2622</v>
      </c>
      <c r="N55" s="815">
        <v>71880877</v>
      </c>
      <c r="O55" s="850">
        <f>N55*C6</f>
        <v>71880877</v>
      </c>
      <c r="P55" s="813"/>
      <c r="Q55" s="840"/>
      <c r="U55" s="813"/>
      <c r="W55" s="849"/>
      <c r="X55" s="840"/>
      <c r="Y55" s="849"/>
      <c r="Z55" s="853"/>
    </row>
    <row r="56" spans="1:27">
      <c r="B56" s="810" t="s">
        <v>2629</v>
      </c>
      <c r="C56" s="848">
        <v>41299</v>
      </c>
      <c r="D56" s="810" t="s">
        <v>1191</v>
      </c>
      <c r="E56" s="810" t="s">
        <v>2630</v>
      </c>
      <c r="F56" s="810" t="s">
        <v>2531</v>
      </c>
      <c r="G56" s="810" t="s">
        <v>1115</v>
      </c>
      <c r="H56" s="810">
        <v>240</v>
      </c>
      <c r="I56" s="810" t="s">
        <v>2533</v>
      </c>
      <c r="J56" s="813">
        <v>68.11</v>
      </c>
      <c r="K56" s="813" t="s">
        <v>2534</v>
      </c>
      <c r="L56" s="813">
        <v>2</v>
      </c>
      <c r="M56" s="813" t="s">
        <v>2622</v>
      </c>
      <c r="N56" s="815">
        <v>77765496</v>
      </c>
      <c r="O56" s="850">
        <f>N56*C8</f>
        <v>125980103.52000001</v>
      </c>
      <c r="P56" s="813"/>
      <c r="Q56" s="840"/>
      <c r="R56" s="810">
        <f>VLOOKUP(E56,'2018UpdateData'!$L$15:$X$305,2,FALSE)</f>
        <v>11800020291</v>
      </c>
      <c r="S56" s="810">
        <f>VLOOKUP(E56,'2018UpdateData'!$L$15:$X$305,5,FALSE)</f>
        <v>240</v>
      </c>
      <c r="T56" s="810">
        <f>VLOOKUP(E56,'2018UpdateData'!$L$15:$X$305,7,FALSE)</f>
        <v>68.11</v>
      </c>
      <c r="U56" s="813" t="str">
        <f>VLOOKUP(E56,'2018UpdateData'!$L$15:$X$305,8,FALSE)</f>
        <v>single circuit</v>
      </c>
      <c r="V56" s="851">
        <f>VLOOKUP(E56,'2018UpdateData'!$L$15:$X$305,11,FALSE)</f>
        <v>77765496</v>
      </c>
      <c r="W56" s="849">
        <f>VLOOKUP(K56,$B$6:$C$8,2,FALSE)*V56</f>
        <v>125980103.52000001</v>
      </c>
      <c r="X56" s="840"/>
      <c r="Y56" s="849">
        <f>(V56-N56)</f>
        <v>0</v>
      </c>
      <c r="Z56" s="853">
        <f>Y56/N56</f>
        <v>0</v>
      </c>
    </row>
    <row r="57" spans="1:27">
      <c r="B57" s="810" t="s">
        <v>2602</v>
      </c>
      <c r="C57" s="848">
        <v>40822</v>
      </c>
      <c r="D57" s="810" t="s">
        <v>1512</v>
      </c>
      <c r="E57" s="810" t="s">
        <v>2631</v>
      </c>
      <c r="F57" s="810" t="s">
        <v>2531</v>
      </c>
      <c r="G57" s="810" t="s">
        <v>2632</v>
      </c>
      <c r="H57" s="810">
        <v>240</v>
      </c>
      <c r="I57" s="810" t="s">
        <v>2533</v>
      </c>
      <c r="J57" s="813">
        <v>60</v>
      </c>
      <c r="K57" s="813" t="s">
        <v>2545</v>
      </c>
      <c r="L57" s="813">
        <v>2</v>
      </c>
      <c r="M57" s="813" t="s">
        <v>2622</v>
      </c>
      <c r="N57" s="815">
        <v>96321086</v>
      </c>
      <c r="O57" s="850">
        <f>N57*C7</f>
        <v>113658881.47999999</v>
      </c>
      <c r="P57" s="813"/>
      <c r="Q57" s="840"/>
      <c r="R57" s="810">
        <f>'2018UpdateData'!M59</f>
        <v>1101002172</v>
      </c>
      <c r="S57" s="810">
        <f>'2018UpdateData'!P59</f>
        <v>240</v>
      </c>
      <c r="T57" s="810">
        <f>'2018UpdateData'!R59</f>
        <v>60</v>
      </c>
      <c r="U57" s="813" t="str">
        <f>'2018UpdateData'!S59</f>
        <v>d/c 1st side</v>
      </c>
      <c r="V57" s="851">
        <f>'2018UpdateData'!V59</f>
        <v>96321086</v>
      </c>
      <c r="W57" s="849">
        <f>VLOOKUP(K57,$B$6:$C$8,2,FALSE)*V57</f>
        <v>113658881.47999999</v>
      </c>
      <c r="X57" s="840"/>
      <c r="Y57" s="849">
        <f>(V57-N57)</f>
        <v>0</v>
      </c>
      <c r="Z57" s="853">
        <f>Y57/N57</f>
        <v>0</v>
      </c>
    </row>
    <row r="58" spans="1:27">
      <c r="B58" s="810" t="s">
        <v>2629</v>
      </c>
      <c r="C58" s="848">
        <v>41299</v>
      </c>
      <c r="D58" s="810" t="s">
        <v>1191</v>
      </c>
      <c r="E58" s="813" t="s">
        <v>2630</v>
      </c>
      <c r="F58" s="810" t="s">
        <v>2531</v>
      </c>
      <c r="G58" s="810" t="s">
        <v>2633</v>
      </c>
      <c r="H58" s="810">
        <v>240</v>
      </c>
      <c r="I58" s="810" t="s">
        <v>2533</v>
      </c>
      <c r="J58" s="813">
        <v>65.5</v>
      </c>
      <c r="K58" s="813" t="s">
        <v>2538</v>
      </c>
      <c r="L58" s="813">
        <v>2</v>
      </c>
      <c r="M58" s="813" t="s">
        <v>2622</v>
      </c>
      <c r="N58" s="815">
        <v>137998024</v>
      </c>
      <c r="O58" s="850">
        <f>N58*C6</f>
        <v>137998024</v>
      </c>
      <c r="P58" s="813"/>
      <c r="Q58" s="840"/>
      <c r="R58" s="810">
        <f>'2018UpdateData'!M61</f>
        <v>11800020257</v>
      </c>
      <c r="S58" s="810">
        <f>'2018UpdateData'!P61</f>
        <v>240</v>
      </c>
      <c r="T58" s="810">
        <f>'2018UpdateData'!R61</f>
        <v>52</v>
      </c>
      <c r="U58" s="813" t="str">
        <f>'2018UpdateData'!S61</f>
        <v>double circuit</v>
      </c>
      <c r="V58" s="851">
        <f>'2018UpdateData'!V61</f>
        <v>107750000</v>
      </c>
      <c r="W58" s="849">
        <f>VLOOKUP(K58,$B$6:$C$8,2,FALSE)*V58</f>
        <v>107750000</v>
      </c>
      <c r="X58" s="840"/>
      <c r="Y58" s="849">
        <f>(V58-N58)</f>
        <v>-30248024</v>
      </c>
      <c r="Z58" s="853">
        <f>Y58/N58</f>
        <v>-0.2191917182814154</v>
      </c>
    </row>
    <row r="59" spans="1:27">
      <c r="A59" s="854"/>
      <c r="B59" s="854"/>
      <c r="C59" s="855"/>
      <c r="D59" s="854"/>
      <c r="E59" s="854"/>
      <c r="F59" s="854"/>
      <c r="G59" s="854"/>
      <c r="H59" s="854"/>
      <c r="I59" s="854"/>
      <c r="J59" s="854"/>
      <c r="K59" s="854"/>
      <c r="L59" s="854"/>
      <c r="M59" s="854"/>
      <c r="N59" s="856"/>
      <c r="O59" s="857"/>
      <c r="P59" s="858"/>
      <c r="Q59" s="859"/>
      <c r="R59" s="854"/>
      <c r="S59" s="854"/>
      <c r="T59" s="854"/>
      <c r="U59" s="854"/>
      <c r="V59" s="860"/>
      <c r="W59" s="856"/>
      <c r="X59" s="859"/>
      <c r="Y59" s="856"/>
      <c r="Z59" s="854"/>
    </row>
    <row r="60" spans="1:27" s="844" customFormat="1">
      <c r="C60" s="862"/>
      <c r="N60" s="846">
        <f>SUMIF(V44:V58,"&lt;&gt;",N44:N58)</f>
        <v>854285382</v>
      </c>
      <c r="O60" s="845"/>
      <c r="P60" s="863"/>
      <c r="Q60" s="864"/>
      <c r="R60" s="845"/>
      <c r="S60" s="845"/>
      <c r="T60" s="845"/>
      <c r="U60" s="845"/>
      <c r="V60" s="845">
        <f>SUM(V44:V58)</f>
        <v>824037358</v>
      </c>
      <c r="W60" s="846"/>
      <c r="X60" s="868"/>
      <c r="Y60" s="846">
        <f>SUM(Y44:Y58)</f>
        <v>-31653856</v>
      </c>
      <c r="Z60" s="866">
        <f>Y60/N60</f>
        <v>-3.7053023107915008E-2</v>
      </c>
    </row>
    <row r="61" spans="1:27">
      <c r="C61" s="848"/>
      <c r="O61" s="844">
        <f>SUM(J44:J58)</f>
        <v>707.71</v>
      </c>
      <c r="P61" s="867" t="s">
        <v>2588</v>
      </c>
      <c r="Q61" s="868"/>
      <c r="R61" s="844"/>
      <c r="S61" s="844"/>
      <c r="T61" s="844"/>
      <c r="U61" s="844"/>
      <c r="V61" s="845"/>
      <c r="W61" s="846">
        <f>SUM(T44:T48,T50:T54,T56:T58)</f>
        <v>596.21</v>
      </c>
      <c r="X61" s="867" t="s">
        <v>2588</v>
      </c>
      <c r="Y61" s="869"/>
    </row>
    <row r="62" spans="1:27">
      <c r="O62" s="870">
        <f>SUM(O44:O58)</f>
        <v>1127823701.6799998</v>
      </c>
      <c r="P62" s="867" t="s">
        <v>2589</v>
      </c>
      <c r="Q62" s="868"/>
      <c r="R62" s="844"/>
      <c r="S62" s="844"/>
      <c r="T62" s="844"/>
      <c r="U62" s="844"/>
      <c r="V62" s="845"/>
      <c r="W62" s="846">
        <f>SUM(W44:W48,W50:W54,W56:W58)</f>
        <v>988846940.68000007</v>
      </c>
      <c r="X62" s="867" t="s">
        <v>2589</v>
      </c>
      <c r="Y62" s="869"/>
    </row>
    <row r="63" spans="1:27" s="844" customFormat="1" ht="16.2" thickBot="1">
      <c r="A63" s="871"/>
      <c r="B63" s="871"/>
      <c r="C63" s="871"/>
      <c r="D63" s="871"/>
      <c r="E63" s="871"/>
      <c r="F63" s="871"/>
      <c r="G63" s="871"/>
      <c r="H63" s="871"/>
      <c r="I63" s="871"/>
      <c r="J63" s="871"/>
      <c r="K63" s="871"/>
      <c r="L63" s="871"/>
      <c r="M63" s="871"/>
      <c r="N63" s="873"/>
      <c r="O63" s="874">
        <f>O62/O61</f>
        <v>1593624.085684814</v>
      </c>
      <c r="P63" s="875" t="s">
        <v>2590</v>
      </c>
      <c r="Q63" s="876"/>
      <c r="R63" s="871"/>
      <c r="S63" s="871"/>
      <c r="T63" s="871"/>
      <c r="U63" s="871"/>
      <c r="V63" s="877"/>
      <c r="W63" s="873">
        <f>SUM(W44:W48,W50:W54,W56:W58)/SUM(T44:T48,T50:T54,T56:T58)</f>
        <v>1658554.772110498</v>
      </c>
      <c r="X63" s="876" t="s">
        <v>2822</v>
      </c>
      <c r="Y63" s="873"/>
      <c r="Z63" s="878">
        <f>(W63-O63)/O63</f>
        <v>4.0744041840822157E-2</v>
      </c>
    </row>
    <row r="64" spans="1:27">
      <c r="O64" s="880">
        <f>1-(O63/O40)</f>
        <v>6.3309124833851538E-2</v>
      </c>
      <c r="P64" s="881" t="s">
        <v>2824</v>
      </c>
      <c r="Q64" s="840"/>
      <c r="W64" s="880">
        <f>(1-W63/W40)</f>
        <v>0.17277637169203564</v>
      </c>
      <c r="X64" s="882" t="s">
        <v>2824</v>
      </c>
      <c r="Y64" s="849"/>
      <c r="Z64" s="883">
        <f>W64-O64</f>
        <v>0.1094672468581841</v>
      </c>
      <c r="AA64" s="867"/>
    </row>
    <row r="65" spans="1:29">
      <c r="A65" s="810" t="s">
        <v>2634</v>
      </c>
      <c r="O65" s="810"/>
      <c r="P65" s="813"/>
      <c r="Q65" s="840"/>
      <c r="W65" s="884"/>
      <c r="X65" s="840"/>
      <c r="Y65" s="849"/>
      <c r="AA65" s="867"/>
      <c r="AB65" s="885"/>
      <c r="AC65" s="867"/>
    </row>
    <row r="66" spans="1:29">
      <c r="O66" s="810"/>
      <c r="P66" s="813"/>
      <c r="Q66" s="840"/>
      <c r="W66" s="884"/>
      <c r="X66" s="840"/>
      <c r="Y66" s="849"/>
      <c r="AA66" s="867"/>
      <c r="AB66" s="885"/>
      <c r="AC66" s="867"/>
    </row>
    <row r="67" spans="1:29">
      <c r="B67" s="842"/>
      <c r="C67" s="842" t="s">
        <v>2519</v>
      </c>
      <c r="D67" s="842" t="s">
        <v>120</v>
      </c>
      <c r="E67" s="842" t="s">
        <v>121</v>
      </c>
      <c r="F67" s="842" t="s">
        <v>2520</v>
      </c>
      <c r="G67" s="842" t="s">
        <v>2521</v>
      </c>
      <c r="H67" s="842" t="s">
        <v>122</v>
      </c>
      <c r="I67" s="842" t="s">
        <v>2522</v>
      </c>
      <c r="J67" s="842" t="s">
        <v>123</v>
      </c>
      <c r="K67" s="842" t="s">
        <v>2523</v>
      </c>
      <c r="L67" s="842" t="s">
        <v>2524</v>
      </c>
      <c r="M67" s="842" t="s">
        <v>2525</v>
      </c>
      <c r="N67" s="843" t="s">
        <v>44</v>
      </c>
      <c r="O67" s="842" t="s">
        <v>2635</v>
      </c>
      <c r="P67" s="813"/>
      <c r="Q67" s="840"/>
      <c r="R67" s="844" t="s">
        <v>2816</v>
      </c>
      <c r="S67" s="844" t="s">
        <v>2817</v>
      </c>
      <c r="T67" s="844" t="s">
        <v>2818</v>
      </c>
      <c r="U67" s="844" t="s">
        <v>2819</v>
      </c>
      <c r="V67" s="845" t="s">
        <v>44</v>
      </c>
      <c r="W67" s="846" t="s">
        <v>2527</v>
      </c>
      <c r="X67" s="847" t="s">
        <v>2815</v>
      </c>
      <c r="Y67" s="849"/>
    </row>
    <row r="68" spans="1:29">
      <c r="B68" s="810" t="s">
        <v>2626</v>
      </c>
      <c r="C68" s="848">
        <v>41296</v>
      </c>
      <c r="D68" s="810" t="s">
        <v>1191</v>
      </c>
      <c r="E68" s="810" t="s">
        <v>2636</v>
      </c>
      <c r="F68" s="810" t="s">
        <v>2531</v>
      </c>
      <c r="G68" s="810" t="s">
        <v>2637</v>
      </c>
      <c r="H68" s="810">
        <v>144</v>
      </c>
      <c r="J68" s="810">
        <v>0.7</v>
      </c>
      <c r="K68" s="810" t="s">
        <v>2534</v>
      </c>
      <c r="L68" s="810">
        <v>1</v>
      </c>
      <c r="M68" s="810" t="s">
        <v>2638</v>
      </c>
      <c r="N68" s="849">
        <v>1178040</v>
      </c>
      <c r="O68" s="850">
        <f>N68*C11</f>
        <v>1178040</v>
      </c>
      <c r="P68" s="813"/>
      <c r="Q68" s="840"/>
      <c r="R68" s="810">
        <f>'2018UpdateData'!M109</f>
        <v>8110020220</v>
      </c>
      <c r="S68" s="810">
        <f>'2018UpdateData'!P109</f>
        <v>144</v>
      </c>
      <c r="T68" s="810">
        <f>'2018UpdateData'!R109</f>
        <v>0.7</v>
      </c>
      <c r="U68" s="810" t="str">
        <f>'2018UpdateData'!S109</f>
        <v>single circuit</v>
      </c>
      <c r="V68" s="851">
        <f>'2018UpdateData'!V109</f>
        <v>642579</v>
      </c>
      <c r="W68" s="849">
        <f>VLOOKUP(U68,$B$9:$C$11,2,FALSE)*V68</f>
        <v>642579</v>
      </c>
      <c r="X68" s="840"/>
      <c r="Y68" s="849">
        <f>(V68-N68)</f>
        <v>-535461</v>
      </c>
      <c r="Z68" s="853">
        <f>Y68/N68</f>
        <v>-0.45453549964347562</v>
      </c>
    </row>
    <row r="69" spans="1:29">
      <c r="B69" s="810" t="s">
        <v>2639</v>
      </c>
      <c r="C69" s="848">
        <v>40203</v>
      </c>
      <c r="D69" s="810" t="s">
        <v>1191</v>
      </c>
      <c r="E69" s="810" t="s">
        <v>2640</v>
      </c>
      <c r="F69" s="810" t="s">
        <v>2531</v>
      </c>
      <c r="G69" s="810" t="s">
        <v>1725</v>
      </c>
      <c r="H69" s="810">
        <v>144</v>
      </c>
      <c r="I69" s="810" t="s">
        <v>2533</v>
      </c>
      <c r="J69" s="810">
        <v>24</v>
      </c>
      <c r="K69" s="810" t="s">
        <v>2534</v>
      </c>
      <c r="L69" s="810">
        <v>1</v>
      </c>
      <c r="M69" s="810" t="s">
        <v>2638</v>
      </c>
      <c r="N69" s="849">
        <v>3153299</v>
      </c>
      <c r="O69" s="850">
        <f>N69*C11</f>
        <v>3153299</v>
      </c>
      <c r="P69" s="813"/>
      <c r="Q69" s="840"/>
      <c r="R69" s="813"/>
      <c r="S69" s="813"/>
      <c r="T69" s="813"/>
      <c r="U69" s="813"/>
      <c r="V69" s="816"/>
      <c r="W69" s="849"/>
      <c r="X69" s="840"/>
      <c r="Y69" s="849"/>
      <c r="Z69" s="853"/>
    </row>
    <row r="70" spans="1:29">
      <c r="B70" s="810" t="s">
        <v>2641</v>
      </c>
      <c r="C70" s="848">
        <v>40366</v>
      </c>
      <c r="D70" s="810" t="s">
        <v>1191</v>
      </c>
      <c r="E70" s="810" t="s">
        <v>2642</v>
      </c>
      <c r="F70" s="810" t="s">
        <v>2531</v>
      </c>
      <c r="G70" s="810" t="s">
        <v>2643</v>
      </c>
      <c r="H70" s="810">
        <v>144</v>
      </c>
      <c r="I70" s="810" t="s">
        <v>2533</v>
      </c>
      <c r="J70" s="810">
        <v>14</v>
      </c>
      <c r="K70" s="810" t="s">
        <v>2534</v>
      </c>
      <c r="L70" s="810">
        <v>1</v>
      </c>
      <c r="M70" s="810" t="s">
        <v>2638</v>
      </c>
      <c r="N70" s="849">
        <v>6014000</v>
      </c>
      <c r="O70" s="850">
        <f>N70*C11</f>
        <v>6014000</v>
      </c>
      <c r="P70" s="813"/>
      <c r="Q70" s="840"/>
      <c r="R70" s="813">
        <f>VLOOKUP(E70,'2018UpdateData'!$L$15:$X$305,2,FALSE)</f>
        <v>927002012</v>
      </c>
      <c r="S70" s="813">
        <f>VLOOKUP(E70,'2018UpdateData'!$L$15:$X$305,5,FALSE)</f>
        <v>144</v>
      </c>
      <c r="T70" s="813">
        <f>VLOOKUP(E70,'2018UpdateData'!$L$15:$X$305,7,FALSE)</f>
        <v>14</v>
      </c>
      <c r="U70" s="813" t="str">
        <f>VLOOKUP(E70,'2018UpdateData'!$L$15:$X$305,8,FALSE)</f>
        <v>single circuit</v>
      </c>
      <c r="V70" s="816">
        <f>VLOOKUP(E70,'2018UpdateData'!$L$15:$X$305,11,FALSE)</f>
        <v>6014000</v>
      </c>
      <c r="W70" s="849">
        <f>VLOOKUP(U70,$B$9:$C$11,2,FALSE)*V70</f>
        <v>6014000</v>
      </c>
      <c r="X70" s="840"/>
      <c r="Y70" s="849">
        <f>(V70-N70)</f>
        <v>0</v>
      </c>
      <c r="Z70" s="853">
        <f>Y70/N70</f>
        <v>0</v>
      </c>
    </row>
    <row r="71" spans="1:29">
      <c r="B71" s="810" t="s">
        <v>2644</v>
      </c>
      <c r="C71" s="848">
        <v>41090</v>
      </c>
      <c r="D71" s="810" t="s">
        <v>1191</v>
      </c>
      <c r="E71" s="810" t="s">
        <v>2645</v>
      </c>
      <c r="F71" s="810" t="s">
        <v>2531</v>
      </c>
      <c r="G71" s="810" t="s">
        <v>2645</v>
      </c>
      <c r="H71" s="810">
        <v>144</v>
      </c>
      <c r="I71" s="810" t="s">
        <v>2533</v>
      </c>
      <c r="J71" s="810">
        <v>10</v>
      </c>
      <c r="K71" s="810" t="s">
        <v>2534</v>
      </c>
      <c r="L71" s="810">
        <v>1</v>
      </c>
      <c r="M71" s="810" t="s">
        <v>2638</v>
      </c>
      <c r="N71" s="849">
        <v>5326173</v>
      </c>
      <c r="O71" s="850">
        <f>N71*C11</f>
        <v>5326173</v>
      </c>
      <c r="P71" s="813"/>
      <c r="Q71" s="840"/>
      <c r="R71" s="810">
        <f>VLOOKUP(E71,'2018UpdateData'!$L$15:$X$305,2,FALSE)</f>
        <v>776002037</v>
      </c>
      <c r="S71" s="810">
        <f>VLOOKUP(E71,'2018UpdateData'!$L$15:$X$305,5,FALSE)</f>
        <v>144</v>
      </c>
      <c r="T71" s="810">
        <f>VLOOKUP(E71,'2018UpdateData'!$L$15:$X$305,7,FALSE)</f>
        <v>10</v>
      </c>
      <c r="U71" s="810" t="str">
        <f>VLOOKUP(E71,'2018UpdateData'!$L$15:$X$305,8,FALSE)</f>
        <v>single circuit</v>
      </c>
      <c r="V71" s="851">
        <f>VLOOKUP(E71,'2018UpdateData'!$L$15:$X$305,11,FALSE)</f>
        <v>5326173</v>
      </c>
      <c r="W71" s="849">
        <f>VLOOKUP(U71,$B$9:$C$11,2,FALSE)*V71</f>
        <v>5326173</v>
      </c>
      <c r="X71" s="840"/>
      <c r="Y71" s="849">
        <f>(V77-N71)</f>
        <v>-5206390</v>
      </c>
      <c r="Z71" s="853">
        <f>Y71/N71</f>
        <v>-0.97751049393251022</v>
      </c>
    </row>
    <row r="72" spans="1:29">
      <c r="B72" s="810" t="s">
        <v>2626</v>
      </c>
      <c r="C72" s="848">
        <v>41296</v>
      </c>
      <c r="D72" s="810" t="s">
        <v>1191</v>
      </c>
      <c r="E72" s="810" t="s">
        <v>2646</v>
      </c>
      <c r="F72" s="810" t="s">
        <v>2531</v>
      </c>
      <c r="G72" s="810" t="s">
        <v>2647</v>
      </c>
      <c r="H72" s="810">
        <v>144</v>
      </c>
      <c r="I72" s="810" t="s">
        <v>2533</v>
      </c>
      <c r="J72" s="810">
        <v>6.5</v>
      </c>
      <c r="K72" s="810" t="s">
        <v>2534</v>
      </c>
      <c r="L72" s="810">
        <v>1</v>
      </c>
      <c r="M72" s="810" t="s">
        <v>2638</v>
      </c>
      <c r="N72" s="849">
        <v>4976948</v>
      </c>
      <c r="O72" s="850">
        <f>N72*C11</f>
        <v>4976948</v>
      </c>
      <c r="P72" s="813"/>
      <c r="Q72" s="840"/>
      <c r="R72" s="810">
        <f>'2018UpdateData'!M110</f>
        <v>8110020230</v>
      </c>
      <c r="S72" s="810">
        <f>'2018UpdateData'!P110</f>
        <v>144</v>
      </c>
      <c r="T72" s="810">
        <f>'2018UpdateData'!R110</f>
        <v>6.5</v>
      </c>
      <c r="U72" s="810" t="str">
        <f>'2018UpdateData'!S110</f>
        <v>single circuit</v>
      </c>
      <c r="V72" s="851">
        <f>'2018UpdateData'!V110</f>
        <v>5277855</v>
      </c>
      <c r="W72" s="849">
        <f>VLOOKUP(U72,$B$9:$C$11,2,FALSE)*V72</f>
        <v>5277855</v>
      </c>
      <c r="X72" s="840"/>
      <c r="Y72" s="849">
        <f>(V72-N72)</f>
        <v>300907</v>
      </c>
      <c r="Z72" s="853">
        <f>Y72/N72</f>
        <v>6.0460145454603903E-2</v>
      </c>
    </row>
    <row r="73" spans="1:29">
      <c r="B73" s="810" t="s">
        <v>2648</v>
      </c>
      <c r="C73" s="848">
        <v>40844</v>
      </c>
      <c r="D73" s="810" t="s">
        <v>1191</v>
      </c>
      <c r="E73" s="810" t="s">
        <v>2649</v>
      </c>
      <c r="F73" s="810" t="s">
        <v>2531</v>
      </c>
      <c r="G73" s="810" t="s">
        <v>1731</v>
      </c>
      <c r="H73" s="810">
        <v>144</v>
      </c>
      <c r="I73" s="810" t="s">
        <v>2533</v>
      </c>
      <c r="J73" s="810">
        <v>51</v>
      </c>
      <c r="K73" s="810" t="s">
        <v>2534</v>
      </c>
      <c r="L73" s="810">
        <v>1</v>
      </c>
      <c r="M73" s="810" t="s">
        <v>2638</v>
      </c>
      <c r="N73" s="849">
        <v>18846000</v>
      </c>
      <c r="O73" s="850">
        <f>N73*C11</f>
        <v>18846000</v>
      </c>
      <c r="P73" s="813"/>
      <c r="Q73" s="840"/>
      <c r="R73" s="810">
        <f>VLOOKUP(E73,'2018UpdateData'!$L$15:$X$305,2,FALSE)</f>
        <v>8110020009</v>
      </c>
      <c r="S73" s="810">
        <f>VLOOKUP(E73,'2018UpdateData'!$L$15:$X$305,5,FALSE)</f>
        <v>144</v>
      </c>
      <c r="T73" s="810">
        <f>VLOOKUP(E73,'2018UpdateData'!$L$15:$X$305,7,FALSE)</f>
        <v>51</v>
      </c>
      <c r="U73" s="810" t="str">
        <f>VLOOKUP(E73,'2018UpdateData'!$L$15:$X$305,8,FALSE)</f>
        <v>single circuit</v>
      </c>
      <c r="V73" s="851">
        <f>VLOOKUP(E73,'2018UpdateData'!$L$15:$X$305,11,FALSE)</f>
        <v>18846000</v>
      </c>
      <c r="W73" s="849">
        <f>VLOOKUP(U73,$B$9:$C$11,2,FALSE)*V73</f>
        <v>18846000</v>
      </c>
      <c r="X73" s="840"/>
      <c r="Y73" s="849">
        <f>(V73-N73)</f>
        <v>0</v>
      </c>
      <c r="Z73" s="853">
        <f>Y73/N73</f>
        <v>0</v>
      </c>
    </row>
    <row r="74" spans="1:29">
      <c r="B74" s="810" t="s">
        <v>2650</v>
      </c>
      <c r="C74" s="848">
        <v>40268</v>
      </c>
      <c r="D74" s="810" t="s">
        <v>1191</v>
      </c>
      <c r="E74" s="810" t="s">
        <v>2651</v>
      </c>
      <c r="F74" s="810" t="s">
        <v>2531</v>
      </c>
      <c r="G74" s="810" t="s">
        <v>2652</v>
      </c>
      <c r="H74" s="810">
        <v>144</v>
      </c>
      <c r="I74" s="810" t="s">
        <v>2533</v>
      </c>
      <c r="J74" s="810">
        <v>4.3</v>
      </c>
      <c r="K74" s="810" t="s">
        <v>2534</v>
      </c>
      <c r="L74" s="810">
        <v>1</v>
      </c>
      <c r="M74" s="810" t="s">
        <v>2653</v>
      </c>
      <c r="N74" s="849">
        <v>2018964</v>
      </c>
      <c r="O74" s="850">
        <f>N74*C11</f>
        <v>2018964</v>
      </c>
      <c r="P74" s="813"/>
      <c r="Q74" s="840"/>
      <c r="R74" s="813"/>
      <c r="S74" s="813"/>
      <c r="T74" s="813"/>
      <c r="U74" s="813"/>
      <c r="V74" s="816"/>
      <c r="W74" s="849"/>
      <c r="X74" s="840"/>
      <c r="Y74" s="849"/>
      <c r="Z74" s="853"/>
    </row>
    <row r="75" spans="1:29">
      <c r="B75" s="810" t="s">
        <v>2654</v>
      </c>
      <c r="C75" s="848">
        <v>40324</v>
      </c>
      <c r="D75" s="810" t="s">
        <v>1191</v>
      </c>
      <c r="E75" s="810" t="s">
        <v>2655</v>
      </c>
      <c r="F75" s="810" t="s">
        <v>2531</v>
      </c>
      <c r="G75" s="810" t="s">
        <v>2656</v>
      </c>
      <c r="H75" s="810">
        <v>144</v>
      </c>
      <c r="I75" s="810" t="s">
        <v>2533</v>
      </c>
      <c r="J75" s="810">
        <v>7.1</v>
      </c>
      <c r="K75" s="810" t="s">
        <v>2538</v>
      </c>
      <c r="L75" s="810">
        <v>1</v>
      </c>
      <c r="M75" s="810" t="s">
        <v>2653</v>
      </c>
      <c r="N75" s="849">
        <v>6320000</v>
      </c>
      <c r="O75" s="850">
        <f>N75*C9</f>
        <v>5561600</v>
      </c>
      <c r="P75" s="813"/>
      <c r="Q75" s="840"/>
      <c r="R75" s="810">
        <f>VLOOKUP(E75,'2018UpdateData'!$L$15:$X$305,2,FALSE)</f>
        <v>982002210</v>
      </c>
      <c r="S75" s="810">
        <f>VLOOKUP(E75,'2018UpdateData'!$L$15:$X$305,5,FALSE)</f>
        <v>144</v>
      </c>
      <c r="T75" s="810">
        <f>VLOOKUP(E75,'2018UpdateData'!$L$15:$X$305,7,FALSE)</f>
        <v>7.1</v>
      </c>
      <c r="U75" s="810" t="str">
        <f>VLOOKUP(E75,'2018UpdateData'!$L$15:$X$305,8,FALSE)</f>
        <v>double circuit</v>
      </c>
      <c r="V75" s="851">
        <f>VLOOKUP(E75,'2018UpdateData'!$L$15:$X$305,11,FALSE)</f>
        <v>6320000</v>
      </c>
      <c r="W75" s="849">
        <f t="shared" ref="W75:W81" si="6">VLOOKUP(U75,$B$9:$C$11,2,FALSE)*V75</f>
        <v>5561600</v>
      </c>
      <c r="X75" s="840"/>
      <c r="Y75" s="849">
        <f t="shared" ref="Y75:Y81" si="7">(V75-N75)</f>
        <v>0</v>
      </c>
      <c r="Z75" s="853">
        <f t="shared" ref="Z75:Z81" si="8">Y75/N75</f>
        <v>0</v>
      </c>
    </row>
    <row r="76" spans="1:29">
      <c r="B76" s="810" t="s">
        <v>2553</v>
      </c>
      <c r="C76" s="848">
        <v>41122</v>
      </c>
      <c r="D76" s="810" t="s">
        <v>1512</v>
      </c>
      <c r="E76" s="810" t="s">
        <v>2657</v>
      </c>
      <c r="F76" s="810" t="s">
        <v>2531</v>
      </c>
      <c r="G76" s="810" t="s">
        <v>2658</v>
      </c>
      <c r="H76" s="810">
        <v>138</v>
      </c>
      <c r="I76" s="810" t="s">
        <v>2533</v>
      </c>
      <c r="J76" s="810">
        <v>17</v>
      </c>
      <c r="K76" s="810" t="s">
        <v>2534</v>
      </c>
      <c r="L76" s="810">
        <v>1</v>
      </c>
      <c r="M76" s="810" t="s">
        <v>2638</v>
      </c>
      <c r="N76" s="849">
        <v>5886545</v>
      </c>
      <c r="O76" s="850">
        <f>N76*C11</f>
        <v>5886545</v>
      </c>
      <c r="P76" s="813"/>
      <c r="Q76" s="840"/>
      <c r="R76" s="810">
        <f>VLOOKUP(E76,'2018UpdateData'!$L$15:$X$305,2,FALSE)</f>
        <v>850002107</v>
      </c>
      <c r="S76" s="810">
        <f>VLOOKUP(E76,'2018UpdateData'!$L$15:$X$305,5,FALSE)</f>
        <v>138</v>
      </c>
      <c r="T76" s="810">
        <f>VLOOKUP(E76,'2018UpdateData'!$L$15:$X$305,7,FALSE)</f>
        <v>17</v>
      </c>
      <c r="U76" s="810" t="str">
        <f>VLOOKUP(E76,'2018UpdateData'!$L$15:$X$305,8,FALSE)</f>
        <v>single circuit</v>
      </c>
      <c r="V76" s="851">
        <f>VLOOKUP(E76,'2018UpdateData'!$L$15:$X$305,11,FALSE)</f>
        <v>5886545</v>
      </c>
      <c r="W76" s="849">
        <f t="shared" si="6"/>
        <v>5886545</v>
      </c>
      <c r="X76" s="840"/>
      <c r="Y76" s="849">
        <f t="shared" si="7"/>
        <v>0</v>
      </c>
      <c r="Z76" s="853">
        <f t="shared" si="8"/>
        <v>0</v>
      </c>
    </row>
    <row r="77" spans="1:29">
      <c r="B77" s="810" t="s">
        <v>2553</v>
      </c>
      <c r="C77" s="848">
        <v>41122</v>
      </c>
      <c r="D77" s="810" t="s">
        <v>1512</v>
      </c>
      <c r="E77" s="810" t="s">
        <v>2659</v>
      </c>
      <c r="F77" s="810" t="s">
        <v>2531</v>
      </c>
      <c r="G77" s="810" t="s">
        <v>2660</v>
      </c>
      <c r="H77" s="810">
        <v>138</v>
      </c>
      <c r="I77" s="810" t="s">
        <v>2533</v>
      </c>
      <c r="J77" s="810">
        <v>0.4</v>
      </c>
      <c r="K77" s="810" t="s">
        <v>2534</v>
      </c>
      <c r="L77" s="810">
        <v>1</v>
      </c>
      <c r="M77" s="810" t="s">
        <v>2638</v>
      </c>
      <c r="N77" s="849">
        <v>119783</v>
      </c>
      <c r="O77" s="850">
        <f>N77*C11</f>
        <v>119783</v>
      </c>
      <c r="P77" s="813"/>
      <c r="Q77" s="840"/>
      <c r="R77" s="810">
        <f>VLOOKUP(E77,'2018UpdateData'!$L$15:$X$305,2,FALSE)</f>
        <v>850002064</v>
      </c>
      <c r="S77" s="810">
        <f>VLOOKUP(E77,'2018UpdateData'!$L$15:$X$305,5,FALSE)</f>
        <v>138</v>
      </c>
      <c r="T77" s="810">
        <f>VLOOKUP(E77,'2018UpdateData'!$L$15:$X$305,7,FALSE)</f>
        <v>0.4</v>
      </c>
      <c r="U77" s="810" t="str">
        <f>VLOOKUP(E77,'2018UpdateData'!$L$15:$X$305,8,FALSE)</f>
        <v>single circuit</v>
      </c>
      <c r="V77" s="851">
        <f>VLOOKUP(E77,'2018UpdateData'!$L$15:$X$305,11,FALSE)</f>
        <v>119783</v>
      </c>
      <c r="W77" s="849">
        <f t="shared" si="6"/>
        <v>119783</v>
      </c>
      <c r="X77" s="840"/>
      <c r="Y77" s="849">
        <f t="shared" si="7"/>
        <v>0</v>
      </c>
      <c r="Z77" s="853">
        <f t="shared" si="8"/>
        <v>0</v>
      </c>
    </row>
    <row r="78" spans="1:29">
      <c r="B78" s="810" t="s">
        <v>2553</v>
      </c>
      <c r="C78" s="848">
        <v>41122</v>
      </c>
      <c r="D78" s="810" t="s">
        <v>1512</v>
      </c>
      <c r="E78" s="810" t="s">
        <v>2661</v>
      </c>
      <c r="F78" s="810" t="s">
        <v>2531</v>
      </c>
      <c r="G78" s="810" t="s">
        <v>2662</v>
      </c>
      <c r="H78" s="810">
        <v>138</v>
      </c>
      <c r="I78" s="810" t="s">
        <v>2533</v>
      </c>
      <c r="J78" s="810">
        <v>2</v>
      </c>
      <c r="K78" s="810" t="s">
        <v>2534</v>
      </c>
      <c r="L78" s="810">
        <v>1</v>
      </c>
      <c r="M78" s="810" t="s">
        <v>2638</v>
      </c>
      <c r="N78" s="849">
        <v>681986</v>
      </c>
      <c r="O78" s="850">
        <f>N78*C11</f>
        <v>681986</v>
      </c>
      <c r="P78" s="813"/>
      <c r="Q78" s="840"/>
      <c r="R78" s="810">
        <f>VLOOKUP(E78,'2018UpdateData'!$L$15:$X$305,2,FALSE)</f>
        <v>850002082</v>
      </c>
      <c r="S78" s="810">
        <f>VLOOKUP(E78,'2018UpdateData'!$L$15:$X$305,5,FALSE)</f>
        <v>138</v>
      </c>
      <c r="T78" s="810">
        <f>VLOOKUP(E78,'2018UpdateData'!$L$15:$X$305,7,FALSE)</f>
        <v>2</v>
      </c>
      <c r="U78" s="810" t="str">
        <f>VLOOKUP(E78,'2018UpdateData'!$L$15:$X$305,8,FALSE)</f>
        <v>single circuit</v>
      </c>
      <c r="V78" s="851">
        <f>VLOOKUP(E78,'2018UpdateData'!$L$15:$X$305,11,FALSE)</f>
        <v>681986</v>
      </c>
      <c r="W78" s="849">
        <f t="shared" si="6"/>
        <v>681986</v>
      </c>
      <c r="X78" s="840"/>
      <c r="Y78" s="849">
        <f t="shared" si="7"/>
        <v>0</v>
      </c>
      <c r="Z78" s="853">
        <f t="shared" si="8"/>
        <v>0</v>
      </c>
    </row>
    <row r="79" spans="1:29">
      <c r="B79" s="810" t="s">
        <v>2663</v>
      </c>
      <c r="C79" s="848">
        <v>41249</v>
      </c>
      <c r="D79" s="810" t="s">
        <v>1191</v>
      </c>
      <c r="E79" s="810" t="s">
        <v>2664</v>
      </c>
      <c r="F79" s="810" t="s">
        <v>2531</v>
      </c>
      <c r="G79" s="810" t="s">
        <v>2665</v>
      </c>
      <c r="H79" s="810">
        <v>138</v>
      </c>
      <c r="I79" s="810" t="s">
        <v>2533</v>
      </c>
      <c r="J79" s="810">
        <v>7</v>
      </c>
      <c r="K79" s="810" t="s">
        <v>2538</v>
      </c>
      <c r="L79" s="810">
        <v>1</v>
      </c>
      <c r="M79" s="810" t="s">
        <v>2638</v>
      </c>
      <c r="N79" s="849">
        <v>5004629</v>
      </c>
      <c r="O79" s="850">
        <f>N79*C9</f>
        <v>4404073.5200000005</v>
      </c>
      <c r="P79" s="813"/>
      <c r="Q79" s="840"/>
      <c r="R79" s="810">
        <f>VLOOKUP(E79,'2018UpdateData'!$L$15:$X$305,2,FALSE)</f>
        <v>1200002011</v>
      </c>
      <c r="S79" s="810">
        <f>VLOOKUP(E79,'2018UpdateData'!$L$15:$X$305,5,FALSE)</f>
        <v>138</v>
      </c>
      <c r="T79" s="810">
        <f>VLOOKUP(E79,'2018UpdateData'!$L$15:$X$305,7,FALSE)</f>
        <v>7</v>
      </c>
      <c r="U79" s="810" t="str">
        <f>VLOOKUP(E79,'2018UpdateData'!$L$15:$X$305,8,FALSE)</f>
        <v>double circuit</v>
      </c>
      <c r="V79" s="851">
        <f>VLOOKUP(E79,'2018UpdateData'!$L$15:$X$305,11,FALSE)</f>
        <v>5004629</v>
      </c>
      <c r="W79" s="849">
        <f t="shared" si="6"/>
        <v>4404073.5200000005</v>
      </c>
      <c r="X79" s="840"/>
      <c r="Y79" s="849">
        <f t="shared" si="7"/>
        <v>0</v>
      </c>
      <c r="Z79" s="853">
        <f t="shared" si="8"/>
        <v>0</v>
      </c>
    </row>
    <row r="80" spans="1:29">
      <c r="B80" s="810" t="s">
        <v>2553</v>
      </c>
      <c r="C80" s="848">
        <v>41122</v>
      </c>
      <c r="D80" s="810" t="s">
        <v>1512</v>
      </c>
      <c r="E80" s="810" t="s">
        <v>2666</v>
      </c>
      <c r="F80" s="810" t="s">
        <v>2531</v>
      </c>
      <c r="G80" s="810" t="s">
        <v>2667</v>
      </c>
      <c r="H80" s="810">
        <v>138</v>
      </c>
      <c r="I80" s="810" t="s">
        <v>2533</v>
      </c>
      <c r="J80" s="810">
        <v>8</v>
      </c>
      <c r="K80" s="810" t="s">
        <v>2534</v>
      </c>
      <c r="L80" s="810">
        <v>1</v>
      </c>
      <c r="M80" s="810" t="s">
        <v>2638</v>
      </c>
      <c r="N80" s="849">
        <v>2602075</v>
      </c>
      <c r="O80" s="850">
        <f>N80*C11</f>
        <v>2602075</v>
      </c>
      <c r="P80" s="813"/>
      <c r="Q80" s="840"/>
      <c r="R80" s="810">
        <f>VLOOKUP(E80,'2018UpdateData'!$L$15:$X$305,2,FALSE)</f>
        <v>850002124</v>
      </c>
      <c r="S80" s="810">
        <f>VLOOKUP(E80,'2018UpdateData'!$L$15:$X$305,5,FALSE)</f>
        <v>138</v>
      </c>
      <c r="T80" s="810">
        <f>VLOOKUP(E80,'2018UpdateData'!$L$15:$X$305,7,FALSE)</f>
        <v>8</v>
      </c>
      <c r="U80" s="810" t="str">
        <f>VLOOKUP(E80,'2018UpdateData'!$L$15:$X$305,8,FALSE)</f>
        <v>single circuit</v>
      </c>
      <c r="V80" s="851">
        <f>VLOOKUP(E80,'2018UpdateData'!$L$15:$X$305,11,FALSE)</f>
        <v>2602075</v>
      </c>
      <c r="W80" s="849">
        <f t="shared" si="6"/>
        <v>2602075</v>
      </c>
      <c r="X80" s="840"/>
      <c r="Y80" s="849">
        <f t="shared" si="7"/>
        <v>0</v>
      </c>
      <c r="Z80" s="853">
        <f t="shared" si="8"/>
        <v>0</v>
      </c>
    </row>
    <row r="81" spans="1:28">
      <c r="B81" s="810" t="s">
        <v>2553</v>
      </c>
      <c r="C81" s="848">
        <v>41122</v>
      </c>
      <c r="D81" s="810" t="s">
        <v>1512</v>
      </c>
      <c r="E81" s="810" t="s">
        <v>2668</v>
      </c>
      <c r="F81" s="810" t="s">
        <v>2531</v>
      </c>
      <c r="G81" s="810" t="s">
        <v>2669</v>
      </c>
      <c r="H81" s="810">
        <v>138</v>
      </c>
      <c r="I81" s="810" t="s">
        <v>2533</v>
      </c>
      <c r="J81" s="810">
        <v>1</v>
      </c>
      <c r="K81" s="810" t="s">
        <v>2538</v>
      </c>
      <c r="L81" s="810">
        <v>1</v>
      </c>
      <c r="M81" s="810" t="s">
        <v>2638</v>
      </c>
      <c r="N81" s="849">
        <v>710073</v>
      </c>
      <c r="O81" s="850">
        <f>N81*C9</f>
        <v>624864.24</v>
      </c>
      <c r="P81" s="813"/>
      <c r="Q81" s="840"/>
      <c r="R81" s="810">
        <f>VLOOKUP(E81,'2018UpdateData'!$L$15:$X$305,2,FALSE)</f>
        <v>850002040</v>
      </c>
      <c r="S81" s="810">
        <f>VLOOKUP(E81,'2018UpdateData'!$L$15:$X$305,5,FALSE)</f>
        <v>138</v>
      </c>
      <c r="T81" s="810">
        <f>VLOOKUP(E81,'2018UpdateData'!$L$15:$X$305,7,FALSE)</f>
        <v>1</v>
      </c>
      <c r="U81" s="810" t="str">
        <f>VLOOKUP(E81,'2018UpdateData'!$L$15:$X$305,8,FALSE)</f>
        <v>double circuit</v>
      </c>
      <c r="V81" s="851">
        <f>VLOOKUP(E81,'2018UpdateData'!$L$15:$X$305,11,FALSE)</f>
        <v>710073</v>
      </c>
      <c r="W81" s="849">
        <f t="shared" si="6"/>
        <v>624864.24</v>
      </c>
      <c r="X81" s="840"/>
      <c r="Y81" s="849">
        <f t="shared" si="7"/>
        <v>0</v>
      </c>
      <c r="Z81" s="853">
        <f t="shared" si="8"/>
        <v>0</v>
      </c>
    </row>
    <row r="82" spans="1:28">
      <c r="B82" s="810" t="s">
        <v>2670</v>
      </c>
      <c r="C82" s="848">
        <v>40843</v>
      </c>
      <c r="D82" s="810" t="s">
        <v>1191</v>
      </c>
      <c r="E82" s="810" t="s">
        <v>2671</v>
      </c>
      <c r="F82" s="810" t="s">
        <v>2531</v>
      </c>
      <c r="G82" s="810" t="s">
        <v>2672</v>
      </c>
      <c r="H82" s="810">
        <v>138</v>
      </c>
      <c r="I82" s="810" t="s">
        <v>2533</v>
      </c>
      <c r="J82" s="810">
        <v>1.6</v>
      </c>
      <c r="K82" s="810" t="s">
        <v>2538</v>
      </c>
      <c r="L82" s="810">
        <v>1</v>
      </c>
      <c r="M82" s="886" t="s">
        <v>2638</v>
      </c>
      <c r="N82" s="849">
        <v>1000000</v>
      </c>
      <c r="O82" s="850">
        <f>N82*C9</f>
        <v>880000</v>
      </c>
      <c r="P82" s="813" t="s">
        <v>2825</v>
      </c>
      <c r="Q82" s="840"/>
      <c r="W82" s="849"/>
      <c r="X82" s="840"/>
      <c r="Y82" s="849"/>
      <c r="Z82" s="853"/>
    </row>
    <row r="83" spans="1:28">
      <c r="B83" s="810" t="s">
        <v>2673</v>
      </c>
      <c r="C83" s="848">
        <v>39600</v>
      </c>
      <c r="D83" s="810" t="s">
        <v>1191</v>
      </c>
      <c r="E83" s="810" t="s">
        <v>2674</v>
      </c>
      <c r="F83" s="810" t="s">
        <v>2531</v>
      </c>
      <c r="G83" s="810" t="s">
        <v>2675</v>
      </c>
      <c r="H83" s="810">
        <v>138</v>
      </c>
      <c r="I83" s="810" t="s">
        <v>2533</v>
      </c>
      <c r="J83" s="810">
        <v>12.2</v>
      </c>
      <c r="K83" s="810" t="s">
        <v>2534</v>
      </c>
      <c r="L83" s="810">
        <v>1</v>
      </c>
      <c r="M83" s="810" t="s">
        <v>2638</v>
      </c>
      <c r="N83" s="849">
        <v>3462000</v>
      </c>
      <c r="O83" s="850">
        <f>N83*C11</f>
        <v>3462000</v>
      </c>
      <c r="P83" s="813"/>
      <c r="Q83" s="840"/>
      <c r="R83" s="810">
        <f>VLOOKUP(E83,'2018UpdateData'!$L$15:$X$305,2,FALSE)</f>
        <v>538002560</v>
      </c>
      <c r="S83" s="810">
        <f>VLOOKUP(E83,'2018UpdateData'!$L$15:$X$305,5,FALSE)</f>
        <v>138</v>
      </c>
      <c r="T83" s="810">
        <f>VLOOKUP(E83,'2018UpdateData'!$L$15:$X$305,7,FALSE)</f>
        <v>12.2</v>
      </c>
      <c r="U83" s="810" t="str">
        <f>VLOOKUP(E83,'2018UpdateData'!$L$15:$X$305,8,FALSE)</f>
        <v>single circuit</v>
      </c>
      <c r="V83" s="851">
        <f>VLOOKUP(E83,'2018UpdateData'!$L$15:$X$305,11,FALSE)</f>
        <v>3462000</v>
      </c>
      <c r="W83" s="849">
        <f>VLOOKUP(U83,$B$9:$C$11,2,FALSE)*V83</f>
        <v>3462000</v>
      </c>
      <c r="X83" s="840"/>
      <c r="Y83" s="849">
        <f>(V83-N83)</f>
        <v>0</v>
      </c>
      <c r="Z83" s="853">
        <f>Y83/N83</f>
        <v>0</v>
      </c>
    </row>
    <row r="84" spans="1:28">
      <c r="B84" s="810" t="s">
        <v>2547</v>
      </c>
      <c r="C84" s="848">
        <v>41185</v>
      </c>
      <c r="D84" s="810" t="s">
        <v>1191</v>
      </c>
      <c r="E84" s="810" t="s">
        <v>2676</v>
      </c>
      <c r="F84" s="810" t="s">
        <v>2531</v>
      </c>
      <c r="G84" s="810" t="s">
        <v>2677</v>
      </c>
      <c r="H84" s="810">
        <v>138</v>
      </c>
      <c r="I84" s="810" t="s">
        <v>2533</v>
      </c>
      <c r="J84" s="810">
        <v>3.5</v>
      </c>
      <c r="K84" s="810" t="s">
        <v>2534</v>
      </c>
      <c r="L84" s="810">
        <v>1</v>
      </c>
      <c r="M84" s="810" t="s">
        <v>2638</v>
      </c>
      <c r="N84" s="849">
        <v>1879000</v>
      </c>
      <c r="O84" s="850">
        <f>N84*C11</f>
        <v>1879000</v>
      </c>
      <c r="P84" s="813"/>
      <c r="Q84" s="840"/>
      <c r="R84" s="810">
        <f>VLOOKUP(E84,'2018UpdateData'!$L$15:$X$305,2,FALSE)</f>
        <v>936002149</v>
      </c>
      <c r="S84" s="810">
        <f>VLOOKUP(E84,'2018UpdateData'!$L$15:$X$305,5,FALSE)</f>
        <v>138</v>
      </c>
      <c r="T84" s="810">
        <f>VLOOKUP(E84,'2018UpdateData'!$L$15:$X$305,7,FALSE)</f>
        <v>3.5</v>
      </c>
      <c r="U84" s="810" t="str">
        <f>VLOOKUP(E84,'2018UpdateData'!$L$15:$X$305,8,FALSE)</f>
        <v>single circuit</v>
      </c>
      <c r="V84" s="851">
        <f>VLOOKUP(E84,'2018UpdateData'!$L$15:$X$305,11,FALSE)</f>
        <v>1879000</v>
      </c>
      <c r="W84" s="849">
        <f>VLOOKUP(U84,$B$9:$C$11,2,FALSE)*V84</f>
        <v>1879000</v>
      </c>
      <c r="X84" s="840"/>
      <c r="Y84" s="849">
        <f>(V84-N84)</f>
        <v>0</v>
      </c>
      <c r="Z84" s="853">
        <f>Y84/N84</f>
        <v>0</v>
      </c>
    </row>
    <row r="85" spans="1:28">
      <c r="B85" s="810" t="s">
        <v>2678</v>
      </c>
      <c r="C85" s="848">
        <v>41193</v>
      </c>
      <c r="D85" s="810" t="s">
        <v>1191</v>
      </c>
      <c r="E85" s="810" t="s">
        <v>2679</v>
      </c>
      <c r="F85" s="810" t="s">
        <v>2531</v>
      </c>
      <c r="G85" s="810" t="s">
        <v>2680</v>
      </c>
      <c r="H85" s="810">
        <v>138</v>
      </c>
      <c r="I85" s="810" t="s">
        <v>2533</v>
      </c>
      <c r="J85" s="810">
        <v>0.5</v>
      </c>
      <c r="K85" s="813" t="s">
        <v>2681</v>
      </c>
      <c r="L85" s="810">
        <v>1</v>
      </c>
      <c r="M85" s="810" t="s">
        <v>2638</v>
      </c>
      <c r="N85" s="849">
        <v>386408</v>
      </c>
      <c r="O85" s="850">
        <f>N85*C11</f>
        <v>386408</v>
      </c>
      <c r="P85" s="813"/>
      <c r="Q85" s="840"/>
      <c r="R85" s="810">
        <f>VLOOKUP(E85,'2018UpdateData'!$L$15:$X$305,2,FALSE)</f>
        <v>1265002010</v>
      </c>
      <c r="S85" s="810">
        <f>VLOOKUP(E85,'2018UpdateData'!$L$15:$X$305,5,FALSE)</f>
        <v>138</v>
      </c>
      <c r="T85" s="810">
        <f>VLOOKUP(E85,'2018UpdateData'!$L$15:$X$305,7,FALSE)</f>
        <v>0.5</v>
      </c>
      <c r="U85" s="810" t="str">
        <f>VLOOKUP(E85,'2018UpdateData'!$L$15:$X$305,8,FALSE)</f>
        <v>single circuit</v>
      </c>
      <c r="V85" s="851">
        <f>VLOOKUP(E85,'2018UpdateData'!$L$15:$X$305,11,FALSE)</f>
        <v>386408</v>
      </c>
      <c r="W85" s="849">
        <f>VLOOKUP(U85,$B$9:$C$11,2,FALSE)*V85</f>
        <v>386408</v>
      </c>
      <c r="X85" s="840"/>
      <c r="Y85" s="849">
        <f>(V85-N85)</f>
        <v>0</v>
      </c>
      <c r="Z85" s="853">
        <f>Y85/N85</f>
        <v>0</v>
      </c>
    </row>
    <row r="86" spans="1:28">
      <c r="B86" s="810" t="s">
        <v>2547</v>
      </c>
      <c r="C86" s="848">
        <v>41185</v>
      </c>
      <c r="D86" s="810" t="s">
        <v>1191</v>
      </c>
      <c r="E86" s="810" t="s">
        <v>2682</v>
      </c>
      <c r="F86" s="810" t="s">
        <v>2531</v>
      </c>
      <c r="G86" s="810" t="s">
        <v>2683</v>
      </c>
      <c r="H86" s="810">
        <v>138</v>
      </c>
      <c r="I86" s="810" t="s">
        <v>2533</v>
      </c>
      <c r="J86" s="810">
        <v>5.0999999999999996</v>
      </c>
      <c r="K86" s="810" t="s">
        <v>2534</v>
      </c>
      <c r="L86" s="810">
        <v>1</v>
      </c>
      <c r="M86" s="810" t="s">
        <v>2638</v>
      </c>
      <c r="N86" s="849">
        <v>2611000</v>
      </c>
      <c r="O86" s="850">
        <f>N86*C11</f>
        <v>2611000</v>
      </c>
      <c r="P86" s="813"/>
      <c r="Q86" s="840"/>
      <c r="R86" s="810">
        <f>VLOOKUP(E86,'2018UpdateData'!$L$15:$X$305,2,FALSE)</f>
        <v>936002146</v>
      </c>
      <c r="S86" s="810">
        <f>VLOOKUP(E86,'2018UpdateData'!$L$15:$X$305,5,FALSE)</f>
        <v>138</v>
      </c>
      <c r="T86" s="810">
        <f>VLOOKUP(E86,'2018UpdateData'!$L$15:$X$305,7,FALSE)</f>
        <v>5.0999999999999996</v>
      </c>
      <c r="U86" s="810" t="str">
        <f>VLOOKUP(E86,'2018UpdateData'!$L$15:$X$305,8,FALSE)</f>
        <v>single circuit</v>
      </c>
      <c r="V86" s="851">
        <f>VLOOKUP(E86,'2018UpdateData'!$L$15:$X$305,11,FALSE)</f>
        <v>2611000</v>
      </c>
      <c r="W86" s="849">
        <f>VLOOKUP(U86,$B$9:$C$11,2,FALSE)*V86</f>
        <v>2611000</v>
      </c>
      <c r="X86" s="840"/>
      <c r="Y86" s="849">
        <f>(V86-N86)</f>
        <v>0</v>
      </c>
      <c r="Z86" s="853">
        <f>Y86/N86</f>
        <v>0</v>
      </c>
    </row>
    <row r="87" spans="1:28">
      <c r="B87" s="810" t="s">
        <v>2684</v>
      </c>
      <c r="C87" s="848">
        <v>41344</v>
      </c>
      <c r="D87" s="810" t="s">
        <v>1191</v>
      </c>
      <c r="E87" s="810" t="s">
        <v>2685</v>
      </c>
      <c r="F87" s="810" t="s">
        <v>2531</v>
      </c>
      <c r="G87" s="810" t="s">
        <v>2686</v>
      </c>
      <c r="H87" s="810">
        <v>138</v>
      </c>
      <c r="I87" s="810" t="s">
        <v>2533</v>
      </c>
      <c r="J87" s="810">
        <v>3</v>
      </c>
      <c r="K87" s="810" t="s">
        <v>2538</v>
      </c>
      <c r="L87" s="810">
        <v>1</v>
      </c>
      <c r="M87" s="810" t="s">
        <v>2638</v>
      </c>
      <c r="N87" s="849">
        <v>5044000</v>
      </c>
      <c r="O87" s="850">
        <f>N87*C9</f>
        <v>4438720</v>
      </c>
      <c r="P87" s="813"/>
      <c r="Q87" s="840"/>
      <c r="R87" s="810">
        <f>VLOOKUP(E87,'2018UpdateData'!$L$15:$X$305,2,FALSE)</f>
        <v>1024002034</v>
      </c>
      <c r="S87" s="810">
        <f>VLOOKUP(E87,'2018UpdateData'!$L$15:$X$305,5,FALSE)</f>
        <v>138</v>
      </c>
      <c r="T87" s="810">
        <f>VLOOKUP(E87,'2018UpdateData'!$L$15:$X$305,7,FALSE)</f>
        <v>3</v>
      </c>
      <c r="U87" s="810" t="str">
        <f>VLOOKUP(E87,'2018UpdateData'!$L$15:$X$305,8,FALSE)</f>
        <v>double circuit</v>
      </c>
      <c r="V87" s="851">
        <f>VLOOKUP(E87,'2018UpdateData'!$L$15:$X$305,11,FALSE)</f>
        <v>3884000</v>
      </c>
      <c r="W87" s="849">
        <f>VLOOKUP(U87,$B$9:$C$11,2,FALSE)*V87</f>
        <v>3417920</v>
      </c>
      <c r="X87" s="840"/>
      <c r="Y87" s="849">
        <f>(V87-N87)</f>
        <v>-1160000</v>
      </c>
      <c r="Z87" s="853">
        <f>Y87/N87</f>
        <v>-0.22997620935765264</v>
      </c>
    </row>
    <row r="88" spans="1:28">
      <c r="B88" s="810" t="s">
        <v>2670</v>
      </c>
      <c r="C88" s="848">
        <v>40843</v>
      </c>
      <c r="D88" s="810" t="s">
        <v>1191</v>
      </c>
      <c r="E88" s="810" t="s">
        <v>2687</v>
      </c>
      <c r="F88" s="810" t="s">
        <v>2531</v>
      </c>
      <c r="G88" s="810" t="s">
        <v>2688</v>
      </c>
      <c r="H88" s="810">
        <v>138</v>
      </c>
      <c r="I88" s="810" t="s">
        <v>2533</v>
      </c>
      <c r="J88" s="810">
        <v>1</v>
      </c>
      <c r="K88" s="886" t="s">
        <v>2534</v>
      </c>
      <c r="L88" s="810">
        <v>1</v>
      </c>
      <c r="M88" s="810" t="s">
        <v>2638</v>
      </c>
      <c r="N88" s="849">
        <v>687000</v>
      </c>
      <c r="O88" s="850">
        <f>N88*C11</f>
        <v>687000</v>
      </c>
      <c r="P88" s="813" t="s">
        <v>2826</v>
      </c>
      <c r="Q88" s="840"/>
      <c r="W88" s="849"/>
      <c r="X88" s="840"/>
      <c r="Y88" s="849"/>
      <c r="Z88" s="853"/>
    </row>
    <row r="89" spans="1:28">
      <c r="B89" s="810" t="s">
        <v>2553</v>
      </c>
      <c r="C89" s="848">
        <v>41122</v>
      </c>
      <c r="D89" s="810" t="s">
        <v>1512</v>
      </c>
      <c r="E89" s="810" t="s">
        <v>2689</v>
      </c>
      <c r="F89" s="810" t="s">
        <v>2531</v>
      </c>
      <c r="G89" s="810" t="s">
        <v>2690</v>
      </c>
      <c r="H89" s="810">
        <v>138</v>
      </c>
      <c r="I89" s="810" t="s">
        <v>2533</v>
      </c>
      <c r="J89" s="810">
        <v>25</v>
      </c>
      <c r="K89" s="810" t="s">
        <v>2538</v>
      </c>
      <c r="L89" s="810">
        <v>1</v>
      </c>
      <c r="M89" s="810" t="s">
        <v>2638</v>
      </c>
      <c r="N89" s="849">
        <v>16350909</v>
      </c>
      <c r="O89" s="850">
        <f>N89*C9</f>
        <v>14388799.92</v>
      </c>
      <c r="P89" s="813"/>
      <c r="Q89" s="840"/>
      <c r="R89" s="810">
        <v>850002067</v>
      </c>
      <c r="S89" s="810">
        <v>138</v>
      </c>
      <c r="T89" s="810">
        <v>25</v>
      </c>
      <c r="U89" s="810" t="s">
        <v>2538</v>
      </c>
      <c r="V89" s="851">
        <v>16350909</v>
      </c>
      <c r="W89" s="849">
        <f>VLOOKUP(U89,$B$9:$C$11,2,FALSE)*V89</f>
        <v>14388799.92</v>
      </c>
      <c r="X89" s="840"/>
      <c r="Y89" s="849">
        <f>(V89-N89)</f>
        <v>0</v>
      </c>
      <c r="Z89" s="853">
        <f>Y89/N89</f>
        <v>0</v>
      </c>
    </row>
    <row r="90" spans="1:28">
      <c r="B90" s="810" t="s">
        <v>2691</v>
      </c>
      <c r="C90" s="848">
        <v>39326</v>
      </c>
      <c r="D90" s="810" t="s">
        <v>1191</v>
      </c>
      <c r="E90" s="810" t="s">
        <v>2692</v>
      </c>
      <c r="F90" s="810" t="s">
        <v>2531</v>
      </c>
      <c r="G90" s="810" t="s">
        <v>2693</v>
      </c>
      <c r="H90" s="810">
        <v>138</v>
      </c>
      <c r="I90" s="810" t="s">
        <v>2533</v>
      </c>
      <c r="J90" s="810">
        <v>0.2</v>
      </c>
      <c r="K90" s="810" t="s">
        <v>2538</v>
      </c>
      <c r="L90" s="810">
        <v>1</v>
      </c>
      <c r="M90" s="810" t="s">
        <v>2638</v>
      </c>
      <c r="N90" s="849">
        <v>753000</v>
      </c>
      <c r="O90" s="850">
        <f>N90*C9</f>
        <v>662640</v>
      </c>
      <c r="P90" s="813"/>
      <c r="Q90" s="840"/>
      <c r="R90" s="810">
        <f>VLOOKUP(E90,'2018UpdateData'!$L$15:$X$305,2,FALSE)</f>
        <v>648002021</v>
      </c>
      <c r="S90" s="810">
        <f>VLOOKUP(E90,'2018UpdateData'!$L$15:$X$305,5,FALSE)</f>
        <v>138</v>
      </c>
      <c r="T90" s="810">
        <f>VLOOKUP(E90,'2018UpdateData'!$L$15:$X$305,7,FALSE)</f>
        <v>0.2</v>
      </c>
      <c r="U90" s="810" t="str">
        <f>VLOOKUP(E90,'2018UpdateData'!$L$15:$X$305,8,FALSE)</f>
        <v>double circuit</v>
      </c>
      <c r="V90" s="851">
        <f>VLOOKUP(E90,'2018UpdateData'!$L$15:$X$305,11,FALSE)</f>
        <v>753000</v>
      </c>
      <c r="W90" s="849">
        <f>VLOOKUP(U90,$B$9:$C$11,2,FALSE)*V90</f>
        <v>662640</v>
      </c>
      <c r="X90" s="840"/>
      <c r="Y90" s="849">
        <f>(V90-N90)</f>
        <v>0</v>
      </c>
      <c r="Z90" s="853">
        <f>Y90/N90</f>
        <v>0</v>
      </c>
    </row>
    <row r="91" spans="1:28">
      <c r="A91" s="854"/>
      <c r="B91" s="854"/>
      <c r="C91" s="855"/>
      <c r="D91" s="854"/>
      <c r="E91" s="854"/>
      <c r="F91" s="854"/>
      <c r="G91" s="854"/>
      <c r="H91" s="854"/>
      <c r="I91" s="854"/>
      <c r="J91" s="854"/>
      <c r="K91" s="854"/>
      <c r="L91" s="854"/>
      <c r="M91" s="854"/>
      <c r="N91" s="856"/>
      <c r="O91" s="857"/>
      <c r="P91" s="858"/>
      <c r="Q91" s="859"/>
      <c r="R91" s="854"/>
      <c r="S91" s="854"/>
      <c r="T91" s="854"/>
      <c r="U91" s="854"/>
      <c r="V91" s="860"/>
      <c r="W91" s="856"/>
      <c r="X91" s="859"/>
      <c r="Y91" s="856"/>
      <c r="Z91" s="854"/>
    </row>
    <row r="92" spans="1:28" s="844" customFormat="1">
      <c r="C92" s="862"/>
      <c r="N92" s="846">
        <f>SUMIF(V68:V90,"&lt;&gt;",N68:N90)</f>
        <v>88152569</v>
      </c>
      <c r="O92" s="870"/>
      <c r="P92" s="867"/>
      <c r="Q92" s="868"/>
      <c r="V92" s="845">
        <f>SUM(V68:V90)</f>
        <v>86758015</v>
      </c>
      <c r="X92" s="868"/>
      <c r="Y92" s="846">
        <f>SUM(Y68:Y90)</f>
        <v>-6600944</v>
      </c>
      <c r="Z92" s="866">
        <f>Y92/N92</f>
        <v>-7.4880903357450651E-2</v>
      </c>
      <c r="AB92" s="866"/>
    </row>
    <row r="93" spans="1:28">
      <c r="C93" s="848"/>
      <c r="O93" s="844">
        <f>SUM(J68:J90)</f>
        <v>205.09999999999997</v>
      </c>
      <c r="P93" s="867" t="s">
        <v>2588</v>
      </c>
      <c r="Q93" s="868"/>
      <c r="R93" s="844"/>
      <c r="S93" s="844"/>
      <c r="T93" s="844"/>
      <c r="U93" s="844"/>
      <c r="V93" s="845"/>
      <c r="W93" s="846">
        <f>SUM(T68,T70:T73,T75:T81,T83:T87,T89:T90)</f>
        <v>174.2</v>
      </c>
      <c r="X93" s="867" t="s">
        <v>2588</v>
      </c>
      <c r="Y93" s="849"/>
    </row>
    <row r="94" spans="1:28">
      <c r="C94" s="848"/>
      <c r="O94" s="870">
        <f>SUM(O68:O90)</f>
        <v>90789918.680000007</v>
      </c>
      <c r="P94" s="867" t="s">
        <v>2589</v>
      </c>
      <c r="Q94" s="868"/>
      <c r="R94" s="844"/>
      <c r="S94" s="844"/>
      <c r="T94" s="844"/>
      <c r="U94" s="844"/>
      <c r="V94" s="845"/>
      <c r="W94" s="846">
        <f>SUM(W68,W70:W73,W75:W81,W83:W87,W89:W90)</f>
        <v>82795301.680000007</v>
      </c>
      <c r="X94" s="867" t="s">
        <v>2589</v>
      </c>
      <c r="Y94" s="849"/>
      <c r="Z94" s="853"/>
    </row>
    <row r="95" spans="1:28" ht="16.2" thickBot="1">
      <c r="A95" s="887"/>
      <c r="B95" s="887"/>
      <c r="C95" s="888"/>
      <c r="D95" s="887"/>
      <c r="E95" s="887"/>
      <c r="F95" s="887"/>
      <c r="G95" s="887"/>
      <c r="H95" s="887"/>
      <c r="I95" s="887"/>
      <c r="J95" s="887"/>
      <c r="K95" s="887"/>
      <c r="L95" s="887"/>
      <c r="M95" s="887"/>
      <c r="N95" s="889"/>
      <c r="O95" s="874">
        <f>O94/O93</f>
        <v>442661.71955143841</v>
      </c>
      <c r="P95" s="875" t="s">
        <v>2590</v>
      </c>
      <c r="Q95" s="876"/>
      <c r="R95" s="871"/>
      <c r="S95" s="871"/>
      <c r="T95" s="871"/>
      <c r="U95" s="871"/>
      <c r="V95" s="877"/>
      <c r="W95" s="873">
        <f>SUM(W68,W70:W73,W75:W81,W83:W87,W89:W90)/SUM(T68,T70:T73,T75:T81,T83:T87,T89:T90)</f>
        <v>475288.75820895529</v>
      </c>
      <c r="X95" s="876" t="s">
        <v>2822</v>
      </c>
      <c r="Y95" s="889"/>
      <c r="Z95" s="878">
        <f>(W95-O95)/O95</f>
        <v>7.370648334032312E-2</v>
      </c>
    </row>
    <row r="96" spans="1:28">
      <c r="C96" s="848"/>
      <c r="O96" s="810"/>
      <c r="P96" s="813"/>
      <c r="Q96" s="840"/>
      <c r="W96" s="849"/>
      <c r="X96" s="840"/>
      <c r="Y96" s="849"/>
    </row>
    <row r="97" spans="1:26">
      <c r="A97" s="810" t="s">
        <v>2694</v>
      </c>
      <c r="C97" s="848"/>
      <c r="O97" s="810"/>
      <c r="P97" s="813"/>
      <c r="Q97" s="840"/>
      <c r="W97" s="849"/>
      <c r="X97" s="840"/>
      <c r="Y97" s="849"/>
    </row>
    <row r="98" spans="1:26">
      <c r="B98" s="842"/>
      <c r="C98" s="842" t="s">
        <v>2519</v>
      </c>
      <c r="D98" s="842" t="s">
        <v>120</v>
      </c>
      <c r="E98" s="842" t="s">
        <v>121</v>
      </c>
      <c r="F98" s="842" t="s">
        <v>2520</v>
      </c>
      <c r="G98" s="842" t="s">
        <v>2521</v>
      </c>
      <c r="H98" s="842" t="s">
        <v>122</v>
      </c>
      <c r="I98" s="842" t="s">
        <v>2522</v>
      </c>
      <c r="J98" s="842" t="s">
        <v>123</v>
      </c>
      <c r="K98" s="842" t="s">
        <v>2523</v>
      </c>
      <c r="L98" s="842" t="s">
        <v>2524</v>
      </c>
      <c r="M98" s="842" t="s">
        <v>2525</v>
      </c>
      <c r="N98" s="843" t="s">
        <v>44</v>
      </c>
      <c r="O98" s="842" t="s">
        <v>2635</v>
      </c>
      <c r="P98" s="813"/>
      <c r="Q98" s="840"/>
      <c r="R98" s="844" t="s">
        <v>2816</v>
      </c>
      <c r="S98" s="844" t="s">
        <v>2817</v>
      </c>
      <c r="T98" s="844" t="s">
        <v>2818</v>
      </c>
      <c r="U98" s="844" t="s">
        <v>2819</v>
      </c>
      <c r="V98" s="845" t="s">
        <v>44</v>
      </c>
      <c r="W98" s="846" t="s">
        <v>2527</v>
      </c>
      <c r="X98" s="847" t="s">
        <v>2815</v>
      </c>
      <c r="Y98" s="849"/>
    </row>
    <row r="99" spans="1:26">
      <c r="B99" s="810" t="s">
        <v>2695</v>
      </c>
      <c r="C99" s="848">
        <v>39605</v>
      </c>
      <c r="D99" s="810" t="s">
        <v>1191</v>
      </c>
      <c r="E99" s="810" t="s">
        <v>2696</v>
      </c>
      <c r="F99" s="810" t="s">
        <v>2531</v>
      </c>
      <c r="G99" s="810" t="s">
        <v>2697</v>
      </c>
      <c r="H99" s="810">
        <v>138</v>
      </c>
      <c r="I99" s="810" t="s">
        <v>2533</v>
      </c>
      <c r="J99" s="810">
        <v>0.1</v>
      </c>
      <c r="K99" s="810" t="s">
        <v>2538</v>
      </c>
      <c r="L99" s="810">
        <v>1</v>
      </c>
      <c r="M99" s="810" t="s">
        <v>2698</v>
      </c>
      <c r="N99" s="849">
        <v>651000</v>
      </c>
      <c r="O99" s="850">
        <f>N99*C9</f>
        <v>572880</v>
      </c>
      <c r="P99" s="813"/>
      <c r="Q99" s="840"/>
      <c r="R99" s="810">
        <f>VLOOKUP(E99,'2018UpdateData'!$L$15:$X$305,2,FALSE)</f>
        <v>585002006</v>
      </c>
      <c r="S99" s="810">
        <f>VLOOKUP(E99,'2018UpdateData'!$L$15:$X$305,5,FALSE)</f>
        <v>138</v>
      </c>
      <c r="T99" s="810">
        <f>VLOOKUP(E99,'2018UpdateData'!$L$15:$X$305,7,FALSE)</f>
        <v>0.1</v>
      </c>
      <c r="U99" s="810" t="str">
        <f>VLOOKUP(E99,'2018UpdateData'!$L$15:$X$305,8,FALSE)</f>
        <v>double circuit</v>
      </c>
      <c r="V99" s="851">
        <f>VLOOKUP(E99,'2018UpdateData'!$L$15:$X$305,11,FALSE)</f>
        <v>651000</v>
      </c>
      <c r="W99" s="849">
        <f t="shared" ref="W99:W108" si="9">VLOOKUP(U99,$B$9:$C$11,2,FALSE)*V99</f>
        <v>572880</v>
      </c>
      <c r="X99" s="840"/>
      <c r="Y99" s="849">
        <f t="shared" ref="Y99:Y108" si="10">(V99-N99)</f>
        <v>0</v>
      </c>
      <c r="Z99" s="853">
        <f t="shared" ref="Z99:Z108" si="11">Y99/N99</f>
        <v>0</v>
      </c>
    </row>
    <row r="100" spans="1:26">
      <c r="B100" s="810" t="s">
        <v>2699</v>
      </c>
      <c r="C100" s="848">
        <v>39595</v>
      </c>
      <c r="D100" s="810" t="s">
        <v>1191</v>
      </c>
      <c r="E100" s="810" t="s">
        <v>2700</v>
      </c>
      <c r="F100" s="810" t="s">
        <v>2531</v>
      </c>
      <c r="G100" s="810" t="s">
        <v>2504</v>
      </c>
      <c r="H100" s="810">
        <v>138</v>
      </c>
      <c r="I100" s="810" t="s">
        <v>2533</v>
      </c>
      <c r="J100" s="810">
        <v>1.2</v>
      </c>
      <c r="K100" s="810" t="s">
        <v>2534</v>
      </c>
      <c r="L100" s="810">
        <v>1</v>
      </c>
      <c r="M100" s="810" t="s">
        <v>2698</v>
      </c>
      <c r="N100" s="849">
        <v>663000</v>
      </c>
      <c r="O100" s="850">
        <f>N100*C11</f>
        <v>663000</v>
      </c>
      <c r="P100" s="813"/>
      <c r="Q100" s="840"/>
      <c r="R100" s="810">
        <f>VLOOKUP(E100,'2018UpdateData'!$L$15:$X$305,2,FALSE)</f>
        <v>700002016</v>
      </c>
      <c r="S100" s="810">
        <f>VLOOKUP(E100,'2018UpdateData'!$L$15:$X$305,5,FALSE)</f>
        <v>138</v>
      </c>
      <c r="T100" s="810">
        <f>VLOOKUP(E100,'2018UpdateData'!$L$15:$X$305,7,FALSE)</f>
        <v>1.2</v>
      </c>
      <c r="U100" s="810" t="str">
        <f>VLOOKUP(E100,'2018UpdateData'!$L$15:$X$305,8,FALSE)</f>
        <v>single circuit</v>
      </c>
      <c r="V100" s="851">
        <f>VLOOKUP(E100,'2018UpdateData'!$L$15:$X$305,11,FALSE)</f>
        <v>663000</v>
      </c>
      <c r="W100" s="849">
        <f t="shared" si="9"/>
        <v>663000</v>
      </c>
      <c r="X100" s="840"/>
      <c r="Y100" s="849">
        <f t="shared" si="10"/>
        <v>0</v>
      </c>
      <c r="Z100" s="853">
        <f t="shared" si="11"/>
        <v>0</v>
      </c>
    </row>
    <row r="101" spans="1:26">
      <c r="B101" s="810" t="s">
        <v>2701</v>
      </c>
      <c r="C101" s="848">
        <v>40893</v>
      </c>
      <c r="D101" s="810" t="s">
        <v>1191</v>
      </c>
      <c r="E101" s="810" t="s">
        <v>2702</v>
      </c>
      <c r="F101" s="810" t="s">
        <v>2531</v>
      </c>
      <c r="G101" s="810" t="s">
        <v>1692</v>
      </c>
      <c r="H101" s="810">
        <v>138</v>
      </c>
      <c r="I101" s="810" t="s">
        <v>2533</v>
      </c>
      <c r="J101" s="810">
        <v>0.3</v>
      </c>
      <c r="K101" s="810" t="s">
        <v>2534</v>
      </c>
      <c r="L101" s="810">
        <v>1</v>
      </c>
      <c r="M101" s="810" t="s">
        <v>2698</v>
      </c>
      <c r="N101" s="849">
        <v>208000</v>
      </c>
      <c r="O101" s="850">
        <f>N101*C11</f>
        <v>208000</v>
      </c>
      <c r="P101" s="813"/>
      <c r="Q101" s="840"/>
      <c r="R101" s="810">
        <f>VLOOKUP(E101,'2018UpdateData'!$L$15:$X$305,2,FALSE)</f>
        <v>513002014</v>
      </c>
      <c r="S101" s="810">
        <f>VLOOKUP(E101,'2018UpdateData'!$L$15:$X$305,5,FALSE)</f>
        <v>138</v>
      </c>
      <c r="T101" s="810">
        <f>VLOOKUP(E101,'2018UpdateData'!$L$15:$X$305,7,FALSE)</f>
        <v>0.3</v>
      </c>
      <c r="U101" s="810" t="str">
        <f>VLOOKUP(E101,'2018UpdateData'!$L$15:$X$305,8,FALSE)</f>
        <v>single circuit</v>
      </c>
      <c r="V101" s="851">
        <f>VLOOKUP(E101,'2018UpdateData'!$L$15:$X$305,11,FALSE)</f>
        <v>208000</v>
      </c>
      <c r="W101" s="849">
        <f t="shared" si="9"/>
        <v>208000</v>
      </c>
      <c r="X101" s="840"/>
      <c r="Y101" s="849">
        <f t="shared" si="10"/>
        <v>0</v>
      </c>
      <c r="Z101" s="853">
        <f t="shared" si="11"/>
        <v>0</v>
      </c>
    </row>
    <row r="102" spans="1:26">
      <c r="B102" s="810" t="s">
        <v>2703</v>
      </c>
      <c r="C102" s="848">
        <v>41244</v>
      </c>
      <c r="D102" s="810" t="s">
        <v>1191</v>
      </c>
      <c r="E102" s="810" t="s">
        <v>2704</v>
      </c>
      <c r="F102" s="810" t="s">
        <v>2531</v>
      </c>
      <c r="G102" s="810" t="s">
        <v>2705</v>
      </c>
      <c r="H102" s="810">
        <v>138</v>
      </c>
      <c r="I102" s="810" t="s">
        <v>2533</v>
      </c>
      <c r="J102" s="810">
        <v>3</v>
      </c>
      <c r="K102" s="810" t="s">
        <v>2534</v>
      </c>
      <c r="L102" s="810">
        <v>1</v>
      </c>
      <c r="M102" s="810" t="s">
        <v>2698</v>
      </c>
      <c r="N102" s="849">
        <v>3309000</v>
      </c>
      <c r="O102" s="850">
        <f>N102*C11</f>
        <v>3309000</v>
      </c>
      <c r="P102" s="813"/>
      <c r="Q102" s="840"/>
      <c r="R102" s="810">
        <f>VLOOKUP(E102,'2018UpdateData'!$L$15:$X$305,2,FALSE)</f>
        <v>1195002018</v>
      </c>
      <c r="S102" s="810">
        <f>VLOOKUP(E102,'2018UpdateData'!$L$15:$X$305,5,FALSE)</f>
        <v>138</v>
      </c>
      <c r="T102" s="810">
        <f>VLOOKUP(E102,'2018UpdateData'!$L$15:$X$305,7,FALSE)</f>
        <v>3</v>
      </c>
      <c r="U102" s="810" t="str">
        <f>VLOOKUP(E102,'2018UpdateData'!$L$15:$X$305,8,FALSE)</f>
        <v>single circuit</v>
      </c>
      <c r="V102" s="851">
        <f>VLOOKUP(E102,'2018UpdateData'!$L$15:$X$305,11,FALSE)</f>
        <v>3309000</v>
      </c>
      <c r="W102" s="849">
        <f t="shared" si="9"/>
        <v>3309000</v>
      </c>
      <c r="X102" s="840"/>
      <c r="Y102" s="849">
        <f t="shared" si="10"/>
        <v>0</v>
      </c>
      <c r="Z102" s="853">
        <f t="shared" si="11"/>
        <v>0</v>
      </c>
    </row>
    <row r="103" spans="1:26">
      <c r="B103" s="810" t="s">
        <v>2706</v>
      </c>
      <c r="C103" s="848">
        <v>39675</v>
      </c>
      <c r="D103" s="810" t="s">
        <v>1191</v>
      </c>
      <c r="E103" s="810" t="s">
        <v>2707</v>
      </c>
      <c r="F103" s="810" t="s">
        <v>2531</v>
      </c>
      <c r="G103" s="810" t="s">
        <v>2708</v>
      </c>
      <c r="H103" s="810">
        <v>138</v>
      </c>
      <c r="I103" s="810" t="s">
        <v>2533</v>
      </c>
      <c r="J103" s="810">
        <v>0.5</v>
      </c>
      <c r="K103" s="810" t="s">
        <v>2534</v>
      </c>
      <c r="L103" s="810">
        <v>1</v>
      </c>
      <c r="M103" s="810" t="s">
        <v>2698</v>
      </c>
      <c r="N103" s="849">
        <v>801057</v>
      </c>
      <c r="O103" s="850">
        <f>N103*C11</f>
        <v>801057</v>
      </c>
      <c r="P103" s="813"/>
      <c r="Q103" s="840"/>
      <c r="R103" s="810">
        <f>VLOOKUP(E103,'2018UpdateData'!$L$15:$X$305,2,FALSE)</f>
        <v>6190020028</v>
      </c>
      <c r="S103" s="810">
        <f>VLOOKUP(E103,'2018UpdateData'!$L$15:$X$305,5,FALSE)</f>
        <v>138</v>
      </c>
      <c r="T103" s="810">
        <f>VLOOKUP(E103,'2018UpdateData'!$L$15:$X$305,7,FALSE)</f>
        <v>0.5</v>
      </c>
      <c r="U103" s="810" t="str">
        <f>VLOOKUP(E103,'2018UpdateData'!$L$15:$X$305,8,FALSE)</f>
        <v>single circuit</v>
      </c>
      <c r="V103" s="851">
        <f>VLOOKUP(E103,'2018UpdateData'!$L$15:$X$305,11,FALSE)</f>
        <v>801057</v>
      </c>
      <c r="W103" s="849">
        <f t="shared" si="9"/>
        <v>801057</v>
      </c>
      <c r="X103" s="840"/>
      <c r="Y103" s="849">
        <f t="shared" si="10"/>
        <v>0</v>
      </c>
      <c r="Z103" s="853">
        <f t="shared" si="11"/>
        <v>0</v>
      </c>
    </row>
    <row r="104" spans="1:26">
      <c r="B104" s="810" t="s">
        <v>2580</v>
      </c>
      <c r="C104" s="848">
        <v>41262</v>
      </c>
      <c r="D104" s="810" t="s">
        <v>1191</v>
      </c>
      <c r="E104" s="810" t="s">
        <v>2586</v>
      </c>
      <c r="F104" s="810" t="s">
        <v>2531</v>
      </c>
      <c r="G104" s="810" t="s">
        <v>2709</v>
      </c>
      <c r="H104" s="810">
        <v>138</v>
      </c>
      <c r="I104" s="810" t="s">
        <v>2533</v>
      </c>
      <c r="J104" s="810">
        <v>0.5</v>
      </c>
      <c r="K104" s="810" t="s">
        <v>2538</v>
      </c>
      <c r="L104" s="810">
        <v>1</v>
      </c>
      <c r="M104" s="810" t="s">
        <v>2698</v>
      </c>
      <c r="N104" s="849">
        <v>1258888</v>
      </c>
      <c r="O104" s="850">
        <f>N104*C9</f>
        <v>1107821.44</v>
      </c>
      <c r="P104" s="813"/>
      <c r="Q104" s="840"/>
      <c r="R104" s="810">
        <f>'2018UpdateData'!M211</f>
        <v>11010020557</v>
      </c>
      <c r="S104" s="810">
        <f>'2018UpdateData'!P211</f>
        <v>138</v>
      </c>
      <c r="T104" s="810">
        <f>'2018UpdateData'!R211</f>
        <v>0.5</v>
      </c>
      <c r="U104" s="810" t="str">
        <f>'2018UpdateData'!S211</f>
        <v>double circuit</v>
      </c>
      <c r="V104" s="810">
        <f>'2018UpdateData'!V211</f>
        <v>2980583</v>
      </c>
      <c r="W104" s="849">
        <f t="shared" si="9"/>
        <v>2622913.04</v>
      </c>
      <c r="X104" s="840"/>
      <c r="Y104" s="849">
        <f t="shared" si="10"/>
        <v>1721695</v>
      </c>
      <c r="Z104" s="853">
        <f t="shared" si="11"/>
        <v>1.3676315923259257</v>
      </c>
    </row>
    <row r="105" spans="1:26">
      <c r="B105" s="810" t="s">
        <v>2710</v>
      </c>
      <c r="C105" s="848">
        <v>40210</v>
      </c>
      <c r="D105" s="810" t="s">
        <v>1191</v>
      </c>
      <c r="E105" s="810" t="s">
        <v>2711</v>
      </c>
      <c r="F105" s="810" t="s">
        <v>2531</v>
      </c>
      <c r="G105" s="810" t="s">
        <v>2712</v>
      </c>
      <c r="H105" s="810">
        <v>138</v>
      </c>
      <c r="I105" s="810" t="s">
        <v>2533</v>
      </c>
      <c r="J105" s="810">
        <v>11.2</v>
      </c>
      <c r="K105" s="810" t="s">
        <v>2534</v>
      </c>
      <c r="L105" s="810">
        <v>1</v>
      </c>
      <c r="M105" s="810" t="s">
        <v>2698</v>
      </c>
      <c r="N105" s="849">
        <v>3191000</v>
      </c>
      <c r="O105" s="850">
        <f>N105*C11</f>
        <v>3191000</v>
      </c>
      <c r="P105" s="813"/>
      <c r="Q105" s="840"/>
      <c r="R105" s="810">
        <f>VLOOKUP(E105,'2018UpdateData'!$L$15:$X$305,2,FALSE)</f>
        <v>854002003</v>
      </c>
      <c r="S105" s="810">
        <f>VLOOKUP(E105,'2018UpdateData'!$L$15:$X$305,5,FALSE)</f>
        <v>138</v>
      </c>
      <c r="T105" s="810">
        <f>VLOOKUP(E105,'2018UpdateData'!$L$15:$X$305,7,FALSE)</f>
        <v>11.2</v>
      </c>
      <c r="U105" s="810" t="str">
        <f>VLOOKUP(E105,'2018UpdateData'!$L$15:$X$305,8,FALSE)</f>
        <v>single circuit</v>
      </c>
      <c r="V105" s="851">
        <f>VLOOKUP(E105,'2018UpdateData'!$L$15:$X$305,11,FALSE)</f>
        <v>3191000</v>
      </c>
      <c r="W105" s="849">
        <f t="shared" si="9"/>
        <v>3191000</v>
      </c>
      <c r="X105" s="840"/>
      <c r="Y105" s="849">
        <f t="shared" si="10"/>
        <v>0</v>
      </c>
      <c r="Z105" s="853">
        <f t="shared" si="11"/>
        <v>0</v>
      </c>
    </row>
    <row r="106" spans="1:26">
      <c r="B106" s="810" t="s">
        <v>2713</v>
      </c>
      <c r="C106" s="848">
        <v>41136</v>
      </c>
      <c r="D106" s="810" t="s">
        <v>1191</v>
      </c>
      <c r="E106" s="810" t="s">
        <v>2714</v>
      </c>
      <c r="F106" s="810" t="s">
        <v>2531</v>
      </c>
      <c r="G106" s="810" t="s">
        <v>2715</v>
      </c>
      <c r="H106" s="810">
        <v>138</v>
      </c>
      <c r="I106" s="810" t="s">
        <v>2533</v>
      </c>
      <c r="J106" s="810">
        <v>0.05</v>
      </c>
      <c r="K106" s="810" t="s">
        <v>2534</v>
      </c>
      <c r="L106" s="810">
        <v>1</v>
      </c>
      <c r="M106" s="810" t="s">
        <v>2698</v>
      </c>
      <c r="N106" s="849">
        <v>143000</v>
      </c>
      <c r="O106" s="850">
        <f>N106*C11</f>
        <v>143000</v>
      </c>
      <c r="P106" s="813"/>
      <c r="Q106" s="840"/>
      <c r="R106" s="810">
        <f>VLOOKUP(E106,'2018UpdateData'!$L$15:$X$305,2,FALSE)</f>
        <v>1052002014</v>
      </c>
      <c r="S106" s="810">
        <f>VLOOKUP(E106,'2018UpdateData'!$L$15:$X$305,5,FALSE)</f>
        <v>138</v>
      </c>
      <c r="T106" s="810">
        <f>VLOOKUP(E106,'2018UpdateData'!$L$15:$X$305,7,FALSE)</f>
        <v>0.05</v>
      </c>
      <c r="U106" s="810" t="str">
        <f>VLOOKUP(E106,'2018UpdateData'!$L$15:$X$305,8,FALSE)</f>
        <v>single circuit</v>
      </c>
      <c r="V106" s="851">
        <f>VLOOKUP(E106,'2018UpdateData'!$L$15:$X$305,11,FALSE)</f>
        <v>143000</v>
      </c>
      <c r="W106" s="849">
        <f t="shared" si="9"/>
        <v>143000</v>
      </c>
      <c r="X106" s="840"/>
      <c r="Y106" s="849">
        <f t="shared" si="10"/>
        <v>0</v>
      </c>
      <c r="Z106" s="853">
        <f t="shared" si="11"/>
        <v>0</v>
      </c>
    </row>
    <row r="107" spans="1:26">
      <c r="B107" s="810" t="s">
        <v>2713</v>
      </c>
      <c r="C107" s="848">
        <v>41136</v>
      </c>
      <c r="D107" s="810" t="s">
        <v>1191</v>
      </c>
      <c r="E107" s="810" t="s">
        <v>2714</v>
      </c>
      <c r="F107" s="810" t="s">
        <v>2531</v>
      </c>
      <c r="G107" s="810" t="s">
        <v>2716</v>
      </c>
      <c r="H107" s="810">
        <v>138</v>
      </c>
      <c r="I107" s="810" t="s">
        <v>2533</v>
      </c>
      <c r="J107" s="810">
        <v>0.05</v>
      </c>
      <c r="K107" s="810" t="s">
        <v>2534</v>
      </c>
      <c r="L107" s="810">
        <v>1</v>
      </c>
      <c r="M107" s="810" t="s">
        <v>2698</v>
      </c>
      <c r="N107" s="849">
        <v>192000</v>
      </c>
      <c r="O107" s="850">
        <f>N107*C11</f>
        <v>192000</v>
      </c>
      <c r="P107" s="813"/>
      <c r="Q107" s="840"/>
      <c r="R107" s="810">
        <f>VLOOKUP(E107,'2018UpdateData'!$L$15:$X$305,2,FALSE)</f>
        <v>1052002014</v>
      </c>
      <c r="S107" s="810">
        <f>VLOOKUP(E107,'2018UpdateData'!$L$15:$X$305,5,FALSE)</f>
        <v>138</v>
      </c>
      <c r="T107" s="810">
        <f>VLOOKUP(E107,'2018UpdateData'!$L$15:$X$305,7,FALSE)</f>
        <v>0.05</v>
      </c>
      <c r="U107" s="810" t="str">
        <f>VLOOKUP(E107,'2018UpdateData'!$L$15:$X$305,8,FALSE)</f>
        <v>single circuit</v>
      </c>
      <c r="V107" s="851">
        <f>VLOOKUP(E107,'2018UpdateData'!$L$15:$X$305,11,FALSE)</f>
        <v>143000</v>
      </c>
      <c r="W107" s="849">
        <f t="shared" si="9"/>
        <v>143000</v>
      </c>
      <c r="X107" s="840"/>
      <c r="Y107" s="849">
        <f t="shared" si="10"/>
        <v>-49000</v>
      </c>
      <c r="Z107" s="853">
        <f t="shared" si="11"/>
        <v>-0.25520833333333331</v>
      </c>
    </row>
    <row r="108" spans="1:26">
      <c r="B108" s="810" t="s">
        <v>2717</v>
      </c>
      <c r="C108" s="848">
        <v>41110</v>
      </c>
      <c r="D108" s="810" t="s">
        <v>1191</v>
      </c>
      <c r="E108" s="810" t="s">
        <v>2718</v>
      </c>
      <c r="F108" s="810" t="s">
        <v>2531</v>
      </c>
      <c r="G108" s="810" t="s">
        <v>2719</v>
      </c>
      <c r="H108" s="810">
        <v>138</v>
      </c>
      <c r="I108" s="810" t="s">
        <v>2533</v>
      </c>
      <c r="J108" s="810">
        <v>0.1</v>
      </c>
      <c r="K108" s="810" t="s">
        <v>2534</v>
      </c>
      <c r="L108" s="810">
        <v>1</v>
      </c>
      <c r="M108" s="810" t="s">
        <v>2698</v>
      </c>
      <c r="N108" s="849">
        <v>280000</v>
      </c>
      <c r="O108" s="850">
        <f>N108*C11</f>
        <v>280000</v>
      </c>
      <c r="P108" s="813"/>
      <c r="Q108" s="840"/>
      <c r="R108" s="810">
        <f>VLOOKUP(E108,'2018UpdateData'!$L$15:$X$305,2,FALSE)</f>
        <v>1205002015</v>
      </c>
      <c r="S108" s="810">
        <f>VLOOKUP(E108,'2018UpdateData'!$L$15:$X$305,5,FALSE)</f>
        <v>138</v>
      </c>
      <c r="T108" s="810">
        <f>VLOOKUP(E108,'2018UpdateData'!$L$15:$X$305,7,FALSE)</f>
        <v>0.1</v>
      </c>
      <c r="U108" s="810" t="str">
        <f>VLOOKUP(E108,'2018UpdateData'!$L$15:$X$305,8,FALSE)</f>
        <v>single circuit</v>
      </c>
      <c r="V108" s="851">
        <f>VLOOKUP(E108,'2018UpdateData'!$L$15:$X$305,11,FALSE)</f>
        <v>280000</v>
      </c>
      <c r="W108" s="849">
        <f t="shared" si="9"/>
        <v>280000</v>
      </c>
      <c r="X108" s="840"/>
      <c r="Y108" s="849">
        <f t="shared" si="10"/>
        <v>0</v>
      </c>
      <c r="Z108" s="853">
        <f t="shared" si="11"/>
        <v>0</v>
      </c>
    </row>
    <row r="109" spans="1:26">
      <c r="B109" s="810" t="s">
        <v>2720</v>
      </c>
      <c r="C109" s="848">
        <v>40438</v>
      </c>
      <c r="D109" s="810" t="s">
        <v>1191</v>
      </c>
      <c r="E109" s="810" t="s">
        <v>2721</v>
      </c>
      <c r="F109" s="886" t="s">
        <v>2531</v>
      </c>
      <c r="G109" s="810" t="s">
        <v>2503</v>
      </c>
      <c r="H109" s="810">
        <v>138</v>
      </c>
      <c r="I109" s="810" t="s">
        <v>2533</v>
      </c>
      <c r="J109" s="810">
        <v>0.1</v>
      </c>
      <c r="K109" s="810" t="s">
        <v>2534</v>
      </c>
      <c r="L109" s="810">
        <v>1</v>
      </c>
      <c r="M109" s="810" t="s">
        <v>2698</v>
      </c>
      <c r="N109" s="815">
        <v>474000</v>
      </c>
      <c r="O109" s="850">
        <f>N109*C11</f>
        <v>474000</v>
      </c>
      <c r="P109" s="813" t="s">
        <v>2827</v>
      </c>
      <c r="Q109" s="840"/>
      <c r="W109" s="849"/>
      <c r="X109" s="840"/>
      <c r="Y109" s="849"/>
      <c r="Z109" s="853"/>
    </row>
    <row r="110" spans="1:26">
      <c r="B110" s="810" t="s">
        <v>2722</v>
      </c>
      <c r="C110" s="848">
        <v>41026</v>
      </c>
      <c r="D110" s="810" t="s">
        <v>1191</v>
      </c>
      <c r="E110" s="810" t="s">
        <v>2723</v>
      </c>
      <c r="F110" s="810" t="s">
        <v>2531</v>
      </c>
      <c r="G110" s="810" t="s">
        <v>2724</v>
      </c>
      <c r="H110" s="810">
        <v>138</v>
      </c>
      <c r="I110" s="810" t="s">
        <v>2533</v>
      </c>
      <c r="J110" s="810">
        <v>0.5</v>
      </c>
      <c r="K110" s="810" t="s">
        <v>2534</v>
      </c>
      <c r="L110" s="810">
        <v>1</v>
      </c>
      <c r="M110" s="810" t="s">
        <v>2698</v>
      </c>
      <c r="N110" s="849">
        <v>1015000</v>
      </c>
      <c r="O110" s="850">
        <f>N110*C11</f>
        <v>1015000</v>
      </c>
      <c r="P110" s="813"/>
      <c r="Q110" s="840"/>
      <c r="R110" s="810">
        <f>VLOOKUP(E110,'2018UpdateData'!$L$15:$X$305,2,FALSE)</f>
        <v>1247002002</v>
      </c>
      <c r="S110" s="810">
        <f>VLOOKUP(E110,'2018UpdateData'!$L$15:$X$305,5,FALSE)</f>
        <v>138</v>
      </c>
      <c r="T110" s="810">
        <f>VLOOKUP(E110,'2018UpdateData'!$L$15:$X$305,7,FALSE)</f>
        <v>0.5</v>
      </c>
      <c r="U110" s="810" t="str">
        <f>VLOOKUP(E110,'2018UpdateData'!$L$15:$X$305,8,FALSE)</f>
        <v>single circuit</v>
      </c>
      <c r="V110" s="851">
        <f>VLOOKUP(E110,'2018UpdateData'!$L$15:$X$305,11,FALSE)</f>
        <v>1015000</v>
      </c>
      <c r="W110" s="849">
        <f>VLOOKUP(U110,$B$9:$C$11,2,FALSE)*V110</f>
        <v>1015000</v>
      </c>
      <c r="X110" s="840"/>
      <c r="Y110" s="849">
        <f>(V110-N110)</f>
        <v>0</v>
      </c>
      <c r="Z110" s="853">
        <f>Y110/N110</f>
        <v>0</v>
      </c>
    </row>
    <row r="111" spans="1:26">
      <c r="B111" s="810" t="s">
        <v>2725</v>
      </c>
      <c r="C111" s="848">
        <v>39626</v>
      </c>
      <c r="D111" s="810" t="s">
        <v>1191</v>
      </c>
      <c r="E111" s="810" t="s">
        <v>2726</v>
      </c>
      <c r="F111" s="810" t="s">
        <v>2531</v>
      </c>
      <c r="G111" s="810" t="s">
        <v>2727</v>
      </c>
      <c r="H111" s="810">
        <v>138</v>
      </c>
      <c r="I111" s="810" t="s">
        <v>2533</v>
      </c>
      <c r="J111" s="810">
        <v>16</v>
      </c>
      <c r="K111" s="810" t="s">
        <v>2538</v>
      </c>
      <c r="L111" s="810">
        <v>1</v>
      </c>
      <c r="M111" s="810" t="s">
        <v>2698</v>
      </c>
      <c r="N111" s="849">
        <v>5430000</v>
      </c>
      <c r="O111" s="850">
        <f>N111*C9</f>
        <v>4778400</v>
      </c>
      <c r="P111" s="813"/>
      <c r="Q111" s="840"/>
      <c r="R111" s="810">
        <f>VLOOKUP(E111,'2018UpdateData'!$L$15:$X$305,2,FALSE)</f>
        <v>584002021</v>
      </c>
      <c r="S111" s="810">
        <f>VLOOKUP(E111,'2018UpdateData'!$L$15:$X$305,5,FALSE)</f>
        <v>138</v>
      </c>
      <c r="T111" s="810">
        <f>VLOOKUP(E111,'2018UpdateData'!$L$15:$X$305,7,FALSE)</f>
        <v>16</v>
      </c>
      <c r="U111" s="810" t="str">
        <f>VLOOKUP(E111,'2018UpdateData'!$L$15:$X$305,8,FALSE)</f>
        <v>double circuit</v>
      </c>
      <c r="V111" s="851">
        <f>VLOOKUP(E111,'2018UpdateData'!$L$15:$X$305,11,FALSE)</f>
        <v>5430000</v>
      </c>
      <c r="W111" s="849">
        <f>VLOOKUP(U111,$B$9:$C$11,2,FALSE)*V111</f>
        <v>4778400</v>
      </c>
      <c r="X111" s="840"/>
      <c r="Y111" s="849">
        <f>(V111-N111)</f>
        <v>0</v>
      </c>
      <c r="Z111" s="853">
        <f>Y111/N111</f>
        <v>0</v>
      </c>
    </row>
    <row r="112" spans="1:26">
      <c r="B112" s="810" t="s">
        <v>2706</v>
      </c>
      <c r="C112" s="848">
        <v>39675</v>
      </c>
      <c r="D112" s="810" t="s">
        <v>1191</v>
      </c>
      <c r="E112" s="810" t="s">
        <v>2728</v>
      </c>
      <c r="F112" s="810" t="s">
        <v>2531</v>
      </c>
      <c r="G112" s="810" t="s">
        <v>2729</v>
      </c>
      <c r="H112" s="810">
        <v>138</v>
      </c>
      <c r="I112" s="810" t="s">
        <v>2533</v>
      </c>
      <c r="J112" s="810">
        <v>0.2</v>
      </c>
      <c r="K112" s="810" t="s">
        <v>2534</v>
      </c>
      <c r="L112" s="810">
        <v>1</v>
      </c>
      <c r="M112" s="810" t="s">
        <v>2698</v>
      </c>
      <c r="N112" s="849">
        <v>387321</v>
      </c>
      <c r="O112" s="850">
        <f>N112*C11</f>
        <v>387321</v>
      </c>
      <c r="P112" s="813"/>
      <c r="Q112" s="840"/>
      <c r="R112" s="810">
        <f>VLOOKUP(E112,'2018UpdateData'!$L$15:$X$305,2,FALSE)</f>
        <v>6190020025</v>
      </c>
      <c r="S112" s="810">
        <f>VLOOKUP(E112,'2018UpdateData'!$L$15:$X$305,5,FALSE)</f>
        <v>138</v>
      </c>
      <c r="T112" s="810">
        <f>VLOOKUP(E112,'2018UpdateData'!$L$15:$X$305,7,FALSE)</f>
        <v>0.2</v>
      </c>
      <c r="U112" s="810" t="str">
        <f>VLOOKUP(E112,'2018UpdateData'!$L$15:$X$305,8,FALSE)</f>
        <v>single circuit</v>
      </c>
      <c r="V112" s="851">
        <f>VLOOKUP(E112,'2018UpdateData'!$L$15:$X$305,11,FALSE)</f>
        <v>387321</v>
      </c>
      <c r="W112" s="849">
        <f>VLOOKUP(U112,$B$9:$C$11,2,FALSE)*V112</f>
        <v>387321</v>
      </c>
      <c r="X112" s="840"/>
      <c r="Y112" s="849">
        <f>(V112-N112)</f>
        <v>0</v>
      </c>
      <c r="Z112" s="853">
        <f>Y112/N112</f>
        <v>0</v>
      </c>
    </row>
    <row r="113" spans="2:26">
      <c r="B113" s="810" t="s">
        <v>2730</v>
      </c>
      <c r="C113" s="848">
        <v>40700</v>
      </c>
      <c r="D113" s="810" t="s">
        <v>1191</v>
      </c>
      <c r="E113" s="810" t="s">
        <v>2731</v>
      </c>
      <c r="F113" s="810" t="s">
        <v>2531</v>
      </c>
      <c r="G113" s="810" t="s">
        <v>2732</v>
      </c>
      <c r="H113" s="810">
        <v>138</v>
      </c>
      <c r="I113" s="810" t="s">
        <v>2533</v>
      </c>
      <c r="J113" s="810">
        <v>0.2</v>
      </c>
      <c r="K113" s="810" t="s">
        <v>2534</v>
      </c>
      <c r="L113" s="810">
        <v>1</v>
      </c>
      <c r="M113" s="810" t="s">
        <v>2733</v>
      </c>
      <c r="N113" s="849">
        <v>300000</v>
      </c>
      <c r="O113" s="850">
        <f>N113*C11</f>
        <v>300000</v>
      </c>
      <c r="P113" s="813"/>
      <c r="Q113" s="840"/>
      <c r="R113" s="810">
        <f>VLOOKUP(E113,'2018UpdateData'!$L$15:$X$305,2,FALSE)</f>
        <v>1068002024</v>
      </c>
      <c r="S113" s="810">
        <f>VLOOKUP(E113,'2018UpdateData'!$L$15:$X$305,5,FALSE)</f>
        <v>138</v>
      </c>
      <c r="T113" s="810">
        <f>VLOOKUP(E113,'2018UpdateData'!$L$15:$X$305,7,FALSE)</f>
        <v>0.2</v>
      </c>
      <c r="U113" s="810" t="str">
        <f>VLOOKUP(E113,'2018UpdateData'!$L$15:$X$305,8,FALSE)</f>
        <v>single circuit</v>
      </c>
      <c r="V113" s="851">
        <f>VLOOKUP(E113,'2018UpdateData'!$L$15:$X$305,11,FALSE)</f>
        <v>300000</v>
      </c>
      <c r="W113" s="849">
        <f>VLOOKUP(U113,$B$9:$C$11,2,FALSE)*V113</f>
        <v>300000</v>
      </c>
      <c r="X113" s="840"/>
      <c r="Y113" s="849">
        <f>(V113-N113)</f>
        <v>0</v>
      </c>
      <c r="Z113" s="853">
        <f>Y113/N113</f>
        <v>0</v>
      </c>
    </row>
    <row r="114" spans="2:26">
      <c r="B114" s="810" t="s">
        <v>2734</v>
      </c>
      <c r="C114" s="848">
        <v>40877</v>
      </c>
      <c r="D114" s="810" t="s">
        <v>1191</v>
      </c>
      <c r="E114" s="810" t="s">
        <v>2735</v>
      </c>
      <c r="F114" s="886" t="s">
        <v>2531</v>
      </c>
      <c r="G114" s="886" t="s">
        <v>2736</v>
      </c>
      <c r="H114" s="810">
        <v>138</v>
      </c>
      <c r="I114" s="810" t="s">
        <v>2533</v>
      </c>
      <c r="J114" s="813">
        <v>7</v>
      </c>
      <c r="K114" s="810" t="s">
        <v>2534</v>
      </c>
      <c r="L114" s="810">
        <v>1</v>
      </c>
      <c r="M114" s="810" t="s">
        <v>2733</v>
      </c>
      <c r="N114" s="815">
        <v>1483000</v>
      </c>
      <c r="O114" s="850">
        <f>N114*C11</f>
        <v>1483000</v>
      </c>
      <c r="P114" s="813" t="s">
        <v>2828</v>
      </c>
      <c r="Q114" s="840"/>
      <c r="W114" s="849"/>
      <c r="X114" s="840"/>
      <c r="Y114" s="849"/>
      <c r="Z114" s="853"/>
    </row>
    <row r="115" spans="2:26">
      <c r="B115" s="810" t="s">
        <v>2737</v>
      </c>
      <c r="C115" s="848">
        <v>40738</v>
      </c>
      <c r="D115" s="810" t="s">
        <v>1191</v>
      </c>
      <c r="E115" s="810" t="s">
        <v>2738</v>
      </c>
      <c r="F115" s="810" t="s">
        <v>2531</v>
      </c>
      <c r="G115" s="810" t="s">
        <v>2739</v>
      </c>
      <c r="H115" s="810">
        <v>138</v>
      </c>
      <c r="I115" s="810" t="s">
        <v>2533</v>
      </c>
      <c r="J115" s="810">
        <v>2</v>
      </c>
      <c r="K115" s="810" t="s">
        <v>2534</v>
      </c>
      <c r="L115" s="810">
        <v>1</v>
      </c>
      <c r="M115" s="810" t="s">
        <v>2733</v>
      </c>
      <c r="N115" s="849">
        <v>1464000</v>
      </c>
      <c r="O115" s="850">
        <f>N115*C11</f>
        <v>1464000</v>
      </c>
      <c r="P115" s="813"/>
      <c r="Q115" s="840"/>
      <c r="R115" s="810">
        <f>VLOOKUP(E115,'2018UpdateData'!$L$15:$X$305,2,FALSE)</f>
        <v>683002023</v>
      </c>
      <c r="S115" s="810">
        <f>VLOOKUP(E115,'2018UpdateData'!$L$15:$X$305,5,FALSE)</f>
        <v>138</v>
      </c>
      <c r="T115" s="810">
        <f>VLOOKUP(E115,'2018UpdateData'!$L$15:$X$305,7,FALSE)</f>
        <v>2</v>
      </c>
      <c r="U115" s="810" t="str">
        <f>VLOOKUP(E115,'2018UpdateData'!$L$15:$X$305,8,FALSE)</f>
        <v>single circuit</v>
      </c>
      <c r="V115" s="851">
        <f>VLOOKUP(E115,'2018UpdateData'!$L$15:$X$305,11,FALSE)</f>
        <v>1464000</v>
      </c>
      <c r="W115" s="849">
        <f>VLOOKUP(U115,$B$9:$C$11,2,FALSE)*V115</f>
        <v>1464000</v>
      </c>
      <c r="X115" s="840"/>
      <c r="Y115" s="849">
        <f>(V115-N115)</f>
        <v>0</v>
      </c>
      <c r="Z115" s="853">
        <f>Y115/N115</f>
        <v>0</v>
      </c>
    </row>
    <row r="116" spans="2:26">
      <c r="B116" s="810" t="s">
        <v>2730</v>
      </c>
      <c r="C116" s="848">
        <v>40700</v>
      </c>
      <c r="D116" s="810" t="s">
        <v>1191</v>
      </c>
      <c r="E116" s="810" t="s">
        <v>2740</v>
      </c>
      <c r="F116" s="810" t="s">
        <v>2531</v>
      </c>
      <c r="G116" s="810" t="s">
        <v>2502</v>
      </c>
      <c r="H116" s="810">
        <v>138</v>
      </c>
      <c r="I116" s="810" t="s">
        <v>2533</v>
      </c>
      <c r="J116" s="886">
        <v>11</v>
      </c>
      <c r="K116" s="810" t="s">
        <v>2534</v>
      </c>
      <c r="L116" s="810">
        <v>1</v>
      </c>
      <c r="M116" s="810" t="s">
        <v>2733</v>
      </c>
      <c r="N116" s="849">
        <v>2920000</v>
      </c>
      <c r="O116" s="850">
        <f>N116*C11</f>
        <v>2920000</v>
      </c>
      <c r="P116" s="813" t="s">
        <v>2829</v>
      </c>
      <c r="Q116" s="840"/>
      <c r="W116" s="849"/>
      <c r="X116" s="840"/>
      <c r="Y116" s="849"/>
      <c r="Z116" s="853"/>
    </row>
    <row r="117" spans="2:26">
      <c r="B117" s="810" t="s">
        <v>2741</v>
      </c>
      <c r="C117" s="848">
        <v>39539</v>
      </c>
      <c r="D117" s="810" t="s">
        <v>1191</v>
      </c>
      <c r="E117" s="810" t="s">
        <v>2742</v>
      </c>
      <c r="F117" s="810" t="s">
        <v>2531</v>
      </c>
      <c r="G117" s="810" t="s">
        <v>2743</v>
      </c>
      <c r="H117" s="810">
        <v>138</v>
      </c>
      <c r="I117" s="810" t="s">
        <v>2533</v>
      </c>
      <c r="J117" s="810">
        <v>6.5</v>
      </c>
      <c r="K117" s="810" t="s">
        <v>2538</v>
      </c>
      <c r="L117" s="810">
        <v>1</v>
      </c>
      <c r="M117" s="810" t="s">
        <v>2733</v>
      </c>
      <c r="N117" s="849">
        <v>952000</v>
      </c>
      <c r="O117" s="850">
        <f>N117*C9</f>
        <v>837760</v>
      </c>
      <c r="P117" s="813"/>
      <c r="Q117" s="840"/>
      <c r="W117" s="849"/>
      <c r="X117" s="840"/>
      <c r="Y117" s="849"/>
      <c r="Z117" s="853"/>
    </row>
    <row r="118" spans="2:26">
      <c r="B118" s="810" t="s">
        <v>2744</v>
      </c>
      <c r="C118" s="848">
        <v>40151</v>
      </c>
      <c r="D118" s="810" t="s">
        <v>1191</v>
      </c>
      <c r="E118" s="810" t="s">
        <v>2745</v>
      </c>
      <c r="F118" s="810" t="s">
        <v>2531</v>
      </c>
      <c r="G118" s="810" t="s">
        <v>2746</v>
      </c>
      <c r="H118" s="810">
        <v>138</v>
      </c>
      <c r="I118" s="810" t="s">
        <v>2533</v>
      </c>
      <c r="J118" s="810">
        <v>17</v>
      </c>
      <c r="K118" s="810" t="s">
        <v>2534</v>
      </c>
      <c r="L118" s="810">
        <v>1</v>
      </c>
      <c r="M118" s="810" t="s">
        <v>2733</v>
      </c>
      <c r="N118" s="849">
        <v>3361269</v>
      </c>
      <c r="O118" s="850">
        <f>N118*C11</f>
        <v>3361269</v>
      </c>
      <c r="P118" s="813"/>
      <c r="Q118" s="840"/>
      <c r="R118" s="810">
        <f>VLOOKUP(E118,'2018UpdateData'!$L$15:$X$305,2,FALSE)</f>
        <v>851002047</v>
      </c>
      <c r="S118" s="810">
        <f>VLOOKUP(E118,'2018UpdateData'!$L$15:$X$305,5,FALSE)</f>
        <v>138</v>
      </c>
      <c r="T118" s="810">
        <f>VLOOKUP(E118,'2018UpdateData'!$L$15:$X$305,7,FALSE)</f>
        <v>17</v>
      </c>
      <c r="U118" s="810" t="str">
        <f>VLOOKUP(E118,'2018UpdateData'!$L$15:$X$305,8,FALSE)</f>
        <v>single circuit</v>
      </c>
      <c r="V118" s="851">
        <f>VLOOKUP(E118,'2018UpdateData'!$L$15:$X$305,11,FALSE)</f>
        <v>8069000</v>
      </c>
      <c r="W118" s="849">
        <f>VLOOKUP(U118,$B$9:$C$11,2,FALSE)*V118</f>
        <v>8069000</v>
      </c>
      <c r="X118" s="840"/>
      <c r="Y118" s="849">
        <f>(V118-N118)</f>
        <v>4707731</v>
      </c>
      <c r="Z118" s="853">
        <f>Y118/N118</f>
        <v>1.4005814470665692</v>
      </c>
    </row>
    <row r="119" spans="2:26">
      <c r="B119" s="810" t="s">
        <v>2747</v>
      </c>
      <c r="C119" s="848">
        <v>39387</v>
      </c>
      <c r="D119" s="810" t="s">
        <v>1191</v>
      </c>
      <c r="E119" s="810" t="s">
        <v>2748</v>
      </c>
      <c r="F119" s="810" t="s">
        <v>2531</v>
      </c>
      <c r="G119" s="810" t="s">
        <v>2501</v>
      </c>
      <c r="H119" s="810">
        <v>138</v>
      </c>
      <c r="I119" s="810" t="s">
        <v>2533</v>
      </c>
      <c r="J119" s="810">
        <v>0.4</v>
      </c>
      <c r="K119" s="810" t="s">
        <v>2534</v>
      </c>
      <c r="L119" s="810">
        <v>1</v>
      </c>
      <c r="M119" s="810">
        <v>266</v>
      </c>
      <c r="N119" s="849">
        <v>575000</v>
      </c>
      <c r="O119" s="850">
        <f>N119*C11</f>
        <v>575000</v>
      </c>
      <c r="P119" s="813"/>
      <c r="Q119" s="840"/>
      <c r="R119" s="810">
        <f>VLOOKUP(E119,'2018UpdateData'!$L$15:$X$305,2,FALSE)</f>
        <v>725002014</v>
      </c>
      <c r="S119" s="810">
        <f>VLOOKUP(E119,'2018UpdateData'!$L$15:$X$305,5,FALSE)</f>
        <v>138</v>
      </c>
      <c r="T119" s="810">
        <f>VLOOKUP(E119,'2018UpdateData'!$L$15:$X$305,7,FALSE)</f>
        <v>0.4</v>
      </c>
      <c r="U119" s="810" t="str">
        <f>VLOOKUP(E119,'2018UpdateData'!$L$15:$X$305,8,FALSE)</f>
        <v>single circuit</v>
      </c>
      <c r="V119" s="851">
        <f>VLOOKUP(E119,'2018UpdateData'!$L$15:$X$305,11,FALSE)</f>
        <v>575000</v>
      </c>
      <c r="W119" s="849">
        <f>VLOOKUP(U119,$B$9:$C$11,2,FALSE)*V119</f>
        <v>575000</v>
      </c>
      <c r="X119" s="840"/>
      <c r="Y119" s="849">
        <f>(V119-N119)</f>
        <v>0</v>
      </c>
      <c r="Z119" s="853">
        <f>Y119/N119</f>
        <v>0</v>
      </c>
    </row>
    <row r="120" spans="2:26">
      <c r="B120" s="810" t="s">
        <v>2749</v>
      </c>
      <c r="C120" s="848">
        <v>39612</v>
      </c>
      <c r="D120" s="810" t="s">
        <v>1191</v>
      </c>
      <c r="E120" s="810" t="s">
        <v>2750</v>
      </c>
      <c r="F120" s="810" t="s">
        <v>2531</v>
      </c>
      <c r="G120" s="810" t="s">
        <v>2751</v>
      </c>
      <c r="H120" s="810">
        <v>144</v>
      </c>
      <c r="J120" s="810">
        <v>105</v>
      </c>
      <c r="K120" s="810" t="s">
        <v>2534</v>
      </c>
      <c r="L120" s="810">
        <v>1</v>
      </c>
      <c r="M120" s="810" t="s">
        <v>2733</v>
      </c>
      <c r="N120" s="849">
        <v>36248000</v>
      </c>
      <c r="O120" s="850">
        <f>N120*C11</f>
        <v>36248000</v>
      </c>
      <c r="P120" s="813"/>
      <c r="Q120" s="840"/>
      <c r="R120" s="810">
        <f>VLOOKUP(E120,'2018UpdateData'!$L$15:$X$305,2,FALSE)</f>
        <v>600002067</v>
      </c>
      <c r="S120" s="810">
        <f>VLOOKUP(E120,'2018UpdateData'!$L$15:$X$305,5,FALSE)</f>
        <v>144</v>
      </c>
      <c r="T120" s="810">
        <f>VLOOKUP(E120,'2018UpdateData'!$L$15:$X$305,7,FALSE)</f>
        <v>105</v>
      </c>
      <c r="U120" s="810" t="str">
        <f>VLOOKUP(E120,'2018UpdateData'!$L$15:$X$305,8,FALSE)</f>
        <v>single circuit</v>
      </c>
      <c r="V120" s="851">
        <f>VLOOKUP(E120,'2018UpdateData'!$L$15:$X$305,11,FALSE)</f>
        <v>36248000</v>
      </c>
      <c r="W120" s="849">
        <f>VLOOKUP(U120,$B$9:$C$11,2,FALSE)*V120</f>
        <v>36248000</v>
      </c>
      <c r="X120" s="840"/>
      <c r="Y120" s="849">
        <f>(V120-N120)</f>
        <v>0</v>
      </c>
      <c r="Z120" s="853">
        <f>Y120/N120</f>
        <v>0</v>
      </c>
    </row>
    <row r="121" spans="2:26">
      <c r="B121" s="810" t="s">
        <v>2752</v>
      </c>
      <c r="C121" s="848">
        <v>40268</v>
      </c>
      <c r="D121" s="810" t="s">
        <v>1191</v>
      </c>
      <c r="E121" s="810" t="s">
        <v>2753</v>
      </c>
      <c r="F121" s="810" t="s">
        <v>2531</v>
      </c>
      <c r="G121" s="886" t="s">
        <v>2754</v>
      </c>
      <c r="H121" s="810">
        <v>144</v>
      </c>
      <c r="I121" s="810" t="s">
        <v>2533</v>
      </c>
      <c r="J121" s="810">
        <v>8</v>
      </c>
      <c r="K121" s="813" t="s">
        <v>2681</v>
      </c>
      <c r="L121" s="810">
        <v>1</v>
      </c>
      <c r="M121" s="810" t="s">
        <v>2733</v>
      </c>
      <c r="N121" s="849">
        <v>2068688</v>
      </c>
      <c r="O121" s="850">
        <f>N121*C11</f>
        <v>2068688</v>
      </c>
      <c r="P121" s="813" t="s">
        <v>2830</v>
      </c>
      <c r="Q121" s="840"/>
      <c r="W121" s="849"/>
      <c r="X121" s="840"/>
      <c r="Y121" s="849"/>
      <c r="Z121" s="853"/>
    </row>
    <row r="122" spans="2:26">
      <c r="B122" s="810" t="s">
        <v>2755</v>
      </c>
      <c r="C122" s="848">
        <v>39514</v>
      </c>
      <c r="D122" s="810" t="s">
        <v>1191</v>
      </c>
      <c r="E122" s="810" t="s">
        <v>2756</v>
      </c>
      <c r="F122" s="810" t="s">
        <v>2531</v>
      </c>
      <c r="G122" s="810" t="s">
        <v>2757</v>
      </c>
      <c r="H122" s="810">
        <v>144</v>
      </c>
      <c r="I122" s="810" t="s">
        <v>2533</v>
      </c>
      <c r="J122" s="810">
        <v>29</v>
      </c>
      <c r="K122" s="810" t="s">
        <v>2534</v>
      </c>
      <c r="L122" s="810">
        <v>1</v>
      </c>
      <c r="M122" s="810" t="s">
        <v>2733</v>
      </c>
      <c r="N122" s="849">
        <v>7499000</v>
      </c>
      <c r="O122" s="850">
        <f>N122*C11</f>
        <v>7499000</v>
      </c>
      <c r="P122" s="813"/>
      <c r="Q122" s="840"/>
      <c r="R122" s="810">
        <f>VLOOKUP(E122,'2018UpdateData'!$L$15:$X$305,2,FALSE)</f>
        <v>595002002</v>
      </c>
      <c r="S122" s="810">
        <f>VLOOKUP(E122,'2018UpdateData'!$L$15:$X$305,5,FALSE)</f>
        <v>144</v>
      </c>
      <c r="T122" s="810">
        <f>VLOOKUP(E122,'2018UpdateData'!$L$15:$X$305,7,FALSE)</f>
        <v>29</v>
      </c>
      <c r="U122" s="810" t="str">
        <f>VLOOKUP(E122,'2018UpdateData'!$L$15:$X$305,8,FALSE)</f>
        <v>single circuit</v>
      </c>
      <c r="V122" s="851">
        <f>VLOOKUP(E122,'2018UpdateData'!$L$15:$X$305,11,FALSE)</f>
        <v>7499000</v>
      </c>
      <c r="W122" s="849">
        <f t="shared" ref="W122:W132" si="12">VLOOKUP(U122,$B$9:$C$11,2,FALSE)*V122</f>
        <v>7499000</v>
      </c>
      <c r="X122" s="840"/>
      <c r="Y122" s="849">
        <f t="shared" ref="Y122:Y132" si="13">(V122-N122)</f>
        <v>0</v>
      </c>
      <c r="Z122" s="853">
        <f t="shared" ref="Z122:Z132" si="14">Y122/N122</f>
        <v>0</v>
      </c>
    </row>
    <row r="123" spans="2:26">
      <c r="B123" s="810" t="s">
        <v>2758</v>
      </c>
      <c r="C123" s="848">
        <v>40268</v>
      </c>
      <c r="D123" s="810" t="s">
        <v>1191</v>
      </c>
      <c r="E123" s="810" t="s">
        <v>2759</v>
      </c>
      <c r="F123" s="810" t="s">
        <v>2531</v>
      </c>
      <c r="G123" s="810" t="s">
        <v>2760</v>
      </c>
      <c r="H123" s="810">
        <v>144</v>
      </c>
      <c r="I123" s="810" t="s">
        <v>2533</v>
      </c>
      <c r="J123" s="810">
        <v>9.1999999999999993</v>
      </c>
      <c r="K123" s="810" t="s">
        <v>2534</v>
      </c>
      <c r="L123" s="810">
        <v>1</v>
      </c>
      <c r="M123" s="810" t="s">
        <v>2733</v>
      </c>
      <c r="N123" s="849">
        <v>1864185</v>
      </c>
      <c r="O123" s="850">
        <f>N123*C11</f>
        <v>1864185</v>
      </c>
      <c r="P123" s="813"/>
      <c r="Q123" s="840"/>
      <c r="R123" s="810">
        <f>VLOOKUP(E123,'2018UpdateData'!$L$15:$X$305,2,FALSE)</f>
        <v>863002010</v>
      </c>
      <c r="S123" s="810">
        <f>VLOOKUP(E123,'2018UpdateData'!$L$15:$X$305,5,FALSE)</f>
        <v>144</v>
      </c>
      <c r="T123" s="810">
        <f>VLOOKUP(E123,'2018UpdateData'!$L$15:$X$305,7,FALSE)</f>
        <v>9.1999999999999993</v>
      </c>
      <c r="U123" s="810" t="str">
        <f>VLOOKUP(E123,'2018UpdateData'!$L$15:$X$305,8,FALSE)</f>
        <v>single circuit</v>
      </c>
      <c r="V123" s="851">
        <f>VLOOKUP(E123,'2018UpdateData'!$L$15:$X$305,11,FALSE)</f>
        <v>1864185</v>
      </c>
      <c r="W123" s="849">
        <f t="shared" si="12"/>
        <v>1864185</v>
      </c>
      <c r="X123" s="840"/>
      <c r="Y123" s="849">
        <f t="shared" si="13"/>
        <v>0</v>
      </c>
      <c r="Z123" s="853">
        <f t="shared" si="14"/>
        <v>0</v>
      </c>
    </row>
    <row r="124" spans="2:26">
      <c r="B124" s="810" t="s">
        <v>2761</v>
      </c>
      <c r="C124" s="848">
        <v>39766</v>
      </c>
      <c r="D124" s="810" t="s">
        <v>1191</v>
      </c>
      <c r="E124" s="810" t="s">
        <v>2762</v>
      </c>
      <c r="F124" s="810" t="s">
        <v>2531</v>
      </c>
      <c r="G124" s="810" t="s">
        <v>2763</v>
      </c>
      <c r="H124" s="810">
        <v>144</v>
      </c>
      <c r="I124" s="810" t="s">
        <v>2533</v>
      </c>
      <c r="J124" s="810">
        <v>0.76500000000000001</v>
      </c>
      <c r="K124" s="810" t="s">
        <v>2538</v>
      </c>
      <c r="L124" s="810">
        <v>1</v>
      </c>
      <c r="M124" s="810" t="s">
        <v>2733</v>
      </c>
      <c r="N124" s="849">
        <v>699688</v>
      </c>
      <c r="O124" s="850">
        <f>N124*C9</f>
        <v>615725.44000000006</v>
      </c>
      <c r="P124" s="813"/>
      <c r="Q124" s="840"/>
      <c r="R124" s="810">
        <f>VLOOKUP(E124,'2018UpdateData'!$L$15:$X$305,2,FALSE)</f>
        <v>709002013</v>
      </c>
      <c r="S124" s="810">
        <f>VLOOKUP(E124,'2018UpdateData'!$L$15:$X$305,5,FALSE)</f>
        <v>144</v>
      </c>
      <c r="T124" s="810">
        <f>VLOOKUP(E124,'2018UpdateData'!$L$15:$X$305,7,FALSE)</f>
        <v>0.76500000000000001</v>
      </c>
      <c r="U124" s="810" t="str">
        <f>VLOOKUP(E124,'2018UpdateData'!$L$15:$X$305,8,FALSE)</f>
        <v>double circuit</v>
      </c>
      <c r="V124" s="851">
        <f>VLOOKUP(E124,'2018UpdateData'!$L$15:$X$305,11,FALSE)</f>
        <v>699688</v>
      </c>
      <c r="W124" s="849">
        <f t="shared" si="12"/>
        <v>615725.44000000006</v>
      </c>
      <c r="X124" s="840"/>
      <c r="Y124" s="849">
        <f t="shared" si="13"/>
        <v>0</v>
      </c>
      <c r="Z124" s="853">
        <f t="shared" si="14"/>
        <v>0</v>
      </c>
    </row>
    <row r="125" spans="2:26">
      <c r="B125" s="810" t="s">
        <v>2764</v>
      </c>
      <c r="C125" s="848">
        <v>40268</v>
      </c>
      <c r="D125" s="810" t="s">
        <v>1191</v>
      </c>
      <c r="E125" s="810" t="s">
        <v>2765</v>
      </c>
      <c r="F125" s="810" t="s">
        <v>2531</v>
      </c>
      <c r="G125" s="810" t="s">
        <v>2766</v>
      </c>
      <c r="H125" s="810">
        <v>144</v>
      </c>
      <c r="I125" s="810" t="s">
        <v>2533</v>
      </c>
      <c r="J125" s="810">
        <v>5</v>
      </c>
      <c r="K125" s="810" t="s">
        <v>2534</v>
      </c>
      <c r="L125" s="810">
        <v>1</v>
      </c>
      <c r="M125" s="810">
        <v>266</v>
      </c>
      <c r="N125" s="849">
        <v>1425473</v>
      </c>
      <c r="O125" s="850">
        <f>N125*C11</f>
        <v>1425473</v>
      </c>
      <c r="P125" s="813"/>
      <c r="Q125" s="840"/>
      <c r="R125" s="810">
        <f>VLOOKUP(E125,'2018UpdateData'!$L$15:$X$305,2,FALSE)</f>
        <v>865002010</v>
      </c>
      <c r="S125" s="810">
        <f>VLOOKUP(E125,'2018UpdateData'!$L$15:$X$305,5,FALSE)</f>
        <v>144</v>
      </c>
      <c r="T125" s="810">
        <f>VLOOKUP(E125,'2018UpdateData'!$L$15:$X$305,7,FALSE)</f>
        <v>5</v>
      </c>
      <c r="U125" s="810" t="str">
        <f>VLOOKUP(E125,'2018UpdateData'!$L$15:$X$305,8,FALSE)</f>
        <v>single circuit</v>
      </c>
      <c r="V125" s="851">
        <f>VLOOKUP(E125,'2018UpdateData'!$L$15:$X$305,11,FALSE)</f>
        <v>1425473</v>
      </c>
      <c r="W125" s="849">
        <f t="shared" si="12"/>
        <v>1425473</v>
      </c>
      <c r="X125" s="840"/>
      <c r="Y125" s="849">
        <f t="shared" si="13"/>
        <v>0</v>
      </c>
      <c r="Z125" s="853">
        <f t="shared" si="14"/>
        <v>0</v>
      </c>
    </row>
    <row r="126" spans="2:26">
      <c r="B126" s="810" t="s">
        <v>2767</v>
      </c>
      <c r="C126" s="848">
        <v>40891</v>
      </c>
      <c r="D126" s="810" t="s">
        <v>1191</v>
      </c>
      <c r="E126" s="810" t="s">
        <v>2768</v>
      </c>
      <c r="F126" s="810" t="s">
        <v>2531</v>
      </c>
      <c r="G126" s="810" t="s">
        <v>2769</v>
      </c>
      <c r="H126" s="810">
        <v>144</v>
      </c>
      <c r="I126" s="810" t="s">
        <v>2533</v>
      </c>
      <c r="J126" s="810">
        <v>13</v>
      </c>
      <c r="K126" s="810" t="s">
        <v>2534</v>
      </c>
      <c r="L126" s="810">
        <v>1</v>
      </c>
      <c r="M126" s="810" t="s">
        <v>2698</v>
      </c>
      <c r="N126" s="849">
        <v>11826616</v>
      </c>
      <c r="O126" s="850">
        <f>N126*C11</f>
        <v>11826616</v>
      </c>
      <c r="P126" s="813"/>
      <c r="Q126" s="840"/>
      <c r="R126" s="810">
        <f>VLOOKUP(E126,'2018UpdateData'!$L$15:$X$305,2,FALSE)</f>
        <v>817002026</v>
      </c>
      <c r="S126" s="810">
        <f>VLOOKUP(E126,'2018UpdateData'!$L$15:$X$305,5,FALSE)</f>
        <v>144</v>
      </c>
      <c r="T126" s="810">
        <f>VLOOKUP(E126,'2018UpdateData'!$L$15:$X$305,7,FALSE)</f>
        <v>13</v>
      </c>
      <c r="U126" s="810" t="str">
        <f>VLOOKUP(E126,'2018UpdateData'!$L$15:$X$305,8,FALSE)</f>
        <v>single circuit</v>
      </c>
      <c r="V126" s="851">
        <f>VLOOKUP(E126,'2018UpdateData'!$L$15:$X$305,11,FALSE)</f>
        <v>11826616</v>
      </c>
      <c r="W126" s="849">
        <f t="shared" si="12"/>
        <v>11826616</v>
      </c>
      <c r="X126" s="840"/>
      <c r="Y126" s="849">
        <f t="shared" si="13"/>
        <v>0</v>
      </c>
      <c r="Z126" s="853">
        <f t="shared" si="14"/>
        <v>0</v>
      </c>
    </row>
    <row r="127" spans="2:26">
      <c r="B127" s="810" t="s">
        <v>2770</v>
      </c>
      <c r="C127" s="848">
        <v>40022</v>
      </c>
      <c r="D127" s="810" t="s">
        <v>1191</v>
      </c>
      <c r="E127" s="810" t="s">
        <v>2771</v>
      </c>
      <c r="F127" s="810" t="s">
        <v>2531</v>
      </c>
      <c r="G127" s="810" t="s">
        <v>2772</v>
      </c>
      <c r="H127" s="810">
        <v>144</v>
      </c>
      <c r="I127" s="810" t="s">
        <v>2533</v>
      </c>
      <c r="J127" s="810">
        <v>106</v>
      </c>
      <c r="K127" s="810" t="s">
        <v>2534</v>
      </c>
      <c r="L127" s="810">
        <v>1</v>
      </c>
      <c r="M127" s="810" t="s">
        <v>2698</v>
      </c>
      <c r="N127" s="849">
        <v>55596000</v>
      </c>
      <c r="O127" s="850">
        <f>N127*C11</f>
        <v>55596000</v>
      </c>
      <c r="P127" s="813"/>
      <c r="Q127" s="840"/>
      <c r="R127" s="810">
        <f>VLOOKUP(E127,'2018UpdateData'!$L$15:$X$305,2,FALSE)</f>
        <v>602002113</v>
      </c>
      <c r="S127" s="810">
        <f>VLOOKUP(E127,'2018UpdateData'!$L$15:$X$305,5,FALSE)</f>
        <v>144</v>
      </c>
      <c r="T127" s="810">
        <f>VLOOKUP(E127,'2018UpdateData'!$L$15:$X$305,7,FALSE)</f>
        <v>106</v>
      </c>
      <c r="U127" s="810" t="str">
        <f>VLOOKUP(E127,'2018UpdateData'!$L$15:$X$305,8,FALSE)</f>
        <v>single circuit</v>
      </c>
      <c r="V127" s="851">
        <f>VLOOKUP(E127,'2018UpdateData'!$L$15:$X$305,11,FALSE)</f>
        <v>55596000</v>
      </c>
      <c r="W127" s="849">
        <f t="shared" si="12"/>
        <v>55596000</v>
      </c>
      <c r="X127" s="840"/>
      <c r="Y127" s="849">
        <f t="shared" si="13"/>
        <v>0</v>
      </c>
      <c r="Z127" s="853">
        <f t="shared" si="14"/>
        <v>0</v>
      </c>
    </row>
    <row r="128" spans="2:26">
      <c r="B128" s="810" t="s">
        <v>2770</v>
      </c>
      <c r="C128" s="848">
        <v>40022</v>
      </c>
      <c r="D128" s="810" t="s">
        <v>1191</v>
      </c>
      <c r="E128" s="810" t="s">
        <v>2773</v>
      </c>
      <c r="F128" s="810" t="s">
        <v>2531</v>
      </c>
      <c r="G128" s="810" t="s">
        <v>2774</v>
      </c>
      <c r="H128" s="810">
        <v>144</v>
      </c>
      <c r="I128" s="810" t="s">
        <v>2533</v>
      </c>
      <c r="J128" s="810">
        <v>7.5</v>
      </c>
      <c r="K128" s="810" t="s">
        <v>2534</v>
      </c>
      <c r="L128" s="810">
        <v>1</v>
      </c>
      <c r="M128" s="810" t="s">
        <v>2698</v>
      </c>
      <c r="N128" s="849">
        <v>2167000</v>
      </c>
      <c r="O128" s="850">
        <f>N128*C11</f>
        <v>2167000</v>
      </c>
      <c r="P128" s="813"/>
      <c r="Q128" s="840"/>
      <c r="R128" s="810">
        <f>VLOOKUP(E128,'2018UpdateData'!$L$15:$X$305,2,FALSE)</f>
        <v>602002121</v>
      </c>
      <c r="S128" s="810">
        <f>VLOOKUP(E128,'2018UpdateData'!$L$15:$X$305,5,FALSE)</f>
        <v>144</v>
      </c>
      <c r="T128" s="810">
        <f>VLOOKUP(E128,'2018UpdateData'!$L$15:$X$305,7,FALSE)</f>
        <v>7.5</v>
      </c>
      <c r="U128" s="810" t="str">
        <f>VLOOKUP(E128,'2018UpdateData'!$L$15:$X$305,8,FALSE)</f>
        <v>single circuit</v>
      </c>
      <c r="V128" s="851">
        <f>VLOOKUP(E128,'2018UpdateData'!$L$15:$X$305,11,FALSE)</f>
        <v>1248000</v>
      </c>
      <c r="W128" s="849">
        <f t="shared" si="12"/>
        <v>1248000</v>
      </c>
      <c r="X128" s="840"/>
      <c r="Y128" s="849">
        <f t="shared" si="13"/>
        <v>-919000</v>
      </c>
      <c r="Z128" s="853">
        <f t="shared" si="14"/>
        <v>-0.42408860175357638</v>
      </c>
    </row>
    <row r="129" spans="1:26">
      <c r="B129" s="810" t="s">
        <v>2767</v>
      </c>
      <c r="C129" s="848">
        <v>40891</v>
      </c>
      <c r="D129" s="810" t="s">
        <v>1191</v>
      </c>
      <c r="E129" s="810" t="s">
        <v>2775</v>
      </c>
      <c r="F129" s="810" t="s">
        <v>2531</v>
      </c>
      <c r="G129" s="810" t="s">
        <v>2776</v>
      </c>
      <c r="H129" s="810">
        <v>144</v>
      </c>
      <c r="I129" s="810" t="s">
        <v>2533</v>
      </c>
      <c r="J129" s="810">
        <v>46</v>
      </c>
      <c r="K129" s="810" t="s">
        <v>2534</v>
      </c>
      <c r="L129" s="810">
        <v>1</v>
      </c>
      <c r="M129" s="810" t="s">
        <v>2698</v>
      </c>
      <c r="N129" s="849">
        <v>10395427</v>
      </c>
      <c r="O129" s="850">
        <f>N129*C11</f>
        <v>10395427</v>
      </c>
      <c r="P129" s="813"/>
      <c r="Q129" s="840"/>
      <c r="R129" s="810">
        <f>VLOOKUP(E129,'2018UpdateData'!$L$15:$X$305,2,FALSE)</f>
        <v>817002023</v>
      </c>
      <c r="S129" s="810">
        <f>VLOOKUP(E129,'2018UpdateData'!$L$15:$X$305,5,FALSE)</f>
        <v>144</v>
      </c>
      <c r="T129" s="810">
        <f>VLOOKUP(E129,'2018UpdateData'!$L$15:$X$305,7,FALSE)</f>
        <v>46</v>
      </c>
      <c r="U129" s="810" t="str">
        <f>VLOOKUP(E129,'2018UpdateData'!$L$15:$X$305,8,FALSE)</f>
        <v>single circuit</v>
      </c>
      <c r="V129" s="851">
        <f>VLOOKUP(E129,'2018UpdateData'!$L$15:$X$305,11,FALSE)</f>
        <v>10395427</v>
      </c>
      <c r="W129" s="849">
        <f t="shared" si="12"/>
        <v>10395427</v>
      </c>
      <c r="X129" s="840"/>
      <c r="Y129" s="849">
        <f t="shared" si="13"/>
        <v>0</v>
      </c>
      <c r="Z129" s="853">
        <f t="shared" si="14"/>
        <v>0</v>
      </c>
    </row>
    <row r="130" spans="1:26">
      <c r="B130" s="810" t="s">
        <v>2777</v>
      </c>
      <c r="C130" s="848">
        <v>39577</v>
      </c>
      <c r="D130" s="810" t="s">
        <v>1191</v>
      </c>
      <c r="E130" s="810" t="s">
        <v>2778</v>
      </c>
      <c r="F130" s="810" t="s">
        <v>2531</v>
      </c>
      <c r="G130" s="810" t="s">
        <v>2779</v>
      </c>
      <c r="H130" s="810">
        <v>144</v>
      </c>
      <c r="I130" s="810" t="s">
        <v>2533</v>
      </c>
      <c r="J130" s="810">
        <v>26</v>
      </c>
      <c r="K130" s="810" t="s">
        <v>2534</v>
      </c>
      <c r="L130" s="810">
        <v>1</v>
      </c>
      <c r="M130" s="810" t="s">
        <v>2698</v>
      </c>
      <c r="N130" s="849">
        <v>5372000</v>
      </c>
      <c r="O130" s="850">
        <f>N130*C11</f>
        <v>5372000</v>
      </c>
      <c r="P130" s="813"/>
      <c r="Q130" s="840"/>
      <c r="R130" s="810">
        <f>VLOOKUP(E130,'2018UpdateData'!$L$15:$X$305,2,FALSE)</f>
        <v>526002005</v>
      </c>
      <c r="S130" s="810">
        <f>VLOOKUP(E130,'2018UpdateData'!$L$15:$X$305,5,FALSE)</f>
        <v>144</v>
      </c>
      <c r="T130" s="810">
        <f>VLOOKUP(E130,'2018UpdateData'!$L$15:$X$305,7,FALSE)</f>
        <v>26</v>
      </c>
      <c r="U130" s="810" t="str">
        <f>VLOOKUP(E130,'2018UpdateData'!$L$15:$X$305,8,FALSE)</f>
        <v>single circuit</v>
      </c>
      <c r="V130" s="851">
        <f>VLOOKUP(E130,'2018UpdateData'!$L$15:$X$305,11,FALSE)</f>
        <v>5372000</v>
      </c>
      <c r="W130" s="849">
        <f t="shared" si="12"/>
        <v>5372000</v>
      </c>
      <c r="X130" s="840"/>
      <c r="Y130" s="849">
        <f t="shared" si="13"/>
        <v>0</v>
      </c>
      <c r="Z130" s="853">
        <f t="shared" si="14"/>
        <v>0</v>
      </c>
    </row>
    <row r="131" spans="1:26">
      <c r="B131" s="810" t="s">
        <v>2780</v>
      </c>
      <c r="C131" s="848">
        <v>39925</v>
      </c>
      <c r="D131" s="810" t="s">
        <v>1191</v>
      </c>
      <c r="E131" s="810" t="s">
        <v>2781</v>
      </c>
      <c r="F131" s="810" t="s">
        <v>2531</v>
      </c>
      <c r="G131" s="810" t="s">
        <v>2782</v>
      </c>
      <c r="H131" s="810">
        <v>144</v>
      </c>
      <c r="I131" s="810" t="s">
        <v>2533</v>
      </c>
      <c r="J131" s="810">
        <v>4</v>
      </c>
      <c r="K131" s="810" t="s">
        <v>2534</v>
      </c>
      <c r="L131" s="810">
        <v>1</v>
      </c>
      <c r="M131" s="810" t="s">
        <v>2698</v>
      </c>
      <c r="N131" s="849">
        <v>917000</v>
      </c>
      <c r="O131" s="850">
        <f>N131*C11</f>
        <v>917000</v>
      </c>
      <c r="P131" s="813"/>
      <c r="Q131" s="840"/>
      <c r="R131" s="810">
        <f>VLOOKUP(E131,'2018UpdateData'!$L$15:$X$305,2,FALSE)</f>
        <v>518002005</v>
      </c>
      <c r="S131" s="810">
        <f>VLOOKUP(E131,'2018UpdateData'!$L$15:$X$305,5,FALSE)</f>
        <v>144</v>
      </c>
      <c r="T131" s="810">
        <f>VLOOKUP(E131,'2018UpdateData'!$L$15:$X$305,7,FALSE)</f>
        <v>4</v>
      </c>
      <c r="U131" s="810" t="str">
        <f>VLOOKUP(E131,'2018UpdateData'!$L$15:$X$305,8,FALSE)</f>
        <v>single circuit</v>
      </c>
      <c r="V131" s="851">
        <f>VLOOKUP(E131,'2018UpdateData'!$L$15:$X$305,11,FALSE)</f>
        <v>917000</v>
      </c>
      <c r="W131" s="849">
        <f t="shared" si="12"/>
        <v>917000</v>
      </c>
      <c r="X131" s="840"/>
      <c r="Y131" s="849">
        <f t="shared" si="13"/>
        <v>0</v>
      </c>
      <c r="Z131" s="853">
        <f t="shared" si="14"/>
        <v>0</v>
      </c>
    </row>
    <row r="132" spans="1:26">
      <c r="B132" s="810" t="s">
        <v>2783</v>
      </c>
      <c r="C132" s="848">
        <v>40480</v>
      </c>
      <c r="D132" s="810" t="s">
        <v>1191</v>
      </c>
      <c r="E132" s="810" t="s">
        <v>2784</v>
      </c>
      <c r="F132" s="810" t="s">
        <v>2531</v>
      </c>
      <c r="G132" s="810" t="s">
        <v>2785</v>
      </c>
      <c r="H132" s="810">
        <v>144</v>
      </c>
      <c r="I132" s="810" t="s">
        <v>2533</v>
      </c>
      <c r="J132" s="810">
        <v>32</v>
      </c>
      <c r="K132" s="810" t="s">
        <v>2534</v>
      </c>
      <c r="L132" s="810">
        <v>1</v>
      </c>
      <c r="M132" s="810" t="s">
        <v>2698</v>
      </c>
      <c r="N132" s="849">
        <v>8605000</v>
      </c>
      <c r="O132" s="850">
        <f>N132*C11</f>
        <v>8605000</v>
      </c>
      <c r="P132" s="813"/>
      <c r="Q132" s="840"/>
      <c r="R132" s="810">
        <f>VLOOKUP(E132,'2018UpdateData'!$L$15:$X$305,2,FALSE)</f>
        <v>817002057</v>
      </c>
      <c r="S132" s="810">
        <f>VLOOKUP(E132,'2018UpdateData'!$L$15:$X$305,5,FALSE)</f>
        <v>144</v>
      </c>
      <c r="T132" s="810">
        <f>VLOOKUP(E132,'2018UpdateData'!$L$15:$X$305,7,FALSE)</f>
        <v>32</v>
      </c>
      <c r="U132" s="810" t="str">
        <f>VLOOKUP(E132,'2018UpdateData'!$L$15:$X$305,8,FALSE)</f>
        <v>single circuit</v>
      </c>
      <c r="V132" s="851">
        <f>VLOOKUP(E132,'2018UpdateData'!$L$15:$X$305,11,FALSE)</f>
        <v>8605000</v>
      </c>
      <c r="W132" s="849">
        <f t="shared" si="12"/>
        <v>8605000</v>
      </c>
      <c r="X132" s="840"/>
      <c r="Y132" s="849">
        <f t="shared" si="13"/>
        <v>0</v>
      </c>
      <c r="Z132" s="853">
        <f t="shared" si="14"/>
        <v>0</v>
      </c>
    </row>
    <row r="133" spans="1:26">
      <c r="B133" s="810" t="s">
        <v>2786</v>
      </c>
      <c r="C133" s="848">
        <v>40877</v>
      </c>
      <c r="D133" s="810" t="s">
        <v>1191</v>
      </c>
      <c r="E133" s="810" t="s">
        <v>2787</v>
      </c>
      <c r="F133" s="810" t="s">
        <v>2531</v>
      </c>
      <c r="G133" s="810" t="s">
        <v>2788</v>
      </c>
      <c r="H133" s="810">
        <v>144</v>
      </c>
      <c r="I133" s="810" t="s">
        <v>2533</v>
      </c>
      <c r="J133" s="810">
        <v>17</v>
      </c>
      <c r="K133" s="810" t="s">
        <v>2534</v>
      </c>
      <c r="L133" s="810">
        <v>1</v>
      </c>
      <c r="M133" s="810" t="s">
        <v>2698</v>
      </c>
      <c r="N133" s="849">
        <v>3250000</v>
      </c>
      <c r="O133" s="850">
        <f>N133*C11</f>
        <v>3250000</v>
      </c>
      <c r="P133" s="813"/>
      <c r="Q133" s="840"/>
      <c r="W133" s="849"/>
      <c r="X133" s="840"/>
      <c r="Y133" s="849"/>
      <c r="Z133" s="853"/>
    </row>
    <row r="134" spans="1:26">
      <c r="B134" s="810" t="s">
        <v>2789</v>
      </c>
      <c r="C134" s="848">
        <v>40996</v>
      </c>
      <c r="D134" s="810" t="s">
        <v>1512</v>
      </c>
      <c r="E134" s="810" t="s">
        <v>2790</v>
      </c>
      <c r="F134" s="810" t="s">
        <v>2531</v>
      </c>
      <c r="G134" s="810" t="s">
        <v>2791</v>
      </c>
      <c r="H134" s="810">
        <v>144</v>
      </c>
      <c r="I134" s="810" t="s">
        <v>2533</v>
      </c>
      <c r="J134" s="810">
        <v>0.55000000000000004</v>
      </c>
      <c r="K134" s="810" t="s">
        <v>2534</v>
      </c>
      <c r="L134" s="810">
        <v>1</v>
      </c>
      <c r="M134" s="810" t="s">
        <v>2698</v>
      </c>
      <c r="N134" s="849">
        <v>888630</v>
      </c>
      <c r="O134" s="850">
        <f>N134*C11</f>
        <v>888630</v>
      </c>
      <c r="P134" s="813"/>
      <c r="Q134" s="840"/>
      <c r="R134" s="810">
        <f>VLOOKUP(E134,'2018UpdateData'!$L$15:$X$305,2,FALSE)</f>
        <v>1267002020</v>
      </c>
      <c r="S134" s="810">
        <f>VLOOKUP(E134,'2018UpdateData'!$L$15:$X$305,5,FALSE)</f>
        <v>144</v>
      </c>
      <c r="T134" s="810">
        <f>VLOOKUP(E134,'2018UpdateData'!$L$15:$X$305,7,FALSE)</f>
        <v>0.55000000000000004</v>
      </c>
      <c r="U134" s="810" t="str">
        <f>VLOOKUP(E134,'2018UpdateData'!$L$15:$X$305,8,FALSE)</f>
        <v>single circuit</v>
      </c>
      <c r="V134" s="851">
        <f>VLOOKUP(E134,'2018UpdateData'!$L$15:$X$305,11,FALSE)</f>
        <v>888630</v>
      </c>
      <c r="W134" s="849">
        <f>VLOOKUP(U134,$B$9:$C$11,2,FALSE)*V134</f>
        <v>888630</v>
      </c>
      <c r="X134" s="840"/>
      <c r="Y134" s="849">
        <f>(V134-N134)</f>
        <v>0</v>
      </c>
      <c r="Z134" s="853">
        <f>Y134/N134</f>
        <v>0</v>
      </c>
    </row>
    <row r="135" spans="1:26">
      <c r="B135" s="810" t="s">
        <v>2792</v>
      </c>
      <c r="C135" s="848">
        <v>39790</v>
      </c>
      <c r="D135" s="810" t="s">
        <v>1191</v>
      </c>
      <c r="E135" s="810" t="s">
        <v>2793</v>
      </c>
      <c r="F135" s="810" t="s">
        <v>2531</v>
      </c>
      <c r="G135" s="810" t="s">
        <v>2794</v>
      </c>
      <c r="H135" s="810">
        <v>144</v>
      </c>
      <c r="I135" s="810" t="s">
        <v>2533</v>
      </c>
      <c r="J135" s="810">
        <v>25</v>
      </c>
      <c r="K135" s="810" t="s">
        <v>2534</v>
      </c>
      <c r="L135" s="810">
        <v>1</v>
      </c>
      <c r="M135" s="810" t="s">
        <v>2698</v>
      </c>
      <c r="N135" s="849">
        <v>4059000</v>
      </c>
      <c r="O135" s="850">
        <f>N135*C11</f>
        <v>4059000</v>
      </c>
      <c r="P135" s="813"/>
      <c r="Q135" s="840"/>
      <c r="R135" s="810">
        <f>VLOOKUP(E135,'2018UpdateData'!$L$15:$X$305,2,FALSE)</f>
        <v>722002006</v>
      </c>
      <c r="S135" s="810">
        <f>VLOOKUP(E135,'2018UpdateData'!$L$15:$X$305,5,FALSE)</f>
        <v>144</v>
      </c>
      <c r="T135" s="810">
        <f>VLOOKUP(E135,'2018UpdateData'!$L$15:$X$305,7,FALSE)</f>
        <v>25</v>
      </c>
      <c r="U135" s="810" t="str">
        <f>VLOOKUP(E135,'2018UpdateData'!$L$15:$X$305,8,FALSE)</f>
        <v>single circuit</v>
      </c>
      <c r="V135" s="851">
        <f>VLOOKUP(E135,'2018UpdateData'!$L$15:$X$305,11,FALSE)</f>
        <v>4059000</v>
      </c>
      <c r="W135" s="849">
        <f>VLOOKUP(U135,$B$9:$C$11,2,FALSE)*V135</f>
        <v>4059000</v>
      </c>
      <c r="X135" s="840"/>
      <c r="Y135" s="849">
        <f>(V135-N135)</f>
        <v>0</v>
      </c>
      <c r="Z135" s="853">
        <f>Y135/N135</f>
        <v>0</v>
      </c>
    </row>
    <row r="136" spans="1:26">
      <c r="B136" s="810" t="s">
        <v>2795</v>
      </c>
      <c r="C136" s="848">
        <v>41079</v>
      </c>
      <c r="D136" s="810" t="s">
        <v>1191</v>
      </c>
      <c r="E136" s="810" t="s">
        <v>2796</v>
      </c>
      <c r="F136" s="810" t="s">
        <v>2531</v>
      </c>
      <c r="G136" s="810" t="s">
        <v>2797</v>
      </c>
      <c r="H136" s="810">
        <v>144</v>
      </c>
      <c r="I136" s="810" t="s">
        <v>2533</v>
      </c>
      <c r="J136" s="810">
        <v>5</v>
      </c>
      <c r="K136" s="810" t="s">
        <v>2534</v>
      </c>
      <c r="L136" s="810">
        <v>1</v>
      </c>
      <c r="M136" s="810" t="s">
        <v>2698</v>
      </c>
      <c r="N136" s="849">
        <v>2467632</v>
      </c>
      <c r="O136" s="850">
        <f>N136*C11</f>
        <v>2467632</v>
      </c>
      <c r="P136" s="813"/>
      <c r="Q136" s="840"/>
      <c r="R136" s="810">
        <f>VLOOKUP(E136,'2018UpdateData'!$L$15:$X$305,2,FALSE)</f>
        <v>1191002007</v>
      </c>
      <c r="S136" s="810">
        <f>VLOOKUP(E136,'2018UpdateData'!$L$15:$X$305,5,FALSE)</f>
        <v>144</v>
      </c>
      <c r="T136" s="810">
        <f>VLOOKUP(E136,'2018UpdateData'!$L$15:$X$305,7,FALSE)</f>
        <v>5</v>
      </c>
      <c r="U136" s="810" t="str">
        <f>VLOOKUP(E136,'2018UpdateData'!$L$15:$X$305,8,FALSE)</f>
        <v>single circuit</v>
      </c>
      <c r="V136" s="851">
        <f>VLOOKUP(E136,'2018UpdateData'!$L$15:$X$305,11,FALSE)</f>
        <v>2467632</v>
      </c>
      <c r="W136" s="849">
        <f>VLOOKUP(U136,$B$9:$C$11,2,FALSE)*V136</f>
        <v>2467632</v>
      </c>
      <c r="X136" s="840"/>
      <c r="Y136" s="849">
        <f>(V136-N136)</f>
        <v>0</v>
      </c>
      <c r="Z136" s="853">
        <f>Y136/N136</f>
        <v>0</v>
      </c>
    </row>
    <row r="137" spans="1:26">
      <c r="B137" s="810" t="s">
        <v>2770</v>
      </c>
      <c r="C137" s="848">
        <v>40022</v>
      </c>
      <c r="D137" s="810" t="s">
        <v>1191</v>
      </c>
      <c r="E137" s="810" t="s">
        <v>2773</v>
      </c>
      <c r="F137" s="810" t="s">
        <v>2531</v>
      </c>
      <c r="G137" s="810" t="s">
        <v>2798</v>
      </c>
      <c r="H137" s="810">
        <v>144</v>
      </c>
      <c r="I137" s="810" t="s">
        <v>2533</v>
      </c>
      <c r="J137" s="810">
        <v>7.5</v>
      </c>
      <c r="K137" s="810" t="s">
        <v>2534</v>
      </c>
      <c r="L137" s="810">
        <v>1</v>
      </c>
      <c r="M137" s="810" t="s">
        <v>2698</v>
      </c>
      <c r="N137" s="849">
        <v>1248000</v>
      </c>
      <c r="O137" s="850">
        <f>N137*C11</f>
        <v>1248000</v>
      </c>
      <c r="P137" s="813"/>
      <c r="Q137" s="840"/>
      <c r="R137" s="810">
        <f>VLOOKUP(E137,'2018UpdateData'!$L$15:$X$305,2,FALSE)</f>
        <v>602002121</v>
      </c>
      <c r="S137" s="810">
        <f>VLOOKUP(E137,'2018UpdateData'!$L$15:$X$305,5,FALSE)</f>
        <v>144</v>
      </c>
      <c r="T137" s="810">
        <f>VLOOKUP(E137,'2018UpdateData'!$L$15:$X$305,7,FALSE)</f>
        <v>7.5</v>
      </c>
      <c r="U137" s="810" t="str">
        <f>VLOOKUP(E137,'2018UpdateData'!$L$15:$X$305,8,FALSE)</f>
        <v>single circuit</v>
      </c>
      <c r="V137" s="851">
        <f>VLOOKUP(E137,'2018UpdateData'!$L$15:$X$305,11,FALSE)</f>
        <v>1248000</v>
      </c>
      <c r="W137" s="849">
        <f>VLOOKUP(U137,$B$9:$C$11,2,FALSE)*V137</f>
        <v>1248000</v>
      </c>
      <c r="X137" s="840"/>
      <c r="Y137" s="849">
        <f>(V137-N137)</f>
        <v>0</v>
      </c>
      <c r="Z137" s="853">
        <f>Y137/N137</f>
        <v>0</v>
      </c>
    </row>
    <row r="138" spans="1:26">
      <c r="B138" s="810" t="s">
        <v>2799</v>
      </c>
      <c r="C138" s="848">
        <v>41530</v>
      </c>
      <c r="D138" s="810" t="s">
        <v>1191</v>
      </c>
      <c r="E138" s="810" t="s">
        <v>2800</v>
      </c>
      <c r="F138" s="810" t="s">
        <v>2531</v>
      </c>
      <c r="G138" s="810" t="s">
        <v>1724</v>
      </c>
      <c r="H138" s="810">
        <v>144</v>
      </c>
      <c r="I138" s="810" t="s">
        <v>2533</v>
      </c>
      <c r="J138" s="810">
        <v>12</v>
      </c>
      <c r="K138" s="810" t="s">
        <v>2538</v>
      </c>
      <c r="L138" s="810">
        <v>1</v>
      </c>
      <c r="M138" s="810" t="s">
        <v>2698</v>
      </c>
      <c r="N138" s="849">
        <v>8242669</v>
      </c>
      <c r="O138" s="850">
        <f>N138*C9</f>
        <v>7253548.7199999997</v>
      </c>
      <c r="P138" s="813"/>
      <c r="Q138" s="840"/>
      <c r="R138" s="810">
        <f>VLOOKUP(E138,'2018UpdateData'!$L$15:$X$305,2,FALSE)</f>
        <v>8110020151</v>
      </c>
      <c r="S138" s="810">
        <f>VLOOKUP(E138,'2018UpdateData'!$L$15:$X$305,5,FALSE)</f>
        <v>144</v>
      </c>
      <c r="T138" s="810">
        <f>VLOOKUP(E138,'2018UpdateData'!$L$15:$X$305,7,FALSE)</f>
        <v>12</v>
      </c>
      <c r="U138" s="810" t="str">
        <f>VLOOKUP(E138,'2018UpdateData'!$L$15:$X$305,8,FALSE)</f>
        <v>double circuit</v>
      </c>
      <c r="V138" s="851">
        <f>VLOOKUP(E138,'2018UpdateData'!$L$15:$X$305,11,FALSE)</f>
        <v>8242669</v>
      </c>
      <c r="W138" s="849">
        <f>VLOOKUP(U138,$B$9:$C$11,2,FALSE)*V138</f>
        <v>7253548.7199999997</v>
      </c>
      <c r="X138" s="840"/>
      <c r="Y138" s="849">
        <f>(V138-N138)</f>
        <v>0</v>
      </c>
      <c r="Z138" s="853">
        <f>Y138/N138</f>
        <v>0</v>
      </c>
    </row>
    <row r="139" spans="1:26">
      <c r="B139" s="810" t="s">
        <v>2786</v>
      </c>
      <c r="C139" s="848">
        <v>40877</v>
      </c>
      <c r="D139" s="810" t="s">
        <v>1191</v>
      </c>
      <c r="E139" s="810" t="s">
        <v>2801</v>
      </c>
      <c r="F139" s="810" t="s">
        <v>2531</v>
      </c>
      <c r="G139" s="810" t="s">
        <v>2802</v>
      </c>
      <c r="H139" s="810">
        <v>144</v>
      </c>
      <c r="I139" s="810" t="s">
        <v>2533</v>
      </c>
      <c r="J139" s="810">
        <v>11</v>
      </c>
      <c r="K139" s="810" t="s">
        <v>2534</v>
      </c>
      <c r="L139" s="810">
        <v>1</v>
      </c>
      <c r="M139" s="810" t="s">
        <v>2698</v>
      </c>
      <c r="N139" s="849">
        <v>2243000</v>
      </c>
      <c r="O139" s="850">
        <f>N139*C11</f>
        <v>2243000</v>
      </c>
      <c r="P139" s="813"/>
      <c r="Q139" s="840"/>
      <c r="W139" s="849"/>
      <c r="X139" s="840"/>
      <c r="Y139" s="849"/>
      <c r="Z139" s="853"/>
    </row>
    <row r="140" spans="1:26">
      <c r="B140" s="810" t="s">
        <v>2803</v>
      </c>
      <c r="C140" s="848">
        <v>41039</v>
      </c>
      <c r="D140" s="810" t="s">
        <v>1191</v>
      </c>
      <c r="E140" s="810" t="s">
        <v>2804</v>
      </c>
      <c r="F140" s="810" t="s">
        <v>2531</v>
      </c>
      <c r="G140" s="810" t="s">
        <v>1384</v>
      </c>
      <c r="H140" s="810">
        <v>144</v>
      </c>
      <c r="I140" s="810" t="s">
        <v>2533</v>
      </c>
      <c r="J140" s="810">
        <v>21.5</v>
      </c>
      <c r="K140" s="810" t="s">
        <v>2534</v>
      </c>
      <c r="L140" s="810">
        <v>1</v>
      </c>
      <c r="M140" s="810" t="s">
        <v>2698</v>
      </c>
      <c r="N140" s="849">
        <v>11897100</v>
      </c>
      <c r="O140" s="850">
        <f>N140*C11</f>
        <v>11897100</v>
      </c>
      <c r="P140" s="813"/>
      <c r="Q140" s="840"/>
      <c r="R140" s="810">
        <f>VLOOKUP(E140,'2018UpdateData'!$L$15:$X$305,2,FALSE)</f>
        <v>1106002012</v>
      </c>
      <c r="S140" s="810">
        <f>VLOOKUP(E140,'2018UpdateData'!$L$15:$X$305,5,FALSE)</f>
        <v>144</v>
      </c>
      <c r="T140" s="810">
        <f>VLOOKUP(E140,'2018UpdateData'!$L$15:$X$305,7,FALSE)</f>
        <v>21.5</v>
      </c>
      <c r="U140" s="810" t="str">
        <f>VLOOKUP(E140,'2018UpdateData'!$L$15:$X$305,8,FALSE)</f>
        <v>single circuit</v>
      </c>
      <c r="V140" s="851">
        <f>VLOOKUP(E140,'2018UpdateData'!$L$15:$X$305,11,FALSE)</f>
        <v>11897100</v>
      </c>
      <c r="W140" s="849">
        <f>VLOOKUP(U140,$B$9:$C$11,2,FALSE)*V140</f>
        <v>11897100</v>
      </c>
      <c r="X140" s="840"/>
      <c r="Y140" s="849">
        <f>(V140-N140)</f>
        <v>0</v>
      </c>
      <c r="Z140" s="853">
        <f>Y140/N140</f>
        <v>0</v>
      </c>
    </row>
    <row r="141" spans="1:26">
      <c r="B141" s="810" t="s">
        <v>2805</v>
      </c>
      <c r="C141" s="848">
        <v>40480</v>
      </c>
      <c r="D141" s="810" t="s">
        <v>1191</v>
      </c>
      <c r="E141" s="810" t="s">
        <v>2806</v>
      </c>
      <c r="F141" s="810" t="s">
        <v>2531</v>
      </c>
      <c r="G141" s="810" t="s">
        <v>2807</v>
      </c>
      <c r="H141" s="810">
        <v>144</v>
      </c>
      <c r="I141" s="810" t="s">
        <v>2533</v>
      </c>
      <c r="J141" s="810">
        <v>4</v>
      </c>
      <c r="K141" s="810" t="s">
        <v>2534</v>
      </c>
      <c r="L141" s="810">
        <v>1</v>
      </c>
      <c r="M141" s="810" t="s">
        <v>2808</v>
      </c>
      <c r="N141" s="815">
        <v>1617000</v>
      </c>
      <c r="O141" s="850">
        <f>N141*C11</f>
        <v>1617000</v>
      </c>
      <c r="P141" s="813"/>
      <c r="Q141" s="840"/>
      <c r="W141" s="849"/>
      <c r="X141" s="840"/>
      <c r="Y141" s="849"/>
      <c r="Z141" s="853"/>
    </row>
    <row r="142" spans="1:26">
      <c r="A142" s="854"/>
      <c r="B142" s="854"/>
      <c r="C142" s="855"/>
      <c r="D142" s="854"/>
      <c r="E142" s="854"/>
      <c r="F142" s="854"/>
      <c r="G142" s="854"/>
      <c r="H142" s="854"/>
      <c r="I142" s="854"/>
      <c r="J142" s="854"/>
      <c r="K142" s="854"/>
      <c r="L142" s="854"/>
      <c r="M142" s="854"/>
      <c r="N142" s="856"/>
      <c r="O142" s="857"/>
      <c r="P142" s="858"/>
      <c r="Q142" s="859"/>
      <c r="R142" s="854"/>
      <c r="S142" s="854"/>
      <c r="T142" s="854"/>
      <c r="U142" s="854"/>
      <c r="V142" s="860"/>
      <c r="W142" s="856"/>
      <c r="X142" s="859"/>
      <c r="Y142" s="856"/>
      <c r="Z142" s="854"/>
    </row>
    <row r="143" spans="1:26" s="844" customFormat="1">
      <c r="C143" s="862"/>
      <c r="N143" s="846">
        <f>SUMIF(V99:V141,"&lt;&gt;",N99:N141)</f>
        <v>194647955</v>
      </c>
      <c r="O143" s="870"/>
      <c r="P143" s="867"/>
      <c r="Q143" s="868"/>
      <c r="V143" s="845">
        <f>SUM(V99:V141)</f>
        <v>200109381</v>
      </c>
      <c r="X143" s="868"/>
      <c r="Y143" s="846">
        <f>SUM(Y99:Y141)</f>
        <v>5461426</v>
      </c>
      <c r="Z143" s="866">
        <f>Y143/N143</f>
        <v>2.8057967523984519E-2</v>
      </c>
    </row>
    <row r="144" spans="1:26">
      <c r="O144" s="844">
        <f>SUM(J99:J141)</f>
        <v>572.91499999999996</v>
      </c>
      <c r="P144" s="867" t="s">
        <v>2588</v>
      </c>
      <c r="Q144" s="868"/>
      <c r="R144" s="844"/>
      <c r="S144" s="844"/>
      <c r="T144" s="844"/>
      <c r="U144" s="844"/>
      <c r="V144" s="845"/>
      <c r="W144" s="844">
        <f>SUM(T99:T108,T110:T113,T115,T118:T120,T122:T132,T134:T138,T140)</f>
        <v>508.315</v>
      </c>
      <c r="X144" s="847" t="s">
        <v>2588</v>
      </c>
      <c r="Y144" s="849"/>
    </row>
    <row r="145" spans="1:27">
      <c r="O145" s="870">
        <f>SUM(O99:O141)</f>
        <v>207587533.59999999</v>
      </c>
      <c r="P145" s="867" t="s">
        <v>2589</v>
      </c>
      <c r="Q145" s="868"/>
      <c r="R145" s="844"/>
      <c r="S145" s="844"/>
      <c r="T145" s="844"/>
      <c r="U145" s="844"/>
      <c r="V145" s="845"/>
      <c r="W145" s="890">
        <f>SUM(W99:W108,W110:W113,W115,W118:W120,W122:W132,W134:W138,W140)</f>
        <v>197948908.19999999</v>
      </c>
      <c r="X145" s="867" t="s">
        <v>2589</v>
      </c>
      <c r="Y145" s="869"/>
      <c r="Z145" s="891"/>
      <c r="AA145" s="891"/>
    </row>
    <row r="146" spans="1:27" ht="16.2" thickBot="1">
      <c r="A146" s="887"/>
      <c r="B146" s="887"/>
      <c r="C146" s="887"/>
      <c r="D146" s="887"/>
      <c r="E146" s="887"/>
      <c r="F146" s="887"/>
      <c r="G146" s="887"/>
      <c r="H146" s="887"/>
      <c r="I146" s="887"/>
      <c r="J146" s="887"/>
      <c r="K146" s="887"/>
      <c r="L146" s="887"/>
      <c r="M146" s="887"/>
      <c r="N146" s="889"/>
      <c r="O146" s="874">
        <f>O145/O144</f>
        <v>362335.65816918743</v>
      </c>
      <c r="P146" s="875" t="s">
        <v>2590</v>
      </c>
      <c r="Q146" s="876"/>
      <c r="R146" s="871"/>
      <c r="S146" s="871"/>
      <c r="T146" s="871"/>
      <c r="U146" s="871"/>
      <c r="V146" s="877"/>
      <c r="W146" s="846">
        <f>SUM(W99:W108,W110:W113,W115,W118:W120,W122:W132,W134:W138,W140)/SUM(T99:T108,T110:T113,T115,T118:T120,T122:T132,T134:T138,T140)</f>
        <v>389421.73298053368</v>
      </c>
      <c r="X146" s="868" t="s">
        <v>2822</v>
      </c>
      <c r="Y146" s="887"/>
      <c r="Z146" s="878">
        <f>(W146-O146)/O146</f>
        <v>7.4754096652278126E-2</v>
      </c>
    </row>
    <row r="147" spans="1:27">
      <c r="O147" s="810"/>
      <c r="P147" s="813"/>
      <c r="Q147" s="892"/>
      <c r="W147" s="893"/>
      <c r="X147" s="894"/>
    </row>
    <row r="148" spans="1:27">
      <c r="O148" s="880">
        <f>1-(O146/O95)</f>
        <v>0.18146150397564909</v>
      </c>
      <c r="P148" s="881" t="s">
        <v>2831</v>
      </c>
      <c r="R148" s="895"/>
      <c r="W148" s="896">
        <f>1-(W146/W95)</f>
        <v>0.18066285756893741</v>
      </c>
      <c r="X148" s="897" t="s">
        <v>2831</v>
      </c>
      <c r="Z148" s="883">
        <f>W148-O148</f>
        <v>-7.986464067116783E-4</v>
      </c>
    </row>
  </sheetData>
  <mergeCells count="6">
    <mergeCell ref="Y14:Z14"/>
    <mergeCell ref="E5:G5"/>
    <mergeCell ref="A6:A8"/>
    <mergeCell ref="A9:A11"/>
    <mergeCell ref="G14:P14"/>
    <mergeCell ref="R14:W14"/>
  </mergeCells>
  <pageMargins left="0.7" right="0.7" top="0.75" bottom="0.75" header="0.3" footer="0.3"/>
  <pageSetup orientation="portrait" r:id="rId1"/>
  <headerFooter>
    <oddHeader>&amp;LAlberta Electric System Operator&amp;CConfidentiality: Public&amp;R&amp;D</oddHeader>
    <oddFooter>&amp;L&amp;F&amp;CPage &amp;P of &amp;N&amp;RTab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95"/>
  <sheetViews>
    <sheetView showGridLines="0" zoomScale="80" zoomScaleNormal="80" workbookViewId="0">
      <selection activeCell="E35" sqref="E35"/>
    </sheetView>
  </sheetViews>
  <sheetFormatPr defaultColWidth="9.109375" defaultRowHeight="13.8"/>
  <cols>
    <col min="1" max="1" width="22.33203125" style="4" customWidth="1"/>
    <col min="2" max="2" width="33" style="4" customWidth="1"/>
    <col min="3" max="3" width="27.109375" style="4" bestFit="1" customWidth="1"/>
    <col min="4" max="4" width="27" style="4" customWidth="1"/>
    <col min="5" max="5" width="27.5546875" style="4" bestFit="1" customWidth="1"/>
    <col min="6" max="6" width="16.44140625" style="4" customWidth="1"/>
    <col min="7" max="8" width="9.109375" style="4"/>
    <col min="9" max="9" width="17" style="4" bestFit="1" customWidth="1"/>
    <col min="10" max="10" width="34.44140625" style="4" bestFit="1" customWidth="1"/>
    <col min="11" max="16" width="9.109375" style="4"/>
    <col min="17" max="17" width="25.33203125" style="4" customWidth="1"/>
    <col min="18" max="18" width="9.109375" style="4"/>
    <col min="19" max="19" width="11" style="4" customWidth="1"/>
    <col min="20" max="16384" width="9.109375" style="4"/>
  </cols>
  <sheetData>
    <row r="1" spans="1:17" ht="18">
      <c r="A1" s="768" t="s">
        <v>2131</v>
      </c>
    </row>
    <row r="3" spans="1:17">
      <c r="A3" s="483" t="s">
        <v>81</v>
      </c>
      <c r="B3" s="454"/>
      <c r="C3" s="454"/>
      <c r="D3" s="454"/>
      <c r="E3" s="454"/>
      <c r="F3" s="454"/>
    </row>
    <row r="4" spans="1:17">
      <c r="A4" s="454" t="s">
        <v>82</v>
      </c>
      <c r="B4" s="454"/>
      <c r="C4" s="454"/>
      <c r="D4" s="454"/>
      <c r="E4" s="454"/>
      <c r="F4" s="454"/>
    </row>
    <row r="5" spans="1:17">
      <c r="A5" s="484" t="s">
        <v>96</v>
      </c>
      <c r="B5" s="9"/>
      <c r="C5" s="9"/>
      <c r="D5" s="9"/>
      <c r="E5" s="9"/>
    </row>
    <row r="6" spans="1:17" s="785" customFormat="1"/>
    <row r="7" spans="1:17" s="785" customFormat="1">
      <c r="B7" s="485" t="s">
        <v>27</v>
      </c>
      <c r="C7" s="485" t="s">
        <v>77</v>
      </c>
      <c r="D7" s="485" t="s">
        <v>79</v>
      </c>
      <c r="E7" s="4"/>
      <c r="F7" s="4"/>
      <c r="Q7" s="4"/>
    </row>
    <row r="8" spans="1:17">
      <c r="B8" s="245" t="s">
        <v>6</v>
      </c>
      <c r="C8" s="245" t="s">
        <v>5</v>
      </c>
      <c r="D8" s="486">
        <v>1341544.1285306152</v>
      </c>
    </row>
    <row r="9" spans="1:17">
      <c r="B9" s="245" t="s">
        <v>78</v>
      </c>
      <c r="C9" s="245" t="s">
        <v>71</v>
      </c>
      <c r="D9" s="486">
        <v>2057306.5632175331</v>
      </c>
    </row>
    <row r="11" spans="1:17">
      <c r="B11" s="9"/>
      <c r="C11" s="485" t="s">
        <v>80</v>
      </c>
    </row>
    <row r="12" spans="1:17">
      <c r="B12" s="245" t="s">
        <v>7</v>
      </c>
      <c r="C12" s="435">
        <f>D8/D9</f>
        <v>0.65208761422143224</v>
      </c>
      <c r="D12" s="9"/>
      <c r="E12" s="9"/>
    </row>
    <row r="13" spans="1:17">
      <c r="B13" s="245" t="s">
        <v>8</v>
      </c>
      <c r="C13" s="435">
        <f>1-C12</f>
        <v>0.34791238577856776</v>
      </c>
      <c r="D13" s="105"/>
      <c r="E13" s="105"/>
    </row>
    <row r="14" spans="1:17">
      <c r="H14" s="77"/>
    </row>
    <row r="15" spans="1:17">
      <c r="A15" s="777" t="s">
        <v>242</v>
      </c>
      <c r="B15" s="121"/>
    </row>
    <row r="16" spans="1:17">
      <c r="B16" s="485" t="s">
        <v>27</v>
      </c>
      <c r="C16" s="485" t="s">
        <v>77</v>
      </c>
      <c r="D16" s="485" t="s">
        <v>79</v>
      </c>
    </row>
    <row r="17" spans="1:21">
      <c r="B17" s="245" t="s">
        <v>6</v>
      </c>
      <c r="C17" s="245" t="s">
        <v>239</v>
      </c>
      <c r="D17" s="486">
        <v>1900000</v>
      </c>
    </row>
    <row r="18" spans="1:21">
      <c r="B18" s="245" t="s">
        <v>78</v>
      </c>
      <c r="C18" s="245" t="s">
        <v>240</v>
      </c>
      <c r="D18" s="486">
        <v>2100000</v>
      </c>
    </row>
    <row r="20" spans="1:21">
      <c r="B20" s="9"/>
      <c r="C20" s="485" t="s">
        <v>247</v>
      </c>
    </row>
    <row r="21" spans="1:21">
      <c r="B21" s="245" t="s">
        <v>7</v>
      </c>
      <c r="C21" s="435">
        <f>D17/D18</f>
        <v>0.90476190476190477</v>
      </c>
      <c r="D21" s="9"/>
    </row>
    <row r="22" spans="1:21">
      <c r="B22" s="245" t="s">
        <v>8</v>
      </c>
      <c r="C22" s="435">
        <f>1-C21</f>
        <v>9.5238095238095233E-2</v>
      </c>
      <c r="D22" s="105"/>
    </row>
    <row r="23" spans="1:21">
      <c r="B23" s="9"/>
      <c r="C23" s="225"/>
      <c r="D23" s="105"/>
    </row>
    <row r="24" spans="1:21">
      <c r="A24" s="777" t="s">
        <v>669</v>
      </c>
      <c r="B24" s="9"/>
      <c r="C24" s="225"/>
      <c r="D24" s="105"/>
    </row>
    <row r="26" spans="1:21">
      <c r="B26" s="9"/>
      <c r="C26" s="485" t="s">
        <v>244</v>
      </c>
      <c r="D26" s="485" t="s">
        <v>2083</v>
      </c>
      <c r="E26" s="485" t="s">
        <v>246</v>
      </c>
    </row>
    <row r="27" spans="1:21">
      <c r="B27" s="245" t="s">
        <v>243</v>
      </c>
      <c r="C27" s="487">
        <f>+SUMIF('Func AL Lines'!E5:E421,240,'Func AL Lines'!N5:N421)+SUMIF('Func ATCO Lines'!C5:C435,240,'Func ATCO Lines'!K5:K435)</f>
        <v>1987272160.7052848</v>
      </c>
      <c r="D27" s="487">
        <f>+SUMIF('Func Future Lines 2020'!D4:D277,240,'Func Future Lines 2020'!P4:P277)</f>
        <v>1617236605.2422602</v>
      </c>
      <c r="E27" s="435">
        <f>+(D27+C27)/SUM(C27:C28,D27:D28)</f>
        <v>0.57012158974995242</v>
      </c>
      <c r="U27" s="77"/>
    </row>
    <row r="28" spans="1:21">
      <c r="B28" s="245" t="s">
        <v>245</v>
      </c>
      <c r="C28" s="487">
        <f>+SUMIF('Func AL Lines'!E5:E421,500,'Func AL Lines'!N5:N421)+SUMIF('Func ATCO Lines'!C5:C435,500,'Func ATCO Lines'!K5:K435)</f>
        <v>264224176.3452563</v>
      </c>
      <c r="D28" s="487">
        <f>+SUMIF('Func Future Lines 2020'!D4:D277,500,'Func Future Lines 2020'!P4:P277)</f>
        <v>2453617992.5813437</v>
      </c>
      <c r="E28" s="435">
        <f>+(D28+C28)/SUM($C$27:$C$28,D27:D28)</f>
        <v>0.42987841025004769</v>
      </c>
    </row>
    <row r="29" spans="1:21">
      <c r="B29" s="121"/>
    </row>
    <row r="30" spans="1:21">
      <c r="B30" s="9"/>
      <c r="C30" s="485" t="s">
        <v>248</v>
      </c>
    </row>
    <row r="31" spans="1:21">
      <c r="B31" s="245" t="s">
        <v>7</v>
      </c>
      <c r="C31" s="435">
        <f>+C12*$E$27+C21*$E$28</f>
        <v>0.76070683655002935</v>
      </c>
    </row>
    <row r="32" spans="1:21">
      <c r="B32" s="245" t="s">
        <v>8</v>
      </c>
      <c r="C32" s="435">
        <f>+C13*$E$27+C22*$E$28</f>
        <v>0.23929316344997079</v>
      </c>
    </row>
    <row r="33" spans="1:6">
      <c r="B33" s="121"/>
    </row>
    <row r="34" spans="1:6">
      <c r="A34" s="454" t="s">
        <v>46</v>
      </c>
      <c r="B34" s="454"/>
      <c r="C34" s="454"/>
      <c r="D34" s="454"/>
      <c r="E34" s="454"/>
      <c r="F34" s="454"/>
    </row>
    <row r="35" spans="1:6">
      <c r="A35" s="488" t="s">
        <v>37</v>
      </c>
      <c r="B35" s="9"/>
      <c r="C35" s="9"/>
      <c r="D35" s="9"/>
      <c r="E35" s="9"/>
    </row>
    <row r="36" spans="1:6">
      <c r="B36" s="9"/>
      <c r="C36" s="485" t="s">
        <v>83</v>
      </c>
      <c r="D36" s="9"/>
      <c r="E36" s="9"/>
    </row>
    <row r="37" spans="1:6">
      <c r="B37" s="245" t="s">
        <v>7</v>
      </c>
      <c r="C37" s="435">
        <f>$C$88</f>
        <v>0.97167896122691</v>
      </c>
      <c r="D37" s="9"/>
      <c r="E37" s="9"/>
    </row>
    <row r="38" spans="1:6">
      <c r="B38" s="245" t="s">
        <v>8</v>
      </c>
      <c r="C38" s="435">
        <f>$C$89</f>
        <v>2.8321038773090002E-2</v>
      </c>
      <c r="D38" s="105"/>
      <c r="E38" s="105"/>
    </row>
    <row r="41" spans="1:6">
      <c r="A41" s="454" t="s">
        <v>670</v>
      </c>
      <c r="B41" s="454"/>
      <c r="C41" s="454"/>
      <c r="D41" s="454"/>
      <c r="F41" s="479"/>
    </row>
    <row r="42" spans="1:6">
      <c r="A42" s="777"/>
      <c r="B42" s="777"/>
      <c r="C42" s="489" t="s">
        <v>85</v>
      </c>
      <c r="D42" s="485" t="s">
        <v>86</v>
      </c>
      <c r="F42" s="77"/>
    </row>
    <row r="43" spans="1:6">
      <c r="B43" s="245" t="s">
        <v>2084</v>
      </c>
      <c r="C43" s="311">
        <f>'Func AL Lines'!V13+'Func ATCO Lines'!T16+'Func Future Lines 2020'!V4</f>
        <v>6302236174.2934532</v>
      </c>
      <c r="D43" s="490">
        <f>C43/C45</f>
        <v>0.76397168661564063</v>
      </c>
      <c r="F43" s="77"/>
    </row>
    <row r="44" spans="1:6">
      <c r="B44" s="245" t="s">
        <v>72</v>
      </c>
      <c r="C44" s="311">
        <f>'Func AL Subs'!Z12+'Func ATCO Subs'!X15+'Func Future Subs 2020'!AB10</f>
        <v>1947069768.1977782</v>
      </c>
      <c r="D44" s="490">
        <f>C44/C45</f>
        <v>0.23602831338435934</v>
      </c>
    </row>
    <row r="45" spans="1:6">
      <c r="B45" s="245" t="s">
        <v>89</v>
      </c>
      <c r="C45" s="311">
        <f>SUM(C43:C44)</f>
        <v>8249305942.4912319</v>
      </c>
    </row>
    <row r="46" spans="1:6">
      <c r="A46" s="488"/>
      <c r="B46" s="9"/>
      <c r="C46" s="9"/>
      <c r="D46" s="9"/>
      <c r="E46" s="9"/>
    </row>
    <row r="47" spans="1:6">
      <c r="B47" s="9"/>
      <c r="C47" s="485" t="s">
        <v>84</v>
      </c>
      <c r="D47" s="105"/>
      <c r="E47" s="105"/>
    </row>
    <row r="48" spans="1:6">
      <c r="B48" s="245" t="s">
        <v>7</v>
      </c>
      <c r="C48" s="435">
        <f>C31*$D$43+C37*$D$44</f>
        <v>0.81050223130862831</v>
      </c>
    </row>
    <row r="49" spans="1:8">
      <c r="B49" s="245" t="s">
        <v>8</v>
      </c>
      <c r="C49" s="435">
        <f>C32*$D$43+C38*$D$44</f>
        <v>0.18949776869137183</v>
      </c>
    </row>
    <row r="51" spans="1:8">
      <c r="A51" s="483" t="s">
        <v>201</v>
      </c>
      <c r="B51" s="456"/>
      <c r="C51" s="456"/>
      <c r="D51" s="456"/>
      <c r="E51" s="456"/>
      <c r="F51" s="456"/>
    </row>
    <row r="52" spans="1:8">
      <c r="A52" s="454" t="s">
        <v>87</v>
      </c>
      <c r="B52" s="9"/>
      <c r="C52" s="9"/>
      <c r="D52" s="9"/>
      <c r="E52" s="9"/>
    </row>
    <row r="53" spans="1:8">
      <c r="A53" s="484" t="s">
        <v>96</v>
      </c>
      <c r="B53" s="9"/>
      <c r="C53" s="9"/>
      <c r="D53" s="9"/>
      <c r="E53" s="9"/>
    </row>
    <row r="54" spans="1:8">
      <c r="A54" s="484" t="s">
        <v>97</v>
      </c>
      <c r="B54" s="9"/>
      <c r="C54" s="9"/>
      <c r="D54" s="9"/>
      <c r="E54" s="9"/>
    </row>
    <row r="55" spans="1:8">
      <c r="A55" s="484"/>
      <c r="B55" s="9"/>
      <c r="C55" s="9"/>
      <c r="D55" s="9"/>
      <c r="E55" s="9"/>
    </row>
    <row r="56" spans="1:8">
      <c r="A56" s="491"/>
      <c r="B56" s="485" t="s">
        <v>27</v>
      </c>
      <c r="C56" s="485" t="s">
        <v>77</v>
      </c>
      <c r="D56" s="485" t="s">
        <v>79</v>
      </c>
    </row>
    <row r="57" spans="1:8">
      <c r="A57" s="491"/>
      <c r="B57" s="245" t="s">
        <v>6</v>
      </c>
      <c r="C57" s="245" t="s">
        <v>9</v>
      </c>
      <c r="D57" s="486">
        <v>529855.61863023962</v>
      </c>
    </row>
    <row r="58" spans="1:8">
      <c r="A58" s="488"/>
      <c r="B58" s="245" t="s">
        <v>73</v>
      </c>
      <c r="C58" s="245" t="s">
        <v>10</v>
      </c>
      <c r="D58" s="486">
        <v>564417.27208950487</v>
      </c>
    </row>
    <row r="60" spans="1:8">
      <c r="B60" s="9"/>
      <c r="C60" s="485" t="s">
        <v>88</v>
      </c>
    </row>
    <row r="61" spans="1:8">
      <c r="A61" s="488"/>
      <c r="B61" s="245" t="s">
        <v>7</v>
      </c>
      <c r="C61" s="435">
        <f>D57/D58</f>
        <v>0.93876577637088243</v>
      </c>
      <c r="D61" s="9"/>
      <c r="E61" s="9"/>
    </row>
    <row r="62" spans="1:8">
      <c r="B62" s="245" t="s">
        <v>8</v>
      </c>
      <c r="C62" s="435">
        <f>1-C61</f>
        <v>6.1234223629117568E-2</v>
      </c>
      <c r="D62" s="105"/>
      <c r="E62" s="105"/>
    </row>
    <row r="64" spans="1:8">
      <c r="A64" s="454" t="s">
        <v>46</v>
      </c>
      <c r="B64" s="454"/>
      <c r="C64" s="454"/>
      <c r="D64" s="454"/>
      <c r="E64" s="454"/>
      <c r="F64" s="454"/>
      <c r="H64" s="77"/>
    </row>
    <row r="65" spans="1:11">
      <c r="A65" s="488" t="s">
        <v>37</v>
      </c>
      <c r="B65" s="9"/>
      <c r="C65" s="9"/>
      <c r="D65" s="9"/>
      <c r="E65" s="9"/>
    </row>
    <row r="66" spans="1:11">
      <c r="A66" s="488"/>
      <c r="B66" s="9"/>
      <c r="C66" s="485" t="s">
        <v>83</v>
      </c>
      <c r="D66" s="9"/>
      <c r="E66" s="9"/>
    </row>
    <row r="67" spans="1:11">
      <c r="A67" s="488"/>
      <c r="B67" s="245" t="s">
        <v>7</v>
      </c>
      <c r="C67" s="435">
        <f>C88</f>
        <v>0.97167896122691</v>
      </c>
      <c r="D67" s="9"/>
      <c r="E67" s="9"/>
    </row>
    <row r="68" spans="1:11">
      <c r="B68" s="245" t="s">
        <v>8</v>
      </c>
      <c r="C68" s="435">
        <f>C89</f>
        <v>2.8321038773090002E-2</v>
      </c>
      <c r="D68" s="105"/>
      <c r="E68" s="105"/>
    </row>
    <row r="70" spans="1:11">
      <c r="A70" s="492" t="s">
        <v>671</v>
      </c>
      <c r="B70" s="492"/>
      <c r="C70" s="492"/>
      <c r="D70" s="492"/>
      <c r="F70" s="492"/>
      <c r="K70" s="77"/>
    </row>
    <row r="71" spans="1:11">
      <c r="B71" s="777"/>
      <c r="C71" s="493" t="s">
        <v>85</v>
      </c>
      <c r="D71" s="494" t="s">
        <v>86</v>
      </c>
      <c r="K71" s="77"/>
    </row>
    <row r="72" spans="1:11">
      <c r="A72" s="488"/>
      <c r="B72" s="245" t="s">
        <v>204</v>
      </c>
      <c r="C72" s="311">
        <f>'Func AL Lines'!W13+'Func ATCO Lines'!U16+'Func Future Lines 2020'!W4</f>
        <v>1667835171.9113116</v>
      </c>
      <c r="D72" s="490">
        <f>C72/C74</f>
        <v>0.49786239220967488</v>
      </c>
    </row>
    <row r="73" spans="1:11">
      <c r="A73" s="488"/>
      <c r="B73" s="245" t="s">
        <v>205</v>
      </c>
      <c r="C73" s="311">
        <f>'Func AL Subs'!AA12+'Func ATCO Subs'!Y15+'Func Future Subs 2020'!AC10</f>
        <v>1682157111.114763</v>
      </c>
      <c r="D73" s="490">
        <f>C73/C74</f>
        <v>0.50213760779032524</v>
      </c>
    </row>
    <row r="74" spans="1:11">
      <c r="A74" s="488"/>
      <c r="B74" s="245" t="s">
        <v>206</v>
      </c>
      <c r="C74" s="311">
        <f>SUM(C72:C73)</f>
        <v>3349992283.0260744</v>
      </c>
      <c r="E74" s="9"/>
    </row>
    <row r="75" spans="1:11">
      <c r="B75" s="105"/>
      <c r="C75" s="105"/>
      <c r="E75" s="105"/>
    </row>
    <row r="76" spans="1:11">
      <c r="B76" s="9"/>
      <c r="C76" s="485" t="s">
        <v>207</v>
      </c>
    </row>
    <row r="77" spans="1:11">
      <c r="B77" s="245" t="s">
        <v>7</v>
      </c>
      <c r="C77" s="495">
        <f>C61*D72+C67*D73</f>
        <v>0.95529272427924905</v>
      </c>
    </row>
    <row r="78" spans="1:11">
      <c r="B78" s="245" t="s">
        <v>8</v>
      </c>
      <c r="C78" s="495">
        <f>C62*D72+C68*D73</f>
        <v>4.470727572075113E-2</v>
      </c>
    </row>
    <row r="79" spans="1:11">
      <c r="B79" s="9"/>
      <c r="C79" s="496"/>
    </row>
    <row r="80" spans="1:11">
      <c r="A80" s="483" t="s">
        <v>90</v>
      </c>
      <c r="B80" s="483"/>
      <c r="C80" s="483"/>
      <c r="D80" s="483"/>
      <c r="E80" s="483"/>
      <c r="F80" s="483"/>
    </row>
    <row r="81" spans="1:8">
      <c r="A81" s="4" t="s">
        <v>723</v>
      </c>
      <c r="B81" s="9"/>
      <c r="C81" s="9"/>
      <c r="D81" s="9"/>
      <c r="E81" s="9"/>
    </row>
    <row r="82" spans="1:8">
      <c r="A82" s="491"/>
      <c r="E82" s="27"/>
    </row>
    <row r="83" spans="1:8">
      <c r="B83" s="9"/>
      <c r="C83" s="485" t="s">
        <v>91</v>
      </c>
      <c r="E83" s="27"/>
    </row>
    <row r="84" spans="1:8">
      <c r="B84" s="245" t="s">
        <v>92</v>
      </c>
      <c r="C84" s="497">
        <v>966840</v>
      </c>
      <c r="D84" s="9"/>
      <c r="E84" s="9"/>
    </row>
    <row r="85" spans="1:8">
      <c r="B85" s="245" t="s">
        <v>93</v>
      </c>
      <c r="C85" s="497">
        <v>995020</v>
      </c>
    </row>
    <row r="87" spans="1:8">
      <c r="B87" s="9"/>
      <c r="C87" s="485" t="s">
        <v>94</v>
      </c>
      <c r="D87" s="105"/>
      <c r="E87" s="105"/>
    </row>
    <row r="88" spans="1:8">
      <c r="B88" s="245" t="s">
        <v>7</v>
      </c>
      <c r="C88" s="495">
        <f>C84/C85</f>
        <v>0.97167896122691</v>
      </c>
    </row>
    <row r="89" spans="1:8">
      <c r="B89" s="245" t="s">
        <v>8</v>
      </c>
      <c r="C89" s="495">
        <f>1-C88</f>
        <v>2.8321038773090002E-2</v>
      </c>
      <c r="G89" s="786"/>
      <c r="H89" s="77"/>
    </row>
    <row r="90" spans="1:8">
      <c r="G90" s="786"/>
    </row>
    <row r="91" spans="1:8">
      <c r="A91" s="776" t="s">
        <v>95</v>
      </c>
      <c r="G91" s="786"/>
    </row>
    <row r="93" spans="1:8">
      <c r="B93" s="498"/>
      <c r="C93" s="498" t="s">
        <v>49</v>
      </c>
      <c r="D93" s="498" t="s">
        <v>74</v>
      </c>
    </row>
    <row r="94" spans="1:8">
      <c r="B94" s="499" t="s">
        <v>7</v>
      </c>
      <c r="C94" s="500">
        <f>+C48</f>
        <v>0.81050223130862831</v>
      </c>
      <c r="D94" s="500">
        <f>+C77</f>
        <v>0.95529272427924905</v>
      </c>
    </row>
    <row r="95" spans="1:8">
      <c r="B95" s="499" t="s">
        <v>8</v>
      </c>
      <c r="C95" s="500">
        <f>+C49</f>
        <v>0.18949776869137183</v>
      </c>
      <c r="D95" s="500">
        <f>+C78</f>
        <v>4.470727572075113E-2</v>
      </c>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sheetPr>
  <dimension ref="A1:L33"/>
  <sheetViews>
    <sheetView showGridLines="0" workbookViewId="0">
      <selection activeCell="E22" sqref="E22"/>
    </sheetView>
  </sheetViews>
  <sheetFormatPr defaultColWidth="12.5546875" defaultRowHeight="13.8"/>
  <cols>
    <col min="1" max="1" width="12.5546875" style="793"/>
    <col min="2" max="2" width="53.33203125" style="793" bestFit="1" customWidth="1"/>
    <col min="3" max="3" width="12.5546875" style="793"/>
    <col min="4" max="4" width="0" style="793" hidden="1" customWidth="1"/>
    <col min="5" max="5" width="12.5546875" style="793" bestFit="1" customWidth="1"/>
    <col min="6" max="6" width="30.6640625" style="793" bestFit="1" customWidth="1"/>
    <col min="7" max="7" width="16.6640625" style="793" bestFit="1" customWidth="1"/>
    <col min="8" max="8" width="15.88671875" style="793" bestFit="1" customWidth="1"/>
    <col min="9" max="9" width="30.6640625" style="793" bestFit="1" customWidth="1"/>
    <col min="10" max="10" width="19.33203125" style="793" customWidth="1"/>
    <col min="11" max="11" width="12.5546875" style="793"/>
    <col min="12" max="12" width="14.88671875" style="793" bestFit="1" customWidth="1"/>
    <col min="13" max="16384" width="12.5546875" style="793"/>
  </cols>
  <sheetData>
    <row r="1" spans="1:12">
      <c r="A1" s="792" t="s">
        <v>2132</v>
      </c>
    </row>
    <row r="3" spans="1:12">
      <c r="B3" s="794"/>
    </row>
    <row r="4" spans="1:12">
      <c r="B4" s="795" t="s">
        <v>2108</v>
      </c>
      <c r="C4" s="795"/>
      <c r="F4" s="796"/>
    </row>
    <row r="5" spans="1:12">
      <c r="B5" s="797" t="s">
        <v>2109</v>
      </c>
      <c r="C5" s="797">
        <v>50</v>
      </c>
    </row>
    <row r="6" spans="1:12">
      <c r="B6" s="797" t="s">
        <v>2110</v>
      </c>
      <c r="C6" s="797">
        <v>6</v>
      </c>
    </row>
    <row r="7" spans="1:12">
      <c r="B7" s="797" t="s">
        <v>2111</v>
      </c>
      <c r="C7" s="798">
        <v>74.670452471586188</v>
      </c>
      <c r="D7" s="793" t="s">
        <v>2112</v>
      </c>
    </row>
    <row r="8" spans="1:12">
      <c r="B8" s="797" t="s">
        <v>2113</v>
      </c>
      <c r="C8" s="797">
        <v>65</v>
      </c>
    </row>
    <row r="9" spans="1:12">
      <c r="B9" s="797" t="s">
        <v>2114</v>
      </c>
      <c r="C9" s="797">
        <v>3.4619999999999998E-2</v>
      </c>
    </row>
    <row r="10" spans="1:12">
      <c r="B10" s="797" t="s">
        <v>2115</v>
      </c>
      <c r="C10" s="797">
        <v>4.3150000000000001E-2</v>
      </c>
    </row>
    <row r="11" spans="1:12">
      <c r="B11" s="797" t="s">
        <v>2116</v>
      </c>
      <c r="C11" s="799">
        <f>'2018UpdateClassification'!D9</f>
        <v>2057306.5632175331</v>
      </c>
    </row>
    <row r="12" spans="1:12">
      <c r="B12" s="797" t="s">
        <v>2117</v>
      </c>
      <c r="C12" s="799">
        <f>'2018UpdateClassification'!D8</f>
        <v>1341544.1285306152</v>
      </c>
    </row>
    <row r="13" spans="1:12">
      <c r="B13" s="797" t="s">
        <v>2118</v>
      </c>
      <c r="C13" s="800">
        <v>89.317535836186067</v>
      </c>
    </row>
    <row r="14" spans="1:12">
      <c r="B14" s="797" t="s">
        <v>2119</v>
      </c>
      <c r="C14" s="797">
        <v>2094</v>
      </c>
    </row>
    <row r="15" spans="1:12">
      <c r="B15" s="797" t="s">
        <v>2120</v>
      </c>
      <c r="C15" s="797">
        <v>1814</v>
      </c>
    </row>
    <row r="16" spans="1:12">
      <c r="B16" s="797"/>
      <c r="C16" s="797"/>
      <c r="E16" s="797"/>
      <c r="F16" s="797"/>
      <c r="G16" s="797"/>
      <c r="H16" s="797"/>
      <c r="I16" s="797"/>
      <c r="J16" s="797"/>
      <c r="K16" s="797"/>
      <c r="L16" s="797"/>
    </row>
    <row r="17" spans="2:12">
      <c r="B17" s="797"/>
      <c r="C17" s="797"/>
      <c r="E17" s="797"/>
      <c r="F17" s="797"/>
      <c r="G17" s="797"/>
      <c r="H17" s="797"/>
      <c r="I17" s="797"/>
      <c r="J17" s="797"/>
      <c r="K17" s="797"/>
      <c r="L17" s="797"/>
    </row>
    <row r="18" spans="2:12">
      <c r="B18" s="797"/>
      <c r="C18" s="797"/>
      <c r="E18" s="797"/>
      <c r="F18" s="797"/>
      <c r="G18" s="797"/>
      <c r="H18" s="797"/>
      <c r="I18" s="797"/>
      <c r="J18" s="797"/>
      <c r="K18" s="797"/>
      <c r="L18" s="797"/>
    </row>
    <row r="19" spans="2:12">
      <c r="B19" s="797"/>
      <c r="C19" s="797"/>
      <c r="E19" s="797"/>
      <c r="F19" s="795" t="s">
        <v>6</v>
      </c>
      <c r="G19" s="795"/>
      <c r="H19" s="797"/>
      <c r="I19" s="795" t="s">
        <v>78</v>
      </c>
      <c r="J19" s="795"/>
      <c r="K19" s="797"/>
      <c r="L19" s="797"/>
    </row>
    <row r="20" spans="2:12">
      <c r="E20" s="797"/>
      <c r="F20" s="797" t="s">
        <v>2121</v>
      </c>
      <c r="G20" s="801">
        <f>3*(POWER(C15*C13/100,2)*C10*C5*8760)/1000000</f>
        <v>148841.55428829009</v>
      </c>
      <c r="H20" s="797"/>
      <c r="I20" s="797" t="s">
        <v>2121</v>
      </c>
      <c r="J20" s="802">
        <f>3*(POWER(C15*C13/100,2)*C9*C5*8760)/1000000</f>
        <v>119418.18330152036</v>
      </c>
      <c r="K20" s="797"/>
      <c r="L20" s="797"/>
    </row>
    <row r="21" spans="2:12" hidden="1">
      <c r="E21" s="797"/>
      <c r="F21" s="797"/>
      <c r="G21" s="801">
        <f>(POWER(C15*C13/100,2)*C10*8760)/1000000</f>
        <v>992.27702858860084</v>
      </c>
      <c r="H21" s="797"/>
      <c r="I21" s="797"/>
      <c r="J21" s="802">
        <f>(POWER(N15*N13/100,2)*N10*8760)/1000000</f>
        <v>0</v>
      </c>
      <c r="K21" s="797"/>
      <c r="L21" s="797"/>
    </row>
    <row r="22" spans="2:12">
      <c r="E22" s="797"/>
      <c r="F22" s="797" t="s">
        <v>2122</v>
      </c>
      <c r="G22" s="803">
        <f>(G20*C7*-1)</f>
        <v>-11114066.205280781</v>
      </c>
      <c r="H22" s="797"/>
      <c r="I22" s="797" t="s">
        <v>2122</v>
      </c>
      <c r="J22" s="803">
        <f>(J20*C7*-1)</f>
        <v>-8917009.7804593425</v>
      </c>
      <c r="K22" s="797"/>
      <c r="L22" s="797"/>
    </row>
    <row r="23" spans="2:12">
      <c r="E23" s="797"/>
      <c r="F23" s="797" t="s">
        <v>2123</v>
      </c>
      <c r="G23" s="804">
        <f>PV(C6/100,C8,G22,0,0)</f>
        <v>181038388.37479767</v>
      </c>
      <c r="H23" s="797"/>
      <c r="I23" s="797" t="s">
        <v>2123</v>
      </c>
      <c r="J23" s="803">
        <f>PV(C6/100,C8,J22,0,0)</f>
        <v>145250266.64045179</v>
      </c>
      <c r="K23" s="797"/>
      <c r="L23" s="797"/>
    </row>
    <row r="24" spans="2:12">
      <c r="E24" s="797"/>
      <c r="F24" s="797"/>
      <c r="G24" s="805"/>
      <c r="H24" s="797"/>
      <c r="I24" s="797"/>
      <c r="J24" s="797"/>
      <c r="K24" s="797"/>
      <c r="L24" s="797"/>
    </row>
    <row r="25" spans="2:12">
      <c r="E25" s="797"/>
      <c r="F25" s="797" t="s">
        <v>2124</v>
      </c>
      <c r="G25" s="806">
        <f>C12*C5</f>
        <v>67077206.426530764</v>
      </c>
      <c r="H25" s="797"/>
      <c r="I25" s="797" t="s">
        <v>2124</v>
      </c>
      <c r="J25" s="799">
        <f>C11*C5</f>
        <v>102865328.16087665</v>
      </c>
      <c r="K25" s="797"/>
      <c r="L25" s="797"/>
    </row>
    <row r="26" spans="2:12">
      <c r="E26" s="797"/>
      <c r="F26" s="797" t="s">
        <v>2125</v>
      </c>
      <c r="G26" s="807">
        <f>G23+G25</f>
        <v>248115594.80132842</v>
      </c>
      <c r="H26" s="797"/>
      <c r="I26" s="797" t="s">
        <v>2125</v>
      </c>
      <c r="J26" s="808">
        <f>J23+J25</f>
        <v>248115594.80132842</v>
      </c>
      <c r="K26" s="797"/>
      <c r="L26" s="797"/>
    </row>
    <row r="27" spans="2:12">
      <c r="E27" s="797"/>
      <c r="F27" s="797"/>
      <c r="G27" s="797"/>
      <c r="H27" s="797"/>
      <c r="I27" s="797"/>
      <c r="J27" s="797"/>
      <c r="K27" s="797"/>
      <c r="L27" s="797"/>
    </row>
    <row r="28" spans="2:12">
      <c r="E28" s="797"/>
      <c r="F28" s="797"/>
      <c r="G28" s="797"/>
      <c r="H28" s="808">
        <f>J26-G26</f>
        <v>0</v>
      </c>
      <c r="I28" s="797"/>
      <c r="J28" s="797"/>
      <c r="K28" s="797"/>
      <c r="L28" s="797"/>
    </row>
    <row r="29" spans="2:12">
      <c r="E29" s="797"/>
      <c r="F29" s="797"/>
      <c r="G29" s="797"/>
      <c r="H29" s="797"/>
      <c r="I29" s="797"/>
      <c r="J29" s="797"/>
      <c r="K29" s="797"/>
      <c r="L29" s="797"/>
    </row>
    <row r="30" spans="2:12">
      <c r="E30" s="797"/>
      <c r="F30" s="797"/>
      <c r="G30" s="797"/>
      <c r="H30" s="797"/>
      <c r="I30" s="797"/>
      <c r="J30" s="797"/>
      <c r="K30" s="797"/>
      <c r="L30" s="797"/>
    </row>
    <row r="31" spans="2:12">
      <c r="E31" s="797"/>
      <c r="F31" s="797"/>
      <c r="G31" s="797"/>
      <c r="H31" s="797"/>
      <c r="I31" s="797"/>
      <c r="J31" s="797"/>
      <c r="K31" s="797"/>
      <c r="L31" s="797"/>
    </row>
    <row r="32" spans="2:12">
      <c r="E32" s="797"/>
      <c r="F32" s="797"/>
      <c r="G32" s="797"/>
      <c r="H32" s="797"/>
      <c r="I32" s="797"/>
      <c r="J32" s="797"/>
      <c r="K32" s="797"/>
      <c r="L32" s="797"/>
    </row>
    <row r="33" spans="5:12">
      <c r="E33" s="797"/>
      <c r="F33" s="797"/>
      <c r="G33" s="797"/>
      <c r="H33" s="797"/>
      <c r="I33" s="797"/>
      <c r="J33" s="797"/>
      <c r="K33" s="797"/>
      <c r="L33" s="797"/>
    </row>
  </sheetData>
  <pageMargins left="0.7" right="0.7" top="0.75" bottom="0.75" header="0.3" footer="0.3"/>
  <pageSetup orientation="portrait" r:id="rId1"/>
  <headerFooter>
    <oddHeader>&amp;LAlberta Electric System Operator&amp;CConfidentiality: Public&amp;R&amp;D</oddHeader>
    <oddFooter>&amp;L&amp;F&amp;CPage &amp;P of &amp;N&amp;RTab &amp;A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78</vt:i4>
      </vt:variant>
    </vt:vector>
  </HeadingPairs>
  <TitlesOfParts>
    <vt:vector size="144" baseType="lpstr">
      <vt:lpstr>Guide</vt:lpstr>
      <vt:lpstr>Depreciation</vt:lpstr>
      <vt:lpstr>2014StudyClassification</vt:lpstr>
      <vt:lpstr>2014StudyData</vt:lpstr>
      <vt:lpstr>2014StudyExample</vt:lpstr>
      <vt:lpstr>2018UpdateData</vt:lpstr>
      <vt:lpstr>StudytoUpdateComparison</vt:lpstr>
      <vt:lpstr>2018UpdateClassification</vt:lpstr>
      <vt:lpstr>2018UpdateExample</vt:lpstr>
      <vt:lpstr>Existing Asset Chart</vt:lpstr>
      <vt:lpstr>Func AL Subs</vt:lpstr>
      <vt:lpstr>Func AL Lines</vt:lpstr>
      <vt:lpstr>Func ATCO Subs</vt:lpstr>
      <vt:lpstr>Func ATCO Lines</vt:lpstr>
      <vt:lpstr>Func Enmax</vt:lpstr>
      <vt:lpstr>Func EPCOR</vt:lpstr>
      <vt:lpstr>Func Future Lines 2015</vt:lpstr>
      <vt:lpstr>Func Future Lines 2016</vt:lpstr>
      <vt:lpstr>Func Future Lines 2017</vt:lpstr>
      <vt:lpstr>Func Future Lines 2018</vt:lpstr>
      <vt:lpstr>Func Future Lines 2019</vt:lpstr>
      <vt:lpstr>Func Future Lines 2020</vt:lpstr>
      <vt:lpstr>Func Future Subs 2015</vt:lpstr>
      <vt:lpstr>Func Future Subs 2016</vt:lpstr>
      <vt:lpstr>Func Future Subs 2017</vt:lpstr>
      <vt:lpstr>Func Future Subs 2018</vt:lpstr>
      <vt:lpstr>Func Future Subs 2019</vt:lpstr>
      <vt:lpstr>Func Future Subs 2020</vt:lpstr>
      <vt:lpstr>Func Results 2015</vt:lpstr>
      <vt:lpstr>Func Results 2016</vt:lpstr>
      <vt:lpstr>Func Results 2017</vt:lpstr>
      <vt:lpstr>Func Results 2018</vt:lpstr>
      <vt:lpstr>Func Results 2019</vt:lpstr>
      <vt:lpstr>Func Results 2020</vt:lpstr>
      <vt:lpstr>Results for report</vt:lpstr>
      <vt:lpstr>O&amp;M --&gt;</vt:lpstr>
      <vt:lpstr>Sum 1.0</vt:lpstr>
      <vt:lpstr>Sum 2.0</vt:lpstr>
      <vt:lpstr>Sum 3.0</vt:lpstr>
      <vt:lpstr>Sum 3.1</vt:lpstr>
      <vt:lpstr>AL Sch 1.0</vt:lpstr>
      <vt:lpstr>AL Sch 2.0</vt:lpstr>
      <vt:lpstr>AL Sch 3.0</vt:lpstr>
      <vt:lpstr>AL Sch 4.0</vt:lpstr>
      <vt:lpstr>AL Sch 5.0</vt:lpstr>
      <vt:lpstr>AL Sch 5.1</vt:lpstr>
      <vt:lpstr>AL Sch 5.2</vt:lpstr>
      <vt:lpstr>AL Sch 5.3</vt:lpstr>
      <vt:lpstr>AT Sch 1.0</vt:lpstr>
      <vt:lpstr>AT Sch 2.0</vt:lpstr>
      <vt:lpstr>AT Sch 3.0</vt:lpstr>
      <vt:lpstr>AT Sch 4.0</vt:lpstr>
      <vt:lpstr>AT Sch 5.0</vt:lpstr>
      <vt:lpstr>AT Sch 5.1</vt:lpstr>
      <vt:lpstr>AT Sch 5.2</vt:lpstr>
      <vt:lpstr>EN Sch 1.0</vt:lpstr>
      <vt:lpstr>EN Sch 4.0</vt:lpstr>
      <vt:lpstr>EN Sch 5.0</vt:lpstr>
      <vt:lpstr>EN Sch 5.1</vt:lpstr>
      <vt:lpstr>EP Sch 1.0</vt:lpstr>
      <vt:lpstr>EP Sch 2.0</vt:lpstr>
      <vt:lpstr>EP Sch 3.0</vt:lpstr>
      <vt:lpstr>EP Sch 4.0</vt:lpstr>
      <vt:lpstr>EP Sch 5.0</vt:lpstr>
      <vt:lpstr>EP Sch 5.1</vt:lpstr>
      <vt:lpstr>EP Sch 5.2</vt:lpstr>
      <vt:lpstr>'2014StudyClassification'!Print_Area</vt:lpstr>
      <vt:lpstr>'2014StudyData'!Print_Area</vt:lpstr>
      <vt:lpstr>'2014StudyExample'!Print_Area</vt:lpstr>
      <vt:lpstr>'2018UpdateClassification'!Print_Area</vt:lpstr>
      <vt:lpstr>'2018UpdateData'!Print_Area</vt:lpstr>
      <vt:lpstr>'2018UpdateExample'!Print_Area</vt:lpstr>
      <vt:lpstr>'AL Sch 1.0'!Print_Area</vt:lpstr>
      <vt:lpstr>'AL Sch 2.0'!Print_Area</vt:lpstr>
      <vt:lpstr>'AL Sch 3.0'!Print_Area</vt:lpstr>
      <vt:lpstr>'AL Sch 4.0'!Print_Area</vt:lpstr>
      <vt:lpstr>'AL Sch 5.0'!Print_Area</vt:lpstr>
      <vt:lpstr>'AL Sch 5.1'!Print_Area</vt:lpstr>
      <vt:lpstr>'AL Sch 5.2'!Print_Area</vt:lpstr>
      <vt:lpstr>'AL Sch 5.3'!Print_Area</vt:lpstr>
      <vt:lpstr>'AT Sch 1.0'!Print_Area</vt:lpstr>
      <vt:lpstr>'AT Sch 2.0'!Print_Area</vt:lpstr>
      <vt:lpstr>'AT Sch 3.0'!Print_Area</vt:lpstr>
      <vt:lpstr>'AT Sch 4.0'!Print_Area</vt:lpstr>
      <vt:lpstr>'AT Sch 5.0'!Print_Area</vt:lpstr>
      <vt:lpstr>'AT Sch 5.1'!Print_Area</vt:lpstr>
      <vt:lpstr>'AT Sch 5.2'!Print_Area</vt:lpstr>
      <vt:lpstr>'EN Sch 1.0'!Print_Area</vt:lpstr>
      <vt:lpstr>'EN Sch 4.0'!Print_Area</vt:lpstr>
      <vt:lpstr>'EN Sch 5.0'!Print_Area</vt:lpstr>
      <vt:lpstr>'EN Sch 5.1'!Print_Area</vt:lpstr>
      <vt:lpstr>'EP Sch 1.0'!Print_Area</vt:lpstr>
      <vt:lpstr>'EP Sch 2.0'!Print_Area</vt:lpstr>
      <vt:lpstr>'EP Sch 3.0'!Print_Area</vt:lpstr>
      <vt:lpstr>'EP Sch 4.0'!Print_Area</vt:lpstr>
      <vt:lpstr>'EP Sch 5.0'!Print_Area</vt:lpstr>
      <vt:lpstr>'EP Sch 5.1'!Print_Area</vt:lpstr>
      <vt:lpstr>'EP Sch 5.2'!Print_Area</vt:lpstr>
      <vt:lpstr>'Func AL Lines'!Print_Area</vt:lpstr>
      <vt:lpstr>'Func AL Subs'!Print_Area</vt:lpstr>
      <vt:lpstr>'Func ATCO Lines'!Print_Area</vt:lpstr>
      <vt:lpstr>'Func ATCO Subs'!Print_Area</vt:lpstr>
      <vt:lpstr>'Func Enmax'!Print_Area</vt:lpstr>
      <vt:lpstr>'Func EPCOR'!Print_Area</vt:lpstr>
      <vt:lpstr>'Func Future Lines 2015'!Print_Area</vt:lpstr>
      <vt:lpstr>'Func Future Lines 2016'!Print_Area</vt:lpstr>
      <vt:lpstr>'Func Future Lines 2017'!Print_Area</vt:lpstr>
      <vt:lpstr>'Func Future Lines 2018'!Print_Area</vt:lpstr>
      <vt:lpstr>'Func Future Lines 2019'!Print_Area</vt:lpstr>
      <vt:lpstr>'Func Future Lines 2020'!Print_Area</vt:lpstr>
      <vt:lpstr>'Func Future Subs 2015'!Print_Area</vt:lpstr>
      <vt:lpstr>'Func Future Subs 2016'!Print_Area</vt:lpstr>
      <vt:lpstr>'Func Future Subs 2017'!Print_Area</vt:lpstr>
      <vt:lpstr>'Func Future Subs 2018'!Print_Area</vt:lpstr>
      <vt:lpstr>'Func Future Subs 2019'!Print_Area</vt:lpstr>
      <vt:lpstr>'Func Future Subs 2020'!Print_Area</vt:lpstr>
      <vt:lpstr>'Func Results 2015'!Print_Area</vt:lpstr>
      <vt:lpstr>'Func Results 2016'!Print_Area</vt:lpstr>
      <vt:lpstr>'Func Results 2017'!Print_Area</vt:lpstr>
      <vt:lpstr>'Func Results 2018'!Print_Area</vt:lpstr>
      <vt:lpstr>'Func Results 2019'!Print_Area</vt:lpstr>
      <vt:lpstr>'Func Results 2020'!Print_Area</vt:lpstr>
      <vt:lpstr>Guide!Print_Area</vt:lpstr>
      <vt:lpstr>'O&amp;M --&gt;'!Print_Area</vt:lpstr>
      <vt:lpstr>'Results for report'!Print_Area</vt:lpstr>
      <vt:lpstr>StudytoUpdateComparison!Print_Area</vt:lpstr>
      <vt:lpstr>'Sum 1.0'!Print_Area</vt:lpstr>
      <vt:lpstr>'Sum 2.0'!Print_Area</vt:lpstr>
      <vt:lpstr>'Sum 3.0'!Print_Area</vt:lpstr>
      <vt:lpstr>'Sum 3.1'!Print_Area</vt:lpstr>
      <vt:lpstr>'Func AL Lines'!Print_Titles</vt:lpstr>
      <vt:lpstr>'Func AL Subs'!Print_Titles</vt:lpstr>
      <vt:lpstr>'Func ATCO Lines'!Print_Titles</vt:lpstr>
      <vt:lpstr>'Func ATCO Subs'!Print_Titles</vt:lpstr>
      <vt:lpstr>'Func Enmax'!Print_Titles</vt:lpstr>
      <vt:lpstr>'Func EPCOR'!Print_Titles</vt:lpstr>
      <vt:lpstr>'Func ATCO Subs'!Sub_Name</vt:lpstr>
      <vt:lpstr>Sub_Name</vt:lpstr>
      <vt:lpstr>'Func ATCO Subs'!sub_pod</vt:lpstr>
      <vt:lpstr>sub_pod</vt:lpstr>
      <vt:lpstr>'Func ATCO Subs'!sub_sts</vt:lpstr>
      <vt:lpstr>sub_sts</vt:lpstr>
      <vt:lpstr>'Func ATCO Subs'!sub_total</vt:lpstr>
      <vt:lpstr>sub_total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2017-09-13T18:51:31Z</dcterms:created>
  <dcterms:modified xsi:type="dcterms:W3CDTF">2017-09-14T17:13:18Z</dcterms:modified>
  <cp:contentStatus/>
</cp:coreProperties>
</file>